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<sst xmlns="http://schemas.openxmlformats.org/spreadsheetml/2006/main" count="74845" uniqueCount="47054">
  <si>
    <t>names</t>
  </si>
  <si>
    <t>sentences</t>
  </si>
  <si>
    <t>translation</t>
  </si>
  <si>
    <t>v_QOlSCBRmfWY</t>
  </si>
  <si>
    <t>A young woman is seen standing in a room and leads into her dancing.</t>
  </si>
  <si>
    <t>The girl dances around the room while the camera captures her movements.</t>
  </si>
  <si>
    <t>She continues dancing around the room and ends by laying on the floor.</t>
  </si>
  <si>
    <t>v_ehGHCYKzyZ8</t>
  </si>
  <si>
    <t>The video starts with a title logo sequence.</t>
  </si>
  <si>
    <t>A man and woman are in a living room demonstrating exercises.</t>
  </si>
  <si>
    <t>The woman lays on the ground.</t>
  </si>
  <si>
    <t>The man starts pointing to different areas of the woman's body as she does an exercise.</t>
  </si>
  <si>
    <t>The woman begins to do small sit ups.</t>
  </si>
  <si>
    <t>The woman ends with a final title logo sequence.</t>
  </si>
  <si>
    <t>v_nwznKOuZM7w</t>
  </si>
  <si>
    <t>Two people are seen moving around a kitchen quickly performing various tasks and sitting down.</t>
  </si>
  <si>
    <t>They then wax down a ski in the kitchen while continuing to move around.</t>
  </si>
  <si>
    <t>v_ogQozSI5V8U</t>
  </si>
  <si>
    <t>We see a hallway with a wooden floor.</t>
  </si>
  <si>
    <t>A dog in socks walks slowly out onto the floor as a lady films him.</t>
  </si>
  <si>
    <t>The dog turns around and goes back to the other room.</t>
  </si>
  <si>
    <t>v_nHE7u40plD0</t>
  </si>
  <si>
    <t>A woman and a man are sitting on the sidewalk playing music.</t>
  </si>
  <si>
    <t>People stand next to them and watch them play.</t>
  </si>
  <si>
    <t>A little boy holding a yellow ball walks by.</t>
  </si>
  <si>
    <t>A man poses for a picture in front of them.</t>
  </si>
  <si>
    <t>v_69IsHpmRyfk</t>
  </si>
  <si>
    <t>A young girl is seen sitting in a chair with a person standing next to her.</t>
  </si>
  <si>
    <t>The person next to her then piercing one ear followed by the other.</t>
  </si>
  <si>
    <t>The person rubs lotion on the piercings afterwards.</t>
  </si>
  <si>
    <t>v_D18b2IZpxk0</t>
  </si>
  <si>
    <t>A woman is shown riding a camel past pyramids in Egypt.</t>
  </si>
  <si>
    <t>The camel walks as the woman leans forward.</t>
  </si>
  <si>
    <t>And hand covers the lens as the harness is shown.</t>
  </si>
  <si>
    <t>v_pizl41xmw7k</t>
  </si>
  <si>
    <t>A child mops the floor of a hallway in a house.</t>
  </si>
  <si>
    <t>The child sets the mop down and plays with her family member.</t>
  </si>
  <si>
    <t>The child walks into the bedroom area and continues to mop the floor.</t>
  </si>
  <si>
    <t>v_oP77DgsbhKQ</t>
  </si>
  <si>
    <t>A man is seen kneeling down on the floor speaking to the camera.</t>
  </si>
  <si>
    <t>The man mixes up various ingredients and begins laying plaster on the floor.</t>
  </si>
  <si>
    <t>He measures the floor and tiles and cuts out a piece of tile to lay on the floor.</t>
  </si>
  <si>
    <t>He continues laying tiles on the floor while looking back to speak to the camera.</t>
  </si>
  <si>
    <t>v_fzp5ooc727c</t>
  </si>
  <si>
    <t>Two lines of young men are walking side by side down a road.</t>
  </si>
  <si>
    <t>Then one man stands in a field holding a wooden object and begins twisting it.</t>
  </si>
  <si>
    <t>He then bends down and grabs a ball.</t>
  </si>
  <si>
    <t>After,the ball is placed on the ground and he picks it up and hits it as if he's playing baseball.</t>
  </si>
  <si>
    <t>The ball is thrown back and he its it again.</t>
  </si>
  <si>
    <t>Shortly after, a field of men are shown and they begin playing a game against one another.</t>
  </si>
  <si>
    <t>There was a penalty and one players attempts to hit the ball into the goal from the side.</t>
  </si>
  <si>
    <t>After,everyone is pictured lying down on the ground as if they are dead but one person begins to sit up but gets hit in the head by the ball and lays back down.</t>
  </si>
  <si>
    <t>Lastly,the screen flashes to a black screen and the words The End are shown.</t>
  </si>
  <si>
    <t>v_fN2DiOswmOA</t>
  </si>
  <si>
    <t>The screen shows the title of preparing a Chilean Hulte salad dish.</t>
  </si>
  <si>
    <t>A person is mixing salad ingredients in a large bowl.</t>
  </si>
  <si>
    <t>There is information shown about Dr.</t>
  </si>
  <si>
    <t>Rachel Collin's trip to Chile.</t>
  </si>
  <si>
    <t>There are several people standing under a canopy at a food market.</t>
  </si>
  <si>
    <t>Two customers make a purchase and give money to the seller and give the camera a thumbs up.</t>
  </si>
  <si>
    <t>The chef is showing hulte placed on a kitchen counter.</t>
  </si>
  <si>
    <t>The chef is slicing the hulte in circular bite size pieces.</t>
  </si>
  <si>
    <t>A woman eats the cut pieces of hulte.</t>
  </si>
  <si>
    <t>The chef chops some cilantro on the kitchen counter.</t>
  </si>
  <si>
    <t>Then the chef places the ingredients in a salad bowl.</t>
  </si>
  <si>
    <t>The finished product is shown on screen, followed by a group of people sitting together and enjoying the salad.</t>
  </si>
  <si>
    <t>The end credits are displayed on the screen.</t>
  </si>
  <si>
    <t>v_t0ajvfx6dgA</t>
  </si>
  <si>
    <t>A man in a suit is sitting behind a desk.</t>
  </si>
  <si>
    <t>People are playing lacrosse on a field of grass.</t>
  </si>
  <si>
    <t>A person in a yellow uniform is standing in front of a net blocking balls.</t>
  </si>
  <si>
    <t>v_IoiDAHNryTk</t>
  </si>
  <si>
    <t>A girl is seen climbing across a set of monkey bars followed by her waving to the camera.</t>
  </si>
  <si>
    <t>She climbs her way back on the bars and jumps down mid way through.</t>
  </si>
  <si>
    <t>v__yWADgOFxP0</t>
  </si>
  <si>
    <t>A camera pans over a snowy area and leads into a man standing on a snowboard and riding down a mountain.</t>
  </si>
  <si>
    <t>The man zooms in on himself riding down the hill and ends with him turning off the camera.</t>
  </si>
  <si>
    <t>v_AGgJVF3nT6I</t>
  </si>
  <si>
    <t>A playroom is seen followed by a young boy sliding down a slide and climbing back up again.</t>
  </si>
  <si>
    <t>He slides down again, this time landing on his back, and continues to slide down several more times.</t>
  </si>
  <si>
    <t>v_XD3yFrJHiv8</t>
  </si>
  <si>
    <t>A man and woman are sitting on red couches with sports jerseys hanging on the wall and a blue screen on the wall behind them in the middle of them.</t>
  </si>
  <si>
    <t>The woman picks up a clipboard next to her and smooths out the papers that are on top of it while smiling, crosses her legs and sits back.</t>
  </si>
  <si>
    <t>The man is talking this whole time while the woman gets comfortable on her couch and the woman briefly talks.</t>
  </si>
  <si>
    <t>Various clips begin to play and it briefly shows parts of a city, then most of it is of men outdoors and playing soccer on sand in a middle of city, and occasionally blue words pop up on the screen when certain plays in the game are made.</t>
  </si>
  <si>
    <t>When the clips end the man and woman on the couch begin talking and she puts her clipboard down.</t>
  </si>
  <si>
    <t>v_lZKrd84QElk</t>
  </si>
  <si>
    <t>The former president is seen walking in a large field next to a woman and surrounded by a large crowd.</t>
  </si>
  <si>
    <t>The man gives a speech while people cheering and he shakes hands with others.</t>
  </si>
  <si>
    <t>The man then shares a beer with other people around him.</t>
  </si>
  <si>
    <t>v_6lYTHj9vImo</t>
  </si>
  <si>
    <t>Four kids are outside in the beach playing in the sand,two boys on the left and two girls on the right.</t>
  </si>
  <si>
    <t>The girls have about six sand castles and a large circle surrounding it filled with water.</t>
  </si>
  <si>
    <t>They then take off running to the beach to grab more water as the boy comes and looks at their work.</t>
  </si>
  <si>
    <t>Once they are done,both of the girls take off running to the water but then stop midway to come back and get their floats.</t>
  </si>
  <si>
    <t>v_E3QtX6r9QX0</t>
  </si>
  <si>
    <t>A large pile of leaves are seen being blown around with shots of a blower being shown.</t>
  </si>
  <si>
    <t>the leaves continue to be shown blowing around as well as a machine sitting off in the distance.</t>
  </si>
  <si>
    <t>v_iYxj8a1TPYk</t>
  </si>
  <si>
    <t>A basketball player is seen dribbling a ball in various shots for the camera and leads into the player making baskets over and over again.</t>
  </si>
  <si>
    <t>The man is then seen speaking to the camera and transitions into him scoring several more baskets.</t>
  </si>
  <si>
    <t>v_cp52LdlmlUk</t>
  </si>
  <si>
    <t>People are standing in a room working out.</t>
  </si>
  <si>
    <t>They are stepping up and down on small stepping stools.</t>
  </si>
  <si>
    <t>They continue working out in the room.</t>
  </si>
  <si>
    <t>v_bpg2PC2neQM</t>
  </si>
  <si>
    <t>A black and white video is being played of people playing lacrosse on a field.</t>
  </si>
  <si>
    <t>It then turns back to color and splits into multiple frames and speeds.</t>
  </si>
  <si>
    <t>The video includes numerous clips of players in lacrosse games, hitting the ball toward opposing goals.</t>
  </si>
  <si>
    <t>v_RgzbNJPchqc</t>
  </si>
  <si>
    <t>A man is playing the bagpipes in front of people.</t>
  </si>
  <si>
    <t>The people on the couch in front of him start laughing.</t>
  </si>
  <si>
    <t>v__zHSfEhEqkU</t>
  </si>
  <si>
    <t>A man is seen padding a canoe along the water while the camera captures him from several angles.</t>
  </si>
  <si>
    <t>The man continues riding around followed by performing several ways to turn the canoe around.</t>
  </si>
  <si>
    <t>v_EsVxUf4Ae2c</t>
  </si>
  <si>
    <t>A man is standing on ice with his pole standing straight up beside him.</t>
  </si>
  <si>
    <t>The man grabs his fishing pole and starts fishing in the hole in the ice.</t>
  </si>
  <si>
    <t>The man appears to have caught something and kneels down to pull his fishing line by hand.</t>
  </si>
  <si>
    <t>The man pulls a fish out of the water and poses with it.</t>
  </si>
  <si>
    <t>The man unhooks the hook from the fish's mouth.</t>
  </si>
  <si>
    <t>The man kisses the fish and releases it back into the hole.</t>
  </si>
  <si>
    <t>v_---9CpRcKoU</t>
  </si>
  <si>
    <t>A man was sitting inside a room.</t>
  </si>
  <si>
    <t>He is holding a bowl of noodles and broth.</t>
  </si>
  <si>
    <t>He is drinking the broth from a bowl.</t>
  </si>
  <si>
    <t>v_epqnpUCVLK8</t>
  </si>
  <si>
    <t>A little boy is laying on an exercise ball.</t>
  </si>
  <si>
    <t>The boy falls of and gets back on the ball before he falls off again.</t>
  </si>
  <si>
    <t>He tries to sit on the ball but the ball rolls away.</t>
  </si>
  <si>
    <t>He retrieves it and continues to sit on and fall off the ball.</t>
  </si>
  <si>
    <t>v_GFE2wAi9fjo</t>
  </si>
  <si>
    <t>A woman puts a pair of shoes on while sitting in an office chair.</t>
  </si>
  <si>
    <t>The woman buckles her shoes.</t>
  </si>
  <si>
    <t>v_W19-fYOO9sg</t>
  </si>
  <si>
    <t>A close up of a bike wheel is seen that leads into a person's hands pushing on the tire.</t>
  </si>
  <si>
    <t>The person uses a tool along the tire to help move it along.</t>
  </si>
  <si>
    <t>The person finally pushes the tire along it's sides.</t>
  </si>
  <si>
    <t>v_ztD4lVJATws</t>
  </si>
  <si>
    <t>A woman is seen kneeling on the floor and pulling onto a piece of exercise equipment.</t>
  </si>
  <si>
    <t>The woman begins turning her body with the equipment while speaking to the camera.</t>
  </si>
  <si>
    <t>She continues pulling onto the lever while looking back to the camera.</t>
  </si>
  <si>
    <t>v_V_Nj_BhesEY</t>
  </si>
  <si>
    <t>Three people stand by the corner of a building.</t>
  </si>
  <si>
    <t>One of the persons, a young boy, takes a bow.</t>
  </si>
  <si>
    <t>A crowd of people watch him.</t>
  </si>
  <si>
    <t>He proceeds to perform various karate moves, such as bowing, cartwheels and flips.</t>
  </si>
  <si>
    <t>v_p9iE8iemCMs</t>
  </si>
  <si>
    <t>A person is holding a flute.</t>
  </si>
  <si>
    <t>The person shows a fingering for the second octave of the note.</t>
  </si>
  <si>
    <t>The person shows the fingering on the third octave.</t>
  </si>
  <si>
    <t>The woman talks directly to the camera.</t>
  </si>
  <si>
    <t>v_bNwrAuu0qiQ</t>
  </si>
  <si>
    <t>An intro leads into several pictures of a tennis player and leaders into video footage of the player playing matches.</t>
  </si>
  <si>
    <t>The tennis player is shown in several shots of games performing incredible stunts and clenching his fists to celebrate in the end.</t>
  </si>
  <si>
    <t>v_37pwbUp8t1I</t>
  </si>
  <si>
    <t>Hiphop dancers perform in front of a crowd.</t>
  </si>
  <si>
    <t>They are all doing the same basic dance and having pictures taken of them.</t>
  </si>
  <si>
    <t>v_TmI9MxCDBMw</t>
  </si>
  <si>
    <t>A murky river is shown next to a row of trees.</t>
  </si>
  <si>
    <t>A bunch of people on intertubes go by slowly.</t>
  </si>
  <si>
    <t>Then we see rapid waters as the tubers go over small falls.</t>
  </si>
  <si>
    <t>v_4x7HYKV8zkY</t>
  </si>
  <si>
    <t>Three girls are on the beach talking.</t>
  </si>
  <si>
    <t>They do several flips on the beach.</t>
  </si>
  <si>
    <t>They lift one of the girls up for a stunt.</t>
  </si>
  <si>
    <t>v__Af_9cK5x4E</t>
  </si>
  <si>
    <t>The camera pans above lush and green terrain over what looks like a mountain range.</t>
  </si>
  <si>
    <t>A man is shown covered in sweat and then jumping across various hills performing stunts on a dirt bike.</t>
  </si>
  <si>
    <t>He rotates and flips and performs all sorts of acrobatics.</t>
  </si>
  <si>
    <t>He is highly skilled and jumping over everything.</t>
  </si>
  <si>
    <t>The video then shows multiple men on dirt bikes jumping in various different places and shows the action from a variety of angles.</t>
  </si>
  <si>
    <t>The men continue performing their stuns in various other landscapes.</t>
  </si>
  <si>
    <t>v_y5j9TqTy9Xw</t>
  </si>
  <si>
    <t>A woman is walking along a track.</t>
  </si>
  <si>
    <t>She takes off at a fast run.</t>
  </si>
  <si>
    <t>She jumps over a bar and onto a mat.</t>
  </si>
  <si>
    <t>v_Kp7pUEKrb8Q</t>
  </si>
  <si>
    <t>A person is slicing limes on a board.</t>
  </si>
  <si>
    <t>They put the limes and sugar into a blender.</t>
  </si>
  <si>
    <t>They strain the juice and pour it into a jar.</t>
  </si>
  <si>
    <t>They put a straw and a lime wedge on the rim of the glass.</t>
  </si>
  <si>
    <t>v_5lre5zbUV1Q</t>
  </si>
  <si>
    <t>A child scrubs out the kitchen sink using a brush.</t>
  </si>
  <si>
    <t>The boy turns on the sink faucet.</t>
  </si>
  <si>
    <t>The child uses the faucet nozzle to rinse out the sink.</t>
  </si>
  <si>
    <t>The boy returns the sink nozzle to the faucet and turns off the water.</t>
  </si>
  <si>
    <t>v_D0dyvNTI7yU</t>
  </si>
  <si>
    <t>A man in a bare studio showcases a series of martial arts moves by himself in front of a camera.</t>
  </si>
  <si>
    <t>A man appears in a white t-shirt and black pants, barefoot and begins to showcase martial arts moves.</t>
  </si>
  <si>
    <t>The man begins using moves that exhibit floor work and light tumbles along with a headstand.</t>
  </si>
  <si>
    <t>The man progresses into controlled somersaults and side to side work along with high kicks.</t>
  </si>
  <si>
    <t>v_huFuRGoZt9I</t>
  </si>
  <si>
    <t>A dealer is shown laying out cards on a table while other people's hands are shown on the side.</t>
  </si>
  <si>
    <t>The person then lays out cards while another person lays out their chips.</t>
  </si>
  <si>
    <t>v_CmEQjszPDrg</t>
  </si>
  <si>
    <t>Several people are outside with running equipment and numbers pinned to them jogging at a slow pace at what seams to be a Marathon or a 5k.</t>
  </si>
  <si>
    <t>A lady dressed in all black however,seems to be the focal point throughout the video and she is walking at an extremely slow pace for the whole time.</t>
  </si>
  <si>
    <t>After the crowd is shown and more people are seen running through the city or even participating in a wheel chair as the people on the side cheer them on.</t>
  </si>
  <si>
    <t>v_RULNhPrXnfA</t>
  </si>
  <si>
    <t>A man is shown standing in front of a blue background as many harmonicas are shown and he starts playing them.</t>
  </si>
  <si>
    <t>He is then shown speaking into the camera and going into detail with regards to the products features.</t>
  </si>
  <si>
    <t>He shows off how many he has in his coat and continues talking.</t>
  </si>
  <si>
    <t>He is then shown playing another harmonica as he gives instruction on it.</t>
  </si>
  <si>
    <t>He speaks some more and shows his harmonica again as the video goes to an end title screen that reads Howcast original".</t>
  </si>
  <si>
    <t>v_Zd22n1caVgM</t>
  </si>
  <si>
    <t>A boy wearing white shorts is standing in a room.</t>
  </si>
  <si>
    <t>He puts something in his mouth.</t>
  </si>
  <si>
    <t>He kicks his legs up to the side.</t>
  </si>
  <si>
    <t>The kneels down onto the ground.</t>
  </si>
  <si>
    <t>v_ZKP5J7OKEvI</t>
  </si>
  <si>
    <t>A small group of people are seen sitting on the side and lead into two people dancing together.</t>
  </si>
  <si>
    <t>The people continue dancing along the floor and end by clapping with the band.</t>
  </si>
  <si>
    <t>v_44BfVJnhBgc</t>
  </si>
  <si>
    <t>A runner tests a prosthetic leg in a long distance run.</t>
  </si>
  <si>
    <t>He runs inside then runs outside.</t>
  </si>
  <si>
    <t>v_VFOjLDa5VtA</t>
  </si>
  <si>
    <t>A small group of people are seen wandering around a tennis court hitting a ball over the net.</t>
  </si>
  <si>
    <t>The people hit the ball back and fourth while others watch on the side.</t>
  </si>
  <si>
    <t>They continue to play the game as well as others.</t>
  </si>
  <si>
    <t>v_KKrHX-pywBQ</t>
  </si>
  <si>
    <t>A young man wearing a white shirt and helmet and black pants is holding a skateboard in his hands as he walks.</t>
  </si>
  <si>
    <t>He puts the skateboard down and begins skating on an asphalt road.</t>
  </si>
  <si>
    <t>He flips the skateboard several times and goes on circles.</t>
  </si>
  <si>
    <t>Two people walk past him as he continues to skateboard.</t>
  </si>
  <si>
    <t>The man begins to speed up on his skateboard as he goes down the road.</t>
  </si>
  <si>
    <t>He also skates past a lake on a long and winding road.</t>
  </si>
  <si>
    <t>He skates past a field and mountains that are filled with greenery.</t>
  </si>
  <si>
    <t>He tries various stunts and tricks on his skateboard.</t>
  </si>
  <si>
    <t>He continues to skateboard through the roads.</t>
  </si>
  <si>
    <t>He falls off the skateboard on the side of the road, but gets right back on it and skates away.</t>
  </si>
  <si>
    <t>v_HxJnPUqF9i8</t>
  </si>
  <si>
    <t>Athletes throw a javelin during a competition.</t>
  </si>
  <si>
    <t>A man practices his throwing stance walking and doing half throws without javeline.</t>
  </si>
  <si>
    <t>A man practices his throwing stance walking and doing half throws holding a javeline.</t>
  </si>
  <si>
    <t>The man swings a hammer.</t>
  </si>
  <si>
    <t>The man throws a weighted ball.</t>
  </si>
  <si>
    <t>Athletes train in a gym doing throwing motions on weighted cable machines.</t>
  </si>
  <si>
    <t>v_FKl0077EUoY</t>
  </si>
  <si>
    <t>We see a person sharpen a knife on a sanding disc.</t>
  </si>
  <si>
    <t>The person touches it and turns it off.</t>
  </si>
  <si>
    <t>The person turns it on and then off off.</t>
  </si>
  <si>
    <t>We see the man talking to the camera.</t>
  </si>
  <si>
    <t>v_lfuNoeRYWz4</t>
  </si>
  <si>
    <t>Text is shown from the centers for disease control regarding proper handwashing.</t>
  </si>
  <si>
    <t>A woman is shown soaping her hands while water is running in a sink.</t>
  </si>
  <si>
    <t>She reaches for a towel and then turns the faucet one with one hand.</t>
  </si>
  <si>
    <t>She soaps her hands, then rinses with the water before grabbing another towel to turn off the faucet, and discarding the towel.</t>
  </si>
  <si>
    <t>v_x4iCAIPRDVQ</t>
  </si>
  <si>
    <t>People exercise on fitness machines while people sits on front and watch.</t>
  </si>
  <si>
    <t>A man pass on front holding a jacket and stand next a TV.</t>
  </si>
  <si>
    <t>A group of woman walk on front people exercising.</t>
  </si>
  <si>
    <t>v_NwfS7eZiMLg</t>
  </si>
  <si>
    <t>A man is playing the bagpipes at the bottom of the stairs in the living room of a house, wearing a button up and dress pants, along with socks.</t>
  </si>
  <si>
    <t>He begins to tap his foot along with the beat of his tune, He starts to tap his left foot in a back and forth rhythm with his right foot.</t>
  </si>
  <si>
    <t>He finishes, and smiles at the camera.</t>
  </si>
  <si>
    <t>v_aJbl1eVBzk0</t>
  </si>
  <si>
    <t>People are working in a bike shop fixing a bike.</t>
  </si>
  <si>
    <t>They put the wheels back onto the bike.</t>
  </si>
  <si>
    <t>The put the seat on the bike.</t>
  </si>
  <si>
    <t>The bike is put together on the floor.</t>
  </si>
  <si>
    <t>v_UYHgieL5IKM</t>
  </si>
  <si>
    <t>A man is giving advice on outdoor activities, specifically mushrooming and closeup is shown and the man talks about it.</t>
  </si>
  <si>
    <t>The man cuts one open and then cuts it in half.</t>
  </si>
  <si>
    <t>Another man talks about the experience.</t>
  </si>
  <si>
    <t>v_PgZ2e0H1ZVE</t>
  </si>
  <si>
    <t>A young man wearing a hat is seen speaking to the camera and holding up a chart.</t>
  </si>
  <si>
    <t>He continues speaking and begins playing a harmonica.</t>
  </si>
  <si>
    <t>He holds up the sign more while continuing to play and speak to the camera.</t>
  </si>
  <si>
    <t>v_h8J08sJ2no0</t>
  </si>
  <si>
    <t>A person walks on the roof of a climbing equipment, then he goes down the wall and reach the floor and walk forward.</t>
  </si>
  <si>
    <t>The man stand with the hands on the border on the equipment and descend down the walk with the hands, then he walk on hands sideward.</t>
  </si>
  <si>
    <t>v_g0XO-rWHmzs</t>
  </si>
  <si>
    <t>A woman is seen holding two dogs on a leash and proceeds to unhook them and let them go.</t>
  </si>
  <si>
    <t>One down then does his business into a bag tied to him and runs off behind bikes.</t>
  </si>
  <si>
    <t>v_WGpz-hV-Ejw</t>
  </si>
  <si>
    <t>A young girl is standing on a court with a jump rope.</t>
  </si>
  <si>
    <t>She begins jumping in front of a table of judges.</t>
  </si>
  <si>
    <t>She hops, spins, and flips with the rope.</t>
  </si>
  <si>
    <t>v_i2u80Y3BMYs</t>
  </si>
  <si>
    <t>Two men in work out clothes are standing up against the wall and they begin to talk about working out.</t>
  </si>
  <si>
    <t>One man is then shown and he bends down and shows the proper way to lift the bar with weight on it.</t>
  </si>
  <si>
    <t>A replay is then shown and the boy bends from the knees and then flips his wrist and brings it over his shoulder as he goes down into a squatting position.</t>
  </si>
  <si>
    <t>v_WvxwmaDFGqk</t>
  </si>
  <si>
    <t>A man is seen kneeling in a gym.</t>
  </si>
  <si>
    <t>He leans forward several times.</t>
  </si>
  <si>
    <t>He is performing slow stretching moves.</t>
  </si>
  <si>
    <t>v_xmag8UI8iws</t>
  </si>
  <si>
    <t>A person is using a leaf blower to blow leaves into a pile.</t>
  </si>
  <si>
    <t>The leaves blow up onto a hedge.</t>
  </si>
  <si>
    <t>They walk in front of a tree.</t>
  </si>
  <si>
    <t>v_N9LTq3gYmsI</t>
  </si>
  <si>
    <t>A group of people are sitting down at the top of a snow slide in a tube.</t>
  </si>
  <si>
    <t>The person holding the camera starts his journey and he is off down the slopes of snow.</t>
  </si>
  <si>
    <t>As he reaches the bottom,several black mats are placed in front of him to help slow him down.</t>
  </si>
  <si>
    <t>v_GqWH2IYPw6U</t>
  </si>
  <si>
    <t>Various shots of a city are shown followed by a girl playing violin and many other watching.</t>
  </si>
  <si>
    <t>Another girl steps in and joins her by singing and several others join in to sing as well.</t>
  </si>
  <si>
    <t>A mime walks in with fireworks while the group still sings and many around are seen laughing and smiling.</t>
  </si>
  <si>
    <t>v_MlbM7Mew0Ys</t>
  </si>
  <si>
    <t>Two men exercise inside a gym, then a man jumps rope crossing his arms and also the moving the rope on front.</t>
  </si>
  <si>
    <t>The man moves the rope with his right hand, then he moves both hands while skipping.</t>
  </si>
  <si>
    <t>Then, the man jumps crossing the arms, after he jumps normal for long time.</t>
  </si>
  <si>
    <t>Next, the a young man jumps rope raising the feet high, then he cross his the arms jumping.</t>
  </si>
  <si>
    <t>After, the young man moves the rope with the right hand, then he moves it with both hands and also moves the rope on front.</t>
  </si>
  <si>
    <t>After, the young man jumps alternate crossing the arms, skipping and moving the rope on front.</t>
  </si>
  <si>
    <t>v_hJiaSHwOkcs</t>
  </si>
  <si>
    <t>A man is sitting on top of a horse.</t>
  </si>
  <si>
    <t>He begins getting chased around the arena by a man pushing a wheelbarrow.</t>
  </si>
  <si>
    <t>The horse runs from bull in the pen.</t>
  </si>
  <si>
    <t>v_TEaugXCX1m4</t>
  </si>
  <si>
    <t>A lighthouse is shown on the beach before we see a man running with a surf board.</t>
  </si>
  <si>
    <t>The man rides a wave, then through it.</t>
  </si>
  <si>
    <t>He completes several stunts before walking onto the beach with the board under his arm.</t>
  </si>
  <si>
    <t>v_9rW35YTKYq8</t>
  </si>
  <si>
    <t>A man is shown flipping a violin in his hands, playing a popular song on his violin.</t>
  </si>
  <si>
    <t>The camera shows the violinist from various angles playing the popular song and not breaking concentration.</t>
  </si>
  <si>
    <t>The camera pans all around the player and shows him playing the complete song.</t>
  </si>
  <si>
    <t>v_hoisfXCLJDQ</t>
  </si>
  <si>
    <t>A camera zooms in on a person riding in a tube.</t>
  </si>
  <si>
    <t>More people are seen riding in tubes behind the man.</t>
  </si>
  <si>
    <t>The people continue to ride around the area down the river.</t>
  </si>
  <si>
    <t>v_mnqSG5o84NE</t>
  </si>
  <si>
    <t>A man train a boy kick box while two men watch sitting in the room.</t>
  </si>
  <si>
    <t>Then, the man stands and kick the boy who kick back then kneels.</t>
  </si>
  <si>
    <t>After, the man trains another child while showing movements.</t>
  </si>
  <si>
    <t>After, the man stands to practice kicks, then the man lye down and and hug the child who continues practicing kick box.</t>
  </si>
  <si>
    <t>v_IWuiVS3-Z7k</t>
  </si>
  <si>
    <t>People are shown walking along a beach.</t>
  </si>
  <si>
    <t>Several people in paintball gear are running through an obstacle course.</t>
  </si>
  <si>
    <t>The people shoot at each other, hiding behind the obstacles.</t>
  </si>
  <si>
    <t>The winner dances and runs across the field.</t>
  </si>
  <si>
    <t>v_nvsK9ggeics</t>
  </si>
  <si>
    <t>A young child is seen sitting behind a drum set playing the drums.</t>
  </si>
  <si>
    <t>The boy continues playing the instrument while the camera zooms in on him playing.</t>
  </si>
  <si>
    <t>v_rAuz_Pf3lp8</t>
  </si>
  <si>
    <t>A family has a picnic, and goes tubing on inflatable rafts in a narrow body of water surrounded by trees, on a rainy day.</t>
  </si>
  <si>
    <t>A family of people sit at an outdoor wooden picnic table, eating, waiving at the camera.</t>
  </si>
  <si>
    <t>The family watch the weather outdoors as it begins to rain and a little girl runs out into the rain and dances in it.</t>
  </si>
  <si>
    <t>The family then appears, floating, talking and smiling on inflatable tubes on a narrow body of water.</t>
  </si>
  <si>
    <t>The event ends and the family leaves an area bordered by a wooden fence.</t>
  </si>
  <si>
    <t>v_pxb95-aSDYo</t>
  </si>
  <si>
    <t>A man plays guitar and harmonica at the same time.</t>
  </si>
  <si>
    <t>Then, the man sings while playing the guitar.</t>
  </si>
  <si>
    <t>After, the man continues playing both the guitar and the harmonica, then sing.</t>
  </si>
  <si>
    <t>Next, the man plays the harmonica and the guitar together.</t>
  </si>
  <si>
    <t>v_48xSiJdaH2g</t>
  </si>
  <si>
    <t>The video is about Wallwik and wallpaper removal system.</t>
  </si>
  <si>
    <t>It shows a woman removing wallpaper off the wall in a convenient and easy manner.</t>
  </si>
  <si>
    <t>She is using a a scouring tool to scratch off the wallpaper from the wall.</t>
  </si>
  <si>
    <t>Then she uses a soap solution and dips the sheet in the solution.</t>
  </si>
  <si>
    <t>There's a man hanging the wet sheets on the wall.</t>
  </si>
  <si>
    <t>A woman uses a sprayer on the moist sheets and sprays it on.</t>
  </si>
  <si>
    <t>Then a man and woman begin peeling off the old wallpaper off of the wall.</t>
  </si>
  <si>
    <t>The video shows instructions on how to use the Wallwik products.</t>
  </si>
  <si>
    <t>v_y7WO-8cQfO0</t>
  </si>
  <si>
    <t>The video begins with a title sequence.</t>
  </si>
  <si>
    <t>A young man is shown in a gym performing tricks with a jump rope as music plays in the background.</t>
  </si>
  <si>
    <t>He then lays down and begins doing tricks on the floor.</t>
  </si>
  <si>
    <t>The young man gets up again and does more tricks while standing.</t>
  </si>
  <si>
    <t>At one point, his friends assist with the jump rope tricks.</t>
  </si>
  <si>
    <t>The video ends with credits showing the young man's name, along with the names of those who assisted him.</t>
  </si>
  <si>
    <t>v_74EoyLUbtgI</t>
  </si>
  <si>
    <t>A lady is seen putting wax on a mans shoes.</t>
  </si>
  <si>
    <t>We see the cloth hanging on the wall.</t>
  </si>
  <si>
    <t>We see the footprints on the platform.</t>
  </si>
  <si>
    <t>The woman rubs the mans shoes with a cloth.</t>
  </si>
  <si>
    <t>We see the cloth on the wall, then the lines of cloth near the shoes shine sign.</t>
  </si>
  <si>
    <t>A man is standing on a platform.</t>
  </si>
  <si>
    <t>We see the holographic man on the wall with the paper.</t>
  </si>
  <si>
    <t>v_D9rHZpZoeRA</t>
  </si>
  <si>
    <t>A black two door Audi A3 is shown and then the camera zooms in on the tires.</t>
  </si>
  <si>
    <t>A finger then touches the emergency light and the lights on the car begin to flash.</t>
  </si>
  <si>
    <t>Next,the truck is opened,and the person removes the spare tire and the jack.</t>
  </si>
  <si>
    <t>He then lifts the car and continues to loosen the bolts on the wheel of the car.</t>
  </si>
  <si>
    <t>Once loose,the wheel is removed and the spare is put on and the same actions are performed in reverse.</t>
  </si>
  <si>
    <t>v_kqVIHq94kgs</t>
  </si>
  <si>
    <t>A woman mixes items together in a bowl.</t>
  </si>
  <si>
    <t>She rubs that onto a wooden table.</t>
  </si>
  <si>
    <t>She laughs and puts her hands in the air.</t>
  </si>
  <si>
    <t>v_WY9zvUkK_4Y</t>
  </si>
  <si>
    <t>Two girls stand between a girl in a hair salon stool and begin brushing her and parting her hair.</t>
  </si>
  <si>
    <t>One woman braids her hair continuously to eventually create a french braid.</t>
  </si>
  <si>
    <t>Both women stand talking to the camera while presenting the braid just made.</t>
  </si>
  <si>
    <t>v_N-6-MdxRg50</t>
  </si>
  <si>
    <t>We see a colorful opening scene.</t>
  </si>
  <si>
    <t>Kids in colorful clothes walk on a stage and get in place.</t>
  </si>
  <si>
    <t>The kids perform zumba on a stage.</t>
  </si>
  <si>
    <t>The girl second from left goes the wrong direction and almost runs into another girl.</t>
  </si>
  <si>
    <t>We see an an ending screen.</t>
  </si>
  <si>
    <t>v_uFMDSiHu7g4</t>
  </si>
  <si>
    <t>A man wearing a striped shirt dances with a girl in a brown blouse at a street festival.</t>
  </si>
  <si>
    <t>Other couple join in and dance in a street festival while performers play on a stage.</t>
  </si>
  <si>
    <t>Onlookers pass by while the group continues to dance.</t>
  </si>
  <si>
    <t>v_Pu92wJ-7UTQ</t>
  </si>
  <si>
    <t>The man is strumming one drum.</t>
  </si>
  <si>
    <t>The man strum the other drum while moving his leg.</t>
  </si>
  <si>
    <t>The man play two drums at the same time.</t>
  </si>
  <si>
    <t>v_dsVvnFkGAn0</t>
  </si>
  <si>
    <t>The woman is sitting by the fireplace holding a violin.</t>
  </si>
  <si>
    <t>The woman placed the violin between her neck and shoulder and began strumming the violin with the stick.</t>
  </si>
  <si>
    <t>The lady put the violin on her lap and talked.</t>
  </si>
  <si>
    <t>v_JgHQCKz_DRc</t>
  </si>
  <si>
    <t>A man sits in a chair as he is getting his hair cut.</t>
  </si>
  <si>
    <t>A man in a black shirt moves a light around.</t>
  </si>
  <si>
    <t>People scramble behind the hair stylist.</t>
  </si>
  <si>
    <t>A hair stylist continuously combs and cuts the man's hair.</t>
  </si>
  <si>
    <t>The hair stylists rubs some pomade on the man's hair.</t>
  </si>
  <si>
    <t>The man is seen posing.</t>
  </si>
  <si>
    <t>v_DEmArEKL8gc</t>
  </si>
  <si>
    <t>A teenage female cheer leading squad walks around on a mat and get in formation.</t>
  </si>
  <si>
    <t>The routine begins in a manikin challenge and they all begin to do a flip.</t>
  </si>
  <si>
    <t>After,they do a several straddle jumps and begin thrown up in stands.</t>
  </si>
  <si>
    <t>Once the stunts are done,half of the team begins doing cart wheels and they all meet back in the middle to do stunts in the air.</t>
  </si>
  <si>
    <t>More stunts are done and the girls finish by landing in a split,they then get up and hug each other in the middle of the mat.</t>
  </si>
  <si>
    <t>v_8ikOQRbeQL8</t>
  </si>
  <si>
    <t>A woman wearing a hood and glasses is talking.</t>
  </si>
  <si>
    <t>She is holding a baton and twirling it in her hands.</t>
  </si>
  <si>
    <t>v_zzz_3yWpTXo</t>
  </si>
  <si>
    <t>A woman is seen standing behind a sink and washing dishes while speaking to the camera.</t>
  </si>
  <si>
    <t>The woman continues washing silverware while looking over to the camera and smiling.</t>
  </si>
  <si>
    <t>v_iMiKGoQ7RjE</t>
  </si>
  <si>
    <t>A man in a black hat is hitting a ball on the grass with a club.</t>
  </si>
  <si>
    <t>He continues to talk to the camera.</t>
  </si>
  <si>
    <t>He holds up a small trophy.</t>
  </si>
  <si>
    <t>v_Vjsd6Ec6eKA</t>
  </si>
  <si>
    <t>A group of people are on a field.</t>
  </si>
  <si>
    <t>They attach a camera to one of the player's heads.</t>
  </si>
  <si>
    <t>They lift each other over their heads in cheerleading stunts that can be seen from the camera's view.</t>
  </si>
  <si>
    <t>They smile and laugh as they continue to perform stunts.</t>
  </si>
  <si>
    <t>v_XnUi1SG9jxA</t>
  </si>
  <si>
    <t>A large group of people are seen standing around when several clips are shown of a man attempting to jump over a bar.</t>
  </si>
  <si>
    <t>The man completes the jump after a couple tries and is shown again in slow motion.</t>
  </si>
  <si>
    <t>The man attempts jumping higher several more times and ends up knocking the bar down each time.</t>
  </si>
  <si>
    <t>v_FeKEqUxiReA</t>
  </si>
  <si>
    <t>A woman is laughing as she jumps rope inside a gym.</t>
  </si>
  <si>
    <t>She continues jumping for a long period of time, speeding up and changing positions as men with cameras record her.</t>
  </si>
  <si>
    <t>v_BB2vrBWgXkU</t>
  </si>
  <si>
    <t>A woman wearing a leopard print shirt and a denim jacket is doing a tutorial on fake nails and how to use them.</t>
  </si>
  <si>
    <t>She is holding a packet of the fake nails in her hand as she explains the process.</t>
  </si>
  <si>
    <t>Then she demonstrates how to place the fake nails on top of her nails.</t>
  </si>
  <si>
    <t>Then she takes a nail file and files the ends of the nails to smooth it.</t>
  </si>
  <si>
    <t>She then uses some glue to glue the nails over her nails.</t>
  </si>
  <si>
    <t>Then she clips off the excess to shorten the nails, followed by filing the nails.</t>
  </si>
  <si>
    <t>She also uses some lime green nail polish and paints the nails to finish off the process and make them shiny.</t>
  </si>
  <si>
    <t>v_S6t9Lq1xKJk</t>
  </si>
  <si>
    <t>A cook is standing in front of a large stove.</t>
  </si>
  <si>
    <t>It is covered in ingredients and pans on burners.</t>
  </si>
  <si>
    <t>The man creates a giant omelette, finally flipping it onto a plate and handing it to a patron.</t>
  </si>
  <si>
    <t>v_0_xap_BBDrw</t>
  </si>
  <si>
    <t>An old man with gray hair, wearing red shirt and black pants is dribbling the ball in an indoor court, he dribbled the ball side by side, between his legs.</t>
  </si>
  <si>
    <t>He shoot the ball into the ring, then start dribbling again to side to side and between his legs, and shoot the ball into the ring.</t>
  </si>
  <si>
    <t>v_CQvmcZSfyhI</t>
  </si>
  <si>
    <t>A group of cheerleaders come from the side stage and begin smiling and waving to the crowd before settling into their formation.</t>
  </si>
  <si>
    <t>The routine begins and they start doing hurkies,throwing each other in the air and holding each other up.</t>
  </si>
  <si>
    <t>Doing the middle of the routine,half of the girls sit in the back behind the rest of the cheerleaders as they do a part of the routine.</t>
  </si>
  <si>
    <t>The routine ends and they all run across the stage with spirit fingers before leaving the stage.</t>
  </si>
  <si>
    <t>v_QdmUojrWdmE</t>
  </si>
  <si>
    <t>Music plays as surfers ride the waves.</t>
  </si>
  <si>
    <t>A few men are shown preparing to surf, prepping their board and getting dressed.</t>
  </si>
  <si>
    <t>A helicopter rides over the shoreline where the surfers are riding.</t>
  </si>
  <si>
    <t>A couple laughs together on the beach in a tent awaiting more surfing.</t>
  </si>
  <si>
    <t>A man is then shown prepping his board with surf wax.</t>
  </si>
  <si>
    <t>The crowd watches others riding waves.</t>
  </si>
  <si>
    <t>The crowd cheers multiples surfing runs on.</t>
  </si>
  <si>
    <t>Kelly Slater is featured on a successful run, followed by more clips riding the waves.</t>
  </si>
  <si>
    <t>Kelly Slater is paused mid wave to wrap up the story line.</t>
  </si>
  <si>
    <t>Music and producer credits are then shown.</t>
  </si>
  <si>
    <t>v_L2oaUDyzWPA</t>
  </si>
  <si>
    <t>We see a golden title on a black screen.</t>
  </si>
  <si>
    <t>A man is playing a harmonica as arrows point to numbers above him.</t>
  </si>
  <si>
    <t>We see another title screen and more arrows on numbers.</t>
  </si>
  <si>
    <t>The title screen returns and the man plays with the arrows above him again.</t>
  </si>
  <si>
    <t>The fourth title screen and the man plays with arrows above.</t>
  </si>
  <si>
    <t>The name shows up and the video ends.</t>
  </si>
  <si>
    <t>v_bdC2YPVHGZM</t>
  </si>
  <si>
    <t>A man puts on a helmet with a camera mounted on it.</t>
  </si>
  <si>
    <t>The man participates in a lacrosse match with the camera recording in first person perspective.</t>
  </si>
  <si>
    <t>The man makes a successful shot on goal and high fives a teammate.</t>
  </si>
  <si>
    <t>The two teams shake hands after the game.</t>
  </si>
  <si>
    <t>The man walks towards a group of people dressed in black.</t>
  </si>
  <si>
    <t>v_fny1HWXezlE</t>
  </si>
  <si>
    <t>A small child is seen climbing on a camel as well as a woman in front of him.</t>
  </si>
  <si>
    <t>A man stands the camel up on it's legs and walks around the area.</t>
  </si>
  <si>
    <t>The man continues to walk around with the camels while the camera pans to their movements.</t>
  </si>
  <si>
    <t>v_pYb8jzB5vs0</t>
  </si>
  <si>
    <t>An intro leads into a man in women sitting beside a pool and talking.</t>
  </si>
  <si>
    <t>The people are then shown underwater wearing scuba gear and teaching one another hand signals while the man speaks to the camera above the surface.</t>
  </si>
  <si>
    <t>v_kNkYgYnJTXk</t>
  </si>
  <si>
    <t>A person is seen in various shots riding around in a canoe and smiling off into the distance.</t>
  </si>
  <si>
    <t>Another person is seen sitting in a canoe and demonstrates how to properly turn around.</t>
  </si>
  <si>
    <t>The man continues moving along the water moving his paddle around while the camera captures his movements.</t>
  </si>
  <si>
    <t>v_cMeKc9mp9wI</t>
  </si>
  <si>
    <t>A group of men are riding around on horses while carry large sticks and holding them into the air.</t>
  </si>
  <si>
    <t>One man comes close to the camera man and near the crowd for a few moments.</t>
  </si>
  <si>
    <t>The man on horses go back to the stable to await their return, and eventually go back out into the ring.</t>
  </si>
  <si>
    <t>v_qbGml8XLhz8</t>
  </si>
  <si>
    <t>A man steps to the side on a lawn and begins moving his arms and legs around.</t>
  </si>
  <si>
    <t>He slowly moves his arms in various motions while stepping from side to side.</t>
  </si>
  <si>
    <t>He moves his legs up and his arms continuously following until he finishes the performance.</t>
  </si>
  <si>
    <t>v_90LkAH4tZC4</t>
  </si>
  <si>
    <t>The person in black shirt is playing drums.</t>
  </si>
  <si>
    <t>The camera zoomed in to the drums as the person continue to play.</t>
  </si>
  <si>
    <t>The camera shifted to the view looking down the drums.</t>
  </si>
  <si>
    <t>v_F9HKxxoNNSQ</t>
  </si>
  <si>
    <t>A person throw a disc with a stick, the disc arrives to a triangle on the floor where two people stand.</t>
  </si>
  <si>
    <t>Then, another disk slides on the floor to stop inside the triangle.</t>
  </si>
  <si>
    <t>After, the person throw another disc that stops inside the triangle.</t>
  </si>
  <si>
    <t>The rules oh the shuffleboard game is displayed in a board.</t>
  </si>
  <si>
    <t>v_L0jbYqV9Zaw</t>
  </si>
  <si>
    <t>Paintballs are flying at men in front of a tent.</t>
  </si>
  <si>
    <t>The men back into the tent.</t>
  </si>
  <si>
    <t>People are getting ready for the paintball competition.</t>
  </si>
  <si>
    <t>Paintballs come out of a man's mouth.</t>
  </si>
  <si>
    <t>The sun is setting.</t>
  </si>
  <si>
    <t>v_thgW2RT30qQ</t>
  </si>
  <si>
    <t>An intro leads into several clips of a person lifting heavy weights over their shoulders as well as their arms all around.</t>
  </si>
  <si>
    <t>More shots are show of athletes performing impressive stunts while looking off into the distance and people measuring their throws.</t>
  </si>
  <si>
    <t>v_NSdBL6HqlWk</t>
  </si>
  <si>
    <t>A man is playing cymbals under a bright light on a stage.</t>
  </si>
  <si>
    <t>He is joined by a woman on a bass drum.</t>
  </si>
  <si>
    <t>Then they are joined by other drummers, and a man on a huge set in the background.</t>
  </si>
  <si>
    <t>Lights flash as they perform in unison.</t>
  </si>
  <si>
    <t>v_AdFg_21LRg4</t>
  </si>
  <si>
    <t>A montage of bullfighting is being shown.</t>
  </si>
  <si>
    <t>The matador is being hit by the bull, while other matadors try to distract the bull.</t>
  </si>
  <si>
    <t>v_h4m7bYDVLAc</t>
  </si>
  <si>
    <t>A woman blindfolded in a yard and swinging away at a pinata being moved around.</t>
  </si>
  <si>
    <t>Several people around her are watches and can't help but laugh.</t>
  </si>
  <si>
    <t>The woman is laughing as well and finally hits the pinata for the children to grab.</t>
  </si>
  <si>
    <t>v_by4dS4tgkY0</t>
  </si>
  <si>
    <t>A man is talking to the camera from a parking lot.</t>
  </si>
  <si>
    <t>He runs down the street while continuing to talk.</t>
  </si>
  <si>
    <t>He runs onto several city streets, not stopping.</t>
  </si>
  <si>
    <t>v_shLUZZS9oYc</t>
  </si>
  <si>
    <t>A man is standing outside by the sidewalk cutting down a set of hedges.</t>
  </si>
  <si>
    <t>As he finishes the side,he moves to the front of the plant and continues cutting the plant down.</t>
  </si>
  <si>
    <t>Once a small portion is shown,he looks at the plant and then cuts off the item in his hand.</t>
  </si>
  <si>
    <t>v_QLJAQBUisuQ</t>
  </si>
  <si>
    <t>A man is talking to the camera.</t>
  </si>
  <si>
    <t>An Olympic field is shown with many people walking around on it.</t>
  </si>
  <si>
    <t>The man runs down a strip of track and jumps into a pile of sand.</t>
  </si>
  <si>
    <t>He has a flag wrapped around him and waves at the audience.</t>
  </si>
  <si>
    <t>v_vt81bZ6_GcQ</t>
  </si>
  <si>
    <t>People are in a pool playing water polo.</t>
  </si>
  <si>
    <t>A man in a white shirt walks along side the pool.</t>
  </si>
  <si>
    <t>A woman holding a dog is standing on a dock.</t>
  </si>
  <si>
    <t>v_KE2tDW9x9d8</t>
  </si>
  <si>
    <t>A girl is seen talking to the camera with her hand on her hip and leads into her holding up various ingredients.</t>
  </si>
  <si>
    <t>She then mixes the ingredients together on a slice of bread and creates a sandwich while pouring chips out onto the side.</t>
  </si>
  <si>
    <t>She then presents the plate while speaking to the camera and holding up various liquids.</t>
  </si>
  <si>
    <t>v_qxlVkDpdyOA</t>
  </si>
  <si>
    <t>We see two men walking and jumping on jump-stilts.</t>
  </si>
  <si>
    <t>One man jumps down the road, the the other as a man photographs them.</t>
  </si>
  <si>
    <t>A man on a bike rides past the men.</t>
  </si>
  <si>
    <t>Four bikes ride past the men.</t>
  </si>
  <si>
    <t>v_QQNW2ha8WIs</t>
  </si>
  <si>
    <t>A boy jumps on a trampoline while catching a stuffed doll on his shoulders in the air.</t>
  </si>
  <si>
    <t>The boy falls back and lands on his back on the trampoline.</t>
  </si>
  <si>
    <t>The boy jumps and catches the doll and slams it between his legs on the trampoline.</t>
  </si>
  <si>
    <t>The boy misses trying to catch the doll and falls on the trampoline.</t>
  </si>
  <si>
    <t>v_p1JSdZmztGk</t>
  </si>
  <si>
    <t>Two people are seen speaking to one another while standing on the docks as well as speak to the camera.</t>
  </si>
  <si>
    <t>The people enjoy themselves around the are by getting their hair cut, eating food, and the man preparing a boat.</t>
  </si>
  <si>
    <t>Several shots are shown of a kitchen as well as people riding on the boat and still continue to speak to the camera.</t>
  </si>
  <si>
    <t>v_x3z3dVUxmJ0</t>
  </si>
  <si>
    <t>The name of the business is shown.</t>
  </si>
  <si>
    <t>A person is braiding a client's hair.</t>
  </si>
  <si>
    <t>A person is running scissor through a braid.</t>
  </si>
  <si>
    <t>A person is applying rods to braids.</t>
  </si>
  <si>
    <t>A person is putting braids with rods into water.</t>
  </si>
  <si>
    <t>A client with reading glasses is talking.</t>
  </si>
  <si>
    <t>A client is leaving after braids are done.</t>
  </si>
  <si>
    <t>The credits of the video are shown.</t>
  </si>
  <si>
    <t>v_HhbTyPnFVIg</t>
  </si>
  <si>
    <t>A woman stand with athletic jacket in a grass covered and forested yard.</t>
  </si>
  <si>
    <t>The woman enters an open workshop area.</t>
  </si>
  <si>
    <t>Logs are stacked upright on a chopping block.</t>
  </si>
  <si>
    <t>The woman uses an an ax to split the logs in half.</t>
  </si>
  <si>
    <t>v_qCnHgcP3tM8</t>
  </si>
  <si>
    <t>Cars are driving down the highway fairly quickly.</t>
  </si>
  <si>
    <t>They stop, a man gets out and helps two women get out.</t>
  </si>
  <si>
    <t>They go into a bar and throw a ball into a girls drink starting a beer pong war.</t>
  </si>
  <si>
    <t>He wakes up in his dorm and then click on his ipad to start a beer pong championship.</t>
  </si>
  <si>
    <t>v_EwMAJPldfKs</t>
  </si>
  <si>
    <t>A young lady with a grey jacket on is standing in front of a sink lathering her hands.</t>
  </si>
  <si>
    <t>She then turns the water on and begins to rinse her hands and flex her fingers to make sure all of the soap is off.</t>
  </si>
  <si>
    <t>After that is done,she grabs a white towel,dries her hands and wipes her mouth.</t>
  </si>
  <si>
    <t>v_ikZwamRM5mo</t>
  </si>
  <si>
    <t>Several percussionists stand on a field.</t>
  </si>
  <si>
    <t>They march in place on the field.</t>
  </si>
  <si>
    <t>They are drumming in sync.</t>
  </si>
  <si>
    <t>A woman walks by with a video camera.</t>
  </si>
  <si>
    <t>v_QeVVKZhoFCg</t>
  </si>
  <si>
    <t>A girl with several facial piercings his seen rubbing lotion all over her face and powdering her cheeks and face.</t>
  </si>
  <si>
    <t>She then puts eyeliner on followed by mascara and lip liner.</t>
  </si>
  <si>
    <t>She colors in her eyebrows and puts on fake eye lashes, then rubbing some of the black off and more mascara on.</t>
  </si>
  <si>
    <t>She puts a bit of blush in her cheeks and then smiles and waves to the camera.</t>
  </si>
  <si>
    <t>v_Lo0EQXmaeXM</t>
  </si>
  <si>
    <t>The man looks at the camera and then goes back to looking somewhere else and talking.</t>
  </si>
  <si>
    <t>then the cups they're both holding that has a blue liquid in it is then put into their mouths and they both gargle until they have lots of bubbles formed in their mouths.</t>
  </si>
  <si>
    <t>v_TBeZXLchito</t>
  </si>
  <si>
    <t>People skateboard in a competition on the road while bending and holding his arms back.</t>
  </si>
  <si>
    <t>Then, a skateboarder opens his arms and signal others to advance.</t>
  </si>
  <si>
    <t>Then, the skateboarders pass on front spectators watching on side the road.</t>
  </si>
  <si>
    <t>People take picture to the skateboarders.</t>
  </si>
  <si>
    <t>A skateboarder fells on the road.</t>
  </si>
  <si>
    <t>People continues skateboarding in the road.</t>
  </si>
  <si>
    <t>v_SHS8pNOsZDU</t>
  </si>
  <si>
    <t>A group rides horses playing a game of polo on a field.</t>
  </si>
  <si>
    <t>The group fight over the ball and ride in a tight formation.</t>
  </si>
  <si>
    <t>A member on the team breaks away and rides toward the goal on his horse.</t>
  </si>
  <si>
    <t>v_yo3s6V19YtQ</t>
  </si>
  <si>
    <t>A young man is rappelling up the side of a cliff.</t>
  </si>
  <si>
    <t>Another man watches and helps from below.</t>
  </si>
  <si>
    <t>The man continues climbing until he reaches the top.</t>
  </si>
  <si>
    <t>v_tgdLeBX7aXk</t>
  </si>
  <si>
    <t>People are playing cricket together outside.</t>
  </si>
  <si>
    <t>A group of people hold up a trophy.</t>
  </si>
  <si>
    <t>People are walking around outside playing cricket.</t>
  </si>
  <si>
    <t>v_wBhtt9x74TA</t>
  </si>
  <si>
    <t>A woman is standing by a toilet in a bikini.</t>
  </si>
  <si>
    <t>A man is rubbing sunscreen onto her legs.</t>
  </si>
  <si>
    <t>She begins to rub her leg.</t>
  </si>
  <si>
    <t>v_f-aGlEjgZoE</t>
  </si>
  <si>
    <t>A woman is seen speaking to the camera while holding up various objects.</t>
  </si>
  <si>
    <t>The puts tape on he eye and begins putting eyeliner above her eye.</t>
  </si>
  <si>
    <t>She continues putting the makeup on while speaking to the camera and takes off the tape in the end.</t>
  </si>
  <si>
    <t>v_HfowLX1u38Y</t>
  </si>
  <si>
    <t>man wearing a purple shirt is holding a gas pipe.</t>
  </si>
  <si>
    <t>the man is using the pipe to light up the woodfire.</t>
  </si>
  <si>
    <t>man is standing outside a house lighting up a woodfire.</t>
  </si>
  <si>
    <t>v_UhB739uudDo</t>
  </si>
  <si>
    <t>A man is seen standing in a field with a dog while holding onto toys.</t>
  </si>
  <si>
    <t>The man then begins throwing the toys while the dog chases after them.</t>
  </si>
  <si>
    <t>The men continues to do tricks with the dog and end with a picture.</t>
  </si>
  <si>
    <t>v_WBkqGBFsdgI</t>
  </si>
  <si>
    <t>An older blonde newswoman is reading a story.</t>
  </si>
  <si>
    <t>Various pictures are shown of shuffleboard history.</t>
  </si>
  <si>
    <t>An older man is interviewed for the camera.</t>
  </si>
  <si>
    <t>Various clips of people playing shuffleboard are shown.</t>
  </si>
  <si>
    <t>The older blonde reporter ends the news story.</t>
  </si>
  <si>
    <t>v_JH31FxBZ5Xw</t>
  </si>
  <si>
    <t>Several shots of wrestlers are shown.</t>
  </si>
  <si>
    <t>They all are doing flips off the corner.</t>
  </si>
  <si>
    <t>The land on their opponent.</t>
  </si>
  <si>
    <t>They knock them down to the floor.</t>
  </si>
  <si>
    <t>v_TgDzZIop_uw</t>
  </si>
  <si>
    <t>An unseen person demonstrates how to remove and install a tire valve on a tire using a special tool.</t>
  </si>
  <si>
    <t>A pair of hands is seen yielding a metal tool over a yellow walled tire lying on a flat surface.</t>
  </si>
  <si>
    <t>The hand uses the metal curved tool to pluck the old tire valve out of its hole.</t>
  </si>
  <si>
    <t>The hand then uses a metal, black, tool to insert a new valve into the tire.</t>
  </si>
  <si>
    <t>v_PwMDJapSo70</t>
  </si>
  <si>
    <t>A person's hands are seen moving around a cat and trimming it's claws while the cat lays still and looks around.</t>
  </si>
  <si>
    <t>The person then files the nails of the cat and zooms in on the cat's belly in the end.</t>
  </si>
  <si>
    <t>v_MKmrqcoCZ-M</t>
  </si>
  <si>
    <t>A man is sitting on a black mat in a gym.</t>
  </si>
  <si>
    <t>He lays back and does crunches on the mat.</t>
  </si>
  <si>
    <t>He sits up and continues talking.</t>
  </si>
  <si>
    <t>v_kH8YpzoflKg</t>
  </si>
  <si>
    <t>A camera pans around a shirtless man sitting in the snow followed by the man snowboarding and men riding up a hill.</t>
  </si>
  <si>
    <t>Several shots are shown of people riding down the snowy hill and doing tricks in front of the camera.</t>
  </si>
  <si>
    <t>v_GffGGAwbcHo</t>
  </si>
  <si>
    <t>A caveman is seen walking a purple rock.</t>
  </si>
  <si>
    <t>He runs into a big dog and the dog eats the caveman.</t>
  </si>
  <si>
    <t>A God walks a poodle.</t>
  </si>
  <si>
    <t>A cowboy walks his dog and is shot outside a saloon.</t>
  </si>
  <si>
    <t>Chaplin is seen walking his dog.</t>
  </si>
  <si>
    <t>A hippie dog lies down on the floor and seems to be hallucinating.</t>
  </si>
  <si>
    <t>Dogs and spacecraft are seen exploring space.</t>
  </si>
  <si>
    <t>v_E3h0UHRsSQk</t>
  </si>
  <si>
    <t>A man wearing a black clothes is sharpening the knife on a stone.</t>
  </si>
  <si>
    <t>The man beside him on blue long sleeves drawing something on the table with his finger.</t>
  </si>
  <si>
    <t>The man turn the knife to sharpen the other side and then wipe it with paper towel.</t>
  </si>
  <si>
    <t>The man in navy blue shirt point to the knife while the man sharpening the knife tries to sharpen it one hand.</t>
  </si>
  <si>
    <t>He continues sharpening the knife, turn it again to further sharpen the other side and wipe it again with paper towel.</t>
  </si>
  <si>
    <t>Throws the old and dirty paper towel and reach the roll of paper towel and clean the knife.</t>
  </si>
  <si>
    <t>v_-ibmoYKRxQk</t>
  </si>
  <si>
    <t>A camera pans around a snowy area and transitions into several people in tubes down a hill.</t>
  </si>
  <si>
    <t>The people laugh while riding down the hill when one person falls off and the camera pans around the people.</t>
  </si>
  <si>
    <t>The camera shows one more shot of the people all riding down the long hill together.</t>
  </si>
  <si>
    <t>v_x2FfKHiN_3s</t>
  </si>
  <si>
    <t>A man is sitting on a frozen lake, fishing through a hole and surrounded by fishing gear.</t>
  </si>
  <si>
    <t>He walks away from his stuff, and a fish pulls his pole into the water, disappearing with it.</t>
  </si>
  <si>
    <t>He stands angrily with his hands on his hips, then gets another pole to try to get it back.</t>
  </si>
  <si>
    <t>v_UYFDYX4i2EY</t>
  </si>
  <si>
    <t>A man is standing on a stage performing different moves.</t>
  </si>
  <si>
    <t>He walks off the stage and someone else walks onto the stage.</t>
  </si>
  <si>
    <t>v_LNlGgtg70uQ</t>
  </si>
  <si>
    <t>This woman is showing her viewers how to make a Chambord Royale.</t>
  </si>
  <si>
    <t>First she fills her shaker up halfway with ice and then she adds vodka and Chambord and she puts one ounce of both of them and then she adds a little bit of pineapple juice and cranberry juice.</t>
  </si>
  <si>
    <t>Next she shakes everything up and strains the drink into the cocktail cup.</t>
  </si>
  <si>
    <t>v_59mz2Nd8GM0</t>
  </si>
  <si>
    <t>This perosn is shown making a sandwich that includes lunch meat, swiss cheese, and mayonnaise.</t>
  </si>
  <si>
    <t>He then mixes an egg and milk together and puts the sandwich into the mix.</t>
  </si>
  <si>
    <t>He puts the sandwich into a skillet that's on the stove for a little bit, and then he puts the sandwich on a white square shaped plate, which I'm guessing he ate.</t>
  </si>
  <si>
    <t>v_DU2hdNIS2WI</t>
  </si>
  <si>
    <t>A very large, muscular man is shown in a gym with a weight bar as piano music plays in the background.</t>
  </si>
  <si>
    <t>The video begins with the weight on the floor and the man getting ready to lift it.</t>
  </si>
  <si>
    <t>He lifts the weight and first brings it parallel to his shoulders.</t>
  </si>
  <si>
    <t>He then lifts it completely over his head with his arms extended.</t>
  </si>
  <si>
    <t>After leaving his arms up for several seconds, he allows the weight to fall on the ground.</t>
  </si>
  <si>
    <t>v_MSjSXzk2k50</t>
  </si>
  <si>
    <t>An intro leads into a woman pulling out a bucket and piecing together a mop.</t>
  </si>
  <si>
    <t>The camera pans around the bucket and the woman continues using the mop inside the bucket and moving around the object.</t>
  </si>
  <si>
    <t>v_HHDMFrN7vFs</t>
  </si>
  <si>
    <t>A man in a red shirt is sitting at an exercise bike.</t>
  </si>
  <si>
    <t>He is moving his legs on the pedals.</t>
  </si>
  <si>
    <t>There are other bikes next to him.</t>
  </si>
  <si>
    <t>v_DCYz8p4zH6o</t>
  </si>
  <si>
    <t>A man is seen kneeling on the floor swinging his arms back and fourth.</t>
  </si>
  <si>
    <t>Text moves across his face as he swings his arms.</t>
  </si>
  <si>
    <t>The man continues to swing his arms and ends with credits rolling.</t>
  </si>
  <si>
    <t>v_MiTIi_QYt2k</t>
  </si>
  <si>
    <t>A close up of a wooden bench is seen followed by a person mixing ingredients together.</t>
  </si>
  <si>
    <t>A person is then seen holding a rag and wiping down the bench.</t>
  </si>
  <si>
    <t>More ingredients are mixed afterwards that leads into more wiping down with the rag.</t>
  </si>
  <si>
    <t>v_56m7PcBuUFc</t>
  </si>
  <si>
    <t>A girl is pushing two little boys on a backyard swing.</t>
  </si>
  <si>
    <t>She smiles at the camera as she pushes the boys back and forth.</t>
  </si>
  <si>
    <t>v_u35hesPTsNE</t>
  </si>
  <si>
    <t>A band is seen sitting on the stage with one man playing the drums and a woman interviewing him.</t>
  </si>
  <si>
    <t>The man continues playing as the women speaks to the crowd and sings while they play.</t>
  </si>
  <si>
    <t>v_eAOBdYKju70</t>
  </si>
  <si>
    <t>Various shots are shown of horse saddles and various people riding these saddles on horses.</t>
  </si>
  <si>
    <t>A girl wraps the rope around her saddle while others practice on placed saddles.</t>
  </si>
  <si>
    <t>People ride around the saddles and show various caddie and how to ride them.</t>
  </si>
  <si>
    <t>A tourist is being interviewed on riding experience but she watched other riding and felt confident.</t>
  </si>
  <si>
    <t>A man speakers on his experience and various shots of the horses and wildlife are shown.</t>
  </si>
  <si>
    <t>v_szW1c2SGdew</t>
  </si>
  <si>
    <t>A man swings his leg in the air creating letters and we see an opening screen.</t>
  </si>
  <si>
    <t>two men are in two different rooms performing Capoeira moves.</t>
  </si>
  <si>
    <t>A man does a handstand move.</t>
  </si>
  <si>
    <t>The man does a handstand and pauses.</t>
  </si>
  <si>
    <t>We see the website on a black screen.</t>
  </si>
  <si>
    <t>We see four screens with images of men doing Capoeira.</t>
  </si>
  <si>
    <t>v_5kIl4TspdR0</t>
  </si>
  <si>
    <t>Someone is brushing their teeth with an electric toothbrush.</t>
  </si>
  <si>
    <t>They wear braces so they make sure to scrub all around very well.</t>
  </si>
  <si>
    <t>You can see the tongue moving around never really being comfortable inside of the mouth.</t>
  </si>
  <si>
    <t>The man continues to brush, toothpaste spewing down his lips a bit .</t>
  </si>
  <si>
    <t>v_eMB9L-LDK1E</t>
  </si>
  <si>
    <t>A person sprays a sink and wipes it with a towel.</t>
  </si>
  <si>
    <t>They spray a bath tub and wipe it with a towel.</t>
  </si>
  <si>
    <t>They spray a toilet and wipe it with a toilet.</t>
  </si>
  <si>
    <t>v_UUjXw1xjprU</t>
  </si>
  <si>
    <t>There are several people gathered in a skating park with skateboards.</t>
  </si>
  <si>
    <t>There a young man wearing a red hat talking about a skateboarding event at Red Bull skate Arcade.</t>
  </si>
  <si>
    <t>Several spectators are gathered in the arcade along with a panel of judges.</t>
  </si>
  <si>
    <t>Some of the participants are beating the heat by splashing water on themselves.</t>
  </si>
  <si>
    <t>The participants begin their stunts on the skateboards as they go over ramps and steep slopes.</t>
  </si>
  <si>
    <t>Several participants are showing off their stunts as spectators cheer and clap for them.</t>
  </si>
  <si>
    <t>They show off their scary yet impressive stunts as the climb up walls and steep ramps without falling.</t>
  </si>
  <si>
    <t>The crowds cheer for them and applaud them.</t>
  </si>
  <si>
    <t>The winners are awarded certificates and prizes for winning.</t>
  </si>
  <si>
    <t>v_QooDDNWaQjU</t>
  </si>
  <si>
    <t>A person throws a Frisbee for her dog for a dog to retrieve during an event on a sporting field.</t>
  </si>
  <si>
    <t>The dog catches the Frisbee and brings it back to the trainer.</t>
  </si>
  <si>
    <t>v_mvQxhjjVWOk</t>
  </si>
  <si>
    <t>There is a woman representing Jamaica participating on a long jump event.</t>
  </si>
  <si>
    <t>There is another woman doing long jump from another country.</t>
  </si>
  <si>
    <t>Several other contestant are participating in the same long jump competition.</t>
  </si>
  <si>
    <t>There are spectators watching them as they compete against each other.</t>
  </si>
  <si>
    <t>The contestant from Istanbul makes very long jump in the sand pit.</t>
  </si>
  <si>
    <t>The contestants continue competing in the sporting event.</t>
  </si>
  <si>
    <t>v_sRYDJ379UYc</t>
  </si>
  <si>
    <t>A man is seen sitting on a piece of exercise equipment with a trainer standing in front of him.</t>
  </si>
  <si>
    <t>The man then moves back and fourth on the machine while the other man helps.</t>
  </si>
  <si>
    <t>He is shown again in another clips moving and the trainer helping.</t>
  </si>
  <si>
    <t>v_w50et2-vEOQ</t>
  </si>
  <si>
    <t>We see the title and introductions screens.</t>
  </si>
  <si>
    <t>We see a boat with a man on it.</t>
  </si>
  <si>
    <t>We see people and the interior of the boat.</t>
  </si>
  <si>
    <t>The man wakeboards around a lake.</t>
  </si>
  <si>
    <t>We see the boat with people in it.</t>
  </si>
  <si>
    <t>The man pulls out the ladder and climbs on the boat then we see a boat take off, and in a show room.</t>
  </si>
  <si>
    <t>The man falls off the wakeboard 2 times.</t>
  </si>
  <si>
    <t>We see the ending title screen.</t>
  </si>
  <si>
    <t>v_WMoofjkumOs</t>
  </si>
  <si>
    <t>In the beginning the man is shown tricking the bull.</t>
  </si>
  <si>
    <t>Many other men have been shown tricking bulls in front of large crowds.</t>
  </si>
  <si>
    <t>v_TF591ByrGYk</t>
  </si>
  <si>
    <t>A young male gymnast is is an arena standing on a mat preparing to do his routine.</t>
  </si>
  <si>
    <t>The boy then approached the bars and does a series of swings and hand stand in the air.</t>
  </si>
  <si>
    <t>While he's performing,he adds several flips and rolls into his performance before finally jumping off of the bars.</t>
  </si>
  <si>
    <t>v_95pMelnv2dQ</t>
  </si>
  <si>
    <t>Men play badminton in the sand.</t>
  </si>
  <si>
    <t>A man on the left serves the birdie both men on the right miss it.</t>
  </si>
  <si>
    <t>the man on the right serves and the man on the left hits it back but it hits the net.</t>
  </si>
  <si>
    <t>A man stands on the left watching.</t>
  </si>
  <si>
    <t>v_y_HCdBEJbNE</t>
  </si>
  <si>
    <t>A man puts plaster on a base.</t>
  </si>
  <si>
    <t>The man walks over and rubs it on the ceiling.</t>
  </si>
  <si>
    <t>We see the stilts the man is walking on.</t>
  </si>
  <si>
    <t>The camera becomes wobbly and blurry.</t>
  </si>
  <si>
    <t>The man bends down to grab more plaster.</t>
  </si>
  <si>
    <t>The man smiles and the video ends.</t>
  </si>
  <si>
    <t>v_RWjCwIOuzrc</t>
  </si>
  <si>
    <t>There is a man nodding in the first frame.</t>
  </si>
  <si>
    <t>The video movies to the man putting up the wall paper by first measuring it out, lining up the pattern and putting it up on the wall.</t>
  </si>
  <si>
    <t>He then unscrews a light switch and pulls it out just a little, making some slits in the fabric or paper, then putting the light switch back over the new wall paper.</t>
  </si>
  <si>
    <t>The camera shows wall paper in a finished room, going over different rooms with different wall papers.</t>
  </si>
  <si>
    <t>The man is later seen measuring and marking the wall, rolling out more wall paper and putting it up on the wall.</t>
  </si>
  <si>
    <t>Then it shows two tables that look like they have also been wall papered.</t>
  </si>
  <si>
    <t>v__4licRHiRRs</t>
  </si>
  <si>
    <t>A text intro leads into a picture of a dog and the same dog running along the yard.</t>
  </si>
  <si>
    <t>The dog is seen in several clips chasing after a frisbee.</t>
  </si>
  <si>
    <t>A man throws the frisbee to the dog in the yard who continues chasing after him.</t>
  </si>
  <si>
    <t>v_c2-6_i1yV5E</t>
  </si>
  <si>
    <t>Individuals run with a elongated stick and use it to elevated their bodies over a heighten hurdle.</t>
  </si>
  <si>
    <t>A guy touches the back of the individual as he lifts his body.</t>
  </si>
  <si>
    <t>The guy seems like he falls backs while trying to lift his body because the clip is reversed.</t>
  </si>
  <si>
    <t>v_gDNgiybMA1s</t>
  </si>
  <si>
    <t>A camera pans up to a person standing in a kitchen and then dancing on the floor.</t>
  </si>
  <si>
    <t>The man continues to dance around while looking to the camera and singing.</t>
  </si>
  <si>
    <t>v_O4P07fipvIA</t>
  </si>
  <si>
    <t>A large group of cheerleaders are seen running into an arena cheering and beginning performing a routine with one another.</t>
  </si>
  <si>
    <t>The girls continue cheering around the stage while lifting one another up and performing tricks and pans to the audience in the end.</t>
  </si>
  <si>
    <t>v_hru57dsi0N0</t>
  </si>
  <si>
    <t>A woman is seated in a chair in a dining room.</t>
  </si>
  <si>
    <t>She shows off her bare feet and their shape.</t>
  </si>
  <si>
    <t>She then puts on and tries to lace her shoes around the swollen feet.</t>
  </si>
  <si>
    <t>v_XHMrvd3sKzE</t>
  </si>
  <si>
    <t>Two kids are climbing a rock wall.</t>
  </si>
  <si>
    <t>The adults are guiding the lines.</t>
  </si>
  <si>
    <t>The kids continue to climb.</t>
  </si>
  <si>
    <t>The one on the right will make it to the top first.</t>
  </si>
  <si>
    <t>The one on the left did not make it to the top, both hop back down the wall.</t>
  </si>
  <si>
    <t>v_mAWuiYWXmb8</t>
  </si>
  <si>
    <t>A woman and a man exercise sitting on a cardio machine.</t>
  </si>
  <si>
    <t>A woman works out sitting on a cardio machine.</t>
  </si>
  <si>
    <t>A man sits next a woman performing cardio workouts.</t>
  </si>
  <si>
    <t>v_l8NepxsCh34</t>
  </si>
  <si>
    <t>A girl is playing hopscotch on a sidewalk.</t>
  </si>
  <si>
    <t>She gets to the end and turns around to go back.</t>
  </si>
  <si>
    <t>Another girl throws a puck onto the sidewalk and starts to play hopscotch.</t>
  </si>
  <si>
    <t>v_UZ9D6DhrmDI</t>
  </si>
  <si>
    <t>A person solves a cube puzzle flipping the pieces around.</t>
  </si>
  <si>
    <t>The person solves the puzzle and show a chronometer.</t>
  </si>
  <si>
    <t>v_s9Wop4PMZaw</t>
  </si>
  <si>
    <t>Two young children are seen riding on a camel past a group of people and a man leading them along.</t>
  </si>
  <si>
    <t>The man continues to lead the camel around with the children on top and ends with them climbing down and others walking up.</t>
  </si>
  <si>
    <t>v_2N129Bw1jiQ</t>
  </si>
  <si>
    <t>Young children are seen jumping on a mat back and fourth while two older women watch them on the side.</t>
  </si>
  <si>
    <t>The boy then takes a big leap and the girl stands in front of him.</t>
  </si>
  <si>
    <t>v_ffyPN2-EDg4</t>
  </si>
  <si>
    <t>A man walks up to a snow scoop.</t>
  </si>
  <si>
    <t>The man shovels the snow on a roof while the cameraman talks.</t>
  </si>
  <si>
    <t>The man stops scooping the snow.</t>
  </si>
  <si>
    <t>v_aTrEYoCRL2k</t>
  </si>
  <si>
    <t>A man sitting in a leaf blower starts the machine and blows a large pile of leafs into the brush nearby.</t>
  </si>
  <si>
    <t>We we see the vehicle back and and go back and forth blowing the leaves.</t>
  </si>
  <si>
    <t>The cameraman stops the vehicle and gets out.</t>
  </si>
  <si>
    <t>We see the full vehicle from the front and see the field.</t>
  </si>
  <si>
    <t>v_sRgBK2_nb0I</t>
  </si>
  <si>
    <t>We see a man raise his arms and prepare to mount the pommel horse.</t>
  </si>
  <si>
    <t>The man mounts the pommel horse.</t>
  </si>
  <si>
    <t>The man does a handstand and throws his open legs over the pommel.</t>
  </si>
  <si>
    <t>The man spins around on the pommel horse.</t>
  </si>
  <si>
    <t>The man does a handstand and dismounts.</t>
  </si>
  <si>
    <t>The man raises his arms and walks away.</t>
  </si>
  <si>
    <t>The man shakes another man's hand.</t>
  </si>
  <si>
    <t>v_jnnHUCs-t3o</t>
  </si>
  <si>
    <t>Several people are playing in a public swimming pool.</t>
  </si>
  <si>
    <t>They swim in the water, playing a game with a ball.</t>
  </si>
  <si>
    <t>They hit the ball back and forth, trying to keep it from each other.</t>
  </si>
  <si>
    <t>v_m22TDwfa8go</t>
  </si>
  <si>
    <t>A woman is seen talking to the camera and presenting various liquids to the camera.</t>
  </si>
  <si>
    <t>She ready's the tip of a glass and dips the glass into sugar on a plate.</t>
  </si>
  <si>
    <t>She pours various liquids into a mixer and shakes the mixture all together.</t>
  </si>
  <si>
    <t>She pours the drink out into the glass while still speaking to the camera.</t>
  </si>
  <si>
    <t>v_Vcv9P-4Tty0</t>
  </si>
  <si>
    <t>A group of people are seen standing on a sandy field with one throwing a soccer ball to another.</t>
  </si>
  <si>
    <t>The other person scores a goal and other players jump on him and congratulate him.</t>
  </si>
  <si>
    <t>The same goal is shown several more times from different angles.</t>
  </si>
  <si>
    <t>v_3NSikmqK3Ys</t>
  </si>
  <si>
    <t>man is standing in front of a motorbike and puts a toilet lid in the black leathe seat.</t>
  </si>
  <si>
    <t>the man is driving the motorbike thorugh the street and a dog is running next to him.</t>
  </si>
  <si>
    <t>the man opens the motorbike trunk and close it.</t>
  </si>
  <si>
    <t>v_EU-IdUKbLSg</t>
  </si>
  <si>
    <t>A large group of people are seen swimming around a pool while a coach yells on the sides.</t>
  </si>
  <si>
    <t>Shots of people playing are shown when one hits the other.</t>
  </si>
  <si>
    <t>The coaches yell to one another while people still play the game.</t>
  </si>
  <si>
    <t>v_ciXArKhjAv8</t>
  </si>
  <si>
    <t>A little boy is standing eating ice cream.</t>
  </si>
  <si>
    <t>There is a dog on the floor behind him.</t>
  </si>
  <si>
    <t>He laughs and turns around.</t>
  </si>
  <si>
    <t>v_K-r_Tj7uFGw</t>
  </si>
  <si>
    <t>A girl is sitting on a large chair with two girls beside her and a man tattooing her foot.</t>
  </si>
  <si>
    <t>Another man steps into frame and the girls continue talking to each other while the artist.</t>
  </si>
  <si>
    <t>v_TOfBNYOlv8c</t>
  </si>
  <si>
    <t>A woman behind a bar is showing how to make a mixed drink.</t>
  </si>
  <si>
    <t>A series of shots appear with a person pouring alcohol into a martini glass and then the screen fades into the video title screen showing a website name, the name of the drink they are making and the person who will be making it.</t>
  </si>
  <si>
    <t>A website address is shown at the bottom of the screen.</t>
  </si>
  <si>
    <t>A girl standing behind the bar explains what ingredients she is using for the drink, the amounts she is using, and mixes them all together in a glass and presents the drink.</t>
  </si>
  <si>
    <t>The camera zooms in on the drink and fades to black to end the video.</t>
  </si>
  <si>
    <t>v_hlwSgE7Epwo</t>
  </si>
  <si>
    <t>A woman standing outside near a tennis court talking about things.</t>
  </si>
  <si>
    <t>A girl in all black with a baton practicing her moves and dances inside of the studio.</t>
  </si>
  <si>
    <t>Her coach does an interview while sitting down with her hands held together.</t>
  </si>
  <si>
    <t>The girl continues to practice by herself in the studio.</t>
  </si>
  <si>
    <t>v_O-zE1-Yw3w0</t>
  </si>
  <si>
    <t>A young girl introduces the video and explains what she will be doing to wood.</t>
  </si>
  <si>
    <t>She places a piece of bubblewrap and makes sure it covers around about half of the wood.</t>
  </si>
  <si>
    <t>She then covers the rest of the wood and walks across it like a plank.</t>
  </si>
  <si>
    <t>v_VgQ6a7oVx7g</t>
  </si>
  <si>
    <t>People are performing gymnastic stunts in front of an audience.</t>
  </si>
  <si>
    <t>A guy locks his arms around bars above his head.</t>
  </si>
  <si>
    <t>The guy swings his body while holding on to the bars.</t>
  </si>
  <si>
    <t>The guy flips off the bars and lands on his feet, claps, and begins to leave.</t>
  </si>
  <si>
    <t>A man approaches the guy clapping.</t>
  </si>
  <si>
    <t>v_21krmbuT21s</t>
  </si>
  <si>
    <t>Two gymasts are performing in front of a crowd.</t>
  </si>
  <si>
    <t>One is spinning constantly on a beam.</t>
  </si>
  <si>
    <t>The man in red mounts and begins to spin, performing several tricks.</t>
  </si>
  <si>
    <t>The man dismounts, and puts one victorious arm up into the air.</t>
  </si>
  <si>
    <t>v_STwMeZMg_aA</t>
  </si>
  <si>
    <t>A boy pulls a string of a home fitness machine while talking.</t>
  </si>
  <si>
    <t>Then, the boy falls down the floor.</t>
  </si>
  <si>
    <t>v_EmlmKZ6Gi3Y</t>
  </si>
  <si>
    <t>There's a large team of participants getting ready to do engage in a water tubing activity.</t>
  </si>
  <si>
    <t>They walk down a hilly terrain to the river.</t>
  </si>
  <si>
    <t>They get onto their tubes and begin going down the rapids.</t>
  </si>
  <si>
    <t>The participants seem very calm and happy as they wave to the camera.</t>
  </si>
  <si>
    <t>They all begin their journey down the rapids as the water starts getting more turbulent.</t>
  </si>
  <si>
    <t>They continue going along the with water current as they flow steadily through the water.</t>
  </si>
  <si>
    <t>Then they all arrive at banks of the river where the water is calm and steady flowing.</t>
  </si>
  <si>
    <t>v_hQXWnoipdFE</t>
  </si>
  <si>
    <t>The video is represented by North Face and Cliff Bar where they show mountain climbers at Yosemite National Park.</t>
  </si>
  <si>
    <t>There are several people talking about the fascination of mountain climbing.</t>
  </si>
  <si>
    <t>There are pictures of people wearing bandanas shown sitting on the mountain tops.</t>
  </si>
  <si>
    <t>There's a man who is mountain climbing on a steep slope.</t>
  </si>
  <si>
    <t>Another man takes a leap from the top of mountain in an attempt to bungee jump from that height.</t>
  </si>
  <si>
    <t>v_pHZogKGkc9o</t>
  </si>
  <si>
    <t>A group of young boys are inside a basketball court.</t>
  </si>
  <si>
    <t>They play a game while the coach cheers them on and instructs them.</t>
  </si>
  <si>
    <t>Some of the boys watch from the sidelines, waiting for their turn.</t>
  </si>
  <si>
    <t>v_9V7cMp_w1_0</t>
  </si>
  <si>
    <t>Winter scenes with vehicles and heavy snow are shown.</t>
  </si>
  <si>
    <t>Scenes from the interior of an airport are shown, with people walking around or waiting.</t>
  </si>
  <si>
    <t>A woman talks to the camera.</t>
  </si>
  <si>
    <t>A man cleans snow off a car.</t>
  </si>
  <si>
    <t>More scenes from a winter storm are shown.</t>
  </si>
  <si>
    <t>Scenes of people cleaning snow off their vehicles are shown.</t>
  </si>
  <si>
    <t>A different woman talks to the camera.</t>
  </si>
  <si>
    <t>A car drives away from the camera.</t>
  </si>
  <si>
    <t>Two people talk to the camera.</t>
  </si>
  <si>
    <t>A truck drives away from the camera.</t>
  </si>
  <si>
    <t>v_NOxiMgQMeuk</t>
  </si>
  <si>
    <t>A woman is shown with a paintbrush and a piece of canvas.</t>
  </si>
  <si>
    <t>She uses green paint to fill in a drawing of a plant.</t>
  </si>
  <si>
    <t>She goes around in circles, painting the image.</t>
  </si>
  <si>
    <t>v_6tveUnZe7WA</t>
  </si>
  <si>
    <t>A white male is dressed outside in a Scotland uniform standing outside in the middle of a cemetery.</t>
  </si>
  <si>
    <t>As he is standing,he plays the bag pipes with the American Flag hanging down from them.</t>
  </si>
  <si>
    <t>When he is finished,he begins to look to his right,shakes his head,catches his breath and keeps playing.</t>
  </si>
  <si>
    <t>v_jzDXtd0__DM</t>
  </si>
  <si>
    <t>A close up of a sign is seen followed by a young couple looking to the camera.</t>
  </si>
  <si>
    <t>Other people are seen standing on the side and watching the other two.</t>
  </si>
  <si>
    <t>The coupe hold on and then jump off the side while the others stand and watch.</t>
  </si>
  <si>
    <t>v_i5jZVSzLbYQ</t>
  </si>
  <si>
    <t>A person is seen performing various flips and tricks in front of audience and leads into a young boy standing in the middle.</t>
  </si>
  <si>
    <t>The boy and man then battle against one another doing several tricks and ends with the an holding the boy's arm.</t>
  </si>
  <si>
    <t>He then claps to the boy and several people on the side clap.</t>
  </si>
  <si>
    <t>v_vX8L1RcZ4cc</t>
  </si>
  <si>
    <t>A little boy doing karate is yelling commands.</t>
  </si>
  <si>
    <t>He starts to do some of his karate moves, moving all around the court.</t>
  </si>
  <si>
    <t>He is a blue belt being judged for his skills.</t>
  </si>
  <si>
    <t>He bows gracefully before walking off and the judges throw up their flags.</t>
  </si>
  <si>
    <t>v_3TbZ7uSYUe8</t>
  </si>
  <si>
    <t>A group of men are standing on a diving board and they take terms jumping off of the diving board.</t>
  </si>
  <si>
    <t>As the last person jumps off the board,a group of men are shown walking across the pool.</t>
  </si>
  <si>
    <t>v_FhbsTTHT2Zs</t>
  </si>
  <si>
    <t>A woman with blonde hair,a purple jacket and black gloves on is standing near a stable talking.</t>
  </si>
  <si>
    <t>As she continues talking,her saddle is shown and she begins talking about the specifics of it.</t>
  </si>
  <si>
    <t>The lady then puts it on the horse and begins rubbing certain parts of it to make sure it is secure.</t>
  </si>
  <si>
    <t>v_xld0M1MXNiE</t>
  </si>
  <si>
    <t>A close up of a globe is shown with a person pointing a hookah at it.</t>
  </si>
  <si>
    <t>The man is then seen looking closely to the camera.</t>
  </si>
  <si>
    <t>He finally blows smoke rings out of his mouth.</t>
  </si>
  <si>
    <t>v_0SmA1cGocz4</t>
  </si>
  <si>
    <t>The word curling appears on the screen numerous times.</t>
  </si>
  <si>
    <t>A woman is shown having her hair dried, brushed, and curled by a specialist.</t>
  </si>
  <si>
    <t>He places her hair is rollers, then takes them down and styles it.</t>
  </si>
  <si>
    <t>Then she poses with her new hair style.</t>
  </si>
  <si>
    <t>v_py4ekPd5G_k</t>
  </si>
  <si>
    <t>Several shots of a building are shown as well as a lake surrounded by trees.</t>
  </si>
  <si>
    <t>Many people are seen riding canoes and a person's feet and legs are shown.</t>
  </si>
  <si>
    <t>The people ride down the river while the camera pans in more landscapes and trees.</t>
  </si>
  <si>
    <t>v_5IkU9svJFRI</t>
  </si>
  <si>
    <t>We see a boy squatting in the dirt.</t>
  </si>
  <si>
    <t>We then see the title screen.</t>
  </si>
  <si>
    <t>The little boy attempts to make a campfire using a flint.</t>
  </si>
  <si>
    <t>Small flames start and grow.</t>
  </si>
  <si>
    <t>The boy stands up next to his fire.</t>
  </si>
  <si>
    <t>We see 2 title cards about starting fires for survival and the website is show before the end screens.</t>
  </si>
  <si>
    <t>v_3YiGMRp-7B4</t>
  </si>
  <si>
    <t>A group of people are standing in a parking lot.</t>
  </si>
  <si>
    <t>The people move in several martial arts techniques.</t>
  </si>
  <si>
    <t>They kick and punch back and forth.</t>
  </si>
  <si>
    <t>v_kfW5sm39ZYE</t>
  </si>
  <si>
    <t>We see a flat tire on a car.</t>
  </si>
  <si>
    <t>the owner takes out the spare tire and tools.</t>
  </si>
  <si>
    <t>The person jacks up the car.</t>
  </si>
  <si>
    <t>The person puts their hand under the raised tire.</t>
  </si>
  <si>
    <t>The man takes off the bad tire.</t>
  </si>
  <si>
    <t>The man shows a screw in his tire.</t>
  </si>
  <si>
    <t>The man puts the spare tire on.</t>
  </si>
  <si>
    <t>The man lowers the car on the spare.</t>
  </si>
  <si>
    <t>v_WGzUnE043iA</t>
  </si>
  <si>
    <t>A man in a canoe talks and paddles in a lake surrounded by large rocks, trees, foliage, stray kayaks, and other people in canoes.</t>
  </si>
  <si>
    <t>The man begins at a profile view holding a paddle while sitting in a canoe and talking to a camera occasionally pointing to a nearby shore with the paddle.</t>
  </si>
  <si>
    <t>The man then uses the paddle in the water to push the canoe off deeper into the water.</t>
  </si>
  <si>
    <t>The man begins to paddle freely in the water, passing along the way, a group of people on a canoe and several stray canoes and kayaks in the water, before facing the camera again in a close up and talking.</t>
  </si>
  <si>
    <t>v_aDDq5ofaFHI</t>
  </si>
  <si>
    <t>White words appear on the screen and say "THE AMERICAN DREAM" and a man wearing a helmet jumps onto the dirt hill path and continues to walk down, grabs his skateboard and begins skating on the road at the end of the hill of a very scenic area.</t>
  </si>
  <si>
    <t>The man is now skating in a road in a residential area where he passes many homes with cars parked on the roads.</t>
  </si>
  <si>
    <t>The man continues to skate through residential areas, water edges along parks, harbors, cities and etcetera.</t>
  </si>
  <si>
    <t>The man ends with a walk along a rocky beach and carrying his skateboard on his right shoulder.</t>
  </si>
  <si>
    <t>v_Jo3R272P8eM</t>
  </si>
  <si>
    <t>A woman is holding a microphone standing outside a room.</t>
  </si>
  <si>
    <t>People are playing wall ball in the room.</t>
  </si>
  <si>
    <t>The woman is holding a piece of paper.</t>
  </si>
  <si>
    <t>v_SCGQIhvDcIo</t>
  </si>
  <si>
    <t>The "LLumar" logo appears on screen.</t>
  </si>
  <si>
    <t>A young girl with a pool cue walks to a pool table, the camera focuses on her low cut top.</t>
  </si>
  <si>
    <t>Several women play pool at the table in revealing clothing.</t>
  </si>
  <si>
    <t>The "LLumar" logo reappears on screen.</t>
  </si>
  <si>
    <t>v_hsJJbTqSQR4</t>
  </si>
  <si>
    <t>A young girl is seen standing on a tennis court holding a racket.</t>
  </si>
  <si>
    <t>The woman begins swinging the racket while another boy stands beside her.</t>
  </si>
  <si>
    <t>The woman continues swinging and walks back to the boy.</t>
  </si>
  <si>
    <t>v_w-6Oo3bgms4</t>
  </si>
  <si>
    <t>Several men are playing soccer in a gym.</t>
  </si>
  <si>
    <t>There are some spectators in the background.</t>
  </si>
  <si>
    <t>Another group of men are playing soccer.</t>
  </si>
  <si>
    <t>There are spectators in the background.</t>
  </si>
  <si>
    <t>Various scenes of soccer matches are shown with spectators.</t>
  </si>
  <si>
    <t>v_Y8WY_c3onSY</t>
  </si>
  <si>
    <t>A couple girls are seen riding down a long slide in the middle of a park.</t>
  </si>
  <si>
    <t>More children ride down the slide while a mother helps the kids at the top.</t>
  </si>
  <si>
    <t>v_u3B3M17akWU</t>
  </si>
  <si>
    <t>A woman is seen sitting down holding an ice cream while looking at the camera.</t>
  </si>
  <si>
    <t>She continues to eat the ice cream as the camera pans around her and watching her eat.</t>
  </si>
  <si>
    <t>v_-G8N5FxjZbw</t>
  </si>
  <si>
    <t>A man is seen playing a set of bagpipes while people behind him push around bicycles.</t>
  </si>
  <si>
    <t>He is seen playing again while more people walk in and out of frame with children and dogs.</t>
  </si>
  <si>
    <t>Some people stop to hear him play and he stops to look to the camera.</t>
  </si>
  <si>
    <t>v_gXKGS1N3zuM</t>
  </si>
  <si>
    <t>A belly dancer dressed in red and black is demonstrating how to hip circles and shimmy.</t>
  </si>
  <si>
    <t>She is standing with her feet hip width apart.</t>
  </si>
  <si>
    <t>Then she shows how to do the foot work as she moves her hips in circles.</t>
  </si>
  <si>
    <t>She simultaneously moves her hips and as she moves sideways.</t>
  </si>
  <si>
    <t>Then she extends her hands and up on one side as she continues to move along sideways.</t>
  </si>
  <si>
    <t>She repeats the steps going back and forth as she twirls her hips.</t>
  </si>
  <si>
    <t>v_SQncxXAlBFE</t>
  </si>
  <si>
    <t>A woman body builder slowly lifts a giant barbell of weights up into the air.</t>
  </si>
  <si>
    <t>She lifts it to her chest, Then over her head before freezing in place.</t>
  </si>
  <si>
    <t>v_qHU7T2LBToI</t>
  </si>
  <si>
    <t>A cheerleading team performs on a blue mat.</t>
  </si>
  <si>
    <t>They dance and tumble during their routine.</t>
  </si>
  <si>
    <t>v_MBouLt-hXDU</t>
  </si>
  <si>
    <t>Cake chemistry explaining how to do a at home experiment, They give all the ingredients needed and begin to explain what they will be doing.</t>
  </si>
  <si>
    <t>The start to give step by step instructions on how to mix the ingredients together.</t>
  </si>
  <si>
    <t>They give very detailed information about what to do before putting them in the oven.</t>
  </si>
  <si>
    <t>Once, they come out of the oven they explain the difference between all of the cakes and the different ingredients they did not put in each to see why the results were different.</t>
  </si>
  <si>
    <t>v_rbDbXXqaZaM</t>
  </si>
  <si>
    <t>A man drives a mowing machine to cut the grass of a backyard.</t>
  </si>
  <si>
    <t>The man pass on front the home to continues mowing the other parts of the yard.</t>
  </si>
  <si>
    <t>v_iyGve9RCjV4</t>
  </si>
  <si>
    <t>Two people are seen performing various martial arts with one another while a large group of people watch on the sides.</t>
  </si>
  <si>
    <t>More people stand in the middle and perform with one another and ends with people moving around and grabbing one another.</t>
  </si>
  <si>
    <t>v_fynO9wmckLA</t>
  </si>
  <si>
    <t>Two young men are standing indoors, talking to the camera.</t>
  </si>
  <si>
    <t>They demonstrate how they run on a track, and do a long jump into sand.</t>
  </si>
  <si>
    <t>v_pmPEfkb8roQ</t>
  </si>
  <si>
    <t>A fence in front of a house is shown.</t>
  </si>
  <si>
    <t>A man wearing white starts painting the fence.</t>
  </si>
  <si>
    <t>v_0MtST08F2Xc</t>
  </si>
  <si>
    <t>A person in blue pants is raking some fallen leaves from the ground.</t>
  </si>
  <si>
    <t>There is a black dog and a white dog jumping around the person raking the leaves.</t>
  </si>
  <si>
    <t>The white dog is trying to bite off the rake.</t>
  </si>
  <si>
    <t>Both the dogs are playing around the man raking the leaves, trying to bite the rake.</t>
  </si>
  <si>
    <t>The person is moving the rake in circles as the dogs are jumping around him.</t>
  </si>
  <si>
    <t>v_AEH6JEd_03c</t>
  </si>
  <si>
    <t>A butterfly is flying on the screen with words on slides.</t>
  </si>
  <si>
    <t>A person is mixing ingredients in a bowl.</t>
  </si>
  <si>
    <t>They spoon the dough onto a cookie sheet.</t>
  </si>
  <si>
    <t>Bakes cookies are shown stacked up on a plate.</t>
  </si>
  <si>
    <t>v_P6lwZ6gKvUw</t>
  </si>
  <si>
    <t>A person is seen sitting in a chair and leads into her peeling a potato with a knife.</t>
  </si>
  <si>
    <t>The person then finishes peeling the potatoes and putting it down.</t>
  </si>
  <si>
    <t>v_JV4ss42WZG8</t>
  </si>
  <si>
    <t>A person is seen cutting up various fruits while also seen speaking to the camera.</t>
  </si>
  <si>
    <t>The person mixes various ingredients into a container of water.</t>
  </si>
  <si>
    <t>The person spins around the container in the end.</t>
  </si>
  <si>
    <t>v_vw64k9rIi_g</t>
  </si>
  <si>
    <t>A person's hand washes a grey cat in a white tub of water.</t>
  </si>
  <si>
    <t>A grey cat is sitting in a white tub of clear water, drenched in water.</t>
  </si>
  <si>
    <t>A hand with a tattoo appears and wipes the cat's back with a red cloth.</t>
  </si>
  <si>
    <t>The hand then wipes the cat's neck and the back of its head with the red cloth.</t>
  </si>
  <si>
    <t>The hand, finally, lets the red cloth fall into the water as the hand holds itself up to the cat's nose.</t>
  </si>
  <si>
    <t>v_heLlfK--Bx0</t>
  </si>
  <si>
    <t>A girl is standing with her back turned on a court.</t>
  </si>
  <si>
    <t>She turns, accidentally dropping a rope.</t>
  </si>
  <si>
    <t>She then performs, spinning and jumping with the rope.</t>
  </si>
  <si>
    <t>v_BvACPvbUq1k</t>
  </si>
  <si>
    <t>A person is seen shoveling up some snow with the camera laid on his head.</t>
  </si>
  <si>
    <t>He shows several shots of him shoveling up the snow, a close up of his face, and panning around the area.</t>
  </si>
  <si>
    <t>v_Gpocjp7hSzU</t>
  </si>
  <si>
    <t>A chef shows all the ingredients to do pasta.</t>
  </si>
  <si>
    <t>Then, the chef puts the pasta in hot water, then pours oil in a pan.</t>
  </si>
  <si>
    <t>Next, the chef adds to the pan the garlic, tomatoes, basil, salt, pepper and the cooked pasta and mix.</t>
  </si>
  <si>
    <t>After, the chef adds the parmesan cheese on top the pasta and serves in a dish.</t>
  </si>
  <si>
    <t>The chef put cheese and two green leaves on top the pasta in the dish.</t>
  </si>
  <si>
    <t>v__TeU8A-CGbU</t>
  </si>
  <si>
    <t>A person install a carpet using a machine.</t>
  </si>
  <si>
    <t>The person cuts a piece of stained carpet.</t>
  </si>
  <si>
    <t>Then, the person replace with a new piece and bush.</t>
  </si>
  <si>
    <t>v_cByxAZfw_hM</t>
  </si>
  <si>
    <t>man is running in a race track and make a long jump while people in stands is watching him an clapping.</t>
  </si>
  <si>
    <t>people on side of the racetrack is sitting on a side.</t>
  </si>
  <si>
    <t>v_TGVWaA_xTGE</t>
  </si>
  <si>
    <t>A woman is seen sitting behind a set of bongo drums and playing along while speaking to the camera.</t>
  </si>
  <si>
    <t>The woman continues hitting the drums while speaking to the camera and singing along.</t>
  </si>
  <si>
    <t>v_vvdmMyyAtN0</t>
  </si>
  <si>
    <t>A woman is lying on a bed with her hair spread.</t>
  </si>
  <si>
    <t>There are several images of her from behind with very long hair.</t>
  </si>
  <si>
    <t>We then see numerous images of her with her hair cut off to shoulder length.</t>
  </si>
  <si>
    <t>v_VJyNbaAz6Xs</t>
  </si>
  <si>
    <t>A man in a red coat is outside on a snowboard.</t>
  </si>
  <si>
    <t>He starts going down a course and doing some really cool tricks while moving.</t>
  </si>
  <si>
    <t>Some men are rubbing down their boards and another gets on the field and starts doing some flips and stuff in mid air.</t>
  </si>
  <si>
    <t>These are all pretty experienced people on the boards, they are even boarding through water and having a good time.</t>
  </si>
  <si>
    <t>v_lroya8XhuPs</t>
  </si>
  <si>
    <t>woman is standing talking to the camera holding a microphone and interviewing voleyball players.</t>
  </si>
  <si>
    <t>men are standing in a sandy field being interviewed.</t>
  </si>
  <si>
    <t>men are in sandy field showing he girl how to play beach soccer.</t>
  </si>
  <si>
    <t>woman is sin front of the net talking to the camera.</t>
  </si>
  <si>
    <t>v_dWPlarw_xg8</t>
  </si>
  <si>
    <t>A man gets pumped up to do a long jump then does it.</t>
  </si>
  <si>
    <t>Others go next and try to get the crowd pumped up for their respective long jumps.</t>
  </si>
  <si>
    <t>v_q-RNYziOHjE</t>
  </si>
  <si>
    <t>A black female is talking to the screen with long blonde curly hair and a black sweater.</t>
  </si>
  <si>
    <t>A blow dryer is shown and the lady then begins drying a girl's hair.</t>
  </si>
  <si>
    <t>The girls hair is then shown extremely curly and the young lady has trouble drying her hair.</t>
  </si>
  <si>
    <t>The Red by Kiss blow dryer is shown again and the lady continues drying the young lady's hair.</t>
  </si>
  <si>
    <t>v_Cjq9wf9XnX0</t>
  </si>
  <si>
    <t>man is putting the lifts on a pole.</t>
  </si>
  <si>
    <t>man is standing in middle of a room in a gym lifting weight.</t>
  </si>
  <si>
    <t>a lot of different lifts are stacked in the gym.</t>
  </si>
  <si>
    <t>v_ffWMjZCysO0</t>
  </si>
  <si>
    <t>A person is seen running along the road wearing equipment and speaking to the camera.</t>
  </si>
  <si>
    <t>The man runs around using strings as well as speaking to the camera.</t>
  </si>
  <si>
    <t>The man continues speaking while more shots are shown of him running.</t>
  </si>
  <si>
    <t>v_NttjvRpSdsI</t>
  </si>
  <si>
    <t>People are sitting in stands watching people.</t>
  </si>
  <si>
    <t>The people are in robes.</t>
  </si>
  <si>
    <t>They are doing karate moves on the floor.</t>
  </si>
  <si>
    <t>v_XCXcwMyrqYM</t>
  </si>
  <si>
    <t>A man talks about a bow he is using in front of an open field.</t>
  </si>
  <si>
    <t>The man shows how to use the bow by hitting a target in the field.</t>
  </si>
  <si>
    <t>Several vehicles drive down a road behind the field.</t>
  </si>
  <si>
    <t>Cows graze behind the road.</t>
  </si>
  <si>
    <t>The man hits his last target and walks away.</t>
  </si>
  <si>
    <t>v_JnYteBN2LDI</t>
  </si>
  <si>
    <t>A male bartender stands behind a bar in front of drinks and mixing cups.</t>
  </si>
  <si>
    <t>The man picks up a steel sup and pours its contents of ice into a glass he holds in opposite hand.</t>
  </si>
  <si>
    <t>The man then picks up a small steel shot glass and fills it with liquir.</t>
  </si>
  <si>
    <t>The man then pours the liquir into from the shot glass into the glass cup with ice.</t>
  </si>
  <si>
    <t>The man picks up another glass with red juice inside and pours it into the glass with ice before setting back down.</t>
  </si>
  <si>
    <t>The man pours the cup with all the liquids into a mixing cup then uses it to cap and shake the mixer.</t>
  </si>
  <si>
    <t>The man stops shaking and sepperates the two cups, setting them back on the counter.</t>
  </si>
  <si>
    <t>The man grabs a third empty glass and moves it to the opposite side of the counter.</t>
  </si>
  <si>
    <t>The man picks up the mixer and pours its contents into the empty glass before setting it back down.</t>
  </si>
  <si>
    <t>The man then adds a staw and miniature umbrella into the drink for decoration before holding up the glass.</t>
  </si>
  <si>
    <t>v_NsYBZUTzgDw</t>
  </si>
  <si>
    <t>A woman lifts up a cat from the table and sits down with it in her lap.</t>
  </si>
  <si>
    <t>The woman uses trimming scissors to cut the cats claws.</t>
  </si>
  <si>
    <t>v_43j1BAyP6Q0</t>
  </si>
  <si>
    <t>An unseen person navigates several Amazon dot com pages on exercise equipment.</t>
  </si>
  <si>
    <t>An Amazon page showing an exercise machine alone is shown, followed by another image of a Amazon page showing a woman using an exercise machine along with a price and information about the equipment.</t>
  </si>
  <si>
    <t>Another page showing a eliptical trainer is shown in which an active computer mouse is navigating the review for the item at which point another model elliptical trainer on another page is shown.</t>
  </si>
  <si>
    <t>v_HeHQxObROwQ</t>
  </si>
  <si>
    <t>A woman is spreading shaving cream on another woman's legs.</t>
  </si>
  <si>
    <t>She puts her hands under water and begins to shave the woman's legs for her.</t>
  </si>
  <si>
    <t>She starts from bottom to top of the leg and continues that motion.</t>
  </si>
  <si>
    <t>The video is very unsteady, but the woman continues to shave her friends leg.</t>
  </si>
  <si>
    <t>v_tjuYS-6UC_M</t>
  </si>
  <si>
    <t>A pinata hangs from a tree, as a group of girls stand in front of it.</t>
  </si>
  <si>
    <t>One has a stick and is blindfolded.</t>
  </si>
  <si>
    <t>She hits the pinata, then walks away.</t>
  </si>
  <si>
    <t>v_MGF7I9aCPPM</t>
  </si>
  <si>
    <t>A woman in a pink shirt is riding a cycle bike.</t>
  </si>
  <si>
    <t>She is then doing push ups on the ground.</t>
  </si>
  <si>
    <t>She does sit ups on the ground.</t>
  </si>
  <si>
    <t>v_NnEUVHhtLZs</t>
  </si>
  <si>
    <t>a man is seated, talking to a talk show host.</t>
  </si>
  <si>
    <t>They are animated as they speak to one another.</t>
  </si>
  <si>
    <t>They continue talking, then the host presents the man with a gift.</t>
  </si>
  <si>
    <t>v_zCI36lTmBqY</t>
  </si>
  <si>
    <t>A man is sitting inside on a chair inhaling from a pipe that looked like it was an oboe.</t>
  </si>
  <si>
    <t>He takes the hose out of his mouth and start to exhale forming O's in the air.</t>
  </si>
  <si>
    <t>He starts to blow his smoke in a container and makes some really cool circles i have never seen anything like it.</t>
  </si>
  <si>
    <t>It's pretty cool how he is forming the o's, just relaxing and enjoy simple fun.</t>
  </si>
  <si>
    <t>v_LmWcpkqUurg</t>
  </si>
  <si>
    <t>A man stands at the front of his minivan and shows it.</t>
  </si>
  <si>
    <t>The man leans on the tailgate of his van and shows storage cargo features inside.</t>
  </si>
  <si>
    <t>The man assembles together poles.</t>
  </si>
  <si>
    <t>The man sits in the drivers seat of the van and places the rod frame into a socket and twists it around.</t>
  </si>
  <si>
    <t>The man adjusts the rod and reaches under the van to remove a spare tire.</t>
  </si>
  <si>
    <t>The man removes the spare tire from its enclosure.</t>
  </si>
  <si>
    <t>The man works on installing the new tire.</t>
  </si>
  <si>
    <t>v_Si4_ER4lUME</t>
  </si>
  <si>
    <t>A young woman is seen sitting in a kayak looking to the camera.</t>
  </si>
  <si>
    <t>The girl then begins moving the paddle back and fourth.</t>
  </si>
  <si>
    <t>She pauses her paddling to laugh off into the distance.</t>
  </si>
  <si>
    <t>v_t8_XO-nWaYg</t>
  </si>
  <si>
    <t>There are two teenage boys playing and solving the Rubic's cube.</t>
  </si>
  <si>
    <t>Another small boy comes in there and takes a look at the camera.</t>
  </si>
  <si>
    <t>The teenagers are competing against each other to solve the cube.</t>
  </si>
  <si>
    <t>They both finish almost at the same time and solve the Rubic's cube.</t>
  </si>
  <si>
    <t>They proudly show off their skills in the camera.</t>
  </si>
  <si>
    <t>v_EhxFw5Eb1VE</t>
  </si>
  <si>
    <t>The male athlete is standing by the two poles, raised his arms up, then jumped on the poles with his arms, while under him, a man pull out a red beam.</t>
  </si>
  <si>
    <t>The athlete perform his exhibition on the poles, he stand on his arms while his feet and legs are extended straight up in the air, he turns around, swirl, jumped and twist around then jumped on the mat, standing straight.</t>
  </si>
  <si>
    <t>v_1BfYAuxv6Wk</t>
  </si>
  <si>
    <t>Maria is demonstrating how to make a Nyquil cocktail drink.</t>
  </si>
  <si>
    <t>She shows the ingredients required for the drink.</t>
  </si>
  <si>
    <t>She points to vodka, jagermeister and food coloring.</t>
  </si>
  <si>
    <t>She then takes a shaker and pours and vodka and the jagermeister.</t>
  </si>
  <si>
    <t>Then adds some ice in it and shakes it.</t>
  </si>
  <si>
    <t>She uses a strainer to strain the drink into a cocktail glass and places the glass on the table.</t>
  </si>
  <si>
    <t>v_ueDoskgg2yw</t>
  </si>
  <si>
    <t>There are some men shaving with Gillette shaving gel.</t>
  </si>
  <si>
    <t>There's a model whose face is completely lathered with shaving gel and he is using a blue razor to shave his face.</t>
  </si>
  <si>
    <t>Another male model also has his entire face lathered with shaving gel.</t>
  </si>
  <si>
    <t>He is also shaving his face with a blue razor.</t>
  </si>
  <si>
    <t>He shaves his cheeks and mustache area.</t>
  </si>
  <si>
    <t>He pumps out a small amount gel on his hands.</t>
  </si>
  <si>
    <t>Then shows the difference between regular foam cream and gel shaving cream and continues having.</t>
  </si>
  <si>
    <t>He then poses with a lady model who touches his face to feel his smooth skin.</t>
  </si>
  <si>
    <t>The entire Gillette shaving set is shown.</t>
  </si>
  <si>
    <t>v_sgwg1C3i-Vw</t>
  </si>
  <si>
    <t>An introduction for a canoe sporting brand appears on the screen.</t>
  </si>
  <si>
    <t>Several people are shown preparing to get their canoes into the water on a snowy day.</t>
  </si>
  <si>
    <t>Several other people get off of a bus and head toward the water.</t>
  </si>
  <si>
    <t>People are then shown doing several canoe an skiing training exercises.</t>
  </si>
  <si>
    <t>Then, in the water, people are shown canoeing and having fun.</t>
  </si>
  <si>
    <t>The video ends with the canoesport website displayed.</t>
  </si>
  <si>
    <t>v_v4KygkYPdp0</t>
  </si>
  <si>
    <t>The credits of the clip are shown.</t>
  </si>
  <si>
    <t>A person rests his hands on the top of drums.</t>
  </si>
  <si>
    <t>The person is playing the drums.</t>
  </si>
  <si>
    <t>The person claps their hands.</t>
  </si>
  <si>
    <t>The person puts his fingers together.</t>
  </si>
  <si>
    <t>v_2dFLbFsFyuY</t>
  </si>
  <si>
    <t>A woman holds a yellow ball behind her neck.</t>
  </si>
  <si>
    <t>She turns around and launches the ball onto a field.</t>
  </si>
  <si>
    <t>People run to measure the distance.</t>
  </si>
  <si>
    <t>A man in a red shirt holds a ball behind his neck.</t>
  </si>
  <si>
    <t>He turns around and launches the ball on the field.</t>
  </si>
  <si>
    <t>People run to measure the distance of it.</t>
  </si>
  <si>
    <t>Another woman holds a ball behind her neck.</t>
  </si>
  <si>
    <t>She also turns around and launches the ball onto the field.</t>
  </si>
  <si>
    <t>People then run over to measure the distance.</t>
  </si>
  <si>
    <t>She waves at the crowd.</t>
  </si>
  <si>
    <t>She then throws the ball again.</t>
  </si>
  <si>
    <t>The results then flash on the screen.</t>
  </si>
  <si>
    <t>v_zDPsJ3ECaTI</t>
  </si>
  <si>
    <t>An intro starts and begins showing a group of people.</t>
  </si>
  <si>
    <t>Various people perform a dance routine together with an instructor performing front and center.</t>
  </si>
  <si>
    <t>The routine continues with the people and instructor moving around with their arms and legs doing various movements to music.</t>
  </si>
  <si>
    <t>v_t3zAh4NBVko</t>
  </si>
  <si>
    <t>A boy and a girl are sitting behind a table.</t>
  </si>
  <si>
    <t>They begin to arm wrestle on the table.</t>
  </si>
  <si>
    <t>The man wins and smiles.</t>
  </si>
  <si>
    <t>v_mn1ozn0j7D8</t>
  </si>
  <si>
    <t>We see a couple opening title screens.</t>
  </si>
  <si>
    <t>A man is shaving with a straight razor.</t>
  </si>
  <si>
    <t>We see the man behind him and the men hug and talk.</t>
  </si>
  <si>
    <t>The man returns to shaving his face.</t>
  </si>
  <si>
    <t>We see the man in the rear again.</t>
  </si>
  <si>
    <t>The shaving man talks and we see the ending title screens.</t>
  </si>
  <si>
    <t>v_oG4zf8dAQKw</t>
  </si>
  <si>
    <t>A close up of products are shown followed by a woman open the package in front of a mirror.</t>
  </si>
  <si>
    <t>The woman puts the package into her mouth, swishes it around, then spits it out.</t>
  </si>
  <si>
    <t>v_OBbHkBVDX8Y</t>
  </si>
  <si>
    <t>A man is seen standing on stage holding an instruments in his hands.</t>
  </si>
  <si>
    <t>He then picks up the instrument and begins playing on stage.</t>
  </si>
  <si>
    <t>The man continues to play and ends looking away.</t>
  </si>
  <si>
    <t>v_jlqC3lFqxhQ</t>
  </si>
  <si>
    <t>The video begins with a backdrop of a snowy area and introduces the names of the people in the video and that it's the "Wisp Snowboard Trip 2014.</t>
  </si>
  <si>
    <t>The video then goes into numerous various different segments of a bunch of different people snowboarding while doing tricks either in the daytime or nighttime and at various different locations.</t>
  </si>
  <si>
    <t>The outro goes to gray and then fade to black.</t>
  </si>
  <si>
    <t>v_ZJCbT3300OA</t>
  </si>
  <si>
    <t>A large intertube is shown on the screen.</t>
  </si>
  <si>
    <t>A bunch of sledders get on the tubes.</t>
  </si>
  <si>
    <t>They ride them down a steep hill together.</t>
  </si>
  <si>
    <t>v_QxsELAtsSWE</t>
  </si>
  <si>
    <t>A female news anchor introduces a story.</t>
  </si>
  <si>
    <t>A female news reporter speaks to a fitness instructor inside a gym, where cyclists are riding fitness bikes.</t>
  </si>
  <si>
    <t>Exercises such as yoga and bicycling are demonstrated by those in the gym.</t>
  </si>
  <si>
    <t>The female news reporter continues talking to the fitness instructor.</t>
  </si>
  <si>
    <t>She speaks to the anchor back in the studio.</t>
  </si>
  <si>
    <t>v_eL0LrJio1XE</t>
  </si>
  <si>
    <t>A bike stands on a bumpy unpaved road.</t>
  </si>
  <si>
    <t>People rides bikes very fast in the road and giving high jumps when passing the bumpy part of the road.</t>
  </si>
  <si>
    <t>The shadows of a biker cast on the bumpy road.</t>
  </si>
  <si>
    <t>v_iM-HdlplAhw</t>
  </si>
  <si>
    <t>A child is seen handing onto a set of monkey bars while children running around.</t>
  </si>
  <si>
    <t>The girl then begins climbing across the set of monkey bars.</t>
  </si>
  <si>
    <t>She climbs all the way to the end and jumps off the side.</t>
  </si>
  <si>
    <t>v_CNH37tJNzFE</t>
  </si>
  <si>
    <t>A close up of a gear shaft is seen following by someone opening a trunk and pulling a tire out.</t>
  </si>
  <si>
    <t>The person puts a jack under the car and begins unscrewing the tire and taking it off.</t>
  </si>
  <si>
    <t>The person puts a new tire on and screws it in place while taking off the jack and putting the hubcap back on.</t>
  </si>
  <si>
    <t>v_DLJqhYP-C0k</t>
  </si>
  <si>
    <t>The opening credits are shown for a video about bowling.</t>
  </si>
  <si>
    <t>The video then shows several bowlers doing bowling tricks at a bowling alley.</t>
  </si>
  <si>
    <t>A credit comes onto the screen introducing the grad finale trick.</t>
  </si>
  <si>
    <t>A man throws the ball and simultaneously throws himself down the alley as well.</t>
  </si>
  <si>
    <t>The closing credits then com onto the screen to end the video.</t>
  </si>
  <si>
    <t>v_nMTyJxJIZUs</t>
  </si>
  <si>
    <t>A small child paints another individual's fingernails.</t>
  </si>
  <si>
    <t>The other individual examines the nails.</t>
  </si>
  <si>
    <t>v_rt1kYX3slRI</t>
  </si>
  <si>
    <t>A man mounts a beam in front of a crowd.</t>
  </si>
  <si>
    <t>The gymnast begins to drop, lift, hold, and spin in circles on the high beams for the crowd.</t>
  </si>
  <si>
    <t>He dismounts gracefully, raising his arms to the crowd before walking away.</t>
  </si>
  <si>
    <t>v_Cy56IkwsQVs</t>
  </si>
  <si>
    <t>Several young people, talk and laugh while standing around a table covered in beer cans and blue plastic cups.</t>
  </si>
  <si>
    <t>A young man stands around a table in a room talking to two two women and some more men, occasionally laughing and smiling.</t>
  </si>
  <si>
    <t>A small white balls is thrown across the table as the people attempt to throw the balls in the blue cups from across the table.</t>
  </si>
  <si>
    <t>In the final moments of the clip a ball flies across the table and the men react in a triumphant way throwing their arms in the air in celebration.</t>
  </si>
  <si>
    <t>v_Sw7iRtHxMSs</t>
  </si>
  <si>
    <t>A group of young men poses and goofs around in front of a table full of red cups.</t>
  </si>
  <si>
    <t>A young man in black puts two shot glasses down on the table.</t>
  </si>
  <si>
    <t>Another group of young men sit in chairs outside.</t>
  </si>
  <si>
    <t>A young man in grey bounces a ball on the table and in to one of the cups and celebrates with the young man next to him.</t>
  </si>
  <si>
    <t>A young man in black bounces a ball toward the cups but misses.</t>
  </si>
  <si>
    <t>Another man holds his hand up next to the cups.</t>
  </si>
  <si>
    <t>The two men that bounced the balls at the cups clink the shot glasses together and then drink the shot.</t>
  </si>
  <si>
    <t>A young man in black pats the back of the young man in grey.</t>
  </si>
  <si>
    <t>The young man in grey drinks from one of the red cups on the table while the young man in black pretends to punch him.</t>
  </si>
  <si>
    <t>Another young man rearranges the remaining cups on the table.</t>
  </si>
  <si>
    <t>The young man in grey and the young man in black fist bump.</t>
  </si>
  <si>
    <t>v_3gsF785TAmg</t>
  </si>
  <si>
    <t>A game of volleyball is being played between blue and yellow team.</t>
  </si>
  <si>
    <t>The yellow team servies the ball and it is hit continually back and forth until the yellow team scores a point.</t>
  </si>
  <si>
    <t>A player on the yellow team falls and the players on each team assist her.</t>
  </si>
  <si>
    <t>They take her shoe and sock off and massage her leg.</t>
  </si>
  <si>
    <t>Two people proceed to pick her up with the help of a third and take her off the court and lay her down to the side to continue care.</t>
  </si>
  <si>
    <t>v_awv0jtZpeoo</t>
  </si>
  <si>
    <t>A man in a red shirt is working out an an exercise machine.</t>
  </si>
  <si>
    <t>A woman in a purple shirt walks behind him.</t>
  </si>
  <si>
    <t>Two people are talking to each other behind him.</t>
  </si>
  <si>
    <t>v_0QyHaXliXKs</t>
  </si>
  <si>
    <t>A large group of people are seen holding up flags and walking in a circle while many others watch on the sides.</t>
  </si>
  <si>
    <t>Two people are then seen walking up to the circle and lead into a wrestling match between the two.</t>
  </si>
  <si>
    <t>One man bows to the other and the winner walks away from the stage.</t>
  </si>
  <si>
    <t>v_ak8MVjE2p3Y</t>
  </si>
  <si>
    <t>There's a man sitting on a busy city street wearing a turban and smoking a cigarette.</t>
  </si>
  <si>
    <t>There are several people walking past him.</t>
  </si>
  <si>
    <t>He continues to smoke the cigarette as he inhales and exhales the smoke.</t>
  </si>
  <si>
    <t>There is a lot of traffic on the street as well as many people walking on the street.</t>
  </si>
  <si>
    <t>v_CvhSPJ0sBCk</t>
  </si>
  <si>
    <t>Two people are shown parasailing together across ocean water.</t>
  </si>
  <si>
    <t>They move their sails around as they go.</t>
  </si>
  <si>
    <t>v_iDz8nKDpumY</t>
  </si>
  <si>
    <t>Two people are seen riding on skis behind a boat with one person having a child on their shoulders.</t>
  </si>
  <si>
    <t>The people all hang onto one another while the young child climbs on top of them and falls off in the end.</t>
  </si>
  <si>
    <t>v_OH5UXwa3F7E</t>
  </si>
  <si>
    <t>We see an opening screen and a man runs and does a high jump at fifteen feet.</t>
  </si>
  <si>
    <t>We see a man jump the high jump on a track at various height with lots of cut scenes.</t>
  </si>
  <si>
    <t>We see seventeen and a still of the man.</t>
  </si>
  <si>
    <t>We see fifteen nine scroll across the screen.</t>
  </si>
  <si>
    <t>We see a series of still of the man and sixteen six.</t>
  </si>
  <si>
    <t>Seventeen two scrolls across the screen.</t>
  </si>
  <si>
    <t>We see seventeen nine scroll across the screen.</t>
  </si>
  <si>
    <t>We then see the ending credits.</t>
  </si>
  <si>
    <t>v_iGuOr5KwLQ0</t>
  </si>
  <si>
    <t>A man in a toga skates on rollerblades in a parking lot.</t>
  </si>
  <si>
    <t>A person holding a camera is standing to the side watching the man on rollerblades.</t>
  </si>
  <si>
    <t>v_dvzwVrZkDiI</t>
  </si>
  <si>
    <t>A small child is seen looking up at the camera holding a coffee cup.</t>
  </si>
  <si>
    <t>The girl takes a drink out of the cup and puts it back down.</t>
  </si>
  <si>
    <t>She continues drinking out of the container and looks up to the camera.</t>
  </si>
  <si>
    <t>v_ITyNMYw_pxc</t>
  </si>
  <si>
    <t>Two men are seen standing before a game of darts and begin throwing darts onto the board.</t>
  </si>
  <si>
    <t>The men look back and laugh with one another while still playing.</t>
  </si>
  <si>
    <t>The continue to play with others around them and end by shaking hands with another.</t>
  </si>
  <si>
    <t>v_lVXgy-JU14Q</t>
  </si>
  <si>
    <t>The woman in black uniform threw the javelin ball.</t>
  </si>
  <si>
    <t>The small woman with yellow shirt and black sleeves threw the ball.</t>
  </si>
  <si>
    <t>The woman in white shirt and black pants stretched for a bit then threw the ball.</t>
  </si>
  <si>
    <t>The athletes one by one threw the javelin ball while on the sides are people who measures how far the it was thrown.</t>
  </si>
  <si>
    <t>v_my4UPLGI6w4</t>
  </si>
  <si>
    <t>There's a man coming out of his garage with an electrical leaf blower.</t>
  </si>
  <si>
    <t>He begins blowing the leaves off of his yard for fall cleanup.</t>
  </si>
  <si>
    <t>He walks around his yard with the blower as he cleans the leaves.</t>
  </si>
  <si>
    <t>v_NRdxsuSCJyM</t>
  </si>
  <si>
    <t>A scuba diver holds onto a rock as he throws a peace sign in the air.</t>
  </si>
  <si>
    <t>The man lets go of the rock and puts up two peace signs in the air.</t>
  </si>
  <si>
    <t>The man fixes his snorkel and goggles.</t>
  </si>
  <si>
    <t>v_kMsWDe0V1Xg</t>
  </si>
  <si>
    <t>Blue lights light up a stage.</t>
  </si>
  <si>
    <t>A man's silhouette is visible and we see the arena in blue light.</t>
  </si>
  <si>
    <t>The man on stage plays lit in a red light.</t>
  </si>
  <si>
    <t>We see the arena in blue and the sax player in red.</t>
  </si>
  <si>
    <t>We see another member of the band.</t>
  </si>
  <si>
    <t>We see the man on the saxophone playing close and far.</t>
  </si>
  <si>
    <t>We see the whole arena and the man playing close.</t>
  </si>
  <si>
    <t>We pan from the man out to the audience.</t>
  </si>
  <si>
    <t>v_x4DuEusRR7Q</t>
  </si>
  <si>
    <t>A person is seen swimming the depths of a pool floor.</t>
  </si>
  <si>
    <t>The man comes up before the camera, his face showing.</t>
  </si>
  <si>
    <t>He then swims slowly back toward the surface.</t>
  </si>
  <si>
    <t>v_Ufm19cvrxGs</t>
  </si>
  <si>
    <t>A set of instruction is seen with diagrams.</t>
  </si>
  <si>
    <t>A man uses a tool to repair individual links of a bike chain.</t>
  </si>
  <si>
    <t>The bike chain is fastened back together on the bike gears using a specialized tool.</t>
  </si>
  <si>
    <t>The person inspects the newly replaced chain by hand.</t>
  </si>
  <si>
    <t>The person points to different areas on the bike gearing with the bike on the rack after the job is complete.</t>
  </si>
  <si>
    <t>v_uz4Tb2RG1tY</t>
  </si>
  <si>
    <t>A chef is seen speaking to the camera holding up a knife as well as a sharpener.</t>
  </si>
  <si>
    <t>The man then sharpens the knife on a board on the table as well as on the sharpener.</t>
  </si>
  <si>
    <t>v_M_LSDRzVN38</t>
  </si>
  <si>
    <t>A blindfolded young woman swings a stick around wildly as a man holds a piñata high above her head on a string at a birthday party.</t>
  </si>
  <si>
    <t>Then woman swings a few more times as the man brings the piñata up and down with the attached string and as she does this knocks a piece of the piñata off and a few kids gather round her to see if any candy fell out.</t>
  </si>
  <si>
    <t>The woman feels for the piñata a few times with the stick, but does not swing as kids continue to look up in amazement.</t>
  </si>
  <si>
    <t>v_dFSGN8U8EnA</t>
  </si>
  <si>
    <t>Various shots are shown of women putting lotion on themselves on a beach while the camera pans around from several sides.</t>
  </si>
  <si>
    <t>More shots are shown of women in various angles rubbing lotion all over their bodies and looking off into the distance seductively.</t>
  </si>
  <si>
    <t>v_1fF1OQtpctg</t>
  </si>
  <si>
    <t>A cheer-leading team begins to hold up posters as their mascot runs behind them.</t>
  </si>
  <si>
    <t>They then begin to do a routine and some of the girls run with streamers as the rest of them hold up the girls for their stunt.</t>
  </si>
  <si>
    <t>The stunt is finished and the retreat back to their original position and begin doing cartwheels and other tricks and stunts along with their mascot.</t>
  </si>
  <si>
    <t>As the routine continues,more stunts are performed and the Tiger mascot continues to cheer with the girls.</t>
  </si>
  <si>
    <t>v_SnBTp7iV2kE</t>
  </si>
  <si>
    <t>A boy and a man take turns playing billiards while a crowd watches.</t>
  </si>
  <si>
    <t>The man wipes his face with a towel.</t>
  </si>
  <si>
    <t>The boy wins and the crowd cheers.</t>
  </si>
  <si>
    <t>Several men pick up the boy in celebration.</t>
  </si>
  <si>
    <t>The winning shot is replayed in slow motion.</t>
  </si>
  <si>
    <t>v_OqajYZVt1Wc</t>
  </si>
  <si>
    <t>A women is seen holding a thread of string in her hands and begins knitting the string with her hands.</t>
  </si>
  <si>
    <t>She continues threading the string with her hands and ends by holding the thread up to show.</t>
  </si>
  <si>
    <t>v_xlTKV-3QSW8</t>
  </si>
  <si>
    <t>A man sitting in a raft in water talks to the camera.</t>
  </si>
  <si>
    <t>The man demonstrates techniques while talking to the camera.</t>
  </si>
  <si>
    <t>The man rafts downstream while paddling.</t>
  </si>
  <si>
    <t>v_62h9hnNTKWM</t>
  </si>
  <si>
    <t>Alexandra Raisman from Massachusetts is seen wearing purple leotards, getting ready to do gymnastics on the horse bar.</t>
  </si>
  <si>
    <t>She jumps right onto the horse bar and does some front and back flips.</t>
  </si>
  <si>
    <t>Then she does some back hand springs on the horse bar.</t>
  </si>
  <si>
    <t>she swiftly jumps on the horse bar while maintaining complete control over body and balance.</t>
  </si>
  <si>
    <t>She does a final back flip and a front flip and then, gets off the horse bar.</t>
  </si>
  <si>
    <t>The spectators cheer for her as she walks away.</t>
  </si>
  <si>
    <t>v_bQ3yPbCICRg</t>
  </si>
  <si>
    <t>A man is seen bending over a bang in the middle of drummers.</t>
  </si>
  <si>
    <t>The people hit the drums continuously while the camera pans around.</t>
  </si>
  <si>
    <t>The men drum while the camera pans around them.</t>
  </si>
  <si>
    <t>v_4innF37ifyY</t>
  </si>
  <si>
    <t>A news man is speaking in front of a group of people.</t>
  </si>
  <si>
    <t>A man is shown on a diving board high atop a cliff.</t>
  </si>
  <si>
    <t>He dives, jumping into the shallow waters below.</t>
  </si>
  <si>
    <t>v_4fEY6zIq8bQ</t>
  </si>
  <si>
    <t>The man is plastering the wall.</t>
  </si>
  <si>
    <t>The man bend over then continue to plaster the wall.</t>
  </si>
  <si>
    <t>The man cover the wall with pink plaster until the whole wall is covered.</t>
  </si>
  <si>
    <t>v_Launtf-qjDM</t>
  </si>
  <si>
    <t>A man with a orange shirt and blue gloves is shown operating a fire torch machine.</t>
  </si>
  <si>
    <t>Two more people are shown and and a close up is pictured.</t>
  </si>
  <si>
    <t>Lastly,the camera pans out on a man standing up torching away at a machine.</t>
  </si>
  <si>
    <t>v_bY0bGFJ-k1U</t>
  </si>
  <si>
    <t>A close up of a hand is seen that pans out to a man putting gloves on.</t>
  </si>
  <si>
    <t>The man then assembles a torch and begins burning a piece of metal in front of him.</t>
  </si>
  <si>
    <t>The man continues to work and hammer objects as well as sand it on the side.</t>
  </si>
  <si>
    <t>v_eW5W8dVB_I4</t>
  </si>
  <si>
    <t>Two men are standing on the side of the court holding basketball.</t>
  </si>
  <si>
    <t>The men are giving interview, talking to the camera, while one man is talking the other man is listening, then vice versa.</t>
  </si>
  <si>
    <t>The man went to the basket dribble to the ball, the men ran to the basket and shot the ball.</t>
  </si>
  <si>
    <t>v_G5mKcPzVMG4</t>
  </si>
  <si>
    <t>A man in gray shirt and cap is sitting next to a boat motor, while behind him is a woman riding a surfboard, and holding a harness attached to the boat.</t>
  </si>
  <si>
    <t>As the woman moving the dolphins started to swim with her, the dolphins' fins are visible as they swim up and down.</t>
  </si>
  <si>
    <t>v_ITGlho0dw-k</t>
  </si>
  <si>
    <t>We see an opening title screen.</t>
  </si>
  <si>
    <t>We see a lady putting sunscreen on in a bathroom and on the beach.</t>
  </si>
  <si>
    <t>We see a title screen and see the lady buy her sunscreen and another title screen.</t>
  </si>
  <si>
    <t>The lady throws a way a bottle and looks on her phone before going to the bathroom and putting sunscreen on.</t>
  </si>
  <si>
    <t>We see a title screen and the lady applies sunscreen and a friend puts some on her back.</t>
  </si>
  <si>
    <t>The lady puts on sunscreen on the beach and her friend run on the beach.</t>
  </si>
  <si>
    <t>We see a title screen and the ending screen.</t>
  </si>
  <si>
    <t>v_YizcSEo0bTo</t>
  </si>
  <si>
    <t>A group of kids are inside a building.</t>
  </si>
  <si>
    <t>They are all riding bumper cars around a track.</t>
  </si>
  <si>
    <t>They bump and slam into each other.</t>
  </si>
  <si>
    <t>v_44r5SAczrOg</t>
  </si>
  <si>
    <t>A person is solving a cube puzzle spinning the pieces to match the colors.</t>
  </si>
  <si>
    <t>When, the person match all the color, points the table and puts the cube puzzle on it.</t>
  </si>
  <si>
    <t>v_KpOSIph2hHw</t>
  </si>
  <si>
    <t>We see a GoPro opening screen.</t>
  </si>
  <si>
    <t>We see a lady walking with a raft into a river.</t>
  </si>
  <si>
    <t>We see people riding rafts in the river.</t>
  </si>
  <si>
    <t>We see a mans's legs and the lady rides past.</t>
  </si>
  <si>
    <t>We see the lady handing a beverage in a can to the cameraman.</t>
  </si>
  <si>
    <t>The cameraman goes under a branch that is across the water.</t>
  </si>
  <si>
    <t>We then see the GoPro ending scene.</t>
  </si>
  <si>
    <t>v_fHEUdQY1cdc</t>
  </si>
  <si>
    <t>Several people are seen running down the road around a bull with some holding sticks in their hands.</t>
  </si>
  <si>
    <t>The people crowd around the bull waving sticks and follow the bull around as he gets angry.</t>
  </si>
  <si>
    <t>Another bull is shown and the two fight while the people stand and cheer on the sides.</t>
  </si>
  <si>
    <t>v_8i2lkdpB2w0</t>
  </si>
  <si>
    <t>People are sitting in row boats in the water.</t>
  </si>
  <si>
    <t>A man is standing up in a red row boat.</t>
  </si>
  <si>
    <t>A boat flips over and the camera goes into the water.</t>
  </si>
  <si>
    <t>Two people standing on a dock lift their boat out of the water.</t>
  </si>
  <si>
    <t>v_QlCA9f1WD84</t>
  </si>
  <si>
    <t>A painter applies plaster to a wall using a wide flat edge tool.</t>
  </si>
  <si>
    <t>The man moves electrical wire handing on the while to plaster around it.</t>
  </si>
  <si>
    <t>Other rooms of the house are seen in different stages of completeness.</t>
  </si>
  <si>
    <t>v_2yjRePOzYq4</t>
  </si>
  <si>
    <t>A man skips on a truck signed with white lines, when he arrives to the third line jumps high and lands in the sandbox.</t>
  </si>
  <si>
    <t>The playback of a man performing long jump is show several times.</t>
  </si>
  <si>
    <t>v_3l7quTy4c2s</t>
  </si>
  <si>
    <t>A cheerleader girl stands in the grass.</t>
  </si>
  <si>
    <t>A young man wearing baseball hat greats her with a pie tin and jokes with her.</t>
  </si>
  <si>
    <t>The man pushes a pie tin in the girls face as a joke getting her very messy.</t>
  </si>
  <si>
    <t>A girl in gymnastics class does tumbling down a red mat with team looking on.</t>
  </si>
  <si>
    <t>A woman cheerleader boxes with a mascot during a football game.</t>
  </si>
  <si>
    <t>The mascot engulfs the girl and pulls her into his uniform.</t>
  </si>
  <si>
    <t>A cheer leading group comes together in a circle holding hands and flip team members when one falls to the ground.</t>
  </si>
  <si>
    <t>A group of cheerleaders in black to back flips on a track of football field.</t>
  </si>
  <si>
    <t>A group of girls hoist up[ a teammate to do a human pyramid.</t>
  </si>
  <si>
    <t>The teammate falls to the ground and lands on top of others.</t>
  </si>
  <si>
    <t>A man in Hawaiian shirt sets up a trampoline during a basketball competition.</t>
  </si>
  <si>
    <t>A group of cheerleaders hold up a woman together in front of the trampoline.</t>
  </si>
  <si>
    <t>The man comes back running and jumps on the trampoline but knocks the girl over while performing his stunt.</t>
  </si>
  <si>
    <t>A group of cheerleaders in red do somersaults on the field when one falls down.</t>
  </si>
  <si>
    <t>A cheerleader girl in black does a back hand spring and falls to the ground.</t>
  </si>
  <si>
    <t>A group of cheerleaders dance together with pom poms.</t>
  </si>
  <si>
    <t>Another group of cheerleaders in the background lift up teammates when one falls over.</t>
  </si>
  <si>
    <t>A group of cheerleaders in blue lift up teammates in competition when one falls to the ground.</t>
  </si>
  <si>
    <t>A girl in white shirt talks to the camera.</t>
  </si>
  <si>
    <t>the girl does a summersault but falls to the ground.</t>
  </si>
  <si>
    <t>A girl in green shirt with friends does a high kick on a field but falls to the ground.</t>
  </si>
  <si>
    <t>A cheerleader falls to the ground while dancing with group.</t>
  </si>
  <si>
    <t>A cheerleader is lifted up into the hands of team when she falls to the ground.</t>
  </si>
  <si>
    <t>A group of cheerleaders in yellow lift temmate in a pyramid but drop her.</t>
  </si>
  <si>
    <t>A group of women jump from a trampoline and do slam dunks during basketball competition.</t>
  </si>
  <si>
    <t>One girl misses the trampoline and runs into the mat.</t>
  </si>
  <si>
    <t>Men from the basketball team rush over to check on her.</t>
  </si>
  <si>
    <t>v_UF2v4emX7rc</t>
  </si>
  <si>
    <t>A group of men in masks are gathered around targets.</t>
  </si>
  <si>
    <t>They are holding paint guns as they run across the field.</t>
  </si>
  <si>
    <t>They hide behind obstacles, shooting at each other.</t>
  </si>
  <si>
    <t>v_nKnsvy7-wAI</t>
  </si>
  <si>
    <t>A man is seen running down the street holding a box and speaking to another.</t>
  </si>
  <si>
    <t>The man then plays a game with a small girl and bows after each game.</t>
  </si>
  <si>
    <t>The two continue to play with the man laughing at the camera and him giving her a kiss in the end.</t>
  </si>
  <si>
    <t>v_8vcO5DRxP6c</t>
  </si>
  <si>
    <t>A man picks up a ball and puts it behind his neck and throws it onto the field.</t>
  </si>
  <si>
    <t>Another man in a blue shirt picks up a ball and puts it behind his ear and throws it onto the field.</t>
  </si>
  <si>
    <t>People measure the distance on the field.</t>
  </si>
  <si>
    <t>The man puts on a white t shirt and puts his arms in the air.</t>
  </si>
  <si>
    <t>Another man launches a ball onto the field.</t>
  </si>
  <si>
    <t>v_YZJghuPmff8</t>
  </si>
  <si>
    <t>A woman holds the back section of a girls hair while she gets ready to style it.</t>
  </si>
  <si>
    <t>The woman uses a single pick comb to separate strands of hair.</t>
  </si>
  <si>
    <t>The woman clips back sections of hair.</t>
  </si>
  <si>
    <t>The woman pulls on strands of hairs to get them straightened out.</t>
  </si>
  <si>
    <t>The woman braids them the strands of hair together.</t>
  </si>
  <si>
    <t>v_ol4ScGsyhbI</t>
  </si>
  <si>
    <t>An image is shown of a man posing with trophies and flexing his biceps.</t>
  </si>
  <si>
    <t>The images cut to videos, as he wins multiple arm wrestling matches and trophies.</t>
  </si>
  <si>
    <t>In the final scenes, a vast audience talks as they watch him win yet again.</t>
  </si>
  <si>
    <t>v_wZ-teiWX4mg</t>
  </si>
  <si>
    <t>man is standing in an ice rink practicing hockey.</t>
  </si>
  <si>
    <t>man is putting hockey uniform.</t>
  </si>
  <si>
    <t>v_i1llwxnI_Vo</t>
  </si>
  <si>
    <t>There are several people gathered on the street where live music is playing.</t>
  </si>
  <si>
    <t>There are couples dancing together to the music doing the Salsa style of dance.</t>
  </si>
  <si>
    <t>There are many restaurants and stores in that town square where people are gathered to see the couples dance.</t>
  </si>
  <si>
    <t>Some of the bystanders are video taping the dancers.</t>
  </si>
  <si>
    <t>The couples continue to dance till the music ends.</t>
  </si>
  <si>
    <t>One guy kisses his girlfriend on the cheek after the dance is over.</t>
  </si>
  <si>
    <t>v_8eDJXDetgGE</t>
  </si>
  <si>
    <t>A man is seen holding a stick up and leads into clips of men playing field hockey.</t>
  </si>
  <si>
    <t>Men are seen running up and down a field chasing after a ball and scoring a goal.</t>
  </si>
  <si>
    <t>Several clips are shown of people playing this game as well as celebrating with team mates.</t>
  </si>
  <si>
    <t>v_W3fKTlm1BPs</t>
  </si>
  <si>
    <t>An intro leads into a camera following around a lacrosse match and pausing to show off players movements.</t>
  </si>
  <si>
    <t>The game continues on as the people play and run around chasing a ball.</t>
  </si>
  <si>
    <t>v_j-qAgWm_Ylw</t>
  </si>
  <si>
    <t>The man in stripes shirt ran to the narrow path and hopped and jumped on the sandy ground.</t>
  </si>
  <si>
    <t>The men are jumped one by one on the sandy ground while a man and woman are holding a rake and smoothen the ground.</t>
  </si>
  <si>
    <t>Two people are holding a tape measure and measure the jump.</t>
  </si>
  <si>
    <t>v_grroBKRxAMY</t>
  </si>
  <si>
    <t>Words are shown on the screen.</t>
  </si>
  <si>
    <t>A man is talking while standing outside in front of a hill.</t>
  </si>
  <si>
    <t>The man is holding a shovel standing in front of a small tree.</t>
  </si>
  <si>
    <t>The man continues talking and then shovels out some weeds and dirt around the tree.</t>
  </si>
  <si>
    <t>He picks up rocks from around the tree.</t>
  </si>
  <si>
    <t>There is a white bucket in front of him of bark that he puts around the tree.</t>
  </si>
  <si>
    <t>v_v_UmAH95xls</t>
  </si>
  <si>
    <t>Two girls are sitting on the porch of a house while shaving their legs.</t>
  </si>
  <si>
    <t>A boy walks out and looks before walking away.</t>
  </si>
  <si>
    <t>The girls continue soaping up and shaving.</t>
  </si>
  <si>
    <t>v_aA6Bchzww4Y</t>
  </si>
  <si>
    <t>A man uses a mallet to chip ice off of a car while it is snowing outside and a man videos him from behind.</t>
  </si>
  <si>
    <t>A man in a black winter coat and gloves uses a mallet to chip ice off of an ice covered car in the snow.</t>
  </si>
  <si>
    <t>The man then takes his car keys and tries to open the trunk which is frozen and requires tugging to open.</t>
  </si>
  <si>
    <t>The man continues to slam at the ice on the car with the mallet as the ice chips off in chunks.</t>
  </si>
  <si>
    <t>The man tries to open his trunk again, this time the opening is easier and the man climbs into the trunk of the car to the front of the car to open the drivers door from the inside drivers seat.</t>
  </si>
  <si>
    <t>v_nrC41oAR-F0</t>
  </si>
  <si>
    <t>A large mat is seen with a bar on top and two people watching on the sides.</t>
  </si>
  <si>
    <t>A man is then seen running in from the side.</t>
  </si>
  <si>
    <t>The man jumps over the beam and stands up on the mat.</t>
  </si>
  <si>
    <t>v_o9gsbkp135s</t>
  </si>
  <si>
    <t>A person is shown outside brushing snow off of a car with lights on.</t>
  </si>
  <si>
    <t>The man walks around the car pushing more of the snow off and shutting the door.</t>
  </si>
  <si>
    <t>v_5MjAgMF_FzA</t>
  </si>
  <si>
    <t>A black screen with a white title appears.</t>
  </si>
  <si>
    <t>A cook is in front of a professional stove putting seasoning into a metal pan and warming a pan over a gas lit blue flame.</t>
  </si>
  <si>
    <t>The cook now scoops a large portion of mixed egg from a large metal pot into the small metal pan.</t>
  </si>
  <si>
    <t>He begins to whisk the egg mixture with two wooden sticks, holding the pan over the burner.</t>
  </si>
  <si>
    <t>When the egg is almost fully cooked, the man begins to shape the egg inside of the pan with the wooden sticks in the shape of an omelet.</t>
  </si>
  <si>
    <t>He rolls the omelet back and forth in the pan.</t>
  </si>
  <si>
    <t>End black screen and a blue word.</t>
  </si>
  <si>
    <t>v_feio1hW6Dy0</t>
  </si>
  <si>
    <t>A close up of ballet shoes are shown followed by a woman putting them on and moving around in a bedroom.</t>
  </si>
  <si>
    <t>She moves her arms and feet in the point shoes and whips her hair all around the room.</t>
  </si>
  <si>
    <t>v_3VzXH3o88mw</t>
  </si>
  <si>
    <t>A person is seen mixing various ingredients into a blender as well as rolling rough up into a ball and speaking to the camera.</t>
  </si>
  <si>
    <t>The man speaks to other chefs and instructs them on how to roll a ball of rough.</t>
  </si>
  <si>
    <t>He then puts the dough in a machine to make spaghetti and then puts them in a plate to present.</t>
  </si>
  <si>
    <t>v_HNBiW2Nq318</t>
  </si>
  <si>
    <t>A person is seen bending forward on a gymnastics beam while moving his hands up to keep balance.</t>
  </si>
  <si>
    <t>The man then attempts a flip but lands on his stomach and falls off, walking away in pain and his jump shown again in slow motion.</t>
  </si>
  <si>
    <t>v_USoYnMSrWv0</t>
  </si>
  <si>
    <t>Four people play Foosball at a Foosball table.</t>
  </si>
  <si>
    <t>One of the girls playing pulls an arm out of place on the table.</t>
  </si>
  <si>
    <t>The same girl reaches across the table to control an arm on the other side.</t>
  </si>
  <si>
    <t>The girl on the other side tries to stop her.</t>
  </si>
  <si>
    <t>A fifth person sits in a chair watching.</t>
  </si>
  <si>
    <t>v_JKFxKhCQPUs</t>
  </si>
  <si>
    <t>A male gymnast wearing a blue leotard is doing gymnastics on a horse bar.</t>
  </si>
  <si>
    <t>He is performing in an indoor stadium full of spectators.</t>
  </si>
  <si>
    <t>He continues to excel in doing his moves steadily on the horse bar.</t>
  </si>
  <si>
    <t>After he's done, he gets off the bar and one of the coaches hugs him as the crowd cheers for him.</t>
  </si>
  <si>
    <t>v__ekWWP0dQZM</t>
  </si>
  <si>
    <t>A ballerina is shown in class warming up her feet and walking away crying.</t>
  </si>
  <si>
    <t>Various actors talk to the camera about filming a movie about ballet and the moves they learned.</t>
  </si>
  <si>
    <t>The ballerinas are moving around the set while the camera is rolling.</t>
  </si>
  <si>
    <t>The actors continue talking about tricks and what they learned.</t>
  </si>
  <si>
    <t>A man plays the violin while the final scene is filmed and everyone is dancing.</t>
  </si>
  <si>
    <t>v_X5Bxa0OvdwI</t>
  </si>
  <si>
    <t>Various items are shown on a floor and leads into a woman holding up the products and speaking to the camera.</t>
  </si>
  <si>
    <t>She holds up her shoe and lights a match over the polish.</t>
  </si>
  <si>
    <t>She then takes a rag and runs over the boot with the polish in small circles.</t>
  </si>
  <si>
    <t>v_kdRcWkrZRZo</t>
  </si>
  <si>
    <t>A still picture of an individual's back is shown.</t>
  </si>
  <si>
    <t>Some sort of item is shown in close up.</t>
  </si>
  <si>
    <t>A man and a woman talk to the camera in a newscast setting.</t>
  </si>
  <si>
    <t>Scenes of summer beach goers are shown in a news report context.</t>
  </si>
  <si>
    <t>A man is shown walking near a boat with dogs.</t>
  </si>
  <si>
    <t>The man is shown near a grill.</t>
  </si>
  <si>
    <t>A quick cut of a the item from before is shown up close.</t>
  </si>
  <si>
    <t>The man is interviewed while seated, with a quick cut of him walking.</t>
  </si>
  <si>
    <t>The man removes his shirt.</t>
  </si>
  <si>
    <t>More close up scenes of the item are shown.</t>
  </si>
  <si>
    <t>Still images and video of skin damage are shown.</t>
  </si>
  <si>
    <t>The man talks in an indoor environment.</t>
  </si>
  <si>
    <t>Another still image of the item is shown.</t>
  </si>
  <si>
    <t>The man is interviewed seated again.</t>
  </si>
  <si>
    <t>A still screen of text is shown.</t>
  </si>
  <si>
    <t>A different man talks to the camera while a logo is shown beside him.</t>
  </si>
  <si>
    <t>A webpage about the first man is shown.</t>
  </si>
  <si>
    <t>v_1VmqefkNV_8</t>
  </si>
  <si>
    <t>A man is dancing on a stage in a yellow shirt.</t>
  </si>
  <si>
    <t>People in the audience watching him are dancing with him.</t>
  </si>
  <si>
    <t>A man walks in front of the crowd.</t>
  </si>
  <si>
    <t>v_MlGh0geYhSg</t>
  </si>
  <si>
    <t>A horse kicks a man in a red shirt.</t>
  </si>
  <si>
    <t>A girl in a grey shirt gets thrown off a horse.</t>
  </si>
  <si>
    <t>A man riding a horse gets bucked off.</t>
  </si>
  <si>
    <t>A horse tips over backward with a a person on it.</t>
  </si>
  <si>
    <t>A man is riding on a horse and flies off.</t>
  </si>
  <si>
    <t>A white horse misses a jump and the person falls off.</t>
  </si>
  <si>
    <t>A man gets hit by a rope while chasing a calf.</t>
  </si>
  <si>
    <t>A horse gets his head stuck in a garbage can.</t>
  </si>
  <si>
    <t>v_chLoV5zQxVA</t>
  </si>
  <si>
    <t>The words "How to Fly a Kite With No Wind" appear on a black screen.</t>
  </si>
  <si>
    <t>Man wearing a yellow t-shirt appears in a large suburban field.</t>
  </si>
  <si>
    <t>The man puts together a rainbow colored kite with long yellow tails.</t>
  </si>
  <si>
    <t>The man drives a small green mowing tractor while holding the kite's string as it flies above.</t>
  </si>
  <si>
    <t>A young lady speaks on screen and then drives the tractor while holding the flying kite.</t>
  </si>
  <si>
    <t>v_eZ_qerXno64</t>
  </si>
  <si>
    <t>A little girl is shown playing table tennis, hitting the ball extremely quickly back and forth over the net.</t>
  </si>
  <si>
    <t>Some of the balls fly past her, but she continues hitting new balls without pausing.</t>
  </si>
  <si>
    <t>v_ZT63nK4lexg</t>
  </si>
  <si>
    <t>A man walks over and chalks his hands.</t>
  </si>
  <si>
    <t>The man walks the bars, stretches and stands there.</t>
  </si>
  <si>
    <t>The man mounts the bars and begins to spin.</t>
  </si>
  <si>
    <t>The man flips and dismounts.</t>
  </si>
  <si>
    <t>The man walks away from the bars.</t>
  </si>
  <si>
    <t>v_ioHDdIBu2go</t>
  </si>
  <si>
    <t>A woman talks, then she holds the tube of a vacuum and points the nozzle.</t>
  </si>
  <si>
    <t>The woman vacuum dirt on a carpet, then she extends the tube while explaining.</t>
  </si>
  <si>
    <t>Then, the woman puts a small nozzle and vacuum a couch, then she explains how to remove the dust container.</t>
  </si>
  <si>
    <t>The woman continues explaining next to the vacuum.</t>
  </si>
  <si>
    <t>v_mqUJEX9qk8E</t>
  </si>
  <si>
    <t>two men are riding horses in a dusty field in mountains.</t>
  </si>
  <si>
    <t>men and a woman wearing Kufiyyas on their heads are standing on dessert next to horses.</t>
  </si>
  <si>
    <t>dessert with mountains in the distance is shown and the men are standing next to a kids ride the horses adn are going in the desert.</t>
  </si>
  <si>
    <t>v_eGW0rygfcrg</t>
  </si>
  <si>
    <t>A man and a woman are standing in a bar.</t>
  </si>
  <si>
    <t>We see the man and a woman ballroom dancing.</t>
  </si>
  <si>
    <t>The lady kicks her leg out behind and in front of her.</t>
  </si>
  <si>
    <t>We zoom in on the legs of the dancers.</t>
  </si>
  <si>
    <t>The camera goes blurry and the scene ends.</t>
  </si>
  <si>
    <t>v_kkLRLb8TGwI</t>
  </si>
  <si>
    <t>A bunch of females are shown playing a water polo match in an indoor pool.</t>
  </si>
  <si>
    <t>it appears to be a tournament as they are highly competitive and going all out.</t>
  </si>
  <si>
    <t>Various shots of the action are shown in normal motion and in slow motion.</t>
  </si>
  <si>
    <t>The match appears to be getting very tense as both teams are trying their best to score and both goalies put up great defense.</t>
  </si>
  <si>
    <t>A young girl who played in the match is then shown with her entire family as they take a picture.</t>
  </si>
  <si>
    <t>v_MsBqlgdzeag</t>
  </si>
  <si>
    <t>A man approaches a trunk standing by some dirt.</t>
  </si>
  <si>
    <t>He grabs an ax sitting on the dirt.</t>
  </si>
  <si>
    <t>He takes the ax and cuts the trunk in half.</t>
  </si>
  <si>
    <t>The trunk falls and he picks up one of the halves.</t>
  </si>
  <si>
    <t>He takes the ax to the trunk and cuts it in half.</t>
  </si>
  <si>
    <t>He stands the other trunk and cuts it in half.</t>
  </si>
  <si>
    <t>v_mb1LoOTM_NI</t>
  </si>
  <si>
    <t>Two men are standing at the table in arm wrestling position.</t>
  </si>
  <si>
    <t>A woman is positioning the men, holding their hands.</t>
  </si>
  <si>
    <t>One man without glasses is bending on the side to with his weight.</t>
  </si>
  <si>
    <t>The man with glass put down the other man's hand and won.</t>
  </si>
  <si>
    <t>v_HVfr9FnEj-Q</t>
  </si>
  <si>
    <t>Ladies are standing in a workout room.</t>
  </si>
  <si>
    <t>The ladies are belly dancing.</t>
  </si>
  <si>
    <t>The ladies dip down and toss their hair backwards.</t>
  </si>
  <si>
    <t>They swing their dipped bodies.</t>
  </si>
  <si>
    <t>The ladies dip and bend backwards.</t>
  </si>
  <si>
    <t>The ladies throw their hair back and forth.</t>
  </si>
  <si>
    <t>2:43 A man is in the room in the back and bends down.</t>
  </si>
  <si>
    <t>The ladies finish dancing and take a bow.</t>
  </si>
  <si>
    <t>v_yN3e-giBxns</t>
  </si>
  <si>
    <t>It's a nighttime outside at a horse ranch and a lot of people are standing around.</t>
  </si>
  <si>
    <t>Suddenly a horse with a man riding on him quickly starts running and there's a calf roped to the horse who is running in front of them.</t>
  </si>
  <si>
    <t>The man lassos the calf, jumps off the horse, throws the calf on its side and quickly ties it up.</t>
  </si>
  <si>
    <t>The man gets up, walks back to his horse, jumps back on and the horse slowly begins to walk as the calf is trying to stand up.</t>
  </si>
  <si>
    <t>v_uE_8WuNO7cA</t>
  </si>
  <si>
    <t>We see an opening screen with a moon.</t>
  </si>
  <si>
    <t>A lady appears holding a pumpkin.</t>
  </si>
  <si>
    <t>We see the lady in the lower left hand of the screen talking.</t>
  </si>
  <si>
    <t>We see a person open and clean a pumpkin.</t>
  </si>
  <si>
    <t>We see the person carve a drawing on a pumpkin.</t>
  </si>
  <si>
    <t>We see a person draw on the pumpkin with a black marker.</t>
  </si>
  <si>
    <t>We see the finished jack o lantern with a candle in it.</t>
  </si>
  <si>
    <t>v_IoOkg-_S4cY</t>
  </si>
  <si>
    <t>A gymnastic girl is performing balance beam.</t>
  </si>
  <si>
    <t>The girl is getting ready to get on the beam from a jump pad.</t>
  </si>
  <si>
    <t>The girl performs flawlessly on the beam.</t>
  </si>
  <si>
    <t>The girl lands on floor perfectly with a big smile.</t>
  </si>
  <si>
    <t>v_UGd9cVzHQOU</t>
  </si>
  <si>
    <t>A man is seen using a machine across a long stretch of leaves while moving up and down the lawn.</t>
  </si>
  <si>
    <t>He continues pushing the leaves around the area and moving up and down the lawn.</t>
  </si>
  <si>
    <t>v_YdenUU3g0XY</t>
  </si>
  <si>
    <t>A man introduces the topic of the video, which is how to do a smash shot in Badminton.</t>
  </si>
  <si>
    <t>He slowly demonstrates the necessary approach and form of the shot.</t>
  </si>
  <si>
    <t>We then see a player perform the shot multiple times as another person sets him up.</t>
  </si>
  <si>
    <t>v_E4ItlgO16LI</t>
  </si>
  <si>
    <t>A male gymnast in a blue outfit applies chalk dust to his hands.</t>
  </si>
  <si>
    <t>An infographic appears, showing his name to be Danell Leyva from the USA.</t>
  </si>
  <si>
    <t>He steps up to a parallel bars and waves.</t>
  </si>
  <si>
    <t>He performs his routine, executing many flips and handstands.</t>
  </si>
  <si>
    <t>He dismounts badly, falling over and landing on his back beside the mat.</t>
  </si>
  <si>
    <t>He steps back onto the mat and briefly raises his arms.</t>
  </si>
  <si>
    <t>v_BsceC-igcTY</t>
  </si>
  <si>
    <t>Hockey players walk out onto the ice, greeting each other.</t>
  </si>
  <si>
    <t>They play the game, trying to get the puck past their opponents into the goal.</t>
  </si>
  <si>
    <t>They roll around on the ice slowly.</t>
  </si>
  <si>
    <t>v_V1NtrnPz3sA</t>
  </si>
  <si>
    <t>An athletic woman is stretching with a ball and swinging her legs back and fourth.</t>
  </si>
  <si>
    <t>She throws the ball and again prepares for another throw.</t>
  </si>
  <si>
    <t>She spins around throwing the ball yet again with a third throw followed shortly after.</t>
  </si>
  <si>
    <t>She performs one last throw and spins herself around once again.</t>
  </si>
  <si>
    <t>v_2kx--bbqXHg</t>
  </si>
  <si>
    <t>Cotton balls are being set on fire and put out in various ways.</t>
  </si>
  <si>
    <t>An ax is used to put out the fire.</t>
  </si>
  <si>
    <t>A piece of wood is used to put out the fire.</t>
  </si>
  <si>
    <t>v_lHy_OZ8GygM</t>
  </si>
  <si>
    <t>A woman wash the head of a man and cuts his hair, then the woman stands next two man an touch the head of the young man.</t>
  </si>
  <si>
    <t>The woman cuts the hair of a young man using first a machine, and then a comb and scissors.</t>
  </si>
  <si>
    <t>Then, the woman dry the hair with a dryer and brush the head.</t>
  </si>
  <si>
    <t>After, the woman takes cream on her hands and comb the head of the man with her fingers to gives form to the hair.</t>
  </si>
  <si>
    <t>Next, the woman explains the hairstyle.</t>
  </si>
  <si>
    <t>v_LvRP3c5n3P8</t>
  </si>
  <si>
    <t>People walk in the hallways of a hospital, then a doctor reviews the injured leg of a man leaving green sparkles on the leg and a machine.</t>
  </si>
  <si>
    <t>Then, the man makes a call and leaves green sparkles on the phone that it is passes to the hand of a nurse that grabs the phone.</t>
  </si>
  <si>
    <t>After the nurse enters to visit a a sick man as well two doctors who carry green sparkles on their hands that leaves on the sick man.</t>
  </si>
  <si>
    <t>A person wash hand, use hand sanitizes and cleans an stethoscope to get rid off microbes.</t>
  </si>
  <si>
    <t>v_VM-ldOw7e4Y</t>
  </si>
  <si>
    <t>An athlete prepares to perform long jump in a stadium full of people, then a white male runs and jumps high to land in the sand.</t>
  </si>
  <si>
    <t>Also, three black males runs fast and jump high to perform long jump.</t>
  </si>
  <si>
    <t>Also, a white male perform long jump, as well two black men do long jumps.</t>
  </si>
  <si>
    <t>A score board shows and score, while a person stands walk away, and takes off his sweet sweater.</t>
  </si>
  <si>
    <t>A black male jumps high happy a runs celebrating his triumph.</t>
  </si>
  <si>
    <t>v_8HxMXHc8Nr0</t>
  </si>
  <si>
    <t>A screen appears with instructions how to attach an InStep bike trailer.</t>
  </si>
  <si>
    <t>A man is showing how to attach an InStep bike trailer on the back wheel of a bike.</t>
  </si>
  <si>
    <t>Then, the man continues to explain the process sitting in dining room.</t>
  </si>
  <si>
    <t>Two toddlers are sitting in a bike trailer, while the man attach the safety belts.</t>
  </si>
  <si>
    <t>v_ZN7C8n_6uH8</t>
  </si>
  <si>
    <t>A black and white filter pans over a soccer match going on in an indoor field.</t>
  </si>
  <si>
    <t>Color is then shown as more people play soccer back and fourth shown in several shots.</t>
  </si>
  <si>
    <t>v_8SCg3toperM</t>
  </si>
  <si>
    <t>A large group of people are seen running around a field playing lacrosse while others watch.</t>
  </si>
  <si>
    <t>The game continues on as people still watch them on the sides.</t>
  </si>
  <si>
    <t>They stop various times to speak to one another and continue playing the game.</t>
  </si>
  <si>
    <t>v_KSP62q7tM68</t>
  </si>
  <si>
    <t>A person is seen riding waves on the water as well as people partying at a house.</t>
  </si>
  <si>
    <t>A Dj is shown playing music as well as people dancing around and surfers surfing.</t>
  </si>
  <si>
    <t>More shots are shown of people surfing and having fun at the house.</t>
  </si>
  <si>
    <t>v_n3wYcW4mnrs</t>
  </si>
  <si>
    <t>We see an opening screen on white.</t>
  </si>
  <si>
    <t>We then see people on tube playing in a river.</t>
  </si>
  <si>
    <t>A boy in sunglasses floats past the camera.</t>
  </si>
  <si>
    <t>A boy throws a peace sign to the camera.</t>
  </si>
  <si>
    <t>People go over a waterfall in their rafts.</t>
  </si>
  <si>
    <t>We see a bunch of people jump into the water.</t>
  </si>
  <si>
    <t>v_f_mbX87xabo</t>
  </si>
  <si>
    <t>A child plays a chrome flute inside of home.</t>
  </si>
  <si>
    <t>The girl finishes the song and lowers the flute.</t>
  </si>
  <si>
    <t>v_0j9TxzwRr6E</t>
  </si>
  <si>
    <t>Two men plays foosball in an arena with two referees standing near by watching the fame.</t>
  </si>
  <si>
    <t>We see the bleacher an spectators.</t>
  </si>
  <si>
    <t>A point is scored and see people clapping and a replay and a title screen.</t>
  </si>
  <si>
    <t>The man in gray backs up and wipes sweat.</t>
  </si>
  <si>
    <t>We see the man in black speaking with the people behind him before the men return to the game.</t>
  </si>
  <si>
    <t>v_etfSrbmOvUE</t>
  </si>
  <si>
    <t>Two people climb a rock climbing wall at night in front of a narrow pool of water surrounding by a crowd of onlookers.</t>
  </si>
  <si>
    <t>The two people climb slowly up the wall, when over midway up, the person on the left falls from the wall and into the water below.</t>
  </si>
  <si>
    <t>Another race up the wall begins in which the person on the right falls off and the person on the left climbs to the top of the wall and then jumps off the wall into the water.</t>
  </si>
  <si>
    <t>In the same setting, but now during the daytime, a lone person wearing skis catapults through the air past the rock climbing wall and lands in the water below.</t>
  </si>
  <si>
    <t>v_twGoVVPO08Q</t>
  </si>
  <si>
    <t>An audience watching pans out into a large track and athletes running into a pit.</t>
  </si>
  <si>
    <t>Several people are shown running down the track while the audience claps and people speak to the camera.</t>
  </si>
  <si>
    <t>v_PQ-qpoPeqM0</t>
  </si>
  <si>
    <t>A young man pulls a wheel out and shows the proper structure of a wheel.</t>
  </si>
  <si>
    <t>He checks the current pressure for the tire and begins pumping air into the tire.</t>
  </si>
  <si>
    <t>He shows the difference between good tread and bad tread as well as when to know when to replace your tires.</t>
  </si>
  <si>
    <t>v_GVmGXTEm46s</t>
  </si>
  <si>
    <t>A close up of a sink is shown followed by a person rubbing it down with a rag from various angles.</t>
  </si>
  <si>
    <t>The sink is shown again by itself followed by water dripping down.</t>
  </si>
  <si>
    <t>v_Qx4YLntwZ5s</t>
  </si>
  <si>
    <t>We see a lady taking in a room and touching her hair.</t>
  </si>
  <si>
    <t>There is a title screen.</t>
  </si>
  <si>
    <t>The lady shows us the products and tools she uses on her hair.</t>
  </si>
  <si>
    <t>We see the lady doing her hair.</t>
  </si>
  <si>
    <t>The lady sections her hair and adds product.</t>
  </si>
  <si>
    <t>The lady twists her hair around her finger.</t>
  </si>
  <si>
    <t>The lady begin blow drys her hair.</t>
  </si>
  <si>
    <t>We see images of the ladies finished hair.</t>
  </si>
  <si>
    <t>v_D84XQFQ4tsU</t>
  </si>
  <si>
    <t>A body of water is shown.</t>
  </si>
  <si>
    <t>A person takes a lid off of a pot.</t>
  </si>
  <si>
    <t>They show a camp site with a tent.</t>
  </si>
  <si>
    <t>They put a cloth into the bucket.</t>
  </si>
  <si>
    <t>v_hJn5L1nrkL4</t>
  </si>
  <si>
    <t>There are two men playing table tennis in an indoor stadium.</t>
  </si>
  <si>
    <t>One of the players is wearing blue and the other player is in a red shirt.</t>
  </si>
  <si>
    <t>There is a person dressed in a black shirt seated near the players.</t>
  </si>
  <si>
    <t>There are several spectators seated in the stadium.</t>
  </si>
  <si>
    <t>They continue playing a rally for some time.</t>
  </si>
  <si>
    <t>The player in the red shirt misses the ball and gives his opponent a winning point.</t>
  </si>
  <si>
    <t>The player in blue cheers loudly after his winning point and breaks into a dance.</t>
  </si>
  <si>
    <t>He continues dancing and goes towards his opponent to mock him.</t>
  </si>
  <si>
    <t>He then goes back to the table tennis table.</t>
  </si>
  <si>
    <t>The man dressed on black shows the score.</t>
  </si>
  <si>
    <t>v_JTGS1YulUQw</t>
  </si>
  <si>
    <t>A close up of booklets are shown with a person flipping them open and reading.</t>
  </si>
  <si>
    <t>The woman marks a name down and peels it off to put on a sock.</t>
  </si>
  <si>
    <t>The woman then lays an iron over the name and peels off the paper to show how to properly label a gift.</t>
  </si>
  <si>
    <t>v_cEHyZzBsWnw</t>
  </si>
  <si>
    <t>A female weightlifter lifts a barbell with her legs.</t>
  </si>
  <si>
    <t>She gets it to her stomach, then pulls.</t>
  </si>
  <si>
    <t>She goes up and down, working her abdominals.</t>
  </si>
  <si>
    <t>v_uG2sRzp5Bk4</t>
  </si>
  <si>
    <t>Information about Blackjack site iis provided.</t>
  </si>
  <si>
    <t>There are two people shown playing in a casino.</t>
  </si>
  <si>
    <t>A representative from Blackjack is showing a casino gambling game.</t>
  </si>
  <si>
    <t>He lays playing cards on the table against tokens.</t>
  </si>
  <si>
    <t>There are several tokens stacked up on the table.</t>
  </si>
  <si>
    <t>He is explaining how to play the gambling game to maximize one's money.</t>
  </si>
  <si>
    <t>He puts more cards on the table and takes a hand to earn more tokens.</t>
  </si>
  <si>
    <t>Information on how to download the app is provided on the screen.</t>
  </si>
  <si>
    <t>v_abjQ1EyqJuw</t>
  </si>
  <si>
    <t>As the camera walks, it was showing the well maintained hedges, at the center of two hedges is a narrow path leading to a wider field surrounded by more hedges.</t>
  </si>
  <si>
    <t>On one side of the hedge is a man in black shirt, he is standing on a ladder, he is trimming the hedges.</t>
  </si>
  <si>
    <t>Near the man is an empty bench, on the side are more well trimmed hedges.</t>
  </si>
  <si>
    <t>v_GjjRDUirW7g</t>
  </si>
  <si>
    <t>A man is seen speaking to the camera while holding a box up to show an instrument inside.</t>
  </si>
  <si>
    <t>The man pulls out the harmonica and continues to show it off to the camera.</t>
  </si>
  <si>
    <t>The man plays the harmonica and pauses to hold it up to the screen as well as a picture.</t>
  </si>
  <si>
    <t>v_RIaNmXzBQnE</t>
  </si>
  <si>
    <t>There is a woman eating ice cream from a tub and talking to the camera man.</t>
  </si>
  <si>
    <t>And he tries to look into the tub, but she pulls it away.</t>
  </si>
  <si>
    <t>The camera person sits down to continue talking to the woman.</t>
  </si>
  <si>
    <t>She gets up and he follows her through the house as she walks into the kitchen.</t>
  </si>
  <si>
    <t>She puts the rest of the ice cream in the freezer and rinses the spoon.</t>
  </si>
  <si>
    <t>v_ZNUkzdw2EeI</t>
  </si>
  <si>
    <t>An athletic man is seen stepping up to a circle and throwing a discuss off into the distance.</t>
  </si>
  <si>
    <t>He then runs excitedly while cameras follow him and shown other athletes spinning the disk.</t>
  </si>
  <si>
    <t>More shots are shown of people celebrating and the athlete runs into the stands.</t>
  </si>
  <si>
    <t>v_oEd7WT4mVSE</t>
  </si>
  <si>
    <t>A woman is sitting at a table using a hookah while another woman makes silly faces and gestures behind her.</t>
  </si>
  <si>
    <t>They speak animatedly with the person behind the camera.</t>
  </si>
  <si>
    <t>There is a close up of the items on the table in front of them.</t>
  </si>
  <si>
    <t>The woman with the camera turns it to face herself before aiming it back toward the other women.</t>
  </si>
  <si>
    <t>One of the women coughs as a cloud of smoke hits her in the face.</t>
  </si>
  <si>
    <t>v_Lmne5ZF0McI</t>
  </si>
  <si>
    <t>man is jumping wearing stilts on a sidewalk.</t>
  </si>
  <si>
    <t>a calm green grassy field is behind the man wearinf stilts.</t>
  </si>
  <si>
    <t>man is wearing white sweater and stilts and is in a green grassy park.</t>
  </si>
  <si>
    <t>v_yinXvETACC4</t>
  </si>
  <si>
    <t>A host is seen speaking to the camera and leads into a trainer speaking with others exercising behind her.</t>
  </si>
  <si>
    <t>More shots of people exercising on bikes are shown and ends with the trainer walking through and talking.</t>
  </si>
  <si>
    <t>v_r82RY124wVY</t>
  </si>
  <si>
    <t>A woman is standing on a tennis court talking.</t>
  </si>
  <si>
    <t>She begins to play tennis on the court.</t>
  </si>
  <si>
    <t>She serves a tennis ball across the court several times.</t>
  </si>
  <si>
    <t>v_9eqfQyr3J7k</t>
  </si>
  <si>
    <t>Several people are outside in a ski resort sitting on the tubes.</t>
  </si>
  <si>
    <t>After,the three individuals in the front,are pulled down the slope and they begin to slide down.</t>
  </si>
  <si>
    <t>Once they are off,the man who pushed him down walks away and more people begin to go down.</t>
  </si>
  <si>
    <t>v_GQVqSLs2Ulg</t>
  </si>
  <si>
    <t>A man is seen holding a glass while speaking to the camera when another man walks in and begins painting the wall.</t>
  </si>
  <si>
    <t>The man continues to paint up and down the wall while the camera captures him and the other man walks away.</t>
  </si>
  <si>
    <t>v_FXN6qiDsClw</t>
  </si>
  <si>
    <t>An animation demonstrating the arc length of a welding type tool emitting heat.</t>
  </si>
  <si>
    <t>A demonstration of the tool emitting heat in real time.</t>
  </si>
  <si>
    <t>A graph illustrating the Long Arc of the tool documenting Voltage and Amperage.</t>
  </si>
  <si>
    <t>The tool is shown in real time emitting heat with a photo of a welded material.</t>
  </si>
  <si>
    <t>A graph illustrates Short Arc with the Voltage and Amperage documented.</t>
  </si>
  <si>
    <t>A man in a blue coat and orange gloves uses the arc tool.</t>
  </si>
  <si>
    <t>v_K2l7ops-tno</t>
  </si>
  <si>
    <t>A man is placing tiles on the floor.</t>
  </si>
  <si>
    <t>A woman appears, removing tiles from a box and talking about them.</t>
  </si>
  <si>
    <t>The woman kneels onto the ground, cutting and applying tiles.</t>
  </si>
  <si>
    <t>A man rolls a pressure roller over the finished floor before the woman returns, speaking about the finished product.</t>
  </si>
  <si>
    <t>v_mB90PudOrnU</t>
  </si>
  <si>
    <t>A girl is giving a small dog a bath.</t>
  </si>
  <si>
    <t>She has an orange bottle in her hand.</t>
  </si>
  <si>
    <t>v_g7IZWqeyM20</t>
  </si>
  <si>
    <t>A white intro screen appears with a red,white and black art swirl on the left side red and black words on the right that say "England Squash&amp;Racketball" and the website in black at the bottom.</t>
  </si>
  <si>
    <t>A man appears with a racket and he's talking to the camera as he hits a racketball then various small clips play afterwards that include him hitting the racketball as well as various other people playing, too.</t>
  </si>
  <si>
    <t>The outro screen appears and it's exactly like the white intro screen.</t>
  </si>
  <si>
    <t>v_T49ZxNX1DFM</t>
  </si>
  <si>
    <t>There are people throwing balls to each other in the pool.</t>
  </si>
  <si>
    <t>there are people swimming to the other side of the pool.</t>
  </si>
  <si>
    <t>v_jUPbimyUndA</t>
  </si>
  <si>
    <t>woman is walking wearing a bikini and eating a chocolate is snowy day.</t>
  </si>
  <si>
    <t>people are in sidewalk watching the girl walks.</t>
  </si>
  <si>
    <t>woman is in a restaurant wearing a bikini and two aiter are watching her.</t>
  </si>
  <si>
    <t>woman walks in a airport eating a restaurant.</t>
  </si>
  <si>
    <t>v_7lv1VOxIng4</t>
  </si>
  <si>
    <t>A little girl is putting makeup on her face.</t>
  </si>
  <si>
    <t>She puts lipstick on her lips.</t>
  </si>
  <si>
    <t>She puts mascara on her eyelashes.</t>
  </si>
  <si>
    <t>She sprays body spray on her shirt.</t>
  </si>
  <si>
    <t>She puts eye shadow on her eyes.</t>
  </si>
  <si>
    <t>v_iE3I2ICIvHE</t>
  </si>
  <si>
    <t>A gymnast is seen standing ready before a beam and then jumping on to perform a routine.</t>
  </si>
  <si>
    <t>The girl then performs several flips and tricks on the beam, ending with her jumping off the side with her legs together and holding her arms up.</t>
  </si>
  <si>
    <t>v_-AjZCBMb4qU</t>
  </si>
  <si>
    <t>A girl is seating in front of a table, playing an accordian.</t>
  </si>
  <si>
    <t>She stares at the camera as she plays the keyboard and pulls the accordian in and out.</t>
  </si>
  <si>
    <t>v_RisNywzGXt8</t>
  </si>
  <si>
    <t>A lady pulls and fixes her outfit.</t>
  </si>
  <si>
    <t>The lady messes with her hair.</t>
  </si>
  <si>
    <t>The lady tries on shoes while standing and sitting.</t>
  </si>
  <si>
    <t>v_IT9uvR9yjxI</t>
  </si>
  <si>
    <t>An intro is shown of maps and a house close up.</t>
  </si>
  <si>
    <t>Afterwards a close up of a roof is shown as well as logos.</t>
  </si>
  <si>
    <t>More pictures are shown of trucks parked as well as logos.</t>
  </si>
  <si>
    <t>v_YRRcCaxIoR4</t>
  </si>
  <si>
    <t>Pole Vault Greats is on the screen.</t>
  </si>
  <si>
    <t>There are several scenes of men and women pole vaulting.</t>
  </si>
  <si>
    <t>v_F4eF_nO2UFs</t>
  </si>
  <si>
    <t>Tools sit on a table and we see a person unpack a bike and assemble it.</t>
  </si>
  <si>
    <t>We see the man put a tire on the bike.</t>
  </si>
  <si>
    <t>A person tightens the holds on the handlebars.</t>
  </si>
  <si>
    <t>The man puts grease on the paddles and installs them before airing the tires.</t>
  </si>
  <si>
    <t>We then see the finished bike.</t>
  </si>
  <si>
    <t>The ending title screen is shown.</t>
  </si>
  <si>
    <t>v_DG9-yffcXS4</t>
  </si>
  <si>
    <t>A man is seen pulling shades off of a window and removing the bars around the sides.</t>
  </si>
  <si>
    <t>Another man assists him by putting newer bars into the window as well as cutting the boards so they fit.</t>
  </si>
  <si>
    <t>In the end the camera pans around the new roof showing off it's great results.</t>
  </si>
  <si>
    <t>v_ux4iT6vQQb0</t>
  </si>
  <si>
    <t>People run motocross on a bumpy road in the wood.</t>
  </si>
  <si>
    <t>A person climbs a bump with a motorcycle.</t>
  </si>
  <si>
    <t>Also people rides motorcycles on an unpaved flat surface.</t>
  </si>
  <si>
    <t>v_OtcJMIJTTx4</t>
  </si>
  <si>
    <t>A little girl stands on a diving board.</t>
  </si>
  <si>
    <t>Then the little girl jumps, flip and dives in the swimming pool.</t>
  </si>
  <si>
    <t>People are in the swimming pool.</t>
  </si>
  <si>
    <t>v_WltsIClflnA</t>
  </si>
  <si>
    <t>kid is swinging on a playground.</t>
  </si>
  <si>
    <t>woman runs to the swings and sits.</t>
  </si>
  <si>
    <t>woman stands and foot up.</t>
  </si>
  <si>
    <t>v_EOSvdsejPQQ</t>
  </si>
  <si>
    <t>A man is sitting on the stairs playing a harmonica.</t>
  </si>
  <si>
    <t>He stands up and continues playing it.</t>
  </si>
  <si>
    <t>Words come up on the screen.</t>
  </si>
  <si>
    <t>v_JBTiD2-FcR0</t>
  </si>
  <si>
    <t>A closeup of a bag of cement mix is shown.</t>
  </si>
  <si>
    <t>One man adds water into a container while another watches.</t>
  </si>
  <si>
    <t>The first man pours the cement mix into the container.</t>
  </si>
  <si>
    <t>The second man uses a mixer on the container.</t>
  </si>
  <si>
    <t>one of the men applies the mixture to a wall.</t>
  </si>
  <si>
    <t>v_Tovbyt_ZiIc</t>
  </si>
  <si>
    <t>Opening credits show the description of the video.</t>
  </si>
  <si>
    <t>A woman waves her hand and acknowledges her hair and face as she continues to talk.</t>
  </si>
  <si>
    <t>The woman has her hair down and starts styling her hair.</t>
  </si>
  <si>
    <t>She completes styling her hair and continues to talk.</t>
  </si>
  <si>
    <t>v_gV6W0rAHyZg</t>
  </si>
  <si>
    <t>There's a man in a white shirt standing in an open field doing a tutorial for Expert Village on how to play lacrosse.</t>
  </si>
  <si>
    <t>He is holding a lacrosse stick in his hands as he explains the techniques of the game.</t>
  </si>
  <si>
    <t>He makes hand gestures to demonstrate the correct method of holding the lacrosse stick for effective playing technique.</t>
  </si>
  <si>
    <t>v_bX8QXK9mjKA</t>
  </si>
  <si>
    <t>A large group of people are at a carnival playing in their own bumper cars and a few of them bump into one another and come to a stop.</t>
  </si>
  <si>
    <t>They laugh and begin to pull their bumper cars away from one another.</t>
  </si>
  <si>
    <t>The people start driving around again where they all continue to either bump into one another or just drive around.</t>
  </si>
  <si>
    <t>Eventually all the bumper cars come to a complete stop and the ride is over.</t>
  </si>
  <si>
    <t>v_BFICeyu5oMM</t>
  </si>
  <si>
    <t>Ingredients are sitting on a wooden block.</t>
  </si>
  <si>
    <t>A person starts mixing the ingredients together.</t>
  </si>
  <si>
    <t>Words come onto the screen at the end.</t>
  </si>
  <si>
    <t>v_rF1n8L571vM</t>
  </si>
  <si>
    <t>A logo with engine pistons is seen and a disclaimer is shown.</t>
  </si>
  <si>
    <t>Two women in gym exercise pants ride on stationary bikes in a gym together.</t>
  </si>
  <si>
    <t>v_i9g2MGNUVQI</t>
  </si>
  <si>
    <t>A woman is seen speaking to the camera and leads into the news interviewing a man.</t>
  </si>
  <si>
    <t>Several shots are then shown of two bulls fighting other while others watch and speak to the camera.</t>
  </si>
  <si>
    <t>v_f4s1ngeK5P4</t>
  </si>
  <si>
    <t>A person is seen wearing slippers and holding a stick in their hands.</t>
  </si>
  <si>
    <t>The person then begins walking around a room pushing the ball around with the stick.</t>
  </si>
  <si>
    <t>The person continues hitting the ball while walking around the room.</t>
  </si>
  <si>
    <t>v_Uofnmkfohkc</t>
  </si>
  <si>
    <t>A young child is seen riding a skateboard down a road following a group of older boys.</t>
  </si>
  <si>
    <t>Several shots of him riding around are shown as well as him failing and riding more.</t>
  </si>
  <si>
    <t>He fist bumps the camera man and more shots are shown of him riding around.</t>
  </si>
  <si>
    <t>v_F2Igw6lvqwk</t>
  </si>
  <si>
    <t>A girl is sitting at the bottom of the stairs while trying to put her shoes on.</t>
  </si>
  <si>
    <t>She looks off in the distance in a disgusted manor, at the same time appearing quite distracted.</t>
  </si>
  <si>
    <t>She finishes by tying up her shoe laces and laughing to herself and the person filming her.</t>
  </si>
  <si>
    <t>v_BhxKjirVF4Y</t>
  </si>
  <si>
    <t>A woman dressed in gym clothes is doing a tutorial on spinning in a gym.</t>
  </si>
  <si>
    <t>She is demonstrating the dumbbells that she will be using.</t>
  </si>
  <si>
    <t>She then demonstrates the exercise bike and continues to bike along with some other women at the gym.</t>
  </si>
  <si>
    <t>She explains how to do some rigorous exercise on the bike.</t>
  </si>
  <si>
    <t>there are several other women who are also biking on the exercise bike with her.</t>
  </si>
  <si>
    <t>v_cmM0li5O1t0</t>
  </si>
  <si>
    <t>We see a little girl water skiing.</t>
  </si>
  <si>
    <t>We see a man holding a child water skiing.</t>
  </si>
  <si>
    <t>The man lets go, and grabs her jacket again.</t>
  </si>
  <si>
    <t>The man points to the skis.</t>
  </si>
  <si>
    <t>The man lefts go and grabs the jacket again.</t>
  </si>
  <si>
    <t>v_yVK-GMdc9UA</t>
  </si>
  <si>
    <t>A man is smiling at the camera.</t>
  </si>
  <si>
    <t>He is ironing clothes on an ironing board.</t>
  </si>
  <si>
    <t>He flips the clothes over and irons the other side.</t>
  </si>
  <si>
    <t>v_gU81ZXdYh7o</t>
  </si>
  <si>
    <t>A boy in an orange shirt is standing in a room.</t>
  </si>
  <si>
    <t>He starts punching a punching bag.</t>
  </si>
  <si>
    <t>The punching bag moves in the air.</t>
  </si>
  <si>
    <t>v_irnvsfchQX8</t>
  </si>
  <si>
    <t>A boy paddles a boat.</t>
  </si>
  <si>
    <t>v_BwwjQZDn3NE</t>
  </si>
  <si>
    <t>A man is seen outside dancing to himself while wiping a rag on the car.</t>
  </si>
  <si>
    <t>The weather is pouring rain and the man continues to dance around the car holding a rag.</t>
  </si>
  <si>
    <t>The man moves to the front of the car followed by taking his shirt off and waving to the camera.</t>
  </si>
  <si>
    <t>v_XKvzx2cD9KY</t>
  </si>
  <si>
    <t>There is a large crowd shown clapping and two hosts speaking in the beginning.</t>
  </si>
  <si>
    <t>A line of men are then shown wearing sumo wrestling outfits.</t>
  </si>
  <si>
    <t>Two people get inside of the ring and begin fighting.</t>
  </si>
  <si>
    <t>The two people grab each other's necks and try to knock their opponent down to the ground.</t>
  </si>
  <si>
    <t>v_2wUKu5UIHmI</t>
  </si>
  <si>
    <t>The camera captures a close up of an older woman putting makeup on and smacking her lips to the camera.</t>
  </si>
  <si>
    <t>She then puts mascara on as well as more lipstick and nods her head back and fourth smiling.</t>
  </si>
  <si>
    <t>v_hmT9H0IjiGs</t>
  </si>
  <si>
    <t>A man wearing a white hat is demonstrating how to make a Caribbean drink.</t>
  </si>
  <si>
    <t>He shows a bowl filled with citrus fruits.</t>
  </si>
  <si>
    <t>He takes a lemon juicer and some lemons and limes and oranges.</t>
  </si>
  <si>
    <t>He then juices the oranges and lemon on the juicer.</t>
  </si>
  <si>
    <t>He then empties the juice a large cocktail bowl.</t>
  </si>
  <si>
    <t>He adds rum to the juice along with some vanilla extract.</t>
  </si>
  <si>
    <t>He also mixes in sugar and rum and whisks the drink.</t>
  </si>
  <si>
    <t>He finally adds a bowl full of water and stirs it well.</t>
  </si>
  <si>
    <t>He pours the beverage in cocktail glasses and places it on the kitchen counter.</t>
  </si>
  <si>
    <t>v_f14r3tC-Y4E</t>
  </si>
  <si>
    <t>A large boat is shown sailing through ocean water.</t>
  </si>
  <si>
    <t>A man in scuba gear climbs over the side.</t>
  </si>
  <si>
    <t>He works on pulling a large bag into the boat, trying not to capsize.</t>
  </si>
  <si>
    <t>v_KwhqAV_0o40</t>
  </si>
  <si>
    <t>A man dressed in snow gear is standing on a frozen body of water and bending over as he looks into a fish hole that his fishing pole is in.</t>
  </si>
  <si>
    <t>The man pulls on his fishing pole, goes on his knees, and continues to slowly pull the fishing pole up and the camera man who had already put the camera down bends down and grabs the fish and places it onto the ice.</t>
  </si>
  <si>
    <t>The man picks the camera up and angles the camera towards the fish on the ice and the man who was fishing is smiling, unhooks the fish then holds it up in the air.</t>
  </si>
  <si>
    <t>v_hRoHfDR4-e0</t>
  </si>
  <si>
    <t>People handles bulls in a rodeo ring, a man is throw to the air by a bull.</t>
  </si>
  <si>
    <t>People are throw by bulls to the ground while jumping and kicking with the back legs while people watch the rodeo.</t>
  </si>
  <si>
    <t>Several people riding bulls are throw to the ground while other people distract the bulls that jumps and kicks.</t>
  </si>
  <si>
    <t>v_1wqSUOGmpBs</t>
  </si>
  <si>
    <t>Two very large sumos are in an elevated circle doing leg warm ups and squatting while another man in the middle dressed in Japanese garb referees.</t>
  </si>
  <si>
    <t>The referee lets them know when to start and the sumos wrestle while the referee walks around the ring and monitors them.</t>
  </si>
  <si>
    <t>Finally one of the men is able to push another man out of the ring,they stop wrestling, the loser walks to his end and they bow to one another and both leave the ring.</t>
  </si>
  <si>
    <t>v_TtQPtLPTqBA</t>
  </si>
  <si>
    <t>A girl is pouring something into a sink.</t>
  </si>
  <si>
    <t>She walks away and wipes her hands on a towel.</t>
  </si>
  <si>
    <t>She pours the bowl into a bucket on the ground.</t>
  </si>
  <si>
    <t>She starts wiping the floor with a towel.</t>
  </si>
  <si>
    <t>She moves the bucket up to the front of the classroom and dumps it out.</t>
  </si>
  <si>
    <t>v_C8IEqXTBod0</t>
  </si>
  <si>
    <t>We see the title screen for the video.</t>
  </si>
  <si>
    <t>We change to a woman putting on her cold weather clothes.</t>
  </si>
  <si>
    <t>She grabs a shovel and walks away.</t>
  </si>
  <si>
    <t>We see the lady sitting and laying on a chair and reading.</t>
  </si>
  <si>
    <t>The lady is outside shoveling the snow and talking.</t>
  </si>
  <si>
    <t>We see articles online about shoveling.</t>
  </si>
  <si>
    <t>The lady is jumping and warming up.</t>
  </si>
  <si>
    <t>We see a snowy city and then people shoveling snow.</t>
  </si>
  <si>
    <t>v_0JpULUYPDX0</t>
  </si>
  <si>
    <t>A person is seen standing on a court holding a tennis racket.</t>
  </si>
  <si>
    <t>The man then demonstrates several moves with the tennis racket and hitting the ball to another.</t>
  </si>
  <si>
    <t>The two continuously hit the ball back and fourth to one another.</t>
  </si>
  <si>
    <t>v_kWPvAxLzGw8</t>
  </si>
  <si>
    <t>A woman is sitting down wearing green sunglasses.</t>
  </si>
  <si>
    <t>She is talking on the cell phone.</t>
  </si>
  <si>
    <t>She is riding in a car.</t>
  </si>
  <si>
    <t>She is laying on a chair getting her foot tattooed.</t>
  </si>
  <si>
    <t>She is showing her foot tattoo.</t>
  </si>
  <si>
    <t>She is sitting outside talking again.</t>
  </si>
  <si>
    <t>v_Yp9DBq34bFQ</t>
  </si>
  <si>
    <t>A woman is seen squeezing lotion out of a bottle onto her skin and rubbing it into her arms.</t>
  </si>
  <si>
    <t>More pictures are shown on the screen of people and lotions as well as steps on how to use it properly.</t>
  </si>
  <si>
    <t>v_p9yq0kAqGU4</t>
  </si>
  <si>
    <t>Men pull a rope in a game of tug of war.</t>
  </si>
  <si>
    <t>A lady bends down to take a photo and a lady walks and films the even.</t>
  </si>
  <si>
    <t>We see a tower in the field.</t>
  </si>
  <si>
    <t>The men let go of the rope, one man falls and claps.</t>
  </si>
  <si>
    <t>A man smiles and gives a thumbs up to the camera.</t>
  </si>
  <si>
    <t>v_zlOErVVHKEk</t>
  </si>
  <si>
    <t>People are playing a game in a field.</t>
  </si>
  <si>
    <t>The man with the mallet and the man with the red hat run back and forth.</t>
  </si>
  <si>
    <t>A man with a blue shirt runs toward home plate.</t>
  </si>
  <si>
    <t>The man with the mallet is shown getting hit in slow motion.</t>
  </si>
  <si>
    <t>A woman is up to bat and is shown running after getting a hit.</t>
  </si>
  <si>
    <t>v_FPbPkjLAEzs</t>
  </si>
  <si>
    <t>A man is parasailing on the ocean.</t>
  </si>
  <si>
    <t>Other people also begin sailing in the water, some falling over.</t>
  </si>
  <si>
    <t>v_xC9s-_MNO_Q</t>
  </si>
  <si>
    <t>We see a man decorating a Christmas tree.</t>
  </si>
  <si>
    <t>The man adds a string of lights.</t>
  </si>
  <si>
    <t>A little girl ads bulbs to the tree.</t>
  </si>
  <si>
    <t>The man turns the lights on.</t>
  </si>
  <si>
    <t>The man and the girl add bulbs to the tree.</t>
  </si>
  <si>
    <t>The lady goes up and own the stairs.</t>
  </si>
  <si>
    <t>The lady adds ornaments to the tree.</t>
  </si>
  <si>
    <t>The man stands on a ladder and adds ornaments.</t>
  </si>
  <si>
    <t>The lady turns off the lights and the family looks at the tree together.</t>
  </si>
  <si>
    <t>The man and woman kiss each other.</t>
  </si>
  <si>
    <t>v_scapZQe6_Iw</t>
  </si>
  <si>
    <t>Two men are standing on a field behind a row of houses.</t>
  </si>
  <si>
    <t>One swings a bat and runs onto the field, chasing a ball.</t>
  </si>
  <si>
    <t>The ball is thrown back to the batter, and he continues the game of cricket with his team mates.</t>
  </si>
  <si>
    <t>v_0H_9zlnmW4U</t>
  </si>
  <si>
    <t>A man is seen standing in a large field and leads into him moving his arms and legs around the area.</t>
  </si>
  <si>
    <t>The man continues moving around the area moving his hands up and down and looking off into the distance.</t>
  </si>
  <si>
    <t>v_JDfFAljt4JM</t>
  </si>
  <si>
    <t>Two people are seen doing a ballet dance on stage followed by a woman doing a dance while others watch on the side.</t>
  </si>
  <si>
    <t>The woman continue spinning with the man walking in and out of frame and ends with her bowing to the audience.</t>
  </si>
  <si>
    <t>v_08wKlw4a_so</t>
  </si>
  <si>
    <t>A black dog walks on a lawn.</t>
  </si>
  <si>
    <t>A lady rakes leaves from the lawn onto the pavement sidewalk.</t>
  </si>
  <si>
    <t>The lady stops raking, turns around, and talks plus gestures.</t>
  </si>
  <si>
    <t>A white ball rolls to a parked car.</t>
  </si>
  <si>
    <t>v_xpEbejnuGEY</t>
  </si>
  <si>
    <t>A woman is seen kneeling into frame next to a patio set.</t>
  </si>
  <si>
    <t>She then shows off various cleaning tools an rubs them along a chair.</t>
  </si>
  <si>
    <t>She brings the chair inside and pours paint into a bucket and paints along the side.</t>
  </si>
  <si>
    <t>She shows off the chair outside again while speaking to the camera.</t>
  </si>
  <si>
    <t>v_K4F8I74OM-Y</t>
  </si>
  <si>
    <t>A brunette woman newscaster is wearing a white shirt and royal blue blazer over it and is speaking into the camera.</t>
  </si>
  <si>
    <t>A clip begins and it features people running and the words on the screen say they are novices who are training to run a marathon in Tel Aviv, Israel.</t>
  </si>
  <si>
    <t>A man appears training them and different marathoners in training take turns being interviewed while they continue to switch back and forth to everyone going through the training.</t>
  </si>
  <si>
    <t>The last clip is the view from the start of a marathon and hundreds of people start running as they leave the start line.</t>
  </si>
  <si>
    <t>v_LChqFAESyCg</t>
  </si>
  <si>
    <t>There's a young girl standing in her bathroom doing a tutorial on how to apply lipstick.</t>
  </si>
  <si>
    <t>she opens her mirror cabinet and takes her lipstick out.</t>
  </si>
  <si>
    <t>She begins applying the lipstick on her lips.</t>
  </si>
  <si>
    <t>Then she uses the same lipstick and dabs it on her cheeks.</t>
  </si>
  <si>
    <t>She uses her fingers to smear the lipstick evenly on her cheek bones.</t>
  </si>
  <si>
    <t>Then she pouts and smiles for the camera, striking a pose.</t>
  </si>
  <si>
    <t>v_H2KVO7LWU5w</t>
  </si>
  <si>
    <t>A toddler is holding a leaf blower.</t>
  </si>
  <si>
    <t>A teen is raking the lawn.</t>
  </si>
  <si>
    <t>A teen tosses a rake full of leaves at the toddler.</t>
  </si>
  <si>
    <t>v_b39hqdpOn7k</t>
  </si>
  <si>
    <t>A still shot picture of a man appears while a lot of white words go scrolling from the bottom to the top.</t>
  </si>
  <si>
    <t>The man is now in an enclosed ad small racquetball court area and he's going through the motions of hitting a ball with his racquet with the words "not recommended" in the upper left corner.</t>
  </si>
  <si>
    <t>A screen quickly appears and it has white text that say "please subscribe to this youtube channel".</t>
  </si>
  <si>
    <t>The man is then shown again playing racquetball on the court until the outro screen appears and it includes a lot of white wording that is scrolling from the bottom to the top.</t>
  </si>
  <si>
    <t>v_skSPijG9sgU</t>
  </si>
  <si>
    <t>A few kids are seen standing on a stage followed by the children pushing a puck along the ice.</t>
  </si>
  <si>
    <t>Several people are shown playing the game around them and panning to the audience reacting as well as people standing on the sides.</t>
  </si>
  <si>
    <t>v_puGw7gu96AM</t>
  </si>
  <si>
    <t>A man comes out of a gate on a horse.</t>
  </si>
  <si>
    <t>He lassos and ropes a calf.</t>
  </si>
  <si>
    <t>He then jumps down and ties the calf.</t>
  </si>
  <si>
    <t>v_2Q0WGQbJbso</t>
  </si>
  <si>
    <t>A person plays a violin in front of a huge crowd of people.</t>
  </si>
  <si>
    <t>The people give him a standing ovation at the end.</t>
  </si>
  <si>
    <t>v_uMQEaWGQvrc</t>
  </si>
  <si>
    <t>A man on a diving board walks to the end.</t>
  </si>
  <si>
    <t>the man bounces on the board two times then dives into the water.</t>
  </si>
  <si>
    <t>The man surfaces and swims towards the edge of the pool.</t>
  </si>
  <si>
    <t>v_rHUCx_JqNk4</t>
  </si>
  <si>
    <t>a woman with pink hair is posing for the camera.</t>
  </si>
  <si>
    <t>She brushes out her hair with her hands before separating it into sections.</t>
  </si>
  <si>
    <t>She then braids the hair down the side of her head.</t>
  </si>
  <si>
    <t>v_Nj_fvFbf56I</t>
  </si>
  <si>
    <t>A little boy runs across a hopscotch on the ground.</t>
  </si>
  <si>
    <t>He returns to the beginning, and tries to jump.</t>
  </si>
  <si>
    <t>He hops all the way to the end.</t>
  </si>
  <si>
    <t>v_XzYtm5WdAE8</t>
  </si>
  <si>
    <t>A man is seen standing in a large field behind a piece of heavy machinery.</t>
  </si>
  <si>
    <t>The man pushes the machine along some tall grass while the camera follows his movements.</t>
  </si>
  <si>
    <t>The man continues pushing along the high grass.</t>
  </si>
  <si>
    <t>v_7D5ItfgJFVw</t>
  </si>
  <si>
    <t>The white rabbit is in the cage.</t>
  </si>
  <si>
    <t>The rabbit is cleaning its hands by licking it.</t>
  </si>
  <si>
    <t>The rabbit cleaned his back and then wend down to the first floor of his cage.</t>
  </si>
  <si>
    <t>v_OqoUemFpetc</t>
  </si>
  <si>
    <t>Two teams playing throwing balls to hit an opponent.</t>
  </si>
  <si>
    <t>The players hold two balls and throw each other to hit and opponent.</t>
  </si>
  <si>
    <t>A boy holding a ball throw to another player and the opponents also throws ball.</t>
  </si>
  <si>
    <t>v_ktYgm8bRK-g</t>
  </si>
  <si>
    <t>A woman begins walking down a cobble stone sidewalk with brown boots and then she is seen twirling a hula hoop.</t>
  </si>
  <si>
    <t>With the hula hoop,the girl begins flipping and dancing with it between her legs.</t>
  </si>
  <si>
    <t>She progresses and adds another hula hip and both of them go on at the same time.</t>
  </si>
  <si>
    <t>In her next setting,she has about five around her body and continues to dance.</t>
  </si>
  <si>
    <t>She continues to do the same thing with different amounts and with other body parts as people come and take pictures of her displaying her talent.</t>
  </si>
  <si>
    <t>Lastly, another small videos appears showing advertisements for the Jump Rope sisters youtube page.</t>
  </si>
  <si>
    <t>v_cCISvaObBxI</t>
  </si>
  <si>
    <t>Two teams play soccer in an indoor soccer court, the team wearing white t-shirt wins the competition.</t>
  </si>
  <si>
    <t>The player scores and celebrate with a teammate.</t>
  </si>
  <si>
    <t>Other teams plays soccer, a player with white uniform receives a ball and score.</t>
  </si>
  <si>
    <t>Two teams play soccer, and the player with the yellow uniform scores.</t>
  </si>
  <si>
    <t>Two team of girls compete, a girl with red uniform scores and the team wins.</t>
  </si>
  <si>
    <t>Then, a player with a white uniform scores with a spectacular movement.</t>
  </si>
  <si>
    <t>v_waF8oGaQqvI</t>
  </si>
  <si>
    <t>A special effect intro appears and a blue word appears in the middle of the screen and say's "Howcast".</t>
  </si>
  <si>
    <t>A woman is lying on a bed in a business with a man sitting next to her and a list of things pop up on the screen under the words "YOU WILL NEED" appear on the screen.</t>
  </si>
  <si>
    <t>The woman is shown doing various things as steps show up under each action she does, and even tips appear on the screen that lead up to the woman laying on the bed as a man tattoos her.</t>
  </si>
  <si>
    <t>When he's done tattooing her he holds up a white bottle with a green cap and talks to her while showing it and white words appear on the screen giving a warning that "Applying too much topical anesthetic and then covering the tattoo can cause seizures".</t>
  </si>
  <si>
    <t>The woman stands up to show her tattoo and the woman is briefly shown sunbathing with the tattoo covered up.</t>
  </si>
  <si>
    <t>A close up of her tattoo is shown and words appear over it that say's "Democrats are more likely to have tattoos", then a white screen appears with the blue words in the middle that say "Howcast".</t>
  </si>
  <si>
    <t>v_lJ02cAklA6o</t>
  </si>
  <si>
    <t>A man is seated while someone buffs his shoes.</t>
  </si>
  <si>
    <t>The person uses a brush to clean his shoes thorougly.</t>
  </si>
  <si>
    <t>Then they use polish to shine them.</t>
  </si>
  <si>
    <t>v_yVsOoFr61x4</t>
  </si>
  <si>
    <t>A young girl is seen walking to the end of a diving board with several other people around her.</t>
  </si>
  <si>
    <t>The girl puts her arms up and then dives into the pool.</t>
  </si>
  <si>
    <t>She's seen again coming to the surface in the pool and swimming over to the edge.</t>
  </si>
  <si>
    <t>v_NGF0rQiDxNk</t>
  </si>
  <si>
    <t>A female gymnast is spinning and jumping on a pair of high beams as her coach watches, prepared to catch her.</t>
  </si>
  <si>
    <t>He steps onto the beam as she dismounts, arms in the air.</t>
  </si>
  <si>
    <t>v_NV2scxevYKk</t>
  </si>
  <si>
    <t>Two men do maneuvers on a canoe pivoting the canoe helping with the paddlers.</t>
  </si>
  <si>
    <t>Then, the men pivot the canoe away from the bow paddlers while paddling fast the oars.</t>
  </si>
  <si>
    <t>After, the men slides the canoe forward using the oars to advance.</t>
  </si>
  <si>
    <t>Next, the men sail on the river until arrive to the bank of the river.</t>
  </si>
  <si>
    <t>v_Vfb3LmFDols</t>
  </si>
  <si>
    <t>We see a man in BMX bike arena talking.</t>
  </si>
  <si>
    <t>We see people bring bikes up a ramp.</t>
  </si>
  <si>
    <t>We see people start when the gate opens.</t>
  </si>
  <si>
    <t>We then see people riding bikes.</t>
  </si>
  <si>
    <t>We see a man wipe dirt from his hair and turn off the camera.</t>
  </si>
  <si>
    <t>v_Xf8y5_b2dq4</t>
  </si>
  <si>
    <t>A man is seen holding onto a paint machine and spraying it around all the furniture.</t>
  </si>
  <si>
    <t>He continues painting around the area while the camera pans around his movements.</t>
  </si>
  <si>
    <t>He finishes the painting and the camera pans around the furniture.</t>
  </si>
  <si>
    <t>v_QEdbqJijx1w</t>
  </si>
  <si>
    <t>A woman is seen speaking to the camera while sitting in a chair.</t>
  </si>
  <si>
    <t>She then holds up a contact lens and puts one in her eye.</t>
  </si>
  <si>
    <t>She puts another contact in her eye and smiles to the camera.</t>
  </si>
  <si>
    <t>v_blSOfdlqJtY</t>
  </si>
  <si>
    <t>A large group of people are seen playing around a gymnasium throwing balls at one another and bouncing around.</t>
  </si>
  <si>
    <t>The people continue throwing balls when one hits the camera and shows a persons face.</t>
  </si>
  <si>
    <t>The game continues on with the people throwing balls around and people watching on the sides.</t>
  </si>
  <si>
    <t>v_s0YJOzALDNg</t>
  </si>
  <si>
    <t>A group of people are under a covering.</t>
  </si>
  <si>
    <t>They are riding around in a series of bumper cars.</t>
  </si>
  <si>
    <t>The cars bump into each other as they drive around.</t>
  </si>
  <si>
    <t>v_UxlDSfC7S-0</t>
  </si>
  <si>
    <t>A bag of Spill Master Absorbant is shown on the screen.</t>
  </si>
  <si>
    <t>A man stands in a warehouse talking to the camera and pours some liquid on the ground.</t>
  </si>
  <si>
    <t>He takes a bowl of some material and sprinkled it over the spills.</t>
  </si>
  <si>
    <t>He then sweeps up the material with a broom and dust pan.</t>
  </si>
  <si>
    <t>v__-zOtZZ_fwI</t>
  </si>
  <si>
    <t>A woman is video taping some men in a living room getting jackets on.</t>
  </si>
  <si>
    <t>One of the men motions the the camera person to follow him as he grabs a broom and walks down a hall and out a door to a snow covered parking lot.</t>
  </si>
  <si>
    <t>They walk out into the parking lot as another man comes outside.</t>
  </si>
  <si>
    <t>The man with the broom brushes snow off of an SUV as another man does the same at a car next to him.</t>
  </si>
  <si>
    <t>v_cdiazgshHuc</t>
  </si>
  <si>
    <t>A girl holds up a brush and walks up to the horse.</t>
  </si>
  <si>
    <t>The girl brushes of the coat of the horse in a stable.</t>
  </si>
  <si>
    <t>The girl removes the ankle braces from the horse.</t>
  </si>
  <si>
    <t>The girl wraps up the braces together an puts them away.</t>
  </si>
  <si>
    <t>A horse sticks his head out from a stable and a man watches.</t>
  </si>
  <si>
    <t>v_dth80jcqPxU</t>
  </si>
  <si>
    <t>Several types of shot put throws and terminology are demonstrated.</t>
  </si>
  <si>
    <t>The different throws show different block types.</t>
  </si>
  <si>
    <t>These are used in various sling types.</t>
  </si>
  <si>
    <t>Some names of some of the throws are the glide shot, the spin Shot, and the stand throw.</t>
  </si>
  <si>
    <t>v_6VW7ZPurE7c</t>
  </si>
  <si>
    <t>A small dog is seen wearing an outfit and walking on two legs while people stand around him and watch.</t>
  </si>
  <si>
    <t>The dog continues walking around and looking around as people watch.</t>
  </si>
  <si>
    <t>v_EOradtej9GU</t>
  </si>
  <si>
    <t>A mountain full of snow appears and a man begins skiing down the slopes.</t>
  </si>
  <si>
    <t>As he skis,more men appear before he reappears by himself.</t>
  </si>
  <si>
    <t>Once alone,the man skis rapidly down the slopes and does spins and kneels as he skis.</t>
  </si>
  <si>
    <t>Eventually,he goes to fast and ends up flipping over into a pile of snow.</t>
  </si>
  <si>
    <t>v_FaKQvJBhMPg</t>
  </si>
  <si>
    <t>A man and a woman are sitting in two separate floating donuts, the man in the blue, the woman in the green, and both are smiling then the man raises his left arm to wave.</t>
  </si>
  <si>
    <t>A group of people are also on different colored floating donuts, playing, falling in the water and having a good time.</t>
  </si>
  <si>
    <t>A brown haired woman standing in a pile of floating donuts is holding a mic and talking, and other clips begin to play that include scenery of the lake, interviewing various people of ages and both sexes, people walking with their floating donuts, signs at the lake, people having fun and etcetera.</t>
  </si>
  <si>
    <t>The woman is now sitting in a green floating donut, still holding the mic, and still talking.</t>
  </si>
  <si>
    <t>A white screen appears appears with a maroon and white logo, then it changes to another white screen that has a blue website in the middle of it.</t>
  </si>
  <si>
    <t>v_DMUFb7gvUx4</t>
  </si>
  <si>
    <t>Men travel in a plane and arrives to the top of a mountain.</t>
  </si>
  <si>
    <t>Then, men get down the plane and ski down the hill.</t>
  </si>
  <si>
    <t>A person ski behind a man down the slope of the mountain.</t>
  </si>
  <si>
    <t>A snow removal clear the snow of the road.</t>
  </si>
  <si>
    <t>After, the men ski down the hill in middle of the trees.</t>
  </si>
  <si>
    <t>The men ski in a wood area that is uneven.</t>
  </si>
  <si>
    <t>v_56kqqlco5H0</t>
  </si>
  <si>
    <t>A gymnast wearing a blue outfit climes onto the a balance beam and performs a hand stand with a split in a competition in front of a huge American flag.</t>
  </si>
  <si>
    <t>The gymnast proceeds on the balance beam and performs a front somersault and then three consecutive backward somersaults in a row.</t>
  </si>
  <si>
    <t>The gymnast continues with her performance on the parallel bar with spin moves, jump moves and dance moves.</t>
  </si>
  <si>
    <t>The gymnast prepares for the dismount at one end of the parallel bar does a forward somersault on the parallel bar and a somersault with a spin and lands the dismount perfectly.</t>
  </si>
  <si>
    <t>v_nOJUyDGq_l0</t>
  </si>
  <si>
    <t>A group of men are gathered in a circle in a room.</t>
  </si>
  <si>
    <t>They shake each other's hands, then start fighting in the ring of people.</t>
  </si>
  <si>
    <t>They spin and kick, never actually hitting each other.</t>
  </si>
  <si>
    <t>When they finish the group comes together, clapping as a group.</t>
  </si>
  <si>
    <t>v_2zl0O1VRDC4</t>
  </si>
  <si>
    <t>A person puts sealing material around steel planks and a roof.</t>
  </si>
  <si>
    <t>Then, the man paints a roof with black paint.</t>
  </si>
  <si>
    <t>v_U2td95KJU7Y</t>
  </si>
  <si>
    <t>A boy stand on a pool diving board in an Olympic competition.</t>
  </si>
  <si>
    <t>Then, the boy jumps and does four flips in the air and falls into the water.</t>
  </si>
  <si>
    <t>The crowd applaud the boy holding British flags.</t>
  </si>
  <si>
    <t>A man hugs the boy who looks happy, and the boy walks around.</t>
  </si>
  <si>
    <t>The boy jumps from a diving board and does four flips in the air before gets into the water.</t>
  </si>
  <si>
    <t>v_bWCIcijlgCo</t>
  </si>
  <si>
    <t>The video begins with several shots of people riding down long roads on skateboards in fast motion as well as slow.</t>
  </si>
  <si>
    <t>The people perform various jumps and tricks down these long and winding roads and shows the boarder speaking into the camera.</t>
  </si>
  <si>
    <t>v_LrwBGQ9B0Vg</t>
  </si>
  <si>
    <t>A group of fish swim around in the ocean floor.</t>
  </si>
  <si>
    <t>A long yellow fish passes the camera.</t>
  </si>
  <si>
    <t>Scuba divers gather on a boat as a man speaks.</t>
  </si>
  <si>
    <t>We see several fish and a shark.</t>
  </si>
  <si>
    <t>The scuba divers dive, looking at the fish and waving at the camera.</t>
  </si>
  <si>
    <t>v_7BM40jqPYgA</t>
  </si>
  <si>
    <t>A boy makes repairs to a disassembled bicycle with the use of a solder in a backyard near the back steps of a house.</t>
  </si>
  <si>
    <t>A boy enters the scene and pulls on a pair of gloves while wearing a sports protective mask, turns on a blue machine on the back steps and picks up a solder.</t>
  </si>
  <si>
    <t>The boy then begins to solder a disassembled bicycle on the ground in a backyard.</t>
  </si>
  <si>
    <t>The boy then gets up and walks out of the scene after lifting the lid on his mask.</t>
  </si>
  <si>
    <t>v_U0IJmOHoa1M</t>
  </si>
  <si>
    <t>The cricket team of Sri Lanka is playing against another country.</t>
  </si>
  <si>
    <t>the cricketers are playing a competitive game in the field.</t>
  </si>
  <si>
    <t>The Sri Lanka team is represented by the blue uniform.</t>
  </si>
  <si>
    <t>The batsman scores four runs as the bowler throws an overhand ball.</t>
  </si>
  <si>
    <t>The video shows different cricket matches taking place where Sri Lanka is playing against teams from different countries.</t>
  </si>
  <si>
    <t>The stadium is filled with spectators cheering for the cricketers.</t>
  </si>
  <si>
    <t>The match goes on full swing as the batsmen score four runs.</t>
  </si>
  <si>
    <t>The fielder runs to catch the ball after the batsman hits it high, almost catching the ball to make him clean bold.</t>
  </si>
  <si>
    <t>v_iiY3TE2O1QE</t>
  </si>
  <si>
    <t>A camera is held by someone under water and swimming in the ocean.</t>
  </si>
  <si>
    <t>It pans to several shots of men playing soccer on a beach and kick the ball around.</t>
  </si>
  <si>
    <t>The camera pans over the ball followed by several more shots of the man playing.</t>
  </si>
  <si>
    <t>v_MyqWp3ipXxA</t>
  </si>
  <si>
    <t>A large rock is shown followed by people moving around objects and leading into a new segment.</t>
  </si>
  <si>
    <t>A man is then seen cutting up a pumpkin while a woman speaks and leads into a weather report.</t>
  </si>
  <si>
    <t>The man then shows the pumpkin around a group of people as well as close up.</t>
  </si>
  <si>
    <t>v_ohNtDBYmhX0</t>
  </si>
  <si>
    <t>A male skateboarder is skating, he jumped on the railing and then slipped and fell on his back and a hand helped him up.</t>
  </si>
  <si>
    <t>A boy jumped in a platform with his skateboard and slipped and fell.</t>
  </si>
  <si>
    <t>The skateboarders jumped on the platform or railings and slipped and fell on the ground.</t>
  </si>
  <si>
    <t>v_nfTFGY2n_io</t>
  </si>
  <si>
    <t>A family talks about making healthy food.</t>
  </si>
  <si>
    <t>They start by making smoothies and read ingredients from coconut sugar.</t>
  </si>
  <si>
    <t>They blend food and prepare the food and then blend the smoothie.</t>
  </si>
  <si>
    <t>v_m7XKITsRtVw</t>
  </si>
  <si>
    <t>A man and a woman are drinking coffee outside next to a camper.</t>
  </si>
  <si>
    <t>The man is playing guitar.</t>
  </si>
  <si>
    <t>The woman walks to the camera and starts showing off paper documents.</t>
  </si>
  <si>
    <t>She throws the papers and walks back to the man.</t>
  </si>
  <si>
    <t>v_PLgcXxX3A2A</t>
  </si>
  <si>
    <t>A boy on a team throws a basketball at other team members.</t>
  </si>
  <si>
    <t>Others join in, some falling as they are hit with the ball.</t>
  </si>
  <si>
    <t>v_8ClpQ4q6NmM</t>
  </si>
  <si>
    <t>A man is seen kneeling down next to a dog scrubbing his back while another man pours water over the dog's body.</t>
  </si>
  <si>
    <t>The man continues scrubbing as the other pours water and ends with the dog running away.</t>
  </si>
  <si>
    <t>v_j_vP89LZlp8</t>
  </si>
  <si>
    <t>A woman brushes her long hair at home.</t>
  </si>
  <si>
    <t>The woman sits down on the sofa.</t>
  </si>
  <si>
    <t>The woman gets up and turns away.</t>
  </si>
  <si>
    <t>The person turns around walks out of view.</t>
  </si>
  <si>
    <t>v_-vDMeHr1ZfI</t>
  </si>
  <si>
    <t>a lot of desserts are in a sliding belt in a counter.</t>
  </si>
  <si>
    <t>a sunset in a beach and in a lake is shown.</t>
  </si>
  <si>
    <t>people is doing kayaking in a lake going though the lake with big gren vegetation.</t>
  </si>
  <si>
    <t>v_rggwT0-G5sk</t>
  </si>
  <si>
    <t>Two young men are shown running back and fourth down a court hitting a tennis ball.</t>
  </si>
  <si>
    <t>They keep hitting the ball against the wall and chasing the ball around.</t>
  </si>
  <si>
    <t>One pauses and hits the ball on his racket and again throws it for the boys to play.</t>
  </si>
  <si>
    <t>One falls down on the ground towards the end and the other helps him up.</t>
  </si>
  <si>
    <t>v_WQAVlmS5IWs</t>
  </si>
  <si>
    <t>A woman talks to the camera while bathing a baby in the bathtub.</t>
  </si>
  <si>
    <t>The woman demonstrates a small scrubbing pad to the camera.</t>
  </si>
  <si>
    <t>The woman uses the pad on the baby.</t>
  </si>
  <si>
    <t>v_6Dt510HMEWA</t>
  </si>
  <si>
    <t>Some people are floating on the ocean on a yellow raft.</t>
  </si>
  <si>
    <t>They float by large rocks and cliffs.</t>
  </si>
  <si>
    <t>v_g8Yx4qWzNH0</t>
  </si>
  <si>
    <t>A man is bent down on a mat.</t>
  </si>
  <si>
    <t>He picks up a large weight and lifts it over his head.</t>
  </si>
  <si>
    <t>He drops the weight onto the ground.</t>
  </si>
  <si>
    <t>A man in a blue shirt claps.</t>
  </si>
  <si>
    <t>v_J8WxSDLZwu0</t>
  </si>
  <si>
    <t>This baby hits the ball and falls down.</t>
  </si>
  <si>
    <t>Then he gets back up and grabs the stick to attempt hitting the ball again.</t>
  </si>
  <si>
    <t>Next he falls again and gets back up while holding the stick and he grabs the ball hitting it really far.</t>
  </si>
  <si>
    <t>v_ZazjI26IQUo</t>
  </si>
  <si>
    <t>A parent is tattooing their very small child that looks like he is about 3 .</t>
  </si>
  <si>
    <t>He is crying because it hurts and his mean mother is keeping him held down while they tattoo his arm.</t>
  </si>
  <si>
    <t>They keep going with the tattoo it is on his upper arm but you can't tell what they are tattooing.</t>
  </si>
  <si>
    <t>The artist grabs something green and starts to shake it.</t>
  </si>
  <si>
    <t>v_dI1RqUHyWYo</t>
  </si>
  <si>
    <t>Several people at an indoor pool jump off of a diving board into the pool water below exhibiting a mix of advanced diving techniques and diving technique mishaps.</t>
  </si>
  <si>
    <t>Several divers jump off of the diving board into the water below performing many techniques including flips.</t>
  </si>
  <si>
    <t>More, less successful dives are shown near the end of the clip before the scene fades to black.</t>
  </si>
  <si>
    <t>v_29k1TypoU4w</t>
  </si>
  <si>
    <t>A man is seen kneeling on a mat and demonstrating how to do a proper exercise but moving his arms and legs.</t>
  </si>
  <si>
    <t>The man moves back and fourth while moving his arms and legs and speaking to the camera.</t>
  </si>
  <si>
    <t>v_0gA_3BAxtVM</t>
  </si>
  <si>
    <t>People are riding bicycles around a dirt track.</t>
  </si>
  <si>
    <t>Two men crash into each other and fall down.</t>
  </si>
  <si>
    <t>Several people crash into each other and fall down on the track.</t>
  </si>
  <si>
    <t>v_54Hp_Z-cu-s</t>
  </si>
  <si>
    <t>People are interacting in a track field.</t>
  </si>
  <si>
    <t>The marching band are walking with their instruments down a track.</t>
  </si>
  <si>
    <t>The drummers are performing as they walk.</t>
  </si>
  <si>
    <t>v_HMc2QoiQcoA</t>
  </si>
  <si>
    <t>A woman is seated on a bed in a bedroom.</t>
  </si>
  <si>
    <t>She runs her hands through her hair as she talks.</t>
  </si>
  <si>
    <t>She opens a cigarette case and smokes a cigarette while she talks.</t>
  </si>
  <si>
    <t>v_HGG_st1NOYM</t>
  </si>
  <si>
    <t>Women in bikinis are playing volleyball on the beach.</t>
  </si>
  <si>
    <t>One of the women falls onto the sand.</t>
  </si>
  <si>
    <t>They pose for a picture on the beach.</t>
  </si>
  <si>
    <t>v_PlSk7Q9v15A</t>
  </si>
  <si>
    <t>We see two opening title screens.</t>
  </si>
  <si>
    <t>We see a man behind a bar talking.</t>
  </si>
  <si>
    <t>The man adds ice to a martin glass and a tall glass.</t>
  </si>
  <si>
    <t>the man adds three shots to the glass and shakes it.</t>
  </si>
  <si>
    <t>The man puts a strainer on the glass and pours the ice out of the martini glass.</t>
  </si>
  <si>
    <t>The man pours the lime green drink in the martini glass and adds a cherry and straw.</t>
  </si>
  <si>
    <t>We see the closing screen.</t>
  </si>
  <si>
    <t>v_loUYsxA2RHg</t>
  </si>
  <si>
    <t>An elderly man is setting up his camera and then goes off to get on his riding mower.</t>
  </si>
  <si>
    <t>He appears on the left side riding down the sidewalk until he reaches his lawn.</t>
  </si>
  <si>
    <t>He makes a turn and starts working through the grass, going in circles until he reaches the center of the lawn.</t>
  </si>
  <si>
    <t>He then goes back and reaches a small patch of grass that he missed the first time.</t>
  </si>
  <si>
    <t>He goes back through one more time making sure that he didn't miss any spots, and gets off his lawn mower to turn the camera off.</t>
  </si>
  <si>
    <t>v_6rG5dBgwBDc</t>
  </si>
  <si>
    <t>Snowflakes are shown falling down the screen before we see a christmas tree.</t>
  </si>
  <si>
    <t>A woman is talking before she starts preparing and decorating the tree.</t>
  </si>
  <si>
    <t>She applies a plethora of ornaments and lights, and the tree is shown several different states of decoration.</t>
  </si>
  <si>
    <t>v_kHSCvFav1p4</t>
  </si>
  <si>
    <t>Two people are seen standing around a gym hitting a birdie to one another.</t>
  </si>
  <si>
    <t>The men hit the object back and fourth while others watch on the side.</t>
  </si>
  <si>
    <t>The people continue to watch the two play and one off the side takes his shirt off.</t>
  </si>
  <si>
    <t>v_uZC3WPkta-I</t>
  </si>
  <si>
    <t>A group of people are outside playing a game of croquet in the yard.</t>
  </si>
  <si>
    <t>One of the women in a kirt has her hand behind her back just watching them play.</t>
  </si>
  <si>
    <t>The other woman is the only female playing, she take her turn and then it's back to the men.</t>
  </si>
  <si>
    <t>The man in sandals hit the black ball and then it is once again the woman's turn.</t>
  </si>
  <si>
    <t>v_p4RUPQAV0ro</t>
  </si>
  <si>
    <t>A man walks up and picks up a weight.</t>
  </si>
  <si>
    <t>He lifts it up to his shoulders and then over his head.</t>
  </si>
  <si>
    <t>A person stands up and puts his fist in the air.</t>
  </si>
  <si>
    <t>Another man next to him picks up a weight and lifts it over his head.</t>
  </si>
  <si>
    <t>The men shake hands before walking off.</t>
  </si>
  <si>
    <t>v_2zQk4ZEfzf4</t>
  </si>
  <si>
    <t>A man is seen standing in a sand pit and begins spinning around and throwing the object.</t>
  </si>
  <si>
    <t>The man is shown several times spinning around and throwing the object off into the distance.</t>
  </si>
  <si>
    <t>v_awag66wjX4k</t>
  </si>
  <si>
    <t>A bike company is showing off their bikes and how to fix them.</t>
  </si>
  <si>
    <t>There is an intro of the bike company's logo.</t>
  </si>
  <si>
    <t>Then a man gives a quick into talk about the bikes.</t>
  </si>
  <si>
    <t>A person with gloves then shows off some tools and paste.</t>
  </si>
  <si>
    <t>He then uses the tools and paste to fix the bike's handle.</t>
  </si>
  <si>
    <t>The person then shows off the finished product of a fully adjustable handle.</t>
  </si>
  <si>
    <t>The ending screen shows the bike company's logo again.</t>
  </si>
  <si>
    <t>v_bPvxr2-L_HU</t>
  </si>
  <si>
    <t>A person in Blue pants attemps to pile drive a guy in a pink suit.</t>
  </si>
  <si>
    <t>The guy in the pink suit gets revenge.</t>
  </si>
  <si>
    <t>v_14dA-qLmNZo</t>
  </si>
  <si>
    <t>A large group of people are seen riding along the water on boats.</t>
  </si>
  <si>
    <t>One person crashes into another and shows a person speaking to the camera.</t>
  </si>
  <si>
    <t>More clips are shown of the boats together and logos being shown.</t>
  </si>
  <si>
    <t>v_lTFCUuLtUJs</t>
  </si>
  <si>
    <t>A large group of people are seen standing around a track leading into several people running down the road.</t>
  </si>
  <si>
    <t>A woman is seen speaking to the camera while several people are seen running and drinking water.</t>
  </si>
  <si>
    <t>More people speaking to the camera while showing them run in different locations.</t>
  </si>
  <si>
    <t>v_y0VZOcxbjRM</t>
  </si>
  <si>
    <t>There are five ladies playing shuffleboard in an indoor shuffleboard court.</t>
  </si>
  <si>
    <t>There are three women in green and two women dressed in cream colored shirts playing against each other.</t>
  </si>
  <si>
    <t>A lady from the green team begins to aim the stick to hit the puck while another team member helps her rearrange the pucks.</t>
  </si>
  <si>
    <t>Then she shoots the puck with the stick and steps back to give her opponent a chance.</t>
  </si>
  <si>
    <t>A player from the cream team then hits the puck with her stick but is not very successful.</t>
  </si>
  <si>
    <t>A man steps in and replaces the puck on the shuffleboard.</t>
  </si>
  <si>
    <t>Then another player from the green team comes forward to play.</t>
  </si>
  <si>
    <t>v_zU6SnkNIdrw</t>
  </si>
  <si>
    <t>A man is wearing an apron and standing in his kitchen.</t>
  </si>
  <si>
    <t>Several food items in bowls are shown.</t>
  </si>
  <si>
    <t>A white bowl is filled with sugar, eggs, and peanut butter, then blended.</t>
  </si>
  <si>
    <t>He presses balls of cookie dough onto a pan and bakes them.</t>
  </si>
  <si>
    <t>He eats one of the cookies for the camera while he talks about them.</t>
  </si>
  <si>
    <t>v_Gkv5ibx0tYw</t>
  </si>
  <si>
    <t>A woman with short blonde hair is sitting in a chair talking.</t>
  </si>
  <si>
    <t>She holds up a hair curler and puts it in her hair.</t>
  </si>
  <si>
    <t>She takes it out and continues talking.</t>
  </si>
  <si>
    <t>v_BbeZ2t__2iA</t>
  </si>
  <si>
    <t>A close up of a man is seen holding a coffee cup and leads into him taking a sip.</t>
  </si>
  <si>
    <t>He nods his head in approval to the coffee and is shown again drinking more coffee next to a person.</t>
  </si>
  <si>
    <t>v_ilXO32we9uo</t>
  </si>
  <si>
    <t>Two men are sailing on the blue water, with their white boat with white flags, then they avoided the buoys on the water.</t>
  </si>
  <si>
    <t>A plan written on a white paper with black pen, and then the plan is put into action, when the white boat sail on the water and turn around.</t>
  </si>
  <si>
    <t>v_qZaWIb28kfU</t>
  </si>
  <si>
    <t>A man and a boy walks around a wood fire holding sheets and wearing corned hats, while a crowd stand in a circle.</t>
  </si>
  <si>
    <t>Then, the man stand and talks to people.</t>
  </si>
  <si>
    <t>Suddenly, fire and smoke come out from the wood fire with sparkles.</t>
  </si>
  <si>
    <t>v_J4vq7MLMAtY</t>
  </si>
  <si>
    <t>Several people are shown at a party playing different games and having fun.</t>
  </si>
  <si>
    <t>A man begins to talk to one of the women as she is playing one of the games.</t>
  </si>
  <si>
    <t>The game begins to get heated while several of the women laugh and joke around.</t>
  </si>
  <si>
    <t>One of the women takes a picture of the laughing women playing the game.</t>
  </si>
  <si>
    <t>A man helps as the women try to get the hang of playing the game.</t>
  </si>
  <si>
    <t>v_3S5RoKVsAys</t>
  </si>
  <si>
    <t>We see a man in a barber shop and see images of the shop.</t>
  </si>
  <si>
    <t>The barber speaks cut with scenes of a barber shop.</t>
  </si>
  <si>
    <t>We see a Union Jack flag on the arm of a chair.</t>
  </si>
  <si>
    <t>A large dog walks through the room.</t>
  </si>
  <si>
    <t>We see the man shaving a man with a straight razor.</t>
  </si>
  <si>
    <t>v_bzJTmN6wAC4</t>
  </si>
  <si>
    <t>A man is seated in front of a canvas.</t>
  </si>
  <si>
    <t>He is using a palette to paint an ombre scene.</t>
  </si>
  <si>
    <t>He then covers the ombre to a silhouette of a tree on a hill.</t>
  </si>
  <si>
    <t>v_c_KU8M2YfzA</t>
  </si>
  <si>
    <t>A black screen is visible and white words begin to appear.</t>
  </si>
  <si>
    <t>Next,there's a line of ten boys standing together behind a rope outside in a large grassy field.</t>
  </si>
  <si>
    <t>The boys form a circle and begin leaning to the left in a lounge position to exercise.</t>
  </si>
  <si>
    <t>When they are finished,they begin pulling tug of war and the man on the left side with black suit wins.</t>
  </si>
  <si>
    <t>Another group of boys are shown and they begin crouching down in effort to win the game.</t>
  </si>
  <si>
    <t>v_2WeG8QGOfcI</t>
  </si>
  <si>
    <t>We see an instructor leading an aerobics class.</t>
  </si>
  <si>
    <t>The people do a popping waist dance.</t>
  </si>
  <si>
    <t>The people go back and forth.</t>
  </si>
  <si>
    <t>A man walks past the door.</t>
  </si>
  <si>
    <t>A man in blue enters the room.</t>
  </si>
  <si>
    <t>The people lift their legs high.</t>
  </si>
  <si>
    <t>The instructor finishes and walks back and forth.</t>
  </si>
  <si>
    <t>v_VwclmKWo_-M</t>
  </si>
  <si>
    <t>There are three young men in a house.</t>
  </si>
  <si>
    <t>One the men is sitting on a couch in the living room eating a packet of Doritos.</t>
  </si>
  <si>
    <t>And there are two other men who are staring at him while he eats.</t>
  </si>
  <si>
    <t>One of the men gets up and washes his hands.</t>
  </si>
  <si>
    <t>He then opens a can of coke and drinks from it.</t>
  </si>
  <si>
    <t>Then he begins chopping tomatoes and lettuce to make a sandwich.</t>
  </si>
  <si>
    <t>He slices some ham and makes two toasts in a toaster.</t>
  </si>
  <si>
    <t>Then he puts mayonnaise on the bread and tops it with the meat, lettuce and tomato.</t>
  </si>
  <si>
    <t>He cuts the sandwich in half and serves it on a plate.</t>
  </si>
  <si>
    <t>Then he offers the sandwich plate to the man seated on the couch eating the Doritos.</t>
  </si>
  <si>
    <t>The man takes the plate and takes a bite of the sandwich as the other man stands next to him and watches.</t>
  </si>
  <si>
    <t>v_Bri_myFFu4A</t>
  </si>
  <si>
    <t>A person retrieves an instrument from a closet.</t>
  </si>
  <si>
    <t>The man examines the instrument in his hand.</t>
  </si>
  <si>
    <t>The person holds up the violin to his chin and gets ready.</t>
  </si>
  <si>
    <t>The person plays a song on the violin.</t>
  </si>
  <si>
    <t>The man finishes the song and lowers the instrument.</t>
  </si>
  <si>
    <t>v_AsTfp_4Um1A</t>
  </si>
  <si>
    <t>Two little girls take pack a suitcase and take a trip to New York City.</t>
  </si>
  <si>
    <t>Two little girls stand in a room dressed in costumes that later morph into ballerina outfits.</t>
  </si>
  <si>
    <t>The two girls begin to dance together while singing or speaking into the camera.</t>
  </si>
  <si>
    <t>The clip fades to the two girls folding and packing clothes in a suitcase in a bedroom in a house, The girls pack tutus in a pink suitcase and then cut to them in a horse drawn carriage in the streets of New York, talking and pointing to landmarks.</t>
  </si>
  <si>
    <t>The trip ends and the two girls run into a building and then sing together on the edge of a water fountain before running off.</t>
  </si>
  <si>
    <t>v_ybF4RykZxK8</t>
  </si>
  <si>
    <t>A man is seen riding down on a skateboard while the camera follows his movements.</t>
  </si>
  <si>
    <t>The man skates around the street through obstacles and down the street.</t>
  </si>
  <si>
    <t>More people continue riding down the street while the camera follows them.</t>
  </si>
  <si>
    <t>v_qf5wMRlZYnQ</t>
  </si>
  <si>
    <t>A belly dancer is seen moving herself along a stage and performing a routine while many watch.</t>
  </si>
  <si>
    <t>She continues the routine and ends by shaking her hair around and bending backwards to pose.</t>
  </si>
  <si>
    <t>v_f6JZ3LWJRVE</t>
  </si>
  <si>
    <t>Two men hunt and shoot a buffalo in a sandy, desert like setting.</t>
  </si>
  <si>
    <t>A room filled with stuffed and hunted animals displays in a room with many of them mounted on walls.</t>
  </si>
  <si>
    <t>Two brown buffalos are standing next to each other on a sandy ground in extremely windy weather.</t>
  </si>
  <si>
    <t>Two men watch the two buffalos from a distance with weapons mounted aiming to shoot as a camera man stands behind them filming the incident.</t>
  </si>
  <si>
    <t>One of the buffalos is shot by an yellow tipped weapon while walking away.</t>
  </si>
  <si>
    <t>One of the men is then shown standing over the dead animal.</t>
  </si>
  <si>
    <t>v_ESgcgoYgg0o</t>
  </si>
  <si>
    <t>woman is sitting in front of other in a consulting room and take the glasses out and wash her hands.</t>
  </si>
  <si>
    <t>woman gives her contact lenses and he other woman holds it with the index finger put some some liquid and put it in the eye, then do the same with the other contact put the lenses and talk to the other woman.</t>
  </si>
  <si>
    <t>v_JNSaWuU8ky4</t>
  </si>
  <si>
    <t>Three people are seen kneeling on a small raft and flip themselves into the water.</t>
  </si>
  <si>
    <t>More people are seen padding along and move over to the people in the water.</t>
  </si>
  <si>
    <t>The people in the water climb back in and finally put themselves in a canoe.</t>
  </si>
  <si>
    <t>v_KTIzccovgeg</t>
  </si>
  <si>
    <t>A lake is seen with the view of a city skyline across the way.</t>
  </si>
  <si>
    <t>A group of walkers walk along the sidewalk near the lake.</t>
  </si>
  <si>
    <t>A man uses a snow blower on a sidewalk area.</t>
  </si>
  <si>
    <t>People use snow shovels to clear the sidewalk.</t>
  </si>
  <si>
    <t>A spade gardening tool is used to break up ice.</t>
  </si>
  <si>
    <t>A man applies salt to the cleared sidewalk area.</t>
  </si>
  <si>
    <t>v_0hWGSkDnRHA</t>
  </si>
  <si>
    <t>Two people are seen passing a ball back and fourth in a pool and leads into one speaking to the camera.</t>
  </si>
  <si>
    <t>The man demonstrates how to properly throw the ball with his hands while still speaking to the camera.</t>
  </si>
  <si>
    <t>v_WsXxnCQ_MIc</t>
  </si>
  <si>
    <t>A young woman uses hair products on and blow dries her hair straight with a dryer that has a comb attached to the end of it.</t>
  </si>
  <si>
    <t>The woman begins by removing a terry cloth turban from her head and revealing a wet may batch of hair.</t>
  </si>
  <si>
    <t>The woman then begins to put section of her hair in twist braids.</t>
  </si>
  <si>
    <t>The women then starts blowdrying sections of her hair with a comb attached blow dryer.</t>
  </si>
  <si>
    <t>The woman swings her straightened hair and smiles.</t>
  </si>
  <si>
    <t>v_9WmsYbZl1pw</t>
  </si>
  <si>
    <t>There's a sandwich that is still whole and has been cut in half into a triangular shape and white words pop up on the screen noting that it's a "Reuben sandwich".</t>
  </si>
  <si>
    <t>A man in the kitchen appears and he's putting seasonings into a pan and he starts swishing the pan around.</t>
  </si>
  <si>
    <t>An introduction of 6 different small videos of foods appear and there's text below that say's "Steve's cooking".</t>
  </si>
  <si>
    <t>A large piece of raw meat appears on a white plate and the word Reuben flashes a few times on it as it's shown in various different angles.</t>
  </si>
  <si>
    <t>The man then places the meat into a large pot and pours liquids onto it until it's fully covered and begins to season it with various seasonings and at the same time the names of the seasonings appear on the screen as each seasonings fall.</t>
  </si>
  <si>
    <t>Then there's a close up shot of a large knife that is crushing a bunch of garlic cloves that also get thrown into the pot and the seasonings and meat are gently stirred then quickly shows that the water is now boiling and text shows up that say's "About one hour per pound", and a lid gets put onto the pot.</t>
  </si>
  <si>
    <t>A pair of tongs pull out a piece of meat from the pot and is placed onto a white square plate where it gets put onto a cutting board and gets thinly sliced with a large serrated knife.</t>
  </si>
  <si>
    <t>An empty large clear bowl is shown and mayonnaise, ketchup, relish, worcesterchire sauce, and hot sauce get spooned into the bowl.</t>
  </si>
  <si>
    <t>A purple onion, celery and parsley then get chopped up individually and each individually gets thrown into the bowl where it begins to get mixed by a whisk and then seasoned with salt and pepper and mixed some more.</t>
  </si>
  <si>
    <t>A finger dips into the bowl to get a sample out and mixing continues for a bit longer.</t>
  </si>
  <si>
    <t>A small brush with melted butter begins to butter bread on both sides which gets put onto a flat grill and flipped until both sides are grilled.</t>
  </si>
  <si>
    <t>Some white shredded food gets thrown onto the grill and is stirred around by a black spatula.</t>
  </si>
  <si>
    <t>Thin slices of meat appear next to the white shredded food and they get topped with 3 slices of swiss cheese and covered with a white bowl until the cheese melts, then the white shredded food is scooped up and put onto the meat and cheese.</t>
  </si>
  <si>
    <t>The mixed sauce from the clear bowl is then shown being spread onto the bread with a spoon and the meat,cheese and shredded white food is put onto the bread, topped with the other bread, and then sliced in half diagonally.</t>
  </si>
  <si>
    <t>The sandwich is then spread apart and a hand picks up one half to show it at different angles, it gets bitten a few times and then put back on the plate where the rest of the video just shows it at differently angles and short previous seen clip of the meat being sliced.</t>
  </si>
  <si>
    <t>v_B2qCBkXrb8s</t>
  </si>
  <si>
    <t>A large man is seen standing and bowing in front of another large man while one holds his hands out inbetween the two men.</t>
  </si>
  <si>
    <t>Several people sit around the circle and the circle and the men wrestle one another.</t>
  </si>
  <si>
    <t>One pushes the other to the ground and the audience cheers.</t>
  </si>
  <si>
    <t>The man pushes another out of the circle and the audience claps once again.</t>
  </si>
  <si>
    <t>v_LgoMRWkBDkQ</t>
  </si>
  <si>
    <t>A man takes out the ice over the windows of a car.</t>
  </si>
  <si>
    <t>A person stand watching a man takes out ice on a car.</t>
  </si>
  <si>
    <t>v_LPeyqO2pRd4</t>
  </si>
  <si>
    <t>A woman add ice on a glass while talking.</t>
  </si>
  <si>
    <t>Then, the woman adds syrup in the glass using a measure cup.</t>
  </si>
  <si>
    <t>After, the woman add liquid to the glass, then pours the it in a black cup.</t>
  </si>
  <si>
    <t>After, the woman serves the mix in another glass.</t>
  </si>
  <si>
    <t>v_yRup8RDsCzk</t>
  </si>
  <si>
    <t>Two men are doing martial arts with others around them watching.</t>
  </si>
  <si>
    <t>Many other men are shown doing several flips and tricks around each other.</t>
  </si>
  <si>
    <t>Two men flip near each other while others around them watch.</t>
  </si>
  <si>
    <t>v_PqP3JIJEU5I</t>
  </si>
  <si>
    <t>A man is smoothing a substance on a roof with a trowel.</t>
  </si>
  <si>
    <t>He moves quickly to smooth out dents.</t>
  </si>
  <si>
    <t>The man moves to the bottom and smooths back up the top.</t>
  </si>
  <si>
    <t>He finishes and walks away.</t>
  </si>
  <si>
    <t>v_-yOwB5rvMAo</t>
  </si>
  <si>
    <t>A blonde woman stands by a bridge yelling.</t>
  </si>
  <si>
    <t>A brunette extends purple and red yarn to the woman.</t>
  </si>
  <si>
    <t>The woman is hallucinating this and is then doing an interview.</t>
  </si>
  <si>
    <t>A group of people in a classroom cheerfully knit away and play with yarn.</t>
  </si>
  <si>
    <t>The blonde woman hallucinates seeing the woman who gave her the yarn, and starts laughing hysterically.</t>
  </si>
  <si>
    <t>The group cheerfully displays their yarn.</t>
  </si>
  <si>
    <t>v_JHFjlLtpIcU</t>
  </si>
  <si>
    <t>A crowd watches a gymnastics show.</t>
  </si>
  <si>
    <t>A gymnast runs up to a high bar and alternates between the high and low bar, performing various gymnastics moves and flips.</t>
  </si>
  <si>
    <t>She flips off the bar and lands on her feet.</t>
  </si>
  <si>
    <t>Her fellow gymnasts run up to her in excitement.</t>
  </si>
  <si>
    <t>v_B-nlhZ0RR4A</t>
  </si>
  <si>
    <t>A man in a blue outfit puts chalk on his hands.</t>
  </si>
  <si>
    <t>A man in a yellow shirt is watching.</t>
  </si>
  <si>
    <t>The man in the blue outfit picks up a large weight and lifts it over his head.</t>
  </si>
  <si>
    <t>The crowd cheers for him.</t>
  </si>
  <si>
    <t>He gives a man in a suit a hug.</t>
  </si>
  <si>
    <t>v_aH7puGPu39Y</t>
  </si>
  <si>
    <t>Three men wearing snowboards get out a ski lift, and a man tie his shoe.</t>
  </si>
  <si>
    <t>Then, the men ski down a hill covered with snow.</t>
  </si>
  <si>
    <t>A man bend his legs on the snow, then continue skiing with other men.</t>
  </si>
  <si>
    <t>v_UoO7VCPs8Jw</t>
  </si>
  <si>
    <t>A man holding a shot put stands on a base.</t>
  </si>
  <si>
    <t>The man turns his back to the camera and prepares to throw.</t>
  </si>
  <si>
    <t>The man throws the ball and and spins around.</t>
  </si>
  <si>
    <t>v_b5E7-GxvCdk</t>
  </si>
  <si>
    <t>A woman is on her hands and knees cutting grass with some scissors.</t>
  </si>
  <si>
    <t>The camera pans out to give a full view of her cutting the grass.</t>
  </si>
  <si>
    <t>She makes a joke about the grass having split ends and bad roots.</t>
  </si>
  <si>
    <t>The camera goes back to a close up of the grass and the video ends.</t>
  </si>
  <si>
    <t>v_17nr8u_ze0o</t>
  </si>
  <si>
    <t>A camera pans around several wooded areas and leads into a boy holding a leaf blower and smiling to the camera.</t>
  </si>
  <si>
    <t>The camera pans to an older man and then back to the boys blowing leaves.</t>
  </si>
  <si>
    <t>v_UG82vrvkYFk</t>
  </si>
  <si>
    <t>A man in green trunks throws a man in red trunks in a wrestling ring.</t>
  </si>
  <si>
    <t>The man in green trunks rolls out of the ring.</t>
  </si>
  <si>
    <t>The man in green trunks spears the other man.</t>
  </si>
  <si>
    <t>The man in green trunks power bombs the other man.</t>
  </si>
  <si>
    <t>The man in green trunks pins the other man and wins the match.</t>
  </si>
  <si>
    <t>v_Tix8XrlBZxg</t>
  </si>
  <si>
    <t>It's snowing outside of a home with a gray parked van and the man is holding tools, puts the camera down and then begins to clean the snow off of the van.</t>
  </si>
  <si>
    <t>The man moves the camera and adjusts the position and then walks back to the van begins cleaning the snow off of the entire top of the van.</t>
  </si>
  <si>
    <t>The man walks back to the camera and moves it once more so it can capture a different view and he continues to wipe the snow off of the side and top of the van.</t>
  </si>
  <si>
    <t>The piece of the tool breaks off and the man grabs it and shows it to the camera and continues talking, goes off camera, and then shows the camera he has fixed the tool and then moves the camera again.</t>
  </si>
  <si>
    <t>A woman shows up and she touches the van with her hands and starts to wipe off the snow with just her hands.</t>
  </si>
  <si>
    <t>v_CBckvP5FR4A</t>
  </si>
  <si>
    <t>First a screen is shown, showing what song the man will be playing using the guitar.</t>
  </si>
  <si>
    <t>Then the man is shown sitting down playing the guitar and he never looks up at the camera.</t>
  </si>
  <si>
    <t>Finally the video ends and the only thing seen is darkness.</t>
  </si>
  <si>
    <t>v_bNuRrXSjJl0</t>
  </si>
  <si>
    <t>A woman is seen standing ready on a diving board and leads into her holding out her arms and performing an impressive dive.</t>
  </si>
  <si>
    <t>The woman is seen several more times diving into the pool and coming to the surface.</t>
  </si>
  <si>
    <t>v_dufQjqa3v6w</t>
  </si>
  <si>
    <t>A man talks in an office holding a harmonica.</t>
  </si>
  <si>
    <t>Then, the man opens a stand and turns on the radio.</t>
  </si>
  <si>
    <t>After, the man plyas the harmonica.</t>
  </si>
  <si>
    <t>v_qRuPuzY6yiE</t>
  </si>
  <si>
    <t>A large group of army solider are seen holding a large rope on one side of each other while other soldiers watch.</t>
  </si>
  <si>
    <t>A man stands in the middle and the people begin pulling the rope from one another.</t>
  </si>
  <si>
    <t>One side pulls the others down and the rest of the team cheer while the camera pans around.</t>
  </si>
  <si>
    <t>v_R0dqEWnDC7k</t>
  </si>
  <si>
    <t>The video shows two countries represented by blue and green uniforms playing the game of cricket professionally.</t>
  </si>
  <si>
    <t>The batsmen is batting while the bowler is doing an overhand throw.</t>
  </si>
  <si>
    <t>The next scene shows a team of cricketers wearing white uniforms getting ready to play as they gather in a circle with their captain.</t>
  </si>
  <si>
    <t>v_ejMpWeFZLec</t>
  </si>
  <si>
    <t>A girl walks into the center of a room with a hula hoop.</t>
  </si>
  <si>
    <t>She does several acts and stunts with the hoop, bringing her head and arms in and out.</t>
  </si>
  <si>
    <t>v_tLdbdQ9fVZE</t>
  </si>
  <si>
    <t>A person is seen standing next to a tree while waving and speaking to the camera.</t>
  </si>
  <si>
    <t>The person then holds up dirt and leads into several clips of her raking around a tree and pointing to it.</t>
  </si>
  <si>
    <t>v_8wxFQrFEo3M</t>
  </si>
  <si>
    <t>An intro screen of clouds appear and the blue words across it say "HOOKAH TRICK MONTAGE HD".</t>
  </si>
  <si>
    <t>Various words show up in between many different clips of many different people blowing smoke out of their mouths and doing many different tricks; and when the words are put together they say "ITS TIME TO MAKE IT RIGHT".</t>
  </si>
  <si>
    <t>When the clips are done a black screen appears and blue letters appear and it say's "Thanks for watching".</t>
  </si>
  <si>
    <t>v_kM7jFLYDUy0</t>
  </si>
  <si>
    <t>A boy is in a bumper car, spinning around by himself.</t>
  </si>
  <si>
    <t>He moves back and forward in his car.</t>
  </si>
  <si>
    <t>He looks lonely as he finally comes to a stop.</t>
  </si>
  <si>
    <t>v_qumU7AgV3Mk</t>
  </si>
  <si>
    <t>People interact in a circling ice arena.</t>
  </si>
  <si>
    <t>A lady talks to a group of males.</t>
  </si>
  <si>
    <t>A guy slips, falls on the ice arena, and laughs.</t>
  </si>
  <si>
    <t>A man opens his mouth very wide to show his excitement.</t>
  </si>
  <si>
    <t>A lady stops the circling stone with a broom.</t>
  </si>
  <si>
    <t>The credits with two mini clips are shown.</t>
  </si>
  <si>
    <t>v_FNHoSA0hLgM</t>
  </si>
  <si>
    <t>An older boy and a younger one are on a racquetball court.</t>
  </si>
  <si>
    <t>They hit the ball back and forth against the wall.</t>
  </si>
  <si>
    <t>They continue fighting over the ball, trying to beat each other in the game.</t>
  </si>
  <si>
    <t>v_aeKIYkn99_Q</t>
  </si>
  <si>
    <t>We see the title on a black screen.</t>
  </si>
  <si>
    <t>People are in line at a ski slope.</t>
  </si>
  <si>
    <t>We see people in rafts being pulled up a hill and people riding rafts down the slope.</t>
  </si>
  <si>
    <t>We see a man at the top of the mountain.</t>
  </si>
  <si>
    <t>We see writing stating the camera was dropped.</t>
  </si>
  <si>
    <t>The man films his face as he slides down the hill.</t>
  </si>
  <si>
    <t>We see a young man's face as he rides down the hill.</t>
  </si>
  <si>
    <t>We see people walking to their cars in the parking lot.</t>
  </si>
  <si>
    <t>At the end we see a kid laying on a raft.</t>
  </si>
  <si>
    <t>v_t_2jTjX3a_o</t>
  </si>
  <si>
    <t>A countdown is shown followed by a woman catching balls thrown at her.</t>
  </si>
  <si>
    <t>The number counts down more and shows more clips of women playing dodgeball.</t>
  </si>
  <si>
    <t>Several more numbers and clips are shown ending with people performing impressive throws.</t>
  </si>
  <si>
    <t>v_YnB0VW34wlY</t>
  </si>
  <si>
    <t>A boy is chopping wood in a forest.</t>
  </si>
  <si>
    <t>The boy almost drops the axe.</t>
  </si>
  <si>
    <t>The boy looks at the camera.</t>
  </si>
  <si>
    <t>v_dI1GZfJ-A0E</t>
  </si>
  <si>
    <t>A person is seen walking back to the end of their car and putting their hands on their hips.</t>
  </si>
  <si>
    <t>They realize they have a flat tire and pull out a jack attempting to get it off.</t>
  </si>
  <si>
    <t>The woman falls and fails backwards off a bridge, landing on a truck.</t>
  </si>
  <si>
    <t>v_9bnt6lDcF6Y</t>
  </si>
  <si>
    <t>A man in a blue polo speaks to the camera.</t>
  </si>
  <si>
    <t>In a different setting, the man is instructing a blonde woman on how to perform sit ups.</t>
  </si>
  <si>
    <t>The woman does sit ups.</t>
  </si>
  <si>
    <t>The man returns to speak to the camera.</t>
  </si>
  <si>
    <t>v_Q7eK0xT6VSQ</t>
  </si>
  <si>
    <t>A video is shown how to change a spare tire.</t>
  </si>
  <si>
    <t>The first tire is taken off and replaced, but nothing else is done.</t>
  </si>
  <si>
    <t>v_jwd8ELi0au8</t>
  </si>
  <si>
    <t>We see a dart board on a wall.</t>
  </si>
  <si>
    <t>Two men are playing a game of darts.</t>
  </si>
  <si>
    <t>We see the camera operator.</t>
  </si>
  <si>
    <t>We see a man up close in the camera.</t>
  </si>
  <si>
    <t>We see a man up close.</t>
  </si>
  <si>
    <t>We see a mans socks and a man close to the camera.</t>
  </si>
  <si>
    <t>v_q4FZTmaqEx8</t>
  </si>
  <si>
    <t>A man is seen speaking to the camera and begins kneeling down on a roof.</t>
  </si>
  <si>
    <t>The man then use a tool to scrape off tiles on the roof as well as another tool to put them back down.</t>
  </si>
  <si>
    <t>The man continues taking off tiles on the roof and gluing others down and ends by smiling to the camera.</t>
  </si>
  <si>
    <t>v_fJ45W32t6h0</t>
  </si>
  <si>
    <t>A person kicks off a tubing participant to ride down the snow slide.</t>
  </si>
  <si>
    <t>The camera pans to two tubers who are waiting to go down themselves.</t>
  </si>
  <si>
    <t>The next two people ride down the slide.</t>
  </si>
  <si>
    <t>Finally, The cameraman takes the ride and we get to live vicariously through them.</t>
  </si>
  <si>
    <t>v_x3cOxXOYbwA</t>
  </si>
  <si>
    <t>A weight is seen putting put on a bar and leads into a man kneeling down.</t>
  </si>
  <si>
    <t>The man grabs a set of weights and begins to lift it over his head.</t>
  </si>
  <si>
    <t>He throws the weight up and then back on the ground.</t>
  </si>
  <si>
    <t>v_P6t2HLPZ3Dk</t>
  </si>
  <si>
    <t>A boy dressed in a burgundy polo is at a bowling alley and throws the ball high up in the air and it ends up coming back in the other lane.</t>
  </si>
  <si>
    <t>More bowlers are shown and they begin falling onto the lanes as the attempt to throw the ball.</t>
  </si>
  <si>
    <t>A man then comes along and spins around on his head and ends up hitting the pins with the balls.</t>
  </si>
  <si>
    <t>Finally,a ball is thrown correctly and the man congratulates him.</t>
  </si>
  <si>
    <t>v_RTbvrcdPcrs</t>
  </si>
  <si>
    <t>People are working out in a room.</t>
  </si>
  <si>
    <t>They are stepping up and down on a blue mat.</t>
  </si>
  <si>
    <t>They start raising their hands in the air.</t>
  </si>
  <si>
    <t>v_CtooIi6Mk7U</t>
  </si>
  <si>
    <t>A man is standing in a yard flying a kite.</t>
  </si>
  <si>
    <t>A woman is standing in front of him and flies the kite after.</t>
  </si>
  <si>
    <t>The kite is shown in the sky.</t>
  </si>
  <si>
    <t>Another woman starts flying the kite outside.</t>
  </si>
  <si>
    <t>v_UnpBbcIa3zA</t>
  </si>
  <si>
    <t>An athlete sets up her stance in order to throw a disc during a track and field event.</t>
  </si>
  <si>
    <t>The woman throws the disc far across the field.</t>
  </si>
  <si>
    <t>The athlete celebrates the throw and the crowd cheers.</t>
  </si>
  <si>
    <t>A replay is seen of the woman's throw.</t>
  </si>
  <si>
    <t>v_RmuhtC-TCck</t>
  </si>
  <si>
    <t>A man explains while stands on a fenced court.</t>
  </si>
  <si>
    <t>Then, the man dance hip hop, and then explain doing hip hop demonstrations.</t>
  </si>
  <si>
    <t>After, the man sit on the floor and raise his body with her hands, the spins the legs to do hip hop movements.</t>
  </si>
  <si>
    <t>v_hrcSCXaNhmY</t>
  </si>
  <si>
    <t>A man is in a field with Frisbees in his hand and throws it to his black and white husky dog.</t>
  </si>
  <si>
    <t>The two continue to do tricks and the dog jumps on the mans back.</t>
  </si>
  <si>
    <t>More Frisbee are thrown and the dog catches the Frisbee and the man hugs the dog.</t>
  </si>
  <si>
    <t>v_yPEf9ajKwI8</t>
  </si>
  <si>
    <t>people are moving the furniture out of the living room, even the carpet and everything.</t>
  </si>
  <si>
    <t>They come in and sweep the floor and then start putting down some tarp and wood.</t>
  </si>
  <si>
    <t>They are remodeling the floor from carpet to wood floors.</t>
  </si>
  <si>
    <t>Once the floor is done they bring back all the furniture.</t>
  </si>
  <si>
    <t>v_KcSo4p-hhBs</t>
  </si>
  <si>
    <t>A woman is seen speaking to the camera and leads into her cutting a person's hair.</t>
  </si>
  <si>
    <t>She continues cutting and styling the hair while the man looks off into the distance.</t>
  </si>
  <si>
    <t>v_nR7tqWpNpe8</t>
  </si>
  <si>
    <t>There's a group of rafters wearing yellow vests going on an adventure.</t>
  </si>
  <si>
    <t>They are rowing the raft through the river as the turbulent waves gush towards their raft.</t>
  </si>
  <si>
    <t>They continue rafting through the river as they stay afloat against the fierce waves.</t>
  </si>
  <si>
    <t>The rafters stay afloat despite the turbulent and agitated waves of the river.</t>
  </si>
  <si>
    <t>Some of the rafters are on top of a hill and one of the rafter is diving into the water.</t>
  </si>
  <si>
    <t>The rafters continue their journey through the turbulent waters of the river.</t>
  </si>
  <si>
    <t>There's a person bungee jumping from an elevated crane into the river.</t>
  </si>
  <si>
    <t>v_lfGmSfTjnA8</t>
  </si>
  <si>
    <t>A woman is standing in a messy kitchen in front of the sink preparing to cut something.</t>
  </si>
  <si>
    <t>She grabs a potato and a peeler and begins taking the edges off.</t>
  </si>
  <si>
    <t>As she continues cutting,two young girls walk in the kitchen and begin watching her and grabbing dishes.</t>
  </si>
  <si>
    <t>v_zfqach0dDYo</t>
  </si>
  <si>
    <t>wrestler is in a ring doing a head lock and a man jumps outside the ring and push the men.</t>
  </si>
  <si>
    <t>referee is in the ring and counts the seconds of the wreslers on the floor.</t>
  </si>
  <si>
    <t>v__B2kFN9MfwU</t>
  </si>
  <si>
    <t>A woman is shown hosting a news segment when the camera pans to sunscreen news.</t>
  </si>
  <si>
    <t>Several people are shown on a beach and interviewed by a reporter on sunscreen.</t>
  </si>
  <si>
    <t>Bottles are shown containing sunscreen and people putting it on.</t>
  </si>
  <si>
    <t>The reporter talks to people and pans back to shirts used for sunscreen and people traveling around the world.</t>
  </si>
  <si>
    <t>v_18QVPZgjy8w</t>
  </si>
  <si>
    <t>A man holds a badminton racket in a gym and talks.</t>
  </si>
  <si>
    <t>The man leans to the left and holds the racket out.</t>
  </si>
  <si>
    <t>The man turns to the right and shows his back to the camera.</t>
  </si>
  <si>
    <t>the man talks to the camera and the man jumps back and forth across the screen.</t>
  </si>
  <si>
    <t>The man talks to the camera and the man leans left one more time.</t>
  </si>
  <si>
    <t>We see the closing title screen.</t>
  </si>
  <si>
    <t>v_xYuqZ_RrCC0</t>
  </si>
  <si>
    <t>A man combs his beard in front of a mirror in his bathroom.</t>
  </si>
  <si>
    <t>The man reaches down to pick up sizzors then trims his mustache.</t>
  </si>
  <si>
    <t>The man picks up lotion which he applies to his neck.</t>
  </si>
  <si>
    <t>The man picks up a package of razors and assembles them into his steel razor gadget.</t>
  </si>
  <si>
    <t>The man uses his razor to trim his face and beard.</t>
  </si>
  <si>
    <t>The man picks up a package and applies a product to his face.</t>
  </si>
  <si>
    <t>The man uses a towel to wipe down his face.</t>
  </si>
  <si>
    <t>the man picks up a bottle of oil from the counter and applies it to his beard.</t>
  </si>
  <si>
    <t>v_xi1oCOBPAzQ</t>
  </si>
  <si>
    <t>A close up of a fishing hole is shown with a person using objects to fish and another stands off in the distance.</t>
  </si>
  <si>
    <t>The man uses the objects to capture a fish and zooms in on a hole.</t>
  </si>
  <si>
    <t>They finally pack up a tent and carry it with them as they drive along.</t>
  </si>
  <si>
    <t>v_icjyAZ3KVBw</t>
  </si>
  <si>
    <t>A man in a red shirt is standing next to an exercise machine.</t>
  </si>
  <si>
    <t>He gets on the machine and starts working out.</t>
  </si>
  <si>
    <t>v_qSXMTcGBqtY</t>
  </si>
  <si>
    <t>A woman straights the hair of a young lady using a brush and a hair dryer.</t>
  </si>
  <si>
    <t>The woman holds part of the the hair up, then she curves the hair with and hair iron.</t>
  </si>
  <si>
    <t>v_J3jICOa0WCk</t>
  </si>
  <si>
    <t>A large group of people are seen standing around a parking lot with one holding a ball.</t>
  </si>
  <si>
    <t>The group then plays a game of kickball while moving around the area and throwing balls at one another.</t>
  </si>
  <si>
    <t>The people continue walking around while looking to one another and throwing the ball.</t>
  </si>
  <si>
    <t>v_eg3oZ4XCEKk</t>
  </si>
  <si>
    <t>A large group of people are seen running around a disney resort while waving to the camera and several shots of the kingdom being shown.</t>
  </si>
  <si>
    <t>Many characters are shown waving to the runners as well as more shots of people running past characters and going through the finish line and celebrating.</t>
  </si>
  <si>
    <t>v_Q-HdDcyC9d8</t>
  </si>
  <si>
    <t>The person with black apron spray a white foam on the shoes.</t>
  </si>
  <si>
    <t>The person brush the shoes with white foam on it.</t>
  </si>
  <si>
    <t>The person brushed the shoes after the foam is gone and began spraying a chemical in it and polished the metal part of the shoes.</t>
  </si>
  <si>
    <t>v_AnbC-26sAI4</t>
  </si>
  <si>
    <t>Several various shots are shown of a large boat traveling along a tough storm.</t>
  </si>
  <si>
    <t>A man is seen steering the boat through the storm and talking to a camera with the video ending of more shots of the boat.</t>
  </si>
  <si>
    <t>v_OWEwmnZvvJE</t>
  </si>
  <si>
    <t>A young man is seen standing around a pool followed by several clips of the boy jumping in the pool and swimming around.</t>
  </si>
  <si>
    <t>The boy continues to swim all around the pool with a man swimming behind him and the boy smiling to the camera.</t>
  </si>
  <si>
    <t>v_qakxXmFvFy0</t>
  </si>
  <si>
    <t>Three kids are making a sand castle on the beach.</t>
  </si>
  <si>
    <t>A man is laying next to them on a towel.</t>
  </si>
  <si>
    <t>v_xDRvD_-fvd8</t>
  </si>
  <si>
    <t>After a Tissot ad appears, a row of fencers are shown.</t>
  </si>
  <si>
    <t>They high five, and are displayed in several clips fighting, then back to the row of standing on the stage.</t>
  </si>
  <si>
    <t>One is injured, and is carried away.</t>
  </si>
  <si>
    <t>v_Ix2vIutdeNQ</t>
  </si>
  <si>
    <t>A smiling man in sunglasses opens mouthwash and gargles.</t>
  </si>
  <si>
    <t>The man spits in a cup.</t>
  </si>
  <si>
    <t>A lady removes a plaque from the wall.</t>
  </si>
  <si>
    <t>We see a closing screen.</t>
  </si>
  <si>
    <t>v_UgsqMLsPG0k</t>
  </si>
  <si>
    <t>The man then puts plaster on a base and applies it to the ceiling while on stilts.</t>
  </si>
  <si>
    <t>The man walks back and forth smoothing the applied plaster.</t>
  </si>
  <si>
    <t>The man walks to and turns off the camera.</t>
  </si>
  <si>
    <t>v_eLQ1c2tMJls</t>
  </si>
  <si>
    <t>A man picks up a brown boot and brushes it.</t>
  </si>
  <si>
    <t>A man opens an aerosol can and sprays the boot.</t>
  </si>
  <si>
    <t>A man rubs the products of a black tube on the boot's sole edge.</t>
  </si>
  <si>
    <t>v_4a0Q-IAqO8U</t>
  </si>
  <si>
    <t>A man in a black shirt is standing outside talking.</t>
  </si>
  <si>
    <t>He then is inside a swimming pool.</t>
  </si>
  <si>
    <t>He is back outside talking to the camera.</t>
  </si>
  <si>
    <t>v_PSUGaj7_5LI</t>
  </si>
  <si>
    <t>At the bowling alley, there are a lot of people.</t>
  </si>
  <si>
    <t>The little boy rolls for his turn and he strikes.</t>
  </si>
  <si>
    <t>He waits for his ball to come back and gets prepared to take his next turn, it's another strike.</t>
  </si>
  <si>
    <t>He takes another turn and makes another strike, everyone is congratulating and hugging him.</t>
  </si>
  <si>
    <t>v_n7ED3zaQqws</t>
  </si>
  <si>
    <t>A person is seen moving along a pool while the camera watches from behind.</t>
  </si>
  <si>
    <t>A man is then seen speaking to the camera and moving his arms around.</t>
  </si>
  <si>
    <t>More clips are shown of the person swimming along the water.</t>
  </si>
  <si>
    <t>v_juKQ_gU42EM</t>
  </si>
  <si>
    <t>A anchorman in a suit sits with a laptop on his clear desk.</t>
  </si>
  <si>
    <t>A man is tackled by a bull.</t>
  </si>
  <si>
    <t>The man gets up and his mouth is bloody.</t>
  </si>
  <si>
    <t>People help the man out of the rodeo dirt area.</t>
  </si>
  <si>
    <t>v_6iuD3pSgBcw</t>
  </si>
  <si>
    <t>A young man is standing on stage and eventually several other boys join in wearing kilts.</t>
  </si>
  <si>
    <t>They stand in front of one drum and perform a routine using only drums.</t>
  </si>
  <si>
    <t>The boys spin and flip their sticks constantly and continue performing their drumming routine.</t>
  </si>
  <si>
    <t>One stands up and begins singing a song while the others join in.</t>
  </si>
  <si>
    <t>They boys go back to playing the drums and finally finish by playing each other's drums and faster than other.</t>
  </si>
  <si>
    <t>v_kI0AyrGe-NU</t>
  </si>
  <si>
    <t>Two cats are seen laying on a bed facing one another.</t>
  </si>
  <si>
    <t>One cat then begins to lick the other.</t>
  </si>
  <si>
    <t>The first cat then stops and the other licks afterwards.</t>
  </si>
  <si>
    <t>v_NbIxjYWSURI</t>
  </si>
  <si>
    <t>A montage of athletes completing incredible stunts and races are shown as well as hundreds of people watching in the audience.</t>
  </si>
  <si>
    <t>The shots lead into several more athletes jumping over a pole while pausing the in the middle, finishing with the shot being shown again in slow motion.</t>
  </si>
  <si>
    <t>The final gymnast waves to the camera and walks away.</t>
  </si>
  <si>
    <t>v_DWVI_N4Aeo8</t>
  </si>
  <si>
    <t>A diving is seen standing ready with his arms out to the side.</t>
  </si>
  <si>
    <t>The man then performs an impressive dive and is followed by several clips of other people diving.</t>
  </si>
  <si>
    <t>v_Or7mIy83LsQ</t>
  </si>
  <si>
    <t>A teen stand on a track, then he runs and jumps long on a sand box, after the teen stands and walk.</t>
  </si>
  <si>
    <t>A person pass behind the teen.</t>
  </si>
  <si>
    <t>An athlete performs long jump in the sand box.</t>
  </si>
  <si>
    <t>Another athlete runs and jumps long over the sand box.</t>
  </si>
  <si>
    <t>v_JNuVGc8mn54</t>
  </si>
  <si>
    <t>There men have chairs and are sitting int he subway way making some music.</t>
  </si>
  <si>
    <t>One of them is playing guitar and two of them are playing the violin.</t>
  </si>
  <si>
    <t>People walk by them and a kid pushing a stroller and some other children come and stop to watch them for a little by.</t>
  </si>
  <si>
    <t>There is a crowd that has actually stopped to watch them play, clapping and one of them leaving money in their case.</t>
  </si>
  <si>
    <t>v_-sXrwv7C5CI</t>
  </si>
  <si>
    <t>A man jumps onto two bars.</t>
  </si>
  <si>
    <t>He does a gymnastics routine on the bars.</t>
  </si>
  <si>
    <t>A man in a white jacket watches him perform.</t>
  </si>
  <si>
    <t>He does a flip and lands on the mat.</t>
  </si>
  <si>
    <t>The crowd applauds him after he lands.</t>
  </si>
  <si>
    <t>v_5yfDyVVkPuU</t>
  </si>
  <si>
    <t>Two men are seen speaking to the camera followed by several clips of people hitting a ball.</t>
  </si>
  <si>
    <t>More shots are shown of people holding up sticks and hitting a ball with another coach near by helping and speaking to the camera.</t>
  </si>
  <si>
    <t>v_5gBRDguUe8U</t>
  </si>
  <si>
    <t>A person is seen sitting on a stool and piecing together several parts of a bike.</t>
  </si>
  <si>
    <t>The person continues piecing the bike together and pans around the finished product in the end.</t>
  </si>
  <si>
    <t>v_F6FyJl5OQ0A</t>
  </si>
  <si>
    <t>A green boat with black and white accents on it is gliding on the water.</t>
  </si>
  <si>
    <t>A pair of blue and black shoes are on a deck while a foot is being placed the right side.</t>
  </si>
  <si>
    <t>A man is now standing on a waterboard that the blue shoes are attached to and he's holding a blue rope attached to a triangular handle.</t>
  </si>
  <si>
    <t>White words on a black screen show up and read Zucky Wakeboarding 2015 summer and then fades away.</t>
  </si>
  <si>
    <t>The man is shown again and now he's in motion wake boarding as he holds onto the handle connected to the rope and he is doing various tricks going from side to side, occasionally jumping, spinning and sometimes doing all at once.</t>
  </si>
  <si>
    <t>The video ends with white words and numbers on a black screen that read -END- editor: 05.</t>
  </si>
  <si>
    <t>v_lpeyMIH1YqA</t>
  </si>
  <si>
    <t>A man is sitting on a revolving chair with his one leg folded over the other.</t>
  </si>
  <si>
    <t>Another man takes a cloth and begins cleaning his black leather shoes with a cloth to make it shiny.</t>
  </si>
  <si>
    <t>He cleans the shoe with a back and forth motion.</t>
  </si>
  <si>
    <t>v_qfb0Qe7s9oo</t>
  </si>
  <si>
    <t>A woman with blonde hair is explaining how to make rosemary vodka lemonade.</t>
  </si>
  <si>
    <t>Two jars of liquid appear.</t>
  </si>
  <si>
    <t>The woman takes a sip of the liquid.</t>
  </si>
  <si>
    <t>The woman prepares the liquid with herbs and sugar in a bowl.</t>
  </si>
  <si>
    <t>The woman pours the liquid in a glass.</t>
  </si>
  <si>
    <t>The woman pours the liquid into jars with ice.</t>
  </si>
  <si>
    <t>The woman mixes the concoction.</t>
  </si>
  <si>
    <t>The woman drinks the liquid in a jar.</t>
  </si>
  <si>
    <t>The video ends with a view of the jars with liquid.</t>
  </si>
  <si>
    <t>v_yTJCrP0HqEE</t>
  </si>
  <si>
    <t>A woman is shown speaking to the camera and showing various shots of children sitting in a chair and performing on tv.</t>
  </si>
  <si>
    <t>The woman speaks more to the camera and puts a contact into the girls eye.</t>
  </si>
  <si>
    <t>The girl smiles into a mirror and shows how she takes out the contacts and a reminder on your phone.</t>
  </si>
  <si>
    <t>One last woman speaks to the camera and the girl cheers and smiles again.</t>
  </si>
  <si>
    <t>v_0gvD2pktxxw</t>
  </si>
  <si>
    <t>a boy is sitting in front of a timer on a computer monitor.</t>
  </si>
  <si>
    <t>He has several rubik's cubes in a row.</t>
  </si>
  <si>
    <t>He is timing himself as he attempts to solve the cube.</t>
  </si>
  <si>
    <t>He moves quickly, solving them in short time.</t>
  </si>
  <si>
    <t>He clenches his fists with joy.</t>
  </si>
  <si>
    <t>v_jWuq6clN5q4</t>
  </si>
  <si>
    <t>The people are shown playing the drums using wooden drumsticks.</t>
  </si>
  <si>
    <t>There are also people behind them playing golden cymbals.</t>
  </si>
  <si>
    <t>After a while they all stop playing and stand silently.</t>
  </si>
  <si>
    <t>v_AEer099-yUM</t>
  </si>
  <si>
    <t>A woman stands in a red dress.</t>
  </si>
  <si>
    <t>She is throwing darts at a board.</t>
  </si>
  <si>
    <t>She throws several darts at the board.</t>
  </si>
  <si>
    <t>She throws darts in slow motion.</t>
  </si>
  <si>
    <t>v_FoPNGc6Lg8k</t>
  </si>
  <si>
    <t>A woman is completing a routine in the olympics on the balance beam.</t>
  </si>
  <si>
    <t>She jumps up and down gracefully and then falls for a bit of a point deduction.</t>
  </si>
  <si>
    <t>She finishes her routine and gets a hug from her coach.</t>
  </si>
  <si>
    <t>v_ffDlO-IrsxI</t>
  </si>
  <si>
    <t>An assortment of teams male and female are lined up outside of a building then they are let in.</t>
  </si>
  <si>
    <t>In the building,there are multiple pool tables and a man begins instructing them on what to do.</t>
  </si>
  <si>
    <t>Different people begin hitting the balls and the instructor goes over to help them.</t>
  </si>
  <si>
    <t>v_Alv7N6Ynm1Y</t>
  </si>
  <si>
    <t>A group of people have gathered on a stage.</t>
  </si>
  <si>
    <t>The audience claps for the performers.</t>
  </si>
  <si>
    <t>They shake hands and hug as credits roll.</t>
  </si>
  <si>
    <t>v_5IwVWA2HY5M</t>
  </si>
  <si>
    <t>A woman is in a kitchen, talking.</t>
  </si>
  <si>
    <t>She is showing off an array of sandwich toppings.</t>
  </si>
  <si>
    <t>She places meat and cheese on bread, then closes the sandwich.</t>
  </si>
  <si>
    <t>v_x0HMqVvqHJE</t>
  </si>
  <si>
    <t>Many females, some in blue shirts and some in white shirts, run around on a field playing a game.</t>
  </si>
  <si>
    <t>A few people watch from the bleachers in the background.</t>
  </si>
  <si>
    <t>Two referees runs about and down the field with the players.</t>
  </si>
  <si>
    <t>Other players watch from the sideline near a fence.</t>
  </si>
  <si>
    <t>A group of people keeping score sit at a table on the sideline.</t>
  </si>
  <si>
    <t>Some of the people watching from the bleachers are standing now.</t>
  </si>
  <si>
    <t>A man in a blue sweatshirt walks on the sideline.</t>
  </si>
  <si>
    <t>v_H9ekrZnisUI</t>
  </si>
  <si>
    <t>Outside in the yard there is a lady dressed like a cupcake and she is playing a game of cricket.</t>
  </si>
  <si>
    <t>She hits the yellow ball but it does not move very far at all.</t>
  </si>
  <si>
    <t>She has a little bit of trouble trying to get a good position to hit the ball again.</t>
  </si>
  <si>
    <t>When she finally hits it again it does not go through the course like she was expecting so she is disappointed.</t>
  </si>
  <si>
    <t>v_VBY8feOQgy4</t>
  </si>
  <si>
    <t>There is an indoor gym where two contestants are fencing with each other.</t>
  </si>
  <si>
    <t>There is a person dressed in black who is their referee.</t>
  </si>
  <si>
    <t>Another pair of contestants are also fencing at the same event.</t>
  </si>
  <si>
    <t>Two men dressed in fencing gear continue to fence in the gym.</t>
  </si>
  <si>
    <t>v_bEniqIC5Ric</t>
  </si>
  <si>
    <t>A woman rides a camel holding a rode with her right hand while a man pulls the camel.</t>
  </si>
  <si>
    <t>Then, the camel stops and the woman gets down from the camel.</t>
  </si>
  <si>
    <t>v_OyeXXxV3MSg</t>
  </si>
  <si>
    <t>Two men laugh and bow there heads watching work get done.</t>
  </si>
  <si>
    <t>The person paints their friends nails.</t>
  </si>
  <si>
    <t>The man removes his friends hand and continues working.</t>
  </si>
  <si>
    <t>v_MM5mreexkI8</t>
  </si>
  <si>
    <t>A young girl runs through the living room dropping flowers and dirt around.</t>
  </si>
  <si>
    <t>A woman grabs a vacuum and vacuums the floor.</t>
  </si>
  <si>
    <t>She inserts a tool into the vacuum and vacuums along the baseboards.</t>
  </si>
  <si>
    <t>She uses a special tool of the vacuum to vacuum around the sofa and the stair carpet.</t>
  </si>
  <si>
    <t>She uses another tool of the vacuum to vacuum around windows.</t>
  </si>
  <si>
    <t>She pulls a tray out of the vacuum.</t>
  </si>
  <si>
    <t>v_ytXLI-2wgaQ</t>
  </si>
  <si>
    <t>A group of children play hockey on a field with coaches coaching as they play.</t>
  </si>
  <si>
    <t>A coach demonstrates how to block a goal inside of a interior gym in front of a group of young people.</t>
  </si>
  <si>
    <t>The children then emulate the training as the camera cuts to the coach talking to the camera.</t>
  </si>
  <si>
    <t>The children continue to play hockey until the screen fades.</t>
  </si>
  <si>
    <t>v_TN8tBV7CY6U</t>
  </si>
  <si>
    <t>A close up is shown of a mini pool table with cues and balls.</t>
  </si>
  <si>
    <t>A man uses the cue to shoot the balls into the pockets.</t>
  </si>
  <si>
    <t>He sits a doll on the table to show size.</t>
  </si>
  <si>
    <t>He also shoots a wiffle ball on the table, and a marble.</t>
  </si>
  <si>
    <t>v_DD3MU7uM9mM</t>
  </si>
  <si>
    <t>Two men are fighting inside a wrestling ring.</t>
  </si>
  <si>
    <t>They flip and tumble over each other.</t>
  </si>
  <si>
    <t>One of the wrestlers pins the other, and the count goes to three.</t>
  </si>
  <si>
    <t>v_25dJIdZj6Xs</t>
  </si>
  <si>
    <t>Two people wearing scuba gear are sitting at the edge of a boat with their backs to the water.</t>
  </si>
  <si>
    <t>The person on the right leans all the way back and splashes in the water.</t>
  </si>
  <si>
    <t>The next person also leans back but can't fully fall into the water because they're stuck to something on the boat, so their legs go flailing.</t>
  </si>
  <si>
    <t>v_sTtFSpelQk4</t>
  </si>
  <si>
    <t>A man in a red life vest demonstrates how to paddle in a canoe through gestures and through talking to the camera from a canoe in a body of water.</t>
  </si>
  <si>
    <t>A man in a red canoe is paddling with one oar in a small body of water while talking to the camera.</t>
  </si>
  <si>
    <t>The man drifts to the side slightly while talking using the paddle as an anchor in the water and seemingly demonstrating how to paddle using the paddle and hand gestures to explain how to move the paddle and canoe in the water.</t>
  </si>
  <si>
    <t>The man then pushes away from the camera with the paddle and drifts out into the water before paddling back to the camera again.</t>
  </si>
  <si>
    <t>v_-_Ud3LXSjdE</t>
  </si>
  <si>
    <t>A young kid is smoking a cigarette.</t>
  </si>
  <si>
    <t>The kid flip the cigarette and tried to put the other end of the cigarette to his mouth.</t>
  </si>
  <si>
    <t>The young kid continue to smoke, he make faces and then smoked.</t>
  </si>
  <si>
    <t>v_5LHIoaSvKCU</t>
  </si>
  <si>
    <t>A young child is seen speaking to the camera while holding up a glass and walking to a cabinet.</t>
  </si>
  <si>
    <t>She fills up the glass and peels lemons into the water.</t>
  </si>
  <si>
    <t>She then uses a spoon to drink the water as well as a straw and nodding her head waving.</t>
  </si>
  <si>
    <t>v_II0BlR0BriI</t>
  </si>
  <si>
    <t>A man is talking inside a gym.</t>
  </si>
  <si>
    <t>A group of female gymnasts form a cluster, then lift a girl over their heads.</t>
  </si>
  <si>
    <t>They hold her up by one leg before twirling her back down and catch her in their arms.</t>
  </si>
  <si>
    <t>v_PjSOjB7qhcA</t>
  </si>
  <si>
    <t>Girls are playing dodge ball outside with only one ball.</t>
  </si>
  <si>
    <t>A girl gets hit with the ball.</t>
  </si>
  <si>
    <t>The girl gets out of the game and goes and holds onto the clothing line.</t>
  </si>
  <si>
    <t>v_tXNycNfALsE</t>
  </si>
  <si>
    <t>A gymnast is seen looking off in the distance and rubbing her hands together.</t>
  </si>
  <si>
    <t>She puts her hands up and begins performing a gymnastics routine on a beam.</t>
  </si>
  <si>
    <t>She moves herself all along the beam and ends by jumping down and others applauding.</t>
  </si>
  <si>
    <t>v_4X8raZBOzvM</t>
  </si>
  <si>
    <t>Two old bagpipe players play towards each other.</t>
  </si>
  <si>
    <t>One bagpipe player turns.</t>
  </si>
  <si>
    <t>The bagpipe players finish playing.</t>
  </si>
  <si>
    <t>The crowd claps for the players.</t>
  </si>
  <si>
    <t>v_U7iNqQs1kRk</t>
  </si>
  <si>
    <t>A man is seated in a chair with a hand drum as another man plays bongos behind him.</t>
  </si>
  <si>
    <t>They play for an extended period together.</t>
  </si>
  <si>
    <t>v_rMes9poepAI</t>
  </si>
  <si>
    <t>We see the title card for the product.</t>
  </si>
  <si>
    <t>We see a lady cleaning her floor.</t>
  </si>
  <si>
    <t>We see the vacuum attachment product and see the product in action.</t>
  </si>
  <si>
    <t>The lady shows each side, and we see her attach the product.</t>
  </si>
  <si>
    <t>We see the lady mopping.</t>
  </si>
  <si>
    <t>Then we see the ease of using the attachment.</t>
  </si>
  <si>
    <t>We see the lady relaxing after cleaning.</t>
  </si>
  <si>
    <t>We see the attachment product again.</t>
  </si>
  <si>
    <t>We see the lady giving a thumbs up.</t>
  </si>
  <si>
    <t>The title screen returns to end the video.</t>
  </si>
  <si>
    <t>v_09Kr5TQ9DHQ</t>
  </si>
  <si>
    <t>A person is shown drawing several lines on a piece of paper that leads into several fast motion clips of snowy areas.</t>
  </si>
  <si>
    <t>More close ups are shown followed by a person riding down the mountain.</t>
  </si>
  <si>
    <t>More people riding down are shown and leads into several shots of people performing ski and snowboarding tricks down a mountain.</t>
  </si>
  <si>
    <t>v_UCFV1JYhq18</t>
  </si>
  <si>
    <t>An advertisement is on the screen first.</t>
  </si>
  <si>
    <t>A girl is jumping rope as people are watching.</t>
  </si>
  <si>
    <t>She is doing tricks and flips as she jumps.</t>
  </si>
  <si>
    <t>The video ends with credits of the ones who put the video together.</t>
  </si>
  <si>
    <t>v_J9Sl_H-1BOA</t>
  </si>
  <si>
    <t>A young girl is seen sitting front of a piano and playing the instrument with her finger tips.</t>
  </si>
  <si>
    <t>She continues playing while the camera captures her from afar.</t>
  </si>
  <si>
    <t>v_C0OxaqCr_wk</t>
  </si>
  <si>
    <t>A person is seen speaking while smoking a cigarette and blowing smoke out of their mouths.</t>
  </si>
  <si>
    <t>The person continues speaking while smoking the cigarette and gradually blowing smoke while she speaks.</t>
  </si>
  <si>
    <t>v_dbR5AzEZOPE</t>
  </si>
  <si>
    <t>three man are standing in a gym talking to each other.</t>
  </si>
  <si>
    <t>men opens the wooden door and enters in the gym and are watching the first men, and they panicked.</t>
  </si>
  <si>
    <t>men start running in the court trying to grab a pink ball and start playing dodgeball.</t>
  </si>
  <si>
    <t>man is talking to the camera in font of a bricked wall.</t>
  </si>
  <si>
    <t>v_bGDwE1v16HU</t>
  </si>
  <si>
    <t>A woman is seen speaking to the camera and leads into clips of her leading an exercise class as well as shots of the studio.</t>
  </si>
  <si>
    <t>The woman continues riding along on the exercise bike while teaching the class and continuing to speak to the camera.</t>
  </si>
  <si>
    <t>v_2-xPjKzp-Kk</t>
  </si>
  <si>
    <t>A person moves poker cards and tokens on the table in a casino on front people.</t>
  </si>
  <si>
    <t>A client tap with the finger inside a square.</t>
  </si>
  <si>
    <t>Then, the person stacks all the cards and puts the tokens inside the squares.</t>
  </si>
  <si>
    <t>Then people start to gamble, while the woman distribute the cards and pick up tokens.</t>
  </si>
  <si>
    <t>After, the client shows with the hand, then the person make gestures with the hand showing the table.</t>
  </si>
  <si>
    <t>Next the woman pick up the cards.</t>
  </si>
  <si>
    <t>v_cAmGHiqmnaw</t>
  </si>
  <si>
    <t>A rodeo is shown as a man charges out of the gate to throw the rope around a baby calf.</t>
  </si>
  <si>
    <t>he is instantly successful and hops back on his horse.</t>
  </si>
  <si>
    <t>v_LyJxXonLzT4</t>
  </si>
  <si>
    <t>A man is in a bar demonstrating how to make drinks.</t>
  </si>
  <si>
    <t>He fills a glass with ice.</t>
  </si>
  <si>
    <t>Then he begins measuring various liquors into a cup, and then pours it into the glass.</t>
  </si>
  <si>
    <t>He shakes the drink together and then pours the mixture into shot glasses.</t>
  </si>
  <si>
    <t>Finally he puts another liquor into the glasses.</t>
  </si>
  <si>
    <t>The video ends with the man holding both glasses up.</t>
  </si>
  <si>
    <t>v_73n-KuFkH94</t>
  </si>
  <si>
    <t>Several shots of athletic runners are shown followed by slow motion shots of an athlete running a long jump and celebrating.</t>
  </si>
  <si>
    <t>The camera pans into scenes of men stretching and watching followed by one running down the long jump and cheering to the crowd.</t>
  </si>
  <si>
    <t>His jump is shown several more times followed by other's jumping performing their jump in front of the large crowd.</t>
  </si>
  <si>
    <t>v_JNBWPj42n-g</t>
  </si>
  <si>
    <t>A man's hands are shown at a table.</t>
  </si>
  <si>
    <t>He places a cardboard box over wrapping paper.</t>
  </si>
  <si>
    <t>He begins to wrap the box, demonstrating how to properly wrap a present.</t>
  </si>
  <si>
    <t>He tapes the wrapping paper around the box.</t>
  </si>
  <si>
    <t>The man ties a bow around the box as the camera slows down the motion.</t>
  </si>
  <si>
    <t>He cuts the excess bow away, and we see a sticker with a woman's face.</t>
  </si>
  <si>
    <t>v_8BAn48zfc68</t>
  </si>
  <si>
    <t>A woman wearing sweat gear and seen trying obtain a light with a lighter.</t>
  </si>
  <si>
    <t>She fails to do so and begins walking towards the camera.</t>
  </si>
  <si>
    <t>v_BSl22Hx2WGM</t>
  </si>
  <si>
    <t>Several shots are shown of close ups of cheerleaders leading into clips of them performing tricks and flips with one another.</t>
  </si>
  <si>
    <t>The video continues with many shots of the cheerleaders performing together in slow motion and doing tricks with one another.</t>
  </si>
  <si>
    <t>v_8HdfGmQaabM</t>
  </si>
  <si>
    <t>A blonde woman in a green sweater is talking.</t>
  </si>
  <si>
    <t>She shows off a plate filled with pasta salad and vegetables.</t>
  </si>
  <si>
    <t>She shows how she made the pesto sauce in a blender before mixing mini tomatoes in with the pasta.</t>
  </si>
  <si>
    <t>She returns to the camera, continuing to talk before we see a final scene of the pasta.</t>
  </si>
  <si>
    <t>v_bi6C3kyP4mU</t>
  </si>
  <si>
    <t>Several men are pictured outside in their kayaking uniforms ready to start rafting.</t>
  </si>
  <si>
    <t>Several people begin rafting and they are shown in bars and on buses.</t>
  </si>
  <si>
    <t>As they continue rafting,a clear bucket with a black circle with several lines is shown on each raft and the people walk by putting out cigarettes on it.</t>
  </si>
  <si>
    <t>More people began kayaking and end up flipping the rafts over until a man comes and starts to talk.</t>
  </si>
  <si>
    <t>v_ZYrQ-TSPQfU</t>
  </si>
  <si>
    <t>People whom are wearing helmets, are paddling a inflated boat down a rocky body of water.</t>
  </si>
  <si>
    <t>Water splashes into the inflated boat.</t>
  </si>
  <si>
    <t>The people stop paddling, and the boat is still.</t>
  </si>
  <si>
    <t>v_v1Iv-ySc2LM</t>
  </si>
  <si>
    <t>A child uses a mop to wash the floor of a home.</t>
  </si>
  <si>
    <t>The child twist the mop to turn it over.</t>
  </si>
  <si>
    <t>v_6ECElQXTBIY</t>
  </si>
  <si>
    <t>A little girl walks into a gym as her name flashes on the screen.</t>
  </si>
  <si>
    <t>The little girl performs a routine with a baton.</t>
  </si>
  <si>
    <t>The girl does a flip, throws her baton and catches it while on the ground.</t>
  </si>
  <si>
    <t>The girl pauses and counts.</t>
  </si>
  <si>
    <t>The girl does a split and lays her baton on the ground.</t>
  </si>
  <si>
    <t>v_cd_-gvb82Bs</t>
  </si>
  <si>
    <t>A man is seen speaking to the camera holding a window washer and begins getting the windows wet.</t>
  </si>
  <si>
    <t>He then points to the window while wiping it down over and over again with various tools.</t>
  </si>
  <si>
    <t>v_TxiLjdHoXU4</t>
  </si>
  <si>
    <t>A gymnast stands ready at the end then flips up onto a beam.</t>
  </si>
  <si>
    <t>She performs a gymnastic routine while several people on the sides watch her.</t>
  </si>
  <si>
    <t>She continues flipping around the beam and doing various acrobatic tricks.</t>
  </si>
  <si>
    <t>She jumps down and gives her coach a hug while the camera shows her movements in slow motion and she speaks to a woman.</t>
  </si>
  <si>
    <t>v_98buk_vE_z4</t>
  </si>
  <si>
    <t>Two people are seen playing a set of bongo drums while singing and looking to the camera.</t>
  </si>
  <si>
    <t>The men continuously play and end by stopping and smiling at one another.</t>
  </si>
  <si>
    <t>v_XGwP_Y-x-dI</t>
  </si>
  <si>
    <t>In a sped up special effect, there are 3 people who are shoveling a driveway and removing snow from a car on the right side of their driveway while neighbors and other snow plows are also moving about behind them.</t>
  </si>
  <si>
    <t>A person drops their shovel in the driveway, then runs to the end of the driveway to play in the snow, then goes back and picks the shovel back up to shovel again.</t>
  </si>
  <si>
    <t>A black car pulls int o the newly shoveled driveway and the people continue to shovel snow onto the road outside of their driveway.</t>
  </si>
  <si>
    <t>v_13hdhdieZuc</t>
  </si>
  <si>
    <t>There's a woman with short brown hair doing makeup tutorial.</t>
  </si>
  <si>
    <t>She begins by wearing a headband to keep her hair out of her face.</t>
  </si>
  <si>
    <t>Then she starts applying some foundation all over her face and blends it in.</t>
  </si>
  <si>
    <t>Then she takes an eyeliner and applies it with a brush under her eyes and on her eyelids.</t>
  </si>
  <si>
    <t>She then takes some powder compact and pats it on her face and spreads it evenly.</t>
  </si>
  <si>
    <t>Then with a brush she applies some eyeliner on her eyelids, followed by an eyeliner pencil which she uses on her eyelids and under her eyes.</t>
  </si>
  <si>
    <t>She takes a pair of eyelash curlers and curls her lashes and then applies some mascara with a brush.</t>
  </si>
  <si>
    <t>She finishes off the makeup with a lipstick that she puts on her upper and lower lips.</t>
  </si>
  <si>
    <t>Then she removes her headband and straightens her hair to finish off her look.</t>
  </si>
  <si>
    <t>She shows the before makeup and after makeup pictures to show the difference.</t>
  </si>
  <si>
    <t>v_KOiRoi5_SnQ</t>
  </si>
  <si>
    <t>A man is standing on a pair of skis.</t>
  </si>
  <si>
    <t>He then skis quickly down a snowy embankment, accidentally hitting a skier in his path and sending her careening to the right.</t>
  </si>
  <si>
    <t>they stop and talk, checking to make sure she is ok.</t>
  </si>
  <si>
    <t>v_pPGniqIBs-U</t>
  </si>
  <si>
    <t>A man is seen holding a small child while looking and smiling to the camera.</t>
  </si>
  <si>
    <t>The two then climb on a camel and ride around while waving to the camera.</t>
  </si>
  <si>
    <t>The two ride back together with the woman leading them in front.</t>
  </si>
  <si>
    <t>v_fNPEa0Sd4hM</t>
  </si>
  <si>
    <t>Olympic triple jumps are shown in a stadium.</t>
  </si>
  <si>
    <t>The first person in yellow goes over 17 meters.</t>
  </si>
  <si>
    <t>The second person does about the same as does the third person.</t>
  </si>
  <si>
    <t>v_oD5lGBt7U7g</t>
  </si>
  <si>
    <t>Several shots are shown of the inside of a shop followed by a person unboxing a bike.</t>
  </si>
  <si>
    <t>The man then brings out tools and tightens them along the bike and is shown peddling the bike with his hands and showing off the finished bike.</t>
  </si>
  <si>
    <t>v_RoAtTRjWKEg</t>
  </si>
  <si>
    <t>A girl is on a low beam, preparing to flip.</t>
  </si>
  <si>
    <t>She flips forward, then turns backward with her arms outstretched.</t>
  </si>
  <si>
    <t>v_8b3ZBE0n3V8</t>
  </si>
  <si>
    <t>A boy walk in the room from the left doorway holding a red stuffed animal sits down at the table then put animal away.</t>
  </si>
  <si>
    <t>A girl walk in the room front the right doorway and sits down at the table.</t>
  </si>
  <si>
    <t>They begin arm wrestling and the girl wins.</t>
  </si>
  <si>
    <t>the girl smiles at the camera sighting her victory then they both get up to exit room from the same sides they entered in from.</t>
  </si>
  <si>
    <t>v_ql7I6qtyhBU</t>
  </si>
  <si>
    <t>The screen shows company sponsors for a winter club event.</t>
  </si>
  <si>
    <t>A blue convertible drives past the North shore Winter Club.</t>
  </si>
  <si>
    <t>A couple enters the club while a silver mini van is parked outside.</t>
  </si>
  <si>
    <t>Several people are entering the Curling room inside the club.</t>
  </si>
  <si>
    <t>The coach representing the Brasil team, wearing a green jersey is giving instructions to the players.</t>
  </si>
  <si>
    <t>The coach talks to the players while they prepare themselves.</t>
  </si>
  <si>
    <t>The players begin playing with their sticks as they push the rocks through the floor, Several other players are practicing curling on the floor as they glide through the slippery surface.</t>
  </si>
  <si>
    <t>Players continue to play and exchange high fives as they practice.</t>
  </si>
  <si>
    <t>About nine of the contestants receive medals of victory from the judge.</t>
  </si>
  <si>
    <t>They applaud themselves and each other high fives to express their victory.</t>
  </si>
  <si>
    <t>The video ends with details about all the sponsors responsible for the event.</t>
  </si>
  <si>
    <t>v_yduDG8EcM0A</t>
  </si>
  <si>
    <t>There's a little boy wearing a red Elmo shirt standing on a step stool in the kitchen with his grandmother.</t>
  </si>
  <si>
    <t>They are juicing a lemon on an electric juicer that is placed on the kitchen counter near the sink.</t>
  </si>
  <si>
    <t>the boy seems excited to help his grandmother juice the lemon.</t>
  </si>
  <si>
    <t>He puts his hand over her hand while she is juicing the lemon.</t>
  </si>
  <si>
    <t>v_FZtIVsmpYcI</t>
  </si>
  <si>
    <t>We see a lawnmower and a persons hand.</t>
  </si>
  <si>
    <t>A person starts the mower and it smokes.</t>
  </si>
  <si>
    <t>We see the man mowing the lawn with a smoking mower.</t>
  </si>
  <si>
    <t>We see the mower from the point of view of the mower.</t>
  </si>
  <si>
    <t>We see the boy start the lawn mower again.</t>
  </si>
  <si>
    <t>The boy mows the lawn.</t>
  </si>
  <si>
    <t>We then see the boy walking with the mower.</t>
  </si>
  <si>
    <t>v_2mmN96TdEdY</t>
  </si>
  <si>
    <t>An intro leads into several clips of people solving rubix cubes while a timer captures their speed on the side.</t>
  </si>
  <si>
    <t>More people continue to solve the puzzle as the camera captures them from many sides.</t>
  </si>
  <si>
    <t>v_0YQPGAsZPgY</t>
  </si>
  <si>
    <t>A four piece percussion and string band play on a stage with the main focus being a man on the bongos in the center of the stage and wearing sunshades indoors.</t>
  </si>
  <si>
    <t>A man plays bongos in an animated fashion while a woman next to him plays the keyboard and a man behind him plays guitar.</t>
  </si>
  <si>
    <t>A man next to him begins to hit a stick against a metallic percussion instrument.</t>
  </si>
  <si>
    <t>The man playing the bongos knocks one of them over at which point the man next to him sets the bongo upright again.</t>
  </si>
  <si>
    <t>v_Deo_GsHyw8Y</t>
  </si>
  <si>
    <t>Al's begins his skiing tips with an iron and a sponge.</t>
  </si>
  <si>
    <t>Demonstrating what and how you would use it on the ski's.</t>
  </si>
  <si>
    <t>He shows you on the ski's how to rub it on.</t>
  </si>
  <si>
    <t>Then he explains a little more about the process.</t>
  </si>
  <si>
    <t>v_eQc-8npRq18</t>
  </si>
  <si>
    <t>A person is seen standing before a large track holding a pole.</t>
  </si>
  <si>
    <t>The person begins to run down the track while still holding the pole.</t>
  </si>
  <si>
    <t>The man then jumps over a beam and onto a mat.</t>
  </si>
  <si>
    <t>v_G836MDBhEpg</t>
  </si>
  <si>
    <t>A woman behind a bar explaining how to make a drink.</t>
  </si>
  <si>
    <t>She pours several ingredients into a shaker and shakes it.</t>
  </si>
  <si>
    <t>She then pours the drink from the shaker into a shot glass and holds it up.</t>
  </si>
  <si>
    <t>v_xm01x3C3RJo</t>
  </si>
  <si>
    <t>A dog is put into a bath tub.</t>
  </si>
  <si>
    <t>A girl pours water onto the dog out of a cup.</t>
  </si>
  <si>
    <t>She rubs shampoo on the dogs fur.</t>
  </si>
  <si>
    <t>She dries the dog off with a towel.</t>
  </si>
  <si>
    <t>v__mupI51ie9A</t>
  </si>
  <si>
    <t>three kids are hitting a ball with a racket.</t>
  </si>
  <si>
    <t>They are ducking so it doesn't hit them in their heads.</t>
  </si>
  <si>
    <t>They are each taking turns hitting the ball.</t>
  </si>
  <si>
    <t>Moving around all over the court trying to catch it.</t>
  </si>
  <si>
    <t>v_dU4sCY0kHtk</t>
  </si>
  <si>
    <t>A woman wearing pajamas is talking and standing on a star decorated stage.</t>
  </si>
  <si>
    <t>She demonstrates several dance steps as she speaks.</t>
  </si>
  <si>
    <t>She steps back and forth, turns and shakes her hips like a belly dancer.</t>
  </si>
  <si>
    <t>v_c6ie4KwFnAs</t>
  </si>
  <si>
    <t>There is a team of boys dressed in blue uniforms playing soccer against another team of boys dressed in blue striped uniforms in an indoor gym.</t>
  </si>
  <si>
    <t>There are several spectators seated on the side watching the players play soccer.</t>
  </si>
  <si>
    <t>The goalie dressed in yellow tries to stop the opponent's ball.</t>
  </si>
  <si>
    <t>There is also another game of soccer between a team dressed in red and a team dressed inn blue.</t>
  </si>
  <si>
    <t>The first set of teams continue playing the game as the solid blue team scores a goal.</t>
  </si>
  <si>
    <t>v_yNyv7Ykn5oo</t>
  </si>
  <si>
    <t>A group of people start to dig a structure close to the shore.</t>
  </si>
  <si>
    <t>As the digging continues more people join to dig as a pattern ensues.</t>
  </si>
  <si>
    <t>The digging continues and people start to add rocks in a linear fashion around the rig and dig beside the rocks and eventually cover the rocks with sand.</t>
  </si>
  <si>
    <t>Finally in the tide moves up and starts to destroy the structure that was created.</t>
  </si>
  <si>
    <t>In the end people observe the failing structure and leave while a girl stands in the middle as the water moves up and destroys it completely.</t>
  </si>
  <si>
    <t>v_AzUK4Nwd-sY</t>
  </si>
  <si>
    <t>Two people are seen riding around horses and leads into more people riding horses and walking around.</t>
  </si>
  <si>
    <t>A man leads another with a horse around a field while a dog runs around behind him.</t>
  </si>
  <si>
    <t>The camera interviews a man speaking to others while holding the horses.</t>
  </si>
  <si>
    <t>v_fXgszraP2tc</t>
  </si>
  <si>
    <t>A man is seen speaking to the camera while holding onto a leash in different locations.</t>
  </si>
  <si>
    <t>The man is then seen walking around a dog and leads into him back inside still speaking to the camera.</t>
  </si>
  <si>
    <t>He continues to speak more while holding onto the rope and walking around with the dog.</t>
  </si>
  <si>
    <t>v_qBvQjv1XyfQ</t>
  </si>
  <si>
    <t>A man is shown talking to the camera and leads into an athletic girl swinging around on uneven bars.</t>
  </si>
  <si>
    <t>She hops down while the man talks again and switches back and fourth to him talking and her performing.</t>
  </si>
  <si>
    <t>She puts chalk on her hands and continues flipping around on the bars and the man finishes speaking.</t>
  </si>
  <si>
    <t>v_Tk3zk2pJ9KA</t>
  </si>
  <si>
    <t>A camera pans over several landscapes located in the desert as well as the night sky moving around.</t>
  </si>
  <si>
    <t>The sun rises and more shots of landscapes are shown as well as animals in the area.</t>
  </si>
  <si>
    <t>People are then seen riding around on a boat through a tough river and end with a plane flying over the area.</t>
  </si>
  <si>
    <t>v_6fI4gF_2VCk</t>
  </si>
  <si>
    <t>A man's face is seen close up speaking and leads into him smoking a cigarette.</t>
  </si>
  <si>
    <t>The man continues to take drags out of the cigarette while blowing smoke off into the distance.</t>
  </si>
  <si>
    <t>He moves his hand up and down to smoke and blow the smoke out.</t>
  </si>
  <si>
    <t>v_p9JNte3VMKQ</t>
  </si>
  <si>
    <t>A man is seen speaking to the camera while holding a knife in his hands and begins sharpening the knife along a board.</t>
  </si>
  <si>
    <t>The man continues sharpening the blade and then uses other boards to sharpen the knife.</t>
  </si>
  <si>
    <t>v_hwY9jvSjC9I</t>
  </si>
  <si>
    <t>The woman is shown putting her feet into her shoes while they are tied.</t>
  </si>
  <si>
    <t>But after a few minutes of her lifting her feet off of the ground, she takes them off without using her hands.</t>
  </si>
  <si>
    <t>Then she bends down to turn the camera off.</t>
  </si>
  <si>
    <t>v_sObM6mb3hgs</t>
  </si>
  <si>
    <t>Several young men exhibit rollerblading stunts using many different pedestrian environments to showcase the stunts including, sidewalks,stairwells, stair railings, walls and parking lots.</t>
  </si>
  <si>
    <t>A camera picks up several candid environment shots picking up lines of palm trees, and a vast cityscape filled with buildings and some foliage.</t>
  </si>
  <si>
    <t>A group of young men are showcased one by one ,with an onscreen name template, rollerblading stunts on stairs and stair railings, jumping in the air, sliding on rails and landing.</t>
  </si>
  <si>
    <t>The men showcase some mishaps in which they fall after the stunt, but then perform more stunts successfully.</t>
  </si>
  <si>
    <t>v_iWj81FBROQQ</t>
  </si>
  <si>
    <t>A gymnast is seen looking off into the distance and leads into her hold her arms up.</t>
  </si>
  <si>
    <t>She jumps onto a beam and begins performing various flips and tricks.</t>
  </si>
  <si>
    <t>The girl jumps all around the beam and ends by jumping down and raising her arms up and smiling to the camera.</t>
  </si>
  <si>
    <t>v_deuSw3RnNLU</t>
  </si>
  <si>
    <t>A woman makes a batch of master cleanse drink at the counter in the kitchen using lemons, water, syrup and red pepper.</t>
  </si>
  <si>
    <t>A woman enters a kitchen, talks to the camera and begins to cut and juice lemons.</t>
  </si>
  <si>
    <t>The woman then pours the lemon juice into a bottle of water.</t>
  </si>
  <si>
    <t>The woman then adds syrup and red pepper to the mixture with blue measuring spoons and a measuring glass, after which she leans on the counter and talks to the camera some more.</t>
  </si>
  <si>
    <t>v_77w2Am_ttbg</t>
  </si>
  <si>
    <t>A man is seen sitting on a piece of exercise equipment moving himself back and fourth.</t>
  </si>
  <si>
    <t>A dog walks around the man working and ends by the camera facing the ground.</t>
  </si>
  <si>
    <t>v_yEFS8M4pgMU</t>
  </si>
  <si>
    <t>There two teams of men playing the game of tug of war in a gym.</t>
  </si>
  <si>
    <t>There are several people seated in the gym watching them play the game.</t>
  </si>
  <si>
    <t>The referee is standing next to the contestants as they continue to pull the rope harder.</t>
  </si>
  <si>
    <t>The opposing team pulls harder and the team in the white ends up falling down and losing.</t>
  </si>
  <si>
    <t>v_IY1bVy1yZv4</t>
  </si>
  <si>
    <t>A man is sitting down on the ground fixing a child's bike.</t>
  </si>
  <si>
    <t>A kid in a yellow shirt is standing next to him watching.</t>
  </si>
  <si>
    <t>A boy in a blue shirt is pushing another bike behind him.</t>
  </si>
  <si>
    <t>v_fvUQQF5S4Dg</t>
  </si>
  <si>
    <t>A person serves an ice cream with a stick to a man, the cone falls to the floor.</t>
  </si>
  <si>
    <t>The man gives another cone, then the man takes of the cone and gives back to the man.</t>
  </si>
  <si>
    <t>After, the man gives the cone with a napkin, but he takes the cone again, after he gives the ice cream in his mouth.</t>
  </si>
  <si>
    <t>Finally, the man gives the cone to the man while a crowd watch.</t>
  </si>
  <si>
    <t>v_9mpPAwSmUmk</t>
  </si>
  <si>
    <t>A guy works on a roof.</t>
  </si>
  <si>
    <t>A guy removes nails and pieces of the roof.</t>
  </si>
  <si>
    <t>A guy removes dirt and twigs from the corner of the roof.</t>
  </si>
  <si>
    <t>A guy measures and cuts pieces for the roof.</t>
  </si>
  <si>
    <t>v_-AUKiMfqga4</t>
  </si>
  <si>
    <t>A skillet is on a stove with ingredients on the counter alongside it.</t>
  </si>
  <si>
    <t>Someone puts onions in the skillet and beats eggs and other ingredients into a bowl before adding them to the skillet too.</t>
  </si>
  <si>
    <t>He flips the eggs, making an omelette.</t>
  </si>
  <si>
    <t>He flips the omelette gently onto a plate for serving.</t>
  </si>
  <si>
    <t>v_54chD8QFKyk</t>
  </si>
  <si>
    <t>A white cat is sleeping on terra cotta tiles.</t>
  </si>
  <si>
    <t>White text explains how to clip the cat's nails.</t>
  </si>
  <si>
    <t>A woman takes the cats paws, clipping them gently with a clipper until they are finished.</t>
  </si>
  <si>
    <t>v_D74hnUdBs04</t>
  </si>
  <si>
    <t>A large group of people are seen standing on a field playing a volleyball game with one another.</t>
  </si>
  <si>
    <t>The camera pans around the beach and back to the people playing with one another passing the ball around.</t>
  </si>
  <si>
    <t>v_sOyox_6AG1w</t>
  </si>
  <si>
    <t>An intro for a running video that says Running appears on screen.</t>
  </si>
  <si>
    <t>A lady commentates over a video of a huge sum of people completing a marathon in New York City.</t>
  </si>
  <si>
    <t>The video goes to show the top 5 events in the marathons history, The lady commentates over every event, as the video countsdown from 5 to 1 while showing the events occur, She explains every event in detail.</t>
  </si>
  <si>
    <t>The video concludes with an outro image.</t>
  </si>
  <si>
    <t>v_p4rdUt1iDkY</t>
  </si>
  <si>
    <t>A man kneels down on a blue mat and raises a bar above his head.</t>
  </si>
  <si>
    <t>He stands up and walks off.</t>
  </si>
  <si>
    <t>v_JzLqc6MhJtc</t>
  </si>
  <si>
    <t>A woman is sitting in a chair.</t>
  </si>
  <si>
    <t>A person is painting something onto their finger.</t>
  </si>
  <si>
    <t>The woman looks up at the camera.</t>
  </si>
  <si>
    <t>v_ZTtPztql5jM</t>
  </si>
  <si>
    <t>Rain falls on a large auditorium.</t>
  </si>
  <si>
    <t>Many people are in the stands.</t>
  </si>
  <si>
    <t>Several athletes stand in the arena.</t>
  </si>
  <si>
    <t>The athletes throw discs on the field.</t>
  </si>
  <si>
    <t>v_cJYtpnf5aOM</t>
  </si>
  <si>
    <t>A boy in young boy drives a small tractor lawn mower around the yard of a house maneuvering around obstacles.</t>
  </si>
  <si>
    <t>The boy mows over some small flowers in the grass.</t>
  </si>
  <si>
    <t>v_2hgXJR5QdkU</t>
  </si>
  <si>
    <t>A woman with curly hair and very thing eyebrows is sucking from a hookah.</t>
  </si>
  <si>
    <t>She blows out all of the smoke that she inhaled, she is laying in bed by herself relaxing.</t>
  </si>
  <si>
    <t>She seems like she is very bored just blowing smoke recording herself.</t>
  </si>
  <si>
    <t>Turns out, there is another person in the room with her feeding her, she smiles really big and continues exhaling smoke out.</t>
  </si>
  <si>
    <t>v_LKf1eTzmK14</t>
  </si>
  <si>
    <t>A runner is running on a track in front of a crowd of people.</t>
  </si>
  <si>
    <t>A man is shown talking to the camera.</t>
  </si>
  <si>
    <t>Runners are running down a track with crowds on both sides and one of the runners stumbles.</t>
  </si>
  <si>
    <t>Another runner is shown and a man is shown talking to the camera.</t>
  </si>
  <si>
    <t>A runner is crawling across a finish line while other runners are running through the finish line.</t>
  </si>
  <si>
    <t>The distressed runner is carried away.</t>
  </si>
  <si>
    <t>Runners in distress are shown.</t>
  </si>
  <si>
    <t>Various runners are shown in distress and talking to the camera.</t>
  </si>
  <si>
    <t>More distressed runners are shown.</t>
  </si>
  <si>
    <t>v_7pcnWE7jpQY</t>
  </si>
  <si>
    <t>A person is attempting high jumps.</t>
  </si>
  <si>
    <t>The first few attempts are good.</t>
  </si>
  <si>
    <t>The final attempt is not ever achieved.</t>
  </si>
  <si>
    <t>v_EuIBTFqVOt8</t>
  </si>
  <si>
    <t>Two men are shown performing an arm wrestling match with many watching on the sidelines and a ref calling who the winner is.</t>
  </si>
  <si>
    <t>Several more men battle back and fourth with one another and more people stepping in and out of frame to watch.</t>
  </si>
  <si>
    <t>v_We9NR-CaIgM</t>
  </si>
  <si>
    <t>People performs arts martial movers, standing on their heads and spinning.</t>
  </si>
  <si>
    <t>Then, a man and a boy jumps over, then kids stands on their head an spin around.</t>
  </si>
  <si>
    <t>Boys bend his body backwards until the feet reach the ground.</t>
  </si>
  <si>
    <t>Teens twist their bodies and bend to the other end.</t>
  </si>
  <si>
    <t>v_W04glwJ_IYI</t>
  </si>
  <si>
    <t>A woman grooms an angry poodle who is collared and tethered to a pole attached to a black grooming table.</t>
  </si>
  <si>
    <t>A brown poodle is being combed by a woman in a yellow walled room on a black grooming table.</t>
  </si>
  <si>
    <t>The woman holds out a pink plastic toy which the dog begins to bite, snap and grab at while the woman combs the poodles fur.</t>
  </si>
  <si>
    <t>The poodle continues to snap at the pink toy and also at the woman's hand and the comb.</t>
  </si>
  <si>
    <t>v_vNMBtwYDH9E</t>
  </si>
  <si>
    <t>A gymnast mounts a low beam in a gym.</t>
  </si>
  <si>
    <t>She performs on the beam, doing handsprings and flips.</t>
  </si>
  <si>
    <t>She then dismounts with her hands in the air.</t>
  </si>
  <si>
    <t>v_mfq5Y7S3BWs</t>
  </si>
  <si>
    <t>A woman is standing by a bathroom door talking.</t>
  </si>
  <si>
    <t>The same woman is now seen on a stationary bicycle teaching a spin class.</t>
  </si>
  <si>
    <t>Several other people in the class can be seen on stationary bicycles in the mirror behind the instructor.</t>
  </si>
  <si>
    <t>The woman is then shown on the ground demonstrating an exercise.</t>
  </si>
  <si>
    <t>The spin class is shown again still in progress.</t>
  </si>
  <si>
    <t>The instructor then does floor exercises again with the class following along.</t>
  </si>
  <si>
    <t>The instructor and the class finish on the bikes again.</t>
  </si>
  <si>
    <t>v_oWsEp7hsmZg</t>
  </si>
  <si>
    <t>A lady stands and talks in a gym.</t>
  </si>
  <si>
    <t>She points to her abdomen, then lays on a bench.</t>
  </si>
  <si>
    <t>The lady holds the bench and and lifts her abdomen and legs.</t>
  </si>
  <si>
    <t>The lady sits up and scoots to the edge.</t>
  </si>
  <si>
    <t>The lady performs the same exercise with her butt hanging off the bench.</t>
  </si>
  <si>
    <t>The lady finishes, sits upright and speaks.</t>
  </si>
  <si>
    <t>v_1XQUDJhMcj8</t>
  </si>
  <si>
    <t>A woman is seen hosting a news segment that leads into clips of fire fighters running down a block and carrying objects over their heads.</t>
  </si>
  <si>
    <t>More people are seen speaking to the camera as they continue running around and women speaking to the camera.</t>
  </si>
  <si>
    <t>v_2xQVZorob1Q</t>
  </si>
  <si>
    <t>An individual shovels snow, but only the lower legs and shovel are visible on camera.</t>
  </si>
  <si>
    <t>The individual sets aside the shovel and walks towards the camera.</t>
  </si>
  <si>
    <t>The camera once again shows the individual shoveling.</t>
  </si>
  <si>
    <t>v_AXyRIyXqnzI</t>
  </si>
  <si>
    <t>a man in a grey warm up suit practices shot put behind a net.</t>
  </si>
  <si>
    <t>Another man in a green sweatshirt practices a shot put throw in a field behind a net gate.</t>
  </si>
  <si>
    <t>still photos are featured between multiple men practicing their shot put throw.</t>
  </si>
  <si>
    <t>A series of shot put throws are featured in consecutive tosses.</t>
  </si>
  <si>
    <t>v_WWyGnNfcj8Q</t>
  </si>
  <si>
    <t>A man is seen decorating a cake blindfolded while a small group of people watch.</t>
  </si>
  <si>
    <t>The man adds frosting to the cake while others continue to watch as well as other ingredients.</t>
  </si>
  <si>
    <t>He takes off the blindfold and cheers as well as putting hawaii outfits on everyone and dancing around.</t>
  </si>
  <si>
    <t>v_sW_iLVVMF4w</t>
  </si>
  <si>
    <t>A man is outside on the roof of his shed with a leaf blower ready to clean the leaves off the roof.</t>
  </si>
  <si>
    <t>He shows a close up of the leaf blower and explains the specifics of it, primes the machine, sets the camera down and starts it.</t>
  </si>
  <si>
    <t>He picks up the camera and gets a close up of the leaf blower again.</t>
  </si>
  <si>
    <t>He now blows the leaves off of the roof of his shed.</t>
  </si>
  <si>
    <t>v_RDC4sqe8xVk</t>
  </si>
  <si>
    <t>A man is getting dressed to ski in the falling snow.</t>
  </si>
  <si>
    <t>He is talking to the camera about skiing.</t>
  </si>
  <si>
    <t>He is then seen going through the air, and down steep slopes as he skis.</t>
  </si>
  <si>
    <t>v_H306mUUJ5BE</t>
  </si>
  <si>
    <t>A man is seen speaking to the camera while sitting in a chair and putting his arms up every now and then.</t>
  </si>
  <si>
    <t>He then plays a harmonica moving his hands around while pausing to speak to the camera and ends up speaking and pointing.</t>
  </si>
  <si>
    <t>v_C4xYnBd7PM0</t>
  </si>
  <si>
    <t>A man is seen standing beside a bull and holding up a red flag.</t>
  </si>
  <si>
    <t>The bull is then shown attacking several men in many clips.</t>
  </si>
  <si>
    <t>More people are shown chasing bulls with them chasing after.</t>
  </si>
  <si>
    <t>v_L1oWKMy5ofM</t>
  </si>
  <si>
    <t>A woman is sitting and talking in front of a laptop.</t>
  </si>
  <si>
    <t>She gets up in front of a room of family members.</t>
  </si>
  <si>
    <t>She dances, showing several moves to the people as she shimmies across the room.</t>
  </si>
  <si>
    <t>v__rzxmgPv6Co</t>
  </si>
  <si>
    <t>A man is standing in his uniform in a desert like area talking.</t>
  </si>
  <si>
    <t>While he his talking,several videos of him are shown off road motorcycle racing around the course jumping over humps.</t>
  </si>
  <si>
    <t>However,he comes back during the segments to show how he uses techniques in certain jumps and the correct way to do it.</t>
  </si>
  <si>
    <t>v_W2wyahjyTFc</t>
  </si>
  <si>
    <t>A little girl is standing in front of a hopscotch game in her living room.</t>
  </si>
  <si>
    <t>She jumps forward on each square, then turns and goes the other way.</t>
  </si>
  <si>
    <t>She smiles and bows for the camera.</t>
  </si>
  <si>
    <t>v_C1YNGahOoiA</t>
  </si>
  <si>
    <t>A man fasten his legs on a pole of a sail boat an lay down on his back on the border of the boat.</t>
  </si>
  <si>
    <t>Then, the man sail the boat holding a rope and lay down on the border of the boat.</t>
  </si>
  <si>
    <t>The man falls in the water, then he gets up in the boat and continues sailing on his back.</t>
  </si>
  <si>
    <t>A sail board pass next to the boat.</t>
  </si>
  <si>
    <t>v_h0p_7Q2Bucc</t>
  </si>
  <si>
    <t>A man appears treading water as he is waiting to get out of the water and walk up a set of stairs.</t>
  </si>
  <si>
    <t>He finally gets off the stairs and joins the others who are on the wooden diving board.</t>
  </si>
  <si>
    <t>First,a set of three girls jump off before he does and creates a large commotion of waves.</t>
  </si>
  <si>
    <t>v_vOpFUVofoM4</t>
  </si>
  <si>
    <t>A picture of a coffee cup is shown as well as a spoon to relaxing music.</t>
  </si>
  <si>
    <t>Various title screens are shown and eventually the same picture of the coffee cup appears while soft music plays in the background.</t>
  </si>
  <si>
    <t>v_LGj7_gw2GbQ</t>
  </si>
  <si>
    <t>The credits of a clip are shown.</t>
  </si>
  <si>
    <t>A person is water boarding on a body of water.</t>
  </si>
  <si>
    <t>People ride a boat and interact.</t>
  </si>
  <si>
    <t>A lady hula hoops to music.</t>
  </si>
  <si>
    <t>A male leaps from the rocks into the waters.</t>
  </si>
  <si>
    <t>People are on the shore and some are on the boat.</t>
  </si>
  <si>
    <t>A man jumps of a boat with his waterboard.</t>
  </si>
  <si>
    <t>A guy uses a hula hoop as a jump rope.</t>
  </si>
  <si>
    <t>Women dance to music in a social function.</t>
  </si>
  <si>
    <t>The individual is in the body of water.</t>
  </si>
  <si>
    <t>Two adults run in a wooden, hollow cylinder.</t>
  </si>
  <si>
    <t>An individual back flips off a boat.</t>
  </si>
  <si>
    <t>A female stands on waterboard that is on grass.</t>
  </si>
  <si>
    <t>People jump off an inflated boat.</t>
  </si>
  <si>
    <t>The credits of a video are shown with clips.</t>
  </si>
  <si>
    <t>v_jhakEVLCqNM</t>
  </si>
  <si>
    <t>A youth talks inside a home, then he gets outside the home.</t>
  </si>
  <si>
    <t>A man and a teen stand on front a swimming pool talking, and a person lay down on a chair.</t>
  </si>
  <si>
    <t>Then, the man pushes the teen to the water who has trouble to swim.</t>
  </si>
  <si>
    <t>After, the man gets in the water and flip the teen.</t>
  </si>
  <si>
    <t>The teen gets out the swimming pool and throws chair to the man.</t>
  </si>
  <si>
    <t>Next, the teen walks away angry, and the men and the woman take the chairs out of the pool.</t>
  </si>
  <si>
    <t>v_0D9EmyHxhcg</t>
  </si>
  <si>
    <t>Several people are in a skate part rollerblading with one another.</t>
  </si>
  <si>
    <t>The people then move out to scenic places and starts to roller blade throughout the city.</t>
  </si>
  <si>
    <t>More people begin to skate and they start to make ramps in the alley way and going tricks in a skate park.</t>
  </si>
  <si>
    <t>v_cTZw5NUK1-c</t>
  </si>
  <si>
    <t>Various shots of beaches are shown followed by the camera panning over several shots of waves.</t>
  </si>
  <si>
    <t>A person is then seen riding a surfboard through various shots in the camera.</t>
  </si>
  <si>
    <t>People are shown speaking to the camera when another person crashing on their board several times.</t>
  </si>
  <si>
    <t>More people are seen walking down as more surfers continue riding the waves.</t>
  </si>
  <si>
    <t>v_G4D6UtJh3AU</t>
  </si>
  <si>
    <t>A woman is holding a baby in her lap as a woman next to her uses a plastic comb to brush his hair.</t>
  </si>
  <si>
    <t>She talks to the baby as she brushes, and the baby watches her intently.</t>
  </si>
  <si>
    <t>v_AtUAYnNTniM</t>
  </si>
  <si>
    <t>A man lifts a girl up over his head, then over his shoulder.</t>
  </si>
  <si>
    <t>He stands her on his hands, balancing her in the air as other watch.</t>
  </si>
  <si>
    <t>He drops then lifts her again.</t>
  </si>
  <si>
    <t>v_YiMOKwzEf1k</t>
  </si>
  <si>
    <t>A kneeing man runs a small grass cutter over the surface of the lawn.</t>
  </si>
  <si>
    <t>The man mows the shaded green grass.</t>
  </si>
  <si>
    <t>The man mows the sun lit grass.</t>
  </si>
  <si>
    <t>v_1WSFrupQzQI</t>
  </si>
  <si>
    <t>We see the title screens flying up.</t>
  </si>
  <si>
    <t>A bull runs out on the field.</t>
  </si>
  <si>
    <t>A bull rams a wall where the matador is standing.</t>
  </si>
  <si>
    <t>The matador teases the bull with a red cloth.</t>
  </si>
  <si>
    <t>We see the ending screen.</t>
  </si>
  <si>
    <t>v_EX3szlLBdFM</t>
  </si>
  <si>
    <t>A person is seen moving along a large court followed by other people moving around beside him.</t>
  </si>
  <si>
    <t>Several people are seen running up and down the court while others watch on the side.</t>
  </si>
  <si>
    <t>The people continue moving around while others watch them perform drills.</t>
  </si>
  <si>
    <t>v__ekSmyvWdRQ</t>
  </si>
  <si>
    <t>A person is putting salad into a clear bowl.</t>
  </si>
  <si>
    <t>They grab an orange pepper from a pile.</t>
  </si>
  <si>
    <t>They chop the pepper in half.</t>
  </si>
  <si>
    <t>v_8jj-mhVrlGA</t>
  </si>
  <si>
    <t>A woman is shown speaking to the camera and point off into the distance.</t>
  </si>
  <si>
    <t>The camera pans out into another man standing on the court and two basketballs shown.</t>
  </si>
  <si>
    <t>The man and woman then shoot hoops with the balls and pass each other back and fourth.</t>
  </si>
  <si>
    <t>v_XqmMZs2-3ZI</t>
  </si>
  <si>
    <t>A woman is sitting on her little couch thinking about cookies.</t>
  </si>
  <si>
    <t>You are informed of all the ingredients needed to make a batch of delicious cookies and the equipment required to make them.</t>
  </si>
  <si>
    <t>She goes to the kitchen and turns on the oven and begins mixing ingredients in a kitchenaid.</t>
  </si>
  <si>
    <t>Once mixed nicely she places the cookie in the oven and when they done she returns to her couch with her teddy bear and munches out.</t>
  </si>
  <si>
    <t>v_7KKYKIlGaXk</t>
  </si>
  <si>
    <t>A view is seen of an enormous pool.</t>
  </si>
  <si>
    <t>It stretches very long distances, with people using boats and rafts in the water.</t>
  </si>
  <si>
    <t>It is an extensive water park located in Indonesia.</t>
  </si>
  <si>
    <t>People are shown water skiing in the clear blue waters.</t>
  </si>
  <si>
    <t>v_l-R4wiSZcRc</t>
  </si>
  <si>
    <t>An intro leads into several older clips of olympic performers performing incredible acts.</t>
  </si>
  <si>
    <t>One group of people are seen swimming while hundreds of people cheer and many people look to the camera and smile.</t>
  </si>
  <si>
    <t>Another man shakes the hand of an athlete and he waves while shaking the hands of others and people applauding.</t>
  </si>
  <si>
    <t>v_fVBXRUWEyoA</t>
  </si>
  <si>
    <t>A woman sits on a couch and clips the front and back paws of an orange and a black and white cat as they sit in her lap.</t>
  </si>
  <si>
    <t>An orange cat stands on a couch and sniffs the cushions.</t>
  </si>
  <si>
    <t>A woman sits down on the couch and puts the orange cat in her lap and begins to clip the front and back paws of the cat.</t>
  </si>
  <si>
    <t>The woman puts the orange cat down and picks up a black and white cat with whom she does the same clipping of front and black paws, after which, the black and white cat runs off away from the couch.</t>
  </si>
  <si>
    <t>v_yST1TsQ6mgY</t>
  </si>
  <si>
    <t>Various pictures are shown of people close up in an area as well as people riding around on a camel.</t>
  </si>
  <si>
    <t>People continue riding around on the camels with one man leading them in front and the camera capturing several more people.</t>
  </si>
  <si>
    <t>In the end the camels are seen wandering around one another and a picture of everyone standing together.</t>
  </si>
  <si>
    <t>v_vfLKyUMzFHg</t>
  </si>
  <si>
    <t>A man is seen speaking to the camera and pointing to a table and laying out cards.</t>
  </si>
  <si>
    <t>He then performs a game of black jack while moving the cards and dice around while still speaking to the camera.</t>
  </si>
  <si>
    <t>v_gE1nShlv6mo</t>
  </si>
  <si>
    <t>A woman shows how to clean a shirt with a steam machine while talking.</t>
  </si>
  <si>
    <t>The woman finish cleaning the shirt and takes it off from a hanger and put on the iron board.</t>
  </si>
  <si>
    <t>After, the woman shows a container, then gabs the steam machine and shows while talking.</t>
  </si>
  <si>
    <t>v_fTGtoTlJyh0</t>
  </si>
  <si>
    <t>A person is spray painting bars that are taped together different colors.</t>
  </si>
  <si>
    <t>They put a sticker of words onto the bars.</t>
  </si>
  <si>
    <t>v_6asjaqo0OHc</t>
  </si>
  <si>
    <t>A man is talking as he looks at a bicycle.</t>
  </si>
  <si>
    <t>He places a speed control tool on the handlebar of the bike.</t>
  </si>
  <si>
    <t>He continues talking until he has the bar in place.</t>
  </si>
  <si>
    <t>v_y-87JMf_-J8</t>
  </si>
  <si>
    <t>A man is seen sitting on a stool while holing a guitar in his hands.</t>
  </si>
  <si>
    <t>The camera pans closely around the guitar while the man continues to speak.</t>
  </si>
  <si>
    <t>The man then plays the guitar a bit and moves his hands up and down the neck.</t>
  </si>
  <si>
    <t>v_hrpRVbLRoJ4</t>
  </si>
  <si>
    <t>A person is seen riding around on a horse over jumps in slow motion while others watch.</t>
  </si>
  <si>
    <t>The video moves quicker as more people are seen jumping over obstacles and one speaking to the camera.</t>
  </si>
  <si>
    <t>Several more clips are shown of people riding around on horses as well as pictures inbetween and more close ups of horses.</t>
  </si>
  <si>
    <t>v_hbipKjS0G7w</t>
  </si>
  <si>
    <t>A lady bents over slightly in an outdoor court.</t>
  </si>
  <si>
    <t>The lady rises and turns.</t>
  </si>
  <si>
    <t>The lady release her hand from her neck.</t>
  </si>
  <si>
    <t>v_4BofYu8Soz8</t>
  </si>
  <si>
    <t>A man is seen swimming in a pool while passing a ball to a dog back and fourth.</t>
  </si>
  <si>
    <t>The man continues to pass the ball while the dog hits it right back.</t>
  </si>
  <si>
    <t>v_Gxjfc5O6AAc</t>
  </si>
  <si>
    <t>Various still images of a man's hair are shown.</t>
  </si>
  <si>
    <t>A man is shown receiving a hair cut and styling in sped up time.</t>
  </si>
  <si>
    <t>Still images of the man's hair after the styling are shown.</t>
  </si>
  <si>
    <t>v_3gQsAKZ71tU</t>
  </si>
  <si>
    <t>A man stands on a court.</t>
  </si>
  <si>
    <t>He hits a ball with a racket.</t>
  </si>
  <si>
    <t>Several different athletes are shown hitting balls.</t>
  </si>
  <si>
    <t>Some of them cheer at the end.</t>
  </si>
  <si>
    <t>v_1dM62Xpm9Ns</t>
  </si>
  <si>
    <t>A man is cutting an onion with a knife on a cutting board.</t>
  </si>
  <si>
    <t>A woman is reading a newspaper nearby while he speaks to her and shows her something in his hand.</t>
  </si>
  <si>
    <t>The man sharpens his knives using an electric tool.</t>
  </si>
  <si>
    <t>He then continues cutting his onion.</t>
  </si>
  <si>
    <t>v_wYIeRRTRtX8</t>
  </si>
  <si>
    <t>A woman is standing on a diving board.</t>
  </si>
  <si>
    <t>She jumps into the water.</t>
  </si>
  <si>
    <t>People are standing under the diving board.</t>
  </si>
  <si>
    <t>v_3S7EwcX-Rd0</t>
  </si>
  <si>
    <t>A bicycling competition is about to begin and the crowd is ready.</t>
  </si>
  <si>
    <t>The riders start and already many fall during the first big jump.</t>
  </si>
  <si>
    <t>Various highlights are shown of the riders attempting the large jumps.</t>
  </si>
  <si>
    <t>Three winners are crowned at the end in a ceremony.</t>
  </si>
  <si>
    <t>v_NbmseYFNIlA</t>
  </si>
  <si>
    <t>A man is seen holding a flag while others stand around him and a runner comes into frame.</t>
  </si>
  <si>
    <t>The runner takes several jumps and lands into a pit all in slow motion.</t>
  </si>
  <si>
    <t>v_H7EmlU0wQ6g</t>
  </si>
  <si>
    <t>A person is using a vacuum attachment to vacuum the wood floor.</t>
  </si>
  <si>
    <t>The person then vacuums a rug on the floor.</t>
  </si>
  <si>
    <t>The person vacuums the back of a cat laying nearby.</t>
  </si>
  <si>
    <t>The person returns to vacuuming the wood floor.</t>
  </si>
  <si>
    <t>v_9wpV8Gknh1E</t>
  </si>
  <si>
    <t>A woman and her 2 children are riding around on a camel at a fair or some event.</t>
  </si>
  <si>
    <t>There is a worker who is walking with them in circles walking the camel with a rope as they ride.</t>
  </si>
  <si>
    <t>They go around quite a few times again and again in a circle around a small gated area.</t>
  </si>
  <si>
    <t>When they are done they stop by a red railing, the worker taps the camel on the face while the rider get off.</t>
  </si>
  <si>
    <t>v_bp1blshSKJU</t>
  </si>
  <si>
    <t>A woman is standing on a piano.</t>
  </si>
  <si>
    <t>A person is playing the piano.</t>
  </si>
  <si>
    <t>The piano turns and a woman is standing behind it.</t>
  </si>
  <si>
    <t>v_KB9sqtTJTZw</t>
  </si>
  <si>
    <t>We see a dark opening screen.</t>
  </si>
  <si>
    <t>We then see people performing hip hop dances.</t>
  </si>
  <si>
    <t>We see a sign for the 2004 event.</t>
  </si>
  <si>
    <t>We see people in front of an audience dancing.</t>
  </si>
  <si>
    <t>We see a man do a spin the crowd clips for.</t>
  </si>
  <si>
    <t>We see a sign for the 2005 event.</t>
  </si>
  <si>
    <t>Two men take a bow.</t>
  </si>
  <si>
    <t>We see a screen for the 2006 event.</t>
  </si>
  <si>
    <t>A man in red does a bunch of moves.</t>
  </si>
  <si>
    <t>We see signs for the 2007 event.</t>
  </si>
  <si>
    <t>v_qemvXlRMQgM</t>
  </si>
  <si>
    <t>A close up of a blue hookah is shown bottom to top.</t>
  </si>
  <si>
    <t>The bowl is shown, then the hookah is filled with water by gloves.</t>
  </si>
  <si>
    <t>The hose is attached to the hookah.</t>
  </si>
  <si>
    <t>Tobacco is packed into the bowl, then covered with tin foil and punctured with a toothpick.</t>
  </si>
  <si>
    <t>A piece of coal is lit, then the invisible person smokes the hookah while reading a book.</t>
  </si>
  <si>
    <t>v_jwlYaPt2DIs</t>
  </si>
  <si>
    <t>We see a man at a table in a field juicing a fruit to make a juice.</t>
  </si>
  <si>
    <t>The man juices 2 fruit then puts sugar in in two glasses.</t>
  </si>
  <si>
    <t>The man then cuts and juices four more fruit.</t>
  </si>
  <si>
    <t>The man adds more sugar to the glasses and ice water from the bucket under the fruit.</t>
  </si>
  <si>
    <t>v_wr_1p7obP-g</t>
  </si>
  <si>
    <t>Several photographs of households and objects are shown followed by a man pouring liquids into a bucket.</t>
  </si>
  <si>
    <t>He pours more objects into the bucket while another man swirls it around.</t>
  </si>
  <si>
    <t>The man opens a box full of stone and lays down some plaster on a wall.</t>
  </si>
  <si>
    <t>He pushes the stone into the wall over and over again to create a stone wall for a home.</t>
  </si>
  <si>
    <t>v_TT2e7-NbUxo</t>
  </si>
  <si>
    <t>A boy is sitting in a salon chair and talking.</t>
  </si>
  <si>
    <t>A stylist cuts his hair into a new style.</t>
  </si>
  <si>
    <t>He dries and sprays the hair into a spikey look.</t>
  </si>
  <si>
    <t>v_12IrPzohRSw</t>
  </si>
  <si>
    <t>We see people in bumper cars at a carnival.</t>
  </si>
  <si>
    <t>The camera pans left and we see the driving court.</t>
  </si>
  <si>
    <t>A person in purple drives past the camera.</t>
  </si>
  <si>
    <t>A girl smiles at the camera as she drives past.</t>
  </si>
  <si>
    <t>v_rVcgTALWCRA</t>
  </si>
  <si>
    <t>A girl is playing with sand on a beach.</t>
  </si>
  <si>
    <t>She then stands up and looks at other people.</t>
  </si>
  <si>
    <t>v_at_ahUtnF9Q</t>
  </si>
  <si>
    <t>People are standing next to a ping pong table.</t>
  </si>
  <si>
    <t>A man is demonstrating how to play without a paddle.</t>
  </si>
  <si>
    <t>Two people start playing a game of ping pong.</t>
  </si>
  <si>
    <t>v_Ly70Hwy52WA</t>
  </si>
  <si>
    <t>two men are sitting on round tables talking in microphones.</t>
  </si>
  <si>
    <t>men are being interviewed in a large soccer field.</t>
  </si>
  <si>
    <t>men are playing ping pong in themiddle of stadium while a lot of people are gathered around.</t>
  </si>
  <si>
    <t>v_sxf0x55Cvb4</t>
  </si>
  <si>
    <t>We see a swiftly-moving, white water stream.</t>
  </si>
  <si>
    <t>A man in blue rafting equipment and a helmet is watching from a bed of rocks.</t>
  </si>
  <si>
    <t>We notice a man in a kayak and a yellow helmet coming in from the left.</t>
  </si>
  <si>
    <t>As he approaches, his kayak flips upside-down.</t>
  </si>
  <si>
    <t>As the view follows him, we notice another man seated on the rocks to the right in red with a white helmet.</t>
  </si>
  <si>
    <t>v_4b2_OpAGwW0</t>
  </si>
  <si>
    <t>A woman braids her hair in several braids.</t>
  </si>
  <si>
    <t>She ties them behind her head.</t>
  </si>
  <si>
    <t>v_veNIfCkd1Pw</t>
  </si>
  <si>
    <t>A gymnast performs uneven bars routine while people watch.</t>
  </si>
  <si>
    <t>The judge supervises the routine of the gymnast.</t>
  </si>
  <si>
    <t>Then, the gymnast spins holding the higher bar and jumps stand on the mat.</t>
  </si>
  <si>
    <t>v_VNR1j2U7gE4</t>
  </si>
  <si>
    <t>Two men are seen standing around a large room and hitting a tennis ball around with tennis rackets.</t>
  </si>
  <si>
    <t>The men hit the ball back and fourth to one another and run around the room at the same time.</t>
  </si>
  <si>
    <t>v_UAFIstY4a8Q</t>
  </si>
  <si>
    <t>We see two opening screens for poker at a casino.</t>
  </si>
  <si>
    <t>We see the dealer speak and deal cards.</t>
  </si>
  <si>
    <t>We see a large jackpot sign.</t>
  </si>
  <si>
    <t>We see the dealer shuffle the cards.</t>
  </si>
  <si>
    <t>We see the man peek at his cards.</t>
  </si>
  <si>
    <t>The man peeks at his cards again.</t>
  </si>
  <si>
    <t>The dealer turns over the players cards.</t>
  </si>
  <si>
    <t>We see the closing screen for the casino.</t>
  </si>
  <si>
    <t>v_CcMic7jNIuE</t>
  </si>
  <si>
    <t>A man in a blue shirt and shorts lifts a large weight over his head.</t>
  </si>
  <si>
    <t>Another man is filming it.</t>
  </si>
  <si>
    <t>The same man comes back and lifts the weight over his head again.</t>
  </si>
  <si>
    <t>He drops it on the ground and walks away.</t>
  </si>
  <si>
    <t>v_dLOwmXV_yTw</t>
  </si>
  <si>
    <t>Holiday gift wrapping made easy, this glass store give a tutorial on how to wrap awkward shaped gifts.</t>
  </si>
  <si>
    <t>You place the object on the wrapping paper to start.</t>
  </si>
  <si>
    <t>After, you fold the tip of the paper, you grab the scissor and cut strips.</t>
  </si>
  <si>
    <t>Then you use tape to hold it down and top it off with a bow.</t>
  </si>
  <si>
    <t>v_V2MlQezL1IE</t>
  </si>
  <si>
    <t>The video begins with a title screen.</t>
  </si>
  <si>
    <t>An older man is seen in a gym speaking to the camera while men play volleyball in the background.</t>
  </si>
  <si>
    <t>A simulated screen showing a volleyball court shows while he speaks.</t>
  </si>
  <si>
    <t>The video then comes back to the older man who is directing the players.</t>
  </si>
  <si>
    <t>The men begin tossing a volleyball back and forth.</t>
  </si>
  <si>
    <t>The video ends with a final title screen.</t>
  </si>
  <si>
    <t>v_MZz0OTfvjrY</t>
  </si>
  <si>
    <t>An Asian girl sitting at a desk describes arm wrestling.</t>
  </si>
  <si>
    <t>the girl introduces An Asian boy who sits across from the Asian girl.</t>
  </si>
  <si>
    <t>The girl and boy prepare to arm wrestle as a referee stands above the girl arm wrestler uses both arms and pushes in the wrong direction.</t>
  </si>
  <si>
    <t>The girl and boy arm wrestlers get into position again with the referee setting them up they begin wrestling.</t>
  </si>
  <si>
    <t>The girl wrestler tries to wrestle using both arms and her body but falls to the floor.</t>
  </si>
  <si>
    <t>v_Cp4a_gN4pDQ</t>
  </si>
  <si>
    <t>Three men are seen sitting behind a set of bongo drums playing quickly while several camera flashes are shown.</t>
  </si>
  <si>
    <t>The men continue playing again while laughing and smiling at one another.</t>
  </si>
  <si>
    <t>v_owflykBauOA</t>
  </si>
  <si>
    <t>A teenaged boy jumps on a skateboard, skating across a street and up a driveway before going back onto the street.</t>
  </si>
  <si>
    <t>He dismounts, talking as he kicks the board.</t>
  </si>
  <si>
    <t>He smiles at the camera, wearing sunglasses.</t>
  </si>
  <si>
    <t>v_Pr3iVnKpv0c</t>
  </si>
  <si>
    <t>A teen plays violin in a room.</t>
  </si>
  <si>
    <t>The teen holds the violin with the left hand moving the fingers and playing with the bow.</t>
  </si>
  <si>
    <t>Then, the teen end playing the violin.</t>
  </si>
  <si>
    <t>v_YPXeQVi39nU</t>
  </si>
  <si>
    <t>A man is on the beach with a bike.</t>
  </si>
  <si>
    <t>He sands down his surfboard.</t>
  </si>
  <si>
    <t>He goes surfing in the water.</t>
  </si>
  <si>
    <t>v_Mzojo2EeWu8</t>
  </si>
  <si>
    <t>People are playing a game of volleyball in the sand on the beach.</t>
  </si>
  <si>
    <t>People are playing drums on the beach.</t>
  </si>
  <si>
    <t>A woman in a yellow outfit is dancing.</t>
  </si>
  <si>
    <t>The team poses for a picture behind a banner.</t>
  </si>
  <si>
    <t>v_xH7qxBIz-tU</t>
  </si>
  <si>
    <t>A man in a suit shows up on the screen.</t>
  </si>
  <si>
    <t>The man begins to fight with another man.</t>
  </si>
  <si>
    <t>The man in the suit resets his stance.</t>
  </si>
  <si>
    <t>After fighting more the man in the suit resets his stance again.</t>
  </si>
  <si>
    <t>After the fighting continues another man shows up in the room and escorts the man in the suit out.</t>
  </si>
  <si>
    <t>v_dG_jxrIaK6w</t>
  </si>
  <si>
    <t>A man is seen speaking to the camera and pans it back to a piano.</t>
  </si>
  <si>
    <t>The man then begins playing the piano while the camera captures his movements.</t>
  </si>
  <si>
    <t>He continues to play and ends by turning off the camera and looking off into the distance.</t>
  </si>
  <si>
    <t>v_5c1zqvr3yKM</t>
  </si>
  <si>
    <t>A woman is holding a cat onto a table.</t>
  </si>
  <si>
    <t>She starts clipping the cats nails with a tool.</t>
  </si>
  <si>
    <t>She finishes and pets the cat.</t>
  </si>
  <si>
    <t>v_aNQRlsp5yv8</t>
  </si>
  <si>
    <t>A man and a boy make a sand castle in the beach.</t>
  </si>
  <si>
    <t>People approach to watch the castle and start to make small house next the sand castle.</t>
  </si>
  <si>
    <t>A little girl is doing more houses next to the castle.</t>
  </si>
  <si>
    <t>The man digs a hole in the center while the boy help extend the castle.</t>
  </si>
  <si>
    <t>v_QYb2ektVZek</t>
  </si>
  <si>
    <t>A woman walks on the street wearing a cap.</t>
  </si>
  <si>
    <t>A city is zoom in a map, then a girl performs water sky in a river pulled by a boat while flipping in the air.</t>
  </si>
  <si>
    <t>A road is leading to a water ski station, then a woman slides on ramps in the water holding a water ski rope.</t>
  </si>
  <si>
    <t>A man takes pictures to the girl.</t>
  </si>
  <si>
    <t>Then the girl change clothes and stand on a truck holding prizes.</t>
  </si>
  <si>
    <t>v_UeuZeIASSPw</t>
  </si>
  <si>
    <t>woman is standing in a racetrack and start running to make a long jump.</t>
  </si>
  <si>
    <t>man stands and marks the space where the woman jumped.</t>
  </si>
  <si>
    <t>the long jump is repeated and a new woman is running in the race track to make the long jump too and a man sits rise a whie flag.</t>
  </si>
  <si>
    <t>woman is in race trakc while other men are in the background and the woman makes the long jump in the competition and then a repetition is shown along the results.</t>
  </si>
  <si>
    <t>v_civPiYFf2vE</t>
  </si>
  <si>
    <t>We see a opening title screen.</t>
  </si>
  <si>
    <t>We see a man holding a vacuum and using the vacuum to hold two bowling balls.</t>
  </si>
  <si>
    <t>The man vacuums stairs and a car interior.</t>
  </si>
  <si>
    <t>We see the vacuum and the man vacuums the ceiling, couch, blinds and others.</t>
  </si>
  <si>
    <t>We see the man empty the canister and put the vacuum in a closet.</t>
  </si>
  <si>
    <t>v_Gg8Ha8OPtZ0</t>
  </si>
  <si>
    <t>There are two young boys, one dressed in a red shirt and the other in a striped shirt at a bowling alley.</t>
  </si>
  <si>
    <t>The boy in the red shirt bowls with a large green ball and hits a strike.</t>
  </si>
  <si>
    <t>He is ecstatic after his win and begins jumping with joy.</t>
  </si>
  <si>
    <t>v_Ccy8WD2k4L8</t>
  </si>
  <si>
    <t>A woman is dancing on a stage.</t>
  </si>
  <si>
    <t>She picks up a microphone and starts singing.</t>
  </si>
  <si>
    <t>She begins to play a drum set in front of her.</t>
  </si>
  <si>
    <t>v_6EN1q4TmPtI</t>
  </si>
  <si>
    <t>Young people carry inflatable boats and get in the water.</t>
  </si>
  <si>
    <t>Then, the young people lie face down on the boats and sail in the river.</t>
  </si>
  <si>
    <t>After, the men advance in the water moving the hand to help advance.</t>
  </si>
  <si>
    <t>v_-zp0Sban5Wk</t>
  </si>
  <si>
    <t>A woman is standing in her kitchen in front of a counter.</t>
  </si>
  <si>
    <t>She shows a plate of food, and several ingredients.</t>
  </si>
  <si>
    <t>She boils pasta in a pot, draining it.</t>
  </si>
  <si>
    <t>She then mixes cheese, orzo, and vegetables, creating an orzo pasta salad.</t>
  </si>
  <si>
    <t>She takes a bite of the food.</t>
  </si>
  <si>
    <t>v__HeqBIO9TgQ</t>
  </si>
  <si>
    <t>A lady and a child are washing dishes in the dirt.</t>
  </si>
  <si>
    <t>The little girl walks away.</t>
  </si>
  <si>
    <t>The lady rinses her dishes and puts them on a shelf.</t>
  </si>
  <si>
    <t>We see the boys standing behind the lady.</t>
  </si>
  <si>
    <t>We see the shelf and the dishes.</t>
  </si>
  <si>
    <t>We then see the closing credits screen.</t>
  </si>
  <si>
    <t>v_fMVKdmMVixQ</t>
  </si>
  <si>
    <t>A group of people stand behind a master yogi.</t>
  </si>
  <si>
    <t>He instructs them on position before leading them in yoga.</t>
  </si>
  <si>
    <t>They perform several moves, slowly and gracefully.</t>
  </si>
  <si>
    <t>v_nhW0O7NC0GM</t>
  </si>
  <si>
    <t>A man is seen sitting in the water in a kayak speaking to the camera.</t>
  </si>
  <si>
    <t>The man continues speaking while holding a paddle in his hands.</t>
  </si>
  <si>
    <t>He moves around a bit in the water and leads into him paddling along the water.</t>
  </si>
  <si>
    <t>v_520b6oA9s-U</t>
  </si>
  <si>
    <t>A woman explains how to make a cake in a kitchen, then she puts four eggs and sugar in a bowl and beat with an electric mixer and add more ingredients to form a wet mix.</t>
  </si>
  <si>
    <t>The woman puts solids on a big bowl and then add the wet mix, oil and milk, then mix with an spatula.</t>
  </si>
  <si>
    <t>After, the woman puts the mix in a greased baking pan and make a syrup with orange juice in a pot.</t>
  </si>
  <si>
    <t>Next, she put the baking cake on a dish and put syrup on top.</t>
  </si>
  <si>
    <t>v_nn__PD7zCcs</t>
  </si>
  <si>
    <t>An elderly man is standing in a small room and is plastering a ceiling where he starts in the middle of the room.</t>
  </si>
  <si>
    <t>He then moves to the left and begins to plaster in the corner of the ceiling.</t>
  </si>
  <si>
    <t>The man then stops plastering, and while still talking he faces towards the direction of the camera.</t>
  </si>
  <si>
    <t>v_RKsto2FmBzM</t>
  </si>
  <si>
    <t>A man with a orange shirt and black hat with glasses are outside standing in front of a green tree.</t>
  </si>
  <si>
    <t>A lawn is shown and then the man begins to mow his lawn.</t>
  </si>
  <si>
    <t>Once the man is finished he comes back to camera and starts talking.</t>
  </si>
  <si>
    <t>v_Sbgh1UQcG24</t>
  </si>
  <si>
    <t>A man standing or sitting behind a chopping board with vegetables on it equips a forearm-mounted knife.</t>
  </si>
  <si>
    <t>The man talks to the camera while pointing the knife at the camera.</t>
  </si>
  <si>
    <t>The man chops various types of items on the chopping board with the knife in sped up video.</t>
  </si>
  <si>
    <t>The man removes the knife and manipulates the containers of ingredients around him.</t>
  </si>
  <si>
    <t>The man re-equips the knife and resumes chopping.</t>
  </si>
  <si>
    <t>The man removes the knife and manipulates the ingredients around him again.</t>
  </si>
  <si>
    <t>The man re-equips the knife and resumes chopping again.</t>
  </si>
  <si>
    <t>The man removes the knife and cleans up his work area.</t>
  </si>
  <si>
    <t>v_DAd-joUpMIk</t>
  </si>
  <si>
    <t>A woman is getting ready too bungee jump from a cable car.</t>
  </si>
  <si>
    <t>She is surrounded by two men in yellow shirts.</t>
  </si>
  <si>
    <t>One of the men is holding a phone camera in his hand to video tape her as she jumps.</t>
  </si>
  <si>
    <t>The men begin singing to cheer and encourage her to jump.</t>
  </si>
  <si>
    <t>After much hesitation, the woman finally jumps and hangs from the rope.</t>
  </si>
  <si>
    <t>There is another woman in the cable car getting ready to jump down.</t>
  </si>
  <si>
    <t>There is a huge crowd standing on the bridge, looking up at the cable car.</t>
  </si>
  <si>
    <t>v_Hxb8D4W-G0I</t>
  </si>
  <si>
    <t>A boy sits on a rock before walking along a shoreline.</t>
  </si>
  <si>
    <t>The young man rides his skateboard down hills around a beach town.</t>
  </si>
  <si>
    <t>The young goes to a local restaurant for a meal.</t>
  </si>
  <si>
    <t>The harbor is seen and the young man walks down a train track at sunset.</t>
  </si>
  <si>
    <t>v_TdNiQsZNJTU</t>
  </si>
  <si>
    <t>A group of people are swimming in a large indoor pool.</t>
  </si>
  <si>
    <t>They swim laps back and forth as they go.</t>
  </si>
  <si>
    <t>They try to compete, getting to the other side the fastest.</t>
  </si>
  <si>
    <t>v_kDurnkUZCXs</t>
  </si>
  <si>
    <t>An individual uses a hose and a thin instrument to clean a shoe.</t>
  </si>
  <si>
    <t>The individual sets aside the shoe and turns over the other shoe.</t>
  </si>
  <si>
    <t>The individual uses the thin implement to dig between the patterns of the shoe bottom.</t>
  </si>
  <si>
    <t>v_SdbxPbXeQJ0</t>
  </si>
  <si>
    <t>A man is sitting on a couch drinking a beer.</t>
  </si>
  <si>
    <t>He stands up and walks out the door.</t>
  </si>
  <si>
    <t>Someone is walking into a kitchen.</t>
  </si>
  <si>
    <t>They open the fridge and get a beer.</t>
  </si>
  <si>
    <t>They bring it to the man in bed.</t>
  </si>
  <si>
    <t>He sits up and starts drinking the beer.</t>
  </si>
  <si>
    <t>A person picks up a cell phone on a bed.</t>
  </si>
  <si>
    <t>v_aa-bFJZmcko</t>
  </si>
  <si>
    <t>Various shots of a close up of a bike and a person pointing to the bike in various spots.</t>
  </si>
  <si>
    <t>The person continuously adjusts the bike and pans the camera all around it in the end.</t>
  </si>
  <si>
    <t>v_9riZioI46sM</t>
  </si>
  <si>
    <t>A boy is bent over in his bedroom.</t>
  </si>
  <si>
    <t>He is trying to put on a shoe.</t>
  </si>
  <si>
    <t>He sits down, playing with a broken lace.</t>
  </si>
  <si>
    <t>He continues working with the shoe lace until he can get it tied.</t>
  </si>
  <si>
    <t>v_aVL9ArQS_Ag</t>
  </si>
  <si>
    <t>A man holds a pair of boots while talking and showing dirty parts.</t>
  </si>
  <si>
    <t>Then, the man put a clothe inside the boot and brush the shaft of the boot thoroughly.</t>
  </si>
  <si>
    <t>v_gSeE_Ms-2TI</t>
  </si>
  <si>
    <t>A man is seen kneeling down on a roof and speaking to the camera.</t>
  </si>
  <si>
    <t>The camera pans all around the roof while the man is seen sitting and still speaking.</t>
  </si>
  <si>
    <t>The camera pans all around the roof and shows the man still sitting.</t>
  </si>
  <si>
    <t>v_4Gs7Xyn16QI</t>
  </si>
  <si>
    <t>A woman walks, then runs with a javelin.</t>
  </si>
  <si>
    <t>She throws it across the field, landing near her goal.</t>
  </si>
  <si>
    <t>A few other teammates also perform the act, then we see the final scoreboard.</t>
  </si>
  <si>
    <t>v_1UQYk6ohuRE</t>
  </si>
  <si>
    <t>A man talks on front a bush while other person stands on his right side.</t>
  </si>
  <si>
    <t>Then, the man cuts the dead flowers of the bush while talking.</t>
  </si>
  <si>
    <t>Also, the person cuts the dead flowers of the bush.</t>
  </si>
  <si>
    <t>v_VbP9fOp-Umg</t>
  </si>
  <si>
    <t>This young woman is dancing with the baton in her hands.</t>
  </si>
  <si>
    <t>She's in the middle of the street wearing a red tanktop, shorts, and flip flops.</t>
  </si>
  <si>
    <t>There are lots of people watching her while she does the batons outside.</t>
  </si>
  <si>
    <t>When she''s done, the music stops playing and a few people clap for her performance.</t>
  </si>
  <si>
    <t>v_wvlyV067oOU</t>
  </si>
  <si>
    <t>The young kids are bouncing on the big trampoline.</t>
  </si>
  <si>
    <t>The young boy fell on his back as he avoided the ball.</t>
  </si>
  <si>
    <t>The kids are wearing helmet as they threw the ball and other side of the kids dodge the ball.</t>
  </si>
  <si>
    <t>Two adult people went up to the trampoline to watch the kids.</t>
  </si>
  <si>
    <t>v_CtA4VynDEkI</t>
  </si>
  <si>
    <t>A bunch of young children are shown playing in a park playground.</t>
  </si>
  <si>
    <t>A young boy climbs back and forth on the monkey bars.</t>
  </si>
  <si>
    <t>Another child then joins him on the bars as well.</t>
  </si>
  <si>
    <t>v_kDz85hnSKdo</t>
  </si>
  <si>
    <t>A man in a yellow life vest is sitting in a canoe.</t>
  </si>
  <si>
    <t>He is paddling from side to side.</t>
  </si>
  <si>
    <t>The camera goes underwater next to the canoe.</t>
  </si>
  <si>
    <t>v_DpI9JtaMtec</t>
  </si>
  <si>
    <t>Sandwiches are displayed in a slideshow.</t>
  </si>
  <si>
    <t>A person spreads mustard sauce on slices of bread, then the person put on top Swiss cheese, jam , sauerkraut and a slice of bread on top.</t>
  </si>
  <si>
    <t>After, the person spreads butter on the sandwiches and put them on a hot surface, then the person cuts the sandwiches in half.</t>
  </si>
  <si>
    <t>v_aPXqTfbtgYI</t>
  </si>
  <si>
    <t>A white middle aged man is standing in a crowd of people playing a saxophone.</t>
  </si>
  <si>
    <t>As he continues,the video pans out and several other people join him in playing the saxophone and it is revealed that someone else is pressing the buttons for the man as he is blowing into the instrument.</t>
  </si>
  <si>
    <t>Then the camera pans back out and the crowd begins clapping for the audience.</t>
  </si>
  <si>
    <t>v_U0Q10ZdqnJo</t>
  </si>
  <si>
    <t>There's a woman in a white shirt in an indoor tennis court hitting balls across the court.</t>
  </si>
  <si>
    <t>She bounces the ball on the ground and then serves the ball across the net.</t>
  </si>
  <si>
    <t>v_rcpsp52nguY</t>
  </si>
  <si>
    <t>A man walks across some snow carrying a large snow shovel.</t>
  </si>
  <si>
    <t>The man shovels a long path of snow.</t>
  </si>
  <si>
    <t>The man turns around and shovels a long path of snow again.</t>
  </si>
  <si>
    <t>The man shovels snow for a third time.</t>
  </si>
  <si>
    <t>The man shovels a really long path of snow at a different location.</t>
  </si>
  <si>
    <t>The man turns around and shovels a second path of snow, right next to the recent shoveled snow path.</t>
  </si>
  <si>
    <t>v_XEqijKYIJNg</t>
  </si>
  <si>
    <t>A woman shows a dish with vegetables and display the calories, the ingredients and the preparation of a dish.</t>
  </si>
  <si>
    <t>Then, the woman puts vegetables on a bowl, then she fry a leave and put it in the bowl.</t>
  </si>
  <si>
    <t>Then, the woman mix the vegetables and serves it on a dish.</t>
  </si>
  <si>
    <t>v_QX3pwZOJbRs</t>
  </si>
  <si>
    <t>Two women attempt to wash two dogs.</t>
  </si>
  <si>
    <t>They get in the tub with the dogs and do shampoo, soap, and then rinse the dogs.</t>
  </si>
  <si>
    <t>They dry the dogs and the dogs are much happier.</t>
  </si>
  <si>
    <t>v_7n9It_jjaBg</t>
  </si>
  <si>
    <t>A man stands on a bridge guardrail with a harness while another man holds him.</t>
  </si>
  <si>
    <t>The man jumps off the bridge to the river below.</t>
  </si>
  <si>
    <t>The man swings back and forth over the rapids.</t>
  </si>
  <si>
    <t>v_f0CVl853HUg</t>
  </si>
  <si>
    <t>A woman wearing green with red hair is scrubbing some clothes vigorously.</t>
  </si>
  <si>
    <t>The water and soap is splashing off of it on to the wall/ She picks up the piece of cloth and hits it against the stand.</t>
  </si>
  <si>
    <t>Then she gets some water from a buckets and pours it over.</t>
  </si>
  <si>
    <t>She squeezes it out and then put the cloth into a bucket of soapy water.</t>
  </si>
  <si>
    <t>v_SIX51vtOOek</t>
  </si>
  <si>
    <t>There's an open land area with greenery around and grassy surface area.</t>
  </si>
  <si>
    <t>There's a lawn trimmer lying on the ground near some over grown patches of grass.</t>
  </si>
  <si>
    <t>A person wearing gray pants and gloves using a lawn trimmer to trim the patches of grass.</t>
  </si>
  <si>
    <t>He is trimming the lawn in a back and forth motion, moving the trimmer horizontally across the grass.</t>
  </si>
  <si>
    <t>v_IKhLjVIYisg</t>
  </si>
  <si>
    <t>A close up is shown of a cracked asphalt road.</t>
  </si>
  <si>
    <t>Then we see a man walking, carrying a pair of inline skates.</t>
  </si>
  <si>
    <t>The man performs stunts, going down staircases and riding medians, doing flips and riding backwards.</t>
  </si>
  <si>
    <t>When he is done, he rides away.</t>
  </si>
  <si>
    <t>v_nQVJyUX8fHw</t>
  </si>
  <si>
    <t>A child plays tennis in a court returning balls while a boy stands next to her.</t>
  </si>
  <si>
    <t>The boy left the court while the child continues returning balls, then the boy returns.</t>
  </si>
  <si>
    <t>Then, the boy left again the court, and then he returns with a racket and a ball.</t>
  </si>
  <si>
    <t>The child serves the ball, and the boy helps stands next her watching.</t>
  </si>
  <si>
    <t>v_3k5dJSs2zkg</t>
  </si>
  <si>
    <t>A man is seen speaking to the camera and leads into several shots of people speaking and wearing heels.</t>
  </si>
  <si>
    <t>The women walk on the ground down a street while many watch and then all run down the road in heels.</t>
  </si>
  <si>
    <t>v_im6KJzbZzKE</t>
  </si>
  <si>
    <t>An athletic woman is seen standing before a track and begins running down the side.</t>
  </si>
  <si>
    <t>She runs and jumps into a sand pit while a man records her score.</t>
  </si>
  <si>
    <t>Several more clips are shown of women running down the track and jumping into the pit.</t>
  </si>
  <si>
    <t>v_lM3uGxHWZBA</t>
  </si>
  <si>
    <t>Several people are seen running around a field playing a game together.</t>
  </si>
  <si>
    <t>The players cheer and speak to one another as well as showing more highlights of the game.</t>
  </si>
  <si>
    <t>More clips are shown of people walking away and playing the game.</t>
  </si>
  <si>
    <t>v_38nAdby_fTw</t>
  </si>
  <si>
    <t>A person rides a dirt bike over a hill or dirt pile with help from an incline structure.</t>
  </si>
  <si>
    <t>A person stands, shakes their head and leaves on a dirt bike.</t>
  </si>
  <si>
    <t>Two guys sit on their dirt bike and discuss.</t>
  </si>
  <si>
    <t>One guy uses his rear tire to cause dirt to spray.</t>
  </si>
  <si>
    <t>v_swId_MFHywI</t>
  </si>
  <si>
    <t>A black book called Windmills is on the screen.</t>
  </si>
  <si>
    <t>The camera zooms into a dancer.</t>
  </si>
  <si>
    <t>VincaniTV comes up on the screen.</t>
  </si>
  <si>
    <t>the instructor is talking.</t>
  </si>
  <si>
    <t>The instructor is sitting on the floor introducing the move.</t>
  </si>
  <si>
    <t>A shot of the move is shown, then the instructor shows how to do it.</t>
  </si>
  <si>
    <t>He pushes himself up on his hand and does another move.</t>
  </si>
  <si>
    <t>He is on one knee to show another move.</t>
  </si>
  <si>
    <t>The screen goes to another shot of the same move but faster this time.</t>
  </si>
  <si>
    <t>The instructor is standing and talking.</t>
  </si>
  <si>
    <t>The screen ends with a VincaniTV promo.</t>
  </si>
  <si>
    <t>v_TnOdqLQPQA4</t>
  </si>
  <si>
    <t>A woman is standing in a camp site.</t>
  </si>
  <si>
    <t>She lights matches and throws them into a pile of wood.</t>
  </si>
  <si>
    <t>v_c6BcS5NdI6E</t>
  </si>
  <si>
    <t>A large group of people are seen playing a game of volley ball with one another while moving around the beach.</t>
  </si>
  <si>
    <t>Several shots are shown of the people wandering around one another playing the game back and fourth over the net and helping one another.</t>
  </si>
  <si>
    <t>v_-SYV9IB-36s</t>
  </si>
  <si>
    <t>An ad for Howcast is shown.</t>
  </si>
  <si>
    <t>It is followed by a woman in a chair who smiles for the camera, and a woman with braided hair who is speaking.</t>
  </si>
  <si>
    <t>The woman in red applies various makeups to the seated woman, explaining the process as she goes.</t>
  </si>
  <si>
    <t>When she is finished, she speaks again to the camera.</t>
  </si>
  <si>
    <t>v_AZaSkc1gnhY</t>
  </si>
  <si>
    <t>A man drinks coffee and then plays guitar indoor.</t>
  </si>
  <si>
    <t>The man makes a pause and takes his coffee.</t>
  </si>
  <si>
    <t>Then, the man hols a cup of coffee and a guitar in the street.</t>
  </si>
  <si>
    <t>After, the man plays guitar indoor on front an audience.</t>
  </si>
  <si>
    <t>Next, the man plays harmonica and guitar at the same time.</t>
  </si>
  <si>
    <t>v_assDWZW6zTA</t>
  </si>
  <si>
    <t>A boy is seen speaking to the camera holding two basketballs and leads into him holding them up to his face.</t>
  </si>
  <si>
    <t>The boy then moves up and down the court while dribbling the balls and shoots a basket off in the end.</t>
  </si>
  <si>
    <t>v_5WJL9eJ8YDw</t>
  </si>
  <si>
    <t>An intro leads into several clips of people standing in a circle and throwing an object off into the distance and ends by walking away.</t>
  </si>
  <si>
    <t>Several more people are seen steeping up into the circle throwing objects off into the distance and cheering with one another.</t>
  </si>
  <si>
    <t>v_PJdE8Ui2eno</t>
  </si>
  <si>
    <t>A man is seen holding onto a rope and speaking to the camera.</t>
  </si>
  <si>
    <t>He holds up his belt while speaking to the camera and begins climbing up the wall.</t>
  </si>
  <si>
    <t>The man climbs all the way up the wall and ends by looking off from the camera.</t>
  </si>
  <si>
    <t>v_sHRajZw7A8g</t>
  </si>
  <si>
    <t>We see a blue opening screen with a drink.</t>
  </si>
  <si>
    <t>We see a lady mixing drinks behind a bar.</t>
  </si>
  <si>
    <t>The lady add ice and three shots liquor to a glass.</t>
  </si>
  <si>
    <t>The lady pours something red in the glass.</t>
  </si>
  <si>
    <t>The lady adds something form the dispenser and a can.</t>
  </si>
  <si>
    <t>The lady stirs then pushes the drink forward.</t>
  </si>
  <si>
    <t>We see a red closing screen and a long black screen.</t>
  </si>
  <si>
    <t>v_3Edxa-t4MxA</t>
  </si>
  <si>
    <t>Various shots of trophies are shown with girls interviewing the camera as well as performing gymnastics moves.</t>
  </si>
  <si>
    <t>An instructor then shows the girls how to perform a stunt properly and has another girl climb on top of their hands.</t>
  </si>
  <si>
    <t>The girl continuously perform stunts with the instructors help and another girl is shown speaking to the camera.</t>
  </si>
  <si>
    <t>v_EWt03pUigc0</t>
  </si>
  <si>
    <t>There's a news reporter dressed in a pink floral dress and a white jacket giving an update on sports news.</t>
  </si>
  <si>
    <t>She shows events of the London Paralympics.</t>
  </si>
  <si>
    <t>She is showing the viewers the different events such as shoot put, swimming and running and the gold medals that were won in these events.</t>
  </si>
  <si>
    <t>While the news is being telecast, there are captions on the bottom about current events.</t>
  </si>
  <si>
    <t>She also shows the viewers all the medals that are won by all countries that participated in the Paralympics.</t>
  </si>
  <si>
    <t>v_u10c6Nx4K0A</t>
  </si>
  <si>
    <t>A woman runs down a dirt path.</t>
  </si>
  <si>
    <t>She uses a pole to vault over a high beam.</t>
  </si>
  <si>
    <t>v_j6S6eWSeGr0</t>
  </si>
  <si>
    <t>A person is shown in fast motion spraying liquid all over a fence in a back yard.</t>
  </si>
  <si>
    <t>The person continues spraying and ends with the camera fading to black.</t>
  </si>
  <si>
    <t>v_xKDHIyd_tWA</t>
  </si>
  <si>
    <t>The video begins with a title slide.</t>
  </si>
  <si>
    <t>A woman and child are in a park with a jump rope.</t>
  </si>
  <si>
    <t>The woman begins to demonstrate how to use the jump rope while the child attempts to copy her.</t>
  </si>
  <si>
    <t>At one point, another woman in the background runs across the screen while jump roping.</t>
  </si>
  <si>
    <t>The video ends with both women speaking to the camera and a final title sequence.</t>
  </si>
  <si>
    <t>v_-v9YLmGCYO0</t>
  </si>
  <si>
    <t>A baby is sitting in a swing.</t>
  </si>
  <si>
    <t>The baby is laughing and shaking its feet.</t>
  </si>
  <si>
    <t>The baby turns to the side of the swing.</t>
  </si>
  <si>
    <t>v_M6O-QNDUdwU</t>
  </si>
  <si>
    <t>Several swimmers walk past each other, shaking hands.</t>
  </si>
  <si>
    <t>They gather in the pool, then engage in a game of water polo.</t>
  </si>
  <si>
    <t>They hit the ball back and forth, trying to get it into the net.</t>
  </si>
  <si>
    <t>v_8cKjwHtCGU0</t>
  </si>
  <si>
    <t>A man in a red shirt is talking to the camera.</t>
  </si>
  <si>
    <t>He begins to hit a ball against a wall in front of him.</t>
  </si>
  <si>
    <t>He stops and walks towards the camera.</t>
  </si>
  <si>
    <t>v_sX8Rr1o4XWM</t>
  </si>
  <si>
    <t>A close up of a sign is shown followed by a person dipping paint.</t>
  </si>
  <si>
    <t>The person is then seen spreading paint all around the area while another smiles to the camera.</t>
  </si>
  <si>
    <t>The men continue to lay plaster down on the walls.</t>
  </si>
  <si>
    <t>v_J65l9OEP3pI</t>
  </si>
  <si>
    <t>A man is cleaning snow that has fallen on his car.</t>
  </si>
  <si>
    <t>He is standing on the road where his car is parked.</t>
  </si>
  <si>
    <t>He clears off snow from the top of his car by scraping it.</t>
  </si>
  <si>
    <t>He then cleans the sides of his car.</t>
  </si>
  <si>
    <t>He gives someone a thumbs up as he cleans the car.</t>
  </si>
  <si>
    <t>He then moves to the front of the car to clean the windshield.</t>
  </si>
  <si>
    <t>v_1D7iddqIIhM</t>
  </si>
  <si>
    <t>A close up of a hookah is seen that leads to another man.</t>
  </si>
  <si>
    <t>The man grabs the hose and takes a hit from the hookah.</t>
  </si>
  <si>
    <t>The man then blows smoke into the camera lens.</t>
  </si>
  <si>
    <t>v_oYH-XLQzMxU</t>
  </si>
  <si>
    <t>The man bounces the ball and hits it with his racket.</t>
  </si>
  <si>
    <t>The man bounces the ball and hits it across the court.</t>
  </si>
  <si>
    <t>The man then bounces and hits one more ball.</t>
  </si>
  <si>
    <t>v_hsUfo_jHQ60</t>
  </si>
  <si>
    <t>An athletic man is seen running through a street in slow motion while the camera moves around his body.</t>
  </si>
  <si>
    <t>The video then freezes on his feet to show text and ends with him holding his arms up into the air.</t>
  </si>
  <si>
    <t>v_YddPa1ujWuk</t>
  </si>
  <si>
    <t>A woman is seen speaking to the camera while holding up a box and newspaper.</t>
  </si>
  <si>
    <t>The woman then begins cutting the news paper and place the box in the middle.</t>
  </si>
  <si>
    <t>The women wraps up the box with the news paper and tapes it down on the sides.</t>
  </si>
  <si>
    <t>v_20i6YGSnt-c</t>
  </si>
  <si>
    <t>A man is seen speaking to the camera and begins shaving off his facial hair.</t>
  </si>
  <si>
    <t>The man continues shaving and shows off his before and after pictures.</t>
  </si>
  <si>
    <t>v_UeMcMSTO-Yg</t>
  </si>
  <si>
    <t>A woman is seen speaking to the camera and showing off various tools to the camera.</t>
  </si>
  <si>
    <t>She explains how each tool works for cleaning a horse and ends by smiling to the camera.</t>
  </si>
  <si>
    <t>v_II3AiNrQ1uA</t>
  </si>
  <si>
    <t>A text introduction describing the event is shown.</t>
  </si>
  <si>
    <t>A woman performs gymnastics on uneven bars while a number of spectators watch.</t>
  </si>
  <si>
    <t>The woman dismounts from the bars.</t>
  </si>
  <si>
    <t>v_nEAypudaSFs</t>
  </si>
  <si>
    <t>There's a young man in a red shirt and blue beanie hat playing the harmonica.</t>
  </si>
  <si>
    <t>He plays rhythmically as he moves the harmonica rapidly through his mouth to play a fast tune.</t>
  </si>
  <si>
    <t>He continues playing the tune as he closes his eyes in deep concentration.</t>
  </si>
  <si>
    <t>He moves the harmonica side ways as he continues playing till he comes to an end.</t>
  </si>
  <si>
    <t>v__AdJtwjeITM</t>
  </si>
  <si>
    <t>A group of older men walk into a ice rink.</t>
  </si>
  <si>
    <t>The group of men gather and get ready to play curling.</t>
  </si>
  <si>
    <t>A younger man and an older man work as a team to move the curl.</t>
  </si>
  <si>
    <t>A older gentleman smiles at the camera while holding his curling stick over his head.</t>
  </si>
  <si>
    <t>The group of men then start to display number and have a laugh.</t>
  </si>
  <si>
    <t>v_2DtotlMv9Gg</t>
  </si>
  <si>
    <t>People are playing lacrosse on a field.</t>
  </si>
  <si>
    <t>They score a point into the net.</t>
  </si>
  <si>
    <t>Two men high five on the field.</t>
  </si>
  <si>
    <t>v_HGDatODUecQ</t>
  </si>
  <si>
    <t>A close up of water rapids is shown followed by a group of people attempting to paddle in a raft.</t>
  </si>
  <si>
    <t>The people riding all down the river while sticking their paddle up at one point all together.</t>
  </si>
  <si>
    <t>v_lhH3qdh8n3g</t>
  </si>
  <si>
    <t>There are about ten or more people dressed in athletic wear doing a synchronized form of exercise.</t>
  </si>
  <si>
    <t>They are doing the steps rhythmically to the beats of a song that is played in the fitness center.</t>
  </si>
  <si>
    <t>There are disco lights flashing in the fitness center.</t>
  </si>
  <si>
    <t>They continue to do the steps as they clap their hands in between the steps.</t>
  </si>
  <si>
    <t>They also step on and step off of a step stool as they continue their steps.</t>
  </si>
  <si>
    <t>v_bx5ZHOUG-nI</t>
  </si>
  <si>
    <t>A person is seen bending down over a bucket filled with water and washing clothes in the bucket.</t>
  </si>
  <si>
    <t>The boy continues washing when another person steps in to help wash the clothes and speak to the camera.</t>
  </si>
  <si>
    <t>v_uDNLf3ty9ao</t>
  </si>
  <si>
    <t>A man in a brown sweater is sitting down and talking.</t>
  </si>
  <si>
    <t>A woman in a black and white sweater sits behind him.</t>
  </si>
  <si>
    <t>She takes off her sweater and puts it on the chair behind him.</t>
  </si>
  <si>
    <t>A boy in a blue shirt hits behind him.</t>
  </si>
  <si>
    <t>v_9E-FFtZl9qM</t>
  </si>
  <si>
    <t>A woman is seen speaking to the camera and leading into clips of her running.</t>
  </si>
  <si>
    <t>Close ups of her feet are shown as well as more clips of her speaking and running.</t>
  </si>
  <si>
    <t>She's shown packing up a car and showing off her tools as well as her gear while still running on the road.</t>
  </si>
  <si>
    <t>v_lwqSz2Q2L-E</t>
  </si>
  <si>
    <t>A woman is seen sitting on a stool smoking a cigarette and looking off into the distance.</t>
  </si>
  <si>
    <t>The woman blows smoke into the air as the camera captures her from several angles continuously smoking.</t>
  </si>
  <si>
    <t>v_5JkN8t5k0jU</t>
  </si>
  <si>
    <t>An intro of titles eventually leads to an athlete holding a large amount of weights over his head.</t>
  </si>
  <si>
    <t>The same man does another lit with his weights while another man watches in the background.</t>
  </si>
  <si>
    <t>He throws the weights down and throws his arms up in the air to celebrate.</t>
  </si>
  <si>
    <t>v_LXHc1X1pKEM</t>
  </si>
  <si>
    <t>A woman with short hair and a white tank top is sitting in her bathroom talking about a cyclist who is going to shave his legs.</t>
  </si>
  <si>
    <t>She stands up and shows the cycling team printed on her tank top.</t>
  </si>
  <si>
    <t>She shows the viewers the type of razor she will be using.</t>
  </si>
  <si>
    <t>There's a young man sitting on the bath tub along with the woman.</t>
  </si>
  <si>
    <t>He washes his legs with baby soap and water and begins shaving his legs.</t>
  </si>
  <si>
    <t>Then the woman takes the razor and helps her husband shave his legs.</t>
  </si>
  <si>
    <t>v__cLb2ZRS_4M</t>
  </si>
  <si>
    <t>many guys in all black stands on a grassy area with music instruments and does a sync performance in front of other people sitting on the grass watching.</t>
  </si>
  <si>
    <t>the guys play the drums and do movements back and forth as they play the drums that is connected to there body.</t>
  </si>
  <si>
    <t>the guys do hand movements and stomps there feet lightly as part of the performance.</t>
  </si>
  <si>
    <t>v_P6z57_sYXm8</t>
  </si>
  <si>
    <t>Windsurfer turns his sail around in a 360.</t>
  </si>
  <si>
    <t>Windsurfer rides the waves slowly forward.</t>
  </si>
  <si>
    <t>Man walks in front of the camera.</t>
  </si>
  <si>
    <t>Windsurfer spins his sail around quickly.</t>
  </si>
  <si>
    <t>Windsurfer falls into the ocean.</t>
  </si>
  <si>
    <t>v_mb5CLhyHMvU</t>
  </si>
  <si>
    <t>People are skiing down a snowy slope very slowly and gracefully.</t>
  </si>
  <si>
    <t>A little boy is bending down trying to catch more speed, he is pretty good at skiing.</t>
  </si>
  <si>
    <t>They continue forward very slowly taking their time and enjoying the experience.</t>
  </si>
  <si>
    <t>they start to slow down a bit almost stopping but then they build back up and continue on.</t>
  </si>
  <si>
    <t>v_XztphLXwZjU</t>
  </si>
  <si>
    <t>A man is indoors, quickly placing wood tiles onto a floor as the camera plays extremely fast.</t>
  </si>
  <si>
    <t>He uses a leveler and cutter and completes the room with grout before walking out.</t>
  </si>
  <si>
    <t>v_KfP205pf7PU</t>
  </si>
  <si>
    <t>Cars drive by a sign by the road.</t>
  </si>
  <si>
    <t>Several women are shown around a table preparing to knit.</t>
  </si>
  <si>
    <t>A woman talks to the camera in an interview style.</t>
  </si>
  <si>
    <t>The women around the table engage in knitting-related activities.</t>
  </si>
  <si>
    <t>A bus is shown parked outside the building.</t>
  </si>
  <si>
    <t>The woman from the interview scene talks to the camera again.</t>
  </si>
  <si>
    <t>The women at the table are shown knitting.</t>
  </si>
  <si>
    <t>Several exterior shots of the building's locale are shown.</t>
  </si>
  <si>
    <t>The women at the table are shown knitting again.</t>
  </si>
  <si>
    <t>v_bhAVJ2uUw0U</t>
  </si>
  <si>
    <t>A person is seen wiping off the face of a baby with a rag while the baby sticks it's tongue out.</t>
  </si>
  <si>
    <t>the woman continues cleaning the baby and is shown smiling to the camera and waving.</t>
  </si>
  <si>
    <t>v_c1T9LbXOVUs</t>
  </si>
  <si>
    <t>Two men are seen playing rock paper scissors with one another and hitting the person who loses.</t>
  </si>
  <si>
    <t>The men continue playing this game back and fourth and rub each other's heads while others watch.</t>
  </si>
  <si>
    <t>v_Q48_MDiak-w</t>
  </si>
  <si>
    <t>An athlete performs hammer Throw by spins a heavy ball several times with his body.</t>
  </si>
  <si>
    <t>Then, the athlete throws the ball to the field.</t>
  </si>
  <si>
    <t>v_Sx7YgFLnwfM</t>
  </si>
  <si>
    <t>A woman is sitting in a chair talking.</t>
  </si>
  <si>
    <t>A persons hand is playing rock paper scissors with a robot.</t>
  </si>
  <si>
    <t>A man in a white shirt is talking to the woman.</t>
  </si>
  <si>
    <t>v_0_9_HIvxNMw</t>
  </si>
  <si>
    <t>A group of people are dressed in ski gear, riding in a lift.</t>
  </si>
  <si>
    <t>They are seen going down hills, skiing and throwing snow into the air.</t>
  </si>
  <si>
    <t>v_bqv3vCT0T5s</t>
  </si>
  <si>
    <t>A 2011 dance competition in Israel is shown with a woman in gold belly dancing solo with neon lights behind her.</t>
  </si>
  <si>
    <t>She turns her back to the audience to show different angles of her moves.</t>
  </si>
  <si>
    <t>Finally, she artfully collapses on the floor as the song ends.</t>
  </si>
  <si>
    <t>v_z5bc9KKiAGI</t>
  </si>
  <si>
    <t>A boy is standing behind a counter.</t>
  </si>
  <si>
    <t>He is throwing darts at a wall.</t>
  </si>
  <si>
    <t>A woman is standing next to him.</t>
  </si>
  <si>
    <t>v_SCM5-6hQCGY</t>
  </si>
  <si>
    <t>The little girl who's wearing a rainbow sweater is shown sitting in the sand making a huge hill of sand.</t>
  </si>
  <si>
    <t>Next she looks up and says something.</t>
  </si>
  <si>
    <t>she then keeps adding more sand to the hill.</t>
  </si>
  <si>
    <t>then a little boy joins her and just touches the hill, but walks away.</t>
  </si>
  <si>
    <t>He then comes back again to point at the hill.</t>
  </si>
  <si>
    <t>v_SlgBcsCTy58</t>
  </si>
  <si>
    <t>A woman is seen speaking to the camera while transitioning into shots of her grooming a dog.</t>
  </si>
  <si>
    <t>The girl is seen washing the dogs as well as blow drying them and trimming their fur.</t>
  </si>
  <si>
    <t>She continues speaking while showing off her clean dogs and others walking on the side.</t>
  </si>
  <si>
    <t>v_wohWWAB47KM</t>
  </si>
  <si>
    <t>A man is water skiing behind a boat on a lake.</t>
  </si>
  <si>
    <t>Some people show up on the screen who are watching and recording.</t>
  </si>
  <si>
    <t>The water skier tries to do a flip and ends up crashing into the water.</t>
  </si>
  <si>
    <t>v_BUk-fR6TAnk</t>
  </si>
  <si>
    <t>A blue page with white writing explains that the video is about how to wrap a present.</t>
  </si>
  <si>
    <t>Scissors and different types of tape are shown, as well as a roll of wrapping paper.</t>
  </si>
  <si>
    <t>A woman is on the floor with a box.</t>
  </si>
  <si>
    <t>She demonstrates how to cut and fold the paper around the present.</t>
  </si>
  <si>
    <t>She tapes the present shut.</t>
  </si>
  <si>
    <t>She then places a translucent bow on the gift.</t>
  </si>
  <si>
    <t>v_e6Dhfn1d3ic</t>
  </si>
  <si>
    <t>Men are acting silly in a bathroom.</t>
  </si>
  <si>
    <t>One man shows off his legs to the camera.</t>
  </si>
  <si>
    <t>Two men are dancing and shaving their legs near the sink.</t>
  </si>
  <si>
    <t>Another man joins the men near the sink to help with the shaving.</t>
  </si>
  <si>
    <t>v_zTnRo6yABtg</t>
  </si>
  <si>
    <t>A man walks onto a field in front of his dog.</t>
  </si>
  <si>
    <t>He throws a frisbee, and the dog catches it.</t>
  </si>
  <si>
    <t>He does several tricks with the frisbees and the dog.</t>
  </si>
  <si>
    <t>v_FUrLg7FETWo</t>
  </si>
  <si>
    <t>A woman is seen swinging an ax down on a log while another man watches on the side.</t>
  </si>
  <si>
    <t>Another woman takes off the log and the girl prepares to swing.</t>
  </si>
  <si>
    <t>She swings the ax again and looks back smiling to the camera.</t>
  </si>
  <si>
    <t>v_k_gjsTv-jy8</t>
  </si>
  <si>
    <t>A person is standing behind a counter putting food onto a tray.</t>
  </si>
  <si>
    <t>They put the tray into an oven.</t>
  </si>
  <si>
    <t>They take the tray out of the oven and lift cookies onto a plate.</t>
  </si>
  <si>
    <t>They wash off the mat in the sink.</t>
  </si>
  <si>
    <t>v_0JCM9uzZafU</t>
  </si>
  <si>
    <t>We see a ladies hand on a magazine.</t>
  </si>
  <si>
    <t>The lady cuts slices of an article.</t>
  </si>
  <si>
    <t>She puts the paper in water and lays then on her white nails, she peels the paper off and the letters stick.</t>
  </si>
  <si>
    <t>The lady puts clear polish over the nails.</t>
  </si>
  <si>
    <t>The lady sticks rhinestones to her nails.</t>
  </si>
  <si>
    <t>The lady puts clear polish over the decorated nails.</t>
  </si>
  <si>
    <t>We see the lady turning pages in the magazine.</t>
  </si>
  <si>
    <t>We see the white ending screen.</t>
  </si>
  <si>
    <t>v_y8OQkNk8WpY</t>
  </si>
  <si>
    <t>People are sliding down the ice.</t>
  </si>
  <si>
    <t>They are holding a curling stick and a ball.</t>
  </si>
  <si>
    <t>Two men in white shirts run next to the person sliding.</t>
  </si>
  <si>
    <t>v_NbTlXQLScRo</t>
  </si>
  <si>
    <t>A man is seen speaking to the camera followed by him laying several ingredients out and boiling them in some water.</t>
  </si>
  <si>
    <t>He then pours more food items under water and into a pot filled with water.</t>
  </si>
  <si>
    <t>v_iNhoeDq_EBQ</t>
  </si>
  <si>
    <t>A large group of people are seen standing on a mat and performing a routine with one another.</t>
  </si>
  <si>
    <t>The people do various flips and tricks around the mat and end with a pose and waving to the audience.</t>
  </si>
  <si>
    <t>v_Jd3D2d-RwL0</t>
  </si>
  <si>
    <t>A close up of a leaf blower is shown followed by the camera looking around the area.</t>
  </si>
  <si>
    <t>A hand is then seen starting the machine and pushing the machine around the yard.</t>
  </si>
  <si>
    <t>The man turns off the machine and looks around the front while pointing to the top of the machine.</t>
  </si>
  <si>
    <t>The camera pans around the machine and the man is shown giving a thumbs up.</t>
  </si>
  <si>
    <t>v_sb0r71oGs3M</t>
  </si>
  <si>
    <t>A lady sits on a couch and discusses.</t>
  </si>
  <si>
    <t>The lady sails a boat.</t>
  </si>
  <si>
    <t>The lady goes water boarding.</t>
  </si>
  <si>
    <t>v_zf4MXHeiSXs</t>
  </si>
  <si>
    <t>People rides horses on an unpaved road passing for the woods and on front the ocean.</t>
  </si>
  <si>
    <t>People arrive to a place and gets off the horse and then continue riding passing woods, river, the ocean and beautiful landscapes.</t>
  </si>
  <si>
    <t>Then, people arrive to a camping place, then they running on front the ocean.</t>
  </si>
  <si>
    <t>v_N3WVKg7Q2io</t>
  </si>
  <si>
    <t>Some boys are in the pools playing with volleyballs.</t>
  </si>
  <si>
    <t>There is a large swimming team swimming and throwing the ball around to their team mates, scoring.</t>
  </si>
  <si>
    <t>Then, there is a team on the filed playing flag football.</t>
  </si>
  <si>
    <t>They are running around trying to score for their team.</t>
  </si>
  <si>
    <t>v_ub0pmYL8i5s</t>
  </si>
  <si>
    <t>A silver sink is shown and a black hose with a scrubber on the bottom of it begins cleaning the sink with steam coming out of it.</t>
  </si>
  <si>
    <t>Once completed,the person then takes a white rag and goes into the sink and washes away the moisture from the steam.</t>
  </si>
  <si>
    <t>v_k42CKebiSLA</t>
  </si>
  <si>
    <t>A man travels to Japan to study how to be a sumo wrestler.</t>
  </si>
  <si>
    <t>The man gets training and learns the techniques of sumo.</t>
  </si>
  <si>
    <t>v_BoKEPRjFydk</t>
  </si>
  <si>
    <t>There are several athletes doing discus throw in an outdoor ring.</t>
  </si>
  <si>
    <t>The first athlete who is dressed in a red and white shirt begins the discus throw using a one and a half kilograms discus.</t>
  </si>
  <si>
    <t>He spins and rotates on the spot and throws the discus.</t>
  </si>
  <si>
    <t>Then another athlete throws the discus but in unsuccessful.</t>
  </si>
  <si>
    <t>The athlete in blue then makes his attempt at the discus throw as he swings and spins to throw the disc.</t>
  </si>
  <si>
    <t>Then another athlete who has won third place throws the discus successfully.</t>
  </si>
  <si>
    <t>Some more athletes come to the ring and throw the discus.</t>
  </si>
  <si>
    <t>The stadium bleachers are not filled with sufficient spectators due to security reasons.</t>
  </si>
  <si>
    <t>v_QYU2srH753Q</t>
  </si>
  <si>
    <t>The credits of the clip is shown.</t>
  </si>
  <si>
    <t>A person cracks their hands.</t>
  </si>
  <si>
    <t>Birds flock the sky above the dirt track.</t>
  </si>
  <si>
    <t>A person's shadow moves over the surface of a white trailer.</t>
  </si>
  <si>
    <t>A person rides a dirt bike.</t>
  </si>
  <si>
    <t>A person shovels dirt.</t>
  </si>
  <si>
    <t>A person stands with sign at the end of the dirt race track.</t>
  </si>
  <si>
    <t>A person lifts a dirt bike and places on a stool.</t>
  </si>
  <si>
    <t>A male child runs and smiles.</t>
  </si>
  <si>
    <t>A helicopter hovers over the race track.</t>
  </si>
  <si>
    <t>A lady pulls on a rider's helmet.</t>
  </si>
  <si>
    <t>v__i_ERtwvcJE</t>
  </si>
  <si>
    <t>A man is shown staring off into the distance while another holds a ball at a beer pong table.</t>
  </si>
  <si>
    <t>The camera shows the ball hitting the table and landing into the cup on the other side.</t>
  </si>
  <si>
    <t>The first man looks down at the cup and grimaces at what he sees.</t>
  </si>
  <si>
    <t>v_4R5KDUqBPcU</t>
  </si>
  <si>
    <t>There's a man wearing a black athletic suit in a shot put field practicing shot put.</t>
  </si>
  <si>
    <t>He begins by taking the ball in his hand and holding it against his neck.</t>
  </si>
  <si>
    <t>Then he spins around and throws the ball far ahead.</t>
  </si>
  <si>
    <t>v_l8aaaDY4ehA</t>
  </si>
  <si>
    <t>We see a man mowing a lawn.</t>
  </si>
  <si>
    <t>He stands on the stairs to mow.</t>
  </si>
  <si>
    <t>It switches to a woman mowing.</t>
  </si>
  <si>
    <t>It goes back to the man mowing.</t>
  </si>
  <si>
    <t>The man puts the mower in the shed and goes into the house.</t>
  </si>
  <si>
    <t>v_aFpWNTroghs</t>
  </si>
  <si>
    <t>An intro comes into the screen for a video about removing mulch.</t>
  </si>
  <si>
    <t>A man digs his heel into the base of a tree to push away the mulch.</t>
  </si>
  <si>
    <t>He gets down on his knees and begins to remove the mulch by hand by pushing it further from the base of the tree.</t>
  </si>
  <si>
    <t>He takes out some clippers and clips some of the roots.</t>
  </si>
  <si>
    <t>Last, the video ends with the closing captions.</t>
  </si>
  <si>
    <t>v_nsDyItaRUXI</t>
  </si>
  <si>
    <t>A woman is knitting what appears to be a scarf while sitting in front of a computer keyboard.</t>
  </si>
  <si>
    <t>She is using the needles to make the scarf.</t>
  </si>
  <si>
    <t>She pulls the yarn through with the loop several times.</t>
  </si>
  <si>
    <t>v_MRpg1K7YWSE</t>
  </si>
  <si>
    <t>A person's hand is seen throwing several darts onto a board on the other side of the room.</t>
  </si>
  <si>
    <t>The camera then moves closer to the board and zooms in on the location of where the darts are thrown.</t>
  </si>
  <si>
    <t>v_uEaxyzKonCY</t>
  </si>
  <si>
    <t>A group of people are seen on a tennis court with 4 men playing together.</t>
  </si>
  <si>
    <t>They continue playing the game back and fourth with each other whiles others play in the background.</t>
  </si>
  <si>
    <t>v_qkN9uA8izVE</t>
  </si>
  <si>
    <t>Two men are seen holding each other's hands and moving one to the other side arm wrestling.</t>
  </si>
  <si>
    <t>The men struggle a bit and ends with one slamming the other's down.</t>
  </si>
  <si>
    <t>v_K-eZfCs8yOc</t>
  </si>
  <si>
    <t>A young man plays violin while wearing headsets.</t>
  </si>
  <si>
    <t>Then, the young man finish playing and take off the headsets.</t>
  </si>
  <si>
    <t>v_xj-f9hzQ3Lc</t>
  </si>
  <si>
    <t>Several dirt bikers are standing under a garage behind a stand preparing to race.</t>
  </si>
  <si>
    <t>Someone calls a mark and they all stand up on their pedals preparing to be released.</t>
  </si>
  <si>
    <t>The bar is finally let down and the boys begin racing throughout the track that's covered in hills as people stand throughout it to watch them.</t>
  </si>
  <si>
    <t>v_A5JcwIaP30Y</t>
  </si>
  <si>
    <t>A man is trying to balance himself on a rope, he walks on it and does a flip off.</t>
  </si>
  <si>
    <t>He gets back on the rope and does another back flip off.</t>
  </si>
  <si>
    <t>He grips the the rope super tight with his feet while he walks across.</t>
  </si>
  <si>
    <t>He has trouble balancing on it, starts going backwards.</t>
  </si>
  <si>
    <t>v_gnVupEzu59g</t>
  </si>
  <si>
    <t>People are snowboarding down a hill of snow.</t>
  </si>
  <si>
    <t>A man in red goggles is standing in the snow.</t>
  </si>
  <si>
    <t>People are riding a ski lift up the mountain.</t>
  </si>
  <si>
    <t>v_6lIi6-Y6q10</t>
  </si>
  <si>
    <t>There's a man dressed in a formal attire with shirt and tie demonstrating how to make a cocktail called Pimms.</t>
  </si>
  <si>
    <t>He puts some ice cubes in a talll glass and then adds some Pimms in it.</t>
  </si>
  <si>
    <t>He slices some lemons and puts the lemons along with a cherry on a toothpick.</t>
  </si>
  <si>
    <t>Then he puts a slice of cucumber that is cut lengthwise into the cocktail.</t>
  </si>
  <si>
    <t>v_H3cFZelOk2Y</t>
  </si>
  <si>
    <t>Two team are in each other end of the rope while people are watching and two persons are taking pictures.</t>
  </si>
  <si>
    <t>The two teams began pulling the rope.</t>
  </si>
  <si>
    <t>The team in yellow shirt won and then two team shake hands and hugged each other and then gave a bow.</t>
  </si>
  <si>
    <t>v_M_CU9guT3C0</t>
  </si>
  <si>
    <t>A woman talks in a kitchen, then she shows a brush.</t>
  </si>
  <si>
    <t>The woman opens the faucet and washes a dish with the brush, then she brush her hand while explaining.</t>
  </si>
  <si>
    <t>Then, she washes a dish with the brush, then she explains showing the brush.</t>
  </si>
  <si>
    <t>v_jwYgWG2fqOA</t>
  </si>
  <si>
    <t>A dancer positions herself to begin her dance.</t>
  </si>
  <si>
    <t>The dancer performs her dance routine holding a wand.</t>
  </si>
  <si>
    <t>The woman throws her wand as part of her dance and runs to grab it and resumes her performance.</t>
  </si>
  <si>
    <t>The woman takes a bow, finishing her dance.</t>
  </si>
  <si>
    <t>v_fO2fWjYEhMc</t>
  </si>
  <si>
    <t>A man in white shirt and white shorts is holding a croquet bat, he is bending over and swing the bat slowly in the air before hitting the blue ball.</t>
  </si>
  <si>
    <t>The ball went flying passing the ball in a small rectangular holes, and hit the ground.</t>
  </si>
  <si>
    <t>v__pMQwrt-cf4</t>
  </si>
  <si>
    <t>We see the opening title screen.</t>
  </si>
  <si>
    <t>We see stills of the flooring material.</t>
  </si>
  <si>
    <t>A man cuts and puts the superfloor on the floor.</t>
  </si>
  <si>
    <t>The man then unrolls carpet over the superfloor.</t>
  </si>
  <si>
    <t>We then see the ending screen.</t>
  </si>
  <si>
    <t>v_tGuPkIKGIK4</t>
  </si>
  <si>
    <t>A woman holds a dog and take to the bathroom to take a bath in a bathtub while rubbing the body with soap.</t>
  </si>
  <si>
    <t>The dog waits until the woman grab a towel to dry the body of the dog.</t>
  </si>
  <si>
    <t>The dog looks angry and show his teeth.</t>
  </si>
  <si>
    <t>Then, woman give a kiss to then dog.</t>
  </si>
  <si>
    <t>v_8eqO6e2wWmY</t>
  </si>
  <si>
    <t>A few men and a woman are indoors playing badminton They are very into it and competing heavily.</t>
  </si>
  <si>
    <t>The men go back and forth in an attempt to score and are very focused.</t>
  </si>
  <si>
    <t>Various shots in fast motion and in slow motion are shown of the action.</t>
  </si>
  <si>
    <t>v_HGy8UgabFMw</t>
  </si>
  <si>
    <t>A man in blue shirt and jeans is wearing black gloves and trimming the hedge with an orange trimming machine, doing the side first then the front and then the other side.</t>
  </si>
  <si>
    <t>He climbed the blue-green ladder to trim the top of the hedge, he moved the ladder to do the middle top of the hedge.</t>
  </si>
  <si>
    <t>The man trimmed the round low bush, used the ladder to trim the top of the round hedge.</t>
  </si>
  <si>
    <t>v_mGLCCohSA0A</t>
  </si>
  <si>
    <t>Several kitchens are shown in the backdrop as a Around the House Menards logo flashes in the middle of the screen.</t>
  </si>
  <si>
    <t>After, a man in blue polo is shown pasting tile on the back of the kitchen walls to renovate the home.</t>
  </si>
  <si>
    <t>Another man is shown sanding and painting the wall and renovating another home.</t>
  </si>
  <si>
    <t>A block of tile is shown again but it is flipped over to see the net on the back of it.</t>
  </si>
  <si>
    <t>The men continue to renovate the house, measuring the wall,fixing the lights and pasting the tile on the wall.</t>
  </si>
  <si>
    <t>Finally, the finished product of the wall is shown.</t>
  </si>
  <si>
    <t>v_WEoelJQYlxk</t>
  </si>
  <si>
    <t>A picture of a man washing a car is shown and leads into several men washing the same car.</t>
  </si>
  <si>
    <t>The men vacuum the inside as well as clean the dashboard and entire interior and exterior.</t>
  </si>
  <si>
    <t>The car is shown off again in the end all clean.</t>
  </si>
  <si>
    <t>v_h9WOFfVGeAQ</t>
  </si>
  <si>
    <t>A man is standing up playing bagpipes.</t>
  </si>
  <si>
    <t>People are sitting on a couch laughing at him.</t>
  </si>
  <si>
    <t>v_8EDq3cjHhz0</t>
  </si>
  <si>
    <t>We see two people in a studio.</t>
  </si>
  <si>
    <t>We then see a man in a bowling alley speaking to the camera with a man in a bowling pin costume.</t>
  </si>
  <si>
    <t>The man then interviews a man in a black jacket.</t>
  </si>
  <si>
    <t>We see the bowling pin throw a green bowling ball.</t>
  </si>
  <si>
    <t>The newscaster then throws a blue ball down the lane and another ball at the bowling pin mascot who falls over.</t>
  </si>
  <si>
    <t>We then see a split screen with the pin running behind the newscaster and the people in the studio in the upper left corner.</t>
  </si>
  <si>
    <t>The pin throws a ball at the newscaster, and we return to the studio.</t>
  </si>
  <si>
    <t>v_wBwBm7Ju9a8</t>
  </si>
  <si>
    <t>A talking and smiling man is standing in an indoor area and then motions to his right and a woman walks towards him and she begins to talk and smile with him.</t>
  </si>
  <si>
    <t>The woman is now jumping on a trampoline by herself and then she stands on a jumping board and simulates a jump off of a diving board and going straight down into a pool, but instead she lands on a large, soft, black landing mat.</t>
  </si>
  <si>
    <t>The man is now jumping on the trampoline and he does the the exact same thing as the woman just did.</t>
  </si>
  <si>
    <t>Now the woman is standing at an outdoor pool talking and she jumps off of the diving board first, does a few flips and then lands in the water.</t>
  </si>
  <si>
    <t>The man appears in front of the camera holding up a small speedo, he shakes his head in disapproval of the speedos, throws it on the camera, and they show him doing leg warm ups wearing a long pair of swimming shorts.</t>
  </si>
  <si>
    <t>Then man goes on the diving board, rubs his hands together, then jumps off the diving board 4 times and does various flips before he lands in the water.</t>
  </si>
  <si>
    <t>The man and the woman are now on the ground talking and they turn to look at the tallest diving board, and a quick shot from tallest diving board is showing high it is, then it goes back to the man and the woman still standing next to the pool and talking.</t>
  </si>
  <si>
    <t>v_wBbSb9Ubis4</t>
  </si>
  <si>
    <t>A close up of a bull is seen as well as another laying on the ground.</t>
  </si>
  <si>
    <t>Another bull is seen running off into the distance and chasing a person.</t>
  </si>
  <si>
    <t>Several people are seen running away from a bull in many shots as they chase them down.</t>
  </si>
  <si>
    <t>v_kZMDKbfIis0</t>
  </si>
  <si>
    <t>A man is kneeling down on ice.</t>
  </si>
  <si>
    <t>He begins playing a game of curling.</t>
  </si>
  <si>
    <t>Two people scrub the ice in front of the curling ball.</t>
  </si>
  <si>
    <t>v_6aWTCiY3eww</t>
  </si>
  <si>
    <t>A man is seen climbing onto of a camel and begins walking around with a man in front.</t>
  </si>
  <si>
    <t>The man speaks to one on top and gives the camel a slap while looking back to speak to the camera.</t>
  </si>
  <si>
    <t>v_NcEWimHnC54</t>
  </si>
  <si>
    <t>We see snow covered ski slope and a title screen.</t>
  </si>
  <si>
    <t>We see people skiing and snowboarding down the hill.</t>
  </si>
  <si>
    <t>The names are shown in a blue bar above.</t>
  </si>
  <si>
    <t>We see a man holding a selfie stick as he boards down the hill.</t>
  </si>
  <si>
    <t>We see a person in dense woods riding a snowboard.</t>
  </si>
  <si>
    <t>We see the ending credits.</t>
  </si>
  <si>
    <t>v_n96adnrNnno</t>
  </si>
  <si>
    <t>Two Asians a man and a female are sitting down at a table before going to the inside of a gym.</t>
  </si>
  <si>
    <t>In the gym,several young girls begin doing gymnastics and performing before coming back and doing an interview with the reporter.</t>
  </si>
  <si>
    <t>Next,a young man approaches the bars,does his routine,and then comes back to to his interview.</t>
  </si>
  <si>
    <t>v_beRmfL0Uh28</t>
  </si>
  <si>
    <t>A Caucasian man wearing a red helmet is sitting in a boat in the water talking to water.</t>
  </si>
  <si>
    <t>The rocky water is shown and then the man comes down kayaking throughout the white waters.</t>
  </si>
  <si>
    <t>A flash of vacant water is shown then a group of ten people are pictured kayaking together over the rocks and water and eventually are pushed out the kayak by the large wave.</t>
  </si>
  <si>
    <t>The group of people continue swimming through the water trying to find land.</t>
  </si>
  <si>
    <t>They eventually get out and each person begins talking the camera about what they've just experienced.</t>
  </si>
  <si>
    <t>v_X74SOIQRD4M</t>
  </si>
  <si>
    <t>The players are running in the field with their bats.</t>
  </si>
  <si>
    <t>The player in shirt is running with player in red shirt.</t>
  </si>
  <si>
    <t>The two players began walking.</t>
  </si>
  <si>
    <t>v_RDCZQ0nWIPc</t>
  </si>
  <si>
    <t>A white screen appears and special affects reveal the words "Howcast original".</t>
  </si>
  <si>
    <t>A man is talking while various clips of people rollerblading play and a screen pops up indicating that he's giving tips on "Rollerblading Basics: How to Control Speed on Rollerblades", and he picks up a pair of rollerblades and points to the wheels, then more clips of him rollerblading and showing examples plays.</t>
  </si>
  <si>
    <t>The outro appears and it's the white screen in the intro that include the words "Howcast original".</t>
  </si>
  <si>
    <t>v_7rf06_5zNJk</t>
  </si>
  <si>
    <t>Members of a belly dance academy do a choreographed routine in an advertisement for the school.</t>
  </si>
  <si>
    <t>They move around the stage and then show their bellies.</t>
  </si>
  <si>
    <t>v_HEuC9ZEY91E</t>
  </si>
  <si>
    <t>People are going down a hill of snow on sleds.</t>
  </si>
  <si>
    <t>People are standing on the side of the hill watching them.</t>
  </si>
  <si>
    <t>People are making a snow man in the snow.</t>
  </si>
  <si>
    <t>v_s1WQ4zNikKA</t>
  </si>
  <si>
    <t>A camera pans around a shower and zooms in on a person shaving their legs.</t>
  </si>
  <si>
    <t>The camera watches her move her arms all around her legs while the water runs down the drain.</t>
  </si>
  <si>
    <t>v_Y2gFwWnli4g</t>
  </si>
  <si>
    <t>A chef speaks as she stands by a table full of cooking ingredients.</t>
  </si>
  <si>
    <t>She grabs oil and salt and pours it into a mixing bowl.</t>
  </si>
  <si>
    <t>She stirs the ingredients with some tongs.</t>
  </si>
  <si>
    <t>She pours some tomatoes, zucchini and red onions into the mixing bowl.</t>
  </si>
  <si>
    <t>She cuts up some cilantro.</t>
  </si>
  <si>
    <t>She throws the cilantro into the mixing bowl.</t>
  </si>
  <si>
    <t>She mixes the vegetables in the mixing bowl with the tongs.</t>
  </si>
  <si>
    <t>She places the vegetable on top of some arugula on a plate.</t>
  </si>
  <si>
    <t>She shows off the salad.</t>
  </si>
  <si>
    <t>v_6TgVNz6PATk</t>
  </si>
  <si>
    <t>A person in red jacket is standing at the side of the lane.</t>
  </si>
  <si>
    <t>Two people are sliding down the lane covered in snow.</t>
  </si>
  <si>
    <t>The woman in the tube is going further down the lane as she wave her arms.</t>
  </si>
  <si>
    <t>v_xLRUuV1z3QA</t>
  </si>
  <si>
    <t>A woman is standing next to a camel holding the leash.</t>
  </si>
  <si>
    <t>The woman climbed on the camel, and the camel stood up.</t>
  </si>
  <si>
    <t>The camel walk around and stopped as the woman pull the leash and the camel sat down and the woman got off the camel.</t>
  </si>
  <si>
    <t>v_rhOtqArO-3Y</t>
  </si>
  <si>
    <t>The video shows a canopy representing the Eastern Mountain Sports event.</t>
  </si>
  <si>
    <t>Several players are getting ready for the sporting event in an outdoor setting on a bright sunny day.</t>
  </si>
  <si>
    <t>There is a boy balancing on a tight rope.</t>
  </si>
  <si>
    <t>There are several other contestants walking on the tight rope.</t>
  </si>
  <si>
    <t>Several people watch the contestants perform.</t>
  </si>
  <si>
    <t>Two people are playing with a Frisbee as one person walks on the rope.</t>
  </si>
  <si>
    <t>A girl and boy try the tight rope together.</t>
  </si>
  <si>
    <t>There are people enjoying themselves on a hammock.</t>
  </si>
  <si>
    <t>The end credits thank the people and organizers of the event.</t>
  </si>
  <si>
    <t>v_SwQbnQX7LCQ</t>
  </si>
  <si>
    <t>A grey car is parked on a driveway, then a person washes the rims of the car.</t>
  </si>
  <si>
    <t>After, the person spreads soap on the car with a bottle joint to a hose, after he brushes the front light of the car.</t>
  </si>
  <si>
    <t>Then, the person cleans the hood with a cloth.</t>
  </si>
  <si>
    <t>Next, the person rinses and dries the car.</t>
  </si>
  <si>
    <t>v_Lml6HGhM4yg</t>
  </si>
  <si>
    <t>A person is seen holding a tennis racket on a field and hits the ball across the field.</t>
  </si>
  <si>
    <t>He then smiles and walks to the camera while pointing into the distance and fist bumping.</t>
  </si>
  <si>
    <t>v_u1grT0O81Qg</t>
  </si>
  <si>
    <t>A group of fencers pose with an instructor.</t>
  </si>
  <si>
    <t>The fencers are shown inside a gym, practicing.</t>
  </si>
  <si>
    <t>They jab and do various moves with each other during the match.</t>
  </si>
  <si>
    <t>v_qCtoh8hxjOA</t>
  </si>
  <si>
    <t>A person is seen sitting a top a slide and begins riding down the slide.</t>
  </si>
  <si>
    <t>She meets another person at the bottom while laughing to the camera and another person running in.</t>
  </si>
  <si>
    <t>v_n18TxTWnbFI</t>
  </si>
  <si>
    <t>A person is standing on a diving board.</t>
  </si>
  <si>
    <t>They jump off the diving board into the pool.</t>
  </si>
  <si>
    <t>He falls backward into the water.</t>
  </si>
  <si>
    <t>Someone is jumping into the water off the diving board.</t>
  </si>
  <si>
    <t>A person jumps and goes under the water.</t>
  </si>
  <si>
    <t>A man is jumping high and does a flip into the water off of the diving board.</t>
  </si>
  <si>
    <t>A person does a black flip into the water off the diving board.</t>
  </si>
  <si>
    <t>v_0jBwj0bfZ3Y</t>
  </si>
  <si>
    <t>A small ground of people are seen standing around a baseball field looking around to one another.</t>
  </si>
  <si>
    <t>Suddenly a few begin dancing around and one holds the ball in the middle.</t>
  </si>
  <si>
    <t>v_Ok_Tjkob8IA</t>
  </si>
  <si>
    <t>little kid is standing in front of a counter with jars and ingedients in front of her.</t>
  </si>
  <si>
    <t>woman is putting sugar in a pan with water and heat it, put water and lemon juice and mixing all the ingredients in a jar.</t>
  </si>
  <si>
    <t>v_1aRRlW0k-_4</t>
  </si>
  <si>
    <t>A boy is playing with a ball.</t>
  </si>
  <si>
    <t>Kids are practicing lacrosse on a field of grass.</t>
  </si>
  <si>
    <t>A man in a black jacket is watching them play.</t>
  </si>
  <si>
    <t>v_DRI64Xoxy5w</t>
  </si>
  <si>
    <t>There are lots of people standing outdoors just walking around and talking.</t>
  </si>
  <si>
    <t>A little boy goes behind a ladder and other people keep walking around.</t>
  </si>
  <si>
    <t>A pinata drops from high above and he hits the pinata using a stick and then someone comes out holding a bowl filled with bags.</t>
  </si>
  <si>
    <t>v_h7cetqsBVn0</t>
  </si>
  <si>
    <t>There is a line of camels sitting on the ground in the Outback area of Australia.</t>
  </si>
  <si>
    <t>there are tourists waiting to get onto the camels to enjoy a camel back ride.</t>
  </si>
  <si>
    <t>Men in red shirts and cowboy hats are helping the tourists get on the camels' backs.</t>
  </si>
  <si>
    <t>The camels slowly raise themselves up and begin walking around with the tourists on their backs.</t>
  </si>
  <si>
    <t>The tourists are happy as they wave to the camera as they enjoy the camel ride.</t>
  </si>
  <si>
    <t>The camels walk slowly through the dry and muddy grasslands.</t>
  </si>
  <si>
    <t>Then the tourists get off of the camels and walk towards an outdoor dinning area where several tables are arranged with white tablecloths and dinnerware.</t>
  </si>
  <si>
    <t>v__9h6NBOPTy8</t>
  </si>
  <si>
    <t>A martini glass is being filled with vodka.</t>
  </si>
  <si>
    <t>A woman is shown behind a bar with different alcohol bottles.</t>
  </si>
  <si>
    <t>She mixes them together, then decorates the final drink.</t>
  </si>
  <si>
    <t>v_oZnbAhzN3jg</t>
  </si>
  <si>
    <t>A person shows how to clean large windows.</t>
  </si>
  <si>
    <t>First the soap is applied then it is scraped away.</t>
  </si>
  <si>
    <t>The process is repeated and finished.</t>
  </si>
  <si>
    <t>v_YtPZMBePf5c</t>
  </si>
  <si>
    <t>A man is seen swirling a stick around a pot while a young boy on the side watches him work.</t>
  </si>
  <si>
    <t>The man teases the boy with a cone and lets the boy have it, only to be taken away again.</t>
  </si>
  <si>
    <t>The man then puts ice cream on the cone and smiles at the boy while he walks away and other's watch.</t>
  </si>
  <si>
    <t>v_DmTI8y6Anvo</t>
  </si>
  <si>
    <t>A basketball player is seen jumping under a basketball ball net and shooting a ball continuously at the net.</t>
  </si>
  <si>
    <t>She continues shooting and the video ends with various text across the screen.</t>
  </si>
  <si>
    <t>v_seScyTd2XSc</t>
  </si>
  <si>
    <t>A person holds out cleaning product and a spray bottle with the mixture over a kitchen sink.</t>
  </si>
  <si>
    <t>The person sprays down the stainless steel sink with detergent in a spray bottle.</t>
  </si>
  <si>
    <t>A sponge is used to scrub the sing with the cleaning solution.</t>
  </si>
  <si>
    <t>The faucet is turned on and is used to rinse out the sink.</t>
  </si>
  <si>
    <t>v_evj6y2xZCnM</t>
  </si>
  <si>
    <t>a baby in a screen is shown and someone hits the screen with a hammer.</t>
  </si>
  <si>
    <t>man is doing skateboard and is felling of the board in different places.</t>
  </si>
  <si>
    <t>man is skateboarding going down a large stairs and fells.</t>
  </si>
  <si>
    <t>man is skateboarding down a cement rail in stairs.</t>
  </si>
  <si>
    <t>v_9PRK4oy1hhY</t>
  </si>
  <si>
    <t>A reporter interview two boys and a little boy.</t>
  </si>
  <si>
    <t>Then, the big boys and the small boys play soccer table while the reporter continue the interview.</t>
  </si>
  <si>
    <t>v_FnrvqpjHe6I</t>
  </si>
  <si>
    <t>The young female players are running around the court throwing ball to on each other.</t>
  </si>
  <si>
    <t>Some of the players are avoiding the ball, so they continue to run around.</t>
  </si>
  <si>
    <t>The female players walked as they kicked the ball from one side to the next.</t>
  </si>
  <si>
    <t>The players kicked the ball to the next person on the opposite side of the court.</t>
  </si>
  <si>
    <t>v_PXvqhB91EkA</t>
  </si>
  <si>
    <t>A small group of people are seen riding exercise bikes next to one another while a woman stands in the middle motivating them.</t>
  </si>
  <si>
    <t>The people continue spinning around on the bikes with some struggling and others continuing to peddle.</t>
  </si>
  <si>
    <t>v_GEmuTigZlYA</t>
  </si>
  <si>
    <t>A woman is seen brushing copious amounts of hair off of a dog's body and collecting the fur in her hand.</t>
  </si>
  <si>
    <t>The dog moves his leg a bit as the woman continues brushing and looks back to watch her brush.</t>
  </si>
  <si>
    <t>v_YAm1JXAtqh4</t>
  </si>
  <si>
    <t>A person runs down a track and throws a javelin.</t>
  </si>
  <si>
    <t>Another person runs down the track and throws a javelin.</t>
  </si>
  <si>
    <t>v_0_ZLjaAEx5s</t>
  </si>
  <si>
    <t>The lady whips her hair from side to side.</t>
  </si>
  <si>
    <t>The lady parts her hair.</t>
  </si>
  <si>
    <t>The lady brushes her hair, applies gel to her parted hair, and starts to braid her hair.</t>
  </si>
  <si>
    <t>The lady puts a hair ties around the two braids.</t>
  </si>
  <si>
    <t>The lady puts a hat on her head.</t>
  </si>
  <si>
    <t>The lady gives a peace sign and waves.</t>
  </si>
  <si>
    <t>v_XqW8wjFpGRU</t>
  </si>
  <si>
    <t>People are dancing and choreographing a routine.</t>
  </si>
  <si>
    <t>They jump around and clap at the end.</t>
  </si>
  <si>
    <t>v_4hbMYlgO8_o</t>
  </si>
  <si>
    <t>A man is seen kneeling down in a large field around small trees and holding a stick.</t>
  </si>
  <si>
    <t>The man then wacks the stick along the grass and moving his arms back and fourth.</t>
  </si>
  <si>
    <t>v_6B3qNzgqnpc</t>
  </si>
  <si>
    <t>A person sitting in a canoe is slowly streaming down a river.</t>
  </si>
  <si>
    <t>A shot of a bird is seen off in the distance, as well as another bird.</t>
  </si>
  <si>
    <t>The canoe keeps floating while various bird are shown sitting in the water as well as the trees.</t>
  </si>
  <si>
    <t>v_d8M7yIj9jbE</t>
  </si>
  <si>
    <t>A young man is sitting down in a room talking to three other people serving as news anchors.</t>
  </si>
  <si>
    <t>The video then flips to a bar and shows Obama playing a game of pool.</t>
  </si>
  <si>
    <t>After,the four people begin talking again about the former president and his attire.</t>
  </si>
  <si>
    <t>v_KmhzUY2ooCw</t>
  </si>
  <si>
    <t>A backyard seen appears with several people outside.</t>
  </si>
  <si>
    <t>The people are playing a game of croquette, taking turns with the bat and hitting the balls.</t>
  </si>
  <si>
    <t>v_HKgnushHynQ</t>
  </si>
  <si>
    <t>People side dive into a swimming pool.</t>
  </si>
  <si>
    <t>People are standing in a swimming pool.</t>
  </si>
  <si>
    <t>Girls are dancing on the lawn in swim suits.</t>
  </si>
  <si>
    <t>People are jumping up and down in a swimming pool with their arms around each other.</t>
  </si>
  <si>
    <t>People begin playing water polo in the swimming pool.</t>
  </si>
  <si>
    <t>v_MyPQ_e4dGDw</t>
  </si>
  <si>
    <t>A lemon sits on a cutting board.</t>
  </si>
  <si>
    <t>Someone chops the lemon and squeezes it into a glass.</t>
  </si>
  <si>
    <t>The other half is squeezed in.</t>
  </si>
  <si>
    <t>They then add sugar to the mix.</t>
  </si>
  <si>
    <t>v_KNzFJses9jc</t>
  </si>
  <si>
    <t>A large crane is seen sitting on the ground and leads into a man using tools on a wall.</t>
  </si>
  <si>
    <t>The camera continues to watch the person work as he uses the tool to create sparks on the wall.</t>
  </si>
  <si>
    <t>v_H-fl49tiqGE</t>
  </si>
  <si>
    <t>women are in rubbers sliding down a snowy hill.</t>
  </si>
  <si>
    <t>women stands and laugh and walks.</t>
  </si>
  <si>
    <t>v_M2ntILX6VP0</t>
  </si>
  <si>
    <t>A baby calf is seen running around a sand pit when a man riding a horse and swinging a rope begins to chase him.</t>
  </si>
  <si>
    <t>The man ties up the calf and rides away while the video leads into shots of a horse kicking a rider off of it's back.</t>
  </si>
  <si>
    <t>More shots are shown of horses kicking riders off while people grab the horse in the end.</t>
  </si>
  <si>
    <t>v_1GzrcmQ5Pcc</t>
  </si>
  <si>
    <t>People are running around playing dodge ball.</t>
  </si>
  <si>
    <t>A woman is holding a camera taking a picture.</t>
  </si>
  <si>
    <t>A woman in a blue shirt poses with a man for a picture.</t>
  </si>
  <si>
    <t>v_0L959X4oxaY</t>
  </si>
  <si>
    <t>A man is standing on top of a hill.</t>
  </si>
  <si>
    <t>A woman is seated on a sled.</t>
  </si>
  <si>
    <t>She is then released down the hill, moving quickly.</t>
  </si>
  <si>
    <t>v_g7l-Y_bgPkI</t>
  </si>
  <si>
    <t>Several people are watching a man in a white hat on a tennis court.</t>
  </si>
  <si>
    <t>The man in the white hat is holding his hand up.</t>
  </si>
  <si>
    <t>The ball is served and it goes outside the court.</t>
  </si>
  <si>
    <t>The ball is thrown to the man in the white hat.</t>
  </si>
  <si>
    <t>The man in the white hat prepares to serve the ball.</t>
  </si>
  <si>
    <t>v_pmn8_4zKo7I</t>
  </si>
  <si>
    <t>A man is outside smoking a cigarette with his friend.</t>
  </si>
  <si>
    <t>They are just sitting out relaxing blowing smoke.</t>
  </si>
  <si>
    <t>Another man with a camera walks by while they sit chatting.</t>
  </si>
  <si>
    <t>Its a nice day to just relax and have a smoke outside with friends.</t>
  </si>
  <si>
    <t>v_URzytLugoVw</t>
  </si>
  <si>
    <t>Two men are running on the baseball field.</t>
  </si>
  <si>
    <t>A ball appears and falls to the ground at home plate and a man kicks it.</t>
  </si>
  <si>
    <t>Another man on the field catches the ball.</t>
  </si>
  <si>
    <t>The man with the ball's team runs over to him.</t>
  </si>
  <si>
    <t>We see the play again slow motion.</t>
  </si>
  <si>
    <t>v_GgfyTMpHfnI</t>
  </si>
  <si>
    <t>We see a girl with a braid then shaking loose curls in her hair.</t>
  </si>
  <si>
    <t>We watch the girl as she curls and braids her hair.</t>
  </si>
  <si>
    <t>The girl using a curling iron and curls her hair.</t>
  </si>
  <si>
    <t>She then braids and twists her hair into a side braid.</t>
  </si>
  <si>
    <t>The girl shows us the back of her hair and then curls the bottom with a curling iron.</t>
  </si>
  <si>
    <t>The girl makes faces and the ending title screen then loads.</t>
  </si>
  <si>
    <t>v_zPZGjZES31A</t>
  </si>
  <si>
    <t>The camera pans a residence's yard.</t>
  </si>
  <si>
    <t>A man wearing a white hoodie and black warm ups with white stripes is mowing the yard with a push lawn mower.</t>
  </si>
  <si>
    <t>The camera captures a rain storm starting and raining over the yard while the man continues to mow the yard.</t>
  </si>
  <si>
    <t>v_Ug3pM64HhK4</t>
  </si>
  <si>
    <t>A Woman is braiding her hair.</t>
  </si>
  <si>
    <t>She is Crossing the strands.</t>
  </si>
  <si>
    <t>Her braid is done on one side and she continues on the next.</t>
  </si>
  <si>
    <t>Crossing and adding hair to the braid.</t>
  </si>
  <si>
    <t>She finishes and turns around and puts the back into a ponytail.</t>
  </si>
  <si>
    <t>v_MoVZoCmkdjY</t>
  </si>
  <si>
    <t>A man and a woman sit behind a table.</t>
  </si>
  <si>
    <t>The man pours a drink into several glasses on the table.</t>
  </si>
  <si>
    <t>A woman is making a drink on the table.</t>
  </si>
  <si>
    <t>She pours a blue bottle into the drink.</t>
  </si>
  <si>
    <t>She pours the drink into smaller glasses on the table.</t>
  </si>
  <si>
    <t>v_HV_yqsiFoKA</t>
  </si>
  <si>
    <t>man wearing a black vest is alone on a ring wrestling with another man who is kneeling on the floor.</t>
  </si>
  <si>
    <t>two other men gets in the ring and are wresting the man in the center.</t>
  </si>
  <si>
    <t>people are around the ring wtching the wrest.</t>
  </si>
  <si>
    <t>three journalists are standing wearing suits and watch the men in the ring.</t>
  </si>
  <si>
    <t>v_Bbb8CybvMlk</t>
  </si>
  <si>
    <t>An introduction comes onto the screen for a video about wrapping gifts.</t>
  </si>
  <si>
    <t>Several different close up shots are shows of wrapped gifts and gift wrapping supplies.</t>
  </si>
  <si>
    <t>A person comes onto the screen and begins to wrap a gift.</t>
  </si>
  <si>
    <t>She decorates the gift with ribbons and attachments to embellish it.</t>
  </si>
  <si>
    <t>Several other gift wrapping ideas are then shown on the one after the other.</t>
  </si>
  <si>
    <t>The video ends with the closing credits shown on the screen.</t>
  </si>
  <si>
    <t>v_HiEClhlj5_A</t>
  </si>
  <si>
    <t>A camera pans down a long list and leads into a group of men and one speaking to them all.</t>
  </si>
  <si>
    <t>Two men shake hands and begin rolling paint along a long paper.</t>
  </si>
  <si>
    <t>They race to put the paper on a long wall and photographs of men measuring the wall follow.</t>
  </si>
  <si>
    <t>The men fist bump another and shake hands as the men continue writing down notes and pictures of high scores shown.</t>
  </si>
  <si>
    <t>v_IOoj4yWCoPg</t>
  </si>
  <si>
    <t>A woman is sitting outside her home and washing her clothes in a tub filled with water and soap.</t>
  </si>
  <si>
    <t>She removes the clothes from the tub and then soaks them in another tub filled with water.</t>
  </si>
  <si>
    <t>She puts the water hose into the water tub.</t>
  </si>
  <si>
    <t>She adds more clothes in the soapy water and continues washing the clothes.</t>
  </si>
  <si>
    <t>v_xMQcYD044z4</t>
  </si>
  <si>
    <t>old man is standing in front of a young man talking to him.</t>
  </si>
  <si>
    <t>young man is in the middle of stage and its spreading white cram on his hands and walks making deep beraths.</t>
  </si>
  <si>
    <t>man is ready to lifting weight in middle of a white stage and people behind jim is clapping.</t>
  </si>
  <si>
    <t>v_GwJ9DmiW8dk</t>
  </si>
  <si>
    <t>A woman in a purple bodysuit and wearing a bib on her back approaches a wooden balance beam in front of a large audience who is cheering her on.</t>
  </si>
  <si>
    <t>The woman jumps on the the balance beam and a man quickly grabs the ramp she used to jump onto the balance beam and removes it from the area.</t>
  </si>
  <si>
    <t>The woman begins her routine that includes, jumps, flips, and small dance moves.</t>
  </si>
  <si>
    <t>During the routine the woman flips and slightly loses her balance but quickly recovers and remains on the balance beam.</t>
  </si>
  <si>
    <t>The woman goes to the furthest end of the balance beam, has a very concentrated look on her face and she quickly does a series of flips off of the balance beam, lands on her feet, throws her two arms in the air and waves to the audience who is cheering wildly.</t>
  </si>
  <si>
    <t>v_3XUxm78gjJE</t>
  </si>
  <si>
    <t>People are playing baseball on a field of grass.</t>
  </si>
  <si>
    <t>A person in a blue shirt falls down throwing the baseball.</t>
  </si>
  <si>
    <t>The audience is dancing on the side of the field.</t>
  </si>
  <si>
    <t>v_RclRzty0YVE</t>
  </si>
  <si>
    <t>A person is seen standing on the beach with a soccer ball in front of him and a person standing in a goal.</t>
  </si>
  <si>
    <t>The person then kicks the ball several times to the goalie.</t>
  </si>
  <si>
    <t>The goalie attempts to block the shots that are aimed at the net.</t>
  </si>
  <si>
    <t>v_lngs7qR5AXA</t>
  </si>
  <si>
    <t>A man lays in bed and wakes up.</t>
  </si>
  <si>
    <t>The man makes and drinks a cup of coffee.</t>
  </si>
  <si>
    <t>The man drinks from the cup and when he lowers the cup the man is dress as Captain America.</t>
  </si>
  <si>
    <t>v_syAccI5soVw</t>
  </si>
  <si>
    <t>A young girl is seen performing a belly dancing routine in front of a large group of people.</t>
  </si>
  <si>
    <t>The girl continues swinging her arms and legs around in front of the audience and ends by bowing and blowing a kiss.</t>
  </si>
  <si>
    <t>v_nIIFlJnOXXs</t>
  </si>
  <si>
    <t>A woman standing behind an ironing board grabs a pair of pants.</t>
  </si>
  <si>
    <t>She starts ironing the pants inside out.</t>
  </si>
  <si>
    <t>She turns the pants back the right way and continues ironing them.</t>
  </si>
  <si>
    <t>v_n-1KBnDiWQU</t>
  </si>
  <si>
    <t>A man is on a canoe holding a paddle in a swimming pool.</t>
  </si>
  <si>
    <t>A man pivots a canoe helping with an oar.</t>
  </si>
  <si>
    <t>v_aV5DMcsNMmk</t>
  </si>
  <si>
    <t>A dog holding a cup in its mouth jumps up on a couch.</t>
  </si>
  <si>
    <t>The dog proceeds to eat something in the cup.</t>
  </si>
  <si>
    <t>v_9OVSvoKwa0A</t>
  </si>
  <si>
    <t>People are sitting in bumper cars.</t>
  </si>
  <si>
    <t>A man on the side is holding onto the side of one of the cars.</t>
  </si>
  <si>
    <t>He jumps off onto the side.</t>
  </si>
  <si>
    <t>v_Z1siDLDwbiY</t>
  </si>
  <si>
    <t>A person begins clearing snow off of a windshield on a car.</t>
  </si>
  <si>
    <t>They then clean the snow off the doors of the car.</t>
  </si>
  <si>
    <t>They then clean the back window off of a car.</t>
  </si>
  <si>
    <t>v_Ol2rfUv3zHI</t>
  </si>
  <si>
    <t>A man in a red shirt is playing a drum set.</t>
  </si>
  <si>
    <t>A man in a blue shirt is sitting down talking.</t>
  </si>
  <si>
    <t>v_13vEnzRCKzo</t>
  </si>
  <si>
    <t>The woman irons a piece of clothing on an ironing board.</t>
  </si>
  <si>
    <t>The woman flips the piece of clothing.</t>
  </si>
  <si>
    <t>The woman continues to iron the piece of clothing.</t>
  </si>
  <si>
    <t>v_FMXPFrZYhes</t>
  </si>
  <si>
    <t>A male athlete is outside in a field surrounded by people and begins to spin around and throws a shot put.</t>
  </si>
  <si>
    <t>The crowd begins to cheer and the man throws his hands up jumps in happiness.</t>
  </si>
  <si>
    <t>v_29Vrl0rJbSo</t>
  </si>
  <si>
    <t>A lady stands in a bathroom talking.</t>
  </si>
  <si>
    <t>the lady shows the camera her brush and blow dryer.</t>
  </si>
  <si>
    <t>The lady brushes her hair.</t>
  </si>
  <si>
    <t>the lady blow drys her hair while she spins her hair on a brush.</t>
  </si>
  <si>
    <t>The lady turns the blow dryer off and talks to the camera while she adjusts her hair.</t>
  </si>
  <si>
    <t>The lady puts her brush down and talks to the camera.</t>
  </si>
  <si>
    <t>v_rrTNLcPCWK8</t>
  </si>
  <si>
    <t>People are gathered on bleachers in a gym.</t>
  </si>
  <si>
    <t>Team mates come out waving a white flag.</t>
  </si>
  <si>
    <t>A basketball game commences, trying to make baskets.</t>
  </si>
  <si>
    <t>v_6NQl2Vcf0P0</t>
  </si>
  <si>
    <t>A man in a rodeo owing is performing a stunt.</t>
  </si>
  <si>
    <t>A man is riding a horse in a rodeo ring.</t>
  </si>
  <si>
    <t>the man lassos a cow and throws it to the ground.</t>
  </si>
  <si>
    <t>the man then hog ties the cow.</t>
  </si>
  <si>
    <t>The man gets back on his horse and we pan up and see the scoreboard.</t>
  </si>
  <si>
    <t>v_yWCrbhU_X_U</t>
  </si>
  <si>
    <t>Two little kids are eating an ice cream cone at mcdonalds.</t>
  </si>
  <si>
    <t>They are licking and so happy to have ice cream.</t>
  </si>
  <si>
    <t>The little girl is playing peek a boo with someone and both of their faces have ice cream on them.</t>
  </si>
  <si>
    <t>They are just enjoying the ice cream very much.</t>
  </si>
  <si>
    <t>v_5xgBlI9Xx0I</t>
  </si>
  <si>
    <t>A gymnast is shown swinging back and fourth on uneven bars.</t>
  </si>
  <si>
    <t>He performs a routine swinging around and around while hundreds of people watch.</t>
  </si>
  <si>
    <t>He finishes by sticking his arms up in the air and bowing to the audience.</t>
  </si>
  <si>
    <t>v_Ffi7vDa3C2I</t>
  </si>
  <si>
    <t>Two men are rollerblading on a sidewalk of a quiet street.</t>
  </si>
  <si>
    <t>There are four young men and women rollerblading on a street with lots of trees.</t>
  </si>
  <si>
    <t>There are some professionals rollerblading in a stadium and on a sidewalk by a fountain.</t>
  </si>
  <si>
    <t>One man jumps over a chained sidewalk while rollerblading.</t>
  </si>
  <si>
    <t>A couple is rollerblading on a sidewalk and another man is jumping over a barricade onto a sidewalk.</t>
  </si>
  <si>
    <t>Several people are rollerblading on the sidewalk.</t>
  </si>
  <si>
    <t>There are some people competing in a rollerblading competition.</t>
  </si>
  <si>
    <t>There are some men rollerblading through streets at very high speed.</t>
  </si>
  <si>
    <t>Some of them are climbing stairs with their roller blades.</t>
  </si>
  <si>
    <t>Some men are rollerblading through a busy city and on bridges.</t>
  </si>
  <si>
    <t>There is a group of young children rollerblading together.</t>
  </si>
  <si>
    <t>One man leaps over a wall while rollerblading.</t>
  </si>
  <si>
    <t>One person dives straight into water as he comes rollerblading at high speed.</t>
  </si>
  <si>
    <t>People are rollerblading through the city, going down the stairs and even on sidewalks.</t>
  </si>
  <si>
    <t>Two boys jump into an S shaped structure while rollerblading.</t>
  </si>
  <si>
    <t>Two people are doing figure eights on a bridge as they roller blade.</t>
  </si>
  <si>
    <t>One person goes steadily while rollerblading.</t>
  </si>
  <si>
    <t>v_zBmVL3I3nFU</t>
  </si>
  <si>
    <t>First the woman shows us how she looks with her afro before she makes a bug bun.</t>
  </si>
  <si>
    <t>First she sprays her hair with water from a spray bottle.</t>
  </si>
  <si>
    <t>Then she adds moisturizer to her hair and ties a ponytail holder onto her hair.</t>
  </si>
  <si>
    <t>Then she twists the ends of her hair to make a small bun and she wraps it to make it secure.</t>
  </si>
  <si>
    <t>Then she lightly twists the braiding hair and uses as many bobby pins as she needs.</t>
  </si>
  <si>
    <t>Finally, she puts gel on her edges to lay them down and she puts a bandanna on her edges.</t>
  </si>
  <si>
    <t>Then she takes it off and it's all done.</t>
  </si>
  <si>
    <t>v_fUJ88Ir7Dgc</t>
  </si>
  <si>
    <t>A person is seen walking around a track in the middle of a large audience.</t>
  </si>
  <si>
    <t>The athlete then sits down while another stands next to him and prepares.</t>
  </si>
  <si>
    <t>The man is then seen jumping over a bar followed by the same shot being shown again.</t>
  </si>
  <si>
    <t>v_5RLeo8LymY4</t>
  </si>
  <si>
    <t>A pair is rowing on kayaks down a lazy river stream.</t>
  </si>
  <si>
    <t>They use paddles to move their kayaks along the water.</t>
  </si>
  <si>
    <t>The pair looks toward each other, as if talking.</t>
  </si>
  <si>
    <t>v_FOF8YgUhRNA</t>
  </si>
  <si>
    <t>A shot of a glass being poured is shown and leads into a woman speaking to the camera.</t>
  </si>
  <si>
    <t>The woman holds a glass and mixes various liquids into the glass.</t>
  </si>
  <si>
    <t>The tops it off with a lemon and slides the drink closer and still speaking.</t>
  </si>
  <si>
    <t>v_Jm1y_W7RLSI</t>
  </si>
  <si>
    <t>A woman is seen standing before a camera and begins putting lotion on her hands and rubbing it round her face.</t>
  </si>
  <si>
    <t>The woman continuously rubs lotion all into her face and ends by looking into the camera.</t>
  </si>
  <si>
    <t>v_aKfUE-KeYWw</t>
  </si>
  <si>
    <t>This man is shown mowing the lawn while a big greyhound walks behind him.</t>
  </si>
  <si>
    <t>There is also another small dog in the yard who's just sitting down in one spot.</t>
  </si>
  <si>
    <t>v_0RZ5_8VD4vc</t>
  </si>
  <si>
    <t>This video allows viewers to hear the testimony of a customer who has used the pro roofing service.</t>
  </si>
  <si>
    <t>First the man tells how he heard about the service and how great it is.</t>
  </si>
  <si>
    <t>He also says that he chose pro roofing because the neighbors chose it and persuaded him by telling how great the service is.</t>
  </si>
  <si>
    <t>v_bHxWHW2PGy4</t>
  </si>
  <si>
    <t>The white water polo team huddles together.</t>
  </si>
  <si>
    <t>The game begins and blue scores while deep in the white defense to tie the game.</t>
  </si>
  <si>
    <t>White answers with a powerful goal to grab the lead back.</t>
  </si>
  <si>
    <t>Blue moves in and after a couple of passes ties the game back up.</t>
  </si>
  <si>
    <t>White scores to take the lead, and blue comes right back to tie once again.</t>
  </si>
  <si>
    <t>A scramble for the ball results in white gaining a 2-on-1 advantage and a goal.</t>
  </si>
  <si>
    <t>They push their lead further late and put the game out of reach, winning 14-10.</t>
  </si>
  <si>
    <t>The team celebrates together in the water.</t>
  </si>
  <si>
    <t>The team celebrates their gold metal at the podium.</t>
  </si>
  <si>
    <t>v_r4iurK3kOe8</t>
  </si>
  <si>
    <t>A girl and a dog is in the field.</t>
  </si>
  <si>
    <t>The girl is holding two frisbee, then she walked and turned side by side and the dog roll over in front of her, the dog touched the knees of the girl, the girl walked with her hands up and the dog walked with his two front paws up.</t>
  </si>
  <si>
    <t>The girl threw the frisbee and the dog chase of it and placed it on the ground.</t>
  </si>
  <si>
    <t>v_kdjLJTGj4H0</t>
  </si>
  <si>
    <t>Women are playing a game of curling.</t>
  </si>
  <si>
    <t>The audience watching them cheers and applauds.</t>
  </si>
  <si>
    <t>v_qvLFSqPCvn8</t>
  </si>
  <si>
    <t>A man grabs a tire from the back of the car and quickly runs to the front right of the car, drops it on the grass, then runs to the tire still on the car and begins to raise the car with a jack, and remove the lugs, rim and tire and throws them on the grass.</t>
  </si>
  <si>
    <t>The man then grabs the tire he pulled out from the back of the car, puts it on the car, puts the rim on it and tightens lugs onto them with his hand and then he picks up the tool and tightens the lugs with that.</t>
  </si>
  <si>
    <t>The man then removes the jack from under the car and tightens the lugs again with the tool and he stands up out of breath and smiles.</t>
  </si>
  <si>
    <t>v_YWsqpINl8Ic</t>
  </si>
  <si>
    <t>A handyman is standing in front of a porch and talking.</t>
  </si>
  <si>
    <t>The man uses two squeegees to clean two windows at the same time.</t>
  </si>
  <si>
    <t>The man finishes and puts his tools in his tool belt.</t>
  </si>
  <si>
    <t>He smiles and walks away.</t>
  </si>
  <si>
    <t>v_yVrru7t3478</t>
  </si>
  <si>
    <t>A camera is seen moving closer to a playground and shows a woman going down a slide.</t>
  </si>
  <si>
    <t>A dog rides down with her and another dog walks around the area.</t>
  </si>
  <si>
    <t>The woman rides down several more times with the small dog next to her.</t>
  </si>
  <si>
    <t>v_g2Dv154zmMU</t>
  </si>
  <si>
    <t>Two people are seen speaking to the camera and leads into them passing a ball on sticks to one another.</t>
  </si>
  <si>
    <t>The woman pauses to speak to the camera several times as well as show more clips of the two hitting the ball.</t>
  </si>
  <si>
    <t>v_yqkjHCPsdF0</t>
  </si>
  <si>
    <t>A group of people play water volleyball in a indoor pool with a few onlookers on the sidelines.</t>
  </si>
  <si>
    <t>A yellow volleyball is thrown between people in a pool.</t>
  </si>
  <si>
    <t>A person makes a goal with the yellow volleyball in a white net.</t>
  </si>
  <si>
    <t>The ball is thrown to the other side of the pool where another goal is met in a white net on the opposite side of the pool.</t>
  </si>
  <si>
    <t>v_kC1DyxcRHBg</t>
  </si>
  <si>
    <t>There's a person wearing pink gloves doing a tutorial on how to clean a white kitchen sink.</t>
  </si>
  <si>
    <t>The person sprays some white cleaning powder in the sink and then sprays some Clorox bleach on it.</t>
  </si>
  <si>
    <t>Then takes a pink scrub and begins scrubbing the sink in back and forth motion.</t>
  </si>
  <si>
    <t>The person makes sure that all the sides of the sink are cleaned, including the drain.</t>
  </si>
  <si>
    <t>Then she starts the tap to wash off the powder and bleach.</t>
  </si>
  <si>
    <t>She then uses a paper towel to wipe off the water and clean off any residual powder from the sink.</t>
  </si>
  <si>
    <t>v_AnPLZtJs7zE</t>
  </si>
  <si>
    <t>A man is talking to the camera next to a fence.</t>
  </si>
  <si>
    <t>The man is holding a paintbrush.</t>
  </si>
  <si>
    <t>The man dips the paintbrush into a bucket of paint and starts painting the fence.</t>
  </si>
  <si>
    <t>The man moves along the fence painting it.</t>
  </si>
  <si>
    <t>The man finishes painting and steps away from the fence.</t>
  </si>
  <si>
    <t>v_f6Nhpyq1XdU</t>
  </si>
  <si>
    <t>A woman standing in front of the white sing, turned on the faucet, got some liquid soap and wash her hand.</t>
  </si>
  <si>
    <t>She turned around and get some hand napkins from the wall, wiped her hands and threw the paper in the trash basket.</t>
  </si>
  <si>
    <t>v_bGql7ldp84A</t>
  </si>
  <si>
    <t>A woman comes onto the screen announcing that she will do a video on how to make a cookie dessert.</t>
  </si>
  <si>
    <t>She begins with all the ingredients she will need for the cookies and begins to combine the dry ingredients.</t>
  </si>
  <si>
    <t>She then proceeds to mix the wet ingredients in a glass bowl.</t>
  </si>
  <si>
    <t>After she mixes all the ingredients together she begins to roll the dough into balls and place them onto a cookie sheet, and puts them into the oven.</t>
  </si>
  <si>
    <t>She takes them out of the oven and begins to wrap them into individual sets.</t>
  </si>
  <si>
    <t>The video ends with the closing credits.</t>
  </si>
  <si>
    <t>v_RCyZgp1F06s</t>
  </si>
  <si>
    <t>A small child is seen sitting on a swing smiling at the camera.</t>
  </si>
  <si>
    <t>The boy moves back and fourth on the swing while another boy is seen swinging next to him.</t>
  </si>
  <si>
    <t>The two continue swinging back and fourth while the camera captures them from different angles.</t>
  </si>
  <si>
    <t>v_aF0gDTbcOxE</t>
  </si>
  <si>
    <t>Several clips are shown of robots fighting one another as well as the inside and outside of a building.</t>
  </si>
  <si>
    <t>More robots are shown close up as well as people adjusting the robots and setting them down to fight.</t>
  </si>
  <si>
    <t>The people continue using the robots and end by shaking hands and bowing with another man.</t>
  </si>
  <si>
    <t>v_STgbw-zqZJM</t>
  </si>
  <si>
    <t>A leaf blower machine blows a large pile of leaves around a parking lot.</t>
  </si>
  <si>
    <t>The machine continues moving through the lot and flowing the leaves into a large pile.</t>
  </si>
  <si>
    <t>v_JXL7LxJSjzw</t>
  </si>
  <si>
    <t>We see a lady in the woods chopping logs of wood.</t>
  </si>
  <si>
    <t>The lady puts a log on a platform.</t>
  </si>
  <si>
    <t>We see chickens running around the background.</t>
  </si>
  <si>
    <t>The lady laughs as she picks up a piece of wood.</t>
  </si>
  <si>
    <t>We see a chicken flapping it's wings in the background.</t>
  </si>
  <si>
    <t>The lady finishes and throws her hands in the air.</t>
  </si>
  <si>
    <t>v_5iIJl-wjE9U</t>
  </si>
  <si>
    <t>Girls are talking to the camera.</t>
  </si>
  <si>
    <t>They are making hand motions as they talk.</t>
  </si>
  <si>
    <t>They are playing rock, paper scissors.</t>
  </si>
  <si>
    <t>A girl is laying on the ged as another girl puts her butt in her face.</t>
  </si>
  <si>
    <t>The girl is talking to the camera again.</t>
  </si>
  <si>
    <t>v_c3SJUucMqJQ</t>
  </si>
  <si>
    <t>A person picks up a cat off of a chair.</t>
  </si>
  <si>
    <t>They lay the cat down on their lap.</t>
  </si>
  <si>
    <t>They begin to clip the nails of the cat.</t>
  </si>
  <si>
    <t>A person is sitting next to them on a laptop.</t>
  </si>
  <si>
    <t>The person pets the belly of the cat.</t>
  </si>
  <si>
    <t>They take the cat back and set it in a chair.</t>
  </si>
  <si>
    <t>v_WSaGZOdrjtM</t>
  </si>
  <si>
    <t>a male athlete prepares to run down a track.</t>
  </si>
  <si>
    <t>He takes off running, vaulting himself over a bar and onto a mat.</t>
  </si>
  <si>
    <t>He jumps up exuberantly, celebrating as the crowd cheers.</t>
  </si>
  <si>
    <t>v_A0H6JceDqlg</t>
  </si>
  <si>
    <t>A man serves a tennis ball with a racket while he talks.</t>
  </si>
  <si>
    <t>The man bounces a ball and shows how to move the body, then he serves a ball.</t>
  </si>
  <si>
    <t>The man continues talking in the tennis court.</t>
  </si>
  <si>
    <t>v_hKezMv52Nw8</t>
  </si>
  <si>
    <t>A female athlete is standing in a field and takes off running and does a long jump in to the pit.</t>
  </si>
  <si>
    <t>After,she walks off and her jump is measures as they show her replay.</t>
  </si>
  <si>
    <t>After,more girls begin to jump and represent their team and their jumps are measured as well.</t>
  </si>
  <si>
    <t>However,for the last jump,a close up is shown of the board because her foot barely touches it and they want to give her credit for those centimeters.</t>
  </si>
  <si>
    <t>v_RkhSR7pz9qc</t>
  </si>
  <si>
    <t>We see two teams of men playing soccer indoors.</t>
  </si>
  <si>
    <t>Two men collide and fall to the ground.</t>
  </si>
  <si>
    <t>Three men high five and hug each other.</t>
  </si>
  <si>
    <t>A man throws the ball clear across the room to the other goal.</t>
  </si>
  <si>
    <t>Two sets of people n the crowd are interviewed.</t>
  </si>
  <si>
    <t>We see the crowd and a man interviewed and see some scoring shots.</t>
  </si>
  <si>
    <t>We see three men stand and pose for a photo and a man is interviewed before we return to the game.</t>
  </si>
  <si>
    <t>v_FTCCoZdr5fo</t>
  </si>
  <si>
    <t>A man and woman are sitting on a couch talking.</t>
  </si>
  <si>
    <t>They are driving in a car down a street.</t>
  </si>
  <si>
    <t>They are rollerblading down a sidewalk.</t>
  </si>
  <si>
    <t>v_3jt4XE6ilIQ</t>
  </si>
  <si>
    <t>There's a man in a white shirt being interviewed in the 60 Minutes program by the host of the show.</t>
  </si>
  <si>
    <t>He is talking about his participation as a matador in a bull fighting event where there are several spectators watching him.</t>
  </si>
  <si>
    <t>During the event, he gets injured and is taken on a stretcher by the paramedics for first aid treatment.</t>
  </si>
  <si>
    <t>v_PbZIYJxoWdY</t>
  </si>
  <si>
    <t>A man is seen speaking to the camera and leads into several shots of a boat on water as well as people holding a camera and wake boarding.</t>
  </si>
  <si>
    <t>The people are then seen climbing on a rock and walking around a forest, ending by jumping in the water.</t>
  </si>
  <si>
    <t>More clips are shown of them wakeboarding as well as riding in the boat and jumping into the water.</t>
  </si>
  <si>
    <t>v_Ap7GCrt9C4w</t>
  </si>
  <si>
    <t>women are in the background of a gym lifting weights.</t>
  </si>
  <si>
    <t>man is preparing himself to lift weigh and stands in front of weight.</t>
  </si>
  <si>
    <t>v_w-st-23ZQSs</t>
  </si>
  <si>
    <t>Stacy is clapping and getting pumped up and ready to perform.</t>
  </si>
  <si>
    <t>She gets her pole and starts running with it and jumps onto the cushion.</t>
  </si>
  <si>
    <t>Then, other women follow suit doing the same after her scoring differently.</t>
  </si>
  <si>
    <t>Next is the men's turn to take their turns one by one following the women.</t>
  </si>
  <si>
    <t>v_NQyAC1aweec</t>
  </si>
  <si>
    <t>A cat is shown close up with a person's hand cutting the nails on the cat.</t>
  </si>
  <si>
    <t>The person continues cutting the claws while the cat attempts to get up several times.</t>
  </si>
  <si>
    <t>v_nxyENrsY4mo</t>
  </si>
  <si>
    <t>A small quote comes across the screen and the title pages follows.</t>
  </si>
  <si>
    <t>After,several people are pictured outside in a field grooming their horses.</t>
  </si>
  <si>
    <t>Finally,the people then get on their horses and they all begin competing with one another playing a game of Polo.</t>
  </si>
  <si>
    <t>As they play,a woman is shown on the side of the field taking pictures and a small logo for the photography shows on the end of the screen.</t>
  </si>
  <si>
    <t>v_1UIhgxQXcfI</t>
  </si>
  <si>
    <t>This person has dried grains and is now putting them into a small blender.</t>
  </si>
  <si>
    <t>Then he adds an egg and salt to the grains, plus other ingredients too.</t>
  </si>
  <si>
    <t>Next he makes a ball of the grain and then flattens it out, he then puts a cup onto it to make little round shaped cookies.</t>
  </si>
  <si>
    <t>He puts them on a pan and into an oven, after they're done he eats them along with some beer.</t>
  </si>
  <si>
    <t>v_rBsE1WGXbz0</t>
  </si>
  <si>
    <t>A man throws a ball onto a field.</t>
  </si>
  <si>
    <t>People are standing around measuring the distance.</t>
  </si>
  <si>
    <t>People are watching them from the sidelines.</t>
  </si>
  <si>
    <t>v_7QA5qyCXwyg</t>
  </si>
  <si>
    <t>A man is standing in a living room.</t>
  </si>
  <si>
    <t>He is using his hands to beat a set of drums.</t>
  </si>
  <si>
    <t>He continues playing for the rest of the video.</t>
  </si>
  <si>
    <t>v_36K1e9WgEpU</t>
  </si>
  <si>
    <t>Several people in donut shaped inflatable rafts float down a narrow stream guided by people helping them in the water and watched by a small group of people on nearby land.</t>
  </si>
  <si>
    <t>A group of people, float in a line, down a narrow stream of water in donut shaped, black inflatable rafts.</t>
  </si>
  <si>
    <t>One woman gets stuck on a rock in the raft and shimmies herself loose.</t>
  </si>
  <si>
    <t>The people reach the end of the narrow stream where a group of people help them off of the rafts and another small group of people watches them from nearby land.</t>
  </si>
  <si>
    <t>v_Rvsc5eymWIg</t>
  </si>
  <si>
    <t>man is holding a impact drill pulling out a car wheel.</t>
  </si>
  <si>
    <t>man is holding the wheel in a table and taking out the rubber from the rim and he changes it for another.</t>
  </si>
  <si>
    <t>car is in street next to a mountain.</t>
  </si>
  <si>
    <t>v_opGZh9nUlWA</t>
  </si>
  <si>
    <t>A lady stands in a dance studio.</t>
  </si>
  <si>
    <t>the lady performs a ballet dance.</t>
  </si>
  <si>
    <t>The lady lifts her leg up behind her and moves it to the front and rests it on her leg.</t>
  </si>
  <si>
    <t>The lady stands in front of the camera facing the mirror.</t>
  </si>
  <si>
    <t>We see a person sitting on the left side of the room.</t>
  </si>
  <si>
    <t>v_PbzmcZ_IORE</t>
  </si>
  <si>
    <t>A toy dog is walking on the floor.</t>
  </si>
  <si>
    <t>It stops to look around back and forth.</t>
  </si>
  <si>
    <t>Someone picks the dog up and puts it back down.</t>
  </si>
  <si>
    <t>v_gnZssGiQC7A</t>
  </si>
  <si>
    <t>A man at a professional sports event performs a long jump over a pit of sand in front of a stadium filled with people.</t>
  </si>
  <si>
    <t>The man begins by encouraging the audience to clap by throwing his hands up at the crowd and gesturing for applause.</t>
  </si>
  <si>
    <t>The man then kneels slightly to prepare for the run and begins to run down a stretch of narrow lane before catapulting in the air over the sandpit.</t>
  </si>
  <si>
    <t>The man lands on the other side of the pit and gestures to the audience again for applause as men smooth sand over with long handled and wide brush brooms, the audience claps and waves flags and camera people rush around the event capturing it on film.</t>
  </si>
  <si>
    <t>v_4dVVaDvCzn0</t>
  </si>
  <si>
    <t>Words come across the screen over an image.</t>
  </si>
  <si>
    <t>We see ladies dealing cards on purple tables in a casino with no customers.</t>
  </si>
  <si>
    <t>the dealer smiles and deals cards and points to them.</t>
  </si>
  <si>
    <t>The dealer finishes and waves her arms across the table as words appear on the screen.</t>
  </si>
  <si>
    <t>v_hg8WbkmC2nU</t>
  </si>
  <si>
    <t>A man is seen speaking to the camera while walking around a kitchen and checking on food.</t>
  </si>
  <si>
    <t>Several shots of food are shown on tables as well as racks and the chef continues to speak to the staff behind.</t>
  </si>
  <si>
    <t>The man walks out front and speaks with the customers that are coming in and finished by speaking to the camera.</t>
  </si>
  <si>
    <t>v_2Is_nJdG2to</t>
  </si>
  <si>
    <t>A woman brush the hair of a girl while talking sitting on a bed.</t>
  </si>
  <si>
    <t>Then, the woman kneel on the bed and touch the shoulders of the girl.</t>
  </si>
  <si>
    <t>v_GHcNgllmcpM</t>
  </si>
  <si>
    <t>A large crowd is seen sitting before a stage and leads into a young woman hitting drums in a circle and moving around the stage.</t>
  </si>
  <si>
    <t>The woman continues hitting the drums while the crowd watches and ends with text scrolling across the screen.</t>
  </si>
  <si>
    <t>v_T_CvR3zm6K8</t>
  </si>
  <si>
    <t>Men are playing volleyball in the sand.</t>
  </si>
  <si>
    <t>Cheerleaders are standing next to them watching.</t>
  </si>
  <si>
    <t>A woman is playing soccer on a beach.</t>
  </si>
  <si>
    <t>v_ehO168THGqU</t>
  </si>
  <si>
    <t>Two men skateboarding at an indoor skate park along side each other.</t>
  </si>
  <si>
    <t>They stop and give other pointers, trying to perfect how to jump on the rail.</t>
  </si>
  <si>
    <t>One of them tries again and again and the other gets a stick out of his bag and extends it towards the rail.</t>
  </si>
  <si>
    <t>Then, another male comes and joins in, they play rock paper scissors and get back on board.</t>
  </si>
  <si>
    <t>v_Tm7N2HU4noQ</t>
  </si>
  <si>
    <t>We see a basketball title screen.</t>
  </si>
  <si>
    <t>A man is coaching as a teen makes basketball shots.</t>
  </si>
  <si>
    <t>The man takes the ball and demonstrates a hip move the the boy tries.</t>
  </si>
  <si>
    <t>The man demonstrates something and the boy shoots the ball.</t>
  </si>
  <si>
    <t>We see the tips on the screen 1 by one.</t>
  </si>
  <si>
    <t>We then see the ending title screen.</t>
  </si>
  <si>
    <t>v_MXN34b2OUjQ</t>
  </si>
  <si>
    <t>two girl teams play field hockey with hockey sticks and a small ball.</t>
  </si>
  <si>
    <t>the team with the burgundy shirts scores three times and the other team scored none.</t>
  </si>
  <si>
    <t>v__bSRAXNa5PY</t>
  </si>
  <si>
    <t>We see a man dive into a pool in slow motion.</t>
  </si>
  <si>
    <t>We see the judges giving the man his score and talking to him.</t>
  </si>
  <si>
    <t>We see a lady clapping.</t>
  </si>
  <si>
    <t>We see the diver being interviewed.</t>
  </si>
  <si>
    <t>We see the crowd stand and clap.</t>
  </si>
  <si>
    <t>we see the final score cards for all the contestants.</t>
  </si>
  <si>
    <t>v_TeXm2KTfkzo</t>
  </si>
  <si>
    <t>Trees blow in the breeze as a man mows the lawn.</t>
  </si>
  <si>
    <t>The sun peeks from behind the clouds and lights the scene up.</t>
  </si>
  <si>
    <t>the man stops and empties grass in the garbage.</t>
  </si>
  <si>
    <t>A man enters carrying a baby and leaves.</t>
  </si>
  <si>
    <t>The man mows along side of the bushes.</t>
  </si>
  <si>
    <t>The man stops and empties his bag again.</t>
  </si>
  <si>
    <t>The man empties his bag and puts it back on the mower and walks away.</t>
  </si>
  <si>
    <t>v_oDZ6refg3Ew</t>
  </si>
  <si>
    <t>A woman is seen performing a dance routine while moving around on the beach near the water.</t>
  </si>
  <si>
    <t>The woman continues moving around on the beach shaking her arms and legs and looking off into the distance.</t>
  </si>
  <si>
    <t>v_oOnKQgQZOZ0</t>
  </si>
  <si>
    <t>A water polo match is happening at an enclosed swimming pool.</t>
  </si>
  <si>
    <t>There are a few spectators looking on from the sides of the pool, while a referee is following the actions to stay in control of the match.</t>
  </si>
  <si>
    <t>It is quiet other than the young kids that are involved in the game.</t>
  </si>
  <si>
    <t>They are having a great time and are very involved in what they are doing.</t>
  </si>
  <si>
    <t>v_Fu46pdVz4qY</t>
  </si>
  <si>
    <t>We see a lady in a pink shirt talking to the camera.</t>
  </si>
  <si>
    <t>We see the lady pick up a basket of laundry and put it down.</t>
  </si>
  <si>
    <t>the lady shakes out a dress and puts it on an ironing board.</t>
  </si>
  <si>
    <t>The lady rubs the dress and straitens it out.</t>
  </si>
  <si>
    <t>The lady puts a shirt on the board then puts it back in the basket.</t>
  </si>
  <si>
    <t>The lady folds the dress, smiles and the scene ends.</t>
  </si>
  <si>
    <t>v_cQxTLj4XwuU</t>
  </si>
  <si>
    <t>A man is seated on a couch.</t>
  </si>
  <si>
    <t>He lifts up a shoe and bottle of detergent.</t>
  </si>
  <si>
    <t>He takes it to a sink, where he washes it.</t>
  </si>
  <si>
    <t>He then places two pieces of fruit on top, and eats them off with his mouth.</t>
  </si>
  <si>
    <t>v_2Peh_gdQCjg</t>
  </si>
  <si>
    <t>Descriptive text is shown against a red movie curtain backdrop.</t>
  </si>
  <si>
    <t>A coach shows different leg stances to a student for playing badminton.</t>
  </si>
  <si>
    <t>The coach returns serves from the student using the racket during a practice drill.</t>
  </si>
  <si>
    <t>The students returns serves from the instructor for a practice drill.</t>
  </si>
  <si>
    <t>v_4KgIfmPLuAY</t>
  </si>
  <si>
    <t>A man kneels on a mat and shows her back an front with his left hand while talking.</t>
  </si>
  <si>
    <t>Then, the man lift a kettlebell and put on front his chest while talking.</t>
  </si>
  <si>
    <t>Then, the man put the kettlebell on the floor and continues talking.</t>
  </si>
  <si>
    <t>v_k_ZCg9tqGQo</t>
  </si>
  <si>
    <t>A woman is seen standing in front of mirror with a man beside her followed by her laying on a table.</t>
  </si>
  <si>
    <t>The man then quickly tattoos her face and transitions into her sitting up then back down again to show off her tattoo.</t>
  </si>
  <si>
    <t>v_N_o9Qp0FLVY</t>
  </si>
  <si>
    <t>woman is in a shower spreading soap and water in her arms.</t>
  </si>
  <si>
    <t>woman is shaving her legs on the bathtub.</t>
  </si>
  <si>
    <t>someone open the curtains and is a man that is inside and runs from the bathroom with a mask on his face.</t>
  </si>
  <si>
    <t>v_9H8OBfrm1Rw</t>
  </si>
  <si>
    <t>Rain is pouring down and a person is walking across the field pointing his finger across the field.</t>
  </si>
  <si>
    <t>After,he is shown in a field holding his hand up starts to play lacrosse.</t>
  </si>
  <si>
    <t>More games continue and the guy who was pointing begins making goals and leading his team.</t>
  </si>
  <si>
    <t>v_IdhpB7doBOE</t>
  </si>
  <si>
    <t>A woman talks facing a camera, in front of a dance studio advertisement sign, as four girls demonstrate ballet techniques in front of a ballet bar in a dance studio.</t>
  </si>
  <si>
    <t>A woman with blonde hair, and dressed in all black, stands in front of a dance studio advertisement and talks while facing the camera.</t>
  </si>
  <si>
    <t>The camera cuts away to four girls in ballet outfits and ballet shoes facing a ballet bar with their backs to the camera and demonstrating ballet knee bends.</t>
  </si>
  <si>
    <t>The girls then demonstrate ballet toe points as the camera cuts back to the lone woman who continues to talk facing the camera, until the scene fades to a marketing graphic.</t>
  </si>
  <si>
    <t>v_mz2-lgoNz1M</t>
  </si>
  <si>
    <t>A man wearing a white shirt and a camouflage print hat and ear and lip piercings is demonstrating how to do permanent tattoos.</t>
  </si>
  <si>
    <t>He shows how he shaves the client's arm with a razor and rubs some alcohol on it to prep the skin.</t>
  </si>
  <si>
    <t>Then he places a stencil on the client's arm to lay down the outline of the tattoo.</t>
  </si>
  <si>
    <t>Then he applies some cream over the skin to minimize bleeding.</t>
  </si>
  <si>
    <t>He begins to use the tattoo machine to draw on the tattoo over the outline.</t>
  </si>
  <si>
    <t>He also shows how he uses different colors to fill in the outline of the design.</t>
  </si>
  <si>
    <t>He then completes the tattoo as per the client's specifications.</t>
  </si>
  <si>
    <t>v_ZgIKmwnCqr4</t>
  </si>
  <si>
    <t>A little baby is outside holding a stick attempting to hit the pinata with it.</t>
  </si>
  <si>
    <t>Behind her,a lady is holding up the baby and assisting her as she hits the pinata.</t>
  </si>
  <si>
    <t>As the pinata bounces up and down,the young baby barely hits it and then ends up turning towards the camera.</t>
  </si>
  <si>
    <t>v_sTMbpIfI-6o</t>
  </si>
  <si>
    <t>A little girl is seated at a table in front of two glasses, a 7up bottle and a plate of lime slices.</t>
  </si>
  <si>
    <t>She adds the soda and lime slices to the glasses, squeezing the juice into the liquid before taking a drink.</t>
  </si>
  <si>
    <t>v_hJ4ZU-FA5XA</t>
  </si>
  <si>
    <t>An old style television show is shown where a man cuts a woman's hair.</t>
  </si>
  <si>
    <t>A man then cuts her hair real short while another man looks in from outside.</t>
  </si>
  <si>
    <t>v_po9uigsunAU</t>
  </si>
  <si>
    <t>A man is outside in a soccer field putting his equipment in a book bag.</t>
  </si>
  <si>
    <t>Once the things are in his bags,he secures it with his straps and begins jumping up and down.</t>
  </si>
  <si>
    <t>The main tasks begins and the man begins running through the woods.</t>
  </si>
  <si>
    <t>All of a sudden,a small body of water is shown and people are tubing and sitting down enjoying each other.</t>
  </si>
  <si>
    <t>v_m6T68amiXjs</t>
  </si>
  <si>
    <t>A boy with a hat is seen walking and talking behind some trees.</t>
  </si>
  <si>
    <t>The boy sneaks out onto a field where another boy is playing field hockey.</t>
  </si>
  <si>
    <t>The boy in the hat takes the ball.</t>
  </si>
  <si>
    <t>The boy playing field hockey is seen leaping around in the background.</t>
  </si>
  <si>
    <t>The boy in the hat kicks the ball back to the field hockey player and another player is seen.</t>
  </si>
  <si>
    <t>The two field hockey players are seen running around and hitting the field hockey ball with their sticks.</t>
  </si>
  <si>
    <t>One of the field hockey players is seen with his arms and legs wrapped around the leg of the boy with the hat.</t>
  </si>
  <si>
    <t>v_ExNd4o46kao</t>
  </si>
  <si>
    <t>A little girl uses a sweeper to hit a disc.</t>
  </si>
  <si>
    <t>The disc travels down the court before stopping, as do further discs.</t>
  </si>
  <si>
    <t>She continues playing the game, unsure how to win.</t>
  </si>
  <si>
    <t>v_kxwTPAhlhpw</t>
  </si>
  <si>
    <t>A man is standing behind a bar talking.</t>
  </si>
  <si>
    <t>He puts ice in a glass.</t>
  </si>
  <si>
    <t>He pours shots into the glass.</t>
  </si>
  <si>
    <t>He stirs the drink with a straw.</t>
  </si>
  <si>
    <t>v_d-uGSELb0N0</t>
  </si>
  <si>
    <t>Several individuals are shown playing volleyball in a gymnasium from the right side of the net while other people are engaging in other activity in the background.</t>
  </si>
  <si>
    <t>The camera pans left to show the team on the left side of the net.</t>
  </si>
  <si>
    <t>The camera returns to the team on the right side.</t>
  </si>
  <si>
    <t>v_P6UwokP8BEg</t>
  </si>
  <si>
    <t>Three men exhibit hammer throws in an outdoor Olympic event surrounded by onlookers on the field and in bleachers.</t>
  </si>
  <si>
    <t>A man stands at an outdoor Olympic game and performs a hammer throw surrounded by people and and an audience in bleachers before letting the hammer go to fly in the air.</t>
  </si>
  <si>
    <t>Two more men perform a hammer throw in the same way releasing the hammer into the air to fly out into a field.</t>
  </si>
  <si>
    <t>Three men stand in the middle of a field and hold up medals that hanging around their necks.</t>
  </si>
  <si>
    <t>v_tT7ljH8GCl8</t>
  </si>
  <si>
    <t>A lawnmower is outside next to a line of round rocks.</t>
  </si>
  <si>
    <t>A person starts the mower and begins pushing it alongside the rock border.</t>
  </si>
  <si>
    <t>We get a first hand view of the person's lawn being mowed as they turn and push the mower all over.</t>
  </si>
  <si>
    <t>The man's face is shown just before he turns off the camera.</t>
  </si>
  <si>
    <t>v_Mfk4bUp_ZC0</t>
  </si>
  <si>
    <t>Children are riding the bumper cars at an amusement park or carnival.</t>
  </si>
  <si>
    <t>A Traffic jam traps the little girls in the middle of cars.</t>
  </si>
  <si>
    <t>the little girl in the hat smiles as she looks in her sisters face.</t>
  </si>
  <si>
    <t>v_LwJFjFdJy5c</t>
  </si>
  <si>
    <t>A large group of people are seen sitting around an outdoor field.</t>
  </si>
  <si>
    <t>A dog is seen running up and down the field in the middle of the audience.</t>
  </si>
  <si>
    <t>The dog keeps running back and fourth while the camera watches from the side.</t>
  </si>
  <si>
    <t>v_lxMSX0Y0b8I</t>
  </si>
  <si>
    <t>We see a couple of title screens.</t>
  </si>
  <si>
    <t>We see a man perform a series of Capoeira moves with the names before the move.</t>
  </si>
  <si>
    <t>We see a man shift and roundhouse kick.</t>
  </si>
  <si>
    <t>The man does a handstand on one hand and kicks his legs in the air.</t>
  </si>
  <si>
    <t>The man does a flip from a handstands.</t>
  </si>
  <si>
    <t>v_cdP8_KujTCE</t>
  </si>
  <si>
    <t>We see a colorful and playful title screen.</t>
  </si>
  <si>
    <t>We then see people in a room and outdoors at a fancy party.</t>
  </si>
  <si>
    <t>A woman walks through the door.</t>
  </si>
  <si>
    <t>The man in the suit come through the gate.</t>
  </si>
  <si>
    <t>A man in red walks past the camera.</t>
  </si>
  <si>
    <t>The lady in white sees the camera and hides.</t>
  </si>
  <si>
    <t>We see Colorful crystal like closing screen.</t>
  </si>
  <si>
    <t>v_IjdTjpaPPNg</t>
  </si>
  <si>
    <t>People are riding horses along a dirt trail.</t>
  </si>
  <si>
    <t>They are crossing a river of water on the horses.</t>
  </si>
  <si>
    <t>They continue on their ride on the horses.</t>
  </si>
  <si>
    <t>v_hKn_RK3VSAo</t>
  </si>
  <si>
    <t>Several people in a lab create a formula, and interview with a journalist, interspersed with images of people applying sunscreen to themselves.</t>
  </si>
  <si>
    <t>Many people are shown on video in candid shots of them applying sunscreen to themselves while outdoors.</t>
  </si>
  <si>
    <t>A woman in a lab prepares a formula of varied ingredients interspersed with talking to a camera.</t>
  </si>
  <si>
    <t>More scientists are shown in the lab interviewing and talking intermixed with shots of them preparing formulas in the lab and one final shot of a man in an outdoor market handling ingredients for sale.</t>
  </si>
  <si>
    <t>v_GCtrfXIBbwA</t>
  </si>
  <si>
    <t>young man is playing the harmonica.</t>
  </si>
  <si>
    <t>young man introduces his video lesson and lays out the lesson plan.</t>
  </si>
  <si>
    <t>Musical notes are displayed onscreen while harmonica plays.</t>
  </si>
  <si>
    <t>v_bu7zk-YxEoY</t>
  </si>
  <si>
    <t>An athletic woman is seen stepping up to a beam and beginnings performing a gymnastics routine on it.</t>
  </si>
  <si>
    <t>The woman continues moving around on the beam and ends with her jumping down with her arms up and speaking to her coach as her ending is shown again in slow motion.</t>
  </si>
  <si>
    <t>v_GHOCVoZsFHE</t>
  </si>
  <si>
    <t>A man is seen speaking to the camera an leads into clips of him demonstrating martial arts with another man.</t>
  </si>
  <si>
    <t>The men continue to demonstrate with one another while pausing to speak to the camera.</t>
  </si>
  <si>
    <t>v_CXM1sXEMSWI</t>
  </si>
  <si>
    <t>An introduction comes onto the screen for a funny video about beer drinking.</t>
  </si>
  <si>
    <t>Some guys in a room prepare to do a trick with a beer can.</t>
  </si>
  <si>
    <t>They perform the trick and a guy begins to chug the beer.</t>
  </si>
  <si>
    <t>Shortly thereafter, the guy begins throwing up all the beer into a trash can while everyone laughs.</t>
  </si>
  <si>
    <t>v_s82_J03bqwQ</t>
  </si>
  <si>
    <t>A man is seen riding in on a skateboard followed by a man drinking a beer through a hose and a man sitting in a car flipping off the camera man.</t>
  </si>
  <si>
    <t>More random shots are show of landscapes, dogs, people standing around, and moving along the water.</t>
  </si>
  <si>
    <t>The video leads into people riding along on the water kite surfing and leads into a man speaking to others outside while smoking a cigarette.</t>
  </si>
  <si>
    <t>v_YaHTgeeDs7s</t>
  </si>
  <si>
    <t>A bunch of kids are playing on the bumpers cars at an amusement park.</t>
  </si>
  <si>
    <t>The crash into each other over and over and seem to be a bit confused as to what to do.</t>
  </si>
  <si>
    <t>They have smiles on their faces as they continue to go around the track.</t>
  </si>
  <si>
    <t>v_0jrThYemNLs</t>
  </si>
  <si>
    <t>A close up of a white fencing mask and a black fencing mask.</t>
  </si>
  <si>
    <t>A fencing coach gives instruction to the two fencing competitors.</t>
  </si>
  <si>
    <t>Two competitors discus fencing strategies.</t>
  </si>
  <si>
    <t>More fencing scenes while a girl and boy argue on the sideline.</t>
  </si>
  <si>
    <t>More competition with the fencing couch watching and critiquing.</t>
  </si>
  <si>
    <t>v_CvVqbdk6owc</t>
  </si>
  <si>
    <t>A groip of dancers are on stage doing a routine for the audience.</t>
  </si>
  <si>
    <t>The car show shows the inside of some pretty neat cars with beautiful exteriors.</t>
  </si>
  <si>
    <t>Another group of dancers take turns break dancing on their heads.</t>
  </si>
  <si>
    <t>They go one by one and are circled by and audience watching around them.</t>
  </si>
  <si>
    <t>v_a_n3mR1iVDI</t>
  </si>
  <si>
    <t>A man is seen hosting a news segment that leads into several shots of people shuffling pucks along the ice in slow motion.</t>
  </si>
  <si>
    <t>More shots are shown of people playing the game and ends with a 3d animation across the screen.</t>
  </si>
  <si>
    <t>v_So3EfVyUP64</t>
  </si>
  <si>
    <t>A woman with short hair is seen talking to the camera then flipping a pair of paints inside out.</t>
  </si>
  <si>
    <t>She folds the pants neatly on an ironing board and begins ironing the paints thoroughly.</t>
  </si>
  <si>
    <t>v_j9ww01sQkvY</t>
  </si>
  <si>
    <t>The camera focuses on a smiling man seated next to others.</t>
  </si>
  <si>
    <t>Another individual walks through the frame foreground and briefly obscures the first man.</t>
  </si>
  <si>
    <t>v_t3UI2gjo8X8</t>
  </si>
  <si>
    <t>We see a man in the pool with a cap on.</t>
  </si>
  <si>
    <t>We see a man make a goal with a ball.</t>
  </si>
  <si>
    <t>We see another goal scored.</t>
  </si>
  <si>
    <t>We see another goal being scored.</t>
  </si>
  <si>
    <t>We see the man score a goal and swim off.</t>
  </si>
  <si>
    <t>We see the man outdoors swimming and make 3 goals.</t>
  </si>
  <si>
    <t>We see another score and the men playing in the water.</t>
  </si>
  <si>
    <t>v_huv327wdIU8</t>
  </si>
  <si>
    <t>A group of boys are shown running down a gym holding hands and putting their hands into the air.</t>
  </si>
  <si>
    <t>A woman speaks to the boys while they drink some water and transitions into them playing a game and scoring a goal.</t>
  </si>
  <si>
    <t>The same shot is shown again in slow motion and several more shots of the boys playing are shown.</t>
  </si>
  <si>
    <t>v_hIQ4Lmazo4g</t>
  </si>
  <si>
    <t>We see two little girls in coats playing in the sand.</t>
  </si>
  <si>
    <t>We pan left and see the ocean.</t>
  </si>
  <si>
    <t>We return to the girls.</t>
  </si>
  <si>
    <t>The wind blows he left girls hood on to her head.</t>
  </si>
  <si>
    <t>We pan left to see the ocean again.</t>
  </si>
  <si>
    <t>The left girl moves her hair out of her face as she talks to the camera.</t>
  </si>
  <si>
    <t>v_EfJO4zg7bYE</t>
  </si>
  <si>
    <t>A man is standing beside a counter while holding a rag.</t>
  </si>
  <si>
    <t>He picks up a container of polish and talks about the surface of the counter.</t>
  </si>
  <si>
    <t>He rubs it down with polish and the two rags, then dusts it to a shine.</t>
  </si>
  <si>
    <t>v_dfex2oZYqmU</t>
  </si>
  <si>
    <t>A soccer match is occurring on a field and a player is shown falling down.</t>
  </si>
  <si>
    <t>The man is able to get up and the video shows the fall again in slow motion.</t>
  </si>
  <si>
    <t>The players continue playing and one of them even scores a goal.</t>
  </si>
  <si>
    <t>The goal is shown over and over in low motion to show the significance of the play.</t>
  </si>
  <si>
    <t>v_91ozOcjKl5M</t>
  </si>
  <si>
    <t>Ingredients are shown on a sliver platter.</t>
  </si>
  <si>
    <t>A man begins chopping food on a black chopping board.</t>
  </si>
  <si>
    <t>He adds pasta to a large pot on the stove.</t>
  </si>
  <si>
    <t>He starts cooking in a pan on the stove.</t>
  </si>
  <si>
    <t>He covers the pan with a lid.</t>
  </si>
  <si>
    <t>He puts the pasta into a bowl.</t>
  </si>
  <si>
    <t>He pours the sauce on top of the pasta.</t>
  </si>
  <si>
    <t>v_xOTW_-tiEjY</t>
  </si>
  <si>
    <t>A baby is sitting at a table eating a Popsicle.</t>
  </si>
  <si>
    <t>He takes a bite out of his Popsicle.</t>
  </si>
  <si>
    <t>He takes something out of his bib and puts it in his mouth.</t>
  </si>
  <si>
    <t>v_b1uGF3c3Vz4</t>
  </si>
  <si>
    <t>A young woman is sitting in a chair playing with a cat.</t>
  </si>
  <si>
    <t>She then takes clothes pins,grabs the nape of the hair and clips the cats nails.</t>
  </si>
  <si>
    <t>After awhile,the cats tries to bite her hands,once the girl is done,she removes the pins and waves at the camera.</t>
  </si>
  <si>
    <t>v_SkytxdoXLs4</t>
  </si>
  <si>
    <t>A group of kids are running between orange cones on a court.</t>
  </si>
  <si>
    <t>They are competing to see how quickly they can jump between them as the coach claps and cheers them on.</t>
  </si>
  <si>
    <t>v_rS8T1dAdiCs</t>
  </si>
  <si>
    <t>A girl sits a table talking.</t>
  </si>
  <si>
    <t>We see an intro screen.</t>
  </si>
  <si>
    <t>The girl sits at the table and shows a gift bag.</t>
  </si>
  <si>
    <t>A cat runs across the table and jumps off.</t>
  </si>
  <si>
    <t>We see the girl puts gifts into a gift bag with tissue paper.</t>
  </si>
  <si>
    <t>The girl moves the cat off the table and onto the floor.</t>
  </si>
  <si>
    <t>The girl adds more tissue paper to the bag.</t>
  </si>
  <si>
    <t>v_WhOsURGm0Kg</t>
  </si>
  <si>
    <t>Several cups are shown sitting on a table with a man standing behind.</t>
  </si>
  <si>
    <t>The man then throws the ball into a cup and cheers.</t>
  </si>
  <si>
    <t>He finally walks away from the camera.</t>
  </si>
  <si>
    <t>v_36JC5C6I4sg</t>
  </si>
  <si>
    <t>People wash a car with water using a hose.</t>
  </si>
  <si>
    <t>A man stands on the side watching the men.</t>
  </si>
  <si>
    <t>Then, the men put soap on the car, after they rinse the car with water.</t>
  </si>
  <si>
    <t>A man gets inside the car.</t>
  </si>
  <si>
    <t>v_4KzG9JBE9V8</t>
  </si>
  <si>
    <t>A kid rides an inner tube down a big snow hill.</t>
  </si>
  <si>
    <t>People stand and sit on the sides of the snow hill watching.</t>
  </si>
  <si>
    <t>v_P4Z4sQNQtJM</t>
  </si>
  <si>
    <t>A woman is standing outdoors in a pink martial arts outfit.</t>
  </si>
  <si>
    <t>She moves slowly, showing various martial arts moves.</t>
  </si>
  <si>
    <t>She continues moving slowly as the names of the moves appear onscreen.</t>
  </si>
  <si>
    <t>v_wAqQ-8OxhXY</t>
  </si>
  <si>
    <t>A close up of homes are shown with a person walking with a dog and then speaking to the camera.</t>
  </si>
  <si>
    <t>The man continues speaking as he leads the dog around the neighborhood.</t>
  </si>
  <si>
    <t>v_dtEs78TCOZQ</t>
  </si>
  <si>
    <t>An older gentleman is brushing a brown horse.</t>
  </si>
  <si>
    <t>He turns around and talks to an older lady.</t>
  </si>
  <si>
    <t>The horse lifts its leg up.</t>
  </si>
  <si>
    <t>v_DXOKFXlx84M</t>
  </si>
  <si>
    <t>A dog is seen laying comfortably in a large bowl with a man beside him.</t>
  </si>
  <si>
    <t>The man is seen kneeling down next to the dog and begins rubbing him down.</t>
  </si>
  <si>
    <t>The man continues to clean off the dog in the bath.</t>
  </si>
  <si>
    <t>v_u6FTTLK6GUg</t>
  </si>
  <si>
    <t>People are playing dodge ball in a gym.</t>
  </si>
  <si>
    <t>They start throwing the balls at each other.</t>
  </si>
  <si>
    <t>v_a0bj_vVpK9s</t>
  </si>
  <si>
    <t>A man pushes a tube down a hill.</t>
  </si>
  <si>
    <t>Another person sleds down the hill on a tube.</t>
  </si>
  <si>
    <t>A person in a red jacket is standing at the bottom.</t>
  </si>
  <si>
    <t>v_PKLLNgcEuRI</t>
  </si>
  <si>
    <t>This man is wearing a blue t-shirt and white shorts and he is doing his gymnastic routine.</t>
  </si>
  <si>
    <t>Then he gets off and walks away to go somewhere else.</t>
  </si>
  <si>
    <t>There is also another man there with him who's walking around and he's wearing a green shirt.</t>
  </si>
  <si>
    <t>v_9QnASEwOBT4</t>
  </si>
  <si>
    <t>A man is seen speaking to a woman as she puts on a belt and then walks on stage.</t>
  </si>
  <si>
    <t>The woman then bends down and lifts a large weight over her head, followed by throwing it down and walking off stage.</t>
  </si>
  <si>
    <t>Her same lift is shown again in slow motion.</t>
  </si>
  <si>
    <t>v_j4EFi_NoEbQ</t>
  </si>
  <si>
    <t>boy is skateboarding in a skate park at night.</t>
  </si>
  <si>
    <t>boy is skateboarding in a sidewalk with peopl walking by.</t>
  </si>
  <si>
    <t>man is skateboarding in street and a car almost run over.</t>
  </si>
  <si>
    <t>scenes of men skteboarding in a fences and falling off.</t>
  </si>
  <si>
    <t>v_zUPadKgtYHw</t>
  </si>
  <si>
    <t>a lot of people are on a marathon running in street while people is on sides.</t>
  </si>
  <si>
    <t>different women and men are acrossing the finish.</t>
  </si>
  <si>
    <t>v_Kbr2nr94EB0</t>
  </si>
  <si>
    <t>A man in a black shirt is talking on a basketball court.</t>
  </si>
  <si>
    <t>A boy is playing basketball on the court.</t>
  </si>
  <si>
    <t>v_zSWuVb-aYAA</t>
  </si>
  <si>
    <t>A lady performance on stage with a dog(s) .</t>
  </si>
  <si>
    <t>The dog fetches plates that the lady tosses.</t>
  </si>
  <si>
    <t>A second dog joins the act on stage.</t>
  </si>
  <si>
    <t>The dogs fetch plates together.</t>
  </si>
  <si>
    <t>A dog continuously jumps over another dog and into the lady's hand.</t>
  </si>
  <si>
    <t>A dog jumps through hula hoops.</t>
  </si>
  <si>
    <t>A dog jumps from the stage onto the lady's back.</t>
  </si>
  <si>
    <t>A dog bites on a red plate and does not let go.</t>
  </si>
  <si>
    <t>A dog jumps on a lady's elevated soles.</t>
  </si>
  <si>
    <t>The performers take a bow and with the dog exit the stage.</t>
  </si>
  <si>
    <t>The stage curtains are drawn.</t>
  </si>
  <si>
    <t>v_09G6PvM5q9Y</t>
  </si>
  <si>
    <t>A woman stands behind a table with high heels on it.</t>
  </si>
  <si>
    <t>She starts wiping off the shoe.</t>
  </si>
  <si>
    <t>She uses a q-tip to clean the side of the shoe.</t>
  </si>
  <si>
    <t>She sprays the shoe with Windex and wipes it off.</t>
  </si>
  <si>
    <t>v_3oJ62-Ce9ys</t>
  </si>
  <si>
    <t>A hand is seen putting weights on a bar and leads into a person lifting weights on their shoulders and walking.</t>
  </si>
  <si>
    <t>The person sets the weights down and walks back with the weights lunging.</t>
  </si>
  <si>
    <t>v_nQgmUkyblgc</t>
  </si>
  <si>
    <t>A barefoot woman in a purple outfit and beige headscarf is kneeling and washing dishes in an outdoor body of water in front of grass and a wooden platform.</t>
  </si>
  <si>
    <t>The woman rinses a bronze platter in the narrow body of water and proceeds to place it in an orange plastic bucket.</t>
  </si>
  <si>
    <t>The woman continues to wash other dishes and place them in the orange basket.</t>
  </si>
  <si>
    <t>The camera pans out a great distance and turns to show a yellow bannister on an outdoor deck with a brown leather chaise like seating area over looking a large lake.</t>
  </si>
  <si>
    <t>v_pPsqB3tY7hk</t>
  </si>
  <si>
    <t>Various shots of landscapes are shown as well as people pushing a puck to play shuffleboard.</t>
  </si>
  <si>
    <t>More shots of the game are shown as well as text instructions on how to play.</t>
  </si>
  <si>
    <t>A man keeps score and leads into more shots of the game being played.</t>
  </si>
  <si>
    <t>v_5MfhJjbNNJE</t>
  </si>
  <si>
    <t>A man is holding a jump rope and talking.</t>
  </si>
  <si>
    <t>He starts jump roping and doing tricks.</t>
  </si>
  <si>
    <t>v_nSgBX7D4XLA</t>
  </si>
  <si>
    <t>A small group of men are seen standing on a boat with one pushing a shuffleboard.</t>
  </si>
  <si>
    <t>The men then begin playing shuffleboard with one another while taking turns.</t>
  </si>
  <si>
    <t>They continue playing on the side of the boat.</t>
  </si>
  <si>
    <t>v_WgJy8seQ7z4</t>
  </si>
  <si>
    <t>Two men are arm wrestling on a table.</t>
  </si>
  <si>
    <t>Another man walks up to the table and stands in front of them.</t>
  </si>
  <si>
    <t>They finish arm wrestling and they start to stand up.</t>
  </si>
  <si>
    <t>v_loYCYGQpGRw</t>
  </si>
  <si>
    <t>A woman is adding ingredients to a pan on the stove.</t>
  </si>
  <si>
    <t>She stirs the ingredients in the pan.</t>
  </si>
  <si>
    <t>She pulls a large pot of pasta and dumps it into the pan.</t>
  </si>
  <si>
    <t>v_G4kjV4ulJzo</t>
  </si>
  <si>
    <t>A woman is walking down the street with two dogs.</t>
  </si>
  <si>
    <t>The larger dog is holding a leash in his mouth.</t>
  </si>
  <si>
    <t>The smaller dog is attached to the leash, and is essentially being led by the larger dog on the walk.</t>
  </si>
  <si>
    <t>A man walks in front, leading the way.</t>
  </si>
  <si>
    <t>v_VmwvfQDR4YQ</t>
  </si>
  <si>
    <t>A man is doing flips on the grass.</t>
  </si>
  <si>
    <t>A man in a white hat is standing next to the man.</t>
  </si>
  <si>
    <t>One of the men throws a rock into the air.</t>
  </si>
  <si>
    <t>v_kv8lsSjfguI</t>
  </si>
  <si>
    <t>Families are outside in a large field standing behind an orange make shift fence listening to a woman talk into a microphone.</t>
  </si>
  <si>
    <t>A male then comes along dressed in the same shrit as a woman and begins to throw Frisbees to a dog.</t>
  </si>
  <si>
    <t>This activity continues and the dog begins jumping over the dog's head and its back.</t>
  </si>
  <si>
    <t>Others then join in and the boy picks up the dog and walks away.</t>
  </si>
  <si>
    <t>v_6KG4p_pfMQc</t>
  </si>
  <si>
    <t>man wearing a red shirt is standing in a large green field behind kids.</t>
  </si>
  <si>
    <t>little blonde kid throw a ball and a kid kicks the ball in the field.</t>
  </si>
  <si>
    <t>kisd are running in the field to catch th ball.</t>
  </si>
  <si>
    <t>v_woiigfrANUM</t>
  </si>
  <si>
    <t>A man stands in an arena preparing to skateboard.</t>
  </si>
  <si>
    <t>The man skates down a halfpipe and goes back and forth from one end to the other.</t>
  </si>
  <si>
    <t>The man loses his skateboard and comes down the wall on his knees.</t>
  </si>
  <si>
    <t>We see the man's disappointment as another man prepares to skate.</t>
  </si>
  <si>
    <t>The man walks away and hops on his skateboard behind the stage.</t>
  </si>
  <si>
    <t>v_2duxXAsCW0k</t>
  </si>
  <si>
    <t>A man with an umbrella is wiping his car during the rain.</t>
  </si>
  <si>
    <t>He smiles at the camera and begins to talk to the camera person.</t>
  </si>
  <si>
    <t>v_V2ltLccVh_Q</t>
  </si>
  <si>
    <t>Several shots are shown of paintball gear as well as a man smoking a cigarette.</t>
  </si>
  <si>
    <t>This leads into people playing paintball with one another and running around.</t>
  </si>
  <si>
    <t>More shots are shown of people playing and speaking to one another.</t>
  </si>
  <si>
    <t>v_Vpue9WHrcAk</t>
  </si>
  <si>
    <t>A woman puts a cigarette in her mouth.</t>
  </si>
  <si>
    <t>Then, the woman lights a cigarette and smokes.</t>
  </si>
  <si>
    <t>The woman blows smoke from his mouth.</t>
  </si>
  <si>
    <t>v_ZgVmS-AhYgA</t>
  </si>
  <si>
    <t>A group of rafters carries a raft down a path.</t>
  </si>
  <si>
    <t>Groups of rafters ride down a river going over small waterfalls.</t>
  </si>
  <si>
    <t>The rafters climb out from there boat onto the shore and walk up the path.</t>
  </si>
  <si>
    <t>People jump from rocks into a swimming hole of the river.</t>
  </si>
  <si>
    <t>The rafters enjoy an outdoor lunch at a beach house.</t>
  </si>
  <si>
    <t>v_uLXSOqRSa4A</t>
  </si>
  <si>
    <t>A group of people are on a lift way above the mountains.</t>
  </si>
  <si>
    <t>A person climbs onto it, looking down.</t>
  </si>
  <si>
    <t>They bungee jump, hanging and swinging above the ground.</t>
  </si>
  <si>
    <t>v_4dw_Hk9Wpc4</t>
  </si>
  <si>
    <t>A large school of small fish swim in the ocean.</t>
  </si>
  <si>
    <t>A seal swims in the ocean.</t>
  </si>
  <si>
    <t>The scene switches to a dog scuba diving with humans.</t>
  </si>
  <si>
    <t>The dog is shown with a human on a ship, with part of its scuba equipment on.</t>
  </si>
  <si>
    <t>The scene returns to the dog scuba diving.</t>
  </si>
  <si>
    <t>The scene changes to a cat walking around.</t>
  </si>
  <si>
    <t>The cat is shown swimming and scuba diving.</t>
  </si>
  <si>
    <t>The cat and dog are shown in various quick scenes together.</t>
  </si>
  <si>
    <t>v_SKbjRXF35Wk</t>
  </si>
  <si>
    <t>Two people are dancing on a dance floor.</t>
  </si>
  <si>
    <t>People are sitting and standing on the sidelines watching them dance.</t>
  </si>
  <si>
    <t>They continue to dance on the dance floor.</t>
  </si>
  <si>
    <t>v_m0u1kjhlHJ4</t>
  </si>
  <si>
    <t>A man puts a ball on the ground, then throws a flag.</t>
  </si>
  <si>
    <t>He hits the ball, setting a game into motion.</t>
  </si>
  <si>
    <t>The players fight over the ball, getting it into the goal and the audience cheers.</t>
  </si>
  <si>
    <t>The game continues as the players compete.</t>
  </si>
  <si>
    <t>v__HQTWGmXXsc</t>
  </si>
  <si>
    <t>A young woman with a black dress and red cardigan on is standing in the corner of a kitchen cutting fruits.</t>
  </si>
  <si>
    <t>After awhile,she grabs six strawberries and leaves them on the cutting board as she begins to cut grapes.</t>
  </si>
  <si>
    <t>In front of her,there are two large white bowls full of fruit and she begins putting the cut up fruit in those bowls.</t>
  </si>
  <si>
    <t>The camera then moves and the person zooms in on the contents of the fruit bowls,showing pineapples,strawberries and grapes.</t>
  </si>
  <si>
    <t>v_ZYAY3TEUjGI</t>
  </si>
  <si>
    <t>A man is sitting in a chair getting his hair cut by a barber.</t>
  </si>
  <si>
    <t>A man takes a comb and a pair of scissors and starts to cut the hair above the comb and then combs it to the front of the man's head.</t>
  </si>
  <si>
    <t>The male then turns and the middle of the hair begins to get trimmed.</t>
  </si>
  <si>
    <t>Next is the sides and the same actions are repeated until the hair is finished.</t>
  </si>
  <si>
    <t>Finally,razors are taken out and the barber begins to edge the man's hair and the barber goes over the hair one final time with the comb and scissors.</t>
  </si>
  <si>
    <t>v_OTwG3OCsPoY</t>
  </si>
  <si>
    <t>A man is see speaking to the camera while sitting on a piece of exercise equipment.</t>
  </si>
  <si>
    <t>He adjusts the settings on the machine and begins using it back and fourth.</t>
  </si>
  <si>
    <t>He grabs onto the machine and moves himself ending by speaking to the camera.</t>
  </si>
  <si>
    <t>v_YbEX3klOS3Q</t>
  </si>
  <si>
    <t>A male athlete prepares himself to run.</t>
  </si>
  <si>
    <t>He runs with a javelin over his shoulder.</t>
  </si>
  <si>
    <t>He throws it as hard as he can.</t>
  </si>
  <si>
    <t>Then others do the same shortly after.</t>
  </si>
  <si>
    <t>v_dygVFom6V5c</t>
  </si>
  <si>
    <t>Two women are riding on the back of a four wheeler, and waving.</t>
  </si>
  <si>
    <t>A man is shown posing with several people, going to a field to play paintball.</t>
  </si>
  <si>
    <t>The people gear up and hide behind obstacles, shooting at one another.</t>
  </si>
  <si>
    <t>v_ui_CNb4FUtQ</t>
  </si>
  <si>
    <t>A man plays the saxophone in various public settings while the audiences watch.</t>
  </si>
  <si>
    <t>The man plays while laying on the ground.</t>
  </si>
  <si>
    <t>A security guard accosts him and escorts him away.</t>
  </si>
  <si>
    <t>The man stands up and walks away while playing.</t>
  </si>
  <si>
    <t>More scenes of the man playing the saxophone in various public settings are shown.</t>
  </si>
  <si>
    <t>v_xpoIzpip_TQ</t>
  </si>
  <si>
    <t>Players are on a court playing volley ball.</t>
  </si>
  <si>
    <t>A man in a black shirt dives and hits the ground.</t>
  </si>
  <si>
    <t>Someone scores and the crowd celebrates.</t>
  </si>
  <si>
    <t>v_HJZj6z1dyT4</t>
  </si>
  <si>
    <t>A close up of a fooseball table is shown with people moving polls all around.</t>
  </si>
  <si>
    <t>The man bounces up and down as the people continue to play with one another.</t>
  </si>
  <si>
    <t>One man runs away to grab the ball and leads back into them playing.</t>
  </si>
  <si>
    <t>v_V66cwBOS80A</t>
  </si>
  <si>
    <t>A man is seen speaking to the camera while a large group of people walk behind him.</t>
  </si>
  <si>
    <t>Several shots are then shown of people riding down a riving in a raft while some fall out.</t>
  </si>
  <si>
    <t>More clips are shown of people riding in the water as well as falling out and yelling to the camera.</t>
  </si>
  <si>
    <t>v_LDSEEw5oUM4</t>
  </si>
  <si>
    <t>A woman is seen walking onto a large gym floor while holding a baton and striking a pose.</t>
  </si>
  <si>
    <t>The woman then performs a dance routine with the baton throwing it up into the air and spinning around.</t>
  </si>
  <si>
    <t>She continues spinning around and holds a pose in the end and walks away from the judges.</t>
  </si>
  <si>
    <t>v_4-rJZdNgMX8</t>
  </si>
  <si>
    <t>The logo "theksiny on skin" and "The #1 Way to Not Get a Cold or Flu" is shown on screen.</t>
  </si>
  <si>
    <t>Dr Lisa Kellett speaks to the camera in a medical exam room next to a sink.</t>
  </si>
  <si>
    <t>The doctor demonstrates the steps to washing hands like doctors do.</t>
  </si>
  <si>
    <t>The logo and website address appears on screen again.</t>
  </si>
  <si>
    <t>v_MAUZbZnbM_Y</t>
  </si>
  <si>
    <t>web page and the adress of the company.</t>
  </si>
  <si>
    <t>green signs on a pole.</t>
  </si>
  <si>
    <t>woman is talking on the phone inside a car store.</t>
  </si>
  <si>
    <t>man is polishing a black car while people is watching.</t>
  </si>
  <si>
    <t>two men are cleaning the car on the outside and the inside.</t>
  </si>
  <si>
    <t>three cars are parked in front of the store.</t>
  </si>
  <si>
    <t>v__fwExctFJpg</t>
  </si>
  <si>
    <t>A person is seen riding around on a horse holding a piece of rope in his hands moving back and fourth.</t>
  </si>
  <si>
    <t>The man backs the horse up a bit and then takes off chasing a calf and roping him and tying him down.</t>
  </si>
  <si>
    <t>He throws his hands up in the air while the calf moves and then climbs back on top of the horse.</t>
  </si>
  <si>
    <t>v_hXGE1GGTHzM</t>
  </si>
  <si>
    <t>This man is trying to shoot the white ball on the pool table backwards.</t>
  </si>
  <si>
    <t>He keeps trying to shoot it backwards, but he just can't so he decided to do it the regular way and shoot forwards.</t>
  </si>
  <si>
    <t>When he does it, he puts the cue stick down and walks away.</t>
  </si>
  <si>
    <t>v_xQxT2_meU50</t>
  </si>
  <si>
    <t>A man is standing in a field holding an ax.</t>
  </si>
  <si>
    <t>The man lifts the ax above his head.</t>
  </si>
  <si>
    <t>The man splits a log of wood on a stump.</t>
  </si>
  <si>
    <t>the man then stands upright.</t>
  </si>
  <si>
    <t>v_POhazPPwHhQ</t>
  </si>
  <si>
    <t>A car is seen driving along the road that leads into people tightening roads and grabbing drinks.</t>
  </si>
  <si>
    <t>Several clips are shown of people walking across the rope as well as bouncing on it.</t>
  </si>
  <si>
    <t>More close ups are shown of peoples faces as well as standing an bouncing on the rope.</t>
  </si>
  <si>
    <t>v_j3h8Di7V3nk</t>
  </si>
  <si>
    <t>A man is seen bending over while taking a shoe off to wipe his feet then puts the shoe back on.</t>
  </si>
  <si>
    <t>He does this to his other foot and then walks along the rocks while a man records him and others walk around.</t>
  </si>
  <si>
    <t>v_J3NhT51f0To</t>
  </si>
  <si>
    <t>A blond girl is in a residential home, smiling and talking while holding a violin in front of her.</t>
  </si>
  <si>
    <t>The girl briefly stops talking, and then backs up and brings the violin to her chin as she's talking and then starts playing by pulling the fiddle across the strings.</t>
  </si>
  <si>
    <t>The girl stops pulling the fiddle across the strings and walks closer to the camera to talk, and then resumes moving the fiddle across the strings.</t>
  </si>
  <si>
    <t>The girl then backs up, and turns to show her left side as she moves the fiddle across the violin strings, and then she moves to face forward again and walks closer to the camera and plays some more.</t>
  </si>
  <si>
    <t>The girl stops playing and pulls he violin away from her chin.</t>
  </si>
  <si>
    <t>v_F2yh5HfIj2c</t>
  </si>
  <si>
    <t>A man wearing scuba gear walks along the edge of a swimming pool.</t>
  </si>
  <si>
    <t>The man starts talking to the camera and shows the camera various items.</t>
  </si>
  <si>
    <t>The camera shows the swimming pool.</t>
  </si>
  <si>
    <t>A tool and air compressor is shown.</t>
  </si>
  <si>
    <t>The man enters the swimming pool and proceeds to place a cover on the drain while under water in the scuba gear.</t>
  </si>
  <si>
    <t>The man gives a thumbs up.</t>
  </si>
  <si>
    <t>The man shows the bubbles the tool makes underwater while bobbing his head.</t>
  </si>
  <si>
    <t>v_GyLX64aJY80</t>
  </si>
  <si>
    <t>Two slicess of bread,a plate,and two slices of cheese are on the counter.</t>
  </si>
  <si>
    <t>The person then takes one slice,spreads the butter over it and puts two slices of cheese on it and adds the other slice on top of it.</t>
  </si>
  <si>
    <t>The sandwich now has butter on both sides and the sandwich is placed in a skillet and is fried.</t>
  </si>
  <si>
    <t>Once complete,it is placed on a red plate and cut in half with a thick knife.</t>
  </si>
  <si>
    <t>v_3C00m8lkJi0</t>
  </si>
  <si>
    <t>A man is shown holding a large bin as well as several people around him gathering leaves.</t>
  </si>
  <si>
    <t>More people are shown walking around scraping leaves while a woman speaks to the crowd and inspires them to work more.</t>
  </si>
  <si>
    <t>The people continue working and the sun shines down on a tree.</t>
  </si>
  <si>
    <t>v_Ht2gV7oaqbo</t>
  </si>
  <si>
    <t>Two people are seen standing outside on a mat.</t>
  </si>
  <si>
    <t>One person then grabs the other person by the legs.</t>
  </si>
  <si>
    <t>The men then flip each other down on the ground.</t>
  </si>
  <si>
    <t>v_mJZj3znhBas</t>
  </si>
  <si>
    <t>People are playing a game of lacrosse onto a field.</t>
  </si>
  <si>
    <t>A woman is talking to the camera in a gym.</t>
  </si>
  <si>
    <t>A train is driving on the tracks.</t>
  </si>
  <si>
    <t>They continue to play lacrosse on a field.</t>
  </si>
  <si>
    <t>v_rPeQxKmIe4I</t>
  </si>
  <si>
    <t>The person is swimming under the sea.</t>
  </si>
  <si>
    <t>The woman is swimming forward, she looked at the camera.</t>
  </si>
  <si>
    <t>The woman is shaking her head while behind her another diver is swimming.</t>
  </si>
  <si>
    <t>v_O-6zE9_S2KM</t>
  </si>
  <si>
    <t>A pair of hands are shown at a black jack table.</t>
  </si>
  <si>
    <t>A woman is dealing the cards and chips.</t>
  </si>
  <si>
    <t>The chips are shown in a stack at the end.</t>
  </si>
  <si>
    <t>v_-2DajzzRwn0</t>
  </si>
  <si>
    <t>Several teams of people are seen playing a game of tug of war with one another with people watching on the sides.</t>
  </si>
  <si>
    <t>The people continue competing with one another and ends with one team winning.</t>
  </si>
  <si>
    <t>v_boQbuyDjWnc</t>
  </si>
  <si>
    <t>An old man in black shirt and eye glasses is sitting on a green table, in front of him are book, chips with different colors and stack of cards.</t>
  </si>
  <si>
    <t>He placed the cards on the table, on top of the yellow stars on the table, he arrange the cards in horizontal way.</t>
  </si>
  <si>
    <t>v_hYVFzI_kfaQ</t>
  </si>
  <si>
    <t>The woman is shown emptying two different foods onto the plate to make a fruit salad.</t>
  </si>
  <si>
    <t>She touches the strawberries and apples.</t>
  </si>
  <si>
    <t>Then she sprinkles little berries onto the other fruit.</t>
  </si>
  <si>
    <t>v_mZYqH82delk</t>
  </si>
  <si>
    <t>There is a man kneeling down on a red yoga mat.</t>
  </si>
  <si>
    <t>The coach standing next to him make sure he is going up and down while he's kneeling and he holds his back to feel the muscle movement.</t>
  </si>
  <si>
    <t>v_Nogr8GCIL9k</t>
  </si>
  <si>
    <t>A guy stands outside, gestures, and talks.</t>
  </si>
  <si>
    <t>A man ascends from the water, begins water boarding, and does flips.</t>
  </si>
  <si>
    <t>A water vehicle is pulling a man holding a rope.</t>
  </si>
  <si>
    <t>The guy begins to leave after making the last point.</t>
  </si>
  <si>
    <t>v_DFOoFr2H-24</t>
  </si>
  <si>
    <t>A man is seen playing an instrument while another watches in the background.</t>
  </si>
  <si>
    <t>He pauses to speak to a large group of boys and continues playing the instrument, blowing wind into their smoke.</t>
  </si>
  <si>
    <t>The boys watch in amazement and bends down closely to another boy.</t>
  </si>
  <si>
    <t>v_rP2MviNn52g</t>
  </si>
  <si>
    <t>People are playing a tag of war game.</t>
  </si>
  <si>
    <t>Children wave at their teammates.</t>
  </si>
  <si>
    <t>The children pull the adults to their side, the right side.</t>
  </si>
  <si>
    <t>The children let go the rope, jump up and down, plus cheer.</t>
  </si>
  <si>
    <t>v_07GFy_Z7Nuc</t>
  </si>
  <si>
    <t>A male gymnast walks up to the parallel bars and uses a spring board to jump up.</t>
  </si>
  <si>
    <t>Another man pulls the spring board out of the way.</t>
  </si>
  <si>
    <t>A large crowd watches from the stands in the gym.</t>
  </si>
  <si>
    <t>The gymnast does a parallel bar routine.</t>
  </si>
  <si>
    <t>Several other male gymnasts walk around in the background.</t>
  </si>
  <si>
    <t>The male gymnast completes his routine and runs off of the gym floor.</t>
  </si>
  <si>
    <t>v_6QhZNQlsGys</t>
  </si>
  <si>
    <t>People are balancing on a rope on the beach.</t>
  </si>
  <si>
    <t>A man in a white shirt does a hand stand on the rope.</t>
  </si>
  <si>
    <t>A person is swinging on a rope in the background.</t>
  </si>
  <si>
    <t>v_F99Suh6SvD8</t>
  </si>
  <si>
    <t>Two girls practice fencing in a school gym with protective gear on and a coach against the wall watching and coaching them as they fence.</t>
  </si>
  <si>
    <t>The two girls talk to the coach and then begin to fence with each other as the coach motions to where they should stand and navigate the space during the spar.</t>
  </si>
  <si>
    <t>Both girls end the spar and remove their head gear as they talk to the coach.</t>
  </si>
  <si>
    <t>v_LSvjzZHbetU</t>
  </si>
  <si>
    <t>A woman in a green sweater puts on a face mask.</t>
  </si>
  <si>
    <t>She paints a wooden fence.</t>
  </si>
  <si>
    <t>She puts news paper onto the fence.</t>
  </si>
  <si>
    <t>She pours a bucket of paint into a sprayer.</t>
  </si>
  <si>
    <t>She starts spraying the fence with a hose.</t>
  </si>
  <si>
    <t>v_PGNwd5bySwI</t>
  </si>
  <si>
    <t>Two men are talking in front of a helicopter.</t>
  </si>
  <si>
    <t>A man on a wake board is being pulled by a helicopter in and out of the water.</t>
  </si>
  <si>
    <t>He drops from the rope and pulls a parachute and lands on the ground.</t>
  </si>
  <si>
    <t>v_aq41GgfAlDo</t>
  </si>
  <si>
    <t>A man is seated on a bench in a park.</t>
  </si>
  <si>
    <t>He is playing an old accordian.</t>
  </si>
  <si>
    <t>He pushes it closed and open as he plays on the keyboard.</t>
  </si>
  <si>
    <t>v_rF1AqlLjECk</t>
  </si>
  <si>
    <t>A black screen appears and it has a lot of white words on it that include the name, height, weight, years games, points phone number and email for player #23.</t>
  </si>
  <si>
    <t>Various clips of different hockey games play and occassionaly a yellow arrow will appear pointing out the #23 player in each different hockey game clip.</t>
  </si>
  <si>
    <t>A black screen appears again and it's the same as the screen that was the intro that includes the same information on player #23.</t>
  </si>
  <si>
    <t>v_KptXzRFIvTw</t>
  </si>
  <si>
    <t>A person named Chad wearing a black and gray jacket is standing next to a Christmas tree and giving a tutorial on how to decorate it.</t>
  </si>
  <si>
    <t>He is holding a crystal star in his hands which he places on top of the tree.</t>
  </si>
  <si>
    <t>Then he takes some Christmas lights lights and twirls it around the branches of the tree.</t>
  </si>
  <si>
    <t>He takes a red garland and demonstrates how to wrap it around the tree.</t>
  </si>
  <si>
    <t>He then takes some red and gold ornaments and shows how to place them on the tree.</t>
  </si>
  <si>
    <t>He also takes a red ribbon and red berries to add to the tree.</t>
  </si>
  <si>
    <t>He stands next to the fully decorated tree as he completes his tutorial.</t>
  </si>
  <si>
    <t>v_53dqgEMV5e4</t>
  </si>
  <si>
    <t>A woman pours ice into a glass.</t>
  </si>
  <si>
    <t>She puts shots of alcohol into the glass.</t>
  </si>
  <si>
    <t>She shakes it and pours it into another glass.</t>
  </si>
  <si>
    <t>She puts a straw in it and holds it up.</t>
  </si>
  <si>
    <t>v_-Kmx-BCAsQc</t>
  </si>
  <si>
    <t>A man in orange waves then mounts a pommel horse.</t>
  </si>
  <si>
    <t>The man spins around and around on the pommel horse.</t>
  </si>
  <si>
    <t>A man on the right takes a photo.</t>
  </si>
  <si>
    <t>The man swings one leg at a time.</t>
  </si>
  <si>
    <t>The man does a handstand then dismounts.</t>
  </si>
  <si>
    <t>The man walks away as another walks to the pommel horse.</t>
  </si>
  <si>
    <t>The end screens are shown and the video ends.</t>
  </si>
  <si>
    <t>v_LAD4qVnywmA</t>
  </si>
  <si>
    <t>A man in a red shirt is clapping his hands.</t>
  </si>
  <si>
    <t>He runs down a track and jumps in the sand.</t>
  </si>
  <si>
    <t>People rake the sand out afterwards.</t>
  </si>
  <si>
    <t>v_WlFBWlCklm8</t>
  </si>
  <si>
    <t>An intro black screen appears and the word Poweriser flashes.</t>
  </si>
  <si>
    <t>A man named PRVNI KROKY is on metal stilts outside and he begins, walking, jumping, running and moving and doing various movements while on his stilts and people around him are either sitting or walking doing their own thing.</t>
  </si>
  <si>
    <t>When the man is done demonstrating what he can do on the stilts he stops in his original spot to talk some more, waves and then runs off.</t>
  </si>
  <si>
    <t>The outro appears and it's exactly like the intro.</t>
  </si>
  <si>
    <t>v_Ksbk5rtqVd0</t>
  </si>
  <si>
    <t>A woman in a white shirt is sitting down.</t>
  </si>
  <si>
    <t>She pours some product into her palm.</t>
  </si>
  <si>
    <t>She starts wiping the product onto her face.</t>
  </si>
  <si>
    <t>v_0PbmXOVIwGc</t>
  </si>
  <si>
    <t>A woman grooms the right body of a horse, she brush the neck,body and legs.</t>
  </si>
  <si>
    <t>Then, the woman goes to the left side of horse and kneel to groom the legs, and then she brush the other parts of the body.</t>
  </si>
  <si>
    <t>v_LoA7h0bZmDI</t>
  </si>
  <si>
    <t>A chef is giving detailed instructions on how to make a dish to another man in the kitchen.</t>
  </si>
  <si>
    <t>The man walks around him casually and picks up a piece of one of the ingredients and eats it.</t>
  </si>
  <si>
    <t>Meanwhile, the chef is putting ingredients and explaining the process of what he is doing and why into the pan.</t>
  </si>
  <si>
    <t>Once the sauce he is creating starts to come together he mixes in spaghetti and blends it all together.</t>
  </si>
  <si>
    <t>v_llcbN-s26vs</t>
  </si>
  <si>
    <t>A man in a red shirt walks around a ladder.</t>
  </si>
  <si>
    <t>He places his arm on the ladder.</t>
  </si>
  <si>
    <t>A woman places red wallpaper up against a wall.</t>
  </si>
  <si>
    <t>She smooths the red wall paper out with her hands and with a tool.</t>
  </si>
  <si>
    <t>She measures the wallpaper to make sure it's straight.</t>
  </si>
  <si>
    <t>The woman places a tool on the top and bottom of the wallpaper and removes any extra wallpaper.</t>
  </si>
  <si>
    <t>The man in the red shirt is talking.</t>
  </si>
  <si>
    <t>v_sCzauf2u4dc</t>
  </si>
  <si>
    <t>We see the emblem on the opening screen.</t>
  </si>
  <si>
    <t>We switch to images of two ladies with horses.</t>
  </si>
  <si>
    <t>We see one lady in a sunny field with a hose.</t>
  </si>
  <si>
    <t>We see a small dog on the back of the horse.</t>
  </si>
  <si>
    <t>We see the small dog, then two ladies and the small dog.</t>
  </si>
  <si>
    <t>The lady is sitting playing with the dog.</t>
  </si>
  <si>
    <t>We see a bunch of people in a stable with a horse.</t>
  </si>
  <si>
    <t>We see the end credit emblem.</t>
  </si>
  <si>
    <t>v_fdYyIOWkycU</t>
  </si>
  <si>
    <t>A man is seen standing ready holding a dart and looking off into the distance.</t>
  </si>
  <si>
    <t>The man then throws the dart in slow motion while the camera continues to follow him.</t>
  </si>
  <si>
    <t>v_I-C_fOUaknA</t>
  </si>
  <si>
    <t>A man places a tile onto the floor and pushes it down.</t>
  </si>
  <si>
    <t>He smooths it out with his hands.</t>
  </si>
  <si>
    <t>He moves the vent that is on the floor next to the tile.</t>
  </si>
  <si>
    <t>v_BC1VpNRFtXo</t>
  </si>
  <si>
    <t>A small group of men are seen sitting at a table playing various hand games with one another.</t>
  </si>
  <si>
    <t>Then moves their hands which are shown in slow motion and leads into one speaking on the phone and leaving the room.</t>
  </si>
  <si>
    <t>The camera pans around the other people as they laugh.</t>
  </si>
  <si>
    <t>v_X095EDl0-eU</t>
  </si>
  <si>
    <t>We see two men fencing in a stadium.</t>
  </si>
  <si>
    <t>A man throws his arms in the air.</t>
  </si>
  <si>
    <t>The left man falls to the ground.</t>
  </si>
  <si>
    <t>The left man throws his hand in the air.</t>
  </si>
  <si>
    <t>v_eFZufRRvIz4</t>
  </si>
  <si>
    <t>A woman is dancing and mopping in the kitchen.</t>
  </si>
  <si>
    <t>Another woman is recording her and laughing.</t>
  </si>
  <si>
    <t>The woman notices the camera and laughs, but continues dancing.</t>
  </si>
  <si>
    <t>v_5P-Xs2v6lis</t>
  </si>
  <si>
    <t>A technician walks along a roof and sprays it using a wand attached to a hose.</t>
  </si>
  <si>
    <t>The man turns off his hose then walks along the peak of the roof.</t>
  </si>
  <si>
    <t>The man sprays around the gutters with the wand.</t>
  </si>
  <si>
    <t>The water comes out of the gutter onto the cement below.</t>
  </si>
  <si>
    <t>v_DcoHV4WiHQk</t>
  </si>
  <si>
    <t>A woman is seen sitting on sand next to a girl.</t>
  </si>
  <si>
    <t>The woman looks away from the camera and looks down at the sand.</t>
  </si>
  <si>
    <t>The girl and woman then begin digging in the sand.</t>
  </si>
  <si>
    <t>v_8DZj0ggPr74</t>
  </si>
  <si>
    <t>A large group of players are lined up and seen speaking to one another.</t>
  </si>
  <si>
    <t>They then move out onto the ice and begin skating around.</t>
  </si>
  <si>
    <t>One man fist bumps another and ends by walking away.</t>
  </si>
  <si>
    <t>v_9J72KkOrAq4</t>
  </si>
  <si>
    <t>A person is seen running down a deck pushing a puck with a stick.</t>
  </si>
  <si>
    <t>She looks back and laughs to the camera while other people watch on the side.</t>
  </si>
  <si>
    <t>v_NMBu3DIn1eg</t>
  </si>
  <si>
    <t>A black dog is shown looking into the camera.</t>
  </si>
  <si>
    <t>A balding man appears who is standing next to a chair that seems to be in need of restoring.</t>
  </si>
  <si>
    <t>The chair is shown to have scratches.</t>
  </si>
  <si>
    <t>The man begins to apply a substance to the chair as the man rubs the substance all over the surfaces of the chair.</t>
  </si>
  <si>
    <t>The man then points at a scratch on the a part of the chair and begins to wipe it clean with the substance.</t>
  </si>
  <si>
    <t>The man then shows a leg of the chair and wipes it down as well.</t>
  </si>
  <si>
    <t>The man then seems to pour a substance into a can and dips the brush into it and polishes part of the leg.</t>
  </si>
  <si>
    <t>The man continues to wipe the chair as it is getting cleaner and cleaner.</t>
  </si>
  <si>
    <t>The man returns later after the chair dries with a yellow bottle and is now wearing a hat and glasses.</t>
  </si>
  <si>
    <t>The man begins to wipe the chair again using whatever was in the yellow bottle.</t>
  </si>
  <si>
    <t>After this is complete the cushion is put back onto the chair as it is wiped down one more time.</t>
  </si>
  <si>
    <t>v_fPbVku8Ssyw</t>
  </si>
  <si>
    <t>People make a hole on the shore of the beach using shovels.</t>
  </si>
  <si>
    <t>Then, people make a wall around the hole.</t>
  </si>
  <si>
    <t>v_BJuL-yK-I8g</t>
  </si>
  <si>
    <t>A man is talking while standing in front of a large river.</t>
  </si>
  <si>
    <t>A group of wild pigs are swimming behind the boat, trying to keep up.</t>
  </si>
  <si>
    <t>The man gets to shore, and he and a boat mate are running on the beach, trying to escape the pigs.</t>
  </si>
  <si>
    <t>v_x_luDzL03vw</t>
  </si>
  <si>
    <t>We then see two men practicing martial arts.</t>
  </si>
  <si>
    <t>The old man pushed the young to the ground.</t>
  </si>
  <si>
    <t>The older man flips the young one over.</t>
  </si>
  <si>
    <t>The old man pushes him forward.</t>
  </si>
  <si>
    <t>The young grabs the older head, and older pushes him down.</t>
  </si>
  <si>
    <t>Man in green is pushed across mat.</t>
  </si>
  <si>
    <t>Old man flip man in green.</t>
  </si>
  <si>
    <t>The Man in white is flipped.</t>
  </si>
  <si>
    <t>Older man pushes green man to ground.</t>
  </si>
  <si>
    <t>Older man rolls man in green.</t>
  </si>
  <si>
    <t>v_VkdPyMG-Gvo</t>
  </si>
  <si>
    <t>A man plays alone pool hitting balls with a pole while going around the pool table.</t>
  </si>
  <si>
    <t>Then, the man hit a ball that enters the basket.</t>
  </si>
  <si>
    <t>After, the man shake hands with people from the audience.</t>
  </si>
  <si>
    <t>v_0T1FKHx3yOk</t>
  </si>
  <si>
    <t>Two boys sits talking as they hold their cell phones.</t>
  </si>
  <si>
    <t>The boys are wrestling in Sumo costumes as two other boys films them with camera.</t>
  </si>
  <si>
    <t>One boy get and hits the other with a ladder and they hit each other.</t>
  </si>
  <si>
    <t>The boy in red grabs and hits the green boy on the ladder with a guitar.</t>
  </si>
  <si>
    <t>The red boy brings an ironing board and jumps on the other boy from the ladder.</t>
  </si>
  <si>
    <t>The green boy runs into the other boy with a minibike.</t>
  </si>
  <si>
    <t>A girl in a sum suit in thrown from a wheel barrow and the referee counts the match as finished.</t>
  </si>
  <si>
    <t>v__-4ngMPCA9A</t>
  </si>
  <si>
    <t>A woman stands in a kitchen talking.</t>
  </si>
  <si>
    <t>She walks over to a sink, puts on gloves and washes dishes.</t>
  </si>
  <si>
    <t>v_pp_J6AzUu4s</t>
  </si>
  <si>
    <t>A woman is standing in a kitchen.</t>
  </si>
  <si>
    <t>She puts ingredients into a glass bowl and mixes it together.</t>
  </si>
  <si>
    <t>She starts chopping food on a block.</t>
  </si>
  <si>
    <t>She combines all the ingredients into the bowl and mixes it together.</t>
  </si>
  <si>
    <t>She grates cheese onto the top of the food.</t>
  </si>
  <si>
    <t>She then puts salad on top of that.</t>
  </si>
  <si>
    <t>v_rR1R-x_UlOM</t>
  </si>
  <si>
    <t>A woman demonstrates from behind a standing bar counter inside of a bar, how to mix drinks using a shot glass and several bottles of alcohol.</t>
  </si>
  <si>
    <t>A woman standing behind a bar talks to the camera and pours a bottle of alcohol into a shot glass along with another bottle of alcohol.</t>
  </si>
  <si>
    <t>The woman then pulls a larger bottle of alcohol off of the bar top and pours that into the shot glass as well, The woman then pushes the shot glass forward toward the camera before the scene fades to black.</t>
  </si>
  <si>
    <t>v_Y75Fvr71aRQ</t>
  </si>
  <si>
    <t>A man is seen speaking to the camera while text appears on the screen.</t>
  </si>
  <si>
    <t>The man continues speaking and leads into him playing an instrument.</t>
  </si>
  <si>
    <t>He pauses his playing to hold up his hand while playing again and then stopping.</t>
  </si>
  <si>
    <t>v_N0mNYZaCJoQ</t>
  </si>
  <si>
    <t>A person pulls the rope of a camel that a man sits on.</t>
  </si>
  <si>
    <t>A man pulls a camel with two people in the desert.</t>
  </si>
  <si>
    <t>Two women are close to the camels.</t>
  </si>
  <si>
    <t>A car pass behind the camels.</t>
  </si>
  <si>
    <t>v_Kd3YFwF-2UM</t>
  </si>
  <si>
    <t>Several clips are shown of people throwing bowling balls down a lane as well as close ups of balls and pins.</t>
  </si>
  <si>
    <t>People continue bowling and the machine shows how the pins spin around and the balls returning to the back.</t>
  </si>
  <si>
    <t>v_03KTIy44yTo</t>
  </si>
  <si>
    <t>A bunch of brown leaves on green grass are blowing away together.</t>
  </si>
  <si>
    <t>The end of the leaf blower is closer to the grass and is blowing an even bigger area of brown leaves.</t>
  </si>
  <si>
    <t>The end of the leaf blower appears and disappears from view the whole time.</t>
  </si>
  <si>
    <t>v_zb2YYXs4gtw</t>
  </si>
  <si>
    <t>People are riding on the backs of camels.</t>
  </si>
  <si>
    <t>They get led down a trail by a person.</t>
  </si>
  <si>
    <t>People are standing behind a fence watching them.</t>
  </si>
  <si>
    <t>The camels lay down on the ground and the people step off of them.</t>
  </si>
  <si>
    <t>v_mfK2jcMGe1Y</t>
  </si>
  <si>
    <t>A girl in a bra is standing in her bathroom and brushing her hair.</t>
  </si>
  <si>
    <t>She does this for a while and continues to fix it.</t>
  </si>
  <si>
    <t>She then brushes it some more as it is very long.</t>
  </si>
  <si>
    <t>She turns around to get the back of it.</t>
  </si>
  <si>
    <t>v_5BYayNkmlBo</t>
  </si>
  <si>
    <t>A man is inside of a barn and is let out on a horse to catch a cow attached to the horse.</t>
  </si>
  <si>
    <t>As he throws his lasso,he misses the cow and runs to get something before going back to the cow.</t>
  </si>
  <si>
    <t>The man finally approaches the calf and another man comes out to assist him and he returns back to the horse.</t>
  </si>
  <si>
    <t>v_6LrY7uMj8Kg</t>
  </si>
  <si>
    <t>Three men sitting by the counter are sitting watching TV and then ladies in cheerdancing outfit started dancing as the men stare at them.</t>
  </si>
  <si>
    <t>The ladies started dancing, raising their arms up swinging their bodies.</t>
  </si>
  <si>
    <t>The girls play billiards and table football with the guys and they dance.</t>
  </si>
  <si>
    <t>v_DACWnbWrd18</t>
  </si>
  <si>
    <t>A large patch of grass is shown.</t>
  </si>
  <si>
    <t>A man is mowing the yard next to the bushes.</t>
  </si>
  <si>
    <t>He stops and talks to the camera.</t>
  </si>
  <si>
    <t>v_D707ZMWH7jQ</t>
  </si>
  <si>
    <t>A man in a red shirt begins talking in front of a wall of tool consisting of wrench,screws,ax and drills.</t>
  </si>
  <si>
    <t>He then holds up a small silver piece and begins sticking it into the chain of the bike.</t>
  </si>
  <si>
    <t>Next,he takes a black utensil,moves the pedals around and takes the chain completely off.</t>
  </si>
  <si>
    <t>He then takes a box with a new chain in it and puts it back on the bike and begins tightening the chain.</t>
  </si>
  <si>
    <t>v_y9xNMLhgTjY</t>
  </si>
  <si>
    <t>Several people riding skateboard are seen riding down a long hill while the camera follows them from behind.</t>
  </si>
  <si>
    <t>The cameraman continuously rides down a winding road past a group of trees and stops at the bottom to meet up with another.</t>
  </si>
  <si>
    <t>More riding is shown down the hill and ends with the camerman turning around.</t>
  </si>
  <si>
    <t>v_pvpfRBndHh8</t>
  </si>
  <si>
    <t>A lady in a gym punches both of her arms across her chest.</t>
  </si>
  <si>
    <t>The lady then kicks her left leg in the air and then the right one behind her.</t>
  </si>
  <si>
    <t>The lady repeats that sequence over and over.</t>
  </si>
  <si>
    <t>v_h15m87WsCHQ</t>
  </si>
  <si>
    <t>Hockey players are playing a hockey game on the ice.</t>
  </si>
  <si>
    <t>A crowd is watching them play.</t>
  </si>
  <si>
    <t>A man in yellow falls on the ice.</t>
  </si>
  <si>
    <t>A man in a suit is talking to hockey players.</t>
  </si>
  <si>
    <t>v_dkP1In7K63Y</t>
  </si>
  <si>
    <t>A man is spraying a sink with a pressure washer.</t>
  </si>
  <si>
    <t>The man sprays a toilet and then sprays the sink again.</t>
  </si>
  <si>
    <t>We see a title screen the man shows the machine and turns a dial and washer the floor, sink and toilet and mirror.</t>
  </si>
  <si>
    <t>The man uses a squeegee on the mirror.</t>
  </si>
  <si>
    <t>The man adjusts the machine and hooks up a hose and uses air to blow dry the sink and mops the floor.</t>
  </si>
  <si>
    <t>v_ZIFxB0gZ5tY</t>
  </si>
  <si>
    <t>We see a man swinging in a park.</t>
  </si>
  <si>
    <t>The man stands while holding onto the swing.</t>
  </si>
  <si>
    <t>The man stands again and we see a little girl.</t>
  </si>
  <si>
    <t>A lady tries to put the girl in the swing, but she ends up swinging alone.</t>
  </si>
  <si>
    <t>v_djgnHazfi2Y</t>
  </si>
  <si>
    <t>man is standing in stage doing gymnastics in a competition.</t>
  </si>
  <si>
    <t>man is holding a video recorder.</t>
  </si>
  <si>
    <t>v_UlGX-5x0Mak</t>
  </si>
  <si>
    <t>A boy holds an ice cream cone to a baby sitting in a high chair seat.</t>
  </si>
  <si>
    <t>The baby enjoys the ice cream cone.</t>
  </si>
  <si>
    <t>v_9Pv2hUyODK4</t>
  </si>
  <si>
    <t>A man in a black shirt is talking outside near a track and field.</t>
  </si>
  <si>
    <t>He then walks over to a student athlete from Florida State University.</t>
  </si>
  <si>
    <t>The athlete then begins talking and showing various techniques that she uses.</t>
  </si>
  <si>
    <t>Once finishes,she begins doing a triple jump into the pit,she tries again, and then the man interviewing her begins doing the same jump.</t>
  </si>
  <si>
    <t>The two come back to the camera and finish talking,she flashes her thumbs up and then leaves.</t>
  </si>
  <si>
    <t>v_1wiGNX_S8ZU</t>
  </si>
  <si>
    <t>Two people are seen doing flips and kicks around one another in a large circle surrounded by people.</t>
  </si>
  <si>
    <t>More people join in to the kicks and flips as others watch them on the side and clap.</t>
  </si>
  <si>
    <t>v_hhoewBggtuw</t>
  </si>
  <si>
    <t>We see a title over an image of a car.</t>
  </si>
  <si>
    <t>We see a man sitting next and talking about the car.</t>
  </si>
  <si>
    <t>The man puts a brick behind his tire and grabs his supplies to change his tire.</t>
  </si>
  <si>
    <t>The man loosens the bolts and jacks the car up and removes the tire.</t>
  </si>
  <si>
    <t>The man puts on his spare and lowers the car to the ground.</t>
  </si>
  <si>
    <t>The man puts his supplies away and drives away.</t>
  </si>
  <si>
    <t>The man stops near the camera and speaks before driving off.</t>
  </si>
  <si>
    <t>v_mzxz0EQy1pY</t>
  </si>
  <si>
    <t>A camera pans all around a heated pool and leads into a person climbing in a kayak and moving around the pool.</t>
  </si>
  <si>
    <t>Several people seen riding kayaks around the pool as well as people swimming around and watching on the sidelines.</t>
  </si>
  <si>
    <t>The men continue moving around in various angles as well as being shown swimming underwater and playing with one another.</t>
  </si>
  <si>
    <t>v_lIbRuIm9MxI</t>
  </si>
  <si>
    <t>Howcast logo is on the screen.</t>
  </si>
  <si>
    <t>Two men are sitting in the middle of drums and explaining about the instruments.</t>
  </si>
  <si>
    <t>The men begin playing the drums.</t>
  </si>
  <si>
    <t>The go back to talking about the drums.</t>
  </si>
  <si>
    <t>v_awqVlr-YDM4</t>
  </si>
  <si>
    <t>People are skiing down a hill and keep falling down and sliding down the hill.</t>
  </si>
  <si>
    <t>A person crashes into a fence.</t>
  </si>
  <si>
    <t>v_8rypSctbfjU</t>
  </si>
  <si>
    <t>A brush and two kinds of paint are on a table.</t>
  </si>
  <si>
    <t>A knitter's hoop is shown lying on cloth, and a woman paints a design into the cloth.</t>
  </si>
  <si>
    <t>She forms many leaves and flowers in orange shades.</t>
  </si>
  <si>
    <t>When she is done, she shows off the flower design.</t>
  </si>
  <si>
    <t>v_bCdIcqRYJvo</t>
  </si>
  <si>
    <t>A man sits and plays a black grand piano in an empty auditorium.</t>
  </si>
  <si>
    <t>We see three people in the front row watching and listening to the man as he plays and one person one row behind them.</t>
  </si>
  <si>
    <t>We see the three people, two women and one men.</t>
  </si>
  <si>
    <t>The player stands and plays.</t>
  </si>
  <si>
    <t>The player finishes and stands up.</t>
  </si>
  <si>
    <t>v_nShRXseBM4Y</t>
  </si>
  <si>
    <t>A person is slicing bread with a knife.</t>
  </si>
  <si>
    <t>They mix ingredients in a bowl.</t>
  </si>
  <si>
    <t>They cook the bread on a grill.</t>
  </si>
  <si>
    <t>They add a scoop of chocolate ice cream next to the sandwich.</t>
  </si>
  <si>
    <t>v_IFgEjS97Pmw</t>
  </si>
  <si>
    <t>A rustic static bike of wood is in a room.</t>
  </si>
  <si>
    <t>Then, a man pedal the bike while showing the handle.</t>
  </si>
  <si>
    <t>Then the man sits on the bike to pedal and then stands.</t>
  </si>
  <si>
    <t>v_XLsuG0cNl4o</t>
  </si>
  <si>
    <t>A man uses a beard trimmer to trim his cheeks and neck.</t>
  </si>
  <si>
    <t>The man strokes his goatee and examines it.</t>
  </si>
  <si>
    <t>The man trims his chin area to make a mustache.</t>
  </si>
  <si>
    <t>v_1iP5k9jHBRU</t>
  </si>
  <si>
    <t>A male is standing by the white door, he is holding rectangular wood, and on the other hand is a board that holds big chunk of brown clay.</t>
  </si>
  <si>
    <t>He pointed the wall and started to spread the brown clay on the wall, she spread it by rubbing it smoothly and in half circle way.</t>
  </si>
  <si>
    <t>He went near the ceiling, knocked on the ceiling, pushed it, knocked on it again, smoothen it using his fingers.</t>
  </si>
  <si>
    <t>v_PpbBWqlsbxk</t>
  </si>
  <si>
    <t>We see we an opening title screen.</t>
  </si>
  <si>
    <t>People stand in the woods holding paddles while wearing rafting gear.</t>
  </si>
  <si>
    <t>People walk to the lake with their rafts and get in.</t>
  </si>
  <si>
    <t>We see people riding rafts down a river.</t>
  </si>
  <si>
    <t>The people go over a small waterfall and their raft is overturned.</t>
  </si>
  <si>
    <t>People are plunged into the water as they go over a waterfall and a man pumps his fist.</t>
  </si>
  <si>
    <t>The camera pans up to show nature and fades to white.</t>
  </si>
  <si>
    <t>v_jsofzMPb0i4</t>
  </si>
  <si>
    <t>There's a basketball player demonstrating various types of basketball hoop shooting techniques on behalf of World of Hoops.</t>
  </si>
  <si>
    <t>He begins by showing the basic technique of the regular lay-up throw, he shoots the ball directly into the hoop.</t>
  </si>
  <si>
    <t>Then he shows another technique where he comes running and shoots the ball from very close to the hoop by jumping up high.</t>
  </si>
  <si>
    <t>He continues to show various other ways to shoot the basket as he runs and dunks the ball straight into the basket.</t>
  </si>
  <si>
    <t>He demonstrates different techniques of shooting the ball right into the hoop without missing a single basket.</t>
  </si>
  <si>
    <t>v_sTev5fWX3T8</t>
  </si>
  <si>
    <t>A teen is balancing on the higher uneven bar.</t>
  </si>
  <si>
    <t>Then, the teen flips and a man helps her to pass to the lower uneven bar.</t>
  </si>
  <si>
    <t>Two A girl exercise on the uneven bars behind the teen.</t>
  </si>
  <si>
    <t>v_IlzwpnsIRZM</t>
  </si>
  <si>
    <t>People are playing a game of ping pong.</t>
  </si>
  <si>
    <t>A man in a red shirt is playing with only one shoe on.</t>
  </si>
  <si>
    <t>v_EO_BnsrWMnI</t>
  </si>
  <si>
    <t>A man is seen wearing a funny uniform and walking out onto a large stage while intervening to speak to the camera.</t>
  </si>
  <si>
    <t>The man performs gymnastics moves around a beam in a silly manner and ends with the audience clapping and the man waving.</t>
  </si>
  <si>
    <t>v_63lmoqLxB8c</t>
  </si>
  <si>
    <t>People are playing a game of volleyball on a court.</t>
  </si>
  <si>
    <t>People are sitting along the benches against a wall watching.</t>
  </si>
  <si>
    <t>A boy serves the volleyball.</t>
  </si>
  <si>
    <t>v_xtmxgih0yIk</t>
  </si>
  <si>
    <t>A horse stands alone, attached to a wooden trunk.</t>
  </si>
  <si>
    <t>A man approaches the horse holding two brushes in his hands and speaks for a bit.</t>
  </si>
  <si>
    <t>He goes up to the horse and brushes the hair of the horse, removing the hair of the horse that attaches onto the brush.</t>
  </si>
  <si>
    <t>He pauses for a bit to speak.</t>
  </si>
  <si>
    <t>He goes back to removing the excess hair off the horse.</t>
  </si>
  <si>
    <t>He pauses again and speaks for a while.</t>
  </si>
  <si>
    <t>He returns to brushing the horse.</t>
  </si>
  <si>
    <t>He stops brushing the hair and speaks.</t>
  </si>
  <si>
    <t>v_u9oARzRT3fI</t>
  </si>
  <si>
    <t>A female gymnast mounts a high beam in a gym.</t>
  </si>
  <si>
    <t>She does lots of forward jumps, springs, and splits in the air.</t>
  </si>
  <si>
    <t>A boy in the background climbs a rope as she dismounts.</t>
  </si>
  <si>
    <t>v_JviFZ5Cliug</t>
  </si>
  <si>
    <t>A woman in a white shirt is standing by an exercise machine.</t>
  </si>
  <si>
    <t>She begins working out on the exercise machine.</t>
  </si>
  <si>
    <t>Information about the machine is placed on the screen.</t>
  </si>
  <si>
    <t>v_ZCZoL2b6euQ</t>
  </si>
  <si>
    <t>A man is throwing darts inside a room.</t>
  </si>
  <si>
    <t>Another man ducks so he doesn't get hit.</t>
  </si>
  <si>
    <t>The darts hit the dart board in slow motion.</t>
  </si>
  <si>
    <t>v_t0YXK4W_L7o</t>
  </si>
  <si>
    <t>A close up of a horse is seen followed by several people riding on a horses on a beach.</t>
  </si>
  <si>
    <t>One person is seen standing on the horse and the camera continues to follow the people riding along on the horses.</t>
  </si>
  <si>
    <t>v_WOonpO98TdQ</t>
  </si>
  <si>
    <t>A man and a woman in a garage style weight room demonstrate how to lift a weight bar with the woman exhibiting the lifting of the weights.</t>
  </si>
  <si>
    <t>A man in a black t-shirt and sandals stands next to a woman in a garage style weight room.</t>
  </si>
  <si>
    <t>The woman picks up a weight bar using the knees to bend as the man talks and points to her muscle groups.</t>
  </si>
  <si>
    <t>The woman hoists the bar above her head in a weight lifting move several times before lowering the bar back to the floor.</t>
  </si>
  <si>
    <t>v_vpvhtd7CqUA</t>
  </si>
  <si>
    <t>Some texts pops up on the screen.</t>
  </si>
  <si>
    <t>A video of bulls being hurt by people starts playing.</t>
  </si>
  <si>
    <t>Text pops up on the screen again.</t>
  </si>
  <si>
    <t>Images of people stabbed with arrows and full of blood are shown.</t>
  </si>
  <si>
    <t>More text with an anti bullfighting messages appear.</t>
  </si>
  <si>
    <t>Images of hurts bulls are shown.</t>
  </si>
  <si>
    <t>Anti animal cruelty text appears.</t>
  </si>
  <si>
    <t>A bull fighter is shown fighting a bull.</t>
  </si>
  <si>
    <t>A video is played of bullfighters getting gored.</t>
  </si>
  <si>
    <t>A new video showing dead animals plays.</t>
  </si>
  <si>
    <t>Condescending text appears in the video that chastises people for eating meat ane being cruel to animals.</t>
  </si>
  <si>
    <t>v_FfVfjZOHsl4</t>
  </si>
  <si>
    <t>A lawn mower is being pushed through grass.</t>
  </si>
  <si>
    <t>It is pushed along a sidewalk.</t>
  </si>
  <si>
    <t>It is pushed along a flower bed.</t>
  </si>
  <si>
    <t>v_pIUpJihiju0</t>
  </si>
  <si>
    <t>A person shows the bottom of a large dust mop.</t>
  </si>
  <si>
    <t>Then, the person cleans a gym with the large dust mop.</t>
  </si>
  <si>
    <t>v_HCub1SN4X20</t>
  </si>
  <si>
    <t>The girl in the swing is swinging and then she jumped on the ground.</t>
  </si>
  <si>
    <t>The camera turned around, then turned back to the girl swinging, she is twisting the chains of the swing, and she is swirling around with the swing.</t>
  </si>
  <si>
    <t>The girl in black shirt and black skirt and tights keeps swing so fast and high and then she jumped on the sandy ground.</t>
  </si>
  <si>
    <t>The girl climbed the climber, she put her feet up while her arms and hands are holding the bar.</t>
  </si>
  <si>
    <t>The girl fell down on the ground, she stood up, then went to the other side of the climber, reached for the bar and moved to the other next bar.</t>
  </si>
  <si>
    <t>The girl is sitting on blue bouncing chair while she look on her side, she stood up, continue to pull her weight forward and backward.</t>
  </si>
  <si>
    <t>The girl sat on top of the slide then slide down, put on her slippers then went back to the top of the slide and slide down.</t>
  </si>
  <si>
    <t>v_Oe1tNvkhrI8</t>
  </si>
  <si>
    <t>A blue backdrop is pictured with white words saying titling,"Mowing the Lawn May 2009".</t>
  </si>
  <si>
    <t>A middle aged man is outside,wearing a white muscle short and red shorts pushing a lawn mower in his yard.</t>
  </si>
  <si>
    <t>As the man turns the lawn mower to go in a different direction he begins to struggle and gets confused because the water fountain is in his way.</t>
  </si>
  <si>
    <t>Once,the male has become frustrated enough,he just decided to not mow it and goes back to his original place of cutting.</t>
  </si>
  <si>
    <t>v_OW5Tyr8MICg</t>
  </si>
  <si>
    <t>A close up of hands is shown followed by a girl brushing her hair and smiling to the camera.</t>
  </si>
  <si>
    <t>The girl continues brushing her hair and looking off into the distance.</t>
  </si>
  <si>
    <t>v_G4O_Ar7EO4Y</t>
  </si>
  <si>
    <t>A competitive sporting event is taking place in an outdoor arena and the competitors are on the ground while the spectators are in the stands.</t>
  </si>
  <si>
    <t>A man is now standing in a circle on the field and he's holding a ball and the banner display on the screen indicates his name is Krisztian PARS and that he's about to do a Hammer Throw M as he swings the ball that is attached to the rope, swings his body and then lets the rope go as it flies very far on the field.</t>
  </si>
  <si>
    <t>The man is very proud of his throw as he cheers and other competitors as well as people in the stands clap and cheer for him as well as he walks away from the area he was standing in and continues to cheer himself on a little more while giving a thumbs up to a group of camera men taking his picture.</t>
  </si>
  <si>
    <t>A replay of his throw starts again and then it ends with a wide angled shot of the entire arena.</t>
  </si>
  <si>
    <t>v_4d3RtnuVCV4</t>
  </si>
  <si>
    <t>A video of the UConn women's field hockey team is shown.</t>
  </si>
  <si>
    <t>The coach talks to the players and they have a practice.</t>
  </si>
  <si>
    <t>v_5qublDzEgsw</t>
  </si>
  <si>
    <t>Two men are shown playing soccer in a gym followed by a pan out showing more players.</t>
  </si>
  <si>
    <t>The man is white leads the ball down the gym several times and performing various tricks and goals.</t>
  </si>
  <si>
    <t>The game continues on with the men doing back and fourth playing with the soccer ball.</t>
  </si>
  <si>
    <t>v_4P0zJEfqCoM</t>
  </si>
  <si>
    <t>A woman gets her eyebrow clamped.</t>
  </si>
  <si>
    <t>A person pushes a needle through her eyebrow.</t>
  </si>
  <si>
    <t>They twist an earring into the eyebrow.</t>
  </si>
  <si>
    <t>They clean around the earring with a qtip.</t>
  </si>
  <si>
    <t>v_uwGcEaW3z3Q</t>
  </si>
  <si>
    <t>A man is trying to lift weights in a gym.</t>
  </si>
  <si>
    <t>He lifts the barbell up to his chest.</t>
  </si>
  <si>
    <t>He then lifts it over his head before dropping it to the ground.</t>
  </si>
  <si>
    <t>v_60yOoxs9AFc</t>
  </si>
  <si>
    <t>A band is seen playing several instruments on a stage while people dance around them.</t>
  </si>
  <si>
    <t>The band continues playing while lights flash all around them and people continue dancing.</t>
  </si>
  <si>
    <t>v_ko9efCldvgs</t>
  </si>
  <si>
    <t>A wooden outdoors stair case is shown outside of a white and brown horse.</t>
  </si>
  <si>
    <t>All of a sudden,a black dog comes around the corner and trots up the stairs and multiple replays are shown.</t>
  </si>
  <si>
    <t>Once the dog actually makes it to the top,he begins licking the person'a behind the camera shoe.</t>
  </si>
  <si>
    <t>v_BY5mz30u5_8</t>
  </si>
  <si>
    <t>A person is seen standing on a wake board point out and moving himself around.</t>
  </si>
  <si>
    <t>The camera follows him gliding out into the water gradually going further and further.</t>
  </si>
  <si>
    <t>v_jHyWtrhNTTk</t>
  </si>
  <si>
    <t>We see a black opening screen.</t>
  </si>
  <si>
    <t>We see a blue track with people running on it.</t>
  </si>
  <si>
    <t>We then see a man do a high jump at 5'9".</t>
  </si>
  <si>
    <t>We then see the man jump at 6'.</t>
  </si>
  <si>
    <t>We then see the man jump at 6'2" and he knocks the pole over.</t>
  </si>
  <si>
    <t>We see him try 6'2" again and not hit the pole.</t>
  </si>
  <si>
    <t>The man walks to the camera and turns it off.</t>
  </si>
  <si>
    <t>v_K9qWnvl8A1Q</t>
  </si>
  <si>
    <t>A little boy is holding a paintbrush in the yard.</t>
  </si>
  <si>
    <t>He is swiping a brush covered with water on the fence.</t>
  </si>
  <si>
    <t>He dips it in the bucket, continuing to pretend to paint.</t>
  </si>
  <si>
    <t>v_Ocd1VWIIeVs</t>
  </si>
  <si>
    <t>A man washes a car with a brush, while three people rinse the car with hoses.</t>
  </si>
  <si>
    <t>A man sprays detergent on a car.</t>
  </si>
  <si>
    <t>A person that wears a red t-shirt sprays detergent on a car, then two men rinse the car with hoses, while other cars are covered with white detergent.</t>
  </si>
  <si>
    <t>v_OrF46J3HmSw</t>
  </si>
  <si>
    <t>A young child is seen standing before a mat looking down at the floor.</t>
  </si>
  <si>
    <t>She then begins walking along the mat all the way to the end.</t>
  </si>
  <si>
    <t>She walks back and fourth again while looking to the camera.</t>
  </si>
  <si>
    <t>v_QZyR7yfp8hA</t>
  </si>
  <si>
    <t>A man is seen speaking to the camera next to a horse and leads into clips of him riding around on the horse and close ups of other horses.</t>
  </si>
  <si>
    <t>The host speaks to another man while more shots of horses are shown as well as a man hitting a ball.</t>
  </si>
  <si>
    <t>The men then ride horses and learn to play a sport and ends with the host speaking in a uniform.</t>
  </si>
  <si>
    <t>v_4E-RWxR6Xr0</t>
  </si>
  <si>
    <t>A guy rides an exercise bike.</t>
  </si>
  <si>
    <t>The guy adjusts the exercise bike seat.</t>
  </si>
  <si>
    <t>v_2Dlfwnvz76Q</t>
  </si>
  <si>
    <t>A woman is sitting at a desk.</t>
  </si>
  <si>
    <t>A man sitting in front of her is playing a harmonica.</t>
  </si>
  <si>
    <t>The woman is playing with her hair.</t>
  </si>
  <si>
    <t>v_mnMmGnnbvSk</t>
  </si>
  <si>
    <t>An array of shoe shining tools are shown including different kinds and colors of shoe polish, a polishing rag and a black shiny shoe.</t>
  </si>
  <si>
    <t>A group of adult students sit in a classroom style room and look to the front of the class as if attending a class and listening intensely.</t>
  </si>
  <si>
    <t>A shoe shine demonstration takes place with a man kneeling in front of a group of students and using a sample shoe as an example.</t>
  </si>
  <si>
    <t>Several people in aprons, then kneel before people wearing shoes and shine the people's shoes on red buckets with polishing clothes and polish.</t>
  </si>
  <si>
    <t>The shoes shiners then stand in unison, with their aprons, and bow and shake hands.</t>
  </si>
  <si>
    <t>v_hRMSh7vUmGY</t>
  </si>
  <si>
    <t>A man is lifting very heavy weight above his head and dropping it .</t>
  </si>
  <si>
    <t>He does this multiple time for repetition, this is a workout routine.</t>
  </si>
  <si>
    <t>He then walks away taking a break for a little bit and walks by people sitting and chatting.</t>
  </si>
  <si>
    <t>Once he is done with his break he continues back to his routine.</t>
  </si>
  <si>
    <t>v_q9T1GR6s0vI</t>
  </si>
  <si>
    <t>Two Sumo wrestlers are indoor fighting one another as the referee moves around them.</t>
  </si>
  <si>
    <t>One person is then thrown off of the mat and another set of people are shown.</t>
  </si>
  <si>
    <t>The smaller of the two then flips the big guy from in the air and then the match is over.</t>
  </si>
  <si>
    <t>The sequence continues and several other men are shown battling one another and giving each other wedgies.</t>
  </si>
  <si>
    <t>When the match is complete,two men are shown sitting at a desk with a phone number on a white board.</t>
  </si>
  <si>
    <t>v_yRjaK8wT4Rc</t>
  </si>
  <si>
    <t>A man is washing his hands in the sink.</t>
  </si>
  <si>
    <t>He takes a yellow rag and cleans the sink and faucet.</t>
  </si>
  <si>
    <t>A white bottle of cleaner is shown.</t>
  </si>
  <si>
    <t>v_RVKYgN2S9KA</t>
  </si>
  <si>
    <t>A girl wearing a bikini on the beach is shown doing several sits up on a ball and fixing her hair.</t>
  </si>
  <si>
    <t>She continues performing the exercise while smiling at the camera.</t>
  </si>
  <si>
    <t>v_HCsfxpQ8C1M</t>
  </si>
  <si>
    <t>A man holds a weigh on his back, then he kneels on the floor.</t>
  </si>
  <si>
    <t>After, he jumps from the floor to stand while the weigh is on his back.</t>
  </si>
  <si>
    <t>v_86lJVqKyj3A</t>
  </si>
  <si>
    <t>A woman demonstrates how to properly wrap a gift from behind the counter of a gift shop.</t>
  </si>
  <si>
    <t>A woman stands behind a sales counter in front of several wrapped gifts and gift wrapping materials.</t>
  </si>
  <si>
    <t>Gift wrapping materials are shown sitting on the counter including gift wrap, scissors, and ribbon.</t>
  </si>
  <si>
    <t>The woman talks to the camera and begins to wrap the box in gift wrapping paper using a pair of scissors to cut the gift wrapping paper and clear tape to tape the edges of the wrapping paper.</t>
  </si>
  <si>
    <t>The woman then wraps the gift with final ribbon and the camera closes up on the finishes, wrapped, product.</t>
  </si>
  <si>
    <t>v_57cM1GcKktw</t>
  </si>
  <si>
    <t>A heavy man in a blue shirt is playing the bag pipes.</t>
  </si>
  <si>
    <t>He blows into the pipe while making the notes with his fingers.</t>
  </si>
  <si>
    <t>He slightly dances as he plays.</t>
  </si>
  <si>
    <t>He adjusts the bag pipe and continues to play.</t>
  </si>
  <si>
    <t>He finishes his song and reaches to turn off the camera.</t>
  </si>
  <si>
    <t>v_x2DTmwZa8yE</t>
  </si>
  <si>
    <t>A man is sitting with a surgical mask on.</t>
  </si>
  <si>
    <t>He is cutting lemons up.</t>
  </si>
  <si>
    <t>v_lPYV3qFuXOI</t>
  </si>
  <si>
    <t>The video's title and credits are shown.</t>
  </si>
  <si>
    <t>A man rides a bicycle down a path with cars in the background.</t>
  </si>
  <si>
    <t>The man disassembles and repairs the bicycle.</t>
  </si>
  <si>
    <t>The man rides the bicycle down a stone paved path.</t>
  </si>
  <si>
    <t>The man rides the bicycle down a road alongside parked cars.</t>
  </si>
  <si>
    <t>v_jFp6ld_IGuY</t>
  </si>
  <si>
    <t>A man speaks on a microphone.</t>
  </si>
  <si>
    <t>Suddenly, a man jumps on the neck of a person and throw him to the floor.</t>
  </si>
  <si>
    <t>Other men competes wrestling, and one man jumps and land on the border of a wrestling ring.</t>
  </si>
  <si>
    <t>A wrestler jumps on the back of a man to stay upside down while the judge watch.</t>
  </si>
  <si>
    <t>A big man kicks another wrestler, then grabs his head a throw to the floor.</t>
  </si>
  <si>
    <t>A kid and a person jumps to celebrate.</t>
  </si>
  <si>
    <t>v_VbhCWRXsEHQ</t>
  </si>
  <si>
    <t>Parchment paper is placed on the baking sheet.</t>
  </si>
  <si>
    <t>Softened butter is placed in a mixing bowl.</t>
  </si>
  <si>
    <t>The mixer then begins to cream the butter.</t>
  </si>
  <si>
    <t>Sugar is added to the mixing bowl to be beaten in.</t>
  </si>
  <si>
    <t>Flour is measured, and combined with cornstarch which is measured then mixed into the bowl.</t>
  </si>
  <si>
    <t>Dough is measured out by spoonful, rolled up and placed on baking sheet.</t>
  </si>
  <si>
    <t>The dough is flattened and baked into cookies.</t>
  </si>
  <si>
    <t>The cookies are then placed on a baking sheet, then rack to cool with a spatula.</t>
  </si>
  <si>
    <t>The cookies are cooled to be enjoyed.</t>
  </si>
  <si>
    <t>v_wipGHu-nmNY</t>
  </si>
  <si>
    <t>A bartender is talking from behind a bar.</t>
  </si>
  <si>
    <t>He shows himself making several different drinks.</t>
  </si>
  <si>
    <t>Then he is shown making a specific red drink, shaking it before pouring it into a glass.</t>
  </si>
  <si>
    <t>v_0Bd8Js6Pf6E</t>
  </si>
  <si>
    <t>Two tam tams are in a living room.</t>
  </si>
  <si>
    <t>Then, A man comes and talks on front the tam tams.</t>
  </si>
  <si>
    <t>After, the man plays the tam tam in a living room.</t>
  </si>
  <si>
    <t>v_G3xayqdY0TY</t>
  </si>
  <si>
    <t>A man on the dock hands a rope to a water skier.</t>
  </si>
  <si>
    <t>A person water skis and does jumps over ramps in the water of a lake.</t>
  </si>
  <si>
    <t>The water skier falls but recovers then lets go of the rope and drifts over to the shoreline.</t>
  </si>
  <si>
    <t>v_2-xMWBQA7iM</t>
  </si>
  <si>
    <t>We see a man walk over and sits on a rowing machine.</t>
  </si>
  <si>
    <t>The man drink from his water.</t>
  </si>
  <si>
    <t>The man rows fast on the machine.</t>
  </si>
  <si>
    <t>We see a title screen.</t>
  </si>
  <si>
    <t>We see the man stop rowing and walks and gets the camera.</t>
  </si>
  <si>
    <t>The man then shows the screen on the rowing machine.</t>
  </si>
  <si>
    <t>The man kisses his fingers and the camera falls to the ground.</t>
  </si>
  <si>
    <t>v_nXVNITiaaTQ</t>
  </si>
  <si>
    <t>A man stands in front of a business logo and discusses.</t>
  </si>
  <si>
    <t>A rider goes around a turn and plants his foot in the dirt to stabilize.</t>
  </si>
  <si>
    <t>The rider accelerates out of a turn on his motorcycle.</t>
  </si>
  <si>
    <t>The rider goes over a jump on his motorcycle.</t>
  </si>
  <si>
    <t>v_YU0DjX7wvRA</t>
  </si>
  <si>
    <t>A cat is sitting on the floor looking up as his owner tried to grab him.</t>
  </si>
  <si>
    <t>The owner picks him up and sits down with him and begins to clip his nails.</t>
  </si>
  <si>
    <t>The cat is moving his head around wagging its tail around but not giving a hard time.</t>
  </si>
  <si>
    <t>The owner then begins to rub its belly and play with it's feet, before putting the cat back on the ground.</t>
  </si>
  <si>
    <t>v_Pi79Fa4YwDk</t>
  </si>
  <si>
    <t>We see men playing a game of cricket.</t>
  </si>
  <si>
    <t>The pitcher throws and men all start running.</t>
  </si>
  <si>
    <t>We see a man laying on the ground, with medics around.</t>
  </si>
  <si>
    <t>We see men walking on the field and A medic puts a ice pack on the man's head.</t>
  </si>
  <si>
    <t>We see in slow motion the collision which hurt the man.</t>
  </si>
  <si>
    <t>v_-YPp9kc3XDs</t>
  </si>
  <si>
    <t>man is sitting in a living room talking to the camera.</t>
  </si>
  <si>
    <t>man starts playing the flute and keep talknig.</t>
  </si>
  <si>
    <t>v_P3oTMGfwOOs</t>
  </si>
  <si>
    <t>Men use ladders to get on the roof to work.</t>
  </si>
  <si>
    <t>The men put a tarp around the house.</t>
  </si>
  <si>
    <t>The men are removing the roof pieces and throwing down onto the tarp.</t>
  </si>
  <si>
    <t>v_YAbfhT3fhac</t>
  </si>
  <si>
    <t>A gymnastic teams practices routines that involve jumping and flipping.</t>
  </si>
  <si>
    <t>They then switch to cheerleading outside.</t>
  </si>
  <si>
    <t>v_swOYvotIM1Y</t>
  </si>
  <si>
    <t>A woman and a man battle each other in a game of arm wrestling.</t>
  </si>
  <si>
    <t>She beats him and showcases her muscles.</t>
  </si>
  <si>
    <t>They do it again, she wins again, and shows off her muscles.</t>
  </si>
  <si>
    <t>v_KV0L45xelkE</t>
  </si>
  <si>
    <t>A female basketball coach is seen instructing a group of girl basketball players who are standing in line on a basketball court.</t>
  </si>
  <si>
    <t>The first girl passes to another coach and then runs to the net and takes a layup.</t>
  </si>
  <si>
    <t>The girls continue to do the drill on the right side.</t>
  </si>
  <si>
    <t>The girls move to the left side and perform the same drill on the left side of the court.</t>
  </si>
  <si>
    <t>v_8miqQQJEsO0</t>
  </si>
  <si>
    <t>woman is standing in a roofed gym lifting weight.</t>
  </si>
  <si>
    <t>coach is standing next to the gril coaching her and helping her.</t>
  </si>
  <si>
    <t>after a few advices the woman lift the weight again.</t>
  </si>
  <si>
    <t>v_wlYxVUJSJVI</t>
  </si>
  <si>
    <t>A group of kids are playing indoor soccer.</t>
  </si>
  <si>
    <t>The boys run, chasing the ball and fighting to get it away from each other.</t>
  </si>
  <si>
    <t>One boy kicks into the opposing team's goal.</t>
  </si>
  <si>
    <t>It is replayed in slow motion.</t>
  </si>
  <si>
    <t>The boys continue playing for the remainder of the game.</t>
  </si>
  <si>
    <t>On the final screen, an older man is shown holding a little boy in his arms.</t>
  </si>
  <si>
    <t>v_9uHffl5yny4</t>
  </si>
  <si>
    <t>A woman talks on a cordless phone while sitting on a throne, and while another woman kneels at her feet and wipes them down with her clothes.</t>
  </si>
  <si>
    <t>A woman in a purple sari kneels at the foot of another woman who is sitting on a gold throne and wearing a gold crown with red feathers in her hair.</t>
  </si>
  <si>
    <t>The woman on the throne sticks her foot out in front of the kneeling woman and the kneeling woman begins to wipe the woman's feet with her sari.</t>
  </si>
  <si>
    <t>The woman on the throne takes a phone call on black cordless phone and begins to talk before the scene finally fades to a blurry image of another woman talking on a phone.</t>
  </si>
  <si>
    <t>v_UpnFBPGFgnw</t>
  </si>
  <si>
    <t>A man is speaking while standing in front of a smart car.</t>
  </si>
  <si>
    <t>He gets in, continuing to talk as he shows the different component of the car, including the trunk.</t>
  </si>
  <si>
    <t>The man returns to the front of the vehicle, finishing with his final words.</t>
  </si>
  <si>
    <t>v_xuEhV19bVRI</t>
  </si>
  <si>
    <t>A compilation of professional wrestler Kevin Owens performing power bombs on many wrestlers, in the beginning of the video he enters the building with a confident look, as he proceeds to get in he performs multiple power bombs.</t>
  </si>
  <si>
    <t>The ending of the video has a subscriber message.</t>
  </si>
  <si>
    <t>v_H-yBxySDyTw</t>
  </si>
  <si>
    <t>A man in a office chair is sitting with some type of pen up.</t>
  </si>
  <si>
    <t>He talks about it for a little while and then put it in his mouth, turns out its an e-pen.</t>
  </si>
  <si>
    <t>It's a new technology that you can smoke like a cigarette.</t>
  </si>
  <si>
    <t>He holds it in his hands like a cigarette and puts it in his mouth and exhales smoke.</t>
  </si>
  <si>
    <t>v_uBkJa679ffE</t>
  </si>
  <si>
    <t>A woman with dark hair and silver framed glasses looks around pensively until her gaze lands on the camera and she feigns surprise at the presence of the camera and begins to talk to the camera.</t>
  </si>
  <si>
    <t>The woman begins to hold a pair of contact lenses and lens solution up to the camera and then proceeds to take the lenses out and talks to the camera alone again.</t>
  </si>
  <si>
    <t>The woman pours solution into her hand and cleans the lens in her hand before plopping two of them in her eyes and exhibiting completely black eyes to the camera while talking.</t>
  </si>
  <si>
    <t>The woman then takes the contact out of her eyes, then puts them back in on the fade out.</t>
  </si>
  <si>
    <t>v_9PuaRdU6ViM</t>
  </si>
  <si>
    <t>Two girls are seen speaking to the camera followed by a person laying fruit out and mixing it into a blender.</t>
  </si>
  <si>
    <t>The girls continue to put the fruit into a blender while taking bites on the side and pushing down further into the blender.</t>
  </si>
  <si>
    <t>v_14X-i7vqXWU</t>
  </si>
  <si>
    <t>A group of cheerleaders are seen yelling together all at once and leads into them performing a routine in front of a large audience.</t>
  </si>
  <si>
    <t>The people continue performing their routine on the mat while performing various flips and tricks and ends with them running off stage while the audience cheers.</t>
  </si>
  <si>
    <t>v_k3yRK68SEDE</t>
  </si>
  <si>
    <t>Two men are sitting at a table.</t>
  </si>
  <si>
    <t>The men engage in a game of arm wrestling.</t>
  </si>
  <si>
    <t>One of them beats the other.</t>
  </si>
  <si>
    <t>v_Rvqu079gCh0</t>
  </si>
  <si>
    <t>We see kids with feet on skateboards.</t>
  </si>
  <si>
    <t>We see the kids riding down the street from a skater pov.</t>
  </si>
  <si>
    <t>A kid crashes and has a hard time recovering.</t>
  </si>
  <si>
    <t>A boy loses his board and has to run after it.</t>
  </si>
  <si>
    <t>We see the person with a selfie stick fall in the grass.</t>
  </si>
  <si>
    <t>v_aEUbl9oT_0s</t>
  </si>
  <si>
    <t>Various shots are shown of athletes holding a pole in their hands and leaning backwards.</t>
  </si>
  <si>
    <t>This leads into several clips of more athletes throwing javelins off into the distance.</t>
  </si>
  <si>
    <t>More and more people are shown throwing javelins.</t>
  </si>
  <si>
    <t>v_kcPbEkv5UXE</t>
  </si>
  <si>
    <t>A girl plays a drum set in a city plaza for passing people.</t>
  </si>
  <si>
    <t>A lady walks up to watch the drummer play.</t>
  </si>
  <si>
    <t>The drummer plays a solo on the cymbal.</t>
  </si>
  <si>
    <t>The drummer ends the song and bows to the audience.</t>
  </si>
  <si>
    <t>v_6GGQUpJR5qs</t>
  </si>
  <si>
    <t>A person is lathering up a dog's fur with an purple shower head attached to a green hose.</t>
  </si>
  <si>
    <t>The dog shakes his fur.</t>
  </si>
  <si>
    <t>The person continues wetting the dog.</t>
  </si>
  <si>
    <t>v_KFk4ZpyYeuE</t>
  </si>
  <si>
    <t>A small child is seen standing on the ground and begins boxing with another.</t>
  </si>
  <si>
    <t>The boy uses boxing gloves to hit a man in front of him also wearing gloves.</t>
  </si>
  <si>
    <t>The two continue to go at it and leave with the man standing up.</t>
  </si>
  <si>
    <t>v_jRj8deMhPrQ</t>
  </si>
  <si>
    <t>A man in a black jacket is standing outside talking.</t>
  </si>
  <si>
    <t>People are skating on an ice rink.</t>
  </si>
  <si>
    <t>A man in a red hat is playing hockey and makes several goals.</t>
  </si>
  <si>
    <t>v_D_xht_r3n54</t>
  </si>
  <si>
    <t>An older man is shown cleaning off a car in front of a home with a snow scraper.</t>
  </si>
  <si>
    <t>The camera pans around the car while the older man continues to push snow off of it.</t>
  </si>
  <si>
    <t>v_mL7Ipu-HJ5M</t>
  </si>
  <si>
    <t>A woman is in a kitchen making a tomato sauce in the kitchen.</t>
  </si>
  <si>
    <t>The woman is showing the camera her plated food.</t>
  </si>
  <si>
    <t>The woman then grabs a green and a box of pasta.</t>
  </si>
  <si>
    <t>The lady then begins to stir the tomato sauce and puts greens into it.</t>
  </si>
  <si>
    <t>Lastly, the lady pours the pasta into the sauce.</t>
  </si>
  <si>
    <t>v_rFXOInUQjKo</t>
  </si>
  <si>
    <t>A window cleaner in sneakers and a beanie is hanging up and cleaning a window with a towel, with other cleaners behind him hard at work.</t>
  </si>
  <si>
    <t>He lowers himself down to another section of the window and wipes it with a blade.</t>
  </si>
  <si>
    <t>The camera person pans around the environment.</t>
  </si>
  <si>
    <t>v_wibcfckhRyU</t>
  </si>
  <si>
    <t>We see small boys playing tug of war in a field.</t>
  </si>
  <si>
    <t>A man in black walks past the kids.</t>
  </si>
  <si>
    <t>The kid in the white shirt lets go of the rope and puts his hands in the air.</t>
  </si>
  <si>
    <t>A lady walks up and talks to the kids.</t>
  </si>
  <si>
    <t>v_VTtRk9vvZoY</t>
  </si>
  <si>
    <t>A stack of sticks are shown in a pile followed by a person speaking and holding up an object.</t>
  </si>
  <si>
    <t>A person's hands are then seen lighting a match into the pile and creating a fire when he shows his face once more in the end.</t>
  </si>
  <si>
    <t>v_htfrXrKUIzg</t>
  </si>
  <si>
    <t>A man is seen standing behind a large animal holding a razor and speaking to the camera.</t>
  </si>
  <si>
    <t>The man then shaves all around the dog while stopping to speak to the camera and pet the dog.</t>
  </si>
  <si>
    <t>v_9khzc3a4zz0</t>
  </si>
  <si>
    <t>A woman is doing tricks with her jump rope.</t>
  </si>
  <si>
    <t>She does a hand stand while jump roping.</t>
  </si>
  <si>
    <t>She does a front flip while jump roping.</t>
  </si>
  <si>
    <t>She stops and walks forward.</t>
  </si>
  <si>
    <t>v_vnlxIMiHKRQ</t>
  </si>
  <si>
    <t>People are loading inflated tires into the body of water.</t>
  </si>
  <si>
    <t>People are floating on inflated tires.</t>
  </si>
  <si>
    <t>People are spraying elongated water guns.</t>
  </si>
  <si>
    <t>People are paddling canoes down the body of water.</t>
  </si>
  <si>
    <t>A guy present his can of beer.</t>
  </si>
  <si>
    <t>The speed of the video is accelerated.</t>
  </si>
  <si>
    <t>v_YDwHdB6MBrE</t>
  </si>
  <si>
    <t>Kids are playing lacrosse on a field.</t>
  </si>
  <si>
    <t>A woman in a blue jacket is standing on the field watching them.</t>
  </si>
  <si>
    <t>The kids are chasing around a yellow ball.</t>
  </si>
  <si>
    <t>v_EpLRCz5dwb0</t>
  </si>
  <si>
    <t>A woman starts running down a track.</t>
  </si>
  <si>
    <t>She throws a javelin onto the field.</t>
  </si>
  <si>
    <t>She gives someone behind her a high five.</t>
  </si>
  <si>
    <t>v_Rx9SIyFMfcY</t>
  </si>
  <si>
    <t>These people are shown exercising on the exercise bikes.</t>
  </si>
  <si>
    <t>These people are pedaling using only one leg and they're standing in the middle of the bike with the other one holding their hands up.</t>
  </si>
  <si>
    <t>Next they do a different exercise where they put one foot on the pedal, while they have one foot out and they bounce up and down.</t>
  </si>
  <si>
    <t>v_V-kMGMX-l2g</t>
  </si>
  <si>
    <t>A woman stands on front a young lady and talks.</t>
  </si>
  <si>
    <t>Then, the woman and the young lady perform fitness exercise while the woman talks.</t>
  </si>
  <si>
    <t>After, the woman and the young lady stop exercising, and the woman talks while making gestures with her hands.</t>
  </si>
  <si>
    <t>v_LVG7DLzI-GM</t>
  </si>
  <si>
    <t>A lady that works at a casino shows you how to play black jack.</t>
  </si>
  <si>
    <t>the lady deals out two card each 5 times and deals her self one card.</t>
  </si>
  <si>
    <t>the lady then explains what you are allowed to do with the cards that you where dealt with,she also deals out two more cards one each deck.</t>
  </si>
  <si>
    <t>finally she deals out two more cards to her self and shows the outcome from adding chips to the areas she dealt the card from the start.</t>
  </si>
  <si>
    <t>the lady then scoops up all the cards on the table and the round is over.</t>
  </si>
  <si>
    <t>v_oq54_GlzK6A</t>
  </si>
  <si>
    <t>The first clip of the video shows the title sequence.</t>
  </si>
  <si>
    <t>A man is then shown in a bowling store speaking to the camera.</t>
  </si>
  <si>
    <t>Another title slide introduces the next clip.</t>
  </si>
  <si>
    <t>As the man speaks to the camera, several clips are shown of a man rolling a bowling ball down the lane.</t>
  </si>
  <si>
    <t>The video ends with a clip showing the title logo and website information.</t>
  </si>
  <si>
    <t>v_M-PQajs86Bo</t>
  </si>
  <si>
    <t>A man pushes a child on the swing set of a large park area.</t>
  </si>
  <si>
    <t>The man holds the swing and brings the child to a stop.</t>
  </si>
  <si>
    <t>The man pushes the swing to get the child started again.</t>
  </si>
  <si>
    <t>v_MZ4yIxM6snw</t>
  </si>
  <si>
    <t>A man in a yellow construction top is inside painting the wall beige.</t>
  </si>
  <si>
    <t>He goes from the bottom up and grabs more paint on his tool.</t>
  </si>
  <si>
    <t>He is making progress across the wall pretty quickly the way he is doing it.</t>
  </si>
  <si>
    <t>He makes it half way across the wall but the bottom of the wall is still white.</t>
  </si>
  <si>
    <t>v_QvBG_Da97h8</t>
  </si>
  <si>
    <t>A graphic introduces the hand car wash video.</t>
  </si>
  <si>
    <t>The car is washed first gently with soap.</t>
  </si>
  <si>
    <t>Next, the tires are soaped and washed thoroughly.</t>
  </si>
  <si>
    <t>After that, the car's engine is steam cleaned.</t>
  </si>
  <si>
    <t>A final spot free rinse is applied and the car is dried.</t>
  </si>
  <si>
    <t>v_46D3Yvu-BL8</t>
  </si>
  <si>
    <t>A man is seen standing inside a large room and begins hitting a ball against a wall with a tennis racket.</t>
  </si>
  <si>
    <t>More shots of him hitting the ball are shown in the room and the ball rolls back to him in the end.</t>
  </si>
  <si>
    <t>v_NVeTGvwk8y0</t>
  </si>
  <si>
    <t>A glass of tequila sunrise is shown.</t>
  </si>
  <si>
    <t>A man is talking in front of a display of alcoholic drinks.</t>
  </si>
  <si>
    <t>He places the ingredients of alcohol and juice on a table, added the ingredients, as well as grenadine to a tall glass with ice.</t>
  </si>
  <si>
    <t>He displays the beautiful drink on the table.</t>
  </si>
  <si>
    <t>v_2vOBrR0jKgY</t>
  </si>
  <si>
    <t>A boy is talking in front of a camera in his room.</t>
  </si>
  <si>
    <t>He smokes a cigarette, then blows the smoke from his mouth.</t>
  </si>
  <si>
    <t>He begins making rings as he blows the smoke.</t>
  </si>
  <si>
    <t>v_yjUMopRteDc</t>
  </si>
  <si>
    <t>A woman is seated as a person with gloved hands inserts a hole into her tongue.</t>
  </si>
  <si>
    <t>The person clamps her tongue, then inserts a piercing.</t>
  </si>
  <si>
    <t>She is then shown smiling and showing off her stud.</t>
  </si>
  <si>
    <t>v_NQ51aXtD6Q0</t>
  </si>
  <si>
    <t>Several wrestlers are shown lined up in a game with a person choosing his characters.</t>
  </si>
  <si>
    <t>The game loads into people wrestling with one another in a ring.</t>
  </si>
  <si>
    <t>The men continue wrestling in the game and end by looking down at a player.</t>
  </si>
  <si>
    <t>v_EZZMYzY6Pug</t>
  </si>
  <si>
    <t>There's a man demonstrating how to melt wax and coat surfaces with wax using an iron.</t>
  </si>
  <si>
    <t>He melts a piece of wax against the heated surface of the iron.</t>
  </si>
  <si>
    <t>Then he smears the wax and coats on a surface.</t>
  </si>
  <si>
    <t>After the wax cools and solidifies, he scrapes it off the surface.</t>
  </si>
  <si>
    <t>v_IJER0EpbxW4</t>
  </si>
  <si>
    <t>A group of men are running across a gym.</t>
  </si>
  <si>
    <t>They run out into a ring together.</t>
  </si>
  <si>
    <t>They then engage in a wrestling match.</t>
  </si>
  <si>
    <t>v_RQajzyqAcQM</t>
  </si>
  <si>
    <t>A boy talks to the camera at a beach.</t>
  </si>
  <si>
    <t>A man walks from right to left in the background.</t>
  </si>
  <si>
    <t>The boy interacts with a man in front of a sand castle.</t>
  </si>
  <si>
    <t>A woman walks from right to left in the background.</t>
  </si>
  <si>
    <t>Several still images of the boy and the man, sometimes with other people, are shown in front of he sand castle at various stages of completion.</t>
  </si>
  <si>
    <t>The boy, now with two smaller children, interact with the man who is still working on the sand castle.</t>
  </si>
  <si>
    <t>More still images of various groups of people beside the sand castle are shown.</t>
  </si>
  <si>
    <t>v_TUhitcbJ5C4</t>
  </si>
  <si>
    <t>We see kids washing their hands in a class room at kid height sinks.</t>
  </si>
  <si>
    <t>We watch the boy try and get soap.</t>
  </si>
  <si>
    <t>The boy uses the soap dispenser again.</t>
  </si>
  <si>
    <t>The boy looks at the camera and talks.</t>
  </si>
  <si>
    <t>An adult grabs his hand when he attempts to get more soap.</t>
  </si>
  <si>
    <t>v_ZPLbrQ391jg</t>
  </si>
  <si>
    <t>An intro leads into several shots of a bike track as well as people moving along the track to race.</t>
  </si>
  <si>
    <t>The camera continues to capture the people riding around the track in slow motion with one person falling and several watching on the sides.</t>
  </si>
  <si>
    <t>The people then ride through the finish line an throw their arms up into the air.</t>
  </si>
  <si>
    <t>v_sFMa1EP7d2M</t>
  </si>
  <si>
    <t>A bicycle flipped upside down is up against the wall as an orange change is shown.</t>
  </si>
  <si>
    <t>A person then comes and removes the chain from the bike and places it on the ground.</t>
  </si>
  <si>
    <t>The man then takes out a yardstick and begins to measure certain parts of the bike.</t>
  </si>
  <si>
    <t>Pieces are then removed and tightened with the wrench and rings are placed inside by where the chain goes.</t>
  </si>
  <si>
    <t>v_uO9qoK8zGQc</t>
  </si>
  <si>
    <t>A man is doing Tai Chi moves on a beach alone in front of the sun.</t>
  </si>
  <si>
    <t>A group of people all dressed in white joins the man on the beach and does the martial arts moves.</t>
  </si>
  <si>
    <t>The man is alone again doing the moves.</t>
  </si>
  <si>
    <t>The people are with the man doing Tai Chi back on the beach.</t>
  </si>
  <si>
    <t>The man is alone on a hill doing the moves.</t>
  </si>
  <si>
    <t>The man is back on the beach doing the moves as the sun begins to set.</t>
  </si>
  <si>
    <t>The people are doing the moves with him on the beach.</t>
  </si>
  <si>
    <t>Words come across the screen.</t>
  </si>
  <si>
    <t>v_iF9jetQ7OTE</t>
  </si>
  <si>
    <t>A boy in a hat is talking.</t>
  </si>
  <si>
    <t>He smokes something and blows the smoke into the air.</t>
  </si>
  <si>
    <t>He continues talking to the camera.</t>
  </si>
  <si>
    <t>He smokes from the pipe again and blows the smoke out a few more times.</t>
  </si>
  <si>
    <t>v_XPcBV3UatRI</t>
  </si>
  <si>
    <t>A toddler iron a garment on a toy board.</t>
  </si>
  <si>
    <t>The toddler sprays the garment and folds, then she continues ironing it.</t>
  </si>
  <si>
    <t>Then, the toddler fold again the garment and iron it.</t>
  </si>
  <si>
    <t>v_Igm1Mx4Ng1k</t>
  </si>
  <si>
    <t>A person is seen wearing gear and wandering around a grassy area.</t>
  </si>
  <si>
    <t>The man uses a tool to cut along the grass.</t>
  </si>
  <si>
    <t>He continues moving along the grass and showing off the tool in the end.</t>
  </si>
  <si>
    <t>v_s5oN3d77e50</t>
  </si>
  <si>
    <t>A person is riding a dirt bike over a hill.</t>
  </si>
  <si>
    <t>Someone stands on top of a dirt hill.</t>
  </si>
  <si>
    <t>People are standing on the side of the hill.</t>
  </si>
  <si>
    <t>v_ZbS9R9faBQk</t>
  </si>
  <si>
    <t>A man is stirring a pot on a stove.</t>
  </si>
  <si>
    <t>A plate is brought over to the stove.</t>
  </si>
  <si>
    <t>He dishes out what was in the pan onto the plate.</t>
  </si>
  <si>
    <t>v_njPRhj-YgE0</t>
  </si>
  <si>
    <t>Many different women wearing many different shoes are walking a dog on the sidewalk, one wearing wedges walks up some stairs.</t>
  </si>
  <si>
    <t>A man begins to talk about what seems like a dog stylist parlor.</t>
  </si>
  <si>
    <t>There are many dogs being groomed and getting cute fancy hair cuts.</t>
  </si>
  <si>
    <t>One of them is wagging it's tails very excited enjoying the situation.</t>
  </si>
  <si>
    <t>v_NhM6jEV08s4</t>
  </si>
  <si>
    <t>Outside a lumbar jack is standing with an axe, he is dressed up in a coat to stay warm.</t>
  </si>
  <si>
    <t>There are plenty of logs piled up to the side of him.</t>
  </si>
  <si>
    <t>All cut and collected most likely by him for fires to keep the house warm during winter nights.</t>
  </si>
  <si>
    <t>He takes his axe and hits the branch with it.</t>
  </si>
  <si>
    <t>v_KnHUAc20WEU</t>
  </si>
  <si>
    <t>A large arena is shown with a large screen showing the athletes in the field.</t>
  </si>
  <si>
    <t>A man is then shown in a cage spinning around throwing a shot put that people begin to measure.</t>
  </si>
  <si>
    <t>Another man approaches the circle,repeats the action and begins to jump up in glee.</t>
  </si>
  <si>
    <t>More men approach the stand and it continues on until they have completed each of their turns then they turn to the audience and wave.</t>
  </si>
  <si>
    <t>v_wCG7f6naJsQ</t>
  </si>
  <si>
    <t>There's a man working a bicycle wheel with various tools.</t>
  </si>
  <si>
    <t>He starts off by turning the axle of the wheel with a pair of tongs to position the axle in the center.</t>
  </si>
  <si>
    <t>Then he fixes the center nut and uses a wrench to loosen it.</t>
  </si>
  <si>
    <t>Then he uses his hands to remove the axle out.</t>
  </si>
  <si>
    <t>He uses another tool to unscrew a washer out of the axle.</t>
  </si>
  <si>
    <t>Then he uses a tool with a magnetic end to remove tiny metal particles out of the axle.</t>
  </si>
  <si>
    <t>After that he cleans the inside rim of the greasy axle with his finger.</t>
  </si>
  <si>
    <t>Then he takes the washer and cleans it further to fix it back into the axle.</t>
  </si>
  <si>
    <t>v__hzMRy2_q4g</t>
  </si>
  <si>
    <t>A close up of fruit is seen sitting on a plate when a person's hand places them into a container.</t>
  </si>
  <si>
    <t>The person then pushes the fruit around the bowl with a spoon over and over again.</t>
  </si>
  <si>
    <t>The person drops the spoon in the mixture and ends with text across the screen.</t>
  </si>
  <si>
    <t>v_sHxzQu_4edY</t>
  </si>
  <si>
    <t>A woman is shown in a yard, talking to the camera.</t>
  </si>
  <si>
    <t>She is then on horseback, and a woman is shown in several scenes talking about technique.</t>
  </si>
  <si>
    <t>The girl rides the horse alone, then with other people down trails.</t>
  </si>
  <si>
    <t>v_MOOeHWuuxlo</t>
  </si>
  <si>
    <t>There's a man in a gym using an elliptical machine.</t>
  </si>
  <si>
    <t>He is wearing a pair of black track pants, black shirt and a cap.</t>
  </si>
  <si>
    <t>He demonstrates how to use the elliptical correctly to maintain a consistent speed.</t>
  </si>
  <si>
    <t>v_xW1M8k9A-gk</t>
  </si>
  <si>
    <t>A spoon is seen spinning around various foods and liquids and leads into a hand cutting up vegetables on a cutting board.</t>
  </si>
  <si>
    <t>A baby is seen watching from behind and the camera zooms in on various websites and foods present.</t>
  </si>
  <si>
    <t>Pasta is seen sitting in a pot and the person uses a spoon to spin it around.</t>
  </si>
  <si>
    <t>They pour ingredients into a pot to bowl and add more vegetables, ending with all the ingredients put together on a plate to present.</t>
  </si>
  <si>
    <t>v_RgaFRpTYYR4</t>
  </si>
  <si>
    <t>A close up of a man is seen holding an accordion and sitting in front of a camera.</t>
  </si>
  <si>
    <t>The man begins playing the instrument while looking to the camera.</t>
  </si>
  <si>
    <t>He pauses to speak for a moment then continues on playing.</t>
  </si>
  <si>
    <t>v_oOu5vC3EB5E</t>
  </si>
  <si>
    <t>A man wearing a yellow shirt and a man wearing a black shirt play racket ball.</t>
  </si>
  <si>
    <t>The man in black serves the ball.</t>
  </si>
  <si>
    <t>The man in yellow serves the ball.</t>
  </si>
  <si>
    <t>The man in yellow serves the ball again.</t>
  </si>
  <si>
    <t>The man in yellow plays alone while the man in black stands by.</t>
  </si>
  <si>
    <t>A hand covers the camera lens.</t>
  </si>
  <si>
    <t>v_8J_bB1vI0uE</t>
  </si>
  <si>
    <t>A man stands atop a rock formation.</t>
  </si>
  <si>
    <t>Several scenes of individuals rock climbing are shown from various angles and settings, interspersed with brief closeup shots of the climbers.</t>
  </si>
  <si>
    <t>Several credits are shown on a black screen.</t>
  </si>
  <si>
    <t>v_j_e8c6tOQG8</t>
  </si>
  <si>
    <t>Water is rushing between rocks in a river.</t>
  </si>
  <si>
    <t>Rafters appear, paddling through the rushing currents.</t>
  </si>
  <si>
    <t>The rafter continues as he navigates the river.</t>
  </si>
  <si>
    <t>v_e1TfVkNgitY</t>
  </si>
  <si>
    <t>A blue logo appears across the screen with white words in it.</t>
  </si>
  <si>
    <t>A young male gymnast is then shown in a room in front of a balance beam.</t>
  </si>
  <si>
    <t>The gymnast then begins using his hands to describe the motions he is about to do.</t>
  </si>
  <si>
    <t>After,the male grabs the two bars and pulls himself up and holds his body up before going into a hand stand,he comes down,and does another one.</t>
  </si>
  <si>
    <t>The gymnast does several more tricks and then does a flip off of the bars.</t>
  </si>
  <si>
    <t>v_7Ql7Hw6c1-o</t>
  </si>
  <si>
    <t>A woman dressed in a blue shirt and black apron begins talking behind the table.</t>
  </si>
  <si>
    <t>On the table,she has five different kinds of paint, brushes and other supplies needed to complete the task.</t>
  </si>
  <si>
    <t>She then begins talking as she leans on a wooden table stand next to her.</t>
  </si>
  <si>
    <t>The lady begins by taking a screwdriver and removing the knob from the drawer and wiping it down with a wet cloth.</t>
  </si>
  <si>
    <t>Next comes the brown paint as she begins putting various strokes on it to finish it.</t>
  </si>
  <si>
    <t>The stand is done but then goes back and starts add a finish on it.</t>
  </si>
  <si>
    <t>v_ImXRDdhcCgs</t>
  </si>
  <si>
    <t>We see logs in a pile in the woods.</t>
  </si>
  <si>
    <t>A man in a cowboy hat walks up and grabs an ax.</t>
  </si>
  <si>
    <t>The man then goes around hitting the logs with the ax and splitting them in two hits.</t>
  </si>
  <si>
    <t>The man drops the ax and turns off the camera.</t>
  </si>
  <si>
    <t>v_2gc7pCOg-NE</t>
  </si>
  <si>
    <t>A person is walking around a tennis court.</t>
  </si>
  <si>
    <t>Another man appears swinging around a tennis racket.</t>
  </si>
  <si>
    <t>He bounces a tennis ball on the floor while the other man walks into frame.</t>
  </si>
  <si>
    <t>They talk for a bit while walking around and preparing to play.</t>
  </si>
  <si>
    <t>The man run back and fourth and hit the ball off the wall to each other.</t>
  </si>
  <si>
    <t>v_ILARi15rMWI</t>
  </si>
  <si>
    <t>There's a man on stilts jumping and doing stunts in an indoor gym.</t>
  </si>
  <si>
    <t>There are several spectators and judges watching him perform.</t>
  </si>
  <si>
    <t>After the man finishes his stunts, he gets off the stilts and the judges write down the scores.</t>
  </si>
  <si>
    <t>v_RgWvaKWa7YU</t>
  </si>
  <si>
    <t>A band plays drums in a circle around a lead drummer.</t>
  </si>
  <si>
    <t>The female drummers spinner their sticks while playing.</t>
  </si>
  <si>
    <t>The drummers hold up their sticks after completing the song.</t>
  </si>
  <si>
    <t>v_axoyB4pypWY</t>
  </si>
  <si>
    <t>A couple of cages are on the ground.</t>
  </si>
  <si>
    <t>There are dogs sleeping in each cage.</t>
  </si>
  <si>
    <t>A man is shown on a field performing tricks with a dog and a bunch of frisbees.</t>
  </si>
  <si>
    <t>The dog catches, flips, and chases the frisbees.</t>
  </si>
  <si>
    <t>v_N1-TZnH0jy4</t>
  </si>
  <si>
    <t>There's a little baby wearing a purple bib seated on a high chair holding and sucking on a Popsicle.</t>
  </si>
  <si>
    <t>The baby licks the Popsicle several times and then throws it down.</t>
  </si>
  <si>
    <t>v_xx5TLuZmjcE</t>
  </si>
  <si>
    <t>woman wearing black clothes is playing squash in a small wooden room.</t>
  </si>
  <si>
    <t>man with a stripped shirt is standing in a court room playing squash.</t>
  </si>
  <si>
    <t>a man and a woman are standing ni a wooden court playing squash.</t>
  </si>
  <si>
    <t>v_CwvtmoTWNgQ</t>
  </si>
  <si>
    <t>A windsurfer rides along choppy water across a canal with other riders in the background.</t>
  </si>
  <si>
    <t>The makes a turn of direction on his windsurfing board and pumps back and forth to maneuver it.</t>
  </si>
  <si>
    <t>A group of windsurfers ride together around a small dingy boat.</t>
  </si>
  <si>
    <t>v_gwbRqyRZguM</t>
  </si>
  <si>
    <t>A group of children are swinging together on a piece of equipment.</t>
  </si>
  <si>
    <t>They are shown in groups, swinging back and forth on the platform.</t>
  </si>
  <si>
    <t>They are located in an outdoor park.</t>
  </si>
  <si>
    <t>v_oOURAJ7nraU</t>
  </si>
  <si>
    <t>A male athlete is standing outside on a field stretching preparing himself to run.</t>
  </si>
  <si>
    <t>After he is ready,the man takes off running and does several long jumps into the pit.</t>
  </si>
  <si>
    <t>As he ends his last jump,two people come to the pit and start to measure the distance.</t>
  </si>
  <si>
    <t>v_Mv2L6HxB2dk</t>
  </si>
  <si>
    <t>There are several people skating on the main road in the downtown area of a city at night.</t>
  </si>
  <si>
    <t>The street is lit up with street lights and stores along the sidewalk.</t>
  </si>
  <si>
    <t>The people skate through the road where there are no cars driving.</t>
  </si>
  <si>
    <t>v_BJGACTBaU_Y</t>
  </si>
  <si>
    <t>A man is seen walking closer to a pinata while a large group of people stand around him.</t>
  </si>
  <si>
    <t>The man misses the pinata and hits a person behind him, shown again in slow motion.</t>
  </si>
  <si>
    <t>v_ZOczr9WCVig</t>
  </si>
  <si>
    <t>There are many different tiles being shown and there is wooden floors being shown.</t>
  </si>
  <si>
    <t>First the man removes the baseboard, then he gets a drill and puts screws in the floor.</t>
  </si>
  <si>
    <t>Then he draws lines to put tiles on the floor.</t>
  </si>
  <si>
    <t>I then see him with a machine that cuts tiles in half and he puts half of a tile on the floor.</t>
  </si>
  <si>
    <t>Then he smears cement onto the floor and lies the tiles on top of it.</t>
  </si>
  <si>
    <t>He hammers the tiles a little to make them lie flat.</t>
  </si>
  <si>
    <t>Then floor is now finished and he wipes the tiles off making them shiny.</t>
  </si>
  <si>
    <t>v_ZnoSOqba2HM</t>
  </si>
  <si>
    <t>A baby is standing on the carpet.</t>
  </si>
  <si>
    <t>A person brushes the child's teeth with a blue toothbrush.</t>
  </si>
  <si>
    <t>The child reaches for the camera.</t>
  </si>
  <si>
    <t>v_q4M7SsGjFro</t>
  </si>
  <si>
    <t>We see a girl performing with batons.</t>
  </si>
  <si>
    <t>The girl throws her leg in the air and spins.</t>
  </si>
  <si>
    <t>The girl does a cartwheel.</t>
  </si>
  <si>
    <t>The girl kneels down and picks up a baton.</t>
  </si>
  <si>
    <t>The girls finishes and throws her arms in the air.</t>
  </si>
  <si>
    <t>The girl walks over and hugs her dad.</t>
  </si>
  <si>
    <t>v_um2h6O3zjGM</t>
  </si>
  <si>
    <t>A man is watching a game eating an ice cream cone.</t>
  </si>
  <si>
    <t>People are sitting behind a desk laughing.</t>
  </si>
  <si>
    <t>v_lGPUCwHjiK0</t>
  </si>
  <si>
    <t>A man is preparing to run and jump.</t>
  </si>
  <si>
    <t>He runs very quickly down the track.</t>
  </si>
  <si>
    <t>He takes a flying jump over the high bar onto a mat.</t>
  </si>
  <si>
    <t>v_-qtdjw3MYcY</t>
  </si>
  <si>
    <t>A girl is sitting down in a chair.</t>
  </si>
  <si>
    <t>Another person is standing behind her.</t>
  </si>
  <si>
    <t>The woman behind her begins braiding her hair.</t>
  </si>
  <si>
    <t>v_Pd9qzQ2MOE8</t>
  </si>
  <si>
    <t>Two men are seen kneeling and sitting before a wall with one speaking to the camera and beginning to lay metal down on the side.</t>
  </si>
  <si>
    <t>The two line it up as well as drill the metal into place while continuing to drill down more while the man speaks to the camera and shows more shots of his crew working in the end.</t>
  </si>
  <si>
    <t>v_2jpnkf-xgf0</t>
  </si>
  <si>
    <t>A woman bakes cookies on a silicone mat.</t>
  </si>
  <si>
    <t>The ingredients are prepared and cookies are cut.</t>
  </si>
  <si>
    <t>v_KmJFUfqGKZA</t>
  </si>
  <si>
    <t>An underwater coral reef is shown.</t>
  </si>
  <si>
    <t>The scuba diver rides a horse and then looks at rays.</t>
  </si>
  <si>
    <t>v_dffUIntKlGI</t>
  </si>
  <si>
    <t>A young child is seen running up and down a bricked area while standing in front of a hop scotch game drawn out.</t>
  </si>
  <si>
    <t>The girl then hops along the chalk while looking at the camera and holding her hair out of her face.</t>
  </si>
  <si>
    <t>In the end she gives the person holding the camera a high give.</t>
  </si>
  <si>
    <t>v_c9A384zijnk</t>
  </si>
  <si>
    <t>Various clips are shown of food close up as well as people speaking to the camera.</t>
  </si>
  <si>
    <t>Shots are shown of the outside of a restaurant as well as chefs cooking the food and people eating the food.</t>
  </si>
  <si>
    <t>v_8Tyu4-JnfDc</t>
  </si>
  <si>
    <t>A white screen appears with a green logo and green and gray words appear and it says "howdini get yourself a guru".</t>
  </si>
  <si>
    <t>A brunette woman standing in a kitchen is talking and the words on the screen say "Howdini Guru Cricket Azima Chef and Author", then a green screen appears quickly and it say's "Cookie Exchange Recipes", and goes back to the woman talking.</t>
  </si>
  <si>
    <t>Cookies on a plate are shown and the words on the screen say they are "Peanut Butter Blossoms", and begins to show the woman pouring all the ingredients into a bowl to make them, rolling them in sugar, putting them on a tray for baking, and then showing the final product when they're done baking and the website to go to to see the full recipe.</t>
  </si>
  <si>
    <t>The woman is talking again and the next cookie she is shown making is called "cookie snowballs" and it shows all the ingredients needed, a list on how long to cook it for, and she's demonstrating step by step until it's all baked and on a plate next to the other cookies.</t>
  </si>
  <si>
    <t>The video ends with more pictures of other cookies she wasn't shown making, then to a green screen that has white words that include a message to go to their website if you want to see more videos of their cookie recipes.</t>
  </si>
  <si>
    <t>v_F_uouNToDWo</t>
  </si>
  <si>
    <t>A lady on a rowing machine in a gym sits still.</t>
  </si>
  <si>
    <t>The lady leans forward and works out slowly on the machine.</t>
  </si>
  <si>
    <t>The lady starts to row a little faster and the screen fades to black.</t>
  </si>
  <si>
    <t>v_D4zZErqkD6A</t>
  </si>
  <si>
    <t>Two dancers are seen holding a pose in the middle of a large gymnasium and begin performing a routine using batons.</t>
  </si>
  <si>
    <t>The girls continue dancing and spinning around with the sticks and end by holding a pose.</t>
  </si>
  <si>
    <t>v_Th0SMArnWiY</t>
  </si>
  <si>
    <t>We see BMX racers on the field and in various locations and riding their bikes.</t>
  </si>
  <si>
    <t>Two men fall off their bikes.</t>
  </si>
  <si>
    <t>We see the races start high on a platform.</t>
  </si>
  <si>
    <t>A man holds a surfboard and a man carries a bike up steps.</t>
  </si>
  <si>
    <t>We see a laughing man holding a surfboard.</t>
  </si>
  <si>
    <t>A lady throws a hand sign to the camera.</t>
  </si>
  <si>
    <t>We see aerial shots of the fields.</t>
  </si>
  <si>
    <t>A man takes a photo and a man holds a New Zeland flag.</t>
  </si>
  <si>
    <t>A man fall off his bike hard.</t>
  </si>
  <si>
    <t>The video fades to black.</t>
  </si>
  <si>
    <t>v_YCrSiqY-TVw</t>
  </si>
  <si>
    <t>Various clips are shown of the inside and outside of an arena as well as the camera panning out from the ice and two people speaking to one another.</t>
  </si>
  <si>
    <t>Several shots are then shown of people curling and close ups of the pucks.</t>
  </si>
  <si>
    <t>More clips are shown of people playing the game as well as team mates watching.</t>
  </si>
  <si>
    <t>v_MldEr60j33M</t>
  </si>
  <si>
    <t>A man in a white shirt bends over and picks up a large weight.</t>
  </si>
  <si>
    <t>He lifts the weight up to his shoulders.</t>
  </si>
  <si>
    <t>He bends down and lifts the weight over his head.</t>
  </si>
  <si>
    <t>v_LtQTtCplKz0</t>
  </si>
  <si>
    <t>A man by the name of ALEX AL-AMEEN is smiling and talking and the words below his name say that he has been "SELECTED FOR COMMONWEALTH GAMES 2014 110 METRE HURDLES".</t>
  </si>
  <si>
    <t>A man is then shown on the track sitting on the ground prepping his feet for his shoes as he wraps tape around his foot.</t>
  </si>
  <si>
    <t>Three men are now walking to a track where various people are running and taking turns doing hop, skip and jumps.</t>
  </si>
  <si>
    <t>A man briefly stops and talks to the camera while he appears a little out of breath.</t>
  </si>
  <si>
    <t>Another man is now kneeling and applying tape next to the sandy area of the jump while he talks.</t>
  </si>
  <si>
    <t>The man is now standing at a bar bell with very heavy weights and he slowly starts to lift it, then drops it.</t>
  </si>
  <si>
    <t>A woman is now holding dumbbells while she steps on some stairs, and the man is show again but this time he's pulling on an exercise equipment.</t>
  </si>
  <si>
    <t>The white outro screen appears with their logo and the words saying to subscribe to their youtube channel.</t>
  </si>
  <si>
    <t>v_eudqfH7Vz_c</t>
  </si>
  <si>
    <t>Three boys play a game of croquet on a large green lawn with croquet mallets and croquet balls.</t>
  </si>
  <si>
    <t>The boy sit on a bench outside with a bag of croquet mallets and balls and talk to each other.</t>
  </si>
  <si>
    <t>The boys then enter the field and hurt themselves trying to untangle the croquet tools.</t>
  </si>
  <si>
    <t>The boys then start to play, talking to each other through it and end up chasing each other through the field and tackling each other on the ground.</t>
  </si>
  <si>
    <t>The boys finally look at a cell phone together from the field and then layer their croquet mallets on top of one another in a seeming attempt to get the balls through the croquet goal by guiding them through the holes in the layered mallets.</t>
  </si>
  <si>
    <t>v_yOFIXQCbSqc</t>
  </si>
  <si>
    <t>A large group of people are seen swimming around a pool with a man talking on the side.</t>
  </si>
  <si>
    <t>The group begin throwing the ball around while swimming around each other.</t>
  </si>
  <si>
    <t>The group continues swimming and playing ball with each other.</t>
  </si>
  <si>
    <t>v_jqRJM8b4pgE</t>
  </si>
  <si>
    <t>A man is sitting at a booth surrounded by pipes, talking and gesturing.</t>
  </si>
  <si>
    <t>The man holds up one end of the pipe.</t>
  </si>
  <si>
    <t>The man demonstrates how to smoke using the pipe, as he blows ringed smoke out of his mouth.</t>
  </si>
  <si>
    <t>He continues to talk and gesture.</t>
  </si>
  <si>
    <t>v_hg-wVv7XSFo</t>
  </si>
  <si>
    <t>picture of supplies that are needed to do hairstyle .</t>
  </si>
  <si>
    <t>Separate hair into two parts down the middle.</t>
  </si>
  <si>
    <t>French braiding hair from left to right all the way to the end.</t>
  </si>
  <si>
    <t>French braiding hair from the back going right to left all the way to the end.</t>
  </si>
  <si>
    <t>Connect the braids together using a bobby pin.</t>
  </si>
  <si>
    <t>Separate the braids all over to make braids look fuller to form a crown.</t>
  </si>
  <si>
    <t>v_DF9CGVGiKXY</t>
  </si>
  <si>
    <t>Five people are jump roping on a blue mat.</t>
  </si>
  <si>
    <t>They do flips and tricks while jump roping.</t>
  </si>
  <si>
    <t>They finish and hug each other before walking off.</t>
  </si>
  <si>
    <t>v_1fmaEo3wzxg</t>
  </si>
  <si>
    <t>A lady sits in a tattoo chair talking.</t>
  </si>
  <si>
    <t>The lady has a tattoo added to her back.</t>
  </si>
  <si>
    <t>The other lady sits in the chair.</t>
  </si>
  <si>
    <t>The second lady is being tattooed.</t>
  </si>
  <si>
    <t>We see the finished tattoos.</t>
  </si>
  <si>
    <t>v_pQQb2FP1ewE</t>
  </si>
  <si>
    <t>Two men push a small private helicopter out of its shed.</t>
  </si>
  <si>
    <t>They land on a beach, then fly it over the clear ocean water.</t>
  </si>
  <si>
    <t>They skydive, opening their parachutes as they get closer to the water.</t>
  </si>
  <si>
    <t>They then scuba dive to the bottom and put on scuba gear to explore the ocean floor.</t>
  </si>
  <si>
    <t>v_lKCDcLEby-Y</t>
  </si>
  <si>
    <t>A large group of people are seen standing around an area and lead into people playing tug of war.</t>
  </si>
  <si>
    <t>People in costume cheer them on as they continue to play as well as showing people dancing in the city.</t>
  </si>
  <si>
    <t>More pictures are shown of the event as well as people speaking to one another.</t>
  </si>
  <si>
    <t>v_6VD_qwIgTzU</t>
  </si>
  <si>
    <t>A tattoo artist is seen tattooing a girls foot and leads into a man speaking to the camera.</t>
  </si>
  <si>
    <t>The man continues speaking to the camera as well as pointing and looking away.</t>
  </si>
  <si>
    <t>v_vB00ah6E5E4</t>
  </si>
  <si>
    <t>A young boy plays the violin.</t>
  </si>
  <si>
    <t>He stops playing the violin.</t>
  </si>
  <si>
    <t>v_ElXkXNbsZac</t>
  </si>
  <si>
    <t>A man in white apron and pants stands on a ladder holding a pencil and wallpaper.</t>
  </si>
  <si>
    <t>The man applies a strip of wallpaper to a wall and smooths with his hand.</t>
  </si>
  <si>
    <t>The man uses a rag and then a brush to smooth out thee wall paper to the wall surface.</t>
  </si>
  <si>
    <t>The painter uses a spatula and blade to trim a straight line on the wallpapers edge along the ceiling.</t>
  </si>
  <si>
    <t>The man gets down from the ladder and unrolls the wallpaper to the floor.</t>
  </si>
  <si>
    <t>The man continues to smooth out the lower section of the wallpaper with a brush down to the floorboard.</t>
  </si>
  <si>
    <t>The man trims the lower edge of the wall paper with a blade against the floor board.</t>
  </si>
  <si>
    <t>The man trims the corner of the wall paper from the ceiling down the the floor.</t>
  </si>
  <si>
    <t>v_AWAMhmc08Cw</t>
  </si>
  <si>
    <t>Two children are seen sitting in a tub rubbing their faces and another person's hands interacting.</t>
  </si>
  <si>
    <t>The boy continues to rub water all over his face as well as play with toys and smile at the cameraman.</t>
  </si>
  <si>
    <t>v_PpC4kPd5KfA</t>
  </si>
  <si>
    <t>A man walks up to a lane in a bowling alley.</t>
  </si>
  <si>
    <t>He throws the ball and watches it glide down the lane multiple times.</t>
  </si>
  <si>
    <t>It knocks down all but two pins, which he misses the second time.</t>
  </si>
  <si>
    <t>v_8jJdHFW-lys</t>
  </si>
  <si>
    <t>little girl is in stage in a competition and do a jump into a parallel to do gymnastics and somersaults.</t>
  </si>
  <si>
    <t>peolpe is standing behind the stage talking.</t>
  </si>
  <si>
    <t>v_dx5VK79QWlg</t>
  </si>
  <si>
    <t>A woman is knitting in bed.</t>
  </si>
  <si>
    <t>The woman puts her arms down to catch the yarn.</t>
  </si>
  <si>
    <t>The woman shows what she was making.</t>
  </si>
  <si>
    <t>v_AGDsfpZQBIs</t>
  </si>
  <si>
    <t>People are standing on a field of grass.</t>
  </si>
  <si>
    <t>A man holds a ball near his neck and spins around.</t>
  </si>
  <si>
    <t>He throws it onto the field.</t>
  </si>
  <si>
    <t>v_t1MXansbY5s</t>
  </si>
  <si>
    <t>A woman opens a white closet door.</t>
  </si>
  <si>
    <t>She removes some shoes from the closet.</t>
  </si>
  <si>
    <t>She puts on the shoes.</t>
  </si>
  <si>
    <t>She then laces them up.</t>
  </si>
  <si>
    <t>v_X4P9YA6Oabg</t>
  </si>
  <si>
    <t>A young blonde lady is talking to the camera inside her room.</t>
  </si>
  <si>
    <t>She separates her hair into sections.</t>
  </si>
  <si>
    <t>She then shows how to braid the sections and pin it in place.</t>
  </si>
  <si>
    <t>v_NB4IBjUmrcI</t>
  </si>
  <si>
    <t>A man is indoors, wearing boxing gloves.</t>
  </si>
  <si>
    <t>He is kickboxing with a large punching bag, kicking and punching it over and over.</t>
  </si>
  <si>
    <t>v_NzL_uQyQjIw</t>
  </si>
  <si>
    <t>People walk holding surfboards, then they board a boat.</t>
  </si>
  <si>
    <t>A man water ski behind the boat jumping high and spinning.</t>
  </si>
  <si>
    <t>Then, a woman and a man water ski doing acrobatic jumps.</t>
  </si>
  <si>
    <t>A boat sails empty in the river.</t>
  </si>
  <si>
    <t>After, men water ski jumping and turning around.</t>
  </si>
  <si>
    <t>Next, a person surf on the waves created by the boat, after the man water ski jumping and flipping high.</t>
  </si>
  <si>
    <t>v_TYRDXDR5l9U</t>
  </si>
  <si>
    <t>A person is seen standing before a sink with running water and pushing their hands under the water.</t>
  </si>
  <si>
    <t>They then put soap into their hands, scrub for a bit, and then run their hands under the water.</t>
  </si>
  <si>
    <t>Finally she runs her hands under the water and dries her hand off with a paper towel.</t>
  </si>
  <si>
    <t>v_nv22QK8brp4</t>
  </si>
  <si>
    <t>On a river, people gather to watch people on donuts and boats kayaking rough waters.</t>
  </si>
  <si>
    <t>A couple of people on a kayak are flipped over and fall into the river.</t>
  </si>
  <si>
    <t>v_uwxuvGci98g</t>
  </si>
  <si>
    <t>A female with a long blonde pony tale begins running across a large green field throwing a ball.</t>
  </si>
  <si>
    <t>She then continues running across the field and begins looking at the bleachers and anticipating a softball game.</t>
  </si>
  <si>
    <t>As the action continues,she progresses through the bleachers and a url appears on the last screen to watch live cricket games.</t>
  </si>
  <si>
    <t>v_VbzzcpsAPo8</t>
  </si>
  <si>
    <t>A black and white video plays and one of the men is Bruce Lee and he's very skillfully and creatively hitting the ping pong ball back and forth to another man who is holding a ping pong paddle, while Bruce Lee hits the ping pong ball with nanchucks and the man with a paddle can't keep the ball on the table.</t>
  </si>
  <si>
    <t>Now there are two men at the end of the table who are both holding paddles and playing against Bruce Lee as they attempt to keep the ball on the table but ultimately fail.</t>
  </si>
  <si>
    <t>A black screen appears with white Asian lettering in the middle, then a website that say's "www lee35 come cn".</t>
  </si>
  <si>
    <t>v_8qIl-0XOguM</t>
  </si>
  <si>
    <t>The camera follows several people on a walkway from a first person perspective.</t>
  </si>
  <si>
    <t>The camera shows sliding down a snowy slope from a first person perspective alongside others.</t>
  </si>
  <si>
    <t>The camera shows sliding down a snowy slope from a first person perspective looking backwards.</t>
  </si>
  <si>
    <t>The camera shows another slide down the slope from a first person perspective alongside others.</t>
  </si>
  <si>
    <t>The camera watches as multiple other people slide down the slope.</t>
  </si>
  <si>
    <t>The camera catches another slide down the slope from a first person perspective while spinning.</t>
  </si>
  <si>
    <t>The camera catches more slides down the slope from a first person perspective while looking left and right.</t>
  </si>
  <si>
    <t>v_sg5z7jus30w</t>
  </si>
  <si>
    <t>A person is seen sitting in a chair with his arm out getting a tattoo from a male artist.</t>
  </si>
  <si>
    <t>The men speak back and fourth to one another and the camera zooms in on the arm being done.</t>
  </si>
  <si>
    <t>In the end pictures of the men standing together are shown as well as the tattoo.</t>
  </si>
  <si>
    <t>v_gBOWkZBlc8g</t>
  </si>
  <si>
    <t>A large group of people are seen swimming around an ocean while two men pass a soccer ball back and fourth to one another on the shore.</t>
  </si>
  <si>
    <t>More people walk in and out of frame as the men continue to kick the ball back and fourth to one another.</t>
  </si>
  <si>
    <t>v_kkjBLmM6KEg</t>
  </si>
  <si>
    <t>A woman speaks to the camera while holding a card.</t>
  </si>
  <si>
    <t>A couple appears on a professional stage under a spotlight and performs a dance routine.</t>
  </si>
  <si>
    <t>The pair finishes their routine, he kisses her hand and the audience applauds.</t>
  </si>
  <si>
    <t>v_lue8XE3MEe8</t>
  </si>
  <si>
    <t>A man dressed in black shorts, t-shirt, sneakers and red baseball cap walks into an orange walled room with hardwood floors and demonstrates an arm lift exercise with two metal black dumbbells.</t>
  </si>
  <si>
    <t>An orange walled room is empty except for two black dumbbells lying horizontal on the floor.</t>
  </si>
  <si>
    <t>The man walks into the room and stands in front of the dumbbells and then falls to his knees where he talks and shows his profile and then turns, on his knees, again, to face the camera head on.</t>
  </si>
  <si>
    <t>The man then picks up the dumbbells and begins lifting them directly over his head, facing the camera, and then again from a profile angle, before placing the dumbbells down, vertically, and leaving the room.</t>
  </si>
  <si>
    <t>v_Q-dFr9ZS29s</t>
  </si>
  <si>
    <t>A young girl talks to a video camera with a curler in her bangs, occasionally holding a cell phone up to her face and introducing a younger person in the room with her in the background.</t>
  </si>
  <si>
    <t>The girl with curler in her bang talks to camera in a closeup angle.</t>
  </si>
  <si>
    <t>The girl points to the curler in her bang and holds up a cell phone to throw light onto her face which she brings closer to the camera.</t>
  </si>
  <si>
    <t>The girl laughs when a younger girl in the room with a pink wig on is shown in the background, she laughs again when the younger girl puts her pink wig in the camera.</t>
  </si>
  <si>
    <t>v_s7HB851cCrg</t>
  </si>
  <si>
    <t>A bunch of men are inside a green colored gym.</t>
  </si>
  <si>
    <t>They are lobbing a tennis ball back and forth.</t>
  </si>
  <si>
    <t>They are engaged in a game of tennis.</t>
  </si>
  <si>
    <t>v_-JhWjGDPHMY</t>
  </si>
  <si>
    <t>A man is sitting on a roof.</t>
  </si>
  <si>
    <t>He starts pulling up roofing on a roof.</t>
  </si>
  <si>
    <t>A man walks up a ladder onto the roof.</t>
  </si>
  <si>
    <t>v_mo_PhyaQHh0</t>
  </si>
  <si>
    <t>A boy is seen kneeling down before a wall and begins using a tool on the carpet.</t>
  </si>
  <si>
    <t>The man rubs his hand along the carpet and continues cutting.</t>
  </si>
  <si>
    <t>The man continues to cut along the rug while rubbing his hand across.</t>
  </si>
  <si>
    <t>v_Mzt-E6pxuUI</t>
  </si>
  <si>
    <t>A young blonde boy is standing at a kitchen sink with a handheld sprayer in his hand and he's spraying all the dishes.</t>
  </si>
  <si>
    <t>The boy then puts the sprayer in a green pot on the counter and begins spraying the water in there.</t>
  </si>
  <si>
    <t>The boy drops the sprayer then takes a cup from the sink, fills it with water then pours the water into the pot, fills it again and pours it into a bowl on the counter.</t>
  </si>
  <si>
    <t>The boy then picks up a clear glass filled with red liquid, drinks some of it, puts it under the faucet and adds water to it, drinks it a few times then dumps it out into the sink.</t>
  </si>
  <si>
    <t>The boy then takes a dish from the sink that has the red juice and tries to pour it into the pot on the counter but instead it spills all over the counter instead and he gets a sponge and tries to clean it up.</t>
  </si>
  <si>
    <t>v_2qcdjyT7nDY</t>
  </si>
  <si>
    <t>We see cheerleaders standing on the stage.</t>
  </si>
  <si>
    <t>The cheerleaders perform a routine.</t>
  </si>
  <si>
    <t>Four girls are lifted and they hold one girl in between them laying down.</t>
  </si>
  <si>
    <t>Ladies hold ladies who hold and shake their pom poms.</t>
  </si>
  <si>
    <t>Four ladies are lifted and hold two other ladies then a seventh lady.</t>
  </si>
  <si>
    <t>the team finishes and hugs.</t>
  </si>
  <si>
    <t>We see ending credits and still shots.</t>
  </si>
  <si>
    <t>A quote and website appears on the screen.</t>
  </si>
  <si>
    <t>v_YTWXDIMEjpg</t>
  </si>
  <si>
    <t>Several shots of a lake are shown followed by a person climbing behind a boat on a wake board.</t>
  </si>
  <si>
    <t>The person rides the wake board along the water while several cameras capture his movements and jumps behind the boat.</t>
  </si>
  <si>
    <t>The camera captures the person driving the boat as well as following the wake boarder close behind the boat.</t>
  </si>
  <si>
    <t>In the end three boys are riding the boat and driving along.</t>
  </si>
  <si>
    <t>v_I0w8zmcO_Cw</t>
  </si>
  <si>
    <t>A man stops his bike on the sidewalk.</t>
  </si>
  <si>
    <t>He jumps down to look at the wheel, then uses a tool to press into the rubber.</t>
  </si>
  <si>
    <t>He continues talking about the tool before joining in a bike race, then going back to talking on the sidewalk.</t>
  </si>
  <si>
    <t>v_arhhcCWkAoM</t>
  </si>
  <si>
    <t>Men swing around with a hammer throw ball before releasing it.</t>
  </si>
  <si>
    <t>A man does pull ups on a bar.</t>
  </si>
  <si>
    <t>A man lifts a large weight on his shoulders and also shoulder presses it above his head.</t>
  </si>
  <si>
    <t>Two men run track together.</t>
  </si>
  <si>
    <t>v_4o1k3KUHz6E</t>
  </si>
  <si>
    <t>A flag waves on a pole in a field.</t>
  </si>
  <si>
    <t>We see a mascot roll a ball to home plate and fall when its kicked back and hits him.</t>
  </si>
  <si>
    <t>We then see the mascot kick the ball and run a home run.</t>
  </si>
  <si>
    <t>The mascot runs and catches a ball in the field.</t>
  </si>
  <si>
    <t>The mascot high fives a line of people and chest bumps the last man knocking him over.</t>
  </si>
  <si>
    <t>v_ahVeDMNS9ws</t>
  </si>
  <si>
    <t>A close up of sneakers is shown followed by a person holding up various objects and mixing them together in a bowl.</t>
  </si>
  <si>
    <t>The person then uses a tooth brush all around the shoe using the ingredients and showing off the shoe.</t>
  </si>
  <si>
    <t>v_M2ntxFBPaug</t>
  </si>
  <si>
    <t>A person explains holding a racket and making moves with a racket in a tennis court.</t>
  </si>
  <si>
    <t>Then a man wearing black clothes serves a tennis ball that is returned, and he sends it back.</t>
  </si>
  <si>
    <t>Then, the person talks holding two ball, after the man serves again and the person talks.</t>
  </si>
  <si>
    <t>After, the man continues talking.</t>
  </si>
  <si>
    <t>v_y0_lTTdKkro</t>
  </si>
  <si>
    <t>A goalie is seen in several clips running back and fourth and blocking balls from getting by.</t>
  </si>
  <si>
    <t>The player continues running back and fourth while another man sits in front of him.</t>
  </si>
  <si>
    <t>v_r2oMItb5EVM</t>
  </si>
  <si>
    <t>A young man puts in a pan oil, onions, tomatoes, green leaves and salt, then mix to cook the vegetables.</t>
  </si>
  <si>
    <t>After, the man puts aside the vegetables, and cooks an omelette in the pan.</t>
  </si>
  <si>
    <t>After, the man puts the vegetables over the omelette and folds it, then he serves the omelette.</t>
  </si>
  <si>
    <t>v_QLACTCzs0R0</t>
  </si>
  <si>
    <t>A large group of Navy soldiers are shown on a dock playing a game of tug of war.</t>
  </si>
  <si>
    <t>On one side of the rope is a team pulling as hard as they can while being cheered on.</t>
  </si>
  <si>
    <t>Another Navy soldier is shown taking pictures of the game.</t>
  </si>
  <si>
    <t>The other side of the rope is shown.</t>
  </si>
  <si>
    <t>One team is pulled over a red line on the ground, ending the game.</t>
  </si>
  <si>
    <t>The men stand up to relax.</t>
  </si>
  <si>
    <t>v_DQXJ8OU7Ox4</t>
  </si>
  <si>
    <t>An introduction comes onto the screen for a female weight lifting competition.</t>
  </si>
  <si>
    <t>One of the female weight lifters is shown on the screen as she goes through several increasing levels of lifts one by one.</t>
  </si>
  <si>
    <t>When she finally reaches a weight that is too heavy for her to lift, she leaves the challenge.</t>
  </si>
  <si>
    <t>v_4zFiORtQrlA</t>
  </si>
  <si>
    <t>A man in polo shirt stands with a bike on a rack and demonstrates it's different features in a bike shop.</t>
  </si>
  <si>
    <t>The man takes out a tool and makes an adjustment to the wheel sprocket then turns the wheel before adjusting more.</t>
  </si>
  <si>
    <t>The man adjusts a shifter on the handlebars.</t>
  </si>
  <si>
    <t>v_uZCov5TG-Y8</t>
  </si>
  <si>
    <t>A man is ironing a shirt on an ironing board.</t>
  </si>
  <si>
    <t>Bags are shown sitting on the bed.</t>
  </si>
  <si>
    <t>v_tQmsDeu1d6M</t>
  </si>
  <si>
    <t>A small group of people are seen swimming around the wall while the camera pans around and watches them.</t>
  </si>
  <si>
    <t>The kids continue to move around the water as adults walk by as well.</t>
  </si>
  <si>
    <t>More shots are shown of kids playing in the sand.</t>
  </si>
  <si>
    <t>v_GPWXB0wy5dY</t>
  </si>
  <si>
    <t>The video that is shot horizontally shows several people windsurfing in the ocean on a sunny day.</t>
  </si>
  <si>
    <t>One of the surfers is going at very high speed against the waves.</t>
  </si>
  <si>
    <t>One surfer on an orange surf comes at top speed and loses control and falls into the water.</t>
  </si>
  <si>
    <t>The surfer with blue sails manages to stay on board as he surfs in the ocean.</t>
  </si>
  <si>
    <t>v_NRhoHN8x_00</t>
  </si>
  <si>
    <t>An older woman is seen sitting before a drum set playing a set of drums.</t>
  </si>
  <si>
    <t>She spins the drums around through her finger tips and continues playing the instrument while the camera captures her.</t>
  </si>
  <si>
    <t>v_xR9VOguQeKM</t>
  </si>
  <si>
    <t>A man performs high jump with a pole, he jumps over three horizontal lines that touches two of them.</t>
  </si>
  <si>
    <t>The man attempts to jumps higher than while jumping with the pole.</t>
  </si>
  <si>
    <t>Again, the man attempt to jump higher but he makes fall the horizontal line.</t>
  </si>
  <si>
    <t>v_fJyxb59mA-A</t>
  </si>
  <si>
    <t>We see a man sitting on a couch.</t>
  </si>
  <si>
    <t>The man is playing the bagpipe.</t>
  </si>
  <si>
    <t>The man laughs and stops playing.</t>
  </si>
  <si>
    <t>The man starts playing the bagpipe again.</t>
  </si>
  <si>
    <t>The man laughs hard again.</t>
  </si>
  <si>
    <t>The man stops playing the bagpipe.</t>
  </si>
  <si>
    <t>The man waves his hand in front of the camera.</t>
  </si>
  <si>
    <t>v_q0L4clHNIbc</t>
  </si>
  <si>
    <t>A woman is outside shoveling with a robohandle.</t>
  </si>
  <si>
    <t>It is making the process much quicker because it is a decent size and picks up a lot of the snow at once.</t>
  </si>
  <si>
    <t>She is making a lot of progress in such a small window of time using this snow robohandle.</t>
  </si>
  <si>
    <t>The handle honestly just looks like two large shovels though.</t>
  </si>
  <si>
    <t>v_SLv4rEkiYaU</t>
  </si>
  <si>
    <t>Text appears on the screen briefly.</t>
  </si>
  <si>
    <t>An elephant rides past a cow.</t>
  </si>
  <si>
    <t>People are in a tube on a river.</t>
  </si>
  <si>
    <t>v_WRXSn7DyaoI</t>
  </si>
  <si>
    <t>People are dancing on a dance floor at a wedding.</t>
  </si>
  <si>
    <t>A woman in a wedding dress is dancing with a man in a tuxedo.</t>
  </si>
  <si>
    <t>A man in a purple shirt is dancing with a woman.</t>
  </si>
  <si>
    <t>v_6LX02yo9iGo</t>
  </si>
  <si>
    <t>People prepare for a BMX bike race.</t>
  </si>
  <si>
    <t>A person lines up and then goes.</t>
  </si>
  <si>
    <t>v_n33Uv--Lbl4</t>
  </si>
  <si>
    <t>A girl in a yellow shirt is brushing her teeth in a bathroom.</t>
  </si>
  <si>
    <t>A girl next to her in a blue shirt is also brushing her teeth.</t>
  </si>
  <si>
    <t>They are both looking in the mirror.</t>
  </si>
  <si>
    <t>v_ybFvomdhW2Y</t>
  </si>
  <si>
    <t>A woman is speedily riding a recumbent bike in the kitchen.</t>
  </si>
  <si>
    <t>She sits by the stove, cracking eggs into a pan and making an omelet while she rides.</t>
  </si>
  <si>
    <t>She stirs the egg, then plates it while still riding.</t>
  </si>
  <si>
    <t>She then eats while she continues to ride.</t>
  </si>
  <si>
    <t>v_1aCwFDS0j2A</t>
  </si>
  <si>
    <t>A woman is seen kneeling on a mat in a back yard and leads into her bending backwards using her hands.</t>
  </si>
  <si>
    <t>She then puts her hands all the way down on the ground while still continuing to look up.</t>
  </si>
  <si>
    <t>v_iPHZeElXYXU</t>
  </si>
  <si>
    <t>We see a white opening screen.</t>
  </si>
  <si>
    <t>We see a lady ironing a shirt on an ironing board and talking to the camera.</t>
  </si>
  <si>
    <t>The lady irons a sleeve.</t>
  </si>
  <si>
    <t>The lady irons the back of the shirt.</t>
  </si>
  <si>
    <t>The lady finishes and holds the shirt up.</t>
  </si>
  <si>
    <t>We see a bright title closing screen.</t>
  </si>
  <si>
    <t>v_3K62qZ2hGyw</t>
  </si>
  <si>
    <t>We see the title screen for Howcast.</t>
  </si>
  <si>
    <t>A lady is standing in a white room talking to the camera.</t>
  </si>
  <si>
    <t>The lady shows us how to belly dance by dancing.</t>
  </si>
  <si>
    <t>She shifts to her right then back and lifts her hips while belly dancing.</t>
  </si>
  <si>
    <t>The lady shows how to lift your hips one at a time.</t>
  </si>
  <si>
    <t>She pats her head and shakes her hips faster.</t>
  </si>
  <si>
    <t>The lady shakes her hips faster and waves her arms over her head.</t>
  </si>
  <si>
    <t>She stops dancing and stands still.</t>
  </si>
  <si>
    <t>The ending credits load on the screen.</t>
  </si>
  <si>
    <t>v_OEBSls79Ths</t>
  </si>
  <si>
    <t>A gymnast performs on the uneven bars while spectators watch the performance.</t>
  </si>
  <si>
    <t>The gymnast end the performance and great the audience, and then she join her friends to wait for the score.</t>
  </si>
  <si>
    <t>A woman watch the gymnast and applaud.</t>
  </si>
  <si>
    <t>v_u08gU4eQFHY</t>
  </si>
  <si>
    <t>A weight lifter is in a gym, and he lifts a barbell.</t>
  </si>
  <si>
    <t>He lifts it over his head, then drops it to the ground before walking away.</t>
  </si>
  <si>
    <t>v_7TOw39_59xo</t>
  </si>
  <si>
    <t>A close up of several cars are seen that leads into a person cleaning the cars.</t>
  </si>
  <si>
    <t>The person wipes down the front of the cars with a rag including along the tires.</t>
  </si>
  <si>
    <t>The cars are shown lined up afterwards and shown all cleaned off.</t>
  </si>
  <si>
    <t>v_u9JhQ0xSSJI</t>
  </si>
  <si>
    <t>A marching band parades down the street.</t>
  </si>
  <si>
    <t>People on both sides of the street watch the parade and applaud.</t>
  </si>
  <si>
    <t>v_yeUuZ9vk5gE</t>
  </si>
  <si>
    <t>A person is seen placing dough balls onto a pan and then placing them into an oven.</t>
  </si>
  <si>
    <t>She then takes them out of the oven and puts the cookies onto a plate.</t>
  </si>
  <si>
    <t>v_G_Nzm0WkGEI</t>
  </si>
  <si>
    <t>A young child is seen ironing a shirt on a table and looking into the camera.</t>
  </si>
  <si>
    <t>The boy continues pretending to iron the shirt and eventually puts a dress on the table to iron.</t>
  </si>
  <si>
    <t>He irons the dress and swings it around.</t>
  </si>
  <si>
    <t>v_AKQqaMyZtf8</t>
  </si>
  <si>
    <t>A man walks with a leaf blower.</t>
  </si>
  <si>
    <t>He blows leaves on the ground.</t>
  </si>
  <si>
    <t>The leaves move against the asphalt.</t>
  </si>
  <si>
    <t>The man blows another man with the blower.</t>
  </si>
  <si>
    <t>v_IAqNteMxXNk</t>
  </si>
  <si>
    <t>A man is seen standing behind a counter speaking to the camera and holding up cleaning products.</t>
  </si>
  <si>
    <t>He puts the products into a sink and begins scrubbing around the sides.</t>
  </si>
  <si>
    <t>He wipes down the counter and shows off the finished sink.</t>
  </si>
  <si>
    <t>v_SxIJ6MjcgnY</t>
  </si>
  <si>
    <t>A man throwing the frisbee to his dog and the dog catches.</t>
  </si>
  <si>
    <t>One owner does a hand stand a throws the frisbee to his dog, who is able to catch.</t>
  </si>
  <si>
    <t>Many owners and dogs throwing and catching frisbees and doing tricks while doing so.</t>
  </si>
  <si>
    <t>A woman opens her arms and her dogs jumps into them, she catches the dog.</t>
  </si>
  <si>
    <t>v_-YreL-4QCLg</t>
  </si>
  <si>
    <t>A guy holds a lacrosse stick and instructs.</t>
  </si>
  <si>
    <t>A guy moves a ball with the lacrosse stick.</t>
  </si>
  <si>
    <t>A guy tosses a ball into a goal.</t>
  </si>
  <si>
    <t>v_cA2ZLOZcCyc</t>
  </si>
  <si>
    <t>A person is riding the bike on the dirt road.</t>
  </si>
  <si>
    <t>The biker jumped into high ramps.</t>
  </si>
  <si>
    <t>The biker drove to the curve path then drive over the high ramp.</t>
  </si>
  <si>
    <t>v_lydctNDJZ5o</t>
  </si>
  <si>
    <t>There are two teams represented by the color green and color white playing lacrosse against each other in an outdoor field.</t>
  </si>
  <si>
    <t>The player from the green team begins running with his stick alongside his opponent to go towards the ball.</t>
  </si>
  <si>
    <t>The two team come head to head as they scramble to hit the ball in the goal.</t>
  </si>
  <si>
    <t>The green team players run fast to prevent the white team from getting the ball.</t>
  </si>
  <si>
    <t>The white team players try to keep up with their opponents and focus on hitting the ball in the goal.</t>
  </si>
  <si>
    <t>Two players from both team come running towards each other and fight for the ball, causing one of the green team players to fall down.</t>
  </si>
  <si>
    <t>They take a break to before they can restart the game as they walk towards the side of the field.</t>
  </si>
  <si>
    <t>v_DRHW4FvSKdw</t>
  </si>
  <si>
    <t>A dealer at a casino table deals out to several customers while there's a constant stream of activity in the background.</t>
  </si>
  <si>
    <t>One of the players starts laughing.</t>
  </si>
  <si>
    <t>v_NGvote9Y6gI</t>
  </si>
  <si>
    <t>We see cards sitting on table with chips.</t>
  </si>
  <si>
    <t>The dealer deals more cards.</t>
  </si>
  <si>
    <t>The dealer points at two cards.</t>
  </si>
  <si>
    <t>The dealer turns a card over and takes the man's chips.</t>
  </si>
  <si>
    <t>v__wHyOKf_fhc</t>
  </si>
  <si>
    <t>An advertisement display the presentation of two dancers.</t>
  </si>
  <si>
    <t>The couple is dancing holding hands turning both around.</t>
  </si>
  <si>
    <t>The woman turns around holding the hand of the man.</t>
  </si>
  <si>
    <t>v_lq-8Y-YLcNI</t>
  </si>
  <si>
    <t>women are walking on a lakeside and are putting their shoes and harness.</t>
  </si>
  <si>
    <t>women are climbing a rock wall attached to an harness.</t>
  </si>
  <si>
    <t>woman is going down and when is in the floor shake hands with he other woman.</t>
  </si>
  <si>
    <t>v_5rkAMBttgPc</t>
  </si>
  <si>
    <t>A woman is standing behind a counter holding a martini glass.</t>
  </si>
  <si>
    <t>She dumps some ice into the glass.</t>
  </si>
  <si>
    <t>She puts some ice into another glass and adds shots of alcohol.</t>
  </si>
  <si>
    <t>She shakes the drink in a black shaker.</t>
  </si>
  <si>
    <t>She pours the ice out of a martini glass.</t>
  </si>
  <si>
    <t>She pours the drink into the martini glass.</t>
  </si>
  <si>
    <t>She holds up the martini glass in her hand.</t>
  </si>
  <si>
    <t>v_UxhKb-zZoWE</t>
  </si>
  <si>
    <t>Two sumo wrestlers are seen fighting that leads into people walking in and others dancing together.</t>
  </si>
  <si>
    <t>More wrestlers bend down towards one another and begin wrestling while people drum on the side.</t>
  </si>
  <si>
    <t>More people are walked in and continue wrestling on the pit.</t>
  </si>
  <si>
    <t>v__OY-1VtINQQ</t>
  </si>
  <si>
    <t>A man is seen sitting on a piece of exercise equipment moving back and fourth.</t>
  </si>
  <si>
    <t>The man continues moving at different speeds and moving back.</t>
  </si>
  <si>
    <t>v_Cof9eHf7VCI</t>
  </si>
  <si>
    <t>A group of people are standing in the middle of a forest with a trail of pebbles separating them from a beautiful crystal clear body of water.</t>
  </si>
  <si>
    <t>The camera moves across the water and several people on boats and jet-skis are moving in the water near a large wave.</t>
  </si>
  <si>
    <t>More large waves begin to surface and a man begins surfing the waves.</t>
  </si>
  <si>
    <t>The forest is then shown and surf boards appear that are washed up against the banks of the water.</t>
  </si>
  <si>
    <t>v_iEqyqzKSEZ4</t>
  </si>
  <si>
    <t>A car is driving down the highway at a fast speed, he takes an exit to park.</t>
  </si>
  <si>
    <t>Then, they're at the gym and it's a class full of people jumping rope.</t>
  </si>
  <si>
    <t>A woman coach and a child jump rope one on one together, she goes around instructing some other students in the class.</t>
  </si>
  <si>
    <t>The class ends with pictures of the coach and her students.</t>
  </si>
  <si>
    <t>v_hvXMCjJcIqI</t>
  </si>
  <si>
    <t>A man drives a lawn mower over a lawn.</t>
  </si>
  <si>
    <t>The man turns to his left.</t>
  </si>
  <si>
    <t>A wagon behind the man is being pulled with children in tow.</t>
  </si>
  <si>
    <t>The man then circles the lawn.</t>
  </si>
  <si>
    <t>v_H7k8ATbTjzs</t>
  </si>
  <si>
    <t>A woman and a young girl are each walking a dog in a grassy area.</t>
  </si>
  <si>
    <t>They approach another woman sitting in a chair.</t>
  </si>
  <si>
    <t>She pets one of the dogs.</t>
  </si>
  <si>
    <t>Another woman is sitting behind the woman that pets the dog.</t>
  </si>
  <si>
    <t>The woman with the dog walks over and takes the leash of the second dog from the young girl and walks away with both dogs and the young girl still holding part of a leash.</t>
  </si>
  <si>
    <t>A man is standing off to the side watching.</t>
  </si>
  <si>
    <t>The woman and the young girl, each with a dog again, stop in the grassy area, talk and then continue walking.</t>
  </si>
  <si>
    <t>v_W5WfWmISKrk</t>
  </si>
  <si>
    <t>We see a dark title screen.</t>
  </si>
  <si>
    <t>We see titles in the screen and see the men.</t>
  </si>
  <si>
    <t>We see two men fighting MMA in a ring.</t>
  </si>
  <si>
    <t>The large man is losing his grip on the smaller man.</t>
  </si>
  <si>
    <t>The referee comes to the men and waves his arms.</t>
  </si>
  <si>
    <t>We see the outcome of the game on the screen.</t>
  </si>
  <si>
    <t>The smaller fighter hugs another man.</t>
  </si>
  <si>
    <t>We then see the closing ending credits.</t>
  </si>
  <si>
    <t>v_UZPSbNS1LU0</t>
  </si>
  <si>
    <t>A group of people are shown rollerblading in Paris.</t>
  </si>
  <si>
    <t>They are moving slowly and there are a lot of them as some of them look into the camera as they pass.</t>
  </si>
  <si>
    <t>The procession continues as spectators look onward.</t>
  </si>
  <si>
    <t>The video cuts to a side angle of the rollerbladers passing by.</t>
  </si>
  <si>
    <t>Another side shot is shown and a cop car and several escort vehicles come into view as the video fades to black.</t>
  </si>
  <si>
    <t>v_Vq0-j_C-kZc</t>
  </si>
  <si>
    <t>A person is video taping a bull fighting event from his television set.</t>
  </si>
  <si>
    <t>The bull fighting scene is in a large open arena which is filled with thousands of spectators who are cheering.</t>
  </si>
  <si>
    <t>The two raging bulls are butting heads constantly while the matadors are trying to contain the bulls within a specified zone.</t>
  </si>
  <si>
    <t>The crowd continues to cheer as the event goes on.</t>
  </si>
  <si>
    <t>v_i3uRumyN7mg</t>
  </si>
  <si>
    <t>An intro leads into a woman holding an accordion and a woman in a wedding dress beside her.</t>
  </si>
  <si>
    <t>The woman then begins to play the instrument while others stand around her and watch and others play along.</t>
  </si>
  <si>
    <t>v_b3e7PrPNb30</t>
  </si>
  <si>
    <t>A woman is smearing a white cream onto her forehead and cheeks.</t>
  </si>
  <si>
    <t>She spreads it around, smoothing it in.</t>
  </si>
  <si>
    <t>v_GHmxFOXP1Q0</t>
  </si>
  <si>
    <t>A man pierces a woman's cheek.</t>
  </si>
  <si>
    <t>She sticks her tongue out and then the process is completed.</t>
  </si>
  <si>
    <t>v_FtHP0PNqo2s</t>
  </si>
  <si>
    <t>A person is getting their legs waxed on a table.</t>
  </si>
  <si>
    <t>They rub some lotion onto their legs after.</t>
  </si>
  <si>
    <t>They show their clean waxed legs.</t>
  </si>
  <si>
    <t>v_55sP2yXNFxY</t>
  </si>
  <si>
    <t>A man is seen hosting a news segment that leads into him speaking with two other people.</t>
  </si>
  <si>
    <t>Shots are shown of a young man playing pool with his father watching on the side.</t>
  </si>
  <si>
    <t>The man continues to play while his father watches and speaks to the news host.</t>
  </si>
  <si>
    <t>v_ou45_7IdWCE</t>
  </si>
  <si>
    <t>A woman is seen walking to a swingset with a small boy and putting him on the swing.</t>
  </si>
  <si>
    <t>Several women with their children are seen swinging back and fourth with one another as well as dads playing with their kids.</t>
  </si>
  <si>
    <t>v_O-hUa9e9_DE</t>
  </si>
  <si>
    <t>A woman chef demonstrates, in a kitchen, in front of a kitchen counter top and ingredients, how to prepare a salad.</t>
  </si>
  <si>
    <t>A woman stands in front of a kitchen counter top with greens, cheese, vegetables and oils and talks to the camera.</t>
  </si>
  <si>
    <t>The woman begins to cut the greens and put them in a white bowl before turning to pull oven roasted brussel sprouts out of the oven.</t>
  </si>
  <si>
    <t>The woman then squeezes and orange and pours the orange juice on the salad with the brussell sprouts and oil before the scene fades out.</t>
  </si>
  <si>
    <t>v_vSAHWgFjQAY</t>
  </si>
  <si>
    <t>A man is seen dancing in a club and grabs onto a woman.</t>
  </si>
  <si>
    <t>The man and woman then begin dancing around each other in the middle of the club.</t>
  </si>
  <si>
    <t>They continue dancing around one another while other people dance beside them.</t>
  </si>
  <si>
    <t>v_sVk-Br0zfkA</t>
  </si>
  <si>
    <t>A close up of a woman is seen looking off into the distance and holding a dart.</t>
  </si>
  <si>
    <t>She throws the dart onto the board which is show up close.</t>
  </si>
  <si>
    <t>The woman then clenches her fists and her throw is shown again.</t>
  </si>
  <si>
    <t>v_4Rto4Aa6fxw</t>
  </si>
  <si>
    <t>Two teams play hurling in a stadium full of people.</t>
  </si>
  <si>
    <t>A player serves a ball with the stick, and the teams continue playing.</t>
  </si>
  <si>
    <t>Two players dispute the ball in the air, then they continue playing.</t>
  </si>
  <si>
    <t>v_cFJo7Nm2W3Y</t>
  </si>
  <si>
    <t>A large group of people are seen standing around a sand pit shaking hands and speaking with one another.</t>
  </si>
  <si>
    <t>The men then begin a soccer match with one another and cheering when they score a goal.</t>
  </si>
  <si>
    <t>The men continue to play against one another while the audience cheers and the ref stands on the side.</t>
  </si>
  <si>
    <t>v_vzxT-k8dsVs</t>
  </si>
  <si>
    <t>man is unning wearing stilts in a skaet park.</t>
  </si>
  <si>
    <t>another man is jumping along with the first man in the skate park.</t>
  </si>
  <si>
    <t>man in skate park is running while a car is passing in the street.</t>
  </si>
  <si>
    <t>v_VO49rhXzhk4</t>
  </si>
  <si>
    <t>A woman's hands are shown wrapping something.</t>
  </si>
  <si>
    <t>The woman talks to the camera.</t>
  </si>
  <si>
    <t>Closeups of the necessary equipment for this operation are shown.</t>
  </si>
  <si>
    <t>The woman wraps a book with tissue paper and tape.</t>
  </si>
  <si>
    <t>The woman cuts paper to shape for the book.</t>
  </si>
  <si>
    <t>The woman wraps the book with the paper and tape.</t>
  </si>
  <si>
    <t>The woman talks to the camera whole holding the wrapped and ribboned book.</t>
  </si>
  <si>
    <t>A closeup of the wrapped and ribboned book is shown.</t>
  </si>
  <si>
    <t>v_0DEF7Mp7ZP4</t>
  </si>
  <si>
    <t>A small group of people are seen sitting around a casino table speaking to one another and playing a game of poker.</t>
  </si>
  <si>
    <t>Many people watch on the sides while the dealer deals out cards and the people place their chips in the middle.</t>
  </si>
  <si>
    <t>More shots of the game are shown while the camera pans out to a person's face.</t>
  </si>
  <si>
    <t>v_B39pJK4FU1o</t>
  </si>
  <si>
    <t>A lady is talking in an office and holding a pink item.</t>
  </si>
  <si>
    <t>the lady throws the pink item on a game board on the floor.</t>
  </si>
  <si>
    <t>She then jumps hopscotch and picks up the pink item.</t>
  </si>
  <si>
    <t>She throws it again and jumps again and returns picking up the pink item.</t>
  </si>
  <si>
    <t>v_Z3noRsTXGt4</t>
  </si>
  <si>
    <t>A person is running on an excerise machine.</t>
  </si>
  <si>
    <t>The camera zooms in to the feet.</t>
  </si>
  <si>
    <t>The camera pans to the right slowly.</t>
  </si>
  <si>
    <t>v_CsCbJSnAhRs</t>
  </si>
  <si>
    <t>A man puts a chef hat on a girl while a chef teachers her how to cook.</t>
  </si>
  <si>
    <t>She mixes various ingredients together following the chef's orders and paying close attention to his instructions.</t>
  </si>
  <si>
    <t>The girl makes a lovely batch of cookies and finds herself enjoying them in the end, as well as the company of others.</t>
  </si>
  <si>
    <t>v_GKhuh6bha6U</t>
  </si>
  <si>
    <t>Several men stand together for the camera.</t>
  </si>
  <si>
    <t>Scenes of multiple people performing capoeira demonstrations are shown with audiences in the background and foreground.</t>
  </si>
  <si>
    <t>v_2vy0dMXhlWI</t>
  </si>
  <si>
    <t>An older man is shown chopping at a downed tree with an axe.</t>
  </si>
  <si>
    <t>he is trying very hard and not making much progress.</t>
  </si>
  <si>
    <t>He seems to be frustrated and is trying again and again to chop of the tree.</t>
  </si>
  <si>
    <t>He then looks at the camera and slightly smirks before continuing trying to cut the tree up.</t>
  </si>
  <si>
    <t>He stops again and stares at the camera.</t>
  </si>
  <si>
    <t>A closeup is shown of him trying again and again before zooming out.</t>
  </si>
  <si>
    <t>The camera then zooms back in to his face as he continues on.</t>
  </si>
  <si>
    <t>v_KPv8ZGrb78Y</t>
  </si>
  <si>
    <t>Three women show up on the screen doing a tribal dance in a workout studio.</t>
  </si>
  <si>
    <t>One of the women does a solo performance while the music plays in the background.</t>
  </si>
  <si>
    <t>The three women are shown again doing the dance on the stage while other people do the same dance in front of the stage.</t>
  </si>
  <si>
    <t>The trio of women come back onto the screen and continue the dance in the studio.</t>
  </si>
  <si>
    <t>They show up back on the stage doing the dance as the camera films them.</t>
  </si>
  <si>
    <t>The camera goes back and forth between them doing the dance on the stage and off the stage showing different angles.</t>
  </si>
  <si>
    <t>v_gg_F8EtNMW0</t>
  </si>
  <si>
    <t>Two men are inside an indoor gym.</t>
  </si>
  <si>
    <t>They are engaged in a martial art called kickboxing.</t>
  </si>
  <si>
    <t>They kick and punch at each other, trying to hit each other.</t>
  </si>
  <si>
    <t>v_lSX_yj2ohls</t>
  </si>
  <si>
    <t>Two dudes are talking silly into the camera with things wrapped around their heads.</t>
  </si>
  <si>
    <t>Then you see everyone playing beer pong having a great time outside joking and dancing.</t>
  </si>
  <si>
    <t>A group starts taking selfies and everyone is dressed really funny.</t>
  </si>
  <si>
    <t>One of the dudes flick off the camera and everyone continues to play bee pong and be wild enjoying their time.</t>
  </si>
  <si>
    <t>v_IGcalXmWUwA</t>
  </si>
  <si>
    <t>Several shots of people playing basketball are shown and leads into two men demonstrating a move.</t>
  </si>
  <si>
    <t>The same move is shown again from various angles and instructor the user how to do it.</t>
  </si>
  <si>
    <t>More tricks are shown as well as step by step instruction on how to properly do it.</t>
  </si>
  <si>
    <t>v_FwbnNQBzqHw</t>
  </si>
  <si>
    <t>A woman is standing behind an array of confections in a kitchen.</t>
  </si>
  <si>
    <t>Several different cake pops are being shown.</t>
  </si>
  <si>
    <t>Ingredients are displayed next to actions mixing ingredients.</t>
  </si>
  <si>
    <t>The woman crumbles the cake into a bowl, then adds frosting while she talks.</t>
  </si>
  <si>
    <t>She allows them to sit before melting candy coating, which she then dips the cake balls into.</t>
  </si>
  <si>
    <t>She decorates the cake ball in the final stages.</t>
  </si>
  <si>
    <t>A final array of cake pops are shown as she ends the segment.</t>
  </si>
  <si>
    <t>v_cFcrXdvfxoo</t>
  </si>
  <si>
    <t>A woman is lifting and squatting inside a gym with a barbell on her shoulders.</t>
  </si>
  <si>
    <t>She lifts then sits over and over again.</t>
  </si>
  <si>
    <t>v_nDbLtdY66dA</t>
  </si>
  <si>
    <t>A man in a black shirt is holding a saxophone.</t>
  </si>
  <si>
    <t>He begins playing the saxophone.</t>
  </si>
  <si>
    <t>He stops playing and continues talking.</t>
  </si>
  <si>
    <t>v_0-CYG7bH54A</t>
  </si>
  <si>
    <t>An intro leads into several shots of various ingredients laid out on a wooden board, followed by a set of hands cutting up certain ingredients.</t>
  </si>
  <si>
    <t>A person then grades some cheese into a bowl and breaks open the pasta.</t>
  </si>
  <si>
    <t>They put the pasta into a bowl as well as fry the shrimp and puts all the ingredients into one pan together.</t>
  </si>
  <si>
    <t>The person then serves the food onto a plate and text appears across the screen.</t>
  </si>
  <si>
    <t>v_NJQROeaBiVE</t>
  </si>
  <si>
    <t>The title appears and fades out.</t>
  </si>
  <si>
    <t>We see a man pulling weight close to his head.</t>
  </si>
  <si>
    <t>Three men pass by in the mirror.</t>
  </si>
  <si>
    <t>The camera zooms in on the main subject.</t>
  </si>
  <si>
    <t>A man in gray walks past in the mirror.</t>
  </si>
  <si>
    <t>The screen goes black and we see the end credits.</t>
  </si>
  <si>
    <t>v_EVfTWz5GRGw</t>
  </si>
  <si>
    <t>A bottle of deep cleansing gel is shown.</t>
  </si>
  <si>
    <t>A woman holds up the bottle, Then is shown using several different solutions that she lines up together on the counter.</t>
  </si>
  <si>
    <t>She uses each on her face, then rinses them off.</t>
  </si>
  <si>
    <t>v_l7QlSS_li6M</t>
  </si>
  <si>
    <t>We see a blue title screen with white letters.</t>
  </si>
  <si>
    <t>We see two girls standing in a room, then perform a flip.</t>
  </si>
  <si>
    <t>We see 2 different girls do different flips.</t>
  </si>
  <si>
    <t>One girl does a back flip.</t>
  </si>
  <si>
    <t>We then see four girls do a back flip together.</t>
  </si>
  <si>
    <t>v_vlIAZsrj6yk</t>
  </si>
  <si>
    <t>We see a black title screen.</t>
  </si>
  <si>
    <t>We see a man having his facial hair trimmed with an electric shaver.</t>
  </si>
  <si>
    <t>We see a man being shaved with a straight razor.</t>
  </si>
  <si>
    <t>We then see the closing screen.</t>
  </si>
  <si>
    <t>v_PUqHiigzb7A</t>
  </si>
  <si>
    <t>A man walks up to a barbell and bends over, lifting at the knees.</t>
  </si>
  <si>
    <t>He lifts the barbell up to his chest, rests for a moment, then lifts it over his head.</t>
  </si>
  <si>
    <t>He holds the pose for a few seconds before dropping it to the ground.</t>
  </si>
  <si>
    <t>v_qogdv5DWzkQ</t>
  </si>
  <si>
    <t>A shadow is seen in the smoky room.</t>
  </si>
  <si>
    <t>A woman is taking a shower and washing her hair.</t>
  </si>
  <si>
    <t>She pulls it apart in strands, putting conditioner on it.</t>
  </si>
  <si>
    <t>v_suWTtKXXkJU</t>
  </si>
  <si>
    <t>A woman is seen wearing a funny hat while speaking to the camera and sitting in a chair.</t>
  </si>
  <si>
    <t>the woman then knits in her chair while ending with another picture of her.</t>
  </si>
  <si>
    <t>v_tM0BAYylvLA</t>
  </si>
  <si>
    <t>A young boy sits in a chair with protective gown on and gets his hair cut with electric clippers by mom at home.</t>
  </si>
  <si>
    <t>The mother removes clipped hairs from the boys head with fingers.</t>
  </si>
  <si>
    <t>A girl is seen watching in the room.</t>
  </si>
  <si>
    <t>v_9lS5qpgrTmI</t>
  </si>
  <si>
    <t>A woman is seen speaking to the camera while holding up a bobby pin and then flips her hair down and begins braiding.</t>
  </si>
  <si>
    <t>The girl then puts her hair up into a pony tail and wraps her hair around to make a pun.</t>
  </si>
  <si>
    <t>She finally pins her hair down and then shows off her hair while pointing to the camera.</t>
  </si>
  <si>
    <t>v_P8M00PRbI3c</t>
  </si>
  <si>
    <t>A female news reporter is talking in a news room.</t>
  </si>
  <si>
    <t>We see several people riding on horses as a crowd watches.</t>
  </si>
  <si>
    <t>The people are hitting bags with sticks as they ride.</t>
  </si>
  <si>
    <t>The people are then interviewed about the game, and a man is shown shooting arrows.</t>
  </si>
  <si>
    <t>v_UtErhcCYBZk</t>
  </si>
  <si>
    <t>man is in roofed gym weightlifting.</t>
  </si>
  <si>
    <t>woman is walking behind the man watching the man.</t>
  </si>
  <si>
    <t>woman is lifting eights while he man sits to watch her.</t>
  </si>
  <si>
    <t>v_WDvsx_q2h-4</t>
  </si>
  <si>
    <t>A man is standing outside holding a violin.</t>
  </si>
  <si>
    <t>He begins to play the violin.</t>
  </si>
  <si>
    <t>He stops and sets the violin to his side.</t>
  </si>
  <si>
    <t>v_bXrdB5AASAM</t>
  </si>
  <si>
    <t>There are two men dressed in white shirts wearing hats doing freestyle wrestling in an indoor stadium.</t>
  </si>
  <si>
    <t>There are several spectators watching them, some sitting on chairs and some sitting on the ground.</t>
  </si>
  <si>
    <t>There are some people seated on chairs playing various hand instruments and singing to cheer the fighters.</t>
  </si>
  <si>
    <t>The two men continue wrestling in a non aggressive manner by taking turns to attack the opponent.</t>
  </si>
  <si>
    <t>They continue fighting as one man does a front flip.</t>
  </si>
  <si>
    <t>In the final round, they speed up the fight with faster kicks and motion.</t>
  </si>
  <si>
    <t>v_jYphKtLFIUk</t>
  </si>
  <si>
    <t>A group of boys chisel a name in sand on the beach with their hands.</t>
  </si>
  <si>
    <t>The boys leave the art piece leaving just one boy in a red t-shirt to work on it alone.</t>
  </si>
  <si>
    <t>Two boys returns with two balls of sand in circles and sit next to the art piece as they work on rounding out the balls of sand they have gathered while a group of children gather around to watch.</t>
  </si>
  <si>
    <t>v_-8FS4LbXAgE</t>
  </si>
  <si>
    <t>An intro leads into several shots of graffiti on a wall as well as people moving around and talking to one another.</t>
  </si>
  <si>
    <t>A rapper is then seen getting a tattoo from a man while the camera captures several angles and show art work.</t>
  </si>
  <si>
    <t>More people show off their tattoos and the rapper points to the camera and shows the finished tattoo and album cover.</t>
  </si>
  <si>
    <t>v_wz8d9DKMrTc</t>
  </si>
  <si>
    <t>A band is practicing in a gym.</t>
  </si>
  <si>
    <t>People are twirling flags while standing in a line.</t>
  </si>
  <si>
    <t>The drummers are marching around the gym.</t>
  </si>
  <si>
    <t>They get into a line and dance out of the gym.</t>
  </si>
  <si>
    <t>v_lCuMD23jOxo</t>
  </si>
  <si>
    <t>A person is seen speaking to the camera and smoking out of a hookah pipe.</t>
  </si>
  <si>
    <t>The camera pans around the area and continues to speak to the man and leads into a shot of a boat going by and a close fire.</t>
  </si>
  <si>
    <t>v_HoViId2LHl8</t>
  </si>
  <si>
    <t>A woman starts dancing next to a man in front of a gathered crowd.</t>
  </si>
  <si>
    <t>They spin in circles as they dance.</t>
  </si>
  <si>
    <t>She goes between his legs, sliding outward and injuring her neck.</t>
  </si>
  <si>
    <t>She gets up laughing and gives the man a hug.</t>
  </si>
  <si>
    <t>v_3ekMufBfUdw</t>
  </si>
  <si>
    <t>A woman is seen blow drying her hair while using a comb in various fashions and using different products.</t>
  </si>
  <si>
    <t>The woman continues to use the blow dryer on her hair and ends by showing off her finished hair.</t>
  </si>
  <si>
    <t>v_D7ZeRbotot0</t>
  </si>
  <si>
    <t>A man in yellow and black suit welds a steel.</t>
  </si>
  <si>
    <t>He stops the welding job.</t>
  </si>
  <si>
    <t>Then he moves away and inspect it.</t>
  </si>
  <si>
    <t>v_uTVjevTM6V0</t>
  </si>
  <si>
    <t>Three athletes of different countries compete weightlifting on front the jury, during the first round, all the athletes lift the weight successfully.</t>
  </si>
  <si>
    <t>In the second round, the athlete with blue uniform rise successfully and kiss the bar of the weight, also the other athletes are successful.</t>
  </si>
  <si>
    <t>On the third round, the Indian athlete let fall the weight.</t>
  </si>
  <si>
    <t>The athlete with red uniform is congratulated, then stand on the first place of the podium and talks.</t>
  </si>
  <si>
    <t>v_Y1Vop80R9b8</t>
  </si>
  <si>
    <t>A room is covered to avoid paint being splattered on objects in the room.</t>
  </si>
  <si>
    <t>A room is seen with blue tape on its borders and walls.</t>
  </si>
  <si>
    <t>The floors of the room also have bag over the carpet.</t>
  </si>
  <si>
    <t>The staircase of a house has bags over it to avoid paint damage.</t>
  </si>
  <si>
    <t>A sparkly ceiling is seen.</t>
  </si>
  <si>
    <t>v_mOrhfrmmxAQ</t>
  </si>
  <si>
    <t>A boat is seen riding along the water with a person riding on skis behind.</t>
  </si>
  <si>
    <t>The person does a flip and lands backwards into the water.</t>
  </si>
  <si>
    <t>v_2uMG44uNDJ8</t>
  </si>
  <si>
    <t>A woman and a man are inside a car talking, then the man turn his head.</t>
  </si>
  <si>
    <t>A young lady wash a car only wearing a bra and shorts, then she sprinkle water on her head a turn it.</t>
  </si>
  <si>
    <t>After, the man turns to see the angry woman and scream.</t>
  </si>
  <si>
    <t>v_jalqZE5ekho</t>
  </si>
  <si>
    <t>little kid is in the sand doing a castle using a small toy shovel kid leaves.</t>
  </si>
  <si>
    <t>little girl foes into the castle in the sand and start playing while the kid bring more water from the sea.</t>
  </si>
  <si>
    <t>v_E1-eVfnNfXI</t>
  </si>
  <si>
    <t>A woman is sitting with a baby in her arms.</t>
  </si>
  <si>
    <t>She takes licks of an ice cream cone, and the baby laughs hysterically each time.</t>
  </si>
  <si>
    <t>She offers him bites, pulling the cone away and making him laugh.</t>
  </si>
  <si>
    <t>v_sQtT9sUyUwE</t>
  </si>
  <si>
    <t>A man rows a canoe down a river.</t>
  </si>
  <si>
    <t>Several other people are rowing too.</t>
  </si>
  <si>
    <t>His canoe is colored red.</t>
  </si>
  <si>
    <t>He finally passes the point.</t>
  </si>
  <si>
    <t>v_Fia1JynWFBA</t>
  </si>
  <si>
    <t>A woman uses a rolling pin to roll out dough onto the counter.</t>
  </si>
  <si>
    <t>Another woman is taking something off of a baking sheet.</t>
  </si>
  <si>
    <t>v_sQZaEt-ssCs</t>
  </si>
  <si>
    <t>women are standing in a table doing arm wrestling in a competition.</t>
  </si>
  <si>
    <t>two referees on side of tables and watch each other.</t>
  </si>
  <si>
    <t>women are arm wrestling in the table again and at the end high each other.</t>
  </si>
  <si>
    <t>v_YAhMxt-3ciU</t>
  </si>
  <si>
    <t>People are playing croquet on a field of grass.</t>
  </si>
  <si>
    <t>A map of the world is shown.</t>
  </si>
  <si>
    <t>Trophies are shown on the screen.</t>
  </si>
  <si>
    <t>v_5Jo_AWt9fB0</t>
  </si>
  <si>
    <t>A man is wearing a hat and kneeling down on a blue mat.</t>
  </si>
  <si>
    <t>He starts pulling on a rope on a workout machine.</t>
  </si>
  <si>
    <t>v_hxluAHro9bQ</t>
  </si>
  <si>
    <t>A woman in pink top is holding a hoop and talking to the camera.</t>
  </si>
  <si>
    <t>The woman put the hoop to her waist and start to hoop.</t>
  </si>
  <si>
    <t>The woman paused and turned around and start shaking her hips, she changed her hoops into smaller one, but the small one keep falling, then changed the hoops to bigger one and she began shaking her hips with the hoops.</t>
  </si>
  <si>
    <t>v_-CS7U_XrkPI</t>
  </si>
  <si>
    <t>A group of men are inside a dark club.</t>
  </si>
  <si>
    <t>A man begins throwing darts at something off screen.</t>
  </si>
  <si>
    <t>He repeats this many times before giving up, shrugging, and turning the camera toward the dart board.</t>
  </si>
  <si>
    <t>We see that four of the darts have hit the exact same spot.</t>
  </si>
  <si>
    <t>v_WsqMDMOjuN4</t>
  </si>
  <si>
    <t>A small group of people are seen swimming around a pool and leads into several shots of a swimmer throwing a ball into a net.</t>
  </si>
  <si>
    <t>The goalie blocks a few shots and then switches with another team mate while the audience cheers.</t>
  </si>
  <si>
    <t>The people switch out continuously and leads to one team winning and celebrating all together in the water.</t>
  </si>
  <si>
    <t>v_4KqjBUpLQk8</t>
  </si>
  <si>
    <t>Several men are shown at different rodeos riding horses and capturing the calf attached to the string.</t>
  </si>
  <si>
    <t>As more locations are shown,more animals are captured and more people are shown watching the actions taking place.</t>
  </si>
  <si>
    <t>v_extd66Y1tJ8</t>
  </si>
  <si>
    <t>A young lady is making faces at the camera.</t>
  </si>
  <si>
    <t>She holds up a box that has barcodes and reads "Sterling Gray" on it.</t>
  </si>
  <si>
    <t>She shows a bottle of Renew and eye contact lens cases.</t>
  </si>
  <si>
    <t>She applies both of the contact lenses and cries.</t>
  </si>
  <si>
    <t>v_XKuD0F-p6YA</t>
  </si>
  <si>
    <t>man is opening a box with scissors and take out an unarmed bike.</t>
  </si>
  <si>
    <t>man is arming the bike inside a room with wooden floor.</t>
  </si>
  <si>
    <t>v_pHAIrx_cRFU</t>
  </si>
  <si>
    <t>The person holds a blade to sharpen it.</t>
  </si>
  <si>
    <t>The person takes the belt off the machine.</t>
  </si>
  <si>
    <t>The person puts a new belt on the machine.</t>
  </si>
  <si>
    <t>The person sharpents the blade on the second belt.</t>
  </si>
  <si>
    <t>The person takes the second belt off.</t>
  </si>
  <si>
    <t>The person puts on a third belt.</t>
  </si>
  <si>
    <t>The person sharpens the blade on the third belt.</t>
  </si>
  <si>
    <t>The person demonstrates the blade's edge.</t>
  </si>
  <si>
    <t>v_8rHY_Vt2FLA</t>
  </si>
  <si>
    <t>A car is seen driving around and leads into a man pumping air in the tire.</t>
  </si>
  <si>
    <t>The man puts a wire along the tire and continues to spin it around.</t>
  </si>
  <si>
    <t>He pumps more hair into the tire and takes off the jack driving it away.</t>
  </si>
  <si>
    <t>v_Zts8FynhoJs</t>
  </si>
  <si>
    <t>A woman is brushing her teeth in a bathroom.</t>
  </si>
  <si>
    <t>Someone is filming her behind her.</t>
  </si>
  <si>
    <t>She spits the toothpaste out into the sink in front of her.</t>
  </si>
  <si>
    <t>v_XOUyGnr6iTM</t>
  </si>
  <si>
    <t>A small group of men are seen standing around a room holding tennis rackets.</t>
  </si>
  <si>
    <t>The men then begin playing tennis with one another while hitting the ball around.</t>
  </si>
  <si>
    <t>The men continue to hit the ball around the room and ends with several walking out.</t>
  </si>
  <si>
    <t>v_TJ98vfFChfI</t>
  </si>
  <si>
    <t>A man in a white shirt is chopping a piece of wood with an ax.</t>
  </si>
  <si>
    <t>He swings at the wood and misses and hits the ground.</t>
  </si>
  <si>
    <t>Another man carrying a pot walks up behind him.</t>
  </si>
  <si>
    <t>v_KtUshVJ28us</t>
  </si>
  <si>
    <t>We see a young girl gymnast talking to the camera.</t>
  </si>
  <si>
    <t>We see the girl perform flips.</t>
  </si>
  <si>
    <t>The girl flips on a trampoline.</t>
  </si>
  <si>
    <t>She jumps and does a split in the air.</t>
  </si>
  <si>
    <t>We see the bloopers where she falls and a title screen.</t>
  </si>
  <si>
    <t>We then see the ending screens.</t>
  </si>
  <si>
    <t>v_pASyH2NPOOw</t>
  </si>
  <si>
    <t>We see a blue opening screen.</t>
  </si>
  <si>
    <t>We see a man flipping and performing Capoeira cut with blue title screens.</t>
  </si>
  <si>
    <t>The man does a spin kick.</t>
  </si>
  <si>
    <t>The man does a spin and duck.</t>
  </si>
  <si>
    <t>The man does a spin sweep on the floor.</t>
  </si>
  <si>
    <t>v_Cz2ut3p7nw0</t>
  </si>
  <si>
    <t>A small toddler is in the bathroom brushing his teeth.</t>
  </si>
  <si>
    <t>As he frantically brushes,a woman comes to assist him as he points to different things on the counter.</t>
  </si>
  <si>
    <t>The young boy keeps brushing and then they end up switching tooth brushes.</t>
  </si>
  <si>
    <t>Eventually,the woman puts toothpaste on the brush and the boy cleans his teeth.</t>
  </si>
  <si>
    <t>Once he is done,he is given a bar of soap and has to wash hands.</t>
  </si>
  <si>
    <t>Finally he is done and he grabs his toy and runs out of the bathroom.</t>
  </si>
  <si>
    <t>v_StvwTXdXG2U</t>
  </si>
  <si>
    <t>The video leads into several shots of people riding around on skateboards and performing tricks.</t>
  </si>
  <si>
    <t>Many more people riding are shown and leads into a young man speaking to the camera and a picture of a t-shirt.</t>
  </si>
  <si>
    <t>v_meAHw06Mh-Y</t>
  </si>
  <si>
    <t>A man is seen speaking to the camera and leads into him cutting tiles and measuring them along a wall.</t>
  </si>
  <si>
    <t>The man uses a saw to cut the wall as well as the tile while using various other tools to cut around the sides.</t>
  </si>
  <si>
    <t>More tiles are being shown cut out as the man continues to speak and lay them down on the floor.</t>
  </si>
  <si>
    <t>v_moxpALb09zU</t>
  </si>
  <si>
    <t>A girl is talking to the camera while using her hands.</t>
  </si>
  <si>
    <t>The camera does a blurred scene change.</t>
  </si>
  <si>
    <t>The girl points down and wipes her hair.</t>
  </si>
  <si>
    <t>The girl waves at the screen.</t>
  </si>
  <si>
    <t>The scene changes to the girl standing in a shower.</t>
  </si>
  <si>
    <t>The girl shaves her legs in the shower.</t>
  </si>
  <si>
    <t>She shows us her shave product in the can and on her hands.</t>
  </si>
  <si>
    <t>The girl shows us her razor then starts shaving.</t>
  </si>
  <si>
    <t>v_485DjSbjOV8</t>
  </si>
  <si>
    <t>Two people are seen standing up behind a set of drums looking at the camera.</t>
  </si>
  <si>
    <t>The two then begin playing the drums while a small girl walks in and out of frame.</t>
  </si>
  <si>
    <t>The two pause for a moment then continue playing with one stopping and letting the other finish.</t>
  </si>
  <si>
    <t>v_rnPfQuWS4Rk</t>
  </si>
  <si>
    <t>A man in a kilt prepares himself to toss a large hammer in a competition.</t>
  </si>
  <si>
    <t>After his preparations he swings the hammer around in a circle and tosses it as far as he can.</t>
  </si>
  <si>
    <t>v_snG89ed-64M</t>
  </si>
  <si>
    <t>A small group of people are seen playing lacrosse on a field running up and down the field and pushing one another.</t>
  </si>
  <si>
    <t>Several shots of players hitting one another is shown as well as players pushing other people.</t>
  </si>
  <si>
    <t>One team scores several goals and are immediately followed by teammates cheering.</t>
  </si>
  <si>
    <t>v_DWal5PJry6k</t>
  </si>
  <si>
    <t>A doctor went inside the room, then she wash her hands, wipe her hands with paper towel.</t>
  </si>
  <si>
    <t>A medical practitioner is washing her hand with soap and water, while the other medical practitioner in white coat is on her phone.</t>
  </si>
  <si>
    <t>A man in yellow coat is washing his hands, then the man in blue shirt is giving interview.</t>
  </si>
  <si>
    <t>v_EsOajUNpEzU</t>
  </si>
  <si>
    <t>A man talks while holding bagpipes.</t>
  </si>
  <si>
    <t>He then plays the bagpipes.</t>
  </si>
  <si>
    <t>The man moves his fingers to change the sound while he plays.</t>
  </si>
  <si>
    <t>v_YOLDcsX7EiA</t>
  </si>
  <si>
    <t>A person is skiing down a hill of snow.</t>
  </si>
  <si>
    <t>They go off of a jump and fly in the air.</t>
  </si>
  <si>
    <t>They land back on the snow and continue skiing down the hill.</t>
  </si>
  <si>
    <t>v_AtHnNOkaoUk</t>
  </si>
  <si>
    <t>A camera zooms in on a large truck that shows a person walking around from behind as well as another.</t>
  </si>
  <si>
    <t>The men begin pulling a rope and working from the back while the cameraman speaks to the camera.</t>
  </si>
  <si>
    <t>The man continues to pan around the snowy area and watch the men work from behind.</t>
  </si>
  <si>
    <t>v_teemFjum3oU</t>
  </si>
  <si>
    <t>A small child is seen sitting on top of a slide while looking over to another child playing.</t>
  </si>
  <si>
    <t>The boy rides down the slide several more times with the girl's assistance and a man standing holding a baby and watching.</t>
  </si>
  <si>
    <t>v_gU67yCVXHnQ</t>
  </si>
  <si>
    <t>A girl is looking at the camera.</t>
  </si>
  <si>
    <t>She turns around and is getting her hair brushed.</t>
  </si>
  <si>
    <t>She is looking at her phone.</t>
  </si>
  <si>
    <t>v_ifDsS6ZRsRM</t>
  </si>
  <si>
    <t>A woman's feet are shown as she warms up at ballet.</t>
  </si>
  <si>
    <t>A blonde woman is speaking to the camera, which pans out to her performing various dance moves while talking.</t>
  </si>
  <si>
    <t>She moves slowly at each step.</t>
  </si>
  <si>
    <t>She then stops and speaks her final words.</t>
  </si>
  <si>
    <t>v_-2VNLsk1s34</t>
  </si>
  <si>
    <t>A large man is seen stepping up into a circle and throws several shot puts off into the distance.</t>
  </si>
  <si>
    <t>Several more men are seen stepping up to the circle throwing a shot put off into the distance.</t>
  </si>
  <si>
    <t>People in the audience are seen cheering to one another as their scores are shown in the end.</t>
  </si>
  <si>
    <t>v_F_DHgp5hERs</t>
  </si>
  <si>
    <t>A man speaks to the camera while another man sits on a piece of exercise equipment behind him.</t>
  </si>
  <si>
    <t>The instructor continues moving around near the man and has him show how to machine works.</t>
  </si>
  <si>
    <t>He points to his body showing the muscles worked and walks around the man exercising.</t>
  </si>
  <si>
    <t>v_R8-iriCwcyE</t>
  </si>
  <si>
    <t>A gymnasts wipes chalk on his hands while getting ready.</t>
  </si>
  <si>
    <t>The gymnast stands on a platforms and swings himself onto a set of double bars.</t>
  </si>
  <si>
    <t>The gymnast does a double bar routine during a competition.</t>
  </si>
  <si>
    <t>The gymnast strikes his leg accidentally on the bars bringing him to a stop.</t>
  </si>
  <si>
    <t>The gymnast dismounts from the double bars and lands on the mat.</t>
  </si>
  <si>
    <t>A female gymnasts sits in a chair and waits for her turn.</t>
  </si>
  <si>
    <t>The female gymnasts stretches out her arms before the routine.</t>
  </si>
  <si>
    <t>A replay shows the highlights of the gymnasts routine on the double bars.</t>
  </si>
  <si>
    <t>v_mfENhAPlES8</t>
  </si>
  <si>
    <t>A man puts a black lens in his eye.</t>
  </si>
  <si>
    <t>Then, the man takes off the lens and after puts it again.</t>
  </si>
  <si>
    <t>v_92kGXXfm6ok</t>
  </si>
  <si>
    <t>A man is seen bending forward grabbing a large set of weights and lifting it on his shoulders.</t>
  </si>
  <si>
    <t>The man then lifts it up over his head and ends by throwing it back down.</t>
  </si>
  <si>
    <t>v_U_4goX5w_1c</t>
  </si>
  <si>
    <t>A black male athlete run in the field then hopped and jumped and landed on the sandy field.</t>
  </si>
  <si>
    <t>The athlete run around and cheered and kneel down and pray.</t>
  </si>
  <si>
    <t>The athlete run and ripped his shirt off, while he reach of the woman and give her a hug and cheered.</t>
  </si>
  <si>
    <t>v_sGTDKZuG1vE</t>
  </si>
  <si>
    <t>A man is kneeling down in front of a sink.</t>
  </si>
  <si>
    <t>He starts scrubbing the inside of the sink with a sponge.</t>
  </si>
  <si>
    <t>He takes a white towel and wipes off the counter and sink.</t>
  </si>
  <si>
    <t>He sprays the mirror with Windex and wipes the mirror off.</t>
  </si>
  <si>
    <t>v_tkmoslnsmwY</t>
  </si>
  <si>
    <t>A rapid river is running past a tree.</t>
  </si>
  <si>
    <t>A group of rafters don their gear, pushing their raft into the water.</t>
  </si>
  <si>
    <t>The paddle through the rapids, trying to stay upright and together.</t>
  </si>
  <si>
    <t>v_uatIP3FGQXk</t>
  </si>
  <si>
    <t>A large group of kids are seen standing around a field playing a game with one another.</t>
  </si>
  <si>
    <t>One boy throws a ball to another and the other kicks it off into the distance.</t>
  </si>
  <si>
    <t>The kids continue to play with one another as well as run along the field.</t>
  </si>
  <si>
    <t>v_CQweu0ZYNHU</t>
  </si>
  <si>
    <t>Three men stand together wearing heavily padded clothing with suspenders.</t>
  </si>
  <si>
    <t>The two men on the end strike the one in the middle below the belt and he falls to the ground in pain.</t>
  </si>
  <si>
    <t>One of the men is seen from behind walking in a hallway.</t>
  </si>
  <si>
    <t>The man sits on a bmx bike on the top of a ramp getting ready.</t>
  </si>
  <si>
    <t>the man drops into the ramp and falls hard slamming on the bottom.</t>
  </si>
  <si>
    <t>The man does tricks and jumps on the ramp riding a bike.</t>
  </si>
  <si>
    <t>One of the men in purple rides through a skate board park wearing the padded suit.</t>
  </si>
  <si>
    <t>Another man in grey shirt rides a skateboard on the half pipe ramp and does tricks.</t>
  </si>
  <si>
    <t>The three men ride together on the large ramp in formation.</t>
  </si>
  <si>
    <t>The man in purple falls and is struck in the face with his skateboard.</t>
  </si>
  <si>
    <t>v_w_OiqLfRJHI</t>
  </si>
  <si>
    <t>Two men are kneeling down holding paintball guns.</t>
  </si>
  <si>
    <t>They are walking down the street holding their paintball guns.</t>
  </si>
  <si>
    <t>They begin to play a game of paintballing.</t>
  </si>
  <si>
    <t>v_tVIY6uyH3aA</t>
  </si>
  <si>
    <t>A person is seen wearing a blue shirt and standing before a fence.</t>
  </si>
  <si>
    <t>The person bends down in front of the fence and begins spraying it down.</t>
  </si>
  <si>
    <t>The person continues spraying the fence while the camera captures from behind.</t>
  </si>
  <si>
    <t>v_caoMescJ1J4</t>
  </si>
  <si>
    <t>Three men are sitting on a couch with the man in the middle smiling, the man on the right playing a harmonica and the man on the far left holding his finger to his upper lip area and making a noise with his bottom lip by plucking it with his hand.</t>
  </si>
  <si>
    <t>The man on the right taps his foot as the two men play music.</t>
  </si>
  <si>
    <t>The camera pans to an onlooker standing on the side of the room watching and smiling.</t>
  </si>
  <si>
    <t>The two men stop playing and the man in the middle shrugs as the other two men smile.</t>
  </si>
  <si>
    <t>v_OKhVHhchsyI</t>
  </si>
  <si>
    <t>Three young children, 2 girls and a boy, are playing at a beach and piling sand onto a big pile as waves continue to go in and out.</t>
  </si>
  <si>
    <t>The camera person then pans around the beach to show the rest of the beach and various other people that are there.</t>
  </si>
  <si>
    <t>The camera person then focuses on two women talking and standing together.</t>
  </si>
  <si>
    <t>Then focuses back onto the children in the sand that are continuing to dig into the sand and pile sand into a big pile.</t>
  </si>
  <si>
    <t>One of the girls then runs out of the shot and the other girl and the only boy remain near their small pile of sand.</t>
  </si>
  <si>
    <t>v_j73Ks4r5tbg</t>
  </si>
  <si>
    <t>A girl with blonde hair and red nails sits in a chair in bedroom and talks to the camera while smoking and showing off a bottle of blue nailpolish.</t>
  </si>
  <si>
    <t>The girl rolls away from the camera in the chair to get a bottle of blue nail polish and hold it up to the screen.</t>
  </si>
  <si>
    <t>The girl then begins to smoke a cigarette in front of the camera while talking.</t>
  </si>
  <si>
    <t>The girl, finally, takes one long inhale and leans in to exhale into the camera before falling back.</t>
  </si>
  <si>
    <t>v_DgVo1IAVrDM</t>
  </si>
  <si>
    <t>A helmet camera is put on and then a man goes skateboarding.</t>
  </si>
  <si>
    <t>He zooms through the city and goes on a highway.</t>
  </si>
  <si>
    <t>He passes a truck and other people.</t>
  </si>
  <si>
    <t>v_OVRYoPA6h-Y</t>
  </si>
  <si>
    <t>A man stands in a field talking.</t>
  </si>
  <si>
    <t>He hits a bowling ball with a croquet mallet and then hold up a bowling ball with a big 8 on it.</t>
  </si>
  <si>
    <t>A woman with a large chalice is in the same field talking.</t>
  </si>
  <si>
    <t>Cars pass by and people walk around in the background.</t>
  </si>
  <si>
    <t>A bowling ball that is cut in half is on the ground.</t>
  </si>
  <si>
    <t>A couple of kids look at the half bowling ball.</t>
  </si>
  <si>
    <t>A man hits the "8" ball with a croquet mallet and does a little dance.</t>
  </si>
  <si>
    <t>A woman hits 1 bowling ball against another with a mallet.</t>
  </si>
  <si>
    <t>A different man hits a bowling ball with a mallet.</t>
  </si>
  <si>
    <t>A young girl hits the ball with the mallet.</t>
  </si>
  <si>
    <t>Another man hits a bowling ball and does a dance, The young girls play while a man dressed like a joker talks.</t>
  </si>
  <si>
    <t>The game ends and all of the materials for the game are gathered.</t>
  </si>
  <si>
    <t>The woman gives her chalice to the young girls who are very excited.</t>
  </si>
  <si>
    <t>v_RzlX3Ai9AH4</t>
  </si>
  <si>
    <t>Text states the video will show how to chalk paint.</t>
  </si>
  <si>
    <t>An armoire is shown, and a woman is holding one of the drawers.</t>
  </si>
  <si>
    <t>She sands down the wood before applying a coat of chalk paint with a brush.</t>
  </si>
  <si>
    <t>She holds the cans of paint as she talks about the finished product.</t>
  </si>
  <si>
    <t>The painted armoire is shown a final time.</t>
  </si>
  <si>
    <t>v_cV9xeDlKJok</t>
  </si>
  <si>
    <t>A show of a dumpster is shown as well as women in gear standing in front of it.</t>
  </si>
  <si>
    <t>The woman edges herself along the dumpster while other people walk into frame.</t>
  </si>
  <si>
    <t>The woman then moves herself around on roller blades while the camera follows her movements.</t>
  </si>
  <si>
    <t>v_UpmzSgLLj-s</t>
  </si>
  <si>
    <t>We see a quick title screen.</t>
  </si>
  <si>
    <t>We then see a man working on various things in a bike factory.</t>
  </si>
  <si>
    <t>The man puts a bike together quick, puts it in a box, then on a conveyor belt.</t>
  </si>
  <si>
    <t>We then see a person putting tools on the bike box.</t>
  </si>
  <si>
    <t>The man begins to take the pieces part and put the bike together.</t>
  </si>
  <si>
    <t>We see the factory briefly.</t>
  </si>
  <si>
    <t>We return to the man putting the bike together.</t>
  </si>
  <si>
    <t>He finishes and we see the customer service phone number.</t>
  </si>
  <si>
    <t>We then see the end title screen.</t>
  </si>
  <si>
    <t>v_ygHElEUxVwA</t>
  </si>
  <si>
    <t>A group of a man and three women are on a gym floor.</t>
  </si>
  <si>
    <t>They are dancing in unison, performing several moves.</t>
  </si>
  <si>
    <t>When they are done, one woman laughs and runs away.</t>
  </si>
  <si>
    <t>v_Jdtr90RIkHk</t>
  </si>
  <si>
    <t>A man is riding a skateboard indoors and rides it onto a short standing pole on the ground.</t>
  </si>
  <si>
    <t>The same man is now standing outside talking and the words on the bottom of the screen say his name is "Shawn Connelly" and he's the Founder- San Francisco Skate Club and while he's speaking various words appear at the bottom of the screen at various times as well as clips of him skateboarding showing different moves that the words mention.</t>
  </si>
  <si>
    <t>The man ends the video of just him talking, no text on the screen, and no other clips showing while he's talking.</t>
  </si>
  <si>
    <t>v_cc17BiSDn8w</t>
  </si>
  <si>
    <t>A man in a red kayak rolls into the water, and out of the water.</t>
  </si>
  <si>
    <t>He rolls into the water once more.</t>
  </si>
  <si>
    <t>He then is in a blue kayak and rolls into the water and out of the water.</t>
  </si>
  <si>
    <t>He does it once more.</t>
  </si>
  <si>
    <t>v_a7FNzxXWvgU</t>
  </si>
  <si>
    <t>A man wearing a black shirt opens a bag of bread and pulls out three slices of bread.</t>
  </si>
  <si>
    <t>The man raises an empty bottle of Miracle Whip and tosses it backhanded.</t>
  </si>
  <si>
    <t>The man then opens the refrigerator and pulls out a new bottle of Miracle Whip.</t>
  </si>
  <si>
    <t>He then uses a knife to scoop out the miracle whip on to the bread slices.</t>
  </si>
  <si>
    <t>The man then opens a bag of Swiss cheese and places a slice on each bread slice.</t>
  </si>
  <si>
    <t>The man then gets a container of Genoa Salami from the fridge and piles slices onto the bread slices.</t>
  </si>
  <si>
    <t>He then puts the bread slices on top of each other and completes the sandwich.</t>
  </si>
  <si>
    <t>v_RZurdKhOxk0</t>
  </si>
  <si>
    <t>We see a man and a woman standing foreheads together.</t>
  </si>
  <si>
    <t>The people then dance together.</t>
  </si>
  <si>
    <t>The lady holds her legs out at her side.</t>
  </si>
  <si>
    <t>The man swings the woman around.</t>
  </si>
  <si>
    <t>The lady shakes her hips.</t>
  </si>
  <si>
    <t>The lady bends down and the man wraps his arms around her.</t>
  </si>
  <si>
    <t>The people back up from each other.</t>
  </si>
  <si>
    <t>v_BoK5y7jdhzA</t>
  </si>
  <si>
    <t>A lacrosse player wearing a white jersey and holding a lacrosse stick is talking about the positions of lacrosse.</t>
  </si>
  <si>
    <t>He is standing in a field that is next to a busy road with many cars passing by.</t>
  </si>
  <si>
    <t>He is demonstrating the various positions and ways of using the lacrosse stick with another man.</t>
  </si>
  <si>
    <t>He explains how the goals are scored in lacrosse.</t>
  </si>
  <si>
    <t>v_uHmoFLB-PLc</t>
  </si>
  <si>
    <t>A boy holds a guitar in a room.</t>
  </si>
  <si>
    <t>He is sitting on a bed.</t>
  </si>
  <si>
    <t>He begins to play the guitar.</t>
  </si>
  <si>
    <t>Eventually he finishes the song.</t>
  </si>
  <si>
    <t>v_aKhD_bFB7MA</t>
  </si>
  <si>
    <t>There's a person walking on stilts on a sidewalk where several cars are parked.</t>
  </si>
  <si>
    <t>He is demonstrating how to walk on stilts.</t>
  </si>
  <si>
    <t>He is joined by two other men who also join him in the tutorial.</t>
  </si>
  <si>
    <t>The man on stilts shows how fast he can run while on the stilts as well as jump high up.</t>
  </si>
  <si>
    <t>While he's running on the stilts, his friend drives alongside him in a car.</t>
  </si>
  <si>
    <t>The man continues to do stunts on the stilts.</t>
  </si>
  <si>
    <t>v_eJvOgEahkys</t>
  </si>
  <si>
    <t>A young girl is seen standing at a ballet bar performing ballet moves.</t>
  </si>
  <si>
    <t>A girl is seen dancing on stage followed by a large group of girls warming up.</t>
  </si>
  <si>
    <t>The girls continue stretching and lead into the woman pointing her foot.</t>
  </si>
  <si>
    <t>v_gTh9bd9yV9E</t>
  </si>
  <si>
    <t>A teen puts make up to an man on his face.</t>
  </si>
  <si>
    <t>Then, the teen puts mascara, lip sticks and paint the eyelid with an eyeliner.</t>
  </si>
  <si>
    <t>Then, the teen puts color on the cheeks, then she eyeliners the eyelids.</t>
  </si>
  <si>
    <t>After, the teen paint the mouth and put lipstick on the cheeks and paint the eyelids.</t>
  </si>
  <si>
    <t>v_91Wdp_uaWrY</t>
  </si>
  <si>
    <t>Two people are fencing in a room.</t>
  </si>
  <si>
    <t>A person is standing next to a wall watching them.</t>
  </si>
  <si>
    <t>They stop fencing and walk away.</t>
  </si>
  <si>
    <t>v_hlFJj2dT3sU</t>
  </si>
  <si>
    <t>A boy is on a tennis court outside.</t>
  </si>
  <si>
    <t>He serves the ball with a racquet.</t>
  </si>
  <si>
    <t>He serves it a few more times, hitting it each time.</t>
  </si>
  <si>
    <t>v_LYOQ0gVySxE</t>
  </si>
  <si>
    <t>Coffee is ground up in an electric grinder.</t>
  </si>
  <si>
    <t>A cup of coffee and coffee press are set on a table.</t>
  </si>
  <si>
    <t>Milk is poured into the cup of coffee.</t>
  </si>
  <si>
    <t>The cup of coffee is picked up and set back down on the saucer.</t>
  </si>
  <si>
    <t>v_YvIfwsbuiKI</t>
  </si>
  <si>
    <t>A male figure is seen in a gym bending on mat and carrying out instructions to the camera on how to perform an exercise.</t>
  </si>
  <si>
    <t>He demonstrates on how to properly do exercises on an elastic band that is attached to a fixed pole.</t>
  </si>
  <si>
    <t>He grabs the elastic band and pulls it towards himself.</t>
  </si>
  <si>
    <t>Afterwards he pushes the band away from himself as he and demonstrates the proper use of the equipment .</t>
  </si>
  <si>
    <t>v_Vx6vP1oxiAg</t>
  </si>
  <si>
    <t>A woman is seen leading a camel around with two small children riding on the back.</t>
  </si>
  <si>
    <t>The kids waves to the camera while it pans around their ride and the camel spitting into the air.</t>
  </si>
  <si>
    <t>v_8Nv52hFr0tg</t>
  </si>
  <si>
    <t>A female gymnast stands idle while being watched by a crowd.</t>
  </si>
  <si>
    <t>A close up of a second woman saying something is shown.</t>
  </si>
  <si>
    <t>The gymnast performs a routine on a beam.</t>
  </si>
  <si>
    <t>The female gymnast finishes her routine and dismounts.</t>
  </si>
  <si>
    <t>People are shown applauding the gymnast.</t>
  </si>
  <si>
    <t>The gymnast walks away from the beam.</t>
  </si>
  <si>
    <t>v_kH8o0M69KGc</t>
  </si>
  <si>
    <t>A man is seen bending over a large set of weights with another walking behind him.</t>
  </si>
  <si>
    <t>The man lifts the bar up over his head and throws it back down.</t>
  </si>
  <si>
    <t>The man does this again while people watch on the sides.</t>
  </si>
  <si>
    <t>v_arbdFQpe0fk</t>
  </si>
  <si>
    <t>A pinata is seen swinging around the middle of people followed by a girl grabbing a stick.</t>
  </si>
  <si>
    <t>She moves all around the room swinging at the pinata as well as another girl swinging with her dad.</t>
  </si>
  <si>
    <t>A young boy walks up to try to hit it as well as another boy.</t>
  </si>
  <si>
    <t>v_k2gc3YcVjwM</t>
  </si>
  <si>
    <t>A guy waves and then speaks.</t>
  </si>
  <si>
    <t>A male approaches and grabs a plate.</t>
  </si>
  <si>
    <t>The male takes the plate to the sink.</t>
  </si>
  <si>
    <t>The male dips the plate into the water and uses a white rug to wash it.</t>
  </si>
  <si>
    <t>The male rinses the washed plate.</t>
  </si>
  <si>
    <t>The male soaks the white plate and then puts it on a dish drying rack.</t>
  </si>
  <si>
    <t>The male gives a thumbs up.</t>
  </si>
  <si>
    <t>v_6YmZNDXap64</t>
  </si>
  <si>
    <t>A man is seen spinning a rubix cube into his hands followed by more people attempting to solve the puzzle and speak to the camera.</t>
  </si>
  <si>
    <t>More people are shown attempting to solve the puzzle as well as speaking to the camera and smiling.</t>
  </si>
  <si>
    <t>v_YG_jr8Efdxk</t>
  </si>
  <si>
    <t>A large group of people are shown sitting on the sidelines as well as various shots of athletes preparing for an event.</t>
  </si>
  <si>
    <t>One woman is seen lifting a bar several times while her coach yells to encourage her.</t>
  </si>
  <si>
    <t>She finishes her set and walks away with several other people nearby.</t>
  </si>
  <si>
    <t>v_hx0WYKDa7PM</t>
  </si>
  <si>
    <t>A cameraman follows a man as he walks up a diving board.</t>
  </si>
  <si>
    <t>The diver gets to the edge of the board and stretches before falling forwards in the water.</t>
  </si>
  <si>
    <t>The diver dives into the water a second time.</t>
  </si>
  <si>
    <t>The diver gets out of the water and walks away as a cameraman follows him.</t>
  </si>
  <si>
    <t>v__yk7gjnHkjs</t>
  </si>
  <si>
    <t>A man swings and throws the hammer repeatedly.</t>
  </si>
  <si>
    <t>The man hops on one leg at the end and walks away.</t>
  </si>
  <si>
    <t>We switch to a man throwing shot put.</t>
  </si>
  <si>
    <t>Men on the sideline clap and jump.</t>
  </si>
  <si>
    <t>The man in red and blue raises a red flag.</t>
  </si>
  <si>
    <t>We see a man throw the hammer repeatedly.</t>
  </si>
  <si>
    <t>v_GZiG-aSzIJI</t>
  </si>
  <si>
    <t>There are two white cars that arrive in secluded area where there are warehouses.</t>
  </si>
  <si>
    <t>Four men get off the car and walk towards a man wearing a mask to cover his face.</t>
  </si>
  <si>
    <t>There are some people hiding behind trucks with guns in their hands.</t>
  </si>
  <si>
    <t>One of the men comes out and opens fire.</t>
  </si>
  <si>
    <t>He shoots his gun in the air.</t>
  </si>
  <si>
    <t>That provokes the other people and a huge gun fight breaks out.</t>
  </si>
  <si>
    <t>The men randomly begin shooting at each other.</t>
  </si>
  <si>
    <t>During that time, one of the men get shot in the head and he collapses and falls down.</t>
  </si>
  <si>
    <t>v_xgb-qIgWHw0</t>
  </si>
  <si>
    <t>A musician plays a set of drums on an elevated jumbo screen as a camera pans in and out on the performance.</t>
  </si>
  <si>
    <t>A musician with a headset attached to his ears and over his mouth, begins to play a set of drums.</t>
  </si>
  <si>
    <t>As the musician plays the drums the camera pans in for a closeup and then pans out.</t>
  </si>
  <si>
    <t>The musician ends the performance, stands, and waives both sticks at the audience.</t>
  </si>
  <si>
    <t>v_FrDKwP9XaOo</t>
  </si>
  <si>
    <t>Males pull a rope in a tag of war match.</t>
  </si>
  <si>
    <t>The males take steps to the right.</t>
  </si>
  <si>
    <t>The males are being pulled to the left.</t>
  </si>
  <si>
    <t>The males raise and let go of the rope now closer to the left.</t>
  </si>
  <si>
    <t>v_mouMMOraPyw</t>
  </si>
  <si>
    <t>A close up of a person is seen speaking to a person behind them and paddling along the water.</t>
  </si>
  <si>
    <t>The people continue riding along the water as the water splashes around them and the woman stops to wipe her face off.</t>
  </si>
  <si>
    <t>v_8dXbbJWFEJo</t>
  </si>
  <si>
    <t>A group of athletes row on canoes during a race in between buoys on a waterway.</t>
  </si>
  <si>
    <t>The men cross the final numbered buoys and glide while slowing down after the race.</t>
  </si>
  <si>
    <t>v_JJzBlV3p1Wc</t>
  </si>
  <si>
    <t>A woman in an outdoor environment teaches a young boy and girl how to wash clothes using a washboard and a metal bucket.</t>
  </si>
  <si>
    <t>A young boy pulls on a metal lever protruding from a metal bucket with a washboard in it.</t>
  </si>
  <si>
    <t>Two young girls watch as a woman in a white apron demonstrates to the boy and girl how to turn the lever and also hangs clothes on a clothes line.</t>
  </si>
  <si>
    <t>The young girl begins to pull the lever while the boy helps the woman hang clothes, and then all of the children take turns operating different parts of the washboard mechanism.</t>
  </si>
  <si>
    <t>v_eChLCFAGyx0</t>
  </si>
  <si>
    <t>The video takes place in a theater showing a symphony play a song.</t>
  </si>
  <si>
    <t>The video shows close ups of several of the symphony members as they play their instruments.</t>
  </si>
  <si>
    <t>The camera then pans out to show the audience.</t>
  </si>
  <si>
    <t>The symphony continues to play as the conductor leads.</t>
  </si>
  <si>
    <t>The video ends showing the entire symphony.</t>
  </si>
  <si>
    <t>v_XfF30DaqAGU</t>
  </si>
  <si>
    <t>A woman is seen standing before a bar and bends down in front of him.</t>
  </si>
  <si>
    <t>She grabs the weights and lifts it over her head and then back down.</t>
  </si>
  <si>
    <t>She continuously lifts the weight up over her head.</t>
  </si>
  <si>
    <t>v_B4LYBLihttQ</t>
  </si>
  <si>
    <t>The young female is standing in the kitchen talking to the camera.</t>
  </si>
  <si>
    <t>The female put the pasta in boiling water, chopped the garlic and pour olive oil in the pan, she shredded the orange peel and put in the pan and added tomatoes and seafood.</t>
  </si>
  <si>
    <t>The woman drain the pasta, and put it on the sauce and put them in the white bowls.</t>
  </si>
  <si>
    <t>v_txMaVvdALeM</t>
  </si>
  <si>
    <t>A large group of people are riding in a huge raft.</t>
  </si>
  <si>
    <t>They paddle down the rapids, trying to stay upright.</t>
  </si>
  <si>
    <t>They flip over, falling out of the raft.</t>
  </si>
  <si>
    <t>v_g6L-l5sgFEQ</t>
  </si>
  <si>
    <t>We see the title card and a pained dresser.</t>
  </si>
  <si>
    <t>A lady sits on the floor and discusses painting.</t>
  </si>
  <si>
    <t>The lady paints the dresser while talking about it.</t>
  </si>
  <si>
    <t>We see the painted end product.</t>
  </si>
  <si>
    <t>We see the end cards for the video.</t>
  </si>
  <si>
    <t>v_FKAlXR9NkKw</t>
  </si>
  <si>
    <t>A lady walks down a hall while carrying a bucket of cleaning supplies.</t>
  </si>
  <si>
    <t>A lady cleans a window with newspapers.</t>
  </si>
  <si>
    <t>The lady sprays the newspaper.</t>
  </si>
  <si>
    <t>The ingredients to make the spray is shown.</t>
  </si>
  <si>
    <t>The lady sprays the window.</t>
  </si>
  <si>
    <t>v_DTprdtsGCts</t>
  </si>
  <si>
    <t>Pipes are being shown on a rock.</t>
  </si>
  <si>
    <t>A man is walking on a trail.</t>
  </si>
  <si>
    <t>A large structure behind a fence is shown.</t>
  </si>
  <si>
    <t>A boat is in the water surrounding a rock.</t>
  </si>
  <si>
    <t>A man sits on top of a rock.</t>
  </si>
  <si>
    <t>A man starts playing an instrument.</t>
  </si>
  <si>
    <t>A large rock wall is shown.</t>
  </si>
  <si>
    <t>The man continues playing the instrument.</t>
  </si>
  <si>
    <t>v_fpIS8jWoK9w</t>
  </si>
  <si>
    <t>The camera watches a man in a hat talking with someone from a low angle.</t>
  </si>
  <si>
    <t>The setting changes and the man in the hat talks with another man while the two look at papers.</t>
  </si>
  <si>
    <t>The man in the hat sits down and talks to the camera.</t>
  </si>
  <si>
    <t>The man drinks from a bottle of water.</t>
  </si>
  <si>
    <t>A woman applies an ink pattern to the man's body.</t>
  </si>
  <si>
    <t>The man lays on his side as the woman tattoos over the ink pattern.</t>
  </si>
  <si>
    <t>Still images of the completed tattoo are shown.</t>
  </si>
  <si>
    <t>v_s6oXeM9OluM</t>
  </si>
  <si>
    <t>A woman is shown holding a cat while a dog stands by her feet.</t>
  </si>
  <si>
    <t>She talks to the camera and shows off her cat nails.</t>
  </si>
  <si>
    <t>She grabs a tool and begins cutting the cat's claws.</t>
  </si>
  <si>
    <t>She adjusts the cat a bit but finishes her nails and lets her go.</t>
  </si>
  <si>
    <t>v_TS-p15iwQPc</t>
  </si>
  <si>
    <t>A class of children dressed in white gi's are walking, kicking and punching in a classroom while their teacher walks around them.</t>
  </si>
  <si>
    <t>The class stops and the instructor talks and walks around them.</t>
  </si>
  <si>
    <t>The class then turns around and begins to walk, kick and punch in the direction they just came from.</t>
  </si>
  <si>
    <t>The class turns around when they get to the end, stops, and the instructor begins talking and demonstrating a kick and a punch to them, moves out of the way and the class resumes.</t>
  </si>
  <si>
    <t>When they reach the end they turn around again to walk, kick and punch back in the direction they came from and once again the instructor stops them to talk and demonstrate the moves and once again the class resumes their movements and when hey get to the end of the room they turn around and end their routine with their legs apart and arms in front of them.</t>
  </si>
  <si>
    <t>v_uMw7YplUbAM</t>
  </si>
  <si>
    <t>A man is seen holding an accordion while speaking to the camera and smiling.</t>
  </si>
  <si>
    <t>He then plays the instrument while looking at the camera and ends by speaking more to the camera.</t>
  </si>
  <si>
    <t>v_DjyO6zWUiDw</t>
  </si>
  <si>
    <t>A boy is standing on a stool in front of a kitchen sink.</t>
  </si>
  <si>
    <t>He is washing the dishes under the water.</t>
  </si>
  <si>
    <t>He puts the dishes into a black strainer.</t>
  </si>
  <si>
    <t>v_RINsqxGLQdQ</t>
  </si>
  <si>
    <t>Several shots of people riding around kite surfing are shown as well as people speaking to the camera.</t>
  </si>
  <si>
    <t>The kids attempt the wind surfing and are seen moving their arms and legs around and waving to the camera.</t>
  </si>
  <si>
    <t>Two girls are seen dancing as well as people speaking to the camera and kids looking at the camera.</t>
  </si>
  <si>
    <t>v_uE15Mhtj9nE</t>
  </si>
  <si>
    <t>A woman is explaining how to remove wallpaper.</t>
  </si>
  <si>
    <t>She turns around and bends over to pick up a steamer.</t>
  </si>
  <si>
    <t>She shows how to steam the wallpaper in sections.</t>
  </si>
  <si>
    <t>She steps off the ladder and continues to steam the wallpaper.</t>
  </si>
  <si>
    <t>She moves the ladder out of the way then she steams more wallpaper, all the way to the bottom, across and the middle.</t>
  </si>
  <si>
    <t>She moves the ladder, climbs up it and peels the wallpaper from the wall, picking the pieces that stick from the wall.</t>
  </si>
  <si>
    <t>She pulls the residue from the wall.</t>
  </si>
  <si>
    <t>She walks out of camera range and comes back with a scraper to remove the left pieces.</t>
  </si>
  <si>
    <t>She bends down again and walks out of camera range again.</t>
  </si>
  <si>
    <t>She has a sponge and is cleaning the wall.</t>
  </si>
  <si>
    <t>She does more scraping and scrubbing.</t>
  </si>
  <si>
    <t>She turns around and smiles.</t>
  </si>
  <si>
    <t>v_nGOEmEDesPI</t>
  </si>
  <si>
    <t>There are snowflakes falling over a forest.</t>
  </si>
  <si>
    <t>A man in an orange jacket snowmobiles across a snowy field.</t>
  </si>
  <si>
    <t>The man snowboards down the mountain.</t>
  </si>
  <si>
    <t>Two men snowmobile through the forest.</t>
  </si>
  <si>
    <t>A man in a dark jacket snowboards through a route filled with trees.</t>
  </si>
  <si>
    <t>The man in the orange jacket looks at the camera.</t>
  </si>
  <si>
    <t>The man in the orange jacket snowmobiles down a very steep mountain.</t>
  </si>
  <si>
    <t>The man in the orange jacket snowmobiles off a jump and does tricks.</t>
  </si>
  <si>
    <t>The man in the orange jacket starts a fire.</t>
  </si>
  <si>
    <t>The man in the dark jacket continues to ski through treacherous areas filled with trees.</t>
  </si>
  <si>
    <t>v_7wyt_-SoudU</t>
  </si>
  <si>
    <t>man is welding a machine in a dark room.</t>
  </si>
  <si>
    <t>man is welding a metal pot and smoke is spreading out of the pot.</t>
  </si>
  <si>
    <t>man is wearing welding mask in a dark room welding something.</t>
  </si>
  <si>
    <t>v_5aUWT0CmJlc</t>
  </si>
  <si>
    <t>A close up shots of a man riding around is shown and leads into him taking off part of his shows.</t>
  </si>
  <si>
    <t>He shows off several objects and pushes a puck along some ice while the camera sits on the object and the man follows behind.</t>
  </si>
  <si>
    <t>v_0cYB-WFrVxk</t>
  </si>
  <si>
    <t>A boat pulls a person out of the water.</t>
  </si>
  <si>
    <t>They stand up and start water skiing behind the boat.</t>
  </si>
  <si>
    <t>The person falls and lets go of the rope.</t>
  </si>
  <si>
    <t>v_AUwam1VhQm0</t>
  </si>
  <si>
    <t>A large slide is shown with dozens of children climbing up and going down.</t>
  </si>
  <si>
    <t>Children run up and down the side and continue to ride down the slide.</t>
  </si>
  <si>
    <t>The camera pans all around the slides and shows the kids going down.</t>
  </si>
  <si>
    <t>v_OJYajhN1RHs</t>
  </si>
  <si>
    <t>A woman does a hair dressing routine by brushing and blowdrying hair.</t>
  </si>
  <si>
    <t>The woman sits and has the hairdresser work her magic in under ten minutes.</t>
  </si>
  <si>
    <t>v_Jmip8PuILhM</t>
  </si>
  <si>
    <t>A woman paints a square frame with legs.</t>
  </si>
  <si>
    <t>She turns it and paints another side.</t>
  </si>
  <si>
    <t>The camera pans to flowers.</t>
  </si>
  <si>
    <t>v_Y6rHCVo28kM</t>
  </si>
  <si>
    <t>A person is seen sitting in a chair with a woman standing behind him cutting his hair.</t>
  </si>
  <si>
    <t>She continuously combs his hair and measures it along the side.</t>
  </si>
  <si>
    <t>She finally finishes the cut and fades away from his face.</t>
  </si>
  <si>
    <t>v_EBdkGs_jFDw</t>
  </si>
  <si>
    <t>A person cleans a window screen, and then puts detergent on the lower part of the window and brush.</t>
  </si>
  <si>
    <t>Then, the person cleans the borders of the window with a cloth, and shows the dirt in the cloth.</t>
  </si>
  <si>
    <t>After, the person takes a bottle from the sill and continues cleaning the borders of the window screen.</t>
  </si>
  <si>
    <t>v_L9gznB55hhE</t>
  </si>
  <si>
    <t>A young woman is sitting on a step and then a poster saying I can do it is shown.</t>
  </si>
  <si>
    <t>The girl comes back and continues talking about what she is about to do.</t>
  </si>
  <si>
    <t>She then brings up a knife and talks about it as the camera zooms in on it.</t>
  </si>
  <si>
    <t>She then starts cutting a stick and words are displayed at the bottom showing the steps needed to complete the fire.</t>
  </si>
  <si>
    <t>A pocket knife is pulled out and she begins cutting a small piece of tinder.</t>
  </si>
  <si>
    <t>v_xWIKFgygROg</t>
  </si>
  <si>
    <t>A man wearing an earring looks to the side.</t>
  </si>
  <si>
    <t>He is shown holding up a bow and arrow, aiming, then shooting at his target.</t>
  </si>
  <si>
    <t>The scene is repeated several times.</t>
  </si>
  <si>
    <t>v_uVcyJg_3Fj8</t>
  </si>
  <si>
    <t>A time lapse video is shown of people walking around a house.</t>
  </si>
  <si>
    <t>Later, they begin to put up a Christmas tree with two people involved in the process.</t>
  </si>
  <si>
    <t>They put lights on the tree and light them up.</t>
  </si>
  <si>
    <t>Next, they begin to put several different ornaments on the tree.</t>
  </si>
  <si>
    <t>Lastly, they put the skirt under the tree and end the video with a kiss.</t>
  </si>
  <si>
    <t>v_qz47x5-R-BU</t>
  </si>
  <si>
    <t>band is in stage and the front man is singing.</t>
  </si>
  <si>
    <t>woman is playing drums wearing a black cap.</t>
  </si>
  <si>
    <t>v_xRfSkg8j7Dg</t>
  </si>
  <si>
    <t>A garden is shown from the outside of a house.</t>
  </si>
  <si>
    <t>The camera turns to take in various plants and flowers.</t>
  </si>
  <si>
    <t>We then get a good look at the grass.</t>
  </si>
  <si>
    <t>v_wBiRGLLjFVU</t>
  </si>
  <si>
    <t>Boys balance on slack lines and do various tricks.</t>
  </si>
  <si>
    <t>People balances on a slack line in a park and slowly walks across the length of the rope between two trees.</t>
  </si>
  <si>
    <t>Boys balance across a slack line placed over a small pond at a park.</t>
  </si>
  <si>
    <t>v_Bnw54GNBKlU</t>
  </si>
  <si>
    <t>woman is sitting in a sidewalk talking to the camera next to a green bucket.</t>
  </si>
  <si>
    <t>woman is jumping on sidewalk playing trick.</t>
  </si>
  <si>
    <t>another woman is in the sidewalk jumping playing trick.</t>
  </si>
  <si>
    <t>v_xcworhtkwNY</t>
  </si>
  <si>
    <t>A band is seated outside on asphalt.</t>
  </si>
  <si>
    <t>They are playing a series of drums with sticks and their hands.</t>
  </si>
  <si>
    <t>Numerous people pass by on foot and bike.</t>
  </si>
  <si>
    <t>v_fxEcsM0EaA4</t>
  </si>
  <si>
    <t>People are jumping rope on a stage.</t>
  </si>
  <si>
    <t>They switch places and a different person starts jumping.</t>
  </si>
  <si>
    <t>A man stands and holds the jump rope.</t>
  </si>
  <si>
    <t>v_whcxrkF2hws</t>
  </si>
  <si>
    <t>The Province of Albay seal is shown.</t>
  </si>
  <si>
    <t>Several team members are on a court outdoors, playing volleyball.</t>
  </si>
  <si>
    <t>They lob the ball back and forth over the net in front of an audience.</t>
  </si>
  <si>
    <t>Afterward, they celebrate, laughing and smiling.</t>
  </si>
  <si>
    <t>v_LHe5cTzHB3o</t>
  </si>
  <si>
    <t>There are two men boxing in an indoor boxing room that has mirrors on one entire wall.</t>
  </si>
  <si>
    <t>There is another person standing in the same room who is video taping them fight.</t>
  </si>
  <si>
    <t>The boxer in the red shorts punches the boxer in the black shorts.</t>
  </si>
  <si>
    <t>The boxer in black falls down and lands on his back and groans.</t>
  </si>
  <si>
    <t>Then he stands right back up while the boxer in red walks around him.</t>
  </si>
  <si>
    <t>v__4CLYKFzmoY</t>
  </si>
  <si>
    <t>A young man is wearing headphones and standing in front of a microphone.</t>
  </si>
  <si>
    <t>He begins playing the violin.</t>
  </si>
  <si>
    <t>He closes his eyes, listening to himself as he plays.</t>
  </si>
  <si>
    <t>v_sYhUC2uQR7I</t>
  </si>
  <si>
    <t>A gym room with several large boxing bags aligned along the perimeter of the room is shown.</t>
  </si>
  <si>
    <t>A group of guys then come in the building and they start to run around the bags as a warm up.</t>
  </si>
  <si>
    <t>Once they are finished,the men pair up with one another and three groups are shown boxing one another.</t>
  </si>
  <si>
    <t>A bumper sticker then appears saying,"Keep your Eyes on the Prize" and then more pairs of men begin kick boxing.</t>
  </si>
  <si>
    <t>v_ejzgfj6QKB8</t>
  </si>
  <si>
    <t>A man is in a yard with a cricket bat.</t>
  </si>
  <si>
    <t>He flips the bat over and over again.</t>
  </si>
  <si>
    <t>He trips, then kicks the ball into the air, hitting it.</t>
  </si>
  <si>
    <t>v_AzNHZyeXHBM</t>
  </si>
  <si>
    <t>A woman is standing on a track talking.</t>
  </si>
  <si>
    <t>She jumps into a pile of sand.</t>
  </si>
  <si>
    <t>She is sprinting down the track.</t>
  </si>
  <si>
    <t>It shows her stretching and jumping into a pile of sand.</t>
  </si>
  <si>
    <t>v_2EfjOGiEeJs</t>
  </si>
  <si>
    <t>The camera pans around a large group of people wandering around and leads into people playing a soccer match.</t>
  </si>
  <si>
    <t>The players are shown watching on the side and show more shots of the people and the city.</t>
  </si>
  <si>
    <t>v_nHkVfEKklJA</t>
  </si>
  <si>
    <t>A young boy jokes around sitting at a drum set.</t>
  </si>
  <si>
    <t>A boy plays a drum set at home.</t>
  </si>
  <si>
    <t>The parents watch the boy play the drums.</t>
  </si>
  <si>
    <t>v_l4YcjFl6SDc</t>
  </si>
  <si>
    <t>A hand is rubbing a chalk to a blue tip.</t>
  </si>
  <si>
    <t>The man is concentrating on the pool table, slowly hit the ball with the billiard stick.</t>
  </si>
  <si>
    <t>An old man with beard is giving interview.</t>
  </si>
  <si>
    <t>The man is arranging the ball on the table and then hit them and they all went into the holes.</t>
  </si>
  <si>
    <t>v_GQzwzOM9db8</t>
  </si>
  <si>
    <t>The athlete who is wearing gray tights and black shirt with number 2 on it started go on the beam and started to swirl around.</t>
  </si>
  <si>
    <t>When he got of from the beam, he walked towards the yellow container that contains white powder, then went back to the beam and did his tricks by swirling around.</t>
  </si>
  <si>
    <t>v_jxAZc0VgG4w</t>
  </si>
  <si>
    <t>An athletic woman is shown running down a track and jumping into a large sand pit.</t>
  </si>
  <si>
    <t>Her jump is then shown again several times in slow motion and another runner takes a turn at the jump.</t>
  </si>
  <si>
    <t>Her jump is shown again in slow motion and she waves to the audience while smiling.</t>
  </si>
  <si>
    <t>v_ShT4biEuQDo</t>
  </si>
  <si>
    <t>A shirtless man is shoving snow outside at the curb.</t>
  </si>
  <si>
    <t>He waves his hands around and motions at the passing cars.</t>
  </si>
  <si>
    <t>He continues to wave and roll his hands in the air as more cars pass.</t>
  </si>
  <si>
    <t>He continues shoveling the snow.</t>
  </si>
  <si>
    <t>v_XU8FzYcRat4</t>
  </si>
  <si>
    <t>A small group of men are seen standing on a sandy field hitting a ball back and fourth.</t>
  </si>
  <si>
    <t>The men begin a game of volleyball and hit the ball all around the area.</t>
  </si>
  <si>
    <t>The men continue playing while the camera captures them moving around.</t>
  </si>
  <si>
    <t>v_c8LevTVQ5nk</t>
  </si>
  <si>
    <t>A young boy is seen opening up presents with another's help and various shots of him playing a drum he received.</t>
  </si>
  <si>
    <t>The mother is interviewed and shows more shots of the boy playing several different instruments.</t>
  </si>
  <si>
    <t>It finally shows the boy grown up and ends with information for a movie trailer.</t>
  </si>
  <si>
    <t>v_Z3NtsxP6w-g</t>
  </si>
  <si>
    <t>A man is seen speaking to the camera and leads into actors being interviewed about a film.</t>
  </si>
  <si>
    <t>Several shots of the film is shown as well as stills from other movies and appearances together.</t>
  </si>
  <si>
    <t>The couple is then shown performing a tango routine on a large stage and ends by posing on stage with the audience cheering.</t>
  </si>
  <si>
    <t>v_KHOTebb8UC8</t>
  </si>
  <si>
    <t>A woman is talking about an elliptical exercise machine specially designed for women.</t>
  </si>
  <si>
    <t>Alongside her is the pro fitness expert who is demonstrating how the machine works.</t>
  </si>
  <si>
    <t>He shows the buttons that need to be pressed in order to start the elliptical.</t>
  </si>
  <si>
    <t>After he gets the machine started, the lady hops onto the machine and begins using the elliptical.</t>
  </si>
  <si>
    <t>She continues to exercise on the machine as the fitness trainer gives her tips on how the machine will benefit her.</t>
  </si>
  <si>
    <t>v_r1x3hjFWGYM</t>
  </si>
  <si>
    <t>We see an intro screen with contact lenses.</t>
  </si>
  <si>
    <t>We see a man wash his hand and take a contact from a new package.</t>
  </si>
  <si>
    <t>The person holds their eye open and inserts the contact lens.</t>
  </si>
  <si>
    <t>The man smiles and we see his face .</t>
  </si>
  <si>
    <t>We are then shown how to remove the contact lens with instructions.</t>
  </si>
  <si>
    <t>v_Z-kXPcLsxBg</t>
  </si>
  <si>
    <t>A purple rope is attached to a blue one, which is then stretched between two trees.</t>
  </si>
  <si>
    <t>A man bounces and balances on the rope as three other men watch.</t>
  </si>
  <si>
    <t>The other men take turns, some falling and rebalancing.</t>
  </si>
  <si>
    <t>v_hQ4xkr6VpnA</t>
  </si>
  <si>
    <t>First the woman is shown tracing her finger down her neck.</t>
  </si>
  <si>
    <t>Then she moves a part of her hair out of her way and starts to braid a part of her hair.</t>
  </si>
  <si>
    <t>Then she braids another braid that is smaller than the first one, but she connects the hair, by using a couple of strands from the last braid.</t>
  </si>
  <si>
    <t>v_ehO8oXanK1Y</t>
  </si>
  <si>
    <t>A woman does a karate routine with a partner and throws a bunch which is blocked twice.</t>
  </si>
  <si>
    <t>The woman practices a karate chops to her partner who watches and lifts hands.</t>
  </si>
  <si>
    <t>The woman throws a blow to her partner who catches it and throws her to the ground.</t>
  </si>
  <si>
    <t>v_S7RWgSxlZ-M</t>
  </si>
  <si>
    <t>A couple of tools are sitting on the edge of a table.</t>
  </si>
  <si>
    <t>A man adjusts the position of the tools.</t>
  </si>
  <si>
    <t>He uses a knife in the crevices, sharpening the knife.</t>
  </si>
  <si>
    <t>v_r8ZIHLqFPfg</t>
  </si>
  <si>
    <t>Vassen cloud nine red colored contacts are in the container they belong in.</t>
  </si>
  <si>
    <t>A blondish haired woman with brown eyes places one of them in her eye.</t>
  </si>
  <si>
    <t>You can see the difference of the brown and the contact very clearly and it looks pretty great.</t>
  </si>
  <si>
    <t>She then put the other contact in so you are able to see how both lenses look at a distance.</t>
  </si>
  <si>
    <t>v_EzX0FZI6pCg</t>
  </si>
  <si>
    <t>A young man is standing in a netted green circular area.</t>
  </si>
  <si>
    <t>The man is holding a ball and begins to spin himself around and around multiple times and then throws the ball.</t>
  </si>
  <si>
    <t>After he throws the ball he falls hard and quickly onto the ground.</t>
  </si>
  <si>
    <t>v_4j7_nh61bvo</t>
  </si>
  <si>
    <t>The video by TMZ is showing several overweight men as part of the sumo destruction event.</t>
  </si>
  <si>
    <t>It shows a picture of singer George Michael too.</t>
  </si>
  <si>
    <t>There's a panel of people sitting in a studio talking about the event.</t>
  </si>
  <si>
    <t>They are reading a script and laughing.</t>
  </si>
  <si>
    <t>There are pictures of sumo wrestlers shown too.</t>
  </si>
  <si>
    <t>It also shows sumo wrestlers wrestling as spectators watch the event.</t>
  </si>
  <si>
    <t>v_mxZRW_Xy7ks</t>
  </si>
  <si>
    <t>three woman are walking next to a house in a parking lot.</t>
  </si>
  <si>
    <t>people are snowboarding between two fences in a small hall going down a small slope.</t>
  </si>
  <si>
    <t>people are standing in a snowy mountain in snowboards.</t>
  </si>
  <si>
    <t>people are eating sitting outside a tent.</t>
  </si>
  <si>
    <t>people are snwoboarding going down a snowy slope ad doing tricks in mountains.</t>
  </si>
  <si>
    <t>v_DMw9Cb_Xy2A</t>
  </si>
  <si>
    <t>A man shoots an arrow with his bow.</t>
  </si>
  <si>
    <t>He grabs another arrow and shoots again.</t>
  </si>
  <si>
    <t>Once more, he shoots an arrow.</t>
  </si>
  <si>
    <t>He finds another arrow and shoots.</t>
  </si>
  <si>
    <t>He takes another shot of an arrow.</t>
  </si>
  <si>
    <t>Another arrow is grabbed and he shoots.</t>
  </si>
  <si>
    <t>He takes another one and shoots it.</t>
  </si>
  <si>
    <t>He grabs another arrow from his waist and shoots again.</t>
  </si>
  <si>
    <t>He shoots an arrow once more.</t>
  </si>
  <si>
    <t>He grabs a final arrow and shoots.</t>
  </si>
  <si>
    <t>A person walks towards the hay where the arrows have been shot.</t>
  </si>
  <si>
    <t>v_tnXjdv_GM9g</t>
  </si>
  <si>
    <t>A man prepares to run down a track.</t>
  </si>
  <si>
    <t>He runs very fast down the path.</t>
  </si>
  <si>
    <t>He takes a giant leap, landing in the sand.</t>
  </si>
  <si>
    <t>v_7Nj1Y-fyq_c</t>
  </si>
  <si>
    <t>A man dressed in business attire enters a kitchen with some children behind him, he shakes a woman's hand, rubs her shoulder and then introduces the children to the woman, and the whole time black text on the top of the screen reads "'Lying' Ryan has a few minutes to kill before a flight".</t>
  </si>
  <si>
    <t>More clips continue to play of the man in the kitchen, talking, handling cleaning products, and washing dishes, but a lot of negative words about him are appearing on the screen.</t>
  </si>
  <si>
    <t>The man is out of the kitchen now and walking then stops to shake hands and talk to a man, but a negative message about him still appears on the screen.</t>
  </si>
  <si>
    <t>v_ofrkSTRhCE4</t>
  </si>
  <si>
    <t>A woman is seen running down a road while looking at her watch and pointing to things in front of her.</t>
  </si>
  <si>
    <t>She continues running down the street while other people applaud her and she keeps running.</t>
  </si>
  <si>
    <t>v_i-LI4TpJNQ8</t>
  </si>
  <si>
    <t>man is sitting in a kayak next to the sidewalk.</t>
  </si>
  <si>
    <t>man is taking out the kayak from the water.</t>
  </si>
  <si>
    <t>man is in the river holding the row and doing kayaking and other men are beside him.</t>
  </si>
  <si>
    <t>v_b8S0HFHh_p0</t>
  </si>
  <si>
    <t>A man is recording himself in a lever with another man.</t>
  </si>
  <si>
    <t>The ride goes up higher and the man with a hat is talking to the other.</t>
  </si>
  <si>
    <t>The ride reaches the top and the man holds out his arms.</t>
  </si>
  <si>
    <t>He counts down and drops the man down to bungee jump.</t>
  </si>
  <si>
    <t>The man makes it to the bottom safely and the ride comes back down.</t>
  </si>
  <si>
    <t>v_OrVgspx6Axs</t>
  </si>
  <si>
    <t>Outside in oak creek there is some bikers getting ready yo race down the dirt.</t>
  </si>
  <si>
    <t>When the gates go down they all go as fast as they can through the obstacle of dirt.</t>
  </si>
  <si>
    <t>There are a few people sitting by in the stands watching as the bikers go off.</t>
  </si>
  <si>
    <t>They even show some of the kids waiting and having a good time watching the race.</t>
  </si>
  <si>
    <t>v_4vdclFJFrdk</t>
  </si>
  <si>
    <t>A woman practices floor gymnastics while others engage in various activities in the background.</t>
  </si>
  <si>
    <t>A second woman practices floor gymnastics.</t>
  </si>
  <si>
    <t>The two women are shown performing the same action in turn.</t>
  </si>
  <si>
    <t>The first woman is shown practicing more floor gymnastics, with occasional slow motion replays of her action.</t>
  </si>
  <si>
    <t>The second woman is shown performing some sort of pose.</t>
  </si>
  <si>
    <t>The first woman is shown performing gymnastics once again.</t>
  </si>
  <si>
    <t>The second woman is shown stretching her leg in the air.</t>
  </si>
  <si>
    <t>The first woman is shown performing gymnastics once more.</t>
  </si>
  <si>
    <t>The second woman is shown in some sort of pose once again.</t>
  </si>
  <si>
    <t>The first woman is shown performing gymnastics yet again.</t>
  </si>
  <si>
    <t>v_fFWHlFZEm3M</t>
  </si>
  <si>
    <t>A humongous red, black and white ship is shown on the water, then a smaller ship is shown quickly approaching the boat that is filming and suddenly it crashes into the boat and it has black smoke coming from the top of it.</t>
  </si>
  <si>
    <t>A lot of people are shown on the boat with life vests moving quickly about the ship, and men are frantically pulling at rope.</t>
  </si>
  <si>
    <t>A man and a woman are now sweeping the area where the boat was hit and another man is helping to pick up broken pieces.</t>
  </si>
  <si>
    <t>v_VRS48f5tj_c</t>
  </si>
  <si>
    <t>A lady plays the harp and another plays the flute in an orchestra and we see the conductor and return to the flute lady.</t>
  </si>
  <si>
    <t>We see the whole orchestra playing and return to the flute lady and the orchestra cut back and forth.</t>
  </si>
  <si>
    <t>We watch the conductor as he works and see the orchestra.</t>
  </si>
  <si>
    <t>We see the harp again and the orchestra before returning to the harp.</t>
  </si>
  <si>
    <t>v_p2n_FtzA1gk</t>
  </si>
  <si>
    <t>A woman is sitting on the edge of a bath tub.</t>
  </si>
  <si>
    <t>She begins shaving her leg with a razor.</t>
  </si>
  <si>
    <t>She looks at the bottom of the razor.</t>
  </si>
  <si>
    <t>v_aT5S8PcnlXo</t>
  </si>
  <si>
    <t>There's an athlete doing the hammer throw in a large stadium with some spectators and few other players watching him.</t>
  </si>
  <si>
    <t>He begins by swinging the hammer string in his hands while rotating his body.</t>
  </si>
  <si>
    <t>Two people step forward to see where the athlete's ball has landed.</t>
  </si>
  <si>
    <t>The athlete does another hammer throw and the distance of his throw is measured annd his statistics are shown on screen.</t>
  </si>
  <si>
    <t>The spectators in the bleachers watch the sporting event.</t>
  </si>
  <si>
    <t>v_ejkGxGrEdO4</t>
  </si>
  <si>
    <t>A woman and dog are seen standing in a large field performing tricks with a frisbee.</t>
  </si>
  <si>
    <t>The woman and dog are shown in several more clips playing with the frisbee and performing tricks.</t>
  </si>
  <si>
    <t>The dog jumps up and down as well as chases after the frisbee while the woman watches on the side.</t>
  </si>
  <si>
    <t>v_j5WshG7CEYY</t>
  </si>
  <si>
    <t>Two pairs of females are in a room playing a game of Foosball.</t>
  </si>
  <si>
    <t>The girls on the left make two goals and they begin to cheer.</t>
  </si>
  <si>
    <t>v_bRXOj9Jm1_E</t>
  </si>
  <si>
    <t>A man runs and dives into the water on a beach.</t>
  </si>
  <si>
    <t>A man carrying a surf board walks on the beach.</t>
  </si>
  <si>
    <t>People are surfing in the water.</t>
  </si>
  <si>
    <t>A man is sitting in the sand.</t>
  </si>
  <si>
    <t>More people surf in the water.</t>
  </si>
  <si>
    <t>Two ladies in bikinis are on the beach.</t>
  </si>
  <si>
    <t>People are riding waves in the water surfing.</t>
  </si>
  <si>
    <t>v_1MQkI4UafqE</t>
  </si>
  <si>
    <t>The video leads into several clips of young children practicing gymnastic moves in a large gym.</t>
  </si>
  <si>
    <t>The video continues on with the kids flipping and jumping around on the mats.</t>
  </si>
  <si>
    <t>v_ByTL6_iHoIA</t>
  </si>
  <si>
    <t>man is scuba diving under water and saying hi to the camera.</t>
  </si>
  <si>
    <t>people are scuba diving watching the fishes are swimming between rocks.</t>
  </si>
  <si>
    <t>people are under the sea scuba diving recording everything.</t>
  </si>
  <si>
    <t>v_TlwJfzlZZsE</t>
  </si>
  <si>
    <t>A man spins and throws a ball onto the field.</t>
  </si>
  <si>
    <t>Another man spins and throws a ball on the field.</t>
  </si>
  <si>
    <t>People in the stands are huging the athlete.</t>
  </si>
  <si>
    <t>v_kzeKQBi6Rhg</t>
  </si>
  <si>
    <t>An introduction comes onto the screen for a video about how to play different songs on the violin.</t>
  </si>
  <si>
    <t>A man comes onto the screen with a violin and begins to explain different techniques for playing the violin.</t>
  </si>
  <si>
    <t>He moves closer to the camera so that you can see the detail of what he is doing with his hands.</t>
  </si>
  <si>
    <t>He begins to play different notes on the violin as he moves his fingers.</t>
  </si>
  <si>
    <t>The video ends with the closing credits shown across the screen.</t>
  </si>
  <si>
    <t>v_c9mrRiwmhZw</t>
  </si>
  <si>
    <t>A man is standing in front of the camera talking and then moves behind the table.</t>
  </si>
  <si>
    <t>On the table,he has wrapping paper,a yard stick,tape and a pencil and moves them to the other side of the box.</t>
  </si>
  <si>
    <t>The box is then picked up and placed on top of the wrapping paper and the man measures the wrapping paper.</t>
  </si>
  <si>
    <t>The wrapping paper is then taped and the rest is measured before it taped.</t>
  </si>
  <si>
    <t>v_orR865dd2l4</t>
  </si>
  <si>
    <t>A woman and man play shuffleboard outside.</t>
  </si>
  <si>
    <t>The woman goes first and then the man takes his turn.</t>
  </si>
  <si>
    <t>v_Cx6oTdEq40w</t>
  </si>
  <si>
    <t>A man is shown wearing a helmet and climbing up on a rock wall.</t>
  </si>
  <si>
    <t>He continues to work his way up the rock wall while the camera captures his movements and panning around the mountains and water around them.</t>
  </si>
  <si>
    <t>The climber checks his rope and shakes the clip off of his rope.</t>
  </si>
  <si>
    <t>v_pg-DMwEM3K4</t>
  </si>
  <si>
    <t>People load into orange canoes.</t>
  </si>
  <si>
    <t>People row canoes on a body of water.</t>
  </si>
  <si>
    <t>Two guys paddle their canoe.</t>
  </si>
  <si>
    <t>v_RDq85fMq41s</t>
  </si>
  <si>
    <t>A smiling girl wearing braces and glasses lifts a pink bag above her head as she's standing in front of the middle body of a horse, and the words "Grooming with Erin".</t>
  </si>
  <si>
    <t>Now the horse is fully visible and the girl reaches into her pink bag to grab a brush and begins brushing the horse all over its body from front to back and on each side.</t>
  </si>
  <si>
    <t>The girl goes back to the pink bag, grabs another brush and begins brushing the horse again from head to toe and all around its body on each side.</t>
  </si>
  <si>
    <t>The girl once again goes to the pink to return the brush she was using and grabs another brush where she once again begins to brush the horse from head to toe and on all sides.</t>
  </si>
  <si>
    <t>The girls to the bag to drop the brush and then grabs a green tool, walks over to the horses front left foot, picks it up and begins cleaning out the shoe, then walks around the horse and does the rest of its shoes.</t>
  </si>
  <si>
    <t>When the girl is done with cleaning out the shoes, she returns the tool back to the pink bag and grabs a brush from off camera, brushes the mane, kisses the horse, and then returns the brush back to the pink bag, walks towards the camera and smiles big into it.</t>
  </si>
  <si>
    <t>v_mxIsgAmJHsM</t>
  </si>
  <si>
    <t>A woman spins a rod on the air while spinning and dancing, then she throws the rod high and spins before to catch the rod.</t>
  </si>
  <si>
    <t>The woman continues spinning the rod around body, also throw the rod in the air.</t>
  </si>
  <si>
    <t>Then, the woman rolls the rod on her arms, then she throw the rod in the air and and does a cartwheel before catching the rod.</t>
  </si>
  <si>
    <t>Next, the woman rolls the rod on her neck graciously and end her performance.</t>
  </si>
  <si>
    <t>v_HWymkBdgm1M</t>
  </si>
  <si>
    <t>First the elderly woman goes to hug the young man and then a man in a blue shirt plays the piano beautifully of different melodies.</t>
  </si>
  <si>
    <t>Then two little boys run outside the door while the man who's standing by the door looks tired and pitiful.</t>
  </si>
  <si>
    <t>v_Zev1KxIua7o</t>
  </si>
  <si>
    <t>A large group of people are seen standing in a large field holding instruments.</t>
  </si>
  <si>
    <t>One man leads in front as the group walks away and begins playing as a band.</t>
  </si>
  <si>
    <t>The group continues playing together and ends by walking away.</t>
  </si>
  <si>
    <t>v_1OJa2iiFxfk</t>
  </si>
  <si>
    <t>A young man with a backpack is talking and walking through a station.</t>
  </si>
  <si>
    <t>There is a man sitting on the ground shining a shoe.</t>
  </si>
  <si>
    <t>He applies ointment to the shoe and resumes buffing the shoe.</t>
  </si>
  <si>
    <t>The customer moves his right foot down and places his left foot on the stand and the man starts polishing the shoe.</t>
  </si>
  <si>
    <t>Two men on either side of the shoe shiner is observing the crowd.</t>
  </si>
  <si>
    <t>The shiner continues to buff the left shoe.</t>
  </si>
  <si>
    <t>The train is moving along the station as a crowd walks by.</t>
  </si>
  <si>
    <t>The shiner returns to buffing the right shoe.</t>
  </si>
  <si>
    <t>The shiner wipes the shoe with a cloth.</t>
  </si>
  <si>
    <t>The man resumes buffing the left shoe.</t>
  </si>
  <si>
    <t>The man drops his block and resumes buffing.</t>
  </si>
  <si>
    <t>The man takes the cloth to shine the left shoe.</t>
  </si>
  <si>
    <t>The customer observes his shiny shoes.</t>
  </si>
  <si>
    <t>The customer steps away from the shoe shiner.</t>
  </si>
  <si>
    <t>v_dkG9YRNJllQ</t>
  </si>
  <si>
    <t>A man is seen wearing a reef blower and blowing all around a trampoline.</t>
  </si>
  <si>
    <t>Kids are seen jumping on the trampoline while the man blows around them.</t>
  </si>
  <si>
    <t>The man continues to blow as the kids jump around.</t>
  </si>
  <si>
    <t>v_XlR3u3bROWM</t>
  </si>
  <si>
    <t>A lacrosse team huddles and then practices.</t>
  </si>
  <si>
    <t>A baby is shown and then there are people interviewed.</t>
  </si>
  <si>
    <t>A helmet is shown and more interviews are conducted.</t>
  </si>
  <si>
    <t>v_8xm7fWZ0RmE</t>
  </si>
  <si>
    <t>An Asian man is standing by the keyboard, he is wearing a red shirt with black top inside.</t>
  </si>
  <si>
    <t>Two people, one girl and one boy are sitting, the girl is wearing a white top, while the boy is wearing a white stripe sweater.</t>
  </si>
  <si>
    <t>The man started playing on the keyboard, he has his hands shown, he is wearing a black bead bracelet, then he continue playing while the two people in white is listening.</t>
  </si>
  <si>
    <t>When the man finished playing his keyboard, people cheered for him.</t>
  </si>
  <si>
    <t>v__0IkiqDouX8</t>
  </si>
  <si>
    <t>A camera pans around a large body of water followed by people swimming in the water.</t>
  </si>
  <si>
    <t>Clips are shown of people surfing as well as swimming in the water and smiling to the camera.</t>
  </si>
  <si>
    <t>More clips are shown of people close up moving along the water.</t>
  </si>
  <si>
    <t>v_Fe-DUewB8ok</t>
  </si>
  <si>
    <t>A child boxes a gloved adult kneeing on the floor.</t>
  </si>
  <si>
    <t>The child also practices karate kicks.</t>
  </si>
  <si>
    <t>The adult and child high five with gloved hands.</t>
  </si>
  <si>
    <t>The adult starts to get off the floor.</t>
  </si>
  <si>
    <t>v_njsO-Nlwkmg</t>
  </si>
  <si>
    <t>A child plays with a vacuum attachment piece in a bedroom.</t>
  </si>
  <si>
    <t>The mother vacuums the floor of the bedroom.</t>
  </si>
  <si>
    <t>The child brings the vacuum attachment into the next bedroom.</t>
  </si>
  <si>
    <t>v_VFSSZXuMmgg</t>
  </si>
  <si>
    <t>People are rollerblading and doing tricks.</t>
  </si>
  <si>
    <t>A person is skateboarding at a skate park.</t>
  </si>
  <si>
    <t>A white car is in the street.</t>
  </si>
  <si>
    <t>v_DsUbSyRX-B4</t>
  </si>
  <si>
    <t>Outside at the playground a boy has climbed to the top of the swing set while other children are swinging.</t>
  </si>
  <si>
    <t>The boy at the top is just sitting casually while another child is being pushed by a friend on the swing.</t>
  </si>
  <si>
    <t>She is building up a lot of speed and is going really high.</t>
  </si>
  <si>
    <t>She jumps off but does not land very well at all, she crashed down into the grass.</t>
  </si>
  <si>
    <t>v_TQepyWudKYQ</t>
  </si>
  <si>
    <t>A man stands on a field.</t>
  </si>
  <si>
    <t>The crowd in the stadium cheers on.</t>
  </si>
  <si>
    <t>Players on the field prepare to start a game.</t>
  </si>
  <si>
    <t>The pitcher pitches the ball.</t>
  </si>
  <si>
    <t>The batter tries to hit the ball but misses.</t>
  </si>
  <si>
    <t>The pitchers team excitedly exits the field.</t>
  </si>
  <si>
    <t>v_5YsdlM3Stjo</t>
  </si>
  <si>
    <t>There's a brown horse tied in a stable.</t>
  </si>
  <si>
    <t>A woman in a green shirt and brown boots walks in and begins scrubbing the horse.</t>
  </si>
  <si>
    <t>She continues scrubbing and cleaning the horse on his stomach.</t>
  </si>
  <si>
    <t>She scrubs the horse's neck area and back area thoroughly.</t>
  </si>
  <si>
    <t>She then walks to the horse's other side and continues scrubbing.</t>
  </si>
  <si>
    <t>The horse begins moving his neck and head as she continues scrubbing.</t>
  </si>
  <si>
    <t>Then she goes in front of the horse and cleans his mouth.</t>
  </si>
  <si>
    <t>v_auxBRPzLiIo</t>
  </si>
  <si>
    <t>Three girls are riding stationary bikes.</t>
  </si>
  <si>
    <t>A man is standing in front of them holding a camera.</t>
  </si>
  <si>
    <t>Another man walks in front of them.</t>
  </si>
  <si>
    <t>v_cukeWRPJzf8</t>
  </si>
  <si>
    <t>An underwater view is being shown as a woman dressed like a mermaid is swimming.</t>
  </si>
  <si>
    <t>A large nurse whale swims alongside her.</t>
  </si>
  <si>
    <t>Multiple pictures of the swimming mermaid are shown.</t>
  </si>
  <si>
    <t>v_u-YaDbGZoPk</t>
  </si>
  <si>
    <t>A picture of a scrubber is shown followed by a man using the item on a set of windows.</t>
  </si>
  <si>
    <t>He then wipes down the glass with another rag and points to the window and closing it while credits roll.</t>
  </si>
  <si>
    <t>v_W5g1IIAOZqs</t>
  </si>
  <si>
    <t>People gather in an indoor exhibition.</t>
  </si>
  <si>
    <t>A man and a robot play ping pong in the exhibition.</t>
  </si>
  <si>
    <t>People wears lanyards and watch around the exhibits, while a man explains a person holding two discs.</t>
  </si>
  <si>
    <t>Other people sits in a eating area while reading and texting.</t>
  </si>
  <si>
    <t>v_7OcfzMIZsxA</t>
  </si>
  <si>
    <t>People are eating ice cream cones.</t>
  </si>
  <si>
    <t>A person puts ice cream into an ice cream cone.</t>
  </si>
  <si>
    <t>A woman in glasses talks to the camera.</t>
  </si>
  <si>
    <t>v_jbh_K0yyJFo</t>
  </si>
  <si>
    <t>Two very large men are in the middle of a ring wearing sumo wrestling outfits.</t>
  </si>
  <si>
    <t>They are getting in position and waiting for the referee to tell them to start the match.</t>
  </si>
  <si>
    <t>Once the ref says to start they begin the match both running towards one another immediately.</t>
  </si>
  <si>
    <t>The tan skinned man knocks the other man down tot the ground and he wins the match.</t>
  </si>
  <si>
    <t>v__Rcb5kuhn90</t>
  </si>
  <si>
    <t>A woman manipulates a Rubik's cube while a man watches on in a competitive setting.</t>
  </si>
  <si>
    <t>Two men walk through the camera frame in the background.</t>
  </si>
  <si>
    <t>The woman puts the solved Rubik's cube on the table before her.</t>
  </si>
  <si>
    <t>v_7IIi_92vRLo</t>
  </si>
  <si>
    <t>An intro leads into various pictures of girls with long hair as well as girls who have their hair braided together.</t>
  </si>
  <si>
    <t>A girl's hair length is measured followed by more pictures of her long hair and speaking to the camera.</t>
  </si>
  <si>
    <t>A set of hands is then seen cutting the girl's hair and showing her ponytail to the girl.</t>
  </si>
  <si>
    <t>More pictures of the girl's new hair is shown as well as old pictures of her.</t>
  </si>
  <si>
    <t>v_Zk4Ewz3v6aQ</t>
  </si>
  <si>
    <t>A man wearing a black shirt and black shorts is standing next to an exercise machine.</t>
  </si>
  <si>
    <t>He sits on the exercise machine and starts working out.</t>
  </si>
  <si>
    <t>He stops working out and releases the bar.</t>
  </si>
  <si>
    <t>v_jIb_BfiRsQ4</t>
  </si>
  <si>
    <t>A man fry vegetables in a pan and stir with a large spoon.</t>
  </si>
  <si>
    <t>Then the man brake eggs in a bowl and mix well, after the man add the eggs in the pan to do an omelette.</t>
  </si>
  <si>
    <t>He roll the omelette and flip it in the air, then the man serves the omelette on a dish.</t>
  </si>
  <si>
    <t>v_SbX8KDWMhio</t>
  </si>
  <si>
    <t>A woman is dancing along to some music while standing in front of a television.</t>
  </si>
  <si>
    <t>As she is dancing she begins to smoke a hookah pipe.</t>
  </si>
  <si>
    <t>The camera shows two other women in the room as they dance and smoke the hookah pipe with her.</t>
  </si>
  <si>
    <t>the camera turns to a man that is in the room with a camera taking pictures.</t>
  </si>
  <si>
    <t>v_IGcsVPa34Hc</t>
  </si>
  <si>
    <t>A small girl is making cookies with her mother in her kitchen.</t>
  </si>
  <si>
    <t>She wants her mom to pretend that she is Santa Claus.</t>
  </si>
  <si>
    <t>The laughs and rolls the cookie dough on the cutting board.</t>
  </si>
  <si>
    <t>The mother opens the oven and puts the tray full of cookie dough into the oven for baking.</t>
  </si>
  <si>
    <t>The mother then takes the cookie cutter and makes some more cookies for baking, Then both mother and daughter go through the cookie recipe as they place the cookie dough on the tray.</t>
  </si>
  <si>
    <t>After the cookies are baked, they decorate the cookies with sprinkles and frosting.</t>
  </si>
  <si>
    <t>The girl proudly shows the finished cookie after it's done.</t>
  </si>
  <si>
    <t>v_5ohc1_X2W80</t>
  </si>
  <si>
    <t>Two people are shown pushing around a lawn mower and cutting the lawn.</t>
  </si>
  <si>
    <t>The bump into each other when one turns around the other follows close behind.</t>
  </si>
  <si>
    <t>The male walks up to the house and continues coming back around towards the woman.</t>
  </si>
  <si>
    <t>v_n9teiB6FW84</t>
  </si>
  <si>
    <t>A person is seen riding along a bike trail while a person wearing a camera following from behind.</t>
  </si>
  <si>
    <t>More clips are shown of people riding bikes along the trail while the camera captures it from several angles.</t>
  </si>
  <si>
    <t>v_THOVGzbo8w8</t>
  </si>
  <si>
    <t>A close up of a lacrosse game is shown that leads into a man speaking to the camera.</t>
  </si>
  <si>
    <t>More shots are shown of the game with the players running up and down the field as well as many others speaking to the camera.</t>
  </si>
  <si>
    <t>v_Gp5Vos--_0k</t>
  </si>
  <si>
    <t>A man is seen wearing a helmet and kneeling down in a large room.</t>
  </si>
  <si>
    <t>Uses a torch on an object while another person walks into frame.</t>
  </si>
  <si>
    <t>In the end he zooms in on the object he torched.</t>
  </si>
  <si>
    <t>v_7j8cTyXi5a4</t>
  </si>
  <si>
    <t>A woman is standing behind a table.</t>
  </si>
  <si>
    <t>She picks up a rag and a bottle of oil.</t>
  </si>
  <si>
    <t>She puts oil onto the rag and starts to clean her boots with it.</t>
  </si>
  <si>
    <t>v_zdoGEZO5Ldc</t>
  </si>
  <si>
    <t>A boy sits at a table with a girl beside him.</t>
  </si>
  <si>
    <t>He is trying to solve a rubik's cube while she times him.</t>
  </si>
  <si>
    <t>A counter counts quickly as he tries his best to solve the puzzle.</t>
  </si>
  <si>
    <t>He finally solves the cube, and stands up from the table.</t>
  </si>
  <si>
    <t>v_ypf6WHYpeRU</t>
  </si>
  <si>
    <t>A man is helping a boy fly a kite.</t>
  </si>
  <si>
    <t>A woman is standing next to them.</t>
  </si>
  <si>
    <t>The kites are flying in the sky above water.</t>
  </si>
  <si>
    <t>The man walks up the hill.</t>
  </si>
  <si>
    <t>v_ok3Kpgv0PzE</t>
  </si>
  <si>
    <t>The female gymnast raised her arm as the judge raise the flag.</t>
  </si>
  <si>
    <t>The gymnast jump to the beam, balanced herself, did thumbling several times run and balanced herself and did thumbling.</t>
  </si>
  <si>
    <t>The girl jump of the beam landing to the blue mat.</t>
  </si>
  <si>
    <t>v_ZreBacTw5Hw</t>
  </si>
  <si>
    <t>A highway with signs overhead are shown before we see a beach scene and a set of trophies.</t>
  </si>
  <si>
    <t>A bunch of volleyball players gather to start a game.</t>
  </si>
  <si>
    <t>The game commences, the people trying their best to win.</t>
  </si>
  <si>
    <t>v_Tfqln6lL7q0</t>
  </si>
  <si>
    <t>A camera pans around person's faces on a snowy hill as well as them riding down a mountain.</t>
  </si>
  <si>
    <t>The people continue skiing down the snowy path moving back and fourth and ending by stopping at the bottom.</t>
  </si>
  <si>
    <t>v_WdX_4wwtkGg</t>
  </si>
  <si>
    <t>A man wearing a hat is seen holding up a harmonica and begins playing with his hands.</t>
  </si>
  <si>
    <t>He continues playing the instrument to the camera and ends with him putting the instrument down then holding it up again.</t>
  </si>
  <si>
    <t>v_9yktj7NCdFI</t>
  </si>
  <si>
    <t>Two small children are seen drawing with chalk on a side walk while they occasionally looking back to the camera.</t>
  </si>
  <si>
    <t>The girl is then seen play hop scotch jumping down the chalk while the boy watches from behind.</t>
  </si>
  <si>
    <t>A woman then helps the boy jump followed by the young girl helping.</t>
  </si>
  <si>
    <t>The boy jumps on his own and then leads into the two walking on a sidewalk beam.</t>
  </si>
  <si>
    <t>The girl swings her arms up and then the two jump down.</t>
  </si>
  <si>
    <t>v_vPZf3F3bNAA</t>
  </si>
  <si>
    <t>An athletic man steps up before a track while holding a javelin ad standing ready.</t>
  </si>
  <si>
    <t>The man runs down, throws the javelin, and walks back while his throw is shown again several times in slow motion.</t>
  </si>
  <si>
    <t>In the end he is seen celebrating and running around the field.</t>
  </si>
  <si>
    <t>v_yScYLIJ_txA</t>
  </si>
  <si>
    <t>Six people in helmets race on dirt bikes around a circular, paved track surrounded by grass, game tents and onlookers.</t>
  </si>
  <si>
    <t>The people start the race behind a closed and grated fence, which then opens and allows them to start racing from an elevated platform down onto the paved raceway.</t>
  </si>
  <si>
    <t>The racers pedal with one person in a white jacket in the lead.</t>
  </si>
  <si>
    <t>The race ends with the same person in the white jacket remaining in the lead until they approach the end of the track and an orange, white striped cone.</t>
  </si>
  <si>
    <t>v_GEHPJEgMm_I</t>
  </si>
  <si>
    <t>A young man is shown swinging a tennis racket over and over again while hitting a ball at the same time.</t>
  </si>
  <si>
    <t>He continues to perform this swing several times and hits the ball every time.</t>
  </si>
  <si>
    <t>v_s3OxuR2zsZM</t>
  </si>
  <si>
    <t>A grinder machine is shown on a patio.</t>
  </si>
  <si>
    <t>A man talks while he shows the parts of the machine.</t>
  </si>
  <si>
    <t>He then demonstrates how the machine is used.</t>
  </si>
  <si>
    <t>v_JWFJGkUKVfk</t>
  </si>
  <si>
    <t>A man is kneeling down in a garage looking at tools on the ground.</t>
  </si>
  <si>
    <t>He then grabs a metal mask and positions himself correctly on the floor.</t>
  </si>
  <si>
    <t>Once comfortable,the mask is held in position and he begins firing away at the object on the ground.</t>
  </si>
  <si>
    <t>Finally,he takes it off and begins to chisel the object and beating the rust off of it.</t>
  </si>
  <si>
    <t>v_ycYPyXN0CPg</t>
  </si>
  <si>
    <t>A person is seen wearing a mask over their face and holding a hose in their hand.</t>
  </si>
  <si>
    <t>The person then begins spraying down the fence with the hose.</t>
  </si>
  <si>
    <t>The person continuously sprays along the fence while the camera captures it's movements.</t>
  </si>
  <si>
    <t>v_NURIoQoKk1E</t>
  </si>
  <si>
    <t>An introduction comes onto the screen showing a girl who will demonstrate how she blow dries her hair.</t>
  </si>
  <si>
    <t>She puts some mousse into her hand and proceeds to work it through her hair.</t>
  </si>
  <si>
    <t>She takes out a brow dryer and begins to blow dry her hair from the back to the front.</t>
  </si>
  <si>
    <t>She sections her hair, takes out a brush, and begins to blow dry her hair with the brush.</t>
  </si>
  <si>
    <t>When she is finished, the closing credits for the video show on the screen.</t>
  </si>
  <si>
    <t>v_N1JcXEim40g</t>
  </si>
  <si>
    <t>a woman is standing outside a beam.</t>
  </si>
  <si>
    <t>She mounts the beam, then does several flips and hand springs over the bar.</t>
  </si>
  <si>
    <t>She dismounts, raising her arms in the air.</t>
  </si>
  <si>
    <t>v_tRatWgaZ-a0</t>
  </si>
  <si>
    <t>A person is shown swimming through a pool while others swim around her.</t>
  </si>
  <si>
    <t>The people pass a ball around in the water while another team of players play int eh background.</t>
  </si>
  <si>
    <t>v_7_xkhnbnI7M</t>
  </si>
  <si>
    <t>A lady holds a cat in her lap on the floor.</t>
  </si>
  <si>
    <t>The lady then clips the cats claws.</t>
  </si>
  <si>
    <t>The cat tries to escape and the person calms the cat with a hair holder.</t>
  </si>
  <si>
    <t>The cat tries hard to escape.</t>
  </si>
  <si>
    <t>The lady finishes an the cat runs off and we see another cat sitting on a bed surrounded by clutter.</t>
  </si>
  <si>
    <t>v_5yGj9JooT_Q</t>
  </si>
  <si>
    <t>Two men are fighting with bows and arrows in a room.</t>
  </si>
  <si>
    <t>A man jumps off a stack of mats.</t>
  </si>
  <si>
    <t>Another man does a flip off the wall.</t>
  </si>
  <si>
    <t>v_85HxidMLf5Y</t>
  </si>
  <si>
    <t>A man cleans a small board of wood with a cloth in a workshop.</t>
  </si>
  <si>
    <t>Then, the man uses flannel to polish the wood board thoroughly.</t>
  </si>
  <si>
    <t>v_o8n1YnT8ZZ8</t>
  </si>
  <si>
    <t>Lemons are juiced one at a time and then put in a pot with sugar.</t>
  </si>
  <si>
    <t>Sparkling water is added and then the mixture is added to this creating sparkling lemonade.</t>
  </si>
  <si>
    <t>v_2eep4G5Tgho</t>
  </si>
  <si>
    <t>A man is outside of a building.</t>
  </si>
  <si>
    <t>He is using commercial lawn mowing equipment.</t>
  </si>
  <si>
    <t>He walks back and forth as he mows the grass.</t>
  </si>
  <si>
    <t>v_8z8FprjMNbI</t>
  </si>
  <si>
    <t>An elderly woman wearing glasses is standing in front of a car.</t>
  </si>
  <si>
    <t>She walks over to the car, and cannot get the door open at first.</t>
  </si>
  <si>
    <t>She gets inside the car, then gets out and cleans the snow off the car before getting back in and driving away.</t>
  </si>
  <si>
    <t>v_QakbOSMJ0AA</t>
  </si>
  <si>
    <t>A close up of a man's face is seen followed by a razor on the side and the person combing it's hair.</t>
  </si>
  <si>
    <t>The person continues shaving and combing the mans hair as well as shaving his beard covering in shaving cream.</t>
  </si>
  <si>
    <t>The man wipes off the face when he's done and showing off the clean shave.</t>
  </si>
  <si>
    <t>v_1ezOsdHncXo</t>
  </si>
  <si>
    <t>Drawings of hand soap bottles and humans are shown.</t>
  </si>
  <si>
    <t>A little girl is standing next to a white sink, she opened the faucet, wash her hand, rub her hand with soap, rinse her hand thoroughly, turned off the water and smiled at the camera.</t>
  </si>
  <si>
    <t>v_ETZOazHvdZg</t>
  </si>
  <si>
    <t>We see a bowler in front of a crowd stand and hold the ball.</t>
  </si>
  <si>
    <t>the bowler throws a strike and the crowd claps, a lady holds her hands in front of her face and the bowler wipes his hands.</t>
  </si>
  <si>
    <t>The man throws another strike and falls.</t>
  </si>
  <si>
    <t>He rises from the ground as the crowd claps.</t>
  </si>
  <si>
    <t>the man throws a third strike and is seen laying on the ground.</t>
  </si>
  <si>
    <t>He gets up and shakes the hand of men around and we see a lady holding her hands in front of her face.</t>
  </si>
  <si>
    <t>We then see an older man talking alone in a room.</t>
  </si>
  <si>
    <t>v_N7ppHQNikv8</t>
  </si>
  <si>
    <t>There is a boy sitting on a beach building sand castles with a water bottle and a sand bucket.</t>
  </si>
  <si>
    <t>Another little boy wearing a pink float comes running and joins him.</t>
  </si>
  <si>
    <t>The boy pours some water on the sand castle.</t>
  </si>
  <si>
    <t>Then a girls wearing a pink floral bathing suit joins the boys and helps them build the sand castle.</t>
  </si>
  <si>
    <t>v_zTzF5R_VhGk</t>
  </si>
  <si>
    <t>A man in glasses and beret is talking.</t>
  </si>
  <si>
    <t>He is shown playing a harmonica while he also plays a keyboard.</t>
  </si>
  <si>
    <t>He talks about the mechanics of the hormonica in between playing.</t>
  </si>
  <si>
    <t>v_M6sXLVNtTSA</t>
  </si>
  <si>
    <t>A group of men, boys and camels are in a desert area.</t>
  </si>
  <si>
    <t>One man is sitting on a camel.</t>
  </si>
  <si>
    <t>The man explains the correct way to ride a camel.</t>
  </si>
  <si>
    <t>A man in the background holds a video camera.</t>
  </si>
  <si>
    <t>Another man hands the camels reigns to the man riding and the camel starts walking.</t>
  </si>
  <si>
    <t>The camel turns it's head around and yells at the man riding him.</t>
  </si>
  <si>
    <t>The man riding kicks the camel in the side and he starts walking again.</t>
  </si>
  <si>
    <t>v_1KKVWzCwRSA</t>
  </si>
  <si>
    <t>Several different men are seen trying to snow board but, falling down over and over.</t>
  </si>
  <si>
    <t>Many different people are in the background watching and doing different things in the snow.</t>
  </si>
  <si>
    <t>The man that were falling give up and stay in a sitting position.</t>
  </si>
  <si>
    <t>v_1Dpm9kvn3M8</t>
  </si>
  <si>
    <t>A man is seen speaking to the camera while holding up a cigarette.</t>
  </si>
  <si>
    <t>The man takes several puffs out of the cigarette while still looking back to the camera.</t>
  </si>
  <si>
    <t>He continues smoking and looking back up to the camera.</t>
  </si>
  <si>
    <t>v_3HHAEmr0Q34</t>
  </si>
  <si>
    <t>A man is seen standing on a court holding down a tennis racket.</t>
  </si>
  <si>
    <t>The man then bounces the racket down and hits the tennis ball balancing on top.</t>
  </si>
  <si>
    <t>His hit is shown again in slow motion.</t>
  </si>
  <si>
    <t>v_QGZN8aXpXHU</t>
  </si>
  <si>
    <t>We see a boy in a jacket standing outside and talking.</t>
  </si>
  <si>
    <t>The boy goes in a building .</t>
  </si>
  <si>
    <t>The boy sits in a chair and test a haircut.</t>
  </si>
  <si>
    <t>The lady then uses scissors.</t>
  </si>
  <si>
    <t>We see the kid with his new hair cut.</t>
  </si>
  <si>
    <t>The lady give the little boy a red balloon.</t>
  </si>
  <si>
    <t>We see the boy as he walks to the door.</t>
  </si>
  <si>
    <t>v_Xbk1XePzTIA</t>
  </si>
  <si>
    <t>A man introduces himself to the camera and says he will show how to build a fire.</t>
  </si>
  <si>
    <t>He begins to break his starting stick and put leaves at the bottom of his filled fire pit.</t>
  </si>
  <si>
    <t>He turns on the lighter and starts at the bottom with the leaves.</t>
  </si>
  <si>
    <t>We see the full fire at night.</t>
  </si>
  <si>
    <t>v_kgmcYBRYkAk</t>
  </si>
  <si>
    <t>A boy in red overalls is playing hopscotch.</t>
  </si>
  <si>
    <t>A woman walks behind him and sits down.</t>
  </si>
  <si>
    <t>The boy finishes and reaches for the person filming.</t>
  </si>
  <si>
    <t>v_8ao9LZLn0Hs</t>
  </si>
  <si>
    <t>Four little girls , dressed in white dresses with red sashes, stand in a line, on a stage and play the violin together.</t>
  </si>
  <si>
    <t>Four little girls begin to play violin on a stage on a stage with a pink backdrop.</t>
  </si>
  <si>
    <t>The girl play together using both hands to play the violin before ending the performance and taking a bow together.</t>
  </si>
  <si>
    <t>v_5x1diXJ8gME</t>
  </si>
  <si>
    <t>A small group of men are seen riding around on various horses holding sticks in their hand and preparing for a game.</t>
  </si>
  <si>
    <t>The men then throw the ball down and all ride around on horses attempting to hit the ball and one scores a goal.</t>
  </si>
  <si>
    <t>A person holds up a flag and shows other people watching on the sides.</t>
  </si>
  <si>
    <t>A person then scores two more goals and the goalies raise their flag each time.</t>
  </si>
  <si>
    <t>v_Rewtuc-f6wU</t>
  </si>
  <si>
    <t>a boy is holding a very long pole.</t>
  </si>
  <si>
    <t>The camera turns upright suddenly.</t>
  </si>
  <si>
    <t>the boy runs with the pole, vaulting over a bar and onto a mat.</t>
  </si>
  <si>
    <t>v_Rl6US0JizDs</t>
  </si>
  <si>
    <t>An introduction comes onto the screen for a video about mixing a drink called the "Yah Yah".</t>
  </si>
  <si>
    <t>She goes over all the ingredients needed for the drink.</t>
  </si>
  <si>
    <t>She begins by taking a glass and filling it with ice.</t>
  </si>
  <si>
    <t>She add all the ingredients to the glass over the ice.</t>
  </si>
  <si>
    <t>v_VRiUhsafjRM</t>
  </si>
  <si>
    <t>We see a person waving something.</t>
  </si>
  <si>
    <t>A white screen then two boys in the kitchen.</t>
  </si>
  <si>
    <t>We see a counter with ingredient.</t>
  </si>
  <si>
    <t>The boys then mix ingredients in a bowl.</t>
  </si>
  <si>
    <t>We see a person shift flour in a bowl.</t>
  </si>
  <si>
    <t>Someone stirs the cookie dough in a bowl.</t>
  </si>
  <si>
    <t>The dough is put on a sheet.</t>
  </si>
  <si>
    <t>A boy washes the dishes.</t>
  </si>
  <si>
    <t>The cookies are put in an oven.</t>
  </si>
  <si>
    <t>A boy plays a guitar the other boy sings.</t>
  </si>
  <si>
    <t>Each boy eats a cookie and we see them come out of the oven.</t>
  </si>
  <si>
    <t>A poked cookie breaks apart.</t>
  </si>
  <si>
    <t>A boy shakes his head yes and plays with a big black dog.</t>
  </si>
  <si>
    <t>v_61W153jXL3U</t>
  </si>
  <si>
    <t>A man is showing washing his face with water into a sink and putting lotion into his hand.</t>
  </si>
  <si>
    <t>He rubs the soap together in his hands and massages into his face thoroughly.</t>
  </si>
  <si>
    <t>He then wipes his face off with a towel and speaking to the camera and pouring more lotion.</t>
  </si>
  <si>
    <t>He once again presses the lotion into his face and a recap is shown of his face.</t>
  </si>
  <si>
    <t>v_LFiGhD1OEws</t>
  </si>
  <si>
    <t>A group of young people play field hockey on a field while a man watches from a fence bordering the playing field.</t>
  </si>
  <si>
    <t>A man in field hockey goal gear stands in the center of a semi circle formed by young people dressed in field hockey attire.</t>
  </si>
  <si>
    <t>The man interviews from the sidelines while the people play field hockey and at one point is presented with a burgundy jersey by the players.</t>
  </si>
  <si>
    <t>The man then plays a game of field hockey in which he ends standing in the semi circle again tossing a ball up and down and looking into the camera while surrounded by players.</t>
  </si>
  <si>
    <t>v_00Dk03Jr70M</t>
  </si>
  <si>
    <t>A man enters a room and piles plaster onto a base.</t>
  </si>
  <si>
    <t>The man adds swipes the plaster on the wall then gets more and adds it.</t>
  </si>
  <si>
    <t>The man gets more plaster and swipes it on the wall.</t>
  </si>
  <si>
    <t>The man then walks and turns off the camera.</t>
  </si>
  <si>
    <t>v_5xI8T41HejM</t>
  </si>
  <si>
    <t>man and woman are standing on top of a big rock jumping into a lake.</t>
  </si>
  <si>
    <t>wo guys are sitting on a side of the rock talking with a woman on the lake.</t>
  </si>
  <si>
    <t>v_d3crFny-e3E</t>
  </si>
  <si>
    <t>A large cliff is seen near the ocean.</t>
  </si>
  <si>
    <t>Several boats are nearby, and people are kayaking through the area.</t>
  </si>
  <si>
    <t>A man is rappeling up the side of the cliff.</t>
  </si>
  <si>
    <t>He stands triumphantly on the back of a small boat.</t>
  </si>
  <si>
    <t>v_ta4QlTBHTTw</t>
  </si>
  <si>
    <t>A man demonstrates Tai Chi combat with other person.</t>
  </si>
  <si>
    <t>The man performs Tai Chi while talking, then he shows the movements with the man.</t>
  </si>
  <si>
    <t>After, the man moves the body and the hands while explaining.</t>
  </si>
  <si>
    <t>v_pIv2jZdHP0k</t>
  </si>
  <si>
    <t>A pair of shoes is on the floor, and a man wearing socks stands behind them.</t>
  </si>
  <si>
    <t>He takes out a shoestring and begins lacing the shoes.</t>
  </si>
  <si>
    <t>He then puts the shoes on, and shows how they look.</t>
  </si>
  <si>
    <t>v_w1qa9NOiFbE</t>
  </si>
  <si>
    <t>Scenes of a small rural village under a heavy rainstorm are shown.</t>
  </si>
  <si>
    <t>A woman washes items by a container in the rain while other individuals stand around.</t>
  </si>
  <si>
    <t>A close up of a wash basin by the container is shown.</t>
  </si>
  <si>
    <t>v_jC1He93cebg</t>
  </si>
  <si>
    <t>A woman is seen standing on a piece of exercise equipment and moving herself around.</t>
  </si>
  <si>
    <t>The woman moves her feet on the machine as well as showing how the machine works.</t>
  </si>
  <si>
    <t>Another man is seen exercising and ends with text on the screen.</t>
  </si>
  <si>
    <t>v_kTSuw4T-_Nk</t>
  </si>
  <si>
    <t>A woman is seen sitting in a chair looking down with others beside her.</t>
  </si>
  <si>
    <t>The camera pans all around the people sitting and leads to one putting an objects on his leg.</t>
  </si>
  <si>
    <t>She rips off the object showing the hair as well as his leg and others laughing.</t>
  </si>
  <si>
    <t>v_2gV2apTrRHs</t>
  </si>
  <si>
    <t>A police officer spins around while dancing.</t>
  </si>
  <si>
    <t>The boy does a hand stand.</t>
  </si>
  <si>
    <t>The police officer does a disco John Travolta dance.</t>
  </si>
  <si>
    <t>The police officer does a break dancing routine.</t>
  </si>
  <si>
    <t>The group of children walk together on the grass.</t>
  </si>
  <si>
    <t>v_v-qFJJx0bTs</t>
  </si>
  <si>
    <t>A large group of people are seen standing on each side of a rope with many people watching on the sides.</t>
  </si>
  <si>
    <t>The men then begin a game of tug of war with one another with one man helping teams on the side and ends with one team falling down.</t>
  </si>
  <si>
    <t>v_dot-t-Nen_k</t>
  </si>
  <si>
    <t>A man is standing in front of a net.</t>
  </si>
  <si>
    <t>A man is standing in front of a wood fence.</t>
  </si>
  <si>
    <t>Men are playing lacrosse on a field.</t>
  </si>
  <si>
    <t>v_fzwNgtDwgKQ</t>
  </si>
  <si>
    <t>A man drives in circles a four wheels motorcycle in a field with high weeds while dust.</t>
  </si>
  <si>
    <t>Then, the man goes to another place to continue driving in circles.</t>
  </si>
  <si>
    <t>v_DPw74KWZzGY</t>
  </si>
  <si>
    <t>Two people are seen sitting in front of cameras playing instruments while the camera zooms in.</t>
  </si>
  <si>
    <t>The man then sings to the camera while playing his instrument and speaks to the camera, ending with the two playing again.</t>
  </si>
  <si>
    <t>v_4XavNhCs-Do</t>
  </si>
  <si>
    <t>There is man wearing a blue shirt and another man in black seated on a rock, talking about rock climbing.</t>
  </si>
  <si>
    <t>They are seated at a very high altitude in the mountains.</t>
  </si>
  <si>
    <t>The person in blue is demonstrating how the rope is fastened from the rocks.</t>
  </si>
  <si>
    <t>He is also showing tight rope walking from one end to another.</t>
  </si>
  <si>
    <t>Then the person in black also walks on a tight rope.</t>
  </si>
  <si>
    <t>v_Gi1N3FtCZGo</t>
  </si>
  <si>
    <t>a boy is inside a gym.</t>
  </si>
  <si>
    <t>He lifts a barbell up to his chest.</t>
  </si>
  <si>
    <t>He pauses, then lifts it over his head.</t>
  </si>
  <si>
    <t>v_P-YyUw0iuBQ</t>
  </si>
  <si>
    <t>A group of boys are seen sitting around talking to one another and playing various games.</t>
  </si>
  <si>
    <t>The men hit one another while they switch places and continue to play more games.</t>
  </si>
  <si>
    <t>v_xBO66pI09rE</t>
  </si>
  <si>
    <t>A family is shown doing mouthwash.</t>
  </si>
  <si>
    <t>One woman tries to laugh and is successful in not spitting it up.</t>
  </si>
  <si>
    <t>v_0hfKWxuVT5k</t>
  </si>
  <si>
    <t>Several bodies of water are shown and a man appears paddling a small boat.</t>
  </si>
  <si>
    <t>Several other people are then shown paddling throughout the city in a small boats,passing several trees and city buildings.</t>
  </si>
  <si>
    <t>As they continue there journey,they pass under bridges,restaurants and other landmarks and then there names appear across the screen.</t>
  </si>
  <si>
    <t>v_UEtVbSLGhfY</t>
  </si>
  <si>
    <t>A person leads a large dog on a leash back and fourth on a hard wood floor.</t>
  </si>
  <si>
    <t>The dog drags the woman person around behind him and looks out the door and smiles.</t>
  </si>
  <si>
    <t>v_wsmMniNThlI</t>
  </si>
  <si>
    <t>Two people are horseback riding on a snowy trail.</t>
  </si>
  <si>
    <t>As they are riding they pass a set of glass igloos planted on the estate.</t>
  </si>
  <si>
    <t>They reach a clearing where there is open land and several trees.</t>
  </si>
  <si>
    <t>v_2xmu01HHhKY</t>
  </si>
  <si>
    <t>We see a lady slowly playing a drum.</t>
  </si>
  <si>
    <t>We pan right and see a man on drums.</t>
  </si>
  <si>
    <t>We see a person in orange enter.</t>
  </si>
  <si>
    <t>The lady stops drumming and shows her hands.</t>
  </si>
  <si>
    <t>We then see the camera operator.</t>
  </si>
  <si>
    <t>The lady and the boy in orange struggle over an instrument.</t>
  </si>
  <si>
    <t>The lady pretends to bite the boy, then laughs.</t>
  </si>
  <si>
    <t>We see a man enter the room.</t>
  </si>
  <si>
    <t>v_ru7UAr2488M</t>
  </si>
  <si>
    <t>hockey players are getting out the dressers to a field.</t>
  </si>
  <si>
    <t>hockey players are skating in an ice court in a roofed gym.</t>
  </si>
  <si>
    <t>mani s welding something in a dark room and the players are in the court playing.</t>
  </si>
  <si>
    <t>men are sitting on bus looking at his phones and seeing though the window and in the dressers geting ready to play and in the field.</t>
  </si>
  <si>
    <t>v_qXQBHaML9Xg</t>
  </si>
  <si>
    <t>A person flips over another person and gets thrown into the bushes.</t>
  </si>
  <si>
    <t>A person in a red shirt starts running towards them.</t>
  </si>
  <si>
    <t>v_5LveCNjz_zg</t>
  </si>
  <si>
    <t>A woman is holding a black cat snuggled in a purple blanket.</t>
  </si>
  <si>
    <t>The cat is meowing as the woman holds her paws.</t>
  </si>
  <si>
    <t>there's another man with nail clippers, slipping the cat's nails.</t>
  </si>
  <si>
    <t>The cat meows loudly in pain and the woman kisses the cat to calm her down.</t>
  </si>
  <si>
    <t>The man continues to clip the cat's nails as the woman cajoles the cat and kisses the cat's ears.</t>
  </si>
  <si>
    <t>The man continues clipping the nails until he's done.</t>
  </si>
  <si>
    <t>v_BmZwZLKxHCY</t>
  </si>
  <si>
    <t>A little girl is sitting in a rocking chair.</t>
  </si>
  <si>
    <t>She puts on compact makeup from a case.</t>
  </si>
  <si>
    <t>She then applies eye shadow and lipstick.</t>
  </si>
  <si>
    <t>v_DHiFKO68gT8</t>
  </si>
  <si>
    <t>Several shots of riders standing around a sand pit are shown followed by many angles of people riding bikes over jumps.</t>
  </si>
  <si>
    <t>The camera captures several angles of the people riding along a bike track and interviewing them in between shots.</t>
  </si>
  <si>
    <t>In the end all the riders are shown on screen as well as being interviewed and jumping along one last time.</t>
  </si>
  <si>
    <t>v_0p34rFNYj_M</t>
  </si>
  <si>
    <t>An adult female and a young female is in the beach, the adult female is dumping the sand from the pail to the ground.</t>
  </si>
  <si>
    <t>The woman in polka dots is sitting on the ground and showing her pants.</t>
  </si>
  <si>
    <t>The young girl is pointing on to something and waving at the camera.</t>
  </si>
  <si>
    <t>v_zo8XBVxxkmo</t>
  </si>
  <si>
    <t>Three men are seen sitting on the ground speaking to one another and leading into them riding down a road.</t>
  </si>
  <si>
    <t>More shots are shown of people skateboarding down a road performing several tricks and walking away.</t>
  </si>
  <si>
    <t>v_AMU1mHpR6Os</t>
  </si>
  <si>
    <t>A close up of a razor is shown an leads into several clips of dogs getting their cut trimmed.</t>
  </si>
  <si>
    <t>Several tools are shown are then shown on cats and them laying down being pet.</t>
  </si>
  <si>
    <t>v_1FlnQzPzS2Q</t>
  </si>
  <si>
    <t>A man is running down a street.</t>
  </si>
  <si>
    <t>A white car is right behind him on the street.</t>
  </si>
  <si>
    <t>People are riding bicycles next to him.</t>
  </si>
  <si>
    <t>v_ZSLzzrc8pro</t>
  </si>
  <si>
    <t>A camera shows a closet that pans into two girls seen riding on an elliptical.</t>
  </si>
  <si>
    <t>One girl moves up and down on the machine while the other hangs on in front, leading to them jumping and speaking to the camera hiding in the closet.</t>
  </si>
  <si>
    <t>v_yxSBQXuOwuc</t>
  </si>
  <si>
    <t>A logo is shown with water drop sounds playing in the background.</t>
  </si>
  <si>
    <t>A man is then shown wearing scubba gear and giving various hand signals to the camera.</t>
  </si>
  <si>
    <t>The water sounds still play and the man shows you various moves and what they mean under water.</t>
  </si>
  <si>
    <t>The logo then reappears on the screen and the video ends.</t>
  </si>
  <si>
    <t>v_40Sf-iICgzw</t>
  </si>
  <si>
    <t>A small child is shown playing drums while a group of people behind him watch and smile.</t>
  </si>
  <si>
    <t>The boy continues to play the drums and a baby in the arms of a man behind him climbs off his lap.</t>
  </si>
  <si>
    <t>v_GuzLtwhxsxA</t>
  </si>
  <si>
    <t>A close up of a canoe is shown followed by a man pushing the canoe along in various areas.</t>
  </si>
  <si>
    <t>His paddling is slowed down to demonstrate how to properly paddle while more shots of the man paddling in fast motion are shown.</t>
  </si>
  <si>
    <t>The ending shows a beautiful picture of a sun set.</t>
  </si>
  <si>
    <t>v_e5rZPT7BJas</t>
  </si>
  <si>
    <t>A person is peeling a sticker off of a white shoe.</t>
  </si>
  <si>
    <t>They wipe the shoe with a towel.</t>
  </si>
  <si>
    <t>v_aVDVMN9hE8A</t>
  </si>
  <si>
    <t>A person takes out cheese from a box, then he takes a jar that puts on the counter with two napkins, then he opens the fridge.</t>
  </si>
  <si>
    <t>A man puts water on his face while holding a pail, then takes a sponge and throws over the table.</t>
  </si>
  <si>
    <t>The person puts two bottles and two slices of bread on the table, then he slices the cheese.</t>
  </si>
  <si>
    <t>After, the person puts the cheese and jam on the bread, then he eats the sandwich and drink soda from bottle.</t>
  </si>
  <si>
    <t>v_T84iinm8-V0</t>
  </si>
  <si>
    <t>A fencing match is taking place inside an auditorium.</t>
  </si>
  <si>
    <t>Two men in full fencing gear begin fighting.</t>
  </si>
  <si>
    <t>They stab and swing, fencing for the crowd.</t>
  </si>
  <si>
    <t>Several people are shown performing various sports in the closing images.</t>
  </si>
  <si>
    <t>v_HsfrvjsaIDU</t>
  </si>
  <si>
    <t>A man is shown holding a long trimmer.</t>
  </si>
  <si>
    <t>He uses the trimmer to weedeat the bushes.</t>
  </si>
  <si>
    <t>Leaves fall to the ground in droves as he trims.</t>
  </si>
  <si>
    <t>v_r10jGF9lQYM</t>
  </si>
  <si>
    <t>A man and boys standard sit on the snow and ice fish.</t>
  </si>
  <si>
    <t>We see a tittle screen and a plane flys overhead in the sky and we see the people on the ice and a truck in the distance.</t>
  </si>
  <si>
    <t>A kids walks over to the truck where a lady is cooking hot dogs in the truck bed full of food.</t>
  </si>
  <si>
    <t>We see a title screen and see frozen fish sitting in the snow.</t>
  </si>
  <si>
    <t>v_jkn6uvmqwh4</t>
  </si>
  <si>
    <t>A parade procession walks down the street in a parade.</t>
  </si>
  <si>
    <t>A group of members in green uniforms walks waving flags.</t>
  </si>
  <si>
    <t>Members of the procession walk down the street holding small horn brass instruments.</t>
  </si>
  <si>
    <t>A drum line passes by walking down the street playing their instruments.</t>
  </si>
  <si>
    <t>Members of the procession walk down the street holding large flared horn instruments.</t>
  </si>
  <si>
    <t>v_pSdlIsd_vZc</t>
  </si>
  <si>
    <t>The video is very poor quality and it shows a man holding the camera and he is at a park with other people that includes another adult and a small child that looks like a girl.</t>
  </si>
  <si>
    <t>The man climbs onto the park equipment with the little girl.</t>
  </si>
  <si>
    <t>The child and the man then appear on the slide and the little girl goes down the slide alone while smiling the whole time and the man remains at the top of the slide.</t>
  </si>
  <si>
    <t>v_dN9ZPc7NMVQ</t>
  </si>
  <si>
    <t>A woman and young boy are shown smiling and washing their hands in the sink when the woman begins washing his face.</t>
  </si>
  <si>
    <t>The boy smiles with the woman washing his face and the woman dries his face off with a paper towel.</t>
  </si>
  <si>
    <t>v_d0woFZ26Cx0</t>
  </si>
  <si>
    <t>A view is seen of a pool table, balls being triangled, and numerous people shooting the balls into the corner pockets during a competition.</t>
  </si>
  <si>
    <t>A woman walks around holding a scorecard as they play.</t>
  </si>
  <si>
    <t>v_yvzlX5St_Ok</t>
  </si>
  <si>
    <t>People are driving bumper cars on a brown floor.</t>
  </si>
  <si>
    <t>The bumper cars collide with each other.</t>
  </si>
  <si>
    <t>A girl laughs out loud.</t>
  </si>
  <si>
    <t>v_qJrJeICcevI</t>
  </si>
  <si>
    <t>A bunch of people ride camels.</t>
  </si>
  <si>
    <t>The camel gets down and kneels.</t>
  </si>
  <si>
    <t>v_1lu7Sbu3a6o</t>
  </si>
  <si>
    <t>We see a lady and a girl on a raft on a snowy hill.</t>
  </si>
  <si>
    <t>The lady and a man push people down the hill.</t>
  </si>
  <si>
    <t>The people slide in rafts down the hill.</t>
  </si>
  <si>
    <t>The little girl stands and looks behind her.</t>
  </si>
  <si>
    <t>v_j0Iv6dmSw0k</t>
  </si>
  <si>
    <t>A group of people are sitting and clapping while men standing up dressed in gi's along a mirrored wall go through different motions of karate.</t>
  </si>
  <si>
    <t>Elvis Presley is now dressed in his concert clothing, standing on stage doing his karate moves, and then it goes back to him standing in front of the mirrored wall and demonstrating his karate moves while he's wearing his gi.</t>
  </si>
  <si>
    <t>Once again Elvis Presley is back on stage in his concert clothing the video ends with him doing his karate moves on stage.</t>
  </si>
  <si>
    <t>v_ki2kGFwczMg</t>
  </si>
  <si>
    <t>An athlete wearing a white shirt and red shorts is running with a javelin in his hand in a stadium with several spectators.</t>
  </si>
  <si>
    <t>There is a person seated on a white bench wearing a blue uniform, tying his shoelaces.</t>
  </si>
  <si>
    <t>The javelin thrower runs and throws the javelin and falls to the ground.</t>
  </si>
  <si>
    <t>He gets up and raises his hands up high in victory.</t>
  </si>
  <si>
    <t>He comes running again and throws the javelin and falls to the ground.</t>
  </si>
  <si>
    <t>The third time, his action is repeated in slow motion.</t>
  </si>
  <si>
    <t>v_jE2jDJ9WHeE</t>
  </si>
  <si>
    <t>Player practice lacrosse in a field.</t>
  </si>
  <si>
    <t>Then, teams play lacrosse and a player score for his team.</t>
  </si>
  <si>
    <t>A coach takes notes, and then players train lacrosse.</t>
  </si>
  <si>
    <t>Then two teams play lacrosse in a field throwing the call with a stick.</t>
  </si>
  <si>
    <t>v_xT7eQmyr1-Y</t>
  </si>
  <si>
    <t>A man walks through his yard and retrieves a push leaf blower.</t>
  </si>
  <si>
    <t>The man walks the blower around the yard and blows leaves to the side.</t>
  </si>
  <si>
    <t>The man finishes and pushes the leaf blower beside the fence with the other machinery then walks away.</t>
  </si>
  <si>
    <t>v_gCf7wYa4AFA</t>
  </si>
  <si>
    <t>Woman in pink points to the goal.</t>
  </si>
  <si>
    <t>Girl in black shoots and score goal.</t>
  </si>
  <si>
    <t>Teammates congratulate the girl in black for the goal.</t>
  </si>
  <si>
    <t>Players get into their positions.</t>
  </si>
  <si>
    <t>Girl in black runs after the ball.</t>
  </si>
  <si>
    <t>Girl in black hits the ball to her teammate.</t>
  </si>
  <si>
    <t>Girls run after the ball.</t>
  </si>
  <si>
    <t>v_52tZGZGuWP4</t>
  </si>
  <si>
    <t>A man is sitting in a room with two congas in between his legs.</t>
  </si>
  <si>
    <t>One of them is slightly smaller than the other and he tends to play that one and only hitting the larger every couple of beats.</t>
  </si>
  <si>
    <t>His whole face appears in the frame and you can see him bobbing his head and focusing more on his sound.</t>
  </si>
  <si>
    <t>v_WdNtrGxSm1Y</t>
  </si>
  <si>
    <t>An intro leads into a woman holding a dog and frisbee and then throwing the fribee for the dog to catch.</t>
  </si>
  <si>
    <t>The dog brings it back and the girl throws the object several more times, with the dog chaseing and coming back each time.</t>
  </si>
  <si>
    <t>v_55FFh89yqVw</t>
  </si>
  <si>
    <t>The lady puts contents of a bottle in her palms, and the lady rubs it on her face.</t>
  </si>
  <si>
    <t>The lady makes funny faces.</t>
  </si>
  <si>
    <t>The lady washes her face.</t>
  </si>
  <si>
    <t>The lady towel dries her face.</t>
  </si>
  <si>
    <t>The lady puts spots of white lotion on her face and rubs it in.</t>
  </si>
  <si>
    <t>The lady presents a small tube product.</t>
  </si>
  <si>
    <t>v_gOUqdgxwNPw</t>
  </si>
  <si>
    <t>A young person is holding on to a rope as he is boogie boarding through the river.</t>
  </si>
  <si>
    <t>The young person then does a 360 flip in the water and keeps going and shortly after,he does another trick.</t>
  </si>
  <si>
    <t>Then another person is shown and begins doing more rigorous tricks in the water.</t>
  </si>
  <si>
    <t>Next,a series of pictures are shown of other people doing tricks.</t>
  </si>
  <si>
    <t>Next, a snowboarder is shown and then they young person comes back with a still image of him and his awards.</t>
  </si>
  <si>
    <t>v_19SHLOheCmo</t>
  </si>
  <si>
    <t>three women are standing in a park in a field doing yoga.</t>
  </si>
  <si>
    <t>man is running in the park behind the women.</t>
  </si>
  <si>
    <t>an old man is walking fast in the park.</t>
  </si>
  <si>
    <t>v_2l50doS2wB4</t>
  </si>
  <si>
    <t>A man is seen holding onto a pair of shoes while speaking to the camera and spraying them down.</t>
  </si>
  <si>
    <t>The man scrubs the shoes down with a rag while continuing to speak to the camera.</t>
  </si>
  <si>
    <t>In the end he holds up the shoes while still speaking and giving the camera a thumbs up.</t>
  </si>
  <si>
    <t>v_Y76yy0chbhU</t>
  </si>
  <si>
    <t>A couple of teams are on an open field.</t>
  </si>
  <si>
    <t>They are playing lacrosse together.</t>
  </si>
  <si>
    <t>They run around, trying to hit the ball.</t>
  </si>
  <si>
    <t>v_uvs1pb32xZM</t>
  </si>
  <si>
    <t>A small group of children are seen running around an indoor field kicking a soccer ball.</t>
  </si>
  <si>
    <t>The kids move up and down in between poles while still kicking the ball.</t>
  </si>
  <si>
    <t>The kids are then shown kicking balls into a goal one after the other.</t>
  </si>
  <si>
    <t>v_4DCxc6mO864</t>
  </si>
  <si>
    <t>A girl is standing in the back of a room that has paper air ballon, and she begins to dance moving her legs back and forth and slightly moving her arms.</t>
  </si>
  <si>
    <t>The girl then picks it up and begins to move more of her arms along with her legs and dances in a small area in the room while facing the camera.</t>
  </si>
  <si>
    <t>The girl then turns to her side and we see her dancing from the side, she turns to face the back and dances a bit that way, then turns again and again until we've seen her dance in all different directions.</t>
  </si>
  <si>
    <t>v_OgaurUPiWYI</t>
  </si>
  <si>
    <t>Four bikers at the start of the line are wearing different colors of uniforms and helmets, they are about to get start the race.</t>
  </si>
  <si>
    <t>The race started, the bikers bike and race in the race track where they jumped and hopped and went to the curb, the one player, when he reached the finish line, he fell on his side and stood up and walked towards the people.</t>
  </si>
  <si>
    <t>v_kbWQIXFOK54</t>
  </si>
  <si>
    <t>A camera pans around a dresser followed by several objects and ingredients being shown to the camera.</t>
  </si>
  <si>
    <t>A woman is then seen painting the dresser with several coats and sanding it down.</t>
  </si>
  <si>
    <t>She places the pieces together and ends by smiling to the camera.</t>
  </si>
  <si>
    <t>v_qAXE_vqt56g</t>
  </si>
  <si>
    <t>The cartoon of heroes fighting with an evil character.</t>
  </si>
  <si>
    <t>The heroes fight and then sit on front a log.</t>
  </si>
  <si>
    <t>v_qdMjXJTsX94</t>
  </si>
  <si>
    <t>A spinning logo with a purple background then text are seen on the screen.</t>
  </si>
  <si>
    <t>A woman in blue dress plays a drum set in a studio.</t>
  </si>
  <si>
    <t>v_eHxRr7Zhsek</t>
  </si>
  <si>
    <t>The video opens with the host using purple nail tape to create a pattern, slowly applying and making sure it is straight.</t>
  </si>
  <si>
    <t>Next a matte coat is applied over the nail and tape.</t>
  </si>
  <si>
    <t>The tape is gently peeled off the nail, and a top coat is applied to the intersection of lines.</t>
  </si>
  <si>
    <t>Next, a micro bead is placed where the lines meet.</t>
  </si>
  <si>
    <t>The next nail project features a white painted nail and host makes two black C's to mimic the Chanel logo.</t>
  </si>
  <si>
    <t>Gradually the logo is made bolder with more application.</t>
  </si>
  <si>
    <t>Finally a matte top coat is applied to finish it off.</t>
  </si>
  <si>
    <t>v_E6ePEI4UOtU</t>
  </si>
  <si>
    <t>A mop stands upright next to a bucket.</t>
  </si>
  <si>
    <t>A person absorbs all the water from a bowl using a mop.</t>
  </si>
  <si>
    <t>Water is poured into a large bucket.</t>
  </si>
  <si>
    <t>The mop in dunked in the bucket of water then spun dry in the tray.</t>
  </si>
  <si>
    <t>A soiled area of a hardwood floor is mopped clean.</t>
  </si>
  <si>
    <t>A mop is used around various furniture and appliances to get into corners of rooms.</t>
  </si>
  <si>
    <t>v_wrn5qM9aVeo</t>
  </si>
  <si>
    <t>A chef is seen speaking to the camera and leads into him holding a board followed by cutting up dough.</t>
  </si>
  <si>
    <t>The man peels the dough pieces with a machine and lays them flat to roll out dough.</t>
  </si>
  <si>
    <t>The man then rolls out the flattened dough and shows off his finished pasta.</t>
  </si>
  <si>
    <t>v_IvkpOoeCM3A</t>
  </si>
  <si>
    <t>This video shows people participating in the world artistic pool championship.</t>
  </si>
  <si>
    <t>Smooth, but suspenseful music is playing throughout the whole video as people shoot pool balls into the holes by themselves.</t>
  </si>
  <si>
    <t>Not everyone is participating, some people are just watching and others are walking around for some other reasons.</t>
  </si>
  <si>
    <t>v_RK8VF2pL72I</t>
  </si>
  <si>
    <t>A woman is sitting in a chair knitting.</t>
  </si>
  <si>
    <t>She looks up and talks to someone.</t>
  </si>
  <si>
    <t>She continues knitting in her hands.</t>
  </si>
  <si>
    <t>v_gk6NAPqfJoY</t>
  </si>
  <si>
    <t>A person skies and slides on a platform.</t>
  </si>
  <si>
    <t>A person falls on the ice.</t>
  </si>
  <si>
    <t>A person skies and does flips.</t>
  </si>
  <si>
    <t>A person puts their gloved hand on the camera.</t>
  </si>
  <si>
    <t>v_45ymM0irIIY</t>
  </si>
  <si>
    <t>A comedian is seen speaking to the camera and leads into a bull running into a pit and various clips of men fighting bulls.</t>
  </si>
  <si>
    <t>A close up of the bull fighting is shown and pans back to the comedian speaking to the camera.</t>
  </si>
  <si>
    <t>v_iJahVlx_yDE</t>
  </si>
  <si>
    <t>Two people are seen standing at the bottom of a snowy hill speaking to one another when a person comes riding down on a tube.</t>
  </si>
  <si>
    <t>More people are seen flying down the mountain with one crashing into another and the person getting out to drag the tubes.</t>
  </si>
  <si>
    <t>v_XNTy5ZTMqVU</t>
  </si>
  <si>
    <t>A woman is talking inside an office to the camera while displaying sign language.</t>
  </si>
  <si>
    <t>Two hands appear, demonstrating several signs indicating the rock, paper, scissors game.</t>
  </si>
  <si>
    <t>The woman continues talking about the game, then it shows several clips of various people using the game to win or make decisions.</t>
  </si>
  <si>
    <t>It cuts to an article regarding tricks for winning the game before concluding with the woman speaking on last time.</t>
  </si>
  <si>
    <t>v_gN_Kq57w72s</t>
  </si>
  <si>
    <t>An image shows a bag of m&amp;m's and a bag of Maltersers being suspended in midair, appearing to pour onto a cake.</t>
  </si>
  <si>
    <t>A woman bakes a round cake, frosting it and surrounding it by chocolate bars.</t>
  </si>
  <si>
    <t>She then pours maltesers and m&amp;ms into bowls.</t>
  </si>
  <si>
    <t>She prepares the bags, making them look neat before sprinkling the candies onto the top of the cake, completely covering it.</t>
  </si>
  <si>
    <t>She then places sticks into the cake, and runs frosting up the sides of the stucks before adhering the candlies to the sticks.</t>
  </si>
  <si>
    <t>She then balances the bags atop the sticks.</t>
  </si>
  <si>
    <t>v_rpDBtiySZ3o</t>
  </si>
  <si>
    <t>Several people are preparing to play volleyball on the beach.</t>
  </si>
  <si>
    <t>The camera zooms out and the people begin to play the game, tossing the ball back and forth to each other.</t>
  </si>
  <si>
    <t>v_aHKZIUD3wPI</t>
  </si>
  <si>
    <t>A man is seen standing before a hedge holding onto a tool.</t>
  </si>
  <si>
    <t>The man uses the tool all along the hedge while trimming the top.</t>
  </si>
  <si>
    <t>He continues pushing the tool over the hedge while walking away from the camera.</t>
  </si>
  <si>
    <t>v_MFx2omPfM2o</t>
  </si>
  <si>
    <t>A large group of people are seen riding in bumper cars and bumping into one another.</t>
  </si>
  <si>
    <t>The people continue crashing into one another while laughing and beginning to get out of the car.</t>
  </si>
  <si>
    <t>v_a1ltYmbbBYI</t>
  </si>
  <si>
    <t>Two men are sumo wrestling on a ring.</t>
  </si>
  <si>
    <t>A man in a robe is standing behind them.</t>
  </si>
  <si>
    <t>A man trips and falls into the audience.</t>
  </si>
  <si>
    <t>v_rgJ00nNS_r0</t>
  </si>
  <si>
    <t>A group of men play croquet on a large grass covered field at an outdoor social event.</t>
  </si>
  <si>
    <t>The men begin playing croquet with one man making a sexual reference with the croquet stick as people walk by on the grass.</t>
  </si>
  <si>
    <t>The group of men are accompanied by onlookers as they continue to maneuver the croquet ball with their mallets.</t>
  </si>
  <si>
    <t>One croquet goal is accomplished on the grass by one player in brown shoes and a blue pants in the final clip.</t>
  </si>
  <si>
    <t>v_S-4ftlylgig</t>
  </si>
  <si>
    <t>A measuring tape is shown up close.</t>
  </si>
  <si>
    <t>We see a track person preparing to run.</t>
  </si>
  <si>
    <t>He runs, taking a huge leap into the sand, landing on the number 18.</t>
  </si>
  <si>
    <t>v_hSq0yL5AB40</t>
  </si>
  <si>
    <t>Several clips of people are shown waving to the camera and watch people riding bikes.</t>
  </si>
  <si>
    <t>Many people are shown riding around on bikes around a long track and the camera panning around.</t>
  </si>
  <si>
    <t>v_Cb3IonOw0bs</t>
  </si>
  <si>
    <t>A lady sits in a tub and rubs her legs with water while wearing an exfoliater glove.</t>
  </si>
  <si>
    <t>The camera zooms out and we see it's a set with camera equipment around.</t>
  </si>
  <si>
    <t>The lady then shaves her legs with an electric shaver.</t>
  </si>
  <si>
    <t>We see the lady smile and continue to shave her legs.</t>
  </si>
  <si>
    <t>v_h-_dzZ3cCfc</t>
  </si>
  <si>
    <t>A man is shown talking to the camera while walking slowly onto the field with a group of players.</t>
  </si>
  <si>
    <t>Various players are shown one on one with several shots of stadium and cities are shown.</t>
  </si>
  <si>
    <t>The athletes prepare themselves for the match and are shown playing out on the field.</t>
  </si>
  <si>
    <t>The men cheer when they score a goal and sit on the bench after being tired.</t>
  </si>
  <si>
    <t>They run through stadiums and speak to the camera about being a professional athlete.</t>
  </si>
  <si>
    <t>v_n50dwUENM1E</t>
  </si>
  <si>
    <t>There's a woman in her kitchen demonstrating how to use Astra Clean composite sink cleaner She sprays the kitchen sink with the Astra Clean quirt bottle and then uses a brush to scrub the sink.</t>
  </si>
  <si>
    <t>After she's done, she looks impressed at the sparkly clean kitchen sink.</t>
  </si>
  <si>
    <t>She puts the bottle down on the sink and walks away.</t>
  </si>
  <si>
    <t>v_QX-uieRfKgg</t>
  </si>
  <si>
    <t>The man with black apron is brushing the counter.</t>
  </si>
  <si>
    <t>The man in apron smoothen the ski board, then brushed off the dust.</t>
  </si>
  <si>
    <t>The man put polish on the board and continue to scrape and brush the board.</t>
  </si>
  <si>
    <t>v_C8m_dPhMGbg</t>
  </si>
  <si>
    <t>An intro leads into several clips of a person riding down a snowy hill on a snowboard.</t>
  </si>
  <si>
    <t>The person continues riding down through the snow and falling at one point but cleaning off his goggles and speaking to others.</t>
  </si>
  <si>
    <t>v_r0685Fhcfjs</t>
  </si>
  <si>
    <t>A large yard is shown with leaves laid out front and a man speaking to the camera.</t>
  </si>
  <si>
    <t>The man pushes the leaves around the yard.</t>
  </si>
  <si>
    <t>The man holds up the leaves and speaks to the camera.</t>
  </si>
  <si>
    <t>v_46ac33Z6V4E</t>
  </si>
  <si>
    <t>person in a dog costome is walking in the outside of a snowy house.</t>
  </si>
  <si>
    <t>person in the costume and cross the street to a car.</t>
  </si>
  <si>
    <t>man sart cleaning he snow from the driver's window and the back window.</t>
  </si>
  <si>
    <t>v_6E4_XOsT89k</t>
  </si>
  <si>
    <t>A person is standing on top of a high diving board.</t>
  </si>
  <si>
    <t>They jump off and do flips into the water.</t>
  </si>
  <si>
    <t>The crowd watches the person dive.</t>
  </si>
  <si>
    <t>v_ROvaMfVEMSw</t>
  </si>
  <si>
    <t>A man is seen sitting on a horse and riding into a pit swinging a rope.</t>
  </si>
  <si>
    <t>The man throws the rope onto a calf and jumps off the horse.</t>
  </si>
  <si>
    <t>He ties up the calf and ends by running back to the horse.</t>
  </si>
  <si>
    <t>v_8qAdvUvNuts</t>
  </si>
  <si>
    <t>A view of the countryside is seen in multiple images, including buildings, trees, fields and flowers near the ocean.</t>
  </si>
  <si>
    <t>A man is shown mountain climbing up the side of a cliff.</t>
  </si>
  <si>
    <t>v_2n6MvpNewpI</t>
  </si>
  <si>
    <t>man is mopping the floor in a laundry room.</t>
  </si>
  <si>
    <t>man squeeze out the mop in a bucket.</t>
  </si>
  <si>
    <t>v_sFQ7AaId8zg</t>
  </si>
  <si>
    <t>A woman shows a little girl to turn a handle, then, the little girl peels an orange spinning the handle of the machine.</t>
  </si>
  <si>
    <t>The handle gets stuck and the woman tries to help the girl.</t>
  </si>
  <si>
    <t>After, the girl continues turning the handle to peel the orange.</t>
  </si>
  <si>
    <t>v_89S-sQUWIcg</t>
  </si>
  <si>
    <t>A large group of people are seen running around a field playing a game with one another while the camera pans around the area.</t>
  </si>
  <si>
    <t>The games continues on as people cheer on the sides and the men continue playing with one another.</t>
  </si>
  <si>
    <t>v_cqkcRy3k4v0</t>
  </si>
  <si>
    <t>people are riding camels in the sand, the camel kneel down and the man and the woman go down.</t>
  </si>
  <si>
    <t>camel in the back kneel down and people go down in the back are cars and people walking in the parking lot and taking pictures.</t>
  </si>
  <si>
    <t>men go on a camel and the camel stands up.</t>
  </si>
  <si>
    <t>v_bULG65Ec5fo</t>
  </si>
  <si>
    <t>A man is climbing up a mountain trying to find the right spots to pull himself up.</t>
  </si>
  <si>
    <t>He finds a good place to hang his rope on the mountain and starts to climb up again.</t>
  </si>
  <si>
    <t>He decides to move it up a little bit more to a better spot.</t>
  </si>
  <si>
    <t>Then, he starts climbing again struggling a bit before finally making it over the tough spot.</t>
  </si>
  <si>
    <t>v_3eQqgH3PJBo</t>
  </si>
  <si>
    <t>A man in a black shirt and white gloves places billiard balls on a pool table.</t>
  </si>
  <si>
    <t>A man with a light blue shirt inspects the position of the billiard balls up close.</t>
  </si>
  <si>
    <t>The man in the light blue shirt gets into position with the cue stick and breaks the billiards balls and the balls go in many directions.</t>
  </si>
  <si>
    <t>The man in the black shirt returns and inspects the table and then steps back.</t>
  </si>
  <si>
    <t>The man in the light blue shirt prepares for his next shot by walking from one side of the billiard table to the other looking for his next shot.</t>
  </si>
  <si>
    <t>He chalks the tip of the cue stick before taking his shot.</t>
  </si>
  <si>
    <t>He then prepares for his next shot walking around the billiard table.</t>
  </si>
  <si>
    <t>v_hOdSTik8_nw</t>
  </si>
  <si>
    <t>The coach is coaching his team.</t>
  </si>
  <si>
    <t>The guy in the black in the back walks off.</t>
  </si>
  <si>
    <t>The coach is then speaking to the parents.</t>
  </si>
  <si>
    <t>two new guys arrive in the back.</t>
  </si>
  <si>
    <t>The coach is on the field with the teams.</t>
  </si>
  <si>
    <t>the yellow bus drives past.</t>
  </si>
  <si>
    <t>the red team is listening to the coach.</t>
  </si>
  <si>
    <t>The kids are playing the game.</t>
  </si>
  <si>
    <t>The kids are listening to the coach.</t>
  </si>
  <si>
    <t>The game is on again.</t>
  </si>
  <si>
    <t>A white bus drives past.</t>
  </si>
  <si>
    <t>v_ekgfptN7tQk</t>
  </si>
  <si>
    <t>The word Surfer is on the screen.</t>
  </si>
  <si>
    <t>A surfer is taking to the camera.</t>
  </si>
  <si>
    <t>A surfer is walking on the beach.</t>
  </si>
  <si>
    <t>A man is surfing in the water while the man is taking again.</t>
  </si>
  <si>
    <t>There are a crowd of surfers on the island.</t>
  </si>
  <si>
    <t>Several surfers are in the water and the man is still being interviewed.</t>
  </si>
  <si>
    <t>v_03BMaaMEcNo</t>
  </si>
  <si>
    <t>Two people are seen sitting before a wave pool and one leads another out onto the water on a board.</t>
  </si>
  <si>
    <t>The person falls when another attempts to ride the board on the water.</t>
  </si>
  <si>
    <t>The person continues riding along the water and ends with the camera panning around the area and the boy falls.</t>
  </si>
  <si>
    <t>v_5gc896my38M</t>
  </si>
  <si>
    <t>Several couples are shown running outside and doing various activities outside in the sun.</t>
  </si>
  <si>
    <t>More and more people begin talking and each of them has a bottle of sun screen and starts to squirt it on their arms in effort to protect their skin.</t>
  </si>
  <si>
    <t>A small blue bottle of the sun screen is then shown and several more people begin talking about the product.</t>
  </si>
  <si>
    <t>The website to buy the product is shown and the whole video plays again as if its looped.</t>
  </si>
  <si>
    <t>v_EY4YIa-kNgs</t>
  </si>
  <si>
    <t>A young boy holds a dish scrub as he speaks.</t>
  </si>
  <si>
    <t>He turns to the sink behind him where there are dishes sitting in water.</t>
  </si>
  <si>
    <t>He drops the scrub into the sink and lays a glass down.</t>
  </si>
  <si>
    <t>He grabs a towel and cleans the glass and moves on to scrub the glass as well.</t>
  </si>
  <si>
    <t>He puts down the scrub and grabs the glass to place it in the right side of the sink where he wets the glass and puts it away in the dish rack.</t>
  </si>
  <si>
    <t>He moves to grab the towel and clean a dish.</t>
  </si>
  <si>
    <t>He soaks the dish in water and moves it to the dish rack.</t>
  </si>
  <si>
    <t>He returns to use the towel and clean a knife.</t>
  </si>
  <si>
    <t>He soaks the knife in the water and moves it to the dish rack, the boy goes back to clean a fork with the towel.</t>
  </si>
  <si>
    <t>He moves the fork to the water to rinse soap off it.</t>
  </si>
  <si>
    <t>The young boy stands in front of camera, speaking.</t>
  </si>
  <si>
    <t>v_WcQV3OzK_sc</t>
  </si>
  <si>
    <t>A man is seen recording a small child who is having her hair combed by a woman standing behind her.</t>
  </si>
  <si>
    <t>Several people and kids watch on the side and the woman puts the girls hair into ponytails.</t>
  </si>
  <si>
    <t>She speaks to the camera and cuts the girls hair when the dad puts the hair on his head and makes the kids laugh.</t>
  </si>
  <si>
    <t>The woman continues cutting her hair while others watch and speaks to the camera, followed by the woman straightening the hair and showing it off in slow motion.</t>
  </si>
  <si>
    <t>The girl holds her hair and screams in excitement at the camera.</t>
  </si>
  <si>
    <t>v_MNSDK-vCwTM</t>
  </si>
  <si>
    <t>Two girls are seen speaking to the camera while holding cups in their hands and laughing to one another.</t>
  </si>
  <si>
    <t>The camera zooms in on the cups and the girl continue laughing while finally drinking from the cup.</t>
  </si>
  <si>
    <t>They hold the liquid into their mouth and spit it out and laugh in the end.</t>
  </si>
  <si>
    <t>v_TNVdpnrtn5A</t>
  </si>
  <si>
    <t>A man is seen speaking to the camera as well as bowing to the camera.</t>
  </si>
  <si>
    <t>The man kneels down on his knees several times and bows again.</t>
  </si>
  <si>
    <t>He turns himself around still bowing and ends by standing up.</t>
  </si>
  <si>
    <t>v_Bg526A61c1w</t>
  </si>
  <si>
    <t>Before an Olympic weight lifting event, a Chinese competitor is shown preparing by working out in a gym.</t>
  </si>
  <si>
    <t>He then practices for the event by lifting the big Olympic sized weights.</t>
  </si>
  <si>
    <t>At the competition, he picks up the weights from a squatting position before rising up and then throwing the weights down on completion.</t>
  </si>
  <si>
    <t>Various successful lifts are shown and the competitor hugs his trainer.</t>
  </si>
  <si>
    <t>v_UgrOTFBD7tA</t>
  </si>
  <si>
    <t>Mountains are seen in the distance with clouds moving over top during the afternoon.</t>
  </si>
  <si>
    <t>Mountain climbers use ropes and hooks to metal clips up along cracks in a sheer rock face.</t>
  </si>
  <si>
    <t>The climber sets a metal round clips into the crack of the rock face.</t>
  </si>
  <si>
    <t>Clouds move over a mountain range at sunset.</t>
  </si>
  <si>
    <t>v_wJOHmxQZPR4</t>
  </si>
  <si>
    <t>A woman is seen hosting a news segment speaking to the camera and transitions into a group of men walking in a straight line.</t>
  </si>
  <si>
    <t>The people then perform in front of a large group of people and one performer is interviewed in between.</t>
  </si>
  <si>
    <t>The news segment then begins talking to other people in the studio who give their opinions and ends with the host laughing and smiling.</t>
  </si>
  <si>
    <t>v_HqxTRzf11tc</t>
  </si>
  <si>
    <t>A person is seen standing ready in front of a large track with people sitting and standing around watching him.</t>
  </si>
  <si>
    <t>The persons ticks their arms out and runs down the track into the sit pit and flips over.</t>
  </si>
  <si>
    <t>v_MKLoBzvca30</t>
  </si>
  <si>
    <t>A man in a white hat is holding a black ball and talking.</t>
  </si>
  <si>
    <t>People are playing a game of indoor soccer.</t>
  </si>
  <si>
    <t>A man in a white jacket is talking to the camera.</t>
  </si>
  <si>
    <t>v_GrqBqKMW4ps</t>
  </si>
  <si>
    <t>A man is doing a gymnastics routine on parallel bars.</t>
  </si>
  <si>
    <t>He dismounts and lands on a mat.</t>
  </si>
  <si>
    <t>He gives several people high fives as he walks off the mat.</t>
  </si>
  <si>
    <t>v_jl10JmELMqY</t>
  </si>
  <si>
    <t>An older woman is shown talking to the camera and begins knitting on a couch.</t>
  </si>
  <si>
    <t>She continues talking to the camera while the lens zoom in and out of her hands continuing to knit.</t>
  </si>
  <si>
    <t>She shows off her sweater and finally puts her knitting gear down.</t>
  </si>
  <si>
    <t>v_EQK_o1qHx7M</t>
  </si>
  <si>
    <t>There's a young boy standing in his kitchen with a jug of water, some lemons and some apples behind him on the counter.</t>
  </si>
  <si>
    <t>He is pointing to the lemons.</t>
  </si>
  <si>
    <t>His mother comes and helps him squeeze the juice out of the lemons.</t>
  </si>
  <si>
    <t>Both the mother and son use a lemon juicer to squeeze the juice and add it to the jug of water.</t>
  </si>
  <si>
    <t>The mother makes sure that all the juice is properly squeezed out of the lemons, so she uses her hands.</t>
  </si>
  <si>
    <t>Then she adds some food coloring to the lemonade and stirs it well.</t>
  </si>
  <si>
    <t>She then pours the lemonade in a glass with ice and gives it to her son.</t>
  </si>
  <si>
    <t>He takes a sip of the lemonade and smiles.</t>
  </si>
  <si>
    <t>v_L-A8RECKhtQ</t>
  </si>
  <si>
    <t>A picture of a man is seen and leads into a man bending down on a lawn and performing various dance moves.</t>
  </si>
  <si>
    <t>The man sings along while performing his routine and is then seen running across the yard with a lawn mower.</t>
  </si>
  <si>
    <t>More dancing and singing is seen, a picture of holding cards is shown, and ends with him cutting the grass and holding down with a friend.</t>
  </si>
  <si>
    <t>v_al_769KF6Qc</t>
  </si>
  <si>
    <t>A woman walks over to a flower bed and wheelbarrow as she talks.</t>
  </si>
  <si>
    <t>She demonstrates how to mulch, picking up the material and showing how to pack it around plants.</t>
  </si>
  <si>
    <t>v_ac1M42uRXS8</t>
  </si>
  <si>
    <t>Two girls are on an indoor basketball court.</t>
  </si>
  <si>
    <t>They are performing using batons and wearing purple dresses.</t>
  </si>
  <si>
    <t>They spin and toss, throwing the batons into the air as they perform.</t>
  </si>
  <si>
    <t>v_X3hQtXddMd4</t>
  </si>
  <si>
    <t>A camera and logo appear briefly.</t>
  </si>
  <si>
    <t>A person wake boards on a lake while being towed.</t>
  </si>
  <si>
    <t>They pass a person in the water.</t>
  </si>
  <si>
    <t>They come to a stop by a dock.</t>
  </si>
  <si>
    <t>v_sNQQ2Fpxbzw</t>
  </si>
  <si>
    <t>A black screen is shown with green words on it and then the screen moves to a white paper with black words.</t>
  </si>
  <si>
    <t>After, a green Lacrosse team appears and they begin to compete.</t>
  </si>
  <si>
    <t>Someone makes a goal and then the ball is placed back in the middle of the field.</t>
  </si>
  <si>
    <t>When they are finished still images from the game are shown.</t>
  </si>
  <si>
    <t>Finally,a black screen appears and the score is shown in blue and green writing.</t>
  </si>
  <si>
    <t>v_sYAGVE3luRo</t>
  </si>
  <si>
    <t>People are playing instruments marching down a street.</t>
  </si>
  <si>
    <t>They start marching in a circle in a room.</t>
  </si>
  <si>
    <t>A person holding a baton stands in front of the band.</t>
  </si>
  <si>
    <t>v_nfBBazBLQFk</t>
  </si>
  <si>
    <t>A man stands on the roof of a building, and two others appear.</t>
  </si>
  <si>
    <t>They are flying kites in the air over the brick building.</t>
  </si>
  <si>
    <t>The men make the kites dip and dive as they talk and interact.</t>
  </si>
  <si>
    <t>v_tJbScqVWPsU</t>
  </si>
  <si>
    <t>An outdoor scene by the beach shows a large crowd near a resort.</t>
  </si>
  <si>
    <t>They are cheering as several professional skateboarders perform stunts in a ramp pit.</t>
  </si>
  <si>
    <t>The flip and turn in the air, going up and down the ramp.</t>
  </si>
  <si>
    <t>The winners pose for photos with cakes when they are done.</t>
  </si>
  <si>
    <t>v_PUI2Qrn0qbE</t>
  </si>
  <si>
    <t>kids are driving on bumper cars spinning and bumping.</t>
  </si>
  <si>
    <t>kid is wearing blue shirt and clash with the fence holding the handles with both hands.</t>
  </si>
  <si>
    <t>girl is wearing a leather jacket spining in the bumper car in the amusement car.</t>
  </si>
  <si>
    <t>v_lhnhGI-rrzM</t>
  </si>
  <si>
    <t>There's a young man wearing a blue shirt and a black helmet skateboarding on a two way road.</t>
  </si>
  <si>
    <t>He is going at a steady and fast speed as he passes through a few cars and lots of trees.</t>
  </si>
  <si>
    <t>He also passes through some residential areas as he skateboards.</t>
  </si>
  <si>
    <t>He finally slows down as cameraman approaches a gray car.</t>
  </si>
  <si>
    <t>The cameraman gets into the car and takes the skateboard away.</t>
  </si>
  <si>
    <t>The skateboarder is kneeling on the side of the main road.</t>
  </si>
  <si>
    <t>He then gets up and walks away.</t>
  </si>
  <si>
    <t>v_PntiXZ692xM</t>
  </si>
  <si>
    <t>We see a magazine on a black background.</t>
  </si>
  <si>
    <t>People begin running on country roads in a marathon.</t>
  </si>
  <si>
    <t>We see them get drinks at a table.</t>
  </si>
  <si>
    <t>A man is running and holding a camera facing himself.</t>
  </si>
  <si>
    <t>The man who is running is seen again.</t>
  </si>
  <si>
    <t>We see a person point at a lake.</t>
  </si>
  <si>
    <t>We cross the finish line.</t>
  </si>
  <si>
    <t>A man is in a lake cooling off.</t>
  </si>
  <si>
    <t>v_2KYGAq5qQCI</t>
  </si>
  <si>
    <t>A close up is shown of a room with a window.</t>
  </si>
  <si>
    <t>a man is smoothing mud over the wall.</t>
  </si>
  <si>
    <t>He measures and cuts then spreads again.</t>
  </si>
  <si>
    <t>When he is done, the wall is completely smooth.</t>
  </si>
  <si>
    <t>v_W0EN9JeU66A</t>
  </si>
  <si>
    <t>A young child is moving back and fourth on a swing while laughing and smiling to the camera.</t>
  </si>
  <si>
    <t>The child continues pumping their legs and then is stiff while looking off into the distance.</t>
  </si>
  <si>
    <t>v_4w_46rTInXI</t>
  </si>
  <si>
    <t>A bunch of people are playing beer pong in different outfits.</t>
  </si>
  <si>
    <t>Then people bong a beer.</t>
  </si>
  <si>
    <t>A lot of dancing happens at the end.</t>
  </si>
  <si>
    <t>v_wVahCLOq4s0</t>
  </si>
  <si>
    <t>woman is sitting in front of a white table holding a halloween pumpkin.</t>
  </si>
  <si>
    <t>woman holds a knife and and cut the pumpkin head and remove all the seeds from the inside.</t>
  </si>
  <si>
    <t>woman daw the face with black markers and open the holes on the pumpkin.</t>
  </si>
  <si>
    <t>v_5zCY_vezHaU</t>
  </si>
  <si>
    <t>A man in black shirt is stalking in front of the camera, then the calendar and then drawing is shown.</t>
  </si>
  <si>
    <t>The blonde man is talking in front of the camera, while behind him is an empty ramp, then the man skateboard in a wooden ramp, then is is showing how to skateboard, then he skateboard and did tricks on a wooden ramp, then he continue to talk, and then skateboard again.</t>
  </si>
  <si>
    <t>v_PgfUSPHXluA</t>
  </si>
  <si>
    <t>woman wearing a red shirt is arm wretling again anothe woman laying on the floor.</t>
  </si>
  <si>
    <t>a blonde woman wearing grey shirt is arm wrestling with another woman on a room.</t>
  </si>
  <si>
    <t>the winner woman is making poses laying on the floor.</t>
  </si>
  <si>
    <t>v_grvzIljsqcI</t>
  </si>
  <si>
    <t>A young woman is seen looking at the camera while taking a drink and fixing her hair.</t>
  </si>
  <si>
    <t>The woman then holds up a pack of cigarettes and begins smoking a cigarette.</t>
  </si>
  <si>
    <t>The woman continuously smokes and drinks one after the other while continuing to look to the camera.</t>
  </si>
  <si>
    <t>v_LrputIUn4oY</t>
  </si>
  <si>
    <t>There are different athletes in the beginning of the video, but then 2 people are shown diving into the water while a huge crowd watches them.</t>
  </si>
  <si>
    <t>In the end, the men's 10m synchro platform is held.</t>
  </si>
  <si>
    <t>v_r40TuTkt9y4</t>
  </si>
  <si>
    <t>Various shots of landscapes are shown that interments with people riding in a large raft.</t>
  </si>
  <si>
    <t>At one point the raft flips over the men riding down the river.</t>
  </si>
  <si>
    <t>More shots of people riding down the river are shown as well as people speaking to the camera.</t>
  </si>
  <si>
    <t>v_mGsenLq9yEU</t>
  </si>
  <si>
    <t>A news woman is talking in a news room.</t>
  </si>
  <si>
    <t>Bullfighters are shown inside a ring.</t>
  </si>
  <si>
    <t>They are trying to entice the bull with capes.</t>
  </si>
  <si>
    <t>v_VVyE6rVJEuI</t>
  </si>
  <si>
    <t>Two people are dancing in a room.</t>
  </si>
  <si>
    <t>They turn to the side and continue dancing.</t>
  </si>
  <si>
    <t>They finish and pose at the end.</t>
  </si>
  <si>
    <t>v_kJrHvEECvEA</t>
  </si>
  <si>
    <t>A woman standing outside on the roof smoking a cigarette.</t>
  </si>
  <si>
    <t>She blows smoke and plays around with her hair.</t>
  </si>
  <si>
    <t>She keeps smoking and blowing smoking casually all by her lonesome.</t>
  </si>
  <si>
    <t>She exhales one last time and then put her cigarette out on a wall.</t>
  </si>
  <si>
    <t>v_PDaGlIxn6Pk</t>
  </si>
  <si>
    <t>A couple of teams are playing lacrosse on an open field.</t>
  </si>
  <si>
    <t>A crowd watches the game intently.</t>
  </si>
  <si>
    <t>The players run back and forth across the field, hitting the ball into goals.</t>
  </si>
  <si>
    <t>v_x-WGuz3_2Fc</t>
  </si>
  <si>
    <t>A man is seen speaking to the camera while peeling potatoes and looking to the camera.</t>
  </si>
  <si>
    <t>The camera pans around the man continuously as he continues to peel the potatoes and speak.</t>
  </si>
  <si>
    <t>v_IpFsz2xc3sY</t>
  </si>
  <si>
    <t>A woman is speaking to a webcam in her bedroom.</t>
  </si>
  <si>
    <t>She begins to play with her hair, separating part of it and braiding it.</t>
  </si>
  <si>
    <t>She places the first braid into her mouth while creating another one.</t>
  </si>
  <si>
    <t>She criss crosses the braids, and places a rubberband on it.</t>
  </si>
  <si>
    <t>She begins to do the same process with the other side of her hair.</t>
  </si>
  <si>
    <t>The video finishes by cutting a still image of the same girl and panning up and down.</t>
  </si>
  <si>
    <t>v_uHLEUps_ahs</t>
  </si>
  <si>
    <t>A man is standing in front of a white screen.</t>
  </si>
  <si>
    <t>He is talking about the saxophone in his hands and showing the proper hand positions.</t>
  </si>
  <si>
    <t>He demonstrates how to play the instrument.</t>
  </si>
  <si>
    <t>v_vb1CG5i1lEs</t>
  </si>
  <si>
    <t>A person wearing a large, white suit is shown spraying down a fence with water.</t>
  </si>
  <si>
    <t>The person is shown from various angles performing the task and makes the fence look brand new.</t>
  </si>
  <si>
    <t>v_qXUdnj4VN80</t>
  </si>
  <si>
    <t>A female seems to be doing tricks with a hula hooping while being very flexible with her body.</t>
  </si>
  <si>
    <t>the lady also rides a one wheel bike while hula hooping.</t>
  </si>
  <si>
    <t>the girl then hula hoops while standing on a mat then hula hoops with two hula hoops standing in the same spot.</t>
  </si>
  <si>
    <t>the girl then hula hoops hanging upside down,she also hula hoops around her hand while doing a split on a mat.</t>
  </si>
  <si>
    <t>the girl hula hoops a big tire hula hoop then hula hoops with three hula hoops using her two hands and one feet in the air.</t>
  </si>
  <si>
    <t>the girl then's try to hula hoop a lot of hula hoops at one time as other girls keep adding more to her.</t>
  </si>
  <si>
    <t>v_exzuzQLrv7g</t>
  </si>
  <si>
    <t>Three men dressed in fencing gear are standing in a gym.</t>
  </si>
  <si>
    <t>The man in the middle is talking and the other two remain still.</t>
  </si>
  <si>
    <t>The two men begin making movements as the man instructs them to, showing off the different fencing techniques.</t>
  </si>
  <si>
    <t>They fight slowly, showing each step before culminating into the man's final words onscreen.</t>
  </si>
  <si>
    <t>v_xcrGhwE7R5E</t>
  </si>
  <si>
    <t>A man is talking in his kitchen.</t>
  </si>
  <si>
    <t>He shows how to mix a sauce into pasta, and season it.</t>
  </si>
  <si>
    <t>He then shows how to plate and serve the food.</t>
  </si>
  <si>
    <t>v_81F42Yyw_iY</t>
  </si>
  <si>
    <t>A woman pole vaults over a tall bar.</t>
  </si>
  <si>
    <t>She lands on a yellow mat under her.</t>
  </si>
  <si>
    <t>v_D2IDRG8_6To</t>
  </si>
  <si>
    <t>A young man is talking the the camera.</t>
  </si>
  <si>
    <t>The man stands with a stick in his hand.</t>
  </si>
  <si>
    <t>The man points away from himself.</t>
  </si>
  <si>
    <t>The man takes the stick and pushes pucks around the ground.</t>
  </si>
  <si>
    <t>v_3cjtV-ldvto</t>
  </si>
  <si>
    <t>woman put an egg on a bowl and mix it with vanilla.</t>
  </si>
  <si>
    <t>quick oats and baking powder, cocoa powder and salt are mixed in a bowl.</t>
  </si>
  <si>
    <t>a chocolate bar are cut in pieces with nuts and put in a bowl.</t>
  </si>
  <si>
    <t>sugar and butter are mixed in a bowl till cream and put the vanilla and the powder ingredients with the chocolate and he nuts.</t>
  </si>
  <si>
    <t>themix is wrap and put in a refrigerator.</t>
  </si>
  <si>
    <t>batch is in a pan and ar ready to eat.</t>
  </si>
  <si>
    <t>v_gCxLG4hinNw</t>
  </si>
  <si>
    <t>A man is standing on a show playing bagpipes while other around him watch in amazement.</t>
  </si>
  <si>
    <t>The man continues to play and the audience claps when he finishes.</t>
  </si>
  <si>
    <t>He hands the instrument to a man walking in and gives the host a handshake.</t>
  </si>
  <si>
    <t>He talks to the host a bit and strikes a pose before the host finishes with the guest.</t>
  </si>
  <si>
    <t>v_yaWwad6WXVY</t>
  </si>
  <si>
    <t>A person practice dribbling and shooting the ball walking or running in the court, while a man watch the training.</t>
  </si>
  <si>
    <t>The man stands and leave the court.</t>
  </si>
  <si>
    <t>After, several men practice basketball in a court.</t>
  </si>
  <si>
    <t>v_-KjJxkFUhv4</t>
  </si>
  <si>
    <t>The word Happy is written in pebbles on the side of the sand.</t>
  </si>
  <si>
    <t>A large body of crystal blue water is shown and a large boat with people are in it.</t>
  </si>
  <si>
    <t>The individuals began dancing and jumping off the boat and enjoy themselves in the water.</t>
  </si>
  <si>
    <t>As the people continue,three or four people are in the water swimming with goggles on.</t>
  </si>
  <si>
    <t>v_XnctHnlJB4g</t>
  </si>
  <si>
    <t>A man in red stands on a stage.</t>
  </si>
  <si>
    <t>He lifts a barbell over his head.</t>
  </si>
  <si>
    <t>He drops the barbell on the ground.</t>
  </si>
  <si>
    <t>Several people cheer him on.</t>
  </si>
  <si>
    <t>v_x08PpU3uQ6Y</t>
  </si>
  <si>
    <t>The woman in white shirt is standing, then kneel down next to a big plastic bag on the ground.</t>
  </si>
  <si>
    <t>She opened the bag, put the content of the bag in the uneven hole on the ground, and flatten it using her gloved hand.</t>
  </si>
  <si>
    <t>She looked at the camera and talked while she's kneeling next to the plastic bags.</t>
  </si>
  <si>
    <t>She put another bag on the ground, flatten them using her hand until the area is covered.</t>
  </si>
  <si>
    <t>She walks forward, bend sideward to flatten some more dirt.</t>
  </si>
  <si>
    <t>v_xS-F-9E3xKk</t>
  </si>
  <si>
    <t>Two women are on a stand opposite one another at a table beginning to arm wrestle.</t>
  </si>
  <si>
    <t>There is a brief hold up before they begin,because their thumb positing is inaccurate.</t>
  </si>
  <si>
    <t>Once they finally begin,the girl on the left wins but she is quickly stopped and they have to restart and the same girl wins again.</t>
  </si>
  <si>
    <t>v_Kj2SF5bCxJ8</t>
  </si>
  <si>
    <t>A kid spreads peanut butter in two slices of bread.</t>
  </si>
  <si>
    <t>Then, the kid adds on top jelly.</t>
  </si>
  <si>
    <t>After, the kid gives a bite to the peanut butter and jelly sandwich.</t>
  </si>
  <si>
    <t>v_kBDTz-dwQ2k</t>
  </si>
  <si>
    <t>There is a woman in a white blouse along with a man in a white shirt in a studio practicing ballroom dancing.</t>
  </si>
  <si>
    <t>They are in a room with a wall full of mirrors.</t>
  </si>
  <si>
    <t>The lady is explaining the steps of the dance as they both demonstrate the moves and foot work involved in the dance.</t>
  </si>
  <si>
    <t>They go back and forth as they take their steps while holding each other's hands.</t>
  </si>
  <si>
    <t>v_ANB_IQfi9kA</t>
  </si>
  <si>
    <t>A man runs past an approaching storm.</t>
  </si>
  <si>
    <t>Surfers are seen in the water, and people are walking with their surfboards.</t>
  </si>
  <si>
    <t>A group of women gather, and a praying mantis is seen.</t>
  </si>
  <si>
    <t>Numerous surfers are then shown, going through and over various waves.</t>
  </si>
  <si>
    <t>v_qF3EbR8y8go</t>
  </si>
  <si>
    <t>woman is painting in a white paper green leaves in a chinese tree.</t>
  </si>
  <si>
    <t>a red paint is shown and woman put a stamp on the corner of the paper.</t>
  </si>
  <si>
    <t>woman is painting a blue ad purple chinese flower.</t>
  </si>
  <si>
    <t>a red and black flowers are painted on a white paper with very detail for the same woman in a dark room.</t>
  </si>
  <si>
    <t>woman used some black painting for make details, put the red stamp on the corner and finished the painting with yellow and reddetails on the flowers.</t>
  </si>
  <si>
    <t>v_gMV5Mso7758</t>
  </si>
  <si>
    <t>A close up of a man is shown followed by him asking a woman a question on the beach.</t>
  </si>
  <si>
    <t>He then is shown speaking to several different people holding a frisbee and playing a game.</t>
  </si>
  <si>
    <t>Many women laugh with the men and the man gives several of them a kiss.</t>
  </si>
  <si>
    <t>v_tzChPctqAP4</t>
  </si>
  <si>
    <t>Two men are seen jumping and kicking around one another performing various flips and tricks.</t>
  </si>
  <si>
    <t>The men continue spinning around one another as well as performing gymnastics moves in different locations.</t>
  </si>
  <si>
    <t>v_ivBgqENFmt0</t>
  </si>
  <si>
    <t>A planter of flowers is seen in front of a home.</t>
  </si>
  <si>
    <t>A roofer nails tiles into the roof beams of a home.</t>
  </si>
  <si>
    <t>The construction worker slides tiles into place on a roof.</t>
  </si>
  <si>
    <t>A crew of construction workers get tiles up onto a roof.</t>
  </si>
  <si>
    <t>A finished tile roof is seen when the job is done.</t>
  </si>
  <si>
    <t>A worker uses a spatula tool to apply grout in between tiles on the roof.</t>
  </si>
  <si>
    <t>v_YULJjXegG1w</t>
  </si>
  <si>
    <t>A basketball court is shown outdoors.</t>
  </si>
  <si>
    <t>A man runs up, and does several consecutive lay ups.</t>
  </si>
  <si>
    <t>He makes a few baskets, then tries again and again.</t>
  </si>
  <si>
    <t>Some kids run by, waving at the camera.</t>
  </si>
  <si>
    <t>v_Qf6gZtm9BIg</t>
  </si>
  <si>
    <t>A man is standing outside talking.</t>
  </si>
  <si>
    <t>He gets onto a slack line and starts to cross it.</t>
  </si>
  <si>
    <t>He falls off onto the grass.</t>
  </si>
  <si>
    <t>v_Lan3mtnCmlw</t>
  </si>
  <si>
    <t>We see a Santa clause underwater in the ocean.</t>
  </si>
  <si>
    <t>We see white and yellow fish swimming around the man.</t>
  </si>
  <si>
    <t>We sit above the man seeing his bubbles.</t>
  </si>
  <si>
    <t>The man swims under a rock arch.</t>
  </si>
  <si>
    <t>v__0CqozZun3U</t>
  </si>
  <si>
    <t>man is standing in the botom of a stairs and is cleaning the snow hil in the street a snowplow is passing and the man is cleaning the snow and doing a path.</t>
  </si>
  <si>
    <t>man is standing in front of a car and is cleaning the windshield and all the windows.</t>
  </si>
  <si>
    <t>v_FmRLElPPWV8</t>
  </si>
  <si>
    <t>People prepare to go canoeing and then launch their boats.</t>
  </si>
  <si>
    <t>People then go down the stream.</t>
  </si>
  <si>
    <t>v_Pp4U2Ql7bhY</t>
  </si>
  <si>
    <t>A man in a Batman shirt is sitting down talking.</t>
  </si>
  <si>
    <t>A person starts welding a piece of metal.</t>
  </si>
  <si>
    <t>He takes a brush and brushes off the piece of metal.</t>
  </si>
  <si>
    <t>He puts all the pieces in a black bag.</t>
  </si>
  <si>
    <t>v_BdAPzcdrk9g</t>
  </si>
  <si>
    <t>A small group of people are seen standing on two sides of a net.</t>
  </si>
  <si>
    <t>The people then begin playing a game of badminton with one another.</t>
  </si>
  <si>
    <t>They continue to hit the birdie around while serving it to the other side and hitting it back.</t>
  </si>
  <si>
    <t>v_fLCWIE8a4AU</t>
  </si>
  <si>
    <t>A crowd of about one thousand people are outside and in the stadium watching a bull fight.</t>
  </si>
  <si>
    <t>Three young men are in the center and begin to tamper with two black and white bulls.</t>
  </si>
  <si>
    <t>The two bulls are now fighting with one another and the crowd begins to close in on them to see the action.</t>
  </si>
  <si>
    <t>v_VOTBtV0CQ8c</t>
  </si>
  <si>
    <t>A camera pans around a lake and shows a boat moving along the water.</t>
  </si>
  <si>
    <t>A person is seen riding behind the boat on a pair of skis.</t>
  </si>
  <si>
    <t>More shots are shown of the boat riding around with a person skiing in the back.</t>
  </si>
  <si>
    <t>v_Lm7KLQgzQDk</t>
  </si>
  <si>
    <t>A large group of people are seen standing together dressed up with one man speaking into a mic and pointing.</t>
  </si>
  <si>
    <t>The man then busts out into song and dance with another man and pointing to the groom gradually.</t>
  </si>
  <si>
    <t>v_PLWeVDUH_Cw</t>
  </si>
  <si>
    <t>Business men walk through a busy crowd.</t>
  </si>
  <si>
    <t>A business man plays against a table tennis professional.</t>
  </si>
  <si>
    <t>Two businessmen play on a team against the table tennis pro.</t>
  </si>
  <si>
    <t>The match ends and the business men shake hands with the athlete.</t>
  </si>
  <si>
    <t>v_lMFp8FPeDHI</t>
  </si>
  <si>
    <t>A preteen boy is out in an open park filming challenges on monkey bars he points to the left.</t>
  </si>
  <si>
    <t>The camera pans over to the left to show the slide in another part of the jungle gym.</t>
  </si>
  <si>
    <t>The camera pans back to the monkey bars.</t>
  </si>
  <si>
    <t>The boy attempts to climb the monkey bars starting from the second from the top rung of the ladder on the inside and falls, he gets up and goes to the ladder.</t>
  </si>
  <si>
    <t>The boy attempts the climb again, this time from the top rung of the ladder on the inside and falls, he gets up and goes to the ladder again.</t>
  </si>
  <si>
    <t>The boy attempts to climb again, from the top bar on the inside and falls again, he gets up and goes to the ladder again.</t>
  </si>
  <si>
    <t>The boy attempts to climb again, this time he adjusts again standing on the second rung on the inside and falls again when he attempts to climb.</t>
  </si>
  <si>
    <t>The boy attempts to climb again using the same starting point and falls, he gets up and goes toward the ladder but decides he is done and says good-bye.</t>
  </si>
  <si>
    <t>v_zfi8f5NnYaY</t>
  </si>
  <si>
    <t>A man is seen riding around on a horse holding a stick and then pausing to sit.</t>
  </si>
  <si>
    <t>He is then seen again walking with a large group of people drinking water and then shakes hands of several people while walking back.</t>
  </si>
  <si>
    <t>v_kCD0iQFnHA4</t>
  </si>
  <si>
    <t>A close up of a dough is shown and leads into a person spreading frosting on a pastry.</t>
  </si>
  <si>
    <t>She puts the pastry onto the cake and continues putting frosting all around the cake.</t>
  </si>
  <si>
    <t>The camera zooms around the cake and shows the woman putting a face on the cake and showing off the finished result.</t>
  </si>
  <si>
    <t>v_4rv1uLmbyHA</t>
  </si>
  <si>
    <t>Two news anchors are talking in a room.</t>
  </si>
  <si>
    <t>A man is making food in a kitchen.</t>
  </si>
  <si>
    <t>He cooks mushrooms in a pan.</t>
  </si>
  <si>
    <t>He adds the food into a bowl.</t>
  </si>
  <si>
    <t>v_owLQzBg4olo</t>
  </si>
  <si>
    <t>A long colorful scarf is seen running over chairs.</t>
  </si>
  <si>
    <t>A woman is seen knitting the scarf in a purple dress.</t>
  </si>
  <si>
    <t>Three other woman sit together and knit a section of the scarf.</t>
  </si>
  <si>
    <t>v_C7so_y5I_9s</t>
  </si>
  <si>
    <t>We see images of a man opening blinds and carrying a boarding outside.</t>
  </si>
  <si>
    <t>We see a man riding jet skis and performing flips.</t>
  </si>
  <si>
    <t>We see a man sitting on the dock.</t>
  </si>
  <si>
    <t>We see the jet skier ride over a ramp.</t>
  </si>
  <si>
    <t>We see a shoe briefly.</t>
  </si>
  <si>
    <t>v_hf1JuvacaJc</t>
  </si>
  <si>
    <t>Individuals bowl at their lanes and knock down pins.</t>
  </si>
  <si>
    <t>A guy bowls a strike and open his mouth to express anguish.</t>
  </si>
  <si>
    <t>v_nyEcPLZQerc</t>
  </si>
  <si>
    <t>Students are interviewed and then run a race.</t>
  </si>
  <si>
    <t>Everyone seems happy to be involved with the College of Charleston.</t>
  </si>
  <si>
    <t>v_VyD5Z0S9tXU</t>
  </si>
  <si>
    <t>A chef demonstrates how to peel a potato using a potato peeler and a potato, in a kitchen in front of cutting board.</t>
  </si>
  <si>
    <t>The man talks to the camera and begins to peel the potato with the peeler peeling of slices of skin and gesturing at the table.</t>
  </si>
  <si>
    <t>The man peels the potato until it has no more skin on it.</t>
  </si>
  <si>
    <t>v_UmuWttAYfco</t>
  </si>
  <si>
    <t>Two men are standing together on a table with their fist up as the referee holds their wrist.</t>
  </si>
  <si>
    <t>The referee then lets go and almost instantly the arm wrestling match is over and a winner is declared,the winner moves on and several more matches begin to take place and they too are ended abruptly.</t>
  </si>
  <si>
    <t>Near the end however,the opponents finally match and it takes forever to declare a winner as they struggle to move their hands.</t>
  </si>
  <si>
    <t>v_XToVLTbQEm4</t>
  </si>
  <si>
    <t>men are playing basket in a roofed wooden court.</t>
  </si>
  <si>
    <t>man is alone doing lay ups to the basket.</t>
  </si>
  <si>
    <t>another man arrives to the court and start playing together.</t>
  </si>
  <si>
    <t>v_U9b8U-EymNw</t>
  </si>
  <si>
    <t>A company log is on the screen.</t>
  </si>
  <si>
    <t>A boat is floating on the water.</t>
  </si>
  <si>
    <t>A tube has water running through it and there are floats on the water.</t>
  </si>
  <si>
    <t>The camera is scanning the boat.</t>
  </si>
  <si>
    <t>Two women are sitting on the boat, one is poking the other.</t>
  </si>
  <si>
    <t>A plastic seat is inflated then a board is put into the water.</t>
  </si>
  <si>
    <t>A woman is on the board and holding on to a line attached to the boat.</t>
  </si>
  <si>
    <t>A woman is driving the boat while the other woman is boarding behind her.</t>
  </si>
  <si>
    <t>A woman is taking a selfie while on the boat.</t>
  </si>
  <si>
    <t>The woman is doing tricks with the board on the water.</t>
  </si>
  <si>
    <t>She let go of the line and floated freely.</t>
  </si>
  <si>
    <t>v_RA61jh8HwPI</t>
  </si>
  <si>
    <t>A woman is seen putting makeup on her face and leads into several pictures of makeup.</t>
  </si>
  <si>
    <t>Many more pictures of products are shown with text across the screen.</t>
  </si>
  <si>
    <t>More pictures of products are shown that end with more text and a woman pushing away makeup.</t>
  </si>
  <si>
    <t>v_-6prmNqkAN8</t>
  </si>
  <si>
    <t>A large snowy mountain is seen as people gather on the ice.</t>
  </si>
  <si>
    <t>They hit several pucks, sweeping them in a game.</t>
  </si>
  <si>
    <t>v_3sL7fLHM09c</t>
  </si>
  <si>
    <t>A female gymnast is demonstrating a gymnastics performance on bars.</t>
  </si>
  <si>
    <t>Other gymnasts and an instructor are watching the female gymnast perform.</t>
  </si>
  <si>
    <t>Another female gymnast is practicing in the background.</t>
  </si>
  <si>
    <t>v_Z9gstJONME4</t>
  </si>
  <si>
    <t>A man is lifting weights in the gym.</t>
  </si>
  <si>
    <t>The ball goes to the man's chest for the first time.</t>
  </si>
  <si>
    <t>The man takes a break.</t>
  </si>
  <si>
    <t>v_YAPkcWlWmYg</t>
  </si>
  <si>
    <t>A girl is seen listening to music and transitions into her performing a dance routine outside on a walk way.</t>
  </si>
  <si>
    <t>She continues dancing around while smiling to the camera and ends by walking away and giving two peace signs to the camera.</t>
  </si>
  <si>
    <t>v_gGYje5UGLdY</t>
  </si>
  <si>
    <t>A person is seen walking into frame in front of a pair of drums.</t>
  </si>
  <si>
    <t>He then begins playing the drums back and fourth.</t>
  </si>
  <si>
    <t>He continues to play on the drums and ends by turning the camera off.</t>
  </si>
  <si>
    <t>v_QBy64z68s0w</t>
  </si>
  <si>
    <t>A young girl performs her gymnastics routine on the balance beam.</t>
  </si>
  <si>
    <t>The young girl gets on the beam and continues her routine.</t>
  </si>
  <si>
    <t>The young girl falls off the beam.</t>
  </si>
  <si>
    <t>The young girl gets back on the beam and finishes her routine.</t>
  </si>
  <si>
    <t>v_KSu59HUet3E</t>
  </si>
  <si>
    <t>A man with white shirt is standing in front of a machine.</t>
  </si>
  <si>
    <t>He turned around and pointed the machine.</t>
  </si>
  <si>
    <t>The machine is being shown.</t>
  </si>
  <si>
    <t>A man who is wearing a white shirt keeps talking, while behind him a man in gray shirt walked and reach something in the machine.</t>
  </si>
  <si>
    <t>The man in gray shirt put a powdery stuff in the machine.</t>
  </si>
  <si>
    <t>He is shaking the bag.</t>
  </si>
  <si>
    <t>The man in white shirt is putting cement on the wall.</t>
  </si>
  <si>
    <t>The man is holding a blue long tube pointing on the wall.</t>
  </si>
  <si>
    <t>The man in gray uniform used the tube/pump and spray the cement on the wall.</t>
  </si>
  <si>
    <t>An old man is smoothing the cement on the wall.</t>
  </si>
  <si>
    <t>v_NiQaDgj8Z10</t>
  </si>
  <si>
    <t>A lady hula hoop with five hula hoops and one by one she takes on off of her and tosses it until she tossed away all five hula hoops she was hula hooping with.</t>
  </si>
  <si>
    <t>the lady then hula hoops with 300 hula hoops with will be a world record.</t>
  </si>
  <si>
    <t>the lady starts by putting the 300 hula hoops around her body as she bend over to get a good grip on them,she then stands straight up and starts to twirl all 300 hula hoops around her body.</t>
  </si>
  <si>
    <t>finally she manages to twirl all the hula hoop around her hole body and finishes with the hula hoops on the ground and she bows to the people who is watching her.</t>
  </si>
  <si>
    <t>v_NKQehrewXlM</t>
  </si>
  <si>
    <t>A man is seen jogging on the side of the road as well as speaking to the camera.</t>
  </si>
  <si>
    <t>Clips are shown of him warming up on the side and running up along mountainsides.</t>
  </si>
  <si>
    <t>He continues speaking to the camera while running around a neighborhood and people showing off his movements.</t>
  </si>
  <si>
    <t>v_06eyqLosXjU</t>
  </si>
  <si>
    <t>A man is standing behind two inverted drums.</t>
  </si>
  <si>
    <t>He begins to play them with small sticks.</t>
  </si>
  <si>
    <t>He finishes playing and walks away.</t>
  </si>
  <si>
    <t>v_8W-x068F4tE</t>
  </si>
  <si>
    <t>An athletic man is seen standing before a beam and begins performing a gymnastics routine.</t>
  </si>
  <si>
    <t>He swings himself around and around performing flips and tricks and ends by kissing the crowd and walking away.</t>
  </si>
  <si>
    <t>v_Zrv8_-Y-jSM</t>
  </si>
  <si>
    <t>A special effect intro screen appears which is mainly blue and white words in the middle of the screen appear and they read "ROPE SKIPPING".</t>
  </si>
  <si>
    <t>Behind the words there are 4 girls with their own jump ropes and they're all rope skipping separately and eventually they jump in unison.</t>
  </si>
  <si>
    <t>White words appear on the screen that read "Klasse 7c/Fr Leifels", the girls drop to the ground to end their routine and they smile and look around.</t>
  </si>
  <si>
    <t>v_VTFIAQVjHv8</t>
  </si>
  <si>
    <t>A man in a grey print hoodie is standing against a wall introducing himself and then explaining that he is going to give a tutorial for some tricks.</t>
  </si>
  <si>
    <t>A stop start animation with a desk calendar is shown with flip animation drawings blending into framed animation leading to the title of the group and the skateboard tutorial they are about to explain.</t>
  </si>
  <si>
    <t>Footage of a skateboarder doing a trick in front of a camera is followed by the man in the grey hoodie explaining that he is going to show how to do a frontside 180 on a skateboard and what it can be used for as well as the fundamentals befor learning the trick.</t>
  </si>
  <si>
    <t>He then goes into the explanation of how to do the trick in depth as well as footage being shown while he's talking about the trick.</t>
  </si>
  <si>
    <t>The camera pans up and a black screen appears with white letters and a website address followed by a film company and a site channel.</t>
  </si>
  <si>
    <t>v_rteN6_HkMkI</t>
  </si>
  <si>
    <t>A man is shown smoking a cigarette while walking several dogs attached to chains on his belt.</t>
  </si>
  <si>
    <t>A man is talking from behind a table.</t>
  </si>
  <si>
    <t>Several scenes are then shown of the actor while the news person talks about him.</t>
  </si>
  <si>
    <t>v_rojFvhZw_z8</t>
  </si>
  <si>
    <t>A woman is getting ready to bath her dog in her front yard.</t>
  </si>
  <si>
    <t>She takes a hose and wets the dog first.</t>
  </si>
  <si>
    <t>There is another little puppy running around the dog and a little kitten too.</t>
  </si>
  <si>
    <t>The woman takes some liquid soap and scrubs it on the dog.</t>
  </si>
  <si>
    <t>After she's done washing, she wipes him dry with a towel.</t>
  </si>
  <si>
    <t>then she bathes the little puppy the same way with soap and water.</t>
  </si>
  <si>
    <t>The dog is playing on a rug after the bath is over with wet fur on his body.</t>
  </si>
  <si>
    <t>The little puppy is running around the dog with wet fur too.</t>
  </si>
  <si>
    <t>v_aCSG6pfivy4</t>
  </si>
  <si>
    <t>A tray of cookies is shown, followed by butter being beaten in a bowl.</t>
  </si>
  <si>
    <t>Ingredients are added one at a time, mixing them all together.</t>
  </si>
  <si>
    <t>The dough is piped onto the tray, then baked.</t>
  </si>
  <si>
    <t>v_DuDF7hkrjYo</t>
  </si>
  <si>
    <t>A woman is standing in a room talking.</t>
  </si>
  <si>
    <t>She picks up a plastic bottle.</t>
  </si>
  <si>
    <t>She starts dusting a dresser.</t>
  </si>
  <si>
    <t>She wipes it off with a towel.</t>
  </si>
  <si>
    <t>She dumps olive oil onto a rag and rubs it onto the dresser.</t>
  </si>
  <si>
    <t>v_W34A9wUi-4g</t>
  </si>
  <si>
    <t>team is in a court playing futsal, running through the court, while people is siting on stands watchin the game.</t>
  </si>
  <si>
    <t>team are standing on sides charging a penalty.</t>
  </si>
  <si>
    <t>people are in a roofed gym playing and waching the game.</t>
  </si>
  <si>
    <t>v_ZoKZTceDTLA</t>
  </si>
  <si>
    <t>We see a man talking while walking through a house.</t>
  </si>
  <si>
    <t>We see another man working on the floor.</t>
  </si>
  <si>
    <t>We see a man laying tile in another room.</t>
  </si>
  <si>
    <t>Two men are in the same room working on different projects.</t>
  </si>
  <si>
    <t>We see the man talking to the camera again.</t>
  </si>
  <si>
    <t>v_eJnSC8C3OIw</t>
  </si>
  <si>
    <t>A website address is typed in.</t>
  </si>
  <si>
    <t>Skateboards skate and do tricks down stairs and on benches throughout a city.</t>
  </si>
  <si>
    <t>A skateboarder rides a concrete ramp in a skate park.</t>
  </si>
  <si>
    <t>Skateboarders ride the banks of a drainage ditch.</t>
  </si>
  <si>
    <t>Different skateboarders ride in a concrete ramp doing tricks.</t>
  </si>
  <si>
    <t>The city lights are seen at night with passing traffic in fast motion.</t>
  </si>
  <si>
    <t>v_vNyXwHA_k5A</t>
  </si>
  <si>
    <t>People are dancing on a stage.</t>
  </si>
  <si>
    <t>People in the audience are raising their hands.</t>
  </si>
  <si>
    <t>A man in a white shirt starts singing and dancing on the stage.</t>
  </si>
  <si>
    <t>v_KyDS9Zg76Jg</t>
  </si>
  <si>
    <t>A chef demonstrates how to cut and chop several vegetables as he prepares an asian inspired meal.</t>
  </si>
  <si>
    <t>A chef in a white chefs outfit in a kitchen, boils potatoes and onions in a pot.</t>
  </si>
  <si>
    <t>The chef talks to the camera and takes a series of vegetables and chops them up on a counter.</t>
  </si>
  <si>
    <t>The chef then puts the vegetables along with some oil into a bowl and sticks two large chopsticks in to showcase the finished product.</t>
  </si>
  <si>
    <t>v_x5MPJnwJrfE</t>
  </si>
  <si>
    <t>A woman is seen laying down on a table with a man tattooing her from behind.</t>
  </si>
  <si>
    <t>A woman watches on the side as the man continues tattooing and the woman having him stop.</t>
  </si>
  <si>
    <t>The woman continues trying to get the tattoo but stopping and speaking to the camera because it hurt so bad.</t>
  </si>
  <si>
    <t>v_N5J9Zb07uuQ</t>
  </si>
  <si>
    <t>A man is seen standing on a ladder and leads into several pictures of him on the ladder and then painting the wall with another.</t>
  </si>
  <si>
    <t>They're seen hanging up posters, climbing up and down ladders, and finally cutting carious foods on a large stick afterwards.</t>
  </si>
  <si>
    <t>v_qYpb_3oAM0k</t>
  </si>
  <si>
    <t>A man is sitting down on a chair.</t>
  </si>
  <si>
    <t>He starts playing an accordion in his lap.</t>
  </si>
  <si>
    <t>He stops playing and looks at the camera.</t>
  </si>
  <si>
    <t>v_QZCBVJHF81w</t>
  </si>
  <si>
    <t>A man is seen walking forward speaking to the camera and begins washing a car.</t>
  </si>
  <si>
    <t>The man scrubs all around the car while still speaking to the camera.</t>
  </si>
  <si>
    <t>He continues to wash the car and stops for a moment to speak to the camera.</t>
  </si>
  <si>
    <t>v_9_wuEvN2OnQ</t>
  </si>
  <si>
    <t>A woman is trying to play bad-mitten.</t>
  </si>
  <si>
    <t>She is hitting the shuttle cock.</t>
  </si>
  <si>
    <t>She is walking around the court, looking around.</t>
  </si>
  <si>
    <t>She is trying to play the game with not much effort.</t>
  </si>
  <si>
    <t>She hands another racket to a friend.</t>
  </si>
  <si>
    <t>She is not really playing.</t>
  </si>
  <si>
    <t>The other player is a more serious player as she serves.</t>
  </si>
  <si>
    <t>The game of bad-mitten continues as the first player missed again and again.</t>
  </si>
  <si>
    <t>People walk in front of the camera.</t>
  </si>
  <si>
    <t>The camera shows the other two players.</t>
  </si>
  <si>
    <t>The game goes on for a while longer before it ends.</t>
  </si>
  <si>
    <t>v_UoGoOznvKew</t>
  </si>
  <si>
    <t>A woman is seen looking at the camera and holding up a piece of makeup.</t>
  </si>
  <si>
    <t>She then takes out her contacts and holds up another container.</t>
  </si>
  <si>
    <t>She then puts another set of contacts in and smiles to the camera.</t>
  </si>
  <si>
    <t>v_FMUaey1tigI</t>
  </si>
  <si>
    <t>A man adjust his camera and captures a close up of his hand and face.</t>
  </si>
  <si>
    <t>A young child wearing a green shirt is playing some conga percussion instruments.</t>
  </si>
  <si>
    <t>An older boy wearing a burgundy shirt moves into the picture behind the child who is playing the Conga's and begins to dance.</t>
  </si>
  <si>
    <t>The boy in the burgundy shirt walks out of the picture as the young conga player also walks away as the camera follows him.</t>
  </si>
  <si>
    <t>The young child returns to continue playing the conga's as a child wearing a blue shirt walks behind the young conga player.</t>
  </si>
  <si>
    <t>v_4E40jmmc2N8</t>
  </si>
  <si>
    <t>A large man is seen sitting in the middle of a circle looking away from the camera.</t>
  </si>
  <si>
    <t>The man then spins himself around with a discuss in his hands.</t>
  </si>
  <si>
    <t>Finally he throws the object off into the distance.</t>
  </si>
  <si>
    <t>v_XCwPsQwzfiA</t>
  </si>
  <si>
    <t>A woman is pouring ingredients into a Kitchen aid.</t>
  </si>
  <si>
    <t>She turns it on and mixes the ingredients together.</t>
  </si>
  <si>
    <t>She pours the mixture into to cake pans.</t>
  </si>
  <si>
    <t>A piece of cake is shown on a plate.</t>
  </si>
  <si>
    <t>v_eECoZPqsTYI</t>
  </si>
  <si>
    <t>A man is seen playing drums on a set of buckets while several people walk past him and others record him.</t>
  </si>
  <si>
    <t>The man continues to play as the camera pans all around him and people continue to walk around him and show off the area.</t>
  </si>
  <si>
    <t>v_pcrNMrBmy1I</t>
  </si>
  <si>
    <t>Two teams are playing lacrosse outdoors.</t>
  </si>
  <si>
    <t>Players score and jump and run to celebrate the scores.</t>
  </si>
  <si>
    <t>A player take the ball on the stick and run to the goal to score, where a player scores.</t>
  </si>
  <si>
    <t>The board shows the winner.</t>
  </si>
  <si>
    <t>v_bKVrokdj7HM</t>
  </si>
  <si>
    <t>There's a man wearing s white shirt playing the drum set in a room.</t>
  </si>
  <si>
    <t>He begins by playing the snare drum and the bass drum.</t>
  </si>
  <si>
    <t>Then he continues playing by hitting the cymbals and the hi-hat.</t>
  </si>
  <si>
    <t>He stops for a bit and then resumes playing the drum set.</t>
  </si>
  <si>
    <t>He plays rhythmically as he picks up speed and plays the drum set.</t>
  </si>
  <si>
    <t>Then he stops and gets up to turn off the camera.</t>
  </si>
  <si>
    <t>v_8M_RipfsJI8</t>
  </si>
  <si>
    <t>A man is reaching into water and washing his face.</t>
  </si>
  <si>
    <t>A woman is working on the otherside of the water.</t>
  </si>
  <si>
    <t>The man splashes the worker with water.</t>
  </si>
  <si>
    <t>A woman looks on and laughs at the man.</t>
  </si>
  <si>
    <t>v_Da9uVKDLwVY</t>
  </si>
  <si>
    <t>A small collie is standing on top of a table.</t>
  </si>
  <si>
    <t>He is tied in place, and a man begins brushing him all over.</t>
  </si>
  <si>
    <t>He stands still as he is being groomed.</t>
  </si>
  <si>
    <t>v_ndGz8-hHSt4</t>
  </si>
  <si>
    <t>A person puts on a welding helmet.</t>
  </si>
  <si>
    <t>Then, the person weld a piece of metal.</t>
  </si>
  <si>
    <t>Then, the person finish to weld and rise his helmet but it folds down.</t>
  </si>
  <si>
    <t>v_BfSqo9ONd6g</t>
  </si>
  <si>
    <t>There's a dirt biking event going on which is sponsored by Monster energy drink.</t>
  </si>
  <si>
    <t>There are several contestants participating in the event.</t>
  </si>
  <si>
    <t>One of the contestants falls off his bike and seems like he's injured.</t>
  </si>
  <si>
    <t>He gets up right away and walks to the corner.</t>
  </si>
  <si>
    <t>v_dZMMhVx7yY4</t>
  </si>
  <si>
    <t>A man is seen speaking to the camera followed by him talking to random women on the beach.</t>
  </si>
  <si>
    <t>They play a game together and when he wins the girl gives him a kiss.</t>
  </si>
  <si>
    <t>When they lose the girl smacks him.</t>
  </si>
  <si>
    <t>Several girls laugh and play along while getting a kiss or slapping the man.</t>
  </si>
  <si>
    <t>v_Lg-mJS-BZZo</t>
  </si>
  <si>
    <t>A person is seen wearing a funny costume while holding onto a piece of machinery.</t>
  </si>
  <si>
    <t>The man pushes the machinery around the lawn while looking into the camera.</t>
  </si>
  <si>
    <t>The man continues using the machine while looking off into the camera.</t>
  </si>
  <si>
    <t>v_zUt53fHpqc8</t>
  </si>
  <si>
    <t>A group of men are shown cheering and jumping around in slow motion.</t>
  </si>
  <si>
    <t>Many people are present as trophies are displayed.</t>
  </si>
  <si>
    <t>A bunch of people gather to play beer pong and drink.</t>
  </si>
  <si>
    <t>Various shots of the action at different tables is shown and then the video cuts to an internet address to find out more information.</t>
  </si>
  <si>
    <t>v_KsKUIIHiMg0</t>
  </si>
  <si>
    <t>There are two women in a bathroom washing clothes in blue buckets filled with foamy soap water.</t>
  </si>
  <si>
    <t>The women soak the clothes in the soap water and rinse them out to clean them.</t>
  </si>
  <si>
    <t>Then she put the clothes in a large metal drum that spins rapidly to drain off excess water.</t>
  </si>
  <si>
    <t>They then go on top of their building in an open terrace where ropes are tied across the walls.</t>
  </si>
  <si>
    <t>They begin hanging the clothes on the clothesline for drying.</t>
  </si>
  <si>
    <t>v_UXc2y7lR5t0</t>
  </si>
  <si>
    <t>A boy hangs on monkey bars.</t>
  </si>
  <si>
    <t>He crosses the obstacle easily.</t>
  </si>
  <si>
    <t>He looks proud of himself.</t>
  </si>
  <si>
    <t>He smiles at the camera.</t>
  </si>
  <si>
    <t>v_hKE7vI--XGU</t>
  </si>
  <si>
    <t>A woman wearing a shawl stands in front of a tropical plant outdoors.</t>
  </si>
  <si>
    <t>A woman presents a band on stage for a performance.</t>
  </si>
  <si>
    <t>A flute player plays a part of a song during the performance.</t>
  </si>
  <si>
    <t>The band plays a song together during the performance.</t>
  </si>
  <si>
    <t>v_93jSVyXW5gc</t>
  </si>
  <si>
    <t>woman is standing in a shooting room holding a bow and throwing the arrow into a board.</t>
  </si>
  <si>
    <t>woman stands in a bg large field holding a bow and thowing arrow to baloons.</t>
  </si>
  <si>
    <t>woman is standing in a small court holding a bow and throwing an arow to an apple in a man's head.</t>
  </si>
  <si>
    <t>man is standing in a alrge green field showing a woman how to shoot an arrow and the woman pulls out a gun from the pockets and shot to the board.</t>
  </si>
  <si>
    <t>man is standing next to a tree holding a camera.</t>
  </si>
  <si>
    <t>woman is throwing arros to a watermelon.</t>
  </si>
  <si>
    <t>woman is throwing arrows to movie posters and talking to the camera.</t>
  </si>
  <si>
    <t>v_oLrkd6M2WRY</t>
  </si>
  <si>
    <t>man is talking to the camera standing next to a box.</t>
  </si>
  <si>
    <t>man is assembling a shuffleboard court in a sidewalk.</t>
  </si>
  <si>
    <t>man start playing the suffleboard hitting the pucks.</t>
  </si>
  <si>
    <t>v_CIJp-SG3sWE</t>
  </si>
  <si>
    <t>A girl walks to the edge of the diving board.</t>
  </si>
  <si>
    <t>The girl extends her hands.</t>
  </si>
  <si>
    <t>The girl dives into pool.</t>
  </si>
  <si>
    <t>The girl swims to the edge of the pool.</t>
  </si>
  <si>
    <t>v_5nvximBXhFI</t>
  </si>
  <si>
    <t>A tall garage building is shown in the dark and then several teen age boys appear skateboarding in the inside of it.</t>
  </si>
  <si>
    <t>As they come around the corner,they hold on to each others shirts and come down the slanted road in a single file line and a boy is shown holding a camera with a selfie stick recording the action.</t>
  </si>
  <si>
    <t>After,a black male appears talking in the car and the boys are then shown walking up a set of stairs.</t>
  </si>
  <si>
    <t>The action continues and all the boys join one another back in the garage and the male that was talking in the video is seen skating with the rest of the boys.</t>
  </si>
  <si>
    <t>v_WmQC309JCAI</t>
  </si>
  <si>
    <t>Men in a jerseys are standing around with their arms crossed just kind of staring into space.</t>
  </si>
  <si>
    <t>Then, you see them on the field playing a game and later talking a little bit about it.</t>
  </si>
  <si>
    <t>They each seem to recall their own memories of times they won medal and stare at their medals.</t>
  </si>
  <si>
    <t>they stand around in a small group talking and then you see an audience cheering and clapping.</t>
  </si>
  <si>
    <t>v_BaJwohtZMtA</t>
  </si>
  <si>
    <t>A person shows up on a stage dancing in the dark with an LED hula hoop.</t>
  </si>
  <si>
    <t>As the person dances the LED lights on the hula hoop begin to change colors.</t>
  </si>
  <si>
    <t>The closing credits show up on the screen as the video ends.</t>
  </si>
  <si>
    <t>v_NfjeG6AsoJA</t>
  </si>
  <si>
    <t>kids are playing on the playground in the school ground.</t>
  </si>
  <si>
    <t>kids are swingin in the swing on a side.</t>
  </si>
  <si>
    <t>little kid stands on the edge of the slide.</t>
  </si>
  <si>
    <t>v_rBsRSdPFOww</t>
  </si>
  <si>
    <t>A chef dressed in a white chef's outfit is demonstrating how to sharpen kitchen knives using a tool called Rada knife sharpener.</t>
  </si>
  <si>
    <t>He is standing in a kitchen in front of the counter that has a variety of raw vegetables displayed.</t>
  </si>
  <si>
    <t>He places a kitchen towel on the counter and then places the knife on top of it.</t>
  </si>
  <si>
    <t>He then demonstrates how to use the Rada sharpening tool to sharpen the kitchen knife by running iit back and forth in gentle and steady motion.</t>
  </si>
  <si>
    <t>v_HfpCQGe9eA0</t>
  </si>
  <si>
    <t>A guy rises to his feet.</t>
  </si>
  <si>
    <t>The guy walks on a tight rope.</t>
  </si>
  <si>
    <t>The guy turns to walk back.</t>
  </si>
  <si>
    <t>The guy walks backwards on the tight rope.</t>
  </si>
  <si>
    <t>The guy steps off the tight rope and smiles.</t>
  </si>
  <si>
    <t>v_hZRgO5Kd-rE</t>
  </si>
  <si>
    <t>A man is seen speaking to the camera and leads into various ingredients begin shown and a person slicing up cheese.</t>
  </si>
  <si>
    <t>The person mixes ingredients together and lays them on slices of bread to create a sandwich.</t>
  </si>
  <si>
    <t>The person presses the food into a presser and takes a large bite afterwards.</t>
  </si>
  <si>
    <t>v_EML3BvJxknA</t>
  </si>
  <si>
    <t>An older man is sitting in a tube while an older woman climbs on the back.</t>
  </si>
  <si>
    <t>The man in the tube is wearing skiis and eventually rides behind the boat with the woman on top.</t>
  </si>
  <si>
    <t>The couple continue riding on top of each other on the skis while the camera zooms in and out to capture the movement.</t>
  </si>
  <si>
    <t>v_3OGD7if0zs8</t>
  </si>
  <si>
    <t>A woman stands in a kitchen, staring at the camera.</t>
  </si>
  <si>
    <t>The person opens an oven and pulls out a tray of chocolate chip cookies.</t>
  </si>
  <si>
    <t>The woman stares at the cookies, and a second batch is checked.</t>
  </si>
  <si>
    <t>The woman scoops the cookies off the tray, loosening them.</t>
  </si>
  <si>
    <t>v_OVpvpvmV2pg</t>
  </si>
  <si>
    <t>A little boy is smiling close to the camera.</t>
  </si>
  <si>
    <t>He uses a wrench to remove the bolts from a kids' bike tires.</t>
  </si>
  <si>
    <t>When he is done, he laughs loudly.</t>
  </si>
  <si>
    <t>v_huI9TvxZxmM</t>
  </si>
  <si>
    <t>A man and woman dressed up on stage waiting to start their performance.</t>
  </si>
  <si>
    <t>The performance begins and the start dancing very beautifully.</t>
  </si>
  <si>
    <t>They work very well together, he picks her up on his shoulders.</t>
  </si>
  <si>
    <t>They use the chair as a prop and dance until it time to stop and then they hug.</t>
  </si>
  <si>
    <t>v_TADJh_DZOfE</t>
  </si>
  <si>
    <t>A female athlete claps her hands.</t>
  </si>
  <si>
    <t>The female athlete runs and elevates her body over a heighten hurdle.</t>
  </si>
  <si>
    <t>The female athlete rises and yells in joy.</t>
  </si>
  <si>
    <t>The female athlete dances and spins.</t>
  </si>
  <si>
    <t>The female athlete walks away.</t>
  </si>
  <si>
    <t>v_9o2iojC7gSw</t>
  </si>
  <si>
    <t>A indoor course is panned with camera in a warehouse setting.</t>
  </si>
  <si>
    <t>An athlete runs down a track and pole vaults over a high bar and onto a cushioned landing pad.</t>
  </si>
  <si>
    <t>The pole vaulter discusses events and sets down some wooden pools before use.</t>
  </si>
  <si>
    <t>The athlete discusses more and is seen on television screens doing previous pole vaults.</t>
  </si>
  <si>
    <t>The athlete sits with a coach and watches a tv screen.</t>
  </si>
  <si>
    <t>The athlete stands and talks on the track and does a warm up run jumping on the mats.</t>
  </si>
  <si>
    <t>The athlete lays on a mat next to a female athlete and stretches.</t>
  </si>
  <si>
    <t>The athlete does multiple pole vaults during practice onto the mat.</t>
  </si>
  <si>
    <t>The outside of the warehouse is seen in a city setting.</t>
  </si>
  <si>
    <t>v_x1Z_3-X49HY</t>
  </si>
  <si>
    <t>A close up of a cat is seen sitting in a person's lap.</t>
  </si>
  <si>
    <t>The person then grabs a pair of clippers and begins cutting the nails of the cat.</t>
  </si>
  <si>
    <t>He continues cutting the nails and shows off the cat paws in the end.</t>
  </si>
  <si>
    <t>v_MCnvxOLnbsg</t>
  </si>
  <si>
    <t>A silver car is parked in the street.</t>
  </si>
  <si>
    <t>A man power washes the car in the street.</t>
  </si>
  <si>
    <t>He then dries it off.</t>
  </si>
  <si>
    <t>The car is now completely clean.</t>
  </si>
  <si>
    <t>v_AyYpsQ4xOo8</t>
  </si>
  <si>
    <t>A woman talks to the camera in a street environment while pedestrians and cars pass by.</t>
  </si>
  <si>
    <t>The woman peeks out from behind a wall.</t>
  </si>
  <si>
    <t>The woman looks at a laptop screen with a man.</t>
  </si>
  <si>
    <t>The man applies a tattoo pattern to the woman's upper arm, with the video sometimes passing in accelerated time.</t>
  </si>
  <si>
    <t>The woman shows the completed tattoo while talking to the camera.</t>
  </si>
  <si>
    <t>v_O0uVjGlOW8M</t>
  </si>
  <si>
    <t>A vast ocean view is shown as a wave crashes in.</t>
  </si>
  <si>
    <t>This is repeated from several different angles.</t>
  </si>
  <si>
    <t>People are then shown surfing through the waves.</t>
  </si>
  <si>
    <t>v_ZeugCIqbsD4</t>
  </si>
  <si>
    <t>A man is standing in front of a table.</t>
  </si>
  <si>
    <t>He is holding a potato and peeler over a bowl.</t>
  </si>
  <si>
    <t>He peels the potato one strip at a time.</t>
  </si>
  <si>
    <t>v_YpA8T0ZjRIo</t>
  </si>
  <si>
    <t>Cars are getting washed at a car wash.</t>
  </si>
  <si>
    <t>A play room in the car wash is being shown.</t>
  </si>
  <si>
    <t>The outside of the car wash building is shown.</t>
  </si>
  <si>
    <t>v_vr0Wi359kWM</t>
  </si>
  <si>
    <t>An intro shows off the products of the video.</t>
  </si>
  <si>
    <t>The host shows off each product and how they help clean a shoe.</t>
  </si>
  <si>
    <t>First we see the sneaker get cleaned.</t>
  </si>
  <si>
    <t>A basketball shoe is cleaned next.</t>
  </si>
  <si>
    <t>Some ads play to close the video.</t>
  </si>
  <si>
    <t>v_j5cmc3cnLeU</t>
  </si>
  <si>
    <t>A couple dances in red outfits on a stage for a large audience on a stage lit with colorful lighting.</t>
  </si>
  <si>
    <t>A man and a woman passionately hold each other standing still in an embrace.</t>
  </si>
  <si>
    <t>The man dips his female partner down who does the splits at the end of the dance.</t>
  </si>
  <si>
    <t>v_08uNrWxxHGY</t>
  </si>
  <si>
    <t>A woman with long hair paints on a large panel in time lapse video.</t>
  </si>
  <si>
    <t>The woman is still painting the panel, but now with a change of clothing.</t>
  </si>
  <si>
    <t>The woman is still painting the panel, but with yet another change of clothing.</t>
  </si>
  <si>
    <t>The woman paints with a fourth different set of clothing.</t>
  </si>
  <si>
    <t>The woman continues to paint with a fifth different set of clothing.</t>
  </si>
  <si>
    <t>The woman continues to paint with a sixth different set of clothing.</t>
  </si>
  <si>
    <t>A closeup of the completed picture is shown.</t>
  </si>
  <si>
    <t>v_8Mdnvm8olC0</t>
  </si>
  <si>
    <t>An "IAAF" logo appears with the words "Long Jump Men".</t>
  </si>
  <si>
    <t>Several men run down a track and perform a long jump in a professional sports venue.</t>
  </si>
  <si>
    <t>A scoreboard graphic is shown for all the participating players.</t>
  </si>
  <si>
    <t>v_ScWdvpS6epQ</t>
  </si>
  <si>
    <t>People are standing on a blue mat.</t>
  </si>
  <si>
    <t>They begin doing a cheerleading routine on the mat.</t>
  </si>
  <si>
    <t>They hold up signs in front of the mat.</t>
  </si>
  <si>
    <t>v_xoXTlNWkC7w</t>
  </si>
  <si>
    <t>A black screen is shown and various white words are shown.</t>
  </si>
  <si>
    <t>After,a Caucasian man is shown playing the hand drums and stomping his foot.</t>
  </si>
  <si>
    <t>v_6YvF2YHee5I</t>
  </si>
  <si>
    <t>A shovel rakes along the snow covered ground of a yard.</t>
  </si>
  <si>
    <t>It pulls up the snow in large amounts.</t>
  </si>
  <si>
    <t>A man pulls up the shovel, and sets it aside.</t>
  </si>
  <si>
    <t>v_NurRl6_NLbg</t>
  </si>
  <si>
    <t>We see a blue intro screen.</t>
  </si>
  <si>
    <t>We see kids riding dirt bikes.</t>
  </si>
  <si>
    <t>We see another title screen and the intermediate riders are seen.</t>
  </si>
  <si>
    <t>We see the screen go blue again and we see the experts.</t>
  </si>
  <si>
    <t>Another title screen is shown and we see the credits.</t>
  </si>
  <si>
    <t>v_OixwThoO8z4</t>
  </si>
  <si>
    <t>A black screen appears and handwritten looking white text appears on the screen and it say's "Bart Rollin".</t>
  </si>
  <si>
    <t>A man is outdoors in a city skating with and without a shirt on in different locations, falling a few times and skating both at day and night while people look on at different locations, and sometimes he's alone.</t>
  </si>
  <si>
    <t>When the man is done skating the outro appears and it includes a screenshot of what looks like a bloody finger, a white screen with a male faintly drawn on it and black words scroll from bottom to top until just the white screen with the male drawing is only visible.</t>
  </si>
  <si>
    <t>v_3UOWHwwxczI</t>
  </si>
  <si>
    <t>A man is seen speaking to the camera and leads into clips of him climbing along a wall.</t>
  </si>
  <si>
    <t>The man continues climbing along the rock wall and ends by looking back to the camera.</t>
  </si>
  <si>
    <t>v_IJUokB_p3Yo</t>
  </si>
  <si>
    <t>Two boys are sitting in a booth inside a building.</t>
  </si>
  <si>
    <t>They are talking about doing clips.</t>
  </si>
  <si>
    <t>They then talk while eating bowls of vanilla ice cream.</t>
  </si>
  <si>
    <t>v_GsNyn-6DDJM</t>
  </si>
  <si>
    <t>A woman is sitting down in a chair.</t>
  </si>
  <si>
    <t>A boy is brushing her long hair.</t>
  </si>
  <si>
    <t>She laughs and covers her mouth with her hand.</t>
  </si>
  <si>
    <t>v_Z_F01eV0Iqw</t>
  </si>
  <si>
    <t>The video begins with a little boy in a motorcycle helmet, in a restaurant.</t>
  </si>
  <si>
    <t>The cameraman hands him skis.</t>
  </si>
  <si>
    <t>A woman and baby come sit near him and he attempts to walk, only to fall.</t>
  </si>
  <si>
    <t>Next are clips of the little boy skiing with his father down a snowy slope.</t>
  </si>
  <si>
    <t>At one point, he glides on a small ramp.</t>
  </si>
  <si>
    <t>He also faces a tumble.</t>
  </si>
  <si>
    <t>Soon the boy and his family load their vehicle to leave.</t>
  </si>
  <si>
    <t>The video ends with a picture of the little boy and his dad.</t>
  </si>
  <si>
    <t>v_3JNNjd9fv7U</t>
  </si>
  <si>
    <t>A woman is seen kneeling down next to a vacuum followed by several pictures of her vacuuming and moving around the carpet.</t>
  </si>
  <si>
    <t>More pictures are shown of the carpet as well as her kneeling down and she empties out a vacuum while still speaking to the camera.</t>
  </si>
  <si>
    <t>v_YnvefOl6a7k</t>
  </si>
  <si>
    <t>A man is shown standing next to a tree holding christmas decorations in his hands.</t>
  </si>
  <si>
    <t>He then hangs the decorations all around the tree while looking back and speaking to the camera.</t>
  </si>
  <si>
    <t>v_QvP8tPp8Wog</t>
  </si>
  <si>
    <t>There's a young man in a red shirt playing an acoustic guitar.</t>
  </si>
  <si>
    <t>He strums the guitar using his pick and moves his fingers along the chords.</t>
  </si>
  <si>
    <t>After he is done playing, he looks up and smiles.</t>
  </si>
  <si>
    <t>v_u3qNB8GDOzY</t>
  </si>
  <si>
    <t>A ladder is leaning against a house.</t>
  </si>
  <si>
    <t>A piece of wood goes up and down the ladder.</t>
  </si>
  <si>
    <t>v_dth916VxJUw</t>
  </si>
  <si>
    <t>A man stands in front of a set of pull up and double bars at a park.</t>
  </si>
  <si>
    <t>The man does shoulder dips on the set of parallel bars.</t>
  </si>
  <si>
    <t>The man does push ups with his feet up on the parallel bars.</t>
  </si>
  <si>
    <t>The man does pull ups on one of the bars.</t>
  </si>
  <si>
    <t>The man walks back up in front of the equipment after the routine.</t>
  </si>
  <si>
    <t>v_hOcP06xuKFg</t>
  </si>
  <si>
    <t>A person grabs a disk from a pile of disks.</t>
  </si>
  <si>
    <t>They throw it down a shuffle board.</t>
  </si>
  <si>
    <t>The continue to throw disks down the shuffleboard.</t>
  </si>
  <si>
    <t>v_gDexNGeZln0</t>
  </si>
  <si>
    <t>A person is seen speaking to the camera and leads into a close up of the ground and another person sitting on the side.</t>
  </si>
  <si>
    <t>More shots are shown of logs and sticks as well as a fire pit and a boy cutting a stick.</t>
  </si>
  <si>
    <t>v_YZacstLO0XA</t>
  </si>
  <si>
    <t>A man is demonstrating how to make a three egg omelette in his kitchen.</t>
  </si>
  <si>
    <t>He starts by cracking the eggs in a clear glass bowl.</t>
  </si>
  <si>
    <t>He then beats the eggs well and adds some butter into the saucepan.</t>
  </si>
  <si>
    <t>He pours the raw egg batter into the pan.</t>
  </si>
  <si>
    <t>He lifts the pan and moves it around to shuffle the eggs.</t>
  </si>
  <si>
    <t>He then tops is off with some grated cheese.</t>
  </si>
  <si>
    <t>He takes a fork and slides the omelette into a white plate.</t>
  </si>
  <si>
    <t>He then garnishes it with some greens on top for a healthy touch.</t>
  </si>
  <si>
    <t>v_z4qaGiWt-bo</t>
  </si>
  <si>
    <t>A team is on a field as a runner throws the ball, which the batter hits and is caught.</t>
  </si>
  <si>
    <t>The coach instructs the players as they continue the game.</t>
  </si>
  <si>
    <t>The players walk away, then a view of the ball coming at the bat is shown.</t>
  </si>
  <si>
    <t>v_mqa1ptnQWWo</t>
  </si>
  <si>
    <t>A wall is shown, covered in hanging tools.</t>
  </si>
  <si>
    <t>A man is in a workshop, talking about roofing shingles.</t>
  </si>
  <si>
    <t>He demonstrates how to apply glue, tile, and then hammer and nail the tiles into place.</t>
  </si>
  <si>
    <t>v_bQVMoeBK7XU</t>
  </si>
  <si>
    <t>A bottle of aging cream is shown and a woman begins to apply it on her face in her T-zone.</t>
  </si>
  <si>
    <t>Once it is evenly displayed,several paragraphs begin to show about the use of the product and what each week should be.</t>
  </si>
  <si>
    <t>After,a short sentence appears and tells you to go on their web page to get more details.</t>
  </si>
  <si>
    <t>v_ExMpLopi9ug</t>
  </si>
  <si>
    <t>Gymasts are standing in a competition room.</t>
  </si>
  <si>
    <t>A man mounts a beam.</t>
  </si>
  <si>
    <t>He begins to spin, flips, and do several tricks.</t>
  </si>
  <si>
    <t>He dismounts, raising his arms into the air and bowing.</t>
  </si>
  <si>
    <t>v_uzgIBU9arcU</t>
  </si>
  <si>
    <t>A baby is seen swinging back and fourth on a swing while laughing and smiling to the camera.</t>
  </si>
  <si>
    <t>The baby continues moving back and fourth while looking up to the camera and smiling.</t>
  </si>
  <si>
    <t>v_r9xmgB116dE</t>
  </si>
  <si>
    <t>An Asian woman is sitting, then she ride the skateboard and began skating on the empty road.</t>
  </si>
  <si>
    <t>The girl is skateboarding side to side, and while holding a selfie stick.</t>
  </si>
  <si>
    <t>The girl skateboard on the sidewalk, near the water, in a narrow path, and park.</t>
  </si>
  <si>
    <t>v_feYYvRmqCgI</t>
  </si>
  <si>
    <t>A group of people sitting on elevated bleachers, watch a man on a horse lasso a small black calf in a, dirt covered, indoor, rodeo ring.</t>
  </si>
  <si>
    <t>The man emerges into the ring from a floor level door, on a horse, chasing after a small black calf.</t>
  </si>
  <si>
    <t>The man simultaneously throws a rope around the calfs neck and dismounts the horse, while the horse is in motion.</t>
  </si>
  <si>
    <t>Upon landing on the ground after the dismount, the man runs to the calf and ties the calf up in the rope, and then walks back to the horse and mounts the horse again while two men enter the ring and grab for the tied up calf.</t>
  </si>
  <si>
    <t>v_iPXyExgGD5Q</t>
  </si>
  <si>
    <t>A man is shown in a bathroom choosing a toothbrush.</t>
  </si>
  <si>
    <t>He then brushes his teeth and sees blood.</t>
  </si>
  <si>
    <t>He uses listerine mouth wash for thirty seconds to kill the germs.</t>
  </si>
  <si>
    <t>v_NZ5iioSnCO8</t>
  </si>
  <si>
    <t>A close up of a table is shown as well as a man standing around the table and pointing to the side.</t>
  </si>
  <si>
    <t>Two men are watching on the side as the game continues and another man records on his phone.</t>
  </si>
  <si>
    <t>v_TlDkQ8SNG64</t>
  </si>
  <si>
    <t>A boy sits a top a camel.</t>
  </si>
  <si>
    <t>The camel begins to move with the help of a handler.</t>
  </si>
  <si>
    <t>People appear in the background.</t>
  </si>
  <si>
    <t>v_2WvbAEMG5DU</t>
  </si>
  <si>
    <t>A mother and child in swim suits build sand castles on the beach.</t>
  </si>
  <si>
    <t>The child destroys the sand castles.</t>
  </si>
  <si>
    <t>The mother throws the plastic mold frustrated.</t>
  </si>
  <si>
    <t>v_7KYj4FQUESo</t>
  </si>
  <si>
    <t>A person is shown vacuuming a large rug with a green vacuum cleaner.</t>
  </si>
  <si>
    <t>A caption comes up on the screen while the man continues to use the vacuum all over the rug.</t>
  </si>
  <si>
    <t>v_6Epn-R6sg5U</t>
  </si>
  <si>
    <t>A close up of a pool table is shown followed by a person walking around the sides.</t>
  </si>
  <si>
    <t>The person then hits a pool ball continuously around the table.</t>
  </si>
  <si>
    <t>The man then sinks the last ball and celebrates with a group of people.</t>
  </si>
  <si>
    <t>v_JUvqA51RX0Y</t>
  </si>
  <si>
    <t>A man throws a ball onto the sidewalk.</t>
  </si>
  <si>
    <t>He plays hopscotch to pick it up.</t>
  </si>
  <si>
    <t>A little kid runs around in front of him.</t>
  </si>
  <si>
    <t>v_7lNAmkaMyyg</t>
  </si>
  <si>
    <t>A man holding an ice scraper is pushing ice off of his car while the camera zoom in.</t>
  </si>
  <si>
    <t>The camera shows his hands mutiple times close up gradually pushing piece by piece of ice off.</t>
  </si>
  <si>
    <t>v_X7-1DRvX-LU</t>
  </si>
  <si>
    <t>A woman is in a living room in front of a fire.</t>
  </si>
  <si>
    <t>She cuts wrapping paper in strips, then wraps it neatly around a box.</t>
  </si>
  <si>
    <t>She tapes the box, then lays it down gently on the table.</t>
  </si>
  <si>
    <t>v_2Xfigl8xrXc</t>
  </si>
  <si>
    <t>A woman wearing a black shirt begins talking and then someone getting their legs waxed appears.</t>
  </si>
  <si>
    <t>As she talks,a layer of wax if placed on the leg and then a white piece of paper.</t>
  </si>
  <si>
    <t>v_8dhDEj0Dd5s</t>
  </si>
  <si>
    <t>A gymnast is standing at a pose waiting to begin her performance.</t>
  </si>
  <si>
    <t>She starts to twirl her baton and move her body a long with it doing flips and everything.</t>
  </si>
  <si>
    <t>She begins to do one handed cartwheels and swinging the baton around her neck.</t>
  </si>
  <si>
    <t>She does a stunning performance and once it is over she freezes in place.</t>
  </si>
  <si>
    <t>v_eoOzE3cpqVg</t>
  </si>
  <si>
    <t>A man in gear is shown pointing two guns.</t>
  </si>
  <si>
    <t>He is hiding behind rocks, sneaking up on other paintball players.</t>
  </si>
  <si>
    <t>They shoot at each other as he goes back behind the rocks to hide.</t>
  </si>
  <si>
    <t>v_FCFSLuCZKj4</t>
  </si>
  <si>
    <t>A person is using a large armed window washing mechanism to wash the exterior, front, glass window of a sandwich store.</t>
  </si>
  <si>
    <t>The person is a man with grey hair and glasses and he uses the tool to wash the very top of the window all the way to the base of the glass.</t>
  </si>
  <si>
    <t>The man continues to wash all four glass panes one by one using squiggly motions before leaving the window and walking away from the store.</t>
  </si>
  <si>
    <t>v_anO5Xhewrsw</t>
  </si>
  <si>
    <t>A little girl is sitting at a drum set with headphones on.</t>
  </si>
  <si>
    <t>She plays the drums and cymbals, keeping a fast beat.</t>
  </si>
  <si>
    <t>She bangs her head back and forth as she plays.</t>
  </si>
  <si>
    <t>v_MFfJ4V9Dqvg</t>
  </si>
  <si>
    <t>A little girl is playing in the sand.</t>
  </si>
  <si>
    <t>The girl grabs a shovel.</t>
  </si>
  <si>
    <t>A person walks in front of the camera.</t>
  </si>
  <si>
    <t>The camera pans to the water.</t>
  </si>
  <si>
    <t>The girl walks to the water.</t>
  </si>
  <si>
    <t>The girl walks into the water.</t>
  </si>
  <si>
    <t>v_RUv9YPd_0Zc</t>
  </si>
  <si>
    <t>An introduction comes onto the screen for a presentation about auto repair.</t>
  </si>
  <si>
    <t>The video displays several different parts of the car that is being worked on.</t>
  </si>
  <si>
    <t>The a dent fixing mechanism is attached to the cars to show how it works to repair one wheel.</t>
  </si>
  <si>
    <t>Then it shows another wheel being repaired by the same mechanism.</t>
  </si>
  <si>
    <t>Next, the closing credits for the video appear on the screen.</t>
  </si>
  <si>
    <t>v_Z4KErmUO3gw</t>
  </si>
  <si>
    <t>We see two ladies dancing in a field.</t>
  </si>
  <si>
    <t>We switch to ladies dancing around a bull in a rind.</t>
  </si>
  <si>
    <t>We see the ladies stand next to each other.</t>
  </si>
  <si>
    <t>We see the ladies on their knees in the field.</t>
  </si>
  <si>
    <t>We see three ladies on the field.</t>
  </si>
  <si>
    <t>We see two ladies dancing.</t>
  </si>
  <si>
    <t>We see the closing screens.</t>
  </si>
  <si>
    <t>v_r8MwPAJWPDk</t>
  </si>
  <si>
    <t>People are rock climbing up rocks.</t>
  </si>
  <si>
    <t>A person falls off of the rock into the water below.</t>
  </si>
  <si>
    <t>v_tg6HOGy0BBQ</t>
  </si>
  <si>
    <t>A man sits down with his leg on a chair.</t>
  </si>
  <si>
    <t>A person puts waxing strips on his leg and pulls off the hair.</t>
  </si>
  <si>
    <t>He puts his shirt over his face.</t>
  </si>
  <si>
    <t>v_SSldR9yOJq8</t>
  </si>
  <si>
    <t>A person wearing a costume is seen standing and posing inside a canoe and eventually pushes themselves down the river.</t>
  </si>
  <si>
    <t>The person moves in the canoe slowly and the camera follows him moving along the water in the canoe.</t>
  </si>
  <si>
    <t>v_ubR7XPBJQH8</t>
  </si>
  <si>
    <t>Two men are seen performing martial arts moves against one another and leads into a man speaking.</t>
  </si>
  <si>
    <t>The man then demonstrates several martial arts moves with another man while still speaking to the camera.</t>
  </si>
  <si>
    <t>The man continues these motions while stopping to demonstrate how it's properly done.</t>
  </si>
  <si>
    <t>v_KKEyKFmatq0</t>
  </si>
  <si>
    <t>People are playing a game of soccer in an indoor arena.</t>
  </si>
  <si>
    <t>A man picks up the ball and throws it someone else.</t>
  </si>
  <si>
    <t>People fall onto the arena floor.</t>
  </si>
  <si>
    <t>v_KujAY-AST9M</t>
  </si>
  <si>
    <t>Guys stand around in an indoor court.</t>
  </si>
  <si>
    <t>Two guys play relay soccer, an athlete touches the hands of his opponent and a goalie before he kicks a served ball.</t>
  </si>
  <si>
    <t>A player kicks the ball towards the goalie from center court.</t>
  </si>
  <si>
    <t>The guys pause for a short while.</t>
  </si>
  <si>
    <t>v_3X2CY79a0X8</t>
  </si>
  <si>
    <t>A man pushes a lawnmower cutting down a high patch of weeds in a yard.</t>
  </si>
  <si>
    <t>The man turns over the lawnmower on its side then clears out tangled grass.</t>
  </si>
  <si>
    <t>The man backs up and swings the lawnmower around in a circle and turns the lawnmower in the opposite direction.</t>
  </si>
  <si>
    <t>v_9g1omTdpoYs</t>
  </si>
  <si>
    <t>Various cupcakes are shown sitting on a plate and lettering comes up stating how to make them.</t>
  </si>
  <si>
    <t>Several ingredients are shown and the person mixing the ingredients together in a bowl.</t>
  </si>
  <si>
    <t>The person blends all the ingredients and puts them in a pan to cook.</t>
  </si>
  <si>
    <t>The cupcakes are finally cooked and set out on a plate to enjoy.</t>
  </si>
  <si>
    <t>v_s6pFNNnub80</t>
  </si>
  <si>
    <t>Several pictures are shown of nails close up and leads into a person painting text onto a nail.</t>
  </si>
  <si>
    <t>The person shows close ups of nail polish and continues painting on the nail.</t>
  </si>
  <si>
    <t>The woman finishes her design and shows off another picture of nails.</t>
  </si>
  <si>
    <t>v_2bEr09bbqAA</t>
  </si>
  <si>
    <t>A man sits in a kayak and holds his oar in a river showing how to use it properly.</t>
  </si>
  <si>
    <t>The man leans back in his kayak to show balance techniques.</t>
  </si>
  <si>
    <t>The kayak rider paddles into the white wash below a water fall and flips over then rights himself again.</t>
  </si>
  <si>
    <t>v_yyUmEgvq3B0</t>
  </si>
  <si>
    <t>A man is seen walking with a chair and puts it in the middle of a bowling lane.</t>
  </si>
  <si>
    <t>He high fives the audience and throws the ball over the chair and hits all the pins.</t>
  </si>
  <si>
    <t>He same shot is shown several times and he sits down in his chair laughing.</t>
  </si>
  <si>
    <t>v_5Z5DAI4Grb0</t>
  </si>
  <si>
    <t>A title page pans into hands holding a paint brush with a portrait in the background.</t>
  </si>
  <si>
    <t>She holds another picture beside her and pushes the brush into paint.</t>
  </si>
  <si>
    <t>She then begins painting the picture and adding more color to the portrait.</t>
  </si>
  <si>
    <t>v_6V6XB0KmYkk</t>
  </si>
  <si>
    <t>A large group of people are seen playing hockey around an arena performing various tricks with the puck.</t>
  </si>
  <si>
    <t>The men continue to hit the puck around one another as the camera captures them from several sides.</t>
  </si>
  <si>
    <t>The man push the puck around more over and under obstacles.</t>
  </si>
  <si>
    <t>v_2i_rotAjuoE</t>
  </si>
  <si>
    <t>First there is a screen shown for a small amount of time letting viewers know what this video is about.</t>
  </si>
  <si>
    <t>Then there is a man riding different horses in different settings where people watch them.</t>
  </si>
  <si>
    <t>In the first one, the horse runs with him on his back and he tries to jump over a wooden obstacle, but fails and there are many more fails.</t>
  </si>
  <si>
    <t>v_4wiLmu1yTZI</t>
  </si>
  <si>
    <t>A man with curly hair is seen speaking to the camera with a serious conviction.</t>
  </si>
  <si>
    <t>He then brushes through his hair with a dog in frame and shows off his poofy hair.</t>
  </si>
  <si>
    <t>He then is seen again with wet hair and closes his eyes to the camera.</t>
  </si>
  <si>
    <t>v_eyWerZITH1Y</t>
  </si>
  <si>
    <t>A man jumps onto a balance beam.</t>
  </si>
  <si>
    <t>They begin to do a gymnastics routine on the balance beam.</t>
  </si>
  <si>
    <t>They jump off onto a mat next to it.</t>
  </si>
  <si>
    <t>v_-4Q_zG9EChY</t>
  </si>
  <si>
    <t>A man is seen standing on a rope and begins walking across the rope.</t>
  </si>
  <si>
    <t>The man continues walking while the camera captures his movements.</t>
  </si>
  <si>
    <t>He walks all along the rope to the end and jumps off.</t>
  </si>
  <si>
    <t>v_hhHiBeL08-M</t>
  </si>
  <si>
    <t>A close up of a porch is shown with the camera panning all around.</t>
  </si>
  <si>
    <t>The camera walks to the end of the porch.</t>
  </si>
  <si>
    <t>The camera turns around while still looking at the porch.</t>
  </si>
  <si>
    <t>v_ZbFyGkfGFcE</t>
  </si>
  <si>
    <t>Children are playing on the beach.</t>
  </si>
  <si>
    <t>They are building a sand castle.</t>
  </si>
  <si>
    <t>A girl dumps a bucket full of sand in front of her.</t>
  </si>
  <si>
    <t>v_wIthr5w6RV4</t>
  </si>
  <si>
    <t>A man in a hat is talking to a camera.</t>
  </si>
  <si>
    <t>He is dressed up in a sumo wrestling outfit and playing curling.</t>
  </si>
  <si>
    <t>He is playing tennis on a tennis court.</t>
  </si>
  <si>
    <t>v_uaqcvxz_5fY</t>
  </si>
  <si>
    <t>A city view is seen from a skyscraper.</t>
  </si>
  <si>
    <t>Two men are shown cleaning windows on the side of the building.</t>
  </si>
  <si>
    <t>They squeegee and wipe down the glass professionally.</t>
  </si>
  <si>
    <t>They then check their work before finishing.</t>
  </si>
  <si>
    <t>v_ZGSi-QAkf5A</t>
  </si>
  <si>
    <t>There some geese flying in the sky above a park.</t>
  </si>
  <si>
    <t>A man is talking in his microphone as some men are playing cricket behind him in the park.</t>
  </si>
  <si>
    <t>It is a sunny day with geese walking around the park and people enjoying a casual game of cricket.</t>
  </si>
  <si>
    <t>There's a man hitting the ball with his cricket bat and another person trying to catch his ball.</t>
  </si>
  <si>
    <t>A squirrel is sitting on the park bench and enjoying the sunshine as well.</t>
  </si>
  <si>
    <t>v_CB0yYGVNcOk</t>
  </si>
  <si>
    <t>A man is seen playing a saxophone into the camera and leads into him speaking.</t>
  </si>
  <si>
    <t>More shots are shown of him playing the instrument while pausing to play more.</t>
  </si>
  <si>
    <t>He continues playing along and ends by smiling to the camera.</t>
  </si>
  <si>
    <t>v_fkUnZB6NTT8</t>
  </si>
  <si>
    <t>Several people are shown in photos, gathered together in winter gear in the snow.</t>
  </si>
  <si>
    <t>They ride in intertubes down a hill together, laughing and talking with each other.</t>
  </si>
  <si>
    <t>They are then shown in after even celebratory photos, posing together.</t>
  </si>
  <si>
    <t>v_s3HhNlysFDs</t>
  </si>
  <si>
    <t>A cross appears in the style of the tile under the water in a pool.</t>
  </si>
  <si>
    <t>A man in a swim cap swims through the water toward the camera.</t>
  </si>
  <si>
    <t>He is shown swimming from numerous angles.</t>
  </si>
  <si>
    <t>v_o4_Vi7asvxg</t>
  </si>
  <si>
    <t>Two people are dressed in all black riding their bicycles down the road.</t>
  </si>
  <si>
    <t>The two boys are then pictured on a split screen against each other putting on their helmets.</t>
  </si>
  <si>
    <t>The two then put on their green biking gloves and get back on the bikes.</t>
  </si>
  <si>
    <t>A skate park is then shown and one of the boys begin doing tricks over the bumps.</t>
  </si>
  <si>
    <t>Once completed,the bikes are walked over and the boys begin to shake each others hand.</t>
  </si>
  <si>
    <t>After the tricks continue and they keep jumping and doing tricks over the hills.</t>
  </si>
  <si>
    <t>v_Xr8zB1aIBzg</t>
  </si>
  <si>
    <t>People wait in an indoor gym as the instructor walks out.</t>
  </si>
  <si>
    <t>The class starts a stepercize class using black boxes.</t>
  </si>
  <si>
    <t>The class finishes by waving their arms and the instructor walks away.</t>
  </si>
  <si>
    <t>v_ZA_XYgP4fMA</t>
  </si>
  <si>
    <t>Two men are seen arm wrestling with one another while holding their arms down to the sides.</t>
  </si>
  <si>
    <t>They keep starting again until one of them eventually wins.</t>
  </si>
  <si>
    <t>v_y3Wfx-RvTpk</t>
  </si>
  <si>
    <t>A man is standing under a basketball goal.</t>
  </si>
  <si>
    <t>A group of boys is listening to the coach.</t>
  </si>
  <si>
    <t>They begin warming up by doing lay ups.</t>
  </si>
  <si>
    <t>The boys line up, prepared to play the game.</t>
  </si>
  <si>
    <t>v_OVpila9fAaQ</t>
  </si>
  <si>
    <t>people are in a lake wakeboarding being pulled by a boat.</t>
  </si>
  <si>
    <t>a lot of people are standing on a dock watching the wakeboarding competition.</t>
  </si>
  <si>
    <t>people are walking on the dock wearing winter clothes.</t>
  </si>
  <si>
    <t>v_ZXEc0cahpuw</t>
  </si>
  <si>
    <t>There is a woman whose wearing nothing but shorts and a tshirt.</t>
  </si>
  <si>
    <t>She is shown sitting on a rock while washing the little bit of clothes she has in the river.</t>
  </si>
  <si>
    <t>v_LOINRpWGrlw</t>
  </si>
  <si>
    <t>Someone is at the bowling alley on a lane with a red ball.</t>
  </si>
  <si>
    <t>He throws the ball, his foot goes up and the ball rolls to hit the pins.</t>
  </si>
  <si>
    <t>Multiple people take their turns doing the same stance and everything more or less.</t>
  </si>
  <si>
    <t>You never see the balls hit the pins just everyone throwing the ball.</t>
  </si>
  <si>
    <t>v_-1IlTIWPNs4</t>
  </si>
  <si>
    <t>A cameraman walks down a snowy driveway to capture a young child shoveling up snow.</t>
  </si>
  <si>
    <t>The boy speaks into the camera and continues pushing the snow around with a shovel.</t>
  </si>
  <si>
    <t>v_nYlAXMmPWw0</t>
  </si>
  <si>
    <t>Five women are in a room dancing.</t>
  </si>
  <si>
    <t>They dance around in a circle.</t>
  </si>
  <si>
    <t>They continue dancing together in the room.</t>
  </si>
  <si>
    <t>v_-ntEh6HpeX0</t>
  </si>
  <si>
    <t>A woman wearing gloves is in front of a sink.</t>
  </si>
  <si>
    <t>She sprays it down with a cleaning solution.</t>
  </si>
  <si>
    <t>She then scrubs the sink until it is clean.</t>
  </si>
  <si>
    <t>v_ct3uprBbPHw</t>
  </si>
  <si>
    <t>A man stands in front of the camera, then starts combing his hair forward.</t>
  </si>
  <si>
    <t>He then focuses on the sides and back of his hair, again combing down.</t>
  </si>
  <si>
    <t>He brings the brush all around his hair, adding his left hand to swipe along.</t>
  </si>
  <si>
    <t>v_NSegylr0MBg</t>
  </si>
  <si>
    <t>We see a man adjust the camera and shake his hair.</t>
  </si>
  <si>
    <t>We see commentary on the screen.</t>
  </si>
  <si>
    <t>The image is in color and the man blow drys his hair.</t>
  </si>
  <si>
    <t>The man uses a brush and instructions appear.</t>
  </si>
  <si>
    <t>We see more instructions on the screen.</t>
  </si>
  <si>
    <t>Instruction tell views to mold hair.</t>
  </si>
  <si>
    <t>More instructions appear on the screen.</t>
  </si>
  <si>
    <t>The man adds pomades to his hair.</t>
  </si>
  <si>
    <t>The man brushes his hair with a brush.</t>
  </si>
  <si>
    <t>We see the scene go dark and the writing appears on the screen.</t>
  </si>
  <si>
    <t>v_L-rPS8tlAy4</t>
  </si>
  <si>
    <t>A horse runs wild with a trainer chasing after it.</t>
  </si>
  <si>
    <t>A horse runs after and bucks a bull that charges it with its horns.</t>
  </si>
  <si>
    <t>The horse is let out of the coral by the cowboys.</t>
  </si>
  <si>
    <t>The horses intestines hang from its body from the injury.</t>
  </si>
  <si>
    <t>The horse lies on the ground having a seizure.</t>
  </si>
  <si>
    <t>A bull chases after a cowboy on a horse carrying a lasso.</t>
  </si>
  <si>
    <t>v_dm5WXFiQZUQ</t>
  </si>
  <si>
    <t>A motorcyclist is in the bed and is woken up by an alarm clock.</t>
  </si>
  <si>
    <t>The motorcyclist gets out of bed and prepares to leave by bathing using the bathroom and reading the newspaper.</t>
  </si>
  <si>
    <t>He rides the motorcycle down the hall and into the elevator.</t>
  </si>
  <si>
    <t>He exits the building and rides the motorcycle into a casino where he performs several tricks as people watch.</t>
  </si>
  <si>
    <t>He exits the casino and the closing credits show up on the screen.</t>
  </si>
  <si>
    <t>v_k7nuduqYOdQ</t>
  </si>
  <si>
    <t>A close up of a weight is shown.</t>
  </si>
  <si>
    <t>Several individuals are shown lifting barbells with weights in various ways in a gym while other individuals watch or exercise in the background.</t>
  </si>
  <si>
    <t>A screen with a logo and contact information is shown.</t>
  </si>
  <si>
    <t>v_HxenZkvSkPc</t>
  </si>
  <si>
    <t>We see a lady walking a dog.</t>
  </si>
  <si>
    <t>We see a man walking the dog.</t>
  </si>
  <si>
    <t>We return to the lady walking the dog.</t>
  </si>
  <si>
    <t>The dog pulls the lady down the street.</t>
  </si>
  <si>
    <t>We see the lady and the man talking.</t>
  </si>
  <si>
    <t>The man walks the dog up the stairs and in the driveway.</t>
  </si>
  <si>
    <t>We see the lady put a harness son the dog and walk him as the man watches.</t>
  </si>
  <si>
    <t>We then see the black closing screen.</t>
  </si>
  <si>
    <t>v_2b_hjshny54</t>
  </si>
  <si>
    <t>Female swimmer jump off into the water at a swim meet.</t>
  </si>
  <si>
    <t>They quickly race down the swim lanes.</t>
  </si>
  <si>
    <t>The swimmers repeatedly go back and forth down the swim lanes using various swimming techniques.</t>
  </si>
  <si>
    <t>v_RuBLAghI1vE</t>
  </si>
  <si>
    <t>There are some people curling in an indoor ice rink.</t>
  </si>
  <si>
    <t>There are some girls getting ready with the curling sticks and prepping the rink to play curling.</t>
  </si>
  <si>
    <t>Two girls dressed in black gear are playing the game as they go through the rink with their curling sticks pushing the rock.</t>
  </si>
  <si>
    <t>One of the players glides through the floor and pushes the rock to the end of the rink.</t>
  </si>
  <si>
    <t>The two players continue playing as they go through the rink and slide the rocks till the end of the line.</t>
  </si>
  <si>
    <t>Two other players wearing pink play the game as they slide the rocks through the rink.</t>
  </si>
  <si>
    <t>v_1FMjfLRpXwM</t>
  </si>
  <si>
    <t>The lady in black is doing a hairstyle tutorial and demonstrating on another woman who is seated next to her.</t>
  </si>
  <si>
    <t>She shows the hairspray that she has used on the model.</t>
  </si>
  <si>
    <t>She uses the hairspray on the model's hair and sprays it.</t>
  </si>
  <si>
    <t>She then takes a pair of scissors and cuts the rubber band off and spray her hair again.</t>
  </si>
  <si>
    <t>She pulls her braid apart and rubs her fingers over it.</t>
  </si>
  <si>
    <t>She then twists the braid and pins it up on the model's head.</t>
  </si>
  <si>
    <t>She twists it again and tightens it up and secures it with a pin again.</t>
  </si>
  <si>
    <t>She also makes a bun out of the braid to complete the hairstyle.</t>
  </si>
  <si>
    <t>She shows the hairspray bottle again that she has used on the model.</t>
  </si>
  <si>
    <t>v_jCw0kBph-v4</t>
  </si>
  <si>
    <t>A man and woman are standing in a starkly white room.</t>
  </si>
  <si>
    <t>They lay plastic on the ground and fill a tub with white paint.</t>
  </si>
  <si>
    <t>They then demonstrate how to hang a strip of wallpaper onto the wall.</t>
  </si>
  <si>
    <t>v_6azNzt8rXAs</t>
  </si>
  <si>
    <t>A man is seen practicing his ping pong abilities followed by him playing the game against another person.</t>
  </si>
  <si>
    <t>A man watches on the side as the men continue to play with more people stopping to watch.</t>
  </si>
  <si>
    <t>v_hKLDr9ZaDb8</t>
  </si>
  <si>
    <t>A woman in a bikini is standing in a room.</t>
  </si>
  <si>
    <t>She begins to hula hoop with a lit up hula hoop.</t>
  </si>
  <si>
    <t>The hula hoop is seen sitting next to a shirt.</t>
  </si>
  <si>
    <t>v_O67GDqPk_ug</t>
  </si>
  <si>
    <t>A person walks into frame holding a tool and cutting a tree up and down.</t>
  </si>
  <si>
    <t>The person continues using the tool on the tree and uses a small one to finish out the sides, presenting a small tree in the end.</t>
  </si>
  <si>
    <t>v_fKbrGn6c3us</t>
  </si>
  <si>
    <t>A woman is standing in front of an ironing board while talking.</t>
  </si>
  <si>
    <t>She shows off a white shirt, which she sprays with something in a can.</t>
  </si>
  <si>
    <t>She arranges the shirt on the ironing board, then begins to iron the shirt.</t>
  </si>
  <si>
    <t>After she irons the shirt, the screen goes to an advertisement for Expert Village.</t>
  </si>
  <si>
    <t>v_I8doQJXPqwo</t>
  </si>
  <si>
    <t>Two women are at the carwash.</t>
  </si>
  <si>
    <t>A car is covered in soap suds.</t>
  </si>
  <si>
    <t>The women begin to use a water hose to clean off the soap.</t>
  </si>
  <si>
    <t>They work the hose and brush all over the car.</t>
  </si>
  <si>
    <t>They finish hosing it off.</t>
  </si>
  <si>
    <t>v_dj_GBrR5N4E</t>
  </si>
  <si>
    <t>A young man prepares to complete a routine on the parallel bars.</t>
  </si>
  <si>
    <t>Many people are in bleachers in the background walking around, sitting and watching.</t>
  </si>
  <si>
    <t>The young man uses a spring board to mount the bars.</t>
  </si>
  <si>
    <t>A man standing nearby pulls the spring board out of the way.</t>
  </si>
  <si>
    <t>Several judges sit at a table in front of the bleachers watching.</t>
  </si>
  <si>
    <t>The young man completes his parallel bar routine.</t>
  </si>
  <si>
    <t>The young man then dismounts, lands and bows.</t>
  </si>
  <si>
    <t>He walks away as another man in the same uniform approaches.</t>
  </si>
  <si>
    <t>v_Lg6QZST92xo</t>
  </si>
  <si>
    <t>A close up of a log is seen and a person swinging an ax up and down.</t>
  </si>
  <si>
    <t>The person swings the ax against the dog and cuts it in half.</t>
  </si>
  <si>
    <t>The person performs this several more times.</t>
  </si>
  <si>
    <t>v_tydn-vo3DaY</t>
  </si>
  <si>
    <t>Various people are seen doing sit ups with other's help and transitions into several shots of people performing grueling tasks.</t>
  </si>
  <si>
    <t>One man climbs a wall and does push ups while another is interviewed by the camera and several people climb a wall.</t>
  </si>
  <si>
    <t>More shots of the people exercising are shown as well as climbing rock walls and several push ups.</t>
  </si>
  <si>
    <t>v_C6OmnTWhsEc</t>
  </si>
  <si>
    <t>A man wearing a white shirt and frog pattern headgear touches his nipples while holding a recorder.</t>
  </si>
  <si>
    <t>The man brings the recorder to his right nostril.</t>
  </si>
  <si>
    <t>The man begins to play the recorder.</t>
  </si>
  <si>
    <t>The scene cuts to the man, having finished playing, bowing while touching his nipples.</t>
  </si>
  <si>
    <t>v_bqA-WmqF19E</t>
  </si>
  <si>
    <t>People are playing pool in a room.</t>
  </si>
  <si>
    <t>A man shoots at the ball and makes it into the pocket.</t>
  </si>
  <si>
    <t>People are standing behind him playing pool on another table.</t>
  </si>
  <si>
    <t>v_OhpILjGpQTs</t>
  </si>
  <si>
    <t>We see the title card fade out.</t>
  </si>
  <si>
    <t>We see two kids on a camel at a carnival.</t>
  </si>
  <si>
    <t>The man leads the camel out of the pen as he smokes a cigarette.</t>
  </si>
  <si>
    <t>They pass the petting zoo.</t>
  </si>
  <si>
    <t>We see the mom taking pictures of the kids.</t>
  </si>
  <si>
    <t>The ending card is shown.</t>
  </si>
  <si>
    <t>v_5CtecK635eI</t>
  </si>
  <si>
    <t>There is one man who's in the room with two other men and he lifts up a weigh that weighs over 400 pounds.</t>
  </si>
  <si>
    <t>Next he lifts up a weight that is heavier than the last one.</t>
  </si>
  <si>
    <t>He gets, a handshake and a hug from an elderly man.</t>
  </si>
  <si>
    <t>Then someone gives him money and someone else who's sitting in a chair gives him a highfive.</t>
  </si>
  <si>
    <t>v_RO5WKh6dViA</t>
  </si>
  <si>
    <t>A group of children play on playground equipment watched by parents.</t>
  </si>
  <si>
    <t>A child swings across the monkey bars.</t>
  </si>
  <si>
    <t>The child gets to the other side bows and runs back to the monkey bars jumping and laughing.</t>
  </si>
  <si>
    <t>The child jumps around happily and falls down but get right back up.</t>
  </si>
  <si>
    <t>v_8874vqLm958</t>
  </si>
  <si>
    <t>A woman is seen on an elliptical trainer in an ad.</t>
  </si>
  <si>
    <t>Then we see the various components and options for using the machine.</t>
  </si>
  <si>
    <t>A woman scrolls through a digital screen, then is seen riding the elliptical.</t>
  </si>
  <si>
    <t>v_ZG4ApSk5iKw</t>
  </si>
  <si>
    <t>A man is doing various tasks while doing crunches.</t>
  </si>
  <si>
    <t>He raises the back on his work out machine and starts doing crunches again.</t>
  </si>
  <si>
    <t>He sits up and continues talking to the camera.</t>
  </si>
  <si>
    <t>v_FrVitupq7sQ</t>
  </si>
  <si>
    <t>Two men are seen standing on a tennis court holding rackets and speaking to the camera.</t>
  </si>
  <si>
    <t>Several slow motion scenes are shown performing a correct tennis serve with the men demonstrating right after.</t>
  </si>
  <si>
    <t>The men do this for several turns with one slow motion of a man performing the trick done afterwards.</t>
  </si>
  <si>
    <t>v_eUvvxpAK3_8</t>
  </si>
  <si>
    <t>A man is seen speaking to the camera and begins polishing a black shoe with a brush.</t>
  </si>
  <si>
    <t>He points around the shoe and flips the shoe around with his hands.</t>
  </si>
  <si>
    <t>v_HVmZOfkh8Pk</t>
  </si>
  <si>
    <t>A boy talks in a field, then he plays with a person using a stick to hit a ball.</t>
  </si>
  <si>
    <t>The boy throws the ball to the other boy and score.</t>
  </si>
  <si>
    <t>The boys talk in the field.</t>
  </si>
  <si>
    <t>v_AItKK-a8eEI</t>
  </si>
  <si>
    <t>We see people surfing in the ocean Two men are taking images.</t>
  </si>
  <si>
    <t>We see a title screen then two men stand on the beach with a camera.</t>
  </si>
  <si>
    <t>We see the surfers in the ocean.</t>
  </si>
  <si>
    <t>We see the third title screen and two men on the beach with a camera.</t>
  </si>
  <si>
    <t>We then see the surfers in the ocean.</t>
  </si>
  <si>
    <t>We see a man on a boat with a camera.</t>
  </si>
  <si>
    <t>We then see the closing title screen.</t>
  </si>
  <si>
    <t>v_7LhgGs4TrYA</t>
  </si>
  <si>
    <t>a man is seated, talking to the camera.</t>
  </si>
  <si>
    <t>He is wearing a suit and tie with a colorful background.</t>
  </si>
  <si>
    <t>He continues talking, using his hands as he goes.</t>
  </si>
  <si>
    <t>v_fruimvo90vA</t>
  </si>
  <si>
    <t>A woman is seen running down a long track and jumping into a pit.</t>
  </si>
  <si>
    <t>The camera watches her as she walks away and sticks her tongue out to another person.</t>
  </si>
  <si>
    <t>v__Yt94ffXcCE</t>
  </si>
  <si>
    <t>A boy welds a piece of metal in an indoor shop while wearing a protective coat, helmet, goggles and gloves.</t>
  </si>
  <si>
    <t>A boy in a shop talks to the camera while standing in front of a piece of metal and handling welding tools in preparation to weld.</t>
  </si>
  <si>
    <t>The boy begins to weld creating extreme sparks of fire like reactions in front of him over the material being welded.</t>
  </si>
  <si>
    <t>The boy shows a close up of the red hot tip of the tool, finishes welding, and pans the camera to another young boy dressed in the same protective welding gear behind him.</t>
  </si>
  <si>
    <t>v__AuJBnTClQ8</t>
  </si>
  <si>
    <t>Several close ups are shown of a razor that leads into a man shaving another's face.</t>
  </si>
  <si>
    <t>The man shows his face again with the shaver putting cream on and beginning to shave.</t>
  </si>
  <si>
    <t>The man uses various tools on the other to shave as well as speaks to the camera.</t>
  </si>
  <si>
    <t>v_iCveBOc8JzM</t>
  </si>
  <si>
    <t>A young lady shows a a beauty cream bottle.</t>
  </si>
  <si>
    <t>Then, the young girl puts cream on hrs finger and rubs her shoulder.</t>
  </si>
  <si>
    <t>v_v0NEZPgjcXI</t>
  </si>
  <si>
    <t>A video game for WWE professional wrestling starts, showing a three on one match.</t>
  </si>
  <si>
    <t>The player controlling Roman Reigns hits a big move on his opponent, and his team comes in for a big coordinated attack.</t>
  </si>
  <si>
    <t>v_S9KUHyvFuGc</t>
  </si>
  <si>
    <t>man is riding a horse inside a barn and with a rope catch a bull.</t>
  </si>
  <si>
    <t>man is standing on side of te barn.</t>
  </si>
  <si>
    <t>v_v7OW60YncY4</t>
  </si>
  <si>
    <t>A man is seen speaking to a camera and leads into he pouring liquid into a bowl and rubbing it into a wooden object.</t>
  </si>
  <si>
    <t>He then paints down the area with a brush and nails fabric to the back, creating a chair and having the camera pan down.</t>
  </si>
  <si>
    <t>v_z60D7p37Lws</t>
  </si>
  <si>
    <t>A woman spins a young boy in circles.</t>
  </si>
  <si>
    <t>The boy is holding a long stick and wearing a blindfold.</t>
  </si>
  <si>
    <t>The woman stops spinning the boy and aims him at a pinata hanging from the ceiling.</t>
  </si>
  <si>
    <t>The boy swings and hits the pinata once.</t>
  </si>
  <si>
    <t>He then swings and misses many times.</t>
  </si>
  <si>
    <t>The boy finally gives up and takes the blindfold off.</t>
  </si>
  <si>
    <t>A different woman walks in and stops near the pinata.</t>
  </si>
  <si>
    <t>v_eNq-jGrQuV0</t>
  </si>
  <si>
    <t>A small young boy is outside running across a green field,he then reappears wearing a green helmet and a stick in his hand that is shaped like a paddle.</t>
  </si>
  <si>
    <t>The boy then gathers with the rest of his team,they stand in a line, and begins scrimmaging against one another.</t>
  </si>
  <si>
    <t>As the game continues,the kids run back and forth across the field and the coaches trail behind them.</t>
  </si>
  <si>
    <t>v_l_36uVP3LnI</t>
  </si>
  <si>
    <t>A screen says triple jump on it.</t>
  </si>
  <si>
    <t>A man is standing in a field before running and jumping into a square of dirt.</t>
  </si>
  <si>
    <t>He walks away from the jump and talks to the camera.</t>
  </si>
  <si>
    <t>It is shown again in slow motion.</t>
  </si>
  <si>
    <t>v_-ux1hQSR1AM</t>
  </si>
  <si>
    <t>An athletic man dressed in blue approaches the gymnastic horse and stands there and stares at it for a few seconds.</t>
  </si>
  <si>
    <t>The man then approaches it and puts his two hands on it and begins doing various moves on it where he twists, turns and maneuvers his body very skillfully all around the gymnastic horse.</t>
  </si>
  <si>
    <t>The the man finishes the end of his routine and jumps off of the gymnastic horse landing on his two feet, holds his two arms up in the air, claps his hands once and then takes a bow.</t>
  </si>
  <si>
    <t>v_x7M1yRFtnxY</t>
  </si>
  <si>
    <t>People are running around obstacles playing a game of paintball.</t>
  </si>
  <si>
    <t>A boy looks around a corner and gets down on the ground.</t>
  </si>
  <si>
    <t>An American flag is shown on the screen.</t>
  </si>
  <si>
    <t>v_vF-XFROSmv4</t>
  </si>
  <si>
    <t>There's a man wearing a white colored vest and blue hard hat rowing in a yellow row boat with double sided oar.</t>
  </si>
  <si>
    <t>He is demonstrating the correct way to row the boat while staying afloat.</t>
  </si>
  <si>
    <t>He is in a water body that has some strong waves.</t>
  </si>
  <si>
    <t>He is showing how to do the strokes with the oars to go against the water current.</t>
  </si>
  <si>
    <t>He goes in circles as he demonstrates how to row against powerful waves.</t>
  </si>
  <si>
    <t>v_7ezC4N3ArmQ</t>
  </si>
  <si>
    <t>men are at sides of table playing beerpong.</t>
  </si>
  <si>
    <t>a man is sitting in a chair next to the table watching the men while are playing.</t>
  </si>
  <si>
    <t>the men are Accommodating the cups on the table.</t>
  </si>
  <si>
    <t>v_Marb8CMxPV0</t>
  </si>
  <si>
    <t>Various people are seen standing in an open area performing several tricks with their dogs.</t>
  </si>
  <si>
    <t>Many people watch on the sidelines and more people continue to show tricks with their dogs.</t>
  </si>
  <si>
    <t>Several people are interviewed by the camera and leads into even more tricks being shown.</t>
  </si>
  <si>
    <t>v_6ZUHLsyJ6yo</t>
  </si>
  <si>
    <t>A line of drummers play inside a superdome.</t>
  </si>
  <si>
    <t>Several bass drummers appear wearing jerseys.</t>
  </si>
  <si>
    <t>They all play a beat as people with cameras walk between them.</t>
  </si>
  <si>
    <t>v__gnMuU1UJnM</t>
  </si>
  <si>
    <t>A black screen appears with white words that read "SPORT BEZ BARIER CURLING NA WOZKACH".</t>
  </si>
  <si>
    <t>An ice cleaner is now riding on an ice rink, and then people on wheelchairs start wheeling onto the rink.</t>
  </si>
  <si>
    <t>A woman on a wheelchair begins speaking and the words on the screen say her name is "Agnieszka Kachel".</t>
  </si>
  <si>
    <t>The rink is shown again and it shows gray objects with colorful tops are being pushed on the ice with sticks that the people in wheelchairs are holding and it switches back and forth to the woman talking alone and to the people on the ice playing.</t>
  </si>
  <si>
    <t>A white outro screen appears with black letters that include a list of names, websites and logos.</t>
  </si>
  <si>
    <t>v_dXLhYjRSNcs</t>
  </si>
  <si>
    <t>A gymnast is seen climbing onto a set of uneven bars and performing a routine while many watch on the side.</t>
  </si>
  <si>
    <t>He performs various flips and tricks and ends by jumping down and putting his arms up.</t>
  </si>
  <si>
    <t>v_w_PJ9N8CMo8</t>
  </si>
  <si>
    <t>A man washes his face in front of a mirror.</t>
  </si>
  <si>
    <t>He laughs at the camera.</t>
  </si>
  <si>
    <t>He rubs his face some more.</t>
  </si>
  <si>
    <t>He bends into the sink to rinse it.</t>
  </si>
  <si>
    <t>v_iBpyYbLv1WU</t>
  </si>
  <si>
    <t>A man is strumming away on his guitar aggressively.</t>
  </si>
  <si>
    <t>Another man with a blue guitar is playing and knocking around all over his guitar.</t>
  </si>
  <si>
    <t>A man in a red shirt who has an electric guitar is tapping his foot keeping tempo and playing a tune.</t>
  </si>
  <si>
    <t>He plays up and down a scale or tune.</t>
  </si>
  <si>
    <t>v_azCsE98qwus</t>
  </si>
  <si>
    <t>A woman wearing a red outfit raises her hands and feet, alternating them in a slow and methodical fashion.</t>
  </si>
  <si>
    <t>She puts on a show on a stage, going back and forth fluidly.</t>
  </si>
  <si>
    <t>The woman turns in several different directions, providing different actions before standing straight and still as her finale.</t>
  </si>
  <si>
    <t>v_Z5lRHCRBA_E</t>
  </si>
  <si>
    <t>A black screen with white zooming text of a girls performance on the uneven bars.</t>
  </si>
  <si>
    <t>A gymnast strides to the uneven bars jumps off a board and grabs on to the bars and goes through her routine.</t>
  </si>
  <si>
    <t>There is text that appears on the screen describing what she has to do.</t>
  </si>
  <si>
    <t>She ends her routine and lands on the mat as the crowd cheers.</t>
  </si>
  <si>
    <t>A black screen with white text appears followed by the gymnasts score.</t>
  </si>
  <si>
    <t>v_IC-Rd7ouQmE</t>
  </si>
  <si>
    <t>A group of people are seen sitting on bikes and waiting before a track.</t>
  </si>
  <si>
    <t>A bar let's go and the men ride around a long track on the bikes behind one another.</t>
  </si>
  <si>
    <t>v_x3WVWHn3teI</t>
  </si>
  <si>
    <t>A man is seen standing in front of a bike speaking to the camera and leads into shots of him riding around.</t>
  </si>
  <si>
    <t>The man continues to speak to the camera as more shots are shown of him riding the dirt bike around a track.</t>
  </si>
  <si>
    <t>v__gO4UzCTqhk</t>
  </si>
  <si>
    <t>A woman is seen speaking to the camera in front of a large bush.</t>
  </si>
  <si>
    <t>The woman then uses a shovel along some dirt.</t>
  </si>
  <si>
    <t>The camera pans around the plant when she is finished.</t>
  </si>
  <si>
    <t>v_UIH5arBo3-Y</t>
  </si>
  <si>
    <t>An older man with glasses and gray hairs sits and sings as he plays the guitar.</t>
  </si>
  <si>
    <t>The man pauses for a second.</t>
  </si>
  <si>
    <t>The man finishes his song and stops.</t>
  </si>
  <si>
    <t>We see the ending title screen with a cat on it.</t>
  </si>
  <si>
    <t>v_cNCrFL2l83o</t>
  </si>
  <si>
    <t>A bald man is standing next to the counter with glass and stirrer in front of him.</t>
  </si>
  <si>
    <t>The man put ice in the glass, put clear liquid in the glass, added orange juice, he mix the contents as he pour the orange juice, then add red liquid that fell under the orange juice.</t>
  </si>
  <si>
    <t>v_FutaoYIC4Ok</t>
  </si>
  <si>
    <t>A young lady roller skate on the road in the forest.</t>
  </si>
  <si>
    <t>Then she arrives pass on front of an abandoned car.</t>
  </si>
  <si>
    <t>v_d1doBRc_hAM</t>
  </si>
  <si>
    <t>A man is seen riding on a treadmill followed by several images of the treadmill and a man taking pictures.</t>
  </si>
  <si>
    <t>A person undoes the machine and then rides on the machine and leads into more people taking pictures of the machine and people riding.</t>
  </si>
  <si>
    <t>v_LAU_pVRs9RQ</t>
  </si>
  <si>
    <t>Two men are sitting at the table with their arms on the table, they are positioned for arm wrestling.</t>
  </si>
  <si>
    <t>A in blue shirt is standing at the center holding both hands of the player.</t>
  </si>
  <si>
    <t>The man with the bear broke his arm after the other man push it down.</t>
  </si>
  <si>
    <t>v_iPPfX25MUQ0</t>
  </si>
  <si>
    <t>Tourists rides camels while people pull the camels with a rope.</t>
  </si>
  <si>
    <t>Men helps a couple to unload the camels and feed them.</t>
  </si>
  <si>
    <t>v_eD2SW7ibzmM</t>
  </si>
  <si>
    <t>Two men start dancing on a stage.</t>
  </si>
  <si>
    <t>They put their hands up next to their face.</t>
  </si>
  <si>
    <t>An album of a woman is shown on the screen.</t>
  </si>
  <si>
    <t>v_blCvgADz8LY</t>
  </si>
  <si>
    <t>A man bends down and picks up a large weight.</t>
  </si>
  <si>
    <t>He lifts it up over his head.</t>
  </si>
  <si>
    <t>He then drops it onto the ground.</t>
  </si>
  <si>
    <t>v_3792wPKkdXI</t>
  </si>
  <si>
    <t>a man and a woman are arm wrestling on top of a table in middle of stage and the woman wins.</t>
  </si>
  <si>
    <t>people are in stands around the stage watching the competition.</t>
  </si>
  <si>
    <t>v_tokwDYW6rS0</t>
  </si>
  <si>
    <t>A Howcast logo is the opening scene of the video.</t>
  </si>
  <si>
    <t>A woman is showing paintings of her work.</t>
  </si>
  <si>
    <t>An instructional slide is shown.</t>
  </si>
  <si>
    <t>The woman is explaining the materials used.</t>
  </si>
  <si>
    <t>She then describes the brushes she uses.</t>
  </si>
  <si>
    <t>She shows the paint pallet and various colors of paint.</t>
  </si>
  <si>
    <t>She explains the bottles of paint.</t>
  </si>
  <si>
    <t>She then instructs on how to clean the brushes with liquid and paper towels.</t>
  </si>
  <si>
    <t>The video ends with the same logo it started with.</t>
  </si>
  <si>
    <t>v_n04N7AuqZsY</t>
  </si>
  <si>
    <t>A group of girls in field hockey outfits walks onto a green field in a line.</t>
  </si>
  <si>
    <t>The girls are then seen in front of a male coach talking to them and pointing to spots on the field.</t>
  </si>
  <si>
    <t>Several girls are interviewed from the field and bleachers before and as video of the girls practicing field hockey are shown.</t>
  </si>
  <si>
    <t>The girls are then shown playing field hockey on a large green field interspersed with an interview from the coach.</t>
  </si>
  <si>
    <t>v_tww0AR8NanU</t>
  </si>
  <si>
    <t>man is standing talking to the camera showing a big metal piece.</t>
  </si>
  <si>
    <t>te man in the room is playing the harmonica.</t>
  </si>
  <si>
    <t>the man stops playing and keeps talking to the camera in a small white room.</t>
  </si>
  <si>
    <t>v_Scjxbdh6b54</t>
  </si>
  <si>
    <t>A white BMW 3 series is in a garage being cleaned by two men wearing safety jackets.</t>
  </si>
  <si>
    <t>Once the front is cleaned,the men move towards the back spraying the vehicle and come back to spray the rim and go back to the trunk to get all of the spots.</t>
  </si>
  <si>
    <t>v_1P_BTFhNZFo</t>
  </si>
  <si>
    <t>There are two girls wearing sparkly blue tank tops and black skirts doing a coordinated dance with sticks in their hands in a gym.</t>
  </si>
  <si>
    <t>They begin by facing their backs to the camera and break into a dance move by raising their sticks up in the air.</t>
  </si>
  <si>
    <t>Then they fling their sticks in the air and catch it and turn around to face the camera.</t>
  </si>
  <si>
    <t>They continue dancing in coordination by going in circles and twirling their bodies simultaneously.</t>
  </si>
  <si>
    <t>Then they do front flips together and continue twirling their bodies in circular motion.</t>
  </si>
  <si>
    <t>One of the dancers does a front flip while the other throws the stick in the air and catches it.</t>
  </si>
  <si>
    <t>They continue dancing as they fling their sticks and catch them in their hands as they coordinate themselves.</t>
  </si>
  <si>
    <t>After they're finished with the dancing, they stand together and wave to the camera.</t>
  </si>
  <si>
    <t>v_4WNso9fVJG8</t>
  </si>
  <si>
    <t>A woman with short hair is wearing an earphone and eyeglasses is showing two clips, then she clipped both sides of her hair, showed her blue and white contact lenses containers and removed her eyeglasses.</t>
  </si>
  <si>
    <t>She showed her hand, then showed a sclera lenses, and put it on her right eye pupil, went closer to the camera to show her eye, then removed the contact lens from her eye by pinching it.</t>
  </si>
  <si>
    <t>v_pT2fO9vlVn0</t>
  </si>
  <si>
    <t>A man is shown in a gym class leading at as the people step up and down on thier steppers.</t>
  </si>
  <si>
    <t>The man is very enthusiastically jumping up and down trying to keep the motivation going.</t>
  </si>
  <si>
    <t>He is very into it as is the class and they are dancing in sync with each other.</t>
  </si>
  <si>
    <t>They conclude the routine by clapping and celebrating their hard work.</t>
  </si>
  <si>
    <t>v_TZ9JbvClnZA</t>
  </si>
  <si>
    <t>A close up of a bowling lane is seen with a man standing in front.</t>
  </si>
  <si>
    <t>The man throws a ball down the lane and hits several pins.</t>
  </si>
  <si>
    <t>He finally walks back up the lane.</t>
  </si>
  <si>
    <t>v_TvlCdfubl9Y</t>
  </si>
  <si>
    <t>man wearing a green shirt is assembling a bicycle on the middle of a living room.</t>
  </si>
  <si>
    <t>another man wearing a blue sweater is helping the other man assembling the bicycles.</t>
  </si>
  <si>
    <t>men are assembling three bicycles on living room.</t>
  </si>
  <si>
    <t>v_8sTJGmY-SGQ</t>
  </si>
  <si>
    <t>A man is seen standing with his arms up and walks in between a set of uneven bars.</t>
  </si>
  <si>
    <t>The man then hopes up on the bars and begins spinning himself around.</t>
  </si>
  <si>
    <t>He continues spinning on the bars and ends by jumping down on the sides.</t>
  </si>
  <si>
    <t>v_5Chl3x_mx40</t>
  </si>
  <si>
    <t>The players are playing curling in an ice court.</t>
  </si>
  <si>
    <t>The players pushed the stone and two people are brushing the front of the stone until it reached the target.</t>
  </si>
  <si>
    <t>An Asian girl pushed the stone and the other girl is brushing the front of the stone until it hit other stones.</t>
  </si>
  <si>
    <t>v_gY-8BUnSgf4</t>
  </si>
  <si>
    <t>A Man is shown throwing a bowling ball down a lane.</t>
  </si>
  <si>
    <t>It then intercuts to a bunch of different throws of the ball towards the pins.</t>
  </si>
  <si>
    <t>A woman interview the professional bowler and put on an apparatus on his wrist.</t>
  </si>
  <si>
    <t>He then is shown gripping the ball and makes a throw in slow motion.</t>
  </si>
  <si>
    <t>This is shown several times from different angles.</t>
  </si>
  <si>
    <t>After a series of these action shots, the video then moves to a man speaking directly into the camera, with the logo of the show appearing as it ends.</t>
  </si>
  <si>
    <t>v_QNKjKB4k4D0</t>
  </si>
  <si>
    <t>A man on a horse goes through a rodeo fence.</t>
  </si>
  <si>
    <t>He dismounts, roping and tying a calf.</t>
  </si>
  <si>
    <t>When he is done, he walks back to his horse and gets back on.</t>
  </si>
  <si>
    <t>v_DlE6Rtuo__o</t>
  </si>
  <si>
    <t>A close up of a tattoo artist is seen drawing along a person's leg.</t>
  </si>
  <si>
    <t>The artist continues drawing all over the person's leg while looking up every once in a while to the camera.</t>
  </si>
  <si>
    <t>v_h1bdAd1cXSw</t>
  </si>
  <si>
    <t>A young child is seen walking to the end of a diving board and looking off into the camera.</t>
  </si>
  <si>
    <t>The boy then dives into the water and the camera captures him moving from underwater.</t>
  </si>
  <si>
    <t>v_wqThk38AdEA</t>
  </si>
  <si>
    <t>woman is standing in the middle of stage playing the flute.</t>
  </si>
  <si>
    <t>women are standing in sage behind the woman with the flute standing holding microphones.</t>
  </si>
  <si>
    <t>men are standing behind the women playing different instruments.</t>
  </si>
  <si>
    <t>v_nDggAkf1ulc</t>
  </si>
  <si>
    <t>There's a little girl in a pink shirt and black tights and pink shoes playing hop scotch in a playground.</t>
  </si>
  <si>
    <t>She jumps around on the colorful squares as she has fun.</t>
  </si>
  <si>
    <t>Then she goes around a small water fountain that is next to the hop scotch squares.</t>
  </si>
  <si>
    <t>She is enjoying herself running around in the playground.</t>
  </si>
  <si>
    <t>v_Tg1G0EtWw9s</t>
  </si>
  <si>
    <t>A man is seated at a black jack table.</t>
  </si>
  <si>
    <t>He is talking about the game and showing the cards and chips.</t>
  </si>
  <si>
    <t>He shows how to deal each hand, and how to dispense the chips to the winners.</t>
  </si>
  <si>
    <t>v_gtd2Ye-raxE</t>
  </si>
  <si>
    <t>A male gymnast hops up onto bars and begins performing a gymnastics routine.</t>
  </si>
  <si>
    <t>He swings around the bars over and over again while the judges watch and critique.</t>
  </si>
  <si>
    <t>The man eventually jumps off and the video fades away into an effect.</t>
  </si>
  <si>
    <t>v_fQDj7pnGdVY</t>
  </si>
  <si>
    <t>A man wearing boxing gloves is seen hitting a bag in an empty room.</t>
  </si>
  <si>
    <t>He continuously hits the bag over and over again while pausing in between punches to catch his breath.</t>
  </si>
  <si>
    <t>v_WlYhEPyLcBc</t>
  </si>
  <si>
    <t>Two couples play badminton in a court.</t>
  </si>
  <si>
    <t>A man enter in the court and goes to sit left the court with other person.</t>
  </si>
  <si>
    <t>v_h8cXVe6N6Oc</t>
  </si>
  <si>
    <t>There's a woman long black hair looking in a mirror and brushing her hair.</t>
  </si>
  <si>
    <t>There's another woman with blond hair that makes a face looking angry and disgusted.</t>
  </si>
  <si>
    <t>v_EsYsshh2CyA</t>
  </si>
  <si>
    <t>A bartender begins speaking to the camera and pours ice into a glass.</t>
  </si>
  <si>
    <t>She think instructs to mix rum and lemon juice into the glass and an ounce of different rum.</t>
  </si>
  <si>
    <t>Finally she mixes grenadine with some sweet and sour mix with soda water.</t>
  </si>
  <si>
    <t>Finally she mixes all the components together and creates a nice alcoholic beverage.</t>
  </si>
  <si>
    <t>v_Z3jo5hbPo1Q</t>
  </si>
  <si>
    <t>A young girl is standing on a stage in front of 4 judges that are sitting along a table and they are talking to her.</t>
  </si>
  <si>
    <t>The girl then begins her performance where she is dancing ballet and singing and when they pan to the judges and the audience they seem pleased with her performance.</t>
  </si>
  <si>
    <t>When the girl is done performing, she gets a standing ovation from the audience and some of the judges.</t>
  </si>
  <si>
    <t>The judges then take turns speaking with her expressing their approval, and the girl is very happy about it.</t>
  </si>
  <si>
    <t>The girl then runs off the stage and behind the curtains she gives a man who is possibly her dad, a kiss and a hug.</t>
  </si>
  <si>
    <t>v_FC5FsugGt8o</t>
  </si>
  <si>
    <t>A group of women are seen walking around a sandy area and begin playing a match of volleyball with one another.</t>
  </si>
  <si>
    <t>The girls continue playing the match while others watch on the sidelines and walk back slowly in the end.</t>
  </si>
  <si>
    <t>v_m210FwMsnTQ</t>
  </si>
  <si>
    <t>A girl does a balance beam routine and jumps around.</t>
  </si>
  <si>
    <t>After stretching, the woman does four flips.</t>
  </si>
  <si>
    <t>The woman dismounts and finishes the routine.</t>
  </si>
  <si>
    <t>v_oFtwNVuasmU</t>
  </si>
  <si>
    <t>On a river outside the boys are walking down the street as cars pass by.</t>
  </si>
  <si>
    <t>There are many people out doing many different activities on the water.</t>
  </si>
  <si>
    <t>Some of the boys do jumps off the bridge and other are riding behind a boat.</t>
  </si>
  <si>
    <t>it's a nice summer day to be out and enjoy fun in the sun by the water.</t>
  </si>
  <si>
    <t>v_fYQTAuBS7zw</t>
  </si>
  <si>
    <t>A guy shows you how to hold a small sharp ending stick in your hand and between your fingers to use as a weapon.</t>
  </si>
  <si>
    <t>The man shows you how to throw the sharp ended stick into the wall and make it stick from different distances.</t>
  </si>
  <si>
    <t>v_zKYqEsVfEnU</t>
  </si>
  <si>
    <t>Two men are seen standing together with one speaking to the camera and the other laying on the floor.</t>
  </si>
  <si>
    <t>The man kneels behind him and points to his body while the man laying door moves his arms and legs to demonstrate proper exercises.</t>
  </si>
  <si>
    <t>v_bj4nkWPdqIY</t>
  </si>
  <si>
    <t>A close up of a track is shown followed by a woman walking slowly away.</t>
  </si>
  <si>
    <t>Several shots are then shown of her performing long jumps in various places.</t>
  </si>
  <si>
    <t>She continues jumping in slow motion and ends with her landing in one last pit.</t>
  </si>
  <si>
    <t>v_Wm1CL_g91G4</t>
  </si>
  <si>
    <t>There's a lady in green sanding the counter giving out tickets to people who are purchasing them for snow tubing.</t>
  </si>
  <si>
    <t>Several people are out snow tubing down a snow caped slope.</t>
  </si>
  <si>
    <t>People are going downhill on their snow tubes wearing winter gear and goggles.</t>
  </si>
  <si>
    <t>Some of them are snow tubing in groups of threes.</t>
  </si>
  <si>
    <t>They are enjoying themselves coming down the slope rapidly.</t>
  </si>
  <si>
    <t>v_PXBcPu2_KOo</t>
  </si>
  <si>
    <t>An athlete climbs on the pommel horse to perform jumps and flips.</t>
  </si>
  <si>
    <t>The athlete flips backwards and then continues with her routine.</t>
  </si>
  <si>
    <t>The athlete stands on the border on the pommel horse and runs to jump, then flips and fall stand on the floor.</t>
  </si>
  <si>
    <t>v_dyLGepr7VR0</t>
  </si>
  <si>
    <t>Two men and a woman are seen walking up onto a stage while a group of people are seen behind them in mirrors.</t>
  </si>
  <si>
    <t>The three then perform a dance routine while the people in the audience follow from behind.</t>
  </si>
  <si>
    <t>The man pump up the crowd and continue dancing as the others follow along in the mirror.</t>
  </si>
  <si>
    <t>v_ShozMaLUS20</t>
  </si>
  <si>
    <t>Old man is raking leaves outside his home in the fall.</t>
  </si>
  <si>
    <t>Man is narrating the action.</t>
  </si>
  <si>
    <t>There is a bike parked next to the house.</t>
  </si>
  <si>
    <t>v_50MmJszF2XM</t>
  </si>
  <si>
    <t>A female coach and cheer director talks to the camera.</t>
  </si>
  <si>
    <t>She then spots a little girl through a backflip.</t>
  </si>
  <si>
    <t>She helps her do several different tasks, explaining the process as they go.</t>
  </si>
  <si>
    <t>v_7Ozl-ud1zTo</t>
  </si>
  <si>
    <t>A large group of people are seen standing on a beach looking off into the distance.</t>
  </si>
  <si>
    <t>Several shots are shown of people riding a surf board and others watching on the side.</t>
  </si>
  <si>
    <t>More people are seen riding the waves in various shots.</t>
  </si>
  <si>
    <t>v_7XGimCWcafc</t>
  </si>
  <si>
    <t>A large off-roading truck drives by along a dirt track next to a body of water and comes to a stop.</t>
  </si>
  <si>
    <t>Many spectators approach the vehicle, while the driver climbs out of the vehicle and attempts to remove a tire from the back of the truck.</t>
  </si>
  <si>
    <t>A worker and some assistants approaches the vehicle with a spare tire, and some men begin to jack up the rear of the truck to try to replace the rear passenger side tire.</t>
  </si>
  <si>
    <t>While the tire is being replaced, the driver climbs back into the truck, and a specator takes a picture of the vehicle.</t>
  </si>
  <si>
    <t>Other spectators come to the driver side to talk with the driver.</t>
  </si>
  <si>
    <t>The tire is replaced and the truck drives off.</t>
  </si>
  <si>
    <t>A detailed look at the tire that was replaced is shown.</t>
  </si>
  <si>
    <t>v_Uw_4gKpmAhI</t>
  </si>
  <si>
    <t>There are three contractors remodeling a house that is torn down for renovation.</t>
  </si>
  <si>
    <t>One of the contractors is cementing a brick wall.</t>
  </si>
  <si>
    <t>The other contractor is breaking an existing wall in the living room.</t>
  </si>
  <si>
    <t>The entire house is under renovation with furniture and boxes lying around the house with dust.</t>
  </si>
  <si>
    <t>v_5Q8ltS84BBg</t>
  </si>
  <si>
    <t>kid is sitting in a red room talkin to the camera.</t>
  </si>
  <si>
    <t>the kid grabs a guitar and start playing it and singing.</t>
  </si>
  <si>
    <t>kid is playing the guitar and talking to the camera in a small room.</t>
  </si>
  <si>
    <t>v_MOH9q_3Z9zg</t>
  </si>
  <si>
    <t>A little girl is shown in several images receiving a haircut.</t>
  </si>
  <si>
    <t>She is then shown in video form as her long hair is cut off in the style of a ponytail, meant to be donated to a group called Locks of Love.</t>
  </si>
  <si>
    <t>The girl is shown in various photos, holding the hair she is going to donate.</t>
  </si>
  <si>
    <t>v_J8Ziy8QR8WQ</t>
  </si>
  <si>
    <t>Guys throw balls on a field.</t>
  </si>
  <si>
    <t>A guy holds a few balls and talks.</t>
  </si>
  <si>
    <t>A man holding a flat bat walks across the field followed by a male holding one ball in each hand.</t>
  </si>
  <si>
    <t>Two men sit with one man holding a flat bat.</t>
  </si>
  <si>
    <t>Guys hit balls with the flat bat.</t>
  </si>
  <si>
    <t>v__9v34KLET0g</t>
  </si>
  <si>
    <t>A man is seen speaking to the camera behind a table with various ingredients and glasses laid out.</t>
  </si>
  <si>
    <t>The man mixes the ingredients into a glass together and juices a lime into the glass.</t>
  </si>
  <si>
    <t>He then pushes the ingredients around and pours liquids into the glass, creating an alcoholic drink.</t>
  </si>
  <si>
    <t>He presents the glass while the ingredients list is laid out and he walks away from the frame.</t>
  </si>
  <si>
    <t>v_n8gFxENOyR0</t>
  </si>
  <si>
    <t>A man is wearing a contraption which holds his small son on his back as he hikes in the woods.</t>
  </si>
  <si>
    <t>We see the boy playing in an indoor porch at the house.</t>
  </si>
  <si>
    <t>The boy runs into the yard and his dad puts a helmet on him and helps him skateboard.</t>
  </si>
  <si>
    <t>The dad skateboards and holds the boy.</t>
  </si>
  <si>
    <t>We then see the ending screen and switch to the boy sitting on a rock high five his dad and we return to the close screen.</t>
  </si>
  <si>
    <t>v_P4dx0xrr6fM</t>
  </si>
  <si>
    <t>An athlete walks onto a field.</t>
  </si>
  <si>
    <t>He spins in circles around a platform.</t>
  </si>
  <si>
    <t>He tosses a ball a great distance, and walks away.</t>
  </si>
  <si>
    <t>v_tuhEnqKmUKg</t>
  </si>
  <si>
    <t>There's a teenage boy wearing a black beanie hat skateboarding through the city streets.</t>
  </si>
  <si>
    <t>He skateboards wearing a white shirt while jumping over a small cement wall.</t>
  </si>
  <si>
    <t>Then he jumps over another wall while skateboarding.</t>
  </si>
  <si>
    <t>Then in a green shirt, he skateboards past a school, straight into a basketball court and then jumps over a metal railing.</t>
  </si>
  <si>
    <t>Then back in a white shirt, he tries stunts by jumping up to a metal hand rail on his skateboard.</t>
  </si>
  <si>
    <t>v_YAWoigyJ9sA</t>
  </si>
  <si>
    <t>A person is drinking from a coffee cup and looking away from the camera.</t>
  </si>
  <si>
    <t>His eyes pand up to the camera at the last second and he smiles.</t>
  </si>
  <si>
    <t>v_uWJUoJyvFF0</t>
  </si>
  <si>
    <t>A woman is sitting in a living room on a couch talking to the camera explaining what she is about to do.</t>
  </si>
  <si>
    <t>The camera pans down and the lady begins showing important aspects of the object she is knitting.</t>
  </si>
  <si>
    <t>When she is done,she grabs the needle,puts the thread in it and finishes knitting.</t>
  </si>
  <si>
    <t>v_0_GpcrCLdag</t>
  </si>
  <si>
    <t>First a boy is shown eating a thin waffle.</t>
  </si>
  <si>
    <t>then an elderly lady is shown drinking water from a small glass.</t>
  </si>
  <si>
    <t>Next there is a little boy shown dipping his hand into a parfait and then grabbing a spoon from another boy and then eating the parfait.</t>
  </si>
  <si>
    <t>Finally a boy is shown eating a spoonful of a milkshake from a glass that has waffles in it.</t>
  </si>
  <si>
    <t>v_Ygt3z-K-ZMQ</t>
  </si>
  <si>
    <t>Women mix a variety of alcoholic drinks for consumption.</t>
  </si>
  <si>
    <t>Steps are shown for a beautiful whiskey sour.</t>
  </si>
  <si>
    <t>v_tmBTO0cA_qw</t>
  </si>
  <si>
    <t>A man stands in front of a counter with his hands down in front of equipment.</t>
  </si>
  <si>
    <t>He uses the surface to rub a knife blade back and forth, sharpening it.</t>
  </si>
  <si>
    <t>When he is done, he checks the blade before lying the knife back down.</t>
  </si>
  <si>
    <t>v_o7z-u08tc-Y</t>
  </si>
  <si>
    <t>A small group of people are seen holding onto a rope and playing tug of war.</t>
  </si>
  <si>
    <t>The camera pans around the other team playing with the group while others watch on the side.</t>
  </si>
  <si>
    <t>The people continue playing back and fourth and end by smiling to the camera.</t>
  </si>
  <si>
    <t>v_W0dCIs9Y8yg</t>
  </si>
  <si>
    <t>The camera follows a small child on skis as he or she maneuvers past a crowd of people.</t>
  </si>
  <si>
    <t>The child skis down a slope with other people at various points along the trail.</t>
  </si>
  <si>
    <t>The child stops as the cameraperson approaches.</t>
  </si>
  <si>
    <t>v_R2qPyJVTUlI</t>
  </si>
  <si>
    <t>Women are dressed up in fancy clothing.</t>
  </si>
  <si>
    <t>A woman is putting something onto another woman's body.</t>
  </si>
  <si>
    <t>v_T8nteSe3U9Q</t>
  </si>
  <si>
    <t>A man and a woman stand outside while he sprays her with sunblock.</t>
  </si>
  <si>
    <t>They are both laughing and having a good time.</t>
  </si>
  <si>
    <t>She turns around so he can get her back thoroughly as they both playfully flirt with each other.</t>
  </si>
  <si>
    <t>He starts to spray her and she gives him directions as to where he missed applying it.</t>
  </si>
  <si>
    <t>She then turns around for him to get her arms, face and any of the other areas that he missed.</t>
  </si>
  <si>
    <t>v_OLRDf3vO8lw</t>
  </si>
  <si>
    <t>Family day at the beach, father and son are walking around and then they start to play in the sand.</t>
  </si>
  <si>
    <t>They have a sand in buckets trying to build sand castles.</t>
  </si>
  <si>
    <t>When they take the bucket up the sand isn't very stable at all.</t>
  </si>
  <si>
    <t>The little boy goes and kick down all the castle parts that they were creating.</t>
  </si>
  <si>
    <t>v_gvHQDDF7EGU</t>
  </si>
  <si>
    <t>A man is seen playing a saxophone and transitions from various locations of the person playing the instrument.</t>
  </si>
  <si>
    <t>The man is then seen side by side with himself and more shots of him playing in a room.</t>
  </si>
  <si>
    <t>v_30y8Uy0B_uk</t>
  </si>
  <si>
    <t>A man is hanging on a rock wall and talking to the camera.</t>
  </si>
  <si>
    <t>The man swings back and fourth and how to keep your balance when rock climbing.</t>
  </si>
  <si>
    <t>He begins climbing up the wall and talking about keeping straight arms.</t>
  </si>
  <si>
    <t>He continues climbing up the wall and where to position your feet and how to push.</t>
  </si>
  <si>
    <t>He finally makes it to the top of the rock wall and faces the camera.</t>
  </si>
  <si>
    <t>v_YED3l3gkrk4</t>
  </si>
  <si>
    <t>A tutorial is given on how to make a perfect french manicure.</t>
  </si>
  <si>
    <t>An advertisement is shown at the end.</t>
  </si>
  <si>
    <t>v_RGVDeXqN1ao</t>
  </si>
  <si>
    <t>A woman dressed in a black shirt representing the company Bents is standing in a garden and demonstrating how to use Cellophane to wrap a plant for gift purposes.</t>
  </si>
  <si>
    <t>She cuts a rectangular piece of the Cellophane and place the pot over it in the center.</t>
  </si>
  <si>
    <t>Then she brings to together the edges of the Cellophane towards the top of the plant.</t>
  </si>
  <si>
    <t>She takes a decorate piece of ribbon to tie the scrunched up cellophane together to make it look like a bow on top.</t>
  </si>
  <si>
    <t>v_vBdm15wRqig</t>
  </si>
  <si>
    <t>Boys get out a train and walk in the street holding surfboards.</t>
  </si>
  <si>
    <t>They, the boys surf in a choppy river in a city.</t>
  </si>
  <si>
    <t>A boy put his surfboard on the rives,jump on and surf, then fell, also other boys surf.</t>
  </si>
  <si>
    <t>After, the boys are inside a train.</t>
  </si>
  <si>
    <t>v_ysbUc6WS12k</t>
  </si>
  <si>
    <t>There's a bon fire lit in an open ground next to some tents and bikes.</t>
  </si>
  <si>
    <t>There's a person dressed in a biker's suit who comes up and sets fire to a pile of wood sticks.</t>
  </si>
  <si>
    <t>The fire begins to spread through the twigs and wood sticks and bursts into large flames.</t>
  </si>
  <si>
    <t>v_-YjGbsbDoxs</t>
  </si>
  <si>
    <t>A lady named Linda, creator of Paint Along is demonstrating how to do an acrylic painting.</t>
  </si>
  <si>
    <t>She starts with a one inch flat brush and yellow and white acrylic paint.</t>
  </si>
  <si>
    <t>She makes X patterns across the canvas with the yellow color.</t>
  </si>
  <si>
    <t>She continues the same pattern on the top part of the canvas.</t>
  </si>
  <si>
    <t>Then she draws straight lines across the canvas with an orange color.</t>
  </si>
  <si>
    <t>She then takes a liner brush to do some finer detailing on the painting such as branches of a tree.</t>
  </si>
  <si>
    <t>She takes a flatter brush to demonstrate a dabbing technique with excess paint to show flower petals.</t>
  </si>
  <si>
    <t>She ends the video with the abstract painting technique.</t>
  </si>
  <si>
    <t>v_jdAJ7cJBxnQ</t>
  </si>
  <si>
    <t>We see a man in a pool playing a game while a man in white stands on the sideline waving his arm.</t>
  </si>
  <si>
    <t>The ball is thrown and the goalie in front of the net jumps to stop the ball.</t>
  </si>
  <si>
    <t>The goalie then dips deep underwater.</t>
  </si>
  <si>
    <t>v_hHpcr5tYWso</t>
  </si>
  <si>
    <t>An Asian woman with black hair in beige jacket and printed blouse, is talking in front of the camera.</t>
  </si>
  <si>
    <t>Four black and white kites with blue and yellow diamond print on them are flying from the ground, a green octopus, dragons and other shapes of kites are flying in the sky, while men in red pull the kites.</t>
  </si>
  <si>
    <t>v_r5NqGSZsN0E</t>
  </si>
  <si>
    <t>A young woman is shown sitting down and speaking to the camera white holding a shirt.</t>
  </si>
  <si>
    <t>She ties the shirt around her arm and dips it into the water and scrubs it with her hands.</t>
  </si>
  <si>
    <t>v_bF55ewgaJLA</t>
  </si>
  <si>
    <t>A man is seated in a chair, holding a saxophone.</t>
  </si>
  <si>
    <t>He stands as he plays, his fingers moving up and down the instrument.</t>
  </si>
  <si>
    <t>The screen cuts to black and white text.</t>
  </si>
  <si>
    <t>v_hZD-CjWt0Rg</t>
  </si>
  <si>
    <t>A player's stats show on the screen.</t>
  </si>
  <si>
    <t>Montages of several indoor soccer games show.</t>
  </si>
  <si>
    <t>The stats of the player are shown again.</t>
  </si>
  <si>
    <t>v_8H3Wy96BwHM</t>
  </si>
  <si>
    <t>We see numbers slots on asphalt.</t>
  </si>
  <si>
    <t>We then see kids riding BMX bikes cut with scenes of other things.</t>
  </si>
  <si>
    <t>We see kids talking to the camera.</t>
  </si>
  <si>
    <t>We see a gate open and kids start riding.</t>
  </si>
  <si>
    <t>We see a coach standing with kids.</t>
  </si>
  <si>
    <t>We see another coach standing with kids.</t>
  </si>
  <si>
    <t>We see kids pass the finish line.</t>
  </si>
  <si>
    <t>We see the emblem on the screen with kids sitting on their bikes.</t>
  </si>
  <si>
    <t>We then see the close screen.</t>
  </si>
  <si>
    <t>v_OCQ9OyMKQKw</t>
  </si>
  <si>
    <t>A man wearing a hat is standing outside.</t>
  </si>
  <si>
    <t>He picks up a chainsaw off of the ground.</t>
  </si>
  <si>
    <t>He begins to chop down a bush next to him.</t>
  </si>
  <si>
    <t>v_YKzVHb16eUk</t>
  </si>
  <si>
    <t>There are a bunch of children standing around a table and the main focus is a boy who is cutting stuff on a blue tray.</t>
  </si>
  <si>
    <t>The boy walks away from the tray and an adult starts cutting.</t>
  </si>
  <si>
    <t>The adult stops cutting and another boy begins to cut the objects very slowly,the adult interrupts the child to demonstrate how to cut and the child walks away.</t>
  </si>
  <si>
    <t>v__f0S0vQZ9JM</t>
  </si>
  <si>
    <t>Two people are seen speaking to the camera followed by several drinks laid out.</t>
  </si>
  <si>
    <t>The people then begin mixing ingredients with one another and speaking to one another.</t>
  </si>
  <si>
    <t>The people continue mixing drinks with one another and presenting them to the camera.</t>
  </si>
  <si>
    <t>v_2gc5VDx2xY8</t>
  </si>
  <si>
    <t>There is a man on a horse waiting for the time to get going to start.</t>
  </si>
  <si>
    <t>Once the gates open a cow starts running and the man on the horse chases after it with a tassel.</t>
  </si>
  <si>
    <t>He swings the tassel in the air a few times and throws it catching the cow and then tying him down.</t>
  </si>
  <si>
    <t>There is an audience in the stands watching the man do this and there is another man on a different horse at the side waiting.</t>
  </si>
  <si>
    <t>v_lJeJ2LFna5o</t>
  </si>
  <si>
    <t>A crowd gathers watching a volleyball game.</t>
  </si>
  <si>
    <t>A volleyball player hits the ball.</t>
  </si>
  <si>
    <t>The player's teammate also hits the ball.</t>
  </si>
  <si>
    <t>The player hits the ball three more times.</t>
  </si>
  <si>
    <t>The players teammate hits the ball.</t>
  </si>
  <si>
    <t>The other player hits the ball over the net.</t>
  </si>
  <si>
    <t>The ball returns and one of the players hits the ball.</t>
  </si>
  <si>
    <t>The players teammate dives to hit the ball.</t>
  </si>
  <si>
    <t>The other player hits the ball to the other team.</t>
  </si>
  <si>
    <t>The ball returns and one of the players hits the ball out of bounds.</t>
  </si>
  <si>
    <t>v_aw89asgFHbs</t>
  </si>
  <si>
    <t>A girl does flips across a mat.</t>
  </si>
  <si>
    <t>The mat is black and red.</t>
  </si>
  <si>
    <t>Several girls watch her and clap.</t>
  </si>
  <si>
    <t>She then does some backflips.</t>
  </si>
  <si>
    <t>v_B2HIj_QWaG0</t>
  </si>
  <si>
    <t>A woman is playing a violin on the street while various people walk around here and behind her.</t>
  </si>
  <si>
    <t>She smiles into the camera while playing and continues playing the song while several people bend down to tip her and walk around her.</t>
  </si>
  <si>
    <t>v_Tv3v-UpBJ2Y</t>
  </si>
  <si>
    <t>A small group of people are seen standing on a field holding onto a rope.</t>
  </si>
  <si>
    <t>A man stands in front as the group begins pulling the rope to one side.</t>
  </si>
  <si>
    <t>The people continue pulling until one falls down afterwards.</t>
  </si>
  <si>
    <t>v_N_FbnDY_2j8</t>
  </si>
  <si>
    <t>A person ski on the pent of a hill covered with snow.</t>
  </si>
  <si>
    <t>Then, the person arrives to a flat area where there are four people.</t>
  </si>
  <si>
    <t>v_hXBeu7o9uUM</t>
  </si>
  <si>
    <t>A man is standing in a room holding a large instrument.</t>
  </si>
  <si>
    <t>He begins to play the instrument behind a microphone.</t>
  </si>
  <si>
    <t>A man in a green shirt is talking into a microphone.</t>
  </si>
  <si>
    <t>v_a9ItMklOTyE</t>
  </si>
  <si>
    <t>It looks like this is an arabic language that is being written or something.</t>
  </si>
  <si>
    <t>Then on a field there is men playing a game throwing the ball.</t>
  </si>
  <si>
    <t>Some coaches are walking around with hats to keep the sun out of their eyes.</t>
  </si>
  <si>
    <t>The game looks pretty intense, one man puts all of his might into one of the throws he make.</t>
  </si>
  <si>
    <t>v_Yp-NJgTAOCc</t>
  </si>
  <si>
    <t>The scene comes into focus showing the outside of a building, with some text at the bottom that says it is a school for breakdancing.</t>
  </si>
  <si>
    <t>A man is doing some paperwork while some other men are standing in the background next to a projector screen.</t>
  </si>
  <si>
    <t>A large number of kids inside a gym are practicing breakdancing.</t>
  </si>
  <si>
    <t>The kids are inside a classroom watching a presentation by the man seen earlier.</t>
  </si>
  <si>
    <t>The kids are seen once again inside the gym practicing their breakdancing moves.</t>
  </si>
  <si>
    <t>The screen goes black and a graphic appears on screen showing the company's logo and youtube channel information.</t>
  </si>
  <si>
    <t>v_qlbuekEsXL4</t>
  </si>
  <si>
    <t>A boy on a horse is released from a gate.</t>
  </si>
  <si>
    <t>He ropes a calf, dragging it to the ground.</t>
  </si>
  <si>
    <t>He dismounts, tying the calf with rope before getting back on his horse.</t>
  </si>
  <si>
    <t>v_UAgb3FEjBN8</t>
  </si>
  <si>
    <t>An intro leads into a small child riding a dirt bike on a dirt path.</t>
  </si>
  <si>
    <t>Several shots of the boy grown up are shown followed by more footage of the boy riding a dirt bike.</t>
  </si>
  <si>
    <t>v_iiyYRmc1YiA</t>
  </si>
  <si>
    <t>We see a crowd of people watching an event.</t>
  </si>
  <si>
    <t>The men fiddle with a metal handle.</t>
  </si>
  <si>
    <t>They hold hands in preparation for the match and the judge touches their hands.</t>
  </si>
  <si>
    <t>The men begin their arm wrestling match, and the guy on the right wins.</t>
  </si>
  <si>
    <t>The guys shake hands and hug.</t>
  </si>
  <si>
    <t>We see a shot of one of the contestants.</t>
  </si>
  <si>
    <t>v_517rgTzIobE</t>
  </si>
  <si>
    <t>Two men are playing racket ball in an indoor court.</t>
  </si>
  <si>
    <t>The two men, one in black and the other in a red shirt playing racket ball against each other.</t>
  </si>
  <si>
    <t>The man in black begins the first serve and the man in the red shirt returns his serve.</t>
  </si>
  <si>
    <t>They continue playing racket ball.</t>
  </si>
  <si>
    <t>Then the same players play racket ball on a different occasion wearing black and the other wearing a yellow shirt.</t>
  </si>
  <si>
    <t>They continue serving and hitting the ball against the wall.</t>
  </si>
  <si>
    <t>They play several rounds on the game.</t>
  </si>
  <si>
    <t>They are back again in the red and black shirts playing racket ball.</t>
  </si>
  <si>
    <t>They run to hit and the ball served by the opponent as they continue to play.</t>
  </si>
  <si>
    <t>v_mkF3Rlj3JSs</t>
  </si>
  <si>
    <t>A girl gives tips on how to brush your hair with a round brush.</t>
  </si>
  <si>
    <t>She strokes the hair in front of her, covering her face.</t>
  </si>
  <si>
    <t>She flips her hair up and then finishes what she needs to do.</t>
  </si>
  <si>
    <t>v_t04jE7d0Obw</t>
  </si>
  <si>
    <t>We see a man give a lady a rose.</t>
  </si>
  <si>
    <t>The man and the woman then perform a dance in front of a crowd.</t>
  </si>
  <si>
    <t>35 The man spins the lady making her dress flounce and looks at her chest.</t>
  </si>
  <si>
    <t>The dance repeats over and over again many times.</t>
  </si>
  <si>
    <t>The man bends the woman forward looking at her chest two times and almost puts his hand on her neck.</t>
  </si>
  <si>
    <t>v_bVMxBXeYMr0</t>
  </si>
  <si>
    <t>A black man caresses his beard and face in a loving way.</t>
  </si>
  <si>
    <t>The black man uses a clipper trimmer to trim his beard and face.</t>
  </si>
  <si>
    <t>The black man attaches an orange attachment to the clippers and continues trimming his beard.</t>
  </si>
  <si>
    <t>The black man washes his face and beard and displays an array of accessories and applies them to his face and beard.</t>
  </si>
  <si>
    <t>v_Gr5jGxLEp70</t>
  </si>
  <si>
    <t>A large group of people are seen wandering around a festival with shots of people speaking are shown as well as playing crochet.</t>
  </si>
  <si>
    <t>More people are seen playing the game as several others watch on the sidelines and critique.</t>
  </si>
  <si>
    <t>v_5Bo0gFXxDQk</t>
  </si>
  <si>
    <t>A person wearing a blue shirt is sitting on the floor welding.</t>
  </si>
  <si>
    <t>He is wearing protective gear to cover his face and eyes.</t>
  </si>
  <si>
    <t>He also has protective gloves on that are brown in color.</t>
  </si>
  <si>
    <t>He continues welding a long metal rod with welding tool directed towards the rod.</t>
  </si>
  <si>
    <t>v_s2PFIKG5PYI</t>
  </si>
  <si>
    <t>A large piece of machinery is seen sitting in a room.</t>
  </si>
  <si>
    <t>A robot arm then moves into frame attempting to push things around.</t>
  </si>
  <si>
    <t>The robot fails and pulls it's arm back in.</t>
  </si>
  <si>
    <t>v_iOpoR0UeJNg</t>
  </si>
  <si>
    <t>The scene transitions to various people training in gymnastics.</t>
  </si>
  <si>
    <t>Two women are interviewed on camera sequentially.</t>
  </si>
  <si>
    <t>The scene transitions to more gymnastic practice segments.</t>
  </si>
  <si>
    <t>v_2U_BUV8PLtk</t>
  </si>
  <si>
    <t>A pair of handlebars are detached from the bike and is laying down flat on a table.</t>
  </si>
  <si>
    <t>The man then picks up the handlebars and sticks them back into the bike tightening them with a key.</t>
  </si>
  <si>
    <t>v_toS-_4Ik5us</t>
  </si>
  <si>
    <t>A person is seen dealing cards as well as several shots of a casino table and poker chips being dealt.</t>
  </si>
  <si>
    <t>A band is playing, a person is seen smoking a cigarette, as well as people bartending and speaking to one another.</t>
  </si>
  <si>
    <t>In the end more people are seen enjoying the casino and moving around.</t>
  </si>
  <si>
    <t>v_tbOIyG1RCUI</t>
  </si>
  <si>
    <t>A blindfolded man wearing boxing gloves is seen hitting a punching bag while many watch him on the sides.</t>
  </si>
  <si>
    <t>He continues punching when a person on the roof pulls the bag up higher.</t>
  </si>
  <si>
    <t>v_UIZkQUo8VtA</t>
  </si>
  <si>
    <t>A truck is seen parked in front of a house with several shots of the house shown.</t>
  </si>
  <si>
    <t>A man is then seen standing on the roof hosing down the top and again standing in front of the house watering.</t>
  </si>
  <si>
    <t>The camera shows the truck parked out front again and the final product of the roof.</t>
  </si>
  <si>
    <t>v_8gKV8f3qSOg</t>
  </si>
  <si>
    <t>A woman in a purple dress is seated, speaking to the camera.</t>
  </si>
  <si>
    <t>She is shown massaging cream into her face, then rinsing it off with water and patting dry with a towel.</t>
  </si>
  <si>
    <t>She then speaks to the camera again.</t>
  </si>
  <si>
    <t>v_A-Oz6mBBBZQ</t>
  </si>
  <si>
    <t>Three girls are sitting on the beach, making a mound with sand and water.</t>
  </si>
  <si>
    <t>They use a bowl to form a mold.</t>
  </si>
  <si>
    <t>v_aHzNMe-VKfE</t>
  </si>
  <si>
    <t>A little boy is in the house playing in his shirt and diaper.</t>
  </si>
  <si>
    <t>He has a little hockey stick and he is using it to swing at a rolling back.</t>
  </si>
  <si>
    <t>The ball keeps coming toward him and he keeps swinging trying to hit it.</t>
  </si>
  <si>
    <t>He is having a lot of fun and staying entertained playing inside alone.</t>
  </si>
  <si>
    <t>v_xgIxKDm9M38</t>
  </si>
  <si>
    <t>The man walks out from his house and opens his car door on a snowy day.</t>
  </si>
  <si>
    <t>The man lifts up the windshield wipers of his car.</t>
  </si>
  <si>
    <t>The man uses a house broom to sweep snow off of his car.</t>
  </si>
  <si>
    <t>The dog plays with the owners.</t>
  </si>
  <si>
    <t>The man gets in his car and backs it towards the house into a parking spot.</t>
  </si>
  <si>
    <t>v_vFRSso8WQfY</t>
  </si>
  <si>
    <t>A woman is standing in a kitchen at the island in front of a blender and various ingredients.</t>
  </si>
  <si>
    <t>She places apples and sugar into the blender with ice, and blends them together.</t>
  </si>
  <si>
    <t>She then pours the mixture into two glasses while she continues talking.</t>
  </si>
  <si>
    <t>v_USCVBB97pOc</t>
  </si>
  <si>
    <t>A man has a tool he uses to trim cat claws, he messes around with it a little bit and then he gets up to find his cat.</t>
  </si>
  <si>
    <t>He pets the cat a little bit as to not make it so suspicious and scared.</t>
  </si>
  <si>
    <t>He gets the kitty in a good position and starts feeling for her claws and one by one starts to clip them.</t>
  </si>
  <si>
    <t>Then he moves her the other arms and pets her some more, showing the difference between her clawed and declawed nails.</t>
  </si>
  <si>
    <t>v_MhO48WnApoM</t>
  </si>
  <si>
    <t>There are people standing on a frozen body of water and are looking into a small hole that has a fishing wire in it and they watch it as it bobs up and down.</t>
  </si>
  <si>
    <t>The standing man pulls the pole and wire up higher and the man kneeling on the ice pulls the fish out of the ice water and puts it onto the ice.</t>
  </si>
  <si>
    <t>Another man takes a picture of the fish, the kneeling man unhooks it and the standing man picks it up, holds it by its gills and poses with it.</t>
  </si>
  <si>
    <t>v_LvbM6zv8XVc</t>
  </si>
  <si>
    <t>People are dancing on the beach.</t>
  </si>
  <si>
    <t>A woman is laying down on a red towel.</t>
  </si>
  <si>
    <t>A man is laying on a green towel.</t>
  </si>
  <si>
    <t>Two dogs are next to them on the beach.</t>
  </si>
  <si>
    <t>v_IV5llWEEfAw</t>
  </si>
  <si>
    <t>A sailboat sails through rough waters in the ocean.</t>
  </si>
  <si>
    <t>The skipper is seen manning the steering wheel at the back of the boat.</t>
  </si>
  <si>
    <t>The mast of the ship is seen in full view.</t>
  </si>
  <si>
    <t>v_o00AfbAIOlA</t>
  </si>
  <si>
    <t>The boy is opening the box.</t>
  </si>
  <si>
    <t>He then removes the bike.</t>
  </si>
  <si>
    <t>He is removing the packaging.</t>
  </si>
  <si>
    <t>He is assembling the bike.</t>
  </si>
  <si>
    <t>We see images of the bike.</t>
  </si>
  <si>
    <t>The Subscribe page shows up.</t>
  </si>
  <si>
    <t>v_g6tF83rCXh0</t>
  </si>
  <si>
    <t>A female weight lifter is preparing to lift a barbell.</t>
  </si>
  <si>
    <t>She lifts with her knees, raising the bar to her chest.</t>
  </si>
  <si>
    <t>She then stands, lifting it over her head before dropping the barbell back to the ground.</t>
  </si>
  <si>
    <t>v_okC18bPTils</t>
  </si>
  <si>
    <t>The man is standing above water before he goes scuba diving.</t>
  </si>
  <si>
    <t>He's underwater along with a few other people where there's shells and rocks in the sand.</t>
  </si>
  <si>
    <t>There is also wooden logs and small lobsters crawling around.</t>
  </si>
  <si>
    <t>v_JBnL0T2XzGs</t>
  </si>
  <si>
    <t>A group is playing ice hockey for fun in an indoor rink as a man speaks to the camera.</t>
  </si>
  <si>
    <t>Two women sweep, fighting over the puck, as a woman talks to the camera.</t>
  </si>
  <si>
    <t>v_FGKdmKX1z64</t>
  </si>
  <si>
    <t>A man is seen speaking to the camera wearing a microphone and begins wiping down a window.</t>
  </si>
  <si>
    <t>He uses several tools and objects to clean the glass and continues wiping down while looking at the camera.</t>
  </si>
  <si>
    <t>v_8EyYHnijfnI</t>
  </si>
  <si>
    <t>A woman sits in a chair.</t>
  </si>
  <si>
    <t>Another woman puts something up her nose.</t>
  </si>
  <si>
    <t>She then pierces it with a needle.</t>
  </si>
  <si>
    <t>She puts a piece of jewelry on it next.</t>
  </si>
  <si>
    <t>v_yjd9UOJdes8</t>
  </si>
  <si>
    <t>A girl is shown speaking to the camera as well as dancing and then is seen playing the violin.</t>
  </si>
  <si>
    <t>She plays the instrument while dancing at the same time and ends with her speaking to the camera.</t>
  </si>
  <si>
    <t>v_pULb9WvZwU4</t>
  </si>
  <si>
    <t>Multiple men are loaded onto a crane boom bucket.</t>
  </si>
  <si>
    <t>When three men are safely aboard, the crane begins to lift them up in the air slowly.</t>
  </si>
  <si>
    <t>Once they reach the top of the crane, the view switches and they can be seen looking over the landscape.</t>
  </si>
  <si>
    <t>The man that is preparing to bungee jump is at the edge of the boom looking around nervously.</t>
  </si>
  <si>
    <t>One at a time the men jump out of the boom and hang above a small body of water.</t>
  </si>
  <si>
    <t>There certificate of accomplishment ends the video.</t>
  </si>
  <si>
    <t>v_DPsa28MmdoI</t>
  </si>
  <si>
    <t>The words "The Shotover River In Flood" appear on screen.</t>
  </si>
  <si>
    <t>First person video shows a raft full of people heading down and extremely rough river in-between rocky cliffs.</t>
  </si>
  <si>
    <t>The words "Big thanks to River Guide J-Rod" appear on screen.</t>
  </si>
  <si>
    <t>v_JqFFXs0RAnI</t>
  </si>
  <si>
    <t>A person competes solving a cube puzzle behind a chronometer, while a woman takes notes and watch the person.</t>
  </si>
  <si>
    <t>The person solves the puzzle, then he stands, raise his arms and walk.</t>
  </si>
  <si>
    <t>The person shake hands with people in the room.</t>
  </si>
  <si>
    <t>Suddenly, the person runs making thumps up and pose for a picture.</t>
  </si>
  <si>
    <t>v_eypKc4FyZ2s</t>
  </si>
  <si>
    <t>A boy with a gardening pot is watering her bush outside in the yard.</t>
  </si>
  <si>
    <t>He and another boy get together and the other boy begins to start playing croquet while he talks.</t>
  </si>
  <si>
    <t>Another taller boy comes and joins them and talks about the game.</t>
  </si>
  <si>
    <t>Then, They start to hit balls rying to make it through the obstacles.</t>
  </si>
  <si>
    <t>v_ReOsTqcQBmY</t>
  </si>
  <si>
    <t>Three people are jumping rope and doing tricks.</t>
  </si>
  <si>
    <t>Other people sit and stand at tables in the background and watch or film the jump ropers.</t>
  </si>
  <si>
    <t>Four different people are now jumping rope and doing tricks.</t>
  </si>
  <si>
    <t>Another group of three people shows off their jump rope skills.</t>
  </si>
  <si>
    <t>Another group of three in red shorts jumps rope.</t>
  </si>
  <si>
    <t>People in the background walk around.</t>
  </si>
  <si>
    <t>A group of four girls jump rope.</t>
  </si>
  <si>
    <t>The first group of people jumps rope with a fourth person.</t>
  </si>
  <si>
    <t>A different group of four in red and black jump rope.</t>
  </si>
  <si>
    <t>A different team of jump ropers watches in the background.</t>
  </si>
  <si>
    <t>A team of four in black and yellow jump rope.</t>
  </si>
  <si>
    <t>v_IKeV3kdX-_I</t>
  </si>
  <si>
    <t>A cowboy in a horse ran towards the field and chase a cattle.</t>
  </si>
  <si>
    <t>The cowboy got off the horse and chase after the cattle, when he catched the cattle he tied the cattle.</t>
  </si>
  <si>
    <t>v_G7zChU3ma0M</t>
  </si>
  <si>
    <t>A man is standing in front of a lane with his legs spread apart, and then another man goes to roll a bowling ball between his legs and he does so, but he accidentally hits his fist into the man's private parts and they both begin to laugh.</t>
  </si>
  <si>
    <t>A blue screen appears and text on the screen appears and say's "Bowling Fails FailCorporation".</t>
  </si>
  <si>
    <t>Various clips of various different people falling while trying to roll the ball, laughing, and even accidentally throwing the ball into the ceiling plays.</t>
  </si>
  <si>
    <t>A blue screen appears with logos, and text that say "FailCorporation Subscribe Next video" appear.</t>
  </si>
  <si>
    <t>v_jCVi9xt3GUY</t>
  </si>
  <si>
    <t>A woman is washing dishes with soap and a scrub in her kitchen sink.</t>
  </si>
  <si>
    <t>She takes the scrub that is soaked in liquid soap and scrubs it on the bowl to thoroughly clean it.</t>
  </si>
  <si>
    <t>She places the plates and bowls on top of each other in the sink as she washes them.</t>
  </si>
  <si>
    <t>v_UCOn2HkJJt8</t>
  </si>
  <si>
    <t>A man rides a four wheeler in a field.</t>
  </si>
  <si>
    <t>The man stands up on the four wheeler and hits his break lights to inspect a target.</t>
  </si>
  <si>
    <t>A man holding a bow and arrow is talking and demonstrating features on the bow he's holding.</t>
  </si>
  <si>
    <t>A website scrolls across the screen while the man fires the bow at a target.</t>
  </si>
  <si>
    <t>The camera then zooms in on the target.</t>
  </si>
  <si>
    <t>The website scrolls across the screen again and the man fires three more arrows.</t>
  </si>
  <si>
    <t>The screen changes to gray and the man shows the brand of bow is a Bowtech.</t>
  </si>
  <si>
    <t>v_RztM-NVwV5o</t>
  </si>
  <si>
    <t>woman is in studio talking in the news holding a paintball gun and shot a wall.</t>
  </si>
  <si>
    <t>a man and a woman are in a field doing shots and playing with the small pain balls.</t>
  </si>
  <si>
    <t>they recharge the guns and are playing in a green backyard paintball practicing shots and wearing masks.</t>
  </si>
  <si>
    <t>v_bnItfkwBogY</t>
  </si>
  <si>
    <t>A woman performs a dance routine with a hoop on a stage.</t>
  </si>
  <si>
    <t>The woman performs the routine with two hoops.</t>
  </si>
  <si>
    <t>The woman returns to performing with one hoop.</t>
  </si>
  <si>
    <t>v__sgg_QEjcEE</t>
  </si>
  <si>
    <t>A black screen appears with red and white letters on it that say "DISCUS THROW Example of CORRECTION of a DELIVERY PROBLEM for a beginner".</t>
  </si>
  <si>
    <t>A young lady is now standing on a concrete circle and she begins swinging her red discus, then swings her body and then throws it.</t>
  </si>
  <si>
    <t>A black screen appears with white letters that say "Out of several faults we select ONE problem", and the video continues to show the problem and words appear on the screen to explain them.</t>
  </si>
  <si>
    <t>The same young lady is now standing in a different area holding a hand towel as she practices her swings and words on the screen give tips.</t>
  </si>
  <si>
    <t>The girl is back on the concrete circle swinging her disc and she then throws the disc.</t>
  </si>
  <si>
    <t>A black screen appears again with red and white words that say "OTHER SIMILAR EXERCISES ON THE SAME IDEA: FOCUS ON THE LOW POINT OF THE IMPLEMENT TRAJECTORY.</t>
  </si>
  <si>
    <t>A boy is now standing on the concrete circle and he's practicing his swings with a shirt.</t>
  </si>
  <si>
    <t>A man is now indoors and he's practicing his swings with a golf club.</t>
  </si>
  <si>
    <t>The outro screen is mainly white with a black design on it and the name of the company and a person.</t>
  </si>
  <si>
    <t>v_o8PA6XW32oI</t>
  </si>
  <si>
    <t>a person begins to solve a rubix cube.</t>
  </si>
  <si>
    <t>They start turning it in all directions.</t>
  </si>
  <si>
    <t>They have solved the rubix cube.</t>
  </si>
  <si>
    <t>v_M0ygYlmTHy4</t>
  </si>
  <si>
    <t>A group of people play water volleyball in an outdoor pool.</t>
  </si>
  <si>
    <t>The people begin to play competitively with volleyball in the water.</t>
  </si>
  <si>
    <t>the camera changes angle and catches the people playing from behind with the net between the people and the camera.</t>
  </si>
  <si>
    <t>v_U-mwyUsNOMU</t>
  </si>
  <si>
    <t>A person is seen kneeling down next to a hole of ice and reeling in a fish.</t>
  </si>
  <si>
    <t>The person continues reeling in on the rod while the camera zooms in on the hole.</t>
  </si>
  <si>
    <t>Finally the person grabs the fish and presents it to the camera.</t>
  </si>
  <si>
    <t>v_hW25ecQ1GUc</t>
  </si>
  <si>
    <t>A close up of a chair is seen followed by a woman walking into frame.</t>
  </si>
  <si>
    <t>The woman sits in the chair and begins putting a pair of shoes on.</t>
  </si>
  <si>
    <t>She puts both on and stands up to move her feet around.</t>
  </si>
  <si>
    <t>v_6WlnhNQOWFA</t>
  </si>
  <si>
    <t>A man is seen standing before a game of hopscotch drawn out and begins jumping down the path while others follow.</t>
  </si>
  <si>
    <t>The camera continues to follow the man as he jumps down the path and captures several others doing the same as well.</t>
  </si>
  <si>
    <t>v_TPqgLJpxyvY</t>
  </si>
  <si>
    <t>A person rolls over in bed and looks at their phone.</t>
  </si>
  <si>
    <t>They sit up on their bed and rub their face.</t>
  </si>
  <si>
    <t>They wash their hands and face.</t>
  </si>
  <si>
    <t>They start rollerblading and doing tricks.</t>
  </si>
  <si>
    <t>v_g1lqpONbOKY</t>
  </si>
  <si>
    <t>We see a girl gymnast on a balance beam performing.</t>
  </si>
  <si>
    <t>The girl prepares to do a flip and falls on the bar and hurts herself.</t>
  </si>
  <si>
    <t>The girl stands crying and a lady comes to help her.</t>
  </si>
  <si>
    <t>v_aSPPD0fDI3g</t>
  </si>
  <si>
    <t>Make up is shown on a table.</t>
  </si>
  <si>
    <t>A woman sits on her bed and applies makeup to her face.</t>
  </si>
  <si>
    <t>She uses a large brush to apply powder to her face.</t>
  </si>
  <si>
    <t>She puts a backpack on and walks out the door.</t>
  </si>
  <si>
    <t>v_UvIS1-hwgaQ</t>
  </si>
  <si>
    <t>A man approaches a large mountain, with friends, and climbs it while attached to a green rope until he reaches the top.</t>
  </si>
  <si>
    <t>A group of young people approach the base of a mountain and set down their things where they smile and prepare to climb the mountain.</t>
  </si>
  <si>
    <t>A long green rope is shown on a large rock after which a man in glasses begins to climb a mountain using metal hooks in the mountain and his feet to climb the mountain.</t>
  </si>
  <si>
    <t>The man smiles and gives the camera a thumbs up when he gets to the top of the mountain.</t>
  </si>
  <si>
    <t>v_Z_lah8-xYx8</t>
  </si>
  <si>
    <t>A man and woman walk out onto the pier of a boat.</t>
  </si>
  <si>
    <t>They are playing a sweeping game.</t>
  </si>
  <si>
    <t>The woman pushes the puck, which slides into the camera.</t>
  </si>
  <si>
    <t>The scene is repeated in slow motion.</t>
  </si>
  <si>
    <t>v_RmTDHszp1v0</t>
  </si>
  <si>
    <t>A man in a white shirt is standing next to parallel bars.</t>
  </si>
  <si>
    <t>A boy jumps onto the parallel bars and starts swinging back and forth.</t>
  </si>
  <si>
    <t>The boy starts doing a routine on the parallel bars.</t>
  </si>
  <si>
    <t>v_zNMLz9GIQLk</t>
  </si>
  <si>
    <t>A man is seen using a wet rag on a window and moving the cleaner all around the glass.</t>
  </si>
  <si>
    <t>He continuously dips the object in cleaner and cleans all around the glass while using a rag close behind.</t>
  </si>
  <si>
    <t>v_v8jzbjQqNhE</t>
  </si>
  <si>
    <t>A man holding his kayak talk to the camera.</t>
  </si>
  <si>
    <t>He is in his kayak paddling downstream.</t>
  </si>
  <si>
    <t>Another rower passes him and does a flip.</t>
  </si>
  <si>
    <t>He talks to the camera again.</t>
  </si>
  <si>
    <t>We see the parking lot off camera.</t>
  </si>
  <si>
    <t>Back in the water passing a waterfall.</t>
  </si>
  <si>
    <t>Talking head to camera again.</t>
  </si>
  <si>
    <t>Point of view shots from his kayak.</t>
  </si>
  <si>
    <t>Talking head as he very animatedly talks to the camera.</t>
  </si>
  <si>
    <t>Point of view from the boat following another rower.</t>
  </si>
  <si>
    <t>Talking head interspersed with shots from the water illustrating the technques he talks about in his talking head shots.</t>
  </si>
  <si>
    <t>v_Yh9eGll8fYQ</t>
  </si>
  <si>
    <t>Two people are seen speaking to one another and leads into a man standing on the edge and jumping.</t>
  </si>
  <si>
    <t>The man's jump is shown several times from different camera as he jumps off the side and back up again.</t>
  </si>
  <si>
    <t>v_l7nsRRyzD4k</t>
  </si>
  <si>
    <t>A group of people is building sand castles on the beach.</t>
  </si>
  <si>
    <t>A girl waves to the camera.</t>
  </si>
  <si>
    <t>A man is seen digging in the sand.</t>
  </si>
  <si>
    <t>A girl is seen looking through a beach bag.</t>
  </si>
  <si>
    <t>The girl finds what she is looking for.</t>
  </si>
  <si>
    <t>v_bTE3HEy_kVk</t>
  </si>
  <si>
    <t>We see two roof images side by side.</t>
  </si>
  <si>
    <t>We then see images of one roof.</t>
  </si>
  <si>
    <t>We see the roof up close and see moss growing on it.</t>
  </si>
  <si>
    <t>we see the insulation and the roof as it is being installed.</t>
  </si>
  <si>
    <t>A man is screwing the roof into place.</t>
  </si>
  <si>
    <t>We see the finished new roof.</t>
  </si>
  <si>
    <t>We see the ending screen credits.</t>
  </si>
  <si>
    <t>v_XSDIekFXkv0</t>
  </si>
  <si>
    <t>A person stands on his hands on a trampoline above a swimming pool, then the boy flips in the air and dives into the water.</t>
  </si>
  <si>
    <t>After, the boy stands on the trampoline with the back facing the pool, then jumps, flips and dive in the water.</t>
  </si>
  <si>
    <t>Now, the boy stands on the trampoline facing the pool, then jumps, flips and dive in the water, then do the same but this time with the back facing the pool.</t>
  </si>
  <si>
    <t>At the end, the boy enters the trampoline running and flip in the air, then he stands on the trampoline and flips and end diving in the water.</t>
  </si>
  <si>
    <t>v_7rd23-3wEyU</t>
  </si>
  <si>
    <t>A man is seen speaking to the camera while leading into various pictures of speaking as well as smoking.</t>
  </si>
  <si>
    <t>The man continues speaking while showing pictures intermittently of smoking and cigarettes close up.</t>
  </si>
  <si>
    <t>v_rzomS2gZGQ4</t>
  </si>
  <si>
    <t>A man stands by his ice ridden car.</t>
  </si>
  <si>
    <t>He rakes the entire sheet onto the ground, watching it shatter.</t>
  </si>
  <si>
    <t>v_YIb8sArOPww</t>
  </si>
  <si>
    <t>A gymnast performs a balance beam gymnastic routine in a professional sports event with an audience in the bleachers.</t>
  </si>
  <si>
    <t>A girl stands in front of a balance beam in a gymnast outfit and jumps on the beam where she begins to execute a gymnastic routine on the balance beam.</t>
  </si>
  <si>
    <t>The girl stands on the beam and performs back flips on the beam before landing one final back flip off of the beam where she lands on a mat and exits the area in front of an audience in bleachers.</t>
  </si>
  <si>
    <t>v_zyPisOj2Tdo</t>
  </si>
  <si>
    <t>A woman peforms before a court on a basketball gym.</t>
  </si>
  <si>
    <t>She is a majorette, flipping and throwing her baton into the air.</t>
  </si>
  <si>
    <t>The crowd watches as she flips, throws, and turns.</t>
  </si>
  <si>
    <t>v_jMQgOcM9vZA</t>
  </si>
  <si>
    <t>Multiple short clips play of different hockey moves and the names of the moves appear on the screen with it.</t>
  </si>
  <si>
    <t>When the clips are done in intro screen appears with a cloud and the hockey ground as backdrop, the NHL logo and the words "HOCKEY SKILLS".</t>
  </si>
  <si>
    <t>A group of people wearing all of their hockey gear are standing or kneeling on the ground while the look at a man who is standing and talking without a helmet on his head and the words on the screen say his name is "KEVIN WEEKES".</t>
  </si>
  <si>
    <t>The man begins to demonstrate multiple different moves near the goal and he continues to talk throughout all of the demonstrations as the rest of the people watch him.</t>
  </si>
  <si>
    <t>When the man is done talking and demonstrating other people in the group go up to the goal separately and they each do what they man was demonstrating.</t>
  </si>
  <si>
    <t>A screen appears with a backdrop of clouds on top and hockey rink at the bottom with the logo in the middle and the words "HOCKEY SKILLS".</t>
  </si>
  <si>
    <t>v_SaBcTNvRA6g</t>
  </si>
  <si>
    <t>A woman is seen showing off a glass of honey.</t>
  </si>
  <si>
    <t>She shows off the bottle of honey as well as a bowl of water and a towel.</t>
  </si>
  <si>
    <t>She shows her hair pulled back.</t>
  </si>
  <si>
    <t>She opens the bottle of honey and lathers it all over her face.</t>
  </si>
  <si>
    <t>She holds up a cat.</t>
  </si>
  <si>
    <t>She returns to lathering her face and waits in anticipation.</t>
  </si>
  <si>
    <t>While she waits, she plays some instruments and with her cat.</t>
  </si>
  <si>
    <t>Finally, she rinses her face with water and dries her face off with a towel.</t>
  </si>
  <si>
    <t>She proudly shows off her bottle of honey.</t>
  </si>
  <si>
    <t>v_V5MvrOzQWZo</t>
  </si>
  <si>
    <t>A gymnast is standing near a bar with her hands in the air.</t>
  </si>
  <si>
    <t>The girl gets on the bar and performs.</t>
  </si>
  <si>
    <t>The girl flips on the bar.</t>
  </si>
  <si>
    <t>The girl performs 2 flips and almost falls off the bar.</t>
  </si>
  <si>
    <t>The girl does 2 perfect flips.</t>
  </si>
  <si>
    <t>The girls flips, then runs, flips and dismounts.</t>
  </si>
  <si>
    <t>The cloud claps as she walks away.</t>
  </si>
  <si>
    <t>v_EwzkySgI6CQ</t>
  </si>
  <si>
    <t>A blonde woman is lying on a table as a tattoo artist is putting a design on her pelvis.</t>
  </si>
  <si>
    <t>She cringes in pain as he works.</t>
  </si>
  <si>
    <t>We see a temporary close up of her heaving abdomen as he continues.</t>
  </si>
  <si>
    <t>v_g_KbloQigw8</t>
  </si>
  <si>
    <t>Text is shown across the screen followed by a man kneeling down in dirt.</t>
  </si>
  <si>
    <t>The man using a torch to light a spark on the machine in front of him.</t>
  </si>
  <si>
    <t>He stops to look back at the camera.</t>
  </si>
  <si>
    <t>v_p6ea3QpXryw</t>
  </si>
  <si>
    <t>A dart board is shown against a wall.</t>
  </si>
  <si>
    <t>A man lifts his arm in slow motion, throwing darts one after another at the board.</t>
  </si>
  <si>
    <t>He walks up to the board and reaches for it.</t>
  </si>
  <si>
    <t>v_P-ENnGQ_FuU</t>
  </si>
  <si>
    <t>A red car is shown with the words Unique Car Wash.</t>
  </si>
  <si>
    <t>Men are shown inside a car garage, soaping down a car with a sponge.</t>
  </si>
  <si>
    <t>They are then seen using a sprayer to clean the tires and spray the residue off the vehicle.</t>
  </si>
  <si>
    <t>They use rags to wipe it clean and detail the inside of the car.</t>
  </si>
  <si>
    <t>v_jto8_gMKUjE</t>
  </si>
  <si>
    <t>The Pinta rowing team works together to make it down the whitewater.</t>
  </si>
  <si>
    <t>They have a refreshing dip under a waterfall to cool off.</t>
  </si>
  <si>
    <t>They pose together with other rafters.</t>
  </si>
  <si>
    <t>Falling underwater can be a scary undertaking.</t>
  </si>
  <si>
    <t>All in all it is a fun and relaxing time.</t>
  </si>
  <si>
    <t>v_MiTTWddOuaM</t>
  </si>
  <si>
    <t>Two men walk in the street holding a box, then they assemble a soccer table.</t>
  </si>
  <si>
    <t>People plays soccer table in the street.</t>
  </si>
  <si>
    <t>After, the men carry the table and enters a train where they continue playing.</t>
  </si>
  <si>
    <t>After the man carry the soccer table to a park and other places where people play and paint it.</t>
  </si>
  <si>
    <t>v_mW9iDH07j40</t>
  </si>
  <si>
    <t>A woman is seen putting on a jacket followed by her cutting parts of the vest off and holding up an iron.</t>
  </si>
  <si>
    <t>She then irons the shirts and finishes by putting the vest on.</t>
  </si>
  <si>
    <t>v_19fGZFUE7yE</t>
  </si>
  <si>
    <t>A man in a black tuxedo is speaking to the camera.</t>
  </si>
  <si>
    <t>A person walks by in the background.</t>
  </si>
  <si>
    <t>A group of people walk by in the background.</t>
  </si>
  <si>
    <t>We see a game of poker being played.</t>
  </si>
  <si>
    <t>An odd man appears in front of the camera.</t>
  </si>
  <si>
    <t>We see the first man, then cards being dealt and we fade to a black screen.</t>
  </si>
  <si>
    <t>v_KBfCXpgGhdw</t>
  </si>
  <si>
    <t>a lot of people are sitting on terraces in a big field and people is walking in the entrance of a big stadium.</t>
  </si>
  <si>
    <t>men are standing on a sandy area walking.</t>
  </si>
  <si>
    <t>man are talking to the camera standing on the sand.</t>
  </si>
  <si>
    <t>men are standing on motorbikes getting ready for a motocross competition.</t>
  </si>
  <si>
    <t>man is talking to the camera and standing on a podium.</t>
  </si>
  <si>
    <t>v_huo2ldsQHUI</t>
  </si>
  <si>
    <t>A bunch of people are inside a dimly lit gym.</t>
  </si>
  <si>
    <t>They are riding recumbent bikes while being led.</t>
  </si>
  <si>
    <t>They clap their hands and pedal quickly.</t>
  </si>
  <si>
    <t>v_ibDWgL2D2l4</t>
  </si>
  <si>
    <t>A young child is seen holding a stick and hitting the pinata with the stick.</t>
  </si>
  <si>
    <t>Older women the bring hr back and have her hand the stick to another child.</t>
  </si>
  <si>
    <t>v_JW5P5FdOrcw</t>
  </si>
  <si>
    <t>A woman is standing up talking and holding a blue mop.</t>
  </si>
  <si>
    <t>She is showing the bottom of the mop.</t>
  </si>
  <si>
    <t>A bottle of vinegar is shown on a table next to alcohol and soap.</t>
  </si>
  <si>
    <t>She begins mopping the hardwood floor.</t>
  </si>
  <si>
    <t>A dog is laying down on a bed.</t>
  </si>
  <si>
    <t>v_5AoshxUQv0U</t>
  </si>
  <si>
    <t>A man in a blue shirt picks up a child.</t>
  </si>
  <si>
    <t>He lifts him up to sit on his shoulder.</t>
  </si>
  <si>
    <t>He throws the kid on his back onto a bed.</t>
  </si>
  <si>
    <t>v_zLVNSgR4IoA</t>
  </si>
  <si>
    <t>The man is jumped to the two white poles and stand on his arms.</t>
  </si>
  <si>
    <t>The man in red shirt outside the court is watching the athlete as he swing on the pole.</t>
  </si>
  <si>
    <t>The athlete swing and then jumped of the pole and swing up and the air and landed on the mat.</t>
  </si>
  <si>
    <t>v_-h3NbdE8N9M</t>
  </si>
  <si>
    <t>A team is on a field, trying to get the ball from their opponents.</t>
  </si>
  <si>
    <t>They are playing a game of lacrosse.</t>
  </si>
  <si>
    <t>They fight over the ball, trying to get it into a goal.</t>
  </si>
  <si>
    <t>v_cudeag10U7Q</t>
  </si>
  <si>
    <t>A woman is riding a bike down the street, then others are shown as well.</t>
  </si>
  <si>
    <t>The people speak to the camera in between takes of riding their bikes on city roads.</t>
  </si>
  <si>
    <t>The bike is called an elliptico, enabling them to stand and pedal as they ride.</t>
  </si>
  <si>
    <t>v_R7vb6cuP6GE</t>
  </si>
  <si>
    <t>A person is seen speaking to the camera while holding a snowboard and leads into him riding down a snowy hill.</t>
  </si>
  <si>
    <t>The man continues riding the snowboard down the hill and ends with him stopping at the bottom.</t>
  </si>
  <si>
    <t>v_7VWp-Dfvqkg</t>
  </si>
  <si>
    <t>A man is seen speaking into a microphone with another man on stage.</t>
  </si>
  <si>
    <t>One man then leads into playing harmonica on the stage while others watch on the side.</t>
  </si>
  <si>
    <t>The man continues playing while others walk in and out of frame as well as play.</t>
  </si>
  <si>
    <t>v_dla6qDuAXTw</t>
  </si>
  <si>
    <t>An older man is shown standing behind a swing set while pushing a small girl back and fourth.</t>
  </si>
  <si>
    <t>He grabs and holds the girl and gives her several pushes while the girl sticks her head back and smiles.</t>
  </si>
  <si>
    <t>v_TgantuXBiJg</t>
  </si>
  <si>
    <t>A young girl is seen putting makeup on outside while other people on the side watch and also play with makeup.</t>
  </si>
  <si>
    <t>The girls continue to attempt to put makeup on as the camera pans back and fourth between the two.</t>
  </si>
  <si>
    <t>v_Ggw7rtn3J-8</t>
  </si>
  <si>
    <t>A commercial exhibits a varied array of welding equipment and demonstrates how to weld using the equipment.</t>
  </si>
  <si>
    <t>A welding helmet, clamps,welding kit and gloves are shown in line on a white background.</t>
  </si>
  <si>
    <t>A person begins to use the welding tools to weld inside of a car producing fire sparks as the welding takes place.</t>
  </si>
  <si>
    <t>a closeup of the welded area is shown before a marketing template presents across the screen.</t>
  </si>
  <si>
    <t>v_R6INcHHxlNs</t>
  </si>
  <si>
    <t>A person is seen shirtless standing in a kitchen and holding a mop.</t>
  </si>
  <si>
    <t>The man looks back and laughs to the camera while holding the mop.</t>
  </si>
  <si>
    <t>He continues to laugh and dance around while pushing the mop around.</t>
  </si>
  <si>
    <t>v_xTEXsZO-PVI</t>
  </si>
  <si>
    <t>A small sail boat with two men in it is pulling a water skier behind it.</t>
  </si>
  <si>
    <t>A wind surfer goes by.</t>
  </si>
  <si>
    <t>A man in the sail boat leans back to pull on the sail in the boat.</t>
  </si>
  <si>
    <t>Another wind surfer goes by.</t>
  </si>
  <si>
    <t>v_xAaHXwTz1Ug</t>
  </si>
  <si>
    <t>A kite is flying in the sky.</t>
  </si>
  <si>
    <t>A little girl is holding the string of the kite.</t>
  </si>
  <si>
    <t>She's walking backwards and talking to someone while watching the kite.</t>
  </si>
  <si>
    <t>v_P7lUYSLtErY</t>
  </si>
  <si>
    <t>A man is in a dance room that has mirrors along the walls, wooden floors, and he's dancing alone.</t>
  </si>
  <si>
    <t>There is a woman that is standing in the corner and recording him the whole time.</t>
  </si>
  <si>
    <t>When he moves more to the other side of the room as he's dancing, more people watching and recording him are revealed.</t>
  </si>
  <si>
    <t>The man does he last dance move, smiles, takes a few steps and then takes a bow.</t>
  </si>
  <si>
    <t>v_cNCkHqOnJV0</t>
  </si>
  <si>
    <t>The sky is shown that leads into a man speaking to the camera with his friend.</t>
  </si>
  <si>
    <t>Several people are then seen sitting in tubes riding down a river past one another.</t>
  </si>
  <si>
    <t>The people continuing riding down the river through tunnels and paths while the man still speaks to the camera.</t>
  </si>
  <si>
    <t>v_F4GwrEQUvDc</t>
  </si>
  <si>
    <t>An athlete runs with a stick, then he shoot the javelin and walks away in a stadium.</t>
  </si>
  <si>
    <t>Then, a man holds a javelin and runs to throw the javelin, then another athlete also shoot the javelin.</t>
  </si>
  <si>
    <t>v_lhdro5SnxU0</t>
  </si>
  <si>
    <t>A man is sitting on the stairs talking.</t>
  </si>
  <si>
    <t>He is standing over a sink.</t>
  </si>
  <si>
    <t>He sprays the sink with a cleaning agent.</t>
  </si>
  <si>
    <t>He takes a sponge and scrubs the inside of the sinks.</t>
  </si>
  <si>
    <t>He turns the water on and sprays the hose around the sink.</t>
  </si>
  <si>
    <t>He wipes the sink off with a towel.</t>
  </si>
  <si>
    <t>The man is sitting on the stairs again.</t>
  </si>
  <si>
    <t>v_SqfB4ohs2Ro</t>
  </si>
  <si>
    <t>We see an opening screen a map and still images.</t>
  </si>
  <si>
    <t>Men hammering roof tiles on a panel of roof inside.</t>
  </si>
  <si>
    <t>We see a man tap a hook into the wood.</t>
  </si>
  <si>
    <t>We see a title screen again.</t>
  </si>
  <si>
    <t>We see the men working on roofs.</t>
  </si>
  <si>
    <t>We see two screens with men working on roofs side by side.</t>
  </si>
  <si>
    <t>We see the ending title screens.</t>
  </si>
  <si>
    <t>v_IsVpeZoK5FI</t>
  </si>
  <si>
    <t>A large group of people are seen exercising in a class together with a man leading them in front.</t>
  </si>
  <si>
    <t>The group continues to move around together over a bar and ends with text across the screen.</t>
  </si>
  <si>
    <t>v_CbfgZlo0Ut4</t>
  </si>
  <si>
    <t>A man talks inside a car dealer.</t>
  </si>
  <si>
    <t>After, a car exits a car wash.</t>
  </si>
  <si>
    <t>A crew of people clean a car by hand.</t>
  </si>
  <si>
    <t>v_ggNmtMAdqe0</t>
  </si>
  <si>
    <t>A man welds a section of a steel beam in a workshop.</t>
  </si>
  <si>
    <t>The tip of the welding gun is adjusted using pliers.</t>
  </si>
  <si>
    <t>The man marks and measures pieces of plate metal in between making welds on it.</t>
  </si>
  <si>
    <t>The man demonstrates the angle to make a weld on the piece of plate metal.</t>
  </si>
  <si>
    <t>v_fVtiM88rOJI</t>
  </si>
  <si>
    <t>A telescopic view of multiple people dressed in biking gear is shown.</t>
  </si>
  <si>
    <t>The crowd spreads out, walking around with guns in hand.</t>
  </si>
  <si>
    <t>They aim at various objects.</t>
  </si>
  <si>
    <t>The men hide behind a wall, shooting at each other as they run by.</t>
  </si>
  <si>
    <t>v__1JGrGGCY9k</t>
  </si>
  <si>
    <t>A large group of people are seen wandering around a dance studio with a man in front.</t>
  </si>
  <si>
    <t>The man then begins to lead a dance class in front of the group of people.</t>
  </si>
  <si>
    <t>The people continue dancing around following the man and moving their arms and legs around.</t>
  </si>
  <si>
    <t>v_SID0y9y6Uk4</t>
  </si>
  <si>
    <t>Two men prepare for a fencing match.</t>
  </si>
  <si>
    <t>The video shows several highlights of people fencing each other in various matches.</t>
  </si>
  <si>
    <t>Some win the matches quite quickly.</t>
  </si>
  <si>
    <t>Two men constantly go back and fourth towards each other.</t>
  </si>
  <si>
    <t>The man wins over and over again.</t>
  </si>
  <si>
    <t>He is shown practicing for his upcoming matches against another.</t>
  </si>
  <si>
    <t>He seems to win over and over again.</t>
  </si>
  <si>
    <t>v_IaRYt0J7pHI</t>
  </si>
  <si>
    <t>people are standing in a hair salon sitting on chairs.</t>
  </si>
  <si>
    <t>woman is standing behind anoter drying her hair combing it and talking to the camera.</t>
  </si>
  <si>
    <t>woman is sitting on a chair while woman behind her is drying her hair.</t>
  </si>
  <si>
    <t>v_hWZ3B28_fAs</t>
  </si>
  <si>
    <t>The leads into a man playing a long guitar in front of a home while moving his fingers up and down.</t>
  </si>
  <si>
    <t>The man continues playing and the video leads out to text above his head.</t>
  </si>
  <si>
    <t>v_aR05GUXDiYg</t>
  </si>
  <si>
    <t>A male player in yellow and black shirt is carrying a small kid who is wearing the same shirt while they are being interviewed by the reporter who is wearing white shirt and holding a microphone.</t>
  </si>
  <si>
    <t>Different teams in different uniform colors are playing soccer in the table.</t>
  </si>
  <si>
    <t>v_MERZe5qdfWc</t>
  </si>
  <si>
    <t>Various shots of a snowy mountain are shown as well as a person riding up a hill.</t>
  </si>
  <si>
    <t>The person looks to others around him and is seen riding down mountain.</t>
  </si>
  <si>
    <t>The person rides down several times more with people attached on the sides.</t>
  </si>
  <si>
    <t>v_I58i4uJkHJ0</t>
  </si>
  <si>
    <t>A female Russian gymnast is on a mat in front of a large arena with several people watching her.</t>
  </si>
  <si>
    <t>The girl then starts doing a series of cartwheels and ends up jumping on the balance beam to do her routine.</t>
  </si>
  <si>
    <t>Once she is done,the girl ends doing several tricks and walks off to the side.</t>
  </si>
  <si>
    <t>People begin to cheer for her and her replay is shown,and her score of approximately 28 is shown across the bottom of the screen.</t>
  </si>
  <si>
    <t>v_EO9ZKeBSGSw</t>
  </si>
  <si>
    <t>A girl in a baseball uniform is standing at the end of a hopscotch game.</t>
  </si>
  <si>
    <t>A girl in a red shirt is playing hopscotch.</t>
  </si>
  <si>
    <t>A ball player is playing hopscotch.</t>
  </si>
  <si>
    <t>The girls laugh at each other.</t>
  </si>
  <si>
    <t>v_D-BRqQhL74Q</t>
  </si>
  <si>
    <t>Three girls are seen holding a rope with one walking away and two playing tug of war.</t>
  </si>
  <si>
    <t>Two girls switch places and the final two compete against one another playing tug of war back and fourth.</t>
  </si>
  <si>
    <t>v_Fhk2t6beztU</t>
  </si>
  <si>
    <t>A girl is seen rollerblading down a long road with several people walking around her.</t>
  </si>
  <si>
    <t>The camera zooms in on her face and shows all the people around the area followed by the cameraman's feet.</t>
  </si>
  <si>
    <t>v_8GJWokVCzUM</t>
  </si>
  <si>
    <t>This man is wearing a red tank top, black shorts, and shoes.</t>
  </si>
  <si>
    <t>He runs on the race track and the he does the triple jump in which he almost makes it to the end.</t>
  </si>
  <si>
    <t>v_JH-Q5JNTgwE</t>
  </si>
  <si>
    <t>A camera pans around a city and leads into several clips of people playing in a casino.</t>
  </si>
  <si>
    <t>A man is seen speaking to the camera as well as being interviewed by the news.</t>
  </si>
  <si>
    <t>More men are seen being interviewed while showing off clips of the casino.</t>
  </si>
  <si>
    <t>v_AHd87Cn-NkU</t>
  </si>
  <si>
    <t>A close up of a sink is seen with cleaner on top while the camera zooms in on the sink.</t>
  </si>
  <si>
    <t>A woman is then seen rubbing down the sink with a rag and shows off the sink in the end.</t>
  </si>
  <si>
    <t>v_MlkXsUDCoww</t>
  </si>
  <si>
    <t>A person is seen pushing a lawn mower all across the yard.</t>
  </si>
  <si>
    <t>The person pushes the mower along the edge of the grass and throughout the rest of the grass.</t>
  </si>
  <si>
    <t>The man then grabs a weed wacker and cuts the weeds along the edge.</t>
  </si>
  <si>
    <t>v_UGCn1zgYboQ</t>
  </si>
  <si>
    <t>One man is seen moving a fooseball table around quickly as possible while another man watches on the side.</t>
  </si>
  <si>
    <t>The men then play a game against one another while one continues to move the poles quickly.</t>
  </si>
  <si>
    <t>v_xsRNDo8Upys</t>
  </si>
  <si>
    <t>A large group of dancers are seen standing on a stage and beginning to perform a routine.</t>
  </si>
  <si>
    <t>The girls continue dancing with one another and ending by holding a pose.</t>
  </si>
  <si>
    <t>v_9qOfesI3bGE</t>
  </si>
  <si>
    <t>A man is seated with an accordian on his lap.</t>
  </si>
  <si>
    <t>He pulls it in and out as he plays the keyboard with his other hand.</t>
  </si>
  <si>
    <t>He is shown with two different accordians as he continues to play.</t>
  </si>
  <si>
    <t>v_w4QM4nztkkE</t>
  </si>
  <si>
    <t>A wrestler is in the middle of the ring waiting for his opponent.</t>
  </si>
  <si>
    <t>Once he comes in they grab a hold of a rope and begin to play tug of war with it, pulling each other.</t>
  </si>
  <si>
    <t>They struggle trying to beat the other when finally the red head wrestler makes the other fall.</t>
  </si>
  <si>
    <t>He gloats, jumping up and down and banging his hands against his chest.</t>
  </si>
  <si>
    <t>v_ctHNLEOtgPY</t>
  </si>
  <si>
    <t>A man crouches in a dance studio.</t>
  </si>
  <si>
    <t>He lifts himself onto his hands.</t>
  </si>
  <si>
    <t>He holds his feet up in the air.</t>
  </si>
  <si>
    <t>He then lays on his back on the ground.</t>
  </si>
  <si>
    <t>v_fmdG9uPnWHQ</t>
  </si>
  <si>
    <t>a blonde woman is playing with dogs, she is kissing them and giiving them a shower, the woman is holding a scissor and is cutting the dog's hair.</t>
  </si>
  <si>
    <t>blonde woman is with a beatiful white dog in a table a veterinarian's office.</t>
  </si>
  <si>
    <t>the woman is with the black dog and is styling the dog's hair.</t>
  </si>
  <si>
    <t>woman shows their diplomas and awards and is with a white puddle combing her hair.</t>
  </si>
  <si>
    <t>woman comb the black dog's hair and plays with it.</t>
  </si>
  <si>
    <t>woman holds the white dog paw and cut her nails.</t>
  </si>
  <si>
    <t>woman is with the black dog giving him a shower and styling his hair.</t>
  </si>
  <si>
    <t>woman is talking while in the bottom a blonde woman is combing a white puddle.</t>
  </si>
  <si>
    <t>blonde woman holds the white puddle and is talking to the camera giving the web adress to the dog salon white shows how comb and shower the dogs.</t>
  </si>
  <si>
    <t>v_8_RfK2rp2To</t>
  </si>
  <si>
    <t>An athlete is seen standing ready holding a pole and begins running down a large track over a beam.</t>
  </si>
  <si>
    <t>The woman then jumps over the beam and throws her arms in the air to celebrate and run around the field.</t>
  </si>
  <si>
    <t>The woman does flips on the mat while celebrating and ends with her jump shown again and her sitting in front of her score.</t>
  </si>
  <si>
    <t>v_FjZKKAEEHbY</t>
  </si>
  <si>
    <t>A young woman is seen standing next to a horse and speaking to a small group.</t>
  </si>
  <si>
    <t>She pushes the horse a bit and begins brushing it's tail while still speaking to the group.</t>
  </si>
  <si>
    <t>She stops brushing while speaking to the group and walking away.</t>
  </si>
  <si>
    <t>v_p1-APric9UM</t>
  </si>
  <si>
    <t>A slightly rotund man is shown standing in a kitchen while holding a can of drink.</t>
  </si>
  <si>
    <t>The man is laughing and speaking to the camera about the can in his hand.</t>
  </si>
  <si>
    <t>He pours the drink into a glass, and proceeds to drink it alongside a male friend.</t>
  </si>
  <si>
    <t>The two men drink the contents of their glasses while they talk.</t>
  </si>
  <si>
    <t>v_5MnHirHxqkA</t>
  </si>
  <si>
    <t>A woman is seen speaking to the camera and laying her hands across a pair of pants on an ironing table.</t>
  </si>
  <si>
    <t>She begins ironing the pants and ends by showing the crease she made in the middle.</t>
  </si>
  <si>
    <t>v_LSCQ1yqocHg</t>
  </si>
  <si>
    <t>There's a man standing in a kitchen and washing his hands in steel kitchen sink.</t>
  </si>
  <si>
    <t>He takes a pump from the liquid hand soap from the sink counter.</t>
  </si>
  <si>
    <t>He then turns on the water and and washes his hands.</t>
  </si>
  <si>
    <t>After he's done washing, he uses a white hand towel that is lying next to the sink on the counter.</t>
  </si>
  <si>
    <t>v_lgWH94ea3-U</t>
  </si>
  <si>
    <t>A man is using a hookah inside a room.</t>
  </si>
  <si>
    <t>He turns and blows a pillar of smoke.</t>
  </si>
  <si>
    <t>Another man takes the hookah and takes a hit as well.</t>
  </si>
  <si>
    <t>v_oN_5o1t_Lvk</t>
  </si>
  <si>
    <t>A girl demonstrates several advanced dance, and gymnastic moves in many different locations throughout a city.</t>
  </si>
  <si>
    <t>A girl stands on a grass covered field and paved sidewalk and performs several gymnastic flips and cheerleading moves.</t>
  </si>
  <si>
    <t>The girl then returns to the grass and does several more advanced backflips.</t>
  </si>
  <si>
    <t>The girl advances to a wooden walkway and performs dance moves and performs a walking handstand in another location.</t>
  </si>
  <si>
    <t>The video finally ends with the girl performing dance moves in a tunnel and sidewalk.</t>
  </si>
  <si>
    <t>v_nxs4o4S43oY</t>
  </si>
  <si>
    <t>A man is cutting his beard with scissors.</t>
  </si>
  <si>
    <t>He uses a shaver to shave off the beard.</t>
  </si>
  <si>
    <t>He collects the hair in the sink.</t>
  </si>
  <si>
    <t>He puts shaving cream on his face and uses a razor to finish shaving.</t>
  </si>
  <si>
    <t>He wipes his face with a towel.</t>
  </si>
  <si>
    <t>He smiles and gives a thumbs up.</t>
  </si>
  <si>
    <t>v_mYrTrVCYSY0</t>
  </si>
  <si>
    <t>A man runs down two streets in a marathon, in a city setting, as onlookers from the sideline cheer and clap.</t>
  </si>
  <si>
    <t>A man in black shorts with a number pinned to his chest is running down a city street in a marathon.</t>
  </si>
  <si>
    <t>People on the sidelines are clapping for the man and smiling as he continues to run.</t>
  </si>
  <si>
    <t>The man runs down another street where he runs for a short time behind a bicycler, and as a motorcyclist comes up from behind him near the sidewalk which has a metal barrier running the length of it.</t>
  </si>
  <si>
    <t>v_fwqDDFkOaCc</t>
  </si>
  <si>
    <t>A violinist, Lindsay Stirling is performing live with some other participants on a stage in front of an audience.</t>
  </si>
  <si>
    <t>She begins by playing the violin while the other performers dance in a choreographed fashion.</t>
  </si>
  <si>
    <t>The violinist dances as she plays the instrument along with five other dancers.</t>
  </si>
  <si>
    <t>They dance in a modern and hip hop style of dancing.</t>
  </si>
  <si>
    <t>Then only two of the dancers stay on the stage with the violinist and dance in a Salsa style.</t>
  </si>
  <si>
    <t>After they leave the stage, one of the male dancers does some modern style of dancing as he rotates on his knees.</t>
  </si>
  <si>
    <t>Then the entire dance team comes on stage and continues dancing in coordinated steps as the violinist plays and dances along with them.</t>
  </si>
  <si>
    <t>Then they leave the stage with only the violinist performing as she continues to dance and play the instrument.</t>
  </si>
  <si>
    <t>v_58he7Xcwfws</t>
  </si>
  <si>
    <t>A weightlifter prepares for his first lift.</t>
  </si>
  <si>
    <t>Friends are watching and one films.</t>
  </si>
  <si>
    <t>He squats and he lifts the bar.</t>
  </si>
  <si>
    <t>He holds it for a moment, then drops it.</t>
  </si>
  <si>
    <t>He starts all over again and completes a second lift.</t>
  </si>
  <si>
    <t>v_wUg9S2xx850</t>
  </si>
  <si>
    <t>A group of people are seen standing on a field when a man runs towards a woman with a soccer ball.</t>
  </si>
  <si>
    <t>one girls swing another around while a man grabs a ball and throws it to another.</t>
  </si>
  <si>
    <t>v_gEOVtyRAaFY</t>
  </si>
  <si>
    <t>A woman is holding a cat in her lap.</t>
  </si>
  <si>
    <t>The cat is slapping at the pair of trimmers in her hand.</t>
  </si>
  <si>
    <t>She uses the trimmers to cut the cat's nails, one at a time.</t>
  </si>
  <si>
    <t>v_LKeQMeUZFso</t>
  </si>
  <si>
    <t>A person walks up to a vacuum cleaner and picks up the wand.</t>
  </si>
  <si>
    <t>The person vacuums a carpet in the hallway of a home.</t>
  </si>
  <si>
    <t>The person turns off the vacuum then replaces the attachment with a larger one for carpets.</t>
  </si>
  <si>
    <t>The person adjusts a knob on the vacuum cleaner.</t>
  </si>
  <si>
    <t>v_ZWlh8sQE2Z4</t>
  </si>
  <si>
    <t>A man kneels on one knee in a room and talks to the camera.</t>
  </si>
  <si>
    <t>The man raises his right arm and reaches to the ground with his left hand.</t>
  </si>
  <si>
    <t>The man switches and does the other side.</t>
  </si>
  <si>
    <t>v_BCzsVKHrN5Y</t>
  </si>
  <si>
    <t>A large yard is seen covered in snow with a person walking into frame.</t>
  </si>
  <si>
    <t>The man is seen holding a shovel and begins pushing it around the area.</t>
  </si>
  <si>
    <t>The man clears out all the snow and shows off a path in the end.</t>
  </si>
  <si>
    <t>v_4BRCZaaITn0</t>
  </si>
  <si>
    <t>A man is mowing his lawn around a tree in front of his house.</t>
  </si>
  <si>
    <t>He walks back and forth, avoiding the rocks.</t>
  </si>
  <si>
    <t>He turns at the driveway and returns again.</t>
  </si>
  <si>
    <t>v_UFfi0gxL6_Y</t>
  </si>
  <si>
    <t>A woman in a dress holding a violin addresses an audience.</t>
  </si>
  <si>
    <t>The woman plays the violin as other musicians look on.</t>
  </si>
  <si>
    <t>The woman finishes her playing and everyone applauds.</t>
  </si>
  <si>
    <t>v_WmOTDAim7XM</t>
  </si>
  <si>
    <t>A man is holding a chain saw over his head.</t>
  </si>
  <si>
    <t>He starts clipping the top of the hedge.</t>
  </si>
  <si>
    <t>People are walking on the sidewalk behind him.</t>
  </si>
  <si>
    <t>v_7edBQl3VD1o</t>
  </si>
  <si>
    <t>A man in an orange jacket holding skis is walking on the snow to a hill.</t>
  </si>
  <si>
    <t>The person holding the camera puts their skis down and holds the poles.</t>
  </si>
  <si>
    <t>The man in the orange jacket skis down the hill.</t>
  </si>
  <si>
    <t>The man holding the camera follows.</t>
  </si>
  <si>
    <t>They ski down the snowy hill.</t>
  </si>
  <si>
    <t>The man in the orange jacket can be seen in front of him skiing.</t>
  </si>
  <si>
    <t>They both stop and talk to a lady at the bottom of the hill.</t>
  </si>
  <si>
    <t>He takes off his glove and pulls his cell phone out.</t>
  </si>
  <si>
    <t>A man in a blue coat walks up to them and talks to them.</t>
  </si>
  <si>
    <t>v_TmA7xnrULME</t>
  </si>
  <si>
    <t>A small group of kids are seen playing with two adults on a beach pushing sand into a pile.</t>
  </si>
  <si>
    <t>The kids continue grabbing water while the camera pans around the other people swimming in the area.</t>
  </si>
  <si>
    <t>v_GdrutQ4RrDs</t>
  </si>
  <si>
    <t>A woman is seated in front of a camera.</t>
  </si>
  <si>
    <t>Her hair is in spiral curlers.</t>
  </si>
  <si>
    <t>She demonstrates how to remove them, showing the final result.</t>
  </si>
  <si>
    <t>v_mQHY2uMOMP4</t>
  </si>
  <si>
    <t>The video instructor, Stephanie is talking about a hair tutorial.</t>
  </si>
  <si>
    <t>She is demonstrating how to cut long hair on men.</t>
  </si>
  <si>
    <t>Her model is seated in a chair next to her as she combs his wet hair.</t>
  </si>
  <si>
    <t>She shows how the hair is parted and sectioned before cutting the hair She uses scissors to point cut the tips of the model's hair.</t>
  </si>
  <si>
    <t>She continues the procedure on the model's hair.</t>
  </si>
  <si>
    <t>She then explains how to blow dry the hair to get the finished look on the model.</t>
  </si>
  <si>
    <t>She finally gives information about her website.</t>
  </si>
  <si>
    <t>v_2NAbdlHXcTI</t>
  </si>
  <si>
    <t>A man does a disk throw.</t>
  </si>
  <si>
    <t>He spins around and throws the disk.</t>
  </si>
  <si>
    <t>v_9YnYdsmjkIY</t>
  </si>
  <si>
    <t>A man sits in a chair and talks while holding a harmonica and occasionally playing it while sitting in a front of green cloth backdrop.</t>
  </si>
  <si>
    <t>A bald man sits in a wooden chair and talks to the camera while holding, pointing to and occasionally playing a harmonica in his hands.</t>
  </si>
  <si>
    <t>The camera zooms in for a tighter shot of the man as he talks and before the man pulls the harmonica directly up to his face and plays the harmonica briefly before pulling the harmonica away and looking into the camera.</t>
  </si>
  <si>
    <t>v_xICaX0kCCF4</t>
  </si>
  <si>
    <t>A man in Sesame Street costume is riding a recumbent bike.</t>
  </si>
  <si>
    <t>A man dressed as Ernie soon joins Bert.</t>
  </si>
  <si>
    <t>They bike together, as if in a race.</t>
  </si>
  <si>
    <t>They both get up and walk away.</t>
  </si>
  <si>
    <t>v_Aq2w52hpwig</t>
  </si>
  <si>
    <t>A person is seen sitting along the water with a close up of a paddle is shown.</t>
  </si>
  <si>
    <t>The camera pans around to another group of people sitting in a canoe across from them.</t>
  </si>
  <si>
    <t>More people are seen sitting in the water as well as boats along the water.</t>
  </si>
  <si>
    <t>v_ouv2veXexVw</t>
  </si>
  <si>
    <t>A group of soccer players await the return of a soccer ball to the field.</t>
  </si>
  <si>
    <t>One soccer player kicks the ball into the field.</t>
  </si>
  <si>
    <t>Another soccer player takes hold of the ball and passes it to another soccer player.</t>
  </si>
  <si>
    <t>The soccer players kicks it to the goalie.</t>
  </si>
  <si>
    <t>The goalie kicks it to a nearby soccer player.</t>
  </si>
  <si>
    <t>The soccer player kicks it to another soccer player.</t>
  </si>
  <si>
    <t>v_kr4RUFi1UGs</t>
  </si>
  <si>
    <t>Two men are rappeling up the side of a steep rock cliff.</t>
  </si>
  <si>
    <t>One of the men climbs about halfway up, before letting go and releasing himself back toward the ground.</t>
  </si>
  <si>
    <t>v_S-mMmPO6a9s</t>
  </si>
  <si>
    <t>A man pushes a lawnmower on a lawn.</t>
  </si>
  <si>
    <t>Two children help him push it.</t>
  </si>
  <si>
    <t>They make several passes on the lawn.</t>
  </si>
  <si>
    <t>Several cars drive by them.</t>
  </si>
  <si>
    <t>v_1RMNLqb8OWI</t>
  </si>
  <si>
    <t>man carrying a lawn blower is blowing the dust in the sidewalk walking in street.</t>
  </si>
  <si>
    <t>man is cleaning the sidewalk from the dry leaves pouring out the sidewalk.</t>
  </si>
  <si>
    <t>man is walking in sidewalk watching the man that is carrying the blower.</t>
  </si>
  <si>
    <t>v_G3cINUdHdGo</t>
  </si>
  <si>
    <t>A man in a red shirt speaks and demonstrates how to throw darts against a dart board while three other people in red shirts watch behind him.</t>
  </si>
  <si>
    <t>A man in a red shirt faces the camera and begins to talk while holding darts in his hand and while three men behind him watch.</t>
  </si>
  <si>
    <t>The man turns away from the camera, standing at a profile view and facing a dartboard attached to a wall, he starts aiming at the dartboard with the darts in his hand.</t>
  </si>
  <si>
    <t>The man then throws three darts against the dartboard, two of which stick to the board, the man goes to retrieve a dart from the board and gestures with his fist and a smile.</t>
  </si>
  <si>
    <t>v_WSGXoKV9vLs</t>
  </si>
  <si>
    <t>A hand is pouring liquid into a martini glass and white words on the left of the screen appear and they say "Girls Mixing Drinks dot com" and "Keylime Pie with Lee".</t>
  </si>
  <si>
    <t>A blonde woman appears at a bar and the website appears at random times while the woman is grabbing cups, alcohol and ice as she makes her drink in a martini glass.</t>
  </si>
  <si>
    <t>The woman fills the martini glass with ice and water.</t>
  </si>
  <si>
    <t>The woman then moves onto a large silver silver shaker and begins putting alcohol and other liquids in it, covers it with a small clear cup and begins shaking the contents.</t>
  </si>
  <si>
    <t>When she's done shaking the liquids, she empties the ice and water from the martini cup, then fills it with the liquid from the shaker, puts a lime on the edge, pushes the martini glass forward and smiles.</t>
  </si>
  <si>
    <t>The last screen appears with a red background and the website displayed in the middle.</t>
  </si>
  <si>
    <t>v_Sx3YbcKbuYk</t>
  </si>
  <si>
    <t>A pile of kindling flanked by rocks is shown.</t>
  </si>
  <si>
    <t>The kindling is lit with a torch.</t>
  </si>
  <si>
    <t>The fire is started, and we watch as it begins to burn.</t>
  </si>
  <si>
    <t>v_S24MDjduWIY</t>
  </si>
  <si>
    <t>A man is seen speaking to the camera while people practice basketball drills intermittently.</t>
  </si>
  <si>
    <t>The man ties a rope around a ball and continues having him perform layups on the court.</t>
  </si>
  <si>
    <t>More clips are shown of them practicing while the man speaks to the camera.</t>
  </si>
  <si>
    <t>v_10uSu442cOE</t>
  </si>
  <si>
    <t>A girl plays a brass flute standing on stage during a performance.</t>
  </si>
  <si>
    <t>The girl finishes the performance and lowers her instrument.</t>
  </si>
  <si>
    <t>v_mtC3trP8ahY</t>
  </si>
  <si>
    <t>Two teams of boys are in a grass field playing a game.</t>
  </si>
  <si>
    <t>They have little poles with nets that they use to catch the balls in and throw.</t>
  </si>
  <si>
    <t>One of the boys from the red team throws the ball over to the other side.</t>
  </si>
  <si>
    <t>Then one of the kids int he black uniform comes running back and throws the ball.</t>
  </si>
  <si>
    <t>v_2NITA0d4vqo</t>
  </si>
  <si>
    <t>Two men play pingpong using different tricks.</t>
  </si>
  <si>
    <t>A man shows off a camera box, and the ping pong player uses it.</t>
  </si>
  <si>
    <t>The box busts open so the player uses a camera part to play.</t>
  </si>
  <si>
    <t>He uses a battery to hit back, and then uses a different tool.</t>
  </si>
  <si>
    <t>Various strange objects are used to play the game.</t>
  </si>
  <si>
    <t>The man breaks an egg with the ball.</t>
  </si>
  <si>
    <t>More strange items including a bat, watch and candy bar are used.</t>
  </si>
  <si>
    <t>The man is filmed uploading the video to YouTube.</t>
  </si>
  <si>
    <t>v_674t-jyyKeg</t>
  </si>
  <si>
    <t>A woman tries to eat ice cream to a child, but the child refuses to eat the ice cream, then the woman eats the ice cream in the spoon.</t>
  </si>
  <si>
    <t>After, the woman gives ice cream to the child, and then the woman cleans the child's mouth.</t>
  </si>
  <si>
    <t>An old woman feeds a boy ice cream.</t>
  </si>
  <si>
    <t>v_PIGH5p2iMoI</t>
  </si>
  <si>
    <t>A marching band is playing on a field.</t>
  </si>
  <si>
    <t>A man in a trench coat is talking into a microphone.</t>
  </si>
  <si>
    <t>A team is playing lacrosse on a field of grass.</t>
  </si>
  <si>
    <t>v_zxm4KYn7r8c</t>
  </si>
  <si>
    <t>A man is seen speaking to the camera in various clips as well as shooting a bow and arrow.</t>
  </si>
  <si>
    <t>The man demonstrates several times how to properly shoot a bow in different locations while looking back to speak to the camera.</t>
  </si>
  <si>
    <t>v_-deoJLN27hE</t>
  </si>
  <si>
    <t>Two soccer teams play a game of soccer in front of a crowded audience in bleachers, in which the team with the blue and white uniforms makes a series of goals.</t>
  </si>
  <si>
    <t>The team with the yellow and blue uniforms wins a goal on the field against the black and white team and reacts by hugging and smiling each other.</t>
  </si>
  <si>
    <t>The yellow and blue team go on to make a series of goals, sometimes sliding after the final kick, with the audience standing for them each time a goal is made and wearing yellow shirts.</t>
  </si>
  <si>
    <t>A digital scoreboard is shown with the score as the yellow and blue team goes on to make more goals.</t>
  </si>
  <si>
    <t>v_BD4i-g3U5Kw</t>
  </si>
  <si>
    <t>An ice rink is shown with a hockey game in progress with the first long shot goal is made followed by a replay.</t>
  </si>
  <si>
    <t>A goal by the other team in red shows twice.</t>
  </si>
  <si>
    <t>A heated battle of two teams ends with an orange team player scoring.</t>
  </si>
  <si>
    <t>Two more teams make long scoring shots from left to right.</t>
  </si>
  <si>
    <t>A white teams scores after a player falls on the ice rink.</t>
  </si>
  <si>
    <t>Another few games and a second player falls before a goal.</t>
  </si>
  <si>
    <t>A higher aerial view is seen of the last game to show.</t>
  </si>
  <si>
    <t>v_7t666Y8cLGk</t>
  </si>
  <si>
    <t>A lady uses a Shisha pipe while sitting.</t>
  </si>
  <si>
    <t>The lady blows the smoke into a cut, soapy bottle half.</t>
  </si>
  <si>
    <t>The bubble pops releasing the smoke.</t>
  </si>
  <si>
    <t>The bubble float away with the smoke still enclosed and falls to the floor.</t>
  </si>
  <si>
    <t>v_QPKJDlQSO6c</t>
  </si>
  <si>
    <t>A camera pans all around a beer pong table as well as people talking and speaking into a microphone.</t>
  </si>
  <si>
    <t>More people step up to play the beer pong while a man raps into the mic and others react.</t>
  </si>
  <si>
    <t>Several shots are shown of people playing the game and cheering with one another.</t>
  </si>
  <si>
    <t>v_zJquKzopJuI</t>
  </si>
  <si>
    <t>A group of men standing beside each other are all bent forward chugging beer through very long straws.</t>
  </si>
  <si>
    <t>There are people in front of them watching them and pointing at them as they chug.</t>
  </si>
  <si>
    <t>They made it a game they are racing to see who can finish first.</t>
  </si>
  <si>
    <t>They all stop around the same time and the people watching continue to be very rowdy.</t>
  </si>
  <si>
    <t>v_-v-Zail6TNw</t>
  </si>
  <si>
    <t>An eight year old girl is playing a harmonica on a stage.</t>
  </si>
  <si>
    <t>The camera zooms in on the girl as the girl begins to play harder and harder, taking deeper and deeper breaths.</t>
  </si>
  <si>
    <t>The girl stops playing, takes a look to her left really quickly, then beings to smile while looking at the camera and clapping.</t>
  </si>
  <si>
    <t>v_ITVfOVR34Jo</t>
  </si>
  <si>
    <t>The army are lined up, they are divided into four groups, they started to do war practice by shooting by group with paint gun, they hide among the stone walls and vacant cars.</t>
  </si>
  <si>
    <t>The army grab their paint guns on the table and loaded them with paint balls.</t>
  </si>
  <si>
    <t>v_Ek2OvKMdvys</t>
  </si>
  <si>
    <t>A girl is dressed in a pink and black outfit talking in a room laying on a blue yoga mat.</t>
  </si>
  <si>
    <t>The lady then lays on her back and puts her hand across her chest.</t>
  </si>
  <si>
    <t>Before she begins,she talks about her stomach and how to put your hands behind your neck the correct way.</t>
  </si>
  <si>
    <t>Finally,she does about four crunches and shows that your head should be up and as well as your body before she finishes her crunches.</t>
  </si>
  <si>
    <t>v_TY4-gh8DV04</t>
  </si>
  <si>
    <t>A woman work out in a cardio machine pulling a handle in a gym.</t>
  </si>
  <si>
    <t>A person enters the gym.</t>
  </si>
  <si>
    <t>v_uZk7ciOa5aE</t>
  </si>
  <si>
    <t>A male and female dance duo are in the middle of a ballroom floor surrounded by people preparing to dance; however,the music doesn't start and they are delayed.</t>
  </si>
  <si>
    <t>They then begin to dance and shuffle their feet across the tile and spin each other around.</t>
  </si>
  <si>
    <t>The both then do a split,finish the routine and go out to mingle with the crowd.</t>
  </si>
  <si>
    <t>v_c4f6d1GRDEw</t>
  </si>
  <si>
    <t>A man is seen standing in front of a table holding up a bar of wax and other objects.</t>
  </si>
  <si>
    <t>He pushes the wax into a sander and begins using it on a ski board.</t>
  </si>
  <si>
    <t>He moves the sander all along the board and ends by showing it off to the camera.</t>
  </si>
  <si>
    <t>v_rua32XjJh54</t>
  </si>
  <si>
    <t>We see a man throwing a curling stone.</t>
  </si>
  <si>
    <t>We see a man, 2 girls, then an older man interviewed.</t>
  </si>
  <si>
    <t>We see a man throwing the stone.</t>
  </si>
  <si>
    <t>We see the older man interviewed.</t>
  </si>
  <si>
    <t>We see two boys talking in the rink.</t>
  </si>
  <si>
    <t>We see a young man with longer hair being interviewed followed by two girls.</t>
  </si>
  <si>
    <t>We see the boy curl, then be interviewed and a girl interviewed.</t>
  </si>
  <si>
    <t>We see the people curling, a girl speaks, and a group of girls talks before they walk away.</t>
  </si>
  <si>
    <t>v_99KPQLxH4cw</t>
  </si>
  <si>
    <t>Several shots are shown of various snow boarders grinding down rails into snow with one falling and hurting himself.</t>
  </si>
  <si>
    <t>More shots of people wiping out in the end are shown as well as people talking to one another in a circle.</t>
  </si>
  <si>
    <t>v_P00O62PPzNU</t>
  </si>
  <si>
    <t>A large group of people seen pulling a rope away from one another.</t>
  </si>
  <si>
    <t>More games are shown of people playing tug of war.</t>
  </si>
  <si>
    <t>People watch on the sides as the men continue to play with one another.</t>
  </si>
  <si>
    <t>v_CB41iJu4ZVY</t>
  </si>
  <si>
    <t>A gymnast is seen standing ready with her arms up in the air in front of a large crowd.</t>
  </si>
  <si>
    <t>The girl then jumps up onto a beam and begins performing gymnastic tricks.</t>
  </si>
  <si>
    <t>The girl continues flipping and spinning around and ends with her jumping off to the side.</t>
  </si>
  <si>
    <t>v_T5GVJRbvNb8</t>
  </si>
  <si>
    <t>A young man runs and jumps over a bar onto a mat multiple times.</t>
  </si>
  <si>
    <t>People run and walk around a track in the background.</t>
  </si>
  <si>
    <t>The same young man then jumps over the bar using a springboard landing on the mat several times.</t>
  </si>
  <si>
    <t>People walk around a field house near the track.</t>
  </si>
  <si>
    <t>v_SsW-IeF0bzE</t>
  </si>
  <si>
    <t>Several kids are driving bumper cars in a group at a fair.</t>
  </si>
  <si>
    <t>A younger girl gets stuck and a man walks over to help her.</t>
  </si>
  <si>
    <t>The groups time runs out and all of the kids stand up and exit the bumper car area.</t>
  </si>
  <si>
    <t>The kids all go down the stairs and back to the fair area.</t>
  </si>
  <si>
    <t>There are lots of people of all ages around doing different things at the fair.</t>
  </si>
  <si>
    <t>v_ggDfJLB8jTk</t>
  </si>
  <si>
    <t>Shooting targets are shown on the grass.</t>
  </si>
  <si>
    <t>A man uses a bow and arrow to hit the targets.</t>
  </si>
  <si>
    <t>A man shoots a bow behind a pile of sticks.</t>
  </si>
  <si>
    <t>v_B92SbWzu8yI</t>
  </si>
  <si>
    <t>A young child is seen standing behind a set of drums and then begins playing the drums.</t>
  </si>
  <si>
    <t>The boys continues playing on the drums and ends with him kissing his fingers and giving a peace sign.</t>
  </si>
  <si>
    <t>v_Jifw8dC5yTM</t>
  </si>
  <si>
    <t>A young man in blue t-shirt walks through small dance studio room.</t>
  </si>
  <si>
    <t>The young man sets his stereo down on a chair.</t>
  </si>
  <si>
    <t>The man young man warms up and does a one handed handstand.</t>
  </si>
  <si>
    <t>The man does a break dance routine doing hand stands and spins.</t>
  </si>
  <si>
    <t>End credits are shown with names written in cursive.</t>
  </si>
  <si>
    <t>v_Coctj-3Yzic</t>
  </si>
  <si>
    <t>There are people in a garage standing around a long wooden table that has a lot of red solo cups on it.</t>
  </si>
  <si>
    <t>They all start throwing ping pong balls in attempt to get them to land in a red solo cup.</t>
  </si>
  <si>
    <t>Suddenly, one of them falls backwards into the table and the table falls.</t>
  </si>
  <si>
    <t>All the men start laughing, pull the table off of the man, and only one of the men go to help the person up.</t>
  </si>
  <si>
    <t>v_tOiPx5Veyd8</t>
  </si>
  <si>
    <t>A man is seen interviewing another man on camera and leads into several groups of people playing shuffle board.</t>
  </si>
  <si>
    <t>The camera pans back to the man being interviewed and ends with the host having one final word to the camera.</t>
  </si>
  <si>
    <t>v_6iwKUJUUlaQ</t>
  </si>
  <si>
    <t>Two woman are outdoors outside of a building and are playing hopscotch on cemented ground.</t>
  </si>
  <si>
    <t>There is white text on the screen.</t>
  </si>
  <si>
    <t>The younger woman in shorts jumps on the squares and an older woman wearing a dress also jumps on the squares.</t>
  </si>
  <si>
    <t>The young girl falls over.</t>
  </si>
  <si>
    <t>The older woman walks and celebrates raising her arms.</t>
  </si>
  <si>
    <t>The two look at the camera and give a thumbs up.</t>
  </si>
  <si>
    <t>v_78UikTQkGgg</t>
  </si>
  <si>
    <t>A close up of subway is seen and leads into a woman speaking to the camera and cutting up a piece of bread.</t>
  </si>
  <si>
    <t>The woman then lays out various ingredients on the bread and rolls it up in a wrap.</t>
  </si>
  <si>
    <t>Several pictures are then shown in the end of the sandwich all ready and people enjoying the sandwich.</t>
  </si>
  <si>
    <t>v_1Xav7gMRCOQ</t>
  </si>
  <si>
    <t>A man is standing inside a gym.</t>
  </si>
  <si>
    <t>He jumps on and off an exercise stepper, front to back and side to side.</t>
  </si>
  <si>
    <t>He spins as he climbs on and off.</t>
  </si>
  <si>
    <t>v_G72bQBMZmzs</t>
  </si>
  <si>
    <t>Two sumo wrestlers are shown on a set with hundreds of people watching in the back taking pictures.</t>
  </si>
  <si>
    <t>The video continues to show several different athletes fighting in a ring and pulling the other down within a matter of seconds.</t>
  </si>
  <si>
    <t>v_xQcJ8gTPRSU</t>
  </si>
  <si>
    <t>Two people are seen speaking to the camera and leads into the man peel a pear and scoping out the sides.</t>
  </si>
  <si>
    <t>The man then cuts the fruit and presents it onto a plate while still speaking to the camera.</t>
  </si>
  <si>
    <t>v_UOF3w4T-bBE</t>
  </si>
  <si>
    <t>A group of guy friends are in the bathroom talking and having fun daring on of the boys to shave his leg.</t>
  </si>
  <si>
    <t>The camera pans over to the boy's leg showing one of his friends shaving the hair off his leg with an electric razor.</t>
  </si>
  <si>
    <t>v_-YVhOi8vt_Q</t>
  </si>
  <si>
    <t>A person places down a rubik's cube on a folder.</t>
  </si>
  <si>
    <t>The puzzle is then solved in 11 seconds.</t>
  </si>
  <si>
    <t>v_eGA5tbX8oH0</t>
  </si>
  <si>
    <t>A family is in the living room I'm trying to get out after being snowed in.</t>
  </si>
  <si>
    <t>A man opens the door and tries to jump over the snow that is in the way.</t>
  </si>
  <si>
    <t>He gets stuck in the snow and his family tries to help him get out.</t>
  </si>
  <si>
    <t>Once he gets out he throws them a shovel to shovel the snow on the floor.</t>
  </si>
  <si>
    <t>The video ends with the credits shown on the screen.</t>
  </si>
  <si>
    <t>v_Z1POv1Qeno0</t>
  </si>
  <si>
    <t>People are floating down a river in rafts.</t>
  </si>
  <si>
    <t>We then see people getting rafts at a building.</t>
  </si>
  <si>
    <t>A man is in a boat people floating in a raft.</t>
  </si>
  <si>
    <t>A bus sits in front of the rafting facility and men stack rafts as other men walk with their rafts.</t>
  </si>
  <si>
    <t>A man and a woman are floating down the river in separate rafts.</t>
  </si>
  <si>
    <t>v_TpB_zMG3XBA</t>
  </si>
  <si>
    <t>We see a lady and two men standing in a lake.</t>
  </si>
  <si>
    <t>The lady then jet skis.</t>
  </si>
  <si>
    <t>We see the head of the person on the boat on the left bob in and out of the shot.</t>
  </si>
  <si>
    <t>The boat turns and we no longer see land in the background.</t>
  </si>
  <si>
    <t>The lady falls off the ski.</t>
  </si>
  <si>
    <t>A man walks over to help the lady in the lake.</t>
  </si>
  <si>
    <t>v_SiqB6_9kNQU</t>
  </si>
  <si>
    <t>At the fair the bumper cars are being used.</t>
  </si>
  <si>
    <t>A bunch of different people are riding around bumping into each other.</t>
  </si>
  <si>
    <t>They are just driving around aimlessly in circles as they hit and get hot by other riders.</t>
  </si>
  <si>
    <t>This is innocent fun during summer nights when you're bored and the fair is in town.</t>
  </si>
  <si>
    <t>v_AnRYS02tvRA</t>
  </si>
  <si>
    <t>A man and woman play rock paper scissors.</t>
  </si>
  <si>
    <t>The woman wins and smiles.</t>
  </si>
  <si>
    <t>The woman puts a blind fold on.</t>
  </si>
  <si>
    <t>The woman gives the man a hug.</t>
  </si>
  <si>
    <t>v_k0w1lMRoqYk</t>
  </si>
  <si>
    <t>A young girl is seen talking to the camera and leads into her browsing the internet then raking up leads in a yard.</t>
  </si>
  <si>
    <t>The girl is then seen sitting in the leaves and transitions into speaking with her mother in the kitchen.</t>
  </si>
  <si>
    <t>She is shown speaking to the camera one more time and ends with various pictures of kids.</t>
  </si>
  <si>
    <t>v_XftM9eALPy0</t>
  </si>
  <si>
    <t>A large arena houses many people.</t>
  </si>
  <si>
    <t>Poles are set up in the arena.</t>
  </si>
  <si>
    <t>Gymnasts perform on the poles.</t>
  </si>
  <si>
    <t>They do many tricks on them.</t>
  </si>
  <si>
    <t>v_1Xt1gZfZ2Rw</t>
  </si>
  <si>
    <t>A man is brushing the bottom of a ski.</t>
  </si>
  <si>
    <t>He melts wax onto the bottom of the ski and irons it.</t>
  </si>
  <si>
    <t>He then scrapes the wax off with a tool.</t>
  </si>
  <si>
    <t>He uses a brush to brush the bottom of the ski.</t>
  </si>
  <si>
    <t>v_FRag7CCTP4k</t>
  </si>
  <si>
    <t>An athlete is shown warming up in front of a pole while several others in the background run around a track.</t>
  </si>
  <si>
    <t>The man eventually prepares for his jump and jumps over the pole.</t>
  </si>
  <si>
    <t>He swings his arms up to celebrate and others around him clap for him.</t>
  </si>
  <si>
    <t>v_3xEonDbWxTM</t>
  </si>
  <si>
    <t>A lady stands with a pot and shows an area of a wall.</t>
  </si>
  <si>
    <t>The wall is cleaned with a wet towel using the solution in the pot.</t>
  </si>
  <si>
    <t>The lady points to an area of the wall that is discolored.</t>
  </si>
  <si>
    <t>v__gJFrtUQDLw</t>
  </si>
  <si>
    <t>An image is shown of an album cover that leads into a young man playing a harmonica slowly.</t>
  </si>
  <si>
    <t>The man rocks back and fourth to the song and interments between pictures of a band and himself playing.</t>
  </si>
  <si>
    <t>v__wqhA-Ceqwc</t>
  </si>
  <si>
    <t>man is standing in front of a counter showing how to sharpening a knife.</t>
  </si>
  <si>
    <t>in the background man is cooking in the back counter.</t>
  </si>
  <si>
    <t>man is explaining and checking the areas of the knife.</t>
  </si>
  <si>
    <t>v_9Hw3xvJJTy0</t>
  </si>
  <si>
    <t>Three wrestlers were in the ring and crowd iswatching intently.</t>
  </si>
  <si>
    <t>One wrestler named, East of Angeles, back away and climb the ladder.</t>
  </si>
  <si>
    <t>Another wrestler, TandumisGreat, gets up and starts climbing the other side of the ladder.</t>
  </si>
  <si>
    <t>They started hitting each other on top of the ladder.</t>
  </si>
  <si>
    <t>TandumisGreat climb on the back of East of Angeles and they both fall off the ladder, knocking East of Angeles.</t>
  </si>
  <si>
    <t>TandumISGReat climbs once again on the top of the ladder and holds the hanging money bank.</t>
  </si>
  <si>
    <t>v_pZZVzBD8bZY</t>
  </si>
  <si>
    <t>Various shots are shown of large crowd celebrating in the distance and people riding motorcycles around.</t>
  </si>
  <si>
    <t>The people continue riding around in slow motion as the camera captures their movements.</t>
  </si>
  <si>
    <t>v_w83HV_L4AiU</t>
  </si>
  <si>
    <t>A cartoon animation is shown with various hands and lobsters and demonstrating how to play rock paper scissors.</t>
  </si>
  <si>
    <t>More text is shown as well as hands and animals and shows steps on how to play the game.</t>
  </si>
  <si>
    <t>v_OCT2h1kmZoA</t>
  </si>
  <si>
    <t>We see an animated opening sequence.</t>
  </si>
  <si>
    <t>We see men riding snowboards on a ski slope.</t>
  </si>
  <si>
    <t>We see a man riding on the back part of the snowboard.</t>
  </si>
  <si>
    <t>We see a person in a bright pink jacket .</t>
  </si>
  <si>
    <t>A man is snowboarding with bare arms.</t>
  </si>
  <si>
    <t>Another man with no coat on is snowboarding.</t>
  </si>
  <si>
    <t>We see the ending sequence.</t>
  </si>
  <si>
    <t>v_6koP53YFNjg</t>
  </si>
  <si>
    <t>People are throwing balls into plastic cups.</t>
  </si>
  <si>
    <t>A hand knocks over a red plastic cup and wastes the liquid inside.</t>
  </si>
  <si>
    <t>A male reaches for a ball that rolls under a table.</t>
  </si>
  <si>
    <t>A plastic cup has a white suspension inside.</t>
  </si>
  <si>
    <t>A man welds and machine carves a wooden board.</t>
  </si>
  <si>
    <t>A guy carries a lady as they gesture and cheer.</t>
  </si>
  <si>
    <t>v__Xydl5mYkQ8</t>
  </si>
  <si>
    <t>A counter is shown with beer cans on it.</t>
  </si>
  <si>
    <t>A man is in a bathroom, using a toilet.</t>
  </si>
  <si>
    <t>He flushes, then smiles and talks to the camera.</t>
  </si>
  <si>
    <t>v_w69pipCSlM4</t>
  </si>
  <si>
    <t>The skier adjusts the rope with his red and black skis extending in front of him over the water as he prepares to ski.</t>
  </si>
  <si>
    <t>The boat pulls him off the dock and into the water as he rests upright, his skis out in front of him.</t>
  </si>
  <si>
    <t>As the boat picks up speed, the skier rises, and holds onto the rope, steering left and right.</t>
  </si>
  <si>
    <t>He just seems to miss a buoy as he cuts through water and the boat's wake.</t>
  </si>
  <si>
    <t>The boat turns towards the land with large buildings coming into view, and slowly he is taken back to the dock.</t>
  </si>
  <si>
    <t>v_Wi9bm9omdoM</t>
  </si>
  <si>
    <t>A small group of children are seen playing hand games with one another and finally hitting the loser on the head with a bottle.</t>
  </si>
  <si>
    <t>The kids continue to play the hand game with one another that leads into the beating another with a bottle.</t>
  </si>
  <si>
    <t>v_RatbnDSuY7w</t>
  </si>
  <si>
    <t>A man claps after performing a high jump on the field.</t>
  </si>
  <si>
    <t>We are shown the instant replay in slow motion a couple of times.</t>
  </si>
  <si>
    <t>He walks onto the field, shaking hands with his competitors.</t>
  </si>
  <si>
    <t>v_uFtP9Z_K87U</t>
  </si>
  <si>
    <t>Several shots of people are shown in water as well as landscapes around an island and people riding and moving around a boat.</t>
  </si>
  <si>
    <t>More shots of people scuba diving are shown as well as fish swimming around and people in the ocean.</t>
  </si>
  <si>
    <t>In the end the camera shows several shots of the boat and people moving away on a smaller boat.</t>
  </si>
  <si>
    <t>v_B3YfGd4Wt24</t>
  </si>
  <si>
    <t>A group of kids are seen practicing various cheer leading moves in a gym as well as woman speaking to the camera.</t>
  </si>
  <si>
    <t>Several shots are shown of the girl's outfits as well as them demonstrating moves.</t>
  </si>
  <si>
    <t>v_-Q03gEypilg</t>
  </si>
  <si>
    <t>This woman is walking, jumping, and flipping on the balance beam.</t>
  </si>
  <si>
    <t>When she's done she walks off the stage and goes to her dad.</t>
  </si>
  <si>
    <t>v_MYWnPFGvxwQ</t>
  </si>
  <si>
    <t>A backyard is shown as a man sitting on an electric lawn mower begins to cut the grass.</t>
  </si>
  <si>
    <t>He makes it to the other side but then starts to run into the tree.</t>
  </si>
  <si>
    <t>After,he back up,runs into the tree again and cuts around it.</t>
  </si>
  <si>
    <t>v_VEXswbPrwxE</t>
  </si>
  <si>
    <t>A bull comes out of the gate at a rodeo and man in the ring jumps on then off his back.</t>
  </si>
  <si>
    <t>The man picks up his fallen hat in the ring.</t>
  </si>
  <si>
    <t>The man runs around dodging the charging bull.</t>
  </si>
  <si>
    <t>The man drops his hat in the ring.</t>
  </si>
  <si>
    <t>The man jumps on the wall to avoid the bull.</t>
  </si>
  <si>
    <t>Another man opens the gate and calls to the bull to enter the pin.</t>
  </si>
  <si>
    <t>v_m2DOej6tPNs</t>
  </si>
  <si>
    <t>We see people doing a dance routine in a basketball court.</t>
  </si>
  <si>
    <t>The people wave their hands in the air.</t>
  </si>
  <si>
    <t>The camera pans left to show others.</t>
  </si>
  <si>
    <t>The camera pans right and we see others.</t>
  </si>
  <si>
    <t>The lades stand still and wave their arms in the air.</t>
  </si>
  <si>
    <t>The camera pans down to the ground.</t>
  </si>
  <si>
    <t>v_8nj8tlvLyUo</t>
  </si>
  <si>
    <t>Someone is running on the beach towards so sand castle competitions.</t>
  </si>
  <si>
    <t>A dog jumps in some sand dirt and is so happy about it.</t>
  </si>
  <si>
    <t>There are so many awesome and different things being made out of sand, it looks like it takes a lot of time and energy.</t>
  </si>
  <si>
    <t>There are people walking around and looking at all of them.</t>
  </si>
  <si>
    <t>v_wBODR3P39Nw</t>
  </si>
  <si>
    <t>A few pictures of a high school field hockey team are shown.</t>
  </si>
  <si>
    <t>Two teams of young girls are playing field hockey.</t>
  </si>
  <si>
    <t>The goalie is shown falling to the ground while making a save.</t>
  </si>
  <si>
    <t>The goalie makes another sliding save.</t>
  </si>
  <si>
    <t>The goalie kicks the ball away from the net.</t>
  </si>
  <si>
    <t>The game ends and the girls give high fives.</t>
  </si>
  <si>
    <t>v_TLQFjTXZ58E</t>
  </si>
  <si>
    <t>A man is standing outside in his front lawn with his mower.</t>
  </si>
  <si>
    <t>He talks about different lengths of grass for a while and then bends down to his mower.</t>
  </si>
  <si>
    <t>He uses a ruler to show more detailed and then moves the mower to the sidewalk to talk some more.</t>
  </si>
  <si>
    <t>He starts mowing his lawn finally going up and down the lawn.</t>
  </si>
  <si>
    <t>v_ae-aDWHvAGc</t>
  </si>
  <si>
    <t>Two women are shown standing behind a shuffle board table when one pushes a puck across the board.</t>
  </si>
  <si>
    <t>The other woman prepares her push and send it to a man standing on the other side.</t>
  </si>
  <si>
    <t>They push the puck several more times while the camera follows their movements.</t>
  </si>
  <si>
    <t>v_xmAcpNTJUxo</t>
  </si>
  <si>
    <t>A person with a white mask and a sheet over his head walks back from the camera and grabs a pumpkin.</t>
  </si>
  <si>
    <t>The min then starts to carve the pumpkin and takes out the pumpkin sees.</t>
  </si>
  <si>
    <t>When they are all cleaned and taken out and placed in the oven as the man takes a sip of alcohol.</t>
  </si>
  <si>
    <t>v_onW5hJXnI5s</t>
  </si>
  <si>
    <t>This is a documentary on horseback riding.</t>
  </si>
  <si>
    <t>They explain the power, thrill, fun, grace, flying, friends, freedom, and love of horseback riding.</t>
  </si>
  <si>
    <t>They then show the difficulties of training horses, the dangers of riding them, and the downside of competition.</t>
  </si>
  <si>
    <t>Then they show the highlights of competitive riding.</t>
  </si>
  <si>
    <t>v_MLU2wreEGIg</t>
  </si>
  <si>
    <t>A small child is seen standing before a set of monkey bars.</t>
  </si>
  <si>
    <t>The boy then pushes himself along across the monkey bars.</t>
  </si>
  <si>
    <t>He jumps down in the end and begins walking across a bridge.</t>
  </si>
  <si>
    <t>v_sV6NoTdFaPE</t>
  </si>
  <si>
    <t>A young woman is seen speaking to the camera while holding onto a field hockey stick.</t>
  </si>
  <si>
    <t>The girl then hits the ball all around the yard while the camera follows.</t>
  </si>
  <si>
    <t>She continues to hit the ball around and stops to look at the camera.</t>
  </si>
  <si>
    <t>v_ibHRKaD5MbM</t>
  </si>
  <si>
    <t>A pinata is hanging from a tree, and a woman brings a girl with a stick over to it.</t>
  </si>
  <si>
    <t>She helps her whack the pinata several times.</t>
  </si>
  <si>
    <t>v_L61yQxW8HVE</t>
  </si>
  <si>
    <t>An intro screen appears that include a logo and the words "Expert Village Presents".</t>
  </si>
  <si>
    <t>A woman is now sitting and talking while holding a clarinet.</t>
  </si>
  <si>
    <t>The woman then puts the clarinet to her mouth and begins playing for a few seconds.</t>
  </si>
  <si>
    <t>The woman stops playing and resumes talking and using a lot of hand motioning, then resumes playing.</t>
  </si>
  <si>
    <t>The woman once again stops playing and begins talking while using her hands a lot and holding it in front of her face and etc.</t>
  </si>
  <si>
    <t>The woman begins playing once more until the outro of a white screen appears and it include a logo, and information for:copyright, rights and website.</t>
  </si>
  <si>
    <t>v_M_OPqcaCDYI</t>
  </si>
  <si>
    <t>A group of six are on a little boat sitting waiting for the whistle to blow.</t>
  </si>
  <si>
    <t>Once it is blown they begin to paddle as quickly as they possibly can, working very well together.</t>
  </si>
  <si>
    <t>They almost hit a wall of rocks but are able to turn in time not to and are able to continue in route.</t>
  </si>
  <si>
    <t>Waves, pick up and then they do hit a different wall of rock, where they turn around at to go back.</t>
  </si>
  <si>
    <t>v_fp0dd844oUU</t>
  </si>
  <si>
    <t>A man in gray long sleeves talks in a stage of Ultimate Guinness World Records.</t>
  </si>
  <si>
    <t>A young table tennis player is standing in front of table with spectators behind her.</t>
  </si>
  <si>
    <t>Two players play table tennis and continue playing for a minute and record 173 hits.</t>
  </si>
  <si>
    <t>The play is reviewed and the young player was introduced as Ai Fukuhara, with a record of most table tennis counter hits .</t>
  </si>
  <si>
    <t>The man in stage talks again while walking around the stage.</t>
  </si>
  <si>
    <t>v_s7ajQRC7w9w</t>
  </si>
  <si>
    <t>A woman is holding onto a wind surfboard in the water.</t>
  </si>
  <si>
    <t>She steps onto the board and starts wind surfing.</t>
  </si>
  <si>
    <t>She holds onto the kite of the wind surf.</t>
  </si>
  <si>
    <t>v_jmWtHelsblo</t>
  </si>
  <si>
    <t>A large group of people are shown performing a dance routine together with one woman leading in front.</t>
  </si>
  <si>
    <t>The people continue moving their arms and legs around together to move their bodies and obtain exercise.</t>
  </si>
  <si>
    <t>v_oNN6NE8fq0U</t>
  </si>
  <si>
    <t>A man talks to the audience while seated on stage before a performance.</t>
  </si>
  <si>
    <t>A man plays the keys of an accordion while opening and closing the air box.</t>
  </si>
  <si>
    <t>The man sings a few verses loudly with excitement.</t>
  </si>
  <si>
    <t>The man finishes the song and gathers up his notes from the podium.</t>
  </si>
  <si>
    <t>v_7AtINKDyH2Q</t>
  </si>
  <si>
    <t>There is a team of players playing hurling in an outdoor field.</t>
  </si>
  <si>
    <t>A person named Donal Cusack explains what hurling is and what is comprises of.</t>
  </si>
  <si>
    <t>The team players are playing a game of hurling with their bats as they try to hit the ball into the goal.</t>
  </si>
  <si>
    <t>v___c8enCfzqw</t>
  </si>
  <si>
    <t>A lady in black jacket is posing for the camera, then a man with medium length hair is shown, the man touched her hair to check on it, then the girl blow dry her hair.</t>
  </si>
  <si>
    <t>The lady sat at the center of the studio with her wet hair, she put a white cream on her hand then rub it on her hair.</t>
  </si>
  <si>
    <t>The girl blow dry her hair with white blower, sectioned her hair, brushed her hair with roller brush while blow drying it at the same time, she roll the brush downwards and upwards.</t>
  </si>
  <si>
    <t>She styled her hair by brushing and combing it to give more volume.</t>
  </si>
  <si>
    <t>v_tIaNvRDp0eE</t>
  </si>
  <si>
    <t>Several people are seen sitting in tubes at the top of a hill.</t>
  </si>
  <si>
    <t>The men speak to one another while one climbs in.</t>
  </si>
  <si>
    <t>The men all finally ride down the hill together while getting out in the end and laughing with one another.</t>
  </si>
  <si>
    <t>v_u0WgmhffTyI</t>
  </si>
  <si>
    <t>A male toddler is sitting on the floor near a female toddler and they are playing miniature floor foosball.</t>
  </si>
  <si>
    <t>The young male takes his hand and reaches inside to grab the soccer ball.</t>
  </si>
  <si>
    <t>As they keep playing, a set of feet appear and hold down the end of the board.</t>
  </si>
  <si>
    <t>Once they are removed,the two kids continue playing the game and moving the handles on the bars.</t>
  </si>
  <si>
    <t>The camera then zooms in on the boy and then the girl expressing their emotions.</t>
  </si>
  <si>
    <t>Each of them continues to play and adjust their body position as they become more focused.</t>
  </si>
  <si>
    <t>A goal is finally made and the girl goes into the goal and picks the ball out.</t>
  </si>
  <si>
    <t>v_Cul7VFkLTMc</t>
  </si>
  <si>
    <t>A group of surfers are on their boards surfing waves.</t>
  </si>
  <si>
    <t>One of the surfers is swallowed by one of the waves.</t>
  </si>
  <si>
    <t>Two surfers surf close to each other and are knocked down by a wave.</t>
  </si>
  <si>
    <t>A surfer is casually swimming when a wave crashes straight into him.</t>
  </si>
  <si>
    <t>A surfer attempts to surf but is quickly thrown off his board by a wave.</t>
  </si>
  <si>
    <t>v__LKFGLH8XxI</t>
  </si>
  <si>
    <t>A little girl is playing with a toy hair dryer.</t>
  </si>
  <si>
    <t>She continues playing with the toy hair dryer and talking.</t>
  </si>
  <si>
    <t>She picks up a toy curler and sets it down on the desk in front of her.</t>
  </si>
  <si>
    <t>v_TCFDMNSYTVw</t>
  </si>
  <si>
    <t>Two people are skiing, holding a rope.</t>
  </si>
  <si>
    <t>Waves are opened in their crest.</t>
  </si>
  <si>
    <t>They move under a small bridge.</t>
  </si>
  <si>
    <t>The boy in green bends over.</t>
  </si>
  <si>
    <t>The boy in green zooms out to the side.</t>
  </si>
  <si>
    <t>The boy moves to the side of the boat and then flips over the second skier.</t>
  </si>
  <si>
    <t>The boy leans back on his board and flips back over the other skier.</t>
  </si>
  <si>
    <t>The boy in green swings out again and flips over the skier giving him a high five.</t>
  </si>
  <si>
    <t>The two skiers have a conversation while riding.</t>
  </si>
  <si>
    <t>Both skiers swing out and swing to the other side of the boat.</t>
  </si>
  <si>
    <t>The boys continue to wave and talk.</t>
  </si>
  <si>
    <t>v_tEnhhhWqnWQ</t>
  </si>
  <si>
    <t>A woman does a dance with a hulahoop.</t>
  </si>
  <si>
    <t>She throws it up, catches it, and dances around the room.</t>
  </si>
  <si>
    <t>v_gPofktt3hUw</t>
  </si>
  <si>
    <t>A young man puts cement to the ceiling and even with a flat tool.</t>
  </si>
  <si>
    <t>the man wears stilts on his feet.</t>
  </si>
  <si>
    <t>The man puts cement on the empty spaces and strokes with the tool to even the ceiling.</t>
  </si>
  <si>
    <t>v_dxgeEdlt7do</t>
  </si>
  <si>
    <t>Dirt bikes race across a bumpy track.</t>
  </si>
  <si>
    <t>A rider falls off his bike and a trailing bike hits him and knocks him back to the ground.</t>
  </si>
  <si>
    <t>The words "2014 FIM MOTOCROSS WORLD CHAMPIONSHIP MXGP" appear on screen followed by social links.</t>
  </si>
  <si>
    <t>v_kBUDMFgWO9I</t>
  </si>
  <si>
    <t>A view of a very large diving platform with different heights is shown and people around the pool are walking.</t>
  </si>
  <si>
    <t>A person on one of the platforms dive into the pool.</t>
  </si>
  <si>
    <t>The diver hitting the pool causes a small splash.</t>
  </si>
  <si>
    <t>Video then freezes and there are no movements.</t>
  </si>
  <si>
    <t>v_YxUNzzrgJnI</t>
  </si>
  <si>
    <t>A car is driving down a road with passengers.</t>
  </si>
  <si>
    <t>The men gather on a bridge, adorning equipment.</t>
  </si>
  <si>
    <t>A man in a gorilla costume walks along the bridge.</t>
  </si>
  <si>
    <t>The men take turns bungee jumping from the bridge.</t>
  </si>
  <si>
    <t>The people wave as they drive away, then are shown posing for a picture.</t>
  </si>
  <si>
    <t>v_v05j8FVewPc</t>
  </si>
  <si>
    <t>A woman is talking and is excited.</t>
  </si>
  <si>
    <t>She pulls out a pink sweater to iron.</t>
  </si>
  <si>
    <t>She irons the pink sweater.</t>
  </si>
  <si>
    <t>v_9qNM5tNMxK4</t>
  </si>
  <si>
    <t>There are two players wearing a red and white shirt and the other wearing black and white shirt, playing racket ball in an indoor court with a few spectators.</t>
  </si>
  <si>
    <t>The player in red hits the ball with a front hand swing and his opponent leaps forward to return the ball.</t>
  </si>
  <si>
    <t>The player in red continues to swing his racket in a front hand as he never fails to miss a single shot.</t>
  </si>
  <si>
    <t>The player in black misses one shot, but he immediately grabs the ball and they continue to play again.</t>
  </si>
  <si>
    <t>Both the players continue on a great rally without missing a shot.</t>
  </si>
  <si>
    <t>The player in red runs swiftly across the court to hit the ball back.</t>
  </si>
  <si>
    <t>Then they play five rounds continuously using back hand swings until the player in black misses a shot.</t>
  </si>
  <si>
    <t>Then they begin their final round where the player in black and white ends the final shot.</t>
  </si>
  <si>
    <t>They end the game by shaking hands and walk out of the court.</t>
  </si>
  <si>
    <t>v_mwGs9TeYpM0</t>
  </si>
  <si>
    <t>A man is seen speaking to the camera in a large field while holding a lacrosse stick.</t>
  </si>
  <si>
    <t>He points to himself while holding up the stick and continues to speak to the camera and how to properly hold the stick.</t>
  </si>
  <si>
    <t>v_XuwqWdp-u2M</t>
  </si>
  <si>
    <t>A girl swings her stick away at a pinata.</t>
  </si>
  <si>
    <t>A group of people watch her from behind and cheer her on.</t>
  </si>
  <si>
    <t>She continues to swing away at the pinata and the object moves back and fourth in the wind.</t>
  </si>
  <si>
    <t>v_K8Fq9kjfK_U</t>
  </si>
  <si>
    <t>A camera pans around a large gymnasium and leads into two performers walking to the middle of the stage.</t>
  </si>
  <si>
    <t>The girls perform a dance routine use batons and end by holding a pose.</t>
  </si>
  <si>
    <t>v_MF3VcmCCgzY</t>
  </si>
  <si>
    <t>One woman and two men, wearing white pants, white shirt and black and white belts demonstrate martial arts moves, barefoot, on a large patch of grass in front of a body of water and a city scape of buildings.</t>
  </si>
  <si>
    <t>A woman with blonde hair in a ponytail and a black belt, demonstrates martial arts moves first exhibiting shoulder and arm moves and footwork.</t>
  </si>
  <si>
    <t>A man in a white belt demonstrates martial arts moves using knee bends.</t>
  </si>
  <si>
    <t>A third man in a black belt demonstrates martial arts moves exhibiting floor work, leg swipes and high kicks.</t>
  </si>
  <si>
    <t>v_LMxfRVcBrD8</t>
  </si>
  <si>
    <t>A woman chef is demonstrating how to make restaurant style pasta.</t>
  </si>
  <si>
    <t>She begins with adding spaghetti in a large pot of boiling water.</t>
  </si>
  <si>
    <t>She sautes chopped onions and some Italian dressing along with garlic on a saucepan.</t>
  </si>
  <si>
    <t>She then adds a cup of grape tomatoes.</t>
  </si>
  <si>
    <t>She checks the pasta for it's softness.</t>
  </si>
  <si>
    <t>She removes the cooked pasta off of the gas and pours it into a plate.</t>
  </si>
  <si>
    <t>Then she adds the cooked sauce right over the pasta.</t>
  </si>
  <si>
    <t>She chops fresh basil with a pair of scissors and garnishes it over the pasta along with some cheese Then she shows an Alfredo sauce recipe.</t>
  </si>
  <si>
    <t>She sprinkles grated Parmesan cheese over the Alfredo pasta to finish off.</t>
  </si>
  <si>
    <t>v_8HY9CPl9CqE</t>
  </si>
  <si>
    <t>A group of swimmers are getting ready to perform.</t>
  </si>
  <si>
    <t>The crowd watches the girls get ready.</t>
  </si>
  <si>
    <t>A girl dives off the diving board and people cheer.</t>
  </si>
  <si>
    <t>She climbs out of the pool while another swimmer gets ready to jump.</t>
  </si>
  <si>
    <t>v_2PCZkpF1_wU</t>
  </si>
  <si>
    <t>A large multilayer red velvet cake is shown, along with the multitude of ingredients.</t>
  </si>
  <si>
    <t>A hand turns on an oven, before mixing the ingredients together in a bowl.</t>
  </si>
  <si>
    <t>Throughout, some random tidbits and facts are shared.</t>
  </si>
  <si>
    <t>v_Z47Ig2AqKfg</t>
  </si>
  <si>
    <t>A man is on a stage amongst bright flashing lights and music.</t>
  </si>
  <si>
    <t>He is quickly playing a violin for the audience.</t>
  </si>
  <si>
    <t>He pauses to dance, then goes back to playing as they clap and cheer.</t>
  </si>
  <si>
    <t>v_wbrnTczxvVw</t>
  </si>
  <si>
    <t>There are two women dressed in black and blue tank tops demonstrating how to use the hula hoop.</t>
  </si>
  <si>
    <t>They both begin spinning with blue and silver hula hoops.</t>
  </si>
  <si>
    <t>They are in a spacious room with little furniture and hardwood floors.</t>
  </si>
  <si>
    <t>The woman in the blue tank top shows how to hula hoop in fast motion.</t>
  </si>
  <si>
    <t>Then both the women show how to twirl the hoop by raising it high up above their heads.</t>
  </si>
  <si>
    <t>They bend their backs to lower themselves down as the continue to hula hoop.</t>
  </si>
  <si>
    <t>They talk to each other as they share tips about ways to hula hoop.</t>
  </si>
  <si>
    <t>v_CF6Q5ojrAJo</t>
  </si>
  <si>
    <t>The men are taking turns chopping a log in two.</t>
  </si>
  <si>
    <t>The chop over and over again.</t>
  </si>
  <si>
    <t>The log breaks in two.</t>
  </si>
  <si>
    <t>v_D_zM6YmlUnw</t>
  </si>
  <si>
    <t>A woman wearing a tan apron is holding a knife and talking.</t>
  </si>
  <si>
    <t>She then shows an appliance on the table and tilts it upwards.</t>
  </si>
  <si>
    <t>She turns a dial on the appliance and sets it back down.</t>
  </si>
  <si>
    <t>She picks the knife back up and places it on the appliance.</t>
  </si>
  <si>
    <t>She turns the dial again on the appliance.</t>
  </si>
  <si>
    <t>She picks the knife back up and places it in the appliance and slowly draws it back several times.</t>
  </si>
  <si>
    <t>She slices a tomato on a wood block with the knife.</t>
  </si>
  <si>
    <t>She grabs a second knife and puts it in the appliance.</t>
  </si>
  <si>
    <t>v_pbTzltaBByk</t>
  </si>
  <si>
    <t>A close up of a hedge is shown followed by a man walking into frames with tools and beginning to cut the hedge.</t>
  </si>
  <si>
    <t>The man continues cutting all along the hedge while moving in and out of frame.</t>
  </si>
  <si>
    <t>v_woLR9wHe0Vs</t>
  </si>
  <si>
    <t>We see a man in a yard raking with a title on the screen.</t>
  </si>
  <si>
    <t>We see a tree trunk and leaves falling.</t>
  </si>
  <si>
    <t>We see the man talking and see the yard as he rakes.</t>
  </si>
  <si>
    <t>We then see the man as he blows it with a leaf blower and a vacuum.</t>
  </si>
  <si>
    <t>v_9-hrNWXnuY8</t>
  </si>
  <si>
    <t>Several images of dogs are shown outside in the field.</t>
  </si>
  <si>
    <t>A young woman then appears in a grassy field and play with her dog and throwing a red Frisbee to him.</t>
  </si>
  <si>
    <t>The girl then kneels down in the grass and holds the Frisbee over her head and congratulates her dog as the trick is completed and they continue to do it over and over again.</t>
  </si>
  <si>
    <t>v_lpZytCK-g1M</t>
  </si>
  <si>
    <t>A young boy kneels outside and washes his face and hands from small dishes, in front of him, filled with water and soap.</t>
  </si>
  <si>
    <t>A boy kneels in a corner of an outdoor patio in front of a row of bowls.</t>
  </si>
  <si>
    <t>The boy splashes water on his face and lathers his hands with soapy water from the dishes.</t>
  </si>
  <si>
    <t>The boy continues washing his face as a woman in a light colored dress garment walks past him.</t>
  </si>
  <si>
    <t>v_nT1-fINd4nA</t>
  </si>
  <si>
    <t>A person uses a leaf blows and blows leafs.</t>
  </si>
  <si>
    <t>The dog runs to the right and out of the path.</t>
  </si>
  <si>
    <t>The dog runs back and fort in front of the leaf blower.</t>
  </si>
  <si>
    <t>v_y7tActqdm9A</t>
  </si>
  <si>
    <t>Two wildebeests lock horns in a fight for dominance.</t>
  </si>
  <si>
    <t>The fight continues with the rest of the wildebeest herd looking on.</t>
  </si>
  <si>
    <t>The fight continues on as one wildabeast pushes the other away from the herd near a river.</t>
  </si>
  <si>
    <t>One wildebeest gives up and runs off as the other wildebeest chases.</t>
  </si>
  <si>
    <t>v_K7rfN2W0ts4</t>
  </si>
  <si>
    <t>A person's hands are seen at a poker table grabbing cards while another deals.</t>
  </si>
  <si>
    <t>The dealer continuously throws out cards while also putting chips in.</t>
  </si>
  <si>
    <t>The person playing does the same several times.</t>
  </si>
  <si>
    <t>v_cufmgoo7E_k</t>
  </si>
  <si>
    <t>An intro leads into a horse tied up to a calf with a man roping a rope around the animal.</t>
  </si>
  <si>
    <t>A man is then shown being interviewed on camera as well as an other woman beside him.</t>
  </si>
  <si>
    <t>v_oofh5aSJUSc</t>
  </si>
  <si>
    <t>A man wearing a ghost shirt is playing a game of beer pong.</t>
  </si>
  <si>
    <t>He lines up four cups, throwing the balls into the cups.</t>
  </si>
  <si>
    <t>He continues until all the balls have gone into the cups perfectly.</t>
  </si>
  <si>
    <t>v_r-rNYo8ju4k</t>
  </si>
  <si>
    <t>A group of men are all seen standing around one another on a beach while speaking and laughing to one another.</t>
  </si>
  <si>
    <t>Then men the begin putting sunscreen on one another down a line.</t>
  </si>
  <si>
    <t>v_p1pkFRHG7UY</t>
  </si>
  <si>
    <t>A tall building is shown with a tower.</t>
  </si>
  <si>
    <t>People are applauding for people that are jumping off of the top of the building.</t>
  </si>
  <si>
    <t>v_n5xfkpQ8PWM</t>
  </si>
  <si>
    <t>A woman wraps several Christmas gifts.</t>
  </si>
  <si>
    <t>A woman smiles and cuts a wrapping paper with a scissor.</t>
  </si>
  <si>
    <t>The woman places a teddy bear in a bowl.</t>
  </si>
  <si>
    <t>A woman puts two crystal presents in a white and pink box.</t>
  </si>
  <si>
    <t>A woman holds up a covered gift wrapped in silver wrapping paper.</t>
  </si>
  <si>
    <t>A woman places a jewelry box in a box.</t>
  </si>
  <si>
    <t>The woman presents a gold bowl.</t>
  </si>
  <si>
    <t>The woman holds out stacked, wrapped gifts with her hands.</t>
  </si>
  <si>
    <t>The woman blows glitter papers from the palm of her hand.</t>
  </si>
  <si>
    <t>The sponsor of the clips is introduced and displayed on the screen.</t>
  </si>
  <si>
    <t>v_bfZZdTPYmos</t>
  </si>
  <si>
    <t>There's a man wearing a white graphic shirt, sitting with bongo drums drumming a beat on the drums.</t>
  </si>
  <si>
    <t>He is wearing headphones as he drums a beat on the drums.</t>
  </si>
  <si>
    <t>He continues playing the drums.</t>
  </si>
  <si>
    <t>After a while he changes the beat after pausing for a little time.</t>
  </si>
  <si>
    <t>Then continues playing another beat on the drums.</t>
  </si>
  <si>
    <t>Then he stops for a little bit and rearranges the drums to play again.</t>
  </si>
  <si>
    <t>Another person is drumming beats on an electrical drum set that has several drums.</t>
  </si>
  <si>
    <t>v_kHyEIbBnzYM</t>
  </si>
  <si>
    <t>A man is seen walking over to a young girl who stands on a stage and begins performing martial arts.</t>
  </si>
  <si>
    <t>She performs several flips and tricks and bows to a man in the end while everyone claps for her.</t>
  </si>
  <si>
    <t>v_rBQO0Nf05vg</t>
  </si>
  <si>
    <t>The man in black shirt and blue jeans is rolling an old red carpet and vacuum the floor.</t>
  </si>
  <si>
    <t>He then unroll the new gray carpet, install it by cutting it and nailing the carpet on the floor, he removed the excess carpet on the wall, flattened it with a tool, then vacuum once the installation is complete.</t>
  </si>
  <si>
    <t>v_jXARa4T2G8o</t>
  </si>
  <si>
    <t>An intro leads into a camera panning around various snow locations with people moving and plows moving.</t>
  </si>
  <si>
    <t>The camera shows several different people stretching and warming up followed by two people falling over and standing up.</t>
  </si>
  <si>
    <t>Several clips are shown of snow boarders doing tricks on a mountain as well as jumps and grinds.</t>
  </si>
  <si>
    <t>v_8Yfm6gbKRho</t>
  </si>
  <si>
    <t>A man runs onto the field of a sporting game.</t>
  </si>
  <si>
    <t>Cricket players are pitched balls during a game in a large stadium.</t>
  </si>
  <si>
    <t>The cricket player hits a high pop fly that is caught.</t>
  </si>
  <si>
    <t>The cricket players pose for photos.</t>
  </si>
  <si>
    <t>The players all line up for a race on the adjacent track.</t>
  </si>
  <si>
    <t>v_xmGucghu2FI</t>
  </si>
  <si>
    <t>An intro of text leads into several clips of athletes throwing javelins off into the distance.</t>
  </si>
  <si>
    <t>The video continues with several more athletes being shown performing impressive throws with the Javelin.</t>
  </si>
  <si>
    <t>v_zh2Thxc6NVI</t>
  </si>
  <si>
    <t>A man in a red jacket is talking on a hockey rink.</t>
  </si>
  <si>
    <t>Several people start playing hockey on the ice.</t>
  </si>
  <si>
    <t>He gives another player a hug.</t>
  </si>
  <si>
    <t>v_3nLA8R3ULSE</t>
  </si>
  <si>
    <t>man is riding a motorbike in a dusty path inside a dome.</t>
  </si>
  <si>
    <t>motorbikes are riding bikes doing motocross in a field inside a dome.</t>
  </si>
  <si>
    <t>people are in bikes in a competition.</t>
  </si>
  <si>
    <t>v_5sYPXv0RkiM</t>
  </si>
  <si>
    <t>A man stands next to a pile of wood holding tools on his shoulders.</t>
  </si>
  <si>
    <t>The man uses a large ax to chop logs standing upright in a grassy forested area area.</t>
  </si>
  <si>
    <t>v_3dR4MEUDHa0</t>
  </si>
  <si>
    <t>Two men are playing ping pong together, one guy is wearing a black suit, the guy in the black suit has a unique style.</t>
  </si>
  <si>
    <t>The man in the black suit spikes the ping pong ball and celebrates.</t>
  </si>
  <si>
    <t>The camera scene switches to show the players from another perspective, the player in the black suit makes another spike on the ball.</t>
  </si>
  <si>
    <t>Now two players proceed to play the player in the black suit at once, he spiked the ball on both players.</t>
  </si>
  <si>
    <t>The man in the black suit is using nunchucks to play ping pong, they now have 4 players playing against him, the man in the black suit taunts them by reading a book while playing, he also pauses the ping pong balls, takes a sip of water and resumes The man starts laughing at them, and the men are frustrated.</t>
  </si>
  <si>
    <t>A final challenger arrives and walks towards him.</t>
  </si>
  <si>
    <t>The challenger spikes the ball so hard it kills him.</t>
  </si>
  <si>
    <t>v_MEwGjGcV_Ik</t>
  </si>
  <si>
    <t>Two people front to front push discs on the floor with a stick in a gym.</t>
  </si>
  <si>
    <t>A man pass on front a clock.</t>
  </si>
  <si>
    <t>v_FkQ1V0V_XCs</t>
  </si>
  <si>
    <t>A lady sits and discusses, indoors.</t>
  </si>
  <si>
    <t>The lady shows off her painted nails.</t>
  </si>
  <si>
    <t>The lady presents her nail polishes.</t>
  </si>
  <si>
    <t>The lady paints her fingernail.</t>
  </si>
  <si>
    <t>The puts nail polish on a folder and uses them to embellish her fingernail.</t>
  </si>
  <si>
    <t>The lady raises her foot and shows off her sock.</t>
  </si>
  <si>
    <t>v_OUY4TkdjnyA</t>
  </si>
  <si>
    <t>The topic of the video shows how to play foosball.</t>
  </si>
  <si>
    <t>It begins with a title screen.</t>
  </si>
  <si>
    <t>Then a clip is shown of a little boy who puts a ball shaped like an eyeball on a foosball table.</t>
  </si>
  <si>
    <t>A screen with words shows up.</t>
  </si>
  <si>
    <t>Then, a clip is shown of two boys playing with the foosball table, one of whom is reading a magazine while playing.</t>
  </si>
  <si>
    <t>Several additional clips appear showing the boys playing foosball in different ways.</t>
  </si>
  <si>
    <t>The video ends with one of the boys falling asleep while playing.</t>
  </si>
  <si>
    <t>v_tuhHQ-lHIs4</t>
  </si>
  <si>
    <t>A group of kids poses with the arms in the air.</t>
  </si>
  <si>
    <t>Another group of kids poses holding up peace signs.</t>
  </si>
  <si>
    <t>A third group of kids poses with their arms around each other.</t>
  </si>
  <si>
    <t>A fourth group of kids poses with their mouths open.</t>
  </si>
  <si>
    <t>A fifth group of kids poses smiling.</t>
  </si>
  <si>
    <t>A group of kids stands on a line in a gym.</t>
  </si>
  <si>
    <t>A girl flips across the gym.</t>
  </si>
  <si>
    <t>A young boy bounces a dodge ball.</t>
  </si>
  <si>
    <t>A group of kids in blue all run toward the center of the gym.</t>
  </si>
  <si>
    <t>A young boy aims a dodge ball at a group of kids on the opposite side of the gym and throws the ball hitting one of them.</t>
  </si>
  <si>
    <t>A young boy in blue celebrates.</t>
  </si>
  <si>
    <t>Another older boy in blue throws a dodge ball.</t>
  </si>
  <si>
    <t>A little boy runs to the line holding two balls and throws one of them.</t>
  </si>
  <si>
    <t>A boy in blue throws a ball while a boy behind him runs.</t>
  </si>
  <si>
    <t>A boy in pink throws a ball.</t>
  </si>
  <si>
    <t>A young boy in white dips down and a ball flies over his head.</t>
  </si>
  <si>
    <t>A boy in pink and then a girl in pink throw a ball.</t>
  </si>
  <si>
    <t>several kids in white celebrate.</t>
  </si>
  <si>
    <t>A group of kids runs toward the center of the gym.</t>
  </si>
  <si>
    <t>The white team plays and a very young player throws the ball.</t>
  </si>
  <si>
    <t>A boy in green throws the ball and the blue team runs to throw several balls back.</t>
  </si>
  <si>
    <t>Another boy and girl run and throw a ball at the same time.</t>
  </si>
  <si>
    <t>A boy in white throws a ball.</t>
  </si>
  <si>
    <t>A group of adults stands on the line on the gym floor.</t>
  </si>
  <si>
    <t>The adults play do0dge ball.</t>
  </si>
  <si>
    <t>A group of kids and adults hold up trophy's and wave.</t>
  </si>
  <si>
    <t>v_6Pj1Ocz8MUo</t>
  </si>
  <si>
    <t>A teen skateboard down a road while turning around and spinning.</t>
  </si>
  <si>
    <t>Another youth skateboard on the road while making turns.</t>
  </si>
  <si>
    <t>A boy holds a skateboard on his hand.</t>
  </si>
  <si>
    <t>A young man skateboard until a busy street, then the teen continue skateboarding.</t>
  </si>
  <si>
    <t>v_hzU9--vcDMY</t>
  </si>
  <si>
    <t>A man puts on paintball gear in a mirror grabs his gun and runs through the snow.</t>
  </si>
  <si>
    <t>Men duck behind trees, plywood walls and fences on a paintball field.</t>
  </si>
  <si>
    <t>Men shoot back and forth at each other.</t>
  </si>
  <si>
    <t>Men run and duck looking for a place to hide.</t>
  </si>
  <si>
    <t>The men sit on either side of the wall looking for each other then stand up and face each other.</t>
  </si>
  <si>
    <t>A man talks in front of a paintball park sign.</t>
  </si>
  <si>
    <t>v_QBlveXzAZsY</t>
  </si>
  <si>
    <t>Several bikes are in a shop lined up.</t>
  </si>
  <si>
    <t>We see people looking at the bikes, and a large box containing one.</t>
  </si>
  <si>
    <t>A man opens the box and removes the bike, He shows the pieces to the camera.</t>
  </si>
  <si>
    <t>v_OYMGPkucZYI</t>
  </si>
  <si>
    <t>Ehow and Style are on the screen.</t>
  </si>
  <si>
    <t>A woman is standing at a table with a shoe and a can of hairspray.</t>
  </si>
  <si>
    <t>The woman sprays hairspray on a scuff mark on the shoe and takes a cotton tip and rubs the scuff mark out.</t>
  </si>
  <si>
    <t>The scuff mark is gone and she talks to the camera.</t>
  </si>
  <si>
    <t>The video ends with a ehow promo.</t>
  </si>
  <si>
    <t>v_cTbkhIaj_Xc</t>
  </si>
  <si>
    <t>A group of men are standing a field and a man rolls a red ball to the other team and it is kicked out.</t>
  </si>
  <si>
    <t>After,the team switches and continue to play games of kickball.</t>
  </si>
  <si>
    <t>Now two more teams approach and the captains play Rock,Paper,Scissor to determine who will start the game.</t>
  </si>
  <si>
    <t>The woman loses and the men begin to play kicking the ball and running to the bases.</t>
  </si>
  <si>
    <t>v_xF7etZzLFbY</t>
  </si>
  <si>
    <t>A man walks alongside a boy who is mowing the lawn.</t>
  </si>
  <si>
    <t>He instructs the boy on how to turn the mower and go around a small tree.</t>
  </si>
  <si>
    <t>He continues walking and guiding the boy.</t>
  </si>
  <si>
    <t>v_RQwgREUcreI</t>
  </si>
  <si>
    <t>A woman holding a doll undoes curlers from the dolls hair.</t>
  </si>
  <si>
    <t>The woman shoes off the dolls hair.</t>
  </si>
  <si>
    <t>The woman turns the doll around to show off the back of the dolls head.</t>
  </si>
  <si>
    <t>The woman continues to show off the dolls hair.</t>
  </si>
  <si>
    <t>v_D1x5KVBdiuI</t>
  </si>
  <si>
    <t>A person is seen putting a weight on followed by a woman lifting a bar up over her head.</t>
  </si>
  <si>
    <t>Another person is seen after her lifting up a large set of weights over their heads.</t>
  </si>
  <si>
    <t>Several more people are seen lifting heavy weights over their heads while others watch on the side.</t>
  </si>
  <si>
    <t>v_J5xPmg3tmtg</t>
  </si>
  <si>
    <t>A man is seen speaking to the camera while holding sponge and a sander in each hand.</t>
  </si>
  <si>
    <t>The man then wets the sander and uses it along a set of skis.</t>
  </si>
  <si>
    <t>He guides it along the ski and stops to speak to the camera and smile.</t>
  </si>
  <si>
    <t>v_Yfg0bZbxjVg</t>
  </si>
  <si>
    <t>A lady sits on a bathtub and talks while playing with a dog.</t>
  </si>
  <si>
    <t>The lady puts the dog in the water and washes him.</t>
  </si>
  <si>
    <t>The lady adds more soap.</t>
  </si>
  <si>
    <t>The lady rinses the dog and wraps in him in a mustard orange towel.</t>
  </si>
  <si>
    <t>the lady sits and talks as the dog sits in her lap.</t>
  </si>
  <si>
    <t>The ending credits roll up the screen.</t>
  </si>
  <si>
    <t>v_P62B_iDlQXM</t>
  </si>
  <si>
    <t>A circle of green grass is shown with a trail of rocks surrounding it,a brick wall,and some trees.</t>
  </si>
  <si>
    <t>A man then comes and starts to cut the grass going around its perimeter.</t>
  </si>
  <si>
    <t>After,he takes the lawn mower and starts going vertically across the grass until the whole thing has been completed.</t>
  </si>
  <si>
    <t>v_-ucwgrxTBEg</t>
  </si>
  <si>
    <t>Two people are demonstrating Tai Chi.</t>
  </si>
  <si>
    <t>There is a garden with colorful flowers shown outside the Tai Chi school building.</t>
  </si>
  <si>
    <t>The instructors wearing blue robes are showing the basic moves used in Tai Chi.</t>
  </si>
  <si>
    <t>They are swaying their hands above their heads from left to right.</t>
  </si>
  <si>
    <t>Then the instructor demonstrates arm strength by tapping his right arm over his extended left arm.</t>
  </si>
  <si>
    <t>Both the instructors stand facing each other as they demonstrate slow and gradual hand movements.</t>
  </si>
  <si>
    <t>v_FbvTQ1-FCag</t>
  </si>
  <si>
    <t>A man is shooting a bow and arrow.</t>
  </si>
  <si>
    <t>The dart board that they are shooting at is shown.</t>
  </si>
  <si>
    <t>People are celebrating and clapping hands.</t>
  </si>
  <si>
    <t>v_j7rvKBvvvRg</t>
  </si>
  <si>
    <t>A man is on front a sink talking and wash a dish, then he puts it on the counter.</t>
  </si>
  <si>
    <t>The man put dish soap on a dish and scrub it while rinsing with water.</t>
  </si>
  <si>
    <t>Then the man shows his tattooed arms, then continues washing dishes.</t>
  </si>
  <si>
    <t>v_SNuH7bpgHuY</t>
  </si>
  <si>
    <t>The two bulls run into each other and they bump heads fighting until they knock each other down.</t>
  </si>
  <si>
    <t>Then the people run over to them and some are holding rope, while one checks on it's bloody head.</t>
  </si>
  <si>
    <t>v_16T82DHJClA</t>
  </si>
  <si>
    <t>The door opens and another man comes in and arm wrestles.</t>
  </si>
  <si>
    <t>They start fighting in the room.</t>
  </si>
  <si>
    <t>They arm wrestle again at the table.</t>
  </si>
  <si>
    <t>v_g0ns-bQ4PjE</t>
  </si>
  <si>
    <t>The lady in pink is belly dancing on the stage.</t>
  </si>
  <si>
    <t>The man is playing a keyboard, while the other man is playing the drum.</t>
  </si>
  <si>
    <t>The lady turned around, swirling around the stage and shake her hips.</t>
  </si>
  <si>
    <t>v_8GeLWWLIar4</t>
  </si>
  <si>
    <t>We see a dancing man on the cover of a book then on a street.</t>
  </si>
  <si>
    <t>We see the man sitting on the floor talking to a camera.</t>
  </si>
  <si>
    <t>We see the man illustrating break dance moves.</t>
  </si>
  <si>
    <t>The man is talking and sitting still.</t>
  </si>
  <si>
    <t>We see the man dance fast.</t>
  </si>
  <si>
    <t>We see the man perform a leg sweep move.</t>
  </si>
  <si>
    <t>We see an animated close scene and a subscribe page.</t>
  </si>
  <si>
    <t>v_kUxz_SPi72U</t>
  </si>
  <si>
    <t>A man is seen kneeling down beside a tire while holding up various tools.</t>
  </si>
  <si>
    <t>The man then takes off a hubcap and places it back on the tire.</t>
  </si>
  <si>
    <t>He turns to speak to the camera.</t>
  </si>
  <si>
    <t>v_xSMmdsV65Bc</t>
  </si>
  <si>
    <t>A White plastering tool is shown with a brown wooden handle on it.</t>
  </si>
  <si>
    <t>A person then picks it up and begins to bend it showing how the object works.</t>
  </si>
  <si>
    <t>After,the object is demonstrated on the corner of the walls and then the plaster is washed off in the grass.</t>
  </si>
  <si>
    <t>v_xr64cSwpNOM</t>
  </si>
  <si>
    <t>A man competes in a strong man competition and stands on a log chopping it with an ax in hand.</t>
  </si>
  <si>
    <t>The man finally splits the log below his feet.</t>
  </si>
  <si>
    <t>A second man in the competition in vest picks up and drops a large spherical weight on a tire repeatedly.</t>
  </si>
  <si>
    <t>A A man in red steps onto a log and receives an ax by a referee.</t>
  </si>
  <si>
    <t>v_wAt_OsQe-qM</t>
  </si>
  <si>
    <t>A man is talking inside a room in a house.</t>
  </si>
  <si>
    <t>He is holding a stick and violin.</t>
  </si>
  <si>
    <t>He then demonstrates how to play the violin.</t>
  </si>
  <si>
    <t>v_1G3rv9ssDY4</t>
  </si>
  <si>
    <t>Two professional bikers are biking at the Peckham BMX Club.</t>
  </si>
  <si>
    <t>The bikers are going over a curbed surface at full speed.</t>
  </si>
  <si>
    <t>There are several other bikers doing the same activity on another curved surface.</t>
  </si>
  <si>
    <t>There are five bikers wearing helmets standing ready to start a race.</t>
  </si>
  <si>
    <t>They begin racing at high speed over a curved road.</t>
  </si>
  <si>
    <t>Two more batches of racers start the same race.</t>
  </si>
  <si>
    <t>A single biker is going through the curved road at very high speed.</t>
  </si>
  <si>
    <t>v_hHxEBnhLsXs</t>
  </si>
  <si>
    <t>A person perform wake board holding a ski water rope.</t>
  </si>
  <si>
    <t>The man jumps an obstacle several times and lands in the water.</t>
  </si>
  <si>
    <t>Then, the man jumps the obstacle and spin around.</t>
  </si>
  <si>
    <t>Then, the man slides on ramps while flipping in the air.</t>
  </si>
  <si>
    <t>v_w8gNl6HWctA</t>
  </si>
  <si>
    <t>A man exercises by doing animated stretches in a doorway while holding a tennis racket.</t>
  </si>
  <si>
    <t>A woman approaches him and the two begin to talk.</t>
  </si>
  <si>
    <t>The man and woman begin to play tennis in a closed gym room by hitting the tennis ball against a wall with their tennis racket.</t>
  </si>
  <si>
    <t>The man becomes irate as he plays and begins stomping, yelling, wildly gesturing and pushing the woman down on the floor when she falls as they play the game.</t>
  </si>
  <si>
    <t>When the game ends the woman leaves, looking upset and the man looks satisfied as he begins doing wild stretches in front of the doorway and talking to another person.</t>
  </si>
  <si>
    <t>v__aEA1UuTai8</t>
  </si>
  <si>
    <t>A girl is standing on top of a balance beam.</t>
  </si>
  <si>
    <t>She does forward flips on the beam.</t>
  </si>
  <si>
    <t>She watches as other girls do the same.</t>
  </si>
  <si>
    <t>v_bAD_-DEgubk</t>
  </si>
  <si>
    <t>There's a young boy playing lacrosse in his front yard.</t>
  </si>
  <si>
    <t>he is holding a yellow lacrosse stick.</t>
  </si>
  <si>
    <t>He is excited as he plays the game while his mother cheers him up to play.</t>
  </si>
  <si>
    <t>He picks up the yellow ball and throws it across to his father.</t>
  </si>
  <si>
    <t>When his father throws the ball to him, he catches it with the lacrosse stick.</t>
  </si>
  <si>
    <t>His mother gets excited and shouts out for him.</t>
  </si>
  <si>
    <t>v_XFlWVBU4z9E</t>
  </si>
  <si>
    <t>A woman attempts to remove her coffee from a glove compartment, but it won't budge.</t>
  </si>
  <si>
    <t>She leans forward, waving away the camera man as she tries to take a drink.</t>
  </si>
  <si>
    <t>She finally is able to remove the cup.</t>
  </si>
  <si>
    <t>v_yE5euaQmcXw</t>
  </si>
  <si>
    <t>A man is seen grabbing a puck and curling along the ice in front of others.</t>
  </si>
  <si>
    <t>The people push the puck down the ice and celebrate with one another.</t>
  </si>
  <si>
    <t>People on the sidelines cheer and the men walk away.</t>
  </si>
  <si>
    <t>v_c7fu7RcM2iE</t>
  </si>
  <si>
    <t>A group of men do freestyle running jumps throughout the city.</t>
  </si>
  <si>
    <t>The men run together in a group.</t>
  </si>
  <si>
    <t>Each man does a set of multiple jumps in a continuous line.</t>
  </si>
  <si>
    <t>The filming is interrupted by building staff.</t>
  </si>
  <si>
    <t>v_wiflxvRl04M</t>
  </si>
  <si>
    <t>A woman is seen walking into frame and nodding at the camera that leads into her pouring mouthwash out and into her mouth.</t>
  </si>
  <si>
    <t>She rinses the mouthwash around, gurgles the liquid into her mouth, then spits it out and smiles.</t>
  </si>
  <si>
    <t>v_po_mfZ5LUVo</t>
  </si>
  <si>
    <t>A young man stands on the start line of a swimming pool.</t>
  </si>
  <si>
    <t>Then, the young man gets in the water and swims to the other side of the pull.</t>
  </si>
  <si>
    <t>After, the young man gets off the pool.</t>
  </si>
  <si>
    <t>v_wfUKi83iJCU</t>
  </si>
  <si>
    <t>Two men are showering in an outside shower.</t>
  </si>
  <si>
    <t>People are playing water polo in the water.</t>
  </si>
  <si>
    <t>They get out of the water and are walking next to the pool.</t>
  </si>
  <si>
    <t>v_fUivipdikFU</t>
  </si>
  <si>
    <t>A group of women are gathered in an indoor gym.</t>
  </si>
  <si>
    <t>They are being led by an instructor.</t>
  </si>
  <si>
    <t>They are doing zumba dances using steppers.</t>
  </si>
  <si>
    <t>v_g_qHPA0RkAY</t>
  </si>
  <si>
    <t>A line of knives and cutting utensils are on a table.</t>
  </si>
  <si>
    <t>A woman is cutting the top off of a pumpkin and raking the seeds into a bowl.</t>
  </si>
  <si>
    <t>Then she begins gutting the seeds from the pumpkin.</t>
  </si>
  <si>
    <t>She draws a face on the outside before using a knife to begin carving out the face of her pumpkin.</t>
  </si>
  <si>
    <t>Finally she places the top back in place, and puts a candle inside.</t>
  </si>
  <si>
    <t>v_fqOp0uhdEyM</t>
  </si>
  <si>
    <t>Michele Obama and another woman are hula hooping outside on a sunny day.</t>
  </si>
  <si>
    <t>As the camera zooms out a young boy and another woman to the side are also seen hula hooping while people behind run past.</t>
  </si>
  <si>
    <t>A closeup back to Michele Obama's face where she looks like she is getting quite the workout, making a smirk on her face.</t>
  </si>
  <si>
    <t>The camera angles down to just the two women's hips with the hula hoops as in the beginning and back up to mostly just seeing Michele's face.</t>
  </si>
  <si>
    <t>Michele now runs and jumps into a jumprope where she fails to successfully jump in the jump rope twice, both times looking embarrassed.</t>
  </si>
  <si>
    <t>The third time she prepares herself and runs towards the jump rope successfully jumping a couple times before being unable to do anymore.</t>
  </si>
  <si>
    <t>Now Michele is running through a foot course on the ground, while a young man trails behind.</t>
  </si>
  <si>
    <t>She is now going back and forth through another obstacle of sticks and runs towards the woods where she stops and points.</t>
  </si>
  <si>
    <t>She runs all the way back down the field, giving high fives to random people on the field at her arrival.</t>
  </si>
  <si>
    <t>v_YFIkhFEtD8w</t>
  </si>
  <si>
    <t>A person's hands are seen close up solving a rubix cube followed by a man speaking to the camera.</t>
  </si>
  <si>
    <t>The man then solves a rubix cube blind folded while a timer captures his score.</t>
  </si>
  <si>
    <t>He finishes the cube and takes off the headpiece in the end.</t>
  </si>
  <si>
    <t>v_i7L1KNGeEqU</t>
  </si>
  <si>
    <t>snowboarder is in big field in white snow.</t>
  </si>
  <si>
    <t>a cubicle in the mountain and slip down the mountain in snowboard.</t>
  </si>
  <si>
    <t>people is in cubicle and moving down the mountain in snowboard and pass by a parking lot.</t>
  </si>
  <si>
    <t>v_Is0_Qv6NLm0</t>
  </si>
  <si>
    <t>Two young guys stand together and hold up money.</t>
  </si>
  <si>
    <t>The young guys talk to a homeless man and shake his hand.</t>
  </si>
  <si>
    <t>The men talk with a homeless youth sitting outside a store.</t>
  </si>
  <si>
    <t>The group all walks together down a street.</t>
  </si>
  <si>
    <t>The men hold an arm wrestling contest standing on an outside patio.</t>
  </si>
  <si>
    <t>The man wins and both contestants are given prize money.</t>
  </si>
  <si>
    <t>v_99dCcB5Unmo</t>
  </si>
  <si>
    <t>A dancer's feet are shown in a classroom as well as a ballet class occurring in the background.</t>
  </si>
  <si>
    <t>The teacher instructs the girls how to perform proper ballet moves, as the students follow.</t>
  </si>
  <si>
    <t>The girls move their arms in the correct position and eventually turn to one side.</t>
  </si>
  <si>
    <t>Finally the instructor teaches the girls to extend their legs and perform a proper move.</t>
  </si>
  <si>
    <t>v_V1CX5B7ih6c</t>
  </si>
  <si>
    <t>Two men are on a padded surface, fighting.</t>
  </si>
  <si>
    <t>They jump and kick at each other.</t>
  </si>
  <si>
    <t>They roll around on the mat until one of them pins the other.</t>
  </si>
  <si>
    <t>v_-kAlrG4jS9M</t>
  </si>
  <si>
    <t>A man is shown bullfighting in front of a crowd.</t>
  </si>
  <si>
    <t>The man falls and is run over by the bull.</t>
  </si>
  <si>
    <t>The man is escorted out of the arena.</t>
  </si>
  <si>
    <t>The man falling over and being run over is replayed.</t>
  </si>
  <si>
    <t>Two people are shown reacting to the incident.</t>
  </si>
  <si>
    <t>Slow motion video and still images of the man's injury are shown.</t>
  </si>
  <si>
    <t>The video content repeats starting from the two people reacting.</t>
  </si>
  <si>
    <t>v_b82y7f7TFbw</t>
  </si>
  <si>
    <t>A woman talks about playing pool.</t>
  </si>
  <si>
    <t>She explains the right way to stand and how to shoot a ball when playing pool.</t>
  </si>
  <si>
    <t>v_y5wu5pysE14</t>
  </si>
  <si>
    <t>A guy runs and jumps over a pole without touching it and lands on mats,as some people in the back ground watch and others do there practices.</t>
  </si>
  <si>
    <t>the guy seems to be practicing how high he can jump by jumping over the pole many times,each time a person raises the pole higher and higher to see if the guy can jump over it.</t>
  </si>
  <si>
    <t>one jump the guy knocked the pole down when he tried to hump over it.</t>
  </si>
  <si>
    <t>the guy knock the pole down six time out of all his jumps.</t>
  </si>
  <si>
    <t>v_dpU5CcFqAPU</t>
  </si>
  <si>
    <t>Players are pulling the rope in a tug of war match.</t>
  </si>
  <si>
    <t>A man squats on the floor and rises.</t>
  </si>
  <si>
    <t>Guys pulling the left side of the rope falls to the ground.</t>
  </si>
  <si>
    <t>The guys let go of the rope, get off the lawn, and hug in celebration.</t>
  </si>
  <si>
    <t>v_tvzl11XL01k</t>
  </si>
  <si>
    <t>There's a woman dressed in a beige sweater demonstrating how to wrap Christmas gifts.</t>
  </si>
  <si>
    <t>she begins with cutting the gift wrapping paper neatly to fit the size of the box.</t>
  </si>
  <si>
    <t>She folds the paper evenly to cover the entire box.</t>
  </si>
  <si>
    <t>Then she uses scotch tape to seal the ends securely.</t>
  </si>
  <si>
    <t>She takes some decorative ribbon and other decorative items to top the box to add a special touch to the presents.</t>
  </si>
  <si>
    <t>v_MO8Dfz2Lp3w</t>
  </si>
  <si>
    <t>A group of young men play volleyball on a sandy beach in front of the ocean.</t>
  </si>
  <si>
    <t>A group of men in swim trunks and bikini briefs play volleyball in the sand at the beach in front of a tall green volley ball net.</t>
  </si>
  <si>
    <t>The men are competitive as they play using feet and head and chest to move the ball around.</t>
  </si>
  <si>
    <t>One man is lying on the sand and then gets up to play more volleyball.</t>
  </si>
  <si>
    <t>v_lO2Y1vkpyNc</t>
  </si>
  <si>
    <t>A man is seen hosting a news segment that leads into a player standing on a field.</t>
  </si>
  <si>
    <t>A person hits a ball and teammates cheer followed by more people playing the game.</t>
  </si>
  <si>
    <t>The sport continues on with people throwing balls an hitting them as well as teammates cheering and the host finishes speaking.</t>
  </si>
  <si>
    <t>v_iVGGeRlJekQ</t>
  </si>
  <si>
    <t>a stands woman by a ball and sets it in place.</t>
  </si>
  <si>
    <t>Another woman appears and they wrap the ball in wrapping paper.</t>
  </si>
  <si>
    <t>They finish wrapping and taping the ball.</t>
  </si>
  <si>
    <t>they take the camera and start to talk into it.</t>
  </si>
  <si>
    <t>v_ClE77VhGQsk</t>
  </si>
  <si>
    <t>A woman is seen speaking to the camera while people use exercise equipment around her.</t>
  </si>
  <si>
    <t>More shots are shown of people using the machine as well as people speaking to the camera and close ups of the machine.</t>
  </si>
  <si>
    <t>v_AJtJcV2_l1Q</t>
  </si>
  <si>
    <t>A construction man introduces the video and talks about placing shingles on a roof.</t>
  </si>
  <si>
    <t>He places some shingles down and nails them in.</t>
  </si>
  <si>
    <t>He nails in a metal piece that runs along the corner of the roof and building to help keep things in place.</t>
  </si>
  <si>
    <t>He repeats this process before closing the video.</t>
  </si>
  <si>
    <t>v_JAO5R6VA8r4</t>
  </si>
  <si>
    <t>A shot of a room is shown when a man walks into frame.</t>
  </si>
  <si>
    <t>The man then begins jump roping over and over again.</t>
  </si>
  <si>
    <t>He continues to jump rope and ends by walking out of frame.</t>
  </si>
  <si>
    <t>v_J8VMY1SPJaY</t>
  </si>
  <si>
    <t>A woman is seen speaking to the camera that leads into clips of people riding in kayaks and camels wandering around.</t>
  </si>
  <si>
    <t>More clips are shown of people riding around the water in a kayak.</t>
  </si>
  <si>
    <t>The person paddles themselves along the water with other people riding near him.</t>
  </si>
  <si>
    <t>v_35Xzs3Bz1hQ</t>
  </si>
  <si>
    <t>A working man carried a tray of coffee to a table with guest.</t>
  </si>
  <si>
    <t>Another man is talking to some reporters with the microphone.</t>
  </si>
  <si>
    <t>Another entrepreneur talks with the the reporters about the coffee business.</t>
  </si>
  <si>
    <t>Then they are in the coffee shop them making coffee and working around.</t>
  </si>
  <si>
    <t>v_ojQdrhHT_gE</t>
  </si>
  <si>
    <t>People are driving in bumper cars and bump into one another and are forced to stop.</t>
  </si>
  <si>
    <t>The three bumper cars break away and begin to drive in different directions as they continue to bump into one another.</t>
  </si>
  <si>
    <t>Two girls in a bumper car bump into a wall and briefliy have a hard time getting back to moving.</t>
  </si>
  <si>
    <t>People are constantly driving their bumper cars and bumping into things until the ride is over.</t>
  </si>
  <si>
    <t>v_kC8DS6b76yI</t>
  </si>
  <si>
    <t>There's a man wearing a black shirt and a green bandana demonstrating how to spray paint a microfiber sofa.</t>
  </si>
  <si>
    <t>He is using a red can of spray paint to demonstrate how to paints a cream colored sofa with red paint.</t>
  </si>
  <si>
    <t>He continues to spray paint the back and the arm rests of the sofa.</t>
  </si>
  <si>
    <t>He then places one unpainted of the seat cushions back on the sofa.</t>
  </si>
  <si>
    <t>v_coK0QVLhuj0</t>
  </si>
  <si>
    <t>Several shots of people grooming dogs are shown as well as a woman speaking to the camera in several settings.</t>
  </si>
  <si>
    <t>Dogs are seen being scrubbed, nails clipped, and brushed down with combs by several people and another woman showing off the collars they have in store.</t>
  </si>
  <si>
    <t>More shots of the store are shown as well as many dogs being groomed.</t>
  </si>
  <si>
    <t>v_5VHqMj5iikc</t>
  </si>
  <si>
    <t>A bike is pulled up to a stop in a park.</t>
  </si>
  <si>
    <t>A rider takes off from a gate on the dirt bike.</t>
  </si>
  <si>
    <t>He takes the turns and curves sharply, going over hills.</t>
  </si>
  <si>
    <t>v_eu3CLlQ9c2s</t>
  </si>
  <si>
    <t>A man replaces a tire on his bike rim using tools.</t>
  </si>
  <si>
    <t>The man reattaches the bicycle wheel to the frame of the bike.</t>
  </si>
  <si>
    <t>The sun goes down as the day gets later.</t>
  </si>
  <si>
    <t>The man stands up his bike and gets ready to depart.</t>
  </si>
  <si>
    <t>v_uZpVDAd7da8</t>
  </si>
  <si>
    <t>person with scissors kneels in the grass.</t>
  </si>
  <si>
    <t>We see the shadow of the cameraman over the person.</t>
  </si>
  <si>
    <t>The person is cutting grass with child proof scissors.</t>
  </si>
  <si>
    <t>v_hyv8OkQcgEA</t>
  </si>
  <si>
    <t>Men blows dead leaves pushing a leaf blower machine on the ground or holding a machine on the back.</t>
  </si>
  <si>
    <t>Then, a man explains how to operate a leaf blow machine while men continue blowing the leaves.</t>
  </si>
  <si>
    <t>Another man explains while other men vacuum and blows leaves.</t>
  </si>
  <si>
    <t>v_U2u9JboK97A</t>
  </si>
  <si>
    <t>We see an image and a title card.</t>
  </si>
  <si>
    <t>We see a man playing basketball.</t>
  </si>
  <si>
    <t>The shot he made is seen in reverse.</t>
  </si>
  <si>
    <t>We see a gym with teenagers shooting basketball.</t>
  </si>
  <si>
    <t>We see a title card on black.</t>
  </si>
  <si>
    <t>A man is shooting basketball in a gym.</t>
  </si>
  <si>
    <t>We see a man dunk the ball twice.</t>
  </si>
  <si>
    <t>We see the ending title card on black.</t>
  </si>
  <si>
    <t>v_9YxgMsdO9GE</t>
  </si>
  <si>
    <t>Two people are seen riding down a road with a dog.</t>
  </si>
  <si>
    <t>One person is riding a bike and the other a skateboard while the camera follows close behind.</t>
  </si>
  <si>
    <t>Several other dogs run by and the people continue riding down the road path.</t>
  </si>
  <si>
    <t>v_tTIsHfF0UgA</t>
  </si>
  <si>
    <t>man is holding a pole with an ice cream and giving it to a little child.</t>
  </si>
  <si>
    <t>people are standing and walking behind the boy in a amusement park.</t>
  </si>
  <si>
    <t>v_O9crPOB_9tE</t>
  </si>
  <si>
    <t>A man is surfing in rough ocean water, riding on and against, massive high waves while onlookers on motorboats watch and commentate.</t>
  </si>
  <si>
    <t>The man, in a wetsuit, is standing and riding on a yellow surfboard and a red surfboard first on a calm wave and then on a series of large and high waves.</t>
  </si>
  <si>
    <t>The man rides the rough waves on the surfboard with the waves at time covering his entire body and surfboard.</t>
  </si>
  <si>
    <t>The man hugs and shakes hands with people upon completing the rough surf episode and rides one last lone, high wave before fading to black.</t>
  </si>
  <si>
    <t>v_GZsplhHXQy0</t>
  </si>
  <si>
    <t>A man performs a kettle throw in front of an outdoor stadium filled with spectators in the audience.</t>
  </si>
  <si>
    <t>A man on a round dirt area on a field swings a ball around and around while standing in place.</t>
  </si>
  <si>
    <t>The man lets the ball go, where it flies in the air ahead of him.</t>
  </si>
  <si>
    <t>The man stops and bends with his knees as he watches the ball fly in the air.</t>
  </si>
  <si>
    <t>v_PG3f3Wkkptk</t>
  </si>
  <si>
    <t>A man guides a camel with kids riding on the back along a beach shoreline.</t>
  </si>
  <si>
    <t>Beach goers stand and walk along the shoreline in bathing suits.</t>
  </si>
  <si>
    <t>v_lAa8tS962Qg</t>
  </si>
  <si>
    <t>A teen explains how to flip and turn a surfboard with the feet.</t>
  </si>
  <si>
    <t>Then, the teen shows how to rise the tips of the surfboard.</t>
  </si>
  <si>
    <t>Then, the teen stands on the surfboard and demonstrates how to turn it to the side.</t>
  </si>
  <si>
    <t>After, the teen puts his hand in shoes on the surfboard and demonstrates a turn.</t>
  </si>
  <si>
    <t>Next, the teen make the turn with his feet.</t>
  </si>
  <si>
    <t>v_Quj1J31xQFM</t>
  </si>
  <si>
    <t>People are rowing down a body of water.</t>
  </si>
  <si>
    <t>A guy rinses his face with water from the body of water.</t>
  </si>
  <si>
    <t>The guy runs his water fingers through this hair.</t>
  </si>
  <si>
    <t>A man with a mustache leans over, wets his hand, and whips his face.</t>
  </si>
  <si>
    <t>v_EJr0qHpy77g</t>
  </si>
  <si>
    <t>A guy stands in a court holding a colorful stick and touches a pinata.</t>
  </si>
  <si>
    <t>A guy swings a stick at a pinata.</t>
  </si>
  <si>
    <t>The guy stops and puts the stick besides him.</t>
  </si>
  <si>
    <t>v_gXVjjjvjVf4</t>
  </si>
  <si>
    <t>A man is seated in front of a small canvas.</t>
  </si>
  <si>
    <t>He uses a long pointed brush to create an image.</t>
  </si>
  <si>
    <t>He then fills the image with paints.</t>
  </si>
  <si>
    <t>v_8v4NoUJMssI</t>
  </si>
  <si>
    <t>A man pours coffee into a mug.</t>
  </si>
  <si>
    <t>The man grabs open a beer bottle with the use of a jug.</t>
  </si>
  <si>
    <t>The man pours the beer into the mug.</t>
  </si>
  <si>
    <t>The man drinks the drink.</t>
  </si>
  <si>
    <t>v_rWoSJ9YBy5E</t>
  </si>
  <si>
    <t>We see a man talking to a camera then hold a curling stone then people laughing at the man.</t>
  </si>
  <si>
    <t>The man throws the curling stone as people sweep brooms in front of the stone.</t>
  </si>
  <si>
    <t>Three ladies throw the stone and slides down the track.</t>
  </si>
  <si>
    <t>We see people partying an lights flashing.</t>
  </si>
  <si>
    <t>Images flash of people curing again, and a group of people jump in the air.</t>
  </si>
  <si>
    <t>We see a title screen for curling.</t>
  </si>
  <si>
    <t>v_DuLweixeP8I</t>
  </si>
  <si>
    <t>Two people are sword fighting on a stage for an audience.</t>
  </si>
  <si>
    <t>A guy gestures the the result of each match.</t>
  </si>
  <si>
    <t>The audience members look on.</t>
  </si>
  <si>
    <t>v_HtuDZLsOK6M</t>
  </si>
  <si>
    <t>Various shots of scenery are shown and leads to a person scratching a dog and pulling a rope.</t>
  </si>
  <si>
    <t>More shots of people riding a boat are shown, seagulls flying, and people playing music.</t>
  </si>
  <si>
    <t>Next a person is seen drawing on a map and ends with an anchor and pictures of people.</t>
  </si>
  <si>
    <t>v_Kz6I9Zx5E_0</t>
  </si>
  <si>
    <t>A team of young cheerleaders are in a gym doing toss ups and flips.</t>
  </si>
  <si>
    <t>The owner then comes along and begins to talk as the video goes over the materials each person will need.</t>
  </si>
  <si>
    <t>After,three girls are shown standing in a straddle position and begins to clap and lunge with their right hand to the side and go down.</t>
  </si>
  <si>
    <t>The girls continue to do the cheer and when they are done, the owner joins in.</t>
  </si>
  <si>
    <t>Once the coach disappears,the girls continue the cheer and the video ends.</t>
  </si>
  <si>
    <t>v_SzLlB2SgtQo</t>
  </si>
  <si>
    <t>The video leads into several shots of different people riding around windsurfing while passing one another.</t>
  </si>
  <si>
    <t>A man is seen talking to the camera and leads into a shot of a person wind surfing and waving to the camera.</t>
  </si>
  <si>
    <t>More people are shown surfing and waving to the camera while moving around the ocean continuously.</t>
  </si>
  <si>
    <t>v_LHiui4s2X1s</t>
  </si>
  <si>
    <t>Two people are seen standing in front of a large crowd with one cheering and shoving his arms back and fourth.</t>
  </si>
  <si>
    <t>The men throw the ball back and fourth and switch places with another, ending with the same man cheering and hugging another.</t>
  </si>
  <si>
    <t>v_AjSFqqfzml0</t>
  </si>
  <si>
    <t>We see a play button on a screen.</t>
  </si>
  <si>
    <t>We sees a lady shave her legs with a pink razor.</t>
  </si>
  <si>
    <t>We then see the ending screen play button.</t>
  </si>
  <si>
    <t>v_N7z9_g196z0</t>
  </si>
  <si>
    <t>Titles in bold lettering are seen on the page against still images and a dark background.</t>
  </si>
  <si>
    <t>Men play a game of croquet in a grassy yard.</t>
  </si>
  <si>
    <t>Men kneels down and hits the croquet ball like a billiard shot.</t>
  </si>
  <si>
    <t>The man runs holding up his stick celebrating.</t>
  </si>
  <si>
    <t>A man skips on the grass holding his stick smiling.</t>
  </si>
  <si>
    <t>v_YLT7YEwUCwI</t>
  </si>
  <si>
    <t>A man is seen speaking to the camera and leads into him sitting still in a pool.</t>
  </si>
  <si>
    <t>The man then begins swimming around the pool back and fourth with others.</t>
  </si>
  <si>
    <t>Several shots are shown of him swimming around people as well as moving in the water.</t>
  </si>
  <si>
    <t>v_UyThFVEvNsI</t>
  </si>
  <si>
    <t>Two women are playing badminton on a stage.</t>
  </si>
  <si>
    <t>People are playing the game of the price is right.</t>
  </si>
  <si>
    <t>A woman wins and walks on the stage to give the host a hug.</t>
  </si>
  <si>
    <t>v_jDlF26-Uu2I</t>
  </si>
  <si>
    <t>Two girls are standing on a grass field.</t>
  </si>
  <si>
    <t>One of the girls starts doing cheerleading moves.</t>
  </si>
  <si>
    <t>The other girl stands next to her talking.</t>
  </si>
  <si>
    <t>v__I1DKeGg_w8</t>
  </si>
  <si>
    <t>A man is practicing throwing darts at his dart board.</t>
  </si>
  <si>
    <t>He throws them all and then he has to get over to get them all off.</t>
  </si>
  <si>
    <t>Once he has them all off he starts to throw them again.</t>
  </si>
  <si>
    <t>He repeats this cycle a few times over and over again.</t>
  </si>
  <si>
    <t>v_H5TETCI731k</t>
  </si>
  <si>
    <t>A man talks indoors, then a lady talks in a field while girls runs on her side.</t>
  </si>
  <si>
    <t>The lady talks with girls who plays a game hitting a ball with a stick.</t>
  </si>
  <si>
    <t>Girls take turns to talk, while other players practice shooting balls to the goal and display the city of Baltimore, the players of the Ravens and the roads of the city.</t>
  </si>
  <si>
    <t>v_r1ZhBGLfRWY</t>
  </si>
  <si>
    <t>A boy is twirled around and prepared to break a pinata.</t>
  </si>
  <si>
    <t>Instead he hits a girl in the face.</t>
  </si>
  <si>
    <t>v_kAmDOTsp5cs</t>
  </si>
  <si>
    <t>A man skip rope in a drive way, then the man jumps and skip rope.</t>
  </si>
  <si>
    <t>After, the man holds the rope on his left hand and skip while turning the rope.</t>
  </si>
  <si>
    <t>Next, the man alternate skipping rope and flip the rope side to side on front.</t>
  </si>
  <si>
    <t>Also, the man jump rope criss cross and jumps rope double.</t>
  </si>
  <si>
    <t>Then the man jumps rope doing squatting jumps and jump lunges.</t>
  </si>
  <si>
    <t>v_Tu1oKxyfHTs</t>
  </si>
  <si>
    <t>A male is wearing black and white swimming shorts, standing at the edge of a diving board, bounces a few times and then jumps out of view and into the water.</t>
  </si>
  <si>
    <t>An older shirtless man wearing black shorts begins to walk on the same board of the male who previously jumped but then stops.</t>
  </si>
  <si>
    <t>On a shorter board a male wearing blue swim underwear walks to the edge of the board jumps a few times, stops, turns around and walks back.</t>
  </si>
  <si>
    <t>The male walks to the edge of the board again, jumps a few times, then once again turns around and walks back.</t>
  </si>
  <si>
    <t>The male tries one more time and walks to the edge of the diving board and finally jumps and does a few flips before landing in the water and then swims to the edge of the pool.</t>
  </si>
  <si>
    <t>v_K-t4tUTq_Ik</t>
  </si>
  <si>
    <t>People are standing on a tennis court.</t>
  </si>
  <si>
    <t>They are playing a game of tennis.</t>
  </si>
  <si>
    <t>A man in a white shirt hits the tennis ball.</t>
  </si>
  <si>
    <t>v_vpu4Bwq-xHI</t>
  </si>
  <si>
    <t>There are lots of adults in the room (elderly or young) and they're all watching this girl play the clarinet.</t>
  </si>
  <si>
    <t>First the girl walks to the front of the classroom as she holds her clarinet and the man who plays the piano gets up from his seat to play the piano.</t>
  </si>
  <si>
    <t>Then he starts playing the piano and she plays the clarinet along with the piano, when she's done everyone claps for her.</t>
  </si>
  <si>
    <t>v_uqzy1FAUpPM</t>
  </si>
  <si>
    <t>A man gets ready to to preform an event.</t>
  </si>
  <si>
    <t>He begins to start running fast.</t>
  </si>
  <si>
    <t>He is running down the lane and the he jumps 3 times into the sand.</t>
  </si>
  <si>
    <t>He runs out of the pit happily.</t>
  </si>
  <si>
    <t>He continues to walk around cheering as it cuts to the crowd and announcers.</t>
  </si>
  <si>
    <t>He blows a kiss to the crowd.</t>
  </si>
  <si>
    <t>He goes and starts hugging fans.</t>
  </si>
  <si>
    <t>v_Nc71GzZhAHE</t>
  </si>
  <si>
    <t>cars are driving in a snowy highway.</t>
  </si>
  <si>
    <t>a sign to a sugar mountain is shown and peolpe practicing snowboard.</t>
  </si>
  <si>
    <t>people is snowboarding down a snowy hill.</t>
  </si>
  <si>
    <t>snowy cars are riding in snowy hill.</t>
  </si>
  <si>
    <t>men are snowboarding in a hill.</t>
  </si>
  <si>
    <t>v_FEGf7ejk8Fc</t>
  </si>
  <si>
    <t>A young child is seen sitting in a chair in front of a table with a large body.</t>
  </si>
  <si>
    <t>The hands are then seen writing a note and rubbing against the face while the child laughs and the hands continue moving.</t>
  </si>
  <si>
    <t>v_qbUQVhjQJ48</t>
  </si>
  <si>
    <t>A man pushes a disc in front of a hopscotch game.</t>
  </si>
  <si>
    <t>Another person pushes a disc towards the hopscotch.</t>
  </si>
  <si>
    <t>The first man makes a funny face.</t>
  </si>
  <si>
    <t>v_XzNMQl0EdEo</t>
  </si>
  <si>
    <t>A lone man in a room with a green screen backdrop performs a break dancing move on a patch of hardwood floors, using his back to spin.</t>
  </si>
  <si>
    <t>The man stops dancing and stands in front of the camera talking to it before demonstrating basic break dance moves including using the hands and knees to perform spins from the floor.</t>
  </si>
  <si>
    <t>The man continues to demonstrate break dance moves and talk to the camera until he gives a peace sign to the camera and the screen fades to a marketing graphic.</t>
  </si>
  <si>
    <t>v_M6i-5nzy5Bk</t>
  </si>
  <si>
    <t>Clips of women and men are pole vaulting indoors while a lot of people are moving about around them or just watching, and a banner at the bottom reads that it's at "Texas Elite Pole Vaulting Competition Bell County Expo Center on 12 28 13".</t>
  </si>
  <si>
    <t>As various clips of different people are pole vaulting, a man and woman are standing indoors next to one another and talking to the camera with the words at the bottom of the screen say their names are Kaitlin Petrillose &amp; Jack Chapman Competitor &amp; Chairman".</t>
  </si>
  <si>
    <t>The view blurs and white words on the screen appear in the middle and say "Killeen Daily Herald By Marianne Gish".</t>
  </si>
  <si>
    <t>v_Yd0q08-cpJU</t>
  </si>
  <si>
    <t>A curtain is seen, and a belly dancer walks onto the stage.</t>
  </si>
  <si>
    <t>She performs for the audience, shaking her hips and sucking her belly in and out.</t>
  </si>
  <si>
    <t>When she finishes, she throws her arms into the air and the screen goes black.</t>
  </si>
  <si>
    <t>v_lUrHCNqVl-A</t>
  </si>
  <si>
    <t>An athletic man is seen standing in a circle followed by spinning around and throwing an object off into the distance.</t>
  </si>
  <si>
    <t>More people are seen stepping up throwing the object while the camera watches.</t>
  </si>
  <si>
    <t>Several people watch on the sidelines.</t>
  </si>
  <si>
    <t>v_9peoWGfb9jc</t>
  </si>
  <si>
    <t>A man is seen putting tape on a set of skis on each end and begins rubbing wax on the ski.</t>
  </si>
  <si>
    <t>The man then takes a sander and runs it all along the length of the ski.</t>
  </si>
  <si>
    <t>The man then takes a board and rubs it along the ski and ends by taking it off.</t>
  </si>
  <si>
    <t>v_a7DEFV0_nCE</t>
  </si>
  <si>
    <t>A large beach is shown as well as people standing around on the beach and looking at the sky.</t>
  </si>
  <si>
    <t>People are seen flying kites up in the air while people look around and watch.</t>
  </si>
  <si>
    <t>More people are seen flying kites up in the air with some grabbing them off the ground.</t>
  </si>
  <si>
    <t>v_QHF28_yGOV8</t>
  </si>
  <si>
    <t>A man in a black wet suit and carrying a surfboard is talking to the camera man, about to get in the water.</t>
  </si>
  <si>
    <t>Dramatic music plays while showing various clips of surfers in the water, riding waves.</t>
  </si>
  <si>
    <t>The video ends as the man in the black wet suit comes on shore after riding a wave and smiling.</t>
  </si>
  <si>
    <t>v_-YMpwZkNc2A</t>
  </si>
  <si>
    <t>A man walks into frame and speaks to the camera while holding a razor and razor heads in his hands.</t>
  </si>
  <si>
    <t>A scene appears over the man's video and he is seen rubbing cream on his face and shaving off the hair.</t>
  </si>
  <si>
    <t>He leaves a bit of hair on his chin and is seen again speaking to the camera and walks away.</t>
  </si>
  <si>
    <t>v_x7lP6GKepco</t>
  </si>
  <si>
    <t>Various people are shown in a workshop working while pushing objects, driving machinery, working machinery and etcetera.</t>
  </si>
  <si>
    <t>A woman is shown putting a long metal piece into a large machinery and the words "TODAY'S TOPIC: WELDING" appears on the screen followed by a person wearing a mask and welding with a torch.</t>
  </si>
  <si>
    <t>A woman is now standing at a machine and she is grabbing various metal objects and putting them into a machine that welds them together.</t>
  </si>
  <si>
    <t>The outro appears and it's a white screen with a red and blue logo, website and hashtag information.</t>
  </si>
  <si>
    <t>v_bwcgMTHFRV8</t>
  </si>
  <si>
    <t>A large band is walking down a parade and there a lot of people walking alongside, and standing on the sidelines watching or taking photos and videos.</t>
  </si>
  <si>
    <t>The view changes to women carrying and swinging flags on a pole and then switches back to the large band that comes to a stop and continues to play for the crowd.</t>
  </si>
  <si>
    <t>The band resumes walking and so does the crowd around and behind them.</t>
  </si>
  <si>
    <t>v_G-xh30e4s8E</t>
  </si>
  <si>
    <t>A man sits in a room in front of a flag.</t>
  </si>
  <si>
    <t>He is playing a black wind instrument.</t>
  </si>
  <si>
    <t>His fingers position over the holes.</t>
  </si>
  <si>
    <t>He is wearing sunglasses as he plays.</t>
  </si>
  <si>
    <t>v_Jy9kiITFsjI</t>
  </si>
  <si>
    <t>People are in the stands of an arena.</t>
  </si>
  <si>
    <t>A bull gets drug out of the arena by horses.</t>
  </si>
  <si>
    <t>A woman is talking to the camera.</t>
  </si>
  <si>
    <t>v_CDWHstJThJA</t>
  </si>
  <si>
    <t>A group of young Asian men are indoors with a lot of spectators in the stands holding signs and cheering them on.</t>
  </si>
  <si>
    <t>Two young Asian men stand up with their bow and arrows and they each take turns at shooting at their bulls eye target while the crowd cheers them on after each shot is made, and occasionally 3 suited people are shown making commentaries.</t>
  </si>
  <si>
    <t>When the men are done shooting at the target,one of them raise their arm in victory, they shake each others hands,hug, take a bow and wave to the cheering crowd.</t>
  </si>
  <si>
    <t>v_zm8gZpwZkRE</t>
  </si>
  <si>
    <t>A woman is in a room with chairs.</t>
  </si>
  <si>
    <t>She is playing the violin.</t>
  </si>
  <si>
    <t>Two men are playing drums with her.</t>
  </si>
  <si>
    <t>The camera pans between them.</t>
  </si>
  <si>
    <t>v_dVLIfsEMD8Y</t>
  </si>
  <si>
    <t>A man is throwing darts on to a dart board.</t>
  </si>
  <si>
    <t>He throws one and makes it to the center of the board.</t>
  </si>
  <si>
    <t>He throws again and also makes it to the center.</t>
  </si>
  <si>
    <t>Every single shot makes it right in the center of the board.</t>
  </si>
  <si>
    <t>v_-cwPzzcNpGs</t>
  </si>
  <si>
    <t>Two men sit together at a booth and compete in an arm wrestling match.</t>
  </si>
  <si>
    <t>The friends gathered around watching make challenges with the arm wrestlers after the match.</t>
  </si>
  <si>
    <t>The men shake hands and talk after the match.</t>
  </si>
  <si>
    <t>v_I5N4rwhRa0o</t>
  </si>
  <si>
    <t>The title and logo appear on the screen.</t>
  </si>
  <si>
    <t>A man holding a saxophone plays and talks to the camera in between.</t>
  </si>
  <si>
    <t>A man holds the saxophone up to show the bottom.</t>
  </si>
  <si>
    <t>The man takes the mouthpiece off his saxophone, and replaces it.</t>
  </si>
  <si>
    <t>We see a closeup of the man playing the saxophone, it zooms out and in on him again.</t>
  </si>
  <si>
    <t>We see a closeup of the opening of the horn.</t>
  </si>
  <si>
    <t>The screen goes black and we see the end screen.</t>
  </si>
  <si>
    <t>v_uYLYJABDubw</t>
  </si>
  <si>
    <t>We see two ladies arm wrestling.</t>
  </si>
  <si>
    <t>The right lady looks at the camera.</t>
  </si>
  <si>
    <t>The right lady wins the match.</t>
  </si>
  <si>
    <t>The left lady drops her head to the table.</t>
  </si>
  <si>
    <t>The right lady throws her arms in the air and talks to the camera.</t>
  </si>
  <si>
    <t>v_wqM6TdjBCfs</t>
  </si>
  <si>
    <t>A man chops wood with an ax on the snow.</t>
  </si>
  <si>
    <t>A person stands behind the man.</t>
  </si>
  <si>
    <t>A person handles the spliced firewood to a man.</t>
  </si>
  <si>
    <t>The man continues chopping firewood with the ax.</t>
  </si>
  <si>
    <t>The ax gets stack in a piece of wood, but the man get it off and continues cutting the firewood.</t>
  </si>
  <si>
    <t>v_ZksAXEVmFrg</t>
  </si>
  <si>
    <t>An elderly white woman with short blonde hair and glasses begins talking in the corner of the gymnasium.</t>
  </si>
  <si>
    <t>The small girls then enter the gym and a male coach begins assisting them as they walk across the balance beam.</t>
  </si>
  <si>
    <t>v_fm4ZaId1sL0</t>
  </si>
  <si>
    <t>An Asian woman wearing a blue shirt and begins talking and throwing her hands up at the camera.</t>
  </si>
  <si>
    <t>She then grabs an iron and continues to iron a yellow piece of cloth on the ironing board.</t>
  </si>
  <si>
    <t>Once the front is finished,she grabs it and flips it over so she can complete the ironing.</t>
  </si>
  <si>
    <t>v_qPZwXF1Xcpw</t>
  </si>
  <si>
    <t>The camera pans over a grass field surrounded by a track, with people doing indistinct things in the background.</t>
  </si>
  <si>
    <t>A man is shown engaging in shot put.</t>
  </si>
  <si>
    <t>Judges measure the man's throw.</t>
  </si>
  <si>
    <t>The audience is shown clapping as the man receives congratulations from people nearby.</t>
  </si>
  <si>
    <t>A replay of the throw is shown.</t>
  </si>
  <si>
    <t>v_4aiE_-yQWZE</t>
  </si>
  <si>
    <t>Several people are dressed in sweatsuits rolling out mats in a large gym.</t>
  </si>
  <si>
    <t>After the mats are rolled out,other individuals begin walking across the floor dressed in fencing uniforms.</t>
  </si>
  <si>
    <t>The athletes then begin walking around and talking to each other as a small mascot walks across the mat.</t>
  </si>
  <si>
    <t>Finally,a match begins and once it is over about five of the individuals pose for a picture.</t>
  </si>
  <si>
    <t>The camera then speeds up and shows several teams and people entering and leaving the gym.</t>
  </si>
  <si>
    <t>Next,fencing matches are shown between about 12 pairs of people and they line up and give each other a high five before huddling up and having a talk with their coach.</t>
  </si>
  <si>
    <t>v_W8eqlIPRWCk</t>
  </si>
  <si>
    <t>A black screen appears with blue letters that say "Jayne Clarke Field Hockey Clips 2009".</t>
  </si>
  <si>
    <t>The clips begin to play and there are a series of small clips put together of the girl playing with a team, practicing alone, and practicing on a course.</t>
  </si>
  <si>
    <t>The video ends with the girl practicing alone on a empty and large blue indoor court.</t>
  </si>
  <si>
    <t>v_6tdIiKzMVcg</t>
  </si>
  <si>
    <t>We see strong men arm wrestling.</t>
  </si>
  <si>
    <t>We see two men hug after the match.</t>
  </si>
  <si>
    <t>A host in a white suit narrates.</t>
  </si>
  <si>
    <t>We see a camera man right behind the table.</t>
  </si>
  <si>
    <t>The final match starts and ends very quickly and the men hug.</t>
  </si>
  <si>
    <t>We see a mirage of images.</t>
  </si>
  <si>
    <t>v_R8RrOgz9hj8</t>
  </si>
  <si>
    <t>A large group of people are seen riding down multiple rafts down a rigorous river while paddling continuously.</t>
  </si>
  <si>
    <t>Several shots are shown of the people riding down while holding their sticks up into the air and ends with people stopping to eat.</t>
  </si>
  <si>
    <t>v_iODCh_DsGak</t>
  </si>
  <si>
    <t>A man in a suit and a woman in a dress are standing in front of an audience.</t>
  </si>
  <si>
    <t>They begin to dance on the floor.</t>
  </si>
  <si>
    <t>They finish dancing and the audience claps.</t>
  </si>
  <si>
    <t>v_WreRcthWXv8</t>
  </si>
  <si>
    <t>A person is holding onto a motorcycle wearing roller blades and being dug along a street.</t>
  </si>
  <si>
    <t>A man is standing by a fountain of water.</t>
  </si>
  <si>
    <t>People are doing roller skating tricks.</t>
  </si>
  <si>
    <t>v_7FtSO6hPcxU</t>
  </si>
  <si>
    <t>A man talks to the camera in a close up view.</t>
  </si>
  <si>
    <t>Scenes of the man's daily activities are shown.</t>
  </si>
  <si>
    <t>Scenes of the man getting serviced at a hair salon is shown, usually with other individuals in the background.</t>
  </si>
  <si>
    <t>Scenes of the man talking to the camera with various others are shown.</t>
  </si>
  <si>
    <t>More scenes from the hair salon are shown.</t>
  </si>
  <si>
    <t>v_47SHPAe0s0k</t>
  </si>
  <si>
    <t>Three men are seen riding on top of horses around one another and leads into a bull running in and chasing a man on a horse.</t>
  </si>
  <si>
    <t>The man rides around the bull and shows several more shots of the riders riding around the bull.</t>
  </si>
  <si>
    <t>At one point more men run into the pit and the bull lays down on it's side while the audience cheers and the man holds his arms up.</t>
  </si>
  <si>
    <t>v_CAa74sedG9A</t>
  </si>
  <si>
    <t>Kids are on a field, kicking a ball back and forth.</t>
  </si>
  <si>
    <t>A girl runs up and kicks at the boy.</t>
  </si>
  <si>
    <t>She runs down the sideline and tries to take the ball while other girls watch from the sidelines.</t>
  </si>
  <si>
    <t>The kids continue playing until the clip ends.</t>
  </si>
  <si>
    <t>v_WlsVDIIo2dk</t>
  </si>
  <si>
    <t>Several couples of men and women are shown performing a tango routine in front of a group of people.</t>
  </si>
  <si>
    <t>Many people watch on the sides and one couple laughs and walk away in the end.</t>
  </si>
  <si>
    <t>v_Ib1xMq2aUl0</t>
  </si>
  <si>
    <t>These 3 men are shown rollerblading outdoors in the middle of the street.</t>
  </si>
  <si>
    <t>They are dancing, going in circles, and spinning around.</t>
  </si>
  <si>
    <t>v__7JooVc_sCQ</t>
  </si>
  <si>
    <t>A group of bike riders are awaiting to start a race, eventually all falling down when the gate open.</t>
  </si>
  <si>
    <t>A close up shot of a bike is done while a man puts his gear on to ride.</t>
  </si>
  <si>
    <t>One rider is shown riding around while another does various tricks.</t>
  </si>
  <si>
    <t>Several different bikers are shown riding up and down tracks and flying through at record speeds.</t>
  </si>
  <si>
    <t>v__vVKdZM5Cy8</t>
  </si>
  <si>
    <t>A man is shown holding a volleyball talking to the camera and leads into showing various jumps.</t>
  </si>
  <si>
    <t>He continues talking to the camera and moving around the gym hitting the ball.</t>
  </si>
  <si>
    <t>v_gsfIHiBB6xE</t>
  </si>
  <si>
    <t>The men on the field grab their tools.</t>
  </si>
  <si>
    <t>We see men in a field cutting tall grass as other watch.</t>
  </si>
  <si>
    <t>The left man uses a sickle and takes the lead over the man with the weed wacker.</t>
  </si>
  <si>
    <t>The man with the sickle finishes.</t>
  </si>
  <si>
    <t>The crowd claps for the man.</t>
  </si>
  <si>
    <t>The shirtless man walks away.</t>
  </si>
  <si>
    <t>The camera pans right to show the other man working on the grass.</t>
  </si>
  <si>
    <t>v_xrbKvttgcMA</t>
  </si>
  <si>
    <t>A boy is standing on a court holding a racquet in his right hand, a ball comes his way and he hits it very hard.</t>
  </si>
  <si>
    <t>The boy walks towards the left and a man is there hitting the ball and he and the boy go back and forth taking turns hitting the ball very hard against the wall in front of them.</t>
  </si>
  <si>
    <t>The ball rolls on the ground, the boy picks it up and hits it to the wall and once more the man hits the ball and the camera points to the ground.</t>
  </si>
  <si>
    <t>v_WC3GCmEqCBc</t>
  </si>
  <si>
    <t>A chef is seen standing behind a counter speaking to the camera.</t>
  </si>
  <si>
    <t>The man is then seen holding up several tools and presenting them to the camera.</t>
  </si>
  <si>
    <t>The man then uses the tool in a bowl of salad and presents it to the camera.</t>
  </si>
  <si>
    <t>v_84g4J1rxkQc</t>
  </si>
  <si>
    <t>A man is in the woods, balancing on a tight rope.</t>
  </si>
  <si>
    <t>He walks back and forth on the rope, then jumps.</t>
  </si>
  <si>
    <t>v_rs7er4e67ec</t>
  </si>
  <si>
    <t>The video begins with details of a field hockey team's victory in the final championship game.</t>
  </si>
  <si>
    <t>The stadium shows the two teams competing in the game hockey.</t>
  </si>
  <si>
    <t>The crowd is loudly cheering as one team becomes victorious.</t>
  </si>
  <si>
    <t>The players jump on each other with joy as they celebrate.</t>
  </si>
  <si>
    <t>There is a stage of singers performing live music as they celebrate the victory of the winning team.</t>
  </si>
  <si>
    <t>v_0FTaJwbFdZI</t>
  </si>
  <si>
    <t>A woman is doing a dance routine on a stage.</t>
  </si>
  <si>
    <t>She twirls and kicks her legs around.</t>
  </si>
  <si>
    <t>She moves all around the stages and bends her body in numerous ways.</t>
  </si>
  <si>
    <t>She continues shaking her body for the audience to see.</t>
  </si>
  <si>
    <t>She shakes her hips back and fourth while moving her arms in various ways.</t>
  </si>
  <si>
    <t>v_mnS-nMZne3I</t>
  </si>
  <si>
    <t>A man walks onto a diving board.</t>
  </si>
  <si>
    <t>He jumps on the diving board several times and jumps into a pool.</t>
  </si>
  <si>
    <t>The man surfaces and stands up in the pool.</t>
  </si>
  <si>
    <t>v_rq-Xyoo5Rs0</t>
  </si>
  <si>
    <t>People are doing flips by running and jumping to the wall.</t>
  </si>
  <si>
    <t>boys do back flips on a blue mat.</t>
  </si>
  <si>
    <t>A kid jumps over several other kids laying on the mat.</t>
  </si>
  <si>
    <t>Two guys body roll with each other on the mat.</t>
  </si>
  <si>
    <t>v_BTtMoBOHrlQ</t>
  </si>
  <si>
    <t>Two men are posing in a photo for martial arts.</t>
  </si>
  <si>
    <t>A group is gathered inside a room, shown in various martial arts poses.</t>
  </si>
  <si>
    <t>They change movements, text on the screen showing what they are doing.</t>
  </si>
  <si>
    <t>It ends with an ad for the school.</t>
  </si>
  <si>
    <t>v_mwndGBRpOPg</t>
  </si>
  <si>
    <t>A person is seen riding a surfboard with a kite on top along the water.</t>
  </si>
  <si>
    <t>The person pushes themselves up into the air and flips back down.</t>
  </si>
  <si>
    <t>He continues riding along the water.</t>
  </si>
  <si>
    <t>v_CrCtYGvG9Uw</t>
  </si>
  <si>
    <t>A man is talking to a camera about his hair.</t>
  </si>
  <si>
    <t>Another man comes in and begins cutting the first boy's fair.</t>
  </si>
  <si>
    <t>He brushes his hair and cuts through it with a fine comb.</t>
  </si>
  <si>
    <t>The stylist performs various styles and techniques on the hair.</t>
  </si>
  <si>
    <t>The stylist puts gel in the hair and the boy is finished with his cut.</t>
  </si>
  <si>
    <t>v_fYuJdh9gqr0</t>
  </si>
  <si>
    <t>A man in a hard hat is looking at a building.</t>
  </si>
  <si>
    <t>A second man walks up and shakes the first mans hand.</t>
  </si>
  <si>
    <t>Both men acknowledge the building and discuss.</t>
  </si>
  <si>
    <t>Three men are spackling the wall as two comparisons are shown.</t>
  </si>
  <si>
    <t>The two men inspect the wall.</t>
  </si>
  <si>
    <t>Another man walks up and is introduced to the other man.</t>
  </si>
  <si>
    <t>The man walks away as the first two continue talking.</t>
  </si>
  <si>
    <t>v_vMdSEzQkRTg</t>
  </si>
  <si>
    <t>A person stands on front a wood fire in the woods.</t>
  </si>
  <si>
    <t>Then, the person light a match and throw it in the wood fire, then a fire lit.</t>
  </si>
  <si>
    <t>v_WsHzMciP5X8</t>
  </si>
  <si>
    <t>A large audience is seen watching a sports game and leads into a coin toss.</t>
  </si>
  <si>
    <t>The audience cheers more and leads into people throwing a ball and others hitting it.</t>
  </si>
  <si>
    <t>More shots of the game being played are shown as well as others watching on the sides.</t>
  </si>
  <si>
    <t>v_QBJelFFVJu0</t>
  </si>
  <si>
    <t>The harmonica is held up and shown.</t>
  </si>
  <si>
    <t>A person holds a harmonica between his hands a plays a song.</t>
  </si>
  <si>
    <t>The person finishes the song and holds up the harmonica.</t>
  </si>
  <si>
    <t>v_XgaEYidtX6E</t>
  </si>
  <si>
    <t>Walking down the street holding onto a skate board the boy puts his board down and begins to skate.</t>
  </si>
  <si>
    <t>Then three friends join him and they skate down the road.</t>
  </si>
  <si>
    <t>While on the board they bend down with their hands behind their backs to build up some more momentum.</t>
  </si>
  <si>
    <t>They ride around all over from one area to another enjoying their free time boarding.</t>
  </si>
  <si>
    <t>v_wqZzLAPmr9k</t>
  </si>
  <si>
    <t>An image is shown of a plate of sardine pasta, along with a list of ingredients.</t>
  </si>
  <si>
    <t>Water is salted and boiled for the pasta, and vegetables are sauteed in olive oil.</t>
  </si>
  <si>
    <t>Sardines are added, then mixed with the spaghetti noodles, creating a finished dish.</t>
  </si>
  <si>
    <t>v_YcxPoVlukf4</t>
  </si>
  <si>
    <t>A hockey player talks in an interview on tv.</t>
  </si>
  <si>
    <t>Several stills of him playing ice hockey are shown as he talks.</t>
  </si>
  <si>
    <t>He continues talking as the pictures flash across the screen.</t>
  </si>
  <si>
    <t>v_Y-1QkIGm81w</t>
  </si>
  <si>
    <t>The man wearing gray sweater is playing guitar.</t>
  </si>
  <si>
    <t>The man looked on the guitar.</t>
  </si>
  <si>
    <t>The man in blue shirt play his guitar, then poke the threads.</t>
  </si>
  <si>
    <t>v_zVMDHCnT-d4</t>
  </si>
  <si>
    <t>Two men are seated in a room in front of a robotic arm.</t>
  </si>
  <si>
    <t>One of the men is using a controller to make the arm pick up a bottle.</t>
  </si>
  <si>
    <t>The arm brings the bottle to the man's face, so he can take a drink.</t>
  </si>
  <si>
    <t>Then the robot returns the bottle to the table.</t>
  </si>
  <si>
    <t>v_cRBnLFujD3g</t>
  </si>
  <si>
    <t>Performers sings and dancers on a concert stage.</t>
  </si>
  <si>
    <t>A performer climbs down the stairs.</t>
  </si>
  <si>
    <t>Several performers pose, gesture, and point towards the audience.</t>
  </si>
  <si>
    <t>A performer break dances on stage.</t>
  </si>
  <si>
    <t>The break dancer lays on the stage floor.</t>
  </si>
  <si>
    <t>A performer raises the standing break dancer's hand in the air.</t>
  </si>
  <si>
    <t>The break dancer gives a performer five.</t>
  </si>
  <si>
    <t>A performer squats and gestures.</t>
  </si>
  <si>
    <t>v_M8aDrPK7D94</t>
  </si>
  <si>
    <t>A man jumps off of a bridge and bungee jumps.</t>
  </si>
  <si>
    <t>It shows him climbing back up onto the ledge.</t>
  </si>
  <si>
    <t>He jumps again off the bridge.</t>
  </si>
  <si>
    <t>v_b-p57jzkrQI</t>
  </si>
  <si>
    <t>A man in a chefs outfit is standing in a kitchen.</t>
  </si>
  <si>
    <t>He flips something that is in a pan.</t>
  </si>
  <si>
    <t>He uses a spoon to stir what is in the pan.</t>
  </si>
  <si>
    <t>v_gCxLSh-cgng</t>
  </si>
  <si>
    <t>An introduction comes onto the screen for a video about playing tennis.</t>
  </si>
  <si>
    <t>And man comes on to talk about the lessons that he will be teaching in the video.</t>
  </si>
  <si>
    <t>He swings the racket several times to demonstrate a good form for swinging the tennis racket.</t>
  </si>
  <si>
    <t>Another man comes onto the screen and performs the several tennis wings while the other man narrates.</t>
  </si>
  <si>
    <t>As the video ends the closing credits are displayed on the screen.</t>
  </si>
  <si>
    <t>v_nuqxJvTbG9w</t>
  </si>
  <si>
    <t>A woman is seen kicking a ball out into a field of people and then running back to the home plate.</t>
  </si>
  <si>
    <t>She then kicks the ball again while others around her run and grab the ball from the field.</t>
  </si>
  <si>
    <t>v_2j-DRUk2yCs</t>
  </si>
  <si>
    <t>A close up is shown of an image on a cell phone.</t>
  </si>
  <si>
    <t>A male gymnast runs, flipping back and forth across a mat.</t>
  </si>
  <si>
    <t>He is then shown flipping far into the air before standing before the cheering crowd.</t>
  </si>
  <si>
    <t>v_tV_1whw_S4g</t>
  </si>
  <si>
    <t>Two people are wrestling in a ring.</t>
  </si>
  <si>
    <t>A referee is standing on the side of the ring watching them.</t>
  </si>
  <si>
    <t>The crowd behind them is cheering.</t>
  </si>
  <si>
    <t>v_BMzspHz04Q8</t>
  </si>
  <si>
    <t>A gymnast in a pink outfit stretches before starting routine.</t>
  </si>
  <si>
    <t>She jumps on the balance beam and balances herself.</t>
  </si>
  <si>
    <t>She begins her balance beam routine.</t>
  </si>
  <si>
    <t>She does several flips and somersaults.</t>
  </si>
  <si>
    <t>She is getting ready to dismount.</t>
  </si>
  <si>
    <t>She flips several times in the air during her dismount and lands perfectly.</t>
  </si>
  <si>
    <t>v_Y1kCMRoDjWk</t>
  </si>
  <si>
    <t>A man stands by a row of hedges.</t>
  </si>
  <si>
    <t>He then begins to trim them with sheers.</t>
  </si>
  <si>
    <t>He trims the top of a bush.</t>
  </si>
  <si>
    <t>Several different groomed bushes are shown.</t>
  </si>
  <si>
    <t>v_8XB_0x_erho</t>
  </si>
  <si>
    <t>A little chinese boy sits in a room on the floor with books and toys around him while he looks into the camera.</t>
  </si>
  <si>
    <t>the little chinese boy then goes outside and start playing in a park,having fun by his self while the camera man record him.</t>
  </si>
  <si>
    <t>the boy little slides down the slide,climb steps while smiling and having fun.</t>
  </si>
  <si>
    <t>v_Ib3XqmBqy10</t>
  </si>
  <si>
    <t>Various shots of people are shown followed by several shots of kids jumping rope.</t>
  </si>
  <si>
    <t>A man then speakers to various kids on a court and shows more shots of the kids jumping rope together.</t>
  </si>
  <si>
    <t>The man then jumps rope while more kids perform tricks with their jump ropes and ends with the man speaking to one more jumper.</t>
  </si>
  <si>
    <t>v_PZjWkB_q2lE</t>
  </si>
  <si>
    <t>Cars are being washed at a car wash.</t>
  </si>
  <si>
    <t>A man in a red shirt talks to a man in a black shirt.</t>
  </si>
  <si>
    <t>The car is going through an automatic car wash.</t>
  </si>
  <si>
    <t>Someone is now scrubbing a car to wash it.</t>
  </si>
  <si>
    <t>They walk into a garage and inspect the cars.</t>
  </si>
  <si>
    <t>v_yNwdhK5UKec</t>
  </si>
  <si>
    <t>Four men in the studio are playing different instrument.</t>
  </si>
  <si>
    <t>The man with big guitar is singing while playing his guitar.</t>
  </si>
  <si>
    <t>The man playing harmonica stopped playing and looked at the man singing, then he continue to play his harmonica.</t>
  </si>
  <si>
    <t>Two men behind the four men are playing instruments.</t>
  </si>
  <si>
    <t>The man with guitar pull out a white cloth and wave it.</t>
  </si>
  <si>
    <t>v_WUTHTWQb-5g</t>
  </si>
  <si>
    <t>A young girl is standing in a room with a grey sweater,black tights,and pink shoes.</t>
  </si>
  <si>
    <t>In her hand she has a croquet stick and is fiddling with the small ball.</t>
  </si>
  <si>
    <t>She does it for quite some times keeping it still until eventually walking with the ball and ending the video.</t>
  </si>
  <si>
    <t>v_nFfMY4CQq50</t>
  </si>
  <si>
    <t>A guy standing in a bathroom speaks and gestures.</t>
  </si>
  <si>
    <t>A person shaving his chin is shown.</t>
  </si>
  <si>
    <t>A guy puts cream from a blue tube in his palm and applies it to his chin.</t>
  </si>
  <si>
    <t>A guy puts gel from a blue tube in his palm and applies it to his chin.</t>
  </si>
  <si>
    <t>A guy washes his face.</t>
  </si>
  <si>
    <t>v_Eh0OoXQDLVc</t>
  </si>
  <si>
    <t>A woman talks to the camera while young girls stand behind her.</t>
  </si>
  <si>
    <t>The woman continues to talk to the camera while demonstrating individual dance movements, as the young girls follow along.</t>
  </si>
  <si>
    <t>The woman leads the girls in practicing the entire sequence.</t>
  </si>
  <si>
    <t>The girls perform the sequence on their own.</t>
  </si>
  <si>
    <t>v_jsu65VwKf74</t>
  </si>
  <si>
    <t>A player of a read team performs a free shot on front a soccer goal, and the players scores.</t>
  </si>
  <si>
    <t>Again a player wearing red t-shirt scores, and the players jumps and hug to celebrate.</t>
  </si>
  <si>
    <t>Then, a player with white t-shirt scores, and the teams continue playing.</t>
  </si>
  <si>
    <t>The red team scores again, and people celebrate.</t>
  </si>
  <si>
    <t>v_7LmSZAoD6-c</t>
  </si>
  <si>
    <t>woman is running to make a high jump and start walking and the woman makes the same high jump 3 times.</t>
  </si>
  <si>
    <t>woman loose the hair sits on the floor and untie the shoes.</t>
  </si>
  <si>
    <t>v_n913aoCh1IQ</t>
  </si>
  <si>
    <t>People stand on a slack rope and cross it on a beach.</t>
  </si>
  <si>
    <t>A man falls off into the dirt.</t>
  </si>
  <si>
    <t>A man takes his shirt off and throws it on the sand.</t>
  </si>
  <si>
    <t>A man continues doing tricks on the slack rope.</t>
  </si>
  <si>
    <t>v_xhyCKLKaG0c</t>
  </si>
  <si>
    <t>Dragon ball z characters are yelling at one another standing in front of each other.</t>
  </si>
  <si>
    <t>They start to play paper scissors rock to see who will win.</t>
  </si>
  <si>
    <t>They have watchers standing by very stressed about how it will end up.</t>
  </si>
  <si>
    <t>They just keep playing and one of the other characters starts to get really angry.</t>
  </si>
  <si>
    <t>v_xbWAmySRE88</t>
  </si>
  <si>
    <t>Two women are standing behind a young woman who is sitting in a chair getting her hair done.</t>
  </si>
  <si>
    <t>The video begins with a title page showing that a video of a versatile sew-in is about to be done.</t>
  </si>
  <si>
    <t>First image,the braid pattern is shown on the individuals head as some of her hair is left out around the perimeter of her head.</t>
  </si>
  <si>
    <t>A lady then grabs weave, a needle and begins to sew in the hair.</t>
  </si>
  <si>
    <t>Once she shows how the sew-in is secured,the finished product is shown and the girl now has long curly hair.</t>
  </si>
  <si>
    <t>v_CEQqdt0vV0o</t>
  </si>
  <si>
    <t>A man is standing and talking inside a gym to the camera.</t>
  </si>
  <si>
    <t>He stands on the open surface, dancing back and forth.</t>
  </si>
  <si>
    <t>He demonstrates several moves as he goes.</t>
  </si>
  <si>
    <t>v_bay60VGnTls</t>
  </si>
  <si>
    <t>A woman in a tan suit is talking.</t>
  </si>
  <si>
    <t>A man in a green shirt is playing tennis while sitting on the ground.</t>
  </si>
  <si>
    <t>People walk along a sidewalk.</t>
  </si>
  <si>
    <t>The man in the green shirt is talking into a microphone.</t>
  </si>
  <si>
    <t>A man in a purple shirt then talks into the microphone.</t>
  </si>
  <si>
    <t>The man in green shirt continues to play tennis.</t>
  </si>
  <si>
    <t>v_6ciZ58xAV9I</t>
  </si>
  <si>
    <t>A gymnast wearing a red and white uniform prepares to mount a pommel horse for his exercise.</t>
  </si>
  <si>
    <t>The gymnast jumps onto the pommel horse and starts with scissor moves.</t>
  </si>
  <si>
    <t>The gymnast moves into a spinning exercise while on the pommel horse.</t>
  </si>
  <si>
    <t>The gymnast moves into a hand stand while walking with his hands.</t>
  </si>
  <si>
    <t>The gymnast goes from the hand stand to his dismount.</t>
  </si>
  <si>
    <t>v_ErEr4Sxdprw</t>
  </si>
  <si>
    <t>A man is in the gym in tight he bends over picks up a weight over his head and drops it back down.</t>
  </si>
  <si>
    <t>He walks back and loosens up before walking back up and doing it again adding more weight.</t>
  </si>
  <si>
    <t>He does this multiple times adding more and more weight to the rack.</t>
  </si>
  <si>
    <t>He finally lifts 374 pounds and calls it quits.</t>
  </si>
  <si>
    <t>v_8oI4xGqkzSE</t>
  </si>
  <si>
    <t>A man kicks a Frisbee to a dog.</t>
  </si>
  <si>
    <t>The dog does various tricks while catching the Frisbee.</t>
  </si>
  <si>
    <t>The dog jumps off the man to catch the toy.</t>
  </si>
  <si>
    <t>Several other dogs also do a tricks to catch the toy.</t>
  </si>
  <si>
    <t>A man swings a dog around on a toy.</t>
  </si>
  <si>
    <t>v_rYrO0KnZ7F0</t>
  </si>
  <si>
    <t>We see steps to carve a pumpkin.</t>
  </si>
  <si>
    <t>A person cleans a pumpkin.</t>
  </si>
  <si>
    <t>We see step and a person carves the pumpkin.</t>
  </si>
  <si>
    <t>We see another step and person uses carved bits to make cat ears.</t>
  </si>
  <si>
    <t>v_Tu9QF2ALd2s</t>
  </si>
  <si>
    <t>A close up of a blender is seen with various ingredients on the inside.</t>
  </si>
  <si>
    <t>A person's hand then blends the mixture together and moves their hand away from the camera.</t>
  </si>
  <si>
    <t>v_MEU83dUao4g</t>
  </si>
  <si>
    <t>A woman is seen with markings on her tongue and a person placing paper towels on her tongue.</t>
  </si>
  <si>
    <t>The man then pierces the girls tongue and she looks at the camera smiling.</t>
  </si>
  <si>
    <t>v_5TV-V6Cxero</t>
  </si>
  <si>
    <t>A shirtless man is standing on porch while instructing how to build a redneck fire.</t>
  </si>
  <si>
    <t>He shows a beer bottle and some other alcohol cans.</t>
  </si>
  <si>
    <t>He demonstrates a campfire that he has set up in a pit.</t>
  </si>
  <si>
    <t>There are three men standing near the campfire pit to demonstrate step three.</t>
  </si>
  <si>
    <t>One of the men picks up a gasoline can and ours some of it into the campfire pit.</t>
  </si>
  <si>
    <t>Another man lights the bonfire up to start the fire.</t>
  </si>
  <si>
    <t>The bonfire continues burning as the fireworks crackle in the pit.</t>
  </si>
  <si>
    <t>One of the instructors comes back and point to the redneck campfire.</t>
  </si>
  <si>
    <t>v_q2JRY6-riYA</t>
  </si>
  <si>
    <t>People are sitting in blue bumper cars.</t>
  </si>
  <si>
    <t>They drive around and bump into each other.</t>
  </si>
  <si>
    <t>A little boy in a hat waves at the camera.</t>
  </si>
  <si>
    <t>v_WE9Md637nbc</t>
  </si>
  <si>
    <t>A pair of dirty nike sneakers are seen on a counter.</t>
  </si>
  <si>
    <t>A man fills a bowl with water, then adds a cleaning solution.</t>
  </si>
  <si>
    <t>He uses a brush to scrub the shoes clean.</t>
  </si>
  <si>
    <t>v_6180cMhkWJA</t>
  </si>
  <si>
    <t>A man is seated in front of some video monitors and related equipment.</t>
  </si>
  <si>
    <t>He reminds us that when we were young we weren't afraid to try because we liked it.</t>
  </si>
  <si>
    <t>We then see some kids playing soccer along with some older players, obviously enjoying themselves.</t>
  </si>
  <si>
    <t>We see the man once again, who advises us not to ever grow up.</t>
  </si>
  <si>
    <t>v_t1s7ST4FRJc</t>
  </si>
  <si>
    <t>There are four women dancing to a choreographed dance to some Hip Hop music in a studio.</t>
  </si>
  <si>
    <t>They follow a synchronized and rhythmic beat to follow the same steps as the rest of the dancers.</t>
  </si>
  <si>
    <t>They continue following the steps one after the other in a structured manner where everybody is shaking their hands and legs rhythmically.</t>
  </si>
  <si>
    <t>Their dance moves change as the music changes and they slow down or move faster according to the beat of the song.</t>
  </si>
  <si>
    <t>v_Qs0hIRhHPVM</t>
  </si>
  <si>
    <t>A still picture of a man caught in mid-air about to attack a punching bag, a black and white picture of woman kicking the punching bag, two bare chested men in a boxing position, a silhouette of a man kicking a blurry person, two men in a boxing ring, two men holding a championship belt with their hand covered with boxing gloves.</t>
  </si>
  <si>
    <t>One man in blue shorts is kicking the kicking pad worn by the other man in black shorts.</t>
  </si>
  <si>
    <t>Two men that are barechested are boxing each other outside the boxing ring.</t>
  </si>
  <si>
    <t>v_D-y_N4u0uRQ</t>
  </si>
  <si>
    <t>A man enters a car holding a briefcase.</t>
  </si>
  <si>
    <t>Then, the man smokes a cigarette in office, and a nurse gives him papers.</t>
  </si>
  <si>
    <t>After, an elegant woman smokes and then smile.</t>
  </si>
  <si>
    <t>v_UbVTGLlR0L8</t>
  </si>
  <si>
    <t>People raft down a stony river on inflatable boats.</t>
  </si>
  <si>
    <t>Two men are in the water and other men help get in the boat.</t>
  </si>
  <si>
    <t>The men pass between high mountains.</t>
  </si>
  <si>
    <t>v_yslzj3NGuLU</t>
  </si>
  <si>
    <t>A woman removes the snow on the top of a car using a brush, also removes snow on the side windows and back window.</t>
  </si>
  <si>
    <t>After, the woman continues taking snow from the hood of the car and the front window that has a lot of snow.</t>
  </si>
  <si>
    <t>v_Eaq95CTpfZI</t>
  </si>
  <si>
    <t>A person is mixing drinks behind a bar.</t>
  </si>
  <si>
    <t>A person is playing a game of shuffleboard.</t>
  </si>
  <si>
    <t>v_7x5oY2Myd7I</t>
  </si>
  <si>
    <t>A team is playing ice hockey in front of a crowded stadium.</t>
  </si>
  <si>
    <t>The players are shown crashing into each other.</t>
  </si>
  <si>
    <t>A countdown of ten is being shown as we see bloopers from different sporting events, from hockey, to baseball, to football and basketball as people fall down and make mistakes.</t>
  </si>
  <si>
    <t>v_l5HNvNpRTpk</t>
  </si>
  <si>
    <t>Words are being displayed across the screen that read how to make the perfect sandwich.</t>
  </si>
  <si>
    <t>The ingredients you will need are bread, cheese, ham, turkey sub kit deli meat, kraft real mayo, spicy brown mustard, seasoning and a knife.</t>
  </si>
  <si>
    <t>Spread mayo on both slices of bread then put on mustard and cheese on both slices of bread put ham then turkey meat and add other seasoning to your taste.</t>
  </si>
  <si>
    <t>v_T98RJsOiQWc</t>
  </si>
  <si>
    <t>A small child is seen holding a stick and swinging at a pinata.</t>
  </si>
  <si>
    <t>A girl is seen blindfolding another while a man plays with the camera on the side.</t>
  </si>
  <si>
    <t>The man holds the stick and gestures to the girl on the side.</t>
  </si>
  <si>
    <t>v_uY0ngQlbIZc</t>
  </si>
  <si>
    <t>Two men that are matching each other are playing a game of racket ball.</t>
  </si>
  <si>
    <t>They are in an indoor enclosed court area playing the game.</t>
  </si>
  <si>
    <t>They are moving around all over the court trying to hit the ball.</t>
  </si>
  <si>
    <t>The bald man begins to walk out of the court smiling.</t>
  </si>
  <si>
    <t>v_mIi5fkvHDAo</t>
  </si>
  <si>
    <t>A female news anchor is talking about a clip that will be shown.</t>
  </si>
  <si>
    <t>Monkeys are skiing behind a boat in the water.</t>
  </si>
  <si>
    <t>Another monkey is seen driving a speed boat pulling a skiing monkey.</t>
  </si>
  <si>
    <t>Several people watch and take photos and video from the shore.</t>
  </si>
  <si>
    <t>The monkey driving the speed boat is shown again.</t>
  </si>
  <si>
    <t>The monkey circles the steering wheel with the boat moving.</t>
  </si>
  <si>
    <t>The monkey then drives the boat to a set of buoys where three people are waiting for him.</t>
  </si>
  <si>
    <t>Three news anchors discuss the monkeys.</t>
  </si>
  <si>
    <t>v_XRb38sJzuY4</t>
  </si>
  <si>
    <t>A young boy is seen grabbing a ball and walking forward speaking to the camera.</t>
  </si>
  <si>
    <t>He is then seen in a shot holding on a stick and hitting a ball.</t>
  </si>
  <si>
    <t>He continues hitting the ball into a goal wile looking back to the camera.</t>
  </si>
  <si>
    <t>v_RI-l0tK8Ok0</t>
  </si>
  <si>
    <t>A man and a woman are standing by a piano.</t>
  </si>
  <si>
    <t>The man and the woman play the piano together.</t>
  </si>
  <si>
    <t>They switch places and continue playing the piano.</t>
  </si>
  <si>
    <t>They switch places again, rapidly.</t>
  </si>
  <si>
    <t>They do it again, laughing away together.</t>
  </si>
  <si>
    <t>Finally they finish and walk away together happily.</t>
  </si>
  <si>
    <t>v_Xpb1Lup1GAU</t>
  </si>
  <si>
    <t>A woman sits by a window knitting a white piece.</t>
  </si>
  <si>
    <t>The woman holds up a pattern book with an image of the piece she is working on.</t>
  </si>
  <si>
    <t>The woman continues her knitting.</t>
  </si>
  <si>
    <t>The woman shows off her work so far and continues knitting.</t>
  </si>
  <si>
    <t>v_aK0238Rz6UA</t>
  </si>
  <si>
    <t>A large bow is laying on a table.</t>
  </si>
  <si>
    <t>The close up details of the archery set are being shown.</t>
  </si>
  <si>
    <t>A man is shown pulling back and arrow and letting it go.</t>
  </si>
  <si>
    <t>v_Q6XjxUlbP2M</t>
  </si>
  <si>
    <t>A group of people ride in bumper cars in a huge bumper car ride at an amusement park.</t>
  </si>
  <si>
    <t>Two yellow bumper cars are stuck in the middle of the track until they get bumped by another car.</t>
  </si>
  <si>
    <t>The rest of the bumper car drivers continue to follow the course.</t>
  </si>
  <si>
    <t>v_X6IoTFqaegc</t>
  </si>
  <si>
    <t>A woman's hand is shown wiping a glass screen followed by various objects sitting on a table.</t>
  </si>
  <si>
    <t>The woman sprays the glass and follows the object down the glass.</t>
  </si>
  <si>
    <t>She does this several times and shows where to plug in and how to use the tool.</t>
  </si>
  <si>
    <t>v_xcSWHI3K0KA</t>
  </si>
  <si>
    <t>A man is running on a track with a javelin.</t>
  </si>
  <si>
    <t>We see him throw again in slow motion.</t>
  </si>
  <si>
    <t>v_ZGnnFIDJjaY</t>
  </si>
  <si>
    <t>A man is sitting in a chair on the beach and is approached by another man, the first man gets up and applies lotion to the second man.</t>
  </si>
  <si>
    <t>A woman and a man are sitting on a towel at the beach and a man approaches.</t>
  </si>
  <si>
    <t>The sitting man gets up and puts lotion on the man who approached.</t>
  </si>
  <si>
    <t>Five guys are laying on the beach when a woman approaches them.</t>
  </si>
  <si>
    <t>One man gets up and applies lotion to the womans back.</t>
  </si>
  <si>
    <t>Five guys are laying on towels at the beach and a man approaches them.</t>
  </si>
  <si>
    <t>v_YkqO2oi9SIk</t>
  </si>
  <si>
    <t>A group of swimmers cliff dive into a body of water surrounded by onlookers, large rocks, buildings and boats, in a judged competition.</t>
  </si>
  <si>
    <t>The swimmers jump off a man made metal cliff wrapped in sponsored advertisement art and graphics.</t>
  </si>
  <si>
    <t>A group of judges hold up scorecards with numbers on them as car drive by on a nearby street and onlookers sit side by side on a raised wall watching.</t>
  </si>
  <si>
    <t>Two swimmers hug while one swimmer jumps up and down and three more hold up trophies.</t>
  </si>
  <si>
    <t>v_XB139ATiXuk</t>
  </si>
  <si>
    <t>A well attended classical concert is shown.</t>
  </si>
  <si>
    <t>The composer speaks to the audience about music.</t>
  </si>
  <si>
    <t>The crowd applauds and smiles.</t>
  </si>
  <si>
    <t>The composer talks about music and the orchestra behind him.</t>
  </si>
  <si>
    <t>One member comes out to play the saxophone for a solo as the crowd claps along.</t>
  </si>
  <si>
    <t>The orchestra gradually joins in for a full performance.</t>
  </si>
  <si>
    <t>The song slows and builds as the crowd joins back in with claps.</t>
  </si>
  <si>
    <t>The song ends and the crowd applauds thunderously.</t>
  </si>
  <si>
    <t>The saxophonist bows and returns to her seat.</t>
  </si>
  <si>
    <t>v_Vg5Vfb16Kb8</t>
  </si>
  <si>
    <t>A little girl wearing a pink blouse sits on a bed squinting her eyes.</t>
  </si>
  <si>
    <t>The little girl then puts on purple lipstick on her lips.</t>
  </si>
  <si>
    <t>The little girl continues putting on lipstick while speaking to the camera man about putting on makeup.</t>
  </si>
  <si>
    <t>v_KZ-6u3MUp44</t>
  </si>
  <si>
    <t>A game is in progress in front of a crowd.</t>
  </si>
  <si>
    <t>A man spins, throwing a disc through the air.</t>
  </si>
  <si>
    <t>He walks around the field afterward.</t>
  </si>
  <si>
    <t>v_J5wZTdD4XeU</t>
  </si>
  <si>
    <t>Two men are on a platform, fencing.</t>
  </si>
  <si>
    <t>They jab at each other with their swords.</t>
  </si>
  <si>
    <t>A woman watches as they parlay back and forth.</t>
  </si>
  <si>
    <t>v_uyp6t45rOD8</t>
  </si>
  <si>
    <t>An athlete performs high jump and lands on the mat while person takes notes.</t>
  </si>
  <si>
    <t>Then, the athlete performs high jump successfully.</t>
  </si>
  <si>
    <t>After, the man perform high jump but drops the horizontal pole.</t>
  </si>
  <si>
    <t>The athlete perform high jumps successfully.</t>
  </si>
  <si>
    <t>The athlete perform a high jump, but the pole falls.</t>
  </si>
  <si>
    <t>v_7A7XJLhRVVE</t>
  </si>
  <si>
    <t>A large pontoon boat is sailing across an ocean and runs into a large wave that covers the people as well as the boat in water.</t>
  </si>
  <si>
    <t>The people on the boat continue walking around but the water knocks them over and they start to hold onto the wheels to steer the boat back in the right direction.</t>
  </si>
  <si>
    <t>v_Dutm5TiFBqQ</t>
  </si>
  <si>
    <t>A very muscular shirtless man is about to arm wrestle with a man in an orange hoodie.</t>
  </si>
  <si>
    <t>Another man in a yellow hoodie comes over.</t>
  </si>
  <si>
    <t>They begin the match, the man in the orange hoodie looks to be struggling.</t>
  </si>
  <si>
    <t>The shirtless man wins and then wrestles the man in the yellow, he wins and they all stand around talking.</t>
  </si>
  <si>
    <t>v_p4cQt5On74M</t>
  </si>
  <si>
    <t>Several people are outside in a large field on segways playing a game.</t>
  </si>
  <si>
    <t>They continue to move around and hitting the ball with a long racket.</t>
  </si>
  <si>
    <t>As they game goes on,the referee walks on the field and watches them.</t>
  </si>
  <si>
    <t>v_JYh2Oejg_lQ</t>
  </si>
  <si>
    <t>A person with long hair shows a rubik's cube.</t>
  </si>
  <si>
    <t>The person begins to solve it .</t>
  </si>
  <si>
    <t>They toss it up and it is magically solved.</t>
  </si>
  <si>
    <t>v_fFu37ig0pkY</t>
  </si>
  <si>
    <t>A woman is dancing outside on the sidewalk.</t>
  </si>
  <si>
    <t>She grabs a baton and starts twirling it around.</t>
  </si>
  <si>
    <t>She starts juggling the batons in the air.</t>
  </si>
  <si>
    <t>She does a back flip and goes into the splits.</t>
  </si>
  <si>
    <t>v_OG7-gtjRaEg</t>
  </si>
  <si>
    <t>Several children stand in front of a cage.</t>
  </si>
  <si>
    <t>A women is inside with a tiger.</t>
  </si>
  <si>
    <t>The children pull on a rope that against the tiger.</t>
  </si>
  <si>
    <t>They let go of the rope at the end.</t>
  </si>
  <si>
    <t>v_SGdhHAZHwmI</t>
  </si>
  <si>
    <t>A woman in a suit is talking to a camera.</t>
  </si>
  <si>
    <t>A woman is putting contact lenses into her eyes.</t>
  </si>
  <si>
    <t>Contact lenses are shown on a hand.</t>
  </si>
  <si>
    <t>The woman in the suit continues talking to the camera.</t>
  </si>
  <si>
    <t>v_te1znGPS_Vw</t>
  </si>
  <si>
    <t>guys are having a paint ball fight with each other.</t>
  </si>
  <si>
    <t>A guy explain how to hide and protect yourself when in the filed,How to crawl ,where to place your foot and hands when crawling.</t>
  </si>
  <si>
    <t>v_wSGrM1nrWq4</t>
  </si>
  <si>
    <t>A hair dryer and advertisement are shown with some info about the dryer.</t>
  </si>
  <si>
    <t>A woman shows how to use the dryer with different brushes.</t>
  </si>
  <si>
    <t>The same woman then shows how to use the dryer with different attachments for different kinds of hair.</t>
  </si>
  <si>
    <t>The dryer and advertising info are shown again.</t>
  </si>
  <si>
    <t>v_lHVn-5OwXMw</t>
  </si>
  <si>
    <t>man is in a big stadium waking in the field.</t>
  </si>
  <si>
    <t>men are playing criquet in a field rnning on side to side with a lot of audience sitting on stands.</t>
  </si>
  <si>
    <t>v_hjtGItcwkQA</t>
  </si>
  <si>
    <t>A group of sail boats sail together through choppy water on a windy day.</t>
  </si>
  <si>
    <t>Two men pull on the rigging seated on the small sailboat.</t>
  </si>
  <si>
    <t>The sail boat makes a turn in front of the bow of another boat only partly seen.</t>
  </si>
  <si>
    <t>v_kzm9ckZ5gU0</t>
  </si>
  <si>
    <t>Two men on a ladder fight in a professional wrestling match.</t>
  </si>
  <si>
    <t>The men flip off the ladder on to the mat.</t>
  </si>
  <si>
    <t>The referee kneels near by.</t>
  </si>
  <si>
    <t>The man in red crawls to the man in blue and pins him winning the match.</t>
  </si>
  <si>
    <t>We see a replay of the match.</t>
  </si>
  <si>
    <t>v_d3VVwwVkJBs</t>
  </si>
  <si>
    <t>This elderly man is blowing the leaves out of the way using a leaf blower.</t>
  </si>
  <si>
    <t>First the camera is giving viewers a close up view only showing the man's face.</t>
  </si>
  <si>
    <t>Then the camera zooms out and shows the man blowing the leaves using a machine and when he's done half doing his job, he turns the leaf blower off.</t>
  </si>
  <si>
    <t>v_bV_vdBbOubE</t>
  </si>
  <si>
    <t>little kid is holding a red tennis racket close to her face but then put it on the floor and jump on top.</t>
  </si>
  <si>
    <t>little kid is standing in a small room playing in a Hopscotch.</t>
  </si>
  <si>
    <t>the girl is grabing toys from the floor.</t>
  </si>
  <si>
    <t>v_Xm23RMCpDd8</t>
  </si>
  <si>
    <t>A man stands on a field in an outdoor game surrounded by bleachers with people in them and performs a hammer throw.</t>
  </si>
  <si>
    <t>The man spins the hammer around many times and then lets the hammer go to fly into the hair and land in the field.</t>
  </si>
  <si>
    <t>A slow motion video of the hammer landing appears as the man looks happy with the score and dries off with a towel.</t>
  </si>
  <si>
    <t>v_IkXuooaGnCc</t>
  </si>
  <si>
    <t>Letters are shown on a screen.</t>
  </si>
  <si>
    <t>A blue bucket is put into a sink.</t>
  </si>
  <si>
    <t>A man starts mopping the hardwood floors.</t>
  </si>
  <si>
    <t>He mops the tile in the bathroom.</t>
  </si>
  <si>
    <t>v_d83YCo6xLkk</t>
  </si>
  <si>
    <t>A person is seen standing on a beach looking down at sand.</t>
  </si>
  <si>
    <t>The person then begins building a large sand castle in front of them.</t>
  </si>
  <si>
    <t>The person continues working around the sand and ends by walking out of frame.</t>
  </si>
  <si>
    <t>v_gNFrILoB8LY</t>
  </si>
  <si>
    <t>A man dances and pulls his pants, which are falling down, back up, as he sweeps a cafe floor.</t>
  </si>
  <si>
    <t>A man, with his back to an elevated camera, begins to dance while sweeping a coffee shop floor.</t>
  </si>
  <si>
    <t>The man begins to pulls his pants up as his blue underwear shows from the twisting of the dance, which has pulled down his pants.</t>
  </si>
  <si>
    <t>The man then turns to face the camera and smiles while pulling his pants up.</t>
  </si>
  <si>
    <t>v_SlT6OBmQqpc</t>
  </si>
  <si>
    <t>A young man is seen standing in front of the camera and begins spinning in circles.</t>
  </si>
  <si>
    <t>He continues spinning and then does several kicks and punches while also throwing darts.</t>
  </si>
  <si>
    <t>v_3DDo37BcChI</t>
  </si>
  <si>
    <t>An ax rests in a fallen tree.</t>
  </si>
  <si>
    <t>A man picks up the ax, and chops the trunk of the tree.</t>
  </si>
  <si>
    <t>He continues chopping until the log is in half, then walks away.</t>
  </si>
  <si>
    <t>v_QdTUPBtxAV0</t>
  </si>
  <si>
    <t>A smiling young boy slides down a red slide that has netting on each side and a brand name, website, email and telephone appear on the screen when he reaches the bottom.</t>
  </si>
  <si>
    <t>Then two other children behind him that are little girls slide down.</t>
  </si>
  <si>
    <t>Just as the girls are reaching the bottom of the slide boy gets up and leaves the slide and the girls follow right behind him.</t>
  </si>
  <si>
    <t>v_6BKkSQ7uGco</t>
  </si>
  <si>
    <t>We see the title card on black.</t>
  </si>
  <si>
    <t>We see a lady riding slowly on an elliptical machine and pulling the handles.</t>
  </si>
  <si>
    <t>We switch to the lady riding without holding the handles.</t>
  </si>
  <si>
    <t>We then see the bike in stair stepper mode and using the handles.</t>
  </si>
  <si>
    <t>We then see her using the bike in stair stepper mode without the handles.</t>
  </si>
  <si>
    <t>v_p-lwebxSYyo</t>
  </si>
  <si>
    <t>People are painting a wooden fence in a yard.</t>
  </si>
  <si>
    <t>A dog walks behind them.</t>
  </si>
  <si>
    <t>They continue painting the fence.</t>
  </si>
  <si>
    <t>v_cau489T9DLE</t>
  </si>
  <si>
    <t>woman is standing in a small room doing tricks with a baton.</t>
  </si>
  <si>
    <t>men are running on a side of the woman.</t>
  </si>
  <si>
    <t>women enter to a room.</t>
  </si>
  <si>
    <t>v_xbEI98IA-XU</t>
  </si>
  <si>
    <t>Title credits are shown on the screen.</t>
  </si>
  <si>
    <t>A woman talks to the camera in a gym.</t>
  </si>
  <si>
    <t>The woman demonstrates a lifting exercise.</t>
  </si>
  <si>
    <t>The woman turns back to the camera and talks again.</t>
  </si>
  <si>
    <t>End credits roll on the screen.</t>
  </si>
  <si>
    <t>v_uFMlVrTUoR8</t>
  </si>
  <si>
    <t>A man dumps a wheelbarrow of mulch on the lawn.</t>
  </si>
  <si>
    <t>He rakes it out over the ground.</t>
  </si>
  <si>
    <t>He brings another wheelbarrow full of mulch and rakes it out over the lawn.</t>
  </si>
  <si>
    <t>v_LE05u6TR9MI</t>
  </si>
  <si>
    <t>A large group of people are seen standing in a crowd yelling and playing a game of volleyball.</t>
  </si>
  <si>
    <t>The group of girls continue to play while people cheer on the sides as well as cheerleaders.</t>
  </si>
  <si>
    <t>v_1Y3BV0Awjuo</t>
  </si>
  <si>
    <t>We see an Asian script on the title screen.</t>
  </si>
  <si>
    <t>We see food on a table and a lady picking at a potato.</t>
  </si>
  <si>
    <t>The potato is cut, then dropped in a pot.</t>
  </si>
  <si>
    <t>It's transferred to cold water and the skin just slides off when pulled.</t>
  </si>
  <si>
    <t>We see a red illustration on a potato and a potato is mashed.</t>
  </si>
  <si>
    <t>Two more potatoes are peeled easily, Another potato is boiled and dropped in cold water.</t>
  </si>
  <si>
    <t>v_-ap649M020k</t>
  </si>
  <si>
    <t>Several clips are shown of people wandering around areas, looking to the camera, and skateboarding down a hill.</t>
  </si>
  <si>
    <t>Several more people are shown skateboarding own various areas as well as swimming, rolling joints, and and surfing on the water.</t>
  </si>
  <si>
    <t>The men perform tricks, get naked, swim underwater, cut open a watermelon, as well as various other activities that lead back into skateboarding.</t>
  </si>
  <si>
    <t>v_PfNtxlM1QHw</t>
  </si>
  <si>
    <t>A crowd of people are at a stadium watching a bull fight.</t>
  </si>
  <si>
    <t>A petite man is standing in front of the bull with a red cloth and taunting the bull.</t>
  </si>
  <si>
    <t>Once the bull moves,three more men come out with pink cloths and begin taunting the bulls and he hits them with his horns.</t>
  </si>
  <si>
    <t>The men finally leave the bull alone and he lays down on his side and they begin giving him something in the mouth.</t>
  </si>
  <si>
    <t>Once laid to rest, another man comes and wraps something around his mouth to secure him as another set of men walk out guiding horses.</t>
  </si>
  <si>
    <t>v_DpoIgaZ1m_U</t>
  </si>
  <si>
    <t>Two men spar in a karate practice match inside a gym studio.</t>
  </si>
  <si>
    <t>The instructor trips the student after catching the punches.</t>
  </si>
  <si>
    <t>The instructor does a sliding kick on the student.</t>
  </si>
  <si>
    <t>The instructor catches the kicks of the student.</t>
  </si>
  <si>
    <t>v_LpTVTiu8oro</t>
  </si>
  <si>
    <t>A shirtless man with a machete walks out into the front yard.</t>
  </si>
  <si>
    <t>He starts hitting the grass repeatedly over and over cutting the grass.</t>
  </si>
  <si>
    <t>Instead of using a lawnmower he is cutting the grass with a machete.</t>
  </si>
  <si>
    <t>He stands right up and walks up to a patch and then starts to use the machete towards it also.</t>
  </si>
  <si>
    <t>v_zlXvqnBqVvI</t>
  </si>
  <si>
    <t>The two people take shots with their pucks down the board.</t>
  </si>
  <si>
    <t>The person changes the score on the board posted on a pole.</t>
  </si>
  <si>
    <t>A player walks down the board to retrieve the pucks.</t>
  </si>
  <si>
    <t>Two people play a leisurely game of shuffle board on an outdoor court.</t>
  </si>
  <si>
    <t>v_F6BJoTLozoc</t>
  </si>
  <si>
    <t>An empty stage with four lights are shown as a crowd of people stand waiting for something to happen.</t>
  </si>
  <si>
    <t>A lady with a orange and yellow cape and skirt then comes out from the side and starts to belly dance.</t>
  </si>
  <si>
    <t>The woman then drops the cape and begins walking towards the crowd moving her chest and smiling at the people.</t>
  </si>
  <si>
    <t>v_B4zPg1ftxf4</t>
  </si>
  <si>
    <t>We see people playing paintball on a football field.</t>
  </si>
  <si>
    <t>The people take off and head out into the field.</t>
  </si>
  <si>
    <t>The man is crawling on the ground.</t>
  </si>
  <si>
    <t>He fills his gun with orange balls.</t>
  </si>
  <si>
    <t>A person walks up to the bag near the man.</t>
  </si>
  <si>
    <t>The man reloads his gun with blue balls.</t>
  </si>
  <si>
    <t>We see a man behind a fence and the man is walking.</t>
  </si>
  <si>
    <t>v_4FGdbFzq-8I</t>
  </si>
  <si>
    <t>A man is seen sitting in the back of a car waxing down a surf board and another man speaking to the camera.</t>
  </si>
  <si>
    <t>Slow motion shots of a man surfing are shown and the man continues speaking.</t>
  </si>
  <si>
    <t>v_GKpeX_lWMgg</t>
  </si>
  <si>
    <t>People are riding in sailboats from the view of a large ocean liner.</t>
  </si>
  <si>
    <t>A woman leans against the edge, watching the boats.</t>
  </si>
  <si>
    <t>v_krUhklOpyQU</t>
  </si>
  <si>
    <t>A man is filming inside of am apartment looking around at several different things.</t>
  </si>
  <si>
    <t>A little boy comes into the scene and quickly exits out of the view of the camera.</t>
  </si>
  <si>
    <t>The boy comes onto the camera again doing karate moves with a stick.</t>
  </si>
  <si>
    <t>The man gets a close up of the boy while he talks to the boy in another language.</t>
  </si>
  <si>
    <t>the boy does a bow and the video ends.</t>
  </si>
  <si>
    <t>v_iFTYM1Ez5ZM</t>
  </si>
  <si>
    <t>An athlete in a white and blue uniform prepares to compete in a Triple Jump competition in a track and field tournament.</t>
  </si>
  <si>
    <t>The competitor gradually begins by running slowly then picking up speed to a sprint and landing one foot on the white marker line and two more hops on each foot and then jumps over the sand course.</t>
  </si>
  <si>
    <t>The competitor skips and runs off of the track and goes to the spectator stands and celebrates his jump.</t>
  </si>
  <si>
    <t>A close up of the competitors foot position landing on the white marker line is shown on a close up and the jump is shown in slow motion and at regular speed multiple times.</t>
  </si>
  <si>
    <t>v_xGpaEqbVgBI</t>
  </si>
  <si>
    <t>The camera pans around a large group of people playing a soccer match on a field with many people watching on the sides.</t>
  </si>
  <si>
    <t>The players walk around the field a bit and lead into them playing the game.</t>
  </si>
  <si>
    <t>A person's hand then covers the camera and moves all around the area.</t>
  </si>
  <si>
    <t>v_SvM0twHYsus</t>
  </si>
  <si>
    <t>A woman looks through a large pile of clothing and begins throwing at the camera man.</t>
  </si>
  <si>
    <t>She miles his direction while talking and irons some clothes on the table.</t>
  </si>
  <si>
    <t>v_8leZKBY0B6I</t>
  </si>
  <si>
    <t>A person is seen turning her neck to the side and a person wearing gloves holding a needle.</t>
  </si>
  <si>
    <t>The person then pierces the ear of the girl sitting down.</t>
  </si>
  <si>
    <t>He puts an earring through the piercing and makes sure it's in place.</t>
  </si>
  <si>
    <t>v_1ILXipBgbTs</t>
  </si>
  <si>
    <t>There are several people dressed in safety vests and helmets sailing in a speed boat to go tubing in water.</t>
  </si>
  <si>
    <t>They travel through the lake and arrive at a spot where they get off the boat and jump into the water with their tubes.</t>
  </si>
  <si>
    <t>They get onto the yellow tubes and float along the water.</t>
  </si>
  <si>
    <t>v_tgnyGoKM2tM</t>
  </si>
  <si>
    <t>We see a man talking in a bike shop.</t>
  </si>
  <si>
    <t>The man touches the handle bars of a bike then grabs a wire off a table.</t>
  </si>
  <si>
    <t>The man strings the wire through the bikes brake system.</t>
  </si>
  <si>
    <t>The man adds a black plastic sheath over the wire and attaches it to the wheel brace.</t>
  </si>
  <si>
    <t>v_diZvvLb46O8</t>
  </si>
  <si>
    <t>The team in white and red uniform danced in the court.</t>
  </si>
  <si>
    <t>The team individually do jumping rope, danced on the ground.</t>
  </si>
  <si>
    <t>The team do jumping ropes where two females hold the end of the jumping rope, rotating them as the other team member jumped inside the rope and dance.</t>
  </si>
  <si>
    <t>v_6ITE3hona-4</t>
  </si>
  <si>
    <t>a person is assembling a vacuum on the carpet.</t>
  </si>
  <si>
    <t>They plug the vacuum in.</t>
  </si>
  <si>
    <t>They turn the vacuum on and begin vacuuming the floor.</t>
  </si>
  <si>
    <t>They take the attachment hose off and vacuum the base boards and stairs.</t>
  </si>
  <si>
    <t>They take the filter out and empty it.</t>
  </si>
  <si>
    <t>They unplug the vacuum and put it in the closet.</t>
  </si>
  <si>
    <t>v_nTsXn3oHf_8</t>
  </si>
  <si>
    <t>A small boy plays on a stair stepper in a store.</t>
  </si>
  <si>
    <t>We back up and see the boys legs.</t>
  </si>
  <si>
    <t>The camera zooms in on the boy again.</t>
  </si>
  <si>
    <t>v_E4AoMNfsuaw</t>
  </si>
  <si>
    <t>A little girl in a diaper uses a small vacuum.</t>
  </si>
  <si>
    <t>She is vacuuming dirt out from under a chair in a living room.</t>
  </si>
  <si>
    <t>She uses the brush to suck up dirt on the floor.</t>
  </si>
  <si>
    <t>v_xfyoEDb6kVg</t>
  </si>
  <si>
    <t>A boy spins around a gym with a tennis racket and pushes a ball around to another boy.</t>
  </si>
  <si>
    <t>The boys run back and fourth bouncing balls against a wall with their hands and a tennis racket.</t>
  </si>
  <si>
    <t>They slide around the floor pushing the ball and continue hitting the ball back and fourth across the gym.</t>
  </si>
  <si>
    <t>v_bMRx3vSVZUQ</t>
  </si>
  <si>
    <t>A man is seen in several shots looking off into the distance followed by others riding around on boards.</t>
  </si>
  <si>
    <t>The men gear up on the sides while speaking to the camera and ride around on the water.</t>
  </si>
  <si>
    <t>The people continue to ride around while others watch on the side.</t>
  </si>
  <si>
    <t>v_xs4MvE_uAtU</t>
  </si>
  <si>
    <t>A person uses a brush to scrub a shoe over a sink.</t>
  </si>
  <si>
    <t>They wipe the shoe off with a white towel.</t>
  </si>
  <si>
    <t>He lifts up the shoe to show the camera.</t>
  </si>
  <si>
    <t>v_q_eRxmeGJBY</t>
  </si>
  <si>
    <t>We see an image of a male gymnast in mid swing.</t>
  </si>
  <si>
    <t>We see a title card with a family on it.</t>
  </si>
  <si>
    <t>A man swings around on a pommel horse.</t>
  </si>
  <si>
    <t>A man in blue plan swing his legs back and forth.</t>
  </si>
  <si>
    <t>The man in red shorts is spinning wildly.</t>
  </si>
  <si>
    <t>He then spins on a round device.</t>
  </si>
  <si>
    <t>v_C2KzNljiTIU</t>
  </si>
  <si>
    <t>A woman is seated, brushing her hair with her back to the camera.</t>
  </si>
  <si>
    <t>She continues brushing with long strokes.</t>
  </si>
  <si>
    <t>She leans her head to one side, continuing to brush.</t>
  </si>
  <si>
    <t>v_vXOT_VXWOqo</t>
  </si>
  <si>
    <t>Several shots are shown of large groups of people running around a field.</t>
  </si>
  <si>
    <t>Audience members are seen cheering while people play soccer on the side.</t>
  </si>
  <si>
    <t>People continue playing up and down the field while others watch them play.</t>
  </si>
  <si>
    <t>v_UlddctIswqo</t>
  </si>
  <si>
    <t>A girl wearing an orange hoodie and a girl wearing a black blouse enter a home and go into the kitchen.</t>
  </si>
  <si>
    <t>The girls are preparing to bake cookies.</t>
  </si>
  <si>
    <t>The cell phone rings and both girls get excited.</t>
  </si>
  <si>
    <t>Some one is at the front door and the girl in the orange hoodie runs through the house to go answer the door.</t>
  </si>
  <si>
    <t>The girl in the black blouse is at the door disguised as a man.</t>
  </si>
  <si>
    <t>The girl in the orange hoodie squeezes a bar of butter and it falls to the floor and slams the door shut.</t>
  </si>
  <si>
    <t>The girl in the black blouse turns and walks away dejected.</t>
  </si>
  <si>
    <t>v_zCND0HJq6Iw</t>
  </si>
  <si>
    <t>A white man is on the stage with long dreads throwing up the piece sign to the audience.</t>
  </si>
  <si>
    <t>After their interaction,the man begins to play the wind pipes on his back as he walks back and forth across the stage.</t>
  </si>
  <si>
    <t>The crowd is shown and the camera goes back to the stage and several lights come on as the guitarist begins to play.</t>
  </si>
  <si>
    <t>v_3boxQwSpv-8</t>
  </si>
  <si>
    <t>A little girl smiles and talks to the camera.</t>
  </si>
  <si>
    <t>She and other children are then shown washing their hands at sinks.</t>
  </si>
  <si>
    <t>They talk about singing the birthday song or counting to know how long they should wash their hands.</t>
  </si>
  <si>
    <t>v_xM5OQYON59w</t>
  </si>
  <si>
    <t>We see a man with a ball he is preparing to throw shotput.</t>
  </si>
  <si>
    <t>The man lifts his arm.</t>
  </si>
  <si>
    <t>The man spins and throws the ball.</t>
  </si>
  <si>
    <t>We see men in the distance measure.</t>
  </si>
  <si>
    <t>We see the thrower grab his jacket and walk away.</t>
  </si>
  <si>
    <t>v_G-giwt-TN8A</t>
  </si>
  <si>
    <t>We see a tractor and a title screen.</t>
  </si>
  <si>
    <t>We see a tractor blowing leaves.</t>
  </si>
  <si>
    <t>We see the tractor up close.</t>
  </si>
  <si>
    <t>We then see flowers on trees.</t>
  </si>
  <si>
    <t>v_7tdlcmbuLOA</t>
  </si>
  <si>
    <t>A man is seen speaking to the camera that leads into several clips of people wake boarding.</t>
  </si>
  <si>
    <t>The man then speaks to a woman and helps demonstrate how to properly ride the wake board.</t>
  </si>
  <si>
    <t>The boat then takes off and helps the girl ride along while she falls the first time then successfully rides.</t>
  </si>
  <si>
    <t>v_nxNJNn8blDw</t>
  </si>
  <si>
    <t>An old man with eyeglasses is standing in front of model tiles talking to the camera.</t>
  </si>
  <si>
    <t>A group of men in black started to removed the first half of the carpet in the living room, then replaced it with lighter, newer carpet.</t>
  </si>
  <si>
    <t>The group of men in black shirts moved the couch from the wall to other side and removed the other half of the carpet, exposing the green floor.</t>
  </si>
  <si>
    <t>The group of men put the carpet on the floor, they measure it, cut it and taped it.</t>
  </si>
  <si>
    <t>When the new carpet is properly installed, the men vacuum the carpet while the lady walked in the living room.</t>
  </si>
  <si>
    <t>The men and the old man and the woman removed the TV from the wall and installed a wooden TV set furniture, while the other men and the lady arranged the couch and put the pillows on it.</t>
  </si>
  <si>
    <t>v_XBbSLB3Ov0w</t>
  </si>
  <si>
    <t>A group of eight people are white rafting in somewhat calm water as the two people in the back paddle them down the water.</t>
  </si>
  <si>
    <t>The two people in the back continue paddling and the camera zooms in on them but the water is too calm for them to get the full experience and nothing is happening.</t>
  </si>
  <si>
    <t>Lastly, a blue screen flashes and white words appear.</t>
  </si>
  <si>
    <t>v_2VYQ4q24D-4</t>
  </si>
  <si>
    <t>Two cars are parked on the side of the road as train passes by.</t>
  </si>
  <si>
    <t>All of a sudden,the angle shifts and a boy begins skateboarding down the hill and throughout the city.</t>
  </si>
  <si>
    <t>v_vOI3hJ45lag</t>
  </si>
  <si>
    <t>A man sits on a table with accordions.</t>
  </si>
  <si>
    <t>Then the man holds an accordion while touching the buttons and talking.</t>
  </si>
  <si>
    <t>v_iOgmO3MMeH4</t>
  </si>
  <si>
    <t>A woman plays piano in a room decorated with candles.</t>
  </si>
  <si>
    <t>Katty Perry walks with a man in street, they she plays the piano, then she talks with the man.</t>
  </si>
  <si>
    <t>v_-5KAycAQlC4</t>
  </si>
  <si>
    <t>A man is being pulled on a water ski as he floats in the water casually.</t>
  </si>
  <si>
    <t>He mounts the water ski and tears through the water at fast speeds.</t>
  </si>
  <si>
    <t>Two men are shown sitting in the boat, before cutting back to the turbulent water skiing.</t>
  </si>
  <si>
    <t>v_uR-o9wILN6U</t>
  </si>
  <si>
    <t>The man in blue shirt with cap is hitting the thick rope.</t>
  </si>
  <si>
    <t>The man get on the rope and the crowd applauded.</t>
  </si>
  <si>
    <t>The man in blue shirt started to bounced on the rope doing some tricks like sitting on the rope, bouncing on his chest, cartwheel and walking on the rope.</t>
  </si>
  <si>
    <t>v_Jk3oA2mhPD8</t>
  </si>
  <si>
    <t>A young girl is doing gymnastics on a blue mat.</t>
  </si>
  <si>
    <t>She does several back flips on a trampoline.</t>
  </si>
  <si>
    <t>She does a flip into a pile of foam pieces.</t>
  </si>
  <si>
    <t>v_MduMjuxuIac</t>
  </si>
  <si>
    <t>Men walk out on a stage clap and high five.</t>
  </si>
  <si>
    <t>The men perform a cheerleader routine.</t>
  </si>
  <si>
    <t>They hold five men in the air and flip them and flip four men in groups.</t>
  </si>
  <si>
    <t>One man is lifted high and swings two men on his arms to the other side then five men make a star like shape.</t>
  </si>
  <si>
    <t>the men kneel and dance and pose for the finish.</t>
  </si>
  <si>
    <t>The men jump and cheer as they leave the stage.</t>
  </si>
  <si>
    <t>A person in the front row stands in front of the camera.</t>
  </si>
  <si>
    <t>v_Ga-204sSRoc</t>
  </si>
  <si>
    <t>A man is seen kneeling of a roof while holding a piece of wood.</t>
  </si>
  <si>
    <t>He begins hammering down the piece of wood while the camera pans around.</t>
  </si>
  <si>
    <t>He continues hammering around and looks back at the camera.</t>
  </si>
  <si>
    <t>v_KeTYxQkYfQw</t>
  </si>
  <si>
    <t>A man is seen looking to the camera and snapping his fingers.</t>
  </si>
  <si>
    <t>This leads into a man playing an instrument while the camera watches.</t>
  </si>
  <si>
    <t>The man continues to play moving his hands up and down and looking back to the camera.</t>
  </si>
  <si>
    <t>v_rtJTJ10ppRc</t>
  </si>
  <si>
    <t>A group of people are outside at the beach playing sand volley ball.</t>
  </si>
  <si>
    <t>The ball falls and a fat boy with yellow shirts takes the ball and tries to serve it.</t>
  </si>
  <si>
    <t>However,the ball doesn't make it over the net,rolls back and he goes to get it.</t>
  </si>
  <si>
    <t>v_Cx1614E1Mgk</t>
  </si>
  <si>
    <t>A man is talking and playing drums in a split screen.</t>
  </si>
  <si>
    <t>As he explains the process, he uses his hands to beat out a tune.</t>
  </si>
  <si>
    <t>He continues talking and playing until it switches exclusively to him playing the drums.</t>
  </si>
  <si>
    <t>v_LlhgIOYsxsE</t>
  </si>
  <si>
    <t>People are sitting work out machines.</t>
  </si>
  <si>
    <t>They begin pulling a rope to work out.</t>
  </si>
  <si>
    <t>A woman is standing next to a work out machine.</t>
  </si>
  <si>
    <t>v_yRD0WDE5IG0</t>
  </si>
  <si>
    <t>Several people exercise in a room.</t>
  </si>
  <si>
    <t>The step on and off of a platform in rhythm.</t>
  </si>
  <si>
    <t>They are very dancing intensely.</t>
  </si>
  <si>
    <t>Some of them spin in circles.</t>
  </si>
  <si>
    <t>v__tPDUYSu1IQ</t>
  </si>
  <si>
    <t>There are two men elbow wrestling on a table.</t>
  </si>
  <si>
    <t>There are several people are watching them wrestle.</t>
  </si>
  <si>
    <t>In another scene, there are two more men elbow wrestling.</t>
  </si>
  <si>
    <t>There are a series of elbow wrestling events shown in the video where one man is more forceful than the other and ends up winning the wrestling game.</t>
  </si>
  <si>
    <t>There are some over dramatized scenes where people are elbow wrestling and over reacting to the game.</t>
  </si>
  <si>
    <t>There are also some referees seen acting as moderators in the elbow wrestling match.</t>
  </si>
  <si>
    <t>v_MO37MVz4uuA</t>
  </si>
  <si>
    <t>A brunette woman is sitting in a room and has her left arm raised and is looking at her armpit.</t>
  </si>
  <si>
    <t>The woman puts her arm down and talks into the camera and a black cat climbs on furniture behind her while she's still talking.</t>
  </si>
  <si>
    <t>The woman is now standing in her shower fully clothed and she's applying a lot of shaving cream to her right leg that's propped on a wall.</t>
  </si>
  <si>
    <t>The woman is now standing upright and has a lot of shaving cream on her left armpit and falls, then she's standing with shaving cream all over her and then claps her hands.</t>
  </si>
  <si>
    <t>The woman is back in the room talking, then appears back in the shower with a razor and shaving her legs.</t>
  </si>
  <si>
    <t>The woman is talking in the room again and her black cat goes up to her and the woman continues to talk and ends with a clip of her carefully getting out of the bathtub.</t>
  </si>
  <si>
    <t>v_MFvdMVCzfB0</t>
  </si>
  <si>
    <t>A girl wearing a red shirt and white shorts is standing in her bathroom at the sink with a toothbrush in her hand.</t>
  </si>
  <si>
    <t>She takes some toothpaste and puts it on her brush and begins brushing.</t>
  </si>
  <si>
    <t>She starts to dance as she brushes her teeth and wiggles her body too.</t>
  </si>
  <si>
    <t>She continues brushing and dances faster and laughs.</t>
  </si>
  <si>
    <t>Then she realizes that her mouth is full of toothpaste foam and that it is coming out, she spits it out in the sink.</t>
  </si>
  <si>
    <t>v_DZVJtWJrWTU</t>
  </si>
  <si>
    <t>A young woman with red and black hair is shown using a hair dryer.</t>
  </si>
  <si>
    <t>She uses a large round brush to brush her hair straight as it dries.</t>
  </si>
  <si>
    <t>When she is done, she rakes her hand through her hair and brushes it into place.</t>
  </si>
  <si>
    <t>v_sfeUXTuKMs8</t>
  </si>
  <si>
    <t>Photos of horses are shown followed by the "Equestrian Life" logo.</t>
  </si>
  <si>
    <t>A woman stands outside with a brown horse and puts on a helmet.</t>
  </si>
  <si>
    <t>The woman talks to the camera and mounts the horse.</t>
  </si>
  <si>
    <t>She continues to speak to the camera and then walks the horse in a circle.</t>
  </si>
  <si>
    <t>v_e9R62cyqW4A</t>
  </si>
  <si>
    <t>A person is seen riding a bike down a long road followed by a large camel off in the distance.</t>
  </si>
  <si>
    <t>The animal moves closer while the camera zooms in the three people riding on the top the camel and passing by more riding camels.</t>
  </si>
  <si>
    <t>v_tqanHyXTFFw</t>
  </si>
  <si>
    <t>A woman is seen speaking to the camera that leads into a man speaking to a group.</t>
  </si>
  <si>
    <t>Another man speaks to the camera while the demonstrator points to a bike and takes off a wheel.</t>
  </si>
  <si>
    <t>More people speak to the camera while the man demonstrates how to put air in a tire and well as taking it apart.</t>
  </si>
  <si>
    <t>v_XCejO7RyWdA</t>
  </si>
  <si>
    <t>A woman in a pink shirt is standing outside.</t>
  </si>
  <si>
    <t>A brown dog is playing with a frisbee.</t>
  </si>
  <si>
    <t>The dog is standing on the woman's back.</t>
  </si>
  <si>
    <t>v_l12QfUhRLLc</t>
  </si>
  <si>
    <t>stadium is shown with a lot of people in the audience sitting on stands watching a criquet game.</t>
  </si>
  <si>
    <t>men are being interviewed in the field.</t>
  </si>
  <si>
    <t>v_aQAAzVQ_gSA</t>
  </si>
  <si>
    <t>A man is standing at a toy machine before he looks up and runs, jumping over a counter.</t>
  </si>
  <si>
    <t>He grabs a bowling ball and begins bowling.</t>
  </si>
  <si>
    <t>The men do backflips and slide as they bowl, sometimes rolling the balls under each other.</t>
  </si>
  <si>
    <t>One is blindfolded before making a strike, then the other does hand stands on the equipment.</t>
  </si>
  <si>
    <t>v_5yqHTGQm2B0</t>
  </si>
  <si>
    <t>Men on these robotic looking pogo sticks are playing basketball inside of a court.</t>
  </si>
  <si>
    <t>They are walking on the pogo sticks and jumping a bit too.</t>
  </si>
  <si>
    <t>They try to get the ball in the hoop and continue bouncing around the court.</t>
  </si>
  <si>
    <t>A man in green does a flip in the air and shoots the ball into the hoop.</t>
  </si>
  <si>
    <t>v_kTJDylL6pCU</t>
  </si>
  <si>
    <t>A dog is seen standing in a bath tub chained to a tub and a woman walks into frame and grabs the dog.</t>
  </si>
  <si>
    <t>She hold up a bottle and sprays it around the dog, rubbing it into it's fur while speaking to the camera.</t>
  </si>
  <si>
    <t>She then takes a hose and sprays the dog with water and ends by looking back to the camera.</t>
  </si>
  <si>
    <t>v_yr_ZOq9ZB9E</t>
  </si>
  <si>
    <t>Three teenage boys carry their skateboards up a paved park trail.</t>
  </si>
  <si>
    <t>A camera mounted on the skateboard captures scenes of the young skaters cruising in different directions and performing different tricks.</t>
  </si>
  <si>
    <t>A skateboarder in a green hoodie skates on a narrow dirt trail lined with trees.</t>
  </si>
  <si>
    <t>v_U0mKdo2-Gfc</t>
  </si>
  <si>
    <t>A weather map is shown for a second, then two news women sitting at a desk.</t>
  </si>
  <si>
    <t>Several people are shown warming up for a race.</t>
  </si>
  <si>
    <t>A gun is fired, and the race begins.</t>
  </si>
  <si>
    <t>We go back to the women in the news room, talking.</t>
  </si>
  <si>
    <t>v_fBbjlXgtd50</t>
  </si>
  <si>
    <t>A woman wearing classes dances in front of the camera.</t>
  </si>
  <si>
    <t>The woman turns around while raising an arm.</t>
  </si>
  <si>
    <t>The woman turns around again.</t>
  </si>
  <si>
    <t>v_VLg5XqBRorY</t>
  </si>
  <si>
    <t>We see a chef at an omelette bar making multiple omelets at the same time.</t>
  </si>
  <si>
    <t>We see the man pour more egg into the pans.</t>
  </si>
  <si>
    <t>The man sprinkles seasonings on the omelets.</t>
  </si>
  <si>
    <t>The man pours the omelettes on plates.</t>
  </si>
  <si>
    <t>We see photos of the chef.</t>
  </si>
  <si>
    <t>v_zaPxNw11llc</t>
  </si>
  <si>
    <t>An individual stands behind a netted area.</t>
  </si>
  <si>
    <t>The individual begins to swing for a hammer throw.</t>
  </si>
  <si>
    <t>The individual releases the weight.</t>
  </si>
  <si>
    <t>v_QjKmQO_9TaA</t>
  </si>
  <si>
    <t>A man is dancing in a room.</t>
  </si>
  <si>
    <t>He steps up and down on a small black stepping stool.</t>
  </si>
  <si>
    <t>He then dances with a woman in the room.</t>
  </si>
  <si>
    <t>v_54VcTlhF2H8</t>
  </si>
  <si>
    <t>man is standing on a race track ready to make gymnastics in parallels in the midle of a stadium.</t>
  </si>
  <si>
    <t>a lot of people are sitting or walking on stands.</t>
  </si>
  <si>
    <t>the man lands in the floor, greets and people applauds.</t>
  </si>
  <si>
    <t>v_0vCynjlkM5A</t>
  </si>
  <si>
    <t>A green race car comes into a pit stop.</t>
  </si>
  <si>
    <t>The man with the jack lifts the car up.</t>
  </si>
  <si>
    <t>The pit crew begins to work on the car by changing the front and rear tires of the car.</t>
  </si>
  <si>
    <t>The jack man then takes the jack out as a man in a pink shirt comes in front of the camera.</t>
  </si>
  <si>
    <t>v_wOwWidUOaxc</t>
  </si>
  <si>
    <t>A man is seen kneeling down in a picture followed by two men bending down towards one another.</t>
  </si>
  <si>
    <t>They begin wrestling and one man pushes the other down and their clip is shown again.</t>
  </si>
  <si>
    <t>v_ZX8sFpq471A</t>
  </si>
  <si>
    <t>A man and a woman are in a room with several targets behind them talking.</t>
  </si>
  <si>
    <t>The lady is then shown in another room demonstrating the proper technique to be efficient in archery.</t>
  </si>
  <si>
    <t>Two pattern continues and then the girl comes back and is shown with bows behind her back before shooting at a target on the wall.</t>
  </si>
  <si>
    <t>v_W5jswt09V3s</t>
  </si>
  <si>
    <t>A group of men are playing instruments outside a building.</t>
  </si>
  <si>
    <t>Two men crouch in front of each other as they play.</t>
  </si>
  <si>
    <t>The men jump up, and begin doing martial arts moves around each other, simulating kicks and flips.</t>
  </si>
  <si>
    <t>v__n0cR3Oshxg</t>
  </si>
  <si>
    <t>A man sits on front a bowl, then a woman shows cookie dough in bowls, then review a cookbook.</t>
  </si>
  <si>
    <t>Then, the woman make dough balls and putsion a baking pan, also a teen makes dough balls and puts in baking pan.</t>
  </si>
  <si>
    <t>After, the man put the cookies in the oven.</t>
  </si>
  <si>
    <t>v_R2cL7miVEwA</t>
  </si>
  <si>
    <t>A large group of people are seen running along a field and leads into them playing a field hockey game.</t>
  </si>
  <si>
    <t>The game continues on with arrows pointing to various players as well as shots of people falling down.</t>
  </si>
  <si>
    <t>v_lx83HHNNrlc</t>
  </si>
  <si>
    <t>A man holds the handle of a cleaning tool.</t>
  </si>
  <si>
    <t>The man cleans the kitchen floor.</t>
  </si>
  <si>
    <t>A lady discusses with the man.</t>
  </si>
  <si>
    <t>The man takes the mop out of the red bucket and moves the bucket aside.</t>
  </si>
  <si>
    <t>The lady stands next to a male.</t>
  </si>
  <si>
    <t>The lady gestures with her hands.</t>
  </si>
  <si>
    <t>The man hands the mop to the lady and empties the red bucket in the sink.</t>
  </si>
  <si>
    <t>The male grabs alcohol, while the lady mops.</t>
  </si>
  <si>
    <t>The man hands the bucket and mop to the male.</t>
  </si>
  <si>
    <t>The man waves and salutes.</t>
  </si>
  <si>
    <t>The lady laughs out loud.</t>
  </si>
  <si>
    <t>The man washes his hand.</t>
  </si>
  <si>
    <t>v_uOmCwWVJnLQ</t>
  </si>
  <si>
    <t>A bar of exercise equipment is shown in a living room.</t>
  </si>
  <si>
    <t>The different details of the equipment are being shown.</t>
  </si>
  <si>
    <t>The man holds on to the bar of the machine as he talks about it.</t>
  </si>
  <si>
    <t>v_U6KrVIJSeDo</t>
  </si>
  <si>
    <t>A close up of an exercise equipment is shown followed by a man walking into frame and begins using the machine.</t>
  </si>
  <si>
    <t>The man moves back and fourth on the machine while the camera continues to capture his movements.</t>
  </si>
  <si>
    <t>v_UmU8dx36O9w</t>
  </si>
  <si>
    <t>A woman is seen sitting in front of the camera and begins putting a contact lens in her eyes.</t>
  </si>
  <si>
    <t>The woman keeps attempting to put the lens in her eye while looking around trying again.</t>
  </si>
  <si>
    <t>She succeeds the last time and is seen cheering to the camera.</t>
  </si>
  <si>
    <t>v_BsSZDCHPjtY</t>
  </si>
  <si>
    <t>A large lake is seen with a man sitting in a tube as well as others looking around the area.</t>
  </si>
  <si>
    <t>The men crash with one hitting up against a log and leads into the tube being moved around and the person sitting back on.</t>
  </si>
  <si>
    <t>v_5Ra6milBrOM</t>
  </si>
  <si>
    <t>An introduction animation is shown with the title of video.</t>
  </si>
  <si>
    <t>A female coach in sweats gives instructions to a group of students in a gym for a physical activity by acting out the routine.</t>
  </si>
  <si>
    <t>The students mimic the instructors motions.</t>
  </si>
  <si>
    <t>The coach points to different areas of the gym and individual groups of students.</t>
  </si>
  <si>
    <t>A student in black shorts runs across the gym.</t>
  </si>
  <si>
    <t>A group of students plays rock paper sissor.</t>
  </si>
  <si>
    <t>Students run around the perimeter of the gym to different stations.</t>
  </si>
  <si>
    <t>A student wearing a hat sits on the bench and looks sick.</t>
  </si>
  <si>
    <t>A animated page shows credits for the video.</t>
  </si>
  <si>
    <t>v_Bvry1S-bYXU</t>
  </si>
  <si>
    <t>A girl competes vault gymnastic in front the judges while spectators observe from the bleachers.</t>
  </si>
  <si>
    <t>The gymnast approach to her coaches to talk and then they leave.</t>
  </si>
  <si>
    <t>After, the a flashback of the performance of the gymnast is show.</t>
  </si>
  <si>
    <t>v_uThAYmmxBFk</t>
  </si>
  <si>
    <t>A large group of people are seen moving around a room performing an exercise routine.</t>
  </si>
  <si>
    <t>The people move up and down on beams while moving their arms around and a woman leading in front.</t>
  </si>
  <si>
    <t>The group continue dancing with one another and end by holding a pose.</t>
  </si>
  <si>
    <t>v_OyV4eki18GE</t>
  </si>
  <si>
    <t>A baby in a hat is sitting on a chair.</t>
  </si>
  <si>
    <t>A man is holding the baby playing with a ball.</t>
  </si>
  <si>
    <t>A baby is sleeping on a couch.</t>
  </si>
  <si>
    <t>v_D-XCWhvStd4</t>
  </si>
  <si>
    <t>We see the title screens for the video.</t>
  </si>
  <si>
    <t>We see a person skiing.</t>
  </si>
  <si>
    <t>We switch to a workshop and a list of tools.</t>
  </si>
  <si>
    <t>We see a man adds a band on a ski and the ski sits on a contraption.</t>
  </si>
  <si>
    <t>A man brushes and rubs the ski.</t>
  </si>
  <si>
    <t>We see colorful wax and a man turning a dial.</t>
  </si>
  <si>
    <t>The man pours wax and we get instructions before he irons the wax on the ski.</t>
  </si>
  <si>
    <t>The man scrapes the wax and brushes the ski.</t>
  </si>
  <si>
    <t>We get a ski fact and the video end card shows.</t>
  </si>
  <si>
    <t>v_SXwCedd4MKg</t>
  </si>
  <si>
    <t>A person is seen throwing a frisbee off into the distance and a dog chasing after it.</t>
  </si>
  <si>
    <t>Several shots are shown of dogs running after frisbees after their owner throws them.</t>
  </si>
  <si>
    <t>More dogs are seen chasing after the frisbees while the owner watches from behind.</t>
  </si>
  <si>
    <t>v_tQT-iQIv-KY</t>
  </si>
  <si>
    <t>A group of coaches, gymnasts and parents stand and sit around a gym while a few of the gymnasts perform or practice.</t>
  </si>
  <si>
    <t>A young girl in purple does a balance beam routine.</t>
  </si>
  <si>
    <t>A girl in the back ground does a floor routine.</t>
  </si>
  <si>
    <t>When the floor routine ends the crowd all claps and several young gymnasts get up and walk around.</t>
  </si>
  <si>
    <t>A woman hold up a sign that says 965.</t>
  </si>
  <si>
    <t>The girl on the balance beam ends her routine and walks over and hugs a woman in purple.</t>
  </si>
  <si>
    <t>v__zR5wVbz3xU</t>
  </si>
  <si>
    <t>A man jumps onto bars and starts swinging on them.</t>
  </si>
  <si>
    <t>He does a flip off them and lands on a mat.</t>
  </si>
  <si>
    <t>v_uXX2lSVAXq8</t>
  </si>
  <si>
    <t>A medical processional puts a device and needle in someones face.</t>
  </si>
  <si>
    <t>It is actually a piercing.</t>
  </si>
  <si>
    <t>He cleans it and then she gets up.</t>
  </si>
  <si>
    <t>v_YK5n3YTf8pI</t>
  </si>
  <si>
    <t>A group of photographers take pictures as a weight lifter shows up on stage and prepares his hands.</t>
  </si>
  <si>
    <t>He lifts a barbell at the knees, then pauses at his chest.</t>
  </si>
  <si>
    <t>He lifts the barbell over his head before dropping it back to the ground.</t>
  </si>
  <si>
    <t>v_COx5Bf0PsQs</t>
  </si>
  <si>
    <t>A platter with lemonade drinks sits on a counter top.</t>
  </si>
  <si>
    <t>A woman squeezes a lemon.</t>
  </si>
  <si>
    <t>She adds sugar to a large pitcher.</t>
  </si>
  <si>
    <t>She stirs the sugar with a large wooden spoon.</t>
  </si>
  <si>
    <t>She proceeds to add water to the pitcher in order to dilute.</t>
  </si>
  <si>
    <t>Afterwards, she adds more sugar to the pitcher.</t>
  </si>
  <si>
    <t>She pours the finished lemonade into a cup.</t>
  </si>
  <si>
    <t>The steps of making lemonade are presented once more.</t>
  </si>
  <si>
    <t>v_VFUk9WX8y5w</t>
  </si>
  <si>
    <t>A group of people holding skateboards stand on the start line, then people skateboard down the road.</t>
  </si>
  <si>
    <t>They get in a school bus, then, they skateboard on the road.</t>
  </si>
  <si>
    <t>A boy falls on the ground, and other people continue skateboarding.</t>
  </si>
  <si>
    <t>Two, people fall on the road.</t>
  </si>
  <si>
    <t>After, a man gives the start to people who skateboard on the road until reach the finish line to receive their trophies.</t>
  </si>
  <si>
    <t>A person skateboard jumping on a ramp.</t>
  </si>
  <si>
    <t>v_Rh2UGc42X0M</t>
  </si>
  <si>
    <t>A woman smiles before sledding down a hill on an intertube.</t>
  </si>
  <si>
    <t>She laughs and waves at the camera on the way down the hill.</t>
  </si>
  <si>
    <t>Several people are then shown sledding together before coming to a stop on a snowy slope.</t>
  </si>
  <si>
    <t>v_M0UsJ31h64U</t>
  </si>
  <si>
    <t>A large group of people are shown swimming around in a pool playing water polo.</t>
  </si>
  <si>
    <t>The match continues on with people passing the ball around the pool while many sit along the sidelines and watch.</t>
  </si>
  <si>
    <t>v_PUzd4mfmzqo</t>
  </si>
  <si>
    <t>A man in an outdoor basketball court explains how to do layup drills with both arms, over hand, underhand, right and left hand layup with two steps.</t>
  </si>
  <si>
    <t>He then goes to the hash marks on the court and shows various variations of a layup from various distances and how to do the drills for practice.</t>
  </si>
  <si>
    <t>He then comes back to the camera and explains what he did.</t>
  </si>
  <si>
    <t>v_W07hi9Y37Jg</t>
  </si>
  <si>
    <t>A man plays the accordion on a stage in front of a music stand while wearing a red suit jacket.</t>
  </si>
  <si>
    <t>A man sits on a chair on a stage and plays the accordion in front of a music stands.</t>
  </si>
  <si>
    <t>The man runs his fingers up and down the keys and pulls the accordion open and closed with a free hands before ending the performance and rubbing his hair with his hand.</t>
  </si>
  <si>
    <t>v_tJSF2GAp9TU</t>
  </si>
  <si>
    <t>A man jumps on parallel bars and does a gymnastics routine.</t>
  </si>
  <si>
    <t>The audience is watching him in the stands.</t>
  </si>
  <si>
    <t>He jumps off and lands on the mat with his hands raised.</t>
  </si>
  <si>
    <t>v_QePg4GKh3rw</t>
  </si>
  <si>
    <t>A gymnast is seen standing ready and waves one arm into the air.</t>
  </si>
  <si>
    <t>She jumps onto a set of uneven bars and performs a gymnastics routine consisting on flips and tricks.</t>
  </si>
  <si>
    <t>She jumps off the bars in the end and waves her arms in the air while her coach claps for her.</t>
  </si>
  <si>
    <t>v_CEEJ1gzdmAk</t>
  </si>
  <si>
    <t>Guys are playing hockey on an ice arena.</t>
  </si>
  <si>
    <t>Some players are laid out.</t>
  </si>
  <si>
    <t>A pile of players lay on a fallen athlete.</t>
  </si>
  <si>
    <t>A player gets knocked to the ice and his helmet too.</t>
  </si>
  <si>
    <t>A guy has a head injury and is blooding on the ice after he falls.</t>
  </si>
  <si>
    <t>v_6yD5jZn6SEs</t>
  </si>
  <si>
    <t>A gymnast is seen leaning over a long bar with a person standing next to her on the ground.</t>
  </si>
  <si>
    <t>The girl then hops herself up on the beam.</t>
  </si>
  <si>
    <t>Finally the girl begins to swing down around.</t>
  </si>
  <si>
    <t>v_UaiKJ_7mKIA</t>
  </si>
  <si>
    <t>A group stands at a train station.</t>
  </si>
  <si>
    <t>A man shovels snow from the sidewalk.</t>
  </si>
  <si>
    <t>A man in a wheelchair goes down a sidewalk on a cold winter day.</t>
  </si>
  <si>
    <t>A woman in snow jacket shovels snow from a sidewalk.</t>
  </si>
  <si>
    <t>A man breaks up ice with a spade.</t>
  </si>
  <si>
    <t>A man shovels snow from a sidewalk into a tree lined planter.</t>
  </si>
  <si>
    <t>v_mhqfGS59FG0</t>
  </si>
  <si>
    <t>Two people are seen holding tennis rackets and hitting a ball around in a small room.</t>
  </si>
  <si>
    <t>The men continue to hit the ball back and fourth to one another and run around the hit the ball.</t>
  </si>
  <si>
    <t>v_rIqITS6qMB0</t>
  </si>
  <si>
    <t>A guy stands in the fields and lights a piece of paper.</t>
  </si>
  <si>
    <t>A guy tosses the piece of paper towards stack wood and then runs.</t>
  </si>
  <si>
    <t>The wood catches on fire.</t>
  </si>
  <si>
    <t>The guy walks towards a man.</t>
  </si>
  <si>
    <t>v_HPv-d6qybdE</t>
  </si>
  <si>
    <t>A camera pans all around an indoor gym and leads into clips of people pole volting over a bar.</t>
  </si>
  <si>
    <t>Several people are shown running with a pole over a beam and onto a mat one after the other.</t>
  </si>
  <si>
    <t>More people take their turns while others walk around the gym and watch them on the sides.</t>
  </si>
  <si>
    <t>v_lRRBeGRTpdc</t>
  </si>
  <si>
    <t>the word BRENMAR is in the center of the screen going around, then change to the word UNiiQU3 and Hoola Hoop.</t>
  </si>
  <si>
    <t>three women wearing all black are standing holding a white hoola hoope on her hands.</t>
  </si>
  <si>
    <t>a man is bending on the floor srronded by hoola hoops.</t>
  </si>
  <si>
    <t>woman wearing black pants and white shirt starts dancing with a hoola hoop arond his neck.</t>
  </si>
  <si>
    <t>second woman with yellow hair starts dancing two people appears and a set of dancing women appears doing tricks with a hoola hoop while the man is watching them, woman with green jacket is singing the song.</t>
  </si>
  <si>
    <t>women appears in a dark room with brilliant hoola hoops dancing and doing tricks, woman with yellow hair keeps dancing alone.</t>
  </si>
  <si>
    <t>v_m6w3Skrc89s</t>
  </si>
  <si>
    <t>The man in black shirt is kneeling and reached for his back leg.</t>
  </si>
  <si>
    <t>The man slightly moved forward.</t>
  </si>
  <si>
    <t>The man paused forward while he is holding his ankle.</t>
  </si>
  <si>
    <t>v_NSi8DorB6L0</t>
  </si>
  <si>
    <t>This man is water skiing and he does it sitting down and standing up, except he's holding onto the handle bars backwards.</t>
  </si>
  <si>
    <t>While he's skiing he tries to around to stand forward like normal, but he goes flying when he tries to turn around.</t>
  </si>
  <si>
    <t>v_voaGOm-rl9Y</t>
  </si>
  <si>
    <t>A person is shoveling snow off their sidewalk.</t>
  </si>
  <si>
    <t>A dog is jumping in the snow he is throwing.</t>
  </si>
  <si>
    <t>Words come onto the screen.</t>
  </si>
  <si>
    <t>v_nQjxgOz1WYo</t>
  </si>
  <si>
    <t>A man is seen acting crazy towards a camera while sitting at a poker table with another man.</t>
  </si>
  <si>
    <t>The men stick their tongues out at the camera and the camera moves in on another table with people playing.</t>
  </si>
  <si>
    <t>In the end he faces the camera towards himself.</t>
  </si>
  <si>
    <t>v_4EQYvkfMUWw</t>
  </si>
  <si>
    <t>A teen holds a violin and then plays on front of other teens that talk and laugh.</t>
  </si>
  <si>
    <t>Teens talk and make comments and a woman laugh.</t>
  </si>
  <si>
    <t>Then people in the room applauds.</t>
  </si>
  <si>
    <t>v_rDlPcW_2nG0</t>
  </si>
  <si>
    <t>Two women standing in the kitchen, one girl is wearing a black top and the other one is wearing a beige top.</t>
  </si>
  <si>
    <t>The woman in beige showed a sandwich on the kitchen counter, then started peeing the green cucumber using a peeler, then start slicing the cucumber.</t>
  </si>
  <si>
    <t>She then spread butter on the bread, placed the sliced cucumber on the bread, sprinkle some salt, cut the edges of the bread then sliced it into triangle, then placed in on the white plate, then both of the women ate the sandwich.</t>
  </si>
  <si>
    <t>v_6w4OWjY6k_k</t>
  </si>
  <si>
    <t>A young child is seen walking forward with a stick in his hand and pushing a puck down a track.</t>
  </si>
  <si>
    <t>He walks back while another boy hits the puck and several people watch on the sidelines.</t>
  </si>
  <si>
    <t>The young boy continues to walk back and fourth.</t>
  </si>
  <si>
    <t>v_qJYp25ni6tg</t>
  </si>
  <si>
    <t>A man is seen speaking to the camera followed by various ingredients laid out and him chopping up vegetables.</t>
  </si>
  <si>
    <t>The man continues cutting and mixes the ingredients into a bowl.</t>
  </si>
  <si>
    <t>He pours liquid into the bowl and ends by presenting it on a plate.</t>
  </si>
  <si>
    <t>v_DR2sW3Wd8fo</t>
  </si>
  <si>
    <t>A video of the swan lake ballet is shown.</t>
  </si>
  <si>
    <t>They perform the act and interview some of the cast.</t>
  </si>
  <si>
    <t>v_-rJVr9sQ1h8</t>
  </si>
  <si>
    <t>The video leads into several shots of dogs walking around and leads into a woman petting a dogs fur.</t>
  </si>
  <si>
    <t>The woman continues brushing and shows clips of the dog running along a park.</t>
  </si>
  <si>
    <t>v_Q8Y9pmhvJqE</t>
  </si>
  <si>
    <t>Two adult men in helmets are teaching little boys how to play ice hockey.</t>
  </si>
  <si>
    <t>The boys gather in a circle, hitting their sticks on the ground.</t>
  </si>
  <si>
    <t>They then cheer and skate away.</t>
  </si>
  <si>
    <t>v_F1-PnXa9SwQ</t>
  </si>
  <si>
    <t>A woman in a white dress starts a lawn mower.</t>
  </si>
  <si>
    <t>She starts mowing the lawn.</t>
  </si>
  <si>
    <t>She turns around and goes back the other way.</t>
  </si>
  <si>
    <t>v_QQfH0FDsYPc</t>
  </si>
  <si>
    <t>A man is seen standing on a field and begins swinging an object around and around.</t>
  </si>
  <si>
    <t>He continues swinging and finishes by standing on the field.</t>
  </si>
  <si>
    <t>v_o1DCCTev0CQ</t>
  </si>
  <si>
    <t>A sign says superfresco easy on the screen.</t>
  </si>
  <si>
    <t>A man is shown painting a wall with grey paint.</t>
  </si>
  <si>
    <t>He uses broad sweeps to completely cover the wall.</t>
  </si>
  <si>
    <t>v_96krk6Ka9Vc</t>
  </si>
  <si>
    <t>Several views are seen from the inside of a stadium.</t>
  </si>
  <si>
    <t>A group of teams walk onto the field, cheering.</t>
  </si>
  <si>
    <t>The crowd cheers as the teams make goals during the game.</t>
  </si>
  <si>
    <t>v_pi4p4zdoqmw</t>
  </si>
  <si>
    <t>A man in surfing attire is featured with his name and size of his board.</t>
  </si>
  <si>
    <t>The video cuts to the beach and the man begins to surf.</t>
  </si>
  <si>
    <t>He catches waves but wipes out early on most of them.</t>
  </si>
  <si>
    <t>A bird appears to divebomb into the ocean.</t>
  </si>
  <si>
    <t>Other surfers further out appear.</t>
  </si>
  <si>
    <t>v_jwyLw2n_YVw</t>
  </si>
  <si>
    <t>A woman walks into the kitchen and turns the knobs on the oven.</t>
  </si>
  <si>
    <t>A blender is then put on the counter and the lever is pulled down followed by a tea bag being placed in a cup.</t>
  </si>
  <si>
    <t>The lady then moves to a counter and adds a piece of baking paper over two large racks.</t>
  </si>
  <si>
    <t>She then grabs the boiling hot water and pours it into the mug.</t>
  </si>
  <si>
    <t>She returns back to the counter and begins placing rolls of cookie dough on the racks.</t>
  </si>
  <si>
    <t>Its finally time for the cookies to be in put in the oven and she sets the timer on her phone so she won't burn them.</t>
  </si>
  <si>
    <t>After the time is up,she takes them out of the oven adds one on a plate and takes it to a girl down the hall.</t>
  </si>
  <si>
    <t>v_bNR0MmJ9d8I</t>
  </si>
  <si>
    <t>A man speaks to the camera.</t>
  </si>
  <si>
    <t>He rolls a big box into the room and proceeds to open a box where a bicycle sits inside.</t>
  </si>
  <si>
    <t>From the inside of the box, he takes out a small box full of tools for the use of assembling the bicycle.</t>
  </si>
  <si>
    <t>He's seen speaking to the camera again.</t>
  </si>
  <si>
    <t>He removes all of the boxes sitting around the bicycle and assembles the bike.</t>
  </si>
  <si>
    <t>Again, he speaks to the camera.</t>
  </si>
  <si>
    <t>He removes two pedals from bags and attaches both pedals onto the bicycle.</t>
  </si>
  <si>
    <t>He takes the bicycle for a ride.</t>
  </si>
  <si>
    <t>Briefly, he speaks to the camera.</t>
  </si>
  <si>
    <t>v_28GYivx4lyk</t>
  </si>
  <si>
    <t>We see two people playing foosball.</t>
  </si>
  <si>
    <t>A man in a black shirt leave the room and turns before leaving.</t>
  </si>
  <si>
    <t>A man puts his face in front of the camera.</t>
  </si>
  <si>
    <t>v_bkRQgwbP0WM</t>
  </si>
  <si>
    <t>A man is showing a boy trying to solve a rubix cube.</t>
  </si>
  <si>
    <t>A timer is going to time the boy and other people around him are trying as well.</t>
  </si>
  <si>
    <t>On lookers are going from table to table to watch.</t>
  </si>
  <si>
    <t>A boy grabs a pen and the man solves the puzzle.</t>
  </si>
  <si>
    <t>v_fU2mbWwVSXU</t>
  </si>
  <si>
    <t>A man in white uniform is standing at the kitchen counter.</t>
  </si>
  <si>
    <t>The man pull out a knife and sharpener, he touched the edge of the knife.</t>
  </si>
  <si>
    <t>The man hold the metal knife sharpener and slowly sharpen the knife from side to side.</t>
  </si>
  <si>
    <t>The man use different types of tools to sharpen the knife such as machine and water stone.</t>
  </si>
  <si>
    <t>v_wlO7PcigY-s</t>
  </si>
  <si>
    <t>A man drops a tennis racquet with ball then hits the ball.</t>
  </si>
  <si>
    <t>Another person does the same trick and then shows that he is from Serbia.</t>
  </si>
  <si>
    <t>v_TKGjHAmCaRo</t>
  </si>
  <si>
    <t>A man is playing with a dog on the grass.</t>
  </si>
  <si>
    <t>he then flips and throws a Frisbee.</t>
  </si>
  <si>
    <t>The dog runs side to side and chases it.</t>
  </si>
  <si>
    <t>He grabs two other Frisbees and tosses them around while the dog jumps.</t>
  </si>
  <si>
    <t>He throws the Frisbee some more while the dog runs.</t>
  </si>
  <si>
    <t>The dog continues jumping side to side and running in all directions as they get thrown.</t>
  </si>
  <si>
    <t>v_q23IYtwNOkE</t>
  </si>
  <si>
    <t>A man and an woman sip a blue liquid and rinse his mouth.</t>
  </si>
  <si>
    <t>Then, the woman bend and throw the liquid while the man continues rinsing his mouth.</t>
  </si>
  <si>
    <t>v__nBOWe_VhXg</t>
  </si>
  <si>
    <t>A woman is shown talking to the camera and leads into her beginning to paint a picture.</t>
  </si>
  <si>
    <t>She moves her brush back and fourth on the canvas and putting various colors and swirls around the sides.</t>
  </si>
  <si>
    <t>v_0wwx4wnHv-U</t>
  </si>
  <si>
    <t>A person is seen standing on a tennis court bouncing a ball.</t>
  </si>
  <si>
    <t>Another man is seen standing ready on the other side in front of a large audience.</t>
  </si>
  <si>
    <t>The man then hits the ball over the net and bounces back on the other side.</t>
  </si>
  <si>
    <t>v__kG3DxvGnnQ</t>
  </si>
  <si>
    <t>A girl is seen sitting in a chair with another person wiping her face and handing her a mirror to look in.</t>
  </si>
  <si>
    <t>He then pierces the girl's cheeks and the camera zooms in on the girl's face when he's done.</t>
  </si>
  <si>
    <t>v_9LraB2HBC0g</t>
  </si>
  <si>
    <t>A woman is seen speaking to the camera while standing in a shower and holding various objects.</t>
  </si>
  <si>
    <t>The woman then rubs lotions all over her legs and begins shaving her legs and ending by speaking to the camera.</t>
  </si>
  <si>
    <t>v__g2D5oXLCZI</t>
  </si>
  <si>
    <t>A man is seen speaking to the camera holding a basketball.</t>
  </si>
  <si>
    <t>The man then begins throwing the ball in the hoop several times.</t>
  </si>
  <si>
    <t>He walks back to the camera and continues speaking while moving his hands.</t>
  </si>
  <si>
    <t>v_2OPk79DNQdM</t>
  </si>
  <si>
    <t>A young woman is seen speaking to the camera and transitions into her with her hair in front of her face.</t>
  </si>
  <si>
    <t>She slowly brushes and parts her hair and flips her hair back in the end.</t>
  </si>
  <si>
    <t>v_3gc3nddr8TE</t>
  </si>
  <si>
    <t>A small group of girls are seen huddled up and begin moving around the field.</t>
  </si>
  <si>
    <t>More women are seen running around the large field playing field hockey.</t>
  </si>
  <si>
    <t>The girls continue to play against one another and end by waling away.</t>
  </si>
  <si>
    <t>v_6iTymXuGFhg</t>
  </si>
  <si>
    <t>A close up is shown of a young child moving around on a swing and people standing around him to push.</t>
  </si>
  <si>
    <t>The camera continues to follow the boy around the yard while the mom lays in the grass and then the daughter swinging around.</t>
  </si>
  <si>
    <t>The parents play with the kids more, give them a kiss, and the dad walks away with the daughter.</t>
  </si>
  <si>
    <t>v_jG1kgKJkf8c</t>
  </si>
  <si>
    <t>A street performer is sitting down on a crate and drumming on buckets and pans with drum sticks.</t>
  </si>
  <si>
    <t>He busts on of the buckets and in frustration, stabs it with the stick.</t>
  </si>
  <si>
    <t>He replaces the bucket and starts over in his beat as a crowd gathers.</t>
  </si>
  <si>
    <t>He rearranges the buckets once again and continues drumming.</t>
  </si>
  <si>
    <t>v_l0Sz7dqLzqs</t>
  </si>
  <si>
    <t>A large crowd is seen sitting in front of a pool followed by several shots of two people diving into a pool.</t>
  </si>
  <si>
    <t>More shots are shown of divers performing impressive stunts into the pool and ends with them walking away and their score being shown.</t>
  </si>
  <si>
    <t>A man speaks off into the distance and the divers stand together to get their medals.</t>
  </si>
  <si>
    <t>v_22n4w0uferc</t>
  </si>
  <si>
    <t>A screen appears with a snowy mountain with pine trees and an overlay on the screen of a logo and words that say "Efficient Hot Waxing Tips Reduces time material waste, cost and mess".</t>
  </si>
  <si>
    <t>A pair of skis are in a workshop and a man is doing some work on them that included rounds rubbing wax on the skis, ironing the skis, scraping skis while words on the bottom appear throughout the entire process as it explains what is being done.</t>
  </si>
  <si>
    <t>The man is now sharpening the edges of a file then begins to scrape the skis, then finishes up by ironing it with different clothes between the iron and skis.</t>
  </si>
  <si>
    <t>The outro screen appears and it's the exact picture like the intro but the words now say "Checkout our video Scraping &amp; Brushing" and it also includes the company logo.</t>
  </si>
  <si>
    <t>v_9K97gmkVbyQ</t>
  </si>
  <si>
    <t>A woman is seen speaking to the camera while grabbing various bags and laying them out.</t>
  </si>
  <si>
    <t>She puts and object into a bag while pointing to a box next to her.</t>
  </si>
  <si>
    <t>She stuffs paper into the bag and ends by tying a bow on top.</t>
  </si>
  <si>
    <t>v_r3H_75-lRjE</t>
  </si>
  <si>
    <t>A man plays the harmonica on front a microphone, then he ends and say goodbye.</t>
  </si>
  <si>
    <t>Then, a girl steps on the stage and speaks with the microphone.</t>
  </si>
  <si>
    <t>v_nJMS8jN3uU4</t>
  </si>
  <si>
    <t>There are four kids of varying ages playing kick ball in their backyard.</t>
  </si>
  <si>
    <t>The girl in pink kicks the ball to her brother in the orange shirt while the little kids run around and play.</t>
  </si>
  <si>
    <t>There's a little baby sitting on the ground in a baby bouncer watching them play.</t>
  </si>
  <si>
    <t>v_V2PhVadSbpQ</t>
  </si>
  <si>
    <t>A man talks to the camera while intermittently raking leaves.</t>
  </si>
  <si>
    <t>A closeup of a pile of leaves is shown.</t>
  </si>
  <si>
    <t>v_yDCZNNI3tDo</t>
  </si>
  <si>
    <t>A lady is talking to the camera then she laughs and looks down and the camera focuses elsewhere.</t>
  </si>
  <si>
    <t>The camera is back to the lady and a man is now cutting her hair as her mouth is open in disbelief and the man is laughing as he cuts her hair in one quick motion around her head.</t>
  </si>
  <si>
    <t>The lady is so in shock and drops hair from her lap and looks down at the ground at all the hair, touches her hair, stands up to look in the mirror, screams, cries, starts freaking out, sits back down and stands back up to look in the mirror.</t>
  </si>
  <si>
    <t>The lady looks in the mirror and is smiling but you can tell she's not happy.</t>
  </si>
  <si>
    <t>v_omuYi2Vhgjo</t>
  </si>
  <si>
    <t>A young boy is seen smiling and laughing into the camera and beginning to play piano.</t>
  </si>
  <si>
    <t>The boy plays furiously on the piano at a fast pace and leads into him wearing a different shirt and still playing.</t>
  </si>
  <si>
    <t>He finishes by putting his body onto the piano and then smiling into the camera.</t>
  </si>
  <si>
    <t>v_8UJ5PGzu1PE</t>
  </si>
  <si>
    <t>A man lays a Coca Cola bottle on a bundle of hay.</t>
  </si>
  <si>
    <t>The man shots an arrow from a bow.</t>
  </si>
  <si>
    <t>The arrow uncaps the bottle.</t>
  </si>
  <si>
    <t>v_mCdKLZGnKxk</t>
  </si>
  <si>
    <t>Someone is placing a vent on the roof of a house.</t>
  </si>
  <si>
    <t>They seal the vent with glue.</t>
  </si>
  <si>
    <t>v_jKPgBtesr74</t>
  </si>
  <si>
    <t>Two boys are standing behind a table.</t>
  </si>
  <si>
    <t>They have a glass and a lemon on the table.</t>
  </si>
  <si>
    <t>They pour it into a pitcher of water and make a drink.</t>
  </si>
  <si>
    <t>They pour the drink into two glasses.</t>
  </si>
  <si>
    <t>They both take a drink out of the straw.</t>
  </si>
  <si>
    <t>v_74MEdLMrXAQ</t>
  </si>
  <si>
    <t>Boys play indoor soccer while kicking the ball and passing it to playmates, then the referee enter to the center and gives instructions.</t>
  </si>
  <si>
    <t>Then, the referee puts the ball on the goal area and a boy kick the ball, but the goalkeeper stop the ball.</t>
  </si>
  <si>
    <t>The boys play shooting the ball to the goalkeeper stops the ball.</t>
  </si>
  <si>
    <t>After, a player scores and the teams continue playing.</t>
  </si>
  <si>
    <t>v_bpfak_VIJ8o</t>
  </si>
  <si>
    <t>Several shots of landscapes are shown that leads into a man and woman speaking to the camera.</t>
  </si>
  <si>
    <t>The couple walk onto a sandy pit and pan around a group of players.</t>
  </si>
  <si>
    <t>More people are seen speaking to the camera that shows shots of them playing volleyball and ending with the couple.</t>
  </si>
  <si>
    <t>v_NVnjzpoY1O8</t>
  </si>
  <si>
    <t>An elderly priest is sitting down in his chair indoors in a large building and 3 different men break dance on the ground in front of him as the people around him start clapping and lights go off from all the flashes.</t>
  </si>
  <si>
    <t>When the men are done dancing they stand up together in front of the people and the priest, and they take their bow to the priest and to the people.</t>
  </si>
  <si>
    <t>The men then walk over to the priest and each kiss his hand and white words appear on the screen and say "Bilder: Reuters Redigering: Malin Lagerlof".</t>
  </si>
  <si>
    <t>v_AU3_oU1_rfA</t>
  </si>
  <si>
    <t>An eHow intro comes onto the screen with music in the background.</t>
  </si>
  <si>
    <t>I man appears on the screen narrating the video about how to shave.</t>
  </si>
  <si>
    <t>A man is shown getting his skin moisturized and having shaving cream buffed onto his face.</t>
  </si>
  <si>
    <t>The video ends with the eHow closing credits.</t>
  </si>
  <si>
    <t>v_-0NfmccuL9Q</t>
  </si>
  <si>
    <t>A man has a few tools and is pumping his car up some so he can take off the tire.</t>
  </si>
  <si>
    <t>He uses the tool to take off all of the nuts one by one.</t>
  </si>
  <si>
    <t>Then he grabs the tire off and moves it over and he puts on another tire.</t>
  </si>
  <si>
    <t>He does everything he did before but the opposite, putting the nuts back on in place to tighten the tire on, he then brings the car back down.</t>
  </si>
  <si>
    <t>v_sFKOnFMJF2Q</t>
  </si>
  <si>
    <t>A teen skateboards in a road, then he walks with a friend holding his skateboard, then they skateboard.</t>
  </si>
  <si>
    <t>A car enters the street where the teen skateboard.</t>
  </si>
  <si>
    <t>A youth wearing a pink t-shirt skateboard on the street.</t>
  </si>
  <si>
    <t>The teen walks holding his skateboard.</t>
  </si>
  <si>
    <t>Teens skateboard in the street making tricks and turn.</t>
  </si>
  <si>
    <t>After, two teens walk in the street, and then they skateboard.</t>
  </si>
  <si>
    <t>v_l6a56j87obQ</t>
  </si>
  <si>
    <t>A man is standing on a stage at night time with a lot of stage lights, a band behind him, and a crowd in front of him and he's playing a bag pipe.</t>
  </si>
  <si>
    <t>Another man comes onto the stage playing the guitar and the lights go flashing.</t>
  </si>
  <si>
    <t>When the man is done playing the bagpipe another man runs on the stage to grab it from him, and the man who was playing the bagpipe gets something to drink, then grabs a mic and starts singing and waving his right arm in the air.</t>
  </si>
  <si>
    <t>v_EMgWolnolDg</t>
  </si>
  <si>
    <t>Two men outside in the woods while one man wearing a knit cap balances on a rope tied across two trees while one man with a black beard supports the man with the knit cap.</t>
  </si>
  <si>
    <t>The man with the beard releases the man on the rope and moves away.</t>
  </si>
  <si>
    <t>A man in a green hoodie balances on the rope while the man in the beard supports the man on the rope.</t>
  </si>
  <si>
    <t>A Man in a grey shirt pushes off of a man wearing a black shirt and performs a back somersault and lands firmly on the leaf covered ground.</t>
  </si>
  <si>
    <t>v_wlx5YuEHsO8</t>
  </si>
  <si>
    <t>A white intro screen appears with special effects and a lot of coloring that include words, numbers, and logos.</t>
  </si>
  <si>
    <t>Men are then shown in a dark room filled with people as they put on shirts, shakes hands with others, pose and then they begin a game of Foosball while images of their flag briefly show up on the screen and a lot of people around them watch as different men team up against one another.</t>
  </si>
  <si>
    <t>When they are done playing a man and a woman are standing and talking at a mic while one man hands over a box to another man and they walk off the stage.</t>
  </si>
  <si>
    <t>The same white screen from the beginning appears with special effects and lot of colored words then it fades to black.</t>
  </si>
  <si>
    <t>v_v79nh_3vpVk</t>
  </si>
  <si>
    <t>A man in a white shirt is talking to the camera.</t>
  </si>
  <si>
    <t>A girl then talks to the camera.</t>
  </si>
  <si>
    <t>Pink water bottles are in a box.</t>
  </si>
  <si>
    <t>They walk onto the field and start playing.</t>
  </si>
  <si>
    <t>v_mFSdzT5gXQs</t>
  </si>
  <si>
    <t>A computer generated game of a man, he starts spinning.</t>
  </si>
  <si>
    <t>He turns around quickly and lets go of the frisbee and the refs run up to mark where it lands.</t>
  </si>
  <si>
    <t>The man starts to do it again, he spins and throws again.</t>
  </si>
  <si>
    <t>The score shows up on the screen before he spins and throws again and then he cheers in excitment.</t>
  </si>
  <si>
    <t>v_Vp63nbOfxgs</t>
  </si>
  <si>
    <t>Some is carrying an instrument case walking around outside, they put the case down on the ground and take out a violin.</t>
  </si>
  <si>
    <t>The woman plays the violin everywhere she goes and she dances while she plays too.</t>
  </si>
  <si>
    <t>She does some movements of her body making her back bend down almost touching the ground while still jamming out on the violin.</t>
  </si>
  <si>
    <t>She is very intense about it, she plays and plays and when she is done she walks away casually.</t>
  </si>
  <si>
    <t>v_8729_qnILMM</t>
  </si>
  <si>
    <t>A woman plays flute sit on a piano while moving her feet.</t>
  </si>
  <si>
    <t>The woman finish playing bow and smiles.</t>
  </si>
  <si>
    <t>v_Ie7DREiXp08</t>
  </si>
  <si>
    <t>A woman is seen speaking to the camera and pouring out liquids into a case.</t>
  </si>
  <si>
    <t>She then pulls contacts into the case and then places one in each eye.</t>
  </si>
  <si>
    <t>She holds up the case in the end followed by her putting the contacts back into the case.</t>
  </si>
  <si>
    <t>v_AXA-G5DdNrU</t>
  </si>
  <si>
    <t>People raft down a rocky river.</t>
  </si>
  <si>
    <t>Suddenly, the boat turn over and all men fall in the water.</t>
  </si>
  <si>
    <t>Then, people reach the shore, while a man climbs a rock.</t>
  </si>
  <si>
    <t>After, persons in a boat rescue a man in the water and recover the boat.</t>
  </si>
  <si>
    <t>two men stand in the shore next to a ladder.</t>
  </si>
  <si>
    <t>Rafters are still in the water waiting.</t>
  </si>
  <si>
    <t>v_K-rEA43wOS0</t>
  </si>
  <si>
    <t>People play beer pong while other persons watch.</t>
  </si>
  <si>
    <t>People get happy when the ball get inside a cup.</t>
  </si>
  <si>
    <t>Then, a man throw a ball inside a cup, and a person drink the liquid in the cup.</t>
  </si>
  <si>
    <t>A man throw a ball inside a cup and people congratulates and hug the man.</t>
  </si>
  <si>
    <t>v_6VNFwlzQiuc</t>
  </si>
  <si>
    <t>A person is seen speaking to the camera and walking into a tattoo shop, followed by a person getting tattooed by an artist.</t>
  </si>
  <si>
    <t>The man continues speaking to the camera while another is being tattooed in the background and continues speaking to the camera.</t>
  </si>
  <si>
    <t>v_JKCwcCMAnxg</t>
  </si>
  <si>
    <t>We see a blue title card.</t>
  </si>
  <si>
    <t>A man and a woman begin dancing in a ballroom.</t>
  </si>
  <si>
    <t>They pause and the lady sweeps her leg.</t>
  </si>
  <si>
    <t>The man dips the lady.</t>
  </si>
  <si>
    <t>The lady slides to the ground.</t>
  </si>
  <si>
    <t>The lady does the splits.</t>
  </si>
  <si>
    <t>The man lifts the lady in the air.</t>
  </si>
  <si>
    <t>We switch and see people dancing in different locations.</t>
  </si>
  <si>
    <t>We see the blue ending screen.</t>
  </si>
  <si>
    <t>v_fhXVqPPDjN8</t>
  </si>
  <si>
    <t>A man is seen dancing in a nightclub with two women around him.</t>
  </si>
  <si>
    <t>The three continue dancing with one another while others dance on the side.</t>
  </si>
  <si>
    <t>The people dance around one another while the camera captures their movements.</t>
  </si>
  <si>
    <t>v_5RKzXZ-0xQ8</t>
  </si>
  <si>
    <t>A person paint nails to a woman using purple nail polish.</t>
  </si>
  <si>
    <t>A woman is looking down.</t>
  </si>
  <si>
    <t>v_PQgydNnSggw</t>
  </si>
  <si>
    <t>A woman is seen sitting in a chair speaking and waving to the camera and looks into a mirror showing her and the camera man.</t>
  </si>
  <si>
    <t>A tattoo artist then steps into frame and begins tattooing a symbol on the girl's neck.</t>
  </si>
  <si>
    <t>In the end pictures of the girl's tattoo are shown.</t>
  </si>
  <si>
    <t>v_ulJxGEx2r7o</t>
  </si>
  <si>
    <t>An intro leads to a small group of small children standing on a stage holding instruments.</t>
  </si>
  <si>
    <t>They begin playing the instruments while the camera zooms in out of each of them playing.</t>
  </si>
  <si>
    <t>v_BZK8b0xCkB0</t>
  </si>
  <si>
    <t>A woman wearing a santa hat is talking.</t>
  </si>
  <si>
    <t>She puts Christmas lights onto the tree.</t>
  </si>
  <si>
    <t>She puts ribbon around the tree.</t>
  </si>
  <si>
    <t>She strings decorations around the tree.</t>
  </si>
  <si>
    <t>She puts bulbs on the Christmas tree.</t>
  </si>
  <si>
    <t>She puts small stuffed animals on the tree.</t>
  </si>
  <si>
    <t>She puts candy canes on the tree.</t>
  </si>
  <si>
    <t>She puts a star on the tree.</t>
  </si>
  <si>
    <t>The star falls off the tree.</t>
  </si>
  <si>
    <t>She puts cotton underneath the tree.</t>
  </si>
  <si>
    <t>v_rkgeHZjFskY</t>
  </si>
  <si>
    <t>A young girl in a room talks to a camera and shows off her hair style.</t>
  </si>
  <si>
    <t>She then goes back to before it was braided and combs it out, sectioning it off.</t>
  </si>
  <si>
    <t>She then takes two sections and intertwines them, and grabs more lengths of hair as she goes down the braid.</t>
  </si>
  <si>
    <t>She then tucks the braid to the side and grabs lengths of hair to secure it to the side and incorporates lengths from the back of her hair.</t>
  </si>
  <si>
    <t>Her hair is succesfully braided and she shows off the finished look.</t>
  </si>
  <si>
    <t>v_pbeQcGC3nXY</t>
  </si>
  <si>
    <t>A man in fencing gear begins to talk about fencing gear getting ready to talk about his fencing experiences.</t>
  </si>
  <si>
    <t>He gets dressed in his gear and goes to the studio for practice.</t>
  </si>
  <si>
    <t>He and another man practice with one another while a timer is running.</t>
  </si>
  <si>
    <t>There is a certain stance and way you move your feet when you fence that helps with moving towards and from the opponet .</t>
  </si>
  <si>
    <t>v_uCLUexLKpnU</t>
  </si>
  <si>
    <t>A camera pans all around a sky showing kites in the air.</t>
  </si>
  <si>
    <t>A person is then seen riding a kite board on the water.</t>
  </si>
  <si>
    <t>The person continues to ride around while the camera watches.</t>
  </si>
  <si>
    <t>v_eeD2_hKG7zE</t>
  </si>
  <si>
    <t>A young girl is seen standing before a set of monkey bars and smiling while speaking to the camera.</t>
  </si>
  <si>
    <t>She then carries herself along the set of monkey bars and moves back and fourth on the play set.</t>
  </si>
  <si>
    <t>She makes her way back to the start and climbs down the ladder finally looking at the camera.</t>
  </si>
  <si>
    <t>v_TXq9MO-dYhI</t>
  </si>
  <si>
    <t>A woman talks on front the blinds.</t>
  </si>
  <si>
    <t>Then, the woman plays four tam-tams, she mainly plays the tam-tam on front her.</t>
  </si>
  <si>
    <t>Then, the woman stops playing and smile.</t>
  </si>
  <si>
    <t>v_28QW8P1x_LE</t>
  </si>
  <si>
    <t>A man and two women are doing an aerobic dance inside a building.</t>
  </si>
  <si>
    <t>They perform several moves, speeding up with time.</t>
  </si>
  <si>
    <t>They stop, clapping and wiping the hair out of their faces when they are done.</t>
  </si>
  <si>
    <t>v_tSR4Pj_muN0</t>
  </si>
  <si>
    <t>A man is walking in a field.</t>
  </si>
  <si>
    <t>We see his back and see blood and a harness in his skin and another two men one who has the skin harness.</t>
  </si>
  <si>
    <t>We see the men climbing and standing on a crane high in the sky.</t>
  </si>
  <si>
    <t>The men with the skin harness jump off a crane high above a forest.</t>
  </si>
  <si>
    <t>We see the ground below.</t>
  </si>
  <si>
    <t>v_Relgb880pRI</t>
  </si>
  <si>
    <t>A cartoon of an archway is shown and leads into a man placing tomatoes onto a plate.</t>
  </si>
  <si>
    <t>He puts onions and other ingredients onto a plate and cuts up several more ingredients.</t>
  </si>
  <si>
    <t>He places the final ingredients into the bowl while talking to the camera and pans out on the meal he made.</t>
  </si>
  <si>
    <t>v_cKFTf1vZQOw</t>
  </si>
  <si>
    <t>Two male kids are outside on a driveway talking to one another.</t>
  </si>
  <si>
    <t>Once they have finished their conversation,they begin skateboarding down the road into an open park.</t>
  </si>
  <si>
    <t>The two boys arrive at their destination stop and talk then one takes off and the other boy follows him and they keep rollerblading.</t>
  </si>
  <si>
    <t>v_WXMb7XF6k8o</t>
  </si>
  <si>
    <t>A series of women are shown in close up of their faces.</t>
  </si>
  <si>
    <t>A stylist is standing beside a girl seated in his chair.</t>
  </si>
  <si>
    <t>He gives instructions on how to style her hair.</t>
  </si>
  <si>
    <t>He uses a dryer to blow her hair, then clips it.</t>
  </si>
  <si>
    <t>v_v13d7g_uUXM</t>
  </si>
  <si>
    <t>A man is seen walking into frame bending down to grab a set of weights and begins to lift himself upward.</t>
  </si>
  <si>
    <t>He then lifts the weight up over his shoulder several times while jumping to give himself momentum.</t>
  </si>
  <si>
    <t>v_FBqtQ3HCk48</t>
  </si>
  <si>
    <t>A man carves a pumpkin and a piece of ice, then the man holds a carved pumpkin and put it on a bench.</t>
  </si>
  <si>
    <t>A young man takes pictures of artistic ice sculptures, while a person carves a piece of ice in the street.</t>
  </si>
  <si>
    <t>The man shows how to carve a pumpkin using carving tools to make faces.</t>
  </si>
  <si>
    <t>The carved pumpkins with scary faces and an ice sculptures are displayed in a room.</t>
  </si>
  <si>
    <t>v_EDEFxLnf_Wk</t>
  </si>
  <si>
    <t>People are spinning on exercise bikes.</t>
  </si>
  <si>
    <t>v_OOKHi7EBNKk</t>
  </si>
  <si>
    <t>An individual wearing face covering drags an inner tube type device along the snow, surrounded by other people doing the same thing.</t>
  </si>
  <si>
    <t>The individual walks towards another individual wearing a red jacket.</t>
  </si>
  <si>
    <t>The individual hands the rein for the device to the person in the red jacket and sits on the device.</t>
  </si>
  <si>
    <t>The person in the red jacket pulls the device downhill and the first individual rides down the slope.</t>
  </si>
  <si>
    <t>The first individual dismounts and resumes pulling the device.</t>
  </si>
  <si>
    <t>The individual pulls the device along some sort of covered walkway with a moving floor.</t>
  </si>
  <si>
    <t>v_ryZuSiZNN2o</t>
  </si>
  <si>
    <t>A field of two teams are shown fighting over a lacrosse ball in the middle of a large green field.</t>
  </si>
  <si>
    <t>They then get up and continue playing across the large field.</t>
  </si>
  <si>
    <t>Shortly after,a small brawl begins in the middle of the pool and a man in a black uniform nose begins to bleed and the game is at a halt and replays are shown.</t>
  </si>
  <si>
    <t>v__IlyE43ZUH8</t>
  </si>
  <si>
    <t>An ad for Beckon Call services appears.</t>
  </si>
  <si>
    <t>A man is standing in a backyard speaking.</t>
  </si>
  <si>
    <t>He picks up several window screens while he talks about them.</t>
  </si>
  <si>
    <t>He adds them to the stack and walks away.</t>
  </si>
  <si>
    <t>v_ll4HKY9ZBOA</t>
  </si>
  <si>
    <t>A marching band stands ready on a street while an audience watches.</t>
  </si>
  <si>
    <t>The conductor conducts the band.</t>
  </si>
  <si>
    <t>The band plays on the street while the audience watches.</t>
  </si>
  <si>
    <t>v_Tb875ldI6AY</t>
  </si>
  <si>
    <t>A young man is seen speaking to the camera and begins holding a cigarette.</t>
  </si>
  <si>
    <t>The man takes a puff from the cigarette while still speaking to the camera.</t>
  </si>
  <si>
    <t>The man continues smoking while looking off and speaking to the camera.</t>
  </si>
  <si>
    <t>v_AHXcJCpvkAQ</t>
  </si>
  <si>
    <t>A title screen leads into two women stepping up and down on a block.</t>
  </si>
  <si>
    <t>They perform several different exercises on the beam and move together in a synchronized motion.</t>
  </si>
  <si>
    <t>The girls spin round and round then hope back up and then down on the beam.</t>
  </si>
  <si>
    <t>v_VmD2k_dtddc</t>
  </si>
  <si>
    <t>Two teams are on a field with referees.</t>
  </si>
  <si>
    <t>They are involved in a game of lacrosse.</t>
  </si>
  <si>
    <t>They run across the field, trying to keep the ball out of the opponent's goal.</t>
  </si>
  <si>
    <t>v_p-JFdMUWVvU</t>
  </si>
  <si>
    <t>An older man is seen standing before two pucks while another person pushes them along the ice.</t>
  </si>
  <si>
    <t>The man bends down several times and then glides along the ice with the pucks.</t>
  </si>
  <si>
    <t>v_53tCYiyAyf0</t>
  </si>
  <si>
    <t>An intro leads into a man throwing darts onto a board.</t>
  </si>
  <si>
    <t>He looks closely off into the distance and continues throwing darts.</t>
  </si>
  <si>
    <t>The camera shows the board in the end and the man throwing it.</t>
  </si>
  <si>
    <t>v_38qpTblXDTw</t>
  </si>
  <si>
    <t>A woman sits on a riding lawnmower in the distance.</t>
  </si>
  <si>
    <t>The woman drives the lawnmower towards the camera.</t>
  </si>
  <si>
    <t>The woman begins to turn the mower at a fence corner.</t>
  </si>
  <si>
    <t>v_cMndipw7_As</t>
  </si>
  <si>
    <t>A person mends steel with a welding equipment.</t>
  </si>
  <si>
    <t>A person uses a hammer and a flat equipment to remove debris.</t>
  </si>
  <si>
    <t>A person uses a flat equipment to remove melted steel debris.</t>
  </si>
  <si>
    <t>The person places two dumbbell shaped steel in opening that he is welding.</t>
  </si>
  <si>
    <t>A person uses a flat equipment to clean the welded opening.</t>
  </si>
  <si>
    <t>A person uses a flat equipment to move the dumbbell shaped steels and then removes them with his hand.</t>
  </si>
  <si>
    <t>The credits of the video is shown.</t>
  </si>
  <si>
    <t>v_gmPoDbH-odg</t>
  </si>
  <si>
    <t>A woman hands from a red bar and does several arm pull ups.</t>
  </si>
  <si>
    <t>She then uncrosses her legs and jumps down with her hands at her side.</t>
  </si>
  <si>
    <t>A Life Fitness logo then flashes on the screen.</t>
  </si>
  <si>
    <t>v_LxwKUIJdt_4</t>
  </si>
  <si>
    <t>A person is seen blow leaves around a yard using a leaf blower sitting on his back.</t>
  </si>
  <si>
    <t>The camera follows him as the man moves up and down the yard blowing leaves all around the area.</t>
  </si>
  <si>
    <t>v_gOKkjA2yvGo</t>
  </si>
  <si>
    <t>A man is sitting on a cycle bike working out.</t>
  </si>
  <si>
    <t>A man is standing up next to him talking.</t>
  </si>
  <si>
    <t>A black and white logo comes onto the screen.</t>
  </si>
  <si>
    <t>v_KvscV2XxyTE</t>
  </si>
  <si>
    <t>Gymnast Micah Ross mounts the balance beam before a celebrated audience as the crowd cheers and shouts her name.</t>
  </si>
  <si>
    <t>Her routine begins with a flip, split, and summersault.</t>
  </si>
  <si>
    <t>She then performs two backwards flips and a pirouette.</t>
  </si>
  <si>
    <t>A forward flip and jump follows along with a sideways flip.</t>
  </si>
  <si>
    <t>After briefly wobbling on the bar, Micah regains her composure and performs a forward summersault.</t>
  </si>
  <si>
    <t>Ross successfully dismounts with a double flip to the applause of the audience.</t>
  </si>
  <si>
    <t>v_KX-vl2o8U1w</t>
  </si>
  <si>
    <t>A drummer is drumming, then the stick broke.</t>
  </si>
  <si>
    <t>A boy in blue shirt hit the drum, but the big drum keeps moving, then it fell.</t>
  </si>
  <si>
    <t>A boy with earphones is drumming and the stick got stuck in the instrument.</t>
  </si>
  <si>
    <t>The band is playing, while the man is singing, the drummer fell off the his chair.</t>
  </si>
  <si>
    <t>The marching band play their drums, then one of the drummers fell on the ground, a person came to help him.</t>
  </si>
  <si>
    <t>A drummer on stage fell of the stage.</t>
  </si>
  <si>
    <t>v_3am00ii0n-o</t>
  </si>
  <si>
    <t>A guy and a lady interact.</t>
  </si>
  <si>
    <t>The lady holds up papers and books.</t>
  </si>
  <si>
    <t>The guy claps and cheers.</t>
  </si>
  <si>
    <t>The lady plays a flute while looking down a the notes on the papers.</t>
  </si>
  <si>
    <t>The lady stops playing the flute and presents it.</t>
  </si>
  <si>
    <t>The guy plays a harmonica.</t>
  </si>
  <si>
    <t>The guy looks angry, and the lady look apologetic.</t>
  </si>
  <si>
    <t>The guy puts his head down.</t>
  </si>
  <si>
    <t>The guy and lady wave bye.</t>
  </si>
  <si>
    <t>The guy takes the flute from the lady and pretends to hit her on her chin.</t>
  </si>
  <si>
    <t>v_u7dfBgc_SqU</t>
  </si>
  <si>
    <t>A woman is standing in the sunlight, posing and modeling for the camera.</t>
  </si>
  <si>
    <t>She shows off her natural hair, then demonstrates how to style it using a blow out.</t>
  </si>
  <si>
    <t>v_xcDAjcRX93A</t>
  </si>
  <si>
    <t>A man is seen standing with his arms up and then begins a gymnasts routine.</t>
  </si>
  <si>
    <t>The man continues swinging around on the uneven bars and jumping off to finish.</t>
  </si>
  <si>
    <t>The man walks away while his score is shown and his routine is shown again in slow motion.</t>
  </si>
  <si>
    <t>v_a_EkYuPdaJ0</t>
  </si>
  <si>
    <t>A man talks stand on front a fence of a backyard.</t>
  </si>
  <si>
    <t>Then, the man talks a person in a paint shop, and the person shows him tools in a showcase.</t>
  </si>
  <si>
    <t>After, the man shows the buttons of the painting machine in the backyard.</t>
  </si>
  <si>
    <t>After, the man puts blue tape on the side of the fence and covers a rail.</t>
  </si>
  <si>
    <t>Then, the man paint the fence with the hose of the machine while wearing a mask.</t>
  </si>
  <si>
    <t>The man continues explaining on front the machine and buckets of paint.</t>
  </si>
  <si>
    <t>v_DjY-7jEpxZ0</t>
  </si>
  <si>
    <t>A group of kids are in a classroom like setting standing in a circle.</t>
  </si>
  <si>
    <t>In the middle of the circle,a woman is hitting a pinata wrapped in blue wall paper.</t>
  </si>
  <si>
    <t>v_q8mReXud6fE</t>
  </si>
  <si>
    <t>little kid is jumping on dry leaves.</t>
  </si>
  <si>
    <t>woman is raking dry leaves on a yard.</t>
  </si>
  <si>
    <t>kid kneels and grabs a dry leaf to put it in the trash bin.</t>
  </si>
  <si>
    <t>v_pKV8lrvbX6Q</t>
  </si>
  <si>
    <t>A little girl swings across the monkey bars on a play ground.</t>
  </si>
  <si>
    <t>She goes across each bar before jumping to the ground.</t>
  </si>
  <si>
    <t>She goes back to the beginning, and swings across the bars again.</t>
  </si>
  <si>
    <t>v_x99PS_O6JW8</t>
  </si>
  <si>
    <t>A young man is talking to the camera outside while taking puffs off of a hookah.</t>
  </si>
  <si>
    <t>He puts the pipe away and takes a swing out of an energy drink.</t>
  </si>
  <si>
    <t>He moves the camera to show another man and continues smoking the hookah next to the other man.</t>
  </si>
  <si>
    <t>Both look into the camera while smoking and the boy still continues drinking the energy drink.</t>
  </si>
  <si>
    <t>v_X-xQLFHZIOU</t>
  </si>
  <si>
    <t>a lot of people are sitting on stands on a bullring.</t>
  </si>
  <si>
    <t>bullfighters are holding red cloth nad running to a bull.</t>
  </si>
  <si>
    <t>v_Ly21QMQ4kGA</t>
  </si>
  <si>
    <t>Several awards are pictured over a fire place and then moves to the wall on the left.</t>
  </si>
  <si>
    <t>A table of food is shown and the person recording grabs a cookie and leaves the room.</t>
  </si>
  <si>
    <t>The next room he enters,there are several people standing around playing beer pong and he proceeds to walk through the house.</t>
  </si>
  <si>
    <t>v_yyvc2OSPx1Y</t>
  </si>
  <si>
    <t>A woman is shown in wal-mart, laughing and choosing earrings from a rack.</t>
  </si>
  <si>
    <t>She sits in a chair, and an employee shoots an earring into her lobe with a piercing gun.</t>
  </si>
  <si>
    <t>She cringes in pain as it enters her ear.</t>
  </si>
  <si>
    <t>v_6TxGVSw6Ayw</t>
  </si>
  <si>
    <t>We see three separate intro screens.</t>
  </si>
  <si>
    <t>We see a man making shots in hockey with title screens in between.</t>
  </si>
  <si>
    <t>A man shoots a shot at hockey and makes it and we see a slow motion recap.</t>
  </si>
  <si>
    <t>The man takes another shot and makes it and we see a recap of that as well.</t>
  </si>
  <si>
    <t>We see the shot from above, and a recap.</t>
  </si>
  <si>
    <t>v_FqlXey9KFZA</t>
  </si>
  <si>
    <t>A guy is operating a electric presser.</t>
  </si>
  <si>
    <t>A man is whipping with a dark rug.</t>
  </si>
  <si>
    <t>The guy is gesturing at the machine's work.</t>
  </si>
  <si>
    <t>v_xeFS0RuvVGA</t>
  </si>
  <si>
    <t>A group of boys play water catch with a yellow ball in an outdoor pool surrounded by a fence and tall trees and foliage.</t>
  </si>
  <si>
    <t>A group of boys play catch in an outdoor pool with a yellow ball , throwing the ball to each other and and then throwing the ball out of the pool to an unseen party.</t>
  </si>
  <si>
    <t>The ball is thrown back into the pool and the boys proceed to throw it back out again.</t>
  </si>
  <si>
    <t>v_mi6wetIKq2w</t>
  </si>
  <si>
    <t>An intro filled with special effects of different screens coming together appear and the end result is a square sign that reads "GETITSWEET GET IT SWEET 2014" and the color them is white, pink, dark pink, and brown with the effect of chocolate dripping from the top portion of the sign.</t>
  </si>
  <si>
    <t>A batch of cinnamon roll cookies on a tray appear and a quick list of the ingredients appear along with the actual ingredients in different bowls.</t>
  </si>
  <si>
    <t>The ingredients are now shown being poured into a large clear bowl getting mixed up with a hand mixer, and instructions occasionally pop up on the screen.</t>
  </si>
  <si>
    <t>When the ingredients are thoroughly mixed the person flattens it between plastic, cools it, then puts it on a cutting board to roll it out, then adds sugar and cinnamon to the flat surface.</t>
  </si>
  <si>
    <t>The person then rolls it and puts it on a piece of saran wrap that's next to the cutting board then wraps the saran wrap around it, rolls it a little where the instructions say to cool it for 30 minutes.</t>
  </si>
  <si>
    <t>Once it's done being cooled it's removed,sliced on the cutting board, placed on a cooking sheet, and then cooked.</t>
  </si>
  <si>
    <t>The cooked products are then shown on white plates with a cup of coffee and the person picks it up and bites it.</t>
  </si>
  <si>
    <t>The last screen is a youtube promotion of the person's channel that has 2 small videos you can click on, and wording encouraging you to subscribe.</t>
  </si>
  <si>
    <t>v_CzXF0CQn2Fk</t>
  </si>
  <si>
    <t>people are in a small room dancing doing a choreography.</t>
  </si>
  <si>
    <t>the man stops dancing and keep doing the choreography.</t>
  </si>
  <si>
    <t>man wearing red shorts and grey shirt leading the choreography in front of the people in the room.</t>
  </si>
  <si>
    <t>v_Z-gDuGMpClo</t>
  </si>
  <si>
    <t>A window on a car is tolled down and a shirtless man walks to the are.</t>
  </si>
  <si>
    <t>We see shirtless men in small tight underwear washing cars.</t>
  </si>
  <si>
    <t>The men walk in the parking lot in a line with only underwear on.</t>
  </si>
  <si>
    <t>A man shakes his wet hair.</t>
  </si>
  <si>
    <t>A man washes another man's butt.</t>
  </si>
  <si>
    <t>A man wipes the water back and looks at the camera.</t>
  </si>
  <si>
    <t>Men do dances in a line and scenes of washing the car.</t>
  </si>
  <si>
    <t>v_Rc_pWU_3WLk</t>
  </si>
  <si>
    <t>Two sumo wrestlers stand in an arena.</t>
  </si>
  <si>
    <t>One knocks the other one out.</t>
  </si>
  <si>
    <t>The winner stands tall on the arena.</t>
  </si>
  <si>
    <t>The crowd looks at the winner.</t>
  </si>
  <si>
    <t>v_WwDGutCfElc</t>
  </si>
  <si>
    <t>The video shows a man in glasses and headphones, wearing a brown hat and shirt doing a tutorial on how to play a PVC flute.</t>
  </si>
  <si>
    <t>He takes the flute in his hands and begins playing by moving his fingers along the holes as he blows into the flute.</t>
  </si>
  <si>
    <t>He continues playing the flute till he finishes the tune.</t>
  </si>
  <si>
    <t>v_BlfFKVGQbi8</t>
  </si>
  <si>
    <t>A man plays many games of shuffleboard in a room occupied by other people and many other shuffle boards.</t>
  </si>
  <si>
    <t>A man in a collared shirt and glasses plays shuffleboard with metal pucks and a long wooden shuffleboard in front of a lit scoreboard in a room.</t>
  </si>
  <si>
    <t>The man puts paper towels over his eyes and under his glasses to absorb sweat from the intensity of the shuffleboard game.</t>
  </si>
  <si>
    <t>The man continues to play shuffleboard with a few onlookers in a room with a final visual shot of all but one of the pucks off of the shuffleboard.</t>
  </si>
  <si>
    <t>v_OzjjQ4SZ8PY</t>
  </si>
  <si>
    <t>A woman wearing scuba diving gear is under the water.</t>
  </si>
  <si>
    <t>She explores the ocean floor, looking at the fish and wildlife as a man swims behind her.</t>
  </si>
  <si>
    <t>They give ok signals to the person with the camera.</t>
  </si>
  <si>
    <t>v_Yr6Oyltj6Eo</t>
  </si>
  <si>
    <t>An athletic woman is shown jumping in slow motion over a pole, followed by several more women attempting the same jump.</t>
  </si>
  <si>
    <t>Several more women follow behind performing the jump while the camera captures them in slow motion.</t>
  </si>
  <si>
    <t>v_0tJ7eW6TKKM</t>
  </si>
  <si>
    <t>The people are shown slowly jogging in this marathon.</t>
  </si>
  <si>
    <t>There is only one man who juggles white balls in his hands while jogging backwards throughout the whole thing.</t>
  </si>
  <si>
    <t>In the end, the number of people lessens and there is just one person running and the man who juggles balls.</t>
  </si>
  <si>
    <t>v_SLfZUqfyfjs</t>
  </si>
  <si>
    <t>A man is outside trying to shovel off snow off of their windshield.</t>
  </si>
  <si>
    <t>The man then goes inside and starts talking.</t>
  </si>
  <si>
    <t>Once finished,he walks outside from his garage and test the product of the IceScreen.</t>
  </si>
  <si>
    <t>v_uy7WAwrrNiA</t>
  </si>
  <si>
    <t>People are standing on a field looking up at kites in the sky.</t>
  </si>
  <si>
    <t>A kite is shown in the sky by a tree.</t>
  </si>
  <si>
    <t>A boy chases after the kite and catches is.</t>
  </si>
  <si>
    <t>v_KxWvKN_kGMY</t>
  </si>
  <si>
    <t>Various pictures show people bring canoes off a truck and loading them into the water.</t>
  </si>
  <si>
    <t>The people are then seen fishing as well as riding down the river shown in several pictures.</t>
  </si>
  <si>
    <t>v_WTOTYZOu3MQ</t>
  </si>
  <si>
    <t>The barefoot man serve the ball but missed it.</t>
  </si>
  <si>
    <t>The man served the ball and hit the wall but it just bounced so low that the man can't hit it.</t>
  </si>
  <si>
    <t>The man chase after the ball picke it up and hit, then a shirtless man came up to him and teach him how to serve the ball.</t>
  </si>
  <si>
    <t>v_eS445rQ9SBo</t>
  </si>
  <si>
    <t>A woman is smiling at the camera.</t>
  </si>
  <si>
    <t>The woman takes an iron and starts ironing a white shirt in small circular patterns.</t>
  </si>
  <si>
    <t>The woman uses both hands to push the iron.</t>
  </si>
  <si>
    <t>She resumes ironing with one hand in the same spot.</t>
  </si>
  <si>
    <t>The woman inspects the star on the shirt.</t>
  </si>
  <si>
    <t>The woman then resumes ironing the pattern.</t>
  </si>
  <si>
    <t>The woman peels the paper away from the pattern and then resumes ironing.</t>
  </si>
  <si>
    <t>The woman holds up the the shirt after she is done.</t>
  </si>
  <si>
    <t>v_Gl8HTsP7Jfk</t>
  </si>
  <si>
    <t>A boy speaks to a camera while holding a lacrosse stick and hitting balls into a net.</t>
  </si>
  <si>
    <t>The boy throws several balls into the net over and over again hitting directly into the net.</t>
  </si>
  <si>
    <t>v_I9HV59QQkNw</t>
  </si>
  <si>
    <t>A man is sitting on a couch, drinking a beer from a bottle.</t>
  </si>
  <si>
    <t>He drops the bottle from his mouth, smiling.</t>
  </si>
  <si>
    <t>v_pG0uYjcjBR8</t>
  </si>
  <si>
    <t>People are standing around in a circle.</t>
  </si>
  <si>
    <t>Two people begin fighting in the circle.</t>
  </si>
  <si>
    <t>A man is doing flips outside on the grass.</t>
  </si>
  <si>
    <t>They continue to flight inside the circle.</t>
  </si>
  <si>
    <t>A man is standing outside talking in front of a street.</t>
  </si>
  <si>
    <t>A man does several back flips on the grass.</t>
  </si>
  <si>
    <t>v_u4nL6NXfsak</t>
  </si>
  <si>
    <t>A woman stands talking to the camera, with a dog in front of her.</t>
  </si>
  <si>
    <t>The woman holds the dog's front leg as she talks.</t>
  </si>
  <si>
    <t>The woman brushes the dog with a blue brush.</t>
  </si>
  <si>
    <t>v_B_NQ_U2JEp4</t>
  </si>
  <si>
    <t>A ad for premier packaging appears.</t>
  </si>
  <si>
    <t>A woman is standing in an office in front of a basket filled with small gifts.</t>
  </si>
  <si>
    <t>She shows how she used cellophane and a hair dryer to shrink wrap the gifts in the basket and keep the safe and presentable.</t>
  </si>
  <si>
    <t>v_r1v5fEOypSM</t>
  </si>
  <si>
    <t>A person rides a wake board behind a boat through the choppy water.</t>
  </si>
  <si>
    <t>The wake boarder jumps over the wake of the boat and does flips.</t>
  </si>
  <si>
    <t>The wake boarder does a final jump and falls into the water.</t>
  </si>
  <si>
    <t>v_9N1525JmqZQ</t>
  </si>
  <si>
    <t>A close up of a fireplace is seen with the camera moving around the front.</t>
  </si>
  <si>
    <t>The camera zooms in on the pit and shows a man kneeling own in front.</t>
  </si>
  <si>
    <t>The man lays plaster out on the front and begins putting tiling down over the plaster.</t>
  </si>
  <si>
    <t>v_q7Pp1TAgv3I</t>
  </si>
  <si>
    <t>The video pans into several shots of people performing arm wrestling matches and screaming afterwards.</t>
  </si>
  <si>
    <t>Many people are seen playing with one another and screaming to the crowd after their performance.</t>
  </si>
  <si>
    <t>v_TwQQPCjT_A4</t>
  </si>
  <si>
    <t>A man and a woman are sitting behind a table.</t>
  </si>
  <si>
    <t>Players are playing soccer on dirt, outside.</t>
  </si>
  <si>
    <t>Fans and players cheer or celebrate.</t>
  </si>
  <si>
    <t>v_Uru0CastJqU</t>
  </si>
  <si>
    <t>A person is seen walking forward and jumping up and down and diving in a pool.</t>
  </si>
  <si>
    <t>The same person is shown several more times performing various dives off a high board while the camera captures him from several angles.</t>
  </si>
  <si>
    <t>v_1GXQLnTalcg</t>
  </si>
  <si>
    <t>A video tutorial plays with a woman talking in the background about how to brush your teeth.</t>
  </si>
  <si>
    <t>She lists out the tools you need and steps to brush.</t>
  </si>
  <si>
    <t>A man opens a bottle and puts toothpaste on it.</t>
  </si>
  <si>
    <t>He begins brushing his teeth following the woman's instructions.</t>
  </si>
  <si>
    <t>The man rinses his mouth out with water and smiles with the woman's voice.</t>
  </si>
  <si>
    <t>v_d1JA5V3hO3Q</t>
  </si>
  <si>
    <t>A man talks in a blue room then sprays a toy car and pretends to wash it.</t>
  </si>
  <si>
    <t>We see a title screen and people in suits wash cars as a joke.</t>
  </si>
  <si>
    <t>A man and a small boy with high powered hoses wash cars followed by cheerleaders.</t>
  </si>
  <si>
    <t>We see a black van with people getting out and a man in a top hat touch the car.</t>
  </si>
  <si>
    <t>The people get in the black van and drive away adn teh car owners stand on the street.</t>
  </si>
  <si>
    <t>We then see the ending scene.</t>
  </si>
  <si>
    <t>v_FsQWaEejutU</t>
  </si>
  <si>
    <t>A man is smoking a pipe and blowing smoke rings.</t>
  </si>
  <si>
    <t>The man uses profanity and flips the camera off.</t>
  </si>
  <si>
    <t>Another man is standing by watching him.</t>
  </si>
  <si>
    <t>v_ZwDfAhQVKLQ</t>
  </si>
  <si>
    <t>A person is seen walking into frame in a dark room and walks down a long set of stairs.</t>
  </si>
  <si>
    <t>A man is seen in the corner moving back and fourth on exercise equipment.</t>
  </si>
  <si>
    <t>A woman then speaks to the man as he continues rowing and showing a close up of the machine.</t>
  </si>
  <si>
    <t>v_aEyTdUOp-qs</t>
  </si>
  <si>
    <t>A man walks up with a mop and bucket.</t>
  </si>
  <si>
    <t>He takes them up out of the bucket and begins to mop the floor.</t>
  </si>
  <si>
    <t>After a moment she begins to pretend that he is dancing with the mop.</t>
  </si>
  <si>
    <t>v_jfnFrt9nfSo</t>
  </si>
  <si>
    <t>A man in a blue shirt is playing basketball on a court.</t>
  </si>
  <si>
    <t>He shoots at the hoop and misses it.</t>
  </si>
  <si>
    <t>A person in a white shirt is standing behind them on a tennis court.</t>
  </si>
  <si>
    <t>v_CCL8kqQMCRw</t>
  </si>
  <si>
    <t>A young boy attempts to break open a pinata at his birthday party inside a garage.</t>
  </si>
  <si>
    <t>Another boy nearly walks into the range of the boy's stick but is saved by an adult.</t>
  </si>
  <si>
    <t>The boy continues bashing the pinata before taking a break and handing the stick to another boy.</t>
  </si>
  <si>
    <t>v_M-IRMq2DmY0</t>
  </si>
  <si>
    <t>A brunette woman is sitting in a bubble bath with one leg out shaving it with a pink razor.</t>
  </si>
  <si>
    <t>The woman goes up one stroke of the razor and begins again.</t>
  </si>
  <si>
    <t>She repeats this process shaving up the leg and beginning again a few times around her leg.</t>
  </si>
  <si>
    <t>v__4wEUsTft44</t>
  </si>
  <si>
    <t>In a blue room two men are using tools and fixing up the carpet.</t>
  </si>
  <si>
    <t>It seems like they just put in new carpet and now they are making sure it is held down correctly.</t>
  </si>
  <si>
    <t>They use a nail gun of some type to nail the ends of the corner.</t>
  </si>
  <si>
    <t>One of the men walks around checking to see if anything is missed.</t>
  </si>
  <si>
    <t>v_ZLXhlWhrkno</t>
  </si>
  <si>
    <t>We see a clearing in the woods.</t>
  </si>
  <si>
    <t>We zoom in on a buck walking in the woods.</t>
  </si>
  <si>
    <t>The buck stops and looks left, then right.</t>
  </si>
  <si>
    <t>The buck is drinking from a puddle the runs off startled.</t>
  </si>
  <si>
    <t>The buck stands in the clearing.</t>
  </si>
  <si>
    <t>A man is working with a bow while another films the animal.</t>
  </si>
  <si>
    <t>The hunter shoots the animal with a bow and it dies slowly.</t>
  </si>
  <si>
    <t>The hunter is photographed with the dead animal.</t>
  </si>
  <si>
    <t>v_eCd8x8KqxKQ</t>
  </si>
  <si>
    <t>Several shots of a casino are shown as well as people getting passes and walking around the inside.</t>
  </si>
  <si>
    <t>The camera pans around several tables of games being played as well as slot machines and people playing with one another.</t>
  </si>
  <si>
    <t>v_ISJodiRZ_uo</t>
  </si>
  <si>
    <t>A girl with braided hair asks a worker at an equestrian center some questions.</t>
  </si>
  <si>
    <t>The woman responds and talks about horse care.</t>
  </si>
  <si>
    <t>The girl brushes the horse's mane.</t>
  </si>
  <si>
    <t>The two continue going over horse care.</t>
  </si>
  <si>
    <t>The girl and woman both work on brushing techniques.</t>
  </si>
  <si>
    <t>The woman brushes the horses tail is lots of care as the girl watches.</t>
  </si>
  <si>
    <t>v_xZdCmghMcvU</t>
  </si>
  <si>
    <t>A woman stands by watching a chef removing leaves from a piece of lettuce.</t>
  </si>
  <si>
    <t>The chef shows the woman how to cut some parts of the lettuce.</t>
  </si>
  <si>
    <t>The chef and the woman have a long conversation regarding the lettuce.</t>
  </si>
  <si>
    <t>v_AjohJX4RedM</t>
  </si>
  <si>
    <t>A woman is sitting on a rowing machine.</t>
  </si>
  <si>
    <t>The woman places her feet into the straps of the rowing machine.</t>
  </si>
  <si>
    <t>The woman holds onto the rowing cables and rows.</t>
  </si>
  <si>
    <t>The woman stops and demonstrates the motor area of the machine.</t>
  </si>
  <si>
    <t>Back sitting on the rowing machine, she rows one more time and places the cables down.</t>
  </si>
  <si>
    <t>The woman removes her feet from the straps.</t>
  </si>
  <si>
    <t>v_C4QrTmNDADY</t>
  </si>
  <si>
    <t>A man is seen laying on the floor and begins demonstrating how to properly perform dance moves as well as the wrong way to perform them.</t>
  </si>
  <si>
    <t>The man continues moving all around the floor and leads into several clips of people performing the move.</t>
  </si>
  <si>
    <t>v_dXTfrVz9A9o</t>
  </si>
  <si>
    <t>A man cleans the snow with a self lifted shovel that has a rod to impulse up the shovel.</t>
  </si>
  <si>
    <t>The man puts the shovel in the snow and it lifts and throws snow.</t>
  </si>
  <si>
    <t>The man shovel heavy hardened snow from the ground effortlessly.</t>
  </si>
  <si>
    <t>The person shows the shovel that has behind a weight lifter.</t>
  </si>
  <si>
    <t>v_TSVdiNxLu50</t>
  </si>
  <si>
    <t>Several shots are shown of people walking on a beach and leads into many people surfing on the water.</t>
  </si>
  <si>
    <t>Dozens of people are shown in various clips riding along waves in the water as well as people sitting in the water from behind.</t>
  </si>
  <si>
    <t>v_MMnTMB6AmuU</t>
  </si>
  <si>
    <t>A woman stands up and starts jump roping.</t>
  </si>
  <si>
    <t>The rest of the women stand up and join her jump roping.</t>
  </si>
  <si>
    <t>They do a hand stand on the ground in front of them.</t>
  </si>
  <si>
    <t>v_Lv6ypQZWIEg</t>
  </si>
  <si>
    <t>A young child walks across some sand carrying equipment around her waist.</t>
  </si>
  <si>
    <t>While on a school field, she throws a stick.</t>
  </si>
  <si>
    <t>Back on the sand, she continues walking with the equipment attached to her waist.</t>
  </si>
  <si>
    <t>She throws a pebble into the beach.</t>
  </si>
  <si>
    <t>On a school track, she throws a stick.</t>
  </si>
  <si>
    <t>She throws another stick in a grassy field, where her coaches watch on.</t>
  </si>
  <si>
    <t>A man gives her a medal.</t>
  </si>
  <si>
    <t>In a grassy field, she throws a stick.</t>
  </si>
  <si>
    <t>v_MXbwIfqSq_Q</t>
  </si>
  <si>
    <t>A picture of a man is shown and then drawings of human vertebrae.</t>
  </si>
  <si>
    <t>The man in gray out is standing in a room and started to rotate his hands forward and backward.</t>
  </si>
  <si>
    <t>The man is swaying side to side and move his arms in front of him.</t>
  </si>
  <si>
    <t>v_V9ktV85lA9E</t>
  </si>
  <si>
    <t>A man is standing in front of a cat who keeps walking on his wrapping paper.</t>
  </si>
  <si>
    <t>The man pushes the cat down on the paper and folds it around the cat.</t>
  </si>
  <si>
    <t>He then tapes the paper onto the cat, leaving only the head sticking out.</t>
  </si>
  <si>
    <t>He then places a bow on the cat's head.</t>
  </si>
  <si>
    <t>v_S1bEYnNyLZE</t>
  </si>
  <si>
    <t>A mother tries to brush a baby's teeth.</t>
  </si>
  <si>
    <t>The baby takes the toothbrush and tries herself.</t>
  </si>
  <si>
    <t>The baby spits out some of this toothpaste but keeps trying.</t>
  </si>
  <si>
    <t>v_E2sbaDQabkA</t>
  </si>
  <si>
    <t>A black and yellow jump rope lies on the floor while three people are in the background.</t>
  </si>
  <si>
    <t>The title, "Jump Rope Steffisburg", appears on the screen while several people in green shirts run behind.</t>
  </si>
  <si>
    <t>Two young women perform a somersault.</t>
  </si>
  <si>
    <t>A large group of people in green shirts perform various jump rope stunts in a large gymnasium.</t>
  </si>
  <si>
    <t>Someone picks up a yellow and black jump rope from the floor and walks off with it.</t>
  </si>
  <si>
    <t>v_kq7KVmvkYPc</t>
  </si>
  <si>
    <t>A black screen advertises the video.</t>
  </si>
  <si>
    <t>A man is shown lying down while someone shaves his beard.</t>
  </si>
  <si>
    <t>The blade is shown very close to the skin as the man shaves him carefully, rinsing between scrapings.</t>
  </si>
  <si>
    <t>The screen fades to black as the man finishes the shaving.</t>
  </si>
  <si>
    <t>v_sI7qq85QaA0</t>
  </si>
  <si>
    <t>Two males play table tennis in a small room.</t>
  </si>
  <si>
    <t>Another man walks in the background.</t>
  </si>
  <si>
    <t>v_kbK-9Me0BnA</t>
  </si>
  <si>
    <t>A group of women are standing around as one of them is on a camel .</t>
  </si>
  <si>
    <t>The camel lifts up an the trainers and other friends stare on.</t>
  </si>
  <si>
    <t>They seem to be having a great time as the camera pulls back to show them all.</t>
  </si>
  <si>
    <t>They move ahead with the camel very slowly an the lady riding it waves.</t>
  </si>
  <si>
    <t>The video then cuts, showing the camel come to a stop before dropping down to the ground to let the woman off.</t>
  </si>
  <si>
    <t>She pets it and the video ends.</t>
  </si>
  <si>
    <t>v_U-ApHGUtLMA</t>
  </si>
  <si>
    <t>Guys are standing around near a stall.</t>
  </si>
  <si>
    <t>A guy horseback riding chases a cattle.</t>
  </si>
  <si>
    <t>The guy lassoes the cattle and gets off his horse to tie up the cattle's legs.</t>
  </si>
  <si>
    <t>Two men remove the rope around the cattle's neck and legs.</t>
  </si>
  <si>
    <t>The cattle rises and runs away.</t>
  </si>
  <si>
    <t>v_8xYzQMbI5fM</t>
  </si>
  <si>
    <t>A person is seen making marks on a paper using a tool as well as a pencil.</t>
  </si>
  <si>
    <t>He then screws the tools in place of the holes and the camera pans down the finished area.</t>
  </si>
  <si>
    <t>He then wipes down the area, measures out more area, and then rolling the paper down over a tool.</t>
  </si>
  <si>
    <t>Finally he takes a sharp object and runs it all along the paper.</t>
  </si>
  <si>
    <t>v_kRMskyrrRcA</t>
  </si>
  <si>
    <t>A person in a holding a Rubik's Cube.</t>
  </si>
  <si>
    <t>The person starts to solve the Rubik's Cube.</t>
  </si>
  <si>
    <t>The person places the solved Rubik's Cube on the desk and hurriedly click something.</t>
  </si>
  <si>
    <t>The person shows his computer screen.</t>
  </si>
  <si>
    <t>The person picks up the Rubik's Cube and shows each face of the solved Rubik's Cube.</t>
  </si>
  <si>
    <t>v_rC24UspQv14</t>
  </si>
  <si>
    <t>The boy is standing under the tree with blindfold thing to hit the pinata but missed it.</t>
  </si>
  <si>
    <t>A man came up to him and assist him, the boy hit the pinata once.</t>
  </si>
  <si>
    <t>The man rotate the little girl and then let walk a little and the girl hit the pinata.</t>
  </si>
  <si>
    <t>A young man hit the pinata ad the kids are lined up to take their turns to hit the pinata.</t>
  </si>
  <si>
    <t>v_qcaaF0SqVss</t>
  </si>
  <si>
    <t>A wrestler in maroon brief is provoking the black man.</t>
  </si>
  <si>
    <t>The black man attacked the other wrestler but he was knocked down.</t>
  </si>
  <si>
    <t>The wrestler with maroon brief carried the black man and slam him on the floor.</t>
  </si>
  <si>
    <t>v_KNpeiKm3xyM</t>
  </si>
  <si>
    <t>There's a man sitting with the Olympics logo behind him, talking about sports.</t>
  </si>
  <si>
    <t>A group photograph of a many people of different age groups is shown.</t>
  </si>
  <si>
    <t>There are some people playing beach volley ball in the sand on a sunny day with several people watching them.</t>
  </si>
  <si>
    <t>One of the players hits the ball to his opponent by punching it with his fist.</t>
  </si>
  <si>
    <t>Another player returns the ball by kicking it across the net.</t>
  </si>
  <si>
    <t>The players continue playing the game by punching the ball across the net.</t>
  </si>
  <si>
    <t>v_8KxL1itwI3Q</t>
  </si>
  <si>
    <t>An open field is covered in snow and then suddenly a large bear appears on a table and is then put in a box.</t>
  </si>
  <si>
    <t>Martha Stewart then begins taping the box.</t>
  </si>
  <si>
    <t>The box is then placed on top of the counter and wrapping paper is put on both ends to about six inches up the box.</t>
  </si>
  <si>
    <t>More wrapping paper is then pulled out and wrapped around the now covered box in the center.</t>
  </si>
  <si>
    <t>After being taped,several red glitter bows are placed on top of the wrapping paper.</t>
  </si>
  <si>
    <t>On the counter,appears several more rows of rapping paper and tubes.</t>
  </si>
  <si>
    <t>The socks are then placed in a tube and covered in the silver wrapping paper.</t>
  </si>
  <si>
    <t>The woman then takes a circular shaped object and traces it with a pencil and makes squiggles in the middle of it.</t>
  </si>
  <si>
    <t>After they are cut out,they are placed on the end of the tubes and stacked together to give the illusion of fire wood.</t>
  </si>
  <si>
    <t>v_bKEvJveN6k4</t>
  </si>
  <si>
    <t>A group of kids are throwing balls at one another in a bouncy room where the floors are inflatable bounce platforms.</t>
  </si>
  <si>
    <t>The children on the right side of the room throw balls at the children on the left side of the room as balls come flying onto their side of the mat in an effort to hit them.</t>
  </si>
  <si>
    <t>The children hurl and dodge with one child in a blue t-shirt retreating into the far right corner of the bounce room to try to avoid a ball which comes hurling at him from the other side.</t>
  </si>
  <si>
    <t>v_zW_8T8w7304</t>
  </si>
  <si>
    <t>A young child is seen mopping a floor with a mop and moving around all areas of the room.</t>
  </si>
  <si>
    <t>He stops to play with the mop a bit and pushes a box back under a stand.</t>
  </si>
  <si>
    <t>v_a68k87VXX1c</t>
  </si>
  <si>
    <t>A woman in a black shirt is dancing in a room.</t>
  </si>
  <si>
    <t>A small dog on the floor next to her watches.</t>
  </si>
  <si>
    <t>She claps her hands together at the end.</t>
  </si>
  <si>
    <t>v_45Bscg4Qe-I</t>
  </si>
  <si>
    <t>A group of people go to a bowling alley and fail hilariously.</t>
  </si>
  <si>
    <t>A woman talks to the pins and figures out how the pins are set up and replaced.</t>
  </si>
  <si>
    <t>v_XptFota2__4</t>
  </si>
  <si>
    <t>A small group of people are seen sitting around a table speaking to one another while using a hookah and vapor pen at the same time.</t>
  </si>
  <si>
    <t>The men continue smoking and looking into the camera when one starts showing off his body and panning around the room.</t>
  </si>
  <si>
    <t>v_M1hPI8WvySo</t>
  </si>
  <si>
    <t>A tutorial on how to wrap a gift, first you put doe enough wrapping paper and place the gift on top of it to make sure it is a decent size.</t>
  </si>
  <si>
    <t>Then, You fold one of the corners of the wrapping paper into triangles and press it out repeatedly.</t>
  </si>
  <si>
    <t>You would then cut the edges and tape doen the outside of the wrapping so it sticks down.</t>
  </si>
  <si>
    <t>Finally, You put the gift inside of the paper and fold the paper around it nicely and tape it down and you have a pretty wrapped present.</t>
  </si>
  <si>
    <t>v__cZD6JN-SYg</t>
  </si>
  <si>
    <t>Various pictures of men are shown in the beginning of the video followed by several lines of text shown.</t>
  </si>
  <si>
    <t>The men are then seen kicking soccer balls into a goal while they save some and the goalie blocks.</t>
  </si>
  <si>
    <t>v_W4XaqnwD6gU</t>
  </si>
  <si>
    <t>A man is seen playing a violin while the camera pans all around him moving his arms up and down.</t>
  </si>
  <si>
    <t>The man continues to play while others play behind him and the violinist playing and looking at the audience.</t>
  </si>
  <si>
    <t>v_kl_JsmJ84PI</t>
  </si>
  <si>
    <t>A group of people are seen playing a game of soccer in an indoor field while a group of people watch on the sides.</t>
  </si>
  <si>
    <t>People shown fighting in the stands and players walk around watching the fight and the paramedics take a man away.</t>
  </si>
  <si>
    <t>v_L2MfC4jcRo0</t>
  </si>
  <si>
    <t>A screen with text gives details of an event.</t>
  </si>
  <si>
    <t>Boys faces are seen up close in an intense facial expression.</t>
  </si>
  <si>
    <t>Two boys play an intense game of table soccer.</t>
  </si>
  <si>
    <t>The boy wins the game and the other strikes him with a handle of the table tennis game.</t>
  </si>
  <si>
    <t>v_avBlEff5U5U</t>
  </si>
  <si>
    <t>A man is in his front yard going back and forth mowing his lawn.</t>
  </si>
  <si>
    <t>The video then shows him mowing the lawn in a different location than the first location.</t>
  </si>
  <si>
    <t>v_DfpUMDpSbS4</t>
  </si>
  <si>
    <t>A man is seen speaking to the camera while standing behind a set of weights and pointing to his body.</t>
  </si>
  <si>
    <t>The man then bends down and grabs the bar while still speaking to the camera.</t>
  </si>
  <si>
    <t>The man lifts the bar up then back down again while still speaking to the camera.</t>
  </si>
  <si>
    <t>v_yCPeF59MOEk</t>
  </si>
  <si>
    <t>A man in a white tuxedo is led to a pinata by a woman in a wedding dress.</t>
  </si>
  <si>
    <t>He hits at the pinata that keeps moving up and down.</t>
  </si>
  <si>
    <t>v_1RQOgX36Z2E</t>
  </si>
  <si>
    <t>A man is working inside a shop.</t>
  </si>
  <si>
    <t>He rolls a tire over to a piece of equipment.</t>
  </si>
  <si>
    <t>He shows how to mount the tire onto the equipment.</t>
  </si>
  <si>
    <t>v_xlPpP0eVL9A</t>
  </si>
  <si>
    <t>A woman is talking inside an office.</t>
  </si>
  <si>
    <t>She is shown giving a facial treatment to an older woman.</t>
  </si>
  <si>
    <t>She wipes her face down with substances and lotions.</t>
  </si>
  <si>
    <t>v_q53Ajkll_kw</t>
  </si>
  <si>
    <t>A woman in a black dress is playing a bag pipe on stage.</t>
  </si>
  <si>
    <t>The word "Ilbo" is in a red font and scrolls down on the left hand side of the screen.</t>
  </si>
  <si>
    <t>The camera zooms into the woman's fingers.</t>
  </si>
  <si>
    <t>The camera shifts to somebody playing a piano.</t>
  </si>
  <si>
    <t>A band is also playing musical instruments in the background.</t>
  </si>
  <si>
    <t>The camera zooms into the face of the woman playing the bag pipe.</t>
  </si>
  <si>
    <t>The woman finishes playing and the audience applause.</t>
  </si>
  <si>
    <t>v_hYBctolxeqQ</t>
  </si>
  <si>
    <t>a boy sits in his room behind a large drum set.</t>
  </si>
  <si>
    <t>He plays the drums and cymbals gently.</t>
  </si>
  <si>
    <t>He speeds up his tempo and strength as he builds confidence.</t>
  </si>
  <si>
    <t>v_ABMVo0NDhKo</t>
  </si>
  <si>
    <t>A guy is standing on a beach flying a kite.</t>
  </si>
  <si>
    <t>The guy continuously looks away from the kite's position.</t>
  </si>
  <si>
    <t>A man approaches the guy.</t>
  </si>
  <si>
    <t>v_T3XGYHEFVIQ</t>
  </si>
  <si>
    <t>A man is wearing protective gear.</t>
  </si>
  <si>
    <t>He is using a welder and creating a bright light as he works on metal.</t>
  </si>
  <si>
    <t>When he is done, he stops and looks at the camera, showing off the completed welding.</t>
  </si>
  <si>
    <t>v_It2fslENHXs</t>
  </si>
  <si>
    <t>An large outdoor sports field is shown.</t>
  </si>
  <si>
    <t>A man runs and does a successful pole vault.</t>
  </si>
  <si>
    <t>He stands up from the pad and picks up the pole.</t>
  </si>
  <si>
    <t>v_FT_34R0dZnA</t>
  </si>
  <si>
    <t>A camera pans around a park as well as a lake and a man speaking to the camera.</t>
  </si>
  <si>
    <t>The camera pans around a canoe filled with objects and leads into the man padding down and speaking to the camera.</t>
  </si>
  <si>
    <t>More shots are shown of animals nearby as well as a man and woman speaking to the camera.</t>
  </si>
  <si>
    <t>v_b02GzZM5iGI</t>
  </si>
  <si>
    <t>People are playing volleyball on a beach.</t>
  </si>
  <si>
    <t>A girl falls down onto the sand.</t>
  </si>
  <si>
    <t>A girl raises her hands in the air.</t>
  </si>
  <si>
    <t>v_IjKWgD0y4rc</t>
  </si>
  <si>
    <t>A white screen appears with black text that comes in twice on the screen and then scrolls off screen while fading out.</t>
  </si>
  <si>
    <t>Three children in life vests and two supervising adults are on a raft waiting to go rafting.</t>
  </si>
  <si>
    <t>The group rafting down a river with all it's bumps and water splashing.</t>
  </si>
  <si>
    <t>There is a yellow text that comes on screen showing the locations they are at.</t>
  </si>
  <si>
    <t>The children are at the destination as one young girl comes close to the cam and waves at it.</t>
  </si>
  <si>
    <t>A white screen appears and two words appear one in yellow at the top of the sceeen and one in blue at the bottom on the screen and both then move off screen.</t>
  </si>
  <si>
    <t>v_dQs2-z3TIes</t>
  </si>
  <si>
    <t>A woman is on stage speaking to a little girl while holding a microphone.</t>
  </si>
  <si>
    <t>The girl speaks into the microphone, then performs a ballet piece.</t>
  </si>
  <si>
    <t>She dances around the stage for the audience.</t>
  </si>
  <si>
    <t>She falls onto one knee as she completes her performance.</t>
  </si>
  <si>
    <t>v_uug0bhnLgHs</t>
  </si>
  <si>
    <t>A person stirs a large bowl of lemonade.</t>
  </si>
  <si>
    <t>A woman is chopping up a potato.</t>
  </si>
  <si>
    <t>She adds the potato to a large pot of water.</t>
  </si>
  <si>
    <t>She adds lemons and lettuce and cucumbers to the bowl.</t>
  </si>
  <si>
    <t>She mixes it all together in a bowl.</t>
  </si>
  <si>
    <t>v_bM7Tgb1mJfc</t>
  </si>
  <si>
    <t>We see a man instructing another man on shooting arrow.</t>
  </si>
  <si>
    <t>The mans first arrow misses.</t>
  </si>
  <si>
    <t>The man loads another arrow.</t>
  </si>
  <si>
    <t>We see the targets in front of a backdrop.</t>
  </si>
  <si>
    <t>The man hits the backdrop and it collapses.</t>
  </si>
  <si>
    <t>The people all stand around laughing.</t>
  </si>
  <si>
    <t>The instructor walks over to the targets.</t>
  </si>
  <si>
    <t>v_rJKrXQ4v-9s</t>
  </si>
  <si>
    <t>A plume of smoke is shown going across a pair of skis.</t>
  </si>
  <si>
    <t>A man is carving designs, burning them into the wood.</t>
  </si>
  <si>
    <t>He then rakes an iron across the boards, setting the image.</t>
  </si>
  <si>
    <t>v_yATxB9giT34</t>
  </si>
  <si>
    <t>A man is seen speaking into a mike that transitions into a close up of a beer pong table as well as people playing.</t>
  </si>
  <si>
    <t>Shots of beer are poured, people playing rock, paper, scissors, dealing money, and computer screens for music.</t>
  </si>
  <si>
    <t>More people are shown playing beer pong while being interviewed on camera and walking around a room.</t>
  </si>
  <si>
    <t>Several more shots are shown of people dancing, playing pong, fighting, and speaking to one another.</t>
  </si>
  <si>
    <t>v_veaxOUe_8HE</t>
  </si>
  <si>
    <t>Two people are seen speaking to the camera and leads into several clips of people playing volleyball with one another.</t>
  </si>
  <si>
    <t>The people continue to play the sport while others speak to the camera as well as watch on the sides and high five each other.</t>
  </si>
  <si>
    <t>v_WaWkDf6b_j4</t>
  </si>
  <si>
    <t>A man walks along a bare field while a woman walks around beside him.</t>
  </si>
  <si>
    <t>He walks back and fourth preparing to jump and eventually jumps over a pole.</t>
  </si>
  <si>
    <t>A girl claps for him and the same move is shown again in slow motion.</t>
  </si>
  <si>
    <t>v_DVZCBD8-y2I</t>
  </si>
  <si>
    <t>A video shows how to clean snow off a car.</t>
  </si>
  <si>
    <t>A person folds a blue cloth, wrapping it around a snow brush neatly.</t>
  </si>
  <si>
    <t>He then uses the brush to gently wipe snow off a vehicle.</t>
  </si>
  <si>
    <t>The video ends with an advertisement for an auto shop.</t>
  </si>
  <si>
    <t>v_q1e275n6R3c</t>
  </si>
  <si>
    <t>A pregnant lady prepares a pumpkin for decoration and carving.</t>
  </si>
  <si>
    <t>The lady places wax paper over the pumpkin and pokes holes over the wax paper drawing.</t>
  </si>
  <si>
    <t>The lady removes the wax paper and proceeds to cut out the the hole tracings of the mouth and eyes that was traced with the punched out holes from the wax paper.</t>
  </si>
  <si>
    <t>The completed carved pumpkins are displayed.</t>
  </si>
  <si>
    <t>v_IFmtu3Sd7iI</t>
  </si>
  <si>
    <t>Several scuba divers are seen swimming around the ocean while sharks move around them underneath.</t>
  </si>
  <si>
    <t>The camera continuously follows the sharks around the water and the scuba divers interact with one another while they move.</t>
  </si>
  <si>
    <t>v_aINlF3UDJ7s</t>
  </si>
  <si>
    <t>A blue screen appears and on the left side a clear bottle is pouring liquid into a clear martini glass and white words appear on the left side of the screen that say "Girls Mixing Drinks dot com Notre Dame Pick-Me-Up with Stacey".</t>
  </si>
  <si>
    <t>A brunette woman wearing all black is standing in a bar talking, she picks up a clear drinking glass, puts ice in it and touches all the ingredients she's going to use while talking about them.</t>
  </si>
  <si>
    <t>The woman then begins to measure out each alcohol into a shot glass, pours them into the cup, squirts liquid from a clear bottle into the cup, pours some soda from a can into the cup, pours juice from a box into the cup, then adds a straw to the cup and pushes the cup to the front of the counter.</t>
  </si>
  <si>
    <t>Throughout the whole time she's making the drink the website pops up from time to time at the bottom of the screen, then the outro screen appears with a two tone red diagonal background of thick stripes and the website in the middle reads www dot GirlsMakingDrinks dot com.</t>
  </si>
  <si>
    <t>v_1SQAnbh_lcM</t>
  </si>
  <si>
    <t>A woman is standing behind a counter sharpening a knife.</t>
  </si>
  <si>
    <t>She pours water on the knife sharpener and continues sharpening the knife.</t>
  </si>
  <si>
    <t>She picks up a knife sharpener and sharpens the knife.</t>
  </si>
  <si>
    <t>v_sCTmSj_tsDQ</t>
  </si>
  <si>
    <t>Men appear in a field with bulls and the words "Bullfight Laos" appear on screen.</t>
  </si>
  <si>
    <t>The men gather around the field where two bulls are.</t>
  </si>
  <si>
    <t>The bulls are encouraged to fight with their horns while the people watch.</t>
  </si>
  <si>
    <t>v_NK0WynwKc34</t>
  </si>
  <si>
    <t>A small baby hits a bongo in a room.</t>
  </si>
  <si>
    <t>The baby stops and takes something off his hand.</t>
  </si>
  <si>
    <t>The baby goes back to playing the drum.</t>
  </si>
  <si>
    <t>v_jGoW5WVAtX4</t>
  </si>
  <si>
    <t>We see the outside of a restaurant with a snow like graphic on the bottom.</t>
  </si>
  <si>
    <t>We see men inside the bar and one man speaking into a microphone.</t>
  </si>
  <si>
    <t>We then see ladies playing beer pong against a team of men.</t>
  </si>
  <si>
    <t>Two teams of men play beer pong together as a man stands behind them holding a camera in the air.</t>
  </si>
  <si>
    <t>We switch and see other teams in the room playing and see two ladies talking.</t>
  </si>
  <si>
    <t>We then see a lady toss a ball across a table.</t>
  </si>
  <si>
    <t>v_uavao6fYoMM</t>
  </si>
  <si>
    <t>A drawing of a court is shown on the screen.</t>
  </si>
  <si>
    <t>We see a game of soccer in progress on an outdoor field.</t>
  </si>
  <si>
    <t>The men are kicking the ball away from each other.</t>
  </si>
  <si>
    <t>They try to get the ball into the opposing goals.</t>
  </si>
  <si>
    <t>v_8C6iIFY47Kc</t>
  </si>
  <si>
    <t>Two wrestlers meet at a table inside a wrestling ring.</t>
  </si>
  <si>
    <t>They sit at the table and hold each other's hands, prepared to arm wrestle.</t>
  </si>
  <si>
    <t>The men try hard to beat each other, pushing hard on each side.</t>
  </si>
  <si>
    <t>One wins, then they get up and start fighting inside the ring.</t>
  </si>
  <si>
    <t>One is kicked out of the ring, leaving the giant as the victor.</t>
  </si>
  <si>
    <t>v_4bw6ocN0jGU</t>
  </si>
  <si>
    <t>A dog is running by a lake.</t>
  </si>
  <si>
    <t>A man is wake boarding behind a boat.</t>
  </si>
  <si>
    <t>A person is sitting in the water.</t>
  </si>
  <si>
    <t>v_k2vkwy2vdP4</t>
  </si>
  <si>
    <t>A man is riding a water motorboat in the ocean.</t>
  </si>
  <si>
    <t>Beside him appears a man on a surfboard.</t>
  </si>
  <si>
    <t>The man on the surfboard speeds past, leaving him in his wake.</t>
  </si>
  <si>
    <t>v_aS6Qv9N5mG0</t>
  </si>
  <si>
    <t>A small group of people are seen playing games with one another in a large gymnasium.</t>
  </si>
  <si>
    <t>Many people watch on the sidelines an the people pass a bad mitten back and fourth to one another.</t>
  </si>
  <si>
    <t>v_gCx-ucvPhDY</t>
  </si>
  <si>
    <t>A man in a black Speedo is standing on a diving board with his hand down on his sides.</t>
  </si>
  <si>
    <t>He then begins running and does two hops to get to the end of the board.</t>
  </si>
  <si>
    <t>Finally,he is at the end of the diving board and does a flip into the water as the crowd on the side watches.</t>
  </si>
  <si>
    <t>v_6dJrQV3Jzbw</t>
  </si>
  <si>
    <t>A large group of people are seen running down a field playing a game of lacrosse.</t>
  </si>
  <si>
    <t>The people hit the ball all along the field while a ref watches them on the side.</t>
  </si>
  <si>
    <t>The group continue to play together while the camera moves back and fourth.</t>
  </si>
  <si>
    <t>v_BNa85xIhNqA</t>
  </si>
  <si>
    <t>A large kite is seen flying over a beach with people wandering around on the sides.</t>
  </si>
  <si>
    <t>A man is seen flying the large kite while others watch him on the side.</t>
  </si>
  <si>
    <t>Another kite is shown flying beside his and leads into a show of the ocean.</t>
  </si>
  <si>
    <t>v_ZN9kbYULUtw</t>
  </si>
  <si>
    <t>A young boy is seen stretching in a circle while taking his shirt off and looking off into the distance.</t>
  </si>
  <si>
    <t>The boy then begins performing various martial arts in front of a large crowd.</t>
  </si>
  <si>
    <t>The boy continues kicking and spinning around while ending to bow to the camera.</t>
  </si>
  <si>
    <t>v_Gi9aPJOgn6M</t>
  </si>
  <si>
    <t>A car commercial begins with numerous people washing a vehicle as it goes through a professional car wash.</t>
  </si>
  <si>
    <t>The people stand in a group, waving their rags in the air at the camera, as if to say goodbye.</t>
  </si>
  <si>
    <t>Then it cuts to a final screen advertising the name of the service.</t>
  </si>
  <si>
    <t>v_N1c3C_Npr-E</t>
  </si>
  <si>
    <t>A police officer is riding a horse down the street very slowly.</t>
  </si>
  <si>
    <t>Many bystanders are walking by, cars are passing and casually moving along.</t>
  </si>
  <si>
    <t>its just a normal day riding down the street protecting serving, making sure no crimes are being committed.</t>
  </si>
  <si>
    <t>He rides with one of his hands on his gun and the other steering the horse.</t>
  </si>
  <si>
    <t>v_vjVtKL3xd8w</t>
  </si>
  <si>
    <t>We see a green opening screen.</t>
  </si>
  <si>
    <t>We see a ladies hair in a close up.</t>
  </si>
  <si>
    <t>A lady speaks while sitting on a couch.</t>
  </si>
  <si>
    <t>We see a lady putting a roller in her hair.</t>
  </si>
  <si>
    <t>We then see the finished product.</t>
  </si>
  <si>
    <t>v_yeQDfh6K6Sc</t>
  </si>
  <si>
    <t>A man turns on a camera.</t>
  </si>
  <si>
    <t>A man in a black shirt is squatting on a couch and smoking hookah.</t>
  </si>
  <si>
    <t>The man attempts to blow smoke rings.</t>
  </si>
  <si>
    <t>The man blows smoke directly at the camera.</t>
  </si>
  <si>
    <t>The man again proceeds to blow smoke directly at the camera.</t>
  </si>
  <si>
    <t>The man reaches to turn the camera off.</t>
  </si>
  <si>
    <t>v_QJmoA3byOzo</t>
  </si>
  <si>
    <t>The camera zooms in to show the car's front right wheel.</t>
  </si>
  <si>
    <t>The camera zooms out to show the man spraying the car with soap.</t>
  </si>
  <si>
    <t>The camera zooms in again to show the soap running down the back of the car, then the camera moves to show the left side of the car.</t>
  </si>
  <si>
    <t>Then two men spray water on the car to wash the soap off.</t>
  </si>
  <si>
    <t>v_J_SD_hhGET8</t>
  </si>
  <si>
    <t>A woman walks to the middle of the room.</t>
  </si>
  <si>
    <t>She performs belly dancing moves.</t>
  </si>
  <si>
    <t>She extends her fingers out and finishes her dancing.</t>
  </si>
  <si>
    <t>v_Us795clHJmw</t>
  </si>
  <si>
    <t>A woman spins a blindfold person holding a stick on front a piñata.</t>
  </si>
  <si>
    <t>Then, the person hits the strong, while the piñata is moving.</t>
  </si>
  <si>
    <t>The person laugh and the woman approach her.</t>
  </si>
  <si>
    <t>v_w8rTULZCkzk</t>
  </si>
  <si>
    <t>An introduction is shown for a video about how to clean running spikes.</t>
  </si>
  <si>
    <t>A guy explains that he will clean the spikes while showing the dirt on the spikes.</t>
  </si>
  <si>
    <t>He begins by brushing mud off the spikes into a sink.</t>
  </si>
  <si>
    <t>He puts a small amount of water into the sink and continues scrubbing.</t>
  </si>
  <si>
    <t>He takes them out of the sink and puts some newspaper inside the shows to help them dry.</t>
  </si>
  <si>
    <t>v_k5vE0ehf5TA</t>
  </si>
  <si>
    <t>An individual uses a vacuum cleaner hose to play with a dog.</t>
  </si>
  <si>
    <t>The camera switches to a more side view of the dog.</t>
  </si>
  <si>
    <t>The camera switches to a more top down view of the dog.</t>
  </si>
  <si>
    <t>v_cvuSpqwxRYE</t>
  </si>
  <si>
    <t>A man dips a sponge into a bucket.</t>
  </si>
  <si>
    <t>He uses the sponge to wipe black mud all over a boy.</t>
  </si>
  <si>
    <t>Other people are covering people in paint.</t>
  </si>
  <si>
    <t>They are preparing for the running of the bulls in spain.</t>
  </si>
  <si>
    <t>v_8ycO15nH8YM</t>
  </si>
  <si>
    <t>We see a title screen on white.</t>
  </si>
  <si>
    <t>A lady has a cake turned upside down she puts back in the tray.</t>
  </si>
  <si>
    <t>The lady slices parts of the cake and flips it again.</t>
  </si>
  <si>
    <t>The lady cuts the edges off the cake.</t>
  </si>
  <si>
    <t>The lady moves everything and brings it back.</t>
  </si>
  <si>
    <t>v_4EoFt8F3_nw</t>
  </si>
  <si>
    <t>A man is seen walking beside a hedge in a public area with a dog beside him.</t>
  </si>
  <si>
    <t>The dog is seen walking on it's two legs and hops down in the end.</t>
  </si>
  <si>
    <t>v_cjFHlsWZY4c</t>
  </si>
  <si>
    <t>Someone is drawing on tape and cutting it out.</t>
  </si>
  <si>
    <t>They dip a paint brush in paint and paint it put it on a sponge.</t>
  </si>
  <si>
    <t>They put that on their nail and put a top coat on.</t>
  </si>
  <si>
    <t>They put glitter over the heart on the nail.</t>
  </si>
  <si>
    <t>v_r8RJSDKy9iA</t>
  </si>
  <si>
    <t>A young girl has several people holding her eye open while another tries to put in a contact lens.</t>
  </si>
  <si>
    <t>They cannot get the lens in at the eye at first and try over and over again.</t>
  </si>
  <si>
    <t>They eventually succeed in getting the lens in but the girl stands up as thers laugh.</t>
  </si>
  <si>
    <t>v_4mRdgV8t4KY</t>
  </si>
  <si>
    <t>People are riding horses in an indoor arena.</t>
  </si>
  <si>
    <t>People are sitting outside the arena watching them.</t>
  </si>
  <si>
    <t>They stop the horses and the girl turns around.</t>
  </si>
  <si>
    <t>v_H8aW-6HhMBA</t>
  </si>
  <si>
    <t>A man and a woman are sitting in Hooters the restaurant,the female is an employee and the guy is a regular customer.</t>
  </si>
  <si>
    <t>He grabs a beer and then kisses the girls.</t>
  </si>
  <si>
    <t>He tries three more times and he is successful but the third girl was by accident and she hits the guy and becomes extremely upset by it.</t>
  </si>
  <si>
    <t>The male does it again and more girls in the restaurant begins to kiss him.</t>
  </si>
  <si>
    <t>v_hANXaoStVR0</t>
  </si>
  <si>
    <t>There's a man in the swimming pool playing water polo.</t>
  </si>
  <si>
    <t>He is in the pool playing water polo with a yellow ball and two other people.</t>
  </si>
  <si>
    <t>He throws the ball across and the people sitting by the pool and watching him play cheer loudly.</t>
  </si>
  <si>
    <t>v_6mrjcnKVJyY</t>
  </si>
  <si>
    <t>Two men are seen wearing boxing gloves and punching and kicking one another.</t>
  </si>
  <si>
    <t>The men continue going back and fourth with each other and a text appears at the end of the video.</t>
  </si>
  <si>
    <t>v_VshQp9mHeh4</t>
  </si>
  <si>
    <t>A boy runs into the shot and kicks a soccer ball.</t>
  </si>
  <si>
    <t>The ball lobs toward a crowd in a park.</t>
  </si>
  <si>
    <t>Few other boys try to catch the moving ball.</t>
  </si>
  <si>
    <t>One boy eventually kicks the ball back toward the camera.</t>
  </si>
  <si>
    <t>A girl comes in from the sidelines and kicks the ball back toward the crowd of boys and the kids continue this cycle of kicking.</t>
  </si>
  <si>
    <t>v_SOkS5d8GjZ4</t>
  </si>
  <si>
    <t>A man and a woman are shown sitting at a table with a cigarette in her mouth and their arms crossed at one another.</t>
  </si>
  <si>
    <t>They begin arm wrestles and the girl with the cigarette beats the man.</t>
  </si>
  <si>
    <t>v_ZVKUKjVYwF8</t>
  </si>
  <si>
    <t>A person is seen moving down a set of stairs and holding out various measuring items.</t>
  </si>
  <si>
    <t>The man kneels down and begins putting carpeting down on the floor as well as on the stairs.</t>
  </si>
  <si>
    <t>The man finishes putting the carpet down and the camera zooming in on his work.</t>
  </si>
  <si>
    <t>v_jNGa0jPAMjI</t>
  </si>
  <si>
    <t>A seated man looks at a clipboard.</t>
  </si>
  <si>
    <t>The man begins smoking from a large pipe.</t>
  </si>
  <si>
    <t>The camera pans down to show the various items on the table before him.</t>
  </si>
  <si>
    <t>The camera pans back up to the man.</t>
  </si>
  <si>
    <t>v_aEWVDbV76_Q</t>
  </si>
  <si>
    <t>People sail in a boat in a river, and a man pulls a string of a person that sets up to perform water ski.</t>
  </si>
  <si>
    <t>Then, the person water ski behind the boat while people watch.</t>
  </si>
  <si>
    <t>The person falls in the water, but stands again and continues doing water ski.</t>
  </si>
  <si>
    <t>A boat appears in the river behind the person, while the person water ski.</t>
  </si>
  <si>
    <t>The person falls again in the water, the people in the boat laugh and a man does thumbs up.</t>
  </si>
  <si>
    <t>v_1TWdrO8cCxA</t>
  </si>
  <si>
    <t>A girl with a jump rope is in athletic shorts and a t-shirt, holding a jump-rope.</t>
  </si>
  <si>
    <t>She begins to preform complicated stunts, such as hand-stands, flips, and the splits while jumping rope.</t>
  </si>
  <si>
    <t>She has a brief mishap as she drops the jump rope and then picks it up to resume her performance.</t>
  </si>
  <si>
    <t>Many people are sitting on the sidelines, some watching as an audience, some are judges, some are filming the event.</t>
  </si>
  <si>
    <t>v_p3LvCbxC_ZE</t>
  </si>
  <si>
    <t>A camera pans around a large yard to show two people moving a wooden bar.</t>
  </si>
  <si>
    <t>One man then steps on the bar and begins using a tool to cut down hedges.</t>
  </si>
  <si>
    <t>The man looks back to the speak to the camera and the men move the bar.</t>
  </si>
  <si>
    <t>v_cWU5059m_1Q</t>
  </si>
  <si>
    <t>We see a guy in a gym holding a jump rope.</t>
  </si>
  <si>
    <t>The guy does a jump rope routine.</t>
  </si>
  <si>
    <t>The guy does a flip with the rope.</t>
  </si>
  <si>
    <t>The guy does two push ups.</t>
  </si>
  <si>
    <t>The guys leg gets caught on the rope.</t>
  </si>
  <si>
    <t>The guy jumps high and the rope gets tangled again.</t>
  </si>
  <si>
    <t>The guy finishes and lays on the ground.</t>
  </si>
  <si>
    <t>The guy gets up and walks away.</t>
  </si>
  <si>
    <t>v_Qz_PtO18pXE</t>
  </si>
  <si>
    <t>A woman is posing on a diving board.</t>
  </si>
  <si>
    <t>She springs backward into the water in front of a watching group.</t>
  </si>
  <si>
    <t>v_IIAg_MFuCoY</t>
  </si>
  <si>
    <t>We see a couple dance on a dance floor in a club.</t>
  </si>
  <si>
    <t>We see a man looks in the camera and opens his mouth as a group of people walk past.</t>
  </si>
  <si>
    <t>A man in a black shirt walks past the camera and stands their for a moment.</t>
  </si>
  <si>
    <t>The lady shimmy's and bends down to the ground and back up.</t>
  </si>
  <si>
    <t>The man dips the woman and the smile at the camera.</t>
  </si>
  <si>
    <t>v_wEgt41AJaU4</t>
  </si>
  <si>
    <t>A small group of people are seen running around an outdoor arena and playing paintball with one another.</t>
  </si>
  <si>
    <t>One man runs forward and a large cloud of smoke spins around and a man waves his arms in the air while another helps.</t>
  </si>
  <si>
    <t>v_UaCSf-kW2Ho</t>
  </si>
  <si>
    <t>People are sitting down in chairs playing drums.</t>
  </si>
  <si>
    <t>People are walking past on the sidewalk.</t>
  </si>
  <si>
    <t>A person pushing a stroller walks behind them.</t>
  </si>
  <si>
    <t>v_Ac_8KQGAe0c</t>
  </si>
  <si>
    <t>A cat is standing on a table getting petted.</t>
  </si>
  <si>
    <t>A person takes the cats paw and starts clipping its nails.</t>
  </si>
  <si>
    <t>The person picks the cat up to clip their back paws.</t>
  </si>
  <si>
    <t>The person pets the cat after clipping its nails.</t>
  </si>
  <si>
    <t>v_cM67XJS7yM8</t>
  </si>
  <si>
    <t>A woman is seen looking at the camera then crying and hugging a group of people.</t>
  </si>
  <si>
    <t>Shots of people playing shuffle board are shown followed by people celebrating and the woman speaking to the camera.</t>
  </si>
  <si>
    <t>More shots of celebrating are shown and the team mates all hug one another.</t>
  </si>
  <si>
    <t>v_s4pnHlWlt5k</t>
  </si>
  <si>
    <t>A young boy is standing in the grass swinging a bat at a pinata.</t>
  </si>
  <si>
    <t>People are watching the boy.</t>
  </si>
  <si>
    <t>A girl in a blue swimsuit takes the bat and starts swinging at the pinata.</t>
  </si>
  <si>
    <t>v_fEsTL9tYOVc</t>
  </si>
  <si>
    <t>We see a GoPro and the title card.</t>
  </si>
  <si>
    <t>We see the water and a boat full of people riding on the water and put on wet suits and enter the water.</t>
  </si>
  <si>
    <t>We see the people underwater swimming around.</t>
  </si>
  <si>
    <t>A person is swimming in a crevasse.</t>
  </si>
  <si>
    <t>We see an animal on a rock.</t>
  </si>
  <si>
    <t>We see part of a ship.</t>
  </si>
  <si>
    <t>We are shown various sea life.</t>
  </si>
  <si>
    <t>We see the people near the ship.</t>
  </si>
  <si>
    <t>People are holding a large sea-slug.</t>
  </si>
  <si>
    <t>We see a large underwater turtle on the ground.</t>
  </si>
  <si>
    <t>Bubble float to the surface and the video ends.</t>
  </si>
  <si>
    <t>v_zX9DZ_x9rJ4</t>
  </si>
  <si>
    <t>A black intro screen with white words appear and it notes the location, the people, and the cake they are going to make.</t>
  </si>
  <si>
    <t>A man and woman wearing red aprons appear in a kitchen with a white kitchen aid mixer in front of them and a banner on the screen displaying all the ingredients.</t>
  </si>
  <si>
    <t>The view then changes to a shot from above to show what the man is doing, and the banner on the screen is still showing the ingredients that are being used.</t>
  </si>
  <si>
    <t>The view changes from front to a top angle as the man is mixing the ingredients.</t>
  </si>
  <si>
    <t>The view then changes back to a front view and the man moves the kitchen aid to the side and grabs from the counter behind them, a baked cake and a plate with a slice of cake on it.</t>
  </si>
  <si>
    <t>The outro includes a picture of the man and woman standing together, their names, the name of the cake they made, their address and the news station that aired it.</t>
  </si>
  <si>
    <t>The credits then begin to scroll from bottom to top on a black screen with white letters.</t>
  </si>
  <si>
    <t>v_2NAs35b7fck</t>
  </si>
  <si>
    <t>A group of men are playing soccer.</t>
  </si>
  <si>
    <t>One player kicks the ball into the goal before going for the opposing goal.</t>
  </si>
  <si>
    <t>They continue fighting over the ball for an extended period.</t>
  </si>
  <si>
    <t>v_DzCk5xjSF9o</t>
  </si>
  <si>
    <t>A lady in white stripes shirt is standing next to a young boy, they are standing at the counter, they cut the side of the bread, put spread on it, roll the bread in a plastic, cut the side of the bread, put meat on the bread, shredded the cheese, roll the bread in the plastic.</t>
  </si>
  <si>
    <t>The woman sliced the plastic with bread in it then put it in a rectangle plate.</t>
  </si>
  <si>
    <t>v_VOnP9N7FAT8</t>
  </si>
  <si>
    <t>A woman is sitting down in a chair playing an accordion.</t>
  </si>
  <si>
    <t>She stops playing and puts her arm down.</t>
  </si>
  <si>
    <t>Words flash onto the screen.</t>
  </si>
  <si>
    <t>v_ORVjNqVSLe0</t>
  </si>
  <si>
    <t>A person shaves the back legs of a man using a shaver while he is lying face down.</t>
  </si>
  <si>
    <t>Then the man turns face up, and the person starts to shave the legs.</t>
  </si>
  <si>
    <t>After, the person uses a machine on the legs, and then a picture shows the legs before and after shave.</t>
  </si>
  <si>
    <t>v_Tp4g0ErB2oQ</t>
  </si>
  <si>
    <t>A woman behind a fence watch a group of players in a field.</t>
  </si>
  <si>
    <t>An old lady pass behind the woman.</t>
  </si>
  <si>
    <t>People play hurling in a field.</t>
  </si>
  <si>
    <t>v_nxFbmoV3Idk</t>
  </si>
  <si>
    <t>A man puts a tire over a machine and rotates the rime.</t>
  </si>
  <si>
    <t>Then,the man uses a tool to loose the rime, then the machine removes the rubber tire.</t>
  </si>
  <si>
    <t>After, the man takes glue and brush the tire, and then using the machine he puts the rubber tire in the rim.</t>
  </si>
  <si>
    <t>v_YDz0pyc26Ss</t>
  </si>
  <si>
    <t>Several people are outdoors, one of which is riding and performing tricks on a skateboard.</t>
  </si>
  <si>
    <t>The man goes into a group of people before another man, then another are shown going downhill on the street riding their skateboards.</t>
  </si>
  <si>
    <t>They perform several tricks and flips as they go.</t>
  </si>
  <si>
    <t>The people clap as the winner is announced.</t>
  </si>
  <si>
    <t>v_7NMds32-lMc</t>
  </si>
  <si>
    <t>Men are lifting heavy weights over their head several times.</t>
  </si>
  <si>
    <t>A man in a blue shirt is watching one of the men.</t>
  </si>
  <si>
    <t>A man in a gray shirt is mimicking the person lifting the weight.</t>
  </si>
  <si>
    <t>v_lGRZ3F7tW2c</t>
  </si>
  <si>
    <t>A large group of kids are seen practicing basketball drills on a court and passing the ball quickly to one another.</t>
  </si>
  <si>
    <t>Several boys make baskets while still speaking to one another an the coach moves in and speaks to the boys.</t>
  </si>
  <si>
    <t>He walks away and more drills are shown with the boys.</t>
  </si>
  <si>
    <t>v_Tz3OXEWBSVA</t>
  </si>
  <si>
    <t>Several close ups of plants are shown with a man walking into frame and speaking to the camera.</t>
  </si>
  <si>
    <t>The man continues to speak while pointing to the camera and begins laying out mulch to put all over the plants.</t>
  </si>
  <si>
    <t>The man continues pushing dirt around and ends by watering all the plants.</t>
  </si>
  <si>
    <t>v_YoXZfvf5Teg</t>
  </si>
  <si>
    <t>The intro is a white screen, the website on the top left,the words "Howcast original" appear and afterwards another set of words describing the lesson appear and it reads "Vibrato Beginner Violin Lessons".</t>
  </si>
  <si>
    <t>A woman named Julie Artzt Becker is holding her violin is sitting and talking in front of a blue screen.</t>
  </si>
  <si>
    <t>The woman puts the violin up to her chin and continues to talk.</t>
  </si>
  <si>
    <t>The woman then puts her fingers onto the strings and with her other hand she touches and points on her fingers on the strings as well as taking the bow to her strings every now and then.</t>
  </si>
  <si>
    <t>The woman talks throughout the entire video as she's demonstrating her movements or pointing towards her finger motions.</t>
  </si>
  <si>
    <t>Eventually the woman stops talking and ends with a smile and the words "Howcast original" appear on the white screen.</t>
  </si>
  <si>
    <t>v_nUghBtcrTPA</t>
  </si>
  <si>
    <t>Two men are fighting in an asian art form outside.</t>
  </si>
  <si>
    <t>They are taking swings and hits as well as kicks at each other throughout.</t>
  </si>
  <si>
    <t>v_9IIcG8AiUnA</t>
  </si>
  <si>
    <t>A man is standing inside a kitchen in front of a small table.</t>
  </si>
  <si>
    <t>He shows and talks about olive oil and lemon juice.</t>
  </si>
  <si>
    <t>He uses the items to clean and polish the table of scratches.</t>
  </si>
  <si>
    <t>v_7Iy7Cjv2SAE</t>
  </si>
  <si>
    <t>An intro leads into a woman using a brush to push hair off a large dog.</t>
  </si>
  <si>
    <t>She continues brushing on several other dogs and giving them pets before sitting down and petting them.</t>
  </si>
  <si>
    <t>v_GAEavSUmQRk</t>
  </si>
  <si>
    <t>A man in glasses speaks to the camera.</t>
  </si>
  <si>
    <t>He demonstrates a key around his neck and points to his trumpet.</t>
  </si>
  <si>
    <t>He attaches the key to the trumpet and continues to speak and demonstrate important features of the trumpet.</t>
  </si>
  <si>
    <t>v_PQkambF3iEk</t>
  </si>
  <si>
    <t>Two people are seen fixing up a car and changing the tires on a vehicle.</t>
  </si>
  <si>
    <t>Another man walks into frame as well as several others recording the incident.</t>
  </si>
  <si>
    <t>A person climbs into the car and drives away with everyone watching.</t>
  </si>
  <si>
    <t>v_tPZYyaX63yE</t>
  </si>
  <si>
    <t>A person is holding a red leaf blower.</t>
  </si>
  <si>
    <t>They begin to blow the leaves in the yard.</t>
  </si>
  <si>
    <t>They show the leaf blower again.</t>
  </si>
  <si>
    <t>v_6lyXvR5VtTQ</t>
  </si>
  <si>
    <t>An older man and young woman are seen spinning around a stick while the girl is blindfolded and people sitting around her watch.</t>
  </si>
  <si>
    <t>The girl then swings the stick around the air aiming for the pinata and hitting the object several times.</t>
  </si>
  <si>
    <t>She continues to swing around the air until the end when she finally hits it.</t>
  </si>
  <si>
    <t>v_qZvP5BvVbcg</t>
  </si>
  <si>
    <t>Some people are skiing down a mountain and following each other.</t>
  </si>
  <si>
    <t>They finish by going faster and faster until they finish.</t>
  </si>
  <si>
    <t>v_RWir3muDHg0</t>
  </si>
  <si>
    <t>A lot of men are standing outdoors on a dirt field and there are two teams standing along a rope while a lot of people are standing around watching them.</t>
  </si>
  <si>
    <t>The men wearing yellow and blue shirts pick up the rope and are getting in position to play tug o war.</t>
  </si>
  <si>
    <t>Suddenly the men start pulling on the rope as other men are instructing them and the spectators are cheering.</t>
  </si>
  <si>
    <t>The men in the yellow and blue shirts are easily pulling the rope and they have won while the people around them cheer.</t>
  </si>
  <si>
    <t>v_S-VSs8o98Ho</t>
  </si>
  <si>
    <t>Cigarettes are placed down on a table.</t>
  </si>
  <si>
    <t>Someone shuffles cards onto the table.</t>
  </si>
  <si>
    <t>A man pushes a broom behind them.</t>
  </si>
  <si>
    <t>They continue playing cards at the table.</t>
  </si>
  <si>
    <t>v_tCkHrK6mRME</t>
  </si>
  <si>
    <t>A video leads into several clips of a man performing tricks with a dog.</t>
  </si>
  <si>
    <t>The man continues performing tricks with the dog as the camera captures him from several angles as well as others doing tricks with their dogs.</t>
  </si>
  <si>
    <t>v_Jy8JurvYlH4</t>
  </si>
  <si>
    <t>A little girl walks into a bathroom and starts talking to the camera.</t>
  </si>
  <si>
    <t>The bathroom transforms into a factory.</t>
  </si>
  <si>
    <t>The girl picks up a toothbrush and continues to talk.</t>
  </si>
  <si>
    <t>Toothpaste is applied to a tooth brush.</t>
  </si>
  <si>
    <t>The girl brushes her teeth and the factory changes back to a bathroom.</t>
  </si>
  <si>
    <t>v_HadTAlDM5YM</t>
  </si>
  <si>
    <t>A man is speaking into a microphone.</t>
  </si>
  <si>
    <t>A man wearing a black cape is getting his beard shaved.</t>
  </si>
  <si>
    <t>A person puts a white towel over the man's face.</t>
  </si>
  <si>
    <t>He puts shaving cream on the man's face.</t>
  </si>
  <si>
    <t>He then puts a towel over the mans face again.</t>
  </si>
  <si>
    <t>He then shaves the mans beard with a razor.</t>
  </si>
  <si>
    <t>The man puts a towel on the other man's face again.</t>
  </si>
  <si>
    <t>He takes the cape off and stands up.</t>
  </si>
  <si>
    <t>v_4L0mci9CTPg</t>
  </si>
  <si>
    <t>A couple dances on a ballroom floor with people seated at tables nearby.</t>
  </si>
  <si>
    <t>People nearby take photos of the couple.</t>
  </si>
  <si>
    <t>The couple finishes and leaves the dance floor.</t>
  </si>
  <si>
    <t>v_CbQPrRwG2BM</t>
  </si>
  <si>
    <t>A young girl shows his long hair until the waist.</t>
  </si>
  <si>
    <t>Then, a hairdresser cuts short the hair of the the young girl.</t>
  </si>
  <si>
    <t>After, the girl shows her short and long hair and two braids.</t>
  </si>
  <si>
    <t>v_IjBMVPd2Rcs</t>
  </si>
  <si>
    <t>There's a person dressed in a blue track suit demonstrating how to use a rowing machine.</t>
  </si>
  <si>
    <t>He sits on the bar of the machine and secures his feet into the foot rest.</t>
  </si>
  <si>
    <t>Then he begins by pulling the rope towards his chest while straightening his legs.</t>
  </si>
  <si>
    <t>Then he continues to use the machine in back and forth motion.</t>
  </si>
  <si>
    <t>Then comes to a rest by releasing the rope and leaning backwards.</t>
  </si>
  <si>
    <t>v_uqlErIm56Jg</t>
  </si>
  <si>
    <t>A close up of a sneaker is shown followed by a person turning on a faucet and letting the water run over the shoe.</t>
  </si>
  <si>
    <t>The person then takes show polish and begins scrubbing the shoe with a toothbrush while still running it under the water.</t>
  </si>
  <si>
    <t>The person turns off the water and presents the shoe in the sink.</t>
  </si>
  <si>
    <t>v_spAlIMm8jSg</t>
  </si>
  <si>
    <t>A woman jumps onto two bars and does a gymnastics routine.</t>
  </si>
  <si>
    <t>The audience is watching her perform.</t>
  </si>
  <si>
    <t>She jumps off the bars and lands on the mat with her hands in the air.</t>
  </si>
  <si>
    <t>A replay of her performance is shown.</t>
  </si>
  <si>
    <t>Words are then shown on the screen.</t>
  </si>
  <si>
    <t>v_8ohisLftwZ4</t>
  </si>
  <si>
    <t>Two men play squash in a room.</t>
  </si>
  <si>
    <t>A player goes to find the ball and throw it to his partner.</t>
  </si>
  <si>
    <t>Then, the two men continues playing squash.</t>
  </si>
  <si>
    <t>A man pick up a ball from the floor and continues squash.</t>
  </si>
  <si>
    <t>v__ucD-3rUWWE</t>
  </si>
  <si>
    <t>Two sets of people are in the middle of the woods kayaking,in vibrant white water surrounded by large rocks.</t>
  </si>
  <si>
    <t>They begin to move to their left and fall over the first hill of large rocks and meet in the corner and begin talking.</t>
  </si>
  <si>
    <t>The second person begins to kayak and goes ferociously down the next steep hill of rocks and waits.</t>
  </si>
  <si>
    <t>Shortly after,the man in the blue jacket follows suit and comes behind them.</t>
  </si>
  <si>
    <t>Lastly,they take two pictures with the forest as back drop near a brown sign with white words reading Great Falls Overlook.</t>
  </si>
  <si>
    <t>v_W8ILh7ickB4</t>
  </si>
  <si>
    <t>The person is squeezing the lemons in the squeezer.</t>
  </si>
  <si>
    <t>The person pour the lemon into the white spray bottle and added water.</t>
  </si>
  <si>
    <t>The person spray the lemon juice in a bow and rub the bowl with sponge.</t>
  </si>
  <si>
    <t>v_0xxl3iG3VKY</t>
  </si>
  <si>
    <t>An sportsman launch a javelin in a stadium.</t>
  </si>
  <si>
    <t>The javelin flies in the air and lands in the green track, then a man runs toward it.</t>
  </si>
  <si>
    <t>The sportsman walk raising his hands and clap his hands.</t>
  </si>
  <si>
    <t>A cameraman film the athlete.</t>
  </si>
  <si>
    <t>The gymnast launch a javelin in the stadium.</t>
  </si>
  <si>
    <t>v_ir759AX1EYY</t>
  </si>
  <si>
    <t>Several pictures are shown of people shining shoes for others in various locations using rags and brushes on their shoes.</t>
  </si>
  <si>
    <t>The video continues with many more pictures being shown of people shining shoes and a man standing with an apron in the end.</t>
  </si>
  <si>
    <t>v_keFBEoBy0zY</t>
  </si>
  <si>
    <t>A door with red signs are covering it.</t>
  </si>
  <si>
    <t>A fireman runs outside carrying a board.</t>
  </si>
  <si>
    <t>He sleds down the road behind a car, going around turns and falling down a few times.</t>
  </si>
  <si>
    <t>v_JGxSaJ7XoPQ</t>
  </si>
  <si>
    <t>A girl in a purple blouse sits on a fence post as she is brushing a horse who is tied to the fence.</t>
  </si>
  <si>
    <t>The girl stands on the fence post while reaching to brush the horses mane.</t>
  </si>
  <si>
    <t>The girl continues standing on the fence post leans onto the horses back and brushes the back of the horse as she smile at the camera.</t>
  </si>
  <si>
    <t>The girl mounts onto the horses back as she continues to brush the horses neck and mane.</t>
  </si>
  <si>
    <t>The girl in the purple blouse dismounts the horse and stands on the fence post brushes the horses hind quarter.</t>
  </si>
  <si>
    <t>v_bf3ac4bkIIo</t>
  </si>
  <si>
    <t>Various pictures of ingredients are shown with text across the screen and leads into a woman washing and peeling lemons.</t>
  </si>
  <si>
    <t>She rolls the lemons on a table and cut them into halves.</t>
  </si>
  <si>
    <t>Then she juices the lemon and pours the mixture into a large pot with sugar.</t>
  </si>
  <si>
    <t>She boils the pot and pours the final result into several glasses, enjoying a sip in the end.</t>
  </si>
  <si>
    <t>v_uvnrLngXHh8</t>
  </si>
  <si>
    <t>A boar bristle brush is shown, then a video dvd of how to shave.</t>
  </si>
  <si>
    <t>A man is lying down, lather on his face while a barber shaves his beard.</t>
  </si>
  <si>
    <t>The man then lathers his head and shaves it with a straight razor as well.</t>
  </si>
  <si>
    <t>An image of the dvd is shown again.</t>
  </si>
  <si>
    <t>v_xv6h1JNMX8g</t>
  </si>
  <si>
    <t>A man and a dog are standing in a field surrounded by a group of people.</t>
  </si>
  <si>
    <t>The dog goes on and then the man is seen walking off of the field.</t>
  </si>
  <si>
    <t>However,a lady remains and her and her dog begin doing Frisbee and tricks at the Purina Dog challenge.</t>
  </si>
  <si>
    <t>v_bFm6E4cz5tM</t>
  </si>
  <si>
    <t>A man water ski on front a glacier.</t>
  </si>
  <si>
    <t>The man watch a seal and a whale in the cold water.</t>
  </si>
  <si>
    <t>The man water ski in the water holding a rope pulled by a boat.</t>
  </si>
  <si>
    <t>The man bends to pass a glacier, then he pass over an iceberg.</t>
  </si>
  <si>
    <t>A whale swim in the ocean.</t>
  </si>
  <si>
    <t>After, the man passes over an iceberg and spins, then snowboard over a big iceberg.</t>
  </si>
  <si>
    <t>The man slide from an iceberg and falls in the water, and people stand to watch an iceberg falls.</t>
  </si>
  <si>
    <t>v_8rimo9x4qqw</t>
  </si>
  <si>
    <t>A snowboarder gives a tutorial for how to hit a jump.</t>
  </si>
  <si>
    <t>A few techniques are shown in four parts.</t>
  </si>
  <si>
    <t>v_jVM8v6uJx8c</t>
  </si>
  <si>
    <t>The intro comes onto the screen introducing a video about ho to climb rocks.</t>
  </si>
  <si>
    <t>A man appears on the screen hanging from a harness to give some instructions.</t>
  </si>
  <si>
    <t>The video cuts to him climbing the wall while he continues his narration.</t>
  </si>
  <si>
    <t>The video cuts to another person in a green shirt getting help to try to climb the wall.</t>
  </si>
  <si>
    <t>The video shows a split screen with two views of a man climbing the wall.</t>
  </si>
  <si>
    <t>Then, a woman is shown trying to climb the wall.</t>
  </si>
  <si>
    <t>A warning is displayed on the screen at the end of the video.</t>
  </si>
  <si>
    <t>v_8hrRE3_sWXo</t>
  </si>
  <si>
    <t>We see the opening credits on a black screen.</t>
  </si>
  <si>
    <t>We then see a man coaching a man in a garage and talking to the camera.</t>
  </si>
  <si>
    <t>The man in gray gets on his knee on the blue mat.</t>
  </si>
  <si>
    <t>The man stands and gets on both of his knees.</t>
  </si>
  <si>
    <t>The kneeling man stands up again.</t>
  </si>
  <si>
    <t>We see a title screen and see the kneeling man holding a machine which he pulls down and out.</t>
  </si>
  <si>
    <t>He releases the cord, The credits on the video run.</t>
  </si>
  <si>
    <t>v_rBCf1qjOwCc</t>
  </si>
  <si>
    <t>litle kids are standing in front of a ouse talking to the camera and making lemonade.</t>
  </si>
  <si>
    <t>the kid opens a pot and grab sugar and poured into a cup of water, lemon juice and mix it with a spoon.</t>
  </si>
  <si>
    <t>v_XgbTh1BCciA</t>
  </si>
  <si>
    <t>A man is seen standing ready with a set of bagpipes and begins playing them for the camera.</t>
  </si>
  <si>
    <t>The man continues playing and then stops to look at the camera.</t>
  </si>
  <si>
    <t>v_XqxJsWQqKRk</t>
  </si>
  <si>
    <t>A white screen with blue and white shapes and black words flash across the screen.</t>
  </si>
  <si>
    <t>A smiling black man is in a residential kitchen and he's wearing a santa hat and pouring ingredients into a large bowl.</t>
  </si>
  <si>
    <t>A hand pushes a clear bowl filled with dark figs and a cutting board appears immediately afterwards and the instructions on the screen say to cut the stems off of 1lb of figs and quarter them.</t>
  </si>
  <si>
    <t>While the list of ingredients are shown that include: 1lb Figs, 1lb Raisins, 1lb Cherries, 1lb Currants, 1lb Prunes, Port Wine and Angostura Bitters; they are all poured into a white bucket.</t>
  </si>
  <si>
    <t>Stirring begins immediately and the instructions on the screen say to let it soak for at least two weeks to up to 30 days.</t>
  </si>
  <si>
    <t>30 days later the contents are stirred and put into a food processor and turned into a paste.</t>
  </si>
  <si>
    <t>The man greases a 10x3 round cake pan and covers it with parchment paper.</t>
  </si>
  <si>
    <t>A list and bowls of more ingredients are prepared and poured into a large metal pot and stirred vigorously.</t>
  </si>
  <si>
    <t>A large rectangular metal pan appears with instructions that say to fill it with a pan of hot water.</t>
  </si>
  <si>
    <t>The circular cake pan that was previous greased appears, and the stirred contents are poured into it and placed into the pan of hot water where they're all placed into the oven.</t>
  </si>
  <si>
    <t>When it's done baking and cooled the cake is put on a plate where it's glazed, cut and a slice is put on another plate.</t>
  </si>
  <si>
    <t>v_e_X0K2t8API</t>
  </si>
  <si>
    <t>A blindfolded man swings at a pinata with a bat while others look on from nearby seats.</t>
  </si>
  <si>
    <t>The man succeeds in breaking the pinata.</t>
  </si>
  <si>
    <t>The man removes his blindfold as some of the others approach him.</t>
  </si>
  <si>
    <t>v_WUSEdPfHPoY</t>
  </si>
  <si>
    <t>two men enter a squash court to compete in a game of squash.</t>
  </si>
  <si>
    <t>One man is wearing a white shirt and the other man is wearing a dark shirt.</t>
  </si>
  <si>
    <t>The men begin playing while the game progresses each man serves from the serving box.</t>
  </si>
  <si>
    <t>The game finishes with a hand shake and a wave to the crowd.</t>
  </si>
  <si>
    <t>A girl in a pink blouse enters the squash court as another man enters the court.</t>
  </si>
  <si>
    <t>v_AAQp3iEJxJc</t>
  </si>
  <si>
    <t>Several pictures lead into clips of people riding down a river on canoes and kayaks.</t>
  </si>
  <si>
    <t>Several people are shown riding along the rough rivers while paddling themselves along.</t>
  </si>
  <si>
    <t>The people continue to push themselves along the water while the camera follows their movements.</t>
  </si>
  <si>
    <t>v_X1pGJqP89Nk</t>
  </si>
  <si>
    <t>Women sit outside in small chairs and hand wash clothes in plastic tubs.</t>
  </si>
  <si>
    <t>The lady scrubs a garment on a wooden board.</t>
  </si>
  <si>
    <t>The lady rings out the water from a garment then tosses it aside when done washing it.</t>
  </si>
  <si>
    <t>v_18k_K9cFFJg</t>
  </si>
  <si>
    <t>A boy is skating in a parking lot.</t>
  </si>
  <si>
    <t>He does several moves, dancing and talking.</t>
  </si>
  <si>
    <t>The boy skates around the parking lot on inline skates.</t>
  </si>
  <si>
    <t>v_Z3bPr9odxpw</t>
  </si>
  <si>
    <t>A large group of people are seen walking on a stage with a man speaking to the crowd and leads into the group dancing with one another.</t>
  </si>
  <si>
    <t>The people continue dancing together as the camera captures them from several angles.</t>
  </si>
  <si>
    <t>v_l7EktV5FYGk</t>
  </si>
  <si>
    <t>The camera focuses on a man piloting a sailboat in a harbor environment.</t>
  </si>
  <si>
    <t>The boat's sail dips into the water.</t>
  </si>
  <si>
    <t>The man rights the sailboat and continues.</t>
  </si>
  <si>
    <t>v_AdnLY0a6yn0</t>
  </si>
  <si>
    <t>A man is practicing indoors, he is doing intervals of jumping while running.</t>
  </si>
  <si>
    <t>Once he lands in the sand he goes back to start again.</t>
  </si>
  <si>
    <t>He does this over and over each time starting farther back.</t>
  </si>
  <si>
    <t>Then the practice is over and it's done.</t>
  </si>
  <si>
    <t>v_qRmaZNDyDhA</t>
  </si>
  <si>
    <t>A van drives down a country road and pulls to the side of the road with a flat tire.</t>
  </si>
  <si>
    <t>The driver fumbles with a hand jack and is frustrated.</t>
  </si>
  <si>
    <t>The driver then uses an electric car jack to lift the car wheel up instead.</t>
  </si>
  <si>
    <t>The woman plugs in a an electric hand drill that and uses it to remove the lug nuts.</t>
  </si>
  <si>
    <t>The woman puts a new tire on the car and bolts it in place.</t>
  </si>
  <si>
    <t>The woman lowers the car wheel off of the jack.</t>
  </si>
  <si>
    <t>A man points to the different tools in a tool box.</t>
  </si>
  <si>
    <t>The man hooks a charger up to the car battery.</t>
  </si>
  <si>
    <t>v_iKH8FgONbVw</t>
  </si>
  <si>
    <t>A man kneel on a ball and holds a rod.</t>
  </si>
  <si>
    <t>The man push her body forward pushing the rod.</t>
  </si>
  <si>
    <t>Then, the man bring his body to a straight position, then again bring his body forward.</t>
  </si>
  <si>
    <t>v_5sdUW55eS4M</t>
  </si>
  <si>
    <t>A woman is mopping the white tiled floor with a mop.</t>
  </si>
  <si>
    <t>The woman put the mop in a green bucket, and put it in a strainer to squeeze out the excess water, then she pushed the floor map handle as she squeeze out the water and began mopping the floor, and under the chairs, side of the couch, the liquid on the floor.</t>
  </si>
  <si>
    <t>v_56sQMnSUWaI</t>
  </si>
  <si>
    <t>A black woman does a routine on the balance beam.</t>
  </si>
  <si>
    <t>She spins, jumps, twirls, and flips.</t>
  </si>
  <si>
    <t>She falls off, finishes her routine, and them dismounts to a clapping audience.</t>
  </si>
  <si>
    <t>v_CSk99DHanfg</t>
  </si>
  <si>
    <t>People on a boat suit up in scuba gear then jump into the water.</t>
  </si>
  <si>
    <t>Scuba divers swim through a cave area.</t>
  </si>
  <si>
    <t>A tropical beach is seen.</t>
  </si>
  <si>
    <t>Sea turtles graze and swim in the ocean.</t>
  </si>
  <si>
    <t>Various fish are seen swimming through the reef.</t>
  </si>
  <si>
    <t>A manta ray swims in the ocean over a reef.</t>
  </si>
  <si>
    <t>v_X1E7i3ocxKY</t>
  </si>
  <si>
    <t>A tattoo parlor is shown from the outside then inside.</t>
  </si>
  <si>
    <t>An array of tattoo choices are shown on a wall.</t>
  </si>
  <si>
    <t>An artist is shown drawing and coloring in tattoos on a piece of paper.</t>
  </si>
  <si>
    <t>v_nYxjWwJrHwk</t>
  </si>
  <si>
    <t>A group of people are gathered on a snowy hill.</t>
  </si>
  <si>
    <t>They are walking around with intertubes.</t>
  </si>
  <si>
    <t>They ride the intertubes down the snowy mountainside.</t>
  </si>
  <si>
    <t>v_zqqiiZCmPLw</t>
  </si>
  <si>
    <t>A young ballerina wearing a tutu is seen standing at a ballet barr performing various ballet moves and moving to the floor.</t>
  </si>
  <si>
    <t>She continues moving around the floor dancing and leads to her holding a razor and putting lotion on her legs.</t>
  </si>
  <si>
    <t>She shaves her legs while moving her legs around and continues dancing with the razor in sight.</t>
  </si>
  <si>
    <t>v_vZVnMzH4pkc</t>
  </si>
  <si>
    <t>A man throws a ball into a cup.</t>
  </si>
  <si>
    <t>Another man throws a ball into a cup.</t>
  </si>
  <si>
    <t>The two men pick up a cup and drink it.</t>
  </si>
  <si>
    <t>v_yacDrjVTUak</t>
  </si>
  <si>
    <t>A man is standing in front of wires and puts on a welding helmet.</t>
  </si>
  <si>
    <t>He starts to weld the corner of the room.</t>
  </si>
  <si>
    <t>The man sands the corner where he was welding.</t>
  </si>
  <si>
    <t>He continues to weld in the same corner.</t>
  </si>
  <si>
    <t>The man pushes his helmet up and replaces the wires and sands the same area again.</t>
  </si>
  <si>
    <t>He places his gloves down and shows the weld he finished.</t>
  </si>
  <si>
    <t>v_4YGuIycW_IA</t>
  </si>
  <si>
    <t>A man stands outside holding a bottle of sun screen and talking.</t>
  </si>
  <si>
    <t>He sprays the sun screen on his arm and rubs it in.</t>
  </si>
  <si>
    <t>v_pZsHrSHAOqs</t>
  </si>
  <si>
    <t>A man wearing a blue shirt throws a bowling ball down a bowling alley.</t>
  </si>
  <si>
    <t>The ball strikes both pins and bounces into the adjoining alley striking the pin down there too.</t>
  </si>
  <si>
    <t>A seated man in a red shirt shakes his head.</t>
  </si>
  <si>
    <t>The man in the blue shirt walks back.</t>
  </si>
  <si>
    <t>v_sOL5ksIFX50</t>
  </si>
  <si>
    <t>An introduction comes onto the screen for a video about the winter sport curling.</t>
  </si>
  <si>
    <t>Curlers ar shown as they take different shot and sweep down the ice.</t>
  </si>
  <si>
    <t>The video ends with the closing credits and graphics.</t>
  </si>
  <si>
    <t>v_UO9bRJmfMzI</t>
  </si>
  <si>
    <t>A man scrapes snow off of the side of a car.</t>
  </si>
  <si>
    <t>He then scrapes snow off the hood.</t>
  </si>
  <si>
    <t>He then moves to the other side to remove more snow.</t>
  </si>
  <si>
    <t>Finally he finishes clearing the car.</t>
  </si>
  <si>
    <t>v_qlP8qKtGE7U</t>
  </si>
  <si>
    <t>A little baby boy is sitting in his high chair dipping a fork into a glass of chocolate milk being held by an adult.</t>
  </si>
  <si>
    <t>The adult takes several turn dipping the fork in the cup and licking it.</t>
  </si>
  <si>
    <t>Then he pauses for a minute and starts to play with the fork.</t>
  </si>
  <si>
    <t>v_aVHmi3Kjr_Q</t>
  </si>
  <si>
    <t>A christmas tree is shown followed by several people moving in fast motion hanging up a set of lights.</t>
  </si>
  <si>
    <t>The people move all around the house up and down the ladder and end by turning off the lights to see.</t>
  </si>
  <si>
    <t>v_kI6maggAugg</t>
  </si>
  <si>
    <t>A very slow playing video of a very strong man is shown as he picks up a barbell that has a lot of heavy weights on it, and he squats for a little bit with it at his chest.</t>
  </si>
  <si>
    <t>The man then stands up and holds the barbell to his chest.</t>
  </si>
  <si>
    <t>The man then tries to hold the barbell above his head while he squats but he ends up dropping the barbell and then looks at his hands as if they failed him.</t>
  </si>
  <si>
    <t>v_e1bHYT-G__8</t>
  </si>
  <si>
    <t>A special effect bowling theme intro appears and the text in the middle read "CHRIS HARDWICK'S ALL STAR Celebrity Bowling".</t>
  </si>
  <si>
    <t>There are four men posing in a bowling alley, all are wearing yellow shirts and their team name text say's "nerdist".</t>
  </si>
  <si>
    <t>A group of 4 people appear next and there are 3 men and 1 woman and the team name text say's "WWE Superstars".</t>
  </si>
  <si>
    <t>Clips begin to play and it includes various people bowling, talking, demonstrating bowling, giving interviews, hanging out, laughing, playing around, shaving facial hair, doing pushups, eating, feeding one another and etcetera.</t>
  </si>
  <si>
    <t>Large yellow words on the screen appear and it say's "Team Nerdist Wins!" and the entire team gets up and celebrates.</t>
  </si>
  <si>
    <t>A nerdist team member happily speaks into the camera, and then unhappy member from another team unhappily speaks to the camera.</t>
  </si>
  <si>
    <t>v_q-mpNUe0JNo</t>
  </si>
  <si>
    <t>We see a title card on a black screen.</t>
  </si>
  <si>
    <t>It changes to skateboarding performing tricks.</t>
  </si>
  <si>
    <t>We see a photographer taking pictures.</t>
  </si>
  <si>
    <t>A man jumps a fire hydrant.</t>
  </si>
  <si>
    <t>We see a man jump over stairs up close.</t>
  </si>
  <si>
    <t>A man rides with lots of cameras flashing.</t>
  </si>
  <si>
    <t>The camera slows down and the scene ends.</t>
  </si>
  <si>
    <t>We see a black screen and credits.</t>
  </si>
  <si>
    <t>v_U6Xnw2RGjsI</t>
  </si>
  <si>
    <t>A young man pumps up and down kneeling on both legs.</t>
  </si>
  <si>
    <t>The student jumps up from the kneeling position and lands on top of a stack of mat then lands on the ground.</t>
  </si>
  <si>
    <t>v_HIIUd1osd_I</t>
  </si>
  <si>
    <t>People and dogs are walking down a trail.</t>
  </si>
  <si>
    <t>Pink flowers on a bush are shown.</t>
  </si>
  <si>
    <t>People are walking dogs on leashes down a street.</t>
  </si>
  <si>
    <t>v_ojVY8I3GPa4</t>
  </si>
  <si>
    <t>A bull is in a ring, looking at the bullfighters on the outside.</t>
  </si>
  <si>
    <t>A bunch of fighters walk up behind it.</t>
  </si>
  <si>
    <t>They begin to fight with the bull, sometimes pulling his tail and waving the cape in front of him to make him charge.</t>
  </si>
  <si>
    <t>v_EsGpVb1-W0E</t>
  </si>
  <si>
    <t>A man is seen speaking to the camera while holding a tennis racket and begins hitting the ball against the wall.</t>
  </si>
  <si>
    <t>He continues speaking to the camera and transitions to him hitting the ball.</t>
  </si>
  <si>
    <t>v_eQ9cmxPKvT8</t>
  </si>
  <si>
    <t>A man in a gray sweat shirt is standing at a bus stop.</t>
  </si>
  <si>
    <t>He starts roller blading down a street and doing tricks.</t>
  </si>
  <si>
    <t>The man is skating backwards.</t>
  </si>
  <si>
    <t>v_r7E7cVoJ0JE</t>
  </si>
  <si>
    <t>A man in black pants is standing on a roof and nailing a long shingle onto the roof.</t>
  </si>
  <si>
    <t>A man in blue shorts appears on the right and is also nailing long shingles on the roof.</t>
  </si>
  <si>
    <t>The zoom goes in on the an wearing long black pants and he's nailing shingles onto the outside perimeter of the roof.</t>
  </si>
  <si>
    <t>v_AYhduTuI_zM</t>
  </si>
  <si>
    <t>A woman is seen playing a flute while a man speaks into a microphone and two people play the piano behind her.</t>
  </si>
  <si>
    <t>The woman pauses to speak to the man and the man takes the flute from her and plays.</t>
  </si>
  <si>
    <t>The man hands her back the flute to play and ends by still speaking to her.</t>
  </si>
  <si>
    <t>v_UCZGbQFg6io</t>
  </si>
  <si>
    <t>An athletic man is seen running down a track into a pit.</t>
  </si>
  <si>
    <t>Several more people are seen running down the track into a pit.</t>
  </si>
  <si>
    <t>One after another more people jump.</t>
  </si>
  <si>
    <t>v_9bFevj6bomQ</t>
  </si>
  <si>
    <t>A news anchor in white coat is talking in front of the camera.</t>
  </si>
  <si>
    <t>The player kicked the ball and hit the goal.</t>
  </si>
  <si>
    <t>Two players in the court started to argue and pushed each other and fight, one of the player threw the ball to the other person, the players started to chase and pushed each other, then team in blue uniforms walked away.</t>
  </si>
  <si>
    <t>Team in white uniforms stayed at the court and cheered.</t>
  </si>
  <si>
    <t>v_sN1MPx9hb1I</t>
  </si>
  <si>
    <t>An intro is shown of a woman knitting with her hands while various pictures of cats are shown in the background.</t>
  </si>
  <si>
    <t>Text on how to knit appears while her hands continue moving to demonstrate how to properly knit.</t>
  </si>
  <si>
    <t>v_SH0t2-GgwiQ</t>
  </si>
  <si>
    <t>A woman talks and lie down on the floor, then she bend her legs and lift both.</t>
  </si>
  <si>
    <t>Then, the woman lifts the two legs straight.</t>
  </si>
  <si>
    <t>After, the woman lifts only one leg and the other leg rest bend on the floor.</t>
  </si>
  <si>
    <t>v_JY-H1u1hJZw</t>
  </si>
  <si>
    <t>The little boy sits in the blue kayak holding paddles.</t>
  </si>
  <si>
    <t>Then someone else is shown paddling in the water and there are people standing on shore.</t>
  </si>
  <si>
    <t>The camera turns around a few times to show the trees and the sky.</t>
  </si>
  <si>
    <t>v_0z_dyY_89ys</t>
  </si>
  <si>
    <t>A female news woman is talking to the camera in a news room.</t>
  </si>
  <si>
    <t>Another woman shows off a series of cleaning supplies.</t>
  </si>
  <si>
    <t>She instructs on how to use them, but not to mix certain elements.</t>
  </si>
  <si>
    <t>She pours the liquids into cups and changes into a sprayer bottle for cleaning a kitchen.</t>
  </si>
  <si>
    <t>v_lmYmYYXs1mo</t>
  </si>
  <si>
    <t>A man is standing at a counter with a Smith knife.</t>
  </si>
  <si>
    <t>He demonstrates how to sharpen the knife.</t>
  </si>
  <si>
    <t>He pours oil on the sharpening tool and runs the knife over it.</t>
  </si>
  <si>
    <t>He cleans the tool and puts it away.</t>
  </si>
  <si>
    <t>v_YnFDzvuDJSQ</t>
  </si>
  <si>
    <t>A woman in red is standing beside a table explaining some things.</t>
  </si>
  <si>
    <t>she puts her hand on the christmas tree and talks some more about it.</t>
  </si>
  <si>
    <t>She grabs some red ribbon and begins to tie into a bow.</t>
  </si>
  <si>
    <t>She then goes to place it on to the christmas tree and continues to speak about it.</t>
  </si>
  <si>
    <t>v_MIAhrxkYadk</t>
  </si>
  <si>
    <t>Hair styling tools are shown in closeup.</t>
  </si>
  <si>
    <t>A woman walks down a street an into a salon.</t>
  </si>
  <si>
    <t>The woman interacts with a man in the salon.</t>
  </si>
  <si>
    <t>The man and woman look at pictures of hairstyles together.</t>
  </si>
  <si>
    <t>Scenes of the woman with her hair being cut and styled are shown.</t>
  </si>
  <si>
    <t>The man and woman interact as they examine her new style.</t>
  </si>
  <si>
    <t>A closeup of hair on the floor is shown.</t>
  </si>
  <si>
    <t>v_e5e16U5hnzY</t>
  </si>
  <si>
    <t>A man and women are talking to a camera and the girl demonstrates on how to properly hold a discuss.</t>
  </si>
  <si>
    <t>Secondly she shows the proper stance of throwing the item and throws the discuss how into the air.</t>
  </si>
  <si>
    <t>She demonstrates bending down and spinning with the disk and does one throw full out.</t>
  </si>
  <si>
    <t>The man then tries to throw how the woman did and attempts to throw more and get better.</t>
  </si>
  <si>
    <t>v_Epl3pExUuNs</t>
  </si>
  <si>
    <t>People are sitting in bumper cars crashing into each other.</t>
  </si>
  <si>
    <t>They stop and get out of the cars.</t>
  </si>
  <si>
    <t>A boy in a white shirt walks out with a boy in a blue shirt.</t>
  </si>
  <si>
    <t>v_sUrqd6Qn8Qw</t>
  </si>
  <si>
    <t>A woman is seen sitting on a piece of exercise equipment with her arms and legs strapped in.</t>
  </si>
  <si>
    <t>The woman is seen moving back and fourth on the machine while looking forward.</t>
  </si>
  <si>
    <t>The woman continues to move on the machine while the camera watches her movements.</t>
  </si>
  <si>
    <t>v_u0PEB9bXWpY</t>
  </si>
  <si>
    <t>A lady shows off her fingernails.</t>
  </si>
  <si>
    <t>The lady puts drops of white paint on her finger nails.</t>
  </si>
  <si>
    <t>The lady uses a toothpick and drags it through the white paint.</t>
  </si>
  <si>
    <t>She doe another fingernail with the same process.</t>
  </si>
  <si>
    <t>The lady shows us the flower designs on her nails.</t>
  </si>
  <si>
    <t>v_Mgy7IRETxSk</t>
  </si>
  <si>
    <t>The marching bands are in positioned in the field.</t>
  </si>
  <si>
    <t>Then The band started to play their instruments.</t>
  </si>
  <si>
    <t>The ladies with flags moved their flags up and down and rotate them as the band plays.</t>
  </si>
  <si>
    <t>v_uYqNIBbz4_Q</t>
  </si>
  <si>
    <t>A man is seen standing outside holding a rope and tying it around a tree bark.</t>
  </si>
  <si>
    <t>He then axes the log on the ground and breaks it into two.</t>
  </si>
  <si>
    <t>v_sWEbq5Ry63Q</t>
  </si>
  <si>
    <t>A man is shown point to a bicycle tire and cutting a piece of wire using pliers.</t>
  </si>
  <si>
    <t>He then moves to bars around and spinning the wheel followed by a stick pressing against the tire.</t>
  </si>
  <si>
    <t>He pushes a tube into the tire and adjusts the wires using a device.</t>
  </si>
  <si>
    <t>He tests the wheel out thoroughly and assures the bike is ready to go.</t>
  </si>
  <si>
    <t>v_HKkzII7ap7E</t>
  </si>
  <si>
    <t>A woman is talking to a camera.</t>
  </si>
  <si>
    <t>She picks up a flute and starts playing.</t>
  </si>
  <si>
    <t>She puts the flue down on her lap and continues talking.</t>
  </si>
  <si>
    <t>She puts the flute back up to her mouth and continues to play.</t>
  </si>
  <si>
    <t>She puts the flute back down and nods her head.</t>
  </si>
  <si>
    <t>She puts the flute back up to her lips and plays.</t>
  </si>
  <si>
    <t>v_8UvKQnfXnCk</t>
  </si>
  <si>
    <t>A person is water skiing behind a boat.</t>
  </si>
  <si>
    <t>Another boat is seen in the water behind them.</t>
  </si>
  <si>
    <t>They are going around yellow cones in the water.</t>
  </si>
  <si>
    <t>v_etWdTMJ9_To</t>
  </si>
  <si>
    <t>A man is seen walking down a field followed by several people running back and fourth.</t>
  </si>
  <si>
    <t>The men throw the ball around the yard and continue to run up and down on the grass.</t>
  </si>
  <si>
    <t>v_M0cKfbLMlSA</t>
  </si>
  <si>
    <t>Two pairs of men are getting ready to box.</t>
  </si>
  <si>
    <t>Both pairs of men are seen boxing.</t>
  </si>
  <si>
    <t>Another pair of men are seen talking and gesturing about boxing in the distance.</t>
  </si>
  <si>
    <t>The main pair of boxers take a short break.</t>
  </si>
  <si>
    <t>All groups stop boxing and begin to talk.</t>
  </si>
  <si>
    <t>One of the men begins hanging on a rope and swinging forwards and backwards.</t>
  </si>
  <si>
    <t>v_bCtiTOEf9KI</t>
  </si>
  <si>
    <t>A woman dressed in a black tank top and black tights is doing stomach crunches on a mat.</t>
  </si>
  <si>
    <t>She is exercising on a hardwood floor in the gym.</t>
  </si>
  <si>
    <t>She continues doing her stomach crunches.</t>
  </si>
  <si>
    <t>v_bW4AfWvteIo</t>
  </si>
  <si>
    <t>An intro leads into a close up of a fooseball table and panning around several specs of the table.</t>
  </si>
  <si>
    <t>Two people are seen playing with one another while the camera shows the table in several spots and the boys high fiving one another.</t>
  </si>
  <si>
    <t>v_NNuIaUFYGCE</t>
  </si>
  <si>
    <t>Various pictures of people painting are shown using several tools on hard walls.</t>
  </si>
  <si>
    <t>More pictures are shown of people plastering with various text images shown inside.</t>
  </si>
  <si>
    <t>v_YCHmXwLhs3A</t>
  </si>
  <si>
    <t>A man is assembling a bike on a table.</t>
  </si>
  <si>
    <t>He is putting training wheels on the back wheel of the bike.</t>
  </si>
  <si>
    <t>He puts the front tire on the bike.</t>
  </si>
  <si>
    <t>He puts the handlebars on the bike.</t>
  </si>
  <si>
    <t>He puts the pedals onto the bike.</t>
  </si>
  <si>
    <t>He puts the seat onto the bike.</t>
  </si>
  <si>
    <t>v_kYrztBFfaZ8</t>
  </si>
  <si>
    <t>A man swings a baseball bat.</t>
  </si>
  <si>
    <t>He hits a ball and it goes onto a roof.</t>
  </si>
  <si>
    <t>A man is running and throwing a ball.</t>
  </si>
  <si>
    <t>v_XZ1IuZjsk8A</t>
  </si>
  <si>
    <t>A woman is pouring shots of alcohol into a glass of ice.</t>
  </si>
  <si>
    <t>She shakes the glass and sets it down.</t>
  </si>
  <si>
    <t>She then pours it into another glass and sticks a straw in it.</t>
  </si>
  <si>
    <t>She holds up the drink while talking.</t>
  </si>
  <si>
    <t>v_p8uTRV3u3JM</t>
  </si>
  <si>
    <t>Two groups of men wearing uniforms, one with dark shirts and one with white shirts, are playing on an indoor volleyball court.</t>
  </si>
  <si>
    <t>The man in the darker jersey wearing number 17 dives to the ground to save the ball.</t>
  </si>
  <si>
    <t>A team member wearing a dark shirt spikes the ball but it goes out of bounds and the team with the lighter shirts cheer on while the guy who spiked the ball out of bounds bends over in disappointment.</t>
  </si>
  <si>
    <t>v_QuU6I9w1btI</t>
  </si>
  <si>
    <t>Two vacuums one taller and one is shorter is show.</t>
  </si>
  <si>
    <t>The vacuum is being use on the carpet, wooden floor, on the corner, under the table and on the side of the trash can and then the carpet.</t>
  </si>
  <si>
    <t>A hand is pulling out a tube, used the tube to vacuum the stairs and the corner of the ceiling, then a hand took out the tube and threw away the dust from the transparent tube.</t>
  </si>
  <si>
    <t>A woman is carrying the vacuum and put it in the storage.</t>
  </si>
  <si>
    <t>A woman is walking at the factory, then a person is drawing the vacuum in a white sheet.</t>
  </si>
  <si>
    <t>v_Cdiv-IzHcjQ</t>
  </si>
  <si>
    <t>A person irons a brown paper.</t>
  </si>
  <si>
    <t>The person flips the iron around and continues ironing.</t>
  </si>
  <si>
    <t>The peels the ironed paper off and lays it down.</t>
  </si>
  <si>
    <t>The person leaves the iron on a new brown paper.</t>
  </si>
  <si>
    <t>v_SbY68ygmuEA</t>
  </si>
  <si>
    <t>A crowd watches as several runners in a race jog past.</t>
  </si>
  <si>
    <t>They all keep jogging, coming in at the end of the race.</t>
  </si>
  <si>
    <t>v_m7cHlmcFk9Y</t>
  </si>
  <si>
    <t>A cat is in a woman's lap in the bathroom.</t>
  </si>
  <si>
    <t>She pulls a towel over the cat's head.</t>
  </si>
  <si>
    <t>She then gently tries to clip his claws one at a time.</t>
  </si>
  <si>
    <t>v_D9EQ6jCH0_M</t>
  </si>
  <si>
    <t>A woman is scrubbing a white chair with a yellow sponge.</t>
  </si>
  <si>
    <t>She is now pouring something onto a rag and washing a white table.</t>
  </si>
  <si>
    <t>She is spray painting the chair and table she just washed.</t>
  </si>
  <si>
    <t>The finished furniture is shown.</t>
  </si>
  <si>
    <t>v_Exu0qsz42fQ</t>
  </si>
  <si>
    <t>A young child is sitting playing on a drum set.</t>
  </si>
  <si>
    <t>Using his foot for the base and drumming on the snare like a natural.</t>
  </si>
  <si>
    <t>A woman is on a piano playing along with the child.</t>
  </si>
  <si>
    <t>They have a small audience sitting and watching them perform.</t>
  </si>
  <si>
    <t>v_Fdjw9ld-hbA</t>
  </si>
  <si>
    <t>A man dressed in a blue uniform is fighting against a male dressed in an all red uniform.</t>
  </si>
  <si>
    <t>The man in the red,picks him up and drops him down on the wrestling match.</t>
  </si>
  <si>
    <t>After,the referee drops down and pounds the mat counting down the end of the match.</t>
  </si>
  <si>
    <t>v_FLbTQGyoEMk</t>
  </si>
  <si>
    <t>A young woman speaks as she smiles.</t>
  </si>
  <si>
    <t>She squeezes the side of her right eye and pokes out a contact lens.</t>
  </si>
  <si>
    <t>She moves on to her left eye and pokes out a contact lens.</t>
  </si>
  <si>
    <t>v_rDADR0Lg4U8</t>
  </si>
  <si>
    <t>A group of female players walk onto a court behind their coach.</t>
  </si>
  <si>
    <t>They engage in a lacrosse game, fighting over the ball with their bats.</t>
  </si>
  <si>
    <t>The girls celebrate their win with flowers and hugs.</t>
  </si>
  <si>
    <t>v_YwUW6Qh_5TA</t>
  </si>
  <si>
    <t>A gymnast is seen standing with his arms out and hops on a board.</t>
  </si>
  <si>
    <t>He then begins spinning himself around while judges watch on the sides.</t>
  </si>
  <si>
    <t>He continues his routine and jumps down with his arms up.</t>
  </si>
  <si>
    <t>v_ZREM_AcXHX8</t>
  </si>
  <si>
    <t>A new segment leads into clips of a woman speaking to the camera and holding up a bow and arrow.</t>
  </si>
  <si>
    <t>The girl shoots the bow while still speaking to the camera and bending the bow.</t>
  </si>
  <si>
    <t>She continues speaking while using her hands and showing off pictures to the camera.</t>
  </si>
  <si>
    <t>v_XGj9lakgSic</t>
  </si>
  <si>
    <t>A girl dances as she sits in a booth.</t>
  </si>
  <si>
    <t>The girl mixes ingredients together in a pot.</t>
  </si>
  <si>
    <t>The girl adds dried ingredients to the pot.</t>
  </si>
  <si>
    <t>The girl adds tomato and eggs from a plate to the pot.</t>
  </si>
  <si>
    <t>The girls waves goodbye and leans back on the booth.</t>
  </si>
  <si>
    <t>v_iXLXRHHFp60</t>
  </si>
  <si>
    <t>There's a brown horse tied outside a polo club.</t>
  </si>
  <si>
    <t>There are several jockeys playing polo on the field in an event.</t>
  </si>
  <si>
    <t>There are also several spectators standing and watching the event.</t>
  </si>
  <si>
    <t>One of the polo players is trotting on the horse across the field.</t>
  </si>
  <si>
    <t>Another game of polo takes place where several spectators are watching.</t>
  </si>
  <si>
    <t>After the event is over, the judge hands awards to the winners.</t>
  </si>
  <si>
    <t>There's a British flag flying high in the field.</t>
  </si>
  <si>
    <t>v_OsiES8BiRac</t>
  </si>
  <si>
    <t>A belly dancer walks onto the stage from behind the curtains.</t>
  </si>
  <si>
    <t>The belly dancer dances on stage shaking her hips and body.</t>
  </si>
  <si>
    <t>The belly dancer spins in circles during the performance.</t>
  </si>
  <si>
    <t>The dancers turns with her back to the audience and dances.</t>
  </si>
  <si>
    <t>The dancer bows at the end of the performance.</t>
  </si>
  <si>
    <t>v_aXXes0e-eM0</t>
  </si>
  <si>
    <t>two kids are in a litle car watching a little kid holding a pole hitting a lightning mcqueen piñata.</t>
  </si>
  <si>
    <t>people are gathered around the little kid.</t>
  </si>
  <si>
    <t>v_tDG8VoRQTuM</t>
  </si>
  <si>
    <t>There are two people talking about stilts used by stunt men.</t>
  </si>
  <si>
    <t>They are standing on a street near several clubs and restaurants.</t>
  </si>
  <si>
    <t>One of the men is demonstrating how the stilts are used in stunts.</t>
  </si>
  <si>
    <t>Henry, the guy dressed in the white shirt is showing how high he can jump with the stilts and perform stunts.</t>
  </si>
  <si>
    <t>He shows numerous tricks on how he jumps up high and over benches and tables.</t>
  </si>
  <si>
    <t>He shows how he uses the Power Riser jumping skills on the streets and in the park.</t>
  </si>
  <si>
    <t>v_l7rzaG3aDyw</t>
  </si>
  <si>
    <t>A woman is seen performing a belly dancing routine on a stage with flowers hanging in the background.</t>
  </si>
  <si>
    <t>She continues performing her routine and ends by spinning around and posing.</t>
  </si>
  <si>
    <t>v_MNduaJtXy1A</t>
  </si>
  <si>
    <t>A large group of people are seen standing around and smiling to one another.</t>
  </si>
  <si>
    <t>They begin playing a set of drums while another man is seen playing the piano.</t>
  </si>
  <si>
    <t>More people are seen on the sides dancing to the music.</t>
  </si>
  <si>
    <t>v_drjYCuezfA8</t>
  </si>
  <si>
    <t>A woman in white shirt is standing next to a metal sink, she take out two white plates, silver container, strainer, spoons, and placed it on the metal container next to the sink.</t>
  </si>
  <si>
    <t>She then take a pan in the sink, put water, put liquid soap in a sponge, rub it on the plates, lid, container, spoons.</t>
  </si>
  <si>
    <t>She wiped the counter with her hand, then placed a green basket, rinse the plates, lid, container, pan, and put them in the basket.</t>
  </si>
  <si>
    <t>v_Aqx7rM9gZgg</t>
  </si>
  <si>
    <t>A woman in a blue shirt stands next to a brown horse.</t>
  </si>
  <si>
    <t>She holds onto the horses red lead.</t>
  </si>
  <si>
    <t>She is brushing the side of the horse.</t>
  </si>
  <si>
    <t>She steps away from the horse and bends down.</t>
  </si>
  <si>
    <t>She picks up a larger brush and begins brushing the horse again.</t>
  </si>
  <si>
    <t>She is brushing the horses face and neck.</t>
  </si>
  <si>
    <t>She is brushing the horses front leg in a downward motion.</t>
  </si>
  <si>
    <t>v_SXRSA62VbZg</t>
  </si>
  <si>
    <t>A tattoo salon has displayed a metallic blue motor cycle.</t>
  </si>
  <si>
    <t>there's a person sitting on the counter of the salon.</t>
  </si>
  <si>
    <t>A customer walks in and gives a child's picture to the tattoo artist.</t>
  </si>
  <si>
    <t>The tattoo artist traces the child's picture on a paper.</t>
  </si>
  <si>
    <t>Then he cleans the client's arms with alcohol.</t>
  </si>
  <si>
    <t>The artist wears a pair of latex gloves and begins tattooing the client's arm.</t>
  </si>
  <si>
    <t>He replicates the image traced from the picture on the client's arm along with some additional designs.</t>
  </si>
  <si>
    <t>He then takes a picture of the client's tattooed arm on a cellphone.</t>
  </si>
  <si>
    <t>v_kLflIBGCNrc</t>
  </si>
  <si>
    <t>A large group of people are seen swimming around a pool playing a game while the video pauses to show off players.</t>
  </si>
  <si>
    <t>The camera continues to pan around the players swimming all around the pool throwing a ball and others reacting on the sidelines.</t>
  </si>
  <si>
    <t>v_qAMf2UUH1xI</t>
  </si>
  <si>
    <t>A person jumps in the ocean and we see them being pulled on a line.</t>
  </si>
  <si>
    <t>We see divers underwater and see sealife and people on boats.</t>
  </si>
  <si>
    <t>A person with a camera on their head jumps from the boat into the water.</t>
  </si>
  <si>
    <t>Two men wave and we see sealife including a dolphin swimming next to the boat.</t>
  </si>
  <si>
    <t>A lady pretends to beat a man up by hitting him in the head while underwater.</t>
  </si>
  <si>
    <t>v_d7gTlJhEwrM</t>
  </si>
  <si>
    <t>A woman in a pink shirt sprints down a track and jumps into sand.</t>
  </si>
  <si>
    <t>A replay of her jump is shown several times.</t>
  </si>
  <si>
    <t>She walks away onto the grass.</t>
  </si>
  <si>
    <t>v_Fde_qSwXRzY</t>
  </si>
  <si>
    <t>Two boy scouts are seen standing and speaking to a large group of people and attempting to light a match.</t>
  </si>
  <si>
    <t>One cups his hands and creates a flame using oxygen and puts the flame into a pit.</t>
  </si>
  <si>
    <t>v_oZgyW8Yca_M</t>
  </si>
  <si>
    <t>A woman at a beach talks to the camera.</t>
  </si>
  <si>
    <t>The camera pans back and forth to show activity other beachgoers' activity around the woman.</t>
  </si>
  <si>
    <t>The woman dumps a bucket of sand on the beach.</t>
  </si>
  <si>
    <t>The woman combines sand and water in a bucket.</t>
  </si>
  <si>
    <t>The woman dumps the mixture out on the beach.</t>
  </si>
  <si>
    <t>v_-wcSkAAeOK8</t>
  </si>
  <si>
    <t>A woman is seen speaking to the camera while standing in front of an exercise bike.</t>
  </si>
  <si>
    <t>The woman continues speaking and begins climbing onto the bike.</t>
  </si>
  <si>
    <t>She spins herself around on the bike while sitting and standing and the camera panning around the girl.</t>
  </si>
  <si>
    <t>v_tLxv2E7gj5c</t>
  </si>
  <si>
    <t>Two people are seen running inside an indoor closed room and hitting a tennis ball around with rackets.</t>
  </si>
  <si>
    <t>The men continue running around hitting the ball off the wall.</t>
  </si>
  <si>
    <t>v_rmMCA60HqZ0</t>
  </si>
  <si>
    <t>A fat women and a thin woman talk face to face in a beauty salon.</t>
  </si>
  <si>
    <t>The fat woman talks and the thin woman wash and puts cream to her face.</t>
  </si>
  <si>
    <t>Then, the fat woman pass a device over the face of the thin woman.</t>
  </si>
  <si>
    <t>v_72PUOTjZpQU</t>
  </si>
  <si>
    <t>A large group of people are seen standing in a gymnasium with two people in front.</t>
  </si>
  <si>
    <t>The group then begins dancing with one another and leads into another large group of people.</t>
  </si>
  <si>
    <t>People are seen speaking to the camera and leads into them jumping up in the end.</t>
  </si>
  <si>
    <t>v_fqWjjWqsJPU</t>
  </si>
  <si>
    <t>A man speaks to the camera which follows an intro screen to him skating.</t>
  </si>
  <si>
    <t>He continues talking to the camera and performing various tricks on his board throughout the area.</t>
  </si>
  <si>
    <t>v_jEGTpBJrD4s</t>
  </si>
  <si>
    <t>This man is shown playing one drum in the beginning of the video and he says a few words.</t>
  </si>
  <si>
    <t>Then a man sits next to him and starts to play his guitar and the other man slowly joins to start playing the drums.</t>
  </si>
  <si>
    <t>The man who is sitting next to the man playing the drums is not only playing the guitar, but he's singing too.</t>
  </si>
  <si>
    <t>v_8eMjzrhxv2U</t>
  </si>
  <si>
    <t>We see a man walking on the ice.</t>
  </si>
  <si>
    <t>He moves a stick and pulls a fishing line out of a hole.</t>
  </si>
  <si>
    <t>The man pulls a fish out of the hole.</t>
  </si>
  <si>
    <t>He picks the fish up and shows us the fish.</t>
  </si>
  <si>
    <t>The man then throws the fish back into the hole.</t>
  </si>
  <si>
    <t>v_tzsgg_o6xHo</t>
  </si>
  <si>
    <t>A woman in man in black clothing stand in together and discuss a routine.</t>
  </si>
  <si>
    <t>The woman begins dancing and goes in a circle a few times while the man watches.</t>
  </si>
  <si>
    <t>The woman continues discussing the routine then holds hands with her partner and they begin dancing together.</t>
  </si>
  <si>
    <t>v_8ATFQNEWHL0</t>
  </si>
  <si>
    <t>A woman is talking about how to make a salad.</t>
  </si>
  <si>
    <t>She breaks up the lettuce into smaller parts.</t>
  </si>
  <si>
    <t>v_XxM72xEvsjE</t>
  </si>
  <si>
    <t>A man and young child are seen pushing a lawn mower across the yard while the boy smiles to the camera.</t>
  </si>
  <si>
    <t>The man and boy continue to push the lawn mower along the yard while stopping to look at the camera.</t>
  </si>
  <si>
    <t>v_XThYcZoFMMs</t>
  </si>
  <si>
    <t>All the ingredients you need to make butter cake are on the counter, someone is pointing at each ingredient and starts grabbing them.</t>
  </si>
  <si>
    <t>They use a mixer to mix some of the ingredients together.</t>
  </si>
  <si>
    <t>They add the eggs in one by one while the mixer is still mixing and then they turn it off and add some more in.</t>
  </si>
  <si>
    <t>They use a pan and and put a bottom in it and scoop out the mixture into it before finally getting ready to put it into the oven to bake.</t>
  </si>
  <si>
    <t>v_Y_dtU10XIsg</t>
  </si>
  <si>
    <t>A close up of a crack is seen.</t>
  </si>
  <si>
    <t>A woman is outside, shoveling snow.</t>
  </si>
  <si>
    <t>A dog wags his tail as he tries to help.</t>
  </si>
  <si>
    <t>v_ZUZ7EVzHS5E</t>
  </si>
  <si>
    <t>A group of men are outside in a large field on horses playing a game of polo.</t>
  </si>
  <si>
    <t>Player number three takes the ball all the way to the end of the field and he is then trailed by four other people.</t>
  </si>
  <si>
    <t>Once they leave the end of the field,they all begin trotting back to the middle by the referee on a horse.</t>
  </si>
  <si>
    <t>v_RAmQyeaBu-k</t>
  </si>
  <si>
    <t>Several shots are shown of signs and landscapes and leads into a person tying a rope.</t>
  </si>
  <si>
    <t>Several people are seen wandering around and smiling to the camera as well as climbing up a rock.</t>
  </si>
  <si>
    <t>More people are seen climbing up the rock as well as a man climbing down.</t>
  </si>
  <si>
    <t>v_QLbWA54l1Sg</t>
  </si>
  <si>
    <t>The two people hold out hands to begin an arm wrestling match.</t>
  </si>
  <si>
    <t>The women compete in an arm wrestling match seated at a table.</t>
  </si>
  <si>
    <t>The women switch hands and and arm wrestle with their left hands.</t>
  </si>
  <si>
    <t>The women have a rematch with their dominate hands.</t>
  </si>
  <si>
    <t>The two athletes flex their arms.</t>
  </si>
  <si>
    <t>v_j1oB2NAlYsQ</t>
  </si>
  <si>
    <t>There is a diver wearing yellow swim trunks is diving from a diving board in an indoor swimming pool.</t>
  </si>
  <si>
    <t>He jumps off of the diving board several times as some other people are leisurely swimming in the pool.</t>
  </si>
  <si>
    <t>He does the backward and forward diving moves as another young man watches him dive right into the pool.</t>
  </si>
  <si>
    <t>Then another young man dives from the same diving board.</t>
  </si>
  <si>
    <t>They both do the forward diving move.</t>
  </si>
  <si>
    <t>Another diver goes up much higher and dives right into to pool.</t>
  </si>
  <si>
    <t>v_HPyLSmDjsHY</t>
  </si>
  <si>
    <t>A young girl is seen sitting in front of a camera and presents various nail objects to the camera.</t>
  </si>
  <si>
    <t>She then begins painting all her nails thoroughly and ends the video with various pictures of her and her nails.</t>
  </si>
  <si>
    <t>v_2Vf8yqNHaGM</t>
  </si>
  <si>
    <t>A little boy in a yellow shirt is holding a yellow ruffled stick.</t>
  </si>
  <si>
    <t>He tries to hit the Batman pinata hanging, he missed then he hit him, he go around the pinata to hit it.</t>
  </si>
  <si>
    <t>v_q-FOdt9a7Js</t>
  </si>
  <si>
    <t>A person is pushing a snow plow through snow.</t>
  </si>
  <si>
    <t>They are clearing a path down a sidewalk.</t>
  </si>
  <si>
    <t>A white car dives by on the street.</t>
  </si>
  <si>
    <t>v_0fNBm46reNg</t>
  </si>
  <si>
    <t>A small group of people are seen pulling mulch into a bin when another is seen raking around the tree.</t>
  </si>
  <si>
    <t>They continue to scrape out of the mulch while measuring out the area and leads into one cutting the grass around the tree.</t>
  </si>
  <si>
    <t>They lay out more dirt evenly while some are grabbing bags behind them.</t>
  </si>
  <si>
    <t>v_Flh-37A4HWY</t>
  </si>
  <si>
    <t>A person holds a coffee mug in a pool of koi.</t>
  </si>
  <si>
    <t>The koi swim towards the coffee mug.</t>
  </si>
  <si>
    <t>v_IZCzbslH8jo</t>
  </si>
  <si>
    <t>A woman is on a court playing with a stick.</t>
  </si>
  <si>
    <t>She hits a ball on the court.</t>
  </si>
  <si>
    <t>She demonstrates how to swing and hit the ball.</t>
  </si>
  <si>
    <t>v_hUzsmIWojH0</t>
  </si>
  <si>
    <t>A man runs up to a beam and jumps over it several times.</t>
  </si>
  <si>
    <t>He makes at least six attempts.</t>
  </si>
  <si>
    <t>v_TPu-vPWJtIA</t>
  </si>
  <si>
    <t>Women in leotards dance together in a line.</t>
  </si>
  <si>
    <t>Women jump into the pool.</t>
  </si>
  <si>
    <t>Women synchronize dance in the pool.</t>
  </si>
  <si>
    <t>Announcers talk to the camera.</t>
  </si>
  <si>
    <t>Men in the side of pool talk.</t>
  </si>
  <si>
    <t>Man in yellow talks to the camera.</t>
  </si>
  <si>
    <t>Man in pink leotard jumps out of the pool.</t>
  </si>
  <si>
    <t>v_cRTsarldNlc</t>
  </si>
  <si>
    <t>a boy stands on a field with a shot put in hand.</t>
  </si>
  <si>
    <t>The boy begins to spin around.</t>
  </si>
  <si>
    <t>The boy throws the shot put.</t>
  </si>
  <si>
    <t>The spins and throws another shot put.</t>
  </si>
  <si>
    <t>v_Ou24uqaFRPg</t>
  </si>
  <si>
    <t>A furniture renovation company advertises their services by showing several homes and tools they have worked on and use and what type of work they do.</t>
  </si>
  <si>
    <t>A man in an apron carefully puts a colored substance on a plate.</t>
  </si>
  <si>
    <t>The man mixes two of the different colored substances with a paint brush.</t>
  </si>
  <si>
    <t>The man carefully touches the paint brush to an old table coloring portions of the table that have been damaged.</t>
  </si>
  <si>
    <t>A different man in an apron and face mask sands an old table.</t>
  </si>
  <si>
    <t>The man then puts polish on a rag and polishes the table.</t>
  </si>
  <si>
    <t>The man polishes a different old table.</t>
  </si>
  <si>
    <t>Information on how to reach the restoration company is displayed.</t>
  </si>
  <si>
    <t>v_p74gAY-kWaY</t>
  </si>
  <si>
    <t>A woman is seen standing beside a girl sitting down brushing her hair.</t>
  </si>
  <si>
    <t>A boy watches on the side as the woman continues to brush the hair.</t>
  </si>
  <si>
    <t>The woman speaks to the girl while running the brush all over her hair.</t>
  </si>
  <si>
    <t>v_LG7p5JrgMfE</t>
  </si>
  <si>
    <t>A man dressed in a black suit and woman dressed in a black dress are dancing together to Latino music.</t>
  </si>
  <si>
    <t>They are doing a combination of ball room dancing and waltz.</t>
  </si>
  <si>
    <t>They are dancing on the sidewalk of a city where there are several bystanders observing and watching them dance.</t>
  </si>
  <si>
    <t>They continue dancing hand in hand to the music.</t>
  </si>
  <si>
    <t>A group of people standing on the right begin to applaud them.</t>
  </si>
  <si>
    <t>The couple continues to swirl and twirl as the music plays and more people in the crowd applaud.</t>
  </si>
  <si>
    <t>The lady finally jumps into the man's arms as the music comes to an end.</t>
  </si>
  <si>
    <t>The crowd cheers and applaud's loudly at the couple.</t>
  </si>
  <si>
    <t>v_TtrDWeSW3mg</t>
  </si>
  <si>
    <t>How To Expo is demonstrating how to make a three bean salad with black beans, garbanzo beans and kidney beans.</t>
  </si>
  <si>
    <t>The presenter shows minced garlic, chopped onions and chopped red bell pepper, along with chopped parsley and one teaspoon of cumin.</t>
  </si>
  <si>
    <t>She also shows the dressing ingredients like olive oil, red wine vinegar and salt.</t>
  </si>
  <si>
    <t>Then she takes a large bowl and begins mixing all the ingredients together.</t>
  </si>
  <si>
    <t>She mixes everything with the three types of beans.</t>
  </si>
  <si>
    <t>She takes large spatula and mixes everything well.</t>
  </si>
  <si>
    <t>then she takes some olive oil and vinegar and mixes it together for the dressing.</t>
  </si>
  <si>
    <t>She pours the salad into a plate and tops is with the salad dressing.</t>
  </si>
  <si>
    <t>v_Vx4ZW7Xseyg</t>
  </si>
  <si>
    <t>A guy is diving off a diving board doing flips in the air and lands in a pool of water,the guy dives and do different flips many different times.</t>
  </si>
  <si>
    <t>the man seems to be practicing his dives and flips of the diving board.</t>
  </si>
  <si>
    <t>the guy is trying to jump his highest to get a better diving flip.</t>
  </si>
  <si>
    <t>v_KJQi_5e72lM</t>
  </si>
  <si>
    <t>A man is seen talking to the camera as he sets up a ski on a work bench inside of a Ski shop.</t>
  </si>
  <si>
    <t>After lining up the ski and securing it on the bench he uses a plastic card and goes over the bottom of the ski three times.</t>
  </si>
  <si>
    <t>Afterwards he uses a bristled brush and scrubs the bottom of the ski.</t>
  </si>
  <si>
    <t>Finally he uses a soft brush and runs it over the ski once more .</t>
  </si>
  <si>
    <t>v_H5kerJ_FoBU</t>
  </si>
  <si>
    <t>The video starts with a title screen shot.</t>
  </si>
  <si>
    <t>A man in a white shirt is showing applying plaster to a room.</t>
  </si>
  <si>
    <t>As he applies the plaster, a voice is describing the techniques used by the company.</t>
  </si>
  <si>
    <t>The video ends as the man reaches the end of the room.</t>
  </si>
  <si>
    <t>v_aIvWwX--xKw</t>
  </si>
  <si>
    <t>A woman is standing behind a counter in a kitchen.</t>
  </si>
  <si>
    <t>She takes the lid off of a pot of salad.</t>
  </si>
  <si>
    <t>She moves the salad into a new bowl.</t>
  </si>
  <si>
    <t>She takes the towel and puts it over the lettuce.</t>
  </si>
  <si>
    <t>She takes the lettuce and puts it in a wooden bowl.</t>
  </si>
  <si>
    <t>She tosses the salad with two spoons.</t>
  </si>
  <si>
    <t>v_zHzKPtrgv1k</t>
  </si>
  <si>
    <t>A set of kids are in bumper cars and begin driving and hitting each other.</t>
  </si>
  <si>
    <t>One of the young kids runs into wall and the males who are operating the ride assist the child.</t>
  </si>
  <si>
    <t>v_InA8Xbg-hvo</t>
  </si>
  <si>
    <t>The words how to apply mascara appear.</t>
  </si>
  <si>
    <t>A woman with long black hair is talking to the camera.</t>
  </si>
  <si>
    <t>She holds up a wand of mascara.</t>
  </si>
  <si>
    <t>She then shows how to apply it, one eye at a time.</t>
  </si>
  <si>
    <t>v_o8EOFXW5GJo</t>
  </si>
  <si>
    <t>Several shots of plates are shown with food leading into a man preparing food.</t>
  </si>
  <si>
    <t>The man then puts more food into a plate and spinning around ingredients.</t>
  </si>
  <si>
    <t>He continues to put food onto a plate and ends by presenting it to the camera.</t>
  </si>
  <si>
    <t>v_saMBbZcDAjM</t>
  </si>
  <si>
    <t>Two people are seen hitting a ping pong table back and fourth in the middle of an outdoor park.</t>
  </si>
  <si>
    <t>They drop the ball and pick it up and then continue playing again.</t>
  </si>
  <si>
    <t>v_u2hzK9YyIXY</t>
  </si>
  <si>
    <t>A person's shoe is seen sitting in a sink and the person scrubs the outside of the shoe with water running.</t>
  </si>
  <si>
    <t>The person turns the water off and let's the dirt from the shoe run down the sink.</t>
  </si>
  <si>
    <t>v_GdEKSyad_rk</t>
  </si>
  <si>
    <t>A man is water skiing on a river.</t>
  </si>
  <si>
    <t>He leans backward, still holding on.</t>
  </si>
  <si>
    <t>He also turns and lifts one foot in the air.</t>
  </si>
  <si>
    <t>v_j30ZbXEi8sc</t>
  </si>
  <si>
    <t>A large marching band are seen standing in the middle of a lawn.</t>
  </si>
  <si>
    <t>The middle of the group begin to play followed by the rest around them.</t>
  </si>
  <si>
    <t>The group take turns playing back and fourth and end by standing still.</t>
  </si>
  <si>
    <t>v_Lfj9JC7uWmE</t>
  </si>
  <si>
    <t>man are playing war of a tug in an open field in font of a lake.</t>
  </si>
  <si>
    <t>men are standing in sidewalk watching the men playing and taking pictures.</t>
  </si>
  <si>
    <t>men reunite and pose to a picture and a lot of camcorders are taking pictures.</t>
  </si>
  <si>
    <t>v_AuS32BoK0Bg</t>
  </si>
  <si>
    <t>A man is putting on a pair of shoes.</t>
  </si>
  <si>
    <t>He grabs his skies and boards a lift.</t>
  </si>
  <si>
    <t>He is then shown skiing down various hills and mountains.</t>
  </si>
  <si>
    <t>v_-pLiSHAz4fo</t>
  </si>
  <si>
    <t>A man talking about how to work out in a certain position.</t>
  </si>
  <si>
    <t>He explains it and shows in detail how it should be done.</t>
  </si>
  <si>
    <t>Then he grabs the bar and demonstrates like that also.</t>
  </si>
  <si>
    <t>He begins to do it in repetition a few times before finishing up.</t>
  </si>
  <si>
    <t>v_k4WHaby5jd8</t>
  </si>
  <si>
    <t>A man is in the garbage and he brings out a suitcase and takes a bike out of it.</t>
  </si>
  <si>
    <t>He begins to unravel the bike and start putting it all together.</t>
  </si>
  <si>
    <t>He screws in some pieces and put the hand bars on using a a pocket knife.</t>
  </si>
  <si>
    <t>He inflates the tires with air and finishes putting the rest together, and then he rides off.</t>
  </si>
  <si>
    <t>v_8ZyBER6U9Wc</t>
  </si>
  <si>
    <t>Three girls that are matching clothes are jumping rope at a competition.</t>
  </si>
  <si>
    <t>They start to switch places between jumpers, doing tricks while jumping.</t>
  </si>
  <si>
    <t>They move up and down the floor while never stopping.</t>
  </si>
  <si>
    <t>Then they drop their rope and bow.</t>
  </si>
  <si>
    <t>v_RrgUFU70PNQ</t>
  </si>
  <si>
    <t>A group of men are in a ring around a mat.</t>
  </si>
  <si>
    <t>Two crouch in front of each other before springing onto the mat, fighting and kicking.</t>
  </si>
  <si>
    <t>They are performing a type of martial arts, fighting their oponent as cameras flash.</t>
  </si>
  <si>
    <t>v_Q6SooTA1os4</t>
  </si>
  <si>
    <t>A dog runs around a house from room to room.</t>
  </si>
  <si>
    <t>Two men take the dog into the bathroom and get him in the bath tub.</t>
  </si>
  <si>
    <t>One of the men washes the dog.</t>
  </si>
  <si>
    <t>The other man records what is happening.</t>
  </si>
  <si>
    <t>The dog hops out of the tub and one of the men dries him off.</t>
  </si>
  <si>
    <t>One man holds the dogs mouth open while the other man brushes the dogs teeth.</t>
  </si>
  <si>
    <t>v_Jvxk68D3F2w</t>
  </si>
  <si>
    <t>A camera pans all around a paintball course and shows a closeup of a person speaking.</t>
  </si>
  <si>
    <t>Several clips are seen of people running around the course and shooting paintball at one another.</t>
  </si>
  <si>
    <t>More close ups are shown of a gun as well as a man speaking to the camera and others socializing with one another.</t>
  </si>
  <si>
    <t>v_WMxQ5hc4s78</t>
  </si>
  <si>
    <t>A small table sits atop another table.</t>
  </si>
  <si>
    <t>A man enters wearing a black hoodie.</t>
  </si>
  <si>
    <t>He opens a jar and pulls out something.</t>
  </si>
  <si>
    <t>He then varnishes the table.</t>
  </si>
  <si>
    <t>v_PT18KK_6jmU</t>
  </si>
  <si>
    <t>An intro of a black screen with a logo and the words CAMERON HANSEN GALLERY appear along with the website at the bottom right.</t>
  </si>
  <si>
    <t>A school of fish swimming in the ocean appears and the location and the description of the video is displayed.</t>
  </si>
  <si>
    <t>A series of many different videos begin and it includes footage from underwater with a snorkeler, many different sea life swimming and even an elephant swimming.</t>
  </si>
  <si>
    <t>The next set of clips include various different footage of people who are above water and the scenery around them.</t>
  </si>
  <si>
    <t>It then switches to caves and it shows the outside, inside, and then the snorkeler back under water holding a flashlight to see as it's very dark.</t>
  </si>
  <si>
    <t>The focus goes back to other clips where the elephant is swimming again, a still shot picture of the beach is displayed, and more clips from the water above.</t>
  </si>
  <si>
    <t>It ends with a picture of a large tree branch near the water and the words The Andaman Islands appear at the top and fades to an all black screen.</t>
  </si>
  <si>
    <t>v_-Pa52Pf_Raw</t>
  </si>
  <si>
    <t>A young woman is sitting in the doorway of a building.</t>
  </si>
  <si>
    <t>She is staring at the camera.</t>
  </si>
  <si>
    <t>She keeps taking puffs from a cigarette as she sits.</t>
  </si>
  <si>
    <t>v_hMUoeOFmquI</t>
  </si>
  <si>
    <t>A news segment begins and black and white picture of a smiling girl appears on the screen and the banner on the screen says "HENRICO TEEN DIES AFTER RACE FATHER RECOUNTS DAUGHTER'S FINAL MOMENTS".</t>
  </si>
  <si>
    <t>The newscaster appears with her parents talking about the girl while clips of the race play, and still shot pictures of the girl appear on the camera.</t>
  </si>
  <si>
    <t>When the pictures and video clips of the interview and race are over, the newscaster is speaking alone back at the news station.</t>
  </si>
  <si>
    <t>v_fkmYC91-biI</t>
  </si>
  <si>
    <t>Two little kids are sitting indian style on the carpet inside the house,they have a hookah and are smoking it.</t>
  </si>
  <si>
    <t>They take turns inhaling and exhaling the smoke.</t>
  </si>
  <si>
    <t>They exhale from their nose like they do it often and have been trained like little pros.</t>
  </si>
  <si>
    <t>It is very sad these children are allowed to do this like its normal, they seem to enjoy it too.</t>
  </si>
  <si>
    <t>v_TFkI_wKMypE</t>
  </si>
  <si>
    <t>Two girls are seen speaking to the camera with one giving a thumbs up.</t>
  </si>
  <si>
    <t>The girls then play a game of hop scotch with each other and high giving one another in the end.</t>
  </si>
  <si>
    <t>v_K757XUwinrc</t>
  </si>
  <si>
    <t>A woman is seen holding onto a brush and grabbing a brush.</t>
  </si>
  <si>
    <t>Another girl brushes through her hair while the camera pans her movements.</t>
  </si>
  <si>
    <t>She continues brushing the other's hair while looking to the camera.</t>
  </si>
  <si>
    <t>v_luDywPbDOEQ</t>
  </si>
  <si>
    <t>We see a white title screen.</t>
  </si>
  <si>
    <t>We then see a lady moping and wringing the mop by hand.</t>
  </si>
  <si>
    <t>We see a bucket which rings a round mop without touching it.</t>
  </si>
  <si>
    <t>A lady changes the mop head with her foot.</t>
  </si>
  <si>
    <t>Three ladies give endorsements and we see them using the mop.</t>
  </si>
  <si>
    <t>We then see more of the mop in action.</t>
  </si>
  <si>
    <t>v_oeSyeZqlC1g</t>
  </si>
  <si>
    <t>People sits on steps, after people are on boats in a river.</t>
  </si>
  <si>
    <t>An adult and several teen in canoes holds paddles.</t>
  </si>
  <si>
    <t>The man shows the teens how to move the oars.</t>
  </si>
  <si>
    <t>The teens follow the instructions of the man and row the oars.</t>
  </si>
  <si>
    <t>v_sax2PjbeLdk</t>
  </si>
  <si>
    <t>There are shoes placed on the floor just lying there.</t>
  </si>
  <si>
    <t>Someone puts their feet into one of their shoes very slowly.</t>
  </si>
  <si>
    <t>They begin to buckle the straps on the left shoe.</t>
  </si>
  <si>
    <t>Then they put their foot more securely into the right shoe, finally bucking the straps on that shoe too.</t>
  </si>
  <si>
    <t>v_f-r9g_-5huM</t>
  </si>
  <si>
    <t>A man and woman are talking.</t>
  </si>
  <si>
    <t>A man starts playing a harmonica.</t>
  </si>
  <si>
    <t>The crowd watches him play.</t>
  </si>
  <si>
    <t>v_RTIzzeNaH2Q</t>
  </si>
  <si>
    <t>A bike is being shown in the narrow walkway.</t>
  </si>
  <si>
    <t>An old man wearing gray shirt is putting on and screwing the black handle bars in the front of the bike, then put the front wheel of the bike, tighten the screw, and lastly he put the seat on.</t>
  </si>
  <si>
    <t>v_DOfpOkDHe_8</t>
  </si>
  <si>
    <t>A girl is standing in her home with her hands behind her back and her legs shoulder width apart.</t>
  </si>
  <si>
    <t>The girl then firmly drops her hands to her side, brings her feet together and does a bow and continues to do a routine of various karate moves.</t>
  </si>
  <si>
    <t>The girl ends her routing a little further from the point she started and firmly drops her hands to her side and does a little bow, then opens her legs shoulder length apart and goes back into the same position as she was in when she started.</t>
  </si>
  <si>
    <t>After she is done holding the position for a while the girl relaxes and then walks away.</t>
  </si>
  <si>
    <t>v_DxtISmKol2I</t>
  </si>
  <si>
    <t>Two people are seen kneeling down before a board and pushing down objects.</t>
  </si>
  <si>
    <t>Other people watch on the side as the two robots begin to attack one another.</t>
  </si>
  <si>
    <t>One pushes the other off the side and the men put the robots back to battle several more.</t>
  </si>
  <si>
    <t>v_ig8RaXkocJ0</t>
  </si>
  <si>
    <t>A man has his hands in the air.</t>
  </si>
  <si>
    <t>Two wrestlers are shown jumping into the ring.</t>
  </si>
  <si>
    <t>They collapse as different people do the same jump.</t>
  </si>
  <si>
    <t>v_-BVpaPkee2I</t>
  </si>
  <si>
    <t>An athletic woman is seen talking to the camera and leads into her teaching a cycling class with others.</t>
  </si>
  <si>
    <t>More shots of her leading are shown in different areas.</t>
  </si>
  <si>
    <t>v_VsFHNZHhNwI</t>
  </si>
  <si>
    <t>A lady sits in the shower washing a fluffy dog.</t>
  </si>
  <si>
    <t>The lady leans over the dog and washes his front paw on the left.</t>
  </si>
  <si>
    <t>v_SI0GumzxYt4</t>
  </si>
  <si>
    <t>A camera follows around a small boat that is moving along the water as well as landscapes.</t>
  </si>
  <si>
    <t>The camera zooms in on the boat and shows people riding inside.</t>
  </si>
  <si>
    <t>v_QHd9bJOuvIU</t>
  </si>
  <si>
    <t>A man is walking up a ladder to a roof.</t>
  </si>
  <si>
    <t>He is standing in front of a house talking.</t>
  </si>
  <si>
    <t>Men are putting new shingles onto a roof.</t>
  </si>
  <si>
    <t>v_4chhQzVxWkA</t>
  </si>
  <si>
    <t>A baby is swimming in a pool on its back.</t>
  </si>
  <si>
    <t>The baby is kicking its feet in the water.</t>
  </si>
  <si>
    <t>Someone's hand is holding that baby in the water.</t>
  </si>
  <si>
    <t>v_pjF6uBZHVRE</t>
  </si>
  <si>
    <t>The starting list for the men's pole vault event is displayed over the background of the competition area.</t>
  </si>
  <si>
    <t>Multiple vaulters attempt to vault, one after another, some successfully and some not.</t>
  </si>
  <si>
    <t>The camera cuts to a man wiping his face with a towel, then a quick shot of the last vault attempt, then a quick shot of another man walking away from the camera.</t>
  </si>
  <si>
    <t>Another man in white and blue vaults and is successful.</t>
  </si>
  <si>
    <t>The camera cuts to four other competitors watching.</t>
  </si>
  <si>
    <t>The camera cuts to a man in white and blue celebrating while holding a flag against his black.</t>
  </si>
  <si>
    <t>The man who celebrated is being interviewed.</t>
  </si>
  <si>
    <t>A different competitor, wearing red, is being interviewed.</t>
  </si>
  <si>
    <t>v_UMS4-qifK9A</t>
  </si>
  <si>
    <t>A man sits down in front of a bed.</t>
  </si>
  <si>
    <t>He starts to play an electric guitar.</t>
  </si>
  <si>
    <t>He finishes playing and stands up.</t>
  </si>
  <si>
    <t>v_xNiYjTyCTtg</t>
  </si>
  <si>
    <t>Two girls are standing in a shop and hug each other.</t>
  </si>
  <si>
    <t>The two girls acknowledge the girl holding the camera.</t>
  </si>
  <si>
    <t>They each show their ears that they are wanting to be pierced.</t>
  </si>
  <si>
    <t>The woman working in the shop straightens the girls head and marks her ear and pierces her right ear, as the girl makes faces.</t>
  </si>
  <si>
    <t>The woman looks shocked as the worker talks to her and holds the mirror for h er to see the ear.</t>
  </si>
  <si>
    <t>To be continued is shown on the screen.</t>
  </si>
  <si>
    <t>The girl shows her ear as she sits in the chair and tries not to cry as the camera zooms in on her ear.</t>
  </si>
  <si>
    <t>v_HrWr7FmBYn4</t>
  </si>
  <si>
    <t>A woman is seen speaking to a camera and leads into herself with wet hair and brushing it through.</t>
  </si>
  <si>
    <t>Her hair is snow dry and she puts clips into her hair and begins curling.</t>
  </si>
  <si>
    <t>She continues curling the ends of her hair and runs her fingers through in the end and smiles at the camera while giving a thumbs up.</t>
  </si>
  <si>
    <t>v_4S5ethZhgqs</t>
  </si>
  <si>
    <t>A big green garbage can is pushed up against a brick wall and a reindeer jumps out drinking from a coffee cup.</t>
  </si>
  <si>
    <t>The reindeer continues to drink out of the coffee cup and eventually falls out of over the garbage can.</t>
  </si>
  <si>
    <t>v_uPqh5uA1mhA</t>
  </si>
  <si>
    <t>The screen shows the words Shot Put Men.</t>
  </si>
  <si>
    <t>Kurt Roberts, in a yellow top, throws the ball and a man rushes to measure the throw.</t>
  </si>
  <si>
    <t>Kurt drinks from a Gatorade bottle.</t>
  </si>
  <si>
    <t>Reese Hoffa steps up and throws the ball and a man rushes to measure the throw.</t>
  </si>
  <si>
    <t>Reese adjusts his shirt and waits for his score.</t>
  </si>
  <si>
    <t>Davis Storl sits and is featured on the screen.</t>
  </si>
  <si>
    <t>He then throws the ball and the man rushes to measure the distance.</t>
  </si>
  <si>
    <t>He is shown standing with his team and an instant replay of the throw is shown.</t>
  </si>
  <si>
    <t>The score is shown on the screen.</t>
  </si>
  <si>
    <t>Fans are shown doing the wave.</t>
  </si>
  <si>
    <t>v_DJ5tenTs0A0</t>
  </si>
  <si>
    <t>A child ski on the snow holding two poles and wearing skies.</t>
  </si>
  <si>
    <t>Adults ski behind the child.</t>
  </si>
  <si>
    <t>Then the child stops, then start to walk until start sliding on the hill.</t>
  </si>
  <si>
    <t>v_2Mw-3jScc0M</t>
  </si>
  <si>
    <t>An aerial view of a field and animals is shown.</t>
  </si>
  <si>
    <t>People mill around a dartboard and then start doing lumberjack things with logs.</t>
  </si>
  <si>
    <t>A boat is prepared and the group starts water skiing, wakeboarding, and the like.</t>
  </si>
  <si>
    <t>At the end, people relax on the boat.</t>
  </si>
  <si>
    <t>v_yJ5zO0T9jgk</t>
  </si>
  <si>
    <t>People are playing badminton on a court.</t>
  </si>
  <si>
    <t>An audience is watching them play.</t>
  </si>
  <si>
    <t>A cartoon of people playing the game is shown.</t>
  </si>
  <si>
    <t>A man in a blue sweater is talking to the camera.</t>
  </si>
  <si>
    <t>v_m0_F34CgAco</t>
  </si>
  <si>
    <t>The baker is putting a safe ring on a silicone molder.</t>
  </si>
  <si>
    <t>The baker pour the batter in the purple molder, then he place a silicone tray in the oven and put the cake in the oven.</t>
  </si>
  <si>
    <t>The baker turn over the cake in the plate and put icing and fruits on top.</t>
  </si>
  <si>
    <t>The baker put safety ling on the molder, put jelly in it, then he put the jelly off the molder.</t>
  </si>
  <si>
    <t>The baker made popsicles and cake decorations and chocolates using the molder.</t>
  </si>
  <si>
    <t>v_Lh-cI4M0dNw</t>
  </si>
  <si>
    <t>A man is seen riding along on a horse and then ropes a calf while others watch.</t>
  </si>
  <si>
    <t>The man then ties up the calf and climbs up on the horse and others step into the ring.</t>
  </si>
  <si>
    <t>v_2_tzemKY72E</t>
  </si>
  <si>
    <t>A female gymnast is shown in a photograph.</t>
  </si>
  <si>
    <t>She is then shown preparing and then mounting a high beam.</t>
  </si>
  <si>
    <t>She flips and turns on the beam, changing between two beams.</t>
  </si>
  <si>
    <t>She dismounts, throwing her arms into the air triumphantly.</t>
  </si>
  <si>
    <t>v_Hg1tl2hFWGc</t>
  </si>
  <si>
    <t>a child is sitting on a counter with a container of water colors.</t>
  </si>
  <si>
    <t>She is using a paint brush to apply the paints to her face.</t>
  </si>
  <si>
    <t>She then starts putting the paint all over her chest.</t>
  </si>
  <si>
    <t>v_l8boztVhl7w</t>
  </si>
  <si>
    <t>A countdown is shown that leads into a person scoring a basket in a game.</t>
  </si>
  <si>
    <t>More text are shown counting down a list and showing another person scoring a point.</t>
  </si>
  <si>
    <t>Several more shots are shown of people performing impressive sport tactics while the list counts down.</t>
  </si>
  <si>
    <t>v_U2-GFZxIufw</t>
  </si>
  <si>
    <t>A boat goes on to a lake with a rope behind it.</t>
  </si>
  <si>
    <t>A boy grabs the rope and goes in the water after the boat.</t>
  </si>
  <si>
    <t>The boat begins to speed up.</t>
  </si>
  <si>
    <t>The boy is brought to his feet and begins to water ski.</t>
  </si>
  <si>
    <t>v_3MqnXsnEAkM</t>
  </si>
  <si>
    <t>A man walks onto a mat and lifts a large weight over his head.</t>
  </si>
  <si>
    <t>A man in a red shirt is sitting down.</t>
  </si>
  <si>
    <t>A man walks up and lifts a large weight over his head and drops it on the ground.</t>
  </si>
  <si>
    <t>Another man comes onto the mat and lifts a weight over their head.</t>
  </si>
  <si>
    <t>v_7VvcQNSAd24</t>
  </si>
  <si>
    <t>A man is seen standing in front of a mirror holding a razor.</t>
  </si>
  <si>
    <t>He then begins shaving his face while still looking in the mirror.</t>
  </si>
  <si>
    <t>He finishes shaving his face and looks back smiling at the camera.</t>
  </si>
  <si>
    <t>v_7ftCKS5SCCk</t>
  </si>
  <si>
    <t>little girl with long hair is dancing in a living room with a lot of boots and shoes on the floor, she put them on and take it off.</t>
  </si>
  <si>
    <t>girl is on skateboard in the living room and to the room again.</t>
  </si>
  <si>
    <t>little girl is in library and grab something and then starts dancing in the room.</t>
  </si>
  <si>
    <t>v_LGku-onF4VI</t>
  </si>
  <si>
    <t>People are sitting behind large drums.</t>
  </si>
  <si>
    <t>They start playing the drums with their hands.</t>
  </si>
  <si>
    <t>People stand on the street watching them.</t>
  </si>
  <si>
    <t>A man picks up his chair and turns it upside down on the drums.</t>
  </si>
  <si>
    <t>v_p8_hwwgyoZE</t>
  </si>
  <si>
    <t>A man and woman are on a stage together.</t>
  </si>
  <si>
    <t>They quickly play drums before a crowd.</t>
  </si>
  <si>
    <t>An older man is then seen also playing drums.</t>
  </si>
  <si>
    <t>v_vgO3mzJGbSI</t>
  </si>
  <si>
    <t>A camera pans around a shop and pans back to a girl talking.</t>
  </si>
  <si>
    <t>She points to her face multiple times and gives a little tour of her room.</t>
  </si>
  <si>
    <t>She continues talking to the camera and eventually shows footage of her getting her nose pierced.</t>
  </si>
  <si>
    <t>She apears back in the room with the pierced nose and shows off a drink and sushi.</t>
  </si>
  <si>
    <t>Finally she shows a book as well as a bag with white powder and herself in a pony tail.</t>
  </si>
  <si>
    <t>v__jT57LdAHUs</t>
  </si>
  <si>
    <t>A man talks on front the drummer and holding two sticks.</t>
  </si>
  <si>
    <t>The man pretends to play the drums, and then continues talking.</t>
  </si>
  <si>
    <t>v_modITAJlP_0</t>
  </si>
  <si>
    <t>A woman wearing light blue tank top and black shorts is exercising on an elliptical.</t>
  </si>
  <si>
    <t>She continues walking on the elliptical as she moves her hands forward and backwards.</t>
  </si>
  <si>
    <t>She then finishes her exercise routine, gets off the equipment and takes a drink of water from a blue water bottle.</t>
  </si>
  <si>
    <t>She walks away holding the bottle in her hand.</t>
  </si>
  <si>
    <t>v_Bdpqtvdx2T8</t>
  </si>
  <si>
    <t>We see a little girl painting a fence red.</t>
  </si>
  <si>
    <t>The girl puts more paint on her brush.</t>
  </si>
  <si>
    <t>The girl fills her brush again.</t>
  </si>
  <si>
    <t>We see the fence and an adult shows her how to paint.</t>
  </si>
  <si>
    <t>The adult points at a missed spot.</t>
  </si>
  <si>
    <t>v_qfCqVXhNPE8</t>
  </si>
  <si>
    <t>A woman with black hair is explaining something.</t>
  </si>
  <si>
    <t>The woman pulls out a container with hair rolls.</t>
  </si>
  <si>
    <t>The woman pulls out a bottle of shampoo.</t>
  </si>
  <si>
    <t>The woman rolls her hair and pins it in place and leaves it for ten minutes.</t>
  </si>
  <si>
    <t>The women removes the rolls from her hair.</t>
  </si>
  <si>
    <t>The woman takes out hair spray and sprays it on her hair.</t>
  </si>
  <si>
    <t>v_0IxId05Eo6k</t>
  </si>
  <si>
    <t>There are a lot of people indoors in a large building walking, or hanging out, and the banner below say's "WHAT IN THE WORLD? China's National Tug-of-War Championships" and he logo on the right say's "east SPORTS WEST".</t>
  </si>
  <si>
    <t>There are two sets of people along a rope and they are separated in the middle by referees.</t>
  </si>
  <si>
    <t>They take a bow, pick up the rope, and each team begins to tug on the rope until a winner is called.</t>
  </si>
  <si>
    <t>A woman referee is now standing with her two arms up and she lets them down to indicate that the two teams can start tugging on the rope, and they do until she blows a whistle to indicate the winner.</t>
  </si>
  <si>
    <t>Two short clips play and it shows a womens tug-of-war match, then a mens but it doesn't show much and then it goes straight to outdoor shots of the city and text on the screen appear with the network logo, website, and rights of the video.</t>
  </si>
  <si>
    <t>v_98MoyGZKHXc</t>
  </si>
  <si>
    <t>A man drives a car, the car stops with a flat tire.</t>
  </si>
  <si>
    <t>The man turn off the emergency lights, and then uses a repair kit to inflate the tire.</t>
  </si>
  <si>
    <t>Then, the man advance the car a little and the tire inflates.</t>
  </si>
  <si>
    <t>After, the man drives his car.</t>
  </si>
  <si>
    <t>v_6I1aP4O04R8</t>
  </si>
  <si>
    <t>A large pile of leaves are seen blowing around a yard as a person uses a tool to push them along.</t>
  </si>
  <si>
    <t>The camera continues to capture the man blowing the leaves and uses several camera effects on the frames.</t>
  </si>
  <si>
    <t>v_6qghJRLpHpo</t>
  </si>
  <si>
    <t>A small group of people are seen riding kayaks down a rough river with one person performing a flip in the water.</t>
  </si>
  <si>
    <t>The person performs several more flips with the camera captures him from far away.</t>
  </si>
  <si>
    <t>v_lZ2X-e33E0A</t>
  </si>
  <si>
    <t>We see the opening title screens.</t>
  </si>
  <si>
    <t>A man walks into a room and grabs a bucket and returns with it.</t>
  </si>
  <si>
    <t>We see a man in a bright shirt mix plaster in a bucket and spread it on a wall.</t>
  </si>
  <si>
    <t>The man adds more plaster to his base and spreads it on the wall.</t>
  </si>
  <si>
    <t>v_teZ99ahe1zY</t>
  </si>
  <si>
    <t>Various people are shown riding around on horses holding sticks in the air and riding around one another.</t>
  </si>
  <si>
    <t>People walk in and out of frame and the people continue moving around on horses.</t>
  </si>
  <si>
    <t>v_iTc3UCWgUF0</t>
  </si>
  <si>
    <t>A man sits down in a chair putting his sneakers on and points to a fox running in.</t>
  </si>
  <si>
    <t>The fox stands by the man and jumps up and down on his lap while he continues to put his shoes on.</t>
  </si>
  <si>
    <t>v__rs8dhCdI1w</t>
  </si>
  <si>
    <t>A person puts tape on a leather sofa to form a square.</t>
  </si>
  <si>
    <t>Then, the person apply foam to a sponge and cleans inside the square.</t>
  </si>
  <si>
    <t>After, the person clean with a cloth and peels the tape.</t>
  </si>
  <si>
    <t>Next, the person cleans all the sofa putting foam on a cloth and rubbing the sofa.</t>
  </si>
  <si>
    <t>v_9xtYwXpaiZ0</t>
  </si>
  <si>
    <t>A shoe polishing machine sits in a living room.</t>
  </si>
  <si>
    <t>A man walks up to the shoe polishing machine a turns it on.</t>
  </si>
  <si>
    <t>The man wearing blue jeans begins bushing his black shoes.</t>
  </si>
  <si>
    <t>The man then begins brushing and polishing his brown shoes.</t>
  </si>
  <si>
    <t>The man approaches the shoe polishing machine and brushes his grey sneakers.</t>
  </si>
  <si>
    <t>The man crouches down and pulls out a dust bin from under the polishing machine.</t>
  </si>
  <si>
    <t>v_fJMVz_TBWU0</t>
  </si>
  <si>
    <t>A large group of people are seen standing in a crowd when a man holding a set of bag pipes walks up and gives everyone the devil horns.</t>
  </si>
  <si>
    <t>They give the horns back and the man plays while walking up and down the stage.</t>
  </si>
  <si>
    <t>v_NVWk38z7f4U</t>
  </si>
  <si>
    <t>Several signs for tattoo shops are shown, along with a girl speaking to the camera.</t>
  </si>
  <si>
    <t>She shows off the tattoo she wants to get.</t>
  </si>
  <si>
    <t>The woman sits in a chair as a tattoo artist makes a snowflake on her arm.</t>
  </si>
  <si>
    <t>She talks to the camera the entire time as he inks her.</t>
  </si>
  <si>
    <t>Afterward, she shows off her completed tattoo and speaks about it.</t>
  </si>
  <si>
    <t>v_c-TD6-GESQk</t>
  </si>
  <si>
    <t>A man is standing in a gym.</t>
  </si>
  <si>
    <t>He bends down and picks up a large weight.</t>
  </si>
  <si>
    <t>He sets it down and talks to the camera.</t>
  </si>
  <si>
    <t>v_z93quI8Gxx4</t>
  </si>
  <si>
    <t>The woman is riding a camel as she talks to the camera.</t>
  </si>
  <si>
    <t>A man is guiding the camel and giving the camel food.</t>
  </si>
  <si>
    <t>The woman is reporting while she is on the back of the camel.</t>
  </si>
  <si>
    <t>v_rrNJt73BG_8</t>
  </si>
  <si>
    <t>A person opens a faucet and wet the hands.</t>
  </si>
  <si>
    <t>The person uses soap to rub vigorously the hands.</t>
  </si>
  <si>
    <t>After, the person rinse the hand thoroughly with plenty water.</t>
  </si>
  <si>
    <t>After the person dry the hands with a clean towel, and turns the the sink using the towel.</t>
  </si>
  <si>
    <t>v_q2-2jIQGfvg</t>
  </si>
  <si>
    <t>The words "speed cubing 53 sec" appear on a black screen.</t>
  </si>
  <si>
    <t>A young man sits at a table and starts playing with a Rubik's Cube.</t>
  </si>
  <si>
    <t>The man solves the puzzle completing all sides of the cube and the screen goes black.</t>
  </si>
  <si>
    <t>v_SFDvkbDZTjA</t>
  </si>
  <si>
    <t>A cat is scratching its paws on the carpet.</t>
  </si>
  <si>
    <t>A man holds the cats paw and starts clipping its nails.</t>
  </si>
  <si>
    <t>He holds the cat outside.</t>
  </si>
  <si>
    <t>v_TFdv2VQ8-Hg</t>
  </si>
  <si>
    <t>A group of people gather on a tarmac.</t>
  </si>
  <si>
    <t>They board the plane before taking off, showing the runway and clouds in the sky.</t>
  </si>
  <si>
    <t>They are in an airport, then driving down the road.</t>
  </si>
  <si>
    <t>Finally they are riding a boat in the coean, looking at a map and chartering the waters.</t>
  </si>
  <si>
    <t>They go surfing in the large waves.</t>
  </si>
  <si>
    <t>v_on2DKKcvWhE</t>
  </si>
  <si>
    <t>An introduction comes onto the screen for a video that will show a demo of some janitorial products.</t>
  </si>
  <si>
    <t>A man on the screen begins to describe a mop and bucket set that are used for cleaning floors.</t>
  </si>
  <si>
    <t>He then begins to demonstrate how to use the mop and bucket set.</t>
  </si>
  <si>
    <t>Next he shows the buckets close up and begins to describe how to use the buckets.</t>
  </si>
  <si>
    <t>At the end of the video the closing credits are shown.</t>
  </si>
  <si>
    <t>v_FBtrv1Vg8hU</t>
  </si>
  <si>
    <t>A young woman on a white horse is shown riding through the field.</t>
  </si>
  <si>
    <t>The lady is then shown exercising on a blue mat doing several yoga stretches.</t>
  </si>
  <si>
    <t>After,she is pictured in her home talking while sitting on the couch.</t>
  </si>
  <si>
    <t>Finally,the screen returns and she is shown in horseback riding in the field going through the stable.</t>
  </si>
  <si>
    <t>v_clUgEizjVkM</t>
  </si>
  <si>
    <t>A small group of people are seen skating around the ice playing a game of hockey against one another.</t>
  </si>
  <si>
    <t>One member scores as the camera pans around them and a man watching.</t>
  </si>
  <si>
    <t>v_PZ4miMXdjHE</t>
  </si>
  <si>
    <t>A man is seen standing in a large pit with a group of children and teaching them how to stand.</t>
  </si>
  <si>
    <t>The kids then get powder on their hands and the man chases them around and has fun.</t>
  </si>
  <si>
    <t>v_8NcRuVMSQLs</t>
  </si>
  <si>
    <t>The camera pans around an athletic woman standing ready and others watching her on the side.</t>
  </si>
  <si>
    <t>She jumps high over a pole and walks away as her jump is shown again in slow motion and another runner steps up.</t>
  </si>
  <si>
    <t>Several more women are shown jumping over the beam while their scores are shown immediately afterwards.</t>
  </si>
  <si>
    <t>v_nEv28s46Kvo</t>
  </si>
  <si>
    <t>We see an opening screen as a black and white film.</t>
  </si>
  <si>
    <t>We then see people putting on fencing gear.</t>
  </si>
  <si>
    <t>The two men fence in between title screens.</t>
  </si>
  <si>
    <t>The men switch from outdoors to indoors.</t>
  </si>
  <si>
    <t>We see a man's helmet.</t>
  </si>
  <si>
    <t>We see a men fighting in slow motion.</t>
  </si>
  <si>
    <t>The men finish and walk away from each other.</t>
  </si>
  <si>
    <t>v_HRjSOacCdWI</t>
  </si>
  <si>
    <t>A man picks up a heavy weight.</t>
  </si>
  <si>
    <t>He drops it to the ground.</t>
  </si>
  <si>
    <t>v_rX2tRvv2ZfU</t>
  </si>
  <si>
    <t>There's a woman dressed in a brown dress standing next to another lady in blue who is demonstrating a recipe.</t>
  </si>
  <si>
    <t>They are standing next to the kitchen counter that has several bowls filled with various ingredient in it.</t>
  </si>
  <si>
    <t>The chef is talking about the recipes that the ingredients are used for.</t>
  </si>
  <si>
    <t>There's a white plate with shredded meat on the kitchen counter.</t>
  </si>
  <si>
    <t>The chef then picks up the meat plate and gives it to the lady in brown.</t>
  </si>
  <si>
    <t>The presenter then empties the meat into a blue bowl.</t>
  </si>
  <si>
    <t>The chef continues to explain the recipe.</t>
  </si>
  <si>
    <t>Then they add some chopped cucumber to the blue bowl and mix it with a spoon.</t>
  </si>
  <si>
    <t>The chef shows the cucumbers she has used in the salad.</t>
  </si>
  <si>
    <t>Then they add chopped cherry tomatoes, followed by sliced white onions and some leafy greens.</t>
  </si>
  <si>
    <t>Then they add some more garnishing on top of the salad.</t>
  </si>
  <si>
    <t>v_ilE77hVgjjo</t>
  </si>
  <si>
    <t>A girl moves around an indoor playground.</t>
  </si>
  <si>
    <t>The girl slides down and climbs up a slide with boy.</t>
  </si>
  <si>
    <t>A finger touches the girls hair and head.</t>
  </si>
  <si>
    <t>v_VLQQVNIZQqo</t>
  </si>
  <si>
    <t>A man holds a hummer sits on the ground.</t>
  </si>
  <si>
    <t>Then, the man spins the hammer several times and throw it far.</t>
  </si>
  <si>
    <t>Other man perform the hammer throw while people watch.</t>
  </si>
  <si>
    <t>v_uWnlmM2uOs4</t>
  </si>
  <si>
    <t>There are many people in bathing suits standing in a lake with motor boats behind them.</t>
  </si>
  <si>
    <t>One girl wearing a bikini and holding a Coke can in her hand is rubbing sunscreen on another woman's chest.</t>
  </si>
  <si>
    <t>There are some men standing in swim trunks behind them, talking to each other.</t>
  </si>
  <si>
    <t>v_ZuHwSBCjfds</t>
  </si>
  <si>
    <t>News clippings of a water polo player are shown, as well as images and stills.</t>
  </si>
  <si>
    <t>We then see the water polo games in video, as the players try to lob the ball into a net.</t>
  </si>
  <si>
    <t>The people fight over the ball, and a small crowd claps and cheers.</t>
  </si>
  <si>
    <t>v_eXK0iVPl1j8</t>
  </si>
  <si>
    <t>A crowd is gathered around a black tiled area.</t>
  </si>
  <si>
    <t>A man in black does some breakdance moves.</t>
  </si>
  <si>
    <t>He then trades off with a man in white, Several breakdancers trade off displaying moves as the crowd looks on.</t>
  </si>
  <si>
    <t>Finally, the last breakdancer finishes his routine.</t>
  </si>
  <si>
    <t>v_MewROhYmQP0</t>
  </si>
  <si>
    <t>A polo match is being held outdoors in a field.</t>
  </si>
  <si>
    <t>A player on a horse hits the ball.</t>
  </si>
  <si>
    <t>A wide shot of the polo field action is shown.</t>
  </si>
  <si>
    <t>v_Mu8-AwcMqaw</t>
  </si>
  <si>
    <t>A young woman is seen speaking to the camera and leads into her showing off her hair then tying it into a ponytail.</t>
  </si>
  <si>
    <t>She sprays down her hair and then braids her bangs followed by pushing the braid back into a ponytail.</t>
  </si>
  <si>
    <t>She puts a bow in her hair in the end and smiles off to the camera.</t>
  </si>
  <si>
    <t>v_uzXbaoWOm5o</t>
  </si>
  <si>
    <t>A white screen appears and happy faces are displayed and black text words read "happyface Entertainment".</t>
  </si>
  <si>
    <t>There are two Asian women standing face to face very close to one another and talking about a can while subtitles show up at the bottom.</t>
  </si>
  <si>
    <t>The woman holding the bottle on the right tries to unscrew the bottle open and has a hard time so someone reaches in and opens it for her and hands it back.</t>
  </si>
  <si>
    <t>The women laugh, smell the contents in the bottle and the brunette tastes a little bit of it and they both laugh.</t>
  </si>
  <si>
    <t>v_li16LYa7us8</t>
  </si>
  <si>
    <t>A black screen appears with the white letters and numbers that say EXAM 2012.</t>
  </si>
  <si>
    <t>An outdoor of a two story older building is shown and the white letters on the screen say Bolshoi Ballet Academy.</t>
  </si>
  <si>
    <t>A blonde woman is shown sitting at a piano and as she begins to play a bunch of young women are shown dressed in their ballet gear and are dancing ballet on a stage while people watch them.</t>
  </si>
  <si>
    <t>Some of the girls are shown putting on tutus that stick straight out, they walk onto the stage and begin dancing as their tutus that stick straight out bounce with them.</t>
  </si>
  <si>
    <t>The women end their ballet routine, and they all walk to the side of the stage to grab the hand of the woman, they all routine to the stage, take a bow, and all the ballet dances celebrate their performance and give on another hugs.</t>
  </si>
  <si>
    <t>v_u024Wa07GNs</t>
  </si>
  <si>
    <t>A sandwich is sitting on a counter.</t>
  </si>
  <si>
    <t>There are many vegetables around the sandwich.</t>
  </si>
  <si>
    <t>A person puts cucumbers on top of the sandwich.</t>
  </si>
  <si>
    <t>v_en6lOb4wRUU</t>
  </si>
  <si>
    <t>A man is shown smoking a cigarette continuously blowing smoke out of his mouth and looking into the camera.</t>
  </si>
  <si>
    <t>He puts sunglasses on and continues taking puffs off the cigarette.</t>
  </si>
  <si>
    <t>He pans the camera to a crack in the floor and back to his face smoking outside.</t>
  </si>
  <si>
    <t>v_KCxa27MM7Cg</t>
  </si>
  <si>
    <t>Two small children as seen sitting at a table laughing with one another.</t>
  </si>
  <si>
    <t>One girl is seen painting another's nails while she looks off into the distance.</t>
  </si>
  <si>
    <t>The girl continues painting the others' nails while she laughs into the camera.</t>
  </si>
  <si>
    <t>v_fCE3Eo7_Nmw</t>
  </si>
  <si>
    <t>A person takes a knife and cut the ends of a potato, then the person peels the potato.</t>
  </si>
  <si>
    <t>After, the person cut the potato in squares.</t>
  </si>
  <si>
    <t>v_LnqAgjTpi0k</t>
  </si>
  <si>
    <t>We see a pink opening scene.</t>
  </si>
  <si>
    <t>A lady walks up stairs and people are gathered in a plaza outdoors.</t>
  </si>
  <si>
    <t>We see a race banner and people moving under the banner.</t>
  </si>
  <si>
    <t>Runners are running down a city street in a marathon.</t>
  </si>
  <si>
    <t>We see a stadium like structure a km 8.</t>
  </si>
  <si>
    <t>We see a fountain spraying water.</t>
  </si>
  <si>
    <t>A mariachi band sits on the sidewalk playing music followed by drummers.</t>
  </si>
  <si>
    <t>We see the end and a cup of coffee and a medal.</t>
  </si>
  <si>
    <t>A lady photo shops her picture in with the mariachi band.</t>
  </si>
  <si>
    <t>v_exPOJAoyG7Q</t>
  </si>
  <si>
    <t>There's a girl talking about cheer leading, gymnastics and tumbling.</t>
  </si>
  <si>
    <t>She is demonstrating how to do somersaults, cartwheels, round off and back and front walkover.</t>
  </si>
  <si>
    <t>She also shows various other moves like aerial, tic- toc and back handspring.</t>
  </si>
  <si>
    <t>She continues to demonstrate several other gymnastic moves by swiftly moving her body through front flips.</t>
  </si>
  <si>
    <t>v_4Xvn1xXvYdU</t>
  </si>
  <si>
    <t>A man in brown jacket is pulling out an arrow from the target board, then he was talking to the camera, then he pull out his bow and started to use it with his bow to hit the target board, he fired his bows several times.</t>
  </si>
  <si>
    <t>The man went to the target board and talked to the camera.</t>
  </si>
  <si>
    <t>v_5j6j4NJkUXA</t>
  </si>
  <si>
    <t>A boy is shown swinging on a piece of gymnastic equipment with others training in the background.</t>
  </si>
  <si>
    <t>The camera shows several shots of different boys swinging on the equipment around and around with the camera panning to different angles.</t>
  </si>
  <si>
    <t>v_Se7eQXlW-BA</t>
  </si>
  <si>
    <t>A man and woman are seen standing on a bowling lane with another reading in the distance.</t>
  </si>
  <si>
    <t>A woman walks in and speaks to the blonde woman and hands her some bowling shoes.</t>
  </si>
  <si>
    <t>The man speaks over and the girl throws the bowling ball with her heels on.</t>
  </si>
  <si>
    <t>v_5c1jHhHUwPI</t>
  </si>
  <si>
    <t>pitcher throw the ball to the batter playing criquet.</t>
  </si>
  <si>
    <t>the batter is fighing with the man and other people trye to calm him down.</t>
  </si>
  <si>
    <t>a lo of people wearing black unifroms are running in the field fighting.</t>
  </si>
  <si>
    <t>v_oEZToisRw4w</t>
  </si>
  <si>
    <t>Various women are seen walking around with shot puts in their hands followed by more shots of athletes walking around, throwing the ball, and waving to the crowd.</t>
  </si>
  <si>
    <t>The video continues on with several different shots of female athletes throwing shot puts as well as cheering to the crowd and moving around.</t>
  </si>
  <si>
    <t>v_KnI7IWbLWmE</t>
  </si>
  <si>
    <t>Two men play bagpipes, while being photographed at an outdoor military and police ceremony with a speaker at a podium surrounded by men in uniform and in front of a formally seated audience.</t>
  </si>
  <si>
    <t>Two men play bagpipes in front of a row of police officers and a man in a military uniform, all as a photographer takes their photo from below.</t>
  </si>
  <si>
    <t>The camera pans to a man in a suit standing at a podium in front of a group of people who are standing along with the rows of people in uniform behind the speaker.</t>
  </si>
  <si>
    <t>The camera then pans to three military planes flying overhead as part of the ceremony before returning to the people, who are standing, in front of the man at the podium.</t>
  </si>
  <si>
    <t>v_LnEed8TnWwk</t>
  </si>
  <si>
    <t>Shots of people standing on the sides are shown as well as a group of girls playing tug of war with one another.</t>
  </si>
  <si>
    <t>Several more shots are shown of girls playing tug of war against one another while people celebrate on the sides as well as with their team mates.</t>
  </si>
  <si>
    <t>v_SMhW9V-cJsQ</t>
  </si>
  <si>
    <t>A man wearing gloves is on his hands and knees using a power tool that is creating sparks.</t>
  </si>
  <si>
    <t>He continues using the object as the camera man watches and finishes burning the object.</t>
  </si>
  <si>
    <t>v_p31a9wkiSHA</t>
  </si>
  <si>
    <t>boy is standing in front of a door talking with other boys in front of a kitchen.</t>
  </si>
  <si>
    <t>man walks to the living room in front of a ping pong table.</t>
  </si>
  <si>
    <t>man are putting the shoes, grabs a skateboard and is skateboarding by a sidewalk with her friends.</t>
  </si>
  <si>
    <t>man is hanging from lianas on a tree on a park.</t>
  </si>
  <si>
    <t>v_lIb8_YksZyg</t>
  </si>
  <si>
    <t>A kid is standing with some men at a chair lift, dressed in ski gear.</t>
  </si>
  <si>
    <t>The boy skis down a hill, but falls down.</t>
  </si>
  <si>
    <t>He then is shown doing a flip in the air, followed by several ramp and flipping tricks.</t>
  </si>
  <si>
    <t>When they are done, they go inside a building.</t>
  </si>
  <si>
    <t>v_zIvC3Yytcv0</t>
  </si>
  <si>
    <t>Various groups of men are shown that leads into a man wearing a uniform and speaking to the camera.</t>
  </si>
  <si>
    <t>He then leads a group of people to play an instrument all together while the camera pans around.</t>
  </si>
  <si>
    <t>v_bESksIhdEvo</t>
  </si>
  <si>
    <t>A man is seen standing in front of a sink scrubbing it down with a sponge.</t>
  </si>
  <si>
    <t>The man continues wiping down the counter while occasionally looking at the camera.</t>
  </si>
  <si>
    <t>v_ynda_PQe_CM</t>
  </si>
  <si>
    <t>Several men are playing indoor soccer.</t>
  </si>
  <si>
    <t>A large crowd watches from the stands.</t>
  </si>
  <si>
    <t>A man wearing yellow kicks the ball into the goal and celebrates with his team before a replay of his goal is shown.</t>
  </si>
  <si>
    <t>The game continues and two men knock each other down before the red team scores a goal and a replay is shown.</t>
  </si>
  <si>
    <t>The yellow team tries to score and is blocked multiple times before finally scoring and a replay of this goal is shown twice.</t>
  </si>
  <si>
    <t>The game continues until the red team scores.</t>
  </si>
  <si>
    <t>A man from each team kicks the ball at the goal, each man gets the ball in the net and it flies back out.</t>
  </si>
  <si>
    <t>The same thing happens for one more man from each team.</t>
  </si>
  <si>
    <t>When the next red team member kicks, the goalie blocks the ball.</t>
  </si>
  <si>
    <t>Another man from each team scores before the goalie blocks a ball kicked by a man in yellow.</t>
  </si>
  <si>
    <t>Another ball from thew red team is blocked and two men from the sidelines in suits jump up and run on to the court and shake hands with a few players.</t>
  </si>
  <si>
    <t>The players celebrate some being followed by a camera.</t>
  </si>
  <si>
    <t>Men in suits hand a trophy to a man in yellow and he holds it over his head with everyone in the background celebrating.</t>
  </si>
  <si>
    <t>v_YW3mCNKVaa4</t>
  </si>
  <si>
    <t>A view is shown of steep mountain snow.</t>
  </si>
  <si>
    <t>Skiers are traveling on a lift.</t>
  </si>
  <si>
    <t>They are sledding on the snow down a steep hill.</t>
  </si>
  <si>
    <t>v_8NfYYT8d3EQ</t>
  </si>
  <si>
    <t>A text that reads "Deeba's Recipe" appears on the screen.</t>
  </si>
  <si>
    <t>The video then cuts to a woman standing behind a table filled with cooking ingredients.</t>
  </si>
  <si>
    <t>She speaks to the camera while showing some of what she has prepped for the dish.</t>
  </si>
  <si>
    <t>She places the various ingredients into a bowl and garnishes it very precisely.</t>
  </si>
  <si>
    <t>She then pours a sauce all over it.</t>
  </si>
  <si>
    <t>She then speaks to the camera some more to offer tips on how to make the dish.</t>
  </si>
  <si>
    <t>Another set of text showing "Deeba's" recipe is shown again.</t>
  </si>
  <si>
    <t>v_Me3ykrZobJE</t>
  </si>
  <si>
    <t>A person is seen holding a wrapped gift and begins wrapping paper around a box.</t>
  </si>
  <si>
    <t>The girl pushes it down on the sides and begins tapping the box.</t>
  </si>
  <si>
    <t>She finishes tapping all around the box and ends by presenting it to the camera.</t>
  </si>
  <si>
    <t>v_IQp6JF5v1qc</t>
  </si>
  <si>
    <t>The screen opens up with an ACDC promo.</t>
  </si>
  <si>
    <t>A little boy is speaking to the camera.</t>
  </si>
  <si>
    <t>The little boy begins to break dance and does many flips.</t>
  </si>
  <si>
    <t>He stands up and begins to rap.</t>
  </si>
  <si>
    <t>v_dHzX9NqyBZw</t>
  </si>
  <si>
    <t>man is standing behind a counte behind the pool.</t>
  </si>
  <si>
    <t>two men are standing on top of trampolines and make a Synchronized jump into the pool.</t>
  </si>
  <si>
    <t>man is going up the stairs to the trampoline.</t>
  </si>
  <si>
    <t>v_So4BX0I1VRI</t>
  </si>
  <si>
    <t>The person is shown knocking down 9 of the bowling pins, which means he has a spare.</t>
  </si>
  <si>
    <t>Next he knocks all of the pins down and gets a strike.</t>
  </si>
  <si>
    <t>v_a_sm5Hv7HNw</t>
  </si>
  <si>
    <t>Three kids are climbing up a mountain with out any rope.</t>
  </si>
  <si>
    <t>Then, they are hanging out in their room laughing and having fun.</t>
  </si>
  <si>
    <t>They're just three best friend doing everything together, walking, shopping, relaxing and climbing mountains.</t>
  </si>
  <si>
    <t>When they get to the top of the mountain they hug each other.</t>
  </si>
  <si>
    <t>v__-M4xNBhSEI</t>
  </si>
  <si>
    <t>A group is playing football on a large field.</t>
  </si>
  <si>
    <t>A green ball suddenly bounces across the fifty yard line.</t>
  </si>
  <si>
    <t>It comes to a stop, and the people back away.</t>
  </si>
  <si>
    <t>v_mc5XVTo5PVk</t>
  </si>
  <si>
    <t>A female gymnast mounts a high beam in front of her coach.</t>
  </si>
  <si>
    <t>She does several flips forward and backward.</t>
  </si>
  <si>
    <t>She dismounts, and he claps as she walks away.</t>
  </si>
  <si>
    <t>v_reit7blyxIo</t>
  </si>
  <si>
    <t>A man is lying in bed under the covers.</t>
  </si>
  <si>
    <t>He sits up on the edge of the bed, scratching his beard.</t>
  </si>
  <si>
    <t>He then stares at the shaver on his table, picking it up.</t>
  </si>
  <si>
    <t>The man shaves his bear, making it much shorter before lying down in bed, cuddling with the bag filled with his beard hair.</t>
  </si>
  <si>
    <t>v_5cTnHXcD7DE</t>
  </si>
  <si>
    <t>A large group of people are seen running down the street while many watch on the sides.</t>
  </si>
  <si>
    <t>Several people are seen speaking to the camera as more shots are shown of people running.</t>
  </si>
  <si>
    <t>People cheer others on on the sides as well as marching bands playing and people still running.</t>
  </si>
  <si>
    <t>v_Ayix_aDOrzs</t>
  </si>
  <si>
    <t>A girl is shown looking at several pictures of hairstyle and leads into another cutting one's hair.</t>
  </si>
  <si>
    <t>The kids sits patiently with a towel on her head and speaking to the camera.</t>
  </si>
  <si>
    <t>A goldfish is shown followed by a man cutting and styling her hair.</t>
  </si>
  <si>
    <t>The man cuts the girl's hair and styles it into an adorable look.</t>
  </si>
  <si>
    <t>The girl smiles and leaves the hair salon looking happy.</t>
  </si>
  <si>
    <t>v_4q7LmVSgIPk</t>
  </si>
  <si>
    <t>A person is talking on camera while showing various tools on the ground.</t>
  </si>
  <si>
    <t>A person is putting objects in front of a tire to move the car.</t>
  </si>
  <si>
    <t>A person drives the car over the object to move it.</t>
  </si>
  <si>
    <t>The tire is now sitting on top of an object and they take it off.</t>
  </si>
  <si>
    <t>A person brings out an old bike and talk about what needs to be done.</t>
  </si>
  <si>
    <t>v_W0RYvQUUNe0</t>
  </si>
  <si>
    <t>The person is parasailing the water.</t>
  </si>
  <si>
    <t>As the person sail, he started to bounce on the water.</t>
  </si>
  <si>
    <t>The person maneuver the sail to turn around.</t>
  </si>
  <si>
    <t>v_SvMIG1JlcMk</t>
  </si>
  <si>
    <t>Women are dancing on a stage.</t>
  </si>
  <si>
    <t>Women are waving flags around behind them.</t>
  </si>
  <si>
    <t>A woman is doing a belly dance in the middle of the stage.</t>
  </si>
  <si>
    <t>v_IeqBzYDyHGQ</t>
  </si>
  <si>
    <t>The video begins with shots of people cheering as well as several shots of players standing on a sand pit.</t>
  </si>
  <si>
    <t>The crowd is seen doing the wave and continues to cheer as the camera shows various clips of a soccer match going on.</t>
  </si>
  <si>
    <t>v_soDdkeamoMM</t>
  </si>
  <si>
    <t>A boy is swinging back and forth.</t>
  </si>
  <si>
    <t>The boy then falls on his face and cries.</t>
  </si>
  <si>
    <t>v_H2-rEH9TXR4</t>
  </si>
  <si>
    <t>A woman in blue shorts hands a man a dart.</t>
  </si>
  <si>
    <t>A man in a white hat throws a dart at a board.</t>
  </si>
  <si>
    <t>The woman walks up to the board.</t>
  </si>
  <si>
    <t>v_ztogHoQpE4A</t>
  </si>
  <si>
    <t>A man is working over the back of a trailer.</t>
  </si>
  <si>
    <t>He is welding the metal between two pieces of wood.</t>
  </si>
  <si>
    <t>Sparks fly as he works, crouching down on the sidewalk.</t>
  </si>
  <si>
    <t>v_rHWOESWciSc</t>
  </si>
  <si>
    <t>A man in a chef's outfit is talking in a kitchen while holding a potato.</t>
  </si>
  <si>
    <t>A man is working behind him as he peels the potato with a tool.</t>
  </si>
  <si>
    <t>He peels extremely fast, finishing in seconds.</t>
  </si>
  <si>
    <t>v_ZjbBmS8Q8kM</t>
  </si>
  <si>
    <t>First different kinds pool balls are shown lined up.</t>
  </si>
  <si>
    <t>Then the boy starts to play pool all by himself with the balls.</t>
  </si>
  <si>
    <t>v_kdQfR6oqJ_M</t>
  </si>
  <si>
    <t>There are several jockey riding brown horses in a stadium during a derby event.</t>
  </si>
  <si>
    <t>There crowd is cheering loudly as they stand with straw hats and umbrellas.</t>
  </si>
  <si>
    <t>The jockeys are getting ready to play polo as they move around with their sticks.</t>
  </si>
  <si>
    <t>A woman cheers loudly in the camera.</t>
  </si>
  <si>
    <t>The jockeys ride slowly around the field.</t>
  </si>
  <si>
    <t>v_fX3tcnTdAN4</t>
  </si>
  <si>
    <t>The boys lacrosse team is shown working out.</t>
  </si>
  <si>
    <t>They are then running drills on the gravel.</t>
  </si>
  <si>
    <t>Next, the team is in a scrimmage on the field.</t>
  </si>
  <si>
    <t>After that they were shown playing an actual game, running back and forth.</t>
  </si>
  <si>
    <t>Lastly a few members are at a professional game.</t>
  </si>
  <si>
    <t>v_1gradpCDbPU</t>
  </si>
  <si>
    <t>A woman is seen bending over a sink with a small child next to her.</t>
  </si>
  <si>
    <t>The woman and child stick their hands under a sink to wash them off.</t>
  </si>
  <si>
    <t>The woman dries the girls hands in the end and shows her putting lotion on.</t>
  </si>
  <si>
    <t>v_zgdT41KjjrE</t>
  </si>
  <si>
    <t>A guy stands next to horses with a clipboard.</t>
  </si>
  <si>
    <t>A guy walks under a horse fence.</t>
  </si>
  <si>
    <t>A person leads a horse.</t>
  </si>
  <si>
    <t>The guy gets on top of the horse.</t>
  </si>
  <si>
    <t>The guy pats the horse and goes horseback riding.</t>
  </si>
  <si>
    <t>People go horseback riding down a trail.</t>
  </si>
  <si>
    <t>v_aRurjtzwmS8</t>
  </si>
  <si>
    <t>A shot of a building leads into a 3d game of men sumo wrestling.</t>
  </si>
  <si>
    <t>The game continues on with the characters fighting and a ref watching on the side.</t>
  </si>
  <si>
    <t>The game ends and shows more pictures of men sumo wrestling and pointing.</t>
  </si>
  <si>
    <t>v_JMIvoKPtxRA</t>
  </si>
  <si>
    <t>A red, white and black intro has a logo and the words and letter W2K15.</t>
  </si>
  <si>
    <t>The video game begins and there are 3 characters against 1 character and they are wrestling in a rink performing numerous tricks like strangling, hitting, running into the character to make them fall, or picking them up and then slamming them down to the ground while the referee is standing in the corner.</t>
  </si>
  <si>
    <t>A new round begins with different characters wrestling and the referee tries to stop them but one of the characters picks the referee up and then slams him to the ground where he lays there for a few seconds.</t>
  </si>
  <si>
    <t>The referee gets up and then kicks one of the characters out of the rink then he drops on the ground to bang his hand on the rink to end the wresting round.</t>
  </si>
  <si>
    <t>The outro video begins and it's the same as the intro video.</t>
  </si>
  <si>
    <t>v_Zest0gXEWEc</t>
  </si>
  <si>
    <t>A logo for "The Galley" with the tagline "Reinventing the Kitchen" briefly appears.</t>
  </si>
  <si>
    <t>The scene is narrated by a female speaker.</t>
  </si>
  <si>
    <t>A woman with blond hair prepares a sink dishwashing station with a hanging sink and drying bars above a metal channel.</t>
  </si>
  <si>
    <t>The woman washes glasses, plates and knives and then places each on the racks to dry.</t>
  </si>
  <si>
    <t>The woman finishes by pulling the plug on the hanging sink allowing the water to flow away in the channel underneath.</t>
  </si>
  <si>
    <t>"The Galley" logo appears again.</t>
  </si>
  <si>
    <t>v_tETVZtWqdDs</t>
  </si>
  <si>
    <t>woman is in the news talking to the camera about a hand sunscreen.</t>
  </si>
  <si>
    <t>woman is holding a sunscreen tube and put it in her arms, hands and face and the woman in studio keeps talkin about the natural sunscreen.</t>
  </si>
  <si>
    <t>v_LmEUkoYh0nQ</t>
  </si>
  <si>
    <t>A text intro leads into several shots of a pumpkin as well as tools followed by a man carving the pumpkin.</t>
  </si>
  <si>
    <t>The man draws and cuts away all around the front of the pumpkin while moving in fast motion.</t>
  </si>
  <si>
    <t>The man finishes his pumpkin and the camera pans all around the side.</t>
  </si>
  <si>
    <t>v_KqOLTkf5ujs</t>
  </si>
  <si>
    <t>a man is standing outside with a paint pan.</t>
  </si>
  <si>
    <t>He talks as he demonstrates how to paint outdoor wood.</t>
  </si>
  <si>
    <t>He shows off a paint roller.</t>
  </si>
  <si>
    <t>He continues talking about the process as he stands there.</t>
  </si>
  <si>
    <t>v_1DvNkSGk-JA</t>
  </si>
  <si>
    <t>A man is holding onto a bar as he is standing on a water ski.</t>
  </si>
  <si>
    <t>He is being pulled through the water by a motor boat.</t>
  </si>
  <si>
    <t>He is water skiing over a long lake, trying to remain upright.</t>
  </si>
  <si>
    <t>v_WUYSGCwm6OM</t>
  </si>
  <si>
    <t>A woman in a bathrobe facing a mirror cleans her hands.</t>
  </si>
  <si>
    <t>The camera cuts to closeup scenes of her fingers picking up a contact lens and holding it up.</t>
  </si>
  <si>
    <t>The camera briefly cuts to the woman's face before returning.</t>
  </si>
  <si>
    <t>The woman puts the contact lens on her eye.</t>
  </si>
  <si>
    <t>The woman applies contact lens solution into her lens carrying case.</t>
  </si>
  <si>
    <t>The woman washes her hands.</t>
  </si>
  <si>
    <t>The woman removes the contact lens from her eye.</t>
  </si>
  <si>
    <t>The woman places the lens on her palm and, using solution, cleans it.</t>
  </si>
  <si>
    <t>The woman places the lens into the case and adds solution.</t>
  </si>
  <si>
    <t>The woman begins to leave the camera frame.</t>
  </si>
  <si>
    <t>v_XPN_PSadJ_A</t>
  </si>
  <si>
    <t>A person is seen sitting on a bike before a track looking down.</t>
  </si>
  <si>
    <t>The man then begins riding down the track with several others riding in front.</t>
  </si>
  <si>
    <t>The person rides all around the area and ends with a go pro logo.</t>
  </si>
  <si>
    <t>v_8TNzCiy8iaY</t>
  </si>
  <si>
    <t>A man wearing a suit in the city walks down the streets of new york and meets up with another man who likes just like him.</t>
  </si>
  <si>
    <t>The men compare items and then perform a dance routine in the center.</t>
  </si>
  <si>
    <t>The men grabs hands to end the routine then walk away from one another.</t>
  </si>
  <si>
    <t>v_MmYNcmba_Ps</t>
  </si>
  <si>
    <t>An athlete is seen walking forward while shaking her arms and legs around and adjusting her swim suit.</t>
  </si>
  <si>
    <t>The girl bends forward and performs a dive into the pool while the camera pans back to a scoreboard.</t>
  </si>
  <si>
    <t>v__5UtmlGMIUc</t>
  </si>
  <si>
    <t>A man has his foot up on the toilet.</t>
  </si>
  <si>
    <t>He starts shaving his leg with a shaver.</t>
  </si>
  <si>
    <t>He pulls up his pants and starts shaving his other leg.</t>
  </si>
  <si>
    <t>v_FhWxgGQtCJY</t>
  </si>
  <si>
    <t>A man is shoveling up some mulch into a wheel barrel.</t>
  </si>
  <si>
    <t>He brings the wheel barrel over and dumps it in a pile where a woman is using a rake to spread it evenly out.</t>
  </si>
  <si>
    <t>They continue to bring over loads of the mulch and a man dumps over a little tractor of dirt.</t>
  </si>
  <si>
    <t>He rides off on the little deer john tractor while the others continue raking.</t>
  </si>
  <si>
    <t>v_pKOwZrmQan4</t>
  </si>
  <si>
    <t>A person is seen walking around a field followed by several shots off the field and people watching on the sides.</t>
  </si>
  <si>
    <t>The video transitions into several shots of trainers doing tricks with their dogs using frisbees.</t>
  </si>
  <si>
    <t>The people continuously throw the frisbee around the field while the dog chases afterwards and runs around the field.</t>
  </si>
  <si>
    <t>v_n7AaZhEOJSY</t>
  </si>
  <si>
    <t>The video begins with a man performing various ballet moves while the camera follows and repeats in slow motion.</t>
  </si>
  <si>
    <t>The man interviews the camera and leads into another dancer performing steps.</t>
  </si>
  <si>
    <t>Several more people are seen performing dance moves and speaking to the camera.</t>
  </si>
  <si>
    <t>v_qi_6u0mMJQM</t>
  </si>
  <si>
    <t>A person shows a piece of furniture.</t>
  </si>
  <si>
    <t>Then, the person covers a wood box with carpet and cuts the leftovers.</t>
  </si>
  <si>
    <t>Then, the person fold the carpet on the borders and cut the parts not needed.</t>
  </si>
  <si>
    <t>v_MOBJ_kpzHc0</t>
  </si>
  <si>
    <t>A caucasion woman is standing in the kitchen talking to a toddler and they begin banging their fist on the island.</t>
  </si>
  <si>
    <t>A red screen appears with a picture of lemonade and the two reappear.</t>
  </si>
  <si>
    <t>The lady begins talking extremely energetic to the camera.</t>
  </si>
  <si>
    <t>The two then begin dumping ingredients into a blender,beginning with strawberries and ending with syrup.</t>
  </si>
  <si>
    <t>Lastly,the toddler dumps a cup of ice in the blender and the lady blends the ingredients.</t>
  </si>
  <si>
    <t>Once done,the lady grabs two cups and fills them up and the two of them enjoy a drink together.</t>
  </si>
  <si>
    <t>v_F54PZypvzCc</t>
  </si>
  <si>
    <t>A little boy is standing in a living room.</t>
  </si>
  <si>
    <t>He is throwing darts at a target.</t>
  </si>
  <si>
    <t>He walks over and removes the darts before trying again.</t>
  </si>
  <si>
    <t>v_GvRPOGpObyU</t>
  </si>
  <si>
    <t>Alcohol is shown being poured into a glass and leads into a woman holding up a glass and pouring ice into it.</t>
  </si>
  <si>
    <t>The woman then pours various alcohol mixes into the glass and ends by presenting the glass to the camera.</t>
  </si>
  <si>
    <t>v_p4KNKI2UZLc</t>
  </si>
  <si>
    <t>An American gymnast climbs the balance beam, the she performs four flips backwards and one flip forward.</t>
  </si>
  <si>
    <t>Then, the gymnast spins backward one time on her side, then she jumps and flips two times backwards.</t>
  </si>
  <si>
    <t>After the gymnast jumps, spins and turns.</t>
  </si>
  <si>
    <t>The gymnast stands on the end of the beam, then she runs and flips to times and end stand on the mat.</t>
  </si>
  <si>
    <t>After, the gymnast raise her arms and she is congratulated by people.</t>
  </si>
  <si>
    <t>The routine of the gymnast is repeated again.</t>
  </si>
  <si>
    <t>v_cqxrPBGP4nU</t>
  </si>
  <si>
    <t>A before and after picture of a sink is shown.</t>
  </si>
  <si>
    <t>A person is then shown putting cleaner on a sponge and scrubbing a sink.</t>
  </si>
  <si>
    <t>The cleaning products and the clean sink are then shown.</t>
  </si>
  <si>
    <t>v_9ntzCNcFTKM</t>
  </si>
  <si>
    <t>Six children wearing white clothing and orange belts are in a room with others watching.</t>
  </si>
  <si>
    <t>A man yells an order and the children demonstrate their Taekwondo.</t>
  </si>
  <si>
    <t>The man yells again and the children line up and bow.</t>
  </si>
  <si>
    <t>The children demonstrate poses as the man orders them.</t>
  </si>
  <si>
    <t>They then perform more martial arts moves.</t>
  </si>
  <si>
    <t>They return to the line they were standing in previously.</t>
  </si>
  <si>
    <t>They demonstrate additional moves including kicks and punches.</t>
  </si>
  <si>
    <t>They line up again and bow for a second time.</t>
  </si>
  <si>
    <t>v_K5X_ytiMuqc</t>
  </si>
  <si>
    <t>A girl talks to a camera shes holding on followed by shots of a store and her dog in a car.</t>
  </si>
  <si>
    <t>She records several items shown around the store and then herself in a bikini.</t>
  </si>
  <si>
    <t>She puts the lotion on herself standing in front of a lake and smiling into the camera.</t>
  </si>
  <si>
    <t>v_Mg8y0rgD16M</t>
  </si>
  <si>
    <t>Several pictures of various foods are shown and leads into a person cutting foods on a cutting board.</t>
  </si>
  <si>
    <t>More pictures are shown while the man cuts up vegetables and mixes them into a bowl.</t>
  </si>
  <si>
    <t>He stirs around the ingredients and more pictures of the foods are shown.</t>
  </si>
  <si>
    <t>v_yjQ-0AGqFS4</t>
  </si>
  <si>
    <t>We see a boy playing drums in an instrument store.</t>
  </si>
  <si>
    <t>We see a man across the room playing drums.</t>
  </si>
  <si>
    <t>We see a girl, another boy, and the dad.</t>
  </si>
  <si>
    <t>We see the man across the room, then the boy.</t>
  </si>
  <si>
    <t>The boy in stripes touches something on the drums.</t>
  </si>
  <si>
    <t>We see the boy and the man at the same time.</t>
  </si>
  <si>
    <t>The boy in the stripes shirt rocks back and forth.</t>
  </si>
  <si>
    <t>The boy finishes and looks at the camera.</t>
  </si>
  <si>
    <t>v_V3dTp7_NyiE</t>
  </si>
  <si>
    <t>a man is working outside in a garden.</t>
  </si>
  <si>
    <t>He uses trimmers to cut pieces of a plant.</t>
  </si>
  <si>
    <t>When he is done, the plant is fully trimmed.</t>
  </si>
  <si>
    <t>v_qBEdCDpoeTc</t>
  </si>
  <si>
    <t>A blue screen flashes with yellow writing with a title page and several paragraphs.</t>
  </si>
  <si>
    <t>A man then appears in a cage with a circle in it spinning in circles before he throws a shot put.</t>
  </si>
  <si>
    <t>The video replays and it stops as he makes the correct steps to throw the ball beginning with the shoulder and following through with the rest of the body.</t>
  </si>
  <si>
    <t>v_kQoGS3YjBXk</t>
  </si>
  <si>
    <t>A man is shown speaking to the camera and leads into him standing in front of a bike frame.</t>
  </si>
  <si>
    <t>He points to the frame while speaking to the camera and leads into him screwing objects into place.</t>
  </si>
  <si>
    <t>The person continues to screw the frame as well as the chain while turning and speaking to the camera.</t>
  </si>
  <si>
    <t>v_rFx-j3NhSgI</t>
  </si>
  <si>
    <t>An empty gymnasium is shown when a girl hits a button the computer and begins starting a routine.</t>
  </si>
  <si>
    <t>She twirls around the gym floor with a baton and moves her arms around.</t>
  </si>
  <si>
    <t>She kicks her legs continuously with her arms.</t>
  </si>
  <si>
    <t>v_gIzsM5cv7XM</t>
  </si>
  <si>
    <t>A young girl is standing in the room in a black cami and black and white legs preparing talking.</t>
  </si>
  <si>
    <t>She is then shown talking to a young girl with a pink sweater and black skirt and multiple games of rock paper scissors are being played between her and two other girls.</t>
  </si>
  <si>
    <t>The girl with the pink sweater wins and she sits on the girls face.</t>
  </si>
  <si>
    <t>Afterwards,the three girls stand together and start talking to the camera.</t>
  </si>
  <si>
    <t>v_L2J_QI2_qms</t>
  </si>
  <si>
    <t>women are making some gymnasic jumps in a hallway.</t>
  </si>
  <si>
    <t>men and women are in department stores doing gymnastics jumps.</t>
  </si>
  <si>
    <t>woman is making a hand stand ni a parking lot and on stores.</t>
  </si>
  <si>
    <t>man is sanding in a fence in a mall looking o the first floor.</t>
  </si>
  <si>
    <t>v_flfLCoLHm2k</t>
  </si>
  <si>
    <t>A girl waves to the camera and begins speaking followed by various ingredients laid out.</t>
  </si>
  <si>
    <t>The girl then puts the ingredients on a plate and puts saran wrap over the food.</t>
  </si>
  <si>
    <t>She mixes up the food with other ingredients followed by bread on top and cut into pieces.</t>
  </si>
  <si>
    <t>She takes a bite of the food and eventually leads to pictures of her food next to a cup of tea.</t>
  </si>
  <si>
    <t>v_LeSq1XE93mE</t>
  </si>
  <si>
    <t>A band is shown on a stage.</t>
  </si>
  <si>
    <t>A man is playing guitar, and the man to his right is playing the drums.</t>
  </si>
  <si>
    <t>The person in front of them is dancing and singing.</t>
  </si>
  <si>
    <t>v_l5xW6UZWwBs</t>
  </si>
  <si>
    <t>There two old men wearing straw hats, dressed in t-shirts and shorts getting ready to play shuffleboard.</t>
  </si>
  <si>
    <t>There two other men standing a few yards away with their cue sticks.</t>
  </si>
  <si>
    <t>A woman with gray hair and a yellow shirt is seen playing shuffleboard.</t>
  </si>
  <si>
    <t>There are two discs on the ground that get hit by another disc.</t>
  </si>
  <si>
    <t>Several spectators are watching a shuffleboard event where various people are competing and playing.</t>
  </si>
  <si>
    <t>One of the players adjusts his discs before hitting it with the cue stick.</t>
  </si>
  <si>
    <t>v_vJyJG6Lvy9Q</t>
  </si>
  <si>
    <t>White text appears on a blue background.</t>
  </si>
  <si>
    <t>A girl in makeup and cheerleading outfit is shown at a game.</t>
  </si>
  <si>
    <t>Then we see a gymnast doing flips across a mat before doing a back handspring in several different styles.</t>
  </si>
  <si>
    <t>v_j8bfR_d_TlM</t>
  </si>
  <si>
    <t>A person makes a jack o lantern.</t>
  </si>
  <si>
    <t>First they cut the top off of a green pumpkin and scoop the seeds and other stuff out.</t>
  </si>
  <si>
    <t>The remaining insides are cut and scraped off with an ice cream scoop.</t>
  </si>
  <si>
    <t>A design is drawn on the pumpkin and then cut out.</t>
  </si>
  <si>
    <t>The inside of the pumpkin gets sprayed with mold remover and patted dry.</t>
  </si>
  <si>
    <t>A candle is placed inside and lit and the lid is put back on.</t>
  </si>
  <si>
    <t>With the lights turned down the jack o lantern can be viewed.</t>
  </si>
  <si>
    <t>v_I8m878YGmU8</t>
  </si>
  <si>
    <t>The video leads into several shots of olympic runners completing long jumps into pits of sand.</t>
  </si>
  <si>
    <t>The video continues on showing several different runners completing their jumps and them cheering to the crowd afterwards.</t>
  </si>
  <si>
    <t>v_ZDlw4L7oNfs</t>
  </si>
  <si>
    <t>Two people are chilling out on their skateboards.</t>
  </si>
  <si>
    <t>They fix some of the parts and then go skating around.</t>
  </si>
  <si>
    <t>v_8B3qhnSB7U8</t>
  </si>
  <si>
    <t>A woman is seen sitting in a chair laughing while a man points in front of her.</t>
  </si>
  <si>
    <t>The man then holds a gun up to her nose and pierces her nose.</t>
  </si>
  <si>
    <t>A woman plays with the girls hair while speaking to the girl and showing off her nose piercing.</t>
  </si>
  <si>
    <t>v_1ZuUq5rVwPs</t>
  </si>
  <si>
    <t>A carpenter sprays a ceiling with paint.</t>
  </si>
  <si>
    <t>A second carpenter smooths out the paint on the ceiling.</t>
  </si>
  <si>
    <t>The first carpenter sprays paint all over the ceiling.</t>
  </si>
  <si>
    <t>A couple of carpenters smooth out the paint on the ceiling.</t>
  </si>
  <si>
    <t>One of the carpenters is seen spraying the ceiling and stops for a second to move a light.</t>
  </si>
  <si>
    <t>The painting continues as well as the smoothing out of the paint.</t>
  </si>
  <si>
    <t>v_kWh_zSLpZuQ</t>
  </si>
  <si>
    <t>Kids are shown playing basketball on a court.</t>
  </si>
  <si>
    <t>The coach is talking to them and trying to tell them how to play.</t>
  </si>
  <si>
    <t>The kids perform lay ups.</t>
  </si>
  <si>
    <t>v_Tm1ebIrDyz0</t>
  </si>
  <si>
    <t>We see a girl run and perform a high jump and make it over the bar.</t>
  </si>
  <si>
    <t>We then see a replay and and slow motion replay.</t>
  </si>
  <si>
    <t>v_agX22QLvOcU</t>
  </si>
  <si>
    <t>A man is dribbling a basketball.</t>
  </si>
  <si>
    <t>He jumps and shoots the basketball into the hoop.</t>
  </si>
  <si>
    <t>Words are shown on the screen at the end.</t>
  </si>
  <si>
    <t>v_G4mX4StOvQE</t>
  </si>
  <si>
    <t>A woman is kneeling down on a blue mat.</t>
  </si>
  <si>
    <t>A man stands behind her talking.</t>
  </si>
  <si>
    <t>The woman starts moving her legs and arms.</t>
  </si>
  <si>
    <t>v_u_RzyIJi8qc</t>
  </si>
  <si>
    <t>Two men are standing outside with a crowd of people lifting weights and exercising.</t>
  </si>
  <si>
    <t>Many people begin to film the guys on their phone,the weight lifting continues and several people come back to do interviews.</t>
  </si>
  <si>
    <t>More people are shown and then a logo comes that is sponsored by Reebok.</t>
  </si>
  <si>
    <t>v_osLHgm_yuMc</t>
  </si>
  <si>
    <t>People are running around playing paintball.</t>
  </si>
  <si>
    <t>A man falls into a large puddle of mud.</t>
  </si>
  <si>
    <t>A man falls down and another man runs up to check on him.</t>
  </si>
  <si>
    <t>v_EgPk-mmJyS8</t>
  </si>
  <si>
    <t>A woman is seen speaking to the camera and leads into her laying out a paid of shorts.</t>
  </si>
  <si>
    <t>She then demonstrates how to properly iron the clothing items.</t>
  </si>
  <si>
    <t>v_0dgmG3h9RLA</t>
  </si>
  <si>
    <t>A person is playing bagpipes out in a park.</t>
  </si>
  <si>
    <t>A man and two boys watching from a far.</t>
  </si>
  <si>
    <t>The camera shoots areas all around the park while the bagpipes play.</t>
  </si>
  <si>
    <t>v_8im-T1bsyHs</t>
  </si>
  <si>
    <t>An athlete is seen running down a large track and throwing a javelin into the air.</t>
  </si>
  <si>
    <t>Her throw is shown again in slow motion followed by several more athletes who take their turns.</t>
  </si>
  <si>
    <t>v_81w6SClSFMU</t>
  </si>
  <si>
    <t>We see an opening title screens.</t>
  </si>
  <si>
    <t>People are working on cameras in a workshop.</t>
  </si>
  <si>
    <t>We see them mount it to a tube.</t>
  </si>
  <si>
    <t>the lady then dances the hula hoop with the tube.</t>
  </si>
  <si>
    <t>We see a blonde man making adjustments to the tube.</t>
  </si>
  <si>
    <t>We see the closing end screen.</t>
  </si>
  <si>
    <t>v_NxnEKnqWLCI</t>
  </si>
  <si>
    <t>A camera pans around a group of people sitting at a table followed by a man holding a surf board.</t>
  </si>
  <si>
    <t>The man carries the board out onto the water and begins riding the water.</t>
  </si>
  <si>
    <t>The person continues to ride around following behind another person on the water.</t>
  </si>
  <si>
    <t>v_Sh8JODtAMhc</t>
  </si>
  <si>
    <t>Various shots of a theme park are shown including rides moving, people playing games, and other people interacting with one another.</t>
  </si>
  <si>
    <t>Two men are then shown driving around an area on bumper cars while laughing to the camera and others speaking to the camera.</t>
  </si>
  <si>
    <t>The men continue riding around and ends with a woman pulling down a cover for the game.</t>
  </si>
  <si>
    <t>v_9ZnJyY_-Hzw</t>
  </si>
  <si>
    <t>A man walks across a tightrope, as seen from the view of the underside of the rope.</t>
  </si>
  <si>
    <t>A pan out of the river and a ferry is seen in Hong Kong.</t>
  </si>
  <si>
    <t>A man puts on a show as he balances in several different positions on a tightrope for a small crowd.</t>
  </si>
  <si>
    <t>Another man joins him,and they balance,walk, and do push ups.</t>
  </si>
  <si>
    <t>v_lHnSteuHdZ4</t>
  </si>
  <si>
    <t>A person is walking slow on ice,trying to to crack it.</t>
  </si>
  <si>
    <t>the person made many mid size hole in the ice and have fishing line hanging deep in the water underneath.</t>
  </si>
  <si>
    <t>the person walking to one of the hole and checks the fishing line to see if he caught nay fish.</t>
  </si>
  <si>
    <t>the guy then pulls hard on the fishing line and drags it in.</t>
  </si>
  <si>
    <t>finally he uses a long metal hook to hook the fish he caught and brings it out the hole.</t>
  </si>
  <si>
    <t>he then unhooks the long hook and use his tools to unhook the small fishing hook the the fish mouth leaving the fish bloody.</t>
  </si>
  <si>
    <t>v__nvQDglPcmc</t>
  </si>
  <si>
    <t>water polo team is standing by the pool talking to the camera.</t>
  </si>
  <si>
    <t>man jumps in the water and is holding a ball and sart playing in the pool.</t>
  </si>
  <si>
    <t>v_I637SOXSbHY</t>
  </si>
  <si>
    <t>A man bends down and picks up two kettle bells.</t>
  </si>
  <si>
    <t>He raises and lowers the kettle bells.</t>
  </si>
  <si>
    <t>He puts them down on the grass in front of him.</t>
  </si>
  <si>
    <t>v__s20ZN8WZbo</t>
  </si>
  <si>
    <t>A man stands behind a bar with several mixed drinks.</t>
  </si>
  <si>
    <t>He pours ice into a glass and tops it with different liquors.</t>
  </si>
  <si>
    <t>He then adds a small straw.</t>
  </si>
  <si>
    <t>v_RlC3n0VSGOU</t>
  </si>
  <si>
    <t>An intro leads into clips of people riding surfboards on the water as well as jet skis.</t>
  </si>
  <si>
    <t>The camera pans around the area and continues to show more clips of people surfing.</t>
  </si>
  <si>
    <t>A close up of a surf board is shown followed by many more people surfing on the water.</t>
  </si>
  <si>
    <t>v_HfjvlIAEsJY</t>
  </si>
  <si>
    <t>A screen appears with bike spokes as the background and red words that read "Overhauling &amp; Adjusting Cup &amp; Cone Hubs" and a website in gray right under the red words.</t>
  </si>
  <si>
    <t>A man then enters and from behind he uses tools on the hub to take it apart, clean it thoroughly, grease it, then he puts it all back together and makes sure everything is secured tight.</t>
  </si>
  <si>
    <t>The outro is a spinning wheel with fast scrolling words going from the bottom to the top then it quickly fades to a black screen.</t>
  </si>
  <si>
    <t>v_ObU5as8-u-s</t>
  </si>
  <si>
    <t>To teams play hurling in a field while holding stick.</t>
  </si>
  <si>
    <t>A woman stand and a lady walk on front a bench.</t>
  </si>
  <si>
    <t>The referee extend his left arm.</t>
  </si>
  <si>
    <t>v_gK71Ut9XQ-Y</t>
  </si>
  <si>
    <t>Various shots of tools are shown that lead into a man sitting down holding a guitar.</t>
  </si>
  <si>
    <t>The man then strums the guitar for a bit and pauses.</t>
  </si>
  <si>
    <t>He is then shown playing again as well as more tools being shown.</t>
  </si>
  <si>
    <t>v_wfy5UXaAVnQ</t>
  </si>
  <si>
    <t>Multiple groups of people in boats are out exploring a river.</t>
  </si>
  <si>
    <t>Wind blows the trees in the Grand Canyon.</t>
  </si>
  <si>
    <t>A group of people on a white boat paddle away at the waters in the river.</t>
  </si>
  <si>
    <t>Multiple groups battle high violent waters.</t>
  </si>
  <si>
    <t>At one point, the violent waters seem to almost topple one of the groups.</t>
  </si>
  <si>
    <t>A brave, single kayaker paddles away at the waters.</t>
  </si>
  <si>
    <t>v_pExl_cwmT8M</t>
  </si>
  <si>
    <t>A middle aged man is standing in the street wearing rollerblades.</t>
  </si>
  <si>
    <t>The man precisely skates in-between a tight row of small cones.</t>
  </si>
  <si>
    <t>The man does a handstand after completing the course and goes back to the beginning.</t>
  </si>
  <si>
    <t>v_iH8eHkIHrg4</t>
  </si>
  <si>
    <t>Two men walk along the beach with their surfboards.</t>
  </si>
  <si>
    <t>They enter the water and the surfer with the white board catches a wave.</t>
  </si>
  <si>
    <t>White board catches another wave as the blue board opts out, more waves taken by white board are shown.</t>
  </si>
  <si>
    <t>The surfer on the blue board catches a few waves.</t>
  </si>
  <si>
    <t>The white board surfer is shown gliding across more waves, clearly like an expert.</t>
  </si>
  <si>
    <t>v_Bl2Hqx3h9Fw</t>
  </si>
  <si>
    <t>A series of screens appear with white and purple words in paragraph form.</t>
  </si>
  <si>
    <t>A person is then shown walking out to the car with a utensil taking the snow off of the glass.</t>
  </si>
  <si>
    <t>Then another screen appears with white words and displays a sentence and the location.</t>
  </si>
  <si>
    <t>v_iUOCQ9sE2_A</t>
  </si>
  <si>
    <t>Two people are seen standing on a mat and begin fighting one another.</t>
  </si>
  <si>
    <t>The men pause for a moment and continue fighting on while people watch on the side.</t>
  </si>
  <si>
    <t>The boys continue fighting and stop in the end.</t>
  </si>
  <si>
    <t>v_brrf2inGs7E</t>
  </si>
  <si>
    <t>A person is seen turning on a faucet and rubbing their hands under the water.</t>
  </si>
  <si>
    <t>The person pushes soap into their hands, watching the soap drip down, and then scrubs their hands.</t>
  </si>
  <si>
    <t>v_-ApIBtH_pVc</t>
  </si>
  <si>
    <t>There's a woman with a hand tattoo and red painted nails attaching and screwing a parts in the trunk of a car to attach the spare tire.</t>
  </si>
  <si>
    <t>Then she places the spare tire into the metal case.</t>
  </si>
  <si>
    <t>She takes the plastic dial and screws it in securely to fit the spare tire in the trunk.</t>
  </si>
  <si>
    <t>She places the cover over the tire inside the trunk.</t>
  </si>
  <si>
    <t>v_pON-g7IJKEY</t>
  </si>
  <si>
    <t>There are many kids ranging from toddlers to teenagers enjoying themselves at a backyard birthday party.</t>
  </si>
  <si>
    <t>There is a Disney princess piñata hanging from a tree.</t>
  </si>
  <si>
    <t>The kids are enjoying hitting the piñata with a blue stick.</t>
  </si>
  <si>
    <t>they kids take turns to hit the piñata.</t>
  </si>
  <si>
    <t>A little girl dressed in a purple skirt tries to tear the piñata by hitting it hard with the stick.</t>
  </si>
  <si>
    <t>v_Mil3AyFfjX4</t>
  </si>
  <si>
    <t>A young child is seen standing before a shuffleboard table holding a stick.</t>
  </si>
  <si>
    <t>The boy then pushes the puck across the game.</t>
  </si>
  <si>
    <t>The camera follows the pucks movements and leads back to the boy.</t>
  </si>
  <si>
    <t>v_4xmQoAK3QNc</t>
  </si>
  <si>
    <t>A man hits a ball with a bat.</t>
  </si>
  <si>
    <t>Three men stand on a field.</t>
  </si>
  <si>
    <t>One man throws a ball on the field.</t>
  </si>
  <si>
    <t>Three men flip a coin.</t>
  </si>
  <si>
    <t>v_0PnAEoMx-v0</t>
  </si>
  <si>
    <t>A person is playing an acoustic guitar.</t>
  </si>
  <si>
    <t>There is a Christmas tree behind him.</t>
  </si>
  <si>
    <t>A logo with words comes onto the screen.</t>
  </si>
  <si>
    <t>v_uINj6L2EEUs</t>
  </si>
  <si>
    <t>Different views around a city are seen.</t>
  </si>
  <si>
    <t>A large crowd is seen cheering inside a large auditorium.</t>
  </si>
  <si>
    <t>Athletes walk together through a hallway then stand on logs and chop through them in a competition.</t>
  </si>
  <si>
    <t>Two athletes walk through wearing green and orange jerseys then saw through large logs in a competition.</t>
  </si>
  <si>
    <t>The judge inspects the log and declares a winner to the crowds delight.</t>
  </si>
  <si>
    <t>Two athletes walk through a hallway then chop an upright log in a competition.</t>
  </si>
  <si>
    <t>Cheerleaders enter through a hallway then dance on stage.</t>
  </si>
  <si>
    <t>Two athletes enter through a hallway then use a hand saw to cut through a log.</t>
  </si>
  <si>
    <t>Two athletes enter through a hallway then place boards into a log to stand on while chopping it down.</t>
  </si>
  <si>
    <t>Athletes compete in a chainsaw competition and saw through large logs before congratulating each other.</t>
  </si>
  <si>
    <t>The winner is seen holding a trophy along with runners up and the crowd cheers.</t>
  </si>
  <si>
    <t>v_Xv2-EY_zKNM</t>
  </si>
  <si>
    <t>These 2 different teams are running on the field because they're playing shinty.</t>
  </si>
  <si>
    <t>Only half of the crowd is filled with people, while the other side is empty with no one there to watch anything.</t>
  </si>
  <si>
    <t>In the end, someone wins and people in the crowd clap and cheer.</t>
  </si>
  <si>
    <t>v_T3CHT7rQQVc</t>
  </si>
  <si>
    <t>A man is seated with an electric guitar.</t>
  </si>
  <si>
    <t>He is speaking to the camera, then he starts playing.</t>
  </si>
  <si>
    <t>Another man plays the chords on a table.</t>
  </si>
  <si>
    <t>v_P_b6_k2ocYw</t>
  </si>
  <si>
    <t>A woman in a hat and a vest stands buy a cart.</t>
  </si>
  <si>
    <t>She is crocheting something black and white.</t>
  </si>
  <si>
    <t>A car drives by the cart.</t>
  </si>
  <si>
    <t>Another person reaches into the car.</t>
  </si>
  <si>
    <t>v_OSw73cXwjR4</t>
  </si>
  <si>
    <t>A person wearing a hat is sitting no a couch.</t>
  </si>
  <si>
    <t>They begin playing an accordion.</t>
  </si>
  <si>
    <t>They are pointing at buttons on the accordion with a screwdriver.</t>
  </si>
  <si>
    <t>v_P5lLZ_jsA2o</t>
  </si>
  <si>
    <t>A gymnast is seen swinging around on a bar doing various flips and tricks across two sets of beams.</t>
  </si>
  <si>
    <t>She continues spinning around and ends with her hands up and her coach clapping.</t>
  </si>
  <si>
    <t>People watch on the sides and her scores are shown in the end.</t>
  </si>
  <si>
    <t>v_Zk4EvGw7cAw</t>
  </si>
  <si>
    <t>There are two high school students in the high school cafeteria standing next to a table where some students are sitting.</t>
  </si>
  <si>
    <t>One of the students is undressing and changing his shorts while the other student in a red shirt is watching him.</t>
  </si>
  <si>
    <t>After the student finishes changing, the boy in the red shirt makes fun of him.</t>
  </si>
  <si>
    <t>The student gets provoked and punches the boy in the red shirt on his face, causing him to fall on the ground on his head.</t>
  </si>
  <si>
    <t>v_ueKSGag6w4Q</t>
  </si>
  <si>
    <t>A woman walks around a stage holding a saxophone.</t>
  </si>
  <si>
    <t>She starts to play the saxophone as she dances.</t>
  </si>
  <si>
    <t>She stops and talks to the crowd again.</t>
  </si>
  <si>
    <t>She starts to play and dance again.</t>
  </si>
  <si>
    <t>v_XZCmkuDKltY</t>
  </si>
  <si>
    <t>A man is seen sitting before a table with a rubix cube on it and his hands on a platform.</t>
  </si>
  <si>
    <t>He then solves the rubix cube in a matter of seconds and shows off his time to the camera.</t>
  </si>
  <si>
    <t>v_96HJ_LqNdkg</t>
  </si>
  <si>
    <t>This girl is doing a video of how to make your white shoes become sparkly clean.</t>
  </si>
  <si>
    <t>You will need a toothbrush, baby powder, a glass cup or bowl, bleach, and q-tips, blowdryer, and water.</t>
  </si>
  <si>
    <t>First she adds water pours a little bit of baby powder into the small bowl and she mixes it up using the toothbrush.</t>
  </si>
  <si>
    <t>She puts the baby powder soaked toothbrush onto the shoe and starts to rub it there.</t>
  </si>
  <si>
    <t>Then she grabs the blowdryer and blowdrys the shoe and scrubs them again.</t>
  </si>
  <si>
    <t>Then she pours bleach into the small bowl that has baby powder in it and she puts the toothbrush in the bowl and rubs it on the shoe again.</t>
  </si>
  <si>
    <t>Finally she wets a cloth with water and wipes the shoe off.</t>
  </si>
  <si>
    <t>v_0ZzKrBk1ac8</t>
  </si>
  <si>
    <t>A man and a woman are arm wrestling on a table.</t>
  </si>
  <si>
    <t>A woman in a white shirt walks past them.</t>
  </si>
  <si>
    <t>The woman wins and walks away.</t>
  </si>
  <si>
    <t>v_AFnEr0_wStU</t>
  </si>
  <si>
    <t>A piercing artist removes a tissue from a woman's nose and wipes part of the nose.</t>
  </si>
  <si>
    <t>The woman holds piercing pliers up against a woman's nose.</t>
  </si>
  <si>
    <t>She pierces a needle through the nose and holds the pliers in place.</t>
  </si>
  <si>
    <t>She removes the pliers from the woman's nose.</t>
  </si>
  <si>
    <t>The woman sitting down speaks.</t>
  </si>
  <si>
    <t>The piercing artist touches the needle and the nose as she screws a nose ring on.</t>
  </si>
  <si>
    <t>The piercing artists arranges the piercing inside the nose with some pliers.</t>
  </si>
  <si>
    <t>The piercing artist touches the piercing.</t>
  </si>
  <si>
    <t>The piercing artists uses a tissue to collect blood around the piercing.</t>
  </si>
  <si>
    <t>A collection of artwork is seen on the wall.</t>
  </si>
  <si>
    <t>The piercing artist continually uses a tissue to wipe blood from the woman's nose.</t>
  </si>
  <si>
    <t>The woman stands up and waves.</t>
  </si>
  <si>
    <t>v_SX075xQ0j6c</t>
  </si>
  <si>
    <t>We see a book on a table.</t>
  </si>
  <si>
    <t>We see image in the book with videos of people knitting.</t>
  </si>
  <si>
    <t>We see a lady teaching two girls.</t>
  </si>
  <si>
    <t>We see a teacher teaching a boy to knit.</t>
  </si>
  <si>
    <t>We see a lady teaching a group of children to knit.</t>
  </si>
  <si>
    <t>v_RPKcM8q74FE</t>
  </si>
  <si>
    <t>A group of kids are in bumper cars.</t>
  </si>
  <si>
    <t>They ride around, trying to hit each other.</t>
  </si>
  <si>
    <t>They bump into the other cars as they go.</t>
  </si>
  <si>
    <t>v_WmPkqkqAxyc</t>
  </si>
  <si>
    <t>A man is seen standing in a large field holding onto a tool.</t>
  </si>
  <si>
    <t>The man then uses the tool on the grass in font of him quickly.</t>
  </si>
  <si>
    <t>The man continues to cut the grass while the camera captures his movement.</t>
  </si>
  <si>
    <t>v_b2uAgV5n3FU</t>
  </si>
  <si>
    <t>A man splits hardwood for use in wood stoves.</t>
  </si>
  <si>
    <t>There are two techniques used, one with an ax and one with a hammer and ax.</t>
  </si>
  <si>
    <t>v_0EDEA8dZeGo</t>
  </si>
  <si>
    <t>First the man sets his timer that's attached to his chest and he sits down and puts his leg onto the ski.</t>
  </si>
  <si>
    <t>Next he stands up while holding onto something and he starts water skiing as he gets pulled by the boat.</t>
  </si>
  <si>
    <t>But, he eventually falls off and is seen standing in the water.</t>
  </si>
  <si>
    <t>v_G6LjkB0xv2k</t>
  </si>
  <si>
    <t>A woman exercises at a machine.</t>
  </si>
  <si>
    <t>The camera focuses on and features specific parts of the machine.</t>
  </si>
  <si>
    <t>The woman demonstrates folding the machine for storage.</t>
  </si>
  <si>
    <t>The woman continues to exercise on the machine.</t>
  </si>
  <si>
    <t>v_0Zg9UgCp4a4</t>
  </si>
  <si>
    <t>A group of men are outside sitting around a fountain playing a game of oddly drawn hopscotch.</t>
  </si>
  <si>
    <t>One boy takes his turn and then they all begin talking again.</t>
  </si>
  <si>
    <t>Next,a boy tries to jump over the bricks but ends up falling.</t>
  </si>
  <si>
    <t>Another boy jumps after him and he is successful.</t>
  </si>
  <si>
    <t>However,the next boy jumps and has to stand on one foot and collect all of the pieces thrown behind him.</t>
  </si>
  <si>
    <t>v_MzqovHjEKE4</t>
  </si>
  <si>
    <t>A man is seen speaking to the camera and leads into him holding up a tool and pointing to several bushes.</t>
  </si>
  <si>
    <t>The man then trims along the bush while stopping to speak to the camera and holding up the tool.</t>
  </si>
  <si>
    <t>v_xMImWgn3owc</t>
  </si>
  <si>
    <t>A gymnast is seen standing on a beam and begins performing gymnastic moves on the beam.</t>
  </si>
  <si>
    <t>The girl spins and flips all along the beam while the camera captures her movements.</t>
  </si>
  <si>
    <t>She ends her routine but jumping down off the side with her arms up and walking away.</t>
  </si>
  <si>
    <t>v_kH50-giCeDM</t>
  </si>
  <si>
    <t>Two men walk to the barrel in a yard at a barbecue and the men both reach for the last beer in the barrel.</t>
  </si>
  <si>
    <t>The men do rock paper scissors and the right man hits the left with a rock, takes the beer and walks off.</t>
  </si>
  <si>
    <t>We see a beer poured in a glass.</t>
  </si>
  <si>
    <t>We see the injured man with his hand up and a man walks past and gives him a high five.</t>
  </si>
  <si>
    <t>v_1LrEiYVd3qg</t>
  </si>
  <si>
    <t>A man is seen speaking to the camera in front of a large trailer in he moods.</t>
  </si>
  <si>
    <t>The man is then seen kneeling over a fire and begins lighting a flame into a pit.</t>
  </si>
  <si>
    <t>A boy is seen walking around with a tennis racket and points to the ground while the man is still sitting in front of the fire.</t>
  </si>
  <si>
    <t>v_hniQpwn3Ob4</t>
  </si>
  <si>
    <t>An intro leads into several clips of different athletes performing shotput throws in a circle.</t>
  </si>
  <si>
    <t>More men continue to step up and throw the object while many watch on the sidelines.</t>
  </si>
  <si>
    <t>v_soHEsBIljbI</t>
  </si>
  <si>
    <t>A teen girl sits on the floor holding a shoe.</t>
  </si>
  <si>
    <t>She is then shown wiping the shoe down with a cleaning solution.</t>
  </si>
  <si>
    <t>She shows the shoe close up after she is done.</t>
  </si>
  <si>
    <t>v_gSOUhz7yQ-s</t>
  </si>
  <si>
    <t>A man is standing outside of a large window and begins to clean it with a long stick.</t>
  </si>
  <si>
    <t>One the window is wet,he takes the razor like stick and drags it up and down getting the water off.</t>
  </si>
  <si>
    <t>After the two top windows are complete,he leaves the other two untouched and walks away.</t>
  </si>
  <si>
    <t>v_0T7yANM5I5Y</t>
  </si>
  <si>
    <t>A man bends at the knees in front of a barbell.</t>
  </si>
  <si>
    <t>He lifts it slowly, bringing it to his chest.</t>
  </si>
  <si>
    <t>He pauses, then lifts it over his head before dropping it back to the ground.</t>
  </si>
  <si>
    <t>v_lAZIxuxjogI</t>
  </si>
  <si>
    <t>A man is standing on a ledge of a tower.</t>
  </si>
  <si>
    <t>He jumps off and bungee jumps.</t>
  </si>
  <si>
    <t>It is shown in slow motion.</t>
  </si>
  <si>
    <t>v_Wd8Kz1XRpdg</t>
  </si>
  <si>
    <t>The camera pans around several men drinking a large container of alcohol and the camera panning back to the beginning.</t>
  </si>
  <si>
    <t>The camera continues capturing the men drinking as well as talking to one another and one rubbing his eyes in the end.</t>
  </si>
  <si>
    <t>v_-aWU5Yj_OPw</t>
  </si>
  <si>
    <t>A young man is seated in a living room.</t>
  </si>
  <si>
    <t>He is playing an electronic keyboard.</t>
  </si>
  <si>
    <t>The keyboard is printing a document as he goes.</t>
  </si>
  <si>
    <t>v_sZf6ijFwPDs</t>
  </si>
  <si>
    <t>A lady explains drinks and the mixing of them,she grabs a cup with ice and add some liquor to it by using a shot glass to get the right measurement.</t>
  </si>
  <si>
    <t>the lady then mix another type of liquor to the first type she poured in the glass.</t>
  </si>
  <si>
    <t>finally she adds a type of juice to the drink with a sliced orange and straw.</t>
  </si>
  <si>
    <t>v_1Cdqwg7Giv4</t>
  </si>
  <si>
    <t>A man is spinning in circles and throwing a discuss for a competition.</t>
  </si>
  <si>
    <t>The video slows down and shows the same throw but in slow motion.</t>
  </si>
  <si>
    <t>Another man comes up to the plate and throws the discuss.</t>
  </si>
  <si>
    <t>Again the video slows down and shows the same throw in slow motion.</t>
  </si>
  <si>
    <t>A third player steps up and throws the discuss in slow motion.</t>
  </si>
  <si>
    <t>Several other players step up and take their turn throwing the disk.</t>
  </si>
  <si>
    <t>v_rKTpKq7bh_U</t>
  </si>
  <si>
    <t>We see an image of a lady and a child.</t>
  </si>
  <si>
    <t>The lady fades, the child plays a flute and we see a man.</t>
  </si>
  <si>
    <t>The man is crying as the child plays, We see the people in the sky.</t>
  </si>
  <si>
    <t>We see a man and woman embracing in the sky.</t>
  </si>
  <si>
    <t>We see images of nature.</t>
  </si>
  <si>
    <t>The people in the sky bow and dance.</t>
  </si>
  <si>
    <t>The man lays down in a prayer position.</t>
  </si>
  <si>
    <t>The child finishes playing the flute.</t>
  </si>
  <si>
    <t>v_5YVN5d8DkSk</t>
  </si>
  <si>
    <t>The camera pans around several pitting sitting at a bar as well as bartenders attending to people's needs.</t>
  </si>
  <si>
    <t>More shots are shown of people interacting in the restaurant and finally people speaking to the camera.</t>
  </si>
  <si>
    <t>v_eS1USHkyb2U</t>
  </si>
  <si>
    <t>A young woman is seen brushing her hair that leads into her speaking to the camera.</t>
  </si>
  <si>
    <t>She holds up several brushes while speaking to the camera as well as various objects.</t>
  </si>
  <si>
    <t>She uses scissors to get hair out of a brush as well as a toothbrush and bowl to clean out her brushes.</t>
  </si>
  <si>
    <t>v_Oi-atN4-Oqk</t>
  </si>
  <si>
    <t>A young man dance in a room moving his hands and putting behind his back.</t>
  </si>
  <si>
    <t>Then, the man put his hand behind his head.</t>
  </si>
  <si>
    <t>The reflection of the man is in the mirror.</t>
  </si>
  <si>
    <t>v_C1vhQIJtLsw</t>
  </si>
  <si>
    <t>A man is seen standing on stilts in a city square while other people around him roller blade.</t>
  </si>
  <si>
    <t>The man takes off running down the block and then runs back to where he started.</t>
  </si>
  <si>
    <t>v_f0JySdrM_l8</t>
  </si>
  <si>
    <t>A woman in a blue shirt spins around and throws a ball onto the field.</t>
  </si>
  <si>
    <t>Another person comes and throws a disk onto the field.</t>
  </si>
  <si>
    <t>People are standing at the side of the field is watching.</t>
  </si>
  <si>
    <t>v_x7yOoVf5-Do</t>
  </si>
  <si>
    <t>A business and the area around it is shown and the name on the business say's "LUMBERJACK NATIONALS" carved in a wooden sign, and the white text below say's "Columbia Basin BMX RICHLAND, WA".</t>
  </si>
  <si>
    <t>A boy dressed in biking gear is putting on a helmet while standing and text on the right side of the screen appear and say "@BryceBetts13Z CHASE STAYSTRONG" as the boy gets on his bike and pushes it out of screen.</t>
  </si>
  <si>
    <t>The boy is now on the curvy and twisty dirt bike track riding around very fast and occasionally other people are shown riding on the track, too.</t>
  </si>
  <si>
    <t>A special effect outro appears with the boy still riding around the track and other text and logos appear on the screen until it fades to a white screen that end with a clip art on the left and large words that read MENDO MEDIA on the right.</t>
  </si>
  <si>
    <t>v_hBT_SN8IGsQ</t>
  </si>
  <si>
    <t>Players on a field are running around playing a game.</t>
  </si>
  <si>
    <t>They get into a big fight on the field.</t>
  </si>
  <si>
    <t>The ref comes and breaks the fight up.</t>
  </si>
  <si>
    <t>A man in a yellow striped shirt is talking to the referee.</t>
  </si>
  <si>
    <t>v_wG0OD99mjdY</t>
  </si>
  <si>
    <t>Several clips are shown of people climbing up and down rock walls while many others speak to the camera.</t>
  </si>
  <si>
    <t>Several more people are shown climbing on the rocks while speaking to the camera and making their way up and down.</t>
  </si>
  <si>
    <t>v_VAKQMtYrl4I</t>
  </si>
  <si>
    <t>Several dogs walk down a street.</t>
  </si>
  <si>
    <t>They are on leashes held by their owners.</t>
  </si>
  <si>
    <t>The stream of them is endless.</t>
  </si>
  <si>
    <t>A woman holds her dog.</t>
  </si>
  <si>
    <t>v_4qONyTNaPOI</t>
  </si>
  <si>
    <t>A still shot picture of a body of water appears and yellow words appear on the screen and read "AMERICAN DISK" and include the website.</t>
  </si>
  <si>
    <t>A brunette woman is now speaking next to the water and she's smiling the whole time.</t>
  </si>
  <si>
    <t>Various clips of people play and they are all standing next to or in the water as well and they all appear happy.</t>
  </si>
  <si>
    <t>People are now on the water and doing various different things, with a large circular board that they're either standing, sitting, squatting, kneeling, riding or doing tricks on while they sometimes are getting pulled by a fast moving boat.</t>
  </si>
  <si>
    <t>A black screen appears and the yellow words are displayed on the screen and read "The Disk", and once again the brunette woman is speaking while standing by the water.</t>
  </si>
  <si>
    <t>The screen then goes to black and displays their website in yellow letters.</t>
  </si>
  <si>
    <t>v_iKJB-RU_PKY</t>
  </si>
  <si>
    <t>A close up of a table is shown that leads into several clip of a puck moving along the table from various angles.</t>
  </si>
  <si>
    <t>People push and look down towards the pucks as they move along and continue to play the game with one another back and fourth.</t>
  </si>
  <si>
    <t>v_4U13LEMIdi4</t>
  </si>
  <si>
    <t>A cat is sitting in a cat bed.</t>
  </si>
  <si>
    <t>It is licking its paw.</t>
  </si>
  <si>
    <t>It then wipes its paw on its ear.</t>
  </si>
  <si>
    <t>v_gXUm7nobsfU</t>
  </si>
  <si>
    <t>A woman in a sparkling green dress talks on a stage.</t>
  </si>
  <si>
    <t>A couple is shown dancing, kicking and swirling creatively.</t>
  </si>
  <si>
    <t>When they are done, they hold hands as the crowd cheers.</t>
  </si>
  <si>
    <t>They walk over to the woman in a green dress, hugging her before leaving the stage.</t>
  </si>
  <si>
    <t>v_mAfp5ABlKyM</t>
  </si>
  <si>
    <t>Two men are playing table tennis while two judges sit at either end.</t>
  </si>
  <si>
    <t>The men hit the ball back and forth.</t>
  </si>
  <si>
    <t>The winner raises his hands as the crowd cheers.</t>
  </si>
  <si>
    <t>The scene is replayed of his successful hit.</t>
  </si>
  <si>
    <t>v_cQ3pZhIBPHI</t>
  </si>
  <si>
    <t>A man is in a gym kneeling down holding a medium sized medicine ball.</t>
  </si>
  <si>
    <t>He then sits up and starts to throw the ball back and forth against the wall.</t>
  </si>
  <si>
    <t>After,a list of cues appear before showing off the venue and their youtube page.</t>
  </si>
  <si>
    <t>v_uLhOFVNmRu8</t>
  </si>
  <si>
    <t>A man in green sitting at the end of the sand square taking video, on the sides of the square are three men.</t>
  </si>
  <si>
    <t>The young athlete in blue uniform run in a narrow lane, hopped and jump on the sandy ground.</t>
  </si>
  <si>
    <t>v_7KT-z20qxI4</t>
  </si>
  <si>
    <t>Three people are in a news room, talking to the camera.</t>
  </si>
  <si>
    <t>A team is playing ice hockey, and celebrating as they win a game.</t>
  </si>
  <si>
    <t>The happy teammates smile for interviews in the locker room after.</t>
  </si>
  <si>
    <t>The news casters are shown holding number sticks and laughing.</t>
  </si>
  <si>
    <t>v_MWn4qozlaMs</t>
  </si>
  <si>
    <t>A woman is seen pulling food out of a fridge and speaking to a girl who walks downstairs.</t>
  </si>
  <si>
    <t>They women continue speaking when a man also walks down the stairs.</t>
  </si>
  <si>
    <t>The woman and man then speak and the other woman walks upstairs.</t>
  </si>
  <si>
    <t>v_D9A_9FH7e-A</t>
  </si>
  <si>
    <t>We see a ladies hands with nail polish on them.</t>
  </si>
  <si>
    <t>The lady puts tape on her finger around her nail and puts clear and white polish on them.</t>
  </si>
  <si>
    <t>The lady adds drops of nail polish to a glass of fluid and pulls it through.</t>
  </si>
  <si>
    <t>The lady puts her nail in the cup and uses a stick to remove the polish.</t>
  </si>
  <si>
    <t>The lady pulls the tape of then puts a clear coat over her fingernails.</t>
  </si>
  <si>
    <t>v_EqhnCfb5vEc</t>
  </si>
  <si>
    <t>A woman is on stage doing a belly dance routine, she is very passionate about it.</t>
  </si>
  <si>
    <t>She starts to spin in circles, her dress twirling along with her.</t>
  </si>
  <si>
    <t>Her dress comes up over head and then down to her shoulders, she continues to spin in circles and takes the dress off and holds it like a baby.</t>
  </si>
  <si>
    <t>She goes back to spinning around until her dance is over and then she drops to the floor.</t>
  </si>
  <si>
    <t>v_4rmo35vpG00</t>
  </si>
  <si>
    <t>A woman and girl are trying to get a dog into a shower.</t>
  </si>
  <si>
    <t>The dog keeps jumping back out.</t>
  </si>
  <si>
    <t>They finally give the dog a bath outdoors with a hose.</t>
  </si>
  <si>
    <t>v_2glmVDTPY44</t>
  </si>
  <si>
    <t>A man snowboards over snow covered slopes and hills and several other objects like railings, roofs, garages and tree stumps.</t>
  </si>
  <si>
    <t>A man snowboards over snow covered hill.</t>
  </si>
  <si>
    <t>The man then continues to snowboard off of a garage roof, a stair railing and several other places.</t>
  </si>
  <si>
    <t>The man does a complete spin in the snow in the final shot.</t>
  </si>
  <si>
    <t>v_0bbL30qENMg</t>
  </si>
  <si>
    <t>A boy rinses his face with water in a bathroom sink.</t>
  </si>
  <si>
    <t>The boys laugh and joke together in the bathroom.</t>
  </si>
  <si>
    <t>A boy rubs soap on his hands and then onto his face.</t>
  </si>
  <si>
    <t>The boy rinses the soap off from his face in the sink.</t>
  </si>
  <si>
    <t>The boy rolls up the towel and throws it in the corner of the room.</t>
  </si>
  <si>
    <t>v_VbWomrZXIus</t>
  </si>
  <si>
    <t>An old man flips an skateboard with his feet, then take it and throw to the floor and skate.</t>
  </si>
  <si>
    <t>After, the man hit the skateboard with his foot and it raise high, the man tries to catch the skateboard but he miss it.</t>
  </si>
  <si>
    <t>A boy almost get hit with a skateboard.</t>
  </si>
  <si>
    <t>Then the man skate on the park and then goes to a skateboard track.</t>
  </si>
  <si>
    <t>v_UJiQEkByWcM</t>
  </si>
  <si>
    <t>A young boy in a blue sweater jumps out from the side and stands in front of a dart board.</t>
  </si>
  <si>
    <t>Once he calms down,he turns around and begins throwing darts on the board.</t>
  </si>
  <si>
    <t>After all of the darts are thrown,the camera zooms in on the darts to show what he had done.</t>
  </si>
  <si>
    <t>v_4E8rMLHIpag</t>
  </si>
  <si>
    <t>A man in a black hat is talking to the camera.</t>
  </si>
  <si>
    <t>He starts playing a violin on his shoulder.</t>
  </si>
  <si>
    <t>He stops playing and puts the violin down to his side.</t>
  </si>
  <si>
    <t>v_Yd98o-oEGvI</t>
  </si>
  <si>
    <t>A man and a dog is out in a field and the dog holds the frisbee between his legs and the dog jumps over the person's back and fetches the frisbee.</t>
  </si>
  <si>
    <t>The game continues and the two continues to play with the frisbee while the owner puts his legs up for the dog to get.</t>
  </si>
  <si>
    <t>Now,the human has four or five frisbees and starts to throw them rapidly for the dog to get.</t>
  </si>
  <si>
    <t>v_2YE_8XDuDBI</t>
  </si>
  <si>
    <t>A view of a home is briefly shown.</t>
  </si>
  <si>
    <t>It pans to another room and it shows a small child sitting at a drum set, sucking on a pacifier and holding two drumsticks and hitting the drums.</t>
  </si>
  <si>
    <t>The child hits the cymbals a few times with his left hand then he grabs the drumsticks and starts hitting all of the drums.</t>
  </si>
  <si>
    <t>v_4ELWxQw0PPE</t>
  </si>
  <si>
    <t>Two men are seen holding hands with a ref holding them together and leads into an arm wrestling match.</t>
  </si>
  <si>
    <t>One man wins and then goes on to arm wrestle several more people.</t>
  </si>
  <si>
    <t>v_90cHokbZy6A</t>
  </si>
  <si>
    <t>a man is talking outside in a garden.</t>
  </si>
  <si>
    <t>He is holding a pocket knife in his hand.</t>
  </si>
  <si>
    <t>He uses a stone to sharpen the knife for the camera.</t>
  </si>
  <si>
    <t>v_xOGOd2UJaMY</t>
  </si>
  <si>
    <t>People are standing in a circle clapping.</t>
  </si>
  <si>
    <t>Two people start fighting in the circle.</t>
  </si>
  <si>
    <t>Women are dancing and holding sticks.</t>
  </si>
  <si>
    <t>v_v9vc_d-qFnk</t>
  </si>
  <si>
    <t>An athletic man is seen steeping up to a set of uneven bars and puts his arms up to present he's ready.</t>
  </si>
  <si>
    <t>The man continues to spin himself around performing flips and tricks on the uneven bars.</t>
  </si>
  <si>
    <t>The man continues to flip around and ends by wobbling but putts his hands up to finish.</t>
  </si>
  <si>
    <t>v_jJ5t3ZUxP7Y</t>
  </si>
  <si>
    <t>A man walks over to the end of a table that has a bunch of red cups arranged in a triangle.</t>
  </si>
  <si>
    <t>He begins to toss a ball into the cups.</t>
  </si>
  <si>
    <t>The video goes to black and a graphic appears to close the clip.</t>
  </si>
  <si>
    <t>v_GK_DCUGw5lM</t>
  </si>
  <si>
    <t>A woman in a black shirt is dancing.</t>
  </si>
  <si>
    <t>She is twirling a baton.</t>
  </si>
  <si>
    <t>She catches the baton and twirls.</t>
  </si>
  <si>
    <t>v_r3lN8kgtgw4</t>
  </si>
  <si>
    <t>A group travels to a river, getting into inflatable rafts.</t>
  </si>
  <si>
    <t>They paddle quickly down the river through the raging white rapids and over small waterfalls.</t>
  </si>
  <si>
    <t>They float slowly back as water sprays down on them from a fall.</t>
  </si>
  <si>
    <t>v_zuqNxHmtBD8</t>
  </si>
  <si>
    <t>We see a man's face up close with his name imposed over it as the man prepares to run on a track.</t>
  </si>
  <si>
    <t>The man runs down the track and performs a long jump and throws his arms in the air.</t>
  </si>
  <si>
    <t>We see another man stretching his arms.</t>
  </si>
  <si>
    <t>The jumper waits for the scores to appear on the screen and the man who jumped throws his hands in the air and runs away.</t>
  </si>
  <si>
    <t>A reply of the jump is played.</t>
  </si>
  <si>
    <t>v_mX3gbTBdbKY</t>
  </si>
  <si>
    <t>A group of men are on camera, singing in a video and talking.</t>
  </si>
  <si>
    <t>They are wearing sunglasses as they change from a lot to a paint covered warehouse.</t>
  </si>
  <si>
    <t>A man is covered in paint and wearing boxing gloves as he gloats to the camera.</t>
  </si>
  <si>
    <t>v_TiiSh9R89vM</t>
  </si>
  <si>
    <t>There are two people out on a snow tubing slope where one of them is video taping his experience of snow tubing with his friend.</t>
  </si>
  <si>
    <t>There's a woman who picks up some ice that's fallen o the ground.</t>
  </si>
  <si>
    <t>There are several people waiting in line to go snow tubing.</t>
  </si>
  <si>
    <t>After they reach the top of the slope, they get into their tubes and begin sliding downhill.</t>
  </si>
  <si>
    <t>They go down the snow covered slopes till they reach the bottom.</t>
  </si>
  <si>
    <t>v_3fAVDJyrSQs</t>
  </si>
  <si>
    <t>People are standing around a camp site chopping wood.</t>
  </si>
  <si>
    <t>A boy stands holding a stick.</t>
  </si>
  <si>
    <t>A man throws pieces of wood into a pile.</t>
  </si>
  <si>
    <t>Chairs at the camp site are shown.</t>
  </si>
  <si>
    <t>A man walks towards the camera talking.</t>
  </si>
  <si>
    <t>They continue chopping wood at the camp site.</t>
  </si>
  <si>
    <t>v_Jxhz1ln7UXk</t>
  </si>
  <si>
    <t>A person is seen walking around a yard as well as many people standing.</t>
  </si>
  <si>
    <t>The people then beginning playing a game with one another and running around the yard.</t>
  </si>
  <si>
    <t>The people huddle up together while leading into more shots of people playing the game and speaking to the camera.</t>
  </si>
  <si>
    <t>v_-gZjpAPEhR4</t>
  </si>
  <si>
    <t>A close up of a person's roller blades are shown with a man standing in frame.</t>
  </si>
  <si>
    <t>The person then lights up his blades and jumps in place.</t>
  </si>
  <si>
    <t>The person continues riding around and kicking his feet up while the sparks fly.</t>
  </si>
  <si>
    <t>v_9vzbohxkIKA</t>
  </si>
  <si>
    <t>A person's hand are seen dealing cards onto a table as well as several clips of a casino being shown.</t>
  </si>
  <si>
    <t>More shots are shown of people dealing cards to others as well as people cheering and continuing to deal cards.</t>
  </si>
  <si>
    <t>v_DXIHbnyfNGA</t>
  </si>
  <si>
    <t>A computer monitor sits on a desk.</t>
  </si>
  <si>
    <t>A boy puts on gloves.</t>
  </si>
  <si>
    <t>He then puts on a helmet.</t>
  </si>
  <si>
    <t>He then rides a longboard.</t>
  </si>
  <si>
    <t>v_nK7XMj4gYJs</t>
  </si>
  <si>
    <t>A man is demonstrating a gymnastics performance on two bars.</t>
  </si>
  <si>
    <t>There are spectators watching the performance.</t>
  </si>
  <si>
    <t>A person is photographing the performance.</t>
  </si>
  <si>
    <t>The gymnast jumps off the bars and another gymnast is running towards them.</t>
  </si>
  <si>
    <t>v_yNmV_c3rlLA</t>
  </si>
  <si>
    <t>A man is playing the hand drums in a living room.</t>
  </si>
  <si>
    <t>The man throws his head back.</t>
  </si>
  <si>
    <t>We zoom in on the man's hands.</t>
  </si>
  <si>
    <t>We zoom out and see the whole man.</t>
  </si>
  <si>
    <t>He finishes playing and takes a bow.</t>
  </si>
  <si>
    <t>v__nTjmHQ0-gQ</t>
  </si>
  <si>
    <t>A man springs on a track and jumps onto a dirt area.</t>
  </si>
  <si>
    <t>A second man does the same.</t>
  </si>
  <si>
    <t>A third man follows him.</t>
  </si>
  <si>
    <t>A fourth man goes after him.</t>
  </si>
  <si>
    <t>A fifth man starts to sprint as he holds a long bar.</t>
  </si>
  <si>
    <t>v_WLpjci5dN8s</t>
  </si>
  <si>
    <t>Words are written on the screen.</t>
  </si>
  <si>
    <t>A knife is put into a sharpener and moved back and forth and used on a circular sharpener.</t>
  </si>
  <si>
    <t>A pair of scissors is sharpened on the sharpener.</t>
  </si>
  <si>
    <t>The scissors cut a purple towel and a piece of paper.</t>
  </si>
  <si>
    <t>Words are shown on the screen again.</t>
  </si>
  <si>
    <t>v_lS_bztQjpGM</t>
  </si>
  <si>
    <t>A girl with long blond hair, wearing a blue robe is doing a tutorial on how to use hot rollers in her hair.</t>
  </si>
  <si>
    <t>There is another woman wearing white who is demonstrating how to section out her hair and start putting the rollers in the her one by one.</t>
  </si>
  <si>
    <t>After she's done putting the rollers all over the head, she uses a blow dryer to add some heat to the hair.</t>
  </si>
  <si>
    <t>Then she removes the rollers from the model's hair and starts to run her fingers through the hair.</t>
  </si>
  <si>
    <t>She then parts her hair gently with a brush.</t>
  </si>
  <si>
    <t>She shows how to finish off the look by running her fingers through her hair without using a brush.</t>
  </si>
  <si>
    <t>v_goXkohySkU8</t>
  </si>
  <si>
    <t>A man wearing a black vest holds white disc's in his hand while a border collie stands in front of him.</t>
  </si>
  <si>
    <t>The man steps froward and slaps the white discs on his thigh.</t>
  </si>
  <si>
    <t>The man steps forward switching each foot as the boarder collie runs between the mans legs.</t>
  </si>
  <si>
    <t>The man taps his head with the white disc he crouches and the boarder collie jumps on his back and balances their.</t>
  </si>
  <si>
    <t>The man tosses the the disc over his head and the boarder collie catches it and runs off.</t>
  </si>
  <si>
    <t>v_inw7wXFL9dw</t>
  </si>
  <si>
    <t>Various clips are shown of young people dancing and partying with one another as well as drinking and playing beer pong.</t>
  </si>
  <si>
    <t>More shots are shown of people looking and speaking to the camera while playing pong and drinking beer with one another.</t>
  </si>
  <si>
    <t>v_RpItv2ztook</t>
  </si>
  <si>
    <t>A video of skier on a snowy hill shoots video of themselves as skiing as other skiers go past.</t>
  </si>
  <si>
    <t>The skier goes past the ski lifts as they go around a corner and go past the lifts again.</t>
  </si>
  <si>
    <t>They then turn back around and go under the lift and travel further down hill on a path passing blue fences, a trail marker sign and ending at a lodge.</t>
  </si>
  <si>
    <t>v_zrXTMcKFa5E</t>
  </si>
  <si>
    <t>A child goes and plays in a playplace.</t>
  </si>
  <si>
    <t>She climbs, goes down slides, rocks back and forth, and has general merriment.</t>
  </si>
  <si>
    <t>v_A1k7CSI7aRs</t>
  </si>
  <si>
    <t>Outside as a group looks on, a man lifts a guy onto his shoulder and throws him on a table which breaks.</t>
  </si>
  <si>
    <t>Outside, a male back flips on a trampoline and lands on his face.</t>
  </si>
  <si>
    <t>Two men lay the male down and look at his face, and another person moves a laying individual to look at the male's face.</t>
  </si>
  <si>
    <t>v_cS19K2310Lc</t>
  </si>
  <si>
    <t>A picture is shown of a baby juxtaposed beside a little girl.</t>
  </si>
  <si>
    <t>A woman is seen with a young girl as she speaks.</t>
  </si>
  <si>
    <t>She then has the girl sit down as she proceeds to braid her hair in long, thick pieces.</t>
  </si>
  <si>
    <t>She pins the hair in place, then waves goodbye to the camera.</t>
  </si>
  <si>
    <t>v_Po6tK3rYE8E</t>
  </si>
  <si>
    <t>A man rolls out a sheet of wallpaper from a tube, then a large photo.</t>
  </si>
  <si>
    <t>He applies the sheet and photos to the wall, creating a real life photography mural.</t>
  </si>
  <si>
    <t>He wipes the images onto the wall cleanly.</t>
  </si>
  <si>
    <t>v_eil9mWGJB8E</t>
  </si>
  <si>
    <t>A crowd is gathered around two women who are arm wrestling.</t>
  </si>
  <si>
    <t>The women grab each others hands and push as hard as they can until one of them loses.</t>
  </si>
  <si>
    <t>They redo the arm wrestling.</t>
  </si>
  <si>
    <t>One of the girls lets her hand loose and the other girl opens her mouth in shock.</t>
  </si>
  <si>
    <t>v_XM3SktXBbHU</t>
  </si>
  <si>
    <t>A person is seen in the middle of a large gymnasium jumping around with another man in the middle raising his arms up.</t>
  </si>
  <si>
    <t>The person on silts then jumps over the person with their arms up as well as another.</t>
  </si>
  <si>
    <t>v_1nXLVjfupto</t>
  </si>
  <si>
    <t>Two men are seen standing behind a table speaking to the camera and then hold up various objects to the camera.</t>
  </si>
  <si>
    <t>They use tools on a tin can and then are seen sitting outside holding up more tools.</t>
  </si>
  <si>
    <t>v_YSO5CGeeTmE</t>
  </si>
  <si>
    <t>A band is marching down a street playing drums.</t>
  </si>
  <si>
    <t>A woman in a black hat is standing on the street watching them.</t>
  </si>
  <si>
    <t>People are standing up watching the band.</t>
  </si>
  <si>
    <t>v_JMJp9kFudNA</t>
  </si>
  <si>
    <t>A man is shown running around a field with a dog holding a frisbee into the hair.</t>
  </si>
  <si>
    <t>The man moves around the frisbee with the dog and performs several tricks in slow motion with the dog.</t>
  </si>
  <si>
    <t>He's shown in several more locations from various camera angles performing more and more tricks with the dog.</t>
  </si>
  <si>
    <t>v_Vm07Uu4_iCE</t>
  </si>
  <si>
    <t>A man is seen kneeling down to a tire an then places it on a machine.</t>
  </si>
  <si>
    <t>He continues to use the machine to take the rubber off of the tire and ends by placing it back down.</t>
  </si>
  <si>
    <t>v_zxzBoK5t0XY</t>
  </si>
  <si>
    <t>A horse is seen off in the distance followed by a man speaking to the camera in front of a large group of horses.</t>
  </si>
  <si>
    <t>Various people are then seen riding around on horses through different landscapes and being led by people.</t>
  </si>
  <si>
    <t>The men continue to lead people around on the horses through a large body of water.</t>
  </si>
  <si>
    <t>v_pyeTqpj2EPo</t>
  </si>
  <si>
    <t>A chef is working in a kitchen.</t>
  </si>
  <si>
    <t>He presses buttons on a digital screen.</t>
  </si>
  <si>
    <t>He prepares a large dish of pasta, which he cooks in the machine.</t>
  </si>
  <si>
    <t>v_BIL1t2eQrDU</t>
  </si>
  <si>
    <t>A man is shown talking to a camera followed by him and another woman standing near a volleyball net.</t>
  </si>
  <si>
    <t>The man throws the ball to the girl who bounces it back to him.</t>
  </si>
  <si>
    <t>He continues to speak and demonstrate various volleyball moves to do appropriately.</t>
  </si>
  <si>
    <t>v_1sp7zRy1Rxo</t>
  </si>
  <si>
    <t>A large group of people are sitting around a table and transitions into people sitting on a ski lift.</t>
  </si>
  <si>
    <t>They begin taking turns riding down the snowy mountain and several shots are shown of them riding the lift and down the mountain.</t>
  </si>
  <si>
    <t>v_UcnzlGqUEyA</t>
  </si>
  <si>
    <t>A person picks up a piece of fruit.</t>
  </si>
  <si>
    <t>A brush is shown on the screen.</t>
  </si>
  <si>
    <t>A man is shaving his beard.</t>
  </si>
  <si>
    <t>v_c2ejr7Lci8s</t>
  </si>
  <si>
    <t>A person is seen riding a unicycle in the middle of a forest while holding an instrument.</t>
  </si>
  <si>
    <t>The man continues riding down the path as the camera follows his movements.</t>
  </si>
  <si>
    <t>v_bXT72HACH4I</t>
  </si>
  <si>
    <t>A black screen appears with a red and white logo on the upper left, black and white words going diagonal on the upper middle that read "SOKOL DOBRIS" and the bottom have purple and white words that read "ROPE SKIPPING".</t>
  </si>
  <si>
    <t>Next shown is a still shot of black shirt with the logo on the upper left of the chest and the word "DOBRIS" under it and a red and white jump rope is on top of it.</t>
  </si>
  <si>
    <t>There are 4 different people standing on an indoor court, and 3 are holding ends of 2 different jump ropes and 1 person is rope jumping.</t>
  </si>
  <si>
    <t>Various clips of people rope jumping play and sometimes there's just 1 person jumping alone, but most times there are between 2 and 4 and a lot of times they are alternating between jumping and holding the rope.</t>
  </si>
  <si>
    <t>The clips of videos ends and various still shot pictures involving rope jumping are shown on the screen and a black screen appears when the pictures are done and the purple and white letters appear on the screen that say "ROPE SKIPPING".</t>
  </si>
  <si>
    <t>v_9MGnF59gZfM</t>
  </si>
  <si>
    <t>A man with a bow and arrow is practicing his aim and form.</t>
  </si>
  <si>
    <t>He shoots an arrow and grabs another one from behind hm and gets ready to shoot again.</t>
  </si>
  <si>
    <t>He pulls back the string on the bow and releases it along with the arrow.</t>
  </si>
  <si>
    <t>He continues this routine over and over, practicing for perfection.</t>
  </si>
  <si>
    <t>v_fGDVlbI90pw</t>
  </si>
  <si>
    <t>A young girl wearing a gray sweater with long red colored hair is brushing her hair.</t>
  </si>
  <si>
    <t>She is using a silver paddle brush to remove the knots from her hair and de-tangle it as she brushes it through.</t>
  </si>
  <si>
    <t>She suddenly begins to scream as she brushes her hair.</t>
  </si>
  <si>
    <t>v_OkMH4AlF8hQ</t>
  </si>
  <si>
    <t>A young child is seen holding an ice cream cone and speaking to the camera while smiling.</t>
  </si>
  <si>
    <t>She speaks to the camera man holding a doll in the other hand, then sits down on the ground.</t>
  </si>
  <si>
    <t>v_BUhpWV98EjM</t>
  </si>
  <si>
    <t>A woman and a man are standing outside doing some interesting techniques with one another.</t>
  </si>
  <si>
    <t>They seem to work well with one another moving in sync of or less never hitting the other.</t>
  </si>
  <si>
    <t>They are doing some type of karate or something.</t>
  </si>
  <si>
    <t>The one grabs the man intensely and hugs him it looked they wanted to kiss but they didn't.</t>
  </si>
  <si>
    <t>v_EE2nFMHRacg</t>
  </si>
  <si>
    <t>A group of elderly people are seated on chairs outside.</t>
  </si>
  <si>
    <t>A man is playing a tune using a stick and a saw.</t>
  </si>
  <si>
    <t>The men next to him are holding instruments, waiting their turn.</t>
  </si>
  <si>
    <t>v_xeOHoiH-dmo</t>
  </si>
  <si>
    <t>A playground is shown and a back yard as the camera pans over to a window on a roof.</t>
  </si>
  <si>
    <t>The video shows various pictures on how to fix a roof and the man pans over the window again with material.</t>
  </si>
  <si>
    <t>He places various objects around the window and shows more pictures of the roof with the finished product.</t>
  </si>
  <si>
    <t>v_NnW_1eQV9GU</t>
  </si>
  <si>
    <t>A rodeo rider comes out of the gate on a bull and gets thrown off.</t>
  </si>
  <si>
    <t>The rodeo clowns distract the bull as the rider gets to safety.</t>
  </si>
  <si>
    <t>A clown gets hurt and goes for treatment from a pretty lady.</t>
  </si>
  <si>
    <t>A group of men on horses talk and as they ride away, the clown restarts his job in the ring.</t>
  </si>
  <si>
    <t>The clown gets injured again as he jumps over a bulls head and the other clowns help him up.</t>
  </si>
  <si>
    <t>v_WWhL75t7p8A</t>
  </si>
  <si>
    <t>A large group of people are seen holding a rope while two more walk into frame and the camera closes in on the people.</t>
  </si>
  <si>
    <t>The camera continues to pan around the people and leads into a match of tug of war and the women celebrating.</t>
  </si>
  <si>
    <t>v_cYMweZa5J1I</t>
  </si>
  <si>
    <t>Guys stand or sit around their dirt bikes.</t>
  </si>
  <si>
    <t>Guys are riding their dirt bikes.</t>
  </si>
  <si>
    <t>A guy takes off his upper body armor while sitting on his dirt bike.</t>
  </si>
  <si>
    <t>v_sn1OtmEJxng</t>
  </si>
  <si>
    <t>A long line of bikers are shown in the dark at an event.</t>
  </si>
  <si>
    <t>A man is speaking onstage to the people as they prepare for the main event.</t>
  </si>
  <si>
    <t>The people run and jog past the cheering crowd, until the reach the finish line, where they stop to talk and hold up the rope they tore down.</t>
  </si>
  <si>
    <t>v_lzb6HHN59K4</t>
  </si>
  <si>
    <t>A dog owner takes three dogs to a dog cleaning service and company where the dogs are washed and dried.</t>
  </si>
  <si>
    <t>Three dogs are shown getting dirty by waking in mud puddles and through dirt and grass.</t>
  </si>
  <si>
    <t>The dogs are then loaded in a vehicle and taken to a dog washing company where they are placed in wash sinks.</t>
  </si>
  <si>
    <t>All three dogs are washed and dried by people after which the people are shown cleaning the area where the dogs were washed.</t>
  </si>
  <si>
    <t>v_UomiLRs--C8</t>
  </si>
  <si>
    <t>A man is begining to weld.</t>
  </si>
  <si>
    <t>He starts to weld a piece of metal onto a frame.</t>
  </si>
  <si>
    <t>He finishes his weld and backs away.</t>
  </si>
  <si>
    <t>v_Sfdj_kMDUh8</t>
  </si>
  <si>
    <t>A man is unrolling carpet onto the floor.</t>
  </si>
  <si>
    <t>He is on his knees cutting the carpet.</t>
  </si>
  <si>
    <t>He is putting glue onto the floor.</t>
  </si>
  <si>
    <t>He then lays the carpet down on top of it and smooths it out.</t>
  </si>
  <si>
    <t>He then vacuums the carpet when he is finished.</t>
  </si>
  <si>
    <t>v_gC4B1Az2Mk0</t>
  </si>
  <si>
    <t>A little boy is seated on the floor with a cup and a spoon.</t>
  </si>
  <si>
    <t>He is eating a white substance as his mother comes to check on him.</t>
  </si>
  <si>
    <t>He continues eating slowly as she walks past.</t>
  </si>
  <si>
    <t>v_iBEUNOMTr8M</t>
  </si>
  <si>
    <t>A couple of women are talking as they stand in a backyard.</t>
  </si>
  <si>
    <t>They are holding moss killer attached to hoses.</t>
  </si>
  <si>
    <t>The women spray the moss killer onto the roof of a shed, killing the growth with the liquid.</t>
  </si>
  <si>
    <t>They then hold up the moss killer strips in a box.</t>
  </si>
  <si>
    <t>v_a0hFDXB1RgY</t>
  </si>
  <si>
    <t>A man is sitting in a kayak in the river while speaking to the camera about his trip.</t>
  </si>
  <si>
    <t>He moves slowly in the water while giving instructions on how to properly move the kayak.</t>
  </si>
  <si>
    <t>He begins paddling up the stream and showing what to do if you get stuck.</t>
  </si>
  <si>
    <t>v_YDIRaWzfyYY</t>
  </si>
  <si>
    <t>man is talking to a camera and holding a knife and some magazines.</t>
  </si>
  <si>
    <t>man holds the knife and shavea small piece of his arm.</t>
  </si>
  <si>
    <t>man grabs some rocks from a cup of water and sharp the knife.</t>
  </si>
  <si>
    <t>man use the knife to cut the magazine.</t>
  </si>
  <si>
    <t>v_b7fs8OAJzQk</t>
  </si>
  <si>
    <t>A man is seen in the ocean waters.</t>
  </si>
  <si>
    <t>He is riding a pair of water skis.</t>
  </si>
  <si>
    <t>He is being drug by a boat as he skis through the waves.</t>
  </si>
  <si>
    <t>v_RMrL2txm79c</t>
  </si>
  <si>
    <t>A person washes and cuts open a pumpkin.</t>
  </si>
  <si>
    <t>The person cleans to the insides and draws a face on the pumpkin.</t>
  </si>
  <si>
    <t>They carve the face to make a jackolantern.</t>
  </si>
  <si>
    <t>We then see the carved pumpkin with a candle inside and the closing screen.</t>
  </si>
  <si>
    <t>v_TxLBvNWVk-4</t>
  </si>
  <si>
    <t>We see a series of bowling bloopers.</t>
  </si>
  <si>
    <t>We see a baby throw a ball and an adult fall.</t>
  </si>
  <si>
    <t>We see a lady fall while sitting on a bench.</t>
  </si>
  <si>
    <t>We see a man put a bowling ball in a cannon and shoot it across a field.</t>
  </si>
  <si>
    <t>v_0gm_g4rYCic</t>
  </si>
  <si>
    <t>A large group is inside a raft on a river.</t>
  </si>
  <si>
    <t>A man in a kayak is next to them.</t>
  </si>
  <si>
    <t>They float into the rapids, trying to go through them.</t>
  </si>
  <si>
    <t>v_tL90IPP3hbA</t>
  </si>
  <si>
    <t>A logo is seen and captions are shown on the screen.</t>
  </si>
  <si>
    <t>Trees and mulch are shown with a slight breeze.</t>
  </si>
  <si>
    <t>Several people are shown planting a tree.</t>
  </si>
  <si>
    <t>The people are spreading mulch around the tree.</t>
  </si>
  <si>
    <t>Several logos are shown on the screen.</t>
  </si>
  <si>
    <t>v_bghOBRA0z-Y</t>
  </si>
  <si>
    <t>A man gives a harmonica lesson with closeups and basically a way to tell about how to play the harmonica.</t>
  </si>
  <si>
    <t>The man introduces other types of harmonicas as well.</t>
  </si>
  <si>
    <t>v_yUHN5TIprwk</t>
  </si>
  <si>
    <t>A text intro leads into a person seen sitting on an exercise bike.</t>
  </si>
  <si>
    <t>The person speaks to a class she is speaking while peddling her feet.</t>
  </si>
  <si>
    <t>The woman continues moving her feet as well as others in the class.</t>
  </si>
  <si>
    <t>v_Lh50gF5l0dw</t>
  </si>
  <si>
    <t>A man wearing a blue shirt is throwing the shot put.</t>
  </si>
  <si>
    <t>He is going in a circular motion on a red circle painted on the ground.</t>
  </si>
  <si>
    <t>He throws the shot put into the air.</t>
  </si>
  <si>
    <t>Another man is swinging in circular motion, ready to throw the shot put.</t>
  </si>
  <si>
    <t>v_I9wra8bj2sg</t>
  </si>
  <si>
    <t>A horseman throws a rope to catch a calf while people watch.</t>
  </si>
  <si>
    <t>Intermediately, the man get down the horse and tie the calf.</t>
  </si>
  <si>
    <t>Men walks behind the horse.</t>
  </si>
  <si>
    <t>After, the man get in the horse.</t>
  </si>
  <si>
    <t>v_0-kEI13BtcY</t>
  </si>
  <si>
    <t>Ducks are swimming in the water.</t>
  </si>
  <si>
    <t>People are moving dirt around in a park.</t>
  </si>
  <si>
    <t>A woman in a black shirt and glasses talks to the camera.</t>
  </si>
  <si>
    <t>People are raking the dirt around.</t>
  </si>
  <si>
    <t>Different people are talking to the camera.</t>
  </si>
  <si>
    <t>The people continue to landscape at the park.</t>
  </si>
  <si>
    <t>v_C1kmoJttp4M</t>
  </si>
  <si>
    <t>A still shot picture of an omelette being poured out of a pan and onto a white plate appears and the white text on it say's "How to make an omelette".</t>
  </si>
  <si>
    <t>A white screen with a clipart of red lion wearing a crown appears and the blue words "British Lion Quality are around he lion.</t>
  </si>
  <si>
    <t>A woman is now in the kitchen standing in front of a pan on a stove, she turns the oven on, grabs a large measuring cup and begins cracking eggs into it then adds various other ingredients to the eggs, and then whisks it all up.</t>
  </si>
  <si>
    <t>The woman then puts butter in the pan, melts it all around, then pours her egg mix into the pan.</t>
  </si>
  <si>
    <t>The woman grabs her wooden spatula and starts manipulating the eggs in the pan making sure it doesn't stick and that it cooks thoroughly.</t>
  </si>
  <si>
    <t>The woman then takes the egg to the white plate and folds it onto it then adds a handful of greens next to it.</t>
  </si>
  <si>
    <t>A white screen appears with the red clipart lion in the middle and the blue words "British Lion Quality" going around it.</t>
  </si>
  <si>
    <t>v_ez9uLqGV7AA</t>
  </si>
  <si>
    <t>A man is skateboarding down a sidewalk.</t>
  </si>
  <si>
    <t>He does a flip on the skateboard.</t>
  </si>
  <si>
    <t>He falls off the skateboard onto the ground.</t>
  </si>
  <si>
    <t>v_tD30qafrkhM</t>
  </si>
  <si>
    <t>A man and woman are having sex and kissing inside a shower.</t>
  </si>
  <si>
    <t>She pushes him away and starts crying.</t>
  </si>
  <si>
    <t>A couple is having sex on a bed.</t>
  </si>
  <si>
    <t>The woman pulls out a feather and licks it.</t>
  </si>
  <si>
    <t>She rubs it on the mans face.</t>
  </si>
  <si>
    <t>She has a knife and rubs it down his chest.</t>
  </si>
  <si>
    <t>She looks up at him and lights a cigarette.</t>
  </si>
  <si>
    <t>She lays on her back and laughs.</t>
  </si>
  <si>
    <t>The woman is talking and laughing while holding a snake.</t>
  </si>
  <si>
    <t>The woman is talking to someone.</t>
  </si>
  <si>
    <t>A table with food on it is shown.</t>
  </si>
  <si>
    <t>A wine glass is given to a man by the woman.</t>
  </si>
  <si>
    <t>He denies the drink and she takes a sip.</t>
  </si>
  <si>
    <t>They begin to kiss each other.</t>
  </si>
  <si>
    <t>v_ZeUNeRiU6YY</t>
  </si>
  <si>
    <t>The camera follows a person in red pants snowboarding down a slope.</t>
  </si>
  <si>
    <t>The camera briefly pans away from the woman to focus on the slope.</t>
  </si>
  <si>
    <t>The camera pans away from the woman to focus on the slope.</t>
  </si>
  <si>
    <t>v_-K_cgWfJxiU</t>
  </si>
  <si>
    <t>A man is seen speaking to the camera holding a paddle and sitting in a kayak.</t>
  </si>
  <si>
    <t>The man then paddles himself around the area on the kayak flipping around and looking to the camera.</t>
  </si>
  <si>
    <t>v_injaml6fr7s</t>
  </si>
  <si>
    <t>A woman rides a horse in an indoor barn while playing a game of solo polo.</t>
  </si>
  <si>
    <t>A woman rides a horse in an indoor barn and plays polo while holding a polo stick and chasing a red ball in the indoor setting.</t>
  </si>
  <si>
    <t>The woman hits at the ball while riding the horse in circles.</t>
  </si>
  <si>
    <t>the woman rides the horse until the sun begins to set and the scene gets darker and darker.</t>
  </si>
  <si>
    <t>v_CUJJViubZ9c</t>
  </si>
  <si>
    <t>Wrestlers are fighting in a ring.</t>
  </si>
  <si>
    <t>A man is picked up and thrown down by other men.</t>
  </si>
  <si>
    <t>A man falls on a table and breaks it.</t>
  </si>
  <si>
    <t>v_8fLHaW3YvJY</t>
  </si>
  <si>
    <t>A man wearing glasses is standing outside in the snow with some gadgets talking.</t>
  </si>
  <si>
    <t>He brings forward the blue large shovel looking gadget, still talking and then grabs another shovel.</t>
  </si>
  <si>
    <t>He throws the shovel and then walks to demonstrate how to shovel up the snow.</t>
  </si>
  <si>
    <t>He continues to talk and then starts using the shovel gadget again.</t>
  </si>
  <si>
    <t>He shovels piles out some piles of snow.</t>
  </si>
  <si>
    <t>v_WkWCbz54JSU</t>
  </si>
  <si>
    <t>People are standing in a bull ring.</t>
  </si>
  <si>
    <t>A bull starts chasing a man holding a colorful blanket.</t>
  </si>
  <si>
    <t>Two horses are dragging a bull off the arena.</t>
  </si>
  <si>
    <t>v_Nd209mI-wq0</t>
  </si>
  <si>
    <t>man is sitting in a music store playing an acoustic guitar and talking to the camera showing the ibanez guitar.</t>
  </si>
  <si>
    <t>man starts playing the guitar showing how the guitar sounds connected to an amplifier.</t>
  </si>
  <si>
    <t>v_vmFfa1yv72k</t>
  </si>
  <si>
    <t>Several peoples outfits are being panned from the bottom up.</t>
  </si>
  <si>
    <t>Then a group of cups are on the table and they begin playing beer pong with a group of people.</t>
  </si>
  <si>
    <t>Several rooms and couples are shown and the ball is thrown in a cup.</t>
  </si>
  <si>
    <t>Once done,the camera pans out and you can see the couples are competing against each other in a room together.</t>
  </si>
  <si>
    <t>Couples come back and more beer pong games come back.</t>
  </si>
  <si>
    <t>v_e__FVkfXB-U</t>
  </si>
  <si>
    <t>A man is throwing a blue frisbee and a dog is chasing after it.</t>
  </si>
  <si>
    <t>The dog is jumping over the man kneeling down on the grass.</t>
  </si>
  <si>
    <t>They continue to play frisbee with the dog.</t>
  </si>
  <si>
    <t>v_hJI5PEg2UuA</t>
  </si>
  <si>
    <t>This elderly man is standing up cutting the red tomato into slices.</t>
  </si>
  <si>
    <t>He is in the kitchen cutting the tomato using a cheap knife.</t>
  </si>
  <si>
    <t>It looks hard for him trying to use a knife that barely does anything to try and cut the tomato, but the difference shows in good products.</t>
  </si>
  <si>
    <t>v_DLlooZTLPdI</t>
  </si>
  <si>
    <t>Several bikers are riding back and for the at a festival in the dessert.</t>
  </si>
  <si>
    <t>A man dressed in women's clothing comes onto the screen and begins to hula hoop while a camera is attached to the hula hoop.</t>
  </si>
  <si>
    <t>Several other people perform inside the hula hoop camera while the music plays.</t>
  </si>
  <si>
    <t>Then several people are shown waling up to the hula hoop camera getting ready to hula hoop.</t>
  </si>
  <si>
    <t>The man that is dressed as a woman gives some one a hug.</t>
  </si>
  <si>
    <t>The video ends with people riding on a bicycle while the camera is attached to the bike.</t>
  </si>
  <si>
    <t>v_lIqAkmaXnXg</t>
  </si>
  <si>
    <t>A woman is sitting on a chair while she pulls thin art foil pieces from a small table in front of her, and applies it to a small dresser that is also in front of her.</t>
  </si>
  <si>
    <t>The woman then takes her brush and begins brushing all of the pieces of foils on the top drawer while holding a hand under it to catch all the pieces that fall.</t>
  </si>
  <si>
    <t>The woman then closes the drawer and brushes it some more.</t>
  </si>
  <si>
    <t>v_N8nv95D4-pw</t>
  </si>
  <si>
    <t>A woman is in a gym talking.</t>
  </si>
  <si>
    <t>the woman demonstrates how to do an exercise with a step.</t>
  </si>
  <si>
    <t>v_j5Fq7Y8EJk8</t>
  </si>
  <si>
    <t>A man rides a jetski on a river with the camera at a distance.</t>
  </si>
  <si>
    <t>The man jetskis while holding the camera at arm's length.</t>
  </si>
  <si>
    <t>The man is shown waterskiing while pulled by the jetski.</t>
  </si>
  <si>
    <t>The man falls and is briefly submerged.</t>
  </si>
  <si>
    <t>v_9qgO4EQiQzI</t>
  </si>
  <si>
    <t>A person is seen placing a mat down on a floor with various tools laid out around him.</t>
  </si>
  <si>
    <t>He measures the floor with a ruler followed by him putting plaster down on the floor and putting the mat back down.</t>
  </si>
  <si>
    <t>v_RJ5U2y6ccvA</t>
  </si>
  <si>
    <t>A young baby is outside in murky water holding on to a white bar.</t>
  </si>
  <si>
    <t>Two men push him and he is shown riding a water vehicle being pulled by some type of thing.</t>
  </si>
  <si>
    <t>As he moves,a woman is on the side of him following him and stopping him along the way making sure he is okay.</t>
  </si>
  <si>
    <t>v_sbvk9FNaAH0</t>
  </si>
  <si>
    <t>A hand is seen playing with a machine followed by shots of a beach and a young boy carrying a wind sail.</t>
  </si>
  <si>
    <t>Many people stand on the beach walking around and leading into a man pulling up a sail on a boat and people preparing to wind surf.</t>
  </si>
  <si>
    <t>Several shots are shown of people riding along the water with a kite as well as people on a boat and various landscapes.</t>
  </si>
  <si>
    <t>In the end a shot of a sunset is shown.</t>
  </si>
  <si>
    <t>v_3xUAyMuqBrQ</t>
  </si>
  <si>
    <t>A man is putting ingredients into a pan.</t>
  </si>
  <si>
    <t>He stirs it together over a stove.</t>
  </si>
  <si>
    <t>He puts it on a plate and shows the camera.</t>
  </si>
  <si>
    <t>v_a6lCnOqNaMY</t>
  </si>
  <si>
    <t>A man is running down the track.</t>
  </si>
  <si>
    <t>He throws a javelin onto the field.</t>
  </si>
  <si>
    <t>The audience is behind him in the stands watching.</t>
  </si>
  <si>
    <t>v_eZ_IOp638kQ</t>
  </si>
  <si>
    <t>An athletic man is seen running to throw a ball and another person hits it into the audience.</t>
  </si>
  <si>
    <t>More clips are shown of people playing the game on the field with the audience cheers and players move around the field.</t>
  </si>
  <si>
    <t>v_FXb8rBMvol4</t>
  </si>
  <si>
    <t>People are coming off of a van holding snowboards.</t>
  </si>
  <si>
    <t>A man straps his snowboard on.</t>
  </si>
  <si>
    <t>Several people are snowboarding down a hill.</t>
  </si>
  <si>
    <t>A man in goggles talks.</t>
  </si>
  <si>
    <t>A woman holds a child up to kiss a man.</t>
  </si>
  <si>
    <t>People are snowboarding down a hill.</t>
  </si>
  <si>
    <t>A man talks to the camera.</t>
  </si>
  <si>
    <t>Several people do tricks on their snowboards.</t>
  </si>
  <si>
    <t>A man talks to the camera again.</t>
  </si>
  <si>
    <t>Several more people are snowboarding and talking.</t>
  </si>
  <si>
    <t>A man with a beard talks to the camera.</t>
  </si>
  <si>
    <t>A man takes off his snowboard.</t>
  </si>
  <si>
    <t>v_e2fXKrG2BkY</t>
  </si>
  <si>
    <t>Two boys in blue karate suits and red belts are standing on a stage in a school cafeteria and they are doing a karate routine in unison.</t>
  </si>
  <si>
    <t>When they are done, they turn to one another, bow, and do some karate matches that involve gently throwing one another to ground and when done with the matches they each take a bow facing the crowd.</t>
  </si>
  <si>
    <t>The boys then start another karate routine and they are doing various moves with their arms and legs while doing them in unison as much as possible.</t>
  </si>
  <si>
    <t>When done they both take a bow facing the crowd and they both run off the school stage.</t>
  </si>
  <si>
    <t>v_L_fvvmvV-Tc</t>
  </si>
  <si>
    <t>A man and a little boy are mowing a lawn.</t>
  </si>
  <si>
    <t>The man pushes the real mower back and forth.</t>
  </si>
  <si>
    <t>The little boy follows him with a toy mower.</t>
  </si>
  <si>
    <t>v_Z6xXj6tbMCo</t>
  </si>
  <si>
    <t>A man is seen doing various flips and tricks on a gym floor while others practice behind him.</t>
  </si>
  <si>
    <t>The man continues slipping around the room while people walking him stop and watch.</t>
  </si>
  <si>
    <t>v_nmUJ2GfVkKY</t>
  </si>
  <si>
    <t>An athlete performs a long jump at a professional sports event as onlookers watch and clap.</t>
  </si>
  <si>
    <t>A man in an athletic outfit and a paper number pinned to his chest paces on a sports field.</t>
  </si>
  <si>
    <t>The man runs a distance and performs a long jump.</t>
  </si>
  <si>
    <t>The man smiles and paces after the long jump as a British flag waves in the background and a template of his score goes across the screen along with slow motion re-inactments.</t>
  </si>
  <si>
    <t>The man takes his shoes off while sitting on a bench.</t>
  </si>
  <si>
    <t>v_Fp8e9dbWeSg</t>
  </si>
  <si>
    <t>A group of people are seen riding in bumper cars and running into one another.</t>
  </si>
  <si>
    <t>The people keep bumping into each other and driving around and then stop to climb out of the cars.</t>
  </si>
  <si>
    <t>v_qGf6earGAOc</t>
  </si>
  <si>
    <t>People are driving in a car down the street.</t>
  </si>
  <si>
    <t>A man is wake boarding in water full of berries.</t>
  </si>
  <si>
    <t>A van is driving on a road by the water.</t>
  </si>
  <si>
    <t>v_8j75QYV-iCg</t>
  </si>
  <si>
    <t>a young girl in a yellow outfit poses with a baton.</t>
  </si>
  <si>
    <t>She begins to dance, twirling the baton as she goes.</t>
  </si>
  <si>
    <t>The girl spins, sits, slides, and twirls as she performs.</t>
  </si>
  <si>
    <t>She falls to the ground in a pose and smiles as she finishes.</t>
  </si>
  <si>
    <t>v_Q_v6MdHJ7Go</t>
  </si>
  <si>
    <t>A man is seen kneeling on a floor and puts his hands behind his head.</t>
  </si>
  <si>
    <t>He then bends his body forward and performs several jumps onto his feet.</t>
  </si>
  <si>
    <t>v_OIA7lPraPSM</t>
  </si>
  <si>
    <t>Three people are riding skateboards on a road in a city and the text on the bottom left screen say "Three regulars Justice - New Jack" and they are skating fast going forward, turning, curving, bending down and doing other various tricks all throughout the city and not wearing any helmets or other safety gear.</t>
  </si>
  <si>
    <t>Two of the guys are stopped on a road and then all of a sudden one of them picks up a skateboard and throws it very hard against the wall.</t>
  </si>
  <si>
    <t>The guys are shown skateboarding again and this time they are wearing helmets as they skateboard down the roads in this city going very fast and doing multiple various tricks.</t>
  </si>
  <si>
    <t>v_9cD-Z6Aw7bE</t>
  </si>
  <si>
    <t>We see young ladies hug each other on a track.</t>
  </si>
  <si>
    <t>We then see replay from their run.</t>
  </si>
  <si>
    <t>A lady swings her arms as she finishes.</t>
  </si>
  <si>
    <t>We see a 4 ladies throwing the hammer.</t>
  </si>
  <si>
    <t>A lady hugs someone after her thrown.</t>
  </si>
  <si>
    <t>A lady hugs a woman and a man.</t>
  </si>
  <si>
    <t>v__dp7ZH3Upuw</t>
  </si>
  <si>
    <t>A small boy swings out off a large piece of playground equipment.</t>
  </si>
  <si>
    <t>He swings across the bars, trying to hold on.</t>
  </si>
  <si>
    <t>He makes it all the way to the end before jumping off.</t>
  </si>
  <si>
    <t>v_rSTXxDLYxTQ</t>
  </si>
  <si>
    <t>A close up of shoes are shown followed by a person holding the shoes and rubbing polish around the shoes.</t>
  </si>
  <si>
    <t>The man then rubs polish into the other shoe on the table as well as back to the one he started on.</t>
  </si>
  <si>
    <t>He takes a brush and uses it on the shoe, ending with him grabbing the camera.</t>
  </si>
  <si>
    <t>v_tYV23sjRgt8</t>
  </si>
  <si>
    <t>This woman is showing viewers how to make a whiskey sour.</t>
  </si>
  <si>
    <t>First she pours one ounce of whiskey over ice into the ross glass.</t>
  </si>
  <si>
    <t>Then she pours citrus into the glass and puts a straw into it.</t>
  </si>
  <si>
    <t>v_y47RXYfefvQ</t>
  </si>
  <si>
    <t>A man is in a snowy parking lot.</t>
  </si>
  <si>
    <t>He is using a brush to wipe snow off the back windshielf of his car.</t>
  </si>
  <si>
    <t>He glances at the camera, then keeps wiping.</t>
  </si>
  <si>
    <t>v_74qSBsksI-E</t>
  </si>
  <si>
    <t>A man is seen speaking to the camera and begins holding a razor up to his face.</t>
  </si>
  <si>
    <t>The man then shaves his face around the sides and ends by still speaking to the camera.</t>
  </si>
  <si>
    <t>v_JhiX65Okpt0</t>
  </si>
  <si>
    <t>A woman is performing partial arts moves with a man on a stage.</t>
  </si>
  <si>
    <t>A band plays instruments in the background.</t>
  </si>
  <si>
    <t>The two spin, flip, and kick, taking turns.</t>
  </si>
  <si>
    <t>v_rxwmIyvVVUU</t>
  </si>
  <si>
    <t>A lady plays pool alone indoors.</t>
  </si>
  <si>
    <t>The white ball falls off the pool table.</t>
  </si>
  <si>
    <t>The lady picks up the white ball from the floor.</t>
  </si>
  <si>
    <t>v_ilX9ntIzaoQ</t>
  </si>
  <si>
    <t>We see a man run and jump on a raft as it slides down a long snowy hill.</t>
  </si>
  <si>
    <t>The raft stops and the cameraman gets up and walks around while filming the ground.</t>
  </si>
  <si>
    <t>A hand then covers the camera.</t>
  </si>
  <si>
    <t>v_Q_Rufuciohg</t>
  </si>
  <si>
    <t>An older woman peels a potato over a table.</t>
  </si>
  <si>
    <t>She sets the knife down on the table.</t>
  </si>
  <si>
    <t>v_3VoIt9XkPEM</t>
  </si>
  <si>
    <t>People are floating down a river in tubes.</t>
  </si>
  <si>
    <t>A person's feet are shown on a tube.</t>
  </si>
  <si>
    <t>People are standing on the short next to their tubes.</t>
  </si>
  <si>
    <t>v_bdKB3QYNFbc</t>
  </si>
  <si>
    <t>men are in a dust racetrack riding bikes doing tricks.</t>
  </si>
  <si>
    <t>little kids are going down a slide in a dust pathway.</t>
  </si>
  <si>
    <t>v_wV2c3sdctbs</t>
  </si>
  <si>
    <t>A boy is explaining how to put on toes shoes on his left foot.</t>
  </si>
  <si>
    <t>Then, the boy raise the right foot and take out the toe shoe and continue explaining.</t>
  </si>
  <si>
    <t>v_9xOUoTQLea4</t>
  </si>
  <si>
    <t>A person makes a pot of coffee.</t>
  </si>
  <si>
    <t>The person then adds a bunch of sugary products to it.</t>
  </si>
  <si>
    <t>The man drinks it and then calls people from a smart phone.</t>
  </si>
  <si>
    <t>v_5iQsKA84vWo</t>
  </si>
  <si>
    <t>There two women boxers competing in kickboxing against each other in a boxing event.</t>
  </si>
  <si>
    <t>The referee is standing next to them.</t>
  </si>
  <si>
    <t>There are several spectators watching the boxers compete.</t>
  </si>
  <si>
    <t>After the referee gives a go, the contestants begin the match.</t>
  </si>
  <si>
    <t>The crowd cheers for them as they compete.</t>
  </si>
  <si>
    <t>The boxer in the black uniform punches the boxer in red and makes her fall down.</t>
  </si>
  <si>
    <t>The boxer in red kicks her opponent.</t>
  </si>
  <si>
    <t>The boxer in black strikes back at her opponent and the boxer in red punches her face.</t>
  </si>
  <si>
    <t>The referee declares the boxer in black as the winner and crowd applauds her victory.</t>
  </si>
  <si>
    <t>v_8B4M8AsGZmQ</t>
  </si>
  <si>
    <t>A camera pans around a person standing and leads into him looking off into the distance and carrying gear.</t>
  </si>
  <si>
    <t>The man suits up as the camera shows close ups of his board.</t>
  </si>
  <si>
    <t>The man is then seen doing numerous tricks over the water while following behind a boat.</t>
  </si>
  <si>
    <t>v_0ufZs4e24Xs</t>
  </si>
  <si>
    <t>Two men are boxing inside a gym.</t>
  </si>
  <si>
    <t>The two men kick and alternate blows with punches.</t>
  </si>
  <si>
    <t>v_dXdhOe0DPC4</t>
  </si>
  <si>
    <t>A woman is sanding a book shelf with a sander.</t>
  </si>
  <si>
    <t>She touches the sanded portion with her hand.</t>
  </si>
  <si>
    <t>She stands next to the shelf talking.</t>
  </si>
  <si>
    <t>v_LZ1142kuCnI</t>
  </si>
  <si>
    <t>A person is seen walking around a room carrying a broom.</t>
  </si>
  <si>
    <t>She pushes it along the wall beside her.</t>
  </si>
  <si>
    <t>In the end she turns around and pushes it back.</t>
  </si>
  <si>
    <t>v_SLPD1U5iDjY</t>
  </si>
  <si>
    <t>A woman is seen outside playing a game of beach volley ball serving it over the net in slow motion.</t>
  </si>
  <si>
    <t>It makes it over the net and the other team of two balls is able to hit it back over the net.</t>
  </si>
  <si>
    <t>Both pairs of people continue to play the game and eventually the side with the man and woman on the team end up winning.</t>
  </si>
  <si>
    <t>v_kMHMdqkGRB4</t>
  </si>
  <si>
    <t>A gymnast is seen standing before a large beam and putting his hands up in the air.</t>
  </si>
  <si>
    <t>He then performs a gymnasts routine while swinging himself all around the bar and ends by jumping down.</t>
  </si>
  <si>
    <t>v_cJyl4yqFuK0</t>
  </si>
  <si>
    <t>A young child is seen sitting next to a tub and bending over the side.</t>
  </si>
  <si>
    <t>A person speaks to her on the side while she looks back to the camera.</t>
  </si>
  <si>
    <t>She bends further into the sink then moves back to the camera to look.</t>
  </si>
  <si>
    <t>v_66BGqvwHbUw</t>
  </si>
  <si>
    <t>A camera zooms in on a person playing guitar and leads into a man speaking.</t>
  </si>
  <si>
    <t>Several more shots of people playing guitar and guitars on walls are shown as well as the same man speaking to the camera.</t>
  </si>
  <si>
    <t>v_erxnWYOO1ew</t>
  </si>
  <si>
    <t>We see a man jumping on jump stilts.</t>
  </si>
  <si>
    <t>We see a person sitting in the yard.</t>
  </si>
  <si>
    <t>The man on the stilts stops and turns around towards the camera.</t>
  </si>
  <si>
    <t>v_wO9DGYTAX70</t>
  </si>
  <si>
    <t>Slow motion shows of people riding horses over jumps are shown that lead into a woman speaking to the camera with a horse behind her.</t>
  </si>
  <si>
    <t>The woman then wears a glove and brushes the horse all over while the capture captures her movements and the horse.</t>
  </si>
  <si>
    <t>She brushes the back of it's tail and finishes around it's belly.</t>
  </si>
  <si>
    <t>v_Q2PC60uwjdY</t>
  </si>
  <si>
    <t>Beets are being chopped up on a chopping block.</t>
  </si>
  <si>
    <t>They are put in a pan and covered with water.</t>
  </si>
  <si>
    <t>Kale is being chopped up on a cutting board.</t>
  </si>
  <si>
    <t>It is tossed in salt for a few minutes.</t>
  </si>
  <si>
    <t>Carrots are grated over the kale.</t>
  </si>
  <si>
    <t>A tomato is diced and mixed with dressing.</t>
  </si>
  <si>
    <t>This is then poured over the kale.</t>
  </si>
  <si>
    <t>A man takes a bite of the salad.</t>
  </si>
  <si>
    <t>v_mgEX5A1o2jg</t>
  </si>
  <si>
    <t>A person is seen moving in fast motion unpacking a bag and piecing together parts of a tire.</t>
  </si>
  <si>
    <t>Many people stop to watch on the sidelines while the man continues to build the bike and finishes by packing everything up and holding his arms out while smiling.</t>
  </si>
  <si>
    <t>v_7pYrfYFoxdc</t>
  </si>
  <si>
    <t>A woman climbs into the back of a van with other people.</t>
  </si>
  <si>
    <t>Several men are standing together in a line before we see a person in a gorilla suit.</t>
  </si>
  <si>
    <t>Many people are dancing, falling off skateboards, and performing various tricks like tightrope walking and flips.</t>
  </si>
  <si>
    <t>The group walks out of the building together, making signs and faces at the camera.</t>
  </si>
  <si>
    <t>v_vWsPUB8dQMU</t>
  </si>
  <si>
    <t>A train goes by on a track, and several cars are seen driving on a wet road.</t>
  </si>
  <si>
    <t>A woman gets out, and crouches by a flat tire.</t>
  </si>
  <si>
    <t>She uses equipment to lift the car from the ground, then removes the tire.</t>
  </si>
  <si>
    <t>She replaces the bad tire with a spare.</t>
  </si>
  <si>
    <t>she then puts away her equipment and gives a thumbs up before driving safely away.</t>
  </si>
  <si>
    <t>v_ekzUyQo2R9Y</t>
  </si>
  <si>
    <t>There's a person wakeboarding in a lake.</t>
  </si>
  <si>
    <t>He is being pulled by a red rope that is fastened to a steamboat.</t>
  </si>
  <si>
    <t>He is going at a steady speed behind the steamboat.</t>
  </si>
  <si>
    <t>v_-jl_v7zi17A</t>
  </si>
  <si>
    <t>A woman is seen riding on a piece of exercise equipment followed by several shots of her adjusting the equipment and moving it around.</t>
  </si>
  <si>
    <t>More shots are shown of her riding the equipment and changing the settings on the front.</t>
  </si>
  <si>
    <t>v_JuC7EY32Spg</t>
  </si>
  <si>
    <t>An older women is shown sitting on a front step putting socks on with a small dog standing near her.</t>
  </si>
  <si>
    <t>She then puts her shoe on the foot and the dog looks off into the distance.</t>
  </si>
  <si>
    <t>v_GvDu_0ktsJ0</t>
  </si>
  <si>
    <t>A cooker shows ingredients to make salad pasta while talking.</t>
  </si>
  <si>
    <t>The cooker puts pasta on a square container and adds vegetables.</t>
  </si>
  <si>
    <t>Then, the cooker adds cheese, broth, white cream, salt and then he mix it.</t>
  </si>
  <si>
    <t>The man serves the pasta with a piece of tomato and he taste the salad.</t>
  </si>
  <si>
    <t>v_CZRkT9Lno3k</t>
  </si>
  <si>
    <t>An athletic woman is seen standing ready holding a pole in her hands and looking down and back.</t>
  </si>
  <si>
    <t>She then holds the stick up and pole volts herself onto a mat.</t>
  </si>
  <si>
    <t>She waves to the crowd and then walks away with others getting ready around her.</t>
  </si>
  <si>
    <t>v_rDYeRbucGt4</t>
  </si>
  <si>
    <t>A man is seated cross legged watching a show.</t>
  </si>
  <si>
    <t>A man is kneeling in front of the crowd, talking.</t>
  </si>
  <si>
    <t>He continues talking as the crowd is enraptured, listening to his every word.</t>
  </si>
  <si>
    <t>v_UjG_uHlFf3s</t>
  </si>
  <si>
    <t>A clip of the show top Gear is shown with one man sitting in a car speaking to the camera, and another speaking to the camera in a different car.</t>
  </si>
  <si>
    <t>Two men speak on walkie talkies on the side and the men drive the cars into one another.</t>
  </si>
  <si>
    <t>One pushes the car back and the men all get out and speak to one another.</t>
  </si>
  <si>
    <t>Another car is test with the men speaking to the camera and pushes the car back while others look in disbelief.</t>
  </si>
  <si>
    <t>v_QTfz_zprGcQ</t>
  </si>
  <si>
    <t>A BTRtv reporter visits a soul cycle studio and store, interviews a soul cycle instructor and takes a sample soul cycle class.</t>
  </si>
  <si>
    <t>A reporter holding a microphone, stands outside of a soul cycle store speaking to the camera, and then enters the store and interviews a soul cycle instructor.</t>
  </si>
  <si>
    <t>The reporter then changes clothes and takes a soul cycle class interspersed with video of instructor led soul cycle classes.</t>
  </si>
  <si>
    <t>The reporter returns to interviewing the soul cycle instructor with a final shot of rows of clothing hanging in the soul cycle store.</t>
  </si>
  <si>
    <t>v_Zk3JXtS2fOY</t>
  </si>
  <si>
    <t>An olympic fencing match is shown.</t>
  </si>
  <si>
    <t>Each side scores points and then a new match is shown.</t>
  </si>
  <si>
    <t>v_9sbiZgFefA4</t>
  </si>
  <si>
    <t>We see a title screen on black.</t>
  </si>
  <si>
    <t>We then see a woman skating down a street in a city.</t>
  </si>
  <si>
    <t>Cars begin to pass the lady.</t>
  </si>
  <si>
    <t>The lady passes parked cars.</t>
  </si>
  <si>
    <t>The lady talks as she stands in front of a building door.</t>
  </si>
  <si>
    <t>She talks near a highway.</t>
  </si>
  <si>
    <t>We see the ending screen on black.</t>
  </si>
  <si>
    <t>v_QQQ7jSVSG3A</t>
  </si>
  <si>
    <t>A group of belly dancers are posing onstage.</t>
  </si>
  <si>
    <t>They begin to dance, swirling their scarves around their bodies as they dance.</t>
  </si>
  <si>
    <t>They drop the scarves, focusing solely on the dance before dropping to the ground, then rising and dancing off stage.</t>
  </si>
  <si>
    <t>v_itlF0DEBetk</t>
  </si>
  <si>
    <t>A man is raking leaves in his yard.</t>
  </si>
  <si>
    <t>He has bagged several leaves as he rakes them out of a bird bath.</t>
  </si>
  <si>
    <t>He continues raking, then opens a bag to pour rocks around the bird bath.</t>
  </si>
  <si>
    <t>v_5pPQc85IXtU</t>
  </si>
  <si>
    <t>People competes bike cross in a field.</t>
  </si>
  <si>
    <t>People bike on a bumpy track where a crowd gather to watch the bike cross competition.</t>
  </si>
  <si>
    <t>A biker falls on the ground.</t>
  </si>
  <si>
    <t>The bikers arrive to the finish line.</t>
  </si>
  <si>
    <t>v_ZmoSxXei954</t>
  </si>
  <si>
    <t>A man is seen standing in a gym holding a racket while the camera pans out to show two men.</t>
  </si>
  <si>
    <t>The men move around one another in the gym hitting a ball off the wall.</t>
  </si>
  <si>
    <t>The two continue hitting the ball around and walking around to hit it.</t>
  </si>
  <si>
    <t>v_zB8kwWJqQ8Q</t>
  </si>
  <si>
    <t>men and women are in team playing foosball in a table in a basket court.</t>
  </si>
  <si>
    <t>referee is standing in front of table watching the game.</t>
  </si>
  <si>
    <t>people is sitting in terraces behind the court watching the game.</t>
  </si>
  <si>
    <t>v_GBdj6erXjDM</t>
  </si>
  <si>
    <t>A girl sits in the drivers seat of a car and enjoys a ice cream cone.</t>
  </si>
  <si>
    <t>The girl laughs while trying to eat the ice cream.</t>
  </si>
  <si>
    <t>The girl licks the ice cream cone with the tip of her tongue.</t>
  </si>
  <si>
    <t>v_crfrKqFp0Zg</t>
  </si>
  <si>
    <t>A man is seen standing in a black room and proceeds to play a flute while the camera captures him.</t>
  </si>
  <si>
    <t>The man continues to lay the instrument while moving his hands up and down and moving his head to the beat.</t>
  </si>
  <si>
    <t>v_3Vj0GcB_qh4</t>
  </si>
  <si>
    <t>Two young girls stand in front of a fireplace holding violins.</t>
  </si>
  <si>
    <t>The girls begin playing a piece of music on the violins and then bow at the end.</t>
  </si>
  <si>
    <t>Two younger children appear outdoors with a website address overlaid.</t>
  </si>
  <si>
    <t>v_o7O6XJYVDRE</t>
  </si>
  <si>
    <t>Supplies to wrap a gift is laying on a wooden table.</t>
  </si>
  <si>
    <t>A gift wrapped present is wrapped with a clear plastic and taped in place.</t>
  </si>
  <si>
    <t>Red ribbons are tied at each end.</t>
  </si>
  <si>
    <t>A scissor is used to cut off the excess clear plastic at each end.</t>
  </si>
  <si>
    <t>The final wrapped product is laying on the table.</t>
  </si>
  <si>
    <t>v_tnWmUCOEdFY</t>
  </si>
  <si>
    <t>A woman with long hair is seen looking deep into the camera and stroking her face.</t>
  </si>
  <si>
    <t>She then brushes her hair and ends the video by smiling.</t>
  </si>
  <si>
    <t>v_e9p0xmsU3h0</t>
  </si>
  <si>
    <t>A girl plays in a indoor plastic ball pool with a slide.</t>
  </si>
  <si>
    <t>The girl climbs up the stair case then slides down the slide.</t>
  </si>
  <si>
    <t>The girl climbs up a staircase then crawls through a tunnel.</t>
  </si>
  <si>
    <t>The girl slides down into a ball pool then climbs back up the slide.</t>
  </si>
  <si>
    <t>The girl plays with the tick-tack-toe board before sliding back down.</t>
  </si>
  <si>
    <t>The child swings on a swing set.</t>
  </si>
  <si>
    <t>The child walks into a trampoline room then jumps up and down.</t>
  </si>
  <si>
    <t>The child walks over a suspension bridge then then over a bridge with nets.</t>
  </si>
  <si>
    <t>The girl slides into the ball pool then climbs up onto the wall and jumps back in.</t>
  </si>
  <si>
    <t>the girl climbs up the slide railing.</t>
  </si>
  <si>
    <t>The girl slides down a steep orange slide.</t>
  </si>
  <si>
    <t>Balls are thrown at the girl and she throws them back laughing.</t>
  </si>
  <si>
    <t>v_0bXzFAKRoBU</t>
  </si>
  <si>
    <t>A man is seen playing the drums with another man beside him with several lights flash around his face.</t>
  </si>
  <si>
    <t>Another man is seen holding a guitar and several shots of a stage are shown.</t>
  </si>
  <si>
    <t>The musician grabs a microphone and the guitarist jumps on stage with a cigarette in his mouth.</t>
  </si>
  <si>
    <t>v_9lX18LyTuAQ</t>
  </si>
  <si>
    <t>A man holding a violin is speaking to the camera with a young boy who is also holding a violin.</t>
  </si>
  <si>
    <t>The boys talk back and fourth for a while and the man shows the boy how to properly play the violin.</t>
  </si>
  <si>
    <t>The boy then does exactly what the instructor taught him while the instructor corrects his playing.</t>
  </si>
  <si>
    <t>v_C7rGK81C7SU</t>
  </si>
  <si>
    <t>A persons hands are seen laying clay out onto a cake and begins painting objects on the side.</t>
  </si>
  <si>
    <t>The woman puts the decorations around the cake and continues decorating more objects on the side.</t>
  </si>
  <si>
    <t>She finishes the cake by adding the final decorations and presenting it to the camera.</t>
  </si>
  <si>
    <t>v_9dqz5ojw-ys</t>
  </si>
  <si>
    <t>People are in stands watching two teams in a pool play pool soccer.</t>
  </si>
  <si>
    <t>The players are yelling and then the ball is hit towards the goal and deflected as the crowd cheers them on.</t>
  </si>
  <si>
    <t>The ball is then thrown back into the pool.</t>
  </si>
  <si>
    <t>v_9wukG78Z0u8</t>
  </si>
  <si>
    <t>A man is kneeling inside a gym.</t>
  </si>
  <si>
    <t>He has a barbell resting on his shoulders as he hops up.</t>
  </si>
  <si>
    <t>He stands fully, then drops the weights.</t>
  </si>
  <si>
    <t>v_GWJw2jR2mTY</t>
  </si>
  <si>
    <t>A man wearing a white shirt stands in a kitchen with a mop.</t>
  </si>
  <si>
    <t>The man begins mopping the floor while standing in front of washing machines.</t>
  </si>
  <si>
    <t>The man mopping takes a few steps and slips as his left leg slides on the floor and he falls to the floor.</t>
  </si>
  <si>
    <t>v_9mL3eC5iizc</t>
  </si>
  <si>
    <t>Two trains drive along an elevated rail in a city.</t>
  </si>
  <si>
    <t>The camera pans to show a man playing a harmonica while sitting on a log beside a river.</t>
  </si>
  <si>
    <t>A woman walks near the train tracks while a train drives by.</t>
  </si>
  <si>
    <t>The woman sees the harmonica playing man in the distance.</t>
  </si>
  <si>
    <t>She watches him and listens to him playing.</t>
  </si>
  <si>
    <t>She walks away leaving the man.</t>
  </si>
  <si>
    <t>The man finishes playing and remains seated.</t>
  </si>
  <si>
    <t>v_o2mqzjWJJNw</t>
  </si>
  <si>
    <t>A man wearing a heavy apron, heavy gloves and large plastic mask over his face walks over to a tool sitting on a wooden table.</t>
  </si>
  <si>
    <t>The man picks up the tool and touches it to something on the table making sparks fly.</t>
  </si>
  <si>
    <t>A continuous spray of sparks shoots off of the tool.</t>
  </si>
  <si>
    <t>The man stops and and takes a step back while pulling his face mask up and looking at the item on the table.</t>
  </si>
  <si>
    <t>The man pulls his face mask back down and begins to use the tool again sending sparks flying again.</t>
  </si>
  <si>
    <t>The man pauses and backs away looking at the item on the table.</t>
  </si>
  <si>
    <t>He touches the tool to the item one more time.</t>
  </si>
  <si>
    <t>The man then looks at the tool he is using and shakes it a little before sitting it down on the table.</t>
  </si>
  <si>
    <t>The man then removes one of his gloves and walks away.</t>
  </si>
  <si>
    <t>v_PqrexMJ5ohk</t>
  </si>
  <si>
    <t>A close up of balls moving around a pool table are shown followed by a person walking around the table.</t>
  </si>
  <si>
    <t>Two men then hit the balls around the table back and fourth while many watch and react around them.</t>
  </si>
  <si>
    <t>v_qZIJRg7hJ0o</t>
  </si>
  <si>
    <t>A small group of people are seen sitting in bumper cars playing a game with one another.</t>
  </si>
  <si>
    <t>The people driving around in the cars while others watch on the sides.</t>
  </si>
  <si>
    <t>Another shot is shown of people playing bumper cars and crashing into one another.</t>
  </si>
  <si>
    <t>v_uIl5Tj74sLw</t>
  </si>
  <si>
    <t>a girl stands in front of a bathroom mirror and vigorously rubs her face.</t>
  </si>
  <si>
    <t>The girl turns on the faucet.</t>
  </si>
  <si>
    <t>The girl then splashes water on her face several times.</t>
  </si>
  <si>
    <t>The girl wipes her face with a towel.</t>
  </si>
  <si>
    <t>v_e5VrEH2X8LI</t>
  </si>
  <si>
    <t>An intro leads into a bearded man talking to the camera and presenting an object to the screen.</t>
  </si>
  <si>
    <t>He uses the tool to push a carpet area over and continues talking to the camera.</t>
  </si>
  <si>
    <t>v_GRGBMJG1Koc</t>
  </si>
  <si>
    <t>Several multi colored and shaped kites fly high in the air above a beach setting interspersed with images of people preparing to fly kites and onlookers.</t>
  </si>
  <si>
    <t>Several kites fly in the air, in a bright blue sky, over a sandy area.</t>
  </si>
  <si>
    <t>A man is seen kneeling over some equipment in the sand.</t>
  </si>
  <si>
    <t>More kites fly as people watch the varied styles of kite, including one kite shaped like a dog.</t>
  </si>
  <si>
    <t>v_otrk9uW9UjU</t>
  </si>
  <si>
    <t>A lady lays on a yoga mat in a carpeted room and does sit ups while talking.</t>
  </si>
  <si>
    <t>A finger enters the screen.</t>
  </si>
  <si>
    <t>The lady finishes and stops.</t>
  </si>
  <si>
    <t>v_BLmAF2wbTz8</t>
  </si>
  <si>
    <t>A bartender is shown speaking to the camera while pouring ice into a glass and various liquids into a blender.</t>
  </si>
  <si>
    <t>He pours more ice into the blender and mixes up the liquids all together.</t>
  </si>
  <si>
    <t>He pours out the liquid and places a straw into the glass while the camera pans around.</t>
  </si>
  <si>
    <t>v_ERVK6vQbor4</t>
  </si>
  <si>
    <t>A man in a gym is donning a pair of boxing gloves.</t>
  </si>
  <si>
    <t>He begins punching the bag, going around in circles as he does so.</t>
  </si>
  <si>
    <t>He continues punching, then we see a slight view of a man jumping rope.</t>
  </si>
  <si>
    <t>v_puwMWETdvL0</t>
  </si>
  <si>
    <t>We see a black opening logo.</t>
  </si>
  <si>
    <t>A man etches a pumpkin with a knife like tool.</t>
  </si>
  <si>
    <t>The man then carves a logo into the pumpkin.</t>
  </si>
  <si>
    <t>We see the pumpkin with a light inside of it.</t>
  </si>
  <si>
    <t>We then see the same logo as the open.</t>
  </si>
  <si>
    <t>v_waTjpd7yDkc</t>
  </si>
  <si>
    <t>A man and a woman wearing roller blades kneel facing each other on a basketball court.</t>
  </si>
  <si>
    <t>A dog runs by the man and woman.</t>
  </si>
  <si>
    <t>the man and woman rise together.</t>
  </si>
  <si>
    <t>The man and woman perform a paired roller blade routine.</t>
  </si>
  <si>
    <t>The man and woman finish the routine and move towards the camera.</t>
  </si>
  <si>
    <t>v_AElVyfjSHIo</t>
  </si>
  <si>
    <t>A man is seen speaking to the camera and leads into him playing on a set of drums.</t>
  </si>
  <si>
    <t>The man continues speaking to the camera with his hands and moving the sticks while looking around.</t>
  </si>
  <si>
    <t>v_drfE5oASHaU</t>
  </si>
  <si>
    <t>The host enters a gun store and dances around.</t>
  </si>
  <si>
    <t>Afterward the into plays for the show.</t>
  </si>
  <si>
    <t>He then goes on to talk for a while in the store and plays around with a gun on a few cuts.</t>
  </si>
  <si>
    <t>Afterward a outro for the segment plays with credits.</t>
  </si>
  <si>
    <t>v_NW42KGlKi_c</t>
  </si>
  <si>
    <t>A camera pans out away from a beach followed by hundreds of people rowing canoes.</t>
  </si>
  <si>
    <t>The people are seen running along the beach as well as rowing the canoes and a man sitting at a table.</t>
  </si>
  <si>
    <t>The man checks his phone and looks off into the distance and another shot of people canoeing are shown.</t>
  </si>
  <si>
    <t>v_nN1u9BVysQs</t>
  </si>
  <si>
    <t>We see the title on the black screen.</t>
  </si>
  <si>
    <t>We see instruments and the wall with the school name.</t>
  </si>
  <si>
    <t>People are shown warming up.</t>
  </si>
  <si>
    <t>We are then shown Capoeira technique.</t>
  </si>
  <si>
    <t>People are practicing Capoeira moves.</t>
  </si>
  <si>
    <t>The ladies are explaining why they chose Capoeira.</t>
  </si>
  <si>
    <t>We are shown the end card for the website.</t>
  </si>
  <si>
    <t>v_78WY5lXk42A</t>
  </si>
  <si>
    <t>A man spreads a white sheet onto a wall.</t>
  </si>
  <si>
    <t>He then presses a sheet with a photo printed onto it onto the white background.</t>
  </si>
  <si>
    <t>When he is finished, there is a photo of a yellow motorbike parked against a brick wall on a living room wall.</t>
  </si>
  <si>
    <t>v_SQiIQDKhnh0</t>
  </si>
  <si>
    <t>A man is standing in front of an armoire as he talks.</t>
  </si>
  <si>
    <t>There is a close up of the armoire, spanning up its length.</t>
  </si>
  <si>
    <t>The man touches several cracks and chips in the wood, talking about them.</t>
  </si>
  <si>
    <t>Several household items are individually shown on the screen.</t>
  </si>
  <si>
    <t>The man uses the items to scrape, clean, and cover the cracks and scratches.</t>
  </si>
  <si>
    <t>The finished product, free of cracks and scratches, is shown as the man says his final words to the camera.</t>
  </si>
  <si>
    <t>v_Q6tYENILn40</t>
  </si>
  <si>
    <t>a man is seated at a piano.</t>
  </si>
  <si>
    <t>He starts playing a tune, looking back and forth at the keys as he plays.</t>
  </si>
  <si>
    <t>He stops, turning his head and speaking.</t>
  </si>
  <si>
    <t>v_5o9iv0wC59g</t>
  </si>
  <si>
    <t>A man wearing a dark blue shirt and sporting a braid begins playing the bongos.</t>
  </si>
  <si>
    <t>He begins drumming on the bongos to a beat as he shakes his head rhythmically.</t>
  </si>
  <si>
    <t>He continues drumming on the bongos alternating between the two drums.</t>
  </si>
  <si>
    <t>He plays for some time and then stops drumming on the bongos.</t>
  </si>
  <si>
    <t>v_RG0wtfLnNrE</t>
  </si>
  <si>
    <t>A large group of people are seen sitting inside a raft and paddling themselves along a rough river.</t>
  </si>
  <si>
    <t>The camera pans all around to people sitting in the raft and continuing to move along and move under a bridge.</t>
  </si>
  <si>
    <t>v_rKnQNI9PNFI</t>
  </si>
  <si>
    <t>We see a newscaster speak.</t>
  </si>
  <si>
    <t>We see a man in a room then a fight and men in an office before more fighting in an action movie.</t>
  </si>
  <si>
    <t>We return to the newscaster as she discusses a superhero movie.</t>
  </si>
  <si>
    <t>Her screen changes to the title screen.</t>
  </si>
  <si>
    <t>v_5HEunlL4nF0</t>
  </si>
  <si>
    <t>A young woman is seen walking into frame hitting a ball around a room.</t>
  </si>
  <si>
    <t>The girl walks around the room back and fourth while holding a tennis racket and hitting a ball.</t>
  </si>
  <si>
    <t>The girl continues to hit the ball around while the camera watches.</t>
  </si>
  <si>
    <t>v_9voJIuym_f8</t>
  </si>
  <si>
    <t>There are two brown hot dog dogs standing at a gate that's at the end of a staircase.</t>
  </si>
  <si>
    <t>One of the dogs closest to the gate gets the gate open and both of the dogs go running up the stairs at a very fast pace while the camera person runs after them.</t>
  </si>
  <si>
    <t>The dogs are so fast that the camera person can't keep up with them and when they find them, the dogs are trying very hard to get into a bath tub that has water in it.</t>
  </si>
  <si>
    <t>The first dog succeeds in jumping in and starts swimming in the water, and the other dog can't get in and continues to jump and struggle until the camera person puts the dog in the tub and now both dogs are playing and swimming happily in the water.</t>
  </si>
  <si>
    <t>v_T8mTuW85NNo</t>
  </si>
  <si>
    <t>A tv news anchor reports on a story.</t>
  </si>
  <si>
    <t>A variety of people are shown watching their hands, as the report speaks on germs.</t>
  </si>
  <si>
    <t>A tv news anchor appears.</t>
  </si>
  <si>
    <t>v_V2QIntSKqhA</t>
  </si>
  <si>
    <t>People ride camels through the desert.</t>
  </si>
  <si>
    <t>A person carrying a camera or luggage walks with one of the groups.</t>
  </si>
  <si>
    <t>The first camel group begins walking back to the camera.</t>
  </si>
  <si>
    <t>v_r-GVVgxtoMk</t>
  </si>
  <si>
    <t>A group of little girls and boys are dressed like princesses and princes.</t>
  </si>
  <si>
    <t>One of the girls begins tapping a pinata with a baseball bat.</t>
  </si>
  <si>
    <t>She taps it over and over again, but doesn't break the pinata.</t>
  </si>
  <si>
    <t>v_TnYCazY5WEM</t>
  </si>
  <si>
    <t>A group is playing volleyball on a beach.</t>
  </si>
  <si>
    <t>The men volley ball back and forth over the net.</t>
  </si>
  <si>
    <t>One of the players falls on the sand.</t>
  </si>
  <si>
    <t>v_C4td7rprQGM</t>
  </si>
  <si>
    <t>A woman talks on front a hopscotch.</t>
  </si>
  <si>
    <t>Then, the woman hops n the hopscotch while talking.</t>
  </si>
  <si>
    <t>The woman turns when arrives to the end of the hopscotch and continues hopping.</t>
  </si>
  <si>
    <t>v_hXjxOvlNxQM</t>
  </si>
  <si>
    <t>A wrestler picks up another wrestler from the ground.</t>
  </si>
  <si>
    <t>The wrestler lifts him up into the air.</t>
  </si>
  <si>
    <t>Lastly, the wrestler drops him hard onto the floor.</t>
  </si>
  <si>
    <t>v_a25vC5zsf6A</t>
  </si>
  <si>
    <t>A large wheel is spinning nonstop on a stand.</t>
  </si>
  <si>
    <t>We get a close up of the truing stand, and the spokes.</t>
  </si>
  <si>
    <t>The bike wheel is then adjusted and fixed.</t>
  </si>
  <si>
    <t>v_nypZiLC1_Z8</t>
  </si>
  <si>
    <t>A close up of bicycle handlebars are shown as well as a person adjusting the handlebars.</t>
  </si>
  <si>
    <t>The camera zooms in on the bars and the person pours liquid into the side.</t>
  </si>
  <si>
    <t>The man continues working and ends by putting the handlebars back and riding away.</t>
  </si>
  <si>
    <t>v_JGRpVcxltKE</t>
  </si>
  <si>
    <t>A woman on screen talks about lemonade.</t>
  </si>
  <si>
    <t>She juices her lemons on a cutting board, with a knife and bowl.</t>
  </si>
  <si>
    <t>She strains her juice into a bigger cup.</t>
  </si>
  <si>
    <t>At an oven, she prepares simple sugar with water and sugar.</t>
  </si>
  <si>
    <t>She mixes all of her ingredients in a pitcher to make lemonade.</t>
  </si>
  <si>
    <t>She shows other lemonade recipes.</t>
  </si>
  <si>
    <t>v_cJiwi-wB1FY</t>
  </si>
  <si>
    <t>A man in a blue shirt lifts a kid onto a counter.</t>
  </si>
  <si>
    <t>The kid starts throwing darts at balloons on the wall.</t>
  </si>
  <si>
    <t>The woman behind the counter hands the boy a toy.</t>
  </si>
  <si>
    <t>v_S7ktlGGweeA</t>
  </si>
  <si>
    <t>Two women are seen speaking to one another and lead into a game of volleyball played by a large group of people.</t>
  </si>
  <si>
    <t>The people continue playing back and fourth while the audience cheers and stops to speak to one another.</t>
  </si>
  <si>
    <t>v_ZmVy3gSaKv0</t>
  </si>
  <si>
    <t>A man dives into a large pool repeatedly.</t>
  </si>
  <si>
    <t>A man sitting on the side middle takes photos while sitting.</t>
  </si>
  <si>
    <t>The sitting man stands and takes photos of the diver.</t>
  </si>
  <si>
    <t>The diver swims to the edge of the pool.</t>
  </si>
  <si>
    <t>v_fqoEZaCd7hU</t>
  </si>
  <si>
    <t>A person with no arms is seen sitting in a chair and playing the guitar with his feet.</t>
  </si>
  <si>
    <t>He continues playing while singing along and moving his feet up and down the guitar.</t>
  </si>
  <si>
    <t>v_yrvV4Ncqyf0</t>
  </si>
  <si>
    <t>A woman in a white dress walks into her house all happy only to be very disappointed when she see's the dishes in the sink.</t>
  </si>
  <si>
    <t>She changes out of her dress in to some comfortable clothing and gets in the kitchen ready to do the dishes.</t>
  </si>
  <si>
    <t>She is very childishly blowing bubbles with the soap and dancing around.</t>
  </si>
  <si>
    <t>She dries some of the dishes with a rag and put the rest in the dishwasher, once the dishes are done in the dish washer she takes them out and puts them all away.</t>
  </si>
  <si>
    <t>v_PHIZza_xVog</t>
  </si>
  <si>
    <t>A woman puts some lotion on her hand.</t>
  </si>
  <si>
    <t>She rubs the lotion onto her face.</t>
  </si>
  <si>
    <t>A cartoon demonstration is shown on the screen.</t>
  </si>
  <si>
    <t>v_WnLYDJ8Jwv8</t>
  </si>
  <si>
    <t>A girl is shown washing and scrubbing her face several times while speaking into the camera.</t>
  </si>
  <si>
    <t>She finishes by turning on the faucet and rinsing water through her face.</t>
  </si>
  <si>
    <t>v_LAkaYds-8X0</t>
  </si>
  <si>
    <t>A young man plays bowling with other man while throwing balls and pins.</t>
  </si>
  <si>
    <t>A ball exit form a container.</t>
  </si>
  <si>
    <t>A man holds a bowling ball on his hands.</t>
  </si>
  <si>
    <t>The young man goes to a room of the bowling facility, they he continues playing.</t>
  </si>
  <si>
    <t>v_w6Avae5on_0</t>
  </si>
  <si>
    <t>A child is hitting a ball over a net in a gym.</t>
  </si>
  <si>
    <t>A man stands on the other side, lobbing the ball back to him.</t>
  </si>
  <si>
    <t>They continue hitting the ball back and forth.</t>
  </si>
  <si>
    <t>v_z0vMpInrDqM</t>
  </si>
  <si>
    <t>A person is seen sitting before a camera and leads into him looking and holding up a contact lens.</t>
  </si>
  <si>
    <t>The person then holds their eye open and putting the lens in followed by looking back to the camera.</t>
  </si>
  <si>
    <t>v_-rx6D1uBsUU</t>
  </si>
  <si>
    <t>There are several workers packing many rafts in a truck to be hauled away.</t>
  </si>
  <si>
    <t>There's a fast flowing turbulent river flowing under a bridge.</t>
  </si>
  <si>
    <t>The scenic mountain view shows clouds blowing in the wind.</t>
  </si>
  <si>
    <t>There are many rafters outside a log cabin packing and getting ready for their rafting trip.</t>
  </si>
  <si>
    <t>The rafters begin their adventure in the wild and turbulent river water as they try to stay afloat.</t>
  </si>
  <si>
    <t>The river waves are so turbulent that it causes the raft to overturn and drown the rafters in the strong waves.</t>
  </si>
  <si>
    <t>The rafters try hard to stay in the raft as they fight the fierce waves of the river to stay afloat.</t>
  </si>
  <si>
    <t>The waves are so strong that it becomes hard for the rafters to in the raft.</t>
  </si>
  <si>
    <t>They are forcefully thrown out in the river as the raft overturns on them.</t>
  </si>
  <si>
    <t>One of the rafters smiles and talks about his experience as he walks back with his fellow rafters.</t>
  </si>
  <si>
    <t>v_XzbvKQ-o5Ow</t>
  </si>
  <si>
    <t>A large group of people are seen sitting around a gym when a girl runs in and performs a routine on the uneven bars.</t>
  </si>
  <si>
    <t>The girl continues swinging around and ends with her jumping off the side and waving to the audience.</t>
  </si>
  <si>
    <t>v_oYhVH1vIXFM</t>
  </si>
  <si>
    <t>This video shows you how to make spaghetti with sausage with a simple tomato sauce.</t>
  </si>
  <si>
    <t>First she puts the sausage on a baking sheet that has aluminum foil on it and she puts it in the oven.</t>
  </si>
  <si>
    <t>Next she pours tomatoes into a small blender and she blends them up.</t>
  </si>
  <si>
    <t>Then she pours crushed red peppers and garlic into the skillet and she pours the tomato sauce into it.</t>
  </si>
  <si>
    <t>Then she stirs it up and takes the sausage out to cut them into tiny pieces and she lets them cook some more.</t>
  </si>
  <si>
    <t>Finally she puts them into the skillet with the pasta and cooks everything together creating a nice meal.</t>
  </si>
  <si>
    <t>v_kGLMybXl5Kk</t>
  </si>
  <si>
    <t>A man is seen walking into frame and begins bending down in front of a set of weights.</t>
  </si>
  <si>
    <t>The man then lifts the weights up and down over his shoulders while the camera watches form behind.</t>
  </si>
  <si>
    <t>The man walks in and out of frame walking back towards the weights and another man coming into frame to lift.</t>
  </si>
  <si>
    <t>v_nEcOF04KK0g</t>
  </si>
  <si>
    <t>A man stirs shoe shine crafting materials into a jar.</t>
  </si>
  <si>
    <t>He prepares the shoe for shining.</t>
  </si>
  <si>
    <t>He explains his method of shoe shining.</t>
  </si>
  <si>
    <t>The man shines the top of a shoe and finishes by fixing the laces of the shoe.</t>
  </si>
  <si>
    <t>v_yXH7GcOduNo</t>
  </si>
  <si>
    <t>A woman is seen standing in the middle of a sand pit and begins swinging an object around.</t>
  </si>
  <si>
    <t>She spins this around herself several times then begins swinging herself around.</t>
  </si>
  <si>
    <t>She continues swinging and finishes by throwing it off into the distance.</t>
  </si>
  <si>
    <t>v_zdaD55zVNdQ</t>
  </si>
  <si>
    <t>A man throws a hammer throw in a judged sports performance, outside, on a grass covered field with a group of onlookers on the side lines.</t>
  </si>
  <si>
    <t>A man approaches a square, paved,white surface surrounded by black netting .</t>
  </si>
  <si>
    <t>The man spins in place to gain momentum and releases/throws the hammer ball.</t>
  </si>
  <si>
    <t>Two people emerge with a long tape measure to measure the distance the hammer ball was thrown.</t>
  </si>
  <si>
    <t>The athlete runs off jumping and smiling and chest bumps another player.</t>
  </si>
  <si>
    <t>v_u1ZFiwJJXSQ</t>
  </si>
  <si>
    <t>A woman stands talking on a yoga mat in a driveway area.</t>
  </si>
  <si>
    <t>The woman does an aerobic workout stepping back and forth and lifting arms on the mat.</t>
  </si>
  <si>
    <t>The woman jumps back and forth in a doing a more vigorous workout.</t>
  </si>
  <si>
    <t>v_yvTmIulkl7c</t>
  </si>
  <si>
    <t>A little girl is inside a covered porch.</t>
  </si>
  <si>
    <t>She swings a baton at a small pinata.</t>
  </si>
  <si>
    <t>She is blindfolded as she continues to swing again and again.</t>
  </si>
  <si>
    <t>v_EfQtRtIFGVo</t>
  </si>
  <si>
    <t>A woman shows off her nails followed by several clips of nails being painted by a brush.</t>
  </si>
  <si>
    <t>The brush makes several lines on the nails and shows celebrities with fashionable nails.</t>
  </si>
  <si>
    <t>The video speeds up and shows off several different designs for nail polish and examples.</t>
  </si>
  <si>
    <t>v_mt3G8TrI-uY</t>
  </si>
  <si>
    <t>A close up of a person's nails are shown followed by a person filing the nails of another.</t>
  </si>
  <si>
    <t>Several products are shown close up as well as a person's nails being painted and put under heat.</t>
  </si>
  <si>
    <t>The person continues painting the nails and puts on a gem in the end.</t>
  </si>
  <si>
    <t>v_r4oAhRg4H14</t>
  </si>
  <si>
    <t>We see shots of people playing soccer in an indoor arena.</t>
  </si>
  <si>
    <t>We see a man hop and deflect a ball from the net in slow motion.</t>
  </si>
  <si>
    <t>We see two men collide in slow motion.</t>
  </si>
  <si>
    <t>v_KoCjfxd302Q</t>
  </si>
  <si>
    <t>The little boy is at the sink brushing the pot.</t>
  </si>
  <si>
    <t>The boy lift the brush from the pot and brush the sink instead, then he put it in the pot.</t>
  </si>
  <si>
    <t>The boy brushes the lid of the pot, and an adult put plates in the pot and the boy took it out and dip the fork.</t>
  </si>
  <si>
    <t>v_xh8qQfCYDBY</t>
  </si>
  <si>
    <t>A person wearing safety gear holds a metal rod with a clamp.</t>
  </si>
  <si>
    <t>Then, the person weld on a surface.</t>
  </si>
  <si>
    <t>Smoke comes form the clamp.</t>
  </si>
  <si>
    <t>v_gc04Okw4DTs</t>
  </si>
  <si>
    <t>A painting of a cloudy sky over mountains is displayed on a canvas.</t>
  </si>
  <si>
    <t>A brush begins painting blue onto the canvas.</t>
  </si>
  <si>
    <t>A complete image is shown in brilliant colors of a beach before going back to the brush strokes in progress.</t>
  </si>
  <si>
    <t>The ocean is completed in the final scene.</t>
  </si>
  <si>
    <t>v_pleP5-tuJ_Q</t>
  </si>
  <si>
    <t>An old woman is knitting on a bed.</t>
  </si>
  <si>
    <t>A little girl is sitting on the floor knitting as well.</t>
  </si>
  <si>
    <t>She talks to the camera as she learns to knit.</t>
  </si>
  <si>
    <t>v_RnZ-icC6xbQ</t>
  </si>
  <si>
    <t>A young man is standing in an open doorway with his hands over his head palms facing towards him on a bar secured at the top of the doorway.</t>
  </si>
  <si>
    <t>The young man lifts himself up and places his feet in the gap between the bar and the top of the door frame.</t>
  </si>
  <si>
    <t>The young man lowers his body, extending himself the full length of the doorway, hands behind his head, elbows out.</t>
  </si>
  <si>
    <t>The young man does two sit ups.</t>
  </si>
  <si>
    <t>The camera shows the top of the doorway focusing on the bar and the young man's feet secured at the top of the doorway.</t>
  </si>
  <si>
    <t>The camera returns to the full view of the young man doing sit ups in the doorway.</t>
  </si>
  <si>
    <t>The young man does three more sit ups.</t>
  </si>
  <si>
    <t>v_dm5ZnhOeBBQ</t>
  </si>
  <si>
    <t>A woman is standing next to a vacuum.</t>
  </si>
  <si>
    <t>She dumps something onto the floor.</t>
  </si>
  <si>
    <t>She takes the vacuum and vacuums up the mess.</t>
  </si>
  <si>
    <t>She takes the hose off the vacuum and starts using that on the floor.</t>
  </si>
  <si>
    <t>v_CE93IieQkAg</t>
  </si>
  <si>
    <t>A man is driving a riding lawn mower.</t>
  </si>
  <si>
    <t>He starts mowing the lawn on the lawn mower.</t>
  </si>
  <si>
    <t>He raises his hand and continues mowing the lawn.</t>
  </si>
  <si>
    <t>v_0A-p1Q0rseE</t>
  </si>
  <si>
    <t>A mixologist is talking about how to make alcoholic drinks.</t>
  </si>
  <si>
    <t>She talks about the drinks she makes a lot of favorites.</t>
  </si>
  <si>
    <t>She starts with a voda soda and how to make one.</t>
  </si>
  <si>
    <t>The next drink she makes is vodka seven.</t>
  </si>
  <si>
    <t>Then she makes a screwdriver, a greyhound, and then mixed with cranberry juice.</t>
  </si>
  <si>
    <t>v_ZwIu2pPxB3Y</t>
  </si>
  <si>
    <t>A camera pans away from a set of exercise equipment and leads into a woman's feet moving along.</t>
  </si>
  <si>
    <t>The woman is then seen using the machine as well as adjusting the settings and continuing to run.</t>
  </si>
  <si>
    <t>v_JAEMwQqh51c</t>
  </si>
  <si>
    <t>A man dressed for cold weather is outside in the snow fumbling with a chain in his hands.</t>
  </si>
  <si>
    <t>The chain is then placed around a tree stump and the man picks up an ax.</t>
  </si>
  <si>
    <t>The man hits the stumps continuously until the stump is broken up into pieces and then he unchains it in the back of his truck.</t>
  </si>
  <si>
    <t>v_n0Az4cLruf4</t>
  </si>
  <si>
    <t>A man is inside a gym while speaking to the camera.</t>
  </si>
  <si>
    <t>Other men are working out behind him.</t>
  </si>
  <si>
    <t>He demonstrates via volunteer how to use a rowing machine.</t>
  </si>
  <si>
    <t>v_flneQOXwGxw</t>
  </si>
  <si>
    <t>Men are standing on a field talking.</t>
  </si>
  <si>
    <t>A man kicks another man.</t>
  </si>
  <si>
    <t>That man swings a bat at him.</t>
  </si>
  <si>
    <t>v_I5setZ8js9I</t>
  </si>
  <si>
    <t>A man is riding a surfboard in the ocean.</t>
  </si>
  <si>
    <t>He stands up on the board during a wave.</t>
  </si>
  <si>
    <t>He surfs through the wave, weaving in and out.</t>
  </si>
  <si>
    <t>v_hjaUbrqPe-w</t>
  </si>
  <si>
    <t>People are sitting in rafts going down a river.</t>
  </si>
  <si>
    <t>A man is standing on the side of a river taking a picture.</t>
  </si>
  <si>
    <t>People are getting out of the raft onto land.</t>
  </si>
  <si>
    <t>v_fjGqWAxenL0</t>
  </si>
  <si>
    <t>A person is welding a metal outside.</t>
  </si>
  <si>
    <t>The person stops welding the metal on the floor.</t>
  </si>
  <si>
    <t>The person moves the welding tool behind.</t>
  </si>
  <si>
    <t>v_vZmDiMGYCo0</t>
  </si>
  <si>
    <t>Two small kids sit in a box at the top of slide in an indoor play area.</t>
  </si>
  <si>
    <t>A little girl joins and plays on the slide.</t>
  </si>
  <si>
    <t>The girls leaves and the boys take turns going down the slide.</t>
  </si>
  <si>
    <t>The boys connect a slide to the first one and try out the new slide.</t>
  </si>
  <si>
    <t>Two kids run over and away.</t>
  </si>
  <si>
    <t>The last boy runs off and we see the slide ladder.</t>
  </si>
  <si>
    <t>v_9d8ttpHu3cc</t>
  </si>
  <si>
    <t>Two people are kayaking down a rough river.</t>
  </si>
  <si>
    <t>Now only one person can be seen going by the rocks.</t>
  </si>
  <si>
    <t>There is an edge of a porch with a pair of shoes and a pair of legs up on the edge of the porch.</t>
  </si>
  <si>
    <t>v_UciHec7xncc</t>
  </si>
  <si>
    <t>A young child is seen speaking to the camera and begins climbing across a set of monkey bars.</t>
  </si>
  <si>
    <t>She makes it to the other side smiling to the camera and then climbs down afterwards.</t>
  </si>
  <si>
    <t>v_nQM5LT1-ZRU</t>
  </si>
  <si>
    <t>We see a man in a room talking about a bike.</t>
  </si>
  <si>
    <t>We then see the man adjusting the handle bar of the bike.</t>
  </si>
  <si>
    <t>The man demonstrates how the levers sit and adjusts the brake levers.</t>
  </si>
  <si>
    <t>The man demonstrates the sitting positions and braking and screws them tight.</t>
  </si>
  <si>
    <t>The man then, and adjusts the shifter lever.</t>
  </si>
  <si>
    <t>We see a recap and the closing scene of the video.</t>
  </si>
  <si>
    <t>v_nwttSIR1qvs</t>
  </si>
  <si>
    <t>An introduction comes onto the screen for a video about how to fix a stinky sink.</t>
  </si>
  <si>
    <t>A man comes onto the screen and explain several days ago about getting the smell out of your sink.</t>
  </si>
  <si>
    <t>He first explain how you can use different chemicals and core them down the drain to get the smell out.</t>
  </si>
  <si>
    <t>Then he shows you how to remove bottom of the sink to clean it out which may help with the smell.</t>
  </si>
  <si>
    <t>The video it's with the closing credits shown on the screen.</t>
  </si>
  <si>
    <t>v_hCFCYe_Jp-k</t>
  </si>
  <si>
    <t>There's a woman in a gray shirt and black tights and very short hair performing tricks with a small stick in her backyard by the swing.</t>
  </si>
  <si>
    <t>She is juggling between two sticks in her hand and trying to catch one stick while throwing the other in the air.</t>
  </si>
  <si>
    <t>v_9AzESzqOtb0</t>
  </si>
  <si>
    <t>A man runs down a track outside.</t>
  </si>
  <si>
    <t>He is holding a long javelin.</t>
  </si>
  <si>
    <t>He pole vaults over a bar.</t>
  </si>
  <si>
    <t>He does the same thing again indoors.</t>
  </si>
  <si>
    <t>v_hY73M6hJqgU</t>
  </si>
  <si>
    <t>A person is seen beating eggs and mixing them into a bowl while separating the shells from the eggs.</t>
  </si>
  <si>
    <t>They mix the eggs around a bowl and place butter and milk into another bowl and mix them all together.</t>
  </si>
  <si>
    <t>They add several more ingredients to the mixture and show the end result of cookies sitting on a plate.</t>
  </si>
  <si>
    <t>v_4efxBizoKyQ</t>
  </si>
  <si>
    <t>A man is close up to the camera introducing the video.</t>
  </si>
  <si>
    <t>His wife is cleaning off a piece of white bedframe quickly.</t>
  </si>
  <si>
    <t>The man again shows his face and goes back to his wife.</t>
  </si>
  <si>
    <t>v_x_lN_QxbEjQ</t>
  </si>
  <si>
    <t>A black intro screen appears and it includes a lot of text in white, blue and green that include numbers and letters, and then a logo to the right side that's for QUICKSILVER and the clips will be from a surfing competition in PIHA, AUCKLAND NEW ZEALAND.</t>
  </si>
  <si>
    <t>The beach is shown and there are multiple people and tents and the people are watching and cheering on various different surfers who are surfing big and long waves.</t>
  </si>
  <si>
    <t>The outro appears and it's the same black screen with the logo and text as it was for the intro.</t>
  </si>
  <si>
    <t>v_VvbWwNDHJf4</t>
  </si>
  <si>
    <t>A woman is seen wearing roller blades and looking back to the camera.</t>
  </si>
  <si>
    <t>She attempts to ride around while another person beside her tries to help.</t>
  </si>
  <si>
    <t>Another person is seen holding sticks in the distance and walking towards the camera.</t>
  </si>
  <si>
    <t>v_tI87cD7sv-Y</t>
  </si>
  <si>
    <t>A teen talks, then he takes off a contact lens from the right eye.</t>
  </si>
  <si>
    <t>Then, teen puts the contact lens on the index finger and then puts again it in his right aye.</t>
  </si>
  <si>
    <t>After, the teen continues talking.</t>
  </si>
  <si>
    <t>v_sxZTPWMnyFY</t>
  </si>
  <si>
    <t>A person putting weights on is shown followed by a woman lifting weights on her back.</t>
  </si>
  <si>
    <t>She puts the weights down and another woman is shown lifting a heavy set of weights.</t>
  </si>
  <si>
    <t>Several more people are shown performing their lifting talents and ends with a logo of the gym shown.</t>
  </si>
  <si>
    <t>v_Ai6RYjJ97Zg</t>
  </si>
  <si>
    <t>A woman talks, then she puts slices of bread on a hot baking pan on the stove.</t>
  </si>
  <si>
    <t>Then, the woman puts cream cheese on the bread and cooks meat.</t>
  </si>
  <si>
    <t>When the meat is done, the woman puts sauerkraut and cheese on top, then cover it and make sandwiches.</t>
  </si>
  <si>
    <t>v_kVzojOj5_Zg</t>
  </si>
  <si>
    <t>A volleyball instructor is giving information about his volleyball skills in salt lake city.</t>
  </si>
  <si>
    <t>He plays with another instructor on the court.</t>
  </si>
  <si>
    <t>He just talks and talks for a while about all about it.</t>
  </si>
  <si>
    <t>You see the the volley ball net and then the coach continues to talk.</t>
  </si>
  <si>
    <t>v_OSjsVUg_wXA</t>
  </si>
  <si>
    <t>A marching band plays in a stadium while the cheerleaders perform on side.</t>
  </si>
  <si>
    <t>A team of football players gather behind the marching band.</t>
  </si>
  <si>
    <t>A cheerleader pass behind the marching band.</t>
  </si>
  <si>
    <t>The cheerleaders in the bleachers perform with pom poms.</t>
  </si>
  <si>
    <t>Then, the cheerleaders next to the band performs jumping and moving around.</t>
  </si>
  <si>
    <t>v_zGT6EplIOHY</t>
  </si>
  <si>
    <t>People kick a ball indoor between yellow cones on fake grass.</t>
  </si>
  <si>
    <t>A player kicks a ball over a guy's head.</t>
  </si>
  <si>
    <t>Players kick a ball that knocks down a yellow cone which they pick up.</t>
  </si>
  <si>
    <t>v_Tssba1kYoo4</t>
  </si>
  <si>
    <t>A person sits holding a laptop while a woman curls her hair.</t>
  </si>
  <si>
    <t>The woman takes a lock of hair and puts above the head, then she curls the hair with a curling iron.</t>
  </si>
  <si>
    <t>v_B0enQXEBfKk</t>
  </si>
  <si>
    <t>A man and a woman set up to dance before an audience.</t>
  </si>
  <si>
    <t>The man and woman dance before the audience.</t>
  </si>
  <si>
    <t>The camera shows three judges of the event standing and clapping or pointing.</t>
  </si>
  <si>
    <t>v_nhky9RGjzwc</t>
  </si>
  <si>
    <t>Two women are arm wrestling on a table.</t>
  </si>
  <si>
    <t>A woman in a referee uniform is standing behind them.</t>
  </si>
  <si>
    <t>One of the girls walks away.</t>
  </si>
  <si>
    <t>v_O36pn7cHNVc</t>
  </si>
  <si>
    <t>A group of elderly people are meeting in a park.</t>
  </si>
  <si>
    <t>They talk and do yoga together.</t>
  </si>
  <si>
    <t>They perform several yoga moves with the help of an instructor.</t>
  </si>
  <si>
    <t>They then say goodbye and go on their way.</t>
  </si>
  <si>
    <t>v_ZKo1lM6TJTY</t>
  </si>
  <si>
    <t>A gymnast holds a ball attached with a string and then spins holding the ball.</t>
  </si>
  <si>
    <t>Then, the gymnast throw the ball while spinning in the field.</t>
  </si>
  <si>
    <t>v_fsoAdigH0X4</t>
  </si>
  <si>
    <t>A man is mowing the lawn.</t>
  </si>
  <si>
    <t>He looks up and speaks to someone.</t>
  </si>
  <si>
    <t>The man continues to mow the lawn.</t>
  </si>
  <si>
    <t>v_-2dxp-mv2zo</t>
  </si>
  <si>
    <t>A female chef in white uniform shows a stack of baking pans in a large kitchen presenting them.</t>
  </si>
  <si>
    <t>The pans are filled with pastries and loaded into the oven.</t>
  </si>
  <si>
    <t>A knife is used to cut cylinder shaped dough into rounds.</t>
  </si>
  <si>
    <t>A tray of potatoes is loaded into the oven and removed.</t>
  </si>
  <si>
    <t>A large tray of cake is flipped over and placed on counter.</t>
  </si>
  <si>
    <t>A large tray of meat is prepared then it is removed from the oven by a helper when done.</t>
  </si>
  <si>
    <t>The woman chef stands behind the stack of tins and picks one up.</t>
  </si>
  <si>
    <t>v_HF_a81qOmVQ</t>
  </si>
  <si>
    <t>The man in yellow shirt is bouncing the ball on the paddle.</t>
  </si>
  <si>
    <t>The player almost hit the ball with the paddle.</t>
  </si>
  <si>
    <t>Two player as pushing each other.</t>
  </si>
  <si>
    <t>v_ZXm8ed-ZHRs</t>
  </si>
  <si>
    <t>A woman is seen speaking in the middle of a large gymnasium and leads into several different gymnasts performing one after the another on uneven bars.</t>
  </si>
  <si>
    <t>The gymnasts continue to move all around the bars and ends with one girl going over and over and everyone waving in the end.</t>
  </si>
  <si>
    <t>v_ktfxYSZjJyM</t>
  </si>
  <si>
    <t>woman is in a lake windsurfing with a red windsurf.</t>
  </si>
  <si>
    <t>other people are in the back windsurfing in the lake.</t>
  </si>
  <si>
    <t>sailboat is standing in the back of people windsurfing.</t>
  </si>
  <si>
    <t>v_pn1XDTlNMso</t>
  </si>
  <si>
    <t>Two women are seen speaking to the camera and lead into rubbing down furniture as well as showing off polish.</t>
  </si>
  <si>
    <t>The women continue speaking as they show off how the polish works as well as the scenery in the area and another woman speaking to the camera.</t>
  </si>
  <si>
    <t>v_h3uTJ7HknzA</t>
  </si>
  <si>
    <t>A person dance and flips Capoeira while a band play music.</t>
  </si>
  <si>
    <t>Then, a woman talks with the man, after the man dance in group with other people.</t>
  </si>
  <si>
    <t>After, the man dance in group and with a partner, then all say bye.</t>
  </si>
  <si>
    <t>v_hwP4uLVR-uc</t>
  </si>
  <si>
    <t>A band is on stage and a girl with a trumpet and boy beating the drums are playing.</t>
  </si>
  <si>
    <t>They have a little duet while the saxophones int he bank are paused.</t>
  </si>
  <si>
    <t>The trumpet player walks over and picks up a bell.</t>
  </si>
  <si>
    <t>Then it's just the drummer banging on the drums.</t>
  </si>
  <si>
    <t>v_QMFtjdg6d2A</t>
  </si>
  <si>
    <t>A man in a green shirt is waving a red towel.</t>
  </si>
  <si>
    <t>A brown bull knocks a person to the ground.</t>
  </si>
  <si>
    <t>People are standing on the sides watching.</t>
  </si>
  <si>
    <t>v_0MyaFtXcTKI</t>
  </si>
  <si>
    <t>A small child is seen wandering around a playground while the camera follows closely behind.</t>
  </si>
  <si>
    <t>The boy plays with several other kids on the playground and is seen climbing around the sides and going down the slide.</t>
  </si>
  <si>
    <t>More clips are shown of the kids playing with one another and laughing to the camera.</t>
  </si>
  <si>
    <t>v_sFQ343Qq4TE</t>
  </si>
  <si>
    <t>A man is seen walking away from the camera and begins an exercise routine while speaking to the camera.</t>
  </si>
  <si>
    <t>The man moves up and down a bar while swinging his arms around and walks to the camera in the end.</t>
  </si>
  <si>
    <t>v_HtZ0bvriAvQ</t>
  </si>
  <si>
    <t>A gymnast wearing a red and black uniform jumps on the horse bar.</t>
  </si>
  <si>
    <t>She comes running again and jumps on the horse bar and does a front flip.</t>
  </si>
  <si>
    <t>The the third time she jumps again on the horse bar and raises her left foot, does a front flip and gets off the bar.</t>
  </si>
  <si>
    <t>She repeats the same steps again and jumps off the horse bar.</t>
  </si>
  <si>
    <t>v_EVcn8N-YxtI</t>
  </si>
  <si>
    <t>Two people are seen performing tango moves slowly while text appears on the screen.</t>
  </si>
  <si>
    <t>The woman then does the same moves by herself while the man and woman's silhouette is shown beside them.</t>
  </si>
  <si>
    <t>Then the man performs his moves alone and leads into the couple performing again.</t>
  </si>
  <si>
    <t>v_fppEk17hs8M</t>
  </si>
  <si>
    <t>A team is on the ice, playing a game of hockey.</t>
  </si>
  <si>
    <t>They slide around, hitting the puck and trying to keep it away from their opponents.</t>
  </si>
  <si>
    <t>The goalie attemps to keep the puck from going into the goal.</t>
  </si>
  <si>
    <t>v_bqBJ1tcHCHk</t>
  </si>
  <si>
    <t>An intro leads into various pictures of horse tools and a woman speaking to the camera holding a brush.</t>
  </si>
  <si>
    <t>She then brushes the horse's mane thoroughly while still looking to the camera and speaking.</t>
  </si>
  <si>
    <t>v_mrqSaH_FIcs</t>
  </si>
  <si>
    <t>A man talks with a saleswoman who trims a plant in a pot, then the man put away the plant.</t>
  </si>
  <si>
    <t>After, the man puts a bush on front the saleswoman who trim it while the man points the plant and talks with the woman.</t>
  </si>
  <si>
    <t>v_-PbWrGLuHT8</t>
  </si>
  <si>
    <t>A person is seen riding a board along the water with a kite on top.</t>
  </si>
  <si>
    <t>More clips are shown of the person riding back and fourth on the board.</t>
  </si>
  <si>
    <t>The person continues to ride the board along the water.</t>
  </si>
  <si>
    <t>v_c8GFfLcwFrE</t>
  </si>
  <si>
    <t>A man is surfing on a large wave in the water.</t>
  </si>
  <si>
    <t>The water and the sky is red.</t>
  </si>
  <si>
    <t>Several people are surfing on the water.</t>
  </si>
  <si>
    <t>v_Bg_CMSihJl0</t>
  </si>
  <si>
    <t>A woman with glasses on is knitting.</t>
  </si>
  <si>
    <t>A girl in a black shirt is sitting down talking.</t>
  </si>
  <si>
    <t>The woman knitting talks back to the girl.</t>
  </si>
  <si>
    <t>v_2cYfV33Qw4Y</t>
  </si>
  <si>
    <t>A man talks to the camera as people begin going down a man made white water river on kayaks.</t>
  </si>
  <si>
    <t>The people get slightly stuck, then unstuck as they go down small waterfalls.</t>
  </si>
  <si>
    <t>A woman falls out, and is pulled back in by another person.</t>
  </si>
  <si>
    <t>We then see several images of people in kayaks on the rapids.</t>
  </si>
  <si>
    <t>v_6dc-fQCzOiw</t>
  </si>
  <si>
    <t>A person talks in the street, then the person skateboard on the road.</t>
  </si>
  <si>
    <t>Then, the person kicks the skateboard back.</t>
  </si>
  <si>
    <t>After the person jumps off it and the skateboard slides on the road.</t>
  </si>
  <si>
    <t>Next , the person practice skateboard dragging a foot, after the person use the grass to do tricks.</t>
  </si>
  <si>
    <t>v_K7oJNZsI1Cc</t>
  </si>
  <si>
    <t>woman is standing in a big room holding an épée and aman walks in and holds other épée and start fighting with the woman.</t>
  </si>
  <si>
    <t>kids enters in a room and run to the man and woman.</t>
  </si>
  <si>
    <t>man gives a black mask to the woman and wear it.</t>
  </si>
  <si>
    <t>v_Ocvdvqvu7I8</t>
  </si>
  <si>
    <t>A child in a stable brushing a horse hair.</t>
  </si>
  <si>
    <t>the child walks away from the horse while speaking to get a bottle of liquid then returns to brushing the horse hair.</t>
  </si>
  <si>
    <t>v_NuSM8LfLR90</t>
  </si>
  <si>
    <t>A camera zooms in on a person performing a routine on a large stage spinning a baton into the air.</t>
  </si>
  <si>
    <t>The person continues the routine and ends with a split and the audience applauding.</t>
  </si>
  <si>
    <t>v__akwfjIbsUA</t>
  </si>
  <si>
    <t>A young boy is seen standing on top of a slide and edging his way down.</t>
  </si>
  <si>
    <t>The boy rides all down the slide and the camera follows him walking around afterwards.</t>
  </si>
  <si>
    <t>v_kIjYdddY3Xk</t>
  </si>
  <si>
    <t>A boy stands at a sink in a kitchen.</t>
  </si>
  <si>
    <t>He is wiping his shoe down.</t>
  </si>
  <si>
    <t>He turns around and smiles at the camera.</t>
  </si>
  <si>
    <t>v_PV6OCwbp6nQ</t>
  </si>
  <si>
    <t>A woman is speaking to her class about jump roping.</t>
  </si>
  <si>
    <t>She puts the rope under her feet and starts demonstrating a little bit.</t>
  </si>
  <si>
    <t>She begins to jump rope going very quickly.</t>
  </si>
  <si>
    <t>She stops and continue to talk more before starting to jump again.</t>
  </si>
  <si>
    <t>v_OoyoTLkSOuY</t>
  </si>
  <si>
    <t>A woman is wearing a towel and standing next to a bath tub.</t>
  </si>
  <si>
    <t>She puts shaving cream on her leg and shaves her leg.</t>
  </si>
  <si>
    <t>v_xxvBR4zdV48</t>
  </si>
  <si>
    <t>A man in the tuxedo starts explaining black jack.</t>
  </si>
  <si>
    <t>A dealer deals cards to four players.</t>
  </si>
  <si>
    <t>Several close ups of cards are shown.</t>
  </si>
  <si>
    <t>The man in the tuxedo continues to explain the rules of blackjack.</t>
  </si>
  <si>
    <t>v_BHQasKzBDQU</t>
  </si>
  <si>
    <t>two women are standing no a table arm wrestling in the middle of stage.</t>
  </si>
  <si>
    <t>referee wearing black and white shirt is standing behind the girls.</t>
  </si>
  <si>
    <t>two hot women are arm wrestling on a table and referees are standing in front or sitting in the back.</t>
  </si>
  <si>
    <t>women are in a bar arm wrestling and a lot of people are around them watching them.</t>
  </si>
  <si>
    <t>v_EwoxOKwqUPI</t>
  </si>
  <si>
    <t>A woman plays a game of beer pong with a short man dressed as a leprechaun.</t>
  </si>
  <si>
    <t>A DJ plays spins a pair of turntables on stage for the crowd.</t>
  </si>
  <si>
    <t>The woman scores a shot and celebrates.</t>
  </si>
  <si>
    <t>The two players hug each other and raise the woman's arm in victory.</t>
  </si>
  <si>
    <t>v_fTQYGNJpSUk</t>
  </si>
  <si>
    <t>An animated new paper clipping is shown and the video consists of a bunch of letters in black block letters giving the title.</t>
  </si>
  <si>
    <t>Shortly after, a young female begins talking while and throws down a curling object.</t>
  </si>
  <si>
    <t>The young woman then walks over to a male dressed in all black and begins asking him questions about the game.</t>
  </si>
  <si>
    <t>While they are talking, a game is being played and the two watches them.</t>
  </si>
  <si>
    <t>After,the man begins teaching her various techniques used in the game and they begin to glide across the floor.</t>
  </si>
  <si>
    <t>Once they are finished,the woman comes back to the camera and begins talking about the sport.</t>
  </si>
  <si>
    <t>v_tkQK_2celDY</t>
  </si>
  <si>
    <t>A gray dog is walking outdoors, and the owner is young white male who is walking along with the dog outdoors and talking to the camera.</t>
  </si>
  <si>
    <t>A screen appears that displays two logos in the middel and the text above the logos read "BEHIND THE SCENES" and under the logo words read "PRESENTED BY:GEICO".</t>
  </si>
  <si>
    <t>A man is now dressed in protective gear and he is joined by many others who are dressed the same and clips of them playing paintball guns in an open area and on a course.</t>
  </si>
  <si>
    <t>A man is now standing on a very high platform looking down at a large group of people, and the words "COMIC-CON SAN DIEGO CA" are at the bottom right, and the man jumps onto a very large air mattress, he gets up and begins running along a very long obstacle course requiring him to do various different things and the view is from a camera that his is wearing around his neck.</t>
  </si>
  <si>
    <t>He completes the obstacle course and an outro screen appears with 3 small different video screens playing over the main screen and the top words on the screen say "PRESENTED BY GEICO".</t>
  </si>
  <si>
    <t>v_S2MHi_oC3Lg</t>
  </si>
  <si>
    <t>A girl is shown talking to the camera and showing various paints.</t>
  </si>
  <si>
    <t>She zooms in on products she owns and puts paint on a pallet.</t>
  </si>
  <si>
    <t>She dabs a brush in the paint and begins painting her nails.</t>
  </si>
  <si>
    <t>She performs several different styles on the nails and several pictures of finished nails.</t>
  </si>
  <si>
    <t>v_ik8uSCSBv1U</t>
  </si>
  <si>
    <t>A man stands on a tennis court preparing to serve the ball.</t>
  </si>
  <si>
    <t>The man hits the tennis ball across the court.</t>
  </si>
  <si>
    <t>The man turns and walks back to his basket and grabs a ball from his pocket.</t>
  </si>
  <si>
    <t>The man bounces the ball on the ground.</t>
  </si>
  <si>
    <t>v_vX0fg06e9co</t>
  </si>
  <si>
    <t>A woman is seen bending down to take a sip of water and leads into her spinning a hula hoop around herself.</t>
  </si>
  <si>
    <t>The woman continues spinning the hula hoop around while grabbing several more and performing tricks in the city center.</t>
  </si>
  <si>
    <t>v_n2sTs3k9G-U</t>
  </si>
  <si>
    <t>A man is seen hanging up a bicycle wheel and speaking to the camera.</t>
  </si>
  <si>
    <t>He begins adjusting the bike and unscrewing the settings on the back.</t>
  </si>
  <si>
    <t>He then puts on a pair of training wheels and showing how it moves.</t>
  </si>
  <si>
    <t>v_qp9OcGPufEc</t>
  </si>
  <si>
    <t>A dog is seen running around a man in the middle of an open field.</t>
  </si>
  <si>
    <t>The man performs tricks with the dog while the dog jumps on his back.</t>
  </si>
  <si>
    <t>He continues to roam around with the dog performing tricks with the dog and frisbee.</t>
  </si>
  <si>
    <t>v_4_3m_-SGzXw</t>
  </si>
  <si>
    <t>graphic about how to do digital wallpaper is shown.</t>
  </si>
  <si>
    <t>man is in a room with a digital paper machine and the machine is printing a sign.</t>
  </si>
  <si>
    <t>men are sticking the wallpaper to a white wall.</t>
  </si>
  <si>
    <t>v_gYvYh9aMohY</t>
  </si>
  <si>
    <t>A boy is jumping rope and doing tricks around in circles.</t>
  </si>
  <si>
    <t>Then, Another boy is jumping rope as well and swirling it around and he eventually throws his rope.</t>
  </si>
  <si>
    <t>There is a larger group of 5 that jump rope in sync and do a lot of cool tricks.</t>
  </si>
  <si>
    <t>Followed by a lot of videos of many different people jumping and in groups together doing it in competitions and for fun or practice.</t>
  </si>
  <si>
    <t>v_pPn5f_ked3s</t>
  </si>
  <si>
    <t>A woman clapping in the sidelines, cheering someone on.</t>
  </si>
  <si>
    <t>Coaches standing on the other side of the fence watching to rate.</t>
  </si>
  <si>
    <t>The runner runs down the turf super fast.</t>
  </si>
  <si>
    <t>He jumps at the end and lands smoothly into the sand, while one of the coaches pulls a string over.</t>
  </si>
  <si>
    <t>v_vZzl0RbIQPM</t>
  </si>
  <si>
    <t>The host greets the video and introduces her recipe.</t>
  </si>
  <si>
    <t>The ingredients list appears and the host talks about them.</t>
  </si>
  <si>
    <t>The host begins to make the drink by starting a syrup.</t>
  </si>
  <si>
    <t>Next lemons are sliced on a cutting board.</t>
  </si>
  <si>
    <t>The many lemons are juiced one by one.</t>
  </si>
  <si>
    <t>The host fills the container with ice and pours in the liquid ingredients, followed by basil and lemon slices.</t>
  </si>
  <si>
    <t>The host decorates some straws and finishes her drink.</t>
  </si>
  <si>
    <t>v_7EEpIeXhO54</t>
  </si>
  <si>
    <t>A large pool is seen followed by a person walking in and falling off a board.</t>
  </si>
  <si>
    <t>Another person is seen walking off a diving board and jumping into the water.</t>
  </si>
  <si>
    <t>Several more clips are shown of people attempting to dive in the water but failing.</t>
  </si>
  <si>
    <t>v__BWSmg81iMM</t>
  </si>
  <si>
    <t>A band wearing Scottish kilts plays bagpipes and other instruments in the front University auditorium.</t>
  </si>
  <si>
    <t>The crowd looks around and anticipates the event.</t>
  </si>
  <si>
    <t>The school sign is seen hanging above the podium.</t>
  </si>
  <si>
    <t>v_LvkqCFRC5Vk</t>
  </si>
  <si>
    <t>A man in a brown suit is talking.</t>
  </si>
  <si>
    <t>People are running around on a field playing lacrosse.</t>
  </si>
  <si>
    <t>v_KfX3APC8lp4</t>
  </si>
  <si>
    <t>A woman comes onto the screen kneeling down holding a stick.</t>
  </si>
  <si>
    <t>She begins to stretch deeper into the position while holding the stick for balance.</t>
  </si>
  <si>
    <t>She stops right before the video ends.</t>
  </si>
  <si>
    <t>v_bFPfj889BhU</t>
  </si>
  <si>
    <t>People are riding in sail boats on the water.</t>
  </si>
  <si>
    <t>People are standing on a bar on a boat.</t>
  </si>
  <si>
    <t>People take the sail down off the boat.</t>
  </si>
  <si>
    <t>v_SHzmpIt0Euw</t>
  </si>
  <si>
    <t>Man begins to rip up carpet underlay.</t>
  </si>
  <si>
    <t>He measures the slat to put between the door opening.</t>
  </si>
  <si>
    <t>Then he places materials underneath the carpet underlay.</t>
  </si>
  <si>
    <t>He puts a wooden slat in the door entrance.</t>
  </si>
  <si>
    <t>He picks the slat up.</t>
  </si>
  <si>
    <t>He cuts the slat.</t>
  </si>
  <si>
    <t>He lays the slat down again.</t>
  </si>
  <si>
    <t>He drills it into place.</t>
  </si>
  <si>
    <t>He then lays his hands on the top of the slat.</t>
  </si>
  <si>
    <t>v_9tks__Y0mqI</t>
  </si>
  <si>
    <t>A lady is feeding a baby ice cream in a car.</t>
  </si>
  <si>
    <t>The lady hands the ice cream to the lady next to her and feed the baby something else.</t>
  </si>
  <si>
    <t>The baby reaches for the food.</t>
  </si>
  <si>
    <t>The baby reaches for the food again.</t>
  </si>
  <si>
    <t>The lady wipes the babies face and stands her up.</t>
  </si>
  <si>
    <t>We see the ladies talking.</t>
  </si>
  <si>
    <t>v_YS3Q47uz3HI</t>
  </si>
  <si>
    <t>There's a lady doing a tutorial on how to make a cotton soft Ogura cake.</t>
  </si>
  <si>
    <t>She begins by mixing the ingredients in a large bowl placed on her kitchen counter.</t>
  </si>
  <si>
    <t>She adds some eggs to the flour along with vanilla essence.</t>
  </si>
  <si>
    <t>Then she uses a hand mixer to blend the ingredients together.</t>
  </si>
  <si>
    <t>She then whips up some cream and sugar to make frosting.</t>
  </si>
  <si>
    <t>She adds the frosting to the cake batter and mixes it well.</t>
  </si>
  <si>
    <t>Then she pours the mixture in a baking bowl.</t>
  </si>
  <si>
    <t>She places the bowl in a cookie sheet and places it on the oven rack.</t>
  </si>
  <si>
    <t>She bakes the cake and pulls it out when it's done.</t>
  </si>
  <si>
    <t>She also shows some other baked goodies that she has prepared.</t>
  </si>
  <si>
    <t>v_beejEQ04nkY</t>
  </si>
  <si>
    <t>A woman is seen hosting a news segment that leads into a clip of a dog jumping.</t>
  </si>
  <si>
    <t>People are shown doing tricks with their dogs and running all across a field.</t>
  </si>
  <si>
    <t>More clips are shown of people throwing frisbees and dogs following after.</t>
  </si>
  <si>
    <t>v_k-071peyck4</t>
  </si>
  <si>
    <t>Several people are outdoors, washing laundry in open basins.</t>
  </si>
  <si>
    <t>The women use a pump to bring in water into the basins.</t>
  </si>
  <si>
    <t>v_dxvKVBrNMDw</t>
  </si>
  <si>
    <t>A woman is seen speaking to the camera while holding a hula hoop and then proceeds to spin the object around her.</t>
  </si>
  <si>
    <t>She continues hula hooping over and over again and leads into pictures of people hula hooping in the end.</t>
  </si>
  <si>
    <t>v_WVJEFQpO5jg</t>
  </si>
  <si>
    <t>A man lifts a ball in the air and holds it against his neck and throws the ball far.</t>
  </si>
  <si>
    <t>The man holds the ball against his neck and twists his back and throws it.</t>
  </si>
  <si>
    <t>The man grabs the ball and takes a big step behind him and throws the ball.</t>
  </si>
  <si>
    <t>The man twists his body a few times as he holds the ball against his neck.</t>
  </si>
  <si>
    <t>The man does a 90 degree move around as he holds the ball against his neck.</t>
  </si>
  <si>
    <t>The man holds the ball against his neck as he does a full 180 degree rotation with his body.</t>
  </si>
  <si>
    <t>He pretends to hold the ball as he rotates his body into a 270 degree movement.</t>
  </si>
  <si>
    <t>v_SpwOzrXw9JU</t>
  </si>
  <si>
    <t>A man is seen speaking to the camera and leads into him holding several objects out on a table.</t>
  </si>
  <si>
    <t>The man then sharpens an object on a board and finishes by brushing off the board.</t>
  </si>
  <si>
    <t>v_YqB7UEdhKug</t>
  </si>
  <si>
    <t>A man is standing up playing a saxophone.</t>
  </si>
  <si>
    <t>A band is playing behind him.</t>
  </si>
  <si>
    <t>Blue and white words come onto the screen.</t>
  </si>
  <si>
    <t>v_CteuM2BUmHo</t>
  </si>
  <si>
    <t>We see the opening screen on gray.</t>
  </si>
  <si>
    <t>We then see a man on discs smoothing a concrete floor.</t>
  </si>
  <si>
    <t>The man removes concrete from his trowel.</t>
  </si>
  <si>
    <t>The man uses his hand to remove concrete.</t>
  </si>
  <si>
    <t>v_DDwBAbeGejE</t>
  </si>
  <si>
    <t>woman is sitting in studio giving the news.</t>
  </si>
  <si>
    <t>a person is in a yard sweeping dry leaves.</t>
  </si>
  <si>
    <t>old woman is being interviewed and is talking to the camera in a living room.</t>
  </si>
  <si>
    <t>a woman and a man are being interviewed and are talking to the camera while they are sweeping the leaves.</t>
  </si>
  <si>
    <t>old woman is agani alking and back in studio talking to the camera.</t>
  </si>
  <si>
    <t>v_pMXz0BKQOLQ</t>
  </si>
  <si>
    <t>A food attendant prepares an ice cream cone from a frozen yogurt dispenser.</t>
  </si>
  <si>
    <t>The man happily watches his ice cream being prepared.</t>
  </si>
  <si>
    <t>The man enjoys is ice cream eating it as fast as he can.</t>
  </si>
  <si>
    <t>The man rubs his head and is relieved.</t>
  </si>
  <si>
    <t>v_5iIlhXLDsf8</t>
  </si>
  <si>
    <t>A man is speaking inside a gym.</t>
  </si>
  <si>
    <t>He lies on the ground to do sit ups, talking about the mechanics of the act.</t>
  </si>
  <si>
    <t>The man demonstrates how to do sit ups over and over again.</t>
  </si>
  <si>
    <t>v_nSsll1A6Gxw</t>
  </si>
  <si>
    <t>A woman with long hair is seen sitting behind a piano and speaking to the camera.</t>
  </si>
  <si>
    <t>She places her hands around the piano and begins playing a song.</t>
  </si>
  <si>
    <t>She continues playing the instrument and pauses to speak to the camera a bit.</t>
  </si>
  <si>
    <t>She plays some more and ends with her still speaking to the camera.</t>
  </si>
  <si>
    <t>v_c8ntlBKuVmc</t>
  </si>
  <si>
    <t>A bench is shown in a backyard in front of bushes.</t>
  </si>
  <si>
    <t>A man is using a ladder to trim the hedges.</t>
  </si>
  <si>
    <t>He moves the bench, and walks around with the ladder, continuing to trim hedges.</t>
  </si>
  <si>
    <t>v_0Qed9-9yp9Q</t>
  </si>
  <si>
    <t>A man is seen hopping over bars as well as throwing an object in different locations.</t>
  </si>
  <si>
    <t>The men is then seen lifting weights as well as throwing the object around more and walking away from the camera.</t>
  </si>
  <si>
    <t>He continues practicing by throwing the object around and the camera following his movements.</t>
  </si>
  <si>
    <t>v_aZQWCEejbk8</t>
  </si>
  <si>
    <t>A girl walks up to a slide, sits down, then goes down the slide.</t>
  </si>
  <si>
    <t>She walks back to do it again.</t>
  </si>
  <si>
    <t>v_K1EW6wZDnOs</t>
  </si>
  <si>
    <t>A small horse is outside in a field being held by a rope that is attached to a belt wrapped around the horse's neck.</t>
  </si>
  <si>
    <t>The person with the rope in his hand has a torch like item in his right hand but it appears to only have air in it and begins moving it back and forth across the horses face and mouth.</t>
  </si>
  <si>
    <t>However,the horse doesn't seem to please and begins moving his lip trying to avoid the treatment.</t>
  </si>
  <si>
    <t>v_l9jSJaV0DA0</t>
  </si>
  <si>
    <t>A boy demonstrates how to ride a skateboard in the street through example.</t>
  </si>
  <si>
    <t>A boy stands, outdoors, holding a skateboard in his arms and then puts the board down and begins to step on it.</t>
  </si>
  <si>
    <t>The boy then stands on the board rocking back and forth on it.</t>
  </si>
  <si>
    <t>The boy then exhibits upper body twists while standing on the skateboard and eventually pushes off and rides into the street on the skateboard.</t>
  </si>
  <si>
    <t>The boy then returns to the curbside and puts one foot on the board and the other on the ground as he stands still.</t>
  </si>
  <si>
    <t>v_BIy2GQjWUsA</t>
  </si>
  <si>
    <t>We see a rubber glove on the floor.</t>
  </si>
  <si>
    <t>A person cuts the glove in half and puts a hole in the end.</t>
  </si>
  <si>
    <t>The person puts the glove on a dog with it's claw sticking through the hole.</t>
  </si>
  <si>
    <t>A person shows a clipping tool.</t>
  </si>
  <si>
    <t>The person then sands the dogs claw with an electric sander.</t>
  </si>
  <si>
    <t>v_yUSo_xjyGhM</t>
  </si>
  <si>
    <t>Two young boys are at a sink.</t>
  </si>
  <si>
    <t>One of the boys has no hands.</t>
  </si>
  <si>
    <t>He is washing the dishes.</t>
  </si>
  <si>
    <t>The other boy helps him clean.</t>
  </si>
  <si>
    <t>v_4qstg-tiRvQ</t>
  </si>
  <si>
    <t>Cheerleaders stand in a gym in the group.</t>
  </si>
  <si>
    <t>the girls then perform a routine.</t>
  </si>
  <si>
    <t>The girls break into three groups and the two on the sides kneel while the middle group squats.</t>
  </si>
  <si>
    <t>They kneel and throw their hands in the air at the finish.</t>
  </si>
  <si>
    <t>v_FsXl6whrCWk</t>
  </si>
  <si>
    <t>A woman in a black shirt is sitting on a bench.</t>
  </si>
  <si>
    <t>A man sits behind a desk.</t>
  </si>
  <si>
    <t>Two people are sitting on a bean bag chair.</t>
  </si>
  <si>
    <t>A man is drinking from a mug.</t>
  </si>
  <si>
    <t>v_DfiPwDSjjHE</t>
  </si>
  <si>
    <t>A woman in a pink shirt is talking.</t>
  </si>
  <si>
    <t>She picks up a clear box and opens it.</t>
  </si>
  <si>
    <t>She closes the box and puts it away.</t>
  </si>
  <si>
    <t>She picks up a large stuffed animal.</t>
  </si>
  <si>
    <t>She then picks up a small red bag.</t>
  </si>
  <si>
    <t>She picks up some different fabrics and ribbons.</t>
  </si>
  <si>
    <t>v_j4YrzUjxAp8</t>
  </si>
  <si>
    <t>Vacuum parts are displayed on the floor.</t>
  </si>
  <si>
    <t>A person vacuums the carpet.</t>
  </si>
  <si>
    <t>A person wets and vacuums the carpet.</t>
  </si>
  <si>
    <t>A person vacuums or soaks up coffee from the carpet.</t>
  </si>
  <si>
    <t>A person scrubs and dries a tiled floor with a vacuum.</t>
  </si>
  <si>
    <t>A person empties the contents of the vacuum in a white sink.</t>
  </si>
  <si>
    <t>Ways a vacuum can be used are showed in split screens.</t>
  </si>
  <si>
    <t>v_5MJmwr1cmnU</t>
  </si>
  <si>
    <t>A large wave is seen moving on the water followed by several people carrying surf boards and surfing along the water.</t>
  </si>
  <si>
    <t>The people continue riding along the water on surf boards and walking around on the beach.</t>
  </si>
  <si>
    <t>v_hXrNCak63u0</t>
  </si>
  <si>
    <t>A robot is sitting behind a piano in a room.</t>
  </si>
  <si>
    <t>Its hands are lighting up no the piano keys.</t>
  </si>
  <si>
    <t>v_2DvMNOas7jY</t>
  </si>
  <si>
    <t>A person is seen riding down a long street on a skateboard while the camera follows from behind.</t>
  </si>
  <si>
    <t>The person continues riding down the hill with the camera capturing scenery and cars as well as placing his hand on the boarder in front of him.</t>
  </si>
  <si>
    <t>In the end he passes by the boarder and makes a stop by the car.</t>
  </si>
  <si>
    <t>v_J959vSGFedM</t>
  </si>
  <si>
    <t>A man is lying on his back on a tile floor.</t>
  </si>
  <si>
    <t>He is trying to do sit ups, slowing down and grimacing as the effort becomes more difficult with each one.</t>
  </si>
  <si>
    <t>He stops, lying back and laughing.</t>
  </si>
  <si>
    <t>v_g-l5CI29DPQ</t>
  </si>
  <si>
    <t>A girl is playing hopscotch on a back porch.</t>
  </si>
  <si>
    <t>A person is sitting down on a picnic table watching them.</t>
  </si>
  <si>
    <t>The other person gets up and starts playing.</t>
  </si>
  <si>
    <t>v_bQa8S4Z-1cE</t>
  </si>
  <si>
    <t>A person is seen pulling items out of a box and present them to the camera.</t>
  </si>
  <si>
    <t>The man then rubs down a shoe with a rag and presents more items to the camera as it pans around.</t>
  </si>
  <si>
    <t>v_Wgr9YpWni30</t>
  </si>
  <si>
    <t>A person is seen tying their shoes and leads into several shots of people jumping and moving around on rope.</t>
  </si>
  <si>
    <t>Several shots of landscapes are shown as well as more people attempting jumps and tricks on a long rope tied to trees.</t>
  </si>
  <si>
    <t>v_nsdB1r31-70</t>
  </si>
  <si>
    <t>A woman and a little a boy are swinging on a tire swing.</t>
  </si>
  <si>
    <t>A person pushing a stroller is behind them.</t>
  </si>
  <si>
    <t>The boy turns away from the camera.</t>
  </si>
  <si>
    <t>v_xYW64moSLKg</t>
  </si>
  <si>
    <t>A woman is under water and she gracefully come up from underneath.</t>
  </si>
  <si>
    <t>She later is swimming with tom and jerry very pretty and oddly.</t>
  </si>
  <si>
    <t>Then a she is hanging from a hoop up above and jumps down into the water.</t>
  </si>
  <si>
    <t>She does a lot of different shows involving her dancing and swimming around in the water.</t>
  </si>
  <si>
    <t>v_Xueo66Jb8T4</t>
  </si>
  <si>
    <t>A white screen appears with a black brand name that say's "THE SHINGLE HOG" and it has a picture of a hog in the o of the word HOG.</t>
  </si>
  <si>
    <t>A quick picture of a red and black tool is shown, then a man is talking and clips of people removing shingles play in between moments shown when the man talks.</t>
  </si>
  <si>
    <t>The tool is now shown on its own and the brand and logo is displayed on the screen to the upper right.</t>
  </si>
  <si>
    <t>Now there are clips of people on the roof using the tool to remove shingles and once again the man appears talking in between clips.</t>
  </si>
  <si>
    <t>A black screen appears and it has a list with a lot of white words on it and the title is "Shingle Hog Savings".</t>
  </si>
  <si>
    <t>The man talking and the clips of the man using the shingle machine play until a white outro screen appears that include the brand name, logo, product info and website.</t>
  </si>
  <si>
    <t>v_WVM8itzRVjs</t>
  </si>
  <si>
    <t>Four men in sports uniforms are shown along with information about AIB.</t>
  </si>
  <si>
    <t>The first man introduces himself.</t>
  </si>
  <si>
    <t>The second man introduces himself.</t>
  </si>
  <si>
    <t>the third man introduces himself.</t>
  </si>
  <si>
    <t>Finally, the fourth man introduces himself.</t>
  </si>
  <si>
    <t>The first man is then shown practicing by trying to hit targets on the wall.</t>
  </si>
  <si>
    <t>The second man to introduce himself takes a turn trying to hit the targets on the wall.</t>
  </si>
  <si>
    <t>The man wearing white shorts then tries the practice wall out.</t>
  </si>
  <si>
    <t>And finally the man with red hair gives it a try.</t>
  </si>
  <si>
    <t>The first man to practice gives a comment on his performance.</t>
  </si>
  <si>
    <t>The last man to practice with red hair talks.</t>
  </si>
  <si>
    <t>Info about the AIB and the upcoming game are shown.</t>
  </si>
  <si>
    <t>v_MjHlAvy2qVY</t>
  </si>
  <si>
    <t>A large group of people are seen sitting on a beach with several putting sunscreen all over their bodies.</t>
  </si>
  <si>
    <t>Shots of scientists are shown making the sun screen while interacting with one another and speaking to the camera.</t>
  </si>
  <si>
    <t>Finally a man is seen packing up a fish in a shop.</t>
  </si>
  <si>
    <t>v_1fyxOUEihAQ</t>
  </si>
  <si>
    <t>kid is holding a blower and is blowing leaves from the street.</t>
  </si>
  <si>
    <t>the kid walks in a sidewalk and cleans the dry leaves with the blower and a man help him.</t>
  </si>
  <si>
    <t>old man is holding a rake raking the dry leaves.</t>
  </si>
  <si>
    <t>v_pc_QYeZG9GA</t>
  </si>
  <si>
    <t>a little boy is in a messy living room.</t>
  </si>
  <si>
    <t>He is using an electric toothbrush.</t>
  </si>
  <si>
    <t>He scrubs his teeth with the toothbrush while he smiles.</t>
  </si>
  <si>
    <t>v_pcFn1KBwn6Y</t>
  </si>
  <si>
    <t>A man in a light blue shirt breaks the pool balls to start the game.</t>
  </si>
  <si>
    <t>He walks around the table looking for a good spot to hit.</t>
  </si>
  <si>
    <t>Then he moves around the table again and makes it in again.</t>
  </si>
  <si>
    <t>He finally hits the black ball in and ends the game.</t>
  </si>
  <si>
    <t>v_9uitA8tmSfE</t>
  </si>
  <si>
    <t>A woman jumps into a pool.</t>
  </si>
  <si>
    <t>A woman is holding a large camera laughing.</t>
  </si>
  <si>
    <t>Several more women dive off diving boards into the water.</t>
  </si>
  <si>
    <t>v_Sw4QZTF7sOI</t>
  </si>
  <si>
    <t>A chef speaks to the camera.</t>
  </si>
  <si>
    <t>She moves on to cut a lot of mushrooms.</t>
  </si>
  <si>
    <t>She moves around the mushrooms she just cut up.</t>
  </si>
  <si>
    <t>v_rNQbSptv1cM</t>
  </si>
  <si>
    <t>We see the starting title card.</t>
  </si>
  <si>
    <t>A cheerleader jumps and a boy walks up and talks.</t>
  </si>
  <si>
    <t>We see the girl perform cheerleader jumps and arm maneuvers.</t>
  </si>
  <si>
    <t>We see her feet up close.</t>
  </si>
  <si>
    <t>The girl stretches by bending to the ground, and sits on the ground stretching.</t>
  </si>
  <si>
    <t>v_ICzctKJ6nqc</t>
  </si>
  <si>
    <t>The young woman with long blonde hair is showing her wrist that has a few scars from a surgery.</t>
  </si>
  <si>
    <t>Then she takes a neon green colored hula hoop and spins it around her body.</t>
  </si>
  <si>
    <t>She demonstrates how to effectively use the hula hoop by holding the hoop up towards her chest.</t>
  </si>
  <si>
    <t>Then she begins spinning with the hoop on her chest.</t>
  </si>
  <si>
    <t>She shows how to spin the hoop and rotate the hoop around her body without dropping it down.</t>
  </si>
  <si>
    <t>She continues showing how to properly rotate and spin the the hoop with her hands lowered next to her body.</t>
  </si>
  <si>
    <t>Then she stops and twirls the hoop in her hand.</t>
  </si>
  <si>
    <t>v_-vPshfXc1fc</t>
  </si>
  <si>
    <t>A man is welding a circular metal piece.</t>
  </si>
  <si>
    <t>A green light appears out of no where.</t>
  </si>
  <si>
    <t>The man continues welding the circular metal piece.</t>
  </si>
  <si>
    <t>v_a2Xwx37YbhE</t>
  </si>
  <si>
    <t>A black and white dog is at a dog park and the owner is bending down and moving in front of the dog as it watches him.</t>
  </si>
  <si>
    <t>The owner then walks more into the grass holding onto frisbees and is not only joined by the black and white dog but another dog that is brown and white.</t>
  </si>
  <si>
    <t>The man begins to throw the frisbees in the air and the dogs take turn catching them and doing tricks to get them that even include jumping on the man's back.</t>
  </si>
  <si>
    <t>v_Paj9y9YMSg0</t>
  </si>
  <si>
    <t>People are riding horses in a field.</t>
  </si>
  <si>
    <t>They are playing polo on horses.</t>
  </si>
  <si>
    <t>A person standing on the sidelines waves a white flag.</t>
  </si>
  <si>
    <t>v_j59UZGZtuNg</t>
  </si>
  <si>
    <t>Two girls walk up to a pool, ready to dive.</t>
  </si>
  <si>
    <t>One of them raises her arms into the air, then dives into the water before surfacing.</t>
  </si>
  <si>
    <t>v_SWbUJh4XuMQ</t>
  </si>
  <si>
    <t>A welding tool is applied to a surface.</t>
  </si>
  <si>
    <t>A guy that is holding a welding tool is wearing a helmet.</t>
  </si>
  <si>
    <t>Two gloved hands are using a welding gun and stick on an object.</t>
  </si>
  <si>
    <t>v_8d8juWOKb0c</t>
  </si>
  <si>
    <t>A man is dressed in dark medieval armor.</t>
  </si>
  <si>
    <t>Several instances of men dressed in different kinds of armor and holding various shields are showing jousting against one another.</t>
  </si>
  <si>
    <t>Ultimately, the man with the round shield is defeated when he tumbles to the ground and stabbed in the back.</t>
  </si>
  <si>
    <t>The winner now jousts against a man carrying a blue diamond shaped shield.</t>
  </si>
  <si>
    <t>They joust several times but the man with the blue shield is defeated when he is hit in the head and chest and falls on his back onto the other warrior's knees.</t>
  </si>
  <si>
    <t>A close up of the surviving warrior is shown, clearly satisfied with his victories.</t>
  </si>
  <si>
    <t>v_7DY1vm9RiIk</t>
  </si>
  <si>
    <t>The video begins with a title sequence and logo.</t>
  </si>
  <si>
    <t>Several clips begin playing of volleyball fields with spectators.</t>
  </si>
  <si>
    <t>The first clip shows the players celebrating.</t>
  </si>
  <si>
    <t>The video moves on to members of a band.</t>
  </si>
  <si>
    <t>It then continues to show clips of men playing volleyball.</t>
  </si>
  <si>
    <t>The video ends with a closeup of the audience and a title sequence.</t>
  </si>
  <si>
    <t>v_gRqvh21b8Hw</t>
  </si>
  <si>
    <t>People begin to dive into an empty pool and you see them underneath the water.</t>
  </si>
  <si>
    <t>Then, above from the dive board two swimmers are standing by and one of them dives in.</t>
  </si>
  <si>
    <t>A group of kids holding the camera film themselves diving in and doing cool tricks and flips into the pool.</t>
  </si>
  <si>
    <t>From very high above they record their view from the top to the water and the swim once they're in.</t>
  </si>
  <si>
    <t>v_ZbAfEWdGBzQ</t>
  </si>
  <si>
    <t>Two wrestling women are fighting in a ring.</t>
  </si>
  <si>
    <t>They do a suplex, and the referee counts to three as the dark haired woman wins.</t>
  </si>
  <si>
    <t>v_UOswYEzeJ-M</t>
  </si>
  <si>
    <t>A group of boys are playing ball on a court.</t>
  </si>
  <si>
    <t>They are being guided by their coach.</t>
  </si>
  <si>
    <t>They run with the balls, trying to make baskets.</t>
  </si>
  <si>
    <t>v_Pf8eE_zup_k</t>
  </si>
  <si>
    <t>A hand fills a cup with water.</t>
  </si>
  <si>
    <t>A woman puts two glasses on the counter.</t>
  </si>
  <si>
    <t>The woman puts beer and orange juice in a big glass, then she pours liquor in the small glass.</t>
  </si>
  <si>
    <t>After, the woman puts the small glass inside the big glass.</t>
  </si>
  <si>
    <t>v_M4DcibAnW_E</t>
  </si>
  <si>
    <t>A large wave is shown followed by a person standing up on a surf board.</t>
  </si>
  <si>
    <t>The person is shown surfing all along the water while the camera films from behind.</t>
  </si>
  <si>
    <t>The man continues surfing and paddles himself towards a boat.</t>
  </si>
  <si>
    <t>v_32-Bxdbf3mQ</t>
  </si>
  <si>
    <t>A man in a red shirt drives an orange tractor around the lawn.</t>
  </si>
  <si>
    <t>A dog runs around the yard.</t>
  </si>
  <si>
    <t>A woman drives the orange tractor.</t>
  </si>
  <si>
    <t>v_UiK3kYsvvQ8</t>
  </si>
  <si>
    <t>Two women are seen walking on stage and lead into them performing a belly dancing routine.</t>
  </si>
  <si>
    <t>The women dance all around the stage while lights flash around them.</t>
  </si>
  <si>
    <t>The women continue to dance around one another and end by laughing with one another.</t>
  </si>
  <si>
    <t>v_DJNmAoSQu6k</t>
  </si>
  <si>
    <t>A news woman is talking to a camera.</t>
  </si>
  <si>
    <t>She has a conversation with a man who is also a newscaster.</t>
  </si>
  <si>
    <t>Images of hand molds are shown in the background.</t>
  </si>
  <si>
    <t>v_cp4n_xpbBDs</t>
  </si>
  <si>
    <t>A black screen appears and the white words on it read "Rob Lane is the MillionaireMaintenance Man".</t>
  </si>
  <si>
    <t>A man wearing glasses appears outdoors in front of a fence and he's holding an air brush machine and talking.</t>
  </si>
  <si>
    <t>The man then turns around and walks to the fence and begins airbrushing onto it.</t>
  </si>
  <si>
    <t>The man stops airbrushing and starts talking again while hand motioning to the fence and to this airbrush machine.</t>
  </si>
  <si>
    <t>v_6YtaXJJKUKM</t>
  </si>
  <si>
    <t>A woman is seen speaking to the camera while a small fooseball table sits before her.</t>
  </si>
  <si>
    <t>The woman continues speaking as she spins around the game occasionally and leads into her playing with another girl.</t>
  </si>
  <si>
    <t>v_ARkMGkD2RDs</t>
  </si>
  <si>
    <t>A dumbell appears on screen with the words "Catalyst Athletics" overlaid.</t>
  </si>
  <si>
    <t>A man lifts weights over his head in a gym.</t>
  </si>
  <si>
    <t>A woman then lifts weights over her head.</t>
  </si>
  <si>
    <t>A "Catalyst Athletics" logo appears with social media links.</t>
  </si>
  <si>
    <t>v_jsfPXYQuikQ</t>
  </si>
  <si>
    <t>A boy is balanced on the end of a diving board.</t>
  </si>
  <si>
    <t>He dives, flipping backwards as he goes.</t>
  </si>
  <si>
    <t>He lands gracefully in the water.</t>
  </si>
  <si>
    <t>v_Z7BPvGPizYE</t>
  </si>
  <si>
    <t>A man uses a course brush and hand towel to prepare the ski to be worked on while it sits on a rack.</t>
  </si>
  <si>
    <t>The man melts a wax bar across the ski surface with an iron then uses it to blend in the wax.</t>
  </si>
  <si>
    <t>A man sharpens a flat edge then scrapes the outer layer of wax from the skis surface.</t>
  </si>
  <si>
    <t>The man uses a course brush then a towel to finish preparing the skis surface.</t>
  </si>
  <si>
    <t>v_74HRnmwIhfM</t>
  </si>
  <si>
    <t>A plate of creamy cabonara is shown and the ingredients appear in small clear dishes.</t>
  </si>
  <si>
    <t>Salt is then added to a pan and the spaghetti begins to boil.</t>
  </si>
  <si>
    <t>A bit of oil is then placed in a skillet and Canadian bacon and onions are being fried.</t>
  </si>
  <si>
    <t>Next,more ingredients are added with pasta and egg yolks.</t>
  </si>
  <si>
    <t>Finally,the sauce is done and all of the ingredients are compiled and cheese is added to the dish as it is positioned on the plate.</t>
  </si>
  <si>
    <t>After,more entrees are shown and the screen ends on the url of Ulampinoy's website.</t>
  </si>
  <si>
    <t>v_3PiN6rDgg_E</t>
  </si>
  <si>
    <t>A woman demonstrates how to use one container of powdered pigment to make many different hair, nail, and face makeup products.</t>
  </si>
  <si>
    <t>A woman talks to the camera in front of a counter filled with makeup.</t>
  </si>
  <si>
    <t>The camera shows different makeup pieces with accompanying descriptions cards in between cutting back to the woman talking.</t>
  </si>
  <si>
    <t>The woman begins to apply some of the makeup to her face, including lips and to her nails via nail polish.</t>
  </si>
  <si>
    <t>The woman uses some of the makeup to make hair streaks in another persons hair.</t>
  </si>
  <si>
    <t>The woman then uses the containers of powdered makeup to make foundation and eye shadow before smiling and displaying the entire line of colors and displaying a marketing graphic.</t>
  </si>
  <si>
    <t>v_Bs3OMhhUlY4</t>
  </si>
  <si>
    <t>A small group of boys are seen standing on the edge of a pool and grab one another by the sides.</t>
  </si>
  <si>
    <t>The boys then all jump into the pool together at once with some looking at the camera.</t>
  </si>
  <si>
    <t>v_GLsIq3P-J3A</t>
  </si>
  <si>
    <t>A man is seen speaking to the camera while the camera pans out to a card table and the man dealing cards.</t>
  </si>
  <si>
    <t>The man lays out several cards while flipping over more and pointing to objects laid out on the table.</t>
  </si>
  <si>
    <t>v_1ATBCBUgflA</t>
  </si>
  <si>
    <t>Various ingredients are laid out on a table and leads into a person pouring the ingredients into a bowl.</t>
  </si>
  <si>
    <t>The person stirs thoroughly and then wipes down a table with a cloth.</t>
  </si>
  <si>
    <t>v_PG-AK5fawJI</t>
  </si>
  <si>
    <t>A TV presenter and an actress are putting googles to play rock, paper and scissors pie on front a pie with white cream.</t>
  </si>
  <si>
    <t>After playing a while, the woman turn a handle that raise the pie that lands on the face of the actress.</t>
  </si>
  <si>
    <t>Then, the pie lands for the second time on the face of the actress, as well on the face of the TV presenter.</t>
  </si>
  <si>
    <t>The TV presenter stands holding ducks on both hands, then he pretends eats the duck on the right hand.</t>
  </si>
  <si>
    <t>v_LqBp5qgcwLY</t>
  </si>
  <si>
    <t>Several shots of a city are shown as well as people walking around and speaking to one another.</t>
  </si>
  <si>
    <t>People are then seen paving along walls as well as handing out pamphlets and speaking to one another.</t>
  </si>
  <si>
    <t>The people touch the materials on the walls and ends by speaking to the camera.</t>
  </si>
  <si>
    <t>v_r34VM4v0ShI</t>
  </si>
  <si>
    <t>Some supplies needed to shine shoes are shown.</t>
  </si>
  <si>
    <t>An older man shines a shoe and talks about how he shines shoes and how he learned to shine shoes as a child.</t>
  </si>
  <si>
    <t>The same man is shown shining another mans shoes.</t>
  </si>
  <si>
    <t>The same man shines shoes in a shop while other people sit or walk around.</t>
  </si>
  <si>
    <t>An old black and white photo is shown of a barber shop.</t>
  </si>
  <si>
    <t>The older man shines another shoe and talks about shining shoes.</t>
  </si>
  <si>
    <t>A different man is seen in the background walking away.</t>
  </si>
  <si>
    <t>v_nTNkGOtp7aQ</t>
  </si>
  <si>
    <t>man is standing in a trampoline and make a vig somersault into the pool.</t>
  </si>
  <si>
    <t>two men are sitting in the first floor of the trampoline watching the jump.</t>
  </si>
  <si>
    <t>man get outs the pool, grab a towel and dry his face.</t>
  </si>
  <si>
    <t>people are walking around the pool carrying bags.</t>
  </si>
  <si>
    <t>v_zc-RT9tpoBA</t>
  </si>
  <si>
    <t>A man is sitting inside a room.</t>
  </si>
  <si>
    <t>He is talking to the camera animatedly.</t>
  </si>
  <si>
    <t>He is talking about and demonstrating how to play a harmonica.</t>
  </si>
  <si>
    <t>v_WXQol1TisqE</t>
  </si>
  <si>
    <t>Several walking or horseriding individuals walk by the foreground while the camera focuses on a group of people in the background.</t>
  </si>
  <si>
    <t>A gate opens and a horseriding man chases a cow.</t>
  </si>
  <si>
    <t>The man lassos and secures the cow.</t>
  </si>
  <si>
    <t>Others run up to help with the cow.</t>
  </si>
  <si>
    <t>v_Zq9jr2S5wGM</t>
  </si>
  <si>
    <t>A woman in white and gray shirt is talking, then a glass and pitcher of lemonade with straw is shown.</t>
  </si>
  <si>
    <t>Two lemons is in small bowl, then the blonde woman talks in the camera, a hand cut the lemon, squeeze the lemon in the bowl, pour the lemon in the pitcher using a strainer.</t>
  </si>
  <si>
    <t>The woman talks then the pot is placed in the stove, added water, then added the sugar, added the zest of lemon and mixed the pot, the woman added yellow liquid in the pitcher, added the ice and sliced lemons and pour the juice in the glass.</t>
  </si>
  <si>
    <t>v_dXSlCw8AXv0</t>
  </si>
  <si>
    <t>A person is seen riding along the water on a surfboard as well as others speaking to one another.</t>
  </si>
  <si>
    <t>A man is seen speaking to the camera as well as more clips of people riding on the water.</t>
  </si>
  <si>
    <t>More people speak to one another as well as into the camera and end by riding away on the boards.</t>
  </si>
  <si>
    <t>v_-DaX_1bBNAo</t>
  </si>
  <si>
    <t>A woman wearing a bra is standing in a room.</t>
  </si>
  <si>
    <t>She throws a dart across the room.</t>
  </si>
  <si>
    <t>A man with a hat stands next to her.</t>
  </si>
  <si>
    <t>v_cgfJnog1WLE</t>
  </si>
  <si>
    <t>A young lady with broad shoulders and pig tails approaches a stage in prepares her mind.</t>
  </si>
  <si>
    <t>The lady cracks her knuckles and then bends down and tries to lift the weights.</t>
  </si>
  <si>
    <t>Too much weight is on the bar and the girls ends up twisting her arm in a circle,drops the bar and cries out in agony.</t>
  </si>
  <si>
    <t>Another girl then walks up and lifts the bar half way,realizes shes incapable and drops it.</t>
  </si>
  <si>
    <t>After she walks off she brushes her self off and attempts again and raises it over her head,drops it, and walks away congratulating herself.</t>
  </si>
  <si>
    <t>A screen of scores are then shown and a different girl attempts the weight.</t>
  </si>
  <si>
    <t>The second young lady comes back and does the same thing as well as the female who came after her.</t>
  </si>
  <si>
    <t>The girl comes back but realizes the weight is too heavy and gives up lifting it.</t>
  </si>
  <si>
    <t>However,the original girl comes back and continues to lift more and more weight with ease until the last time,she then bows and they walk up to an Olympic stage and receive their metal.</t>
  </si>
  <si>
    <t>v_LZ-Cy0GqCiU</t>
  </si>
  <si>
    <t>A photo is zoomed in on of a man being gored by a bull.</t>
  </si>
  <si>
    <t>A bull charges a man and knocks him around until people come out and distract him.</t>
  </si>
  <si>
    <t>It cuts to the man again being charged by the bull.</t>
  </si>
  <si>
    <t>He gets knocked around again until people come out to distract the bull.</t>
  </si>
  <si>
    <t>He is carried off out of the ring.</t>
  </si>
  <si>
    <t>Once again the bull charges the man and knocks him down.</t>
  </si>
  <si>
    <t>People come out and distract the bull.</t>
  </si>
  <si>
    <t>He is carried out for a last time.</t>
  </si>
  <si>
    <t>v_l_cjSGt5j40</t>
  </si>
  <si>
    <t>An older man is seen sitting on a log in a public space in front of a piano.</t>
  </si>
  <si>
    <t>The man then plays the piano while the camera captures him playing.</t>
  </si>
  <si>
    <t>The man sings to the camera while continuing to play and the camera moving around his movements.</t>
  </si>
  <si>
    <t>v_Mh-qSztuLtE</t>
  </si>
  <si>
    <t>A huge crowd is gathered outside.</t>
  </si>
  <si>
    <t>They are all performing an exercise dance known as zumba.</t>
  </si>
  <si>
    <t>v_LZ4dINjqX5U</t>
  </si>
  <si>
    <t>An athletic man is seen standing with his arms a up and begins performing a gymnastics routine.</t>
  </si>
  <si>
    <t>He spins himself round and round on the bar performing several flips and tricks and ends with him sticking his arms up into the air.</t>
  </si>
  <si>
    <t>v_Xd_xJnlUHm0</t>
  </si>
  <si>
    <t>A young boy is talking to the camera in his bedroom.</t>
  </si>
  <si>
    <t>He removes things from drawers, like lip gloss and puts it on for the camera.</t>
  </si>
  <si>
    <t>He applies messy makeup and poses for the camera.</t>
  </si>
  <si>
    <t>v_I5YCAQXHoFw</t>
  </si>
  <si>
    <t>A camera pans all around a beach showing water crashing on the waves.</t>
  </si>
  <si>
    <t>A person is then seen wearing gloves and painting down an arm chair.</t>
  </si>
  <si>
    <t>The person continues painting down the chair and showing it off in the end.</t>
  </si>
  <si>
    <t>v_jcX2QAiqP9U</t>
  </si>
  <si>
    <t>Kids are shown in side of a gym playing indoor soccer.</t>
  </si>
  <si>
    <t>One of the kids makes a great move to get around a defender and almost scores.</t>
  </si>
  <si>
    <t>He is then shown scoring on a different occasion before the video ends.</t>
  </si>
  <si>
    <t>v_v5O_Yfeqza4</t>
  </si>
  <si>
    <t>A young man is seen speaking to the camera and leads into him throwing darts onto a board.</t>
  </si>
  <si>
    <t>He holds his hands up in excitement as the camera zooms in on the darts.</t>
  </si>
  <si>
    <t>v_7AkyOhKkT6g</t>
  </si>
  <si>
    <t>Mj's mommy is playing around with her hair smoothing it out.</t>
  </si>
  <si>
    <t>She goes to the bathroom with clips in her hair and gets out treatments and shampoos.</t>
  </si>
  <si>
    <t>She begins to apply the hair things to her hair and combing it out, she starts to part her hair and put in curlers.</t>
  </si>
  <si>
    <t>She begins to talk about what she is doing with her hair while she waits to take out the curlers, when she takes them out her hair is perfectly curled.</t>
  </si>
  <si>
    <t>v_-tvhSol-wTs</t>
  </si>
  <si>
    <t>A man is seen talking to the camera while holding a tennis racket and begins demonstrating how to hit the ball.</t>
  </si>
  <si>
    <t>The man continues to speak and hit the ball while moving around the gym and gesturing to the camera.</t>
  </si>
  <si>
    <t>v_gQLH5G88ClE</t>
  </si>
  <si>
    <t>A close up of a christmas tree is shown followed by close ups of ornaments.</t>
  </si>
  <si>
    <t>Two people are then seen moving around the tree decorating as well as turning the lights off.</t>
  </si>
  <si>
    <t>They finish decorating the tree and playing with one another and laughing.</t>
  </si>
  <si>
    <t>In the end close ups of the trees are shown as well as a bear.</t>
  </si>
  <si>
    <t>v_1YGz5CQBflM</t>
  </si>
  <si>
    <t>A man is seen blowing a kiss as well as taking off his jacket and interacting with another man.</t>
  </si>
  <si>
    <t>The man prepares his arm as the other grabs his hand and he pretends to kick his head.</t>
  </si>
  <si>
    <t>More people step up to arm wrestle this man while food is being shown and the loser gets food all over him.</t>
  </si>
  <si>
    <t>v_fI12XNNqldA</t>
  </si>
  <si>
    <t>Two people are seen kneeling before a plant sitting on the ground and speaking to one another.</t>
  </si>
  <si>
    <t>The men continue to move dirt around the plant and end by standing next to the tree and pulling roots away and dumping more soil around it.</t>
  </si>
  <si>
    <t>v_xFqGY-y4OUg</t>
  </si>
  <si>
    <t>A close up is shown of a pool room.</t>
  </si>
  <si>
    <t>A man and woman enter the room, grabbing cues.</t>
  </si>
  <si>
    <t>They engage in a game of pool together, hitting the balls into the pockets.</t>
  </si>
  <si>
    <t>v_9i7ABIB99Ow</t>
  </si>
  <si>
    <t>Step by step instructions to make creamy pasta, first putting the pasta into boiling water and stirring it.</t>
  </si>
  <si>
    <t>Then in another pan adding sausage and onions and stirring it all together.</t>
  </si>
  <si>
    <t>Adding tomatoes and heavy cream to make it pasty.</t>
  </si>
  <si>
    <t>Finally adding the pasta to it, along with some cheese and parsley flakes and mixing it all together.</t>
  </si>
  <si>
    <t>v_7hDCO9fJb90</t>
  </si>
  <si>
    <t>A man stands next to a young girl dressed in a gymnastic outfit in a gym and talks to the camera.</t>
  </si>
  <si>
    <t>The man then coaches the girl on the gym bars in a gymnastic practice session as the girl swings on the bars in a gym filled with other children practicing gymnastics.</t>
  </si>
  <si>
    <t>The man then closes standing next to the girl again and talking into the camera.</t>
  </si>
  <si>
    <t>v_srR0M_HL3Ao</t>
  </si>
  <si>
    <t>A person surfboard in the choppy water of the ocean.</t>
  </si>
  <si>
    <t>A woman stands on front a swimming pool talking, then a slide show of pictures and a man talking in an event is shown.</t>
  </si>
  <si>
    <t>Then, the prince Harry of England sits in an event while people dance and perform.</t>
  </si>
  <si>
    <t>After, people play polo in a field riding horse an throwing a ball with a pole, also the woman and the man talks.</t>
  </si>
  <si>
    <t>v_n_CMnVD7kCg</t>
  </si>
  <si>
    <t>Several shots are shown of people performing impressive gymnastics flips in a large gymnasium.</t>
  </si>
  <si>
    <t>The people continuously perform flips and tricks onto the mats with some being shown in slow motion and in pictures.</t>
  </si>
  <si>
    <t>v_6d9z33GFEGo</t>
  </si>
  <si>
    <t>A man is holding a wine glass and talking.</t>
  </si>
  <si>
    <t>He takes a drink of the wine and sets the glass down.</t>
  </si>
  <si>
    <t>He shows bottles that are sitting on a counter.</t>
  </si>
  <si>
    <t>He pours oil into a pan on a stove.</t>
  </si>
  <si>
    <t>He adds seasonings to the pan.</t>
  </si>
  <si>
    <t>He stirs a pot that is on the stove.</t>
  </si>
  <si>
    <t>He takes a scoop of what's in the pot and adds it to the pan.</t>
  </si>
  <si>
    <t>He begins to stir the pasta that is in the pan.</t>
  </si>
  <si>
    <t>He scoops the pasta out of the pan onto a plate.</t>
  </si>
  <si>
    <t>He picks up his wine glass again.</t>
  </si>
  <si>
    <t>v_f4983HmCNiM</t>
  </si>
  <si>
    <t>A group of dirt bikers are waiting on a ramp.</t>
  </si>
  <si>
    <t>They take off when it opens, going around in circles on the track, racing each other.</t>
  </si>
  <si>
    <t>Some fall off their bikes.</t>
  </si>
  <si>
    <t>They make it through the finish line, ending the race.</t>
  </si>
  <si>
    <t>v_N4wKdmmX0lk</t>
  </si>
  <si>
    <t>A woman takes a few steps with a pair of jumping apparatus.</t>
  </si>
  <si>
    <t>The woman begins jumping around rapidly.</t>
  </si>
  <si>
    <t>The woman is joined by a man who is also jumping around in a pair of jumping apparatus.</t>
  </si>
  <si>
    <t>v_HjVQNiy4uuw</t>
  </si>
  <si>
    <t>A man is seen riding on a long river with another person riding behind.</t>
  </si>
  <si>
    <t>The camera transitions into several people riding in tubes and pushing themselves down a river.</t>
  </si>
  <si>
    <t>v_DzCVpvVJCo8</t>
  </si>
  <si>
    <t>A girl is seen laying down on a table while a man wearing gloves holds scissors to her belly button.</t>
  </si>
  <si>
    <t>He then pierces the girl's stomach and she sits up and walks away in the end smiling.</t>
  </si>
  <si>
    <t>v_XP5Oqr1giQ4</t>
  </si>
  <si>
    <t>A man is bull fighting =, he has a pink sheet and is running away backwards from the bull that is coming toward him.</t>
  </si>
  <si>
    <t>There are three men now and one of them gets completely trampled by the bull.</t>
  </si>
  <si>
    <t>Then about six more men stand in a line messing with the bull.</t>
  </si>
  <si>
    <t>It's very dangerous messing with a bull and teasing him, these people can seriously get hurt.</t>
  </si>
  <si>
    <t>v_oijpI0s_R04</t>
  </si>
  <si>
    <t>The colorful title screen is seen.</t>
  </si>
  <si>
    <t>Two people in a room dance slowly to the back.</t>
  </si>
  <si>
    <t>A title screen loads and we see the man dance alone.</t>
  </si>
  <si>
    <t>We see a title and the lady in the green room dancing alone.</t>
  </si>
  <si>
    <t>A title loads and we see the man's feet as he dances.</t>
  </si>
  <si>
    <t>A title loads and we see the ladies feet as she dances.</t>
  </si>
  <si>
    <t>v_aXm3sPITCKM</t>
  </si>
  <si>
    <t>A man is seen speaking to the camera while brushing his hair and looking around a bathroom.</t>
  </si>
  <si>
    <t>The man continues brushing his hair and begins playing with his facial hair.</t>
  </si>
  <si>
    <t>The man points the camera around his head showing off his hair and smiling to the camera.</t>
  </si>
  <si>
    <t>v_X5gh32tHdsc</t>
  </si>
  <si>
    <t>Men are playing indoor tennis inside a building while soccer is on the tv in the background.</t>
  </si>
  <si>
    <t>They hit the ball back and forth for a while.</t>
  </si>
  <si>
    <t>Other men in the room occasionally look up.</t>
  </si>
  <si>
    <t>v_Mo9-1cuMVtQ</t>
  </si>
  <si>
    <t>We see a newscaster in a studio talking.</t>
  </si>
  <si>
    <t>We then see a soccer game indoors.</t>
  </si>
  <si>
    <t>A man talks in front of the camera and we see the crowd.</t>
  </si>
  <si>
    <t>We see the game in progress.</t>
  </si>
  <si>
    <t>The man talks again and we see the game again.</t>
  </si>
  <si>
    <t>The man talks one more time and we return to the game.</t>
  </si>
  <si>
    <t>We see the newscaster in the studio again.</t>
  </si>
  <si>
    <t>v_nOvrsb0XyGk</t>
  </si>
  <si>
    <t>We see a number of men throwing darts and a woman keeping score.</t>
  </si>
  <si>
    <t>The man grabs the darts off the board and walks away.</t>
  </si>
  <si>
    <t>Another man shoots, grabs his darts and goes.</t>
  </si>
  <si>
    <t>A third guy shoots darts and goes.</t>
  </si>
  <si>
    <t>The fourth guy shoots and goes.</t>
  </si>
  <si>
    <t>the first guy returns for another chance.</t>
  </si>
  <si>
    <t>the second guy goes again.</t>
  </si>
  <si>
    <t>the third guy plays again.</t>
  </si>
  <si>
    <t>The fourth guy takes his turn.</t>
  </si>
  <si>
    <t>And we see them repeat.</t>
  </si>
  <si>
    <t>v_ERcMdKNF_pc</t>
  </si>
  <si>
    <t>A gymnast prepares to mount a beam.</t>
  </si>
  <si>
    <t>He mounts, then spins and flips several times.</t>
  </si>
  <si>
    <t>He dismounts, raising his arms into the air.</t>
  </si>
  <si>
    <t>v_mpj1rR1wXKU</t>
  </si>
  <si>
    <t>We see a couple of opening screens.</t>
  </si>
  <si>
    <t>We see a man in a blue shirt bowling talking in a bowling alley.</t>
  </si>
  <si>
    <t>The man picks purple ball from the dispenser and talks to the camera.</t>
  </si>
  <si>
    <t>The man holds the ball out then we see him putting his fingers in the ball and talks to the camera.</t>
  </si>
  <si>
    <t>The man puts the ball down and grabs another, then another and talks.</t>
  </si>
  <si>
    <t>We then see the man roll the ball down the aisle.</t>
  </si>
  <si>
    <t>v_PN99KIY7jRY</t>
  </si>
  <si>
    <t>A man serves a tennis ball with his racket.</t>
  </si>
  <si>
    <t>He brings the racket down to his side.</t>
  </si>
  <si>
    <t>v_3tfGg2rVv6o</t>
  </si>
  <si>
    <t>little girl is doing gymnastics in the middle of the court holding batons.</t>
  </si>
  <si>
    <t>pictures of woman are shown.</t>
  </si>
  <si>
    <t>v_0pGXfomqurw</t>
  </si>
  <si>
    <t>woman wearing sport clothing is climbing stairs and talking to the camera.</t>
  </si>
  <si>
    <t>woman is in gym talking on the camera and with other man while a woman is making exercise in an orbitrek.</t>
  </si>
  <si>
    <t>v_Jtlvh2w1aUM</t>
  </si>
  <si>
    <t>A person blows leaf off of a lawn and walkway using a leaf blower.</t>
  </si>
  <si>
    <t>The person begins by pointing the leaf blower towards leaves around a bush and near grass.</t>
  </si>
  <si>
    <t>The person blows leaves out of a tight corner and then progresses to a walkway.</t>
  </si>
  <si>
    <t>The person blows leaves from a walkway and across a lawn.</t>
  </si>
  <si>
    <t>v_XxbuqeqOGaM</t>
  </si>
  <si>
    <t>A chef in the kitchen wearing a chef hat is giving instructions on how to sharpen a knife.</t>
  </si>
  <si>
    <t>He brings the knife to a sharpener and begins slowly to demonstrate.</t>
  </si>
  <si>
    <t>He picks up the sharpening tool and talks about what he will do next and begins to sharpen again.</t>
  </si>
  <si>
    <t>Then he shows all of the pieces that come with the kit and talks about it all.</t>
  </si>
  <si>
    <t>v_wfFnIYdSjCI</t>
  </si>
  <si>
    <t>A small group of children are seen running around a lacrosse field playing a game with one another.</t>
  </si>
  <si>
    <t>The camera continues to follow the people around as they chase the ball and run up and down the field.</t>
  </si>
  <si>
    <t>v_WUcjqCvYfQ0</t>
  </si>
  <si>
    <t>A couple is sitting outside talking.</t>
  </si>
  <si>
    <t>They go in the house and gather supplies for shaving, which are listed on the screen.</t>
  </si>
  <si>
    <t>The woman lathers the man up, Then shaves his beard and mustache using a beaver boar brush and razor.</t>
  </si>
  <si>
    <t>She then rinses him clean, and applies aftershave.</t>
  </si>
  <si>
    <t>He is then shown giving her a shoulder rub.</t>
  </si>
  <si>
    <t>v_4MKbQ816r9A</t>
  </si>
  <si>
    <t>A tall thin male is standing in a bar surrounded by liquor.</t>
  </si>
  <si>
    <t>The male has a cup of ice in front of him that he pours into a regular glass that he then adds liquor into.</t>
  </si>
  <si>
    <t>Followed by two more shots of different clear liquors.</t>
  </si>
  <si>
    <t>He then takes two syrup like liquor and pour them in the cup.</t>
  </si>
  <si>
    <t>Once everything is in the glass,he puts the mixer on top of it and shakes it up.</t>
  </si>
  <si>
    <t>Finally,the drink is complete and he pours it into another glass and adds a straw for it to be served.</t>
  </si>
  <si>
    <t>v_Qtj7QFDjH1A</t>
  </si>
  <si>
    <t>A young man is seen standing in front of the camera playing a set of bagpipes.</t>
  </si>
  <si>
    <t>He continues playing the instrument and ends by holding it in his hands and a picture of him playing guitar.</t>
  </si>
  <si>
    <t>v_2ptdloHcTcs</t>
  </si>
  <si>
    <t>A person is seen riding a surf board through a wave and leads into several more people riding waves and sitting along the water.</t>
  </si>
  <si>
    <t>More shots of people surfing incredible waves are shown with some wiping out but overall riding along.</t>
  </si>
  <si>
    <t>v_f2fyhNjY3EA</t>
  </si>
  <si>
    <t>Boats are seen sailing through dark ocean water.</t>
  </si>
  <si>
    <t>We see a first person view of sailing on a boat.</t>
  </si>
  <si>
    <t>The boats are seen floating through the water.</t>
  </si>
  <si>
    <t>v_fgP3D3Gqn6U</t>
  </si>
  <si>
    <t>People sit on a bench at a rodeo.</t>
  </si>
  <si>
    <t>We see people standing around a fence.</t>
  </si>
  <si>
    <t>The gate open and calf and a man come out we see four men hogtie calf's.</t>
  </si>
  <si>
    <t>We see a calf running in the ring and another calf being hogtied.</t>
  </si>
  <si>
    <t>A man and a little boy are walking and holding the reins of a horse.</t>
  </si>
  <si>
    <t>We see an older man holding the reins of a horse.</t>
  </si>
  <si>
    <t>The camera points to the ground and the video ends.</t>
  </si>
  <si>
    <t>v_-cApkmTI3F8</t>
  </si>
  <si>
    <t>A man is seen drinking out of a cup held by a woman who is also drinking from a bottle.</t>
  </si>
  <si>
    <t>The two continue drinking as others record them and then stop immediately.</t>
  </si>
  <si>
    <t>v_YIYZHQUOtnA</t>
  </si>
  <si>
    <t>A groups of students exercise and cheers on a competition, then boys wearing red t-shirt throw bowling balls and throw all the pins and celebrates.</t>
  </si>
  <si>
    <t>Then, young people wearing green t-shirts are successful playing bowling.</t>
  </si>
  <si>
    <t>After, girls play bowling who throw all the pins with the bowling bowl.</t>
  </si>
  <si>
    <t>The winners of the competition receive closed envelopes and trophies.</t>
  </si>
  <si>
    <t>v_EbqurNRxneE</t>
  </si>
  <si>
    <t>A woman is kneeling on the sandy beach.</t>
  </si>
  <si>
    <t>She is helping a baby with suntan lotion.</t>
  </si>
  <si>
    <t>She rubs the lotion on the baby's skin.</t>
  </si>
  <si>
    <t>v_d4B9z_WJAKs</t>
  </si>
  <si>
    <t>Four men are playing bad mitten.</t>
  </si>
  <si>
    <t>There are clips of great shots from teams.</t>
  </si>
  <si>
    <t>The yellow team makes several points in a row.</t>
  </si>
  <si>
    <t>Denmark's team made several points.</t>
  </si>
  <si>
    <t>The clip ends with the yellow team holding trophies.</t>
  </si>
  <si>
    <t>v_ArT40PO05h8</t>
  </si>
  <si>
    <t>A man is playing a ukulele for a woman while a man watches from behind a curtain.</t>
  </si>
  <si>
    <t>Suddenly, the video cuts to several different people doing window washing tricks.</t>
  </si>
  <si>
    <t>The video ends with a man on the phone doing a comedy skit about windows.</t>
  </si>
  <si>
    <t>v_PRkEpM8ffak</t>
  </si>
  <si>
    <t>A person is seen using a piece of exercise equipment moving up and down on the machine.</t>
  </si>
  <si>
    <t>The camera pans all around the man using the machine and zooms all around the man moving around.</t>
  </si>
  <si>
    <t>v_H9ejAfleKUg</t>
  </si>
  <si>
    <t>A camera is seen zooming in on a building and leads into a man climbing up a large rock.</t>
  </si>
  <si>
    <t>The man continuously climbs up the rock while looking around and finally makes it to the top while the camera pans around.</t>
  </si>
  <si>
    <t>v_mB0MeZjjCmU</t>
  </si>
  <si>
    <t>A vanilla sponge cake is shown on the title screen.</t>
  </si>
  <si>
    <t>A white plate is then placed on a brown table alongside four brown eggs.</t>
  </si>
  <si>
    <t>They are then put in a silver bowl and they are whisked at a rapid pace as sugar is gradually added it and the whipping continues.</t>
  </si>
  <si>
    <t>After,milk,butter,flour,banana pudding,salt and vanilla extract are shown on a table.</t>
  </si>
  <si>
    <t>The milk and butter are heated up then added in a large bowl with the cake batter to be whisked.</t>
  </si>
  <si>
    <t>The vanilla is then added and poured into another bowl before the final product is shown.</t>
  </si>
  <si>
    <t>v_srARxP_ocyg</t>
  </si>
  <si>
    <t>A woman is seen kicking a man wearing gloves in his hands.</t>
  </si>
  <si>
    <t>The man then walks around the circle while people take turns hitting the man.</t>
  </si>
  <si>
    <t>The man continues walking around while they hit him.</t>
  </si>
  <si>
    <t>v_8NRv-75RlPI</t>
  </si>
  <si>
    <t>An elliptical trainer is shown, as well as its components.</t>
  </si>
  <si>
    <t>A woman is shown working out on the elliptical.</t>
  </si>
  <si>
    <t>She pedals and demonstrates the mechanics of the programming screen.</t>
  </si>
  <si>
    <t>v_w6P9JrTGRlE</t>
  </si>
  <si>
    <t>A dog is dressed in clothes and a human is behind him only showing his hands.</t>
  </si>
  <si>
    <t>As to look like the dog is part human and doing human like stuff.</t>
  </si>
  <si>
    <t>He is feeding himself breakfast and then wipes his face.</t>
  </si>
  <si>
    <t>After that he grabs a cup of coffee to drink.</t>
  </si>
  <si>
    <t>He struggles to grab another napkin to wipe his face again.</t>
  </si>
  <si>
    <t>v_lO1r4df9uUc</t>
  </si>
  <si>
    <t>A man is seen skiing behind a boat.</t>
  </si>
  <si>
    <t>He holds on tight as he is pulled through the water.</t>
  </si>
  <si>
    <t>The man is water skiing until the end of the clip.</t>
  </si>
  <si>
    <t>v_xE9anOqq2XQ</t>
  </si>
  <si>
    <t>An athletic man is seen standing ready while holding a javelin and then runs down the track and throws the pole into a field.</t>
  </si>
  <si>
    <t>He walks away with his hands on his hips and his same throw is shown again.</t>
  </si>
  <si>
    <t>Several more athletes step up to throw the javelin into the field followed by their same throw shown again and them laughing to the camera.</t>
  </si>
  <si>
    <t>v_x--RoqrwiLI</t>
  </si>
  <si>
    <t>A man in a large green field practices over seven hammer throws in the field with a measuring tape in front of him stretched along the ground.</t>
  </si>
  <si>
    <t>A bare chested man in black track pants spins a hammer throw around and around until he releases into a field in front of him.</t>
  </si>
  <si>
    <t>The man then goes on to perform at least six more hammer throws in the same way in the same location.</t>
  </si>
  <si>
    <t>v_-NndIs9BaS4</t>
  </si>
  <si>
    <t>man is standing in a gren field and start jumping the rope.</t>
  </si>
  <si>
    <t>man drops the rope and explain how to jump and holds the rope again.</t>
  </si>
  <si>
    <t>v_dUBkspFNj-E</t>
  </si>
  <si>
    <t>Guys are playing pool in front of an audience.</t>
  </si>
  <si>
    <t>A guy changes his pool stick.</t>
  </si>
  <si>
    <t>The two men stand close together and give an interview.</t>
  </si>
  <si>
    <t>A man puts his arm around his partner's shoulders, and his partner dances.</t>
  </si>
  <si>
    <t>A man sits on his pool game partner's lap after he makes his shot, .</t>
  </si>
  <si>
    <t>v_xpmXZBpYrM0</t>
  </si>
  <si>
    <t>A person applies leg lube to their leg and then proceeds to shave the leg and then wipe their leg down with a wet rag.</t>
  </si>
  <si>
    <t>A person in a bathroom, with one foot on top of a toilet cover rubs leg lube on their leg.</t>
  </si>
  <si>
    <t>The person then begins to shave the length of their leg with a blue razor.</t>
  </si>
  <si>
    <t>The person wipes their leg down with wet rag after holding the rag under the bathroom sink tap before holding a bottle of leg lube in their hand in a closeup view.</t>
  </si>
  <si>
    <t>v_bOp6pObPeZ4</t>
  </si>
  <si>
    <t>A woman and a man are dancing on a stage.</t>
  </si>
  <si>
    <t>There is a band playing behind them.</t>
  </si>
  <si>
    <t>There is an audience sitting in chairs clapping for them.</t>
  </si>
  <si>
    <t>v_C1djGYqkhYI</t>
  </si>
  <si>
    <t>A young girl in a green leotard begins twirling a baton and doing tricks.</t>
  </si>
  <si>
    <t>The girl begins to incorporate her arms and does a flip and continues to flip the baton over her hands and arms.</t>
  </si>
  <si>
    <t>As the young lady continues her performance, she twirls the baton between her legs and over her head,catches it and does a gallop.</t>
  </si>
  <si>
    <t>The rest of the young girl's performance is a set of twirls and twist and then she runs off the floor to finish her performance.</t>
  </si>
  <si>
    <t>v_lkCpF06uEmE</t>
  </si>
  <si>
    <t>A person lifts a 90 kg weight until the shoulder and then above the head, then the man drops the weight to the floor.</t>
  </si>
  <si>
    <t>Then, the man lifts 95 kg weight above his head.</t>
  </si>
  <si>
    <t>After, the man lifts a weight of 101 kg successfully.</t>
  </si>
  <si>
    <t>v_rjzQD0vwnP0</t>
  </si>
  <si>
    <t>A close up of a car is seen followed by a person holding a scraper.</t>
  </si>
  <si>
    <t>The person pushes ice all along the car while looking to the camera.</t>
  </si>
  <si>
    <t>The person continues clearing off ice with the scraper while the camera captures her movements.</t>
  </si>
  <si>
    <t>v_Tp6MFA0SbFU</t>
  </si>
  <si>
    <t>A female wrestler is holding another wrestler upside down.</t>
  </si>
  <si>
    <t>She slams her down onto the mat, on her back.</t>
  </si>
  <si>
    <t>v_JgfVp6Estgw</t>
  </si>
  <si>
    <t>Various shots of landscapes are shown including deer heads and tree houses and leads into a man shooting a bow and arrow.</t>
  </si>
  <si>
    <t>He hits the stuffed animal and leads into more shots of him and another using the bow and arrow.</t>
  </si>
  <si>
    <t>The camera pans around areas that they hit and shows one man walking away.</t>
  </si>
  <si>
    <t>v_aorWXCqqyJs</t>
  </si>
  <si>
    <t>Some people are surfing in rough ocean waves.</t>
  </si>
  <si>
    <t>They lay down on their boards, disappearing into the water.</t>
  </si>
  <si>
    <t>The girl just rides the surf with her father helping.</t>
  </si>
  <si>
    <t>v_y1CzJvvItrM</t>
  </si>
  <si>
    <t>A man is standing on a ladder wiping down a wall.</t>
  </si>
  <si>
    <t>A black bucket is sitting next to him.</t>
  </si>
  <si>
    <t>A man is standing up throwing mud at the wall.</t>
  </si>
  <si>
    <t>v_qD52CX0CSBs</t>
  </si>
  <si>
    <t>A woman is seen speaking to the camera while standing next to a horse and petting the horse on the side.</t>
  </si>
  <si>
    <t>The horse sniffs all around the woman while she pets him down and turns his head in the end.</t>
  </si>
  <si>
    <t>v_0xtS7g7vZLU</t>
  </si>
  <si>
    <t>A camera pans out a wooden table with a boy with glasses showing it off.</t>
  </si>
  <si>
    <t>The boy pushes various pucks across the wooden board to see where it ends up.</t>
  </si>
  <si>
    <t>The boy pushes several more pucks and the boy holding the camera walks to the end to show the results.</t>
  </si>
  <si>
    <t>v_BOqca4eckEs</t>
  </si>
  <si>
    <t>A girl is standing with a group of people on a long platform made of wood.</t>
  </si>
  <si>
    <t>She is attached to a rope and with several people behind her then she is pushed off of the stand participating in a free fall.</t>
  </si>
  <si>
    <t>The female falls then hangs down over the water for a long period of time.</t>
  </si>
  <si>
    <t>v_hFzMCWZ3Jps</t>
  </si>
  <si>
    <t>A woman is seen looking into the camera while brushing her hair and leads into her putting her hair into a ponytail.</t>
  </si>
  <si>
    <t>The girl then braids more hair into her and ends by waving to the camera.</t>
  </si>
  <si>
    <t>v_ULBhK8jXNws</t>
  </si>
  <si>
    <t>There is a truck being driven on the road in the beginning of the video.</t>
  </si>
  <si>
    <t>Then a man is shown sitting by the poolside, surfing in the water with other people.</t>
  </si>
  <si>
    <t>v_jAlYwQevBxA</t>
  </si>
  <si>
    <t>People are seen walking around a snowy area carrying boards in their hands and riding along the trail.</t>
  </si>
  <si>
    <t>The people ride down the snowy mountain continuously while looking back to the camera.</t>
  </si>
  <si>
    <t>The people continue to ride around while zooming in on their feet.</t>
  </si>
  <si>
    <t>v_EdJgTx0iFeE</t>
  </si>
  <si>
    <t>A woman is seen speaking to the camera holding a hula hoop and leads into her spinning around the hula hoop.</t>
  </si>
  <si>
    <t>The woman continues to push the object around her waist while spinning herself around as well as dancing in place.</t>
  </si>
  <si>
    <t>v_9u-wH-UBuRc</t>
  </si>
  <si>
    <t>A thin man and a fat man perform arm wrestling while a cameraman film them.</t>
  </si>
  <si>
    <t>The thin man win the arm wrestling competition.</t>
  </si>
  <si>
    <t>v_b_DY76Y6ekg</t>
  </si>
  <si>
    <t>People in harnesses walk on a platform with trees far below in the background.</t>
  </si>
  <si>
    <t>The man sits on a bench and is hooked to a large white rope.</t>
  </si>
  <si>
    <t>The man shakes a lady's hand.</t>
  </si>
  <si>
    <t>The man stands and walks to the edge of the platform assisted by two people.</t>
  </si>
  <si>
    <t>The lady then pushes the man off the edge and the camera pans down to watch the mans' bungee jump.</t>
  </si>
  <si>
    <t>A man with stick holds it out and the man catches it and they release the man from the rope.</t>
  </si>
  <si>
    <t>v_I-1UKECfQko</t>
  </si>
  <si>
    <t>Several people lay in tubes in the snow.</t>
  </si>
  <si>
    <t>More people are standing around them.</t>
  </si>
  <si>
    <t>Eventually some of them go down the hill.</t>
  </si>
  <si>
    <t>They reach the bottom of the hill.</t>
  </si>
  <si>
    <t>v_kxUkqmzS2wc</t>
  </si>
  <si>
    <t>A man puts shaving cream on his face.</t>
  </si>
  <si>
    <t>He starts shaving his face with a razor.</t>
  </si>
  <si>
    <t>He dries his face off with a towel.</t>
  </si>
  <si>
    <t>v_KjXvBqmh5C4</t>
  </si>
  <si>
    <t>A shot of a gym is shown followed by several clips of a person attempting to pole volt and others socializing.</t>
  </si>
  <si>
    <t>Several people speak to the camera and lead into them pole volting.</t>
  </si>
  <si>
    <t>More people are seen speaking to one another as well as the camera and using a pole to get over a bar.</t>
  </si>
  <si>
    <t>v_-b2lkhdJXf4</t>
  </si>
  <si>
    <t>A small white ball dashed out into the court and hits a player smack dab in the head.</t>
  </si>
  <si>
    <t>Another player then steals the ball and starts kicking it until its more into his control, and kicks it straight into the goal.</t>
  </si>
  <si>
    <t>A small replay shows how he managed to kick it in there.</t>
  </si>
  <si>
    <t>A short montage of similar moves, the player kicking a ball straight into the goal.</t>
  </si>
  <si>
    <t>A short amount of footage shows how the player reacts to his own shot.</t>
  </si>
  <si>
    <t>v_1oyWMusaDTI</t>
  </si>
  <si>
    <t>A man is kite surfing on the edge of the board.</t>
  </si>
  <si>
    <t>The camera zoom in and shows the board then zooms back out.</t>
  </si>
  <si>
    <t>We see the road in the distance and see cars driving.</t>
  </si>
  <si>
    <t>We see a second person kitesurfing.</t>
  </si>
  <si>
    <t>v_W06Ojnv-Wxg</t>
  </si>
  <si>
    <t>A gymnast is seen jumping onto a set of uneven bars and performing a gymnastics routine in front of others.</t>
  </si>
  <si>
    <t>The man continues flipping around the bars and ends with him jumping down and bowing to the crowd.</t>
  </si>
  <si>
    <t>v_IuntoXkEWPI</t>
  </si>
  <si>
    <t>A small child is seen climbing up a slide at a playground very slowly.</t>
  </si>
  <si>
    <t>She edges her way up to the top and then slides down the slide.</t>
  </si>
  <si>
    <t>v_wsrSku74OpM</t>
  </si>
  <si>
    <t>A close up of solo cups are shown followed by a man throwing balls.</t>
  </si>
  <si>
    <t>A person moves the cups alongside the table while the person continues throwing and the men switch place.</t>
  </si>
  <si>
    <t>The two continue taking turns while the camera captures their movements.</t>
  </si>
  <si>
    <t>v_cdb7VSVuUl8</t>
  </si>
  <si>
    <t>Two men in inflatable sumo wrestler costumes entertain the public by street performing in a public square.</t>
  </si>
  <si>
    <t>Two men in inflatable sumo wrestler outfits talk to the camera and begin to entertain the people passing by as they stand in a paved public square.</t>
  </si>
  <si>
    <t>The two men show a little boy how to use an automated scooter, perform mock sumo wrestling matches, and take pictures with the audience as well as dancing with the audience before ending the performance and speaking again to the camera.</t>
  </si>
  <si>
    <t>v_NmmFlMtvE68</t>
  </si>
  <si>
    <t>We see a person bring a dog into a shelter.</t>
  </si>
  <si>
    <t>We see a black screen with writing.</t>
  </si>
  <si>
    <t>We then see a lady use an electric shaver then scissors to groom a dog.</t>
  </si>
  <si>
    <t>The groomer kisses the puppy.</t>
  </si>
  <si>
    <t>We see shot of the dog after the grooming.</t>
  </si>
  <si>
    <t>We then see a black title screen.</t>
  </si>
  <si>
    <t>v_JZDTcGPKw2w</t>
  </si>
  <si>
    <t>woman is riding a horse in a barn and another woman is leading the horse with a rope.</t>
  </si>
  <si>
    <t>photos of various people riding horses are shown.</t>
  </si>
  <si>
    <t>woma is riding a horse in a barn and pictures of people riding horses.</t>
  </si>
  <si>
    <t>woman is riding a horse in a riding track.</t>
  </si>
  <si>
    <t>and a girl is jumping in the tracks too.</t>
  </si>
  <si>
    <t>childs are in a living room playing in front of a tv and pictues of theirs on the mood are shown.</t>
  </si>
  <si>
    <t>childs are in a bridge dancing and jumping into the pool.</t>
  </si>
  <si>
    <t>v_uowNtTu74nA</t>
  </si>
  <si>
    <t>The video leads into several shots of surfers moving along the water and riding waves past other people.</t>
  </si>
  <si>
    <t>Several shots are shown on how to properly surf and is followed by more shots shown in slow motion.</t>
  </si>
  <si>
    <t>v_t6iq95QPZIg</t>
  </si>
  <si>
    <t>The back of a speed boat is shown followed by feet jumping into water and looking around underwater.</t>
  </si>
  <si>
    <t>A person holds a stick out and grabs a fish and pokes at sharks.</t>
  </si>
  <si>
    <t>v_7YOV0kZQIAo</t>
  </si>
  <si>
    <t>A man plays a saxophone while facing the camera.</t>
  </si>
  <si>
    <t>The man finishes playing and smiles at his instrument.</t>
  </si>
  <si>
    <t>v_cCYLiE1fiEo</t>
  </si>
  <si>
    <t>A person steps on a tan mat several times.</t>
  </si>
  <si>
    <t>They take their shoes off and put a different pair of shoes on.</t>
  </si>
  <si>
    <t>They continue stepping on the mat in the new shoes.</t>
  </si>
  <si>
    <t>They take those shoes off and walk away.</t>
  </si>
  <si>
    <t>v_Bs3TR80BRco</t>
  </si>
  <si>
    <t>A man is in a forest, and his feet are shown with and without shoes.</t>
  </si>
  <si>
    <t>He mounts a tightrope and balances on it.</t>
  </si>
  <si>
    <t>He uses the tightrope to walk, showing the proper positions to maintain balance.</t>
  </si>
  <si>
    <t>v_MvKhjWRNTvI</t>
  </si>
  <si>
    <t>A woman pics up a bottle filled with red bullets.</t>
  </si>
  <si>
    <t>The cotton pad is removed, then a gun is loaded.</t>
  </si>
  <si>
    <t>She shoots the paint bullets at a target, spattering it red.</t>
  </si>
  <si>
    <t>Several targets are shown getting spattered.</t>
  </si>
  <si>
    <t>v_U8SmnfsEzOc</t>
  </si>
  <si>
    <t>A man is taking a bike apart on a subway.</t>
  </si>
  <si>
    <t>He is putting a tire back on the bike.</t>
  </si>
  <si>
    <t>v_jWzLhOqcGtE</t>
  </si>
  <si>
    <t>They run on the court and continue to dribble the ball.</t>
  </si>
  <si>
    <t>They jump up and make a basket.</t>
  </si>
  <si>
    <t>v_nqmw4BCi6io</t>
  </si>
  <si>
    <t>A mop's attributes are demonstrated through computer graphics close-ups of various parts.</t>
  </si>
  <si>
    <t>The mop is demonstrated in actual use.</t>
  </si>
  <si>
    <t>The preparation of the mop head is shown.</t>
  </si>
  <si>
    <t>More component closeups are shown.</t>
  </si>
  <si>
    <t>The mop head is demonstrated again.</t>
  </si>
  <si>
    <t>v_hs81dVKvvdw</t>
  </si>
  <si>
    <t>A person is sitting down getting their arm tattooed.</t>
  </si>
  <si>
    <t>They stand up and show the tattoo.</t>
  </si>
  <si>
    <t>v_5bZ2FdbAKiQ</t>
  </si>
  <si>
    <t>A gymnast is seen standing ready with her arms up and turns to face the beam.</t>
  </si>
  <si>
    <t>Just jumps up on the beam and begins perform a gymnastic routine until she falls off.</t>
  </si>
  <si>
    <t>She climbs back up on the beam and ends by flipping off the beam.</t>
  </si>
  <si>
    <t>v_ymEh5T11kSQ</t>
  </si>
  <si>
    <t>Two people are seen standing on a sandy beach with one kicking the ball and passing it to another.</t>
  </si>
  <si>
    <t>The boys continue passing the ball back and fourth while many people are seen walking around and playing in the water.</t>
  </si>
  <si>
    <t>v_FSfxYKauc9w</t>
  </si>
  <si>
    <t>Two teams of hockey players are inside of the rink playing a game.</t>
  </si>
  <si>
    <t>The puck is hit behind the goal and the team hits it back out and the game continues.</t>
  </si>
  <si>
    <t>After fighting for it,the players hit the puck down on the other end and it is blocked by the goalie.</t>
  </si>
  <si>
    <t>Each team rallies back and forth with the puck but neither of them are successful and they are blocked on both ends of the rink.</t>
  </si>
  <si>
    <t>v_7gRbYNWSUjk</t>
  </si>
  <si>
    <t>A man practice martial arts in a gym turning and spinning around.</t>
  </si>
  <si>
    <t>Then, the man leans on her hands to spin his body and make turns.</t>
  </si>
  <si>
    <t>After, the man stands on his hands and tilt his body to the sides and front.</t>
  </si>
  <si>
    <t>Next, the stands on his hands and rotates his body.</t>
  </si>
  <si>
    <t>v_Q43BuVI2r-s</t>
  </si>
  <si>
    <t>Two men are walking down planks with one rolling out paper and putting tape across.</t>
  </si>
  <si>
    <t>Other men lay down a green sheet of paper and continue taping down the paper.</t>
  </si>
  <si>
    <t>One last set of paper is laid across with tape and the men continue working.</t>
  </si>
  <si>
    <t>v_ACnOpQNrhqs</t>
  </si>
  <si>
    <t>We see a college volleyball game being played by women.</t>
  </si>
  <si>
    <t>A group of ladies passes.</t>
  </si>
  <si>
    <t>A lady falls and slides across the ground.</t>
  </si>
  <si>
    <t>Two ladies high five each other.</t>
  </si>
  <si>
    <t>Three ladies fall into the crowd on the left.</t>
  </si>
  <si>
    <t>A lady misses and falls.</t>
  </si>
  <si>
    <t>A person dangles a set of keys.</t>
  </si>
  <si>
    <t>v_vcl8rFSCH4w</t>
  </si>
  <si>
    <t>A close up of people are shown sitting on a snowy hill and looking to the camera.</t>
  </si>
  <si>
    <t>The people then all ride in tubes down the snowy trail with one moving around at the bottom.</t>
  </si>
  <si>
    <t>v_P3q6n0ZjumU</t>
  </si>
  <si>
    <t>A teen boy has a bunch of darts in his hands.</t>
  </si>
  <si>
    <t>He throws each dart, trying to hit his target on the wall.</t>
  </si>
  <si>
    <t>A cell phone camera above the dart board records as he throws, then gets hit by a dart before falling onto the carpet.</t>
  </si>
  <si>
    <t>v_6G1wS1p1ig0</t>
  </si>
  <si>
    <t>A large group of kids are seen dancing in a room followed by men moving around and laughing.</t>
  </si>
  <si>
    <t>More clips are shown of people jump roping in different rooms and laughing with one another.</t>
  </si>
  <si>
    <t>v_p377oL-EM_E</t>
  </si>
  <si>
    <t>A black screen appears with yellow writing on it.</t>
  </si>
  <si>
    <t>Once gone,a field is shown and a buff females throws a shot put into the field and a replay is shown.</t>
  </si>
  <si>
    <t>v_lGAK_3Jp2I8</t>
  </si>
  <si>
    <t>A man body slams another man on a ring.</t>
  </si>
  <si>
    <t>A referee taps on the ground several times.</t>
  </si>
  <si>
    <t>The crowd cheers for the people.</t>
  </si>
  <si>
    <t>v_QNsonWAaFk4</t>
  </si>
  <si>
    <t>Men snarl and we see the crowd and shots of volleyball play.</t>
  </si>
  <si>
    <t>We see ladies on the sidelines.</t>
  </si>
  <si>
    <t>A tall man is shown from the legs up as he jumps.</t>
  </si>
  <si>
    <t>A man misses a shot and looks behind him and two men look behind them.</t>
  </si>
  <si>
    <t>We see men cheer and jump.</t>
  </si>
  <si>
    <t>A shot is made and team hugs.</t>
  </si>
  <si>
    <t>v_Vc4NSwtI5jM</t>
  </si>
  <si>
    <t>A man cleans the rim of a wheel with a brush, then the man rinse the car with a hose.</t>
  </si>
  <si>
    <t>After, the man applies detergent with a washing scrub brush.</t>
  </si>
  <si>
    <t>Next, the car enters inside an automatic car wash machine.</t>
  </si>
  <si>
    <t>v_f98FHTGx64Q</t>
  </si>
  <si>
    <t>Two people arm wrestle and take off clothes.</t>
  </si>
  <si>
    <t>They get dressed up and go extreme kite flying in a hurricane.</t>
  </si>
  <si>
    <t>The kites crash into the people once.</t>
  </si>
  <si>
    <t>v_OUPEzXXawCs</t>
  </si>
  <si>
    <t>People are riding horses on a field.</t>
  </si>
  <si>
    <t>A dog and a person cross in front of the camera.</t>
  </si>
  <si>
    <t>The horses are running around on the field.</t>
  </si>
  <si>
    <t>v_J6T9pokWX1E</t>
  </si>
  <si>
    <t>The exterior of a business is shown and the blue and white sign on it say's "BORONIA DOG GROOMING &amp; PET SUPPLIES" with a picture of a dog in water and covered with suds and paw prints on the sides of it, and the word "DOG GROOMING" is along the front facing of the ledge that sticks out.</t>
  </si>
  <si>
    <t>A woman is talking and in between there are clips playing of groomers grooming dogs, customers, dogs walking in the store, products and dogs walking in the store.</t>
  </si>
  <si>
    <t>The same clip of the exterior of the building that was shown in the beginning, is the same exterior view that is shown at the end.</t>
  </si>
  <si>
    <t>v_roTIeCtx94Q</t>
  </si>
  <si>
    <t>woman puts butter in a bowl with sugar, and flour and mix it in a kitchen aid, adding eggs, vanilla and flour, when the mix is homogenous add chocolate chips.</t>
  </si>
  <si>
    <t>the dough is molded in balls and in a tray to the oven.</t>
  </si>
  <si>
    <t>v_NS8qkB39x9U</t>
  </si>
  <si>
    <t>A camera pans around a dark kitchen and leads to the person walking down a set of stairs.</t>
  </si>
  <si>
    <t>Clothes are seen on the floor followed by a woman in curlers smoking a cigarette and playing on the computer.</t>
  </si>
  <si>
    <t>She speaks to the camera and gets a shot of her and the camera man together.</t>
  </si>
  <si>
    <t>v_nHafujMomWg</t>
  </si>
  <si>
    <t>A man is in front of a cutting board covered in potatoes.</t>
  </si>
  <si>
    <t>He uses a peeler to peel the skin from a potato.</t>
  </si>
  <si>
    <t>He moves quickly, peeling until all the potatoes are bare.</t>
  </si>
  <si>
    <t>v_YPFk9ftkzl4</t>
  </si>
  <si>
    <t>A boy is sitting at a wooden table in a cafe.</t>
  </si>
  <si>
    <t>He lights a hookah, then pulls a drag on the smoke.</t>
  </si>
  <si>
    <t>He sits back, blowing smoke out of his mouth.</t>
  </si>
  <si>
    <t>v_ePqfnkzAQjQ</t>
  </si>
  <si>
    <t>A girl sits and endures pain as she gets a traditional Polynesian tattoo.</t>
  </si>
  <si>
    <t>The artists stop for a moment and clean off the area.</t>
  </si>
  <si>
    <t>They begin to continue tattooing her hand as she endures visibly the pain.</t>
  </si>
  <si>
    <t>v_6dNh6AxVLx8</t>
  </si>
  <si>
    <t>The video starts with several shots of bmx riders riding along a track with one taking a hard fall.</t>
  </si>
  <si>
    <t>Several more shots of people riding on a track are shown with many standing on the sidelines to watch.</t>
  </si>
  <si>
    <t>More falls are shown with a slow motion affect and more people continue to ride around.</t>
  </si>
  <si>
    <t>v_1bcm3LHTI_w</t>
  </si>
  <si>
    <t>A black screen appears with white,red,green and blue words that say "membrillo films" on one screen, "Mateo Bervelillo" ,and "Trillizos".</t>
  </si>
  <si>
    <t>A man is now outdoors, sits on a wooden box, and begins tapping his fingers onto the box and bouncing his feet on the ground.</t>
  </si>
  <si>
    <t>Another man who looks like the first man comes out of a door and sits on the chair outdoor near the first man and he begins hitting a bongo.</t>
  </si>
  <si>
    <t>A third man who looks like the two previous men before him, come out of a door and sit on the last chair and he plays on his bongo.</t>
  </si>
  <si>
    <t>v_UnZtNrtvSPA</t>
  </si>
  <si>
    <t>woman is standing in front of the camera in a white room playing with her hair.</t>
  </si>
  <si>
    <t>woman is sitting in a shair and a woman behind her start grabbing a small section of he hair doing a braid and anchoring it with a bobby pin and decorating it with hair pins.</t>
  </si>
  <si>
    <t>v_Qn61vl2khuo</t>
  </si>
  <si>
    <t>We see the black title screen.</t>
  </si>
  <si>
    <t>We see a lady and a man working on a machine.</t>
  </si>
  <si>
    <t>We see the people standing and talking about the product with shots of the machine.</t>
  </si>
  <si>
    <t>We see the display on the machine.</t>
  </si>
  <si>
    <t>The lady gets on, sets the time, and runs on the machine.</t>
  </si>
  <si>
    <t>We see just the man talking then using the machine.</t>
  </si>
  <si>
    <t>We return to the people talking together.</t>
  </si>
  <si>
    <t>We see the closing title screens.</t>
  </si>
  <si>
    <t>v_FMmrxy3OanA</t>
  </si>
  <si>
    <t>The video begins with a title sequence showing a girl throwing clothing at a man, and a title screen.</t>
  </si>
  <si>
    <t>The man and his family are in a backyard speaking to the camera.</t>
  </si>
  <si>
    <t>After he speaks, they cheer.</t>
  </si>
  <si>
    <t>The man and woman put on a tutu and blindfolds.</t>
  </si>
  <si>
    <t>They then begin to hula hoop until the woman loses.</t>
  </si>
  <si>
    <t>Afterward, they speak to the camera and wave goodbye.</t>
  </si>
  <si>
    <t>v_z-94IUxC4Xc</t>
  </si>
  <si>
    <t>Several shots of scenery are shown followed by a person performing a trick on a skateboard and others riding down a hill.</t>
  </si>
  <si>
    <t>Several shots are shown of people riding down the street on skateboards and doing several tricks while the camera zooms in.</t>
  </si>
  <si>
    <t>One man falls in the end and his board crashes along the side.</t>
  </si>
  <si>
    <t>v_2Ua6E2a6kT4</t>
  </si>
  <si>
    <t>A man is seen speaking to the camera while standing out in a back yard.</t>
  </si>
  <si>
    <t>He pans to a man spraying down a fence with a hose and another man watching on the side.</t>
  </si>
  <si>
    <t>The man continues to spray down the hose while another watches on the side and pans back to the camera man.</t>
  </si>
  <si>
    <t>v_ZsqjU0X3mxY</t>
  </si>
  <si>
    <t>A pale young woman in a white dress is standing in the forest with long curly brownish-reddish hair and begins skipping.</t>
  </si>
  <si>
    <t>Then she is shown with a black shirt and long hair and begins talking in a dark staircase.</t>
  </si>
  <si>
    <t>She stands up,flips her pony tail and the camera pans her outfit and she has on a black shirt and blue shorts and begins walking up the stairs.</t>
  </si>
  <si>
    <t>Next,she goes into a room and begins talking to a woman with a black shirt and blonde hair.</t>
  </si>
  <si>
    <t>The lady holds up a white index card with sketches of two heads.</t>
  </si>
  <si>
    <t>The lady washes her hairs and begins cutting it with a pair of shears to a very short length.</t>
  </si>
  <si>
    <t>The girl sits in the chair and begins shaking her ear length hair and holding up the cut off hair in her hands.</t>
  </si>
  <si>
    <t>The hairdresser begins blow drying her hair,cutting it and styling it.</t>
  </si>
  <si>
    <t>She continues to get her hair down while her hair is panned over on the counter and the floor.</t>
  </si>
  <si>
    <t>Then she sits on a bench and smiles at the thought of her short hair cut.</t>
  </si>
  <si>
    <t>v_1XicledQXng</t>
  </si>
  <si>
    <t>A person is seen walking into frame in front of a large closet.</t>
  </si>
  <si>
    <t>The woman then lets her hair down along her back.</t>
  </si>
  <si>
    <t>She brushes her hair continuously and ends by walking out of frame.</t>
  </si>
  <si>
    <t>v_2Tm_2wgv2Zs</t>
  </si>
  <si>
    <t>A small group of people are seen standing before a fooseball table grabbing onto poles.</t>
  </si>
  <si>
    <t>The men play against one another while taking breaks to get a drink and speak with team mates.</t>
  </si>
  <si>
    <t>The people shake hands with one another and hug friends and family.</t>
  </si>
  <si>
    <t>v_r4QPhlrqqP4</t>
  </si>
  <si>
    <t>A woman stands and talks in a garden next to a bed of herbs and plants and a wheelbarrow filled with mulch.</t>
  </si>
  <si>
    <t>A herb garden appears with a woman standing next to it in a large garden next to a wheelbarrow filled with mulch.</t>
  </si>
  <si>
    <t>The woman begins to talk to the camera while gesturing to the flowerbed and the mulch, before eventually picking up a handful of the mulch.</t>
  </si>
  <si>
    <t>The woman continues talking before the scene morphs into video of a small red potatoes on the ground pulled up by the root.</t>
  </si>
  <si>
    <t>v_dbLtukGqkhI</t>
  </si>
  <si>
    <t>People are standing on a roof top looking up.</t>
  </si>
  <si>
    <t>A woman in a green shirt eats chips.</t>
  </si>
  <si>
    <t>A man in a blue shirt is pointing to the sky and moving his hand in circles.</t>
  </si>
  <si>
    <t>There are many kites in the sky around them.</t>
  </si>
  <si>
    <t>v_ATBbNtNlBnY</t>
  </si>
  <si>
    <t>We see a man using an electric sander to sharpen a variety of things.</t>
  </si>
  <si>
    <t>He uses a caliper and ruler on a item.</t>
  </si>
  <si>
    <t>We see him sharpening more things and beveling a tool.</t>
  </si>
  <si>
    <t>The man adjust some screws and moves an arm.</t>
  </si>
  <si>
    <t>We see the item comes with a 7 year warranty.</t>
  </si>
  <si>
    <t>The man adds an oil to the item, and we see the packaging.</t>
  </si>
  <si>
    <t>We see the ending credits for the video.</t>
  </si>
  <si>
    <t>v_smJtFktW640</t>
  </si>
  <si>
    <t>A small group of women are seen dancing together doing choreography with one leading the group in the front.</t>
  </si>
  <si>
    <t>the woman continue dancing with one another and ends with a zumba logo shown in the background.</t>
  </si>
  <si>
    <t>v_epZjMuRRXLo</t>
  </si>
  <si>
    <t>A woman is seen standing in front of a mirror and begins jumping rope while smiling at the camera.</t>
  </si>
  <si>
    <t>She continues jumping over and over again swinging her arms and ends by stopping to smile at the camera.</t>
  </si>
  <si>
    <t>v_jaRSbVCkxlU</t>
  </si>
  <si>
    <t>woman is standing in a kitchen in front of a camera holding a door.</t>
  </si>
  <si>
    <t>woman cuts the door and spread chocolate cream on he top and put another layer of cake.</t>
  </si>
  <si>
    <t>the woman spread the chocolate cream again in the top and put another layer of cake and spread the cream on top and at sides.</t>
  </si>
  <si>
    <t>woman flatten the cream and varnish it.</t>
  </si>
  <si>
    <t>thw woman grabs white fondant and kneads it and then cover the cake with it with her hands and cuts the remaining, adds ornamens on top.</t>
  </si>
  <si>
    <t>v_iXaW8uyzBNs</t>
  </si>
  <si>
    <t>A man is riding a bike.</t>
  </si>
  <si>
    <t>He is talking on a cell phone in a kitchen.</t>
  </si>
  <si>
    <t>He is then talking on a phone near a garage.</t>
  </si>
  <si>
    <t>He starts painting a wooden fence.</t>
  </si>
  <si>
    <t>He sits down and eats food.</t>
  </si>
  <si>
    <t>He then finished painting the fence.</t>
  </si>
  <si>
    <t>He jumps in the air to celebrate.</t>
  </si>
  <si>
    <t>v_kW_2ihjROgw</t>
  </si>
  <si>
    <t>A baby is sitting at a tiny table outside.</t>
  </si>
  <si>
    <t>He is smoking a cigarette and waving at adults.</t>
  </si>
  <si>
    <t>He high fives a woman, then continues to smoke.</t>
  </si>
  <si>
    <t>v_x2uByejBIiY</t>
  </si>
  <si>
    <t>A woman is seen holding ingredients in their hands while speaking to the camera and boiling water.</t>
  </si>
  <si>
    <t>She fries nuts on a pan and pours them on a plate while mixing more ingredients into a pan and pouring it over the nuts.</t>
  </si>
  <si>
    <t>She mixes them all together and shows off several plates in the end.</t>
  </si>
  <si>
    <t>v_UcQ63-sQ9bI</t>
  </si>
  <si>
    <t>A close up of a guitar is seen followed by a person strumming the back.</t>
  </si>
  <si>
    <t>The person moves their hands up and down the neck of the guitar while moving it to play.</t>
  </si>
  <si>
    <t>The man continues to play the instrument and stops in the end.</t>
  </si>
  <si>
    <t>v_Vshvpb9eecg</t>
  </si>
  <si>
    <t>A woman is seen walking into frame while speaking to the camera and putting her face in cream.</t>
  </si>
  <si>
    <t>The woman then rubs the cream on her face while still speaking to the camera.</t>
  </si>
  <si>
    <t>The camera pans around the kitchen while the woman continues to rub her hands in the lotion.</t>
  </si>
  <si>
    <t>v_VVLeWYKoNUE</t>
  </si>
  <si>
    <t>We see a person jet-skiing behind a boat.</t>
  </si>
  <si>
    <t>The boat runs aground into some brush.</t>
  </si>
  <si>
    <t>The skier is laying in the lake.</t>
  </si>
  <si>
    <t>v_SA2GomtZkvE</t>
  </si>
  <si>
    <t>A man plays an accordion in the street.</t>
  </si>
  <si>
    <t>He is wearing a hoodie.</t>
  </si>
  <si>
    <t>He is sitting next to his bike.</t>
  </si>
  <si>
    <t>A man walks in the background.</t>
  </si>
  <si>
    <t>v_Y5qDKbTkCaY</t>
  </si>
  <si>
    <t>The words "The Shot Put" appear on screen over an athlete.</t>
  </si>
  <si>
    <t>"The Shot Put Introduction" appears on screen followed by several athletes performing the sport.</t>
  </si>
  <si>
    <t>The words "Thank you for Watching" appears on the screen.</t>
  </si>
  <si>
    <t>v_FjMeS0FCvas</t>
  </si>
  <si>
    <t>A man lifts up a large pitcher of beer and starts drinking it.</t>
  </si>
  <si>
    <t>People sitting around a table cheer him on.</t>
  </si>
  <si>
    <t>The man puts his hands in the air and laughs.</t>
  </si>
  <si>
    <t>The people around the table start pumping their hands in the air.</t>
  </si>
  <si>
    <t>The man claps his hands.</t>
  </si>
  <si>
    <t>v_rsJUOsr1u3o</t>
  </si>
  <si>
    <t>A man is standing over an oven cooking something in a pan.</t>
  </si>
  <si>
    <t>He bends down to check the flame.</t>
  </si>
  <si>
    <t>He tosses the pan a few times.</t>
  </si>
  <si>
    <t>He is adding seasonings to the pan.</t>
  </si>
  <si>
    <t>He pours a liquid into the pan.</t>
  </si>
  <si>
    <t>He shakes the pan again.</t>
  </si>
  <si>
    <t>v_Cq7Myyfbtn0</t>
  </si>
  <si>
    <t>A person helps another person walk on stilts on the sidewalk.</t>
  </si>
  <si>
    <t>The person walks by themselves.</t>
  </si>
  <si>
    <t>The man sits down in a chair.</t>
  </si>
  <si>
    <t>v_CXb3Ce7s6G0</t>
  </si>
  <si>
    <t>Several screens are shown of bright orange lettering on a black background.</t>
  </si>
  <si>
    <t>A man and a woman are standing upright in a pool, and the man is showing the woman swimming techniques.</t>
  </si>
  <si>
    <t>The woman begins to emulate the man's actions, moving her arms and dipping her head under the water.</t>
  </si>
  <si>
    <t>The man shows her how to swim outward by doing so himself.</t>
  </si>
  <si>
    <t>The woman watches as he swims away.</t>
  </si>
  <si>
    <t>v_RRIGf87R6jc</t>
  </si>
  <si>
    <t>A girl is pouring ingredients into a bowl and mixing them together.</t>
  </si>
  <si>
    <t>She uses a cookie cutter to cut shapes out of the dough.</t>
  </si>
  <si>
    <t>She is dipping the dough into a white glaze.</t>
  </si>
  <si>
    <t>v_12sz7NMvyfI</t>
  </si>
  <si>
    <t>A person is blowing leaves in the back of their yard.</t>
  </si>
  <si>
    <t>The kid is having some trouble but is generally doing an ok job.</t>
  </si>
  <si>
    <t>v_XSNenkxgryQ</t>
  </si>
  <si>
    <t>A news anchor presents a story behind a desk in a large newsroom.</t>
  </si>
  <si>
    <t>People are seen smoking regular cigarettes and electric cigarettes.</t>
  </si>
  <si>
    <t>The news anchor talks with a guest in the newsroom.</t>
  </si>
  <si>
    <t>Professionals are seen in there offices discussing the subject.</t>
  </si>
  <si>
    <t>Text is seen against a red background with a website and information.</t>
  </si>
  <si>
    <t>v_DthkauVLag0</t>
  </si>
  <si>
    <t>A man is shown smiling and talking into the camera and holding a young boy up on a sink.</t>
  </si>
  <si>
    <t>The man holds the boys eyes open while he laughs and brushes his teeth.</t>
  </si>
  <si>
    <t>v_GA8XzZTETPE</t>
  </si>
  <si>
    <t>A ballerina starts dancing on a stage.</t>
  </si>
  <si>
    <t>She does several spins on the stage.</t>
  </si>
  <si>
    <t>She does a leap on the stage.</t>
  </si>
  <si>
    <t>She lays down on the stage.</t>
  </si>
  <si>
    <t>v_TVeIcQOvMZI</t>
  </si>
  <si>
    <t>A man is seen speaking to the camera that leads into a person playing crochet.</t>
  </si>
  <si>
    <t>Several shots are shown of children hitting the balls as well as speaking to the camera.</t>
  </si>
  <si>
    <t>More kids and adults speak to the camera while showing how they hit the ball.</t>
  </si>
  <si>
    <t>v_g5-CU3qfSWY</t>
  </si>
  <si>
    <t>A person is seen running down a long track with a pole and attempting to push herself forward.</t>
  </si>
  <si>
    <t>Her run is shown again in slow motion as another person attempts to push over the pole and fails.</t>
  </si>
  <si>
    <t>More clips are shown of people attempting to jump over the wall and not making it high enough.</t>
  </si>
  <si>
    <t>v_dLLvpM-gB8Q</t>
  </si>
  <si>
    <t>Two kids are playing in the back of a truck.</t>
  </si>
  <si>
    <t>People are standing around a yellow ice cream truck.</t>
  </si>
  <si>
    <t>Two kids are sitting down on a sidewalk eating ice cream.</t>
  </si>
  <si>
    <t>v_2NyOIsFJ3Tw</t>
  </si>
  <si>
    <t>We then see a girl run and fall on a slip and slide.</t>
  </si>
  <si>
    <t>We see another title screen and watch the kids slide down slide and across their slip and slide.</t>
  </si>
  <si>
    <t>A kid slides down the slide on a raft.</t>
  </si>
  <si>
    <t>v_aQHGZzqZLxs</t>
  </si>
  <si>
    <t>A man is demonstrating how to kindle a small pit of fire.</t>
  </si>
  <si>
    <t>First, the man shows off the flint he has for the fire.</t>
  </si>
  <si>
    <t>He then puts the flint into a pile of wood.</t>
  </si>
  <si>
    <t>The man then lights the fire, which slowly spreads throughout the wood.</t>
  </si>
  <si>
    <t>The man then pokes the fire with pieces of flat wood to spread the fire.</t>
  </si>
  <si>
    <t>The man then shakes the twigs on the wood to further spread the fire.</t>
  </si>
  <si>
    <t>v_mOVPZhGyUrs</t>
  </si>
  <si>
    <t>There are two men playing ping pong in a basement.</t>
  </si>
  <si>
    <t>One of the players is wearing a black shirt and the other is a blue shirt.</t>
  </si>
  <si>
    <t>There is a mattress leaning against the basement wall.</t>
  </si>
  <si>
    <t>The players continue playing a smooth rally.</t>
  </si>
  <si>
    <t>Then the person in black misses the shot.</t>
  </si>
  <si>
    <t>They continue playing ping pong for a few more rounds.</t>
  </si>
  <si>
    <t>The person in blue hits the ball in the net.</t>
  </si>
  <si>
    <t>They continue playing more till the person in blue drops the ball on the ground.</t>
  </si>
  <si>
    <t>v_m22vOf2fw1M</t>
  </si>
  <si>
    <t>A person trims the top of a pink hedge using a hedge trimmer.</t>
  </si>
  <si>
    <t>Then, the man trim the sides of the pink hedge on front a house.</t>
  </si>
  <si>
    <t>v_-KbDXeEoQ1E</t>
  </si>
  <si>
    <t>Various pictures of shown of a girl and a horse and leads into a person riding a horse over jumps.</t>
  </si>
  <si>
    <t>More pictures are shown off the horse and person together followed by more clips of the girl riding the horse.</t>
  </si>
  <si>
    <t>In the end the horse is seen tied up to the stables and the girl wanders around him.</t>
  </si>
  <si>
    <t>v_p0_buoe9M7I</t>
  </si>
  <si>
    <t>A young woman is sitting on a red lounge chair as a tattoo artist begins doing his job.</t>
  </si>
  <si>
    <t>As he applies the needle,the girl fringes in her face but stays as still as possible.</t>
  </si>
  <si>
    <t>The tattoo is finally finished and the man dabs the rest of the tattoo on her foot.</t>
  </si>
  <si>
    <t>v_LNK_yYs6UOA</t>
  </si>
  <si>
    <t>A man walks into a circle on a field.</t>
  </si>
  <si>
    <t>He spins while holding a disc.</t>
  </si>
  <si>
    <t>He lets go of the disc, letting it fly through the air.</t>
  </si>
  <si>
    <t>v_r9X01daYa5o</t>
  </si>
  <si>
    <t>A man is sitting down in a chair.</t>
  </si>
  <si>
    <t>He is wearing a mask on his face.</t>
  </si>
  <si>
    <t>He is welding something in front of him.</t>
  </si>
  <si>
    <t>v_FuaxI8PkeHQ</t>
  </si>
  <si>
    <t>A young boy is seen sitting in a chair looking away with others walking by.</t>
  </si>
  <si>
    <t>The man then takes a sip of a drink and makes a funny face.</t>
  </si>
  <si>
    <t>v_F6cNWYlfUs8</t>
  </si>
  <si>
    <t>A large group of people are seen walking in the snow with several being interviewed on the camera.</t>
  </si>
  <si>
    <t>They're seen inside a shop sharpening skiis and laughing with one another.</t>
  </si>
  <si>
    <t>v_Zm32ORZly10</t>
  </si>
  <si>
    <t>A small group of people are seen standing around with one woman holding signs and leads into people playing tug of war.</t>
  </si>
  <si>
    <t>Several shots of the games are shown as well as a girl dancing and kids warming up.</t>
  </si>
  <si>
    <t>the kids play more tug of a war and a close up of a person's face is seen in slow motion.</t>
  </si>
  <si>
    <t>v_Tko7eefi1BI</t>
  </si>
  <si>
    <t>A woman is sitting outside on a white chair playing at accordion.</t>
  </si>
  <si>
    <t>There is a music stand sitting in front of her.</t>
  </si>
  <si>
    <t>v_S-8ogZOLiWU</t>
  </si>
  <si>
    <t>We see a man putting on gear and then hockey player walking to the rink.</t>
  </si>
  <si>
    <t>We see the crowd clapping.</t>
  </si>
  <si>
    <t>We see a game of hockey being played.</t>
  </si>
  <si>
    <t>We see people clapping in the crowd.</t>
  </si>
  <si>
    <t>A man's hand is shaken and see the whole team on the ice.</t>
  </si>
  <si>
    <t>v_5wchVLM0f5Y</t>
  </si>
  <si>
    <t>A man is seen solving a rubix cube was another sits beside him and watches.</t>
  </si>
  <si>
    <t>He solves the puzzle and puts it down on the table then smiles at the camera.</t>
  </si>
  <si>
    <t>v_vr7iD3pjmSU</t>
  </si>
  <si>
    <t>An archery competition montage video shows pitched battles taking place in fields, convention halls of hotels, indoor arenas, and warehouses.</t>
  </si>
  <si>
    <t>A logo for Archery Tag appears and an ad plays for another video and subscription.</t>
  </si>
  <si>
    <t>v_W4aPcuQSxFI</t>
  </si>
  <si>
    <t>A close up of a sink is shown followed by a person turning on a faucet and grabbing the camera.</t>
  </si>
  <si>
    <t>She faces a table and sprays down a rag followed by pushing the rag along the floor.</t>
  </si>
  <si>
    <t>The woman continues cleaning the floor and walks back to the camera.</t>
  </si>
  <si>
    <t>v_ZpuZEui-Bu0</t>
  </si>
  <si>
    <t>There are two little girls standing in an indoor court learning to play squash.</t>
  </si>
  <si>
    <t>They are standing with their racquets and trying to hit the ball against the wall.</t>
  </si>
  <si>
    <t>They attempt to hit the ball but end up brushing it on the floor.</t>
  </si>
  <si>
    <t>They run around the court trying to catch the ball with their racquets.</t>
  </si>
  <si>
    <t>they run around smiling with their oversized racquets and run to follow the ball around the court.</t>
  </si>
  <si>
    <t>v_55ziFpzx5oc</t>
  </si>
  <si>
    <t>Four young women and a man are on the stage, while one girl is playing the guitar.</t>
  </si>
  <si>
    <t>The lady in yellow began singing, then the lady in pink shirt.</t>
  </si>
  <si>
    <t>When the girls are finished singing the crowd cheered.</t>
  </si>
  <si>
    <t>v_PzNpPDd-VWE</t>
  </si>
  <si>
    <t>We see a man fall in the water in reverse.</t>
  </si>
  <si>
    <t>We watch people walk on a slackline over a body of water.</t>
  </si>
  <si>
    <t>We see a series of falls.</t>
  </si>
  <si>
    <t>A man makes it across.</t>
  </si>
  <si>
    <t>We see a man climb a tree and get a coconut.</t>
  </si>
  <si>
    <t>The pan puts a tap in the coconut and pours it in his mouth as he lays on the ground.</t>
  </si>
  <si>
    <t>The man sits up and smiles.</t>
  </si>
  <si>
    <t>v_AS1nLh3xfxI</t>
  </si>
  <si>
    <t>A close up of boots are seen as well as person digging a hole.</t>
  </si>
  <si>
    <t>The person lays out dirt and cut a hole into it while also putting a plant inside.</t>
  </si>
  <si>
    <t>The person waters the plant and ends by laying out more dirt.</t>
  </si>
  <si>
    <t>v_ZNsX4KYJlVQ</t>
  </si>
  <si>
    <t>A boy is standing at the counter facing backwards from the dart board.</t>
  </si>
  <si>
    <t>His mom is standing beside him and he is getting ready to throw his dart.</t>
  </si>
  <si>
    <t>He throws it and completely misses the dart board all together.</t>
  </si>
  <si>
    <t>He hits the top of the wall and he goes over to reach for it and take it out.</t>
  </si>
  <si>
    <t>v_8wNsOZHTsj0</t>
  </si>
  <si>
    <t>A man splits logs into using an ax in a grassy yard while his wife retrieves the pieces.</t>
  </si>
  <si>
    <t>A man splits logs in the yard by himself.</t>
  </si>
  <si>
    <t>The man sets his ax blade into the log and takes a brake.</t>
  </si>
  <si>
    <t>v_wv2baWJtSoc</t>
  </si>
  <si>
    <t>A man in a blue shirt is sitting down holding a bar on an exercise machine.</t>
  </si>
  <si>
    <t>He pushes off and uses the exercise machine.</t>
  </si>
  <si>
    <t>v_4Mo-IYfNKBo</t>
  </si>
  <si>
    <t>We see a man mopping a floor under women's feet.</t>
  </si>
  <si>
    <t>The middle lady uses her foot to move the mop.</t>
  </si>
  <si>
    <t>The left lady then moves the mop with her foot.</t>
  </si>
  <si>
    <t>The middle lady does it again then the man finishes mopping the floor.</t>
  </si>
  <si>
    <t>v_L6BxxvCbwpQ</t>
  </si>
  <si>
    <t>A guy is crawling on the ground.</t>
  </si>
  <si>
    <t>The guy is using a box knife to cut the carpet.</t>
  </si>
  <si>
    <t>The guy looks behind him.</t>
  </si>
  <si>
    <t>There are a lot of papers on the wall.</t>
  </si>
  <si>
    <t>v_4gQpW3zR-Aw</t>
  </si>
  <si>
    <t>A group of men are seen leading a camel around while a person rides on top of the camel.</t>
  </si>
  <si>
    <t>One man leads the camera around with the person on top and people recording them from the sides.</t>
  </si>
  <si>
    <t>The man lays the camel down for the person to climb off and the rider smiles and waves to the camera.</t>
  </si>
  <si>
    <t>v_xlOc6r6E08w</t>
  </si>
  <si>
    <t>A man is running down a pathway in the field in slow motion preparing to throw a javelin.</t>
  </si>
  <si>
    <t>As he comes closer,he begins to turn and run sideways and throws the javelin.</t>
  </si>
  <si>
    <t>Once it is released,he stumbles and has difficulty trying to catch his balance as the rest of the people surrounding him look to see his distance.</t>
  </si>
  <si>
    <t>v_eCzDH6PdtlE</t>
  </si>
  <si>
    <t>A gymnast performs on a pommel horse on front a crowd in the bleachers.</t>
  </si>
  <si>
    <t>Then, she flips backwards and lands stand on the foam mat.</t>
  </si>
  <si>
    <t>v_rQc7UhpiDU8</t>
  </si>
  <si>
    <t>A man is seen shooting a bow and arrow followed by another man taking a bow and aiming.</t>
  </si>
  <si>
    <t>Another man is seen kneeling down before bows and speaking to the camera.</t>
  </si>
  <si>
    <t>He points to various boxes and continues looking into the camera and speaking.</t>
  </si>
  <si>
    <t>v_wDlbcTFI90o</t>
  </si>
  <si>
    <t>The video is a tutorial about installing deck tiles.</t>
  </si>
  <si>
    <t>There's a contractor working on a deck.</t>
  </si>
  <si>
    <t>He begins installing the interlocking wooden tiles on a concrete deck surface.</t>
  </si>
  <si>
    <t>He covers the entire deck with the wooden tiles to evenly cover the surface area.</t>
  </si>
  <si>
    <t>v_HbXNXmCRFh4</t>
  </si>
  <si>
    <t>An older man is in a pool and he's holding a yellow ball in front of his face.</t>
  </si>
  <si>
    <t>The man throws it to a dog who is balancing on a blue floating device and the dog hits it back to the man using his nose.</t>
  </si>
  <si>
    <t>The man throws it back to the dog and the dog hits it back and then he slips off the floating device and splashes into the water.</t>
  </si>
  <si>
    <t>v_QbhMOqg9Tmg</t>
  </si>
  <si>
    <t>women are insisde a bathtub shving her legs with ceam and water.</t>
  </si>
  <si>
    <t>women are laughing in front of a mirror.</t>
  </si>
  <si>
    <t>v_T3rh5gQVFKA</t>
  </si>
  <si>
    <t>We see a wolf fall in the title screen.</t>
  </si>
  <si>
    <t>We see the landscape of a small town.</t>
  </si>
  <si>
    <t>A boy rides down a street on a skateboard.</t>
  </si>
  <si>
    <t>Four boys on skateboards ride past.</t>
  </si>
  <si>
    <t>We see a boy almost fall two times.</t>
  </si>
  <si>
    <t>We See the board on the curb.</t>
  </si>
  <si>
    <t>A group of boys walking up a hill.</t>
  </si>
  <si>
    <t>The end credits play and we see a boy on a bus.</t>
  </si>
  <si>
    <t>v_n9MONPwq7x0</t>
  </si>
  <si>
    <t>A man dressed in a black sweatshirt and black shorts, along with another person dressed in white athletic wear are standing in a tennis court near the net.</t>
  </si>
  <si>
    <t>They are both holding tennis rackets.</t>
  </si>
  <si>
    <t>The person in black is giving a tutorial on how to return a serve in tennis.</t>
  </si>
  <si>
    <t>There is a player demonstrating the serve as the coach explains.</t>
  </si>
  <si>
    <t>Then the person in white begins taking about more about the tennis serve and how to play effectively.</t>
  </si>
  <si>
    <t>The player continues to demonstrate the serves.</t>
  </si>
  <si>
    <t>v_SsAmEJvdpyU</t>
  </si>
  <si>
    <t>People are doing tricks on roller blades.</t>
  </si>
  <si>
    <t>A man jumps down a flight of stairs on roller blades.</t>
  </si>
  <si>
    <t>A man in a white shirt jumps down a flight of stairs.</t>
  </si>
  <si>
    <t>v_smGijLg8Cho</t>
  </si>
  <si>
    <t>Three men are set up to play darts.</t>
  </si>
  <si>
    <t>The man in the peach shirts throws a dart at the dart board.</t>
  </si>
  <si>
    <t>A man in blue hits a cue ball.</t>
  </si>
  <si>
    <t>The man in peach lines back up and shoots three darts at the dart board and removes them.</t>
  </si>
  <si>
    <t>He lines back up in front of the board and throws one more dart.</t>
  </si>
  <si>
    <t>More people gather around as two men remove the darts from the dartboards and walk back a distance.</t>
  </si>
  <si>
    <t>Both men throw a dart at the dartboard.</t>
  </si>
  <si>
    <t>The man in peach walks to remove the darts.</t>
  </si>
  <si>
    <t>A woman stands by the dart board and smiles.</t>
  </si>
  <si>
    <t>The man in peach throws three darts at the board again and smiles as he removes them.</t>
  </si>
  <si>
    <t>v_eqWQOAjF4-k</t>
  </si>
  <si>
    <t>We see a little boy standing on a platform on a jungle gym.</t>
  </si>
  <si>
    <t>The boy climbs across on the monkey bars.</t>
  </si>
  <si>
    <t>The boy reaches the other platform and turns and smiles for the camera.</t>
  </si>
  <si>
    <t>v_xlCOq0ryx-Y</t>
  </si>
  <si>
    <t>Two men sit in a room smoking cigarettes one playing guitar the other on keyboard.</t>
  </si>
  <si>
    <t>The man on guitar on the right takes his cigarette out of his mouth and puts it down.</t>
  </si>
  <si>
    <t>The man on the left takes his cigarette out and wipes mouth on his arm.</t>
  </si>
  <si>
    <t>They finish and the man on the left wipes his mouth and the right takes his cigarette out and blows smoke.</t>
  </si>
  <si>
    <t>v_XbSQ_7vh7yc</t>
  </si>
  <si>
    <t>An older woman and young child are seen washing dishes in a sink and speaking to one another.</t>
  </si>
  <si>
    <t>The people play in the water and the girl blows bubbles while the woman washes dishes.</t>
  </si>
  <si>
    <t>v_548xC74c6MQ</t>
  </si>
  <si>
    <t>A colorful hexagonal shaped kite is flying high in the air.</t>
  </si>
  <si>
    <t>The clear blue skies and the bright sun shinning make the kite look very colorful and radiant.</t>
  </si>
  <si>
    <t>v_0WVkoTBmhA0</t>
  </si>
  <si>
    <t>A cartoon animation video is shown with people wandering around and rockets being shot.</t>
  </si>
  <si>
    <t>Two men fight robots of evil and ends with a to be continued.</t>
  </si>
  <si>
    <t>v_xmb7j1e0wts</t>
  </si>
  <si>
    <t>A woman is seen speaking to the camera and leads into her laying out various food items and mixing ingredients into a blender.</t>
  </si>
  <si>
    <t>She pours more out more flours into the mixer and shows several shots of cookies being made.</t>
  </si>
  <si>
    <t>She lays out more ingredients, pours of spoonfuls of dough onto a pan, and then breaks apart a cooked cookie.</t>
  </si>
  <si>
    <t>v_ouEWLFNLLos</t>
  </si>
  <si>
    <t>An elderly man is walking and a large white bird is biting at his right foot.</t>
  </si>
  <si>
    <t>The man turns around and points and scolds the bird and continues to walk.</t>
  </si>
  <si>
    <t>The man then bends down near some stairs, wipes the outside of the building and the bird continues to attack the man.</t>
  </si>
  <si>
    <t>The man scolds the bird again and motions to the small dog that's also there that the dog and bird should interact but the bird keeps messing with the man and the dog stays out of it.</t>
  </si>
  <si>
    <t>v_FRX4LTw9650</t>
  </si>
  <si>
    <t>Various women are seen looking at the camera followed by a man speaking to the camera.</t>
  </si>
  <si>
    <t>Several tools are shown that lea into one woman brushing out her hair.</t>
  </si>
  <si>
    <t>Another woman brushes her hair and leads into more clips of women smiling and looking to the camera.</t>
  </si>
  <si>
    <t>v_4llkVfMzsN4</t>
  </si>
  <si>
    <t>Two people are playing wall ball in a room.</t>
  </si>
  <si>
    <t>A boy falls down diving for the ball.</t>
  </si>
  <si>
    <t>A person walks in front of the room.</t>
  </si>
  <si>
    <t>v_lMbDEY-CVwE</t>
  </si>
  <si>
    <t>A man is indoors, as he picks a frisbee off the ground.</t>
  </si>
  <si>
    <t>He then uses several frisbees to train and display the stunts of a medium sized collie dog.</t>
  </si>
  <si>
    <t>The dog runs off screen and brings back the frisbees.</t>
  </si>
  <si>
    <t>The scene ends with the dog trying desperately to remove a frisbee from the seated man's hand.</t>
  </si>
  <si>
    <t>v_6iBXtHrJ4gc</t>
  </si>
  <si>
    <t>An older man is seen walking towards the camera and points to various plants around him.</t>
  </si>
  <si>
    <t>The camera pans around the area with all the plants growing and shows the man holding a tool.</t>
  </si>
  <si>
    <t>The man then uses the tool along a hedge of bushes while looking back and smiling to the camera.</t>
  </si>
  <si>
    <t>v_ajYA9O6R-AY</t>
  </si>
  <si>
    <t>A young girl is seen speaking to the camera standing before a game of hop scotch drawn out.</t>
  </si>
  <si>
    <t>The girl then throws a rock and hops to end while grabbing it and hopping back.</t>
  </si>
  <si>
    <t>v_qVy_WDpLHRM</t>
  </si>
  <si>
    <t>A woman is standing behind a vacuum.</t>
  </si>
  <si>
    <t>She begins vacuuming the carpet.</t>
  </si>
  <si>
    <t>She takes off the hose attachment and cleans a lamp and the stairs.</t>
  </si>
  <si>
    <t>She empties the filter of the vacuum into the trash can.</t>
  </si>
  <si>
    <t>v_WKLLTGbDI7w</t>
  </si>
  <si>
    <t>The recipe for making limeade is shown.</t>
  </si>
  <si>
    <t>Limes are juiced and then combined with water and sugar.</t>
  </si>
  <si>
    <t>The whole thing is stirred.</t>
  </si>
  <si>
    <t>v_IkjulgI7gzg</t>
  </si>
  <si>
    <t>There are two body builders dressed in a black shirts demonstrating weightlifting in a gym.</t>
  </si>
  <si>
    <t>One of the bodybuilders is lifting the weights while the other is explaining the correct method of doing it.</t>
  </si>
  <si>
    <t>He bodybuilder lifts the weight gradually at first and then swiftly picks himself up to raise the weights.</t>
  </si>
  <si>
    <t>The other bodybuilder continues to explain the weightlifting strategies that is used professionally.</t>
  </si>
  <si>
    <t>v_5Eb_NVjFah0</t>
  </si>
  <si>
    <t>We see a title screen slide down the screen .</t>
  </si>
  <si>
    <t>We then watch an older boy and a boy bowl in a bowling alley.</t>
  </si>
  <si>
    <t>A small boy in an orange shirt rolls the ball down the aisle.</t>
  </si>
  <si>
    <t>We watch an older boy in a green shirt roll the ball 5 times and get 4 strikes.</t>
  </si>
  <si>
    <t>We see a title screen and a slow motion of one of the shots of the older boy.</t>
  </si>
  <si>
    <t>v_WttP_X-aCEA</t>
  </si>
  <si>
    <t>A man is shown outside in a kid park with grey shorts on a a pair of black and white Puma sneakers.</t>
  </si>
  <si>
    <t>He then pulls him self up on top of the monkey bars and stands on top of them and goes into a hand stand.</t>
  </si>
  <si>
    <t>Once he has got his balance,he travels across is and jumps off one he has gotten to the end.</t>
  </si>
  <si>
    <t>v_RJpWgi0EaUE</t>
  </si>
  <si>
    <t>Three individuals sit on stage and have a conversation.</t>
  </si>
  <si>
    <t>Two boys dance in the same fashion.</t>
  </si>
  <si>
    <t>An image of a man is incorporated into the screen with the dancers.</t>
  </si>
  <si>
    <t>The man cover his face with his hand.</t>
  </si>
  <si>
    <t>The man and woman gesture the dancers hand movements.</t>
  </si>
  <si>
    <t>This man gets off his seat and knees.</t>
  </si>
  <si>
    <t>The man gets of his knees and sits back down.</t>
  </si>
  <si>
    <t>The man and female touch hands while sitting.</t>
  </si>
  <si>
    <t>The man claps his hands together.</t>
  </si>
  <si>
    <t>The man waves at a man backstage to join them.</t>
  </si>
  <si>
    <t>A standing man who is backstage claps.</t>
  </si>
  <si>
    <t>The two boy dancers are shown extending one hand.</t>
  </si>
  <si>
    <t>A man walks from backstage.</t>
  </si>
  <si>
    <t>The man shake hands and hugs one of the man on stage.</t>
  </si>
  <si>
    <t>The female stands and also hugs the man.</t>
  </si>
  <si>
    <t>A man stand and then sits.</t>
  </si>
  <si>
    <t>The man in a black suit dances and then sits.</t>
  </si>
  <si>
    <t>The man in a brown suit returns to the backstage area.</t>
  </si>
  <si>
    <t>The man is shown while backstage.</t>
  </si>
  <si>
    <t>The show's name is shown.</t>
  </si>
  <si>
    <t>v_knY08LrNyHg</t>
  </si>
  <si>
    <t>Several shots are shown of people pushing sail boats into the water as well as riding them around one another.</t>
  </si>
  <si>
    <t>People are seen riding around on jet skis following the boat as well as close ups of the boats being shown as well as underwater.</t>
  </si>
  <si>
    <t>More people are seen riding on smaller boats and end by dragging a boat back to shore.</t>
  </si>
  <si>
    <t>v_5QZpCDyXNx4</t>
  </si>
  <si>
    <t>Kids are riding bicycles around a dirt track.</t>
  </si>
  <si>
    <t>One of them tips over and falls.</t>
  </si>
  <si>
    <t>They continue to go around the track.</t>
  </si>
  <si>
    <t>Another person crashes and falls.</t>
  </si>
  <si>
    <t>v_RcDEaYPwI6I</t>
  </si>
  <si>
    <t>A group of dancers in red outfits dance on stage.</t>
  </si>
  <si>
    <t>A group of cheerleaders in pink stand on a field while a group in white walk up to great the coach.</t>
  </si>
  <si>
    <t>A solo woman in a red blouse discusses the events in a room with lit up letters in the background.</t>
  </si>
  <si>
    <t>Both teams of women line up on the field together.</t>
  </si>
  <si>
    <t>Both groups of women dance together in unison with the coach leading in front.</t>
  </si>
  <si>
    <t>The women in pink uniforms dance on the field.</t>
  </si>
  <si>
    <t>The women in white uniforms dance on the field.</t>
  </si>
  <si>
    <t>v_Uot4XZns2b4</t>
  </si>
  <si>
    <t>We see a man prying shingles up around a pipe.</t>
  </si>
  <si>
    <t>The man then pushes the pipe down and nails it.</t>
  </si>
  <si>
    <t>The man add tar to the pipe base and nails shingles down around it.</t>
  </si>
  <si>
    <t>The man then puts tar under the top shingle.</t>
  </si>
  <si>
    <t>We see the house and a truck parked in the driveway.</t>
  </si>
  <si>
    <t>v_5aTek77vxBA</t>
  </si>
  <si>
    <t>A woman kneels outdoors on a concrete ground and rinses clothes out and washes them using a metal bucket for the rinsing and the ground as a washboard for the clothes.</t>
  </si>
  <si>
    <t>A little girl walks up to the woman and pours more water in the woman’s metal bucket then walks away to stand next to a well where another woman is kneeling and washing clothes in the same way.</t>
  </si>
  <si>
    <t>The first woman is shown again this time washing a large white sheet against the ground using the metal bucket again for the water supply.</t>
  </si>
  <si>
    <t>v_v7o9uSu9AVI</t>
  </si>
  <si>
    <t>A strong man is lifting his legs up and down across parallel bars.</t>
  </si>
  <si>
    <t>He begins to do shrugs on the bars.</t>
  </si>
  <si>
    <t>He starts to walk his body across with his hands.</t>
  </si>
  <si>
    <t>He circles around on the edge of the bars with his arms.</t>
  </si>
  <si>
    <t>He swings his legs and leaps with his arms across the parallel bars.</t>
  </si>
  <si>
    <t>A man does dips on the parallel bars.</t>
  </si>
  <si>
    <t>Another man does dips down to his elbows on the parallel bars.</t>
  </si>
  <si>
    <t>He then starts to do dips down to his armpits on the parallel bars called Russian Dips, while keeping his legs in the air.</t>
  </si>
  <si>
    <t>A man does dips with his body in front of the bar and legs swoops underneath the bar.</t>
  </si>
  <si>
    <t>He then does pushups on the parallel bars, by going down, pushing forward, then up.</t>
  </si>
  <si>
    <t>He begins to do pushups, with his knees tucked, with the parallel bars.</t>
  </si>
  <si>
    <t>A different man does leg dips, swings his legs up and around each parallel bar and pushes forward across the parallel bars.</t>
  </si>
  <si>
    <t>When he reaches the end, he tucks in his knees and lifts his body up and perpendicular to the bars.</t>
  </si>
  <si>
    <t>He then does knee and leg raises.</t>
  </si>
  <si>
    <t>A different man keeps his legs straight out and moves them across each bar.</t>
  </si>
  <si>
    <t>A different man brings his legs straight up into a V-shape on the bars.</t>
  </si>
  <si>
    <t>He then rests his elbows on the bars and swings his body perpendicular to the bars then parallel to the bars.</t>
  </si>
  <si>
    <t>He begins to do shoulder stands on the bars.</t>
  </si>
  <si>
    <t>He switches to doing a head stand and holds.</t>
  </si>
  <si>
    <t>A different man starts to swing his body from under the bars and presses himself up and over the bars.</t>
  </si>
  <si>
    <t>v_DzdNjXensv0</t>
  </si>
  <si>
    <t>A group of people are gathered outdoors at a market.</t>
  </si>
  <si>
    <t>People walk by looking at all the wares.</t>
  </si>
  <si>
    <t>A dog appears, as people continue to bustle.</t>
  </si>
  <si>
    <t>v_3j52keiQuiw</t>
  </si>
  <si>
    <t>A gymnast mounts a low beam in front of a crowd.</t>
  </si>
  <si>
    <t>She does bends, handsprings, and forward and back flips on the beam.</t>
  </si>
  <si>
    <t>She dismounts proudly, lifting her arms into the air.</t>
  </si>
  <si>
    <t>v_2OEa00knM9E</t>
  </si>
  <si>
    <t>A man is seen sitting on a horse with a rope in his hands.</t>
  </si>
  <si>
    <t>He then rides in on a horse and ropes up a calf with the rope.</t>
  </si>
  <si>
    <t>Several people are shown riding in and roping up cattle while others watch on the side.</t>
  </si>
  <si>
    <t>v_6h-WE-0eBlA</t>
  </si>
  <si>
    <t>A man is leaning over a pool table, hitting the ball with his cue.</t>
  </si>
  <si>
    <t>A woman in a pink bikini spins her cue as she waits her turn.</t>
  </si>
  <si>
    <t>Then she takes a shot at the ball, knocking them into the holes.</t>
  </si>
  <si>
    <t>v_1RJgvoFfbkI</t>
  </si>
  <si>
    <t>Two men are in the middle of the court fighting one another.</t>
  </si>
  <si>
    <t>They are practicing their moves while others stand by and watch.</t>
  </si>
  <si>
    <t>It's like a culture practiced by many who actually enjoy it and think it is a fun sport.</t>
  </si>
  <si>
    <t>They take it very seriously, some fight and some enjoy watching.</t>
  </si>
  <si>
    <t>v_O2Vd29Slt7g</t>
  </si>
  <si>
    <t>A young man on the roof of a tall building, with the backdrop of a city skyline, performs a series of dance moves, gymnastics moves, tumbling moves and high kicks.</t>
  </si>
  <si>
    <t>The man begins with his back to the camera and stands facing the city skyline from the roof top.</t>
  </si>
  <si>
    <t>The man then begins a series of high kicks, handless back flips, and breakdance moves.</t>
  </si>
  <si>
    <t>The dance moves end with more high kicks, head stands and semi martial art moves, as the camera circles the man, as the man finishes, and walks, with back to camera, to the edge of the roof again.</t>
  </si>
  <si>
    <t>v_rb-PUa4uGLQ</t>
  </si>
  <si>
    <t>A person wearing a costume is seen sitting in the middle of the street playing an accordion.</t>
  </si>
  <si>
    <t>The person continues playing while the camera zooms in and several cars and people move behind him.</t>
  </si>
  <si>
    <t>v_hRIXXCe0Hi0</t>
  </si>
  <si>
    <t>We see a man talking to a camera.</t>
  </si>
  <si>
    <t>We see shots of men and a crowd of people.</t>
  </si>
  <si>
    <t>The men play rock paper scissors.</t>
  </si>
  <si>
    <t>A lady in the crowd jumps up and down.</t>
  </si>
  <si>
    <t>We see the man high five each other.</t>
  </si>
  <si>
    <t>We see a lady in front a person in costume.</t>
  </si>
  <si>
    <t>The man in red raises his hands in triumph.</t>
  </si>
  <si>
    <t>Ladies bring a big check to the man in red.</t>
  </si>
  <si>
    <t>v_poERMbR_nY4</t>
  </si>
  <si>
    <t>People slides on inflatable sleds down the hill.</t>
  </si>
  <si>
    <t>People take turns to sled down the hills.</t>
  </si>
  <si>
    <t>Then people get together to sled on group.</t>
  </si>
  <si>
    <t>Also, people sled on on a line down the hill.</t>
  </si>
  <si>
    <t>v_q0P0EvJOfRQ</t>
  </si>
  <si>
    <t>A woman is seen dancing in the street placing an instrument while others watch on the side.</t>
  </si>
  <si>
    <t>The woman continues to play the instrument while moving her leg up and down and the people clap for her on the side.</t>
  </si>
  <si>
    <t>v_iNMxIXAcHYU</t>
  </si>
  <si>
    <t>First the man puts pink lipstick on his lips and he says he's a joker.</t>
  </si>
  <si>
    <t>Then he puts it on the side of his lips and the people laugh.</t>
  </si>
  <si>
    <t>Next he puts 2 thick lines of it under his eyes and he says something, he also attempts to put it on his chin, but the video ends.</t>
  </si>
  <si>
    <t>v_zacXKdNZHrI</t>
  </si>
  <si>
    <t>A text intro leads into a boy sitting on a stool holding an accordion.</t>
  </si>
  <si>
    <t>The boy then begins playing the instrument while looking away from the camera.</t>
  </si>
  <si>
    <t>The boy continues to play while looking around the room and pulling the accordion around.</t>
  </si>
  <si>
    <t>v_Zg7J_rLXbuk</t>
  </si>
  <si>
    <t>A girl lifts her arm and prepares to mount the balance beam in an arena.</t>
  </si>
  <si>
    <t>The girl get on and performs a routine on the balance beam.</t>
  </si>
  <si>
    <t>The girl is laying on the beam and does a flip to the standing position.</t>
  </si>
  <si>
    <t>The girl flips across the beam.</t>
  </si>
  <si>
    <t>The girl runs flips and dismounts the beam.</t>
  </si>
  <si>
    <t>The crowd cheers and claps for the girl as she lifts her hands.</t>
  </si>
  <si>
    <t>v_4taBobzpYNU</t>
  </si>
  <si>
    <t>A woman is seen speaking to the camera holding a sharpening tool in her hands.</t>
  </si>
  <si>
    <t>She then demonstrates how to properly cut the knife and placing the object down while speaking.</t>
  </si>
  <si>
    <t>v_e0-lO2jb8vo</t>
  </si>
  <si>
    <t>A baton twirler is standing on the gym floor.</t>
  </si>
  <si>
    <t>She begins her routine.</t>
  </si>
  <si>
    <t>She tosses the baton in the air.</t>
  </si>
  <si>
    <t>She does flips and twists.</t>
  </si>
  <si>
    <t>She continues to twirl the baton and dance.</t>
  </si>
  <si>
    <t>She drops her baton and goes after it.</t>
  </si>
  <si>
    <t>She is twirling, dancing and flipping again.</t>
  </si>
  <si>
    <t>She drops the baton again.</t>
  </si>
  <si>
    <t>She now has two batons and is twirling and dancing and throwing them in the air.</t>
  </si>
  <si>
    <t>She dropped it a third time.</t>
  </si>
  <si>
    <t>She picked it up and added a third baton and finished her routine.</t>
  </si>
  <si>
    <t>v_z9MMLl1isUk</t>
  </si>
  <si>
    <t>old man is holding a green pole hitting a piñata in the middle of a room.</t>
  </si>
  <si>
    <t>little kids are dancin and jumpin behind the man.</t>
  </si>
  <si>
    <t>man givs the pole to a kid and other kids stands behind him.</t>
  </si>
  <si>
    <t>v_ynpvos7UFZo</t>
  </si>
  <si>
    <t>There are some people knitting with yarn and knitting needles at a cultural center.</t>
  </si>
  <si>
    <t>A rack of knitted hats and sweaters is stacked up against the wall.</t>
  </si>
  <si>
    <t>A finished gray sweater with black embroidery is shown.</t>
  </si>
  <si>
    <t>A women representing The Daily news channel is talking about the sweater and then she wears it.</t>
  </si>
  <si>
    <t>There are people sitting and knitting with yarn and needles.</t>
  </si>
  <si>
    <t>There's a man named John George talking about his knitting experience in the class.</t>
  </si>
  <si>
    <t>He along with his other fellow knitters demonstrates how they knit.</t>
  </si>
  <si>
    <t>Another person named Charles Henry is talking about his knitting experience at the cultural center.</t>
  </si>
  <si>
    <t>Several people are seen at the cultural center sitting together and knitting as one of the organizers talks.</t>
  </si>
  <si>
    <t>The news reporter wears the gray sweater and looks very happy in it.</t>
  </si>
  <si>
    <t>v_J4WbF-bJ1T8</t>
  </si>
  <si>
    <t>Two people are fencing in a polka dot walled room, while dressed in fencing gear and fencing masks including a fencing weapon.</t>
  </si>
  <si>
    <t>An animated graphic populates displaying the physique of the two fencers in a grid pattern with the two animated figures exhibiting some fence/weapon movement.</t>
  </si>
  <si>
    <t>A cut away appears of several people interviewing and talking to the camera in front of an extreme fencing sign along with still images of people preparing to fence.</t>
  </si>
  <si>
    <t>The two people dressed in fencing outfits begin to fence in a demonstration.</t>
  </si>
  <si>
    <t>v_sx4zAnVDV9Y</t>
  </si>
  <si>
    <t>A CBS NEWS anchor reports on a story.</t>
  </si>
  <si>
    <t>A marching band appears on a large field performing.</t>
  </si>
  <si>
    <t>A student of the marching band gives an interview along with the marching band instructor.</t>
  </si>
  <si>
    <t>The marching band practices their performance.</t>
  </si>
  <si>
    <t>v_XnrQRuchl7E</t>
  </si>
  <si>
    <t>This young woman is in the studio playing the piano.</t>
  </si>
  <si>
    <t>No one else is in there with her and she looks very serious about what she's doing.</t>
  </si>
  <si>
    <t>She is wearing a pink t-shirt and flower colored leggings, then at some point she stops.</t>
  </si>
  <si>
    <t>v_i0jy3fjw8xQ</t>
  </si>
  <si>
    <t>A group of people are standing on an outdoor bridge.</t>
  </si>
  <si>
    <t>They are putting equipment around each other's bodies to protect them.</t>
  </si>
  <si>
    <t>The person jumps off the side of the bridge on a bungee cord, swinging over the water below.</t>
  </si>
  <si>
    <t>v_VIQG4W0vYxw</t>
  </si>
  <si>
    <t>a lot of people are gathered in a square.</t>
  </si>
  <si>
    <t>people start to run in the street and by the bay.</t>
  </si>
  <si>
    <t>v_Scv939uhNCc</t>
  </si>
  <si>
    <t>A group of young men are sitting at a table with Rubik cubes in front of them.</t>
  </si>
  <si>
    <t>The two boys to the right have already started and the two boys on the left are at a delay.</t>
  </si>
  <si>
    <t>In eight seconds,the boy solves his cube and the boys behind them jump up and begins to congratulate him as the others continue to solve their.</t>
  </si>
  <si>
    <t>v_smfBAiFujmE</t>
  </si>
  <si>
    <t>A person is seen sitting in the water with a pair of skis attached to his feet.</t>
  </si>
  <si>
    <t>The man then gets up on the skis and rides along the water behind a boat.</t>
  </si>
  <si>
    <t>v_5eM2Hcvj6R8</t>
  </si>
  <si>
    <t>A view of a wide berth of trees in a forest is shown.</t>
  </si>
  <si>
    <t>A woman walks out holding a hula hoop.</t>
  </si>
  <si>
    <t>She begins using the hoop seductively while dancing.</t>
  </si>
  <si>
    <t>She spins, flips, and does cartwheels while using the hoop.</t>
  </si>
  <si>
    <t>She finishes her performance with a frozen, upward staring pose.</t>
  </si>
  <si>
    <t>v_pRGlbeqRfM0</t>
  </si>
  <si>
    <t>man weaing a green shirt is standing next to a little girl.</t>
  </si>
  <si>
    <t>girl wearing glasses is talking to the camera.</t>
  </si>
  <si>
    <t>the man and the girl are drinking from a white cup.</t>
  </si>
  <si>
    <t>the girl holds the drink in her mouth and spit it on the grass and the man do the same.</t>
  </si>
  <si>
    <t>v_tSk1GWyofaU</t>
  </si>
  <si>
    <t>A girl walks to the end of a diving board and lifts her hands.</t>
  </si>
  <si>
    <t>The girl jumps on the diving board to prepare herself.</t>
  </si>
  <si>
    <t>The girl then does a backwards flipping dive into the pool.</t>
  </si>
  <si>
    <t>v_j6Kf_y7k-yU</t>
  </si>
  <si>
    <t>People watch competitors get ready near a red stage.</t>
  </si>
  <si>
    <t>The competitors put their robots down in the circle as the judge instructs them.</t>
  </si>
  <si>
    <t>The judge signals the beginning of the competition.</t>
  </si>
  <si>
    <t>The robots begin to move, and one of the robots is pushed out of the circle.</t>
  </si>
  <si>
    <t>The competitors walk back up to the stage and replace their robots.</t>
  </si>
  <si>
    <t>The judge signals for the competition to begin again and everyone applauds when one of them wins.</t>
  </si>
  <si>
    <t>v_X2GUUIGudxs</t>
  </si>
  <si>
    <t>A man stands in a room wearing blue.</t>
  </si>
  <si>
    <t>He is applying a picture to the wall.</t>
  </si>
  <si>
    <t>He uses a tool to smooth it out.</t>
  </si>
  <si>
    <t>He cuts the paper at the bottom.</t>
  </si>
  <si>
    <t>v_ThWgMXhkS2E</t>
  </si>
  <si>
    <t>A man standing outside of a building window cleaning with a large squeegee.</t>
  </si>
  <si>
    <t>He goes over the door window and then uses another gadget after to wipe down the soap.</t>
  </si>
  <si>
    <t>He starts all the way at the top making sure to get in the corners of the window.</t>
  </si>
  <si>
    <t>The window looks very clean and nice once he is down doing all of that.</t>
  </si>
  <si>
    <t>v_IhuwmiSPx0w</t>
  </si>
  <si>
    <t>A group of cheerleaders perform on stage while people watch.</t>
  </si>
  <si>
    <t>Then, the cheerleaders make a tower and then jump, then they do cartwheels.</t>
  </si>
  <si>
    <t>Two cheerleaders get up in a tower and then flips and fall on the arms of people.</t>
  </si>
  <si>
    <t>The girls do again a tower and then spin and jump.</t>
  </si>
  <si>
    <t>The cheerleaders raise the girls up and then flip down, then they continue performing.</t>
  </si>
  <si>
    <t>v__dFzOHyZSNk</t>
  </si>
  <si>
    <t>Two men are long boarding down a hill.</t>
  </si>
  <si>
    <t>He stops and puts his foot down on the ground.</t>
  </si>
  <si>
    <t>He is standing on his board upside down.</t>
  </si>
  <si>
    <t>A man in a green shirt is sitting on the ground with his long board in front of him.</t>
  </si>
  <si>
    <t>v_uqd8A4iJ6Bo</t>
  </si>
  <si>
    <t>The person is shown mixing the ingredients.</t>
  </si>
  <si>
    <t>The person rolls the dough and cuts it into little pieces and flattens the tiny balls out using their hands.</t>
  </si>
  <si>
    <t>The person uses a fork to put lines in the dough.</t>
  </si>
  <si>
    <t>Then the person puts the cookies on a baking sheet in a pan and bakes them for 15 minutes.</t>
  </si>
  <si>
    <t>Then takes the cookies out when they're done.</t>
  </si>
  <si>
    <t>v_rLlm6h0Nfvo</t>
  </si>
  <si>
    <t>A person flips and throw to the air a hula ring, then the woman pass the hula ring through her body.</t>
  </si>
  <si>
    <t>After, the woman pass the hula ring around her waist fast.</t>
  </si>
  <si>
    <t>Then, the woman does an exercise with her feet and body.</t>
  </si>
  <si>
    <t>v_drMXYzlmJQU</t>
  </si>
  <si>
    <t>grandma is talking with a little blond child sitting in a coach while is knitting in a red thread in a liing room.</t>
  </si>
  <si>
    <t>child holds the thread and run in the room pulling it and the woman is talking to him, the child grabs the thread from the floor and run in the living room.</t>
  </si>
  <si>
    <t>v_MwkRK7A46P4</t>
  </si>
  <si>
    <t>Several news logos are shown and then a male reporter shows up talking behind his desk.</t>
  </si>
  <si>
    <t>The camera then flips to a woman and she begins doing interviews with men who were playing a game of soccer.</t>
  </si>
  <si>
    <t>Many quarters are being played and after the goals are made,the players start to jump on each other's back and jump for joy and show their happiness.</t>
  </si>
  <si>
    <t>v_VzR7cskYnng</t>
  </si>
  <si>
    <t>Two men perform kick box in a room while a man supervise the moves.</t>
  </si>
  <si>
    <t>A person leans on the wall behind the men.</t>
  </si>
  <si>
    <t>A little child pass on front the men.</t>
  </si>
  <si>
    <t>A woman walks and stand on front the men.</t>
  </si>
  <si>
    <t>v_1hTqfvjis9E</t>
  </si>
  <si>
    <t>A large man is standing on a circular dome in a field.</t>
  </si>
  <si>
    <t>He holds a steel ball on a rope as he talks.</t>
  </si>
  <si>
    <t>He then shows how to stand before swinging the ball around his head in circles.</t>
  </si>
  <si>
    <t>He lets go, and the ball flies far across the field as he walks away.</t>
  </si>
  <si>
    <t>v_Nn4sVR3__DQ</t>
  </si>
  <si>
    <t>A mom is sitting at the top of a slide with her little baby.</t>
  </si>
  <si>
    <t>She is contemplating going down for a while.</t>
  </si>
  <si>
    <t>She finally slides down it with baby.</t>
  </si>
  <si>
    <t>When they reach the bottom she lets him go and he starts to walk around.</t>
  </si>
  <si>
    <t>v_YXl4cEB7E3Y</t>
  </si>
  <si>
    <t>A boy is standing in the middle of a parking lot.</t>
  </si>
  <si>
    <t>He is wearing a hat with a feather in it and sunglasses.</t>
  </si>
  <si>
    <t>He is playing a bagpipe.</t>
  </si>
  <si>
    <t>v_E3KLk-55yC0</t>
  </si>
  <si>
    <t>A man is seen kicking a soccer ball on his feet and gradually passing it to a wall.</t>
  </si>
  <si>
    <t>The man continues kicking the ball off of his foot and against the wall while the camera captures him.</t>
  </si>
  <si>
    <t>v_g0jF_Gh8c8g</t>
  </si>
  <si>
    <t>men are standing on ice fishing in a large ice region.</t>
  </si>
  <si>
    <t>man grabbed a fish from the ice and lay on the floor.</t>
  </si>
  <si>
    <t>v_n0Th8ZqMeGk</t>
  </si>
  <si>
    <t>A man is on a snowboard on a snowy hill.</t>
  </si>
  <si>
    <t>He glides over the thickly packed snow.</t>
  </si>
  <si>
    <t>He goes through a marker, and jumps over obstacles.</t>
  </si>
  <si>
    <t>v_Wg0xG-eRTho</t>
  </si>
  <si>
    <t>A standing pair of legs appear and the words "Summer Leg Routine" are displayed on the screen.</t>
  </si>
  <si>
    <t>The legs are now bent with the knee up from the ground and the girl rubs the mango scrub all over her legs, then wipes the excess off with a towel.</t>
  </si>
  <si>
    <t>On the upper right hand of the screen a small video plays and shows a VEET product while the girl takes two VEET wax strips and puts them on her leg, then removes them in the order they were put on.</t>
  </si>
  <si>
    <t>The girl then takes another VEET product which turns out to be wiping strips and wipes her legs down, then takes a towel to her legs.</t>
  </si>
  <si>
    <t>After she's done wiping her legs she takes Nivea lotion and rubs them all over her legs, stands up and then shows her legs to the camera at various angles.</t>
  </si>
  <si>
    <t>v_pJEOK1DbTfU</t>
  </si>
  <si>
    <t>A gymnast is doing flips and handsprings on a high bar.</t>
  </si>
  <si>
    <t>She goes forward and backward several times.</t>
  </si>
  <si>
    <t>The screen stops as she goes to the top of the beam.</t>
  </si>
  <si>
    <t>v_ipYVfTYZze8</t>
  </si>
  <si>
    <t>A camera pans around a large snowy hill as well as people sitting on a ski lift and riding around a mountain.</t>
  </si>
  <si>
    <t>The people do flips and tricks as well as follow one another down a hill and catch each other skiing from several angles.</t>
  </si>
  <si>
    <t>v_BMa9v2uZBp8</t>
  </si>
  <si>
    <t>A man in a coat is pulling a board up a hill of snow.</t>
  </si>
  <si>
    <t>He starts snowboarding down the hill.</t>
  </si>
  <si>
    <t>The man lifts the goggles off of his face and smiles.</t>
  </si>
  <si>
    <t>People are snowboarding down a hill together.</t>
  </si>
  <si>
    <t>v_Ar3eaYtLlKI</t>
  </si>
  <si>
    <t>A man puts dog treats into another man's hand.</t>
  </si>
  <si>
    <t>The man is walking a dog down the sidewalk.</t>
  </si>
  <si>
    <t>Someone else is walking behind them.</t>
  </si>
  <si>
    <t>v_INmaUkmVK24</t>
  </si>
  <si>
    <t>A man is seen kneeling down with a razor and looking up towards the camera.</t>
  </si>
  <si>
    <t>The man shaves off part of his leg and holds up an object while walking away.</t>
  </si>
  <si>
    <t>v_E0DbrJVJUho</t>
  </si>
  <si>
    <t>A black screen with a white banner at the bottom has various information that include a website, state, phone number and logo.</t>
  </si>
  <si>
    <t>A white screen follows and it includes a logo, name of the products and indicates that this is an "INSTRUCTIONAL VIDEO".</t>
  </si>
  <si>
    <t>Another white screen appears and a content list appears and there 1-5.</t>
  </si>
  <si>
    <t>On the next white screen a cardboard box is shown and then it begins to show the many different contents that come in the box, along with the names of them next to it.</t>
  </si>
  <si>
    <t>A woman is now standing in a hallway as she puts together her cleaning tool by screwing the top portion onto her pole and applying a cloth to the end, then she straps her spray bottle onto her hip.</t>
  </si>
  <si>
    <t>The woman then begins to spray the cloth on the cleaning tool and starts cleaning various different areas in the office including windows, elevator doors, TVs and changing out the clothes in between to suit the surface she is working on.</t>
  </si>
  <si>
    <t>The woman is now seen at a double glass door as she's now holding a cloth in her hand to clean the doors and other surfaces.</t>
  </si>
  <si>
    <t>The woman is then shown putting the different clothes into the washer and then hanging her cleaning tool up on the wall.</t>
  </si>
  <si>
    <t>A black screen appears and it includes the same white banner as it did in the very beginning.</t>
  </si>
  <si>
    <t>v_bTC_MdhURLg</t>
  </si>
  <si>
    <t>A man is rubbing his hands in a frantic manner as he stands next to a female.</t>
  </si>
  <si>
    <t>The camera shifts and you can see he is in a casino playing a game of Black Jack.</t>
  </si>
  <si>
    <t>Once the dealer has flipped over all of the cards,the two are shown again talking and smiling.</t>
  </si>
  <si>
    <t>v_HoQQlRzybmA</t>
  </si>
  <si>
    <t>A large choppy waterfall is shown.</t>
  </si>
  <si>
    <t>A man is laying on a slack line over the water.</t>
  </si>
  <si>
    <t>A person is playing the guitar sitting on a rock.</t>
  </si>
  <si>
    <t>v_m4ef0fCA2WU</t>
  </si>
  <si>
    <t>Children of different ages are playing on a playground.</t>
  </si>
  <si>
    <t>A couple of women are in the playground area talking.</t>
  </si>
  <si>
    <t>A young woman holding a baby walks to a swing and puts the baby in the swing.</t>
  </si>
  <si>
    <t>She then walks in front of the baby and sits in the adult seat attached to the baby swing.</t>
  </si>
  <si>
    <t>Another woman walks past with a few kids.</t>
  </si>
  <si>
    <t>The woman on the swing swings the baby while talking to him and making faces at him.</t>
  </si>
  <si>
    <t>v_C_bwHYiX-Vw</t>
  </si>
  <si>
    <t>A man shows how to change a tube in a tire.</t>
  </si>
  <si>
    <t>He takes the old tube out, puts the new one in, then pumps it up.</t>
  </si>
  <si>
    <t>v_mrT7FqQ0lCs</t>
  </si>
  <si>
    <t>Several shots of text are shown followed by a person walking into frame.</t>
  </si>
  <si>
    <t>The person then walks in and out of frame performing various dance moves on the ground.</t>
  </si>
  <si>
    <t>The person continues moving around on the ground and demonstrating how to perform moves.</t>
  </si>
  <si>
    <t>v_Vbkq1ldn3A8</t>
  </si>
  <si>
    <t>People are seen sitting at a table while a man stands beside them and taking a puff from a hookah.</t>
  </si>
  <si>
    <t>He hands the hose to a girl sitting who takes a few rips and the man is shown speaking to the camera.</t>
  </si>
  <si>
    <t>the girls hands the hose to other one sitting while she takes a few hits and passes it back to the other person.</t>
  </si>
  <si>
    <t>v_UAAk2SxqSvs</t>
  </si>
  <si>
    <t>Two boys skateboard through the streets at different times wearing helmets.</t>
  </si>
  <si>
    <t>A skateboarder in a blue t-shirt and black helmet skateboards through streets bordering countrysides and residential neighborhoods.</t>
  </si>
  <si>
    <t>A skateboarder wearing all black falls off of the skateboard onto the paved street, gets up and walks off.</t>
  </si>
  <si>
    <t>v_XbvlEwmvLko</t>
  </si>
  <si>
    <t>A man is seen with a rope in his mouth and rides in on a horse immediately roping a calf.</t>
  </si>
  <si>
    <t>He throws the calf down and ties him up, followed by several other men performing the same trick at different speeds.</t>
  </si>
  <si>
    <t>v_kzBTJEMgoj0</t>
  </si>
  <si>
    <t>A woman cleans a cafeteria floor with a mop while occasionally talking to the camera.</t>
  </si>
  <si>
    <t>The woman walks to and cleans a different part of the cafeteria floor.</t>
  </si>
  <si>
    <t>The woman plunges the mop head into a bucket.</t>
  </si>
  <si>
    <t>A number of people walk by in the background.</t>
  </si>
  <si>
    <t>v_vrWcBuRPDBw</t>
  </si>
  <si>
    <t>A man is standing next a brown horse.</t>
  </si>
  <si>
    <t>The horses are getting a drink of water.</t>
  </si>
  <si>
    <t>They continue walking along the trail on the horses.</t>
  </si>
  <si>
    <t>A picture of a brown house is shown.</t>
  </si>
  <si>
    <t>v__ENXbB6aaa4</t>
  </si>
  <si>
    <t>An intro begins for DX sports and shows two men skating down a road.</t>
  </si>
  <si>
    <t>The continue riding down the road while the camera follows them close behind down the winding road.</t>
  </si>
  <si>
    <t>The men eventually get to a car and their ride down the long road.</t>
  </si>
  <si>
    <t>v_3mymOHc5-Gs</t>
  </si>
  <si>
    <t>A man shows a boot and shining tools.</t>
  </si>
  <si>
    <t>Then, the man cleans the shoe with a cloth.</t>
  </si>
  <si>
    <t>After, the man points the tip of the shoe and applies black paint and shows insoles .</t>
  </si>
  <si>
    <t>Then, the man polish the shoes using a cream, after spray the shoes.</t>
  </si>
  <si>
    <t>v_fGA7nlbGmHU</t>
  </si>
  <si>
    <t>A kid is sitting behind a drum set.</t>
  </si>
  <si>
    <t>He starts playing the drums in front of him.</t>
  </si>
  <si>
    <t>He stands up and waves at the crowd.</t>
  </si>
  <si>
    <t>v_jfIcmcE320Q</t>
  </si>
  <si>
    <t>man is playing with a ball making balance with a lacrosse pole.</t>
  </si>
  <si>
    <t>little kid grab the ball from the floor with the pole.</t>
  </si>
  <si>
    <t>kid is playing with a ball in a green grassy field.</t>
  </si>
  <si>
    <t>v__Mz7KEe_mz0</t>
  </si>
  <si>
    <t>A forested area is seen and young men walk up the street.</t>
  </si>
  <si>
    <t>Groups of skateboarders race each other down a forested road and are pulled by trolley cars back to the top.</t>
  </si>
  <si>
    <t>Skateboarders ride down a forested street one after the other doing skids and hard turns as friends watch along the side.</t>
  </si>
  <si>
    <t>v_GQ1eaxmDlzQ</t>
  </si>
  <si>
    <t>A large group of people are seen sitting around a stage and leads into a man and woman hosting.</t>
  </si>
  <si>
    <t>The hosts lead into a large group of people on the stage performing a dance routine with one another.</t>
  </si>
  <si>
    <t>The people continue dancing around one another and end with the judges clapping and the host leading them off.</t>
  </si>
  <si>
    <t>v_zWA4Fb4fVmE</t>
  </si>
  <si>
    <t>little kid is playing saxophone in front of a wall.</t>
  </si>
  <si>
    <t>people are passing in front of the kid.</t>
  </si>
  <si>
    <t>old man kneels and put some coins in he hat of the kid.</t>
  </si>
  <si>
    <t>v_U9Ofeof4rlA</t>
  </si>
  <si>
    <t>An athletic man is seen standing in a circle with his arms out to the side.</t>
  </si>
  <si>
    <t>The man then begins swinging around an object around and around.</t>
  </si>
  <si>
    <t>The man continues to spin and ends by throwing it off into the distance.</t>
  </si>
  <si>
    <t>v_IJV7CwRhFvw</t>
  </si>
  <si>
    <t>There are three people playing racquetball on the enclosed court and the view is from the person wearing the camera.</t>
  </si>
  <si>
    <t>The camera person picks the ball up with racquet balances it on the racquet, rolls it off and then hits to the wall.</t>
  </si>
  <si>
    <t>The view changes to the door and there are two men standing at the door waiting to hit the ball.</t>
  </si>
  <si>
    <t>v_TVbPV7X49tw</t>
  </si>
  <si>
    <t>We see flashing images of motorcycle riding.</t>
  </si>
  <si>
    <t>We see a man talk standing high above a city.</t>
  </si>
  <si>
    <t>We then see motorcycle stunts.</t>
  </si>
  <si>
    <t>A bike jumps a group of people in a plaza.</t>
  </si>
  <si>
    <t>We see four bikes jump a ramp one after another.</t>
  </si>
  <si>
    <t>We see a man in red talking.</t>
  </si>
  <si>
    <t>A man jumps off his bike.</t>
  </si>
  <si>
    <t>A man kisses a woman on his bike.</t>
  </si>
  <si>
    <t>We see boy is talking.</t>
  </si>
  <si>
    <t>A bike is kicking up smoke.</t>
  </si>
  <si>
    <t>A man puts his arm in the air.</t>
  </si>
  <si>
    <t>We see a bike smash a bottle stop.</t>
  </si>
  <si>
    <t>v_1VAugQRO05g</t>
  </si>
  <si>
    <t>A black and white video is shown of a young marching band walking down the street in a parade.</t>
  </si>
  <si>
    <t>Several people in the band walk by then a close up of a boy playing the trumpet is shown and he is highlighted.</t>
  </si>
  <si>
    <t>The video continues and the majorette girls begin dancing.</t>
  </si>
  <si>
    <t>Now they are at a stand still and playing without marching as the little kids begin to watch them.</t>
  </si>
  <si>
    <t>v_x0tjkH_zfXA</t>
  </si>
  <si>
    <t>Two boys are raking leaves in a yard using large green and red rakes.</t>
  </si>
  <si>
    <t>A dog continuously runs through the leaves, messing them up.</t>
  </si>
  <si>
    <t>The boys laugh and keep trying to rake the leaves.</t>
  </si>
  <si>
    <t>v_KlxUgvLHP7M</t>
  </si>
  <si>
    <t>A large stage is seen that transitions to various angles of people performing jump roping tricks on a stage in slow motion.</t>
  </si>
  <si>
    <t>More shots are shown of various people performing incredible jump roping skills and ends with one group holding their arms up.</t>
  </si>
  <si>
    <t>v_AA1wvSZ4Mno</t>
  </si>
  <si>
    <t>A camera pans all around a yard and shows two dogs on leashes.</t>
  </si>
  <si>
    <t>The dogs move with the person as cars move in and out of frame.</t>
  </si>
  <si>
    <t>The camera pans around the sky in the end.</t>
  </si>
  <si>
    <t>v_P-6ITEpg0mw</t>
  </si>
  <si>
    <t>1 The opening of the video.</t>
  </si>
  <si>
    <t>2 a girl does a lot of flips on the bars.</t>
  </si>
  <si>
    <t>v_WMx0-3GZGUI</t>
  </si>
  <si>
    <t>A little girl is in a kitchen talking.</t>
  </si>
  <si>
    <t>The girl mixes several things from small bowls in a bigger bowl.</t>
  </si>
  <si>
    <t>An adult helps the girl spray her baking pans.</t>
  </si>
  <si>
    <t>The girl puts her mixture into the pans and puts them in an easy bake oven.</t>
  </si>
  <si>
    <t>The girl then removes what she made from the oven.</t>
  </si>
  <si>
    <t>A younger boy watches while eating a cupcake.</t>
  </si>
  <si>
    <t>The young girls cuts the desert she made and eats it.</t>
  </si>
  <si>
    <t>v_cfKMu6aeMwU</t>
  </si>
  <si>
    <t>A man is seen speaking to the camera while a woman works out on a machine in front of him and adjusts the settings.</t>
  </si>
  <si>
    <t>The man continues moving on the machine showing off it's different settings while the man continues to speak to the camera.</t>
  </si>
  <si>
    <t>v_x1Mb7cN8WgU</t>
  </si>
  <si>
    <t>A person is hammering nails into a roof.</t>
  </si>
  <si>
    <t>She slide tiles onto the roof and nail them into place.</t>
  </si>
  <si>
    <t>v_LTmYxVYBa90</t>
  </si>
  <si>
    <t>A group of people are sitting on camels in the sand beside a hill.</t>
  </si>
  <si>
    <t>A man reaches for the chain on the camels mouth as the camel sits.</t>
  </si>
  <si>
    <t>The man in light blue assists the man in dark blue to untie.</t>
  </si>
  <si>
    <t>The second camel holding the next couple starts to sit on the ground.</t>
  </si>
  <si>
    <t>v_vB2qMaP_JaI</t>
  </si>
  <si>
    <t>A woman braids her hair slowly.</t>
  </si>
  <si>
    <t>She then ties the braids together and ties the end together.</t>
  </si>
  <si>
    <t>v_K68iNoSnZMg</t>
  </si>
  <si>
    <t>A woman and a boy peel potatoes on front a trash can.</t>
  </si>
  <si>
    <t>Then, the boy puts the potato and the peeler over the counter, but again he takes it.</t>
  </si>
  <si>
    <t>The woman finishes to cut the potato.</t>
  </si>
  <si>
    <t>v_sJFgo9H6zNo</t>
  </si>
  <si>
    <t>A little boy playing on a jungle gym.</t>
  </si>
  <si>
    <t>He is climbing up a set of stairs.</t>
  </si>
  <si>
    <t>Now is sliding fast down a slide.</t>
  </si>
  <si>
    <t>Another boy is shown playing in the grass.</t>
  </si>
  <si>
    <t>Now the first boy is being picked up by a woman.</t>
  </si>
  <si>
    <t>Now he is going to go down the slide once again.</t>
  </si>
  <si>
    <t>The boy likes playing with a large wheel on the playground.</t>
  </si>
  <si>
    <t>Once again he goes down the slide, but with dad right behind him.</t>
  </si>
  <si>
    <t>He goes down the slide a 4th time but with another little boy.</t>
  </si>
  <si>
    <t>He goes down the slide several more times.</t>
  </si>
  <si>
    <t>v_ciIaZrpHqgs</t>
  </si>
  <si>
    <t>A group of teams are shown doing various sports events involving snow.</t>
  </si>
  <si>
    <t>The camera then shows handicap individuals playing a game where they are sitting in a wheelchair pushing puck like objects with handles.</t>
  </si>
  <si>
    <t>A man is then shown and begins talking describing the game that is taking place.</t>
  </si>
  <si>
    <t>v_HwYZEZYgeBI</t>
  </si>
  <si>
    <t>An intro leads into several tools laid out on a table and a women walking in an removing a plant.</t>
  </si>
  <si>
    <t>The woman then pulls out a rag and wipes off the table.</t>
  </si>
  <si>
    <t>She tend holds the rag again, sprays down the table, and wipes down the table in a proper motion.</t>
  </si>
  <si>
    <t>She is then shown again dusting over various areas and places the plant back on the table and pushing the chairs in.</t>
  </si>
  <si>
    <t>v_ekn9AFX2XX8</t>
  </si>
  <si>
    <t>A woman sits by the beach applying sunscreen to the top of her back.</t>
  </si>
  <si>
    <t>An air balloon flies through the air.</t>
  </si>
  <si>
    <t>A dj is seen spinning a disc.</t>
  </si>
  <si>
    <t>A woman walks her suitcase.</t>
  </si>
  <si>
    <t>Some graphic cars crash into each other.</t>
  </si>
  <si>
    <t>High orange flames are seen.</t>
  </si>
  <si>
    <t>v_U7OZcgwLRcc</t>
  </si>
  <si>
    <t>Three different women are shown in succession.</t>
  </si>
  <si>
    <t>Each woman is seated, playing drums and cymbals.</t>
  </si>
  <si>
    <t>They are billed as the top three female drummers in the world as they play continuously.</t>
  </si>
  <si>
    <t>v_C3BBG_9Vo48</t>
  </si>
  <si>
    <t>This video shows how to make a microwaved cake using Ganache frosting.</t>
  </si>
  <si>
    <t>First the woman adds 1 cup of sugar to 1/4 cup of vegetable oil and she puts it in a mixing bowl.</t>
  </si>
  <si>
    <t>then she mixes the sugar until it dissolves and he adds 1 whole cup of milk along with two teaspoons of lemon juice.</t>
  </si>
  <si>
    <t>Next she adds 1 teaspoon of vanilla extract and she mixes everything up, then she adds 1 1/4 cups of all purpose flour along with 1/4 cup of unsweetened cocoa powder and salt.</t>
  </si>
  <si>
    <t>Then she adds baking powder and baking soda and she whisks it until smooth.</t>
  </si>
  <si>
    <t>Finally, she pours the mix into a microwavable safe dish and it's done.</t>
  </si>
  <si>
    <t>She then let's the cake stand for 15 minutes.</t>
  </si>
  <si>
    <t>v_xZEl3yh0Cos</t>
  </si>
  <si>
    <t>A man wearing sunglasses is talking to the camera.</t>
  </si>
  <si>
    <t>He displays how to cut the strings on the front of a bike, and remove part of the tire.</t>
  </si>
  <si>
    <t>He replaces the part, explaining how the process is done as he goes.</t>
  </si>
  <si>
    <t>He then speaks to the camera further.</t>
  </si>
  <si>
    <t>v_WzAGE-xKDpw</t>
  </si>
  <si>
    <t>A man sitting on an exercise equipment.</t>
  </si>
  <si>
    <t>He put his feet on a holder, and put the strap on.</t>
  </si>
  <si>
    <t>He pull the bar, at the same time pushed his legs.</t>
  </si>
  <si>
    <t>He repeat the process several times.</t>
  </si>
  <si>
    <t>v_6KXVjADefBY</t>
  </si>
  <si>
    <t>A person vacuum dirt from a couch with a hand vacuum with a brush nozzle.</t>
  </si>
  <si>
    <t>Then, the person vacuum the crevasses of the couch using a crevasse noodle Then, the person uses a handle held vacuum to clean the top of the couch and the floor.</t>
  </si>
  <si>
    <t>After, the woman shows the battery of the vacuum and then she keeps it.</t>
  </si>
  <si>
    <t>v_ILeNuidJc00</t>
  </si>
  <si>
    <t>There's an outdoor swimming pool with a very high diving board.</t>
  </si>
  <si>
    <t>There's a woman in a green swim suit who dives down into the pool.</t>
  </si>
  <si>
    <t>She is doing various diving moves such as backward, forward and pike.</t>
  </si>
  <si>
    <t>She also does the hand stand before diving swiftly into the pool.</t>
  </si>
  <si>
    <t>She repeats her steps and dives several times into the pool.</t>
  </si>
  <si>
    <t>v_wVCDyGGog4I</t>
  </si>
  <si>
    <t>A small group of people are seen standing ready in a park with their arms and legs by their sides.</t>
  </si>
  <si>
    <t>The group then begins moving around with fans in their hands moving their arms and legs.</t>
  </si>
  <si>
    <t>The group continues moving around together and ends with them standing together and looking off into the distance.</t>
  </si>
  <si>
    <t>v_eT9oCTQUMhA</t>
  </si>
  <si>
    <t>A diver stretches out on a high dive platform bending at the waist.</t>
  </si>
  <si>
    <t>The diver towels off then tosses down her towel and approaches the end of the diving board for a first attempt.</t>
  </si>
  <si>
    <t>The diver makes multiple dives doing flips in the air before landing in the water.</t>
  </si>
  <si>
    <t>v_T4g31MwZ2ds</t>
  </si>
  <si>
    <t>Broken glass sits on the ground.</t>
  </si>
  <si>
    <t>A young man stretches in front of it.</t>
  </si>
  <si>
    <t>He then does break dancing moves.</t>
  </si>
  <si>
    <t>He puts his legs behind his head.</t>
  </si>
  <si>
    <t>v_zMrUSfQ_mzo</t>
  </si>
  <si>
    <t>A boy is seated at a table in a crowded room.</t>
  </si>
  <si>
    <t>He has a rubik's cube, and tries to solve the puzzle.</t>
  </si>
  <si>
    <t>He times himself as he finishes the cube, tossing it down on the table.</t>
  </si>
  <si>
    <t>v_KA6YYIl2z4E</t>
  </si>
  <si>
    <t>The video begins with various words and instructions on how to insert &amp; remove Halloween contact lenses.</t>
  </si>
  <si>
    <t>A contact lens container is then filled with contact solution and the contacts into both sides of the container.</t>
  </si>
  <si>
    <t>The woman then puts her thumb and finger into the left side and pulls out a white contact lens and inserts it into her right eye and blinks a few times as the words "featuring White Out contact lens" on the bottom of the screen.</t>
  </si>
  <si>
    <t>The woman reaches into the right side of the contact lens container and pulls out the other contact lens and inserts it into her left eye and then blinks multiple times.</t>
  </si>
  <si>
    <t>The woman then reaches back into her left eye first, then into her right to remove the contact lenses and a shot of them sitting in the contact lens container appears.</t>
  </si>
  <si>
    <t>Video ends with a screen telling you to subscribe to their YouTube channel for more helpful videos.</t>
  </si>
  <si>
    <t>v__8-4M5XVuwI</t>
  </si>
  <si>
    <t>A woman and man are raking leaves outside their home.</t>
  </si>
  <si>
    <t>They move the leaves into a firepit, burning them.</t>
  </si>
  <si>
    <t>v_jRnJRqvmZvk</t>
  </si>
  <si>
    <t>Boys arm wrestle in a match for a large crowd.</t>
  </si>
  <si>
    <t>The crowd congratulates the winner.</t>
  </si>
  <si>
    <t>The two boys shake hands after the match.</t>
  </si>
  <si>
    <t>v_Lme4KL45gwk</t>
  </si>
  <si>
    <t>A young boy is seen wearing a helmet, speaking to the camera, and holding up pads.</t>
  </si>
  <si>
    <t>The boy is then shown in various clips riding around on the board while also speaking to the camera.</t>
  </si>
  <si>
    <t>The boy demonstrates how to perform proper skating moves while bending down and grabbing his board.</t>
  </si>
  <si>
    <t>v_3zPoB-_JxEc</t>
  </si>
  <si>
    <t>A man talks on a telephone.</t>
  </si>
  <si>
    <t>The man puts a cigarette in his mouth.</t>
  </si>
  <si>
    <t>The man lights the cigarette.</t>
  </si>
  <si>
    <t>The man removes the cigarette from his mouth and holds it in his hand.</t>
  </si>
  <si>
    <t>v_K8W0PtyPlD4</t>
  </si>
  <si>
    <t>A group of adults plays a game of beach volleyball.</t>
  </si>
  <si>
    <t>Groups of children of kids play a game of beach volleyball.</t>
  </si>
  <si>
    <t>Rules are shown for the game.</t>
  </si>
  <si>
    <t>A group of girls play a volley ball game.</t>
  </si>
  <si>
    <t>A group of adults play a volleyball game on an overcast day.</t>
  </si>
  <si>
    <t>v_Le6fNx5IWRI</t>
  </si>
  <si>
    <t>A stadium is seen from above with a large audience.</t>
  </si>
  <si>
    <t>Gymnasts compete in an event and do stationary platform routine with hand grips.</t>
  </si>
  <si>
    <t>The medalists of the competition receive their awards and stand together waving.</t>
  </si>
  <si>
    <t>Athletes give interviews after the competition.</t>
  </si>
  <si>
    <t>v_I4B52tt3mNM</t>
  </si>
  <si>
    <t>woman is in front of a mirror make a yawn and drinks mouthwash and spit it in the handwash and smils at the camera.</t>
  </si>
  <si>
    <t>man stands in front of the mirror try to open the mouthwash bottle and drinks from it and is disgusted by it.</t>
  </si>
  <si>
    <t>v_ksyr3tHc0Vs</t>
  </si>
  <si>
    <t>Various text intro leads into a man holding a shot put and spinning himself around.</t>
  </si>
  <si>
    <t>The man throws the object off into the distance as the camera follows it's throw.</t>
  </si>
  <si>
    <t>v_SB08N4L6Ujw</t>
  </si>
  <si>
    <t>Several women are seen moving around a gym performing various exercises on a beam.</t>
  </si>
  <si>
    <t>The woman continue jumping up and down and leads into one moving a tire around as well as jumping up and down a punching a bag.</t>
  </si>
  <si>
    <t>The coach then speaks to the camera.</t>
  </si>
  <si>
    <t>v_D9eo9NfFhkg</t>
  </si>
  <si>
    <t>A bald man and a woman wearing handkerchief in her hair stand and wave next to a customized bus.</t>
  </si>
  <si>
    <t>The lady ads a scoop of ice cream to a sugar cone.</t>
  </si>
  <si>
    <t>The bald headed man places a menu on the side of the bus.</t>
  </si>
  <si>
    <t>The lady from the ice cream parlour bus hands an ice cream cone to a client.</t>
  </si>
  <si>
    <t>Multiple images and clips of many different people eating and showing their ice cream.</t>
  </si>
  <si>
    <t>The bald man and the lady inside of the ice cream parlour bus are shown working and picking up supplies as more images of patrons eat and show their ice cream treats.</t>
  </si>
  <si>
    <t>v_ttsZ4M-AKgY</t>
  </si>
  <si>
    <t>A group of bikers are going down a busy street filled with cars.</t>
  </si>
  <si>
    <t>They are seen with cameras mounted on skateboards before they start boarding in traffic.</t>
  </si>
  <si>
    <t>The man dismounts his board and takes off his helmet before running.</t>
  </si>
  <si>
    <t>v_JNr0oI927ng</t>
  </si>
  <si>
    <t>A woman is seen standing at the end of a diving board with her arms down and facing forward.</t>
  </si>
  <si>
    <t>The woman then begins jumping up and down on the board and diving back into the water.</t>
  </si>
  <si>
    <t>v_XeC4nqBB5BM</t>
  </si>
  <si>
    <t>A close up on the inside of a space ship is shown followed by a woman with crazy hair speaking into the microphone.</t>
  </si>
  <si>
    <t>She then plays a song on a flute with shots of another man in a different location playing a flute.</t>
  </si>
  <si>
    <t>The camera pans back and fourth between the two and ends with the man speaking to the camera, the woman waving back, and the man soluting.</t>
  </si>
  <si>
    <t>v_No2adeap68I</t>
  </si>
  <si>
    <t>A man is seen wiping down a door and then puts a large poster over the door.</t>
  </si>
  <si>
    <t>He puts the paper down and trims around the edges, ending with several pictures of posters shown and how to buy.</t>
  </si>
  <si>
    <t>v_KzK4sf7RmRM</t>
  </si>
  <si>
    <t>Bags of icing are sitting on a counter.</t>
  </si>
  <si>
    <t>Someone puts the icing in cake and muffin pans.</t>
  </si>
  <si>
    <t>They bake them in the oven.</t>
  </si>
  <si>
    <t>They put them on a plate and start to ice them.</t>
  </si>
  <si>
    <t>v_HDHS_7pOiDk</t>
  </si>
  <si>
    <t>A woman is shown outside high five two kids that are playing near her.</t>
  </si>
  <si>
    <t>The woman helps the girl down and jumps along the ground until she falls.</t>
  </si>
  <si>
    <t>v_UdBFm97tOJs</t>
  </si>
  <si>
    <t>A woman stares blankly at the camera.</t>
  </si>
  <si>
    <t>She takes a drink of tea.</t>
  </si>
  <si>
    <t>She repeats the same action exactly.</t>
  </si>
  <si>
    <t>She then takes another drink and makes a menacing face.</t>
  </si>
  <si>
    <t>v_F3tKnLz9YyE</t>
  </si>
  <si>
    <t>A boy and his dog are seen swimming under water in a large bowl.</t>
  </si>
  <si>
    <t>The two come above the surface and the dog runs around while the boy rubs his eyes.</t>
  </si>
  <si>
    <t>v_xijxN7XB4d8</t>
  </si>
  <si>
    <t>A man is standing in a bedroom practicing his violin.</t>
  </si>
  <si>
    <t>Another day passes by and it is now sunlight outside as the boy practices playing his instrument once more.</t>
  </si>
  <si>
    <t>The practicing continues on for several more days in the same room and finishes on until day 7.</t>
  </si>
  <si>
    <t>Finally,the man takes a set in the room and begins talking and demonstrating effective ways to hold the violin and play it efficiently.</t>
  </si>
  <si>
    <t>v_SOyOank50IY</t>
  </si>
  <si>
    <t>We see an opening screen on black.</t>
  </si>
  <si>
    <t>We see a man and woman washing dishes and talking.</t>
  </si>
  <si>
    <t>An image of a lady pops up on the screen.</t>
  </si>
  <si>
    <t>We see the ladies image again.</t>
  </si>
  <si>
    <t>The lady pops up in the subtitles.</t>
  </si>
  <si>
    <t>We see them from a darker, higher camera.</t>
  </si>
  <si>
    <t>We see them from the higher camera again.</t>
  </si>
  <si>
    <t>v_xH8l5rCWrMU</t>
  </si>
  <si>
    <t>woman is posing to the camera in a white game in a presentation.</t>
  </si>
  <si>
    <t>woman is standing in a kitchen talking to the camera and showing a plate of pasta and the ingedients.</t>
  </si>
  <si>
    <t>woman is chopping vegetables and saute vegetables in a pan.</t>
  </si>
  <si>
    <t>hen mix the vegetables with pasta.</t>
  </si>
  <si>
    <t>v_wz_kM0oBW5g</t>
  </si>
  <si>
    <t>We see a shuffle curling court.</t>
  </si>
  <si>
    <t>Arrows point to stones on the court.</t>
  </si>
  <si>
    <t>A lady walks off and returns.</t>
  </si>
  <si>
    <t>Arrows appear to point to the stones.</t>
  </si>
  <si>
    <t>We see two ladies, a different lady, then others.</t>
  </si>
  <si>
    <t>We see a team of player throw the stones.</t>
  </si>
  <si>
    <t>We see the crowd clap.</t>
  </si>
  <si>
    <t>We see the score appear on the screen.</t>
  </si>
  <si>
    <t>v_IRj0d3cLi6g</t>
  </si>
  <si>
    <t>A young child plays a bagpipe next to an adult bagpiper.</t>
  </si>
  <si>
    <t>The young bagpiper marches in place while playing his bagpipe while onlookers watch from behind.</t>
  </si>
  <si>
    <t>The adult bagpiper and the child stand next to each other while performing.</t>
  </si>
  <si>
    <t>The child finishes playing and walks forward to the camera.</t>
  </si>
  <si>
    <t>v_y80Jbcb5GWA</t>
  </si>
  <si>
    <t>A little boy is shown swinging on a swing on the public playground.</t>
  </si>
  <si>
    <t>He swings high into the air as someone pushes him.</t>
  </si>
  <si>
    <t>The boy smiles and talks to the person with the camera.</t>
  </si>
  <si>
    <t>v_7IW2BELXDHA</t>
  </si>
  <si>
    <t>Men are playing a sport n the sand.</t>
  </si>
  <si>
    <t>A man sits on the sand injured.</t>
  </si>
  <si>
    <t>v_nd5l829R8mw</t>
  </si>
  <si>
    <t>A marching band plays in the street.</t>
  </si>
  <si>
    <t>People walks behind the marching band.</t>
  </si>
  <si>
    <t>People pass on front a large window of a store.</t>
  </si>
  <si>
    <t>v_klqHoK_8ar8</t>
  </si>
  <si>
    <t>A man is painting the something on the floor green.</t>
  </si>
  <si>
    <t>She stroke up and down repeatedly trying to make sure he doesn't miss any spots in the area.</t>
  </si>
  <si>
    <t>He stands up a bit and looks at the piece for a little before dunking his brush back in the paint and starting again.</t>
  </si>
  <si>
    <t>He moves along to parts he hasn't yet gone over to paint.</t>
  </si>
  <si>
    <t>v_ewTlNriXY3c</t>
  </si>
  <si>
    <t>There is a competitive game of tug of war going on in an open field.</t>
  </si>
  <si>
    <t>Where a team wearing blue is competing against another team.</t>
  </si>
  <si>
    <t>The coach is giving directions to the team on how to pull the rope.</t>
  </si>
  <si>
    <t>He is encouraging them to not give and continue their efforts.</t>
  </si>
  <si>
    <t>There are spectators watching the event and cheering for the participants.</t>
  </si>
  <si>
    <t>There are few more rounds of tug of war played s the spectators watch and cheer for the players.</t>
  </si>
  <si>
    <t>The coach continues to encourage the players.</t>
  </si>
  <si>
    <t>After they win the tug of war, all the spectators run out and hug the players.</t>
  </si>
  <si>
    <t>A cameraman takes their pictures.</t>
  </si>
  <si>
    <t>The entire team poses for a team picture after their win.</t>
  </si>
  <si>
    <t>v__p0eoCHZ8BA</t>
  </si>
  <si>
    <t>A woman starts brushing a horse.</t>
  </si>
  <si>
    <t>She gets a pink brush and starts brushing the horse again.</t>
  </si>
  <si>
    <t>She gets a black brush and continues brushing the horse.</t>
  </si>
  <si>
    <t>She starts brushing the legs on the horse.</t>
  </si>
  <si>
    <t>She lifts up the horses foot and cleans the bottom of the foot.</t>
  </si>
  <si>
    <t>v_otGlbzsPIi0</t>
  </si>
  <si>
    <t>A man is seen speaking to the camera and leads into him holding a cooking pan out a hot stove.</t>
  </si>
  <si>
    <t>The man mixes ingredients together into a bowl and pours it into a pan while continuously stirring.</t>
  </si>
  <si>
    <t>He pours the food onto a plate and still holds the pan in his hand.</t>
  </si>
  <si>
    <t>v_HSEnmPWF5GY</t>
  </si>
  <si>
    <t>A montage of a priest is giving communion to people.</t>
  </si>
  <si>
    <t>Jesus and Mother Teresa are shown as a montage continues.</t>
  </si>
  <si>
    <t>v_DHfiz3MNbcc</t>
  </si>
  <si>
    <t>A young lady with burnette hair is standing behind a black counter in a bar with several alcohol on it.</t>
  </si>
  <si>
    <t>She then grabs a clear glass and puts ice in it.</t>
  </si>
  <si>
    <t>Next comes the liquor and she pours,orange juice and syrup in it and the drink is complete.</t>
  </si>
  <si>
    <t>v_FBL7iWMmTHU</t>
  </si>
  <si>
    <t>four men are standing on racquetball court.</t>
  </si>
  <si>
    <t>one man serves the ball.</t>
  </si>
  <si>
    <t>The men then begin to volley.</t>
  </si>
  <si>
    <t>One team scores a point.</t>
  </si>
  <si>
    <t>They all repeat the process.</t>
  </si>
  <si>
    <t>v_no9vPN7D-1s</t>
  </si>
  <si>
    <t>A person in an orange protective suit and a metal black mask solders something in an industrial setting.</t>
  </si>
  <si>
    <t>A person stands next to a black box in a metal helmet as fire sparks erupt from a wired box on the right.</t>
  </si>
  <si>
    <t>A large grey wheel spins behind the worker in the midst of the fire sparks and another worker walking by in a blue protective suit.</t>
  </si>
  <si>
    <t>v_Ch_qHjUtOpE</t>
  </si>
  <si>
    <t>Two women are standing on others' shoulders.</t>
  </si>
  <si>
    <t>They lift another woman into the air, balancing her between them before dropping her to be caught.</t>
  </si>
  <si>
    <t>However, the girls below are knocked to the ground.</t>
  </si>
  <si>
    <t>v_jIKAVLlyXIQ</t>
  </si>
  <si>
    <t>A man cuts into a piece of wood with an ax.</t>
  </si>
  <si>
    <t>Then, his action is replayed in slow motion.</t>
  </si>
  <si>
    <t>Next he takes a piece of the wood he cut an throws it into a pile.</t>
  </si>
  <si>
    <t>v_sDdgFSFaAdY</t>
  </si>
  <si>
    <t>An introduction comes onto the screen for a video about furniture repair.</t>
  </si>
  <si>
    <t>A woman is shown on the screen with gloves on and a cloth in her hand rubbing cream on a leather ottoman to repair the wear and tear.</t>
  </si>
  <si>
    <t>The video ends with the graphics for the closing credits at the end.</t>
  </si>
  <si>
    <t>v_jXORdfzz4oE</t>
  </si>
  <si>
    <t>man is standing in the court with a net behind he.</t>
  </si>
  <si>
    <t>men are playing volyball in a oofed court gym.</t>
  </si>
  <si>
    <t>v_lkSkFmHYdtI</t>
  </si>
  <si>
    <t>A young male athlete is standing in a field and turns backwards in a small circle.</t>
  </si>
  <si>
    <t>He then extends his arms and begins moving them back and forth.</t>
  </si>
  <si>
    <t>Once ready,he spins around and throws the discus out in the field,walks away and looks back at the distance.</t>
  </si>
  <si>
    <t>v_cvFFwMKFg7Q</t>
  </si>
  <si>
    <t>Two people are raking leaves in a park.</t>
  </si>
  <si>
    <t>The man in the rear turns his back to the camera.</t>
  </si>
  <si>
    <t>The lady on the left turns to the right.</t>
  </si>
  <si>
    <t>v_R6MnhM2omiE</t>
  </si>
  <si>
    <t>The man uses his match to set fire to the wooden logs.</t>
  </si>
  <si>
    <t>The fire is really small at first, but then it grows and gets bigger.</t>
  </si>
  <si>
    <t>After a while the video ends still showing the fire created by matches and tree branches.</t>
  </si>
  <si>
    <t>v_Y6UKk3t8Hj8</t>
  </si>
  <si>
    <t>The Livestrong website is showing a video on boxing.</t>
  </si>
  <si>
    <t>A woman boxer, Jolie Glassman is demonstrating how to properly punch and box the punching bag.</t>
  </si>
  <si>
    <t>She is in a gym demonstrating kicking and punching techniques.</t>
  </si>
  <si>
    <t>v_zrR9hGDeQhg</t>
  </si>
  <si>
    <t>A person is seen riding down a snowy hill close up as well as another person and child riding down the mountain.</t>
  </si>
  <si>
    <t>Several more clips are shown of people riding down the mountain from various angles with people yelling and cheering.</t>
  </si>
  <si>
    <t>v_QkqsI11OtC8</t>
  </si>
  <si>
    <t>We see a child playing hopscotch in a yard.</t>
  </si>
  <si>
    <t>An older girl the jumps.</t>
  </si>
  <si>
    <t>The first girl jumps back to the start location.</t>
  </si>
  <si>
    <t>The older girl then goes again.</t>
  </si>
  <si>
    <t>v_WnoJmKZC_qg</t>
  </si>
  <si>
    <t>A man demonstrates, through example how to play the recorder.</t>
  </si>
  <si>
    <t>A man stands in front of two windows covered in closed beige blinds, holding a wooden recorder instrument with both hands in front of him, while talking to the camera.</t>
  </si>
  <si>
    <t>The camera closes up on the body of the wooden recorder as the man begins to play lifting his fingers off of the various hole to make noise.</t>
  </si>
  <si>
    <t>The camera stays in a close up shot of just the man’s hands and the bottom of the recorder for the rest of the clip.</t>
  </si>
  <si>
    <t>v_qgQVbGtIn0M</t>
  </si>
  <si>
    <t>A group of rocks are shown washed up against the banks of a large blue river.</t>
  </si>
  <si>
    <t>The camera continues to span the river and a mountain range is shown.</t>
  </si>
  <si>
    <t>Another angle is shown and a small circle appears on the screen.</t>
  </si>
  <si>
    <t>Two hikers wearing backpacks are visible and show a rope.</t>
  </si>
  <si>
    <t>One man then gets in the water and tightens the ropes around a tree from one side of the water to another and sits on the rope.</t>
  </si>
  <si>
    <t>The man then stands up and attempts to tight rope across the water but falls into the water.</t>
  </si>
  <si>
    <t>v_U7SRRMoCGks</t>
  </si>
  <si>
    <t>A man is seen standing before an exercise beam and begins moving himself on the bars while others practice around him.</t>
  </si>
  <si>
    <t>The man continues to workout on the beam and pauses to speak to the camera while using his hands.</t>
  </si>
  <si>
    <t>v_brZ1m2qNUzc</t>
  </si>
  <si>
    <t>A person is seen wiping down a rag followed by several ingredients attached to her hip.</t>
  </si>
  <si>
    <t>She sprays down the rag and is then seen again washing various windows around an office.</t>
  </si>
  <si>
    <t>She wipes down door handles as well and then puts the rags into a washing machine, hanging up the pole in the end.</t>
  </si>
  <si>
    <t>v_z4B1JZQnHl4</t>
  </si>
  <si>
    <t>A group of skaters are going quickly around an outdoor track.</t>
  </si>
  <si>
    <t>A man who curls in a wheelchair speaks to the camera.</t>
  </si>
  <si>
    <t>A man is shown with a puck, performing.</t>
  </si>
  <si>
    <t>Several people alternate playing with talking to the camera.</t>
  </si>
  <si>
    <t>v_uc1RbyLfuSs</t>
  </si>
  <si>
    <t>A person is wind sailing through a body of water.</t>
  </si>
  <si>
    <t>The person passes someone swimming.</t>
  </si>
  <si>
    <t>The person turns on their board.</t>
  </si>
  <si>
    <t>v_xqYII12ta4E</t>
  </si>
  <si>
    <t>A group of cheerleaders are wearing dark red, white and black uniforms standing in formation getting ready to do their routine, and the words below on the screen say "Mill Creek HS Class AAAAA".</t>
  </si>
  <si>
    <t>The cheerleaders begin their routine and it includes a lot of jumping, cheering, flipping, either in sync or separetly, throwing and catching other cheerleaders, and many other moves.</t>
  </si>
  <si>
    <t>They end their routine, cheer themselves on and 2 women from the audience run up and hug some of the cheerleaders.</t>
  </si>
  <si>
    <t>v_HGK_K2XqhTA</t>
  </si>
  <si>
    <t>A teen shakes his hand on front a glass of water while a youth watch him.</t>
  </si>
  <si>
    <t>Then, the teen takes the glass shaking his hand and drinks the water while the laugh.</t>
  </si>
  <si>
    <t>After, the youth takes the glass, then holds a cup while the teen fold his right hand.</t>
  </si>
  <si>
    <t>Next, the teen takes a cup and pretend to drink while making gestures of pain.</t>
  </si>
  <si>
    <t>v_q7Ap96aMkZ8</t>
  </si>
  <si>
    <t>We see people jogging on a city street.</t>
  </si>
  <si>
    <t>We zoom in on a shirtless man juggling.</t>
  </si>
  <si>
    <t>We pan backwards towards the other runners.</t>
  </si>
  <si>
    <t>v_FwV1XbjLJHY</t>
  </si>
  <si>
    <t>A woman talks in a bar, then she puts ice in a stainless steel glass.</t>
  </si>
  <si>
    <t>Then the woman adds to the cup two measures of liquor, juice and sugar.</t>
  </si>
  <si>
    <t>After, the woman puts a cup on top and shake it, and serves in a cup with a slice of lemon.</t>
  </si>
  <si>
    <t>v_4CRacVTadPQ</t>
  </si>
  <si>
    <t>A woman in a yellow shirt is holding a bottle in her hand.</t>
  </si>
  <si>
    <t>She opens the bottle and pours it into a bucket on the ground.</t>
  </si>
  <si>
    <t>She puts a mop rag into the bucket and puts it on her mop.</t>
  </si>
  <si>
    <t>She then lifts the bucket out of the room.</t>
  </si>
  <si>
    <t>She starts mopping the tile on the floor.</t>
  </si>
  <si>
    <t>v_DU36SNYN-rw</t>
  </si>
  <si>
    <t>The tile screen plays with a picture of a long field.</t>
  </si>
  <si>
    <t>A man walks up with a disk and a dog hold onto it as he passes a few people.</t>
  </si>
  <si>
    <t>The man starts playing with the dog by throwing the think and having him bring it back.</t>
  </si>
  <si>
    <t>He then claps for the dog.</t>
  </si>
  <si>
    <t>The credits roll at the end.</t>
  </si>
  <si>
    <t>v_68m6uCPwwNo</t>
  </si>
  <si>
    <t>A red ball sits between two poles.</t>
  </si>
  <si>
    <t>A cricket bat begins swinging.</t>
  </si>
  <si>
    <t>Two shoes sit on either side.</t>
  </si>
  <si>
    <t>The bat strikes the ball.</t>
  </si>
  <si>
    <t>v_aWKZSqbOi2Q</t>
  </si>
  <si>
    <t>A large group of girls dressed in cheerleading outfits are standing in formation and at the same exact moment the girls do a flip in sync and they begin their very detailed routine that includes, jumps, flips, hand claps and etcetera.</t>
  </si>
  <si>
    <t>They break off into 5 different groups where all the girls huddle in each group and throw one girl in the air and hold her up, but suddenly the front group is unstable and the girl they are holding up drops, and the girls below all catch her and they just wait until the girls are done to resume their routine in sync.</t>
  </si>
  <si>
    <t>They are all standing still in formation when suddenly one of the girls pulls off her left shoe and throws it to the side and they all remain still for a few seconds.</t>
  </si>
  <si>
    <t>The girls resume their cheer and break up in 5 sections once again to hold a girl up in the air, but once again, the middle group loses the balance of the girl on top and they fail and she falls in their catch and they resume their routine that now include multiple flips from each girl until the finish.</t>
  </si>
  <si>
    <t>v_sz0GhFkkXYI</t>
  </si>
  <si>
    <t>A man leans forward as a baby in a swing tries to grab and chew on his hair.</t>
  </si>
  <si>
    <t>The baby laughs, swinging back and forth, then tries to grab the camera.</t>
  </si>
  <si>
    <t>v_xyZ87TEcDSI</t>
  </si>
  <si>
    <t>A few people go surfing on waves.</t>
  </si>
  <si>
    <t>They fall sometimes but are ok.</t>
  </si>
  <si>
    <t>v_KkBMOQOGTdk</t>
  </si>
  <si>
    <t>Band members in full dress stand in a yard.</t>
  </si>
  <si>
    <t>They are using a rake to rake leaves.</t>
  </si>
  <si>
    <t>A man walks by as they rake.</t>
  </si>
  <si>
    <t>v_VnBZR-yBLXA</t>
  </si>
  <si>
    <t>A woman is seen standing behind a counter speaking to the camera and then beginning to peel a potato.</t>
  </si>
  <si>
    <t>She continues to peel potatoes while pausing to speak to the camera and smile.</t>
  </si>
  <si>
    <t>v_EHVkkRI7mBQ</t>
  </si>
  <si>
    <t>Young men an a car talk and play around before arriving at the ski slope.</t>
  </si>
  <si>
    <t>We see men snowboarding over obstacles and ramps on the ski slope.</t>
  </si>
  <si>
    <t>A man jumps a ramp and falls to the ground.</t>
  </si>
  <si>
    <t>We see the boys standing in the parking lot and are shown their names.</t>
  </si>
  <si>
    <t>The last boy removes his helmet, shakes his hair and smiles at the camera.</t>
  </si>
  <si>
    <t>v_QjFioni0uCM</t>
  </si>
  <si>
    <t>A man is standing behind a woman sitting in a chair.</t>
  </si>
  <si>
    <t>He is putting a product into her hair.</t>
  </si>
  <si>
    <t>He begins to blow dry her hair.</t>
  </si>
  <si>
    <t>She starts to blow dry her hair herself.</t>
  </si>
  <si>
    <t>v_gJydcG-d1cs</t>
  </si>
  <si>
    <t>A woman holds a flute and practices the keys while lying down.</t>
  </si>
  <si>
    <t>A woman in a formal dress holds up a flute and gestures while talking.</t>
  </si>
  <si>
    <t>A woman plays the flute with exaggerated blowing.</t>
  </si>
  <si>
    <t>A woman plays a flute in a room with other instruments hanging in the background.</t>
  </si>
  <si>
    <t>The two women play flutes together.</t>
  </si>
  <si>
    <t>The woman shake their hands with a cramp.</t>
  </si>
  <si>
    <t>v_HK9tOFFF5II</t>
  </si>
  <si>
    <t>a scene from th big bang theory is shown and the man is lying down in a table in a tattoo room and a tattoo artist is standing by him.</t>
  </si>
  <si>
    <t>man in the bed stands and talk to a woman and remove the fake tattoo sleeves.</t>
  </si>
  <si>
    <t>v_rfxXEgc9RTQ</t>
  </si>
  <si>
    <t>A close up of a person's feet are shown followed by two men seen in an open room holding tennis rackets and hitting a ball.</t>
  </si>
  <si>
    <t>Then men hit the ball all around the room while running to each side to hit the ball.</t>
  </si>
  <si>
    <t>v_Cl0lsFUR5HE</t>
  </si>
  <si>
    <t>A vacant beach is visible and people began to pull their cars up against the coast.</t>
  </si>
  <si>
    <t>The sidewalk then appears and a boy begins to skateboard down the road near the beach.</t>
  </si>
  <si>
    <t>He continues doing tricks and skateboarding through the city passing people and cars.</t>
  </si>
  <si>
    <t>After a while,he sits down a takes a break and begins talking to another guy before he eventually gets back up to continue skateboarding.</t>
  </si>
  <si>
    <t>v_ptlSMte8xz0</t>
  </si>
  <si>
    <t>A guy is skiing with a camera on his helmet to show us what he is seeing as he ski.</t>
  </si>
  <si>
    <t>the guy ski down the hill and passes a guy that was in front of him.</t>
  </si>
  <si>
    <t>As the guy skis he start to come cross other skiers also skiing,finally the skier makes it to the end of down hill slop and comes to a stop.</t>
  </si>
  <si>
    <t>v_-0i3BpAQAgE</t>
  </si>
  <si>
    <t>A man and a woman are playing rock paper scissors.</t>
  </si>
  <si>
    <t>The man gets on his knee and pulls out a ring.</t>
  </si>
  <si>
    <t>They hug next to the swimming pool.</t>
  </si>
  <si>
    <t>They give each other a kiss.</t>
  </si>
  <si>
    <t>v_jwv7eQpeGW4</t>
  </si>
  <si>
    <t>A man is running down a track he jumps into a pile of sand.</t>
  </si>
  <si>
    <t>He runs down the track again and jumps into the sand several times.</t>
  </si>
  <si>
    <t>Scores are shown on the screen.</t>
  </si>
  <si>
    <t>v_-vKXPND_mD8</t>
  </si>
  <si>
    <t>A man wearing a green outfit is leading a camel.</t>
  </si>
  <si>
    <t>Two people are sitting on top of the camel.</t>
  </si>
  <si>
    <t>A man is walking next to the camel.</t>
  </si>
  <si>
    <t>v_lHsPZ49cpG8</t>
  </si>
  <si>
    <t>People are playing a game on a field using horses.</t>
  </si>
  <si>
    <t>The camera person rides near the parking lot on the right.</t>
  </si>
  <si>
    <t>The camera person rides near the parking lot again.</t>
  </si>
  <si>
    <t>The person slows down near the goal.</t>
  </si>
  <si>
    <t>v_4kriQ6h6ymI</t>
  </si>
  <si>
    <t>A graphic shows and then photos follow of a girl growing up with horseback riding.</t>
  </si>
  <si>
    <t>Three years after those photos the girl moves and she is shown riding horses.</t>
  </si>
  <si>
    <t>The girl is shown with other girls posing with some awards for horseback riding.</t>
  </si>
  <si>
    <t>Another video is shown of the girl riding the horse indoors.</t>
  </si>
  <si>
    <t>Photos of the girl taking care of her horses close out the video.</t>
  </si>
  <si>
    <t>v_RfsugL4sLso</t>
  </si>
  <si>
    <t>A woman is seen brushing her teeth and leads into toothpaste being spread on a toothbrush.</t>
  </si>
  <si>
    <t>Another girl brushes her teeth and shows several stills on how to properly brush teeth.</t>
  </si>
  <si>
    <t>More clips are shown of people brushing their teeth.</t>
  </si>
  <si>
    <t>v_sQo4gMcgfT4</t>
  </si>
  <si>
    <t>Several people are in bumper scooters moving around in a small entrapment.</t>
  </si>
  <si>
    <t>Finally,they get out of the big clump and start to move around the gym easier.</t>
  </si>
  <si>
    <t>The ride finally ends,and all of the people get out and a girl and boy walk up to the camera giving a thumbs up.</t>
  </si>
  <si>
    <t>v_09MaNbzc2TA</t>
  </si>
  <si>
    <t>A large group of people are seen wandering around a beached area followed by people dancing and enjoying the beach.</t>
  </si>
  <si>
    <t>Several clips are shown of a soccer match going on as well as fans celebrating to the camera.</t>
  </si>
  <si>
    <t>In the end the team all celebrates together while confetti falls from the sky.</t>
  </si>
  <si>
    <t>v_amCD-2TIKw0</t>
  </si>
  <si>
    <t>A woman is playing music on a stereo in a busy city.</t>
  </si>
  <si>
    <t>Another woman is standing on the sidewalk with headphones.</t>
  </si>
  <si>
    <t>They both smile at each other as they groove to the music.</t>
  </si>
  <si>
    <t>The woman picks up the stereo and starts walking.</t>
  </si>
  <si>
    <t>The other woman follows her on the same sidewalk.</t>
  </si>
  <si>
    <t>They walk together holding the stereo.</t>
  </si>
  <si>
    <t>A man in a red shirt starts dancing next to a car with another woman.</t>
  </si>
  <si>
    <t>They join the woman walking with the stereo in her hand.</t>
  </si>
  <si>
    <t>Several other people join them as they walk and dance to the music.</t>
  </si>
  <si>
    <t>All the people break into a synchronized dance right on the street.</t>
  </si>
  <si>
    <t>v_vH9gqDUaBQ0</t>
  </si>
  <si>
    <t>An old man talks next a sailboat in the shore, then the man carry the sailboat to the ocean.</t>
  </si>
  <si>
    <t>The old man sails the boat sitting on the border of the boat and pulling a handle.</t>
  </si>
  <si>
    <t>Then, the old man sits for awhile, and then continues sailing and stops when he talks.</t>
  </si>
  <si>
    <t>After, the old man stops and the boat turn over, then he pulls the boat to the shore.</t>
  </si>
  <si>
    <t>After, the old man continues sailing in the ocean.</t>
  </si>
  <si>
    <t>v_QKIkAfzncFc</t>
  </si>
  <si>
    <t>A person's hands are seen playing a set of bongo drums and pausing to talk to the camera.</t>
  </si>
  <si>
    <t>He presses a button on his phone and plays the drums again and ending with one final smack on the drum.</t>
  </si>
  <si>
    <t>v_dnJJWt0SBTc</t>
  </si>
  <si>
    <t>People are standing in a line holding swords.</t>
  </si>
  <si>
    <t>A man in a white jacket is talking into a microphone.</t>
  </si>
  <si>
    <t>Another older gentlemen is talking into a microphone.</t>
  </si>
  <si>
    <t>v_dGHCQVdC27c</t>
  </si>
  <si>
    <t>A man covers a wall with cement using a hose.</t>
  </si>
  <si>
    <t>A person works behind the wall.</t>
  </si>
  <si>
    <t>The person is covering the last section of the wall.</t>
  </si>
  <si>
    <t>v_UzmnkYD5YTA</t>
  </si>
  <si>
    <t>A person is seen walking into frame holding an instrument in front of a piano.</t>
  </si>
  <si>
    <t>He plays the instrument in front of the piano and walks back to the camera.</t>
  </si>
  <si>
    <t>v_CX5QUmM97DI</t>
  </si>
  <si>
    <t>The logo "FAB" appears with two crossed swords.</t>
  </si>
  <si>
    <t>The words "Meyerco Machete Cut Test" follow on screen.</t>
  </si>
  <si>
    <t>A man is trimming a damaged bush using a machette.</t>
  </si>
  <si>
    <t>The man continues chopping the cut branch on a deck.</t>
  </si>
  <si>
    <t>v_cpeevuvJKjE</t>
  </si>
  <si>
    <t>A group of ballet of dancers compete with a group of hip hop dancers.</t>
  </si>
  <si>
    <t>A boy dance hip hop, spins and make a flip.</t>
  </si>
  <si>
    <t>After, the boy climbs on a column to make a flip backward and stand on his hands, then a ballet dancer is raised by her friends.</t>
  </si>
  <si>
    <t>Then, a boy runs and break a door to enter to the other side where a girl is surprised.</t>
  </si>
  <si>
    <t>v_5OhIRnEFMyw</t>
  </si>
  <si>
    <t>A girl smiles at a camera holding a violin and pulls her hair behind her head.</t>
  </si>
  <si>
    <t>She continues talking to the camera followed by her playing the violin.</t>
  </si>
  <si>
    <t>She takes her hair down and continues talking to the camera and showing various violin moves while singing.</t>
  </si>
  <si>
    <t>She once again puts her hair up and continues with her playing.</t>
  </si>
  <si>
    <t>v_0kfJ7Lu4tvo</t>
  </si>
  <si>
    <t>A person turns on the emergency lights of a car and takes out the emergency tire.</t>
  </si>
  <si>
    <t>Then, the man loose the lug nuts of the tire, and then reads the manual.</t>
  </si>
  <si>
    <t>After, the man puts a jack below the car to raise it.</t>
  </si>
  <si>
    <t>Next, the man puts the emergency tire and tight the lug nuts.</t>
  </si>
  <si>
    <t>At the end, the man keeps the jack and the flat tire.</t>
  </si>
  <si>
    <t>v_Lou-YFz3kb0</t>
  </si>
  <si>
    <t>A woman is seen speaking to the camera while holding a violin.</t>
  </si>
  <si>
    <t>The woman continues speaking and them begins demonstrating how to play a song.</t>
  </si>
  <si>
    <t>She finishes playing the song and smiles to the camera.</t>
  </si>
  <si>
    <t>v_CV3pIbE8BnE</t>
  </si>
  <si>
    <t>A person is seen bending over his legs with a person putting shaving cream all over his leg.</t>
  </si>
  <si>
    <t>The person then grabs a razor and begins shaving the man's leg while dipping it into a sink.</t>
  </si>
  <si>
    <t>The woman continues shaving his leg while panning back to the sink and him having a drink.</t>
  </si>
  <si>
    <t>v_D32TzYSHM08</t>
  </si>
  <si>
    <t>A man ball rolls across a baseball field and a small boy in a green shirt kicks the ball and runs around the bases.</t>
  </si>
  <si>
    <t>The boy stops and looks at the camera then starts running again.</t>
  </si>
  <si>
    <t>A person runs in front of the camera.</t>
  </si>
  <si>
    <t>The boy makes it to home as a lady chases a ball to the fence.</t>
  </si>
  <si>
    <t>v_YmhbwAv0Xbc</t>
  </si>
  <si>
    <t>The boy in the red hat and the blue coat is being pulled in a red tube by a rope over some icy roads.</t>
  </si>
  <si>
    <t>A man in a black hat has his turn with the tube.</t>
  </si>
  <si>
    <t>A man in a grey hat hits a snow embankment with the tube.</t>
  </si>
  <si>
    <t>A man goes up a snow hill in the tube.</t>
  </si>
  <si>
    <t>More people begin sliding but this time it is with a small sled, not a tube.</t>
  </si>
  <si>
    <t>A man lets go of the rope and hits an embankment of snow.</t>
  </si>
  <si>
    <t>A group of friends sit on a couch together.</t>
  </si>
  <si>
    <t>v_OZpxc1X8Bsc</t>
  </si>
  <si>
    <t>A man wearing only black shorts, sandals and a gear belt, climbs a rock using a rope in a natural environment filled with trees and foliage.</t>
  </si>
  <si>
    <t>The man in the black shorts stands at the bottom of the rock and begins to climb the rock.</t>
  </si>
  <si>
    <t>The man climbs from the bottom using knees to gain balance and a rope to steady when losing grip with the rocks.</t>
  </si>
  <si>
    <t>The man reaches the top of the rock as the tan rope, behind, dangles.</t>
  </si>
  <si>
    <t>v_6gzU9P-5tqE</t>
  </si>
  <si>
    <t>A man falls down while trying bowl down a lane.</t>
  </si>
  <si>
    <t>A woman falls down trying to bowl.</t>
  </si>
  <si>
    <t>A man throws a bowling ball and it hits the ceiling.</t>
  </si>
  <si>
    <t>A man slips and falls as he's trying to bowl.</t>
  </si>
  <si>
    <t>v_v1ukgczEA5A</t>
  </si>
  <si>
    <t>A person flips a ski upside down.</t>
  </si>
  <si>
    <t>They melt onto onto the bottom of the ski.</t>
  </si>
  <si>
    <t>They run the iron over the top of the was on the ski.</t>
  </si>
  <si>
    <t>v_PSAfQ1qjtOA</t>
  </si>
  <si>
    <t>A gymnast stands and waves her arms before a performance.</t>
  </si>
  <si>
    <t>The gymnast hops up and mounts the balance beam.</t>
  </si>
  <si>
    <t>The gymnast does a routine on the balance beam doing flips and hand springs.</t>
  </si>
  <si>
    <t>The gymnast jump and does the splits in the air.</t>
  </si>
  <si>
    <t>The gymnast dismounts the balance beam onto the mat.</t>
  </si>
  <si>
    <t>v_wQHMoyzJx_w</t>
  </si>
  <si>
    <t>We see a white opening scene.</t>
  </si>
  <si>
    <t>We see a lady in a kitchen talking and cooking.</t>
  </si>
  <si>
    <t>The lady cuts a potato and puts it in the water.</t>
  </si>
  <si>
    <t>The lady puts the potato in cold water.</t>
  </si>
  <si>
    <t>The lady peels the skin off the potato easily.</t>
  </si>
  <si>
    <t>v_sx_npA4wRrw</t>
  </si>
  <si>
    <t>A chef is mixing water and vinegar in a glass bowl and adding dried chilies to it.</t>
  </si>
  <si>
    <t>Then in a blender, the chef mixes capers, garlic, anchovies and black olives along with some olive oil.</t>
  </si>
  <si>
    <t>The chef mashes the ingredients into a paste.</t>
  </si>
  <si>
    <t>The chef adds some garlic to oil in a saute pan and sautes it with some sun dried tomatoes.</t>
  </si>
  <si>
    <t>Then adds in the olive tapenade to the pan.</t>
  </si>
  <si>
    <t>The chef then chops some parsley and garlic together.</t>
  </si>
  <si>
    <t>Then he adds some spaghetti to boiling salt water and cooks it.</t>
  </si>
  <si>
    <t>He adds the chopped parsley to the spaghetti and mixes it well along with the olive tapenade.</t>
  </si>
  <si>
    <t>v_7yndv2xOmn0</t>
  </si>
  <si>
    <t>A person is putting black icing on a cake.</t>
  </si>
  <si>
    <t>They pour icing on the top out of a pot.</t>
  </si>
  <si>
    <t>They put strawberries, blueberries, raspberries and black berries on top of the cake.</t>
  </si>
  <si>
    <t>v_8Kj5Whf2JyA</t>
  </si>
  <si>
    <t>A large group of people are see bouncing around on trampolines throwing dodgeballs to one another.</t>
  </si>
  <si>
    <t>The camera pans around to the people on the outside and back onto the kids playing.</t>
  </si>
  <si>
    <t>v_ezugU3qibVQ</t>
  </si>
  <si>
    <t>A pink screen appears that have black numbers and words that read "handbagbuyer 82", then hearts appear to fade out the intro screen and a smiling blonde woman wearing green appears talking straight to the camera.</t>
  </si>
  <si>
    <t>The woman then picks up a tray with a cover that includes colorful curlers of different sizes and she continues talking while pointing at them.</t>
  </si>
  <si>
    <t>The woman then picks up a black bag and grabs a silver clip from it, puts it back in the bag and puts the bag on the side and continues to talk.</t>
  </si>
  <si>
    <t>The woman is now standing in a bathroom wearing a red sweater with hello kitty on the front and she's brushing her hair, rolling it in curlers and clipping each one individually with the silver clip and curlers she showed earlier.</t>
  </si>
  <si>
    <t>When she completes putting all the curlers that can fit on her entire head, she smiles to the camera and turns her head from side to side.</t>
  </si>
  <si>
    <t>The woman is now standing in the bathroom wearing green again and she has her hair down and she's talking and using her hands to move her hair around to show the curls.</t>
  </si>
  <si>
    <t>The outro screan is pink and ends with black words and then a black screen that has a clip art red pair of lips on it.</t>
  </si>
  <si>
    <t>v_xfOs5nRsSuQ</t>
  </si>
  <si>
    <t>woman is standing in a green field practicing balance a ball in a golf club.</t>
  </si>
  <si>
    <t>another woman is in the court and its practicing with the girl passing the ball from a golf club to another.</t>
  </si>
  <si>
    <t>in the background cars are parked in a parking lot.</t>
  </si>
  <si>
    <t>v_CrnNXizH0IQ</t>
  </si>
  <si>
    <t>A man is seen speaking to the camera while pointing to various tools and wooden objects in front of him.</t>
  </si>
  <si>
    <t>The man unhooks the side followed by sanding it down on the side.</t>
  </si>
  <si>
    <t>The man then takes a screwdriver and drills in holes while stopping to sand it and show it to the camera.</t>
  </si>
  <si>
    <t>v_CaDoaqs_5jE</t>
  </si>
  <si>
    <t>A camera pans all around a frozen lake with trees and leads into a group of people fishing around a hole.</t>
  </si>
  <si>
    <t>The men continue to sit around the holes with a pole speaking to one another and wandering around the ice.</t>
  </si>
  <si>
    <t>v_vUuC72xikqw</t>
  </si>
  <si>
    <t>A close up of a pumpkin is seen followed by a child scouping out the middle.</t>
  </si>
  <si>
    <t>Another child next to her is seen cutting out the pumpkin when an adults walks into frame.</t>
  </si>
  <si>
    <t>The adults helps the children with one smiling to the camera and holding up seeds while the camera pans around the room.</t>
  </si>
  <si>
    <t>v_28P5f3p_32g</t>
  </si>
  <si>
    <t>A man is shown holding a knife while taking to the camera and smiling.</t>
  </si>
  <si>
    <t>He begins cutting the tomato laid out on the table in various sections.</t>
  </si>
  <si>
    <t>He then sharpens the knife on the machine next to the vegetable and shows how much better it works.</t>
  </si>
  <si>
    <t>v_7MWDmMh3zyA</t>
  </si>
  <si>
    <t>A group of people are in tubes floating on top of murky water with huge rocks in it.</t>
  </si>
  <si>
    <t>The camera scans the crowd and people continuously paddle their way across the water.</t>
  </si>
  <si>
    <t>v_L3X8OmIbj2c</t>
  </si>
  <si>
    <t>Guys arm wrestle indoors in the presence of two referees.</t>
  </si>
  <si>
    <t>The referees point in the direction of the winner.</t>
  </si>
  <si>
    <t>The players give a dab handshake.</t>
  </si>
  <si>
    <t>v_83WXP5z80Y0</t>
  </si>
  <si>
    <t>Title screens are shown on the video.</t>
  </si>
  <si>
    <t>The woman demonstrates using a hula hoop in a large room while another person talks.</t>
  </si>
  <si>
    <t>Another person looks in through the window of the door.</t>
  </si>
  <si>
    <t>The woman stops hula hooping and takes a bow.</t>
  </si>
  <si>
    <t>The ending credits roll.</t>
  </si>
  <si>
    <t>v_X_9NiZmR2tQ</t>
  </si>
  <si>
    <t>Two people are playing tennis on a court.</t>
  </si>
  <si>
    <t>One person falls back on their back.</t>
  </si>
  <si>
    <t>v_cBCi-pOE5NQ</t>
  </si>
  <si>
    <t>A man has his sax around his neck and he is explaining about reeds and mouth pieces and how you should put your mouth on it or what nor.</t>
  </si>
  <si>
    <t>He talks for a while about this, demonstrates how you would move your tongue to make sound.</t>
  </si>
  <si>
    <t>He blows into the sax to demonstrate a little more.</t>
  </si>
  <si>
    <t>He even briefly puts his finger in mouth to try to explain a little better as well.</t>
  </si>
  <si>
    <t>v_rjgu0ucCW7U</t>
  </si>
  <si>
    <t>A man pushes a lawn mower around a grass lawn area with tents cutting the grass.</t>
  </si>
  <si>
    <t>The man cuts the tall grass around a tree.</t>
  </si>
  <si>
    <t>The man shuts down the lawnmower and takes a break.</t>
  </si>
  <si>
    <t>v_0Z_mhRoqG2E</t>
  </si>
  <si>
    <t>A close up of a landscape is shown followed by a woman climbing up a rock on it's side.</t>
  </si>
  <si>
    <t>The woman continues climbing and ends with her reaching the top and throwing her arms up.</t>
  </si>
  <si>
    <t>v_KDPa4AvVt0s</t>
  </si>
  <si>
    <t>A group of people is playing dodge ball in a court.</t>
  </si>
  <si>
    <t>People joke to the camera.</t>
  </si>
  <si>
    <t>v_fY2IeYSxY4U</t>
  </si>
  <si>
    <t>A white wall is shown with pegs poking out and strips of tape hanging down and a girl begins cliff climbing the wall as a man in a blue shirt begins to talk.</t>
  </si>
  <si>
    <t>The young lady continues progressing up the wall as the man continues to talk in a split screen.</t>
  </si>
  <si>
    <t>The man lifts his foot up to talk about a certain position and the girl demonstrates it as she begins getting off the plate.</t>
  </si>
  <si>
    <t>v_lC12SCZ_-1o</t>
  </si>
  <si>
    <t>A small car is covered in a thick layer of snow.</t>
  </si>
  <si>
    <t>A man appears with a sweeper.</t>
  </si>
  <si>
    <t>He uses it to rake all the snow off the vehicle.</t>
  </si>
  <si>
    <t>v_ZIBWRRBft8g</t>
  </si>
  <si>
    <t>man is kneeling on the floor talking to the camera and showing the tiles above the wooden floor.</t>
  </si>
  <si>
    <t>man is showing a place without the wooden floor and its putting the wooden pole in the floor measuring the space.</t>
  </si>
  <si>
    <t>the man puts a wood sheet in space and put floor tiles.</t>
  </si>
  <si>
    <t>v_pAAGm-KEFW0</t>
  </si>
  <si>
    <t>There is a boy sitting on the bed showing off his sunburn and putting cream on it.</t>
  </si>
  <si>
    <t>A friend is shaking his head because of the other guy's sunburn.</t>
  </si>
  <si>
    <t>The friend lifts his shirt to show his sunburn as well.</t>
  </si>
  <si>
    <t>The camera pans around room and back to the first guy.</t>
  </si>
  <si>
    <t>A girl walks by carrying a plate, puts it on the table and does a dance.</t>
  </si>
  <si>
    <t>The camera pans to a mirror with two men standing in it with a phone and waving.</t>
  </si>
  <si>
    <t>The camera looks over the balcony of the room.</t>
  </si>
  <si>
    <t>A woman puts a plate of food on a table and a man walks back inside.</t>
  </si>
  <si>
    <t>The sunburned man is taking his shirt off and laying it on the bed.</t>
  </si>
  <si>
    <t>His friends help him with cream on his sunburn.</t>
  </si>
  <si>
    <t>The woman is sitting at the table eating.</t>
  </si>
  <si>
    <t>v_QvM8SFUUvsw</t>
  </si>
  <si>
    <t>A man is shown solving a rubix rube at record speed while a timer is going and a man records him.</t>
  </si>
  <si>
    <t>Another player at a younger age is shown solving the rubix cube as well as a third patron shortly after.</t>
  </si>
  <si>
    <t>v_BJM1rUjXvkQ</t>
  </si>
  <si>
    <t>The candied fruits are in the bowl, then the woman pour liqueur in it and mixed them.</t>
  </si>
  <si>
    <t>The woman added brown sugar on the butter, then added eggs one by one and mixed and then cream, then flour, baking soda, cinnamon powder and mixed them well.</t>
  </si>
  <si>
    <t>The dried fruit mixture is added in the batter, and then shredded nuts and they were mixed well together.</t>
  </si>
  <si>
    <t>The batter is pour into the pan, smooth the batter and making sure that its evenly distributed.</t>
  </si>
  <si>
    <t>v_Y39LnzOipck</t>
  </si>
  <si>
    <t>A man is seen standing and looking around and then cleans off a bowling ball and stands before a lane.</t>
  </si>
  <si>
    <t>The man throws the ball down and hits several pins.</t>
  </si>
  <si>
    <t>v_I3WRp3QB8eg</t>
  </si>
  <si>
    <t>A girl is seen speaking to the camera and walks into a hair salon and shakes hands with an stylist.</t>
  </si>
  <si>
    <t>Several shots of an artist are shown and the man then begins cutting the girl's hair.</t>
  </si>
  <si>
    <t>He hands her the hair and washes her hair followed by more cuts and looking into a mirror.</t>
  </si>
  <si>
    <t>In the end her hair looks just like the artist and she is seen smiling and hugs a person, ending with a side by side picture of the artist and her.</t>
  </si>
  <si>
    <t>v__DiTdY1Mtj4</t>
  </si>
  <si>
    <t>A person is seen bending over near a crowd and begins playing a game of shuffleboard.</t>
  </si>
  <si>
    <t>The people continue playing back and fourth on the mat while other people playing around them and walk into frame.</t>
  </si>
  <si>
    <t>A man and woman are seen speaking to one another and is again shown pushing the pucks.</t>
  </si>
  <si>
    <t>v_RLdlDewtKbE</t>
  </si>
  <si>
    <t>An intro is shown for a cricket game.</t>
  </si>
  <si>
    <t>Several players begin to play a cricket game on a field.</t>
  </si>
  <si>
    <t>A man stumbles over one of the cricket posts.</t>
  </si>
  <si>
    <t>The players shake hands as the game ends.</t>
  </si>
  <si>
    <t>The results of the game a then shown on the screen.</t>
  </si>
  <si>
    <t>v_0EbXjHsMBmM</t>
  </si>
  <si>
    <t>At a store by the name of skinny ski's there is a table set up with things needed to saw down skis.</t>
  </si>
  <si>
    <t>A man uses some equipment to melt some wax over a ski, going over it a few times.</t>
  </si>
  <si>
    <t>He then directly uses the iron right on the ski too smoothen out the wax he just melted over it, going over it a few times.</t>
  </si>
  <si>
    <t>He then shows a package of dibloc low fluoro hot wax and information on how to contact for services.</t>
  </si>
  <si>
    <t>v_HVU5EmblAP8</t>
  </si>
  <si>
    <t>A man is playing the drums with is hands.</t>
  </si>
  <si>
    <t>The man pauses then plays again.</t>
  </si>
  <si>
    <t>The man pauses then plays slower.</t>
  </si>
  <si>
    <t>v_qb_5_9xDYqc</t>
  </si>
  <si>
    <t>An African American male is standing outside next to a tall rock wall.</t>
  </si>
  <si>
    <t>The man continues touching the rock and begins stretching.</t>
  </si>
  <si>
    <t>After, he begins to actively and ferociously climb the wall and come down on the other side but he does it without any ropes attached to him.</t>
  </si>
  <si>
    <t>v_MleQSQt6Utw</t>
  </si>
  <si>
    <t>A boy in a blue shirt is playing in the sand on the beach.</t>
  </si>
  <si>
    <t>A man in a white shirt is standing behind him helping him.</t>
  </si>
  <si>
    <t>A man in blue shorts is also helping the boy make the sand castle.</t>
  </si>
  <si>
    <t>v_GFQuGc1yY8o</t>
  </si>
  <si>
    <t>A man is shown with a woman dancing in front of a large crowd on a tv show.</t>
  </si>
  <si>
    <t>The woman spins around as the man leads her through the routine.</t>
  </si>
  <si>
    <t>She then is lifted up and spun around again.</t>
  </si>
  <si>
    <t>They dance very romantically and she is spun around various times before being tipped backwards by the man as they continue to dance.</t>
  </si>
  <si>
    <t>The two dancers reach out to one another and the routine ends.</t>
  </si>
  <si>
    <t>v_rML1aj5XW0M</t>
  </si>
  <si>
    <t>A wrestler is hoisted on a man's shoulders.</t>
  </si>
  <si>
    <t>The man throws the wrestler on a table.</t>
  </si>
  <si>
    <t>The other man hollers out loud.</t>
  </si>
  <si>
    <t>One of the other men stands over the injured man.</t>
  </si>
  <si>
    <t>v_1C0Ur7fen8s</t>
  </si>
  <si>
    <t>A group of boys are playing a game of foosball with girls.</t>
  </si>
  <si>
    <t>The two groups stand on either side of the machine.</t>
  </si>
  <si>
    <t>They use the little men to hit the ball back and forth.</t>
  </si>
  <si>
    <t>v_LlgGMRw16UY</t>
  </si>
  <si>
    <t>Teen compete skateboard down the road very fast.</t>
  </si>
  <si>
    <t>A teen falls face down from his skateboard on the ground.</t>
  </si>
  <si>
    <t>Another teen falls on the road.</t>
  </si>
  <si>
    <t>Other teens continue skating and some on them falls while skating.</t>
  </si>
  <si>
    <t>v_QXZkejzunpk</t>
  </si>
  <si>
    <t>People ride bikes on a bumpy track circuit.</t>
  </si>
  <si>
    <t>Then, they arrive to the finish line where people is washing the competition.</t>
  </si>
  <si>
    <t>v_XxMzH75Bhr8</t>
  </si>
  <si>
    <t>A large group of men are seen running around an indoor field when one scores a goal and the audience cheers.</t>
  </si>
  <si>
    <t>Several more shots of goals are shown followed by slowed down shots of each goal.</t>
  </si>
  <si>
    <t>Close up of players are shown and ends with a group of players all hugging and cheering with one another.</t>
  </si>
  <si>
    <t>v_aFlumCYsZgM</t>
  </si>
  <si>
    <t>A boy enjoys an ice cream cone.</t>
  </si>
  <si>
    <t>A girl eats licks and eats an ice cream cone.</t>
  </si>
  <si>
    <t>The boy finishes the ice cream cone.</t>
  </si>
  <si>
    <t>The girl lightly licks the ice cream cone.</t>
  </si>
  <si>
    <t>v_CkC1wxAaDjM</t>
  </si>
  <si>
    <t>An archery tournament begins and the montage shows the players hiding behind shields and firing back and forth.</t>
  </si>
  <si>
    <t>The parents of the children are shown watching the battle.</t>
  </si>
  <si>
    <t>v_gaNiULmtQg8</t>
  </si>
  <si>
    <t>A girl jumps onto a balance beam.</t>
  </si>
  <si>
    <t>She begins to do a routine on the balance beam.</t>
  </si>
  <si>
    <t>She dismounts and lands on the mat with her hands in the air.</t>
  </si>
  <si>
    <t>v_9XanCE5nX2Q</t>
  </si>
  <si>
    <t>There is a woman dancing on stage in front of a man in the beginning.</t>
  </si>
  <si>
    <t>There are many different women doing hip hop moves.</t>
  </si>
  <si>
    <t>v_Qg3Lih9PTBM</t>
  </si>
  <si>
    <t>Two sumos wrestle fiercely while a judge watch them.</t>
  </si>
  <si>
    <t>Then, the sumo wearing black slip pushed out of the ring the other sumo.</t>
  </si>
  <si>
    <t>Then, two sumo wrestle and trip with the judge, one of them falls.</t>
  </si>
  <si>
    <t>After, the sumosn continue wrestling and the sumo with black slip falls out the ring.</t>
  </si>
  <si>
    <t>v_QEfXMtnI6rw</t>
  </si>
  <si>
    <t>A man is seen speaking to the camera while holding up a piece of paper.</t>
  </si>
  <si>
    <t>The man also holds up a razor and begins writing on the paper.</t>
  </si>
  <si>
    <t>The man is then seen shaving his face and ending with credits.</t>
  </si>
  <si>
    <t>v_zyh16NahocQ</t>
  </si>
  <si>
    <t>We see a lady talking in the bathroom.</t>
  </si>
  <si>
    <t>She shows us her blow dryer box.</t>
  </si>
  <si>
    <t>She brings the blow dryer box back into view.</t>
  </si>
  <si>
    <t>The lady grabs and lifts her hair.</t>
  </si>
  <si>
    <t>The lady shows us dryer attachments and the dryer.</t>
  </si>
  <si>
    <t>The lady brushes hear hair and adds blow drys her hair.</t>
  </si>
  <si>
    <t>v_x9BN93AXNTQ</t>
  </si>
  <si>
    <t>A close up of a computer is shown followed by a man stepping into frame and singing into the microphone.</t>
  </si>
  <si>
    <t>The man continues singing while the camera captures him and fades to black in the end.</t>
  </si>
  <si>
    <t>v_5vlGKyxl22M</t>
  </si>
  <si>
    <t>An old woman talks before run in a marathon where there is a lot of people participate.</t>
  </si>
  <si>
    <t>Then, the woman cross the finish line and people help her.</t>
  </si>
  <si>
    <t>A cameraman films on front the finish line while people is arriving.</t>
  </si>
  <si>
    <t>A woman raise her arms when cross the finish line.</t>
  </si>
  <si>
    <t>v_3Z4b34lBnyU</t>
  </si>
  <si>
    <t>A very large man wearing a black speedo is standing in a wrestling rink huffing and puffing.</t>
  </si>
  <si>
    <t>A referee walks past the man, a man from the ground stands up and the very large man kicks him, picks him up, then slams him onto the rink.</t>
  </si>
  <si>
    <t>The man just lays there writhing in pain.</t>
  </si>
  <si>
    <t>v_memk6ryZCjE</t>
  </si>
  <si>
    <t>Two women are seen speaking to one another and leads into them performing martial arts against one another.</t>
  </si>
  <si>
    <t>The girls continue to fight and leads into one sitting down while the other continues to perform moves.</t>
  </si>
  <si>
    <t>v_qPZBSTNEl78</t>
  </si>
  <si>
    <t>A girl in red outfit serves the ball to her friend on an outdoor tennis match.</t>
  </si>
  <si>
    <t>The friend returns the ball and the two play a round of tennis.</t>
  </si>
  <si>
    <t>The ball is deflected by the net and the partner loses the round.</t>
  </si>
  <si>
    <t>v_IdEcXDZ4Cos</t>
  </si>
  <si>
    <t>Several men stand on a pier.</t>
  </si>
  <si>
    <t>One of the men is shirtless.</t>
  </si>
  <si>
    <t>They bring out some raw meat.</t>
  </si>
  <si>
    <t>One of the men gets on a board and does tricks.</t>
  </si>
  <si>
    <t>v_2zwUExKXw9s</t>
  </si>
  <si>
    <t>A group sits on horses as the stand and take a rest.</t>
  </si>
  <si>
    <t>The group rides on the horses along a trail.</t>
  </si>
  <si>
    <t>v_Ni7Lqloy5Qc</t>
  </si>
  <si>
    <t>A woman is seen speaking to the camera as well as other people in a car wit her.</t>
  </si>
  <si>
    <t>Shots of her and her friend are shown through a frame and leads into them looking at tattoos.</t>
  </si>
  <si>
    <t>They're shown singing in the car and waiting to get a tattoo down while still speaking to the camera.</t>
  </si>
  <si>
    <t>The girls are then each shown getting tattoos done and ends with pictures of their tattoos being shown off.</t>
  </si>
  <si>
    <t>v_Mk9n7isIyBs</t>
  </si>
  <si>
    <t>A woman wearing a pink and white shirt and black tights is standing in her front yard.</t>
  </si>
  <si>
    <t>She is holding two batons in her and twirling them.</t>
  </si>
  <si>
    <t>She twirls her body and turns around several times as she twirls the batons in both her hands.</t>
  </si>
  <si>
    <t>She also moves her foot back and forth and walks and lifts her foot as she twirls.</t>
  </si>
  <si>
    <t>She then throws the baton from underneath her leg and catches it with her other hand.</t>
  </si>
  <si>
    <t>she continues twirling the baton near a shady tree.</t>
  </si>
  <si>
    <t>she turns her entire body around as she twirls the batons.</t>
  </si>
  <si>
    <t>She finally bows down and holds the baton straight in her hand.</t>
  </si>
  <si>
    <t>v_zChDaAcfc2o</t>
  </si>
  <si>
    <t>We see water flowing over a river.</t>
  </si>
  <si>
    <t>A title appears on the screen.</t>
  </si>
  <si>
    <t>A person in a canoe goes over the waterfall.</t>
  </si>
  <si>
    <t>The person rides the rapids of the river.</t>
  </si>
  <si>
    <t>We see people on a rock on the riverbank watching the canoer.</t>
  </si>
  <si>
    <t>The person in the canoe smiles and talks to the camera.</t>
  </si>
  <si>
    <t>v_dL--vW-AJJo</t>
  </si>
  <si>
    <t>A close up of tires are shown followed by a man working on a tire as well as being interviewed on camera.</t>
  </si>
  <si>
    <t>The camera captures the tool on the tires from several angles as well as lifting up the car to work underneath.</t>
  </si>
  <si>
    <t>More shots of the men working as shown as one speaks to the camera and ends by fading to white.</t>
  </si>
  <si>
    <t>v_Qfi8dqC4E4s</t>
  </si>
  <si>
    <t>A man and woman wearing red jackets, the man was cheering, while the woman is taking video using her iPad, she has very serious look on her face, the woman handed the iPad to the man.</t>
  </si>
  <si>
    <t>A woman is picking up a pole, putting it inside the bigger pole, a man in blue jacket looked up from the ground.</t>
  </si>
  <si>
    <t>A male athlete wearing red and blue top, blue shorts ran, hopped and jumped, he fell on the #18 sand then got up walked around the grass and field towards the group of people.</t>
  </si>
  <si>
    <t>A male athlete wearing blue top ran to the lane, started hopping after passing the white line and jumped to the sand, hit the sandy ground then stood up, then walked to the track field.</t>
  </si>
  <si>
    <t>A male athlete in red and blue uniform started to run to the field, hopped when passed the white line then jumped towards bed of sandy ground, he hit the ground, fell on his side and stood up and walked towards the field.</t>
  </si>
  <si>
    <t>A woman in red top is shown.</t>
  </si>
  <si>
    <t>v_BnAG37ecNbA</t>
  </si>
  <si>
    <t>A woman is sitting on a hospital bed with a razor handle in her mouth and people around her are moving her hair out of her face.</t>
  </si>
  <si>
    <t>The woman then starts to pull the razor up and down the part of her left leg that she can reach with her bend.</t>
  </si>
  <si>
    <t>The woman then grabs the razor from her mouth with her right hand and starts shaving her left leg.</t>
  </si>
  <si>
    <t>The woman puts the razor handle back in her mouth and tries to shave again but it falls out of her mouth and she drops her head in frustration then leans back on the bed, laughs, and then crosses her arms.</t>
  </si>
  <si>
    <t>v_Et8xkGzQOTA</t>
  </si>
  <si>
    <t>A man in a black hat is standing on the street.</t>
  </si>
  <si>
    <t>A person starts dancing on the street.</t>
  </si>
  <si>
    <t>A man starts break dancing in front of a car.</t>
  </si>
  <si>
    <t>v_ghFOHoBiyD8</t>
  </si>
  <si>
    <t>A man wearing glasses is holding a book and talking.</t>
  </si>
  <si>
    <t>He is shown entering a bowling alley.</t>
  </si>
  <si>
    <t>The man interviews players and joins them in a game of bowling.</t>
  </si>
  <si>
    <t>A player explains the techniques he uses.</t>
  </si>
  <si>
    <t>v_rhfoyYzp93Q</t>
  </si>
  <si>
    <t>A person is paddling down a river in a canoe.</t>
  </si>
  <si>
    <t>The person turns and looks back.</t>
  </si>
  <si>
    <t>v_dUvZ6-IVo34</t>
  </si>
  <si>
    <t>A man is seen speaking to the camera while holding up an instrument.</t>
  </si>
  <si>
    <t>The man then begins playing the instrument in front of the camera.</t>
  </si>
  <si>
    <t>The man continues to play the instrument and stops to look at the camera.</t>
  </si>
  <si>
    <t>v_Cu8kOOnAjaw</t>
  </si>
  <si>
    <t>A dog is close to the camera, play fighting with another dog.</t>
  </si>
  <si>
    <t>They jump off a man's lap, then back on again as they continue to play.</t>
  </si>
  <si>
    <t>The man puts his glasses back on as the dogs calm down and lie down on his lap.</t>
  </si>
  <si>
    <t>v_eRh6V0bcBpU</t>
  </si>
  <si>
    <t>Inside a man and a woman are playing a game of raquet ball.</t>
  </si>
  <si>
    <t>She begins to talk about it for a little bit very causally.</t>
  </si>
  <si>
    <t>Then, she goes to practice hitting it by herself for a little bit.</t>
  </si>
  <si>
    <t>This is a game she really enjoys to play, its a hobby.</t>
  </si>
  <si>
    <t>v_X1bmeq4u6YE</t>
  </si>
  <si>
    <t>A video shows how to make curry toast.</t>
  </si>
  <si>
    <t>The curry is in a pan and the bread and butter are on a tray.</t>
  </si>
  <si>
    <t>The man applies the butter, then the curry to the bread before toasting it.</t>
  </si>
  <si>
    <t>A cartoon charicature of a stick person dances at the end.</t>
  </si>
  <si>
    <t>v_nuEK3POl9jA</t>
  </si>
  <si>
    <t>At the 2008 Olympics, a man prepares to lift a loaded barbell.</t>
  </si>
  <si>
    <t>He bends down and works his way up with great effort, finally lifting the barbell over his head.</t>
  </si>
  <si>
    <t>He drops the weights and they crash to the ground.</t>
  </si>
  <si>
    <t>He celebrates and we see that the Olympian has set a record.</t>
  </si>
  <si>
    <t>v_tp0L6sR1qts</t>
  </si>
  <si>
    <t>A man is seen rolling out a bike and begins checking the tires with another man.</t>
  </si>
  <si>
    <t>One man cuts a wire and checks more tires and another man spins the tires once more.</t>
  </si>
  <si>
    <t>v_JU_o9ZtH-VM</t>
  </si>
  <si>
    <t>A balded man is seen speaking to the camera with a head sitting behind him with a head full of hair.</t>
  </si>
  <si>
    <t>He then cuts the hair on the dummy in a certain fashion and the camera zooms in on the finished result in the end.</t>
  </si>
  <si>
    <t>v_5k0KMrksf8c</t>
  </si>
  <si>
    <t>Two teams are standing at the scrimmage line together waiting to play the game.</t>
  </si>
  <si>
    <t>The game begins and the two teams fight each ferociously in a game of Lacrosse.</t>
  </si>
  <si>
    <t>One person gets hit so bad,he is out and remains laying down on the field as the rest of the players take off down the field.</t>
  </si>
  <si>
    <t>v_z6IsPWucZnU</t>
  </si>
  <si>
    <t>A baby is shown floating upside down in a pool.</t>
  </si>
  <si>
    <t>Trainers are teaching the child how to stay afloat.</t>
  </si>
  <si>
    <t>He is learning how to swim, keeping himself above water.</t>
  </si>
  <si>
    <t>v__O6ONcIPR_s</t>
  </si>
  <si>
    <t>A wind kite is shown in the air.</t>
  </si>
  <si>
    <t>A man in a black shirt is controlling the wind kite and falls on the ground.</t>
  </si>
  <si>
    <t>Dogs are running around on the grass.</t>
  </si>
  <si>
    <t>v_qYN_YrwUCBs</t>
  </si>
  <si>
    <t>An introduction graphic comes onto the screen presenting a volleyball championship.</t>
  </si>
  <si>
    <t>A man comes onto the screen announcing the competition before it begins.</t>
  </si>
  <si>
    <t>Different girls are shown playing beach volley ball as the narrator tells the story of their road to the championship.</t>
  </si>
  <si>
    <t>Many of the team members are shown talking on the court and strategizing for the win.</t>
  </si>
  <si>
    <t>The video cuts to a conference room where there is a discussion about the volleyball players.</t>
  </si>
  <si>
    <t>The video ends with the graphics for the c losing credits.</t>
  </si>
  <si>
    <t>v_NKZzGiS5hv0</t>
  </si>
  <si>
    <t>men are siting in a dark room talking to the camera.</t>
  </si>
  <si>
    <t>sumo wrestlers are standing in stage ready to fight and people are gathered around them and sitting in he terraces.</t>
  </si>
  <si>
    <t>men are talking in the dark room and explaining their point of view.</t>
  </si>
  <si>
    <t>v_RQO61KXeBos</t>
  </si>
  <si>
    <t>A man starts running down with a stick he places it down and jumps over a really high obstacle, he lands and gloats.</t>
  </si>
  <si>
    <t>The next man takes his turn and he does the same using the stick to get over the obstacle and jumping up with excitement after landing.</t>
  </si>
  <si>
    <t>Then another man takes his turn and when he lands he throws off his helmet and yells and jumps for joy like the previous men.</t>
  </si>
  <si>
    <t>The audience is very thrilled too, they all take more turns trying to get the best score.</t>
  </si>
  <si>
    <t>v__nup1BwPnXc</t>
  </si>
  <si>
    <t>We see kids in purple pose for a photo.</t>
  </si>
  <si>
    <t>The kids then play tug of war as two girls stand nearby cheering.</t>
  </si>
  <si>
    <t>We switch to a girl and a boy cheering.</t>
  </si>
  <si>
    <t>We see two different kids cheering.</t>
  </si>
  <si>
    <t>We switch the cheering kids again.</t>
  </si>
  <si>
    <t>The kids win and an jump and cheer as one girl talks to a teacher.</t>
  </si>
  <si>
    <t>v_sA8fmJulHMs</t>
  </si>
  <si>
    <t>Several shirtless men are gathered in a room, one smokes a cigarette as the rest cheer him on.</t>
  </si>
  <si>
    <t>He sucks down the cigarette all the way down to the bud.</t>
  </si>
  <si>
    <t>He coughs a bit and then inhales it in his nose, pointing to the camera afterwards.</t>
  </si>
  <si>
    <t>v_eM-l2d8e-CA</t>
  </si>
  <si>
    <t>Pucks are seen sitting along the ice as well as a man speaking to the camera and people walking around.</t>
  </si>
  <si>
    <t>More clips are shown of people curling on the ice while also speaking to the camera.</t>
  </si>
  <si>
    <t>The people continue to push the puck along the ice while looking back to the camera as well as speaking to the camera.</t>
  </si>
  <si>
    <t>v_PgoRelvwBUI</t>
  </si>
  <si>
    <t>We see a tire well on a table in a clamp.</t>
  </si>
  <si>
    <t>A man puts a vice grip on the well.</t>
  </si>
  <si>
    <t>The man pushes and spins a tire over the wheel well.</t>
  </si>
  <si>
    <t>v_V3ZDyR7mVpc</t>
  </si>
  <si>
    <t>We see waterski and the side of a boat.</t>
  </si>
  <si>
    <t>We see a boy standing on a dock, people gas their boat then board.</t>
  </si>
  <si>
    <t>We see two boys playing.</t>
  </si>
  <si>
    <t>We see a person water skiing on a lake.</t>
  </si>
  <si>
    <t>We see the cars in the parking lot near the lake and a dog sniffs the camera.</t>
  </si>
  <si>
    <t>We see a shop then a person paddling on a kayak.</t>
  </si>
  <si>
    <t>A person jumps into the water and we see the water skier again.</t>
  </si>
  <si>
    <t>A boy on a trampoline in a shop, people on a raft and a boy jumps in the water.</t>
  </si>
  <si>
    <t>We see a boy on a toy bike, the water skier falls.</t>
  </si>
  <si>
    <t>A person on skis jumps a ramp.</t>
  </si>
  <si>
    <t>v_otWcr0Rxy5g</t>
  </si>
  <si>
    <t>a group of performers are standing on a stage.</t>
  </si>
  <si>
    <t>They turn, and begin playing the drums.</t>
  </si>
  <si>
    <t>They put on sunglasses while they play for the audience.</t>
  </si>
  <si>
    <t>v_uqAFtPVzEEs</t>
  </si>
  <si>
    <t>A news man is standing in front of a screen talking as it displays a volleyball game on the beach.</t>
  </si>
  <si>
    <t>Then we see the players, fighting over and kicking the ball, alternating with speaking to the camera individually before going back to scenes from the game.</t>
  </si>
  <si>
    <t>v_qpdREcmjhUw</t>
  </si>
  <si>
    <t>A young boy has a long stick in had and is pushing a puck across a white triangle with numbers in it.</t>
  </si>
  <si>
    <t>The puck goes to far down the board and the toddler chases after it.</t>
  </si>
  <si>
    <t>Once the puck is back on the board,he takes off running back down the board.</t>
  </si>
  <si>
    <t>v_9x7FyIJdVsI</t>
  </si>
  <si>
    <t>A male is shown deep underwater in a pool doing a breast stroke.</t>
  </si>
  <si>
    <t>As he is swimming,a man in an orange polo is standing on the outside describing his technique.</t>
  </si>
  <si>
    <t>v_DsnVkCHbEVM</t>
  </si>
  <si>
    <t>A series of screen flashes and it shows statistics about driving drunk and when to take breaks driving.</t>
  </si>
  <si>
    <t>After, a group of about forty individuals are in a large pool playing water polo.</t>
  </si>
  <si>
    <t>The people take turns going back and forth throwing the ball and a person finally makes a goal.</t>
  </si>
  <si>
    <t>v_wj0D-wiqEb0</t>
  </si>
  <si>
    <t>A man is playing a wooden instrument inext to another man, sitting inside a small room.</t>
  </si>
  <si>
    <t>When he is done, he lowers his instrument and smiles broadly.</t>
  </si>
  <si>
    <t>They appear to be riding inside a train.</t>
  </si>
  <si>
    <t>v_sbvdGKpHy2M</t>
  </si>
  <si>
    <t>The interior and supplies of an old fashioned barber shop are shown.</t>
  </si>
  <si>
    <t>A man sharpens a razor strap.</t>
  </si>
  <si>
    <t>He shows off the cream as he puts it on his client.</t>
  </si>
  <si>
    <t>He then gently and professionally gives the man a beard shave.</t>
  </si>
  <si>
    <t>The man lies still as he applies a cloth, then aftershave.</t>
  </si>
  <si>
    <t>A close up is shown of the clean shaven face.</t>
  </si>
  <si>
    <t>v_Ti3z17QofU8</t>
  </si>
  <si>
    <t>We see an opening scene on a black background.</t>
  </si>
  <si>
    <t>We see a man hammer a nail.</t>
  </si>
  <si>
    <t>The man shows us some bolts.</t>
  </si>
  <si>
    <t>We see the man screw a screw in.</t>
  </si>
  <si>
    <t>v_WYjtYDyHUxY</t>
  </si>
  <si>
    <t>Several shots are shown of paintball are shown followed by many pictures of guns.</t>
  </si>
  <si>
    <t>More pictures of guns are shown and ends with text across the screen.</t>
  </si>
  <si>
    <t>v_vLJz4a4NvRI</t>
  </si>
  <si>
    <t>We see an opening title screen and a man and lady look happy and the lady throws her hands in the air.</t>
  </si>
  <si>
    <t>We see a man dealing blackjack in front of a screen.</t>
  </si>
  <si>
    <t>We see a C emblem screen.</t>
  </si>
  <si>
    <t>We see the man continue to deal cards.</t>
  </si>
  <si>
    <t>v_v-mNvC8zVhE</t>
  </si>
  <si>
    <t>A young lady is in a room rolling down a piece of grey and white wallpaper on a wall.</t>
  </si>
  <si>
    <t>She is now on another wall and is using a utensil to smooth out the paper.</t>
  </si>
  <si>
    <t>Then,she is shown cutting the grey wallpaper and brushing it.</t>
  </si>
  <si>
    <t>Finally,she moves to another flower piece and begins to cut off the excess paper ensuring it is measured correctly.</t>
  </si>
  <si>
    <t>v_PzERiygIpkg</t>
  </si>
  <si>
    <t>A person is seen sticking their hands under a dink and rubbing soap on their hands.</t>
  </si>
  <si>
    <t>The person scrubs their hands thoroughly and then runs them under a faucet.</t>
  </si>
  <si>
    <t>She then grabs a paper towel to dry her hands and show them off.</t>
  </si>
  <si>
    <t>v_4WrU5OdkvY0</t>
  </si>
  <si>
    <t>A man is seen stretching on the floor followed by people fencing with one another.</t>
  </si>
  <si>
    <t>People move back and fourth around an arena fencing with one another and the camera capturing their movements.</t>
  </si>
  <si>
    <t>They continue fighting back and fourth and end by walking away.</t>
  </si>
  <si>
    <t>v_h2HRRkwHoKw</t>
  </si>
  <si>
    <t>There is a busy restaurant by the lakeside where nearly all the tables are occupied by guests dining there.</t>
  </si>
  <si>
    <t>The server fills in ice in the glasses and barista makes coffee.</t>
  </si>
  <si>
    <t>The customers are busy eating their food that is served.</t>
  </si>
  <si>
    <t>The bartender is mixing drinks to make various cocktails.</t>
  </si>
  <si>
    <t>The barista is making latte and cappuccino.</t>
  </si>
  <si>
    <t>A lady customer is seen enjoying her drinks.</t>
  </si>
  <si>
    <t>v_3_Gha8keu-A</t>
  </si>
  <si>
    <t>A group of women stand facing the camera.</t>
  </si>
  <si>
    <t>An older woman walks to the head of the group.</t>
  </si>
  <si>
    <t>The group dance together facing the camera.</t>
  </si>
  <si>
    <t>v_gHYcZYkrxxQ</t>
  </si>
  <si>
    <t>A man in a snow covered parking lot lined with tall street lamps scrapes hardened snow and ice off of his maroon sports car at night.</t>
  </si>
  <si>
    <t>The man begins by scraping ice and snow off of the bottom of his windshield and the hood of his car and front grill.</t>
  </si>
  <si>
    <t>The man then scrapes and kicks at ice chunks surrounding the area around the front passenger tire.</t>
  </si>
  <si>
    <t>Lastly, the man scrapes ice off of the trunk of the car and the rear passenger tire area before waiving and walking toward the camera.</t>
  </si>
  <si>
    <t>v_-s1MQAiOMeY</t>
  </si>
  <si>
    <t>A black template with scrolling print with white lettering goes across the screen in an upward motion.</t>
  </si>
  <si>
    <t>A motor boat with two canoe like hulls on either side of the sail, sails across an ocean, in daylight, with two people hanging on to the side.</t>
  </si>
  <si>
    <t>The image of the boat on the water changes to night vision with only green and white colors reflecting before the credits roll.</t>
  </si>
  <si>
    <t>v_MuOkEmd4Gp0</t>
  </si>
  <si>
    <t>There are four people participating the BMX dirt biking competition.</t>
  </si>
  <si>
    <t>They are doing incredible stunts on their bikes by jumping up high over ditches and steep terrain.</t>
  </si>
  <si>
    <t>One of the bikers takes a fall after he leaps over a hilly road.</t>
  </si>
  <si>
    <t>Several other bikers go in full speed over hilly terrain and steep hills.</t>
  </si>
  <si>
    <t>People are gathered to watch and participate in the BMX event.</t>
  </si>
  <si>
    <t>The bikers continue doing their stunts as they go over hilly terrain and hilltops.</t>
  </si>
  <si>
    <t>The winners of the race are awarded trophies and certificates.</t>
  </si>
  <si>
    <t>They proudly raise their trophies high up to show their accomplishment.</t>
  </si>
  <si>
    <t>v_xUHXFXela-0</t>
  </si>
  <si>
    <t>man is climbong a rock wall atached to harness.</t>
  </si>
  <si>
    <t>a group of friends are standing on the field and above them the man is climbing the rock wall.</t>
  </si>
  <si>
    <t>man is climbong the rock wall holding it and the other people on the floor is attached to harness ready to climb the wall too.</t>
  </si>
  <si>
    <t>v_wEwp63lUsrE</t>
  </si>
  <si>
    <t>A man wearing gloves is seen speaking to the camera while holding up various objects to the camera.</t>
  </si>
  <si>
    <t>He then puts the objects together to create a large flame and hammers down a tool in the end and shows the results.</t>
  </si>
  <si>
    <t>v_oYmE833AO2w</t>
  </si>
  <si>
    <t>A man in grey shirt applies plaster with a handheld spatula to the interior wall of a building.</t>
  </si>
  <si>
    <t>The main points to the corners of the room to show the line he is working.</t>
  </si>
  <si>
    <t>The man in applies more plaster the the wall and covers more area.</t>
  </si>
  <si>
    <t>The man in grey stops to discuss with his partner.</t>
  </si>
  <si>
    <t>The man in grey along with his partner begin to apply a coating on the wall together.</t>
  </si>
  <si>
    <t>The man in grey watches and gives tips to his friend.</t>
  </si>
  <si>
    <t>The man in grey and the friend both apply plaster together higher up on the wall and ceiling.</t>
  </si>
  <si>
    <t>v_R_HDifqMHSY</t>
  </si>
  <si>
    <t>A singer is shown standing on a piano on a large stage and talking into the mic while a drummer plays in the background.</t>
  </si>
  <si>
    <t>He continues singing to the audience followed by jumping off the piano and dancing around the stage.</t>
  </si>
  <si>
    <t>The drums continue to play and the lights flicker behind him while people shuffle other drums around the set.</t>
  </si>
  <si>
    <t>The two men then begin playing the drums back to back with each other while switching between drum kits and movements.</t>
  </si>
  <si>
    <t>v_l_R7AbA-d04</t>
  </si>
  <si>
    <t>A camera pans in on a television set that leads into a man holding a stick in front of a large crowd.</t>
  </si>
  <si>
    <t>He speaks to a woman and a shot of people playing shuffle board is shown in slow motion.</t>
  </si>
  <si>
    <t>v_ni6VySdH0XY</t>
  </si>
  <si>
    <t>A person is sharpening a knife behind a table.</t>
  </si>
  <si>
    <t>People are standing in front of the table watching.</t>
  </si>
  <si>
    <t>He picks up the knife sharpener and uses it to sharpen the knife.</t>
  </si>
  <si>
    <t>v_bXCOtMuaJf4</t>
  </si>
  <si>
    <t>A woman is seen washing dishes in a sink while a man speaks to the camera and zooms in on the dishes.</t>
  </si>
  <si>
    <t>The man continues to speak to the camera and demonstrate how to properly wash dishes.</t>
  </si>
  <si>
    <t>v_sbT8DfccM7I</t>
  </si>
  <si>
    <t>A person is seen standing in front of a picnic table speaking to the camera while holding a bike wheel.</t>
  </si>
  <si>
    <t>He then puts the tire on the ground, moving his hands around the make sure the tire is properly inflated.</t>
  </si>
  <si>
    <t>He paces the tire back onto the table then pulls out a rope to tie it with.</t>
  </si>
  <si>
    <t>v_Oheg1qwrESg</t>
  </si>
  <si>
    <t>Two people are seen moving back and fourth on a large mat while fencing with one another.</t>
  </si>
  <si>
    <t>The audience cheers as they finish and ends by showing the match again in slow motion.</t>
  </si>
  <si>
    <t>v_afL6f_pwgMs</t>
  </si>
  <si>
    <t>A person is seen sitting in a tube drinking a beer while other people are seen siting off in the distance.</t>
  </si>
  <si>
    <t>More shots are shown of the people riding along in tubes while drinking beers and speaking to one another.</t>
  </si>
  <si>
    <t>v_gLsHOCeeVUM</t>
  </si>
  <si>
    <t>A girl is seen speaking to the camera and leads into her holding bottles and washing her face.</t>
  </si>
  <si>
    <t>She wipes her face down with a towel and then puts lotion all over her face.</t>
  </si>
  <si>
    <t>v_4r0qYLCucEI</t>
  </si>
  <si>
    <t>A man dressed inn a black shirt and camouflage print shorts is demonstrating how to fix the rubber tires on a car wheel rim.</t>
  </si>
  <si>
    <t>He shows all the tools that are required to do the process.</t>
  </si>
  <si>
    <t>He takes the rubber tire and sprays it with a liquid.</t>
  </si>
  <si>
    <t>Then he fits the inner rim of the wheel into the tire.</t>
  </si>
  <si>
    <t>He uses a mallet to secure it in tightly.</t>
  </si>
  <si>
    <t>He then uses a tool to tighten the various screws that run across the entire diameter of the inner circle of the tire.</t>
  </si>
  <si>
    <t>Then he uses a torque wrench to tighten the screws further.</t>
  </si>
  <si>
    <t>He fills in air and checks the tire pressure.</t>
  </si>
  <si>
    <t>v_yEn-5y95DI0</t>
  </si>
  <si>
    <t>A group of girls are posing for a picture.</t>
  </si>
  <si>
    <t>They are then shown playing volleyall on a field in front of several tents.</t>
  </si>
  <si>
    <t>They lob the ball back and forth.</t>
  </si>
  <si>
    <t>A boy makes a hand gesture in front of the camera as he smiles.</t>
  </si>
  <si>
    <t>Again we are shown the group of girls posing in the photograph.</t>
  </si>
  <si>
    <t>v_lrM8LSnXmSw</t>
  </si>
  <si>
    <t>A woman is seen speaking to the camera while standing in front of a board.</t>
  </si>
  <si>
    <t>She begins moving up and down the board while spinning herself around and moving her body.</t>
  </si>
  <si>
    <t>She continues to move and stops to face the camera in the end.</t>
  </si>
  <si>
    <t>v_7lUaR1veDJU</t>
  </si>
  <si>
    <t>We see people playing water polo in a pool.</t>
  </si>
  <si>
    <t>A man in the rear on the right throws the ball to a player closer to the goal.</t>
  </si>
  <si>
    <t>That player then throws the ball across to a man on the left.</t>
  </si>
  <si>
    <t>A man grabs the ball and throws it in the goal.</t>
  </si>
  <si>
    <t>v_j_IJQAywTuU</t>
  </si>
  <si>
    <t>A young boy is seen riding along a skateboard followed by several more shots of people riding on boards.</t>
  </si>
  <si>
    <t>The boys perform several tricks while the camera pans into the sky and move up and down the track.</t>
  </si>
  <si>
    <t>v_rzZutQSmyJo</t>
  </si>
  <si>
    <t>A woman is playing a set of bagpipes in a room.</t>
  </si>
  <si>
    <t>She laughs as a man helps her adjust the pipes, and continues to play.</t>
  </si>
  <si>
    <t>v_hQIwXufRVGY</t>
  </si>
  <si>
    <t>A large black dog is walking down the street.</t>
  </si>
  <si>
    <t>He is holding the leash of another dog in his mouth.</t>
  </si>
  <si>
    <t>The second dog allows the first to lead him wherever he goes.</t>
  </si>
  <si>
    <t>v_afORRx0QZgI</t>
  </si>
  <si>
    <t>A woman lays on the floor in a room.</t>
  </si>
  <si>
    <t>Music starts to play and she gets up and begins belly dancing.</t>
  </si>
  <si>
    <t>As she dances, others watch.</t>
  </si>
  <si>
    <t>In the background, a child gives a woman a hug as they watch on.</t>
  </si>
  <si>
    <t>The music stops and the dancer walks off stage.</t>
  </si>
  <si>
    <t>v_izSjI7hH1-Y</t>
  </si>
  <si>
    <t>A young woman is sitting a chair extremely still as a pair of scissors are being put up her nose.</t>
  </si>
  <si>
    <t>The person who is piercing her septum continues to hold it and grabs the needle with the other hand.</t>
  </si>
  <si>
    <t>Once he pierces it,a drop of snot flies from her nose and the girl begins talking until the balls are on the end of the ring.</t>
  </si>
  <si>
    <t>v_iwHZqcYwZYU</t>
  </si>
  <si>
    <t>A man steps on a diving board and jumps.</t>
  </si>
  <si>
    <t>Then, the man flips three times and and dive in the pool.</t>
  </si>
  <si>
    <t>v_hR1HPLOmR1I</t>
  </si>
  <si>
    <t>A pinata is hanging from the ceiling.</t>
  </si>
  <si>
    <t>A boy is hitting the pinata with a stick.</t>
  </si>
  <si>
    <t>People are standing behind him watching.</t>
  </si>
  <si>
    <t>v_ThYidZUtnuo</t>
  </si>
  <si>
    <t>A worker removes moss from the top of a roof.</t>
  </si>
  <si>
    <t>Another worker sprays water all over the roof.</t>
  </si>
  <si>
    <t>The roof is then really clean.</t>
  </si>
  <si>
    <t>v_eC90hOqQ0yk</t>
  </si>
  <si>
    <t>Two men are seen kneeling before one another and begin wrestling one another.</t>
  </si>
  <si>
    <t>A large group of people are seen watching on the side while the men fight.</t>
  </si>
  <si>
    <t>The men continue fighting with one pushing the other out into the ring.</t>
  </si>
  <si>
    <t>v_--mFXNrRZ5E</t>
  </si>
  <si>
    <t>Two men are dressed in fencing gear.</t>
  </si>
  <si>
    <t>They are battling on a court with their swords.</t>
  </si>
  <si>
    <t>Green lines occasionally indicate the moves they are making.</t>
  </si>
  <si>
    <t>They stab at each other with the swords and jump about the stage.</t>
  </si>
  <si>
    <t>v_3IdaN49b9xg</t>
  </si>
  <si>
    <t>A person put objects in a pumpkin on a desk while looking inside it.</t>
  </si>
  <si>
    <t>When the man walks away, the pumpkin blast and turn on an light to see the a mouth and two eyes.</t>
  </si>
  <si>
    <t>v_894d9_pty3o</t>
  </si>
  <si>
    <t>A group of people are skiing down the side of a mountain.</t>
  </si>
  <si>
    <t>A group of moose are baying between scenes of lifts and helicopters overhead.</t>
  </si>
  <si>
    <t>People give each other high fives as they ski.</t>
  </si>
  <si>
    <t>v_6QImnhUemH0</t>
  </si>
  <si>
    <t>The man puts the mop into the blue mop bucket first and then he starts mopping.</t>
  </si>
  <si>
    <t>First he mops near the stove and the counter.</t>
  </si>
  <si>
    <t>Then he mops on the floor that between the refrigerator and another counter.</t>
  </si>
  <si>
    <t>Then he mops the center of the kitchen floor.</t>
  </si>
  <si>
    <t>v_7LvEI5zhENk</t>
  </si>
  <si>
    <t>We see a shot of a track and field arena.</t>
  </si>
  <si>
    <t>A lady in a blue shirt from Uzbekistan runs and performs a high jump and we see her score.</t>
  </si>
  <si>
    <t>We see a lady from china run and perform a high jump and see her score and we see her manager and a slow motion.</t>
  </si>
  <si>
    <t>An different lady from Uzbekistan performs a high jump and we see her score.</t>
  </si>
  <si>
    <t>The first lady performs again and knocks the bar over and looks disappointed.</t>
  </si>
  <si>
    <t>The lady from China has a second turn and also knocks over the bar and looks mad.</t>
  </si>
  <si>
    <t>The second lady from Uzbekistan performs and clears the bar and almost cries.</t>
  </si>
  <si>
    <t>We see the arena and scoreboard on the screen.</t>
  </si>
  <si>
    <t>v_UZNw4utsywI</t>
  </si>
  <si>
    <t>Several clips are shown of people riding around on skateboards in a park while looking back and smiling to the camera.</t>
  </si>
  <si>
    <t>The video continues with many more shots of people performing grinds and tricks on their skateboards and speaking to the camera.</t>
  </si>
  <si>
    <t>In the end they are seen driving around together in a car and laughing with one another.</t>
  </si>
  <si>
    <t>v_nxDAt9SkPoA</t>
  </si>
  <si>
    <t>A group of men and women are doing jump rope for aerobic exercise.</t>
  </si>
  <si>
    <t>They run in a circle, jumping as they run.</t>
  </si>
  <si>
    <t>They then lay out mats, and do several yoga cool down moves.</t>
  </si>
  <si>
    <t>v_WQXoBfyUpaY</t>
  </si>
  <si>
    <t>We see a man and a woman enter a bar room in costumes.</t>
  </si>
  <si>
    <t>The man and woman perform a dance.</t>
  </si>
  <si>
    <t>The man flips the woman and swings her around.</t>
  </si>
  <si>
    <t>The man picks up the woman and puts her on his shoulders.</t>
  </si>
  <si>
    <t>He then flips her off and onto the ground.</t>
  </si>
  <si>
    <t>The man puts the lady on his shoulder and flips her two times.</t>
  </si>
  <si>
    <t>The man spins the lady around and around and dips the lady.</t>
  </si>
  <si>
    <t>The crowd claps for the people.</t>
  </si>
  <si>
    <t>The man spins the lady around.</t>
  </si>
  <si>
    <t>The dances finish and take their bows and shake hands.</t>
  </si>
  <si>
    <t>v_S5Aj9b5T284</t>
  </si>
  <si>
    <t>Several men play table football while an audience watches on.</t>
  </si>
  <si>
    <t>A bald individual retrieves the ball and reinserts it into play.</t>
  </si>
  <si>
    <t>The bald individual reaches for the table for some reason.</t>
  </si>
  <si>
    <t>The bald individual retrieves the ball and reinserts it into play again.</t>
  </si>
  <si>
    <t>The players shake hands as the match ends.</t>
  </si>
  <si>
    <t>v_ursegSrjG1M</t>
  </si>
  <si>
    <t>A man is seen speaking to the camera and leads into clips of him moving dirt.</t>
  </si>
  <si>
    <t>Other men help plant the areas while moving around wheel barrows and planting plants while still speaking to the camera.</t>
  </si>
  <si>
    <t>v_IBte7CKOLSs</t>
  </si>
  <si>
    <t>A man throws a bowling balls and throws all the pins every time.</t>
  </si>
  <si>
    <t>Then, the man continues playing bowling successfully.</t>
  </si>
  <si>
    <t>The man miss one pin in the last play.</t>
  </si>
  <si>
    <t>v_LkA7hS3FBkQ</t>
  </si>
  <si>
    <t>A rests underneath a car in place but not lifting it off the ground.</t>
  </si>
  <si>
    <t>A man uses an electric drill to wind up the floor jack and lift the car tire off the ground.</t>
  </si>
  <si>
    <t>The man uses the electric drill again to mind down the floor jack and lower the car.</t>
  </si>
  <si>
    <t>v_PUHGXI6N0DA</t>
  </si>
  <si>
    <t>A male gymnast walks up to a beam, powdering his hands.</t>
  </si>
  <si>
    <t>He mounts the beam, then spins around it several times, changing between bars.</t>
  </si>
  <si>
    <t>He dismounts, then raises his arms into the air.</t>
  </si>
  <si>
    <t>v_a-6lVnhqU4w</t>
  </si>
  <si>
    <t>A young woman is holding a tablet to record a video of people running in a race and she is standing in the stands at a track filled with people.</t>
  </si>
  <si>
    <t>A man is running across the grass field with an orange shirt and a flag on the grass in the middle of the track.</t>
  </si>
  <si>
    <t>Another man in a black shirt runs towards the man in the orange shirt.</t>
  </si>
  <si>
    <t>The young woman continues to video the track with her tablet.</t>
  </si>
  <si>
    <t>The man in the orange shirt is running across the grass again.</t>
  </si>
  <si>
    <t>The young woman puts her tablet down after trying to video the game and looks off into the distance at the people on the track.</t>
  </si>
  <si>
    <t>Everyone starts clapping together in the stands.</t>
  </si>
  <si>
    <t>There is a photo with a guy wearing a track uniform.</t>
  </si>
  <si>
    <t>v_dzpsJQN4o-Y</t>
  </si>
  <si>
    <t>The door opens and two people wearing slippers enter the room.</t>
  </si>
  <si>
    <t>A logo briefly appears on the screen.</t>
  </si>
  <si>
    <t>Two men standing in front of a pair of bathroom sinks and mirrors remove the robes they're wearing to reveal spandex clothing, then turn to face the camera to speak.</t>
  </si>
  <si>
    <t>A large group of people ride bicycles down the road.</t>
  </si>
  <si>
    <t>A barefoot man stands in a bathroom.</t>
  </si>
  <si>
    <t>The title "How to Shave Your Legs" appears over a man performing that action.</t>
  </si>
  <si>
    <t>The men discuss and demonstrate using an electric razor to shave your legs.</t>
  </si>
  <si>
    <t>One then discusses how high your legs should be shaved.</t>
  </si>
  <si>
    <t>The man demonstrates how to lather up your legs.</t>
  </si>
  <si>
    <t>The two men demonstrate how to use a razor to shave your legs.</t>
  </si>
  <si>
    <t>They then demonstrate how to rinse your legs off.</t>
  </si>
  <si>
    <t>A man rides a bike down the road.</t>
  </si>
  <si>
    <t>The two men shave their other leg.</t>
  </si>
  <si>
    <t>v_Ye6_xb7h7jc</t>
  </si>
  <si>
    <t>two kids are standing in front of a christmas tree showing purple boots that are on the christmas tree hanging.</t>
  </si>
  <si>
    <t>the kids are pointing out the balls and the ornamens.</t>
  </si>
  <si>
    <t>the kids stands next to the three and say goodbye to the camera.</t>
  </si>
  <si>
    <t>v_bQ0L24YbGGI</t>
  </si>
  <si>
    <t>A person lifts them up in the air over them.</t>
  </si>
  <si>
    <t>Ballerinas are dancing on a stage.</t>
  </si>
  <si>
    <t>v_U7x4eGLBITE</t>
  </si>
  <si>
    <t>People are pulled up a hill on a tug rope sitting on inter tubes.</t>
  </si>
  <si>
    <t>A family pulls their inter tubes along by hand and the top of the hill.</t>
  </si>
  <si>
    <t>A person sits in an inter tube at the top of a hill then rides down the slope laughing.</t>
  </si>
  <si>
    <t>The family straps together the inter tubes in a circular grouping with the kids sitting in them.</t>
  </si>
  <si>
    <t>The family rides in a large grouping of inter tubes down a snowy slope.</t>
  </si>
  <si>
    <t>v_3kcGcDv0NOw</t>
  </si>
  <si>
    <t>An athletic man is seen spinning in circles and throwing a discuss long across a field.</t>
  </si>
  <si>
    <t>He steps up and throws several more balls in a circle while in the end wiping sweat off his face with his shirt.</t>
  </si>
  <si>
    <t>v_UNPQdg_tWh4</t>
  </si>
  <si>
    <t>A man is seen walking across a yard while holding a stick in his hand.</t>
  </si>
  <si>
    <t>The man is then seen playing a game of crochet while others watch on the side.</t>
  </si>
  <si>
    <t>The man continues to hit the ball around as well as bend down and measure out his shots.</t>
  </si>
  <si>
    <t>v_yHXZZEucV1I</t>
  </si>
  <si>
    <t>The credits of clip are shown.</t>
  </si>
  <si>
    <t>Limes are cut into pieces on a white cutting board.</t>
  </si>
  <si>
    <t>The cut limes are placed in a blender with a liquid and blended.</t>
  </si>
  <si>
    <t>The liquid is added to a pitcher with a strainer.</t>
  </si>
  <si>
    <t>The credits of video are shown.</t>
  </si>
  <si>
    <t>v_GLHsjvmOXRs</t>
  </si>
  <si>
    <t>A news woman sits at a desk, talking.</t>
  </si>
  <si>
    <t>We see numerous people running into water with kayaks, racing down a river of rapids.</t>
  </si>
  <si>
    <t>When they are done, several of the competitors are interviewed on camera, and others walk in the water on fake kayaks.</t>
  </si>
  <si>
    <t>v_eXUcFgDxslw</t>
  </si>
  <si>
    <t>We see a pregnant lady doing ballet in a studio.</t>
  </si>
  <si>
    <t>The lady spins and does a pliea.</t>
  </si>
  <si>
    <t>The people in the background clap for the lady.</t>
  </si>
  <si>
    <t>The lady then walks off camera while laughing.</t>
  </si>
  <si>
    <t>v_cht49ZCSDmY</t>
  </si>
  <si>
    <t>Two water faucets are running and show a persons hands under the sink.</t>
  </si>
  <si>
    <t>The man moves his hands around and then ends with him wiping his hands through his hair.</t>
  </si>
  <si>
    <t>v_PWriIL3pTWY</t>
  </si>
  <si>
    <t>A man in a pink suit talks to a man in a red suit and man not wearing a shirt.</t>
  </si>
  <si>
    <t>They play rock paper scissors.</t>
  </si>
  <si>
    <t>The man in the pink suit celebrates.</t>
  </si>
  <si>
    <t>The man not wearing a shirt chases the man in the pink suit.</t>
  </si>
  <si>
    <t>The man in the pink suit falls down.</t>
  </si>
  <si>
    <t>The man not wearing a shirt throws a white barrel at the man on the ground.</t>
  </si>
  <si>
    <t>A man in a black suit comes out from the bushes.</t>
  </si>
  <si>
    <t>He fights the man in the red suit.</t>
  </si>
  <si>
    <t>The man with out a shirt throws a barrel on the man in the black suit.</t>
  </si>
  <si>
    <t>v_uaIu2yDmhNU</t>
  </si>
  <si>
    <t>A jump runner warms up before going in for a long jump.</t>
  </si>
  <si>
    <t>He does the long jump, then immediately hops up and runs back, cheering and celebrating with the crowd.</t>
  </si>
  <si>
    <t>He beats his chest and hugs people.</t>
  </si>
  <si>
    <t>He then poses in front of a scoreboard while people take photographs.</t>
  </si>
  <si>
    <t>v_ODblEia5mcI</t>
  </si>
  <si>
    <t>A man makes repairs to a bicycle on the hardwood floors of a bedroom while two cats look on.</t>
  </si>
  <si>
    <t>A man enters a bedroom and takes a part a bicycle on his bedroom floor.</t>
  </si>
  <si>
    <t>The man then makes repairs using tools while two cats walk around the periphery watching and moving around.</t>
  </si>
  <si>
    <t>The man produces a lot of black dust while making the repairs to the bicycle, and he eventually leaves the room, comes back and then leaves again as one cat approaches the area the man was working from.</t>
  </si>
  <si>
    <t>v_Jt-DIHv8YK8</t>
  </si>
  <si>
    <t>A kid in a blue shirt is long boarding.</t>
  </si>
  <si>
    <t>He falls off and onto the street.</t>
  </si>
  <si>
    <t>He keeps going down the street on his long board.</t>
  </si>
  <si>
    <t>v_HoybOj2Ro7o</t>
  </si>
  <si>
    <t>A camera zooms in on various foods and ingredients as well as a pan on a stove.</t>
  </si>
  <si>
    <t>A person wearing gloves is seen spreading food onto a plate followed by a large pastry and spreading butter on it.</t>
  </si>
  <si>
    <t>The person continues making layers and then undoes the cake and shows off the solid cake.</t>
  </si>
  <si>
    <t>She takes tape out and then rolls out more dough and spreads it along the cake, showing off the finished result.</t>
  </si>
  <si>
    <t>v_L73C-2b0yEw</t>
  </si>
  <si>
    <t>A man stand on front a table full of objects while people listen to the man.</t>
  </si>
  <si>
    <t>A woman exhibit granola bars and explains to people around the table.</t>
  </si>
  <si>
    <t>Then, a person put wax on skis with an electric small machine in a room full of skis.</t>
  </si>
  <si>
    <t>v_nvsZFU73npI</t>
  </si>
  <si>
    <t>man is interviewing some people who is watching two women in bikini wrestling, the woman wins and start jumping.</t>
  </si>
  <si>
    <t>two women in bikini are standing with a dwarf and he is winning the fight while the interviewer is talking to people in the audience.</t>
  </si>
  <si>
    <t>women in bikini are preparing to wrest in the ring.</t>
  </si>
  <si>
    <t>some clips of youtube videos are shown.</t>
  </si>
  <si>
    <t>v_c21Y_pi3-Gg</t>
  </si>
  <si>
    <t>Several close ups of sandwiches are seen as well as a person cutting up meat and vegetables.</t>
  </si>
  <si>
    <t>The person cuts up bread following by laying various ingredients on the bread.</t>
  </si>
  <si>
    <t>The person closes the bread to make sandwiches followed by putting them in a french press and presenting them to the camera.</t>
  </si>
  <si>
    <t>v_xBtOxEIETtk</t>
  </si>
  <si>
    <t>A man is seen performing break dancing moves in the middle of a city square while people walk in and out of frame.</t>
  </si>
  <si>
    <t>The man continues to dance around and hold poses while looking back to the camera.</t>
  </si>
  <si>
    <t>v_12qgT1JASV4</t>
  </si>
  <si>
    <t>Two people does kick box in a boxing ring on front a crowd, while the referee turns around the boxers.</t>
  </si>
  <si>
    <t>The referee fix the helmet of the boxer.</t>
  </si>
  <si>
    <t>A stick fly and lands on the boxing ring.</t>
  </si>
  <si>
    <t>v_DyVqsDJYXdM</t>
  </si>
  <si>
    <t>A play the is part of a cricket game is shown on the screen.</t>
  </si>
  <si>
    <t>They players in the cricket game are shown celebrating and interacting with one another.</t>
  </si>
  <si>
    <t>A replay is shown and stats are then shown on the screen.</t>
  </si>
  <si>
    <t>The game continues with another play and a replay is shown of that play.</t>
  </si>
  <si>
    <t>Another play is shown and a replay of that play is shown as well.</t>
  </si>
  <si>
    <t>The next play is shown an the team begins to celebrate before a replay of that play is shown.</t>
  </si>
  <si>
    <t>The next play is shown and then the video ends.</t>
  </si>
  <si>
    <t>v_AdXXy6WTVi0</t>
  </si>
  <si>
    <t>A camera pans around a beach area followed by people walking with a surf board and proceeding to do tricks on the water.</t>
  </si>
  <si>
    <t>The camera captures the men performing different tricks as well as swimming in the ocean and moving in slow motion.</t>
  </si>
  <si>
    <t>v_M2pxaQiBbXA</t>
  </si>
  <si>
    <t>A water polo game is shown, with one player highlighted.</t>
  </si>
  <si>
    <t>A man dressed in white walks back and forth by the poolside in the background.</t>
  </si>
  <si>
    <t>A man dressed in white is shown standing in the foreground and gesturing.</t>
  </si>
  <si>
    <t>v_9yiXv7Hu5Lw</t>
  </si>
  <si>
    <t>A man dressed in yellow and black winter clothes ice fishes on a a frozen lake.</t>
  </si>
  <si>
    <t>The man is reeling in a fish for a long time.</t>
  </si>
  <si>
    <t>The mans catch finally reaches the surface.</t>
  </si>
  <si>
    <t>v_2cc7BoZHEJI</t>
  </si>
  <si>
    <t>People are playing a game of water polo in a swimming pool.</t>
  </si>
  <si>
    <t>A woman standing on the side of the pool is talking to the camera.</t>
  </si>
  <si>
    <t>A man blows a whistle on the side of the swimming pool.</t>
  </si>
  <si>
    <t>v_Y_QRRCIujIc</t>
  </si>
  <si>
    <t>A young man is shown in a room playing ping pong.</t>
  </si>
  <si>
    <t>At one point he shrugs his shoulders while waiting for his opponent to start.</t>
  </si>
  <si>
    <t>The video continues to show the man playing ping pong, and at times stopping due to the ball leaving the table.</t>
  </si>
  <si>
    <t>The video ends as the man comes up to the camera to turn it off.</t>
  </si>
  <si>
    <t>v_cYLIJC6QjQA</t>
  </si>
  <si>
    <t>There are several people in a park participating in outdoor activities.</t>
  </si>
  <si>
    <t>There is a person biking on a tight rope, trying to balance as he falls off towards the end of the rope.</t>
  </si>
  <si>
    <t>There are children running around on the ground.</t>
  </si>
  <si>
    <t>There's another man walking on the tight rope.</t>
  </si>
  <si>
    <t>There are also many people sitting on the ground as they watch the activities.</t>
  </si>
  <si>
    <t>One man continues to walk and jump and bounce on the tight rope, doing stunts as the people watch him.</t>
  </si>
  <si>
    <t>There is a bicycle fallen on the ground with its wheels turning fast.</t>
  </si>
  <si>
    <t>v_yqOW5LBA81w</t>
  </si>
  <si>
    <t>A man cuts the hedge of a house using a trimmer.</t>
  </si>
  <si>
    <t>The man stops cutting and pulls the wire of the trimmer and continues cutting.</t>
  </si>
  <si>
    <t>v_agIcVWDyeH0</t>
  </si>
  <si>
    <t>A young boy is seen sitting on a chair talking to the camera.</t>
  </si>
  <si>
    <t>He shows that his arm is in a cast and putting on his socks and shoes.</t>
  </si>
  <si>
    <t>He finally ties his shoes and looks back at the camera.</t>
  </si>
  <si>
    <t>v_9_7Z6Nhkzx8</t>
  </si>
  <si>
    <t>A few children are dressed up to go out on dirtbikes.</t>
  </si>
  <si>
    <t>The children do jumps and make fast turns.</t>
  </si>
  <si>
    <t>An onboard camera captures all of the fun.</t>
  </si>
  <si>
    <t>v_jCyrQzXK4eI</t>
  </si>
  <si>
    <t>A young man is painting the fence.</t>
  </si>
  <si>
    <t>A man in white shirt came up to the man in stripes and talk to him.</t>
  </si>
  <si>
    <t>The man in stripes painted the bread, then he is talking in his cellphone.</t>
  </si>
  <si>
    <t>v_MeGHSbUpM-U</t>
  </si>
  <si>
    <t>There are two people sailing on a speed boat through the ocean on a sunny day.</t>
  </si>
  <si>
    <t>They go through the ocean water steadily and at high speed.</t>
  </si>
  <si>
    <t>One of the sailors pulls a red rope as he wake boards on the steam boat.</t>
  </si>
  <si>
    <t>They speed through the water to catch up with another boat that is ahead of them.</t>
  </si>
  <si>
    <t>Several other steam boats pass by them as they sail through the ocean.</t>
  </si>
  <si>
    <t>v_a073aSPGTIw</t>
  </si>
  <si>
    <t>A woman is in a home gym, talking to the camera.</t>
  </si>
  <si>
    <t>She demonstrates how to use exercise equipment, pedalling and pulling ropes, even while sitting at a computer.</t>
  </si>
  <si>
    <t>She talks to the camera for an extended period, peppered with training on the equipment.</t>
  </si>
  <si>
    <t>v_rmGvgGOkqyk</t>
  </si>
  <si>
    <t>The audience look on at the games.</t>
  </si>
  <si>
    <t>A guy run with a thin, elongated stick and throws the stick.</t>
  </si>
  <si>
    <t>The guy sticks out his tongue.</t>
  </si>
  <si>
    <t>The guy holds his lips together and raises his hand.</t>
  </si>
  <si>
    <t>The guy smiles and puts a cloth down.</t>
  </si>
  <si>
    <t>v_k5lyc7zsox8</t>
  </si>
  <si>
    <t>The Scottish Archery Association has gathered in their range with several people ready to participate in an event.</t>
  </si>
  <si>
    <t>the participants take turns to use their bow and arrow to aim art the target board placed several feet away from them.</t>
  </si>
  <si>
    <t>The archers aim their arrows and shoot at the target to aim for the bulls eye.</t>
  </si>
  <si>
    <t>v_uJbM9KQBXak</t>
  </si>
  <si>
    <t>A person is walking along a slack line.</t>
  </si>
  <si>
    <t>They are moving back and forth on the slack line.</t>
  </si>
  <si>
    <t>He turns around and starts walking in the other direction.</t>
  </si>
  <si>
    <t>v_eAFFf5cSX5c</t>
  </si>
  <si>
    <t>A man and a woman perform various dance moves back and fourth in an empty room.</t>
  </si>
  <si>
    <t>The couple continue to spin and perform the tango routine while the man spins her around behind him.</t>
  </si>
  <si>
    <t>v_i3u27-oJzBY</t>
  </si>
  <si>
    <t>A man is seen speaking to the camera while holding a wire in his hands.</t>
  </si>
  <si>
    <t>He continues to speak while using his hands and stepping around a carpeted area.</t>
  </si>
  <si>
    <t>He then uses a vacuum on the floors while still speaking to the camera.</t>
  </si>
  <si>
    <t>v_bNGldPjMYHc</t>
  </si>
  <si>
    <t>A clip is shown of a bunch of people white water rafting down some pretty tough river streams.</t>
  </si>
  <si>
    <t>They work in unison and it is very rough.</t>
  </si>
  <si>
    <t>They almost hit a rock as they all paddle very hard.</t>
  </si>
  <si>
    <t>A still show of them after making it through is shown with them cheering.</t>
  </si>
  <si>
    <t>A shot of them in slow motion of the most difficult parts is then shown.</t>
  </si>
  <si>
    <t>The video shows some more slow motion and fast motion before coming to an end and showing ending credits and a youtube channel name.</t>
  </si>
  <si>
    <t>v_fpVaXCwccNk</t>
  </si>
  <si>
    <t>A lady is standing and holding a hammer.</t>
  </si>
  <si>
    <t>The lady spins with the hammer and throws the hammer.</t>
  </si>
  <si>
    <t>The lady leaves after releasing the hammer.</t>
  </si>
  <si>
    <t>v_ap2XL5wma4c</t>
  </si>
  <si>
    <t>children are playing in an olimpic pool and a woman is talking to camera.</t>
  </si>
  <si>
    <t>kid is using sunscreen and a woman is talking about coppertone sunscreen recommended for kids.</t>
  </si>
  <si>
    <t>v_ecVUPpBNpdA</t>
  </si>
  <si>
    <t>A man speaks holding a microphone, then the man performs arm wrestling with a person.</t>
  </si>
  <si>
    <t>The man grabs a weigh and practice weight lifting with his left hand.</t>
  </si>
  <si>
    <t>After, the man takes his watch off and performs arm wrestling with the person and wins, then he jumps happily.</t>
  </si>
  <si>
    <t>v_nlHN3bO_MOQ</t>
  </si>
  <si>
    <t>A drum line is happening on a city street.</t>
  </si>
  <si>
    <t>They get in formation then start marching down the street.</t>
  </si>
  <si>
    <t>v_oL1gGyMz79s</t>
  </si>
  <si>
    <t>A man is bowling and misses one pin with his first ball.</t>
  </si>
  <si>
    <t>He gets all strikes for the next six rounds.</t>
  </si>
  <si>
    <t>The man switches balls and bowls several more rounds getting mostly strikes.</t>
  </si>
  <si>
    <t>He changes his ball again and bowls two more strikes.</t>
  </si>
  <si>
    <t>A replay of the man bowling with each ball is shown.</t>
  </si>
  <si>
    <t>v_w2fsq9BOoZo</t>
  </si>
  <si>
    <t>People are in a city walking, talking and doing activities.</t>
  </si>
  <si>
    <t>Two men play in the street paper, scissors and stone on front other people.</t>
  </si>
  <si>
    <t>A man talks with people watching him.</t>
  </si>
  <si>
    <t>v_qnDHR-jYWf0</t>
  </si>
  <si>
    <t>a man is shown inside a swimming pool.</t>
  </si>
  <si>
    <t>He tosses a ball over and over to his dog.</t>
  </si>
  <si>
    <t>The dog continuously bounces the ball back with his nose.</t>
  </si>
  <si>
    <t>v_HbF6UM4jUDk</t>
  </si>
  <si>
    <t>A woman in a green shirt is standing outside holding a hula hoop.</t>
  </si>
  <si>
    <t>She starts hula hooping with the hula hoop.</t>
  </si>
  <si>
    <t>Words come up onto the screen at the end.</t>
  </si>
  <si>
    <t>v_l9mvKfKACio</t>
  </si>
  <si>
    <t>A group of people are outside a ski resort entitled Boulder ridge and they begin to wait in line with their tubes.</t>
  </si>
  <si>
    <t>As they are waiting,they can see several people going down the hill and tubing before it is finally their turn.</t>
  </si>
  <si>
    <t>Once they reach the bottom,they grab their tube and begin to walk off the slope.</t>
  </si>
  <si>
    <t>v_2vixXUJiNhk</t>
  </si>
  <si>
    <t>An intro video with a blue screen that has a picture of a drawn ship is in the background while yellow words scroll from the bottom to the top.</t>
  </si>
  <si>
    <t>A view from the water begins and a few houses and a lot of trees are shown on land.</t>
  </si>
  <si>
    <t>A person underwater in snorkeling gear is now swimming around the bottom of the water and meets up with another snorkeler and they both go into a ship that is underwater as they both hold their flashlights and cameras to explore the ship and everything else at the bottom of the water.</t>
  </si>
  <si>
    <t>A school of fishes appear and they're swimming and hanging around the boat.</t>
  </si>
  <si>
    <t>The focus goes back to the snorkelers as they continue to explore the area with their flashlights.</t>
  </si>
  <si>
    <t>The outro video appears and it's the same blue picture as the intro and includes some contact information on the video and the credits begin to roll with the text scrolling from bottom to top.</t>
  </si>
  <si>
    <t>v_CTmXCO7ha-Y</t>
  </si>
  <si>
    <t>A man is seated, playing a guitar.</t>
  </si>
  <si>
    <t>Close ups are occasionally shown of the instrument, then back to the man playing.</t>
  </si>
  <si>
    <t>v_PU6f-DcDngM</t>
  </si>
  <si>
    <t>People are playing a polo match in a field.</t>
  </si>
  <si>
    <t>The focus is on one man and horse who chase the ball.</t>
  </si>
  <si>
    <t>The camera stays on number 2 the whole time.</t>
  </si>
  <si>
    <t>v_XkTWEDKtP1A</t>
  </si>
  <si>
    <t>A man named bob is running and does a long jump.</t>
  </si>
  <si>
    <t>He does it again landing into some sand.</t>
  </si>
  <si>
    <t>He continues to do this run and jump again landing like a pro.</t>
  </si>
  <si>
    <t>Then another man named ralph is going to take his own turn next.</t>
  </si>
  <si>
    <t>v_q4jeW0iSA9Y</t>
  </si>
  <si>
    <t>Various text intros lead into several people running down a long track.</t>
  </si>
  <si>
    <t>The camera captures the runners from several angles and leads into them performing jumps.</t>
  </si>
  <si>
    <t>The runners continuously jump into the pit and end with text across the screen.</t>
  </si>
  <si>
    <t>v_eyfUkLbsixg</t>
  </si>
  <si>
    <t>A woman in a red suit is talking behind a desk.</t>
  </si>
  <si>
    <t>A man is standing up holding his foot behind is back.</t>
  </si>
  <si>
    <t>People are running down the sidewalk.</t>
  </si>
  <si>
    <t>A man in a blue shirt is talking to the camera.</t>
  </si>
  <si>
    <t>A woman in a black shirt is talking to the camera.</t>
  </si>
  <si>
    <t>People are running down a trail.</t>
  </si>
  <si>
    <t>v_oxcUr-Nlldo</t>
  </si>
  <si>
    <t>We see men walking down the street and a skateboarder fall.</t>
  </si>
  <si>
    <t>We see club kids and skateboarders with title screens.</t>
  </si>
  <si>
    <t>We see men skateboard down a street and stand around in groups.</t>
  </si>
  <si>
    <t>A man jumps over stairs and runs into the camera.</t>
  </si>
  <si>
    <t>A man falls and another runs into the camera.</t>
  </si>
  <si>
    <t>We see a man wave and another on a bull horn.</t>
  </si>
  <si>
    <t>The club lights flash and a band plays music as people dance.</t>
  </si>
  <si>
    <t>We see the credits and more skating.</t>
  </si>
  <si>
    <t>v_JRg3W4xKvJI</t>
  </si>
  <si>
    <t>An intro clip appears and it's an animation of a gray rocking chair rocking on a very light gray screen that have orange words that say "THE Strippers!" and the white letters M&amp;R in a dark blue oval.</t>
  </si>
  <si>
    <t>Clips of the shop exterior and interior are shown and it includes a person in an office, people in the shop working on the wood pieces, people being interviewed, wood supplies, and the finished wood pieces themselves.</t>
  </si>
  <si>
    <t>The outro appears and it's the video clip of the workers working on the wood pieces, and text appear on the screen that include the shops address, email, website and phone number, the exterior shop is shown again.</t>
  </si>
  <si>
    <t>The last screen is the light gray screen first shown and include the company name, number and the website.</t>
  </si>
  <si>
    <t>v_SOpFjnAT_SE</t>
  </si>
  <si>
    <t>A girl sits in front of a lap top.</t>
  </si>
  <si>
    <t>She is smoking a hookah with a red tip, and blowing the smoke out of her mouth.</t>
  </si>
  <si>
    <t>She laughs, then shares the hookah with another woman, who changes the tip and smokes as well.</t>
  </si>
  <si>
    <t>The women talk and smoke at the table for a long time.</t>
  </si>
  <si>
    <t>v_76RoR_LbIzQ</t>
  </si>
  <si>
    <t>Pictures of an office is shown.</t>
  </si>
  <si>
    <t>A woman is doing another woman's hair.</t>
  </si>
  <si>
    <t>People are doing hair in a hair salon.</t>
  </si>
  <si>
    <t>v_R7QwxoVTtE0</t>
  </si>
  <si>
    <t>A woman is seen speaking to the camera while holding various objects in her hands and begins spraying down a window in front of her.</t>
  </si>
  <si>
    <t>The woman wipes down the window with a rag as well as a scraper and continues to look back and speak to the camera.</t>
  </si>
  <si>
    <t>v_-06dWmCzbxY</t>
  </si>
  <si>
    <t>A person rides down a rapid on an inter tube in a group of friends on a rocky river.</t>
  </si>
  <si>
    <t>The people in the intertubes are helped along by a river guides in polo shirt.</t>
  </si>
  <si>
    <t>v_BetFWvm92nM</t>
  </si>
  <si>
    <t>A girl pours liquid from a bottle to a cup that holds a young lady, then they rinse their mouths while making gestures and laughing.</t>
  </si>
  <si>
    <t>After, the young lady spits the liquid and then she pock the cheek of the girl who spits.</t>
  </si>
  <si>
    <t>Next, the girl turns on the faucet of the bathtub and bend, after the girl turns off the faucet and clean her hands while speaking.</t>
  </si>
  <si>
    <t>v_YgrWck47C-g</t>
  </si>
  <si>
    <t>We see a man talking.</t>
  </si>
  <si>
    <t>The man wets his hands and adds soap.</t>
  </si>
  <si>
    <t>We see the man wash his hands.</t>
  </si>
  <si>
    <t>The man rinses his hands.</t>
  </si>
  <si>
    <t>The man drys his hands and turns the water off with the paper towel.</t>
  </si>
  <si>
    <t>v_xIAq1OdWQM0</t>
  </si>
  <si>
    <t>Several young men practice long jumps, and backward jumps inside of a gym with an American Flag hanging on the wall.</t>
  </si>
  <si>
    <t>A man practices a long jump inside of an indoor gym using a interior sandbox for landing and a drawn race track isle.</t>
  </si>
  <si>
    <t>Another man practices hurling himself backward over a pole onto a gym mat inside of the gym.</t>
  </si>
  <si>
    <t>Several more men practice long jumps and backward jumps inside of the gym using the sandbox and gym mats as landing tools.</t>
  </si>
  <si>
    <t>v_PziLzNjG2bI</t>
  </si>
  <si>
    <t>There are two contestants participating in the athletic jump competition.</t>
  </si>
  <si>
    <t>There are several spectators and judges watching them as they jump over the bar in a large indoor stadium.</t>
  </si>
  <si>
    <t>Both the contestants successfully jump over the bar.</t>
  </si>
  <si>
    <t>There is a slow motion video of the contestant jumping over the bar.</t>
  </si>
  <si>
    <t>v_3vs3ofTw1vY</t>
  </si>
  <si>
    <t>There are several people getting ready to ski.</t>
  </si>
  <si>
    <t>There's a person skiing downhill with full speed whose shadow can be seen.</t>
  </si>
  <si>
    <t>There are people sitting and waiting on top of a mountain waiting to start skiing.</t>
  </si>
  <si>
    <t>The skier going fast downhill is demonstrating how to turn and manage speed while going downhill.</t>
  </si>
  <si>
    <t>There are some people walking toward the ski mountain on a escalator.</t>
  </si>
  <si>
    <t>The skier continues to ski downhill steadily on steep and winding slopes.</t>
  </si>
  <si>
    <t>v_QrsOyEw4_7k</t>
  </si>
  <si>
    <t>There's a girl with light eyes and dark brown hair talking about a colored eye lenses.</t>
  </si>
  <si>
    <t>She is doing a tutorial on how to wear colored lenses in your eyes.</t>
  </si>
  <si>
    <t>She opens a small glass bottle that contains the colored lenses.</t>
  </si>
  <si>
    <t>She removes the lens out and places it on her finger.</t>
  </si>
  <si>
    <t>Then she gently wears the lens in her right eye first and then in her left eye.</t>
  </si>
  <si>
    <t>She shows the yellow colored lens that she has worn.</t>
  </si>
  <si>
    <t>v_L7Gt1NO1nx8</t>
  </si>
  <si>
    <t>We see the title over the scene.</t>
  </si>
  <si>
    <t>We see the reverse of a man is mowing his lawn with an electric mower.</t>
  </si>
  <si>
    <t>The man goes halfway up the yard and turns around.</t>
  </si>
  <si>
    <t>The ending title returns to the screen.</t>
  </si>
  <si>
    <t>v_nARkYpOZWyg</t>
  </si>
  <si>
    <t>A man rides on a small rail cart blowing leaves with a leaf blower.</t>
  </si>
  <si>
    <t>The man goes right on a fork in the tracks on a cart and around a bend.</t>
  </si>
  <si>
    <t>v_0zXTrkgUj0U</t>
  </si>
  <si>
    <t>A young child uses a toy vacuum cleaner on a wood floor.</t>
  </si>
  <si>
    <t>The mom comes and helps the child.</t>
  </si>
  <si>
    <t>v_EZZzVXqxG6U</t>
  </si>
  <si>
    <t>Multiple men begin to start turning their bodies as quickly as they possibly can.</t>
  </si>
  <si>
    <t>They each in different situations but all playing the same sport.</t>
  </si>
  <si>
    <t>They build up as much speed as possible so they can throw as far as possible.</t>
  </si>
  <si>
    <t>There are even audience for this sport that actually come to watch it.</t>
  </si>
  <si>
    <t>v_8klHUzPHtQw</t>
  </si>
  <si>
    <t>We see a BMX biker as he prepares to to ride.</t>
  </si>
  <si>
    <t>We see the gate open and see the field.</t>
  </si>
  <si>
    <t>The rider takes off down the course.</t>
  </si>
  <si>
    <t>We see riders perform jumps and people riding bikes.</t>
  </si>
  <si>
    <t>We see another start and a group of people take off in an indoor track.</t>
  </si>
  <si>
    <t>We see shots of men riding outdoors and another gate opens.</t>
  </si>
  <si>
    <t>We see a bike laying on it's side.</t>
  </si>
  <si>
    <t>v_7xLL5okHSIU</t>
  </si>
  <si>
    <t>A intro begins and shows a man holding a shovel and talking to the camera.</t>
  </si>
  <si>
    <t>He gradually rakes leaves and talks to the camera and shows several people also helping picking up leaves.</t>
  </si>
  <si>
    <t>Different people are interviewed on camera while several others are shown raking up the leaves.</t>
  </si>
  <si>
    <t>A man is seen sitting in his car and another puts his gloves on.</t>
  </si>
  <si>
    <t>The camera pans over the raked up leaves while several others discuss their hard work.</t>
  </si>
  <si>
    <t>v_kTStFRAp99E</t>
  </si>
  <si>
    <t>We see two girls one sitting the other bending over.</t>
  </si>
  <si>
    <t>The bending girl stands up.</t>
  </si>
  <si>
    <t>We see a person painting the sitting girls toe nails.</t>
  </si>
  <si>
    <t>v_QTD0vCdofTE</t>
  </si>
  <si>
    <t>little kid is in a parking playing hopscotch next to cars.</t>
  </si>
  <si>
    <t>man wearing shorts is standing next to the hopscotch game.</t>
  </si>
  <si>
    <t>litle blond kid is standing in street playing in font of a man.</t>
  </si>
  <si>
    <t>v_RX8YG2zlyUo</t>
  </si>
  <si>
    <t>There are horses, and they are getting off a trailer.</t>
  </si>
  <si>
    <t>They go to ride through the desert, through different portions of the desert.</t>
  </si>
  <si>
    <t>v_vfJnUQ9Tax0</t>
  </si>
  <si>
    <t>A woman is seen washing her hands under a sink with a light appearing in the water for temperature.</t>
  </si>
  <si>
    <t>The person continues scrubbing their hands and shakes them off in the end.</t>
  </si>
  <si>
    <t>v_4wIqgWw53XE</t>
  </si>
  <si>
    <t>People sail on sailboards in the ocean.</t>
  </si>
  <si>
    <t>A man sails on a sailboard passing on front other sailors.</t>
  </si>
  <si>
    <t>A plane fly above the beach where people sail.</t>
  </si>
  <si>
    <t>A woman takes picture of the city from a hill.</t>
  </si>
  <si>
    <t>v_BxyOAXTWkzk</t>
  </si>
  <si>
    <t>Several people are seen in different scenes, walking in public.</t>
  </si>
  <si>
    <t>A man helps a woman mount a horse in the woods.</t>
  </si>
  <si>
    <t>She feeds the horse apples as they ride through the wooded paths.</t>
  </si>
  <si>
    <t>v_BVzW_OoUmnU</t>
  </si>
  <si>
    <t>A boy is standing out in the woods holding a piece of bark and talking to the camera.</t>
  </si>
  <si>
    <t>A woman is seen making a stack of logs while the boy walks into frame.</t>
  </si>
  <si>
    <t>She continues lighting the stick until a flame begins and puts it into the fire.</t>
  </si>
  <si>
    <t>The fire gradually gets bigger and the woman puts more and more bark into it.</t>
  </si>
  <si>
    <t>v_aj2cioE_yG0</t>
  </si>
  <si>
    <t>A man is seen wearing a red shirt and standing next to a fooseball table.</t>
  </si>
  <si>
    <t>The man plays a bit followed by holding up a beer can and presenting it to the camera.</t>
  </si>
  <si>
    <t>The man then continues to play while the camera zooms in on the table.</t>
  </si>
  <si>
    <t>v_Zhfm2dWtnpc</t>
  </si>
  <si>
    <t>A man runs all around doing jump rope while the crowd cheers.</t>
  </si>
  <si>
    <t>Some people are crawling around in the background on the floor.</t>
  </si>
  <si>
    <t>The man finishes the routine and then runs over to hug a woman.</t>
  </si>
  <si>
    <t>v_t2wawfMaTzM</t>
  </si>
  <si>
    <t>Two kids are seen standing around in indoor room holding tennis rackets.</t>
  </si>
  <si>
    <t>The camera pans around to children hitting the ball holding tennis rackets.</t>
  </si>
  <si>
    <t>The kids continue to hit the ball around one another.</t>
  </si>
  <si>
    <t>v_Chj1_JbBc4A</t>
  </si>
  <si>
    <t>A small group of people are seen standing with one another and leads into them running and playing a game of paintball.</t>
  </si>
  <si>
    <t>The cameraman aims all around him from capturing others and shooting several times off into the distance.</t>
  </si>
  <si>
    <t>The game continues on with the man running around and stopping in the end.</t>
  </si>
  <si>
    <t>v_88Mt7VfUQBU</t>
  </si>
  <si>
    <t>A man is kneeling down on a blue mat.</t>
  </si>
  <si>
    <t>Another man kneels down on the ground next to him.</t>
  </si>
  <si>
    <t>The man lifts up one end of a weight and lifts it over his head.</t>
  </si>
  <si>
    <t>v_2DTwoKZsLMo</t>
  </si>
  <si>
    <t>A man wearing black socks is shown putting his black leather shoes on and tying his laces.</t>
  </si>
  <si>
    <t>There's another person wearing brown leather shoes on black socks.</t>
  </si>
  <si>
    <t>He ties the laces tightly to secure them.</t>
  </si>
  <si>
    <t>Then another scene shows a person wearing leather slip on shoes over black socks.</t>
  </si>
  <si>
    <t>Followed by several scenes showing the person wearing brown leather shoes with laces.</t>
  </si>
  <si>
    <t>He wears the shoes over black socks and ties the shoe laces securely.</t>
  </si>
  <si>
    <t>He then stands up after he's done wearing the brown leather shoes.</t>
  </si>
  <si>
    <t>v_3HUvtWSu4mA</t>
  </si>
  <si>
    <t>A person's hands are seen clipping the nails of a cat while the cat struggles a bit.</t>
  </si>
  <si>
    <t>More shots of her clipping the cat are shown and at one point he moves and she grabs him by the neck.</t>
  </si>
  <si>
    <t>v_i9t0zZzzbhE</t>
  </si>
  <si>
    <t>men are in a stadium cleaning te snow from the stands.</t>
  </si>
  <si>
    <t>men are riding horses in snowy field.</t>
  </si>
  <si>
    <t>men are puting boots and polo uniforms.</t>
  </si>
  <si>
    <t>women are standing in a field walking and sitting on stands.</t>
  </si>
  <si>
    <t>men are playing polo in snowy field while people is around watching them.</t>
  </si>
  <si>
    <t>v_GejFc4J2mfc</t>
  </si>
  <si>
    <t>A young man wearing a tie die shirt is seen speaking to the camera and then shows him picking out some clothes.</t>
  </si>
  <si>
    <t>He shows off his legs and then runs an electric razor down his legs shaving off the hair.</t>
  </si>
  <si>
    <t>He then puts shaving cream on his legs and shaves them, finally showing off his bare legs in the end and speaking to the camera.</t>
  </si>
  <si>
    <t>v_A9uBPwP7DQc</t>
  </si>
  <si>
    <t>We see astronauts floating in a ship.</t>
  </si>
  <si>
    <t>The man hands the lady the microphone.</t>
  </si>
  <si>
    <t>The middle man crosses his hands and has the microphone.</t>
  </si>
  <si>
    <t>The lady gets the microphone back and talks.</t>
  </si>
  <si>
    <t>The lady grabs flute and plays.</t>
  </si>
  <si>
    <t>v_bXp_reTHyHY</t>
  </si>
  <si>
    <t>A woman is seen walking with a horse and pans around to another girl walking away.</t>
  </si>
  <si>
    <t>More girls are seen holding a product and speaking to the camera and leads into the girls showing how to clean the horse and brushing the horse.</t>
  </si>
  <si>
    <t>v_PhioVMXx0yY</t>
  </si>
  <si>
    <t>A man is using an elliptical trainer while standing.</t>
  </si>
  <si>
    <t>Then a woman sits on it as she uses it in another fashion.</t>
  </si>
  <si>
    <t>It switches between the two as they exercise.</t>
  </si>
  <si>
    <t>A close up is shown as to how the machine works, and folds up for easy storage.</t>
  </si>
  <si>
    <t>v_AUSqTMtjD0Y</t>
  </si>
  <si>
    <t>A man and boy are outside on a driveway.</t>
  </si>
  <si>
    <t>They are competing to see how fast they can shovel snow off the driveway.</t>
  </si>
  <si>
    <t>They run back and forth as fast as they can.</t>
  </si>
  <si>
    <t>v_kgPvfYhmn54</t>
  </si>
  <si>
    <t>A group of people are floating on rafts on a river.</t>
  </si>
  <si>
    <t>They are paddling the rafts through harsh white water rapids.</t>
  </si>
  <si>
    <t>The people fall out, and are pulled back in by other rafters before continuing on their way.</t>
  </si>
  <si>
    <t>v_o9LZZeQZ-Zc</t>
  </si>
  <si>
    <t>A man is seen speaking to the camera while sitting in a kayak and holding a toy person on a kayak around in his lap.</t>
  </si>
  <si>
    <t>The man continues to speak to the camera while holding the object and leads into him riding around in the kayak.</t>
  </si>
  <si>
    <t>v_mXM5FOi_OoM</t>
  </si>
  <si>
    <t>A man is seen outside in front of a porch pushing a mower back and fourth.</t>
  </si>
  <si>
    <t>He runs the mower along the grass and moves up and down the lawn.</t>
  </si>
  <si>
    <t>v_iDofsMwceTo</t>
  </si>
  <si>
    <t>A man is wearing a suit and speaking and the words on the screen say that his name is Rich Noonan and that he's the host of Best of The Best Television.</t>
  </si>
  <si>
    <t>A series still shot pictures of homes, people, stucco work being done on a home, a list of stucco information begin to play and the opening words before the pictures start say "BEST OF THE BEST TELEVISION".</t>
  </si>
  <si>
    <t>When the pictures are done a dark gray screen appears that include the name of the stucco company, their phone number and their website.</t>
  </si>
  <si>
    <t>The host appears talking once again and it ends with the words a screen saying BEST OF THE BEST TELEVISION and then a screen naming the producer and his website.</t>
  </si>
  <si>
    <t>v_0z7qHOca3D4</t>
  </si>
  <si>
    <t>An introduction graphic is seen with title.</t>
  </si>
  <si>
    <t>A large empty beach is seen seen from the shore.</t>
  </si>
  <si>
    <t>A bird is seen walking along the shoreline.</t>
  </si>
  <si>
    <t>A group rides horses along the coast line together.</t>
  </si>
  <si>
    <t>Different species of flowers are seen.</t>
  </si>
  <si>
    <t>The group rides up along the bluffs.</t>
  </si>
  <si>
    <t>A female rider rides near the waters edge.</t>
  </si>
  <si>
    <t>The group rides through loose sand and the horses kick it up into the air.</t>
  </si>
  <si>
    <t>The group rides along a dune section and through some low vegetation.</t>
  </si>
  <si>
    <t>The group rides at a gallup through the water and along the beach.</t>
  </si>
  <si>
    <t>The riders ride slowly and then it becomes later in the day and the sun is getting low.</t>
  </si>
  <si>
    <t>The beach is seen from a distance as the sun has set.</t>
  </si>
  <si>
    <t>v_Yojuicji624</t>
  </si>
  <si>
    <t>Some white text on a black background explains that no humans were injured during this video.</t>
  </si>
  <si>
    <t>A young man is making some faces to the camera while standing in front of a rock.</t>
  </si>
  <si>
    <t>Some footage plays of other people tight rope walking and doing other tricks on the tight rope.</t>
  </si>
  <si>
    <t>An older man is riding a tiny bicycle inside a store.</t>
  </si>
  <si>
    <t>More footage is shown of tight rope walkers tripping and falling.</t>
  </si>
  <si>
    <t>Some graphics from the organizations who made the video are shown.</t>
  </si>
  <si>
    <t>v_1pOmOTz-bzk</t>
  </si>
  <si>
    <t>A person is seen riding along the water in a kayak.</t>
  </si>
  <si>
    <t>The person uses a paddle to push themselves around the water while looking off into the distance.</t>
  </si>
  <si>
    <t>The person continues riding around flipping in the water and moving away from the camera.</t>
  </si>
  <si>
    <t>v_QN2wHsiBEC0</t>
  </si>
  <si>
    <t>A man, with a saxophone around his neck, demonstrates how to play the saxophone in front of a green chalkboard and next to a brown piano.</t>
  </si>
  <si>
    <t>The man points to different sections of the saxophone as he talks to the camera.</t>
  </si>
  <si>
    <t>The man begins to play the saxophone briefly and then turns to the chalkboard and begins to write notes on it as he talks to the camera.</t>
  </si>
  <si>
    <t>The man points to notes written on the chalkboard before beginning to play as he reads the notes from the board, before returning to talking and playing in front of the camera.</t>
  </si>
  <si>
    <t>v_A_SU2jjfMJk</t>
  </si>
  <si>
    <t>A person walks into the view of the camera where there is an orange toy laying on the floor.</t>
  </si>
  <si>
    <t>The person begins to wipe their feet vigorously on the toy.</t>
  </si>
  <si>
    <t>The person kicks the toy away as the they finish wiping their feet on the toy.</t>
  </si>
  <si>
    <t>v_iKuBIzUHxYc</t>
  </si>
  <si>
    <t>A seated man is talking to a room full of soccer players.</t>
  </si>
  <si>
    <t>They kick the ball around in their locker room.</t>
  </si>
  <si>
    <t>The man talks to the camera about the game.</t>
  </si>
  <si>
    <t>He walks out, and a game is shown in progress as he discusses it longer.</t>
  </si>
  <si>
    <t>Men are shown talking, playing the game, and posing for a team photograph at the end.</t>
  </si>
  <si>
    <t>v_akMN3uX51Ws</t>
  </si>
  <si>
    <t>Teens skateboard on the road and a parking lot during the day.</t>
  </si>
  <si>
    <t>The teens skateboard in the street day and night.</t>
  </si>
  <si>
    <t>Teens skateboard in a busy street, then they skateboard on the rails of a building.</t>
  </si>
  <si>
    <t>After, the teens skateboard day and night in the street.</t>
  </si>
  <si>
    <t>v_NM4nBojCSwQ</t>
  </si>
  <si>
    <t>A man is seen holding up a shirt to the camera while the cameraman speaks and pans back to the man with the shirt.</t>
  </si>
  <si>
    <t>The man holding speaking and points to an iron near him.</t>
  </si>
  <si>
    <t>He picks up the iron waiting for it to get hot, then proceeds to iron his shirt while looking at the camera.</t>
  </si>
  <si>
    <t>v_2PAVJbmj2lQ</t>
  </si>
  <si>
    <t>A small group of people are seen standing around a gymnasium with one running down and shooting a basket.</t>
  </si>
  <si>
    <t>Several more people are seen running down the lane and shooting a basket above them.</t>
  </si>
  <si>
    <t>More girls run down to shoot a basket and end by walking back together.</t>
  </si>
  <si>
    <t>v_vdYFwqfqgJA</t>
  </si>
  <si>
    <t>A still image of a hockey team is shown and a number seven is shown across the screen.</t>
  </si>
  <si>
    <t>A circle then highlights the player and the game begins.</t>
  </si>
  <si>
    <t>As the game keeps going,the athlete is pictured several times when he does something spectacular.</t>
  </si>
  <si>
    <t>v_NwfosNrFnwk</t>
  </si>
  <si>
    <t>A man holding a pole runs quickly towards the finish line and throws it quite far.</t>
  </si>
  <si>
    <t>The athlete seems proud of his throw and his moment is shown again in slow motion.</t>
  </si>
  <si>
    <t>The commentator continues to discuss his technique while replaying the throw several times.</t>
  </si>
  <si>
    <t>v_C5KcdwGSvbw</t>
  </si>
  <si>
    <t>A person is pressing buttons on an oven.</t>
  </si>
  <si>
    <t>A girl pours ingredients into a bowl together.</t>
  </si>
  <si>
    <t>She mixes the ingredients using a mixer then puts more ingredients in the bowl.</t>
  </si>
  <si>
    <t>The mixes again and finally puts another small amount of ingredients in the bowl.</t>
  </si>
  <si>
    <t>She mixes a third time and adds chocolate chips, finally mixing one more time.</t>
  </si>
  <si>
    <t>The oven peeps and she prepares a pan with cookie dough.</t>
  </si>
  <si>
    <t>She puts the dough into the oven and presses bake options.</t>
  </si>
  <si>
    <t>After several minutes she takes out the pan and spread the cookies out.</t>
  </si>
  <si>
    <t>v_e1tC-0BSwV4</t>
  </si>
  <si>
    <t>Lemonade is seen being poured into a glass and a woman pouring out water.</t>
  </si>
  <si>
    <t>She mixes ingredients into a container and pours out more water.</t>
  </si>
  <si>
    <t>In the she she shows off her lemonade.</t>
  </si>
  <si>
    <t>v_G7kqlq8WhRo</t>
  </si>
  <si>
    <t>A large group of people is seen standing around several men holding a rope preparing to play tug of war.</t>
  </si>
  <si>
    <t>Another group of men is seen with pulling the rope while a crowd standing around cheers them on.</t>
  </si>
  <si>
    <t>A third group of men are seen playing tug of war with a crowd around them.</t>
  </si>
  <si>
    <t>A forth group of men is shown also playing tug of war in a crowd.</t>
  </si>
  <si>
    <t>A fifth group of men is shown playing tug of war in a crowd of people and dogs.</t>
  </si>
  <si>
    <t>A different group of men plays tug of war with a crowd watching.</t>
  </si>
  <si>
    <t>A seventh group of men is playing tug of war in a crowd.</t>
  </si>
  <si>
    <t>A different group of men is playing tug if war and appear to be winning while being cheered on by the crowd.</t>
  </si>
  <si>
    <t>Yet, another group of men is playing tug of war while a crowd watches on.</t>
  </si>
  <si>
    <t>Another group of men is shown playing tug if war up close while a crowd watches.</t>
  </si>
  <si>
    <t>Another group of men plays while people sit and stand in the background.</t>
  </si>
  <si>
    <t>A different group of men is seen playing while people sit and stand around them.</t>
  </si>
  <si>
    <t>A different group of men is shown up close while people sit and stand in the background.</t>
  </si>
  <si>
    <t>A group of men is shown up close playing tug of war with people around them.</t>
  </si>
  <si>
    <t>Another group of men is seen playing while people stand on the sidewalk watching.</t>
  </si>
  <si>
    <t>A group of men in all black plays tug of war while people stand around them.</t>
  </si>
  <si>
    <t>A different group of men plays tug of war among a large crowd cheering for them.</t>
  </si>
  <si>
    <t>Some of the men fall down as they win the game.</t>
  </si>
  <si>
    <t>Another group is seen up close with a crowd of people and a young girl screaming.</t>
  </si>
  <si>
    <t>v_sLtQvJXnrOE</t>
  </si>
  <si>
    <t>There's a guy wearing yellow rubber gloves demonstrating how to fix a tire on a car wheel.</t>
  </si>
  <si>
    <t>He is unscrewing the screws that hold the plates of the wheel.</t>
  </si>
  <si>
    <t>He loosens the screws to remove the tire.</t>
  </si>
  <si>
    <t>v_gY-TqRhcWY8</t>
  </si>
  <si>
    <t>A group of young men are inside a room.</t>
  </si>
  <si>
    <t>They are engaged in a game of foosball together.</t>
  </si>
  <si>
    <t>They laugh and kick the people back and forth.</t>
  </si>
  <si>
    <t>v_QRn9v8F8Nn0</t>
  </si>
  <si>
    <t>a sreet woth houses and cars covered by snow are shown.</t>
  </si>
  <si>
    <t>man is removing a thick layer of snow from a car.</t>
  </si>
  <si>
    <t>v_DfYDYCWkB-o</t>
  </si>
  <si>
    <t>A woman is seen speaking to the camera while sitting in a chair and leads to hear sitting in a shower holding a dog.</t>
  </si>
  <si>
    <t>She scrubs the dog down with soap and then rinses the dog off while speaking to the camera.</t>
  </si>
  <si>
    <t>She is then seen playing with the dog outside and intermittently speaking to the camera.</t>
  </si>
  <si>
    <t>v_rBEQh8V2TI8</t>
  </si>
  <si>
    <t>The words "Conga The Entertainers Dance Company Flemington New Jersey" appears on screen.</t>
  </si>
  <si>
    <t>Four young girls perform on stage at the "American Dance Championships.</t>
  </si>
  <si>
    <t>" The girls fall to the floor as part of the routine and continue to dance.</t>
  </si>
  <si>
    <t>v_rE2IiY5E8LQ</t>
  </si>
  <si>
    <t>A man stands around a giant ball.</t>
  </si>
  <si>
    <t>The man kneels down and takes hold of a ball.</t>
  </si>
  <si>
    <t>The man slides out with the ball, sliding the ball in front of him.</t>
  </si>
  <si>
    <t>A man is hit by the ball and falls down to the floor.</t>
  </si>
  <si>
    <t>The man stands up and starts walking.</t>
  </si>
  <si>
    <t>v_dNUZyM1gF1E</t>
  </si>
  <si>
    <t>Two teen boys are standing at a school playing rock, paper &amp; scissors and are surrounded by a large group of teens who are watching.</t>
  </si>
  <si>
    <t>A woman walks towards them to look at what they're doing then walks back out of the circle.</t>
  </si>
  <si>
    <t>A man then walks to the boys and stops them by putting his hands on each boy and walking them off.</t>
  </si>
  <si>
    <t>v_xI_XIVYtERk</t>
  </si>
  <si>
    <t>A moving cloudy sky with lightning appears before we see white text.</t>
  </si>
  <si>
    <t>Several people are shown close up, smoking cigarettes.</t>
  </si>
  <si>
    <t>Some talk to the camera.</t>
  </si>
  <si>
    <t>The video ends with the words South Beach Smoke.</t>
  </si>
  <si>
    <t>v_BFXSk5F0E_w</t>
  </si>
  <si>
    <t>A woman speaks to the camera, then it cuts to a little boy using a hula hoop.</t>
  </si>
  <si>
    <t>The woman shows colored tape used to wrap a hose around and create the tube herself.</t>
  </si>
  <si>
    <t>She shows off the final product, then the boy using the hula hoop again.</t>
  </si>
  <si>
    <t>v_9xC9rVAJHm8</t>
  </si>
  <si>
    <t>A woman is adjusting a camera in a bedroom.</t>
  </si>
  <si>
    <t>She is smoking a cigarette and ashing it into a tray.</t>
  </si>
  <si>
    <t>She grinds the cigarette into the tray when she is finished.</t>
  </si>
  <si>
    <t>v_UeH0TCDAbSU</t>
  </si>
  <si>
    <t>A woman doing a presentation on how to iron a shirt.</t>
  </si>
  <si>
    <t>She is discussing the shirt and brings out a startch spray.</t>
  </si>
  <si>
    <t>She begins to to use the spray on the shirt.</t>
  </si>
  <si>
    <t>She then rearranges the shirt.</t>
  </si>
  <si>
    <t>Next she demonstrates how to iron the shirt.</t>
  </si>
  <si>
    <t>She then shows how to get the harder creases out.</t>
  </si>
  <si>
    <t>Next she flips over the shirt and places the sleeve down.</t>
  </si>
  <si>
    <t>She then shows how to iron the sleeve.</t>
  </si>
  <si>
    <t>She then flips the shirt over.</t>
  </si>
  <si>
    <t>v_JLdp1Kz0naI</t>
  </si>
  <si>
    <t>A person is riding on a dirt bike.</t>
  </si>
  <si>
    <t>He sets up for a race.</t>
  </si>
  <si>
    <t>He starts racing on his dirt bike.</t>
  </si>
  <si>
    <t>Text appears on the screen as it fades.</t>
  </si>
  <si>
    <t>v_Iib8Qt_9HQc</t>
  </si>
  <si>
    <t>A man in a white shirt is standing in a gym.</t>
  </si>
  <si>
    <t>He sits on an exercise machine and starts working out.</t>
  </si>
  <si>
    <t>He finishes and puts the bar down.</t>
  </si>
  <si>
    <t>v__uTNqQhQA9w</t>
  </si>
  <si>
    <t>A lady dances and speaks indoors.</t>
  </si>
  <si>
    <t>The lady mixes all the ingredients and bakes colorful layers for a cake.</t>
  </si>
  <si>
    <t>The lady added a lot of colorful embellishment to the layered cake.</t>
  </si>
  <si>
    <t>The lady goes outside to a rabbit cage.</t>
  </si>
  <si>
    <t>v_B_-jPPr2RLA</t>
  </si>
  <si>
    <t>Two young boys stand on a residential driveway.</t>
  </si>
  <si>
    <t>The little boy plays hopscotch twice on the driveway.</t>
  </si>
  <si>
    <t>A little girl plays the game too and then follows the other children away from the driveway.</t>
  </si>
  <si>
    <t>v__BJqPK0NNZU</t>
  </si>
  <si>
    <t>The woman in the field is standing behind the net.</t>
  </si>
  <si>
    <t>The woman swirl around and threw a heavy metal towards the field.</t>
  </si>
  <si>
    <t>The field has people in the, a man is running.</t>
  </si>
  <si>
    <t>The athlete in pink top is walking forward.</t>
  </si>
  <si>
    <t>An athlete with Barrios tag on her shirt is standing behind the net.</t>
  </si>
  <si>
    <t>The woman raised the circular metal and she started to swirl around and threw the metal.</t>
  </si>
  <si>
    <t>The metal hit the field.</t>
  </si>
  <si>
    <t>A man is running towards the white circle on the ground.</t>
  </si>
  <si>
    <t>A woman is stretching behind the net.</t>
  </si>
  <si>
    <t>She swirl around and threw something towards the field.</t>
  </si>
  <si>
    <t>Two men running towards each other.</t>
  </si>
  <si>
    <t>The woman gave a hug to other woman.</t>
  </si>
  <si>
    <t>The green field has audiences on the sides of the field.</t>
  </si>
  <si>
    <t>v_lgXtDr9pNAk</t>
  </si>
  <si>
    <t>A man up on the roof putting up some metal pieces through the shingles.</t>
  </si>
  <si>
    <t>He's putting little metal pieces on the metal to keep them held.</t>
  </si>
  <si>
    <t>He talks about it a little bit jokingly.</t>
  </si>
  <si>
    <t>Then he tried to adjust it a little more.</t>
  </si>
  <si>
    <t>v_s-kFpQRPcyE</t>
  </si>
  <si>
    <t>Hair products and hair tools are displayed.</t>
  </si>
  <si>
    <t>The male stylist is does a client's hair with products, a clipper, and hair dryer.</t>
  </si>
  <si>
    <t>v_e6Ti5g_zQ_4</t>
  </si>
  <si>
    <t>At a pool place people are all gathered around some pool tables waiting for players to take their turns.</t>
  </si>
  <si>
    <t>A male takes hie turn and then another in red takes his hitting but bot making it in.</t>
  </si>
  <si>
    <t>No one makes it on their turn so they continue on to the next player.</t>
  </si>
  <si>
    <t>The game continues waiting for someone to make some shots.</t>
  </si>
  <si>
    <t>v_mvomkmq32vU</t>
  </si>
  <si>
    <t>A track athlete prepares and stretches out on a starting line.</t>
  </si>
  <si>
    <t>A track athlete runs down a track and high jumps over bar onto a mat.</t>
  </si>
  <si>
    <t>The athlete makes attempts at jumping over the bar but is unsuccessful knocking it down on the mat.</t>
  </si>
  <si>
    <t>v_ouqYXdtEuCI</t>
  </si>
  <si>
    <t>A girl is doing flips on a trampoline in a gymnasium.</t>
  </si>
  <si>
    <t>We then see a child dive backward into pool.</t>
  </si>
  <si>
    <t>We see the kid on the trampoline.</t>
  </si>
  <si>
    <t>We then see the kids diving again.</t>
  </si>
  <si>
    <t>We return to the kids practicing on the trampoline and back to them diving again.</t>
  </si>
  <si>
    <t>v_YynqCEoHKCk</t>
  </si>
  <si>
    <t>A woman is seen performing a dance routine on a stage in front of a large audience.</t>
  </si>
  <si>
    <t>The woman continues dancing all around the stage and ends with a bow and walking off stage.</t>
  </si>
  <si>
    <t>v_KYjWkaXVnbw</t>
  </si>
  <si>
    <t>A man is standing at a bar.</t>
  </si>
  <si>
    <t>We see the title screen on how to make a drink.</t>
  </si>
  <si>
    <t>The man pours three liquors and some lime soda in a glass.</t>
  </si>
  <si>
    <t>He stirs the glass with a metal tool.</t>
  </si>
  <si>
    <t>The man then drinks from the glass.</t>
  </si>
  <si>
    <t>The man points at the camera, we see the end sequence.</t>
  </si>
  <si>
    <t>v_WEohpavjsIY</t>
  </si>
  <si>
    <t>A pair of dancer begins preforming at the latin dance cup.</t>
  </si>
  <si>
    <t>The woman shows off cleavage.</t>
  </si>
  <si>
    <t>The dancers begin spinning around each other.</t>
  </si>
  <si>
    <t>The dancers begin to preform seperately.</t>
  </si>
  <si>
    <t>The dancers begins moving again together for a big finish.</t>
  </si>
  <si>
    <t>v_JK1Wn9sORbs</t>
  </si>
  <si>
    <t>A man is seen speaking to the camera outside while various objects and tools sit around him.</t>
  </si>
  <si>
    <t>The man continues speaking and leads into clips of him pushing around a low mower.</t>
  </si>
  <si>
    <t>He continues cutting the grass and leads into more clips of him speaking.</t>
  </si>
  <si>
    <t>v_Ke5MPiv-wrY</t>
  </si>
  <si>
    <t>The Awesomeness TV Network Logo Animation plays.</t>
  </si>
  <si>
    <t>A man is flipping and tumbling across a mat.</t>
  </si>
  <si>
    <t>The same man flips across the mat again, this time not wearing a shirt.</t>
  </si>
  <si>
    <t>The man is talking to the camera.</t>
  </si>
  <si>
    <t>A woman with a blue bow in hair walks across the screen behind the man and begins talking to another woman who exits the screen.</t>
  </si>
  <si>
    <t>The shirtless man is shown flipping and tumbling across the screen again, this time he does not land his final flip and he falls onto his side.</t>
  </si>
  <si>
    <t>He then starts walking towards a man on the side of the mat.</t>
  </si>
  <si>
    <t>The bystander points to his head and the gymnast also does the same to his own head.</t>
  </si>
  <si>
    <t>The gymnast is talking to the camera again explaining what happened during that routine.</t>
  </si>
  <si>
    <t>A small video pops up in the lower right replaying the moment he falls.</t>
  </si>
  <si>
    <t>He starts flipping across the mat again.</t>
  </si>
  <si>
    <t>The man is standing next to a couple of other guys, he jumps up in the air and does some kicks.</t>
  </si>
  <si>
    <t>Now he is doing back flips across the mat.</t>
  </si>
  <si>
    <t>He goes from a forward flip to back-flipping.</t>
  </si>
  <si>
    <t>Now he is standing on the side line getting ready to do flips.</t>
  </si>
  <si>
    <t>He is doing some more flips and landing on the red mat.</t>
  </si>
  <si>
    <t>Now he is flipping again and reverses and starts flipping the other way.</t>
  </si>
  <si>
    <t>This time he is wearing a yellow shirt and starts by doing a kick, then starts flipping backwards.</t>
  </si>
  <si>
    <t>Now he is walking across the mat slowly.</t>
  </si>
  <si>
    <t>v_UfrztSg9gf0</t>
  </si>
  <si>
    <t>A man is seen standing in on a large field performing various dog tricks with a dog.</t>
  </si>
  <si>
    <t>Another person watches in the distance as the man and dog continue to perform tricks and the dog running all around.</t>
  </si>
  <si>
    <t>v_3mlxwa9Ve5I</t>
  </si>
  <si>
    <t>A man looks around and grabs his face.</t>
  </si>
  <si>
    <t>He places a towel over his face.</t>
  </si>
  <si>
    <t>The man showcases a shaving unit and a balm.</t>
  </si>
  <si>
    <t>He shows a bowl and swivels the shaving brush around it.</t>
  </si>
  <si>
    <t>The man places shaving cream all over his face with the use of his shaving brush.</t>
  </si>
  <si>
    <t>He takes a razor and shaves.</t>
  </si>
  <si>
    <t>He grabs the bowl again and swivels the shaving brush around the inside.</t>
  </si>
  <si>
    <t>He smothers shaving cream over his face face.</t>
  </si>
  <si>
    <t>He shaves his face once more.</t>
  </si>
  <si>
    <t>He splashes his face and dries it with a purple towel.</t>
  </si>
  <si>
    <t>He rubs an oil over his face and excitedly shows off his muscles.</t>
  </si>
  <si>
    <t>v_AwoZxz8M8Jg</t>
  </si>
  <si>
    <t>A man in red turban stands in a kitchen.</t>
  </si>
  <si>
    <t>He pours some ingredients into a glass.</t>
  </si>
  <si>
    <t>He explains his methods holding a spoon.</t>
  </si>
  <si>
    <t>He then finishes the drink with a garnish.</t>
  </si>
  <si>
    <t>v_e0E2EVuhYu0</t>
  </si>
  <si>
    <t>A close up of an ocean floor is shown as well as a scuba diver and fish swimming around.</t>
  </si>
  <si>
    <t>The camera continues to capture the bottom of the floor as well as several fish and bottom feeders on the ground.</t>
  </si>
  <si>
    <t>The scuba diver moves a flashlight around to capture the bottom and watches the wildlife move around.</t>
  </si>
  <si>
    <t>v_NLTd7qCLT7o</t>
  </si>
  <si>
    <t>A man is walking on the grass wearing stilts.</t>
  </si>
  <si>
    <t>People are watching him next to a pond.</t>
  </si>
  <si>
    <t>He continues walking on the grass toward the people.</t>
  </si>
  <si>
    <t>v_xAPz4YOcIX0</t>
  </si>
  <si>
    <t>A close up of a painting is shown followed by a brush dipping into paint and moving all along the picture.</t>
  </si>
  <si>
    <t>The person continues painting bushes in the picture and ends with credits rolling above the screen.</t>
  </si>
  <si>
    <t>v_IAZV246DKis</t>
  </si>
  <si>
    <t>A close up of potatoes are shown followed by a woman speaking to the camera.</t>
  </si>
  <si>
    <t>The woman points to a pot and then begins peeling the potatoes and putting them into a pot.</t>
  </si>
  <si>
    <t>She mixes it with salt and dips the potatoes into ice water, watching them finish peeling.</t>
  </si>
  <si>
    <t>v_44htu_ovvLs</t>
  </si>
  <si>
    <t>A woman is seen looking off into the distance followed by shots of her riding a horse and looking off into the distance.</t>
  </si>
  <si>
    <t>The woman continues riding around on the horse and ends with her walking away and waving to the camera.</t>
  </si>
  <si>
    <t>v_bLpeUxij7YY</t>
  </si>
  <si>
    <t>A female weightlifter is attempting to lift a set of weights.</t>
  </si>
  <si>
    <t>She lifts at the knees slowly.</t>
  </si>
  <si>
    <t>She raises the bar to her chest, pausing.</t>
  </si>
  <si>
    <t>She then lifts it over her head before crouching beneath it.</t>
  </si>
  <si>
    <t>v_lsvZBtYMXZM</t>
  </si>
  <si>
    <t>Two people are standing face to face under a spotlight.</t>
  </si>
  <si>
    <t>The man wearing a black and white suit simulates a slap to the woman wearing a dress on the right.</t>
  </si>
  <si>
    <t>A man wearing a black tank top immediately runs into the spotlight to stand between the two and they all begin to dance as the room is lit up to show a large dancing area with people in the audience watching them.</t>
  </si>
  <si>
    <t>The three continue to dance until the man in the black tank top picks the woman up and throws her to the ground and leaves the dance floor.</t>
  </si>
  <si>
    <t>The man in the suit and the woman continue to dance alone.</t>
  </si>
  <si>
    <t>The man in the tank top returns to the dance floor and tries to punch the man in the suit, but the man in the suit dodges the punch and pushes the man in the tank top out of the dance floor.</t>
  </si>
  <si>
    <t>The man in the suit and the woman in the dress continue to dance alone and they end dramatically in a pose with her back on the ground and the man hovering above her.</t>
  </si>
  <si>
    <t>v_ShiBZnuxlmc</t>
  </si>
  <si>
    <t>A blond athletic girl with a serious face has her hands all chalked up and is standing next to a wooden balance beam, dressed in a black and white decorated bodysuit, and the banner on the bottom of the screen say's her name is SHAWN JOHNSON 1ST PLACE AFTER 2ND ROTATION.</t>
  </si>
  <si>
    <t>The girl rubs her hands together a few times, the audience claps, she smiles and raises her two arms in the air, smiles, turns to the horse and runs and jumps until she lands on the balance beam.</t>
  </si>
  <si>
    <t>The girl immediately begins her routine and it includes a lot of flips, walking, twirls, hand movements, spins and etcetera.</t>
  </si>
  <si>
    <t>The girl goes to the furthest end of the balance beam, stares at the other end, quickly flips on the balance beam, and then flips off of the balance beam a few times, lands on her feet, raises her two arms in the air and the crowd cheers.</t>
  </si>
  <si>
    <t>v_bMWWSk_YFY8</t>
  </si>
  <si>
    <t>An ox is held by a trainer in a city plaza.</t>
  </si>
  <si>
    <t>Two ox duel with horns in a corral while trainers guide them.</t>
  </si>
  <si>
    <t>The ox charge at the trainers lined up against the wall.</t>
  </si>
  <si>
    <t>Spectators watch and walk in the stands during the event.</t>
  </si>
  <si>
    <t>v_5vm6bjMeEN8</t>
  </si>
  <si>
    <t>People are working out in a room stepping on a step stools.</t>
  </si>
  <si>
    <t>A man in a white shirt is leading the group.</t>
  </si>
  <si>
    <t>He then walks off behind the camera.</t>
  </si>
  <si>
    <t>v_cgWhl3ZDuTQ</t>
  </si>
  <si>
    <t>A series of athletes are shown participating in a discus throw competition before a crowd.</t>
  </si>
  <si>
    <t>The crowd applauds the athletes as a man hands out prizes to the athletes.</t>
  </si>
  <si>
    <t>Journalists surround the athletes with cameras.</t>
  </si>
  <si>
    <t>More discus throw performances are shown.</t>
  </si>
  <si>
    <t>A camera crew focuses on a sweaty seated athlete.</t>
  </si>
  <si>
    <t>Yet another performance of discus throw is shown.</t>
  </si>
  <si>
    <t>Three people sit talking in front of an audience.</t>
  </si>
  <si>
    <t>v_C0F-xroK_Eg</t>
  </si>
  <si>
    <t>A man is talking about making a spicy pasta dish.</t>
  </si>
  <si>
    <t>The man takes sausage and cooks it in a pan.</t>
  </si>
  <si>
    <t>Parsley is added to the sausage.</t>
  </si>
  <si>
    <t>White wine is added to the mixture.</t>
  </si>
  <si>
    <t>Heavy cream is added to the meat along with a jar of marinara sauce.</t>
  </si>
  <si>
    <t>Water is shown boiling in the pot.</t>
  </si>
  <si>
    <t>Pasta and sauce are mixed together in the pot.</t>
  </si>
  <si>
    <t>The final pasta is added to a bowl and Parmesan cheese is added.</t>
  </si>
  <si>
    <t>v_F-jZv4hqYds</t>
  </si>
  <si>
    <t>A large group of people are sitting on horses near gated areas.</t>
  </si>
  <si>
    <t>The people are looking around in amazement as one horse riding catches a calf almost instantly.</t>
  </si>
  <si>
    <t>The man ropes of the calf and the crowd cheers him on as the announcer gives him his time.</t>
  </si>
  <si>
    <t>v_GqCS5MNl6a4</t>
  </si>
  <si>
    <t>Pictures of a town covered n snow is shown.</t>
  </si>
  <si>
    <t>A person is chipping the ice off of their car.</t>
  </si>
  <si>
    <t>v_tN8mcdcwCwc</t>
  </si>
  <si>
    <t>A cat is laying on its back in someone's lap.</t>
  </si>
  <si>
    <t>The person starts clipping the cats nails with a nail clipper.</t>
  </si>
  <si>
    <t>They finish and pet the cat's foot.</t>
  </si>
  <si>
    <t>v_hS7VEMlJ4N0</t>
  </si>
  <si>
    <t>A female is outside in a sports bra and bikini bottoms walking around prepping.</t>
  </si>
  <si>
    <t>She take her hair down and puts it back up in a ponytail.</t>
  </si>
  <si>
    <t>She spanks her butt and stands there getting ready to start her run.</t>
  </si>
  <si>
    <t>She starts her run and she jumps over the course and lands.</t>
  </si>
  <si>
    <t>v_U2aNQHCnVfI</t>
  </si>
  <si>
    <t>There are two young girls holding violins in their hands, standing with a music stand and a book with music notes behind them.</t>
  </si>
  <si>
    <t>The older girl is helping and teaching her younger sister to properly hold the violin by changing her head position.</t>
  </si>
  <si>
    <t>Then the older sister grabs her violin and tunes the strings of the violin.</t>
  </si>
  <si>
    <t>Then older sister begins playing the violin while the younger sister watches her.</t>
  </si>
  <si>
    <t>The older girl shows her sister how to play the violin.</t>
  </si>
  <si>
    <t>Then they both begin to play the violin together.</t>
  </si>
  <si>
    <t>v_aXnllTmgeqg</t>
  </si>
  <si>
    <t>A man is shown on a stage, playing drums.</t>
  </si>
  <si>
    <t>He beats the cymbals and drums very fast.</t>
  </si>
  <si>
    <t>He continues, making faces as he goes.</t>
  </si>
  <si>
    <t>v_E-bv464MTsQ</t>
  </si>
  <si>
    <t>A large group of people riding horses are walking around each other on a large field.</t>
  </si>
  <si>
    <t>One of them throws a ball onto the field and the people begin playing a game on their horses.</t>
  </si>
  <si>
    <t>v_hgTgOjkcvpc</t>
  </si>
  <si>
    <t>There's a man dressed in all white playing croquet in an open field.</t>
  </si>
  <si>
    <t>there are several chairs arranged in the field.</t>
  </si>
  <si>
    <t>He takes the mallet in his hand and hits the croquet ball to the hoop.</t>
  </si>
  <si>
    <t>He hits the ball and it lands straight into the hoop.</t>
  </si>
  <si>
    <t>v_NXFnVeZen1U</t>
  </si>
  <si>
    <t>A man picks up a ball with his racquet and swings it to his opponent over the net.</t>
  </si>
  <si>
    <t>The opponent serves the ball.</t>
  </si>
  <si>
    <t>The teams engage in rapid back and forth hitting of the ball.</t>
  </si>
  <si>
    <t>The game stops for a second and resumes with one of the teams serving the ball.</t>
  </si>
  <si>
    <t>They battle each other on the court, sending the ball back and forth over the net.</t>
  </si>
  <si>
    <t>The ball goes out of bounds.</t>
  </si>
  <si>
    <t>A man serves the ball and they engage in a brief back and forth of the ball before the ball falls to the ground.</t>
  </si>
  <si>
    <t>v_YVSD611Zpvo</t>
  </si>
  <si>
    <t>A man walks to a brick wall with a squeegee and shows us a bottle of windex.</t>
  </si>
  <si>
    <t>The man washes the window.</t>
  </si>
  <si>
    <t>The man sprays windex and washes off with squeegee.</t>
  </si>
  <si>
    <t>The man uses leaf blower to dry the window.</t>
  </si>
  <si>
    <t>The man finishes and talks about the window before walking off.</t>
  </si>
  <si>
    <t>v_88wc2an-eC4</t>
  </si>
  <si>
    <t>TWo children are doing mixed martial arts in front of a television.</t>
  </si>
  <si>
    <t>They are punching and kicking each other for sport.</t>
  </si>
  <si>
    <t>v_5HW6mjZZvtY</t>
  </si>
  <si>
    <t>A man is seen in several shots on a skateboard in a dark warehouse.</t>
  </si>
  <si>
    <t>The man then begins jumping on his board to demonstrate moves.</t>
  </si>
  <si>
    <t>He continues jumping around the room while the camera captures his movements.</t>
  </si>
  <si>
    <t>v_pbZVsdQNWNU</t>
  </si>
  <si>
    <t>We see a hockey goalie skating on the ice.</t>
  </si>
  <si>
    <t>The goalie blocks shots repeatedly.</t>
  </si>
  <si>
    <t>We see the goalie laying on the ice.</t>
  </si>
  <si>
    <t>A shot makes it past and the goalie has a tantrum.</t>
  </si>
  <si>
    <t>The goalie sits on the ground as a person makes their shot.</t>
  </si>
  <si>
    <t>v_j15g2ZTig1k</t>
  </si>
  <si>
    <t>A man wearing a black shirt and blue jeans is playing an acoustic guitar.</t>
  </si>
  <si>
    <t>He plays a riff as he moves his legs rhythmically.</t>
  </si>
  <si>
    <t>He continues playing the guitar as the camera focuses on his hands and the guitar only.</t>
  </si>
  <si>
    <t>He plays several different tunes one after the other as he strums the guitar with his pick.</t>
  </si>
  <si>
    <t>v_yslrb52Di5w</t>
  </si>
  <si>
    <t>A man is seen laughing and smiling to himself and leads into him playing a piano before him.</t>
  </si>
  <si>
    <t>The man pauses and looks off into the distance to see another man speaking to him as well as into a microphone.</t>
  </si>
  <si>
    <t>v_AKoregkLJgc</t>
  </si>
  <si>
    <t>A line of players are on a court together.</t>
  </si>
  <si>
    <t>They begin jumping rope in unison.</t>
  </si>
  <si>
    <t>They move alike, dancing and flipping through the ropes.</t>
  </si>
  <si>
    <t>v_czCM6ZNwHK8</t>
  </si>
  <si>
    <t>A guy prepares to play an instrument.</t>
  </si>
  <si>
    <t>The guy plays a saxophone and uses a microphone.</t>
  </si>
  <si>
    <t>The guy takes the saxophone out of his mouth and bents over.</t>
  </si>
  <si>
    <t>v_9-xf_gylOR0</t>
  </si>
  <si>
    <t>A person is painting a wooden fence.</t>
  </si>
  <si>
    <t>A cat's paws can be seen coming out from under the fence.</t>
  </si>
  <si>
    <t>A dog is looking at the cat's paws.</t>
  </si>
  <si>
    <t>v_IKrnz_OzqT8</t>
  </si>
  <si>
    <t>A man watches a performance on tv while playing a set of hand drums at home.</t>
  </si>
  <si>
    <t>The man looks forward and focuses while playing the drums.</t>
  </si>
  <si>
    <t>The man leans back and plays vigorously on the drums.</t>
  </si>
  <si>
    <t>v_oghT33khlYQ</t>
  </si>
  <si>
    <t>Many trees and deep water from a river is shown.</t>
  </si>
  <si>
    <t>A man is standing on the back of a speedboat.</t>
  </si>
  <si>
    <t>He places his board in the water and begins to water ski.</t>
  </si>
  <si>
    <t>He performs several tricks as he skis.</t>
  </si>
  <si>
    <t>v_ac1DjqY4xHs</t>
  </si>
  <si>
    <t>A young boy swings at a pinata without getting a good hit on it.</t>
  </si>
  <si>
    <t>The boy dodges the pinata that is swinging at him.</t>
  </si>
  <si>
    <t>The boy gives up and walks away.</t>
  </si>
  <si>
    <t>v_z8lxaUC1Shk</t>
  </si>
  <si>
    <t>A man walks into a room playing his bagpipes.</t>
  </si>
  <si>
    <t>He stops playing his bagpipes.</t>
  </si>
  <si>
    <t>v_FCKkV9mYuI4</t>
  </si>
  <si>
    <t>A group of men are talking in a room.</t>
  </si>
  <si>
    <t>Several fighting scenes are shown from a martial arts movie.</t>
  </si>
  <si>
    <t>They move quickly, pretending to fight for the camera.</t>
  </si>
  <si>
    <t>v_N84ci0Imc30</t>
  </si>
  <si>
    <t>A man is seen speaking to the camera and leads into shots of him walking down a hallway and getting a coffee.</t>
  </si>
  <si>
    <t>He grabs sugar, puts a lid over his coffee and then smiles off in the distance while walking away.</t>
  </si>
  <si>
    <t>v_Z8yKTJeRMOE</t>
  </si>
  <si>
    <t>A man professionally paints several pieces of furniture using a spray painter in a paint shop while wearing overalls, a denim shirt and a paint mask.</t>
  </si>
  <si>
    <t>The man begins by painting a wooden armchair metallic gray with a gold spray paint can.</t>
  </si>
  <si>
    <t>The man then paints a side table black with lights shining off of the black painted wood.</t>
  </si>
  <si>
    <t>The man ends with painting a dresser drawer pink before the scene fades to a black marketing graphic.</t>
  </si>
  <si>
    <t>v_SSLcbqaBiRM</t>
  </si>
  <si>
    <t>A man starts out riding a dirt bike and immediately crashes into the ground behind him.</t>
  </si>
  <si>
    <t>The video follows several more people attempting to race a dirt bike and instantly crashing on the path in front of them.</t>
  </si>
  <si>
    <t>v_5-ydqbn30kA</t>
  </si>
  <si>
    <t>A boy and a girl are sitting in their living room with colorful yarn and demonstrating how to knit.</t>
  </si>
  <si>
    <t>The boy is wearing a blue hoodie and the girl is wearing a white sweater with blue horizontal stripes.</t>
  </si>
  <si>
    <t>The mother who is not pictured in the video is taping them demonstrate.</t>
  </si>
  <si>
    <t>The boy holds the needles up and shows how he uses the yarn to knit.</t>
  </si>
  <si>
    <t>v_x164DXmWtRM</t>
  </si>
  <si>
    <t>A group of masked people, wearing all black, play an animated graphic game of paintball in a war field.</t>
  </si>
  <si>
    <t>An animated person runs through a field of black masked soldiers with a paint gun and begins shooting people, several people are wounded among a war field littered with empty stone shacks and abandoned cars.</t>
  </si>
  <si>
    <t>The fighting soldiers pass an animated dog on a leash with a person dressed in a black and white referee uniform holding the leash.</t>
  </si>
  <si>
    <t>The shooting continues among the masked soldiers until a "red team wins" letter box appears and the soldiers head to the right and thin out in numbers.</t>
  </si>
  <si>
    <t>v_4_MR2Tpc7SM</t>
  </si>
  <si>
    <t>A man is seen bending down while holding a crochet bat and hitting a ball through a hole.</t>
  </si>
  <si>
    <t>The man then holds his hands up and looks back to the camera and smiles.</t>
  </si>
  <si>
    <t>v_j_tKuqWYV-A</t>
  </si>
  <si>
    <t>Divers take turns diving from high dive platforms into a swimming pool.</t>
  </si>
  <si>
    <t>The crowd claps and watches the divers performance.</t>
  </si>
  <si>
    <t>A diver does a handstand dive from the highest platform into the swimming pool.</t>
  </si>
  <si>
    <t>v_yp1zqqLB57M</t>
  </si>
  <si>
    <t>A woman is belly dancing on a stage.</t>
  </si>
  <si>
    <t>There is a close up of her belly.</t>
  </si>
  <si>
    <t>She slows her dance down and turns circles.</t>
  </si>
  <si>
    <t>v_Wu3wa5Rc_Qw</t>
  </si>
  <si>
    <t>A large waterfall is shown outside near a rocky trail of water.</t>
  </si>
  <si>
    <t>All of a sudden,a person on a long raft comes paddling down the water and goes over the fall with ease.</t>
  </si>
  <si>
    <t>Once over,they continue paddling and sailing through the water as the people on the side watches.</t>
  </si>
  <si>
    <t>v_J7Q3b1uFHyc</t>
  </si>
  <si>
    <t>First the camera shows the three people who are snow tubing down the slippery snowy slide.</t>
  </si>
  <si>
    <t>Then one person is shown wearing glasses and other snow gear in the snow tubes.</t>
  </si>
  <si>
    <t>Then a great amount of other people are shown snow tubing next to each other.</t>
  </si>
  <si>
    <t>v_8K4cX9GfaII</t>
  </si>
  <si>
    <t>A person is seen painting a wall while the camera captures him moving quickly and others walking in and out of frame.</t>
  </si>
  <si>
    <t>The person continues painting along the wall with other people standing around and helping.</t>
  </si>
  <si>
    <t>v_2-h36nfbFK8</t>
  </si>
  <si>
    <t>A man is snowboarding down a very steep hill at a fast pace.</t>
  </si>
  <si>
    <t>The video intercuts with various angles showing this trip down the mountain in a very exciting way.</t>
  </si>
  <si>
    <t>The kid jumps off of a log intended for this purpose and continues down the hill.</t>
  </si>
  <si>
    <t>Another man in yellow does back-flips off of a small snow ramp while going down the mountain.</t>
  </si>
  <si>
    <t>Another man in blue does the same and there are various cuts going back and forth between the three of them.</t>
  </si>
  <si>
    <t>They are highly skilled and going down every obstacle they can find.</t>
  </si>
  <si>
    <t>The video then shows multiple people hiking up a very rocky mountain as they speak to the camera.</t>
  </si>
  <si>
    <t>The people who climbed is then snowboard down it in a daredevil like stunt.</t>
  </si>
  <si>
    <t>v_liK3LME0gNY</t>
  </si>
  <si>
    <t>A young girls is using a trowel on a wall and siting on the floor.</t>
  </si>
  <si>
    <t>She stands and wipes her trowel clean with a brush.</t>
  </si>
  <si>
    <t>She returns to the wall work.</t>
  </si>
  <si>
    <t>She stands and points and the wall.</t>
  </si>
  <si>
    <t>She she wipes the brush on the trowel again.</t>
  </si>
  <si>
    <t>She smooths the wall again.</t>
  </si>
  <si>
    <t>The girls uses a the brush to clean her tool.</t>
  </si>
  <si>
    <t>She wipes the wall again, then cleans her brush again twice.</t>
  </si>
  <si>
    <t>We are show the top of the wall and the girl as she works.</t>
  </si>
  <si>
    <t>v_mSPUMHD4F-E</t>
  </si>
  <si>
    <t>An intro screen appears with logos, company names and website.</t>
  </si>
  <si>
    <t>A woman bends down in front of 3 boxes and begins to pull out tiled carpet pieces from the top box.</t>
  </si>
  <si>
    <t>A bunch of tools appear on a tiled floor and they include: Carpet Tape,Knife, Sticky Tabs and a T-Square.</t>
  </si>
  <si>
    <t>The woman is on a tiled floor with a pile of tiled carpets in front of her and she begins to dust off the excess carpet pieces off of the front and back of the pieces.</t>
  </si>
  <si>
    <t>A screen appears with the words "Methods of Installation" and includes 3 different diagrams of layouts, and then shows different tiled carpets in each layout.</t>
  </si>
  <si>
    <t>A woman is now kneeling on a tiled piece of carpet and she's pulling double sided sticky tapes off of a sheet and places them onto the tiled carpets and sticks them onto the floor.</t>
  </si>
  <si>
    <t>A different woman appears near a wall and she's demonstrating how to cut tiles once a wall is reached and uses a long ruler to measure, cut, and break apart the carpet tile and places it back onto the floor.</t>
  </si>
  <si>
    <t>The outro is a white screen with the logos, company names, and website.</t>
  </si>
  <si>
    <t>v_Zzcj8Eea3Mc</t>
  </si>
  <si>
    <t>A man is seen walking forward and speaking to the camera while two people pull an object behind him.</t>
  </si>
  <si>
    <t>The man is then speaking while a woman exercises next to him.</t>
  </si>
  <si>
    <t>The man continues speaking and text is shown across the screen.</t>
  </si>
  <si>
    <t>v_b4KrsFjcj-o</t>
  </si>
  <si>
    <t>People stand around in a room.</t>
  </si>
  <si>
    <t>People do karate while some play the drums.</t>
  </si>
  <si>
    <t>The karate opponents shake hands and hug.</t>
  </si>
  <si>
    <t>v_N6y3yXiVo24</t>
  </si>
  <si>
    <t>A little girl/toddler stands outside, on a grass covered field, and hits, repeatedly, a pink pinata hanging from a tree.</t>
  </si>
  <si>
    <t>A little girl/toddler in a lime green hair bow and tutu stands outside under a tree and hits a pinata with a stick.</t>
  </si>
  <si>
    <t>The pinata flings around, and the girl hits the pinata again.</t>
  </si>
  <si>
    <t>The little girl turns to look at the camera in between hitting the pinata.</t>
  </si>
  <si>
    <t>v_5rtrGkZNfLo</t>
  </si>
  <si>
    <t>A standing man talks to the camera with two women seated beside him.</t>
  </si>
  <si>
    <t>The camera pans to focus on the two women.</t>
  </si>
  <si>
    <t>v_2syOa4jpZDU</t>
  </si>
  <si>
    <t>A person cuts the nails of the front legs of a cat.</t>
  </si>
  <si>
    <t>Then, the person cuts the nails of the back legs of a car.</t>
  </si>
  <si>
    <t>v_idACyRv-Sqk</t>
  </si>
  <si>
    <t>A man attempts to walk across a rope spread between two homemade pieces of wood.</t>
  </si>
  <si>
    <t>He balances on the rope, swinging back and forth.</t>
  </si>
  <si>
    <t>He loses his balance and jumps off the rope.</t>
  </si>
  <si>
    <t>v_FFUh8Fx4FsA</t>
  </si>
  <si>
    <t>There are two cars in the car wash and one parked in a spot.</t>
  </si>
  <si>
    <t>The owners of the cars are soaping them down and cleaning the tires very well.</t>
  </si>
  <si>
    <t>Inside of the car wash it it completely empty, no one is inside of it.</t>
  </si>
  <si>
    <t>One of the other car owners is rinsing his car off.</t>
  </si>
  <si>
    <t>v_OnfvTk_DECY</t>
  </si>
  <si>
    <t>A man is seen speaking to the camera followed by several shots of a celebrity and a dummy.</t>
  </si>
  <si>
    <t>The man then begins coming the dummy's hair and using scissors along the side.</t>
  </si>
  <si>
    <t>He continues cutting the dummy's hair and using hair gel in the end to spike it up.</t>
  </si>
  <si>
    <t>v_AH-3mF6wWhU</t>
  </si>
  <si>
    <t>A video on how to make a kite is shown.</t>
  </si>
  <si>
    <t>Materials are gathered and then the kite is assembled.</t>
  </si>
  <si>
    <t>v__7a80bvsbk8</t>
  </si>
  <si>
    <t>A few people are seen standing in a large pit with a bull inside and many watching on the sides.</t>
  </si>
  <si>
    <t>The man walks closer to the bull and the bull attacks several people while they also try to pull him down by his head and tail.</t>
  </si>
  <si>
    <t>They finally all break away at once.</t>
  </si>
  <si>
    <t>v_wqlEUeJzNVc</t>
  </si>
  <si>
    <t>A man is sitting in a gym with friends who make stupid signs at the camera.</t>
  </si>
  <si>
    <t>Then some dodgeball is played.</t>
  </si>
  <si>
    <t>v_F_EHrfbYsRE</t>
  </si>
  <si>
    <t>A graphic with some keywords forming the number '2' is shown.</t>
  </si>
  <si>
    <t>The scene switches to a black screen with some text about an upcoming marathon.</t>
  </si>
  <si>
    <t>A man is shown jogging through a city on some sidewalks, a bridge, some paths in a park, etc, with a counter on the side showing his progress in kilometers as he goes.</t>
  </si>
  <si>
    <t>v_Ym_hy49DaS4</t>
  </si>
  <si>
    <t>A person is covering her legs with soap while she is standing on the bathtub.</t>
  </si>
  <si>
    <t>Then, the person takes a blade to shave her legs while washing the blade under the faucet.</t>
  </si>
  <si>
    <t>After, the person, takes off the underwear and put it on the bathtub.</t>
  </si>
  <si>
    <t>v_8wKBvYGGldQ</t>
  </si>
  <si>
    <t>There is a fast motion video showing a family carving four pumpkins to make jack o lanterns in their kitchen.</t>
  </si>
  <si>
    <t>There is a little baby sitting on the dinning table watching the others carve the pumpkins.</t>
  </si>
  <si>
    <t>The two other girls are helping their parents carve the pumpkins and remove the seeds and pulp out of the pumpkin.</t>
  </si>
  <si>
    <t>v_UPZm0tx77Vw</t>
  </si>
  <si>
    <t>A man seated in front of a tennis net turns around and faces his opponent, with a coach and camera man looking on.</t>
  </si>
  <si>
    <t>As they both rise we see that they are actually heading to a table tennis game, the table on an actual tennis court.</t>
  </si>
  <si>
    <t>They being their match, one in a white tank top and green shorts, the other in an orange shirt and white shorts.</t>
  </si>
  <si>
    <t>They hit back and forth for some time, the enjoyment of the game seeming more important the winning, and they slap hands at the conclusion.</t>
  </si>
  <si>
    <t>v_h-A3CAx_eyU</t>
  </si>
  <si>
    <t>Two men are seen speaking to one another in front of the camera while moving their hands around to their voices.</t>
  </si>
  <si>
    <t>The men continue speaking with one another while acting crazy on the couch and pointing to one another.</t>
  </si>
  <si>
    <t>v_jw8yJ6tJXrA</t>
  </si>
  <si>
    <t>A man is seen kneeling down before a track while others watch on the sides.</t>
  </si>
  <si>
    <t>A person runs in on the side and jumps into a pit.</t>
  </si>
  <si>
    <t>The man sitting tracks his score and several more people are seen running in.</t>
  </si>
  <si>
    <t>v_Q5qIsUsM_-A</t>
  </si>
  <si>
    <t>A young man solves a rubix cube quickly in a digitally timed session.</t>
  </si>
  <si>
    <t>A man in a yellow shirt with a graphic of a man's face on it talks to the camera and holds up an unsolved rubix cube.</t>
  </si>
  <si>
    <t>A black digital timer appears on the screen in the lower right hand corner and begins to run time.</t>
  </si>
  <si>
    <t>The man begins to solve the rubix cube when the timer starts, and then solves the rubix cube with 00:34:08 time, at which point he holds the solved rubix cube in the air as demonstration.</t>
  </si>
  <si>
    <t>v_8uP35-qttBo</t>
  </si>
  <si>
    <t>Two men are seen speaking to the camera while each hold a bow and arrow.</t>
  </si>
  <si>
    <t>One man shows off his while clips are shown of people shooting the bow and shown in between.</t>
  </si>
  <si>
    <t>The other man shows off his bow while still showing off his specs.</t>
  </si>
  <si>
    <t>v_H8MY7XGrN6Q</t>
  </si>
  <si>
    <t>A person is seen roller balding around a street while many people are seen walking around him.</t>
  </si>
  <si>
    <t>A man is then being interviewed by reporters and ends with the camera panning away.</t>
  </si>
  <si>
    <t>v_PaPR1XQU0_A</t>
  </si>
  <si>
    <t>A person sets a piece of wall paper in place and lines it op with the other pieces.</t>
  </si>
  <si>
    <t>The wall paper is cut with sheers to the proper size.</t>
  </si>
  <si>
    <t>The man checks the wall paper then peels off an adhesive strip on the back.</t>
  </si>
  <si>
    <t>The wall paper is attached to the wall and smoothed down by hand.</t>
  </si>
  <si>
    <t>The person uses a towel to flatten out the wall paper.</t>
  </si>
  <si>
    <t>The wallpaper is cut at the bottom and creased against the floorboard.</t>
  </si>
  <si>
    <t>The wall paper is cut and creased along the ceiling.</t>
  </si>
  <si>
    <t>v_ul9kg5QdvJo</t>
  </si>
  <si>
    <t>A group of people are shown at a festival serving food and interacting with their crowd.</t>
  </si>
  <si>
    <t>The male continues,to play with the crowd and makes them work for their ice cream cone.</t>
  </si>
  <si>
    <t>Finally,the video ends,the man smiles,and the credits begin to roll.</t>
  </si>
  <si>
    <t>v_eMQ5sazq-q0</t>
  </si>
  <si>
    <t>People picks up piles of grass on a front yard.</t>
  </si>
  <si>
    <t>A dog walks in the yard where people pile grass.</t>
  </si>
  <si>
    <t>A man cut the grass using a hand cutter.</t>
  </si>
  <si>
    <t>The dogs smells on the ground.</t>
  </si>
  <si>
    <t>v_Vtnn6yJqHqM</t>
  </si>
  <si>
    <t>A pair of hands are shown playing piano.</t>
  </si>
  <si>
    <t>The piano player is shown playing with another person seated beside him.</t>
  </si>
  <si>
    <t>The playing is seen from a hand close up view again.</t>
  </si>
  <si>
    <t>The second man imitates the first man.</t>
  </si>
  <si>
    <t>The first man claps at the second man's imitation.</t>
  </si>
  <si>
    <t>v_8iQ_ZjJGQkE</t>
  </si>
  <si>
    <t>A man stands in front of the camera and then takes a puff of his cigarette.</t>
  </si>
  <si>
    <t>After,he appears with roller blades on and starts to jump on different blocks and boulders in the city.</t>
  </si>
  <si>
    <t>The man continues making his way through the city,passing cars,and jumping over rocks.</t>
  </si>
  <si>
    <t>v_nmMs1pWkiAU</t>
  </si>
  <si>
    <t>A woman and a man salute, and then they demonstrate karate moves in a gym.</t>
  </si>
  <si>
    <t>After, the woman and the man stand and salute.</t>
  </si>
  <si>
    <t>v_gee7iCW34_E</t>
  </si>
  <si>
    <t>A graphic is seen with drawings of mushrooms and plants.</t>
  </si>
  <si>
    <t>A tall pine tree is seen.</t>
  </si>
  <si>
    <t>A match is lit and a young man holds up another lit match along with sticks then blows it out.</t>
  </si>
  <si>
    <t>The young man builds a ring of rocks near a tent.</t>
  </si>
  <si>
    <t>The camper then shows various sized sticks in his hands and others that he breaks in two.</t>
  </si>
  <si>
    <t>The young man breaks sticks with his foot and carries them to the campsite.</t>
  </si>
  <si>
    <t>The young man builds a fire with the various sized sticks in the fire ring and lights it.</t>
  </si>
  <si>
    <t>The fire burns into the night.</t>
  </si>
  <si>
    <t>v_3N1tbv5Z6Kk</t>
  </si>
  <si>
    <t>A man in tuxedo and woman in party dress dance the tango in a ballroom surrounded by crowd in chairs during performance.</t>
  </si>
  <si>
    <t>The crowd cheers at the end and claps hands.</t>
  </si>
  <si>
    <t>v_rcqXzX-7ULg</t>
  </si>
  <si>
    <t>A woman is standing in front of a washer and dryer in a laundry room.</t>
  </si>
  <si>
    <t>Step by step instructions are given for ironing clothes.</t>
  </si>
  <si>
    <t>She shows how to prepare and iron clothing using a rag and steam.</t>
  </si>
  <si>
    <t>v_8GxWehFZVRE</t>
  </si>
  <si>
    <t>A woman is sitting next to a baby in a high chair.</t>
  </si>
  <si>
    <t>She is playing an accordian for the baby.</t>
  </si>
  <si>
    <t>The baby rocks back and forth, dancing to the music.</t>
  </si>
  <si>
    <t>v_iUIfmMljiOg</t>
  </si>
  <si>
    <t>A woman is giving instructions on how to make her lemonade.</t>
  </si>
  <si>
    <t>She shows all of the ingredients that she uses and starts to boil them and mix them on a pot on the stove.</t>
  </si>
  <si>
    <t>In a blender she blends some strawberries and lemon juice.</t>
  </si>
  <si>
    <t>She then starts to do more or less all of those steps again for all different types of other lemonades that she makes.</t>
  </si>
  <si>
    <t>v_FA4BDINxLmE</t>
  </si>
  <si>
    <t>A close up of a person walking on a rope is shown followed by and old man speaking to the camera and more shots of the person walking.</t>
  </si>
  <si>
    <t>More people are being interviewed while people walk behind them and show several more shots of people walking across a rope.</t>
  </si>
  <si>
    <t>v_Nn9qwOB-g34</t>
  </si>
  <si>
    <t>A small group of people are seen standing along an indoor with one player kicking the ball and scoring a goal.</t>
  </si>
  <si>
    <t>The audience cheers and the same shot is shown again several times and the player walking away.</t>
  </si>
  <si>
    <t>Many more shots of goals are shown during the game followed by the same shot shown again in slow motion.</t>
  </si>
  <si>
    <t>v_fHXgxSFDmJc</t>
  </si>
  <si>
    <t>We see man teasing a bull with a flag.</t>
  </si>
  <si>
    <t>The bull charges at the flag.</t>
  </si>
  <si>
    <t>The bull charges and goes after the flag.</t>
  </si>
  <si>
    <t>The bullfighter moves left and the bull follows him.</t>
  </si>
  <si>
    <t>v_uE3YXkZoV5c</t>
  </si>
  <si>
    <t>Two men walk holding sticks out in front of them.</t>
  </si>
  <si>
    <t>They arrange discs onto some numbers.</t>
  </si>
  <si>
    <t>One of the men throws a disc with his stick.</t>
  </si>
  <si>
    <t>The man in red throws his disc.</t>
  </si>
  <si>
    <t>The first man throws another disc.</t>
  </si>
  <si>
    <t>The man in the red shirt follows.</t>
  </si>
  <si>
    <t>The first man throws another disc and the man in the red shirt follows.</t>
  </si>
  <si>
    <t>They high five each other.</t>
  </si>
  <si>
    <t>v_vLEz1mHahdM</t>
  </si>
  <si>
    <t>A man in military uniform is standing in front of a group of soldiers.</t>
  </si>
  <si>
    <t>He is playing the bagpipes while the other soldiers stand and watch him.</t>
  </si>
  <si>
    <t>It may be a parade they are practicing for because they are standing and watching him on top of trailer.</t>
  </si>
  <si>
    <t>Once the soldier is done with his song on the bagpipe all the soldiers clap and cheer for him.</t>
  </si>
  <si>
    <t>v_yrf93aLQXBE</t>
  </si>
  <si>
    <t>An old video of people surfing is shown.</t>
  </si>
  <si>
    <t>People catch waves and the fat guy does a pretty good job.</t>
  </si>
  <si>
    <t>v_Jj7Xcisw62E</t>
  </si>
  <si>
    <t>A large black male and John Cena are in a wrestling ring arm wrestling.</t>
  </si>
  <si>
    <t>The black male is beginning to win but John Cena uses all of his might to not give in and gains enough strength to push the hand back the other way.</t>
  </si>
  <si>
    <t>After a certain amount of time,John Cena wins and someone jumps on his back and begins wrestling him and picks the black man up and drops him.</t>
  </si>
  <si>
    <t>As John Cena continues to celebrate the other guy begins talking trash and John Cena looks at him then talks back to the crowd.</t>
  </si>
  <si>
    <t>v_VqTyewe2R1A</t>
  </si>
  <si>
    <t>A marching band plays in a gym and people watch.</t>
  </si>
  <si>
    <t>Then, the marching band stops playing for a little bit, then it resumes.</t>
  </si>
  <si>
    <t>A woman pass on side the marching band.</t>
  </si>
  <si>
    <t>A young man drinks from a can.</t>
  </si>
  <si>
    <t>After, a child pass on front the Marching band.</t>
  </si>
  <si>
    <t>v_cxxiokwoVgg</t>
  </si>
  <si>
    <t>People in a home get ready to go sled on the street covered with snow.</t>
  </si>
  <si>
    <t>Two young men sled on the road pulled by a car.</t>
  </si>
  <si>
    <t>Splashes of snow falls on the young men who are covered with snow.</t>
  </si>
  <si>
    <t>A young man stands from the sled and enters the car and other person takes his place on the sled.</t>
  </si>
  <si>
    <t>A young men goes down the road sledding while snow splay on them.</t>
  </si>
  <si>
    <t>A young person snowboards holding a rope attached to a car, at the end he falls.</t>
  </si>
  <si>
    <t>v_UYzgXZIRUR8</t>
  </si>
  <si>
    <t>A boy skateboard on a road jumping and flipping the skateboard in the street.</t>
  </si>
  <si>
    <t>A skateboard leans on a tree.</t>
  </si>
  <si>
    <t>Then, the boy skateboard on small ramps and then continues skateboarding in the street.</t>
  </si>
  <si>
    <t>v_YJTz7mpI-mY</t>
  </si>
  <si>
    <t>A man places shaving cream on his face.</t>
  </si>
  <si>
    <t>A man spits some liquid out of his mouth.</t>
  </si>
  <si>
    <t>A man sharpens his razor blade.</t>
  </si>
  <si>
    <t>The man shaves his face with the razor.</t>
  </si>
  <si>
    <t>The man puts more shaving cream on his face.</t>
  </si>
  <si>
    <t>v_n6k21NjvqXE</t>
  </si>
  <si>
    <t>An intro appears and it has a logo and the words "outdoor interlaken +", and then yellow words and roman numerals appear.</t>
  </si>
  <si>
    <t>The outdoor shop appears and it quickly changes to the inside of the shop where people are all gathered to get instructions, get dressed in helmets and safety gear, and prepare for white water rafting.</t>
  </si>
  <si>
    <t>The people are then going outdoors where they practice on land on how to sit in the raft, paddle and etc.</t>
  </si>
  <si>
    <t>When they are done practicing the all walk to the water with their rafts and they are all seen in the very rough waters going down and paddling and in their rafts where they end up in calm waters and jump out of their rafts to celebrate their success.</t>
  </si>
  <si>
    <t>When they're done celebrating the people walk out of the water holding their raft and they end up in a vehicle where they are smiling and happy.</t>
  </si>
  <si>
    <t>The outro appears with contact information, website,logos and credits.</t>
  </si>
  <si>
    <t>v_0LebHO3TvzE</t>
  </si>
  <si>
    <t>Two people are seen sitting on shore while sitting in kayaks.</t>
  </si>
  <si>
    <t>One person inches himself closer to the water and begins riding along down the river.</t>
  </si>
  <si>
    <t>v_8J_erRJya-k</t>
  </si>
  <si>
    <t>Young men ride skateboards and do skidding turns in a city plaza.</t>
  </si>
  <si>
    <t>The skateboarder does a wheelie.</t>
  </si>
  <si>
    <t>The skateboarders ride along a sidewalk going somewhere.</t>
  </si>
  <si>
    <t>The boys walk around and go into a transportation station.</t>
  </si>
  <si>
    <t>v_JksdZ0YMkoQ</t>
  </si>
  <si>
    <t>A man in red in outside screwing in his rotors and putting his tire back on his truck.</t>
  </si>
  <si>
    <t>He grabs pieces to tighten it and begins to make sure they are on super tight.</t>
  </si>
  <si>
    <t>He does it repeatedly to make sure they all stay on well.</t>
  </si>
  <si>
    <t>Otherwise it would be dangerous to drive on if they are loose.</t>
  </si>
  <si>
    <t>v_KUorCsuIe2A</t>
  </si>
  <si>
    <t>We see a boy in a cap in a room laughing and sitting.</t>
  </si>
  <si>
    <t>We see the boy backstage talking to two men.</t>
  </si>
  <si>
    <t>The boy walks on the stage and talks to the judges.</t>
  </si>
  <si>
    <t>The boy performs a break dance.</t>
  </si>
  <si>
    <t>A judges mouth hangs open.</t>
  </si>
  <si>
    <t>The boy finises dancing and the judges give their feedback.</t>
  </si>
  <si>
    <t>The crowd lifts their arms in the air.</t>
  </si>
  <si>
    <t>The boy walks off stage and is interviewed.</t>
  </si>
  <si>
    <t>The boy walks away from the men.</t>
  </si>
  <si>
    <t>v_svZ7DPi7rLI</t>
  </si>
  <si>
    <t>A man is running throws a javelin.</t>
  </si>
  <si>
    <t>He puts his hands in the air and waves at the crowd.</t>
  </si>
  <si>
    <t>He grabs a towel and puts his hands in the air.</t>
  </si>
  <si>
    <t>v_xUDwlT5fw_o</t>
  </si>
  <si>
    <t>A man is standing at a bar and he begins pouring ice into a tall cup along with blue liquid, dark liquid, and a red liquid.</t>
  </si>
  <si>
    <t>The man then pours it into a shaker and shakes it until thoroughly mixed.</t>
  </si>
  <si>
    <t>When the man is finished shaking the drink he removes the cup from the shaker, pours the liquids into a smaller cup, and sticks a white straw in it.</t>
  </si>
  <si>
    <t>All while talking the man then picks up the cup, smells it, smiles and holds the drink up.</t>
  </si>
  <si>
    <t>v_2DCeEAz8iO8</t>
  </si>
  <si>
    <t>A camera pans around a person riding around on a horse.</t>
  </si>
  <si>
    <t>The person continues riding around the area and pauses to speak to the woman while she laughs and speaks to the camera.</t>
  </si>
  <si>
    <t>v_4-Xe_9Ywvd8</t>
  </si>
  <si>
    <t>A group of cheerleaders gather on a football field.</t>
  </si>
  <si>
    <t>They cheer and flip as they jog across the field.</t>
  </si>
  <si>
    <t>They then put on a performance, flipping and jumping.</t>
  </si>
  <si>
    <t>v_FGtoyNOi6gg</t>
  </si>
  <si>
    <t>An intro leads into several shots of a wooded area and several people bungee jumping off a bridge.</t>
  </si>
  <si>
    <t>Several shots of people jumping off the side and shown and many standing on the side and close ups of the jumpers.</t>
  </si>
  <si>
    <t>v_qhsK94t7x7w</t>
  </si>
  <si>
    <t>People in stands watch as two bulls walk around in a bullfighting ring, other people walk around in the ring taking pictures.</t>
  </si>
  <si>
    <t>The bulls lock horns, and are aggressive toward one another.</t>
  </si>
  <si>
    <t>One bull walks away from the other one, and then quickly turns to reengage in the fight.</t>
  </si>
  <si>
    <t>The bulls circle one another.</t>
  </si>
  <si>
    <t>The bulls begin to fight.</t>
  </si>
  <si>
    <t>v_w8PqH7bltJQ</t>
  </si>
  <si>
    <t>man is standing in a workshop standing in front of a bicycle talking to the camera.</t>
  </si>
  <si>
    <t>list of materials is shown in the screen.</t>
  </si>
  <si>
    <t>man is putting red tape on bicycle bars.</t>
  </si>
  <si>
    <t>the man is wrapping all the bar in the red tape.</t>
  </si>
  <si>
    <t>v_kM6v-XN8Ixo</t>
  </si>
  <si>
    <t>A man throws a frisbee on a field.</t>
  </si>
  <si>
    <t>A dog jumps and grabs the frisbee in the air.</t>
  </si>
  <si>
    <t>The man lays on his back and the dog stands on his feet.</t>
  </si>
  <si>
    <t>The man bends down and the dog jumps on his back.</t>
  </si>
  <si>
    <t>The dog runs and jumps into the mans arms and the man carries him.</t>
  </si>
  <si>
    <t>v_539ByIcbUPs</t>
  </si>
  <si>
    <t>A woman speaks to the camera.</t>
  </si>
  <si>
    <t>Many lemons fall onto a counter.</t>
  </si>
  <si>
    <t>The woman grabs a wooden bowl and pours brown sugar into it.</t>
  </si>
  <si>
    <t>She grabs a lemon and rubs brown sugar all over the lemon.</t>
  </si>
  <si>
    <t>She proceeds to rub two lemons onto the counter.</t>
  </si>
  <si>
    <t>With a knife, she cuts a lemon in half.</t>
  </si>
  <si>
    <t>She squeezes lemon juice into a bowl.</t>
  </si>
  <si>
    <t>She pours the squeezed lemon juice into a pitcher.</t>
  </si>
  <si>
    <t>She pours boiling water into the bowl with brown sugar in it.</t>
  </si>
  <si>
    <t>Shes pours the watered brown sugar into the pitcher and stirs.</t>
  </si>
  <si>
    <t>She breaks ice cubes by hitting them with a spoon.</t>
  </si>
  <si>
    <t>She places the ice into a glass and adds the lemonade.</t>
  </si>
  <si>
    <t>Lastly, she takes a sip of the lemonade she just made.</t>
  </si>
  <si>
    <t>v_047dUA_39x8</t>
  </si>
  <si>
    <t>A cowboy rides a horse out of a corral and enters into a fenced off area.</t>
  </si>
  <si>
    <t>The man rides his horse out of the fenced are and throws a rope around a cattle.</t>
  </si>
  <si>
    <t>The man is helped by other cowboys while tying up the cattle.</t>
  </si>
  <si>
    <t>v_cdHBwzbNI5Y</t>
  </si>
  <si>
    <t>A girl in a sparkling outfit marches onto the court followed by other girls.</t>
  </si>
  <si>
    <t>They are holding batons as they march.</t>
  </si>
  <si>
    <t>They then walk away, off the court.</t>
  </si>
  <si>
    <t>v_8eGaK2mVEhY</t>
  </si>
  <si>
    <t>An indoor track is shown as a male begins running with a pole vault but he isn't successful in his jump.</t>
  </si>
  <si>
    <t>Another person then comes behind the camera and begins talking.</t>
  </si>
  <si>
    <t>The athlete then does his jump several more times but he isn't successful.</t>
  </si>
  <si>
    <t>v_ZIbrxshdMu0</t>
  </si>
  <si>
    <t>Older people play croquet near the ocean.</t>
  </si>
  <si>
    <t>A group of people come and walk by in the background.</t>
  </si>
  <si>
    <t>The two groups play and interact with each other.</t>
  </si>
  <si>
    <t>v_Pw0ANcAM-zc</t>
  </si>
  <si>
    <t>A man l dead lifts a weight bar from the ground over his head in a gym.</t>
  </si>
  <si>
    <t>The man does repetitions lifting a weight bar up off the ground to waist level.</t>
  </si>
  <si>
    <t>v_r9vcB6tc1mM</t>
  </si>
  <si>
    <t>There are two men using defense techniques as a way of dance moves.</t>
  </si>
  <si>
    <t>They are in the middle of a circle of people, who are clapping.</t>
  </si>
  <si>
    <t>Two other men come in from the crowd to try and dance, but the video ends.</t>
  </si>
  <si>
    <t>v_REOP3JWB0yc</t>
  </si>
  <si>
    <t>A man is seen wearing sunglasses and speaking to the camera while holding a lacrosse stick.</t>
  </si>
  <si>
    <t>The man continues to speak to the camera while moving the stick all around.</t>
  </si>
  <si>
    <t>In the end is seen still speaking while moving his legs as well as showing how to properly throw the ball.</t>
  </si>
  <si>
    <t>v_xXRKrdnuZBQ</t>
  </si>
  <si>
    <t>A man is seen speaking to the camera and leads into clips of him hitting a ball around with a stick.</t>
  </si>
  <si>
    <t>The man continues speaking to the camera in several spots and as well as hitting the ball around an indoor area.</t>
  </si>
  <si>
    <t>v_jSxu2GOiBO0</t>
  </si>
  <si>
    <t>An introduction comes onto the screen for a video about how to ski.</t>
  </si>
  <si>
    <t>A man begins to talk about some key components of skiing and how to go about learning how to ski.</t>
  </si>
  <si>
    <t>The video then goes to video of people skiing down a slope while twisting and turning from side to side.</t>
  </si>
  <si>
    <t>A scene is shown of three men talking while riding up the ski lift.</t>
  </si>
  <si>
    <t>The closing credits and graphics are shown at the end.</t>
  </si>
  <si>
    <t>v_tSUzEX6ps0s</t>
  </si>
  <si>
    <t>A Subway employee is standing in the kitchen preparing sub.</t>
  </si>
  <si>
    <t>On a white piece is of paper is a foot long piece of bread and a row of ham,pepperoni,salami then cheese are added on the sub.</t>
  </si>
  <si>
    <t>Next,the man puts the sub in the oven to be toasted and moves a tray of cookies to the other side of the counter.</t>
  </si>
  <si>
    <t>As he waits,he begins talking to his friend and checking the cookies.</t>
  </si>
  <si>
    <t>Now,the sub is toasted a lettuce and tomatoes are added along with cucumbers,anchovies,oil,vinegar and mayo.</t>
  </si>
  <si>
    <t>The sub is finally finished cut in half,rolled in paper, and then totaled out on the register.</t>
  </si>
  <si>
    <t>v_MysxDDxgHNo</t>
  </si>
  <si>
    <t>Several boys are interacting in an ice rink.</t>
  </si>
  <si>
    <t>Two boys that are sliding on their knees towards each other collide and fall back.</t>
  </si>
  <si>
    <t>A boy releases a curling stone.</t>
  </si>
  <si>
    <t>Three boys walk together across on the ice.</t>
  </si>
  <si>
    <t>v_RhsCYNiAaV8</t>
  </si>
  <si>
    <t>Title cards flash across the screen.</t>
  </si>
  <si>
    <t>Images of rafts are shown.</t>
  </si>
  <si>
    <t>We see people sitting in their raft then start rowing.</t>
  </si>
  <si>
    <t>A waterfall spills into the raft.</t>
  </si>
  <si>
    <t>Two boats of rafters raft down a river.</t>
  </si>
  <si>
    <t>The first boat splashes the rear boat.</t>
  </si>
  <si>
    <t>The rafters splash each other.</t>
  </si>
  <si>
    <t>A raft turns over in the water and rafters float to the river bank.</t>
  </si>
  <si>
    <t>A van is then driving down the road.</t>
  </si>
  <si>
    <t>The end title card appears on the screen.</t>
  </si>
  <si>
    <t>v_aTl4KzTuJoU</t>
  </si>
  <si>
    <t>A man is in the ocean water, holding a rope.</t>
  </si>
  <si>
    <t>He is attached to a boat while he is on water skis.</t>
  </si>
  <si>
    <t>He lifts himself up, skiing in the waves.</t>
  </si>
  <si>
    <t>v_36lphp9tnMk</t>
  </si>
  <si>
    <t>A man is standing outside drinking beer.</t>
  </si>
  <si>
    <t>People are standing around watching him.</t>
  </si>
  <si>
    <t>He sets the beer glass down on a table.</t>
  </si>
  <si>
    <t>v_1y9s_l_DIEk</t>
  </si>
  <si>
    <t>A woman holds two big gloves where two little girls tap with both hands.</t>
  </si>
  <si>
    <t>Then, the woman puts the globes on front her chest.</t>
  </si>
  <si>
    <t>People practice karate in a room.</t>
  </si>
  <si>
    <t>v_PVAV7PdHhgE</t>
  </si>
  <si>
    <t>A person holds a boy that is on a swing rod, and then push the rod.</t>
  </si>
  <si>
    <t>Then, the boy swings on the rod to impulse his body to swing in circles until the rod loss force.</t>
  </si>
  <si>
    <t>After, a man helps stop the swing rod, while other people are fixing something.</t>
  </si>
  <si>
    <t>A young man wearing yellow t-shirt move his arms.</t>
  </si>
  <si>
    <t>v_npzRJiGHc9c</t>
  </si>
  <si>
    <t>A field hockey game is being played.</t>
  </si>
  <si>
    <t>As a team is trying to score,a player in a white shirt ducks as the puck flies over her head.</t>
  </si>
  <si>
    <t>After the puck goes through the goalie,the young lady smiles as she goes over to the sideline and is given a high five from her coach.</t>
  </si>
  <si>
    <t>v_R7uL6BvULN8</t>
  </si>
  <si>
    <t>Two people are carrying kite surf boards to the water and we see people riding them in the water.</t>
  </si>
  <si>
    <t>We see the board up close.</t>
  </si>
  <si>
    <t>We see a man riding and come to a stop.</t>
  </si>
  <si>
    <t>We see the board up close again.</t>
  </si>
  <si>
    <t>We see the man riding the board in the water again.</t>
  </si>
  <si>
    <t>v_h5fX5z-unJc</t>
  </si>
  <si>
    <t>A man wearing a white shirt is playing pool in a recreation room.</t>
  </si>
  <si>
    <t>There are some other players standing besides the pool table.</t>
  </si>
  <si>
    <t>The man playing pool hits the balls as he continues playing the game.</t>
  </si>
  <si>
    <t>v_bFHpaULTwsE</t>
  </si>
  <si>
    <t>A tree and mulching materials are show, then a man prepares the area around the tree.</t>
  </si>
  <si>
    <t>Then the man put mulch around the tree and gives form with a rack.</t>
  </si>
  <si>
    <t>v_K-E0UXNscjU</t>
  </si>
  <si>
    <t>A woman is seen throwing a dart to the board and looking back laughing while another watches from far away.</t>
  </si>
  <si>
    <t>She throws more darts onto the board while stopping to grab them and a man bending down beside her.</t>
  </si>
  <si>
    <t>v_9Tip00S7cFY</t>
  </si>
  <si>
    <t>A man is in an indoor racquetball court, talking as he holds a ball and racquet.</t>
  </si>
  <si>
    <t>He lobs the ball back and forth against the wall, interspersed with talking about the game.</t>
  </si>
  <si>
    <t>He speaks for a while longer before the video ends.</t>
  </si>
  <si>
    <t>v_tdHQb9Uwc4A</t>
  </si>
  <si>
    <t>Two men are standing on an indoor gym and in sync they both start jumping on their metal bouncy stits and they both do a backflip.</t>
  </si>
  <si>
    <t>Various clips of various different people also wearing the bouncy stilts play and they're all running, flipping and doing various tricks while landing onto blue mats in an indoor gym.</t>
  </si>
  <si>
    <t>Now there are a lot of people outdoors, both men and women, and they are all running, hopping, jumping, and doing flips outdoors.</t>
  </si>
  <si>
    <t>A large group of them all line up and a view from above show that they have formed the number 7.</t>
  </si>
  <si>
    <t>Various still shot pictures show and clips of more people outdoors in a different area play and they're all also jumping over poles, doing flips, jumps, running and etcetera.</t>
  </si>
  <si>
    <t>Now there are people jumping into the water with their bouncy stilts, then back in a large grassy area until a black screen appears and a lot of white words and websites scroll quickly from bottom to top.</t>
  </si>
  <si>
    <t>v_3ArMGKnxlcU</t>
  </si>
  <si>
    <t>People are canoeing down a river of water.</t>
  </si>
  <si>
    <t>They are going around poles in the water.</t>
  </si>
  <si>
    <t>They go under a bridge.</t>
  </si>
  <si>
    <t>v_Dty6AUdBdrE</t>
  </si>
  <si>
    <t>A little girl in gray and printed coat is standing at the center of dry leaves, she walked away from the pile of leaves, grab handful and put it on one side.</t>
  </si>
  <si>
    <t>A woman in gray sweater and blue pants walk from the girl's behind then towards her, the lady is carrying a rake.</t>
  </si>
  <si>
    <t>The little girl came up to her and try to reach for the rake.</t>
  </si>
  <si>
    <t>The woman adjusted the handle of the rake to make it shorter and handed to the girl.</t>
  </si>
  <si>
    <t>The little girl tried to rake but it wouldn't move so the woman sat beside the girl and take the rake from her, while the little girl got distracted by the kids running down the street.</t>
  </si>
  <si>
    <t>The little girl continue to rake, while the lady take a bigger rake and started to rake the leaves.</t>
  </si>
  <si>
    <t>v_h_Kt_rqmODs</t>
  </si>
  <si>
    <t>A person is walking along the street that has chalk on it.</t>
  </si>
  <si>
    <t>A person in a red shirt is hopping along the street with the chalk on it.</t>
  </si>
  <si>
    <t>They finish and smile at the camera.</t>
  </si>
  <si>
    <t>v_G4fSvtn1HAw</t>
  </si>
  <si>
    <t>This is a recipe for making chocolate chip cookies.</t>
  </si>
  <si>
    <t>Chocolate bars are cut up with a knife.</t>
  </si>
  <si>
    <t>Butter is microwaved and prepared with sugar and other ingredients.</t>
  </si>
  <si>
    <t>Everything is stirred and the chocolate is put in.</t>
  </si>
  <si>
    <t>The cookies are shaped and put in an oven.</t>
  </si>
  <si>
    <t>v_LIaNG_UliKk</t>
  </si>
  <si>
    <t>man is sitting in the driver's seat.</t>
  </si>
  <si>
    <t>people are in snowy mountain snowboarding.</t>
  </si>
  <si>
    <t>v_aFdYbgmbOeY</t>
  </si>
  <si>
    <t>Someone grabs a rubix cube off of their desk and begin to solve it.</t>
  </si>
  <si>
    <t>They are moving so fast, they put it down for a split second.</t>
  </si>
  <si>
    <t>They pick it back up quickly and get back to it, moving so fast again.</t>
  </si>
  <si>
    <t>When they finally solve the cube they show their time, it took them only 33,91 to solve the cube.</t>
  </si>
  <si>
    <t>v_PJvOR4ue3tU</t>
  </si>
  <si>
    <t>The man in black shirt is walking and then raised the ball up.</t>
  </si>
  <si>
    <t>The man put the ball on his neck and started to turn around and threw the ball.</t>
  </si>
  <si>
    <t>The man cheered and gave a high five to other man, then he is so happy he went to the ground on his stomach and he continue to cheer.</t>
  </si>
  <si>
    <t>v_yBjsQN4fzVY</t>
  </si>
  <si>
    <t>There's a woman in a pink dress sitting with a man in a gray shirt.</t>
  </si>
  <si>
    <t>They are talking about brushing teeth in underwear and how it is banned by Metacafe.</t>
  </si>
  <si>
    <t>The man has a script in his hand that he's reading.</t>
  </si>
  <si>
    <t>A man in folded pants is walking on the beach.</t>
  </si>
  <si>
    <t>He picks up a toothbrush from the sand and begins brushing his teeth.</t>
  </si>
  <si>
    <t>The woman in the bathroom is brushing her teeth and is attacked by a man with a knife.</t>
  </si>
  <si>
    <t>There is blood splattered all over the bathroom.</t>
  </si>
  <si>
    <t>The injured woman gets up and looks in the mirror only find out that she has the face of the man from the beach.</t>
  </si>
  <si>
    <t>The same man is now back on the beach, walking along the shore.</t>
  </si>
  <si>
    <t>v_6fjc0Brqa7A</t>
  </si>
  <si>
    <t>Various shots of landscapes are shown followed by a woman speaking to the camera, gearing up, and riding behind a vehicle.</t>
  </si>
  <si>
    <t>The person walks around and interacts with the driver and leads into more clips of the person riding a board behind a car.</t>
  </si>
  <si>
    <t>A man speaks into a walkie talkie and showing the speed of the car as well as people celebrating and the man receiving a plaque.</t>
  </si>
  <si>
    <t>v_h3GLEcwSvD4</t>
  </si>
  <si>
    <t>A group of men are in a room doing various hand movements and moving their feet.</t>
  </si>
  <si>
    <t>As they continue,the man in the back falls on the ground,gets up and continues moving in the back of the room.</t>
  </si>
  <si>
    <t>They finish,stand still and begin clapping and high-fiving one another.</t>
  </si>
  <si>
    <t>v_aBr9bdWrl0I</t>
  </si>
  <si>
    <t>blonde woman is raking dry leaves in a backyard and dog is playing with them running.</t>
  </si>
  <si>
    <t>dog is unning in the backyard and is drinkin water from a smal fountain and keep running through the field playing with the leaves while the woman keep raking.</t>
  </si>
  <si>
    <t>v_tnavaGow7BI</t>
  </si>
  <si>
    <t>Two people are standing behind a counter.</t>
  </si>
  <si>
    <t>One person is adding peppers to a salad.</t>
  </si>
  <si>
    <t>Another person is chopping the pepper on a board.</t>
  </si>
  <si>
    <t>v_LW8UDBQ1yJc</t>
  </si>
  <si>
    <t>The opening credits for a film appears on the screen.</t>
  </si>
  <si>
    <t>Several young men are shown performing various stunts on skateboards.</t>
  </si>
  <si>
    <t>They jump on tables, over fountains, and down stairs.</t>
  </si>
  <si>
    <t>v_-kky8-yaEPg</t>
  </si>
  <si>
    <t>A man is stirring something in a pot.</t>
  </si>
  <si>
    <t>The first man leaves the scene as a second man enters and stirs something in a bowl.</t>
  </si>
  <si>
    <t>The first man walks into and out of frame.</t>
  </si>
  <si>
    <t>The camera pans left to watch the first man working at an oven.</t>
  </si>
  <si>
    <t>v_hK3E6njydQA</t>
  </si>
  <si>
    <t>People in uniforms of various characters are shown running around a green field.</t>
  </si>
  <si>
    <t>Then, a lacrosse game begins and they compete against one another.</t>
  </si>
  <si>
    <t>The large yellow character attempts to get a goal but isn't successful and he falls to his knee in disappointment.</t>
  </si>
  <si>
    <t>v_ivivR6ZdgRM</t>
  </si>
  <si>
    <t>A man in a denim shirt and black baseball cap plays the harmonica at the beach in front of a sandy shore, ocean water and a grass and flower covered knoll.</t>
  </si>
  <si>
    <t>The man is standing at the top of a short wooden staircase, and, leaning against the railing the man begins to play the harmonica covering the entire instrument with both hands while playing.</t>
  </si>
  <si>
    <t>A beach goer in shorts walks past him in the distance on the wet sand of the beach.</t>
  </si>
  <si>
    <t>The man continues to play the harmonica ending by pulling the harmonica away from the mouth and wriggling a large, puffy, mustache dramatically.</t>
  </si>
  <si>
    <t>v_B6W_0AvgGTY</t>
  </si>
  <si>
    <t>A man and dog are seen standing in a field with the dog looking to the owner.</t>
  </si>
  <si>
    <t>The man throws a frisbee off into the distance and the dog chases after it.</t>
  </si>
  <si>
    <t>The dog grabs the frisbee and runs back to the man.</t>
  </si>
  <si>
    <t>v_XuFiQCgRsRo</t>
  </si>
  <si>
    <t>A young woman is in a gym.</t>
  </si>
  <si>
    <t>She sits on an exercise machine while speaking to the camera.</t>
  </si>
  <si>
    <t>Three other people are near her, also on exercise machines.</t>
  </si>
  <si>
    <t>The woman then begins to use the exercise machine.</t>
  </si>
  <si>
    <t>The video ends with the woman stopping the machine and smiling at the camera.</t>
  </si>
  <si>
    <t>v_6SWx37_Byzs</t>
  </si>
  <si>
    <t>A man and woman are seen performing a dancing routine on a floor with one another.</t>
  </si>
  <si>
    <t>The man and woman are also seen in shots dancing by themselves and leads into them dancing together again.</t>
  </si>
  <si>
    <t>v_ZREEgMgSz_o</t>
  </si>
  <si>
    <t>A girl stands in a bathroom talking to the camera as a man films her.</t>
  </si>
  <si>
    <t>The lady wipes her eye makeup off and washes her face.</t>
  </si>
  <si>
    <t>the lady rinses the soap off her face.</t>
  </si>
  <si>
    <t>The lady stands upright and wipes her face with her hands while smiling.</t>
  </si>
  <si>
    <t>v_cfwJd80WCZU</t>
  </si>
  <si>
    <t>A man walking on metal stilts is bouncing a basketball with his right hand as a man passes him on rollerblades in the opposite direction.</t>
  </si>
  <si>
    <t>The man on stilts turns around while still bouncing the ball, loses control for a little bit, but steps it up and bounces is again.</t>
  </si>
  <si>
    <t>The man then grabs the basketball with two hands and pretends that he's going to throw it towards the camera.</t>
  </si>
  <si>
    <t>v_7g3YO0-R4qk</t>
  </si>
  <si>
    <t>A swimming pool is shown in a room.</t>
  </si>
  <si>
    <t>Men are shown jumping into the pool and swimming laps.</t>
  </si>
  <si>
    <t>v_ir1jpnsK5p8</t>
  </si>
  <si>
    <t>Cars move on a road adjacent to a home.</t>
  </si>
  <si>
    <t>A person is power washing.</t>
  </si>
  <si>
    <t>The person is soaking up water and debris with a vacuum.</t>
  </si>
  <si>
    <t>A man is painting the wall, light blue.</t>
  </si>
  <si>
    <t>The man is painting the wall and floor of a roof, black.</t>
  </si>
  <si>
    <t>v_SZqwvjwqwK4</t>
  </si>
  <si>
    <t>A man is playing the drums while wearing earphones.</t>
  </si>
  <si>
    <t>We see the man's feet in the upper corner.</t>
  </si>
  <si>
    <t>the mans' feet return in the corner.</t>
  </si>
  <si>
    <t>We see a game being played before returning to the drummer.</t>
  </si>
  <si>
    <t>We see another scene from the game.</t>
  </si>
  <si>
    <t>The man throws and catches one of his drumsticks.</t>
  </si>
  <si>
    <t>We see a closing screen with a website on it.</t>
  </si>
  <si>
    <t>v_lzcVvTHZlQo</t>
  </si>
  <si>
    <t>A shot is seen of two men performing an arm wrestling match together while the audience cheers.</t>
  </si>
  <si>
    <t>One man beats the other and the two hold up their arms to cheer and everybody celebrates.</t>
  </si>
  <si>
    <t>One man in the audience looks disappointing and the winner holds up a boy.</t>
  </si>
  <si>
    <t>v_xcI2e5T_BL0</t>
  </si>
  <si>
    <t>A man is scooping out the inside of a watermelon.</t>
  </si>
  <si>
    <t>He eats a piece of the watermelon.</t>
  </si>
  <si>
    <t>He draws on the side of the watermelon.</t>
  </si>
  <si>
    <t>He starts cutting out portions of the watermelon to carve it.</t>
  </si>
  <si>
    <t>He pulls out a piece of the watermelon skin.</t>
  </si>
  <si>
    <t>He continues drawing and cutting the watermelon.</t>
  </si>
  <si>
    <t>He shows the carved watermelon.</t>
  </si>
  <si>
    <t>The lights turn off and he shows the carved watermelon.</t>
  </si>
  <si>
    <t>v_Isx1Q5wyJZg</t>
  </si>
  <si>
    <t>Two girls spin double jump ropes while a girl in a black skirt jumps and a crowd of spectators watches on.</t>
  </si>
  <si>
    <t>A girl in jeans enters the ropes and performs different jumping moves.</t>
  </si>
  <si>
    <t>A girl in a blue shirt enters the jump ropes and performs different moves while jumping.</t>
  </si>
  <si>
    <t>A girl enters the jump ropes going extra fast speed and performs fast jumps.</t>
  </si>
  <si>
    <t>v_s1E6EKs1MZw</t>
  </si>
  <si>
    <t>A man in a gorilla suit is playing a saxophone in the middle of a store.</t>
  </si>
  <si>
    <t>The employees look on and laugh at the person playing and use their phones to take pictures.</t>
  </si>
  <si>
    <t>The gorillas reaches out to grab one of the employees hands and the man is very embarrassed by it.</t>
  </si>
  <si>
    <t>They talk to each other a bit and the other employees begin to clap excitedly.</t>
  </si>
  <si>
    <t>The Gorilla suit man plays the sax some more as everyone is still laughing.</t>
  </si>
  <si>
    <t>He plays and plays to the camera as the video comes to an end.</t>
  </si>
  <si>
    <t>v_wC-k0Zfx-cM</t>
  </si>
  <si>
    <t>People are sumo wrestling on a mat.</t>
  </si>
  <si>
    <t>People are playing the drums.</t>
  </si>
  <si>
    <t>Sumo wrestlers are talking to the camera.</t>
  </si>
  <si>
    <t>v_nOm1JLcBD30</t>
  </si>
  <si>
    <t>A small group of people are seen riding around bumper cars and crashing into one another.</t>
  </si>
  <si>
    <t>The group continues driving around and passing one another.</t>
  </si>
  <si>
    <t>The people continue driving the cars and passing one another.</t>
  </si>
  <si>
    <t>v_BuaWU70q7cE</t>
  </si>
  <si>
    <t>A teenaged boy and his mother are sitting in bed dressed very relaxed and talking about how to wrap gifts.</t>
  </si>
  <si>
    <t>He gets side tracked on his phone and then gets back to business, they start cutting the wrapping paper.</t>
  </si>
  <si>
    <t>They put the presents in the middle of the paper and try to start wrapping.</t>
  </si>
  <si>
    <t>They seems to have different techniques as the son finishes much faster and mom's comes out looking a little bit better.</t>
  </si>
  <si>
    <t>v_mS7SAG1nW1o</t>
  </si>
  <si>
    <t>A woman is in a stable with a white horse.</t>
  </si>
  <si>
    <t>She shows a collection of brushes and grooming supplies.</t>
  </si>
  <si>
    <t>She pets the horse as she talks, and tries to keep him calm.</t>
  </si>
  <si>
    <t>She uses the brushes to groom him thoroughly, then cleans his hooves.</t>
  </si>
  <si>
    <t>v_cy3a8BJJ-YQ</t>
  </si>
  <si>
    <t>A small group of people are seen sitting around a poker table with a woman dealing cards in front.</t>
  </si>
  <si>
    <t>The woman deals cards to the people while they put their cards and chips in the middle.</t>
  </si>
  <si>
    <t>The dealer continues playing with the people and looking off into the distance.</t>
  </si>
  <si>
    <t>v_JZK-HJ-Tdw4</t>
  </si>
  <si>
    <t>We see an animated opening scene.</t>
  </si>
  <si>
    <t>We see see man run with a pole and perform a high jump.</t>
  </si>
  <si>
    <t>The man knocks the pole down and lays down in disappointment.</t>
  </si>
  <si>
    <t>We see the man holding his pole and make his 2nd attempt knocking over the pole.</t>
  </si>
  <si>
    <t>The man tries a third time and the poles stays up.</t>
  </si>
  <si>
    <t>The man raises his arms in the air.</t>
  </si>
  <si>
    <t>We then see attempt 1,2 and 3 again.</t>
  </si>
  <si>
    <t>The man raises his arms in the air for the crowd.</t>
  </si>
  <si>
    <t>The man throws his arms in the air and falls to the ground.</t>
  </si>
  <si>
    <t>v_cwVZNpqc-mQ</t>
  </si>
  <si>
    <t>A man in a black shirt is sitting down playing a drum set.</t>
  </si>
  <si>
    <t>He stops playing and starts talking into a microphone.</t>
  </si>
  <si>
    <t>v_hHiPEAiYKv0</t>
  </si>
  <si>
    <t>A man is shoveling snow off his driveway in a heavy snow storm.</t>
  </si>
  <si>
    <t>He is wearing winter clothing and his fully covered.</t>
  </si>
  <si>
    <t>Another man is also shoveling snow off of he walkway of the house is not wearing any winter gear.</t>
  </si>
  <si>
    <t>They both continue to shovel and clean the snow in the heavy snow storm.</t>
  </si>
  <si>
    <t>v_vbyMT7bdUX4</t>
  </si>
  <si>
    <t>A woman is sitting in front of a table covered in wrapping supplies.</t>
  </si>
  <si>
    <t>She shows off a mug filled with gifts.</t>
  </si>
  <si>
    <t>She places it in cut cellophane, the wraps it around the present.</t>
  </si>
  <si>
    <t>She then ties it off with colorful ribbons.</t>
  </si>
  <si>
    <t>v_FOlMVTmAeaQ</t>
  </si>
  <si>
    <t>A male athlete is shown and he spins around and throws the discus.</t>
  </si>
  <si>
    <t>Once complete,two people rush out to measure the distance.</t>
  </si>
  <si>
    <t>The sequence is then continued and other men are shown throwing the discus.</t>
  </si>
  <si>
    <t>v_k3MFZmhXynI</t>
  </si>
  <si>
    <t>A person is seen pushing a lawn mower all around a yard while moving around in fast motion.</t>
  </si>
  <si>
    <t>The person continues moving around to cut the grass and the camera captures his movements.</t>
  </si>
  <si>
    <t>v_3vVhq-v5-wM</t>
  </si>
  <si>
    <t>A person is seen grabbing a bowling ball and winding his arm while other people bowl around him.</t>
  </si>
  <si>
    <t>The man throws the ball and hits several pins while running back and cheering to the camera.</t>
  </si>
  <si>
    <t>v_14AnvDNV5BI</t>
  </si>
  <si>
    <t>A young man sits on a cardio machine.</t>
  </si>
  <si>
    <t>Then, the man grans the handle of the machine.</t>
  </si>
  <si>
    <t>After, the man pulls the handle of la machine to do abs.</t>
  </si>
  <si>
    <t>v_soE6TfvOiIo</t>
  </si>
  <si>
    <t>A news man is talking in front of an image of a bulldog puppy.</t>
  </si>
  <si>
    <t>Doors open to a store, with various images of people working on different projects.</t>
  </si>
  <si>
    <t>A man shows how he received prostetic legs for the dog.</t>
  </si>
  <si>
    <t>The dog is shown with his new legs as they heal.</t>
  </si>
  <si>
    <t>In the final scene, the dog is walking along with a leashed pet pig.</t>
  </si>
  <si>
    <t>v_68kccxCgbys</t>
  </si>
  <si>
    <t>A title screen appears and then several paragraphs begin to roll over the screen.</t>
  </si>
  <si>
    <t>Next,a man with average sized curly black hair dressed in a suit begins to talk.</t>
  </si>
  <si>
    <t>When he is finished,a man is shown playing the saxophone at a night time television show and then the man comes back to finish talking.</t>
  </si>
  <si>
    <t>v_WYyqptHdgkk</t>
  </si>
  <si>
    <t>The man is on his feet bouncing towards the camera while standing on a tight flat ribbon that is connected to two very tall rock walls.</t>
  </si>
  <si>
    <t>The man then turns around and starts bouncing on his backside then back and forth onto his feet and backside while holding and letting go of the ribbon.</t>
  </si>
  <si>
    <t>The man continues to do tricks on the tight ribbon until he gets off of the ribbon and walks away smiling.</t>
  </si>
  <si>
    <t>v_YaIuavIbk6A</t>
  </si>
  <si>
    <t>An introduction comes onto the screen for a video about a sporting competition.</t>
  </si>
  <si>
    <t>A woman is interviewing another woman about the competition and all the events.</t>
  </si>
  <si>
    <t>Several clips are shown of people enjoying different sports and activities.</t>
  </si>
  <si>
    <t>After the interview ends, the closing credits are shown with graphics.</t>
  </si>
  <si>
    <t>v_O8tsM_ilGx4</t>
  </si>
  <si>
    <t>A cowboy riding a horse exits a gate.</t>
  </si>
  <si>
    <t>He ropes a little calf with a lasso.</t>
  </si>
  <si>
    <t>He jumps down and ties up the calf.</t>
  </si>
  <si>
    <t>v_poI4vU4k1sY</t>
  </si>
  <si>
    <t>A cue ball rolls on a table slowly away from the pocket.</t>
  </si>
  <si>
    <t>A man stands holding a touch screen discussing.</t>
  </si>
  <si>
    <t>Men compete and play a games of billiards.</t>
  </si>
  <si>
    <t>v__79Qlv1SQ9k</t>
  </si>
  <si>
    <t>A leg wearing a blue pants with red and white lines is shown, it moves on the snow, the legs were crossed as the lifebuoy moves on the snow.</t>
  </si>
  <si>
    <t>A person from afar is on a lifebuoy sliding on the snow.</t>
  </si>
  <si>
    <t>v_8ErMpNsK3_c</t>
  </si>
  <si>
    <t>A little girl swings across the monkey bars on a playground.</t>
  </si>
  <si>
    <t>Her mother talks as she watches her slide to the ground and start again.</t>
  </si>
  <si>
    <t>v_UZIs0_W2Akw</t>
  </si>
  <si>
    <t>A close up of a horse is shown followed by a woman walking into frame and brushing the horse.</t>
  </si>
  <si>
    <t>She continues brushing the horse in various spots and ends with her feeding the horse.</t>
  </si>
  <si>
    <t>v_AJ_QqCET1iY</t>
  </si>
  <si>
    <t>He does a gymnastics routine on the balance beam.</t>
  </si>
  <si>
    <t>He dismounts and lands on a blue mat.</t>
  </si>
  <si>
    <t>He waves at the crowd and walks off.</t>
  </si>
  <si>
    <t>v_T3DSDybuBsU</t>
  </si>
  <si>
    <t>The camera pans around a large group of people holding bows and arrows followed by several shots of them shooting the arrows.</t>
  </si>
  <si>
    <t>Several man run across the field as they shoot arrows at them that lead into sword fights and people being injured.</t>
  </si>
  <si>
    <t>People throw sponges at a man, fist fight, and shoot more arrows at others.</t>
  </si>
  <si>
    <t>v_TxxUmibEy9Q</t>
  </si>
  <si>
    <t>A woman is standing and walking inside a store.</t>
  </si>
  <si>
    <t>She walks up to a man and shakes his hand.</t>
  </si>
  <si>
    <t>She walks away, perusing the items on the shelves before leaning onto the counter, flexing her biceps.</t>
  </si>
  <si>
    <t>The woman shows the man her biceps before engaging in arm wrestling with him.</t>
  </si>
  <si>
    <t>She sits beside the counter, continuing to talk with him for a while.</t>
  </si>
  <si>
    <t>v_qZTAv1s_eBQ</t>
  </si>
  <si>
    <t>man is running wearing stilts in a green grassy field.</t>
  </si>
  <si>
    <t>cars are parked on side of a street in the background.</t>
  </si>
  <si>
    <t>man get ous the grass and runs into a street.</t>
  </si>
  <si>
    <t>v_Nr49JFixNE4</t>
  </si>
  <si>
    <t>People are standing in a gymnasium talking.</t>
  </si>
  <si>
    <t>They start running and throwing balls at each other.</t>
  </si>
  <si>
    <t>v_XJ-knBky6S0</t>
  </si>
  <si>
    <t>A man is seen standing at the end of a dock and looking back to people partying.</t>
  </si>
  <si>
    <t>The man walks up and sees two people performing martial arts in the middle of a circle.</t>
  </si>
  <si>
    <t>The people continuing moving around while others watch on the side and the soldier joining in as well.</t>
  </si>
  <si>
    <t>v_EMOfWVKMqDM</t>
  </si>
  <si>
    <t>There's a young woman who is curling in a curling rink.</t>
  </si>
  <si>
    <t>There are several other players who are also curling.</t>
  </si>
  <si>
    <t>Various pictures of that same woman are being shown posing for some sort of photo shoot.</t>
  </si>
  <si>
    <t>The woman seems a bit distressed about the game.</t>
  </si>
  <si>
    <t>She is posing for a photo shoot with a curling rock.</t>
  </si>
  <si>
    <t>v_abWGVKYPffM</t>
  </si>
  <si>
    <t>A man is using a weed whacker to trim bushes.</t>
  </si>
  <si>
    <t>He turns away from the bushes and cuts weeds on the ground.</t>
  </si>
  <si>
    <t>v_q59X9izcjQc</t>
  </si>
  <si>
    <t>Various clips are shown of a woman standing and pointing on a beach that lead into her dragging along a board and and adjusting it on the water.</t>
  </si>
  <si>
    <t>The woman then grabs onto the board and moves around the water while demonstrating proper moves and the camera moving all around others.</t>
  </si>
  <si>
    <t>v_6Kbv1OpIpaA</t>
  </si>
  <si>
    <t>A boy is sitting in the room with three guitars and begins to play all three of them with a violin bow.</t>
  </si>
  <si>
    <t>The man then begins to play the one guitar that is on his lap with his fingers and finishes the song.</t>
  </si>
  <si>
    <t>v_cWdWucjUhks</t>
  </si>
  <si>
    <t>A person does a routine on parallel bars.</t>
  </si>
  <si>
    <t>He does his routine and then dismounts.</t>
  </si>
  <si>
    <t>v_cUEGoRjraxM</t>
  </si>
  <si>
    <t>Dog owner stand with and hold their dogs.</t>
  </si>
  <si>
    <t>People play with their dogs in a park with obstacles.</t>
  </si>
  <si>
    <t>A group holds signs with a dog on a city sidewalk.</t>
  </si>
  <si>
    <t>v_Q3cc0HlO7so</t>
  </si>
  <si>
    <t>A man and woman are seen standing on a stage with a spotlight shown on them.</t>
  </si>
  <si>
    <t>The duo begin playing instruments together while looking at one another as well as the camera.</t>
  </si>
  <si>
    <t>The two continue playing with one another and pause to look at the camera.</t>
  </si>
  <si>
    <t>v_Vi2gzCrS-fE</t>
  </si>
  <si>
    <t>A person is seen cutting up a tomato and demonstrating how the knife works on a piece of paper.</t>
  </si>
  <si>
    <t>The person then sharpens the blade on a coffee mug and cuts through the paper.</t>
  </si>
  <si>
    <t>v_IVHmmp3Nsd4</t>
  </si>
  <si>
    <t>The words "Abstract Birds/Oil Painting Katy Jade Dobson" appear on screen.</t>
  </si>
  <si>
    <t>Dobson sketches out a design on white canvas and starts painting it.</t>
  </si>
  <si>
    <t>She stands by her finished work as paint drips in lines down the canvas.</t>
  </si>
  <si>
    <t>v_SfiAcQAPpQ8</t>
  </si>
  <si>
    <t>A man is standing behind a bar.</t>
  </si>
  <si>
    <t>He puts ice into the glass and pours drinks into it.</t>
  </si>
  <si>
    <t>He stirs it with a straw.</t>
  </si>
  <si>
    <t>v_23ApAC123aQ</t>
  </si>
  <si>
    <t>The scene opens up with a carwash and and advertisement.</t>
  </si>
  <si>
    <t>Two men are talking while one is sitting in his car.</t>
  </si>
  <si>
    <t>A man is cleaning a car and talking to the camera.</t>
  </si>
  <si>
    <t>The car is dried and vacuumed, then on to the next car.</t>
  </si>
  <si>
    <t>The customer is handed his keys and he is on his way with a clean car.</t>
  </si>
  <si>
    <t>Two men are messing around while cleaning the car.</t>
  </si>
  <si>
    <t>A sign shows the services they offer.</t>
  </si>
  <si>
    <t>v_Tm0jUAQf6zY</t>
  </si>
  <si>
    <t>A young girl is standing in her living room holding a baton horizontal to her neck while a cat on the ground is moving about.</t>
  </si>
  <si>
    <t>The girl then unbends her arm, lets the baton roll to her hands then begins to do a series of twirling the baton.</t>
  </si>
  <si>
    <t>The cat below walks in and out of the screen while she's twirling the baton and even throws it up in the air, catches it then continues to twirl it.</t>
  </si>
  <si>
    <t>v_6YmUCNIMpB4</t>
  </si>
  <si>
    <t>A man bends on front a hedge holding an electric cutter.</t>
  </si>
  <si>
    <t>The man cuts a long hedge of a garden using an electric cutter.</t>
  </si>
  <si>
    <t>Then, the man removes leaves on top the hedge with his hand.</t>
  </si>
  <si>
    <t>v_GhvNhbL2ivg</t>
  </si>
  <si>
    <t>man is sitting in a room playing congas.</t>
  </si>
  <si>
    <t>keyboard is behind the man playing congsa in a room.</t>
  </si>
  <si>
    <t>man is playing salsa in congas in a music room.</t>
  </si>
  <si>
    <t>v_Vcxv3nyZpSs</t>
  </si>
  <si>
    <t>A girl is riding on a yellow riding lawn mower on a very large yard filled with green grass.</t>
  </si>
  <si>
    <t>When the girl reaches the end of the yard she makes a turn and drives up in the same direction she just came from.</t>
  </si>
  <si>
    <t>When she reaches that end, she makes a turn but it's too tight and she reverses a little.</t>
  </si>
  <si>
    <t>The girl then makes her turn in the opposite direction once again and when she reaches half way down the yard she turns once again and heads up the direction she just came from.</t>
  </si>
  <si>
    <t>v_eMkBTRYwBAU</t>
  </si>
  <si>
    <t>A man in ski jacket on a snowboard holds onto a rope attached to a truck.</t>
  </si>
  <si>
    <t>The truck starts driving and the man is pulled behind on the tow rope.</t>
  </si>
  <si>
    <t>The man maneuvers to pull up parallel with the truck and alternates going back and forth behind the truck.</t>
  </si>
  <si>
    <t>The man slows down before he lets go of the tow rope and comes to a stop.</t>
  </si>
  <si>
    <t>v_xFDQTAemadA</t>
  </si>
  <si>
    <t>A guy is on a horse with a white long rope that has a big circle tied at the end and seems to be waiting for some blue gates to open.</t>
  </si>
  <si>
    <t>The blue gates open and a little bull runs out and the guy on the horse chase it down.</t>
  </si>
  <si>
    <t>the guy the tosses the rope and catch the bull around the neck while the or end of the rope is tied to the horse.</t>
  </si>
  <si>
    <t>The guy then jumps off the horse,runs to the bull and flip it on his back then tie the bulls legs together.</t>
  </si>
  <si>
    <t>the guy then gets back on his horse while two other guys free the bull from the rope tie and take it away.</t>
  </si>
  <si>
    <t>v_r1dvt537JQU</t>
  </si>
  <si>
    <t>The man is kneeled down to the floor, but he stands up to raise his arm and get on the bars to perform his act.</t>
  </si>
  <si>
    <t>When he's done he flips off and bows, next a girl is shown sitting in the chair and then he is shown performing again but in slow motion.</t>
  </si>
  <si>
    <t>Next, a girl is shown swinging on the uneven bars and when she's done she goes to sit down and talk about what she does.</t>
  </si>
  <si>
    <t>v_pmbHoeudjKc</t>
  </si>
  <si>
    <t>A lady is walking across a lawn.</t>
  </si>
  <si>
    <t>A guy runs and stops on the lawn.</t>
  </si>
  <si>
    <t>A man is standing on a track.</t>
  </si>
  <si>
    <t>The man runs on the track, jumps, and lands in a sand box.</t>
  </si>
  <si>
    <t>The man gets up, falls to the ground, and lays there.</t>
  </si>
  <si>
    <t>v_OJJMEEsOdPQ</t>
  </si>
  <si>
    <t>girl us hanging from a pole in a roofed gym and make a jump to the land pool.</t>
  </si>
  <si>
    <t>woman wwearing a red shirt is standing in front of the pole.</t>
  </si>
  <si>
    <t>little girl is walking in front of he girl doing gymnastics.</t>
  </si>
  <si>
    <t>v_9029wVyGkvg</t>
  </si>
  <si>
    <t>A man stands in front of the camera before being shown playing a game of basketball while punching a man with a pair of boxing gloves.</t>
  </si>
  <si>
    <t>The two men shake hands.</t>
  </si>
  <si>
    <t>v_NWbWuVtgt9Y</t>
  </si>
  <si>
    <t>A man is seen sitting on a bench holding a guitar and speaking to the camera.</t>
  </si>
  <si>
    <t>He points to microphones in front of him and begins strumming the guitar.</t>
  </si>
  <si>
    <t>The man continues to play while moving his hands all around and stopping to look at the camera.</t>
  </si>
  <si>
    <t>v_Oz4q98BhqKo</t>
  </si>
  <si>
    <t>We see people standing in an aerobics class.</t>
  </si>
  <si>
    <t>The teacher starts and the class follows.</t>
  </si>
  <si>
    <t>While standing on the step the people swing their hands.</t>
  </si>
  <si>
    <t>The class swings their arms again.</t>
  </si>
  <si>
    <t>The man in red walks off to the left.</t>
  </si>
  <si>
    <t>The class finishes and stop dancing.</t>
  </si>
  <si>
    <t>The teacher walks to turn off the camera.</t>
  </si>
  <si>
    <t>v_OW_iCiS_U4Y</t>
  </si>
  <si>
    <t>A female swimmer is standing on a diving board in a black swim suit and she jumps off doing multiple flips.</t>
  </si>
  <si>
    <t>She is then shown on ground level talking and wiping her face with a towel.</t>
  </si>
  <si>
    <t>All of a sudden,she returns back to the diving board and does a crazy flip where her knees are tucked in and she's doing several flips and then men applaud her and there's an instant replay.</t>
  </si>
  <si>
    <t>The routine continues and the girl attempts to do more flips and the people react the same way and she puts her hand up to her mouth in awe.</t>
  </si>
  <si>
    <t>v_mlUg8iMtew0</t>
  </si>
  <si>
    <t>Various text intros lead into pictures of a girl and paint close up.</t>
  </si>
  <si>
    <t>A person is then seen painting on a piece of paper using different colors.</t>
  </si>
  <si>
    <t>The person continues painting with text shown and blending in the paint.</t>
  </si>
  <si>
    <t>v_xUKQWr2aLTU</t>
  </si>
  <si>
    <t>The video is about Bristol BMX Club holding a biking event.</t>
  </si>
  <si>
    <t>There's a man drawing a white starting line on the ground for the race.</t>
  </si>
  <si>
    <t>The bikers get ready to begin their race.</t>
  </si>
  <si>
    <t>They start the race and go through ramps and bumps.</t>
  </si>
  <si>
    <t>The bikers are from various age groups ranging from teenagers to adults.</t>
  </si>
  <si>
    <t>The races continue as the bikers make their way through the obstacle course of going over ramps and bumps.</t>
  </si>
  <si>
    <t>v_NogC2IkaaAI</t>
  </si>
  <si>
    <t>A couple of sumo wrestlers are on a stage.</t>
  </si>
  <si>
    <t>They engage in a wrestling match together.</t>
  </si>
  <si>
    <t>A please stand by sign appears as technical problems are encountered.</t>
  </si>
  <si>
    <t>v_jHbf_E8aY1k</t>
  </si>
  <si>
    <t>A white screen is shown and various logos are shown on top of the screen as it goes to a black screen.</t>
  </si>
  <si>
    <t>A sun is rising and men are walking up a hill,pulling a rope,and reading a book.</t>
  </si>
  <si>
    <t>They continue to do various hobbies in the mountains and a man comes back and starts talking as the credits begin rolling.</t>
  </si>
  <si>
    <t>v_qnozppP4rm0</t>
  </si>
  <si>
    <t>A young girl is outside at the park talking to what appears to be her older brother.</t>
  </si>
  <si>
    <t>The two begin a face off and they drop down to the sidewalk drawing a long game of hopscotch.</t>
  </si>
  <si>
    <t>Once complete,they stand up,throw their chalk and the girl moves to the right of the game.</t>
  </si>
  <si>
    <t>The boy starts the game off and the girl begins her turn moving forward and backwards down the game.</t>
  </si>
  <si>
    <t>To show her up,the boy begins to dance across the pavement and the girl returns it by flipping down the game.</t>
  </si>
  <si>
    <t>Now its the boy's turn and he tries to flip but ends up falling and the girl starts to laugh at him.</t>
  </si>
  <si>
    <t>The young girl wins and the boy gives her his Xbox as a result.</t>
  </si>
  <si>
    <t>v_woRQ2JxcVHA</t>
  </si>
  <si>
    <t>A man dressed in black plays a saxophone on a pool patio.</t>
  </si>
  <si>
    <t>The saxophone player glances over to his keyboard player.</t>
  </si>
  <si>
    <t>The camera pans over to the keyboard player playing a Korg electric piano.</t>
  </si>
  <si>
    <t>v_ofrX4WyAM-0</t>
  </si>
  <si>
    <t>The lady talks to the camera.</t>
  </si>
  <si>
    <t>We then see a pot.</t>
  </si>
  <si>
    <t>We see spaghetti in a box.</t>
  </si>
  <si>
    <t>We see salt in a cup.</t>
  </si>
  <si>
    <t>The water is boiling in the bot.</t>
  </si>
  <si>
    <t>She adds salt to the pot.</t>
  </si>
  <si>
    <t>She adds pasta to the water.</t>
  </si>
  <si>
    <t>We see the pasta box up close.</t>
  </si>
  <si>
    <t>We see the lady set the timer.</t>
  </si>
  <si>
    <t>She takes the pasta out of the pot.</t>
  </si>
  <si>
    <t>She talks and waves bye to the camera.</t>
  </si>
  <si>
    <t>v_biAQgXDFskw</t>
  </si>
  <si>
    <t>A man and woman are seen standing in the middle of a floor with a woman speaking to the camera and leading into her dancing with the man.</t>
  </si>
  <si>
    <t>The two spin and dance around one another and ends by walking away from each other.</t>
  </si>
  <si>
    <t>v_PcGzPNEnVD0</t>
  </si>
  <si>
    <t>A man is seen speaking to the camera while standing next to a car with an open trunk.</t>
  </si>
  <si>
    <t>The man then unscrews a tire and lifts the car with a jack.</t>
  </si>
  <si>
    <t>The man takes the tire off and puts a new one on, ending by screwing it into place.</t>
  </si>
  <si>
    <t>He takes off the jack and finishes by speaking to the camera.</t>
  </si>
  <si>
    <t>v_p6jip892RdM</t>
  </si>
  <si>
    <t>a bicycle is shown in a dark room.</t>
  </si>
  <si>
    <t>man is wearing motobike clothes and is riding a motorbike in a field.</t>
  </si>
  <si>
    <t>man is doing high jumps on the motorbike practicig motocross in a dusty field.</t>
  </si>
  <si>
    <t>v_opCMfcAl7yw</t>
  </si>
  <si>
    <t>A large group of flags is shown.</t>
  </si>
  <si>
    <t>Several swimmers are swimming in the pool.</t>
  </si>
  <si>
    <t>They swim competitively, shown from underneath.</t>
  </si>
  <si>
    <t>v_b2eonKWCocE</t>
  </si>
  <si>
    <t>A man is shown speedily raking leaves in his front yard.</t>
  </si>
  <si>
    <t>Several cars go by as he continues raking.</t>
  </si>
  <si>
    <t>He rakes around the bushes and tree in his yard.</t>
  </si>
  <si>
    <t>A woman appears and helps him rake and bag the leaves.</t>
  </si>
  <si>
    <t>They take the bags away when they are done.</t>
  </si>
  <si>
    <t>They stand in front of the camera and pose with the rake.</t>
  </si>
  <si>
    <t>v_RJus6sogyiM</t>
  </si>
  <si>
    <t>A person is walking in a yard while recording it with a camera.</t>
  </si>
  <si>
    <t>The person gets a tray of white paint and paints a fence.</t>
  </si>
  <si>
    <t>v_nd50oUKdygI</t>
  </si>
  <si>
    <t>A man talks to the camera from a kitchen.</t>
  </si>
  <si>
    <t>The man demonstrates sharpening a knife with several sharpening tools.</t>
  </si>
  <si>
    <t>The man talks to the camera again.</t>
  </si>
  <si>
    <t>The man sharpens and then holds up a knife.</t>
  </si>
  <si>
    <t>Several types of knife storage options are displayed.</t>
  </si>
  <si>
    <t>The man talks to the camera some more.</t>
  </si>
  <si>
    <t>v_OKTxSQMS560</t>
  </si>
  <si>
    <t>We see an opening screen with a dog.</t>
  </si>
  <si>
    <t>We see a lady in a nurse shirt talking and two dogs in a kitchen.</t>
  </si>
  <si>
    <t>The lady has a small wet dog she is vacuuming on table and is brushing the dog.</t>
  </si>
  <si>
    <t>We see the dogs running around on the kitchen floor.</t>
  </si>
  <si>
    <t>We see the lady shave a dogs fur and brush the dog.</t>
  </si>
  <si>
    <t>We then see the dogs on the floor again.</t>
  </si>
  <si>
    <t>We see the lady and her contact info over her face.</t>
  </si>
  <si>
    <t>v_eQnwUWfah9w</t>
  </si>
  <si>
    <t>An ad for football appears on the screen.</t>
  </si>
  <si>
    <t>Several men are playing football indoors.</t>
  </si>
  <si>
    <t>They kick the ball back and forth while some people watch on the sidelines.</t>
  </si>
  <si>
    <t>v_xCplsH6deic</t>
  </si>
  <si>
    <t>A baseball player hits a run on a sporting field and runs the bases making a home run.</t>
  </si>
  <si>
    <t>Players kick a ball and run the bases on a baseball field.</t>
  </si>
  <si>
    <t>The catcher has fun while dancing.</t>
  </si>
  <si>
    <t>A kick is caught midair by the baseman and the player is out.</t>
  </si>
  <si>
    <t>v_8lhODyltF2Q</t>
  </si>
  <si>
    <t>A person is riding a lawnmower with an umbrella through the rain.</t>
  </si>
  <si>
    <t>A light colored sedan passes on the road.</t>
  </si>
  <si>
    <t>The person on the mower drives up to the roadway.</t>
  </si>
  <si>
    <t>v_P7kSJ8SRNHQ</t>
  </si>
  <si>
    <t>A small child is seen sitting in a swing.</t>
  </si>
  <si>
    <t>The child moves back and fourth on the swing while a laughing.</t>
  </si>
  <si>
    <t>A person's hand is seen pushing the child as she moves back and fourth.</t>
  </si>
  <si>
    <t>v_CCMtNNSzHw8</t>
  </si>
  <si>
    <t>A lady is wiping her face.</t>
  </si>
  <si>
    <t>A little girl is applying makeup to her face.</t>
  </si>
  <si>
    <t>The mother does the girls makeup.</t>
  </si>
  <si>
    <t>The girls admires her reflection.</t>
  </si>
  <si>
    <t>The girl grabs her toothbrush.</t>
  </si>
  <si>
    <t>v_BtKLAioC21g</t>
  </si>
  <si>
    <t>A man wearing ski goggles adjusts the camera.</t>
  </si>
  <si>
    <t>Several people are seen skiing down a steep slope.</t>
  </si>
  <si>
    <t>They continue skiing faster and faster as they go downhill.</t>
  </si>
  <si>
    <t>v_VToS7Ma-V4g</t>
  </si>
  <si>
    <t>The woman is positioned to take off on the race track and the man moves out of the way for her to go.</t>
  </si>
  <si>
    <t>Then she speeds off and does the triple jump into the sand making it all the way to the end of the 16 inch ruler.</t>
  </si>
  <si>
    <t>Next she is shown standing off the track smiling with her arms raised in the air filled with joy.</t>
  </si>
  <si>
    <t>v_kCOMyIb7f0Q</t>
  </si>
  <si>
    <t>People are skiing in doors in between each other.</t>
  </si>
  <si>
    <t>A button is pushed on a machine.</t>
  </si>
  <si>
    <t>People walk into a cabin.</t>
  </si>
  <si>
    <t>A person is trying on skis.</t>
  </si>
  <si>
    <t>Other people are practicing skiing on a motor belt.</t>
  </si>
  <si>
    <t>v_KBxE7NIOkf8</t>
  </si>
  <si>
    <t>Men stand on a steel platform high in the area and an instructor talks.</t>
  </si>
  <si>
    <t>A man is seated on the edge of the platform and holds onto large ropes.</t>
  </si>
  <si>
    <t>A patron runs and jumps from the platform wearing a budgie cord and he bounces on it as he reaches the bottom.</t>
  </si>
  <si>
    <t>v_mdv8UW_871g</t>
  </si>
  <si>
    <t>We see a boat pulling out of the dock.</t>
  </si>
  <si>
    <t>We see the boat driving as a person jet skis behind it.</t>
  </si>
  <si>
    <t>We see the skier without the boat.</t>
  </si>
  <si>
    <t>We see the boat from above again.</t>
  </si>
  <si>
    <t>The skier falls into the water.</t>
  </si>
  <si>
    <t>We see the skier ski and perform 4 flips.</t>
  </si>
  <si>
    <t>We see the skier ski.</t>
  </si>
  <si>
    <t>We see the skier swim towards the boat.</t>
  </si>
  <si>
    <t>A person in the boat raises their hands in the air.</t>
  </si>
  <si>
    <t>v_MPolPBO-K-Y</t>
  </si>
  <si>
    <t>The man in black shirt is playing guitar in the studio.</t>
  </si>
  <si>
    <t>The man is strumming the guitar.</t>
  </si>
  <si>
    <t>The man is pressing the thread on the guitar keys as he strum the guitar.</t>
  </si>
  <si>
    <t>v_AlLg4ZaxDoQ</t>
  </si>
  <si>
    <t>A person cooks on a wood cooker, then a person rafts in a river.</t>
  </si>
  <si>
    <t>Young men unpack a car and then carry raft boats in the jungle and pass a rope bridge.</t>
  </si>
  <si>
    <t>Young men raft in a narrow choppy river on individual boats.</t>
  </si>
  <si>
    <t>The young men falls from small cascades in the rocky river.</t>
  </si>
  <si>
    <t>v_84uYA9rFoSw</t>
  </si>
  <si>
    <t>A woman bends over in a ballet pose.</t>
  </si>
  <si>
    <t>She then faces the camera talking.</t>
  </si>
  <si>
    <t>She displays more ballet moves.</t>
  </si>
  <si>
    <t>She finishes with the low fifth position.</t>
  </si>
  <si>
    <t>v_N3UOyPU2t0E</t>
  </si>
  <si>
    <t>Several pairs of shoes are shown as well as a large group of people socializing and pouring alcohol into glasses.</t>
  </si>
  <si>
    <t>The glasses are laid out on a table and several shots are shown of people playing beer pong.</t>
  </si>
  <si>
    <t>More shots are shown of people speaking to one another as well as playing beer pong in several locations and partying with one another.</t>
  </si>
  <si>
    <t>In the end medals are handed out and people wear them while celebrating in different spots.</t>
  </si>
  <si>
    <t>v_WiGOn6O-S1g</t>
  </si>
  <si>
    <t>There are several swimmers standing on the tallest diving board of a swimming pool.</t>
  </si>
  <si>
    <t>The divers are getting ready to dive into the pool.</t>
  </si>
  <si>
    <t>One of the divers dives and jumps into the pool from a great height.</t>
  </si>
  <si>
    <t>v_bDTQVC0ASbE</t>
  </si>
  <si>
    <t>A man in a red apron is talking.</t>
  </si>
  <si>
    <t>He is rubbing something on a board and ironing it.</t>
  </si>
  <si>
    <t>He's scraping the top of the board he ironed.</t>
  </si>
  <si>
    <t>v_m7wfcL6YSMY</t>
  </si>
  <si>
    <t>A woman is seen riding on a camel behind another man on a camel.</t>
  </si>
  <si>
    <t>She looks back and smiles to the camera while it pans around the area.</t>
  </si>
  <si>
    <t>Another person is seen riding from behind while people hold onto the camels.</t>
  </si>
  <si>
    <t>v_-xQvJmC2jhk</t>
  </si>
  <si>
    <t>Two women in a child are shown in a canoe while a man pulls the canoe while standing in the water, with other individuals visible in the background.</t>
  </si>
  <si>
    <t>The child and a different man sit in a canoe while the man paddles.</t>
  </si>
  <si>
    <t>The camera pans to show the first man in the foreground.</t>
  </si>
  <si>
    <t>The child and the first man are in a canoe while the first man paddles.</t>
  </si>
  <si>
    <t>A series of still images of the various people shown during the video are shown.</t>
  </si>
  <si>
    <t>v_NEKcJ0whvkg</t>
  </si>
  <si>
    <t>A person rolls in the grass after a fall and gets up to join a game of lacrosse.</t>
  </si>
  <si>
    <t>We see gear in the grass and a man speaking to the camera.</t>
  </si>
  <si>
    <t>Men play lacrosse and ladies cheer on the side.</t>
  </si>
  <si>
    <t>We see a man interviewed and a team huddle and see men play.</t>
  </si>
  <si>
    <t>A man in interviewed and we see the men play lacrosse.</t>
  </si>
  <si>
    <t>A man in red is interviewed and the teams shake hands, hold up their trophy and pose for photos.</t>
  </si>
  <si>
    <t>v_NiaE7amNW7s</t>
  </si>
  <si>
    <t>A young female gymnast wearing red prepares for her balance beam routine in the Olympics.</t>
  </si>
  <si>
    <t>The female gymnast runs to the springboard and jumps from it to the balance beam.</t>
  </si>
  <si>
    <t>The female gymnast then does her tumbling routine on the balance beam while commentators explain what she is doing and how difficult it is.</t>
  </si>
  <si>
    <t>A huge crowd watches and cheers the gymnast on.</t>
  </si>
  <si>
    <t>An Asian man walks to the balance beam and pulls the springboard away from the beam.</t>
  </si>
  <si>
    <t>The gymnast performs a difficult tumbling sequence and the crowd cheers louder than before.</t>
  </si>
  <si>
    <t>People in the crowd that is watching the gymnast enter the gym and find seats while others stand up and exit the gym.</t>
  </si>
  <si>
    <t>Another female gymnast walks past the balance beam in the background.</t>
  </si>
  <si>
    <t>The female gymnast prepares for her dismount.</t>
  </si>
  <si>
    <t>The female gymnast runs and completes a tumbling sequence to exit the balance beam.</t>
  </si>
  <si>
    <t>The female gymnast lands perfectly and throws her arms straight up in the air with a huge smile on her face Other gymnasts in the background watch and clap.</t>
  </si>
  <si>
    <t>A large group of photographers watch and take photographs of the gymnast.</t>
  </si>
  <si>
    <t>The gymnast waves while spinning in a circle and then runs to the side of the gym floor.</t>
  </si>
  <si>
    <t>Three Asian gymnasts in yellow watch and clap without smiling.</t>
  </si>
  <si>
    <t>The gymnast in red hugs and talks to her other teammates and her coach while several photographers take photos of her.</t>
  </si>
  <si>
    <t>The commentators replay several of the gymnasts more difficult tumbling sequences and her dismount in slow motion while explaining what she is doing.</t>
  </si>
  <si>
    <t>The female gymnast hugs another coach and another one of her teammates while a man films them with a large camera.</t>
  </si>
  <si>
    <t>All of the gymnasts on the United States team and their coaches walk through the gym while the crowd cheers very loudly.</t>
  </si>
  <si>
    <t>Several gymnasts from other teams also walk past.</t>
  </si>
  <si>
    <t>The female gymnast talks with her team while waiting for her score to be displayed.</t>
  </si>
  <si>
    <t>v_cSCskKqO7CE</t>
  </si>
  <si>
    <t>A little girl demonstrates how to apply make up using a mini makeup kit as a makeup source, all while talking to the camera.</t>
  </si>
  <si>
    <t>A little girl talks to the camera and then leans into the camera in a close up shot.</t>
  </si>
  <si>
    <t>The little girl pulls out a colorful make up palette and shows the camera the inside of the palette before beginning to apply some of the make up to her eyes.</t>
  </si>
  <si>
    <t>The girl then applies black mascara to her eyelashes and some eyeshadow and lip gloss taking breaks after the applications to talk to the camera.</t>
  </si>
  <si>
    <t>The little girl gives a final thumbs up and blows kisses to the camera before talking more and smiling as the scene fades out.</t>
  </si>
  <si>
    <t>v_RpyRgnHdUXc</t>
  </si>
  <si>
    <t>A man sits on a rowing machine in a gym and talks to the camera while demonstrating how to use a rowing exercise machine.</t>
  </si>
  <si>
    <t>The man begins to exercise on the machine slowly , all while talking to the camera, eventually building up to a more fast paced work out on the same machine.</t>
  </si>
  <si>
    <t>The man begins to demonstrate how to use the digital panel on the exercise machine by pointing at it and talking to the camera.</t>
  </si>
  <si>
    <t>v_8QbHeaXOJOA</t>
  </si>
  <si>
    <t>A kite is shown high in the air.</t>
  </si>
  <si>
    <t>A man is holding the kite before letting it go.</t>
  </si>
  <si>
    <t>It spins high into the air and flips in circles and angles, bouncing off the ground.</t>
  </si>
  <si>
    <t>v_9YYypM0JvUM</t>
  </si>
  <si>
    <t>A man is standing in a gym holding up a large bicycle wheel moving his hands along the tube inside the rubber.</t>
  </si>
  <si>
    <t>The man continuously performs the action as he moves the circle around on his knee.</t>
  </si>
  <si>
    <t>After, the man picks up a yellow object and starts to tighten the spokes on the wheel and sealing the lifting the rubber up.</t>
  </si>
  <si>
    <t>v_IRz9PYgpb8U</t>
  </si>
  <si>
    <t>A man uses a trimmer to trim the leaves on a tree in a backyard, starting in the middle.</t>
  </si>
  <si>
    <t>He moves to his left to continue trimming the tree.</t>
  </si>
  <si>
    <t>v__Y4czVoIxvE</t>
  </si>
  <si>
    <t>Two women are standing inside a house.</t>
  </si>
  <si>
    <t>They show off a canvas tile.</t>
  </si>
  <si>
    <t>They then show how they made the tile and laid it out on the ground, piecing it together like a puzzle.</t>
  </si>
  <si>
    <t>They sit on top talking about it before moving the furniture back in place on top of it.</t>
  </si>
  <si>
    <t>v_ZNVhz7ctTq0</t>
  </si>
  <si>
    <t>A fluffy dog is standing on a sidewalk with a child behind it.</t>
  </si>
  <si>
    <t>The dog begins walking on the sidewalk and closely behind him a child is riding on a scooter as the dog walks.</t>
  </si>
  <si>
    <t>v_V7C34-4tBok</t>
  </si>
  <si>
    <t>A sink is shown full of dirty dishes and leads into various products shown off.</t>
  </si>
  <si>
    <t>A person then scrubs the dishes and begins putting some of them into a bucket.</t>
  </si>
  <si>
    <t>They wash the dishes continuously while stacking them in a rack off to the side.</t>
  </si>
  <si>
    <t>v_ze6Bu0bcNbg</t>
  </si>
  <si>
    <t>A Phillips three headed razor is shown and then un-boxed on a red table.</t>
  </si>
  <si>
    <t>Next,the razor is assembled and place on its charge to charge once it is plugged in.</t>
  </si>
  <si>
    <t>Once fully charged,the man rinses the razors,applies shaving cream to this beard area and start to shave.</t>
  </si>
  <si>
    <t>As he is shaving,the man continues to talk and his face begins to turn a little big razor and the razor is then placed back on the charger.</t>
  </si>
  <si>
    <t>v_uRcVktMzlUc</t>
  </si>
  <si>
    <t>A man is standing on a stage in front of an american flag while reading into a microphone from a piece of paper.</t>
  </si>
  <si>
    <t>He then is shown in front of a crowd as they scream behind him.</t>
  </si>
  <si>
    <t>The men walk out, and begin competing in a dart throwing challenge.</t>
  </si>
  <si>
    <t>The winner is interviewed afterward.</t>
  </si>
  <si>
    <t>v_b_v5uGSheEw</t>
  </si>
  <si>
    <t>The Bali River tubing information is shown on the screen.</t>
  </si>
  <si>
    <t>There's a yellow and red tube shown with the name Bali River printed on it.</t>
  </si>
  <si>
    <t>There are several people wearing protective helmets tubing in the river.</t>
  </si>
  <si>
    <t>There's a man standing under a pipe with fast flowing water.</t>
  </si>
  <si>
    <t>There are some tubers paddling through the water with their hands.</t>
  </si>
  <si>
    <t>There's a man relaxing in his tube giving a thumbs up.</t>
  </si>
  <si>
    <t>The tubers continue tubing through the river.</t>
  </si>
  <si>
    <t>v_KlmlCbJup5A</t>
  </si>
  <si>
    <t>A man is seen wearing a mask and pushing an object along a wall.</t>
  </si>
  <si>
    <t>The man is then seen laying out paper across a table.</t>
  </si>
  <si>
    <t>He shortly after puts wallpaper up on the wall.</t>
  </si>
  <si>
    <t>v_buhaBimF4M0</t>
  </si>
  <si>
    <t>A woman on roller blades moves backwards, falls on the grass and laughs.</t>
  </si>
  <si>
    <t>A friend is talking with the fallen woman as she tries to get up.</t>
  </si>
  <si>
    <t>A friend talks to her while holding the camera and offers her a hand to get up.</t>
  </si>
  <si>
    <t>Two women hold hand and start rollerblading, while the girl in the red shirt learns how.</t>
  </si>
  <si>
    <t>The girl in the red shirt falls and they all laugh.</t>
  </si>
  <si>
    <t>v_7UrJuhFvlQ4</t>
  </si>
  <si>
    <t>A leaf blower is shown blowing a large pile of leaves across a green lawn in front of residential houses.</t>
  </si>
  <si>
    <t>The leaves fly up in the air but stick largely together as the the leaf blower wipes the ground clean of brown leaves and starts to form piles on the lawn.</t>
  </si>
  <si>
    <t>The camera occasionally and finally settles on a yellow riding lawn mower sitting in the yard beyond the piles of leaves.</t>
  </si>
  <si>
    <t>v_vxJlOKF1VB4</t>
  </si>
  <si>
    <t>We see a girl with purple hair talking to the camera.</t>
  </si>
  <si>
    <t>We see the girl looking down at the camera.</t>
  </si>
  <si>
    <t>We see the girl pretend to brush and spray her hair.</t>
  </si>
  <si>
    <t>She holds 2 bottle to the camera.</t>
  </si>
  <si>
    <t>The girl brushes her hair and puts it in a ponytail.</t>
  </si>
  <si>
    <t>The girl adds products to her hair.</t>
  </si>
  <si>
    <t>The girl points at the camera.</t>
  </si>
  <si>
    <t>The girl gives the camera a thumbs up.</t>
  </si>
  <si>
    <t>v_rAL6jEy54Tk</t>
  </si>
  <si>
    <t>man is standing on a room playing dart.</t>
  </si>
  <si>
    <t>man is throwing darts into a dartboard.</t>
  </si>
  <si>
    <t>the man grabs the darts from the board and talks to the camera.</t>
  </si>
  <si>
    <t>v_pMCPCsvxRBw</t>
  </si>
  <si>
    <t>There are people working in a drink food stand filling cups, shaking cups, holding cups or just walking around.</t>
  </si>
  <si>
    <t>A young man fills a clear cup with liquid, puts it on the counter, covers it with a paper cup, shakes it vigorously, and when he's done he puts the paper cup down and pours all the contents into it, puts a yellow straw into it and hands it to the person waiting.</t>
  </si>
  <si>
    <t>Next to him another boy was also shaking a cup, and then preparing to transfer the contents to a paper cup.</t>
  </si>
  <si>
    <t>v_cmzEDurFcwI</t>
  </si>
  <si>
    <t>A man in a blue shirt talks next to a air hockey table game in a showcase room, interspersed with video of four men demonstrating a game of air table hockey.</t>
  </si>
  <si>
    <t>A man begins speaking from a showroom, while standing in front of a air hockey table game.</t>
  </si>
  <si>
    <t>The camera cuts away to show four men playing a game of air hockey with the table game.</t>
  </si>
  <si>
    <t>The man speaks again, next to the table game, until the camera pans away again to the men playing air hockey until the scene fades to an elaborate Gold Standard Games marketing graphic.</t>
  </si>
  <si>
    <t>v_AoRk69eieek</t>
  </si>
  <si>
    <t>A man stands by a pole vault rig while a series of vaulters is shown attempting the vault with varying degrees of success.</t>
  </si>
  <si>
    <t>A group of people wearing white uniforms walk by in the background.</t>
  </si>
  <si>
    <t>Two people walk by in the background.</t>
  </si>
  <si>
    <t>v_PPXrVuZAb74</t>
  </si>
  <si>
    <t>A woman is closing her eyes standing on a diving board.</t>
  </si>
  <si>
    <t>She does a flip and dives into the water.</t>
  </si>
  <si>
    <t>She swims to the surface.</t>
  </si>
  <si>
    <t>v_54K2F3zAZ0o</t>
  </si>
  <si>
    <t>A band is playing on a stage.</t>
  </si>
  <si>
    <t>A man and woman kiss.</t>
  </si>
  <si>
    <t>A man in a yellow shirt plays the saxophone.</t>
  </si>
  <si>
    <t>v_i-G50GikqTg</t>
  </si>
  <si>
    <t>A young man sits down and pulls a drum close to him.</t>
  </si>
  <si>
    <t>He picks up his sticks and hits them together.</t>
  </si>
  <si>
    <t>He starts to count and drum.</t>
  </si>
  <si>
    <t>He drums faster as he looks away and then stops to adjust a few drums.</t>
  </si>
  <si>
    <t>He gets up and moves the camera to show a lever he moves and then he taps on the top of a drum over and over.</t>
  </si>
  <si>
    <t>He gives a thumbs up and peace sign.</t>
  </si>
  <si>
    <t>v_pZ8QqpYu-H8</t>
  </si>
  <si>
    <t>A man is seated at a piano, playing and singing into a microphone.</t>
  </si>
  <si>
    <t>When he finishes, he looks up and smiles.</t>
  </si>
  <si>
    <t>v_4hmJfJo6UI8</t>
  </si>
  <si>
    <t>A female athlete runs quickly down a track.</t>
  </si>
  <si>
    <t>She plows into the sand before getting up and walking away.</t>
  </si>
  <si>
    <t>The scene is repeated three times before ending with her cheering and clapping.</t>
  </si>
  <si>
    <t>v_0VHUSC4YFT4</t>
  </si>
  <si>
    <t>A person is seen hanging on the side of a beam going down while another man holds him.</t>
  </si>
  <si>
    <t>He then pulls the other man up and watches him jump off on the side on a bungee cord.</t>
  </si>
  <si>
    <t>v_ADbp9ObJVxE</t>
  </si>
  <si>
    <t>A man is in a worship, talking in front of a piece of wood.</t>
  </si>
  <si>
    <t>He sands the piece of wood down, then wipes sealant or stain onto the wood.</t>
  </si>
  <si>
    <t>v_qq1wRySmDTc</t>
  </si>
  <si>
    <t>a man is crouching in the woods next to a pile of stones.</t>
  </si>
  <si>
    <t>He is explaining the building of a fire.</t>
  </si>
  <si>
    <t>He lights the wood, creating a fire.</t>
  </si>
  <si>
    <t>v_8AP2he781Cw</t>
  </si>
  <si>
    <t>People are playing hockey on an ice rink.</t>
  </si>
  <si>
    <t>A person falls over onto the ice.</t>
  </si>
  <si>
    <t>A person runs after a puck and falls over again.</t>
  </si>
  <si>
    <t>He begins hitting the puck and falls again.</t>
  </si>
  <si>
    <t>v_wNwwiK6znIE</t>
  </si>
  <si>
    <t>We see a man in a shop holding a ski.</t>
  </si>
  <si>
    <t>The man shows us a can of product he this sprays on and wipes down a ski.</t>
  </si>
  <si>
    <t>The man then holds the ski for us to see.</t>
  </si>
  <si>
    <t>We see two ski products and an ending screen.</t>
  </si>
  <si>
    <t>v_-kmomJph-6E</t>
  </si>
  <si>
    <t>Two kids with extremly long hair are outside near a group of sheds.</t>
  </si>
  <si>
    <t>The shorter boy begins pulling the other guys hair and pulling him by it.</t>
  </si>
  <si>
    <t>However,the boy lets the guys hair go and the guy begins to knee him in the private area,pick him up over his head and drop him on a piece of wood.</t>
  </si>
  <si>
    <t>v_YnsusYE6i_0</t>
  </si>
  <si>
    <t>There are a lot of dressed up people sitting in a large dining area at a reception.</t>
  </si>
  <si>
    <t>A brunette woman taps a blonde woman on her back, points to something on the ground, and the women smile with the blonde woman leans over and picks up her sweater that was on the ground.</t>
  </si>
  <si>
    <t>A woman dressed in a blue flowing dress with a blue bodysuit underneath is standing up, and she begins to do a ballet dance routine in the middle of the large dancing floor while the people in the reception area are watching her every move, taking picture and videoing her.</t>
  </si>
  <si>
    <t>When the woman is done dancing she stands there with her arms crossed on her chest and the crowds applauds, and gives her a standing ovation while she takes a few bows.</t>
  </si>
  <si>
    <t>v_aKJKZHvP53E</t>
  </si>
  <si>
    <t>woman is standing in front of a poker tokens and cards.</t>
  </si>
  <si>
    <t>she turn around the cards and mixing it.</t>
  </si>
  <si>
    <t>cards are in a stack and split them in 4 and mixing it.</t>
  </si>
  <si>
    <t>cards are in a stack and other person split it in two and put them in a transparent box.</t>
  </si>
  <si>
    <t>v_7dx3MobORY0</t>
  </si>
  <si>
    <t>A girl shows how to bake cookies from scratch.</t>
  </si>
  <si>
    <t>Ingredients are added, stirred, and then the mixture is put in the oven.</t>
  </si>
  <si>
    <t>v_rzsp_r9fq_A</t>
  </si>
  <si>
    <t>There's a woman in a black raincoat standing next to a wooden fence.</t>
  </si>
  <si>
    <t>She is joined by a little girl wearing a polka dotted jacket who brings her some green paint.</t>
  </si>
  <si>
    <t>The woman begins painting the fence with a bush.</t>
  </si>
  <si>
    <t>There are several other people in the neighborhood who are seen volunteering to paint the fence with green paint.</t>
  </si>
  <si>
    <t>The volunteers are being interviewed.</t>
  </si>
  <si>
    <t>There are two boys dressed in Batman costumes standing there.</t>
  </si>
  <si>
    <t>The volunteers continue to paint the fence.</t>
  </si>
  <si>
    <t>Some people from the community gather around the parking lot.</t>
  </si>
  <si>
    <t>The people continue painting the fence.</t>
  </si>
  <si>
    <t>v_EPCb-f6yQxA</t>
  </si>
  <si>
    <t>Various mountain scenery is shown from different angles.</t>
  </si>
  <si>
    <t>A soldier plays a bagpipe in a mountain scene.</t>
  </si>
  <si>
    <t>v_YmAIoN4uuz0</t>
  </si>
  <si>
    <t>Various clips are shown of landscapes as well as people riding along on boats and a man speaking to the camera.</t>
  </si>
  <si>
    <t>The man dives into the water and is shown in several clips swimming around and fish moving along as well.</t>
  </si>
  <si>
    <t>The man gives hand gestures to the camera and swims to the surface when another man grabs his gear and he speaks to the camera.</t>
  </si>
  <si>
    <t>More men speak to the camera as he jumps in.</t>
  </si>
  <si>
    <t>v_-C9mAKWi9Ho</t>
  </si>
  <si>
    <t>An intro leads into two men fencing in a field.</t>
  </si>
  <si>
    <t>Several shots are shown of the men sticking swords to one another and the other blocking.</t>
  </si>
  <si>
    <t>In between clips are shown of the men boxing.</t>
  </si>
  <si>
    <t>v_U7MAQwyFeDQ</t>
  </si>
  <si>
    <t>Walking through the airport, flying on a plane and driving down the highway they get to where they are going.</t>
  </si>
  <si>
    <t>A man in a white mask is getting ready to go bungee jumping off a very high cliff, he stands with his arms out like they are wings on the edge.</t>
  </si>
  <si>
    <t>Then he jumps down, falling from a very high height, another man follows after him, and then the camera man himself takes the leap recording the entire fall.</t>
  </si>
  <si>
    <t>They all take turns jumping, one of them even goes down backwards.</t>
  </si>
  <si>
    <t>v_x2ztI3YNu9o</t>
  </si>
  <si>
    <t>A camera pans around a snowy area and leads into a man holding an accordion and beginning to play.</t>
  </si>
  <si>
    <t>The man continues to play the instrument while the camera shows off more scenery of snowy areas and the man continuing to play.</t>
  </si>
  <si>
    <t>v_BRApK7rWSAk</t>
  </si>
  <si>
    <t>A Capri Sun wrapper in a pile of rocks on the ground with a pile of sawdust on it.</t>
  </si>
  <si>
    <t>We see a pile of sticks to the left and see a flint.</t>
  </si>
  <si>
    <t>The person strikes the flint and a flame sits on he sawdust.</t>
  </si>
  <si>
    <t>The person then puts a handful of twigs on the fire.</t>
  </si>
  <si>
    <t>The fire grows and the cameraman backs up to show the rocks surrounding the fire.</t>
  </si>
  <si>
    <t>v_UWusSRe8Whg</t>
  </si>
  <si>
    <t>Two men are sitting in a room with four congos in front of them playing.</t>
  </si>
  <si>
    <t>They are both in unison and they're using their body parts as part of their routine to make different sounds.</t>
  </si>
  <si>
    <t>The men take an extremely brief pause before rapidly hitting the congo and end by pointing their finger at each other.</t>
  </si>
  <si>
    <t>v_GNzaxjYL0TM</t>
  </si>
  <si>
    <t>Two people are seen sitting on dirt bikes speaking to the camera with one shoveling dirt and the other riding along.</t>
  </si>
  <si>
    <t>Several shots are then shown of the two riding dirt bikes along a trail while stopping to gesture to the camera every now and then.</t>
  </si>
  <si>
    <t>v_G8-soqkFiI8</t>
  </si>
  <si>
    <t>A woman on a beach begins to build a sand castle.</t>
  </si>
  <si>
    <t>A man comes over and begins to build the sand castle with her.</t>
  </si>
  <si>
    <t>Several people walk by as they continue to build the castle.</t>
  </si>
  <si>
    <t>v_eaR8oEBlYWk</t>
  </si>
  <si>
    <t>A woman in a jacket is washing clothes in a sink.</t>
  </si>
  <si>
    <t>She pours water into a blue bowl.</t>
  </si>
  <si>
    <t>She puts clothes into the buckets of water that are in the sink.</t>
  </si>
  <si>
    <t>A white washing machine that is unplugged is shown.</t>
  </si>
  <si>
    <t>The woman continues to wash the clothes in the sink.</t>
  </si>
  <si>
    <t>She walks over and takes the lid off of a large bucket of water on the ground.</t>
  </si>
  <si>
    <t>She dips a pot into the bucket and dumps the water into the sink.</t>
  </si>
  <si>
    <t>v_qgJzdtHCebM</t>
  </si>
  <si>
    <t>A bull runs around a pen and tries to hit the clown with their horns.</t>
  </si>
  <si>
    <t>A guy jumps over a fence to get away from the bull.</t>
  </si>
  <si>
    <t>A clown is hiding behind a red barrel.</t>
  </si>
  <si>
    <t>The man falls onto the ground being chased by the bull.</t>
  </si>
  <si>
    <t>v_BzhREL6ncq4</t>
  </si>
  <si>
    <t>A gymnast exercise on the parallel bars while the coach give directions and fix a mat.</t>
  </si>
  <si>
    <t>Then, the gymnast spins on the high bar , then flip and fall stand on the mat.</t>
  </si>
  <si>
    <t>v_Kd_qpMbvRtI</t>
  </si>
  <si>
    <t>We see a title on a dark gray screen, We see a boat on a lake from different angles.</t>
  </si>
  <si>
    <t>A person riding a surfboard behind the boat does a flip.</t>
  </si>
  <si>
    <t>, We are shown the interior of the the boat.</t>
  </si>
  <si>
    <t>We see the interior then the outside of the boat intermittently.</t>
  </si>
  <si>
    <t>We see people on a raft being pulled by the boat.</t>
  </si>
  <si>
    <t>A girl grabs something form a cabinet then jumps in the water.</t>
  </si>
  <si>
    <t>We see the end credit scenes.</t>
  </si>
  <si>
    <t>v_qOi_E_uYCIo</t>
  </si>
  <si>
    <t>Vodka is shown being poured into a martini glass.</t>
  </si>
  <si>
    <t>A woman is behind a bar, showing off bottles of alcohol.</t>
  </si>
  <si>
    <t>She mixes the ingredients together, then shakes them up before pouring into a glass filled with ice.</t>
  </si>
  <si>
    <t>v_jdfe-CV_cpE</t>
  </si>
  <si>
    <t>Three men sit together on a couch.</t>
  </si>
  <si>
    <t>A man gets up and walks into a barber shop.</t>
  </si>
  <si>
    <t>He sits down and gets his hair cut.</t>
  </si>
  <si>
    <t>He is sleeping in the chair.</t>
  </si>
  <si>
    <t>He wakes up and looks in a mirror.</t>
  </si>
  <si>
    <t>Him and the man start fighting.</t>
  </si>
  <si>
    <t>The man pulls a gun and points it at the other man.</t>
  </si>
  <si>
    <t>He runs into another mans arms and they walk out the door.</t>
  </si>
  <si>
    <t>v_gCku1WVr608</t>
  </si>
  <si>
    <t>The video shows how to get discounts on amazon for a category of dog supplies.</t>
  </si>
  <si>
    <t>Then it shows a woman shaving a dog.</t>
  </si>
  <si>
    <t>v_CneLYCPg7Es</t>
  </si>
  <si>
    <t>A lady holds a toothbrush as a child sits on a counter.</t>
  </si>
  <si>
    <t>The lady brushes the boys teeth.</t>
  </si>
  <si>
    <t>She finishes and the little boy smiles.</t>
  </si>
  <si>
    <t>the lady backs away and the child puts a pacifier in his mouth.</t>
  </si>
  <si>
    <t>v_D5iU1Qfy-wk</t>
  </si>
  <si>
    <t>A man sits in a room laughing.</t>
  </si>
  <si>
    <t>The man joins a woman and man at a table eating.</t>
  </si>
  <si>
    <t>The man sees a bobble doll and pushes it.</t>
  </si>
  <si>
    <t>The man hits the doll and bounces a ball around the room knocking all the food off the table and making a mess.</t>
  </si>
  <si>
    <t>The people laugh and the man cleans up and creates a whirlpool in the well which breaks and he ball smashes walls.</t>
  </si>
  <si>
    <t>The man works out in a field.</t>
  </si>
  <si>
    <t>Dust rises from the man and leafs fly through the sky.</t>
  </si>
  <si>
    <t>v_uDqnGmLJyao</t>
  </si>
  <si>
    <t>She shows how to hang a border along a wall in a living room.</t>
  </si>
  <si>
    <t>She then goes back to talking to the camera.</t>
  </si>
  <si>
    <t>v_o4zmTkyTu8g</t>
  </si>
  <si>
    <t>A group is playing volleyball in a swimmming pool.</t>
  </si>
  <si>
    <t>They bounce the ball back and forth over the net as a golden retriever joins it, hitting the ball with his nose.</t>
  </si>
  <si>
    <t>v_6OLIr7E0eHA</t>
  </si>
  <si>
    <t>A boy plays the drums on front people.</t>
  </si>
  <si>
    <t>A man sings holding a microphone next to the drummer.</t>
  </si>
  <si>
    <t>A person pass on front the boy.</t>
  </si>
  <si>
    <t>v_hQeDWu5NOj8</t>
  </si>
  <si>
    <t>A small group of people are seen riding in a raft down a rough river.</t>
  </si>
  <si>
    <t>The people use paddles to move themselves along the water and under tunnels.</t>
  </si>
  <si>
    <t>The group continue riding down the river and end with text across the screen.</t>
  </si>
  <si>
    <t>v_7coVNZXiU6U</t>
  </si>
  <si>
    <t>A woman gets her hair cut very short in a kitchen by a woman with a pair of scissors.</t>
  </si>
  <si>
    <t>A man, wearing glasses, talks into the camera in a close up shot before the camera pans to a woman seated in a soft chair and focuses on her upper arm.</t>
  </si>
  <si>
    <t>The camera pans into a kitchen area and a seated woman holding up a lock of her own hair while another woman behind her ( the woman who was formerly seated) begins to cut her hair with a pair of scissors.</t>
  </si>
  <si>
    <t>The camera pans to a close up of the woman in the kitchen chair who has had most of her hair cut off and now how a very short haircut.</t>
  </si>
  <si>
    <t>The camera cuts again to the man who first appears in the film and a shot of a digital clock displaying the time.</t>
  </si>
  <si>
    <t>v_5P_Scs7Vo2c</t>
  </si>
  <si>
    <t>A young woman is seen kneeling in a tub with clothes all around her.</t>
  </si>
  <si>
    <t>She steps on the clothes and bends down again to scrub them while the camera pans around her.</t>
  </si>
  <si>
    <t>She holds up the clothes and continues to wash them as well as a man stepping into frame to help.</t>
  </si>
  <si>
    <t>v_BgsxbT9RCeg</t>
  </si>
  <si>
    <t>A woman ballerina dressed in a pink skirt and white blouse is standing in pose with her back bent forward and hands on her sides on a stage.</t>
  </si>
  <si>
    <t>A man in blue jeans and a white shirt walks in and strokes her back with a yellow cloth.</t>
  </si>
  <si>
    <t>Then a little girl ballerina comes and bumps into the woman.</t>
  </si>
  <si>
    <t>The woman breaks into a dance every time the little girl ballerina taps her.</t>
  </si>
  <si>
    <t>The little girl picks up a pair of wings and tries to put it on her back.</t>
  </si>
  <si>
    <t>The woman starts doing some ballet moves.</t>
  </si>
  <si>
    <t>She continues to dance to ballet moves as the little girl walks away.</t>
  </si>
  <si>
    <t>The woman ballerina twists and twirls on her toes as she dances to music.</t>
  </si>
  <si>
    <t>The crowd applauds and the man in the white shirt and blue jeans lifts her up and walks off the stage.</t>
  </si>
  <si>
    <t>v_2jHMUtvWP_0</t>
  </si>
  <si>
    <t>A camera pans around a room with a freshly painted wall and a man painting the wall on a stool is seen.</t>
  </si>
  <si>
    <t>The camera pans over the skylight and finishes by looking behind the area.</t>
  </si>
  <si>
    <t>v_OPqqbxGKp6E</t>
  </si>
  <si>
    <t>We see a person in a kitchen cooking on the stove.</t>
  </si>
  <si>
    <t>The person has skillet with butter they add eggs to.</t>
  </si>
  <si>
    <t>The person flips the eggs.</t>
  </si>
  <si>
    <t>A fire starts on the eye the person blow it out.</t>
  </si>
  <si>
    <t>The person flips the eggs with a spatula.</t>
  </si>
  <si>
    <t>The eggs are poured into a plate and salt and pepper are added.</t>
  </si>
  <si>
    <t>The person walks away from the stove.</t>
  </si>
  <si>
    <t>v_Ve0Ufrv-T0s</t>
  </si>
  <si>
    <t>A dog urinates consistently, without stopping, and while walking on its forelegs only, down and around a paved sidewalk all while a person is walking them on a yellow leash.</t>
  </si>
  <si>
    <t>The pug dog starts urinating on a stone curb along a low stone mini wall, lands on all four legs to turn around, and then proceeds to start walking on its two forelegs only.</t>
  </si>
  <si>
    <t>The dog begins urinating while walking on its forelegs only with the yellow leash following behind as an unseen person walks the dog from the background.</t>
  </si>
  <si>
    <t>The dog continues to urinate in this way, past more sidewalk and grass, and finally starts using three legs, stops and urinates more while stationary on three legs.</t>
  </si>
  <si>
    <t>v_VZ2CPdIPa30</t>
  </si>
  <si>
    <t>A man secures a seated woman in a bungee harness while others stand by.</t>
  </si>
  <si>
    <t>The woman talks to the camera in a close up view.</t>
  </si>
  <si>
    <t>Several shots of the scenery are shown interspersed with the woman waiting.</t>
  </si>
  <si>
    <t>The man finishes with the equipment.</t>
  </si>
  <si>
    <t>The woman carefully walks out to the jumping platform while one of the men stands behind her and an audience watches.</t>
  </si>
  <si>
    <t>The woman bungees off the platform.</t>
  </si>
  <si>
    <t>A replay of the woman bungeeing off the platform is shown.</t>
  </si>
  <si>
    <t>v_wBij_rEXdCk</t>
  </si>
  <si>
    <t>We see a table covered with papers and a laptop as a man works.</t>
  </si>
  <si>
    <t>The man leaves and goes to a graffiti covered garage and turns on a boombox.</t>
  </si>
  <si>
    <t>The man break dances then sees there is a man across the room.</t>
  </si>
  <si>
    <t>The men then take turns break dancing.</t>
  </si>
  <si>
    <t>The men stand face to face and break dance together.</t>
  </si>
  <si>
    <t>v_zkR_t6p3lto</t>
  </si>
  <si>
    <t>A person's skis are shown close up as they move continuously down a snowy hill moving quickly past trees.</t>
  </si>
  <si>
    <t>The person continues moving down the trail at a fast pace and meeting up with others at the bottom.</t>
  </si>
  <si>
    <t>v_H-PhEsI9njQ</t>
  </si>
  <si>
    <t>people are standing in a court playing shufleboard while people is in the terraces are watching the game.</t>
  </si>
  <si>
    <t>a lot of people wearing red uniforms are walking and sitting around the court.</t>
  </si>
  <si>
    <t>v_KEWlDtEt2cQ</t>
  </si>
  <si>
    <t>A man in a suit and a lady in a sparking dress stand on stage.</t>
  </si>
  <si>
    <t>The people then ballroom dance as people watch.</t>
  </si>
  <si>
    <t>The man spins the woman in the air in front of him.</t>
  </si>
  <si>
    <t>The man dips the lady and she kicks her feet in the air.</t>
  </si>
  <si>
    <t>They finish and the crowd claps as they walk off stage.</t>
  </si>
  <si>
    <t>v_BUmS918SyLA</t>
  </si>
  <si>
    <t>Two girls are seen holding a pose in the middle of a large gymnasium while others watch around them.</t>
  </si>
  <si>
    <t>The girls begin performing a dance routine while using batons.</t>
  </si>
  <si>
    <t>The girls continue to dance around and end by holding a pose.</t>
  </si>
  <si>
    <t>v_oAyygdg493M</t>
  </si>
  <si>
    <t>A woman is walking on the beach carrying a surfboard.</t>
  </si>
  <si>
    <t>She starts surfing in the water.</t>
  </si>
  <si>
    <t>v_sY7m7E-sAYc</t>
  </si>
  <si>
    <t>A woman is washing in a sink and shows a little bottle.</t>
  </si>
  <si>
    <t>Then, the woman add several potatoes in a steaming pot.</t>
  </si>
  <si>
    <t>After, the woman put the potatoes in a bowl and then peel a potatoes easily.</t>
  </si>
  <si>
    <t>v_5DhbyYavYp4</t>
  </si>
  <si>
    <t>There is a garden with many trees and shrubs.</t>
  </si>
  <si>
    <t>There is a man using a hedging and trimming equipment trimming the bushes.</t>
  </si>
  <si>
    <t>Another man is giving instructions on lawn and garden care.</t>
  </si>
  <si>
    <t>The man climbs up a tall ladder to trim the trees and bushes several times.</t>
  </si>
  <si>
    <t>He goes around the entire side to trim the hedges.</t>
  </si>
  <si>
    <t>The instructor continues talking about the gardening process, The man trims the hedges that form a barrier near a house.</t>
  </si>
  <si>
    <t>The instructor explains the process again to the viewers.</t>
  </si>
  <si>
    <t>The scene changes to a strange looking statue in a busy city and ends with a thank you for watching message.</t>
  </si>
  <si>
    <t>v_ynispYtdDq8</t>
  </si>
  <si>
    <t>A woman in lingerie is sitting on a couch waving at the camera.</t>
  </si>
  <si>
    <t>She opens a pack of cigarettes and lights up.</t>
  </si>
  <si>
    <t>She continues sitting and smoking while looking at the camera.</t>
  </si>
  <si>
    <t>v_PI1ZaFQ28Ao</t>
  </si>
  <si>
    <t>A lady discusses while standing in a kitchen adjacent to a sink.</t>
  </si>
  <si>
    <t>The lady is holding a sponge while the sink water is running.</t>
  </si>
  <si>
    <t>The lady is soaking dishes in soapy water.</t>
  </si>
  <si>
    <t>v_4-BW75h1D1A</t>
  </si>
  <si>
    <t>A woman in a white dress belly dances outside near columns and trees.</t>
  </si>
  <si>
    <t>The woman shakes her hips as she dances.</t>
  </si>
  <si>
    <t>Credits appear on the screen.</t>
  </si>
  <si>
    <t>v_YEZrwxz0Ysk</t>
  </si>
  <si>
    <t>A shot glass is shown, filled with three colors of liquid.</t>
  </si>
  <si>
    <t>Several bottles of different colored alcohols are shown.</t>
  </si>
  <si>
    <t>The liquids are poured one at a time into the glasses, forming the tricolored drink.</t>
  </si>
  <si>
    <t>v_jmmOBfS3JIg</t>
  </si>
  <si>
    <t>A man in dress shirt taps his cloth on the spout of a glass container to get it damp.</t>
  </si>
  <si>
    <t>The man uses his cloth wrapped around his index and middle finer to polish a shoe.</t>
  </si>
  <si>
    <t>The man rubs his cloth in a shoe polish tin for more of the substance.</t>
  </si>
  <si>
    <t>The man continues to polish the show around the toe of the shoe.</t>
  </si>
  <si>
    <t>The man again rubs his cloth in the tin for more polish.</t>
  </si>
  <si>
    <t>The man continues to polish the show around the toe of the shoe near the toe in a circular motion.</t>
  </si>
  <si>
    <t>v_by8QQWbyimw</t>
  </si>
  <si>
    <t>Two girls are acting silly and throwing signs at a camera.</t>
  </si>
  <si>
    <t>They then take turns doing cartwheels across the lawn.</t>
  </si>
  <si>
    <t>They do front and back flips, then run toward the camera.</t>
  </si>
  <si>
    <t>v_OhgsnOwo4b4</t>
  </si>
  <si>
    <t>A man is standing inside a kitchen in front of ingredients and tools for cooking.</t>
  </si>
  <si>
    <t>He shows dressing being poured onto a cabbage salad.</t>
  </si>
  <si>
    <t>He explains how to cut a melon, creating slices that go into his salad.</t>
  </si>
  <si>
    <t>Then he shreds a carrot, and moves the salad into a bowl before drizzling it with dressing.</t>
  </si>
  <si>
    <t>v_7TgvbmIn03A</t>
  </si>
  <si>
    <t>A black screen appears with white words that read "GoPro Hero3+Black Making everyday tasks fun 'Mowing The Lawn' Resolution: 1080p superwide.</t>
  </si>
  <si>
    <t>A view from the top of a lawn mower shows a woman pulling onto the pull handle of the lawn mower.</t>
  </si>
  <si>
    <t>The view change to the view of the lawn mower and the mower is moving along a yard filled with green grass.</t>
  </si>
  <si>
    <t>The view changes back and forth from lawn mower view and the view of the whole woman mowing the lawn.</t>
  </si>
  <si>
    <t>v_tgPjcWP7Vig</t>
  </si>
  <si>
    <t>A large group of people are seen sitting on bicycles exercising with one another.</t>
  </si>
  <si>
    <t>A woman speaks to the camera while more shots are shown of people riding.</t>
  </si>
  <si>
    <t>A woman leads the class as well as speaks to the camera and others riding around.</t>
  </si>
  <si>
    <t>v_j4vMVBSfyu0</t>
  </si>
  <si>
    <t>A hand is showing a curved blade knife, and then he showed an ice pick with white paper at the end of it.</t>
  </si>
  <si>
    <t>The man threw the blade on the plywood, then he threw the ice pick.</t>
  </si>
  <si>
    <t>v_C6DH4l7fop0</t>
  </si>
  <si>
    <t>A boy puts freshly baked cookies on a cooling rack.</t>
  </si>
  <si>
    <t>One gets stuck and he licks the spatula.</t>
  </si>
  <si>
    <t>v_KxY2z_xDsO8</t>
  </si>
  <si>
    <t>A person's hand is seen pushing various marbles down a long track and watching where they land.</t>
  </si>
  <si>
    <t>They push several more marbles while the camera moves up and down to catch the action.</t>
  </si>
  <si>
    <t>v_5XiBb9XGsg8</t>
  </si>
  <si>
    <t>A young man is seen speaking to the camera and leads into him trying to solve a rubix cube.</t>
  </si>
  <si>
    <t>The boy then solves the cube and pans the camera back to show his time.</t>
  </si>
  <si>
    <t>v_HrBa_UraJvc</t>
  </si>
  <si>
    <t>A man is seen using a hookah and blowing smoke out into the air and leads into him scraping tobacco and driving around.</t>
  </si>
  <si>
    <t>He speaks to the camera and pans back to a hookah and begins smoking out of it.</t>
  </si>
  <si>
    <t>v_c-3ed17J3F8</t>
  </si>
  <si>
    <t>A man is standing in a shed behind a crafts table talking to the camera.</t>
  </si>
  <si>
    <t>Next,a man in a navy uniform begins walking down the road and ends up in the room with the man.</t>
  </si>
  <si>
    <t>The two of them begin polishing a pair of boots together with a white cloth and a green brush.</t>
  </si>
  <si>
    <t>As they finish,the man in the green shirt is given a patch and a screen of tips come on the screen for properly caring for your boots.</t>
  </si>
  <si>
    <t>v_8SMXK2uOvk0</t>
  </si>
  <si>
    <t>People are biking down a path.</t>
  </si>
  <si>
    <t>A person is trying to start a fire.</t>
  </si>
  <si>
    <t>The person feeds the fire and moves it to a hole.</t>
  </si>
  <si>
    <t>v_HqGWA16ECWE</t>
  </si>
  <si>
    <t>A girl in a dress is crossing monkey bars.</t>
  </si>
  <si>
    <t>She gets to the end and steps on a rock.</t>
  </si>
  <si>
    <t>A boy in a blue shirt stands behind her.</t>
  </si>
  <si>
    <t>v_vygPNS-eAYM</t>
  </si>
  <si>
    <t>A father and daughter are playing hop scotch on their tiled porch.</t>
  </si>
  <si>
    <t>The girl is wearing a blue sleeveless shirt and shorts and the father is wearing a gray shirt and shorts.</t>
  </si>
  <si>
    <t>They take turns to jump on the squares.</t>
  </si>
  <si>
    <t>Then she little girl is joined by her mother who begins hopping on the squares.</t>
  </si>
  <si>
    <t>She gives the daughter a high five.</t>
  </si>
  <si>
    <t>then the girl begins to hop and jump across the squares.</t>
  </si>
  <si>
    <t>v_OtMNVvCSxVo</t>
  </si>
  <si>
    <t>A man stands on front a sink.</t>
  </si>
  <si>
    <t>Then, the man puts soap on a cloth.</t>
  </si>
  <si>
    <t>After, the man wash the pot outside and inside.</t>
  </si>
  <si>
    <t>Next, the man turns and dry his hands.</t>
  </si>
  <si>
    <t>v_UA_RDwuO47s</t>
  </si>
  <si>
    <t>The word funkin is on the screen and underneath it says Bacardi cocktail.</t>
  </si>
  <si>
    <t>A man in a funkin shirt talks about and demonstrates how to make the Bacardi cocktail from behind a bar.</t>
  </si>
  <si>
    <t>The man is showing people how to make a drink in a martini glass.</t>
  </si>
  <si>
    <t>The man puts ingredients in a regular glass while showing the bottles of ingredients he is using.</t>
  </si>
  <si>
    <t>The word funkin is on the screen.</t>
  </si>
  <si>
    <t>v_SQs7o8LeU6A</t>
  </si>
  <si>
    <t>A man stands in a rustic living room and plays a bagpipe in his socks.</t>
  </si>
  <si>
    <t>We see a man tapping his foot as he plays.</t>
  </si>
  <si>
    <t>The man switches to his other foot tapping.</t>
  </si>
  <si>
    <t>the man finishes playing and wipes his face.</t>
  </si>
  <si>
    <t>v_ZKtjyZhRB6E</t>
  </si>
  <si>
    <t>A group of older people are seen sitting on a bus speaking to one another.</t>
  </si>
  <si>
    <t>The camera pans around the bus to show more people sitting and speaking.</t>
  </si>
  <si>
    <t>A woman is seen speaking to a man next to her while he knits.</t>
  </si>
  <si>
    <t>v_8IlwMnM_n38</t>
  </si>
  <si>
    <t>Guys are break dancing on a stage in front of an audience.</t>
  </si>
  <si>
    <t>A guy breaks dance right off the stage and exits.</t>
  </si>
  <si>
    <t>v_64JprLAtnzg</t>
  </si>
  <si>
    <t>A group of girls are dancing along a ledge.</t>
  </si>
  <si>
    <t>Each girl dances on the ledge gracefully.</t>
  </si>
  <si>
    <t>The screen fades away to black.</t>
  </si>
  <si>
    <t>v_2YeImloBCA8</t>
  </si>
  <si>
    <t>We see people working out on exercise steps in an aerobics class.</t>
  </si>
  <si>
    <t>The leader puts her hand in the air.</t>
  </si>
  <si>
    <t>The lady in back left gets lost and stops.</t>
  </si>
  <si>
    <t>Rear right gets lost and throws out her arms.</t>
  </si>
  <si>
    <t>The instructors arm is in the air again.</t>
  </si>
  <si>
    <t>The lady second on right stops trying.</t>
  </si>
  <si>
    <t>v_hpU50i4WBK8</t>
  </si>
  <si>
    <t>Two people are on a boat getting ready to dive into the ocean.</t>
  </si>
  <si>
    <t>They dive in and are able to look at all the beautiful corals and see fish and other things.</t>
  </si>
  <si>
    <t>They find a cockpit that they begin to observe and look around also running into a jelly fish.</t>
  </si>
  <si>
    <t>They begin to explore the outside of the plane where they are also able to see more fish and other marine life around it.</t>
  </si>
  <si>
    <t>v_Eeq-noKrGwY</t>
  </si>
  <si>
    <t>A girl in an orange shirt takes a drink of mouth wash.</t>
  </si>
  <si>
    <t>She swishes it around in her mouth and spits it out into a sink.</t>
  </si>
  <si>
    <t>v_sYKtWOfH6VQ</t>
  </si>
  <si>
    <t>There's a lady doing a tutorial on how to wash hands in her kitchen.</t>
  </si>
  <si>
    <t>She walks towards the sink and turns on the tap.</t>
  </si>
  <si>
    <t>Then she takes some liquid soap in her hands and rubs her hands on the top, the palms and in between her fingers.</t>
  </si>
  <si>
    <t>She demonstrates how to properly rub the palms and the wrist area to ensure a clean wash.</t>
  </si>
  <si>
    <t>Then she turns the tap back on to wash off the soap.</t>
  </si>
  <si>
    <t>Then she uses her right elbow to turn off the tap to avoid touching it directly.</t>
  </si>
  <si>
    <t>Then she takes a paper towel from the window sill and wipes her hands dry.</t>
  </si>
  <si>
    <t>v__gDw8q2sRLk</t>
  </si>
  <si>
    <t>Three people are seen walking out onto a large gymnasium floor and lead into the three performing a jump roping routine.</t>
  </si>
  <si>
    <t>The three continue to jump around the floor while many watch and end with their arms up.</t>
  </si>
  <si>
    <t>v_bDf_xpUpdmU</t>
  </si>
  <si>
    <t>A falls off a skateboard in an awkward way.</t>
  </si>
  <si>
    <t>Then we see several other boys as they trip and fall.</t>
  </si>
  <si>
    <t>They take sharp turns on suburban roads, trying to stay on their boards.</t>
  </si>
  <si>
    <t>v_gKkk82LG8H0</t>
  </si>
  <si>
    <t>Group play the bongos while a young woman dances.</t>
  </si>
  <si>
    <t>A couple walks past the group.</t>
  </si>
  <si>
    <t>The drummer gives the camera a thumbs up gesture.</t>
  </si>
  <si>
    <t>Lots of people pass in the background.</t>
  </si>
  <si>
    <t>A small group are looking on at the musicians.</t>
  </si>
  <si>
    <t>The dancer poses with 2 other women.</t>
  </si>
  <si>
    <t>v_sjpWwjzCbrw</t>
  </si>
  <si>
    <t>A health professional washers her hands with soap in a sink.</t>
  </si>
  <si>
    <t>The woman scrubs between the fingers thoroughly.</t>
  </si>
  <si>
    <t>The hands are dried with a paper towel in between the fingers thoroughly.</t>
  </si>
  <si>
    <t>The woman throws the paper towel in a designated waste bin.</t>
  </si>
  <si>
    <t>The medical professional shuts off the water faucet using her elbow and also the paper towel.</t>
  </si>
  <si>
    <t>v_Mnhg-VEP69U</t>
  </si>
  <si>
    <t>A man is seen assembling a tire on a lift and taking the rubber off using a machine.</t>
  </si>
  <si>
    <t>He then puts the rubber back on using the machine and ends by moving back from the tire.</t>
  </si>
  <si>
    <t>v_3xoIXUMqmqA</t>
  </si>
  <si>
    <t>He pulls down on a rope and works out.</t>
  </si>
  <si>
    <t>He lowers the bar and starts pulling the rope in the other direction.</t>
  </si>
  <si>
    <t>v_KWeZbXoX8Ys</t>
  </si>
  <si>
    <t>There is a very tall and steep slide running through some trees in a large open ground.</t>
  </si>
  <si>
    <t>There is a rubber surface running lengthwise at the bottom end of the slide to protect people from getting hurt as they land down.</t>
  </si>
  <si>
    <t>A young boy wearing black shorts and a shirt comes sliding down in full force.</t>
  </si>
  <si>
    <t>He lands far from the slide as he tumbles down and off of the slide.</t>
  </si>
  <si>
    <t>v_HCZpS7mhvrE</t>
  </si>
  <si>
    <t>A man in a hat talks at a press conference.</t>
  </si>
  <si>
    <t>We see cabins and trailers in a snowy area.</t>
  </si>
  <si>
    <t>Three men re waxing skis in a workshop and we see the man at the press conference.</t>
  </si>
  <si>
    <t>A man runs behind trailers and two men walk on the snow before we see the press conference again.</t>
  </si>
  <si>
    <t>We see the men skiing.</t>
  </si>
  <si>
    <t>The man at the press conference and a men puts a mask on in the workshop and a machine sits in the field.</t>
  </si>
  <si>
    <t>Two men pose holding rifles in the snow.</t>
  </si>
  <si>
    <t>v_iHzyX1djHU4</t>
  </si>
  <si>
    <t>A man is seen sitting in a chair as well as shots of people riding wake boards and clips of a dock.</t>
  </si>
  <si>
    <t>The man continues speaking to the camera while more shots of people wake boarding are shown as well as doing flips and tricks.</t>
  </si>
  <si>
    <t>v_XJQlO4G5Fns</t>
  </si>
  <si>
    <t>We see a lady holding the camera and blow drying her hair.</t>
  </si>
  <si>
    <t>The lady sits the camera on the floor, and continues blow drying her hair.</t>
  </si>
  <si>
    <t>The lady throws her hair back and picks up the phone.</t>
  </si>
  <si>
    <t>v_jqEpQ-cRGFk</t>
  </si>
  <si>
    <t>We see a sleeping lady in a hospital.</t>
  </si>
  <si>
    <t>A person begins combing the hair of a sleeping elderly lady in a hospital.</t>
  </si>
  <si>
    <t>The camera moves to the top of the ladies head.</t>
  </si>
  <si>
    <t>The camera then moves to the front of the ladies face.</t>
  </si>
  <si>
    <t>v_1mksQqxFtv4</t>
  </si>
  <si>
    <t>A man in shorts is in a gym.</t>
  </si>
  <si>
    <t>He is jumping rope in there.</t>
  </si>
  <si>
    <t>He speeds up his jumping.</t>
  </si>
  <si>
    <t>He is doing it in front of a mirror.</t>
  </si>
  <si>
    <t>v_FRFjdn_pjYk</t>
  </si>
  <si>
    <t>An older man is shown standing on a piece of exercise equipment.</t>
  </si>
  <si>
    <t>He talks to the camera and holds a remote up and continues moving on the machine.</t>
  </si>
  <si>
    <t>v_5MpJCKOxRVs</t>
  </si>
  <si>
    <t>First, the person is seen unscrewing the handle bars.</t>
  </si>
  <si>
    <t>Then he unscrews the base to level it out to his liking.</t>
  </si>
  <si>
    <t>Then he sits on the bike seat to achieve the best results.</t>
  </si>
  <si>
    <t>Then he adjusts the handle bars again and makes sure they are firmly in place.</t>
  </si>
  <si>
    <t>v_Qm-XTJ-uG5s</t>
  </si>
  <si>
    <t>Two men are in a room with three walls and a set of glass doors behind them hitting a ball back and fourth against the wall with tennis rackets.</t>
  </si>
  <si>
    <t>As they continue,one boy falls to the ground and they have to start over.</t>
  </si>
  <si>
    <t>v_kUlwaBYvyBI</t>
  </si>
  <si>
    <t>We see a man standing in front of a workbench in a workshop and talking.</t>
  </si>
  <si>
    <t>The man shows a piece of wood and a sander.</t>
  </si>
  <si>
    <t>The man wipes a substance from a jug on the wood and the sander and sands the wood.</t>
  </si>
  <si>
    <t>The man shows us the finished product.</t>
  </si>
  <si>
    <t>v_LBC8Fa1oCGI</t>
  </si>
  <si>
    <t>Several people parasail on a body of water surrounded by other boats, foliage and houses in the distance.</t>
  </si>
  <si>
    <t>Several people in swim trunks sail in a body of water with multi colored parasails.</t>
  </si>
  <si>
    <t>A person in the foreground in blue swim trunks flips the sail over but the sail twists and lands on the bottom so that the person and the sail land on their feet.</t>
  </si>
  <si>
    <t>v_3hp7kPpZDhs</t>
  </si>
  <si>
    <t>On a track, a runner gets ready to perform.</t>
  </si>
  <si>
    <t>He runs and skips along the way, jumping high at the end.</t>
  </si>
  <si>
    <t>He walks along the track after being finished.</t>
  </si>
  <si>
    <t>The man runs and jumps again.</t>
  </si>
  <si>
    <t>The runner talks to someone.</t>
  </si>
  <si>
    <t>v_FKQIdqjY9nI</t>
  </si>
  <si>
    <t>A man plays the bagpipes on stage while wearing a Scottish skirt.</t>
  </si>
  <si>
    <t>Then, the man ends playing and holds the bagpipes on his left arm.</t>
  </si>
  <si>
    <t>v_zogfsf4O3Vg</t>
  </si>
  <si>
    <t>A man in yellow opens a beer.</t>
  </si>
  <si>
    <t>A man in gray grabs the beer, adjusts his clothes then sits on the floor holding the beer.</t>
  </si>
  <si>
    <t>The man puts one arm behind his back and adjusts himself to try and pick the bottle up with his mouth.</t>
  </si>
  <si>
    <t>The man then quickly drinks and puts the bottle down.</t>
  </si>
  <si>
    <t>We see a countdown clock.</t>
  </si>
  <si>
    <t>v_LB1A7BobPwg</t>
  </si>
  <si>
    <t>We see the white title screen.</t>
  </si>
  <si>
    <t>We then see a bartender talking to two people in a bar.</t>
  </si>
  <si>
    <t>The man puts his arm behind his back.</t>
  </si>
  <si>
    <t>The bartender puts two cards on the bar.</t>
  </si>
  <si>
    <t>They push their cards and drink beer, then pull cards and drink beer.</t>
  </si>
  <si>
    <t>The bartender spits the beer back in the glass.</t>
  </si>
  <si>
    <t>The bartender looks at the camera and speaks.</t>
  </si>
  <si>
    <t>We see the end title screen.</t>
  </si>
  <si>
    <t>v_6O8QXbjvYKs</t>
  </si>
  <si>
    <t>A little boy picks up a bowling ball.</t>
  </si>
  <si>
    <t>He sets it on a rail and pushes it down a lane.</t>
  </si>
  <si>
    <t>A woman with a baby strapped to her chest bowls a ball down a lane.</t>
  </si>
  <si>
    <t>v_G_kJ-Af89ew</t>
  </si>
  <si>
    <t>A man in plaid shirt hit the ball with stick, the ball scattered on the table.</t>
  </si>
  <si>
    <t>The man in gray sweater lean on the table and look at the ball, he then hit the white ball and hit the yellow ball, while the man in plaid shirt sat on the chair.</t>
  </si>
  <si>
    <t>The man in gray sweater continue to play the billiard, making the balls shoot in the holes.</t>
  </si>
  <si>
    <t>v_mTDRTiTnsjQ</t>
  </si>
  <si>
    <t>A hand is pushing a grass blower machine.</t>
  </si>
  <si>
    <t>The machine spit out dry leaves from a black pole.</t>
  </si>
  <si>
    <t>The machine turned in a curve towards the house.</t>
  </si>
  <si>
    <t>v_Z56Xq8Ud4I0</t>
  </si>
  <si>
    <t>A woman is seen speaking to the camera and then takes her ring off to run her hands under some water.</t>
  </si>
  <si>
    <t>She scrubs her hands with soap and then runs her fingers under the water.</t>
  </si>
  <si>
    <t>In the end people perform a little dance with showing how to properly wash your hands.</t>
  </si>
  <si>
    <t>v_G_npKjzxQLk</t>
  </si>
  <si>
    <t>We see people deep sea diving.</t>
  </si>
  <si>
    <t>We see the surface of the ocean.</t>
  </si>
  <si>
    <t>We see people holding hands underwater.</t>
  </si>
  <si>
    <t>People are throwing up hand signs.</t>
  </si>
  <si>
    <t>We see a man throw a hand sign and we see people standing in the water.</t>
  </si>
  <si>
    <t>A man goes under the water slowly.</t>
  </si>
  <si>
    <t>v_7qjiHcYuq2Y</t>
  </si>
  <si>
    <t>A small group of people are seen standing on a beach playing a game of volleyball.</t>
  </si>
  <si>
    <t>One person hits it to the other and they hit the ball game.</t>
  </si>
  <si>
    <t>The game continues on while people are seen watching on the sides.</t>
  </si>
  <si>
    <t>v_RkCSfz8GeNg</t>
  </si>
  <si>
    <t>A man is seen playing with her hair in front of the camera and leads into her brushing her hair.</t>
  </si>
  <si>
    <t>She then ties her hair up and proceeds to blow dry her hair while a comb.</t>
  </si>
  <si>
    <t>Then takes her hair down and runs lotion through her hair while still looking to the camera.</t>
  </si>
  <si>
    <t>v_2fp9Ni7Ms6A</t>
  </si>
  <si>
    <t>A shot of a board is shown followed by various groomers grooming dogs on tables.</t>
  </si>
  <si>
    <t>The people continue grooming the dogs on tables and the video ends with text across the screen.</t>
  </si>
  <si>
    <t>v_R4ouBBtg-B4</t>
  </si>
  <si>
    <t>Various people are shown smiling into a camera and being interviewed about a question.</t>
  </si>
  <si>
    <t>Several other questions are asked to the same people as well as shots of people doing activities around the beach on a string.</t>
  </si>
  <si>
    <t>v_DVlDRG0SxG8</t>
  </si>
  <si>
    <t>The front of a yellow kayak is seen as the boat floats through turbulent white waters of a river.</t>
  </si>
  <si>
    <t>It passes a rock and numerous trees before slowing down.</t>
  </si>
  <si>
    <t>v_586OlQMU420</t>
  </si>
  <si>
    <t>A young blonde boy is shown in several still images, including several while skiing.</t>
  </si>
  <si>
    <t>He is then seen skiing down a large hill from multiple angles and videos.</t>
  </si>
  <si>
    <t>He lands on top of a small hill, falling over.</t>
  </si>
  <si>
    <t>We then see an image of him sleeping on a couch.</t>
  </si>
  <si>
    <t>v_41xqneu4_RA</t>
  </si>
  <si>
    <t>A man is inside a room in a house.</t>
  </si>
  <si>
    <t>He is using a racquet to hit a tennis ball back and forth against a wall.</t>
  </si>
  <si>
    <t>He continues hitting the ball until he is finished playing the game.</t>
  </si>
  <si>
    <t>v_VA8SXILXTj0</t>
  </si>
  <si>
    <t>A couple of lemons are seen sitting on a table with glasses and plates and leads into a person putting the lemons in a container.</t>
  </si>
  <si>
    <t>He mixes ingredients with the lemons and shakes them up in another glass.</t>
  </si>
  <si>
    <t>He finishes the lemonade and presents it to the camera while also taking a sip.</t>
  </si>
  <si>
    <t>v_lJRwUE12drE</t>
  </si>
  <si>
    <t>People are seen walking around a gymnasium and leads into one standing in between bars.</t>
  </si>
  <si>
    <t>The gymnast then moves himself around the bars and jumps down afterwards.</t>
  </si>
  <si>
    <t>Another man steps up to the bars and attempts to spin around.</t>
  </si>
  <si>
    <t>v_O9qI26TB3R0</t>
  </si>
  <si>
    <t>A toddler wash a dog in a bathtub pouring water with the shower hose.</t>
  </si>
  <si>
    <t>The toddler rise the tail of the horse and wash the butt.</t>
  </si>
  <si>
    <t>After, the toddler, grab a brush and scrub and wash the dog.</t>
  </si>
  <si>
    <t>v_YtKUxxMo6Cs</t>
  </si>
  <si>
    <t>A man is riding a pair of water skis while attached to a boat.</t>
  </si>
  <si>
    <t>He swerves from side to side in the water, holding on.</t>
  </si>
  <si>
    <t>He jumps into the air as a stunt, then loses his balance and falls into the water.</t>
  </si>
  <si>
    <t>v_Hc7A90HiA28</t>
  </si>
  <si>
    <t>Two teams are playing a tug of war, while the referee is at the center and on the side are people taking pictures.</t>
  </si>
  <si>
    <t>The referee gave a go signal for the team to start pulling, the players are pulling the rope with all of their might until the blue team won, on the other side of the lane another team are playing tug of war, and the camera pans to the audiences who are watching the game.</t>
  </si>
  <si>
    <t>v_adz3kDJLCF4</t>
  </si>
  <si>
    <t>A woman is using a pink brush to brush her teeth.</t>
  </si>
  <si>
    <t>She is brushing very fast and vigorously.</t>
  </si>
  <si>
    <t>She is brushing her upper and lower teeth.</t>
  </si>
  <si>
    <t>She sticks her tongue out to clean the toothpaste.</t>
  </si>
  <si>
    <t>She checks her teeth to see if they're clean enough.</t>
  </si>
  <si>
    <t>While she continues brushing, she opens her mouth.</t>
  </si>
  <si>
    <t>Some of the toothpaste falls down.</t>
  </si>
  <si>
    <t>She starts brushing her tongue thoroughly.</t>
  </si>
  <si>
    <t>Then she continues brushing her upper and lower teeth again.</t>
  </si>
  <si>
    <t>She then sticks her tongue out and scrapes it against her teeth.</t>
  </si>
  <si>
    <t>She spits out some toothpaste.</t>
  </si>
  <si>
    <t>Some of the toothpaste falls on her chin making it look like a white beard.</t>
  </si>
  <si>
    <t>She pretends to be Santa Claus and says, ho, ho, Merry Christmas.</t>
  </si>
  <si>
    <t>Then she laughs as she shows her teeth with a wide smile.</t>
  </si>
  <si>
    <t>v_b0bM4vKxoXQ</t>
  </si>
  <si>
    <t>A large group of people are seen sitting around in a circle and 2 bulls standing in the pit.</t>
  </si>
  <si>
    <t>The animals and people continue to walk around one another and lead into the bulls fighting one another.</t>
  </si>
  <si>
    <t>v_bp1wsvCaiB0</t>
  </si>
  <si>
    <t>A logo appears then the word fencing.</t>
  </si>
  <si>
    <t>People begin to fence together.</t>
  </si>
  <si>
    <t>People gear up to fence and are shown fencing in a variety of ways.</t>
  </si>
  <si>
    <t>v_0Yb2EQlAEYM</t>
  </si>
  <si>
    <t>The bottom of a murky river is shown and then it flashes to the name of the springs.</t>
  </si>
  <si>
    <t>A group of people are shown and they begin to get floats and play and float throughout the springs.</t>
  </si>
  <si>
    <t>Two kids are on the rocks together and they catch a dragonfly.</t>
  </si>
  <si>
    <t>After,various group of people are shown and a couple floats together with a dog sitting on the male's lap.</t>
  </si>
  <si>
    <t>v_jcqRPdvb18w</t>
  </si>
  <si>
    <t>First the man pushes a tire and he steps inside of it.</t>
  </si>
  <si>
    <t>He then starts hula hooping inside of the tire with it around his waist.</t>
  </si>
  <si>
    <t>v_-t_Zhm1b0FI</t>
  </si>
  <si>
    <t>People playing instruments are on the stage.</t>
  </si>
  <si>
    <t>A man in a suit walks on the stage and starts talking.</t>
  </si>
  <si>
    <t>The band keeps playing in the background.</t>
  </si>
  <si>
    <t>v_59nQKYriHQc</t>
  </si>
  <si>
    <t>A woman is seen kneeling down on the floor speaking to the camera while a dog lays next to her.</t>
  </si>
  <si>
    <t>The woman is then seen running soap and water all over a dog in the sink and ending by cleaning him off and watching him run around and be excited.</t>
  </si>
  <si>
    <t>v_D5hsFA2ZrIQ</t>
  </si>
  <si>
    <t>A man is shown working in an outdoor garden.</t>
  </si>
  <si>
    <t>He is using tools as he works.</t>
  </si>
  <si>
    <t>He trims a long row of hedges, then cleans up the debris.</t>
  </si>
  <si>
    <t>v_Kmk0IVi2Xu4</t>
  </si>
  <si>
    <t>We see a set of drums and a man standing behind the drums talking and holding a drink.</t>
  </si>
  <si>
    <t>the man drinks from the drink and puts it down.</t>
  </si>
  <si>
    <t>the man plays the drums with his hands.</t>
  </si>
  <si>
    <t>The man stops and talks before playing the drums again.</t>
  </si>
  <si>
    <t>The man stands on the drums and dances.</t>
  </si>
  <si>
    <t>We see two men sitting and the first man is clapping his hands.</t>
  </si>
  <si>
    <t>We see the man playing the maracas as a lady dances nearby the man stops and the lady turns away.</t>
  </si>
  <si>
    <t>v_QeIsJBPG8EM</t>
  </si>
  <si>
    <t>There's a young boy dressed in a black shirt and black shorts in a field playing with a hockey stick.</t>
  </si>
  <si>
    <t>He is hitting the ball into the goal with his stick.</t>
  </si>
  <si>
    <t>He swings the stick when another person throws the ball to him and aims it towards the goal.</t>
  </si>
  <si>
    <t>v_HWkGANOfqQE</t>
  </si>
  <si>
    <t>The man is showing how he plays the guitar.</t>
  </si>
  <si>
    <t>Then he shows us how he plays flute.</t>
  </si>
  <si>
    <t>v_Yr2unlRQZa0</t>
  </si>
  <si>
    <t>A woman and a man performs cardiovascular fitness holding handles of a machine while running.</t>
  </si>
  <si>
    <t>A person adjust the angle of the pedal and continues running.</t>
  </si>
  <si>
    <t>The screen of the machine shows relevant information, and is show the audio input jack of the machine and the muscle profile while the man and the woman continues exercising.</t>
  </si>
  <si>
    <t>v_6_uxd3nj2d0</t>
  </si>
  <si>
    <t>A woman leans over a boy, dabbing his face with a substance.</t>
  </si>
  <si>
    <t>He laughs and struggles as she continues.</t>
  </si>
  <si>
    <t>He grabs her by the hair, eating the piece of food she had been rubbing on him.</t>
  </si>
  <si>
    <t>v_MTC0fs4QyEY</t>
  </si>
  <si>
    <t>There is an old man doing Tai Chi on a sidewalk while pedestrians walk by.</t>
  </si>
  <si>
    <t>The man continues doing Tai Chi on the sidewalk as several people walk by him.</t>
  </si>
  <si>
    <t>He then stands next to some well pruned shrubs and continues his exercise in the open while it rains heavily.</t>
  </si>
  <si>
    <t>He then takes his shirt and walks away after he is done with his Tai Chi exercise.</t>
  </si>
  <si>
    <t>v_EZsumzBA68I</t>
  </si>
  <si>
    <t>A man is seen standing before a large fence holding a spray hose in his hand.</t>
  </si>
  <si>
    <t>The man sprays paint all along the wall while the camera captures his movements.</t>
  </si>
  <si>
    <t>The man continues to spray the wall while the camera follows him from behind.</t>
  </si>
  <si>
    <t>v_znIFzXChO1M</t>
  </si>
  <si>
    <t>A girl in a white dress is hitting a pinata with a bat.</t>
  </si>
  <si>
    <t>A man is standing behind her watching.</t>
  </si>
  <si>
    <t>Two girls are standing by the house watching.</t>
  </si>
  <si>
    <t>v_G6qOkn-K6aw</t>
  </si>
  <si>
    <t>It is dark in the room and colorful lights come on.</t>
  </si>
  <si>
    <t>People continue dancing on the dance floor.</t>
  </si>
  <si>
    <t>v_l1oh52tqdPo</t>
  </si>
  <si>
    <t>A small white, medium size Christmas tree is standing in front of two green doors.</t>
  </si>
  <si>
    <t>A lady is carrying a bag that has a "SNO-BOND FLOCK #1" written on it.</t>
  </si>
  <si>
    <t>The lady put the sno-bond flock in a strainer and grab a water spray bottle.</t>
  </si>
  <si>
    <t>She started to sift the white stuff on the tree.</t>
  </si>
  <si>
    <t>After sifting she spray the dust towards the tree.</t>
  </si>
  <si>
    <t>v_d-cxJQcmBzA</t>
  </si>
  <si>
    <t>A man is buffing the floor with a blue buffer.</t>
  </si>
  <si>
    <t>Another man stands next to him watching.</t>
  </si>
  <si>
    <t>He goes over the tile with the buffer.</t>
  </si>
  <si>
    <t>v_jX26w60MxmU</t>
  </si>
  <si>
    <t>Two men are seen sitting in a canoe in low motion and then tips the canoe a bit with a paddle.</t>
  </si>
  <si>
    <t>The men do this several times followed by instructions and locations written in text.</t>
  </si>
  <si>
    <t>v_Vq2mQvMp_c4</t>
  </si>
  <si>
    <t>Someone is riding a horse across a grassy field and comes upon other people on horseback.</t>
  </si>
  <si>
    <t>We soon see the riders are part of a group, and we follow the group across a parking lot and into a stream.</t>
  </si>
  <si>
    <t>Celebratory cheers are heard as the group is enjoying riding across the stream.</t>
  </si>
  <si>
    <t>Then we see a couple of riders, one of them standing up in his saddle.</t>
  </si>
  <si>
    <t>v_Kb8SPjD121k</t>
  </si>
  <si>
    <t>two guys beginning a arm wrestling match,the guy in the back shirt wins the first match.</t>
  </si>
  <si>
    <t>the men switched hands and starts a new match.</t>
  </si>
  <si>
    <t>the finally match was won by the same guy with the back shirt.</t>
  </si>
  <si>
    <t>v_Oh83skxSJkQ</t>
  </si>
  <si>
    <t>A close up of a piano is seen followed by a person walking into frame.</t>
  </si>
  <si>
    <t>The person then stretches out their nails and begins playing the piano.</t>
  </si>
  <si>
    <t>The person continues playing on the instrument and stops to turn off the camera.</t>
  </si>
  <si>
    <t>v_0rDLcTmgzGQ</t>
  </si>
  <si>
    <t>The men riding the horses are playing polo in the field.</t>
  </si>
  <si>
    <t>The men are chasing the ball and hitting with mallet.</t>
  </si>
  <si>
    <t>A player hit the ball and then ran after it, behind him are other players.</t>
  </si>
  <si>
    <t>v_xr0tV2KNqgI</t>
  </si>
  <si>
    <t>A crowd of people watch as two bulls fight each other in a competition.</t>
  </si>
  <si>
    <t>The camera pans over to show many people in the crowd watching the show.</t>
  </si>
  <si>
    <t>A man walks by the camera.</t>
  </si>
  <si>
    <t>Several people are getting close to the bull trying to catch the action.</t>
  </si>
  <si>
    <t>The bulls begin to chase each other around the field.</t>
  </si>
  <si>
    <t>v_1JeK3U_nUUc</t>
  </si>
  <si>
    <t>Several shots are shown of people wandering on a beach that lead into clips of a soccer match and people celebrating.</t>
  </si>
  <si>
    <t>More people are seen dancing around as well as playing soccer and gesturing to the camera.</t>
  </si>
  <si>
    <t>v_VE-zu8cdL44</t>
  </si>
  <si>
    <t>A dog who is missing his front legs is walking across a lawn.</t>
  </si>
  <si>
    <t>He is following the camera man, then breaks into a hopping run.</t>
  </si>
  <si>
    <t>He returns, and does the same again.</t>
  </si>
  <si>
    <t>v_-IkL9Kq9zfQ</t>
  </si>
  <si>
    <t>A man in cold weather clothing is kayaking on a river.</t>
  </si>
  <si>
    <t>The shot pans out to show several kayaks, and the man stuck on a small waterfall.</t>
  </si>
  <si>
    <t>He finally gets himself unstuck, pulling away from the falls.</t>
  </si>
  <si>
    <t>v_KnF56TCKPYw</t>
  </si>
  <si>
    <t>A dog sniffs the feet of a man and a woman.</t>
  </si>
  <si>
    <t>The couple walk the dog down to a lake.</t>
  </si>
  <si>
    <t>There are other owners and dogs, and they play at the water's edge.</t>
  </si>
  <si>
    <t>v_BtGrWzfvmP0</t>
  </si>
  <si>
    <t>A girl is seen smiling and waving to the camera followed by her holding up a contact lens and cleanser.</t>
  </si>
  <si>
    <t>She mixes the two together followed by putting the contact lens in her eyes.</t>
  </si>
  <si>
    <t>She finally shows off her eyes in the end and gives the camera a thumbs up.</t>
  </si>
  <si>
    <t>v_hnwZmUR1FUw</t>
  </si>
  <si>
    <t>There are two men indoors and playing racquetball in an indoor court as they quickly hit the ball against the wall and take turns.</t>
  </si>
  <si>
    <t>One of the men wearing a green shirt looks angrily at the camera and throws the racquet at the camera.</t>
  </si>
  <si>
    <t>The camera person turns the camera to himself and he is running and laughing while looking in the camera.</t>
  </si>
  <si>
    <t>v_Y97KgwAmdrU</t>
  </si>
  <si>
    <t>Various ingredients are laid out on a counter and are all mixed together in a bowl.</t>
  </si>
  <si>
    <t>The person is then shown placing dough balls into the oven and pressing a button.</t>
  </si>
  <si>
    <t>Then person then takes the cookies out and they disappear, all in stop animation.</t>
  </si>
  <si>
    <t>v_EKyV_WFsJH0</t>
  </si>
  <si>
    <t>A man is seen speaking to the camera while a shot of a person playing basketball shows behind.</t>
  </si>
  <si>
    <t>The man continues speaking as more shots are shown of the boy playing basketball.</t>
  </si>
  <si>
    <t>The man continues speaking and ends with text across the screen.</t>
  </si>
  <si>
    <t>v_E5uAH7_WTFs</t>
  </si>
  <si>
    <t>A professional swimmer wipes his eyes before engaging in the competition.</t>
  </si>
  <si>
    <t>He takes off, swimming as he tries to beat the two competitors on either side of him.</t>
  </si>
  <si>
    <t>v_DEVD2oszH48</t>
  </si>
  <si>
    <t>A gymnast gets ready and stretches out before an event.</t>
  </si>
  <si>
    <t>The gymnast runs then tumbles down a platform during an Olympic game finally landing on a padded mat.</t>
  </si>
  <si>
    <t>A large crowd applauds the performance.</t>
  </si>
  <si>
    <t>Other gymnast look on and nod with approval.</t>
  </si>
  <si>
    <t>A replay shows the gymnasts performance in slow motion.</t>
  </si>
  <si>
    <t>The gymnast sits with her coach and is congratulated.</t>
  </si>
  <si>
    <t>v_-lV2zo5XsCg</t>
  </si>
  <si>
    <t>A close up of a horse is seen standing in a fenced in area.</t>
  </si>
  <si>
    <t>A person is then seen brushing the horse from the side.</t>
  </si>
  <si>
    <t>The person continues brushing as a close up of the horse is shown.</t>
  </si>
  <si>
    <t>v_Jo2-IPbuapw</t>
  </si>
  <si>
    <t>A person's hands are seen places in the middle of a paper and begins drawing along the picture.</t>
  </si>
  <si>
    <t>The person then paints a large tree while still moving around quickly on the painting.</t>
  </si>
  <si>
    <t>The person finishes the painting and signs their name and shows a picture of themselves.</t>
  </si>
  <si>
    <t>v_rWVpotNVeyM</t>
  </si>
  <si>
    <t>A black screen appears with with white words reading, Winter Sedona,AZ.</t>
  </si>
  <si>
    <t>A man begins walking through a field of trees and shrubs,wearing a yellow hat,cardigan,boots,and a bag.</t>
  </si>
  <si>
    <t>He then stops and begins playing a wooden recorder.</t>
  </si>
  <si>
    <t>The camera zooms in and he continues playing the recorder and various forms of the surrounding landscape is shown.</t>
  </si>
  <si>
    <t>v_7IfBJgi3WCE</t>
  </si>
  <si>
    <t>The camera moves in on two cars parked on the street facing one another.</t>
  </si>
  <si>
    <t>A young man is then seen riding a tractor along the lawn to cut the grass and moves all around the camera man.</t>
  </si>
  <si>
    <t>v_ikHGZpkhfNc</t>
  </si>
  <si>
    <t>Five people carrying skateboards are walking towards the light.</t>
  </si>
  <si>
    <t>The young people are skateboarding in a subdivision while sitting down using their hands as a break.</t>
  </si>
  <si>
    <t>The young people skateboard in a ramp, then to the parking lot, then to the subdivision, one of the skateboarders fell off their skateboards.</t>
  </si>
  <si>
    <t>v_JO_CW4PR3I8</t>
  </si>
  <si>
    <t>A man is holding a wooden case.</t>
  </si>
  <si>
    <t>He puts a towel through the case.</t>
  </si>
  <si>
    <t>He begins to shine his shoe with the towel.</t>
  </si>
  <si>
    <t>v_Y3j1uDKRpPU</t>
  </si>
  <si>
    <t>A man is seen wearing a suit and walk away.</t>
  </si>
  <si>
    <t>The man walks up to a large chair and sits down.</t>
  </si>
  <si>
    <t>Another man is seen standing in front of the chair and begins looking down at the man's feet.</t>
  </si>
  <si>
    <t>v_cxFt88Cs-fs</t>
  </si>
  <si>
    <t>Two men are outside on the side of a bridge talking to each other as several people are walking by talking to them and shaking their hands.</t>
  </si>
  <si>
    <t>After,the man that is in the harness grabs on to the shoulders of two men as they help him stand up on top of the bridge.</t>
  </si>
  <si>
    <t>Finally,the man does a free fall off of the bridge and a orange ball is thrown to him.</t>
  </si>
  <si>
    <t>v_rBnygEUFOvE</t>
  </si>
  <si>
    <t>A gymnast wearing red leotards is performing gymnastics on uneven bars in a large stadium with a several spectators.</t>
  </si>
  <si>
    <t>She is doing front flips and back flips with swift motion without falling down.</t>
  </si>
  <si>
    <t>After she's done, she gets off the uneven bars and walks off as she gives a high five to her coach.</t>
  </si>
  <si>
    <t>v_5jaIcPomOuM</t>
  </si>
  <si>
    <t>Two women are seen speaking to the camera with one holding a cat in her lap.</t>
  </si>
  <si>
    <t>The woman then proceeds to hold the cat's claws and cut the nails while pointing to the cat and looking to the camera.</t>
  </si>
  <si>
    <t>v_eOsASILOUZM</t>
  </si>
  <si>
    <t>A woman stands on a diving board.</t>
  </si>
  <si>
    <t>She jumps off of the diving board.</t>
  </si>
  <si>
    <t>She dives into the pool of water.</t>
  </si>
  <si>
    <t>She swims under the water.</t>
  </si>
  <si>
    <t>v_oZjx7F1doGs</t>
  </si>
  <si>
    <t>Two men exhibit and demonstrate the use of an automated tennis ball server on a tennis ball court.</t>
  </si>
  <si>
    <t>An animation graphic appears exhibiting two gold cylinders inside of a metal bracket.</t>
  </si>
  <si>
    <t>The animated graphic morphs into a real and actual version of the graphic, appearing on a outdoor tennis court and flanked by two men.</t>
  </si>
  <si>
    <t>The two men standing next to the machinery place tennis balls into the machine, which in turn spits out the balls acting as an automated tennis ball server for a player who is standing on the other side of the tennis court with a tennis racket.</t>
  </si>
  <si>
    <t>v_HqpflYNEI7o</t>
  </si>
  <si>
    <t>A pumpkin is sitting on a counter.</t>
  </si>
  <si>
    <t>A knife is carving a face into the pumpkin.</t>
  </si>
  <si>
    <t>The lights are turned off and the pumpkin is lit up.</t>
  </si>
  <si>
    <t>v_7-5sFmNf4i4</t>
  </si>
  <si>
    <t>There are band members talking about their concert in Canada.</t>
  </si>
  <si>
    <t>They are seated on a stage as they talk about their experience about surprising a fan.</t>
  </si>
  <si>
    <t>They surprise a fan who is the winner of a contest.</t>
  </si>
  <si>
    <t>The band members go bowling with the surprised fan and play at the bowling alley.</t>
  </si>
  <si>
    <t>After the bowling game is over, they further surprise the fan by inviting her to their concert ans sound check party.</t>
  </si>
  <si>
    <t>v_f5Ja983oTMw</t>
  </si>
  <si>
    <t>A man mounts a pommel horse and starts spinning.</t>
  </si>
  <si>
    <t>A gymnast in the background falls mid performance.</t>
  </si>
  <si>
    <t>The main performer dismounts and throws his arms in the air.</t>
  </si>
  <si>
    <t>The main performer walks away.</t>
  </si>
  <si>
    <t>v_ljxNDSS_AcA</t>
  </si>
  <si>
    <t>A man is standing in a room talking.</t>
  </si>
  <si>
    <t>Another man is painting the walls of the room.</t>
  </si>
  <si>
    <t>The man sets his paint can and his towel down next to him.</t>
  </si>
  <si>
    <t>v_hLyHeVmMDGU</t>
  </si>
  <si>
    <t>A tether rope rises up on a bar.</t>
  </si>
  <si>
    <t>Athletes prepare for an event getting poles ready and chalking hands.</t>
  </si>
  <si>
    <t>Athletes pole vault over a high bar in a competition.</t>
  </si>
  <si>
    <t>Athletes and fans meet after the event talking and signing autographs.</t>
  </si>
  <si>
    <t>A graphic is seen of event sponsors and website on the screen with black backround.</t>
  </si>
  <si>
    <t>v_KFIxTdJtXAE</t>
  </si>
  <si>
    <t>One group of adults are in a raft, paddling through the water with big waves.</t>
  </si>
  <si>
    <t>The group hit each other's paddle like a high five and then continue to paddle through the river.</t>
  </si>
  <si>
    <t>Other group of people are riding the rafts and stopped at the side of the river.</t>
  </si>
  <si>
    <t>v_QJKFphS_3UQ</t>
  </si>
  <si>
    <t>A woman is seen speaking to the camera holding an instrument and leads into her playing the flute.</t>
  </si>
  <si>
    <t>The camera continues to zoom in on her playing the instrument while she intervenes by speaking to the camera.</t>
  </si>
  <si>
    <t>v_5BuDj1xkpiI</t>
  </si>
  <si>
    <t>We see a bottle of face wash.</t>
  </si>
  <si>
    <t>We see a person holding face wash then putting it on their face.</t>
  </si>
  <si>
    <t>They rinse the face and add the face wash with a brush.</t>
  </si>
  <si>
    <t>We see an illustration on how to add the wash using a brush.</t>
  </si>
  <si>
    <t>v_lu7viu9nf6g</t>
  </si>
  <si>
    <t>Various clips of a large group of people are seen standing together leading into clips of people shooting bows and arrows.</t>
  </si>
  <si>
    <t>More clips are shown of people speaking to the camera are shown as well as people celebrating and shooting more bows and dancing.</t>
  </si>
  <si>
    <t>v_aKLKf4Qd_4U</t>
  </si>
  <si>
    <t>A close up of a house is seen when a person walks into frame.</t>
  </si>
  <si>
    <t>The person is seen grabbing lawn mower and pulling it to the side.</t>
  </si>
  <si>
    <t>The person then pushes the lawn mower all around the house.</t>
  </si>
  <si>
    <t>v_FSU0YVLCoSc</t>
  </si>
  <si>
    <t>A person's hands are seen close up on a tool and begins moving the handle around and taking the tool apart.</t>
  </si>
  <si>
    <t>The person unscrews some items and tightens the inside and moves the screwdriver around while holding the tool.</t>
  </si>
  <si>
    <t>v_ot7hBY4lQ2c</t>
  </si>
  <si>
    <t>A group of men have gathered indoors.</t>
  </si>
  <si>
    <t>Two of them crouch in the center.</t>
  </si>
  <si>
    <t>They flip to the center of the circle, doing ornate kickboxing stunts.</t>
  </si>
  <si>
    <t>Several more clips of other fighters are shown, flipping, rolling, and kicking.</t>
  </si>
  <si>
    <t>The two men hug at the end.</t>
  </si>
  <si>
    <t>v_mHe2twk5BDE</t>
  </si>
  <si>
    <t>Various still shot pictures of different men, different ages, different races and different sizes appear with white text names appearing over each of their faces.</t>
  </si>
  <si>
    <t>A blue screen then appears and white text words appear and say "WAIT!! SO WHAT IS WATER POLO??".</t>
  </si>
  <si>
    <t>Various clips of many men playing water polo in a pool start to play and it shows them splashing in the water, fighting for the ball, swimming, and trying to make a goal at the net that's at the end of a pool.</t>
  </si>
  <si>
    <t>Another blue screen appears and it has white text that say's "OK then so heres us in action" and numerous still shot pictures display of people playing water polo in the pool, or just hanging out are displayed.</t>
  </si>
  <si>
    <t>When the pictures are done a blue screen appears with a lot of white words on it that basically say that if you're interested in what you just saw, you just need to contact one of them.</t>
  </si>
  <si>
    <t>v_rYXmAD8u7N8</t>
  </si>
  <si>
    <t>Several people are talking into microphones on the stage.</t>
  </si>
  <si>
    <t>One of the men starts playing a violin.</t>
  </si>
  <si>
    <t>He gives the violin to another man who plays it.</t>
  </si>
  <si>
    <t>The audience starts clapping for them.</t>
  </si>
  <si>
    <t>v_Xj--zKhm6k4</t>
  </si>
  <si>
    <t>A large man is dancing inside a dark room.</t>
  </si>
  <si>
    <t>People behind him laugh and clap.</t>
  </si>
  <si>
    <t>He is throwing darts at a target in the distance.</t>
  </si>
  <si>
    <t>v_xi4puZ1ulP4</t>
  </si>
  <si>
    <t>A woman is seen with seen wearing a tanktop with introduction text.</t>
  </si>
  <si>
    <t>The woman have hair tied back and applies eye make up to eyes using various brushes and colors.</t>
  </si>
  <si>
    <t>The woman begins to puts eye liner on with a fine pencil.</t>
  </si>
  <si>
    <t>The women takes cloth ties out of here hair and lets her hair down which is now curled.</t>
  </si>
  <si>
    <t>The woman uses a comb and hairspray to straighten parts of here hair then ties it back.</t>
  </si>
  <si>
    <t>Messages of tex are shown on the end of the video.</t>
  </si>
  <si>
    <t>v_U8m-9nmAfGU</t>
  </si>
  <si>
    <t>A person fixes a strap on a guy.</t>
  </si>
  <si>
    <t>The guy moves closer to the edge.</t>
  </si>
  <si>
    <t>Two men places hooks on the guy.</t>
  </si>
  <si>
    <t>A man release a rope.</t>
  </si>
  <si>
    <t>The guy jumps of the edge or bungee jumps.</t>
  </si>
  <si>
    <t>v_gS4dNLjHouo</t>
  </si>
  <si>
    <t>A marching band parades down the street, playing drums and other instruments.</t>
  </si>
  <si>
    <t>People on both sides of the street watch the band perform.</t>
  </si>
  <si>
    <t>v_Pl4zAGveukQ</t>
  </si>
  <si>
    <t>A woman with long hair speaks to the camera.</t>
  </si>
  <si>
    <t>She holds up a long brush.</t>
  </si>
  <si>
    <t>She demonstrates how to use the brush to scrape snow off a car.</t>
  </si>
  <si>
    <t>When she is done, she continues talking about the brush.</t>
  </si>
  <si>
    <t>v__EKqIcXdW04</t>
  </si>
  <si>
    <t>A lady knees, while a guy walks and instructs.</t>
  </si>
  <si>
    <t>The lady places both hands behind her head.</t>
  </si>
  <si>
    <t>v_gDhfInESf_E</t>
  </si>
  <si>
    <t>A lady is brushing her hair.</t>
  </si>
  <si>
    <t>The lady brushes her hair from underneath.</t>
  </si>
  <si>
    <t>115 The lady runs her hand through her hair.</t>
  </si>
  <si>
    <t>The lady finishes and sits upright.</t>
  </si>
  <si>
    <t>v_7Lkcan0X5VA</t>
  </si>
  <si>
    <t>A person's hands are shown playing piano.</t>
  </si>
  <si>
    <t>A close up of a trumpet shows a man playing.</t>
  </si>
  <si>
    <t>The video fades to the people playing on stage.</t>
  </si>
  <si>
    <t>The camera zooms in on the trumpet player.</t>
  </si>
  <si>
    <t>A girl is shown playing piano.</t>
  </si>
  <si>
    <t>The duo continue playing until the song ends.</t>
  </si>
  <si>
    <t>v_rI-Iq496Sgk</t>
  </si>
  <si>
    <t>A man has climbed a large ladder outside.</t>
  </si>
  <si>
    <t>He is using trimmers to cut and trim large trees.</t>
  </si>
  <si>
    <t>He reaches up, cutting the branches and twigs.</t>
  </si>
  <si>
    <t>v_HdgVytIzu4s</t>
  </si>
  <si>
    <t>A man is seen holding a tennis racket and begins hitting a ball around a room.</t>
  </si>
  <si>
    <t>Another man is in frame also holding a tennis racket and hitting a ball around.</t>
  </si>
  <si>
    <t>The men continue to play with one another around the room while the camera follows their movements.</t>
  </si>
  <si>
    <t>v_RNqJj9tt3F0</t>
  </si>
  <si>
    <t>Several NHL players are playing a hockey game in a hockey stadium.</t>
  </si>
  <si>
    <t>One of the player is shown expressing his anger at the game.</t>
  </si>
  <si>
    <t>A news caster comes onto the screen to announce a a segment about hockey meltdowns.</t>
  </si>
  <si>
    <t>The top ten hockey melt downs are then shown.</t>
  </si>
  <si>
    <t>v_Ka0Rtjfi9fI</t>
  </si>
  <si>
    <t>A man trims a large hedge with a pole trimmer.</t>
  </si>
  <si>
    <t>There are several close ups of the tool in action.</t>
  </si>
  <si>
    <t>Several extensions are shown for it.</t>
  </si>
  <si>
    <t>The man trims a tree with it.</t>
  </si>
  <si>
    <t>v_VFOpGMVouVg</t>
  </si>
  <si>
    <t>A woman is seen speaking to the camera and leads into her playing with her hair and pining it up.</t>
  </si>
  <si>
    <t>She ten begins braiding her hair in various places while speaking to the camera.</t>
  </si>
  <si>
    <t>She ties her hair back around her head and ends by speaking to the camera.</t>
  </si>
  <si>
    <t>v_eQMT-WmxKM8</t>
  </si>
  <si>
    <t>a girl is holding a baton her hand.</t>
  </si>
  <si>
    <t>She tosses it to a boy beside her.</t>
  </si>
  <si>
    <t>They take turns throwing it into the air and catching it.</t>
  </si>
  <si>
    <t>v_a42c_maArv4</t>
  </si>
  <si>
    <t>The camera shakes on an image of an indoor volleyball court.</t>
  </si>
  <si>
    <t>A woman races back from the net to hit the incoming volleyball.</t>
  </si>
  <si>
    <t>A fellow team member also hits the ball and sends it across the net.</t>
  </si>
  <si>
    <t>v_e60HGAzBOvo</t>
  </si>
  <si>
    <t>The man is wearing an apron as he walks into the works space and the words "Conti Ski-Boots Service Presents Race Operation" is overlayed onto the screen as he grabs a ski pole and picks up a drill and uses it on the top of the ski.</t>
  </si>
  <si>
    <t>The man then grabs the ski and puts it into the green machinery that is located behind him and runs it through the machine a few times then removes it and stars to work on the backside of the ski which appears to look like he is sanding, taping and pouring some type of clear finish onto it.</t>
  </si>
  <si>
    <t>The man then runs a device over the sky that looks like an iron, and continues to sand it, clear it off, scrape it, and use the ironing device again.</t>
  </si>
  <si>
    <t>The man then removes the tape and turns the ski onto it's side to scrape at it.</t>
  </si>
  <si>
    <t>When he's finished he grabs the ski and puts it into a compartment that is located above the green machine.</t>
  </si>
  <si>
    <t>v_0rDb-zfhH0E</t>
  </si>
  <si>
    <t>A boy and girl in a karate uniform are playing in front of a camera.</t>
  </si>
  <si>
    <t>They talk about how they earned their karate uniforms and what they like about karate.</t>
  </si>
  <si>
    <t>The girl talks about her brother and more about karate.</t>
  </si>
  <si>
    <t>The girl plays effects on her brother.</t>
  </si>
  <si>
    <t>The girl does various karate moves for the camera.</t>
  </si>
  <si>
    <t>Then the brother does several different karate moves for the camera.</t>
  </si>
  <si>
    <t>v_MzYA5oo-mzk</t>
  </si>
  <si>
    <t>A man is in a screened area standing on a concrete circle and swings a ball on a rope around two times above his head.</t>
  </si>
  <si>
    <t>The man then quickly starts spinning himself along with swinging the ball on the rope.</t>
  </si>
  <si>
    <t>After numerous and quick swings and spins the man lets the rope go and the ball goes flying.</t>
  </si>
  <si>
    <t>v_DsqNpc9JChY</t>
  </si>
  <si>
    <t>A person wash the dishes using a brush in a sink.</t>
  </si>
  <si>
    <t>Then, the person wash the utensils while cleaning with the brush.</t>
  </si>
  <si>
    <t>After, the person pours dishwasher in a glass and a cup, then brush and rinse.</t>
  </si>
  <si>
    <t>v_BshSmo_rRII</t>
  </si>
  <si>
    <t>A man watch through a window two bears copulate while brushing a shoe.</t>
  </si>
  <si>
    <t>A girl enters the room and see the bears, then she leaves the room.</t>
  </si>
  <si>
    <t>v_g-KEU43sCt4</t>
  </si>
  <si>
    <t>Children perform martial arts moves in a dojo as adults watch.</t>
  </si>
  <si>
    <t>A girl flips and takes her turn then flips out of the center.</t>
  </si>
  <si>
    <t>A teen does a flip to the other side of the room.</t>
  </si>
  <si>
    <t>One of the teachers moves to the middle of the floor.</t>
  </si>
  <si>
    <t>The teen talks to another one of the children and send the boy in when it's his turn.</t>
  </si>
  <si>
    <t>the teen attempts to have a scared boy take a turn but the boy refuses.</t>
  </si>
  <si>
    <t>The children all run to the floor.</t>
  </si>
  <si>
    <t>v_2SnFlGUHKnc</t>
  </si>
  <si>
    <t>A woman is dancing in the middle of the street with a baton.</t>
  </si>
  <si>
    <t>She twirls and throws the baton while a small crowd watches.</t>
  </si>
  <si>
    <t>She continues down the road, performing with the baton.</t>
  </si>
  <si>
    <t>v_KRfdZgxLZPY</t>
  </si>
  <si>
    <t>In the snow, various young men perform snowboard tricks before the camera.</t>
  </si>
  <si>
    <t>A man in a blue sweatshirt jumps down a staircase.</t>
  </si>
  <si>
    <t>A young man in a black outfit performs a double trick by grinding down one railing and jumping down a staircase.</t>
  </si>
  <si>
    <t>A man in a purple sweatshirt grinds down a staircase railing.</t>
  </si>
  <si>
    <t>A man in a purple and black striped sweatshirt jumps down a staircase.</t>
  </si>
  <si>
    <t>The man in the blue sweatshirt grinds down a railing and lands stylishly on the floor.</t>
  </si>
  <si>
    <t>v_lxNV7FI-LQQ</t>
  </si>
  <si>
    <t>A shot of a sunset leads into a large group of people riding camels along the beach.</t>
  </si>
  <si>
    <t>Many people are seen riding the camels one after another on the sand.</t>
  </si>
  <si>
    <t>The video continues on showing more people riding the camels and others leading in the front.</t>
  </si>
  <si>
    <t>v_zCijq4G1B3Q</t>
  </si>
  <si>
    <t>A man is painting the wood with brush, the wood is being shown.</t>
  </si>
  <si>
    <t>The man is painting the fence with brown paint, then painting the table.</t>
  </si>
  <si>
    <t>The man mixed the paint and then began painting the wooden table, then he clean up the floor and brush it.</t>
  </si>
  <si>
    <t>v_4XX5rcqpOXA</t>
  </si>
  <si>
    <t>A person is seen sitting at a table followed by two people dancing with one another and others sitting around watch.</t>
  </si>
  <si>
    <t>The people continue dancing around one another and end by stopping and having other two dancing beside them.</t>
  </si>
  <si>
    <t>v_J80e9M4AQ5w</t>
  </si>
  <si>
    <t>We see an opening screen with a black background.</t>
  </si>
  <si>
    <t>We see a lot of people moving snow with shovel, brooms, pots, and bowls.</t>
  </si>
  <si>
    <t>A man is shoveling with a dist pan followed by ladies with a hoe and plate.</t>
  </si>
  <si>
    <t>A man throws snow on a lady.</t>
  </si>
  <si>
    <t>A man throws snow on people.</t>
  </si>
  <si>
    <t>A person is stuck in the snow is buried by others.</t>
  </si>
  <si>
    <t>A lady talks to the camera and it goes black and white.</t>
  </si>
  <si>
    <t>People are mainge snow angels.</t>
  </si>
  <si>
    <t>We see the closing credits of the video.</t>
  </si>
  <si>
    <t>v___dXUJsj3yo</t>
  </si>
  <si>
    <t>A middle age woman is shown squatting down picking up snow and dumping it in pile.</t>
  </si>
  <si>
    <t>She then walks towards the camera and sticks her tongue out.</t>
  </si>
  <si>
    <t>v_UIrn2ziRgEM</t>
  </si>
  <si>
    <t>a woman lights a cigarette in front of the camera.</t>
  </si>
  <si>
    <t>She takes a big pull off the cigarette.</t>
  </si>
  <si>
    <t>She blows smoke at the camera and smiles.</t>
  </si>
  <si>
    <t>She takes another pull of the cigarette and blows smoke out.</t>
  </si>
  <si>
    <t>She plays with her hair.</t>
  </si>
  <si>
    <t>Then she continues to smoke the cigarette while looking around.</t>
  </si>
  <si>
    <t>v_oGwn4NUeoy8</t>
  </si>
  <si>
    <t>A small group of people are seen on a stage getting their instruments ready.</t>
  </si>
  <si>
    <t>A woman begins playing the drums while another plays piano and the others watch.</t>
  </si>
  <si>
    <t>The two continue to play their instruments and others on the side watch.</t>
  </si>
  <si>
    <t>v_dukaFaotZGc</t>
  </si>
  <si>
    <t>Two men quickly dismantle a red chimney.</t>
  </si>
  <si>
    <t>One man puts wood over the gaping hole.</t>
  </si>
  <si>
    <t>The man then covers the wood with shingles.</t>
  </si>
  <si>
    <t>v_nIpT_lGpjck</t>
  </si>
  <si>
    <t>We see a person chopping a fruit.</t>
  </si>
  <si>
    <t>The person then cuts off the chopped portion.</t>
  </si>
  <si>
    <t>The person chops the fruit again and cuts off the chopped bit.</t>
  </si>
  <si>
    <t>The person picks up a slice from the bowl and cuts it.</t>
  </si>
  <si>
    <t>We then see the person chop and cut more.</t>
  </si>
  <si>
    <t>The person picks up bits off their pants.</t>
  </si>
  <si>
    <t>v_P17kaxPrbdc</t>
  </si>
  <si>
    <t>A boy is seen holding a stick while other people watch and clap on the sidelines.</t>
  </si>
  <si>
    <t>The boy holding the stick performs a martial arts routine in front of the people and ends with a pose while everyone around him claps.</t>
  </si>
  <si>
    <t>v_S2VKbwm0uE8</t>
  </si>
  <si>
    <t>A man is seen giving the camera a piece sign while others around him talk and gear up.</t>
  </si>
  <si>
    <t>One man is then seen stepping up on a platform and jumping off the side.</t>
  </si>
  <si>
    <t>v_QF7wNOCJpMU</t>
  </si>
  <si>
    <t>A man competes in a canoe in a river moving the oar very fast.</t>
  </si>
  <si>
    <t>Then, the man pass turbulent waters.</t>
  </si>
  <si>
    <t>v_SXlSHYVNcvM</t>
  </si>
  <si>
    <t>The word ehow appears on the screen.</t>
  </si>
  <si>
    <t>We see a woman dressed in red standing in a room of a house.</t>
  </si>
  <si>
    <t>She is talking about a table in front of her.</t>
  </si>
  <si>
    <t>She picks up some furniture polish, and applies it to the wood, polishing it with a sock she has put over her hand.</t>
  </si>
  <si>
    <t>v_lwo7fssfLiw</t>
  </si>
  <si>
    <t>A woman is seen speaking to the camera while holding onto a piece of exercise equipment with her arms.</t>
  </si>
  <si>
    <t>She moves the machine back and fourth while still laughing and smiling to the camera.</t>
  </si>
  <si>
    <t>v_HEfOp_pz_j4</t>
  </si>
  <si>
    <t>In a dark crystal ball, an alien looking thing is looking at the characters inside.</t>
  </si>
  <si>
    <t>Three men are playing paper, scissor, stick and stone while creatures with different colors are watching them with shock.</t>
  </si>
  <si>
    <t>One character won by using scissor, he then talked to the people around him.</t>
  </si>
  <si>
    <t>v_8JKK6JayDeA</t>
  </si>
  <si>
    <t>A woman bends down and lifts a heavy weight over her head.</t>
  </si>
  <si>
    <t>People are sitting behind them on benches.</t>
  </si>
  <si>
    <t>Several more people keep lifting the weights.</t>
  </si>
  <si>
    <t>v_vRf9sof3dwU</t>
  </si>
  <si>
    <t>A woman is seen speaking to the camera in an aggressive manner and leads into her holding up a hula hoop.</t>
  </si>
  <si>
    <t>The woman attempts to hula hoop several times and succeeds by using it on her neck and bending down to the camera.</t>
  </si>
  <si>
    <t>v_R2izNBHhctM</t>
  </si>
  <si>
    <t>A woman in pink dress is clipping the right paw of a white cat who is sitting on her lap.</t>
  </si>
  <si>
    <t>She took the left paw to clip, the cat looked up and the woman looked down and gave her a quick kiss on the head.</t>
  </si>
  <si>
    <t>The cat looked up while the woman is clipping the right back paw of the cat.</t>
  </si>
  <si>
    <t>While the woman is clipping the left back paw, the cat was blinking to the camera.</t>
  </si>
  <si>
    <t>v_GN0TdqHETvc</t>
  </si>
  <si>
    <t>Two men are seen standing in a room and speaking to the camera while holding rackets.</t>
  </si>
  <si>
    <t>The two then continuously hit the ball around the closed area back and fourth and point to the camera with a racket and run around.</t>
  </si>
  <si>
    <t>v_l866oFamRY4</t>
  </si>
  <si>
    <t>A group of numerous people are walking down a public street.</t>
  </si>
  <si>
    <t>One couple is walking a pit bull on a leash.</t>
  </si>
  <si>
    <t>We see smoke billowing from a building as the people walk away.</t>
  </si>
  <si>
    <t>v_OVf4tUiUqA0</t>
  </si>
  <si>
    <t>Two workers are shown at a shop outdoors.</t>
  </si>
  <si>
    <t>They are washing down cars with soap, including the Maserati's tires.</t>
  </si>
  <si>
    <t>They then rinse the cars and wipe them clean.</t>
  </si>
  <si>
    <t>The final product is shown as a clean, shiny italian car.</t>
  </si>
  <si>
    <t>v_G02h5bFOpCE</t>
  </si>
  <si>
    <t>A man is holding a surf board.</t>
  </si>
  <si>
    <t>Birds fly into the sky above the water.</t>
  </si>
  <si>
    <t>He surfs the waves in the water.</t>
  </si>
  <si>
    <t>He is in the car talking.</t>
  </si>
  <si>
    <t>He surfs in the water some more.</t>
  </si>
  <si>
    <t>The birds are flying over the water again.</t>
  </si>
  <si>
    <t>v_JjUQ6dWZIL0</t>
  </si>
  <si>
    <t>A large flag is flowing in the wind.</t>
  </si>
  <si>
    <t>A man is on a street, hitting a stick with another stick.</t>
  </si>
  <si>
    <t>Two men engage in martial arts kick boxing, kicking and swinging and flipping.</t>
  </si>
  <si>
    <t>v_Xfu6WQuFEks</t>
  </si>
  <si>
    <t>A man is chopping wood in a snowy yard.</t>
  </si>
  <si>
    <t>There is a pile of snow behind him.</t>
  </si>
  <si>
    <t>The log split in two with one strike.</t>
  </si>
  <si>
    <t>v_cqgecSy943o</t>
  </si>
  <si>
    <t>A man bends over to talk to the camera.</t>
  </si>
  <si>
    <t>The man then skateboards on a ramp.</t>
  </si>
  <si>
    <t>He tries to run up the ramp without a skateboard.</t>
  </si>
  <si>
    <t>A child slides down the ramp on her butt.</t>
  </si>
  <si>
    <t>The man's skateboard gets away from him.</t>
  </si>
  <si>
    <t>The man chases his skareboard.</t>
  </si>
  <si>
    <t>The man talks to the camera.</t>
  </si>
  <si>
    <t>v_1WR4jgFCqRw</t>
  </si>
  <si>
    <t>An older gentleman in a blue shirt is painting a wooden fence.</t>
  </si>
  <si>
    <t>He picks up the paint bucket and walks up the sidewalk.</t>
  </si>
  <si>
    <t>v_6tzQ5-VBgVU</t>
  </si>
  <si>
    <t>A man is seen riding around on roller blades in a park and performs a grind while the camera slows down.</t>
  </si>
  <si>
    <t>Several more roller bladers are shown grinding around a park in various locations as well as showing several more tricks.</t>
  </si>
  <si>
    <t>The camera man holds the camera close to his face and zooms in on a man sitting and smoking.</t>
  </si>
  <si>
    <t>v_a2Y7AK4VD0o</t>
  </si>
  <si>
    <t>A girl plays a wind box instrument inside of a house.</t>
  </si>
  <si>
    <t>The woman laughs then resumes playing the song on the instrument.</t>
  </si>
  <si>
    <t>v_sNeT1WZ9UwA</t>
  </si>
  <si>
    <t>A small group of people are seen sitting on horses and leads into them riding down along a dirt path.</t>
  </si>
  <si>
    <t>The camera follows the people riding along on the horses and leads to them back at the stables.</t>
  </si>
  <si>
    <t>v_FDTkn9SFPfs</t>
  </si>
  <si>
    <t>A person holding a cat straightens the cat's paw.</t>
  </si>
  <si>
    <t>The person cuts the cat's claws with a scissor shape clipper.</t>
  </si>
  <si>
    <t>The cat attacks the the cutter.</t>
  </si>
  <si>
    <t>v_Cw5NDI8NnZU</t>
  </si>
  <si>
    <t>People are surfing on a large wave in the water.</t>
  </si>
  <si>
    <t>A boat is in the water.</t>
  </si>
  <si>
    <t>A large wave crashes in the water.</t>
  </si>
  <si>
    <t>v_s0Pw7vKtqpo</t>
  </si>
  <si>
    <t>Two people are shown and then several boats are advertised.</t>
  </si>
  <si>
    <t>After,the two people in the water surfing over large huge waves together.</t>
  </si>
  <si>
    <t>Next,people on the boat comes into the water as well as on jet skis as a man stands on top of a large cliff over the water.</t>
  </si>
  <si>
    <t>v_b1RAYvxWawA</t>
  </si>
  <si>
    <t>A camera pans all around a lake showing the trees and mountains as well as the canoe sitting in front of him.</t>
  </si>
  <si>
    <t>Another boy is seen riding along the water in a canoe as well as several others paddling by.</t>
  </si>
  <si>
    <t>More shots are shown of people riding in their canoes and capturing the scenery around them.</t>
  </si>
  <si>
    <t>v_Sma-ydx49eQ</t>
  </si>
  <si>
    <t>A man starts jump roping on a stage.</t>
  </si>
  <si>
    <t>People are in the audience watching him.</t>
  </si>
  <si>
    <t>Two men stand behind cameras filming him.</t>
  </si>
  <si>
    <t>v_snPtOKtIEA4</t>
  </si>
  <si>
    <t>A team of basketball players are shown on the right side of the court doing lay-ups.</t>
  </si>
  <si>
    <t>After several turns,they move to the left side of the court and begin practicing the lay ups once more.</t>
  </si>
  <si>
    <t>As they are going,a chair sits in front of them to serve as the marker and a man walks back and forth watching them go.</t>
  </si>
  <si>
    <t>v_Zhf052cWrv8</t>
  </si>
  <si>
    <t>A man is standing and walking in the gym.</t>
  </si>
  <si>
    <t>The man sat on the rowing machine and put his feet on the pedal.</t>
  </si>
  <si>
    <t>The man began to pull the belt.</t>
  </si>
  <si>
    <t>v_6SHSstpZN1I</t>
  </si>
  <si>
    <t>We see kids on dirt bikes on a dirt field with adults standing over them.</t>
  </si>
  <si>
    <t>The kids take off and start down the dirk track.</t>
  </si>
  <si>
    <t>The kids have a hard time turning to come up the dirt track.</t>
  </si>
  <si>
    <t>One of the boys has fallen and dropped his bike.</t>
  </si>
  <si>
    <t>We see the kids high fiveing men and women on the sidelines.</t>
  </si>
  <si>
    <t>v_i5kuZ8zlhMg</t>
  </si>
  <si>
    <t>The video is about girls varsity water polo.</t>
  </si>
  <si>
    <t>There are several girls getting ready to go to a water polo sport event.</t>
  </si>
  <si>
    <t>They are holding their backpacks and gear.</t>
  </si>
  <si>
    <t>They are traveling to the event together and check into a hotel.</t>
  </si>
  <si>
    <t>The entire team spends time together before the event.</t>
  </si>
  <si>
    <t>Two of the team members talk about their experience with the water polo event.</t>
  </si>
  <si>
    <t>The team members talk about the competition and how they fared in the sport.</t>
  </si>
  <si>
    <t>The screen shows all the final wins and loses in the girls varsity water polo.</t>
  </si>
  <si>
    <t>v_apPeChgjzs4</t>
  </si>
  <si>
    <t>A shirtless man is playing bongo drums in front of a microphone.</t>
  </si>
  <si>
    <t>There are other sets of drums to his left.</t>
  </si>
  <si>
    <t>To his right is a green bag and a hat situated on a table.</t>
  </si>
  <si>
    <t>v_0WJX2A6PSnA</t>
  </si>
  <si>
    <t>Cleaning supplies (and the list of names appear on the screen) are on an island in a kitchen.</t>
  </si>
  <si>
    <t>A woman walks in, grabs the supplies, starts spraying the sink and begins scrubbing with a sponge.</t>
  </si>
  <si>
    <t>The woman then starts rinsing the sink with the hand held sprayer until it's all clean.</t>
  </si>
  <si>
    <t>The cleaning spray is on the edge of the counter and text on the screen below it read "For tough stains repeat as necessary.</t>
  </si>
  <si>
    <t>v_g2GZd1160m4</t>
  </si>
  <si>
    <t>Two young boys perform martial arts dances.</t>
  </si>
  <si>
    <t>A group of boys around them watches on.</t>
  </si>
  <si>
    <t>Behind the performs sits a group of men playing music for the performance.</t>
  </si>
  <si>
    <t>The performers return to their seats.</t>
  </si>
  <si>
    <t>v_dB4SbhaQQV8</t>
  </si>
  <si>
    <t>A bunch of kids are standing on a soccer field and a girl is talking.</t>
  </si>
  <si>
    <t>The girl is ready to kick a red ball rolled on the ground.</t>
  </si>
  <si>
    <t>The young woman wearing blue shorts and a t-shirt runs and kicks the ball.</t>
  </si>
  <si>
    <t>The young girl slides into the first water slide.</t>
  </si>
  <si>
    <t>The girl then gets up and then slides into the second water slide.</t>
  </si>
  <si>
    <t>v_6diEN8nUqsI</t>
  </si>
  <si>
    <t>A man catch a fish from a hole in the ice.</t>
  </si>
  <si>
    <t>Then, the man holds the fish that moves on the ice.</t>
  </si>
  <si>
    <t>After, the man put a metal rod on the mouth of the fish.</t>
  </si>
  <si>
    <t>v_5SzzJMuyC_M</t>
  </si>
  <si>
    <t>A person is seen throwing plaster onto a wall while the camera follows the person close behind.</t>
  </si>
  <si>
    <t>The person gradually throws more and more onto the wall and the camera pans over the finished product.</t>
  </si>
  <si>
    <t>v_2pJTak2Qz8Q</t>
  </si>
  <si>
    <t>Lots of people are seen walking by in the beginning of the video.</t>
  </si>
  <si>
    <t>Then different people are shown skiing up ramps to do cool tricks.</t>
  </si>
  <si>
    <t>v_F79Tzy2i7bI</t>
  </si>
  <si>
    <t>A baby eats bread in a high chair.</t>
  </si>
  <si>
    <t>A person puts something in the baby's eyes.</t>
  </si>
  <si>
    <t>A person messes with the baby's hair.</t>
  </si>
  <si>
    <t>v_sYphlW-m1pU</t>
  </si>
  <si>
    <t>A young boy is sitting in front of a desktop as he plays with a Rubik cube.</t>
  </si>
  <si>
    <t>He finishes the cube and sets it on the desk and quickly stops a timer.</t>
  </si>
  <si>
    <t>He grabs the cube again and begins to complete it.</t>
  </si>
  <si>
    <t>He finishes again and starts another game of the cube.</t>
  </si>
  <si>
    <t>v_DYahQgHG1Gk</t>
  </si>
  <si>
    <t>An intro appears on the screen for a video bout a man who will be playing the rums.</t>
  </si>
  <si>
    <t>The man begins to play the drums as the camera records him.</t>
  </si>
  <si>
    <t>He pauses and people are laughing and enjoying the music.</t>
  </si>
  <si>
    <t>He pauses again and waits for a reaction from the crowd.</t>
  </si>
  <si>
    <t>the camera turns to show the people that are enjoying the music.</t>
  </si>
  <si>
    <t>v_bzHSF5GJc8o</t>
  </si>
  <si>
    <t>A group of women are wearing volleyball team uniforms standing in an indoor gym, and a young woman that has a number 10 on her shirt is bouncing the volleyball and getting ready to serve.</t>
  </si>
  <si>
    <t>The woman serves the ball and a game ensues as all the women keep the ball in the area and hit it over the net multiple times trying to keep it in bounds.</t>
  </si>
  <si>
    <t>The same woman that served the ball spikes the ball very hard ,the other team misses it and her team mates cheer.</t>
  </si>
  <si>
    <t>The same woman that served earlier serves the volleyball once again and the other team quickly spikes the ball that sends the opposing team member rolling on the ground in an attempt to save the ball from hitting the ground.</t>
  </si>
  <si>
    <t>v_9A0BwCxAKAg</t>
  </si>
  <si>
    <t>A man is seen talking to the camera and leads into him rubbing down a window.</t>
  </si>
  <si>
    <t>He streaks the window with cleaner and shows several methods on how to use a wiper properly.</t>
  </si>
  <si>
    <t>The window is all clean in the end and he is still seen talking to the camera.</t>
  </si>
  <si>
    <t>v_L6Uf3epn3zA</t>
  </si>
  <si>
    <t>Several canoes are sen laid out that leads into shots of people riding in the canoes.</t>
  </si>
  <si>
    <t>A man is seen speaking to the camera as well as riding in a canoe with another woman.</t>
  </si>
  <si>
    <t>More people are seen riding down the river in canoes while the man continues to speak.</t>
  </si>
  <si>
    <t>v_YYpeT1sH_m0</t>
  </si>
  <si>
    <t>Fit guys stand on a bleach.</t>
  </si>
  <si>
    <t>The guys play beach soccer.</t>
  </si>
  <si>
    <t>A man gives an interview.</t>
  </si>
  <si>
    <t>A player juggles two soccer balls.</t>
  </si>
  <si>
    <t>v_Ox51OBhM5Ak</t>
  </si>
  <si>
    <t>A girl in a yellow shirt is eating an ice cream cone.</t>
  </si>
  <si>
    <t>A boy in a striped shirt is sitting across from her eating an ice cream cone.</t>
  </si>
  <si>
    <t>A man next to him looks back at her.</t>
  </si>
  <si>
    <t>v_rHMMgJBUWh8</t>
  </si>
  <si>
    <t>A guy spins a ball attached to a rope.</t>
  </si>
  <si>
    <t>The guy releases the ball and rope attachment to the area behind him.</t>
  </si>
  <si>
    <t>The guy spins the ball attached to a rope and falls to the ground.</t>
  </si>
  <si>
    <t>v_9A9wnSoXs48</t>
  </si>
  <si>
    <t>A man in white shirt and white lifevest is sitting in a single orange raft.</t>
  </si>
  <si>
    <t>The man in a raft is going against the water waves, he paddles and the raft is turning in circle.</t>
  </si>
  <si>
    <t>v_ZpwXqrCxcGg</t>
  </si>
  <si>
    <t>An empty room is shown with yellow tile.</t>
  </si>
  <si>
    <t>A man in a white shirt is painting a wall.</t>
  </si>
  <si>
    <t>He turns around and looks at the camera.</t>
  </si>
  <si>
    <t>v_-9B2XtqICFw</t>
  </si>
  <si>
    <t>We see a series of title screens.</t>
  </si>
  <si>
    <t>We then see a badminton match.</t>
  </si>
  <si>
    <t>We see a illustration of badminton.</t>
  </si>
  <si>
    <t>We then see a lady and a man playing indoors.</t>
  </si>
  <si>
    <t>We see animations as the man hits the ball.</t>
  </si>
  <si>
    <t>We see a illustration of the man.</t>
  </si>
  <si>
    <t>A man is talking in a green room.</t>
  </si>
  <si>
    <t>v_zGDecqEw9AU</t>
  </si>
  <si>
    <t>Two people are seen playing a fooseball table and cheering with one another.</t>
  </si>
  <si>
    <t>The people continue playing and pausing to cheer ending with a handshake.</t>
  </si>
  <si>
    <t>v_w4CiGbHLTBg</t>
  </si>
  <si>
    <t>A green paint brush holder is shown.</t>
  </si>
  <si>
    <t>The brush of the paint brush is being shown on a person's finger.</t>
  </si>
  <si>
    <t>They are painting with the brush.</t>
  </si>
  <si>
    <t>They are dropping thinner into the paint with a dropper.</t>
  </si>
  <si>
    <t>There is a model airplane sitting on the table.</t>
  </si>
  <si>
    <t>The airplane is being painted a gold color.</t>
  </si>
  <si>
    <t>A green paint brush is being shown and turned around.</t>
  </si>
  <si>
    <t>v_73zt29iKyL4</t>
  </si>
  <si>
    <t>A person is seen walking along the snow and pulling a sled behind him.</t>
  </si>
  <si>
    <t>The person cuts a hole in the ice as well as bait and finally catches a fish.</t>
  </si>
  <si>
    <t>The man cuts the fish, cooks it, and is then seen eating it and walking away.</t>
  </si>
  <si>
    <t>v_y76trNI6U0Y</t>
  </si>
  <si>
    <t>A lady is washing a small dog in a sink.</t>
  </si>
  <si>
    <t>The lady puts shampoo on the dog.</t>
  </si>
  <si>
    <t>The lady picks the dog up again.</t>
  </si>
  <si>
    <t>The lady takes the dog over to a table and stands him up.</t>
  </si>
  <si>
    <t>She drapes the dog over a rolled up towel.</t>
  </si>
  <si>
    <t>She then picks up the dog.</t>
  </si>
  <si>
    <t>v_UJebyFqxDXI</t>
  </si>
  <si>
    <t>A man is seen speaking to the camera holding various objects and transitions into him cutting the edge of a lawn.</t>
  </si>
  <si>
    <t>He is then shown mowing lawns and trimming hedges while speaking to the camera as well as blowing leaves out of a yard.</t>
  </si>
  <si>
    <t>v_9pJZsi04xBk</t>
  </si>
  <si>
    <t>Two teams play a game of indoor field hockey.</t>
  </si>
  <si>
    <t>Teams take shots on a goal keeper that are blocked.</t>
  </si>
  <si>
    <t>The referee starts and stops the game.</t>
  </si>
  <si>
    <t>v_Lr0Vm9zBXKE</t>
  </si>
  <si>
    <t>snowy mountain range is shown and people are doing snowboarding.</t>
  </si>
  <si>
    <t>helicopter is in the air landing in a mountain leaving people in the top of the mountain.</t>
  </si>
  <si>
    <t>people are inside the helicopter talking between them.</t>
  </si>
  <si>
    <t>people start going down the slope snowboarding in the mountain.</t>
  </si>
  <si>
    <t>peolpe inside the helicopter are talking and puting the winter clothes and talking to the camera.</t>
  </si>
  <si>
    <t>v_iKnRiVXMMGg</t>
  </si>
  <si>
    <t>Scenes of women using various methods to curl their hair are shown.</t>
  </si>
  <si>
    <t>A computer graphics sequence shows one particular device's functionality.</t>
  </si>
  <si>
    <t>Several women display their curled hair.</t>
  </si>
  <si>
    <t>The curling product is once again demonstrated by several women.</t>
  </si>
  <si>
    <t>One woman's before and after pictures are shown.</t>
  </si>
  <si>
    <t>v_yGO1YnMQNRI</t>
  </si>
  <si>
    <t>A man in a green shirt throws a disc onto a field.</t>
  </si>
  <si>
    <t>A man in a blue shirt throws a disc onto the field.</t>
  </si>
  <si>
    <t>A man in a purple shirt throws a disc onto the field.</t>
  </si>
  <si>
    <t>v_8DIfyvX7H8Y</t>
  </si>
  <si>
    <t>A man works on a kite.</t>
  </si>
  <si>
    <t>Another man holding a baby holds up the kite's spool.</t>
  </si>
  <si>
    <t>A third man works on a similar kite while the second man holds a spool.</t>
  </si>
  <si>
    <t>The men fly the kites from a rooftop.</t>
  </si>
  <si>
    <t>The scene changes to a nighttime view of the sky with some unidentified light.</t>
  </si>
  <si>
    <t>v_RsHk6sq_9IY</t>
  </si>
  <si>
    <t>An advertising screen appears momentarily as the video begins.</t>
  </si>
  <si>
    <t>A group of men are shown kicking a ball back and forth in a stadium.</t>
  </si>
  <si>
    <t>The men run after the ball, attempting to capture it from the opposing team.</t>
  </si>
  <si>
    <t>A yellow circle is shown around a particular player.</t>
  </si>
  <si>
    <t>v_YJ4ynq5Adg0</t>
  </si>
  <si>
    <t>A group of kids are standing around wearing lifejackets as the camera pans around a lake.</t>
  </si>
  <si>
    <t>A man is seen sitting in a boat and the camera continues panning around the area.</t>
  </si>
  <si>
    <t>The kids wander into the boats and beginning paddling down the river.</t>
  </si>
  <si>
    <t>The water becomes more furious and the kids splash the camera man playfully.</t>
  </si>
  <si>
    <t>The continue riding down the treacherous waves as the camera watches them from afar.</t>
  </si>
  <si>
    <t>v_Te1d8H4VWYw</t>
  </si>
  <si>
    <t>A small group of people are seen swimming around a pool grabbing a ball and throwing it back and fourth.</t>
  </si>
  <si>
    <t>The people continue playing with one another and throw the ball around.</t>
  </si>
  <si>
    <t>v_JgHubY5Vw3Y</t>
  </si>
  <si>
    <t>A man and woman are talking in a room.</t>
  </si>
  <si>
    <t>A person is riding a bike down the street.</t>
  </si>
  <si>
    <t>Someone falls over after riding a bike.</t>
  </si>
  <si>
    <t>The man and woman are talking in a room.</t>
  </si>
  <si>
    <t>A bike is leaning against a fence.</t>
  </si>
  <si>
    <t>A man puts a lock around the tire of his bike.</t>
  </si>
  <si>
    <t>v_HW9c7WFW6q8</t>
  </si>
  <si>
    <t>A shot of a sunset set is shown followed by peaking smoking and walking around a paint ball pit.</t>
  </si>
  <si>
    <t>The men speak to one another and lead into running around and playing paint ball.</t>
  </si>
  <si>
    <t>They pauses for a few moments to speak to one another and the camera captures the shooters from different angles.</t>
  </si>
  <si>
    <t>v_W01QffZYsxQ</t>
  </si>
  <si>
    <t>A small child is seen laying down on a rug while the camera records them.</t>
  </si>
  <si>
    <t>The child then covers their eyes with their hands and moves their head up and down.</t>
  </si>
  <si>
    <t>Finally they smile to the camera in the end.</t>
  </si>
  <si>
    <t>v_hYgheCsbtco</t>
  </si>
  <si>
    <t>A close up is seen of chords and numbers scrolling next to the top of a guitar.</t>
  </si>
  <si>
    <t>Instructions are being given for playing the instrument.</t>
  </si>
  <si>
    <t>The person's fingers move up and down on the chords as they are shown.</t>
  </si>
  <si>
    <t>v_k6pU9VaFsZ8</t>
  </si>
  <si>
    <t>man is wearing stils and is making high jumps above a trasher bin in a parking lot.</t>
  </si>
  <si>
    <t>man is doing high jumps inf ront of the las vegas sign in the street and above a stoned wall in the street.</t>
  </si>
  <si>
    <t>v_XQ0_P0LpCFM</t>
  </si>
  <si>
    <t>Two teams are shown on a field and the man is running playing lacrosse and runs directly into the other opponent.</t>
  </si>
  <si>
    <t>Another play starts and this time another person is ran into except it is more fragrant and the person lays on the ground hurt for quite some time.</t>
  </si>
  <si>
    <t>After consulting with the referee and seeking help,the male finally gets up and the rest of the game continues.</t>
  </si>
  <si>
    <t>v_m_ST2LDe5lA</t>
  </si>
  <si>
    <t>Two people wearing scuba gear are underwater.</t>
  </si>
  <si>
    <t>They look at each other, remove their mouth pieces, then kiss.</t>
  </si>
  <si>
    <t>The man places his mouth piece back in.</t>
  </si>
  <si>
    <t>v_R3YoG3Hi4iI</t>
  </si>
  <si>
    <t>A person jumps off a boat into the water.</t>
  </si>
  <si>
    <t>A boy is long boarding down a street.</t>
  </si>
  <si>
    <t>They stop and sit on a park bench.</t>
  </si>
  <si>
    <t>A person is riding an escalator up.</t>
  </si>
  <si>
    <t>v_eZdao9O8jrw</t>
  </si>
  <si>
    <t>She shows a bottle in her hand.</t>
  </si>
  <si>
    <t>She pours some of the lotion onto her hands and rubs it on her face.</t>
  </si>
  <si>
    <t>She uses a towel to dry her face.</t>
  </si>
  <si>
    <t>v_FjfWqx-NL_w</t>
  </si>
  <si>
    <t>A little boy is in an outdoor parking lot.</t>
  </si>
  <si>
    <t>He is trying to roll around on a pair of inline skates.</t>
  </si>
  <si>
    <t>He tries to balance on a small piece of wood.</t>
  </si>
  <si>
    <t>v_gusezUdYfNA</t>
  </si>
  <si>
    <t>A man is seen speaking to the camera while holding a toilet paper roll and begins blowing smoke into the roll.</t>
  </si>
  <si>
    <t>The man continues to take several drags off a pipe and blow it out into the toilet paper roll.</t>
  </si>
  <si>
    <t>v__3lgJ6yp7o8</t>
  </si>
  <si>
    <t>A person is seen sitting in a kayak and moving himself down a rough river.</t>
  </si>
  <si>
    <t>The person continues riding down the river while another people watches on the side.</t>
  </si>
  <si>
    <t>v_XSu5dteR2Ko</t>
  </si>
  <si>
    <t>A man in a black shirt is playing a harmonica.</t>
  </si>
  <si>
    <t>Another man sits on a porch of a house.</t>
  </si>
  <si>
    <t>A woman in a white scarf turns a lantern off.</t>
  </si>
  <si>
    <t>v_-fLJHBqizNM</t>
  </si>
  <si>
    <t>A man is shown on parallel bars doing a routine on them.</t>
  </si>
  <si>
    <t>He is very focused and flipping and rocking back and forth.</t>
  </si>
  <si>
    <t>The athlete then dismounts the bars and lands on his feet.</t>
  </si>
  <si>
    <t>Various shots of the same routine are shown with pauses in between and notes as to proper technique are shown.</t>
  </si>
  <si>
    <t>v_yJN4jnk_S1U</t>
  </si>
  <si>
    <t>A woman is seen walking onto a stage performing a belly dancing routine in front of an audience.</t>
  </si>
  <si>
    <t>The woman continues dancing around the stage and ends with her posing.</t>
  </si>
  <si>
    <t>v_CIQ-mnURg9E</t>
  </si>
  <si>
    <t>woman is standing in front of a screenboard.</t>
  </si>
  <si>
    <t>man is cooking chopping carrots and sautee the vegetables in a fying pan and serving it in bowls abd out the dressing and cheese while pople behind him are watching him cook.</t>
  </si>
  <si>
    <t>v_rRoRvt4p2LU</t>
  </si>
  <si>
    <t>A small group of people are seen riding down a rough river past others while many watch on the side.</t>
  </si>
  <si>
    <t>The group continues to paddle along and meeting up with other groups at the bottom.</t>
  </si>
  <si>
    <t>v_xbWSMxwcP_8</t>
  </si>
  <si>
    <t>A young girl is seen sitting on a couch next to an adult looking down at their feet.</t>
  </si>
  <si>
    <t>The girl plays with a toy iron and moves the item up and down on a shirt.</t>
  </si>
  <si>
    <t>v_F03y7m3Nwuw</t>
  </si>
  <si>
    <t>A German man is throwing a discus in competition.</t>
  </si>
  <si>
    <t>He drops the discus and then walks away.</t>
  </si>
  <si>
    <t>A replay is shown and he looks sad.</t>
  </si>
  <si>
    <t>v_YdfWewUrcTw</t>
  </si>
  <si>
    <t>We see a man talking to two other men outside a warehouse.</t>
  </si>
  <si>
    <t>Inside the warehouse we see a box the men ride their skateboards over.</t>
  </si>
  <si>
    <t>The man falls off his skateboard repeatedly.</t>
  </si>
  <si>
    <t>He flips the skateboard, and we see it in slow motion.</t>
  </si>
  <si>
    <t>The man gets a hat, and we see the end screen.</t>
  </si>
  <si>
    <t>A man jumps on a pile of boxes and we see the end screen again.</t>
  </si>
  <si>
    <t>v_gYBIX_tGaXo</t>
  </si>
  <si>
    <t>Betty Heidler competes in the Olimpic games in the women's hammer category.</t>
  </si>
  <si>
    <t>Betty Haidler seems really focused and determined to go home with a prize.</t>
  </si>
  <si>
    <t>Betty Heidler starts spinning and then with all the momentum tossed the hammer really far away.</t>
  </si>
  <si>
    <t>Betty Heidler classified to the next round as the toss was successfull.</t>
  </si>
  <si>
    <t>Someone interviews Betty Heidler and she's really happy about qualifying to the next rounds of the game.</t>
  </si>
  <si>
    <t>v_o8wdvkauJQQ</t>
  </si>
  <si>
    <t>People workout on a fitness machine pulling a strings on a rod and going back and forth.</t>
  </si>
  <si>
    <t>A man folds a fitness machine in a gym.</t>
  </si>
  <si>
    <t>Then, a man make workouts in a fitness machine.</t>
  </si>
  <si>
    <t>v_IPehEfMBLM0</t>
  </si>
  <si>
    <t>A woman in blue shirt is chopping the wood, when she chopped the wood in half, she put them aside then she take another log and chopped it in half.</t>
  </si>
  <si>
    <t>The woman try to chop the wood in half but it won't get chopped in half, then it fell on ground and she put it back on the chopping board, and she continue to chop the wood, after several attempts she finally chopped the wood in half.</t>
  </si>
  <si>
    <t>v_uy9Z2i8AmyY</t>
  </si>
  <si>
    <t>Various picnic tables are shown on a field followed by a man putting on gear and others running through the forest.</t>
  </si>
  <si>
    <t>Several people are seen playing a paintball match with one another and continuously moving around the forest and holding up a gun.</t>
  </si>
  <si>
    <t>The person then runs through an area holding his gun up and shooting when a person arrives.</t>
  </si>
  <si>
    <t>v_YufXlj-WpEw</t>
  </si>
  <si>
    <t>The video leads into several shots of people running down a long track and jumping into a sand pit.</t>
  </si>
  <si>
    <t>More women are shown running down the track and landing into the sand pit as others watch.</t>
  </si>
  <si>
    <t>v_xmvwhxB1q30</t>
  </si>
  <si>
    <t>A man and two children paddle down a river.</t>
  </si>
  <si>
    <t>Two canoes are tied together.</t>
  </si>
  <si>
    <t>The water gets choppier as they go on.</t>
  </si>
  <si>
    <t>The river is lined with many trees.</t>
  </si>
  <si>
    <t>v_iC1C5wfb0iU</t>
  </si>
  <si>
    <t>A group of men play foosball outdoors.</t>
  </si>
  <si>
    <t>The men on the right win and shake hands and hung.</t>
  </si>
  <si>
    <t>One man high fives a child held up by a lady behind them.</t>
  </si>
  <si>
    <t>v_ihMn28mft2s</t>
  </si>
  <si>
    <t>A man sporting a beard and mustache and wearing a white shirt is giving a tutorial on volleyball safety.</t>
  </si>
  <si>
    <t>He then wears a black sweatshirt and demonstrates how to do stretching exercises.</t>
  </si>
  <si>
    <t>He continues to explain what gear to wear while playing and warming up for volleyball.</t>
  </si>
  <si>
    <t>There are some athletes playing volleyball as he talks.</t>
  </si>
  <si>
    <t>There is a game of volleyball shown where players are in an indoor gym.</t>
  </si>
  <si>
    <t>v_Sk1RSHPavBU</t>
  </si>
  <si>
    <t>We see men playing soccer in the sand.</t>
  </si>
  <si>
    <t>The ball enters and everyone runs towards the ball.</t>
  </si>
  <si>
    <t>A man on the right kicks the ball into the goal.</t>
  </si>
  <si>
    <t>The men in red all high five.</t>
  </si>
  <si>
    <t>v_zM1-aiWdPvY</t>
  </si>
  <si>
    <t>A woman is seen speaking to the camera while standing next to a horse and holding a brush.</t>
  </si>
  <si>
    <t>She begins brushing all along the horse while still speaking to the camera.</t>
  </si>
  <si>
    <t>She pauses for a moment to end while speaking to the camera.</t>
  </si>
  <si>
    <t>v_8WJWtfmEipI</t>
  </si>
  <si>
    <t>A car is stopped at a red light and there's a view of a small town that has some snow on the ground.</t>
  </si>
  <si>
    <t>The light turns green and the car drives down the street and there's no people walking on the sidewalk and just one truck parked.</t>
  </si>
  <si>
    <t>On the right side there's someone shoveling ice from the road and the car passes him.</t>
  </si>
  <si>
    <t>v_uxsZFuXKs3A</t>
  </si>
  <si>
    <t>A man is outdoors standing on a 4 step tool and swipes his hedge cutter to the right.</t>
  </si>
  <si>
    <t>The man then lifts the cutters up and begins cutting more towards his left side.</t>
  </si>
  <si>
    <t>The man stops cutting and begins to step down from the ladder.</t>
  </si>
  <si>
    <t>v_fvUckFYBQks</t>
  </si>
  <si>
    <t>A woman starts braiding her hair.</t>
  </si>
  <si>
    <t>Directions come up on the side of the screen.</t>
  </si>
  <si>
    <t>The woman turns to the side to show her braid.</t>
  </si>
  <si>
    <t>v_T3ngvDyxYiE</t>
  </si>
  <si>
    <t>Two teams are on either side of a field.</t>
  </si>
  <si>
    <t>They are holding a rope, getting ready to pull.</t>
  </si>
  <si>
    <t>The two teams begin pulling, trying to win the competition as a crowd watches.</t>
  </si>
  <si>
    <t>The yellow group begin to be pulled forward against their will.</t>
  </si>
  <si>
    <t>v_EM0N4dzewIg</t>
  </si>
  <si>
    <t>The front of a building called Giant is seen.</t>
  </si>
  <si>
    <t>Technicians are shown inside, working on bicycles.</t>
  </si>
  <si>
    <t>They work in teams, trying to build and repair.</t>
  </si>
  <si>
    <t>v_trV2ycq9rkU</t>
  </si>
  <si>
    <t>Two men are shown on the side of a building roof.</t>
  </si>
  <si>
    <t>One turns to the side, using a piece of equipment.</t>
  </si>
  <si>
    <t>They appear to be building a roof.</t>
  </si>
  <si>
    <t>v_2bnO6YWXCiU</t>
  </si>
  <si>
    <t>A man is spreading mulch around plants.</t>
  </si>
  <si>
    <t>A man is sitting at a table reading a newspaper.</t>
  </si>
  <si>
    <t>A well manicured yard is shown.</t>
  </si>
  <si>
    <t>v_8LB2tdMOZ6g</t>
  </si>
  <si>
    <t>a football game is showing and a man in the news is talking about a voleyball game.</t>
  </si>
  <si>
    <t>the set is shown with the voleyball game and some women in bikini playing white the spectators are on the grades clapping.</t>
  </si>
  <si>
    <t>back to the studio are three commentators talking.</t>
  </si>
  <si>
    <t>v_-rKS00dzFxQ</t>
  </si>
  <si>
    <t>A man and a woman stand by a table speaking to the camera.</t>
  </si>
  <si>
    <t>A recipe of mashed potatoes sits on the table.</t>
  </si>
  <si>
    <t>The man peels and cuts potatoes before throwing them into a yellow pot.</t>
  </si>
  <si>
    <t>The man throws in three handfuls of salt into the yellow pot.</t>
  </si>
  <si>
    <t>The man cuts up some garlic.</t>
  </si>
  <si>
    <t>Into the pot, the man throws the garlic along with two leaves.</t>
  </si>
  <si>
    <t>The woman joins the man at the table and she cuts butter in half.</t>
  </si>
  <si>
    <t>The woman throws the butter into a saucepan.</t>
  </si>
  <si>
    <t>The man speaks to her briefly and the woman proceeds to pour some milk into the saucepan.</t>
  </si>
  <si>
    <t>The man places the yellow pot and the saucepan on the stove.</t>
  </si>
  <si>
    <t>The man grabs the pot's lid and covers the pot.</t>
  </si>
  <si>
    <t>Back at the table, the man removes the lid from the pot and removes the leaves.</t>
  </si>
  <si>
    <t>The man mashes the potatoes.</t>
  </si>
  <si>
    <t>The man throws in a pinch of salt onto the potatoes.</t>
  </si>
  <si>
    <t>The man resumes mashing the potatoes.</t>
  </si>
  <si>
    <t>The man pours in the milk from the saucepan into the pot.</t>
  </si>
  <si>
    <t>The man mashes the potatoes some more.</t>
  </si>
  <si>
    <t>The man grabs some pepper and throws it onto the potatoes.</t>
  </si>
  <si>
    <t>The man adds some more milk.</t>
  </si>
  <si>
    <t>The man returns to mashing the potatoes and stirring them as they have thoroughly become soft.</t>
  </si>
  <si>
    <t>The man pauses for a second to throw in some water and resumes to stirring the potatoes.</t>
  </si>
  <si>
    <t>The finished mashed potatoes dish is left on a counter.</t>
  </si>
  <si>
    <t>v_45v95EtrJX0</t>
  </si>
  <si>
    <t>A close up of a board with shown with several pucks sitting around the side.</t>
  </si>
  <si>
    <t>Suddenly another puck is pushed down and knocked into others while people watch.</t>
  </si>
  <si>
    <t>v_iPc-u9aU_SQ</t>
  </si>
  <si>
    <t>Two men are crouched beside a car, and a third stands.</t>
  </si>
  <si>
    <t>They remove the tire while another man takes pictures.</t>
  </si>
  <si>
    <t>The two men change the tire, putting on a spare.</t>
  </si>
  <si>
    <t>v_RmwaWeIPX70</t>
  </si>
  <si>
    <t>A woman carry a heavy ball and stands on a circle.</t>
  </si>
  <si>
    <t>Then, the woman spins the weight.</t>
  </si>
  <si>
    <t>Then, the woman throw the weight.</t>
  </si>
  <si>
    <t>v_hog7gGdk4i4</t>
  </si>
  <si>
    <t>the kids are on the swing while one kid stand and push a little dog on the swing.</t>
  </si>
  <si>
    <t>three bikers are riding there bike in the parking lot passing the swing area.</t>
  </si>
  <si>
    <t>A women then jogs on the sidewalk passing the swing area as well.</t>
  </si>
  <si>
    <t>v_WL4iqWa_1Z0</t>
  </si>
  <si>
    <t>Two young males are sitting at a desk behind two microphones and two computers.</t>
  </si>
  <si>
    <t>One boy leaves and the other guys stays to gather his belongings.</t>
  </si>
  <si>
    <t>As he is packing up,a young woman walks in and begins shutting off the equipment and cleaning up around the radio station.</t>
  </si>
  <si>
    <t>Once everything is packed up,the boy leaves and begins blowing kisses to the camera.</t>
  </si>
  <si>
    <t>v_jzl0Ar3H5f8</t>
  </si>
  <si>
    <t>A man dressed in black walks through a long hall in a palace.</t>
  </si>
  <si>
    <t>Two men in dressed in white practice stretching and prepare for a fencing match while a coach dressed in black looks on with a butler in the rear stands by.</t>
  </si>
  <si>
    <t>The two men dressed in white put on their fencing masks and begin a fencing match.</t>
  </si>
  <si>
    <t>The coach dressed in black begins critiquing the two fencers and holds the tips of the swords in his hand.</t>
  </si>
  <si>
    <t>The coach turns and walks to the butler and begins conversing.</t>
  </si>
  <si>
    <t>v_Oj_PLXsWxL4</t>
  </si>
  <si>
    <t>A weightlifter stands on a wooden platform in a gym room and lifts heavily weighted bar bells above his head, several times while surrounded by onlookers.</t>
  </si>
  <si>
    <t>A weightlifter lifts over three bar bells above his head squatting under the weight as other gym attendees look on as he hoists the weight above his head and then allows the bell to fall to the floor.</t>
  </si>
  <si>
    <t>The man performs several more lifts of the bell bending at the knees first and then hoisting the bell to the shoulders before throwing the weight on the floor.</t>
  </si>
  <si>
    <t>The man shakes hands and hugs the onlookers when through with the demonstration.</t>
  </si>
  <si>
    <t>v_fM4pJeHb8hQ</t>
  </si>
  <si>
    <t>A woman is sitting down in a chair with a woman standing behind her.</t>
  </si>
  <si>
    <t>The woman begins to brush the woman's hair.</t>
  </si>
  <si>
    <t>She starts to braid the hair.</t>
  </si>
  <si>
    <t>v_iM8ZD2PwKDg</t>
  </si>
  <si>
    <t>There is a group of ladies in a gym dressed in workout tops and tights.</t>
  </si>
  <si>
    <t>They are all participating in a structured aerobics class.</t>
  </si>
  <si>
    <t>They are coordinating their steps and synchronizing their moves as they step on and off of the platform.</t>
  </si>
  <si>
    <t>They are dancing as they exercise to music.</t>
  </si>
  <si>
    <t>After they're done, they stop and raise remove the platforms.</t>
  </si>
  <si>
    <t>v_L9cxYlPkUYs</t>
  </si>
  <si>
    <t>An d for About dot com starts with a man in white speaking to the camera in front of a white background.</t>
  </si>
  <si>
    <t>The video then shows a series of professionals working hard and then cuts to two women running on the beach.</t>
  </si>
  <si>
    <t>A shot of a cyclist is shown and then it cuts back to the same man in white speaking.</t>
  </si>
  <si>
    <t>A woman is shown running and the man continues speaking about fitness tips.</t>
  </si>
  <si>
    <t>v_ymwMEUuXygs</t>
  </si>
  <si>
    <t>A man with a blue shirt is outside walking up a stair case into a building.</t>
  </si>
  <si>
    <t>As he walks in ,he walks down a row of several bicycles and sets up a camera.</t>
  </si>
  <si>
    <t>The man then enters another room with three other males and they begin to unbox and assemble several bicycles together.</t>
  </si>
  <si>
    <t>Once they are secured,the men get on them,testing them out and making the final touches on them.</t>
  </si>
  <si>
    <t>The bikes are finally finished and the man lifts it up to the camera and begins riding it down the sidewalk.</t>
  </si>
  <si>
    <t>v_EOvotFy4YX0</t>
  </si>
  <si>
    <t>A man is seen riding a camel that has a cart attached to the back with two passengers.</t>
  </si>
  <si>
    <t>The people in the back have a conversation while riding through several people watching on the sidelines.</t>
  </si>
  <si>
    <t>The man riding the camel smiles and waves to the camera.</t>
  </si>
  <si>
    <t>v_wZEf-Bs__sU</t>
  </si>
  <si>
    <t>A group of athletes are on a track outside.</t>
  </si>
  <si>
    <t>A man walks down the path, then runs.</t>
  </si>
  <si>
    <t>He takes a giant leap into a sand pit.</t>
  </si>
  <si>
    <t>v_pI-rY6fLM1Q</t>
  </si>
  <si>
    <t>A group of people ice fish on an ice covered lake on an overcast day.</t>
  </si>
  <si>
    <t>A man walks on a snow covered lake and pulls a fish out of a fishing hole.</t>
  </si>
  <si>
    <t>A woman and a man then run on the ice and pull another fish out of another hole in the lake.</t>
  </si>
  <si>
    <t>A third fish is pulled out of another hole in the ice and then thrown back into the hole.</t>
  </si>
  <si>
    <t>v_BN3ejP3RbkQ</t>
  </si>
  <si>
    <t>A man is sitting on a street.</t>
  </si>
  <si>
    <t>He is playing an instrument next to an open instrument case.</t>
  </si>
  <si>
    <t>People are passing on the sidewalk in front of him.</t>
  </si>
  <si>
    <t>v_D4LoDBsIFjw</t>
  </si>
  <si>
    <t>A boy watches as a semi truck drives through the desert.</t>
  </si>
  <si>
    <t>A man puts on his helmet and pushes off into the river on a kayak.</t>
  </si>
  <si>
    <t>A man paddles on rapids and down a river on a kayak.</t>
  </si>
  <si>
    <t>A man fishes from a beach on the shore of a river.</t>
  </si>
  <si>
    <t>A group prepares a picnic on the shore.</t>
  </si>
  <si>
    <t>A man flips over on his kayak from being turned over in the water.</t>
  </si>
  <si>
    <t>v_uHPrH22rPgU</t>
  </si>
  <si>
    <t>A guy is throwing darts across the room.</t>
  </si>
  <si>
    <t>The speed of the clip is quickened.</t>
  </si>
  <si>
    <t>v_7LkHBg_eAfU</t>
  </si>
  <si>
    <t>A man and woman are standing in a dance position.</t>
  </si>
  <si>
    <t>They then shift, showing different steps slowly.</t>
  </si>
  <si>
    <t>They continue dancing, showing how to perform different moves.</t>
  </si>
  <si>
    <t>v_p2RMXdo5avw</t>
  </si>
  <si>
    <t>A shuffleboard is sitting against a wall.</t>
  </si>
  <si>
    <t>Someone throws a ball down it.</t>
  </si>
  <si>
    <t>A green ball gets through down after it.</t>
  </si>
  <si>
    <t>v_dh4bxvmrCNs</t>
  </si>
  <si>
    <t>The girl is shoot the arrow.</t>
  </si>
  <si>
    <t>Five young people are shooting arrows.</t>
  </si>
  <si>
    <t>The young people removed the arrows from the target boards.</t>
  </si>
  <si>
    <t>v_tYZJ4O5Hsz4</t>
  </si>
  <si>
    <t>A little girl plays softly the drums holding two sticks while she is singing on a microphone.</t>
  </si>
  <si>
    <t>The, the girl plays more fast the drums.</t>
  </si>
  <si>
    <t>v_WBRQ4vHBFMY</t>
  </si>
  <si>
    <t>A woman is laying down in a chair as a man with gloves works.</t>
  </si>
  <si>
    <t>He places clamps on various parts of her nose.</t>
  </si>
  <si>
    <t>He then inserts a rod before creating a piercing.</t>
  </si>
  <si>
    <t>v_xZOzVaTezm8</t>
  </si>
  <si>
    <t>A person in a green jacket walks around on the snow.</t>
  </si>
  <si>
    <t>A young girl lays in a tube on the snow.</t>
  </si>
  <si>
    <t>She is then pushed down the ramp.</t>
  </si>
  <si>
    <t>Eventually she comes to a stop.</t>
  </si>
  <si>
    <t>v_VCg6_fuipp8</t>
  </si>
  <si>
    <t>An athletic man is seen standing ready in front of a large crowd and then runs down the track and jumps over a beam.</t>
  </si>
  <si>
    <t>The man celebrates with other people and his same jump is shown several times in slow motion.</t>
  </si>
  <si>
    <t>v_mRe2xY_amWw</t>
  </si>
  <si>
    <t>The video leads into various text shown across the screen followed by cheerleaders performing a routine.</t>
  </si>
  <si>
    <t>Several shots of cheer leading performers are shown completing impressive stunts and moving across a stage while others watch.</t>
  </si>
  <si>
    <t>v_VEDRmPt_-Ms</t>
  </si>
  <si>
    <t>women are in a gymnastics competition doing high jumps in a roofed gym with a lot of people gathered around them watching them.</t>
  </si>
  <si>
    <t>participants are on the podium receiveng thei medals.</t>
  </si>
  <si>
    <t>v_ggGw9EGSMs8</t>
  </si>
  <si>
    <t>A man paints a fence as the man next to him waters the fence.</t>
  </si>
  <si>
    <t>Both of them go over the fence a second time.</t>
  </si>
  <si>
    <t>They do it a third time.</t>
  </si>
  <si>
    <t>And they do it a fourth time.</t>
  </si>
  <si>
    <t>They do it a fifth time.</t>
  </si>
  <si>
    <t>v_mi_zRluISrE</t>
  </si>
  <si>
    <t>A construction worker named Dave begins to show you how to grout.</t>
  </si>
  <si>
    <t>He starts on the wall and begins to explain what he is doing and why he is doing.</t>
  </si>
  <si>
    <t>Once the grout begins to dry he informs you that you should wipe it down with a sponge various times.</t>
  </si>
  <si>
    <t>With a finer sponge you go over it again and get it out while wet so it doesn't ruin the tile and all the work you have done.</t>
  </si>
  <si>
    <t>v_R4aCl2dLS1w</t>
  </si>
  <si>
    <t>A man is seen wearing boxing gloves and hitting a bag in the middle of a large room.</t>
  </si>
  <si>
    <t>The man continues to hit the bag while several others are seen hitting bags in the background.</t>
  </si>
  <si>
    <t>He kicks and punches the bag and ends by walking towards the camera.</t>
  </si>
  <si>
    <t>v_O2vrVwjqktg</t>
  </si>
  <si>
    <t>A volleyball is spinning on a ledge.</t>
  </si>
  <si>
    <t>We then see a game being played of table tennis, the players showing the mechanics of the paddle, ball, and table as they play.</t>
  </si>
  <si>
    <t>v_byO53jHoAwI</t>
  </si>
  <si>
    <t>A man standing in a yard and playing bagpipes.</t>
  </si>
  <si>
    <t>The man is taking deep breaths and moving the keys.</t>
  </si>
  <si>
    <t>v_vrMWYB0UuGM</t>
  </si>
  <si>
    <t>Two individuals play squash together in an indoor court.</t>
  </si>
  <si>
    <t>One of the individuals recovers the ball and serves.</t>
  </si>
  <si>
    <t>The same individual recovers the ball and serves again.</t>
  </si>
  <si>
    <t>v_cB5ozEChN5Q</t>
  </si>
  <si>
    <t>People ride a line up a hill in a tubing resort.</t>
  </si>
  <si>
    <t>A person rides a tube down a hill.</t>
  </si>
  <si>
    <t>We watch the people walking up the hill holding their tubes and watch people go down the hill.</t>
  </si>
  <si>
    <t>We watch as the camera man goes down the hill.</t>
  </si>
  <si>
    <t>v_u3nOmvgcs84</t>
  </si>
  <si>
    <t>A girl stands by a counter with various food items placed out on the counter.</t>
  </si>
  <si>
    <t>She holds up the ingredients and instructs what you'll need to make a sandwich.</t>
  </si>
  <si>
    <t>She begins chopping the vegetables and putting the dressing on the bread.</t>
  </si>
  <si>
    <t>She spreads around the dressing and puts the other ingredients on the sandwich to finish.</t>
  </si>
  <si>
    <t>v_Irmh66trRY4</t>
  </si>
  <si>
    <t>We see the title go across the screen.</t>
  </si>
  <si>
    <t>We see baking supplies and ingredients.</t>
  </si>
  <si>
    <t>Someone stirs cookie dough and puts cookies on a sheet.</t>
  </si>
  <si>
    <t>The cookies go into the oven and bake for 9 minutes, and a new batch is put in the oven.</t>
  </si>
  <si>
    <t>The warm cookies are put on a cooling rack.</t>
  </si>
  <si>
    <t>The person washes, and drys the silicone baking sheet.</t>
  </si>
  <si>
    <t>They roll the baking sheet up and show us the finished cooling cookies.</t>
  </si>
  <si>
    <t>v_MfSdXqOC-f0</t>
  </si>
  <si>
    <t>A man is standing on an open field outdoors.</t>
  </si>
  <si>
    <t>He uses an archery set to pull back and arrow at a flying disc.</t>
  </si>
  <si>
    <t>He hits the discs with the arrow every time.</t>
  </si>
  <si>
    <t>v_Ft3SzVtUsKA</t>
  </si>
  <si>
    <t>A camera is shown sitting on the side of a pool capturing bubble underneath.</t>
  </si>
  <si>
    <t>More bubbles are shown followed by a man jumping in.</t>
  </si>
  <si>
    <t>The man jumps all the way into the pool and the camera captures his movements.</t>
  </si>
  <si>
    <t>v_QaNQrUpmmgo</t>
  </si>
  <si>
    <t>A woman in an orange shirt is sitting on an exercise machine.</t>
  </si>
  <si>
    <t>People are walking past a window behind her.</t>
  </si>
  <si>
    <t>v__zAfwnDt4VE</t>
  </si>
  <si>
    <t>A man is kneeling down in the dirt over a a silver bowl that is full of soap.</t>
  </si>
  <si>
    <t>In the large bowl,he begins to move a white shirt as if he is washing it.</t>
  </si>
  <si>
    <t>Finally,he stops and takes a hose to finish rinsing the water.</t>
  </si>
  <si>
    <t>v_XoCvj2IbVGE</t>
  </si>
  <si>
    <t>A person;s hand is seen turning a knob followed by their foot stepping on a button and a man holding up an iron.</t>
  </si>
  <si>
    <t>He adjusts more settings While testing the iron and begins ironing a shirt on a table.</t>
  </si>
  <si>
    <t>The men continues to flip around the shirt and iron and en by showing off the ironing machine to the camera.</t>
  </si>
  <si>
    <t>v_ItFq_6cIByw</t>
  </si>
  <si>
    <t>A man sits behind a drum set.</t>
  </si>
  <si>
    <t>The man starts playing the drum set.</t>
  </si>
  <si>
    <t>The man keeps playing the drums.</t>
  </si>
  <si>
    <t>v_980U7SiE0Nk</t>
  </si>
  <si>
    <t>Two girls are seen standing on a gymnasium floor in front of a large crowd.</t>
  </si>
  <si>
    <t>The girls then begin dancing around the area while twirling batons in their hands.</t>
  </si>
  <si>
    <t>They continue to spin around one another and end by holding a pose.</t>
  </si>
  <si>
    <t>v_N-92_rikI8U</t>
  </si>
  <si>
    <t>There's a man skiing down a very steep mountain slope.</t>
  </si>
  <si>
    <t>The man is going down very fast and steadily while fully dressed in ski gear and goggles.</t>
  </si>
  <si>
    <t>He then falls down to the ground as he reaches the bottom of the slope.</t>
  </si>
  <si>
    <t>He gets right back up and dusts off the snow from his clothes.</t>
  </si>
  <si>
    <t>He talks to another person through a hands free device attached on his coat to let him know he's okay.</t>
  </si>
  <si>
    <t>v_mcS9LX_P4BA</t>
  </si>
  <si>
    <t>an image of a girl with her vlog asking people to subscribe.</t>
  </si>
  <si>
    <t>a girl wearing red hirt with her face is sitting on a living room and is reading tweets and talking about them.</t>
  </si>
  <si>
    <t>girl holds a small pumpkin and a knife and cut the pumpkin while talking.</t>
  </si>
  <si>
    <t>the pumkkin is slice in two and is shown the inside while the girl keps talking and reading tweets.</t>
  </si>
  <si>
    <t>v_8ltNqT5N-xs</t>
  </si>
  <si>
    <t>A woman is seen belly dancing on a large stage while people watch her on the side.</t>
  </si>
  <si>
    <t>She moves her hips all around while a band plays instruments behind her.</t>
  </si>
  <si>
    <t>The woman continues dancing and ends by holding a pose and flipping back her hair.</t>
  </si>
  <si>
    <t>v_k4a5XXRYKK4</t>
  </si>
  <si>
    <t>A game of lacrosse of being shown with a large group of people running around a field.</t>
  </si>
  <si>
    <t>Several people watch on the sidelines as the game continues and a ref steps in to make a call.</t>
  </si>
  <si>
    <t>v_q_DajTs5gIA</t>
  </si>
  <si>
    <t>A person holds and pet a hairless cat.</t>
  </si>
  <si>
    <t>The person cleans and cuts the nails of the front legs of the cat.</t>
  </si>
  <si>
    <t>v_Fi_ja3Urdtg</t>
  </si>
  <si>
    <t>A man is talking from behind a bar.</t>
  </si>
  <si>
    <t>He shows off several kinds of bottles and taps.</t>
  </si>
  <si>
    <t>He shows how to mix a drink which he serves to a woman.</t>
  </si>
  <si>
    <t>v_XFZ5_uNU7jE</t>
  </si>
  <si>
    <t>A person peels potatoes in a sink, suddenly a cat jumps to the bench to watch the woman.</t>
  </si>
  <si>
    <t>The cat touch the sink with his mouth and intend to pass to the other side of the sink but the woman prevents it.</t>
  </si>
  <si>
    <t>Then, the cat drinks water from the sink and cat continues watching the woman.</t>
  </si>
  <si>
    <t>After, the cat touch the potato peeler with a leg while the person continue peeling the potatoes.</t>
  </si>
  <si>
    <t>v_86S2O0fpX4g</t>
  </si>
  <si>
    <t>A woman is lying on equipment in a gym.</t>
  </si>
  <si>
    <t>She has her feet tied with chain to a machine.</t>
  </si>
  <si>
    <t>She holds her head as she pulls her feet back and forth.</t>
  </si>
  <si>
    <t>v_JrRtv8puAZI</t>
  </si>
  <si>
    <t>A guy holds a light cloth.</t>
  </si>
  <si>
    <t>A guy gets a white basin from beneath the sink and fills it with water in a sink.</t>
  </si>
  <si>
    <t>The guy puts down the light cloth and adds dish soap to the basin.</t>
  </si>
  <si>
    <t>The guy gets a rack from beneath the sink and places it on the counter top.</t>
  </si>
  <si>
    <t>The guy adds utensils and a dish to the white basin and washes them with a red rug.</t>
  </si>
  <si>
    <t>A boy watches from behind.</t>
  </si>
  <si>
    <t>The guy rinses the dishes and puts them in a rack.</t>
  </si>
  <si>
    <t>The guy dries the dish with the light cloth.</t>
  </si>
  <si>
    <t>v_vSpl69BWMKI</t>
  </si>
  <si>
    <t>A man in gray shirt and jeans with orange helmet is trimming the hedges, he is standing in a ladder to reach the top of the hedge and trim it, the man continue to trim the hedge.</t>
  </si>
  <si>
    <t>A man in white shirt and orange helmet is trimming the burned hedges.</t>
  </si>
  <si>
    <t>v_2u1gdf_53C0</t>
  </si>
  <si>
    <t>A person in a protective white suit and goggles sprays a surface with purple paint using a spray gun in a room with white walls and floors.</t>
  </si>
  <si>
    <t>The person then spins the surface around on a spinning table and paints the sides.</t>
  </si>
  <si>
    <t>The finishes matte product is shown, dried, in the plain white room where the painting happened.</t>
  </si>
  <si>
    <t>v_C8hdbmjUMRc</t>
  </si>
  <si>
    <t>man is standing in a room mixing cement on a bucket.</t>
  </si>
  <si>
    <t>the man grabs the mix and spread it in the floor and put white tiles.</t>
  </si>
  <si>
    <t>the man sweeps the floor and spread cement again to put the tiles in the remaining part of the room.</t>
  </si>
  <si>
    <t>v_uX-UwKfRvJY</t>
  </si>
  <si>
    <t>The video begins with four pictures of contracted human abdomens.</t>
  </si>
  <si>
    <t>There's a young girl dressed in a blue tank top and black tights demonstrating the proper way to do planks and crunches.</t>
  </si>
  <si>
    <t>She is laying on a blue Yoga mat as she does crunches.</t>
  </si>
  <si>
    <t>Then she lays on her stomach by raising herself up on her elbows to show how to do planks.</t>
  </si>
  <si>
    <t>v_P0N68OQDhNs</t>
  </si>
  <si>
    <t>An athlete in black shirt gives instructions for a practice drill while standing on a large sporting field.</t>
  </si>
  <si>
    <t>The man sets up for an exercise and squats up and down for practice.</t>
  </si>
  <si>
    <t>The man jumps multiple times and goes further each jump.</t>
  </si>
  <si>
    <t>The man bends down and touches the ground while twisting.</t>
  </si>
  <si>
    <t>The man gives more instructions on a practice run while giving hand gestures.</t>
  </si>
  <si>
    <t>The man sets up on the edge of a line and jumps with one foot, then repeats.</t>
  </si>
  <si>
    <t>The man gives a final set of instructions while breathing heavy.</t>
  </si>
  <si>
    <t>A set of text is seen with information.</t>
  </si>
  <si>
    <t>v_OdLcbH2H_zI</t>
  </si>
  <si>
    <t>An arrow graphic is seen and title text.</t>
  </si>
  <si>
    <t>A woman stands on a dark lit room holding an accordion and demonstrating how to play it.</t>
  </si>
  <si>
    <t>The woman begins to play a song pressing in the keys.</t>
  </si>
  <si>
    <t>The woman pauses to discuss then plays more of the song.</t>
  </si>
  <si>
    <t>The woman finishes and closes the accordion.</t>
  </si>
  <si>
    <t>v_Mgvj2B6MyjI</t>
  </si>
  <si>
    <t>A girl is nervous on the edge of a diviing board.</t>
  </si>
  <si>
    <t>She falls in after standing up and then squatting again.</t>
  </si>
  <si>
    <t>v_eWG5T3TC_cg</t>
  </si>
  <si>
    <t>A marching band walk in the street playing instruments while a woman on front holds a flag.</t>
  </si>
  <si>
    <t>A boy on front the band holds a rode and raise and spin around.</t>
  </si>
  <si>
    <t>Then, band arrives and pass a traffic light.</t>
  </si>
  <si>
    <t>v_k1WnO7UeBJ8</t>
  </si>
  <si>
    <t>Two people are shown walking around with a rug over their shoulders and walk inside a building.</t>
  </si>
  <si>
    <t>They open the rug then pull out measuring tape and hammer down the rug.</t>
  </si>
  <si>
    <t>They then put plaster all over the floor and present the finished product of the rug by shaking hands with the owners and smiling for pictures.</t>
  </si>
  <si>
    <t>v_AffS41W1Jgg</t>
  </si>
  <si>
    <t>A man is seen speaking to the camera and leads into him laying up wallpaper on the wall.</t>
  </si>
  <si>
    <t>He continues speaking to the camera while still spreading paper on the wall.</t>
  </si>
  <si>
    <t>v_iGOGz6M_zcE</t>
  </si>
  <si>
    <t>A woman is washing her face in a sink.</t>
  </si>
  <si>
    <t>She looks in a mirror in front of her.</t>
  </si>
  <si>
    <t>She continues wiping her face.</t>
  </si>
  <si>
    <t>v_LYrqEz_vttQ</t>
  </si>
  <si>
    <t>A dog is sitting on an orange couch.</t>
  </si>
  <si>
    <t>A dog is sitting in a bath tub getting a bath.</t>
  </si>
  <si>
    <t>A person is drying the dog with a towel.</t>
  </si>
  <si>
    <t>The dog is getting blow dried with a hair dryer.</t>
  </si>
  <si>
    <t>v_h61C_KfvG0Y</t>
  </si>
  <si>
    <t>The logo "Weldy" appears over a photo of welding tools.</t>
  </si>
  <si>
    <t>The words "energy 1600" and the Weldy website address appears.</t>
  </si>
  <si>
    <t>A man is working on a white rooftop with one of the Weldy tools.</t>
  </si>
  <si>
    <t>"energy 1600" and the website appears on screen again.</t>
  </si>
  <si>
    <t>v_PeMJjLrDjhQ</t>
  </si>
  <si>
    <t>A woman is seen speaking to the camera while turning on a faucet.</t>
  </si>
  <si>
    <t>She then pumps soap off and scrubs her hands.</t>
  </si>
  <si>
    <t>She runs her hands under the sink and ends by drying her hands and walking out to put hand sanitizor on.</t>
  </si>
  <si>
    <t>v_uOxKf-kNEyg</t>
  </si>
  <si>
    <t>A woman is using polish in a container to polish a black shoe.</t>
  </si>
  <si>
    <t>She talks to the camera as she works.</t>
  </si>
  <si>
    <t>Black polish is shown dripping onto her legs.</t>
  </si>
  <si>
    <t>v_JyjONoyBr4Q</t>
  </si>
  <si>
    <t>There is a lady dog trainer dressed in a blue hoodie playing with a black and white dog in a park.</t>
  </si>
  <si>
    <t>She is throwing a Frisbee to the dog and makes the dog fetch it for her.</t>
  </si>
  <si>
    <t>The dog runs every time she throws the Frisbee at a distance and fetches it for her.</t>
  </si>
  <si>
    <t>The doh jumps high up to grab the Frisbee off her hand.</t>
  </si>
  <si>
    <t>He dog even jumps over the lady when she is laying on the ground.</t>
  </si>
  <si>
    <t>He continues to run and fetch the Frisbee for the lady as she throws multiple Frisbee.</t>
  </si>
  <si>
    <t>The same lady is now wearing an orange shirt and is throwing the Frisbee to the dog.</t>
  </si>
  <si>
    <t>The dog continues to jump and catch the Frisbee in his mouth.</t>
  </si>
  <si>
    <t>v_qmOYKPkURiw</t>
  </si>
  <si>
    <t>A young boy is standing outside watching another person play their bag pipes.</t>
  </si>
  <si>
    <t>Several people walk by and a lady stops and throws money into the person's case.</t>
  </si>
  <si>
    <t>v_35DlDj_hzvg</t>
  </si>
  <si>
    <t>A man is seen bending forward and holding onto a set of weights while gripping tightly.</t>
  </si>
  <si>
    <t>The man then lifts the weight over his end and throws it down in the end.</t>
  </si>
  <si>
    <t>v_6-P9SRNbwac</t>
  </si>
  <si>
    <t>Two young friends are together on a sandy beach.</t>
  </si>
  <si>
    <t>First the girl on the right speaks, and then her friend in a purple t-shirt speaks next.</t>
  </si>
  <si>
    <t>She finishes by turning to her friend and they get up, grabbing hands, and exit the scene to the right.</t>
  </si>
  <si>
    <t>Next we see them again seated on the sand facing each other as they begin to build something in the sand.</t>
  </si>
  <si>
    <t>The focus is shifted to one girl, who speaks, and finishes by writing something in the sand.</t>
  </si>
  <si>
    <t>v_1Om21fCH1sI</t>
  </si>
  <si>
    <t>Various clips are shown of people riding around on bikes as well as sitting on bikes ready to race.</t>
  </si>
  <si>
    <t>Several clips are shown of people up close as well as them riding around on bikes.</t>
  </si>
  <si>
    <t>v_yiFKPKXevOU</t>
  </si>
  <si>
    <t>A man puts a wood upright on a tree stump.</t>
  </si>
  <si>
    <t>A guy is splitting wood into halves.</t>
  </si>
  <si>
    <t>A guy repeatedly tries to cut a wood.</t>
  </si>
  <si>
    <t>v_zqXJkZgKmSk</t>
  </si>
  <si>
    <t>A ball flies through he air on a baseball field.</t>
  </si>
  <si>
    <t>The person with the camera takes off running.</t>
  </si>
  <si>
    <t>The runner stops on the home base and turns around.</t>
  </si>
  <si>
    <t>We see the people at the back of the field.</t>
  </si>
  <si>
    <t>v_3pBldeB3uaE</t>
  </si>
  <si>
    <t>A large group of people are seen standing around a pool as well as people writing on paper and speaking to one another.</t>
  </si>
  <si>
    <t>More people are seen diving on a board and jumping off onto the side.</t>
  </si>
  <si>
    <t>Several people are seen watching on the side as the kids continue to dive.</t>
  </si>
  <si>
    <t>v_O_bDLIcx5k0</t>
  </si>
  <si>
    <t>A drawing of airplanes and machineries are being use, then pictures of men and a woman.</t>
  </si>
  <si>
    <t>A man in blue shirt is brushing a paint to an airplane model, then he paint a different color to make the plane looks like a camouflage.</t>
  </si>
  <si>
    <t>v_pOIJeK3YZr8</t>
  </si>
  <si>
    <t>A man is sitting next to several small trees.</t>
  </si>
  <si>
    <t>He pulls some leaves off of the trees.</t>
  </si>
  <si>
    <t>He takes scissors and cuts some leaves off the tree.</t>
  </si>
  <si>
    <t>v_LdAT5MEBkuQ</t>
  </si>
  <si>
    <t>A man water skiis at a river.</t>
  </si>
  <si>
    <t>A long haired man operates a boat and the boat drags a man water skiing across the water.</t>
  </si>
  <si>
    <t>A guy holding onto a rope attached to a boat water skiis.</t>
  </si>
  <si>
    <t>The man in the glasses appears again, speaking to the camera and points to a man water skiing on the river.</t>
  </si>
  <si>
    <t>The water skiier glides back and forth on the water of the river.</t>
  </si>
  <si>
    <t>The man in glasses talks about the water skiis.</t>
  </si>
  <si>
    <t>v_0ys4fnsu9Jc</t>
  </si>
  <si>
    <t>A small child is seen standing on a trampoline and throwing a ball off into the distance.</t>
  </si>
  <si>
    <t>More kids are seen picking up balls and throwing them to the other side.</t>
  </si>
  <si>
    <t>More kids are seen throwing balls and playing dodgeball with one another.</t>
  </si>
  <si>
    <t>v_VqZr2oZk4z4</t>
  </si>
  <si>
    <t>Various shots are shown of scuba divers moving along the water as well as people riding and riding boats.</t>
  </si>
  <si>
    <t>More clips are shown of people getting ready on land as well as swimming around the ocean.</t>
  </si>
  <si>
    <t>v_mU3ujj4Z7lE</t>
  </si>
  <si>
    <t>A small dog is seen standing in snow and a person pushing snow with a shovel.</t>
  </si>
  <si>
    <t>The dog follows the person shoveling while biting at the shovel and barking at the camera man.</t>
  </si>
  <si>
    <t>v_ESsUwNlkJoo</t>
  </si>
  <si>
    <t>The letters RPM appear on the screen.</t>
  </si>
  <si>
    <t>A room is filled with people riding exercise bikes.</t>
  </si>
  <si>
    <t>They go as fast as they can, advertising a fitness gym.</t>
  </si>
  <si>
    <t>v_krqxyYFHzBI</t>
  </si>
  <si>
    <t>People start fighting outside on the ground.</t>
  </si>
  <si>
    <t>They knock a man onto the ground.</t>
  </si>
  <si>
    <t>They lift him up in the air and slam him back on the ground.</t>
  </si>
  <si>
    <t>v_ivkkCEynzPs</t>
  </si>
  <si>
    <t>A man wears a welding helmet and holds a rod.</t>
  </si>
  <si>
    <t>Then, the man use the road to held a piece of metal on the floor.</t>
  </si>
  <si>
    <t>v_U-N92yQynQA</t>
  </si>
  <si>
    <t>There is a badminton ladies double match taking place in an indoor court.</t>
  </si>
  <si>
    <t>There are several spectators watching the match as the doubles partners hit the shuttlecock with their rackets.</t>
  </si>
  <si>
    <t>The crowd cheers on as the match goes on and the players hit with their rackets back and forth.</t>
  </si>
  <si>
    <t>v_GXEuuWhEMCY</t>
  </si>
  <si>
    <t>A man stands, screaming loudly as he lifts a barbell.</t>
  </si>
  <si>
    <t>He lifts a weight above his head.</t>
  </si>
  <si>
    <t>Another man is shown lifting a weight as a crowd watches.</t>
  </si>
  <si>
    <t>Several weight lifters continue lifting barbells.</t>
  </si>
  <si>
    <t>A man is shown lying down as he is injured.</t>
  </si>
  <si>
    <t>v_HJws_Cwu3qE</t>
  </si>
  <si>
    <t>Two men are seen standing around a room and begin hitting a ball while others watch.</t>
  </si>
  <si>
    <t>More men appear in the room and are seen chasing around a tennis ball and hitting it.</t>
  </si>
  <si>
    <t>v_A1U24_iC6ww</t>
  </si>
  <si>
    <t>Cement is being made in the cement mixer.</t>
  </si>
  <si>
    <t>Three Hispanic men are laying the foundation of the pool with a cement gun.</t>
  </si>
  <si>
    <t>A man that is dressed in white is doing the cement finish as the other men lay the cement with a gun.</t>
  </si>
  <si>
    <t>Once the cement is done all the men start to do finish.</t>
  </si>
  <si>
    <t>v_dgXPoqHrKRM</t>
  </si>
  <si>
    <t>Skiers walk and stand on skis at the bottom of the hill at of a ski resort.</t>
  </si>
  <si>
    <t>Kids ride on inflatable tubes down lanes on a ski slope.</t>
  </si>
  <si>
    <t>Snowboarders and skiers ride down ski runs while other groups sit on the ski lift.</t>
  </si>
  <si>
    <t>A group hangs onto a tow rope on inter tubes and throws snowballs.</t>
  </si>
  <si>
    <t>v_Zsaa3XXIAhk</t>
  </si>
  <si>
    <t>A man plays a song on an acoustic guitar in a studio.</t>
  </si>
  <si>
    <t>The man resets his hands and finishes the song.</t>
  </si>
  <si>
    <t>v_Nb87GFizCB8</t>
  </si>
  <si>
    <t>A woman walks through a snowy parking lot, looking for her car.</t>
  </si>
  <si>
    <t>She is seen using a mop in an attempt to wipe the snow off her car.</t>
  </si>
  <si>
    <t>Snow begins to fall as she continues cleaning.</t>
  </si>
  <si>
    <t>v_oXPgInpuHDA</t>
  </si>
  <si>
    <t>A group of cheerleaders perform in the middle of a basketball court while an audience watches.</t>
  </si>
  <si>
    <t>A man walks through the bottom of the frame.</t>
  </si>
  <si>
    <t>The cheerleaders finish, and a group of younger cheerleaders replace them.</t>
  </si>
  <si>
    <t>v_oHDeMg1ZFp8</t>
  </si>
  <si>
    <t>A man is talking and standing in a kitchen wearing a white robe and a lot of colorful vegetables in front of him.</t>
  </si>
  <si>
    <t>Now the vegetables are gone and the man is now scooping something from a little bowl onto a white plate that is sitting on a wooden cutting board.</t>
  </si>
  <si>
    <t>The man then begins to break the contents up with his utensil and then his hands until they are into separate pieces.</t>
  </si>
  <si>
    <t>v_4Y94njisJd0</t>
  </si>
  <si>
    <t>A young man in a black shirt hits a small ball against the wall.</t>
  </si>
  <si>
    <t>A man in a red shirt hands the ball to him with his racket.</t>
  </si>
  <si>
    <t>The young man hits the ball against the wall again.</t>
  </si>
  <si>
    <t>A group of men walk around trying to hit the ball.</t>
  </si>
  <si>
    <t>The young man in the black shirt hands the ball to the man in the red shirt.</t>
  </si>
  <si>
    <t>The man in the red shirt hits the ball against the wall.</t>
  </si>
  <si>
    <t>The group of men run around the court, swinging their rackets and trying to catch the ball.</t>
  </si>
  <si>
    <t>v_whwserG3XGc</t>
  </si>
  <si>
    <t>team wearing yellow uniform are running in a field.</t>
  </si>
  <si>
    <t>photographers are standing in he ield taking pictures of the yellow and blue team.</t>
  </si>
  <si>
    <t>teams start to pla lacrosse in a big gren grassy field.</t>
  </si>
  <si>
    <t>v_bXEG4X7pRds</t>
  </si>
  <si>
    <t>The lady picks up a brush and scissors.</t>
  </si>
  <si>
    <t>She sweeps the base of the stand.</t>
  </si>
  <si>
    <t>She brushes the dogs right leg.</t>
  </si>
  <si>
    <t>She then clips the hair on this paw.</t>
  </si>
  <si>
    <t>She brushes the fur upwards.</t>
  </si>
  <si>
    <t>She then clips the fur on the paw again.</t>
  </si>
  <si>
    <t>She brushes his paw again.</t>
  </si>
  <si>
    <t>She then clips the fur on the paw another time.</t>
  </si>
  <si>
    <t>She then combs the cut hair off the paw.</t>
  </si>
  <si>
    <t>She clips the hair off the back of the paw.</t>
  </si>
  <si>
    <t>Fade to black, and the credits occur.</t>
  </si>
  <si>
    <t>v_fRLDhkPqrTE</t>
  </si>
  <si>
    <t>A lady looks behind her with delight.</t>
  </si>
  <si>
    <t>The lady plays a black piano.</t>
  </si>
  <si>
    <t>The lady looks to her side.</t>
  </si>
  <si>
    <t>v_qwBFQf5STBA</t>
  </si>
  <si>
    <t>Colorful zebra nails are shown and a colorful screen appears with colorful text that say's "Acid Zebra Nail Art by professionalDQ", and then followed by a lot of other words that include a list of supplies needed.</t>
  </si>
  <si>
    <t>A still shot of six different solid colors of nail polish are shown and some are rounded bottles and some are square bottles.</t>
  </si>
  <si>
    <t>The demonstration begins and it shows someone is sponge painting various colors onto a long white painted nail.</t>
  </si>
  <si>
    <t>A colorful screen briefly appears with colorful text and it say's "Then added a coat of sparkle flakes Awesome",shows the bottle of sparkle nail polish, then more text appears on a colorful screen.</t>
  </si>
  <si>
    <t>A black paint bottle is shown then the person paints a thin black line unto the sparkly and multi colored nail and paints them in the pattern of zebra stripes.</t>
  </si>
  <si>
    <t>A colorful screen along with colorful text appears and it has instructions to "Finish with topcoat And now you're an invincible Nyan Zebra!!".</t>
  </si>
  <si>
    <t>The finished nails are modeled and shown at different angles and a colorful screen with colorful letters appear and it say's "Don't forget your tail!" and then it shows the person holding a furry pink and black, long tail.</t>
  </si>
  <si>
    <t>A colorful screen with colorful text appears and it say's "Thanks for watching SWOOSH!" and more still shots of the finished colorful zebra nails are displayed in different positions and angles.</t>
  </si>
  <si>
    <t>v_W40iaV960sw</t>
  </si>
  <si>
    <t>The camel is sitting on the ground, but then the man puts on his glasses while he's sitting on the camel as it lifts up bringing the man forward a little bit.</t>
  </si>
  <si>
    <t>Then someone grabs the rope on the camel to guide the camel to the right place.</t>
  </si>
  <si>
    <t>Finally the man pulls the camel the man is sitting on while the other 2 camels walk behind the camel in the front.</t>
  </si>
  <si>
    <t>v_wHxB-5jKjbQ</t>
  </si>
  <si>
    <t>People sail in canoes rowing with a paddle in a choppy river.</t>
  </si>
  <si>
    <t>Two men in a canoe sail near the bank of the river, but then sail in the river.</t>
  </si>
  <si>
    <t>The men spins the canoe an pass near an arch of the canoe course.</t>
  </si>
  <si>
    <t>The two men cross a person alone in a canoe.</t>
  </si>
  <si>
    <t>The men continue sailing down the river passing between arches.</t>
  </si>
  <si>
    <t>Men in a canoes are on the border of the river.</t>
  </si>
  <si>
    <t>After, continue sailing straight in the river.</t>
  </si>
  <si>
    <t>v_PLvg8riZZVw</t>
  </si>
  <si>
    <t>A man is holding a fishing pole over an ice fishing hole.</t>
  </si>
  <si>
    <t>He gently tries to pull up and then reel the fishing line out of the hole.</t>
  </si>
  <si>
    <t>He dips and lowers while taking a break.</t>
  </si>
  <si>
    <t>He tries to reel the line out again.</t>
  </si>
  <si>
    <t>He removes his gloves and gets to his knees and back up as he tries to pull the line out of the hole repeatedly.</t>
  </si>
  <si>
    <t>He steps around the hole and continually gently pulls the line from the water as another man pulls the fish out of the water.</t>
  </si>
  <si>
    <t>v_Ktxr4ZiqO3o</t>
  </si>
  <si>
    <t>A person is shaving their beard with an electric shaver.</t>
  </si>
  <si>
    <t>They are slowly moving the shaver up their chin.</t>
  </si>
  <si>
    <t>v_hjDGz9OhwvM</t>
  </si>
  <si>
    <t>A young girl is showing sitting on a floor talking to the camera and pretending to iron.</t>
  </si>
  <si>
    <t>She prays the bottle of water onto the clothes and irons doing this several times.</t>
  </si>
  <si>
    <t>She flips over the shirt to continue ironing and looks off into the distance.</t>
  </si>
  <si>
    <t>v_oXqzXQRqAhI</t>
  </si>
  <si>
    <t>Two kids are seen sitting in a bath tub with one holding a bucket and the holding smiling and laughing.</t>
  </si>
  <si>
    <t>The boy pours the bucket over his face and a hand gives him a towel while the girl also splashes her face.</t>
  </si>
  <si>
    <t>The sprays water again with the bucket and rubs his eyes.</t>
  </si>
  <si>
    <t>v_HaprTZfP4sQ</t>
  </si>
  <si>
    <t>A gold ornament is shown hanging from a christmas tree.</t>
  </si>
  <si>
    <t>Two women are on the floor, wrapping presents.</t>
  </si>
  <si>
    <t>They cut the paper and tape it around boxes before adding bows.</t>
  </si>
  <si>
    <t>We then see the completed tree, adorned with a ring of wrapped presents at the base.</t>
  </si>
  <si>
    <t>v_sanasW2azw4</t>
  </si>
  <si>
    <t>A young boy wearing sunglasses is shown pushing a long a lawn mower across a lawn.</t>
  </si>
  <si>
    <t>The camera continuously follows him as he moves back and fourth with the mower on the lawn.</t>
  </si>
  <si>
    <t>Finally a picture of him sleeping on the couch is shown.</t>
  </si>
  <si>
    <t>v_zxOcSuLSrU4</t>
  </si>
  <si>
    <t>A woman is seen pushing a lawn mower along some tall grass while moving back and fourth.</t>
  </si>
  <si>
    <t>The woman continues pushing the machine around the yard and turns her back towards the camera to mow the back.</t>
  </si>
  <si>
    <t>v_jETKNHeojN8</t>
  </si>
  <si>
    <t>The woman says a few words in the beginning while the dancer stands silently.</t>
  </si>
  <si>
    <t>First the dancer makes sure her legs are positioned correctly.</t>
  </si>
  <si>
    <t>Then the ballet dancer brings one foot into a coupe.</t>
  </si>
  <si>
    <t>Next she straightens both legs and puts one leg in the front and brings it back down.</t>
  </si>
  <si>
    <t>She then repeats those 3 steps over again.</t>
  </si>
  <si>
    <t>v_73ZdOEJcsUw</t>
  </si>
  <si>
    <t>An old lady knits with a red needle and red wool.</t>
  </si>
  <si>
    <t>An old lady stops knitting and talks continuously.</t>
  </si>
  <si>
    <t>The old lady knits again and examines her creation.</t>
  </si>
  <si>
    <t>v_WSpfyZuoi3A</t>
  </si>
  <si>
    <t>A little girl sled in an inflatable boat hold to a string on front a man, suddenly she falls in a hollow.</t>
  </si>
  <si>
    <t>People carry sled boats and the little girl is in a sled boat.</t>
  </si>
  <si>
    <t>After a group of people sled do down the hill until meet other persons.</t>
  </si>
  <si>
    <t>v_fevlUD03yCM</t>
  </si>
  <si>
    <t>A young girl is applying sunscreen to her face.</t>
  </si>
  <si>
    <t>A beach is crowded with people while a motoroboat speeds across the water.</t>
  </si>
  <si>
    <t>A doctor from the Cleveland Clinic named Jennifer Lucas speaks.</t>
  </si>
  <si>
    <t>People apply sunblock to each other outdoors.</t>
  </si>
  <si>
    <t>v_aEopPs2eY-Q</t>
  </si>
  <si>
    <t>A girl names Ashley dressed in all purple walks up slowly, then it turns to nature view of dirt and flowers.</t>
  </si>
  <si>
    <t>Ashley comes out getting dressed in her motor cross gear and slowly walks her bike out.</t>
  </si>
  <si>
    <t>She goes out and starts riding through the dirt, catching some air really high after hitting little mountain hills.</t>
  </si>
  <si>
    <t>She speaks in sign language with another rider for a little but before returning toe the dirt to ride some more.</t>
  </si>
  <si>
    <t>v_tn8YmTHinZc</t>
  </si>
  <si>
    <t>woman is standing in kitchen talking to the camera and showing ingredients that are on top of a counter.</t>
  </si>
  <si>
    <t>woman holds a lemon and squeeze it in a plastic water jar and mix it with sugar.</t>
  </si>
  <si>
    <t>woman holds a knife and chop the lemons in small pieces and add soda to the jar and the chopped lemons along with strawberries.</t>
  </si>
  <si>
    <t>v_QFWxdR_C71M</t>
  </si>
  <si>
    <t>A woman uses a piece of chalk on a canvas.</t>
  </si>
  <si>
    <t>She then uses several colors of paint to create an image.</t>
  </si>
  <si>
    <t>When she is done, we see a still life image of an orange on a counter.</t>
  </si>
  <si>
    <t>v_BWanQWn1OYQ</t>
  </si>
  <si>
    <t>A small group of girls are seen walking out onto a lake holding tubes and leads into others riding along in tubes.</t>
  </si>
  <si>
    <t>The people continue riding along the river on the tubes and the camera pans around the large group.</t>
  </si>
  <si>
    <t>The walk off shore and speak to one another followed by the tubes hung up and the bus parked.</t>
  </si>
  <si>
    <t>v_Z7zc7zs5Zj8</t>
  </si>
  <si>
    <t>A woman is seen walking down a set of stairs and begins performing a routine in front of a large audience.</t>
  </si>
  <si>
    <t>The woman continues dancing around the stage while a group of people play instruments behind her.</t>
  </si>
  <si>
    <t>v_j5SX_9JKtfs</t>
  </si>
  <si>
    <t>cleaning materials sit next to a double sink, then a person puts a bottle with blue liquid next to the cleaning materials.</t>
  </si>
  <si>
    <t>After, the person pours a little bit of blue liquid in the sink and scrubs the sinks with a sponge.</t>
  </si>
  <si>
    <t>After, the person rinse the sinks with water and dries with a cloth.</t>
  </si>
  <si>
    <t>v_cMeMbnjX-pg</t>
  </si>
  <si>
    <t>A man is skating on an indoor rink with a sweeper as people watch.</t>
  </si>
  <si>
    <t>He cleans the floor as people try to talk to him.</t>
  </si>
  <si>
    <t>A man falls and slides, and another grabs him in a fight.</t>
  </si>
  <si>
    <t>v_JFupxdGxgPQ</t>
  </si>
  <si>
    <t>Several men stand in a dirt arena.</t>
  </si>
  <si>
    <t>Several other men sit on horses.</t>
  </si>
  <si>
    <t>A gate opens and a calf runs out closely followed by a man on a horse.</t>
  </si>
  <si>
    <t>The man on the horse throws a lasso around the calf's neck yanking the calf back to land on it's back.</t>
  </si>
  <si>
    <t>The man jumps from his horse and runs over and ties up the calf.</t>
  </si>
  <si>
    <t>The man gets up and walks back to get on his horse.</t>
  </si>
  <si>
    <t>Several men run over to free the calf as it gets up and runs away.</t>
  </si>
  <si>
    <t>v_8L1xXJvKuv4</t>
  </si>
  <si>
    <t>A group of people are swimming in an indoor pool with other swimmers standing on the side of the pool watching.</t>
  </si>
  <si>
    <t>The children on the sidelines are jumping up and down with swim caps and swimsuits on as they watch the people who are already in the pool swim.</t>
  </si>
  <si>
    <t>A person walks by the camera as the shaky camera focuses on the people who are already in the pool swimming.</t>
  </si>
  <si>
    <t>v_AkeJ-lJLNkw</t>
  </si>
  <si>
    <t>Two people are seen performing various kicks and tricks around one another while a large group of people watch on the sides.</t>
  </si>
  <si>
    <t>More continue kicking around one another in the middle of the circle while others watch and react on the side.</t>
  </si>
  <si>
    <t>v_f00gW6PbWDE</t>
  </si>
  <si>
    <t>A young man wearing blue jeans and a blue and white plaid long sleeved button up shirt is sitting on the ground with his legs wide opened on a board that has numbers on it in a triangular shape.</t>
  </si>
  <si>
    <t>There are two elderly women holding sticks, and they are getting ready to hit the disks across the board into the man's crotch while 5 men are standing alongside the board watching and cringing.</t>
  </si>
  <si>
    <t>The woman shoves the disk across the board and it hits the man in the crotch, the second woman shoves the disc across the board and it hits the man in the crotch very hard and the guys all laugh and gringe then help the guy up.</t>
  </si>
  <si>
    <t>v_NfVL1o5HMEo</t>
  </si>
  <si>
    <t>A gymnast is seen rubbing his hands together and walks over to a set of uneven bars and raises his hands up.</t>
  </si>
  <si>
    <t>The man performs a routine on the bars while hundreds of people watch on the sidelines.</t>
  </si>
  <si>
    <t>He jumps down, waves his arms in the air, and walks over to high five his coach afterwards.</t>
  </si>
  <si>
    <t>v_x0cSfzhQRAs</t>
  </si>
  <si>
    <t>A man walks across a rope suspended between two mountains high in the air using his arms for balance.</t>
  </si>
  <si>
    <t>A man walks across a suspended rope high in the air, losing balance at one point and holding on to the rope with his hands and feet wrapped around the rope.</t>
  </si>
  <si>
    <t>The man then is able to hoist himself back enough on the rope to sit on it with the rope between his legs.</t>
  </si>
  <si>
    <t>v_NqYEX8tUjYg</t>
  </si>
  <si>
    <t>A person is seen performing a trick on a snowboard followed by more a woman speaking to the camera.</t>
  </si>
  <si>
    <t>Several more clips are shown of people riding snowboards and performing tricks on a board.</t>
  </si>
  <si>
    <t>More people are seen riding on a board and speaking to the camera.</t>
  </si>
  <si>
    <t>v_Tbo7I63oIms</t>
  </si>
  <si>
    <t>A person ski over a ski rail and spins in the air, then land stand on the snow.</t>
  </si>
  <si>
    <t>The person ski over a ramp and fly in the air very high.</t>
  </si>
  <si>
    <t>Then, the person ski over the rails of a home turning ans spinning and then land on the street.</t>
  </si>
  <si>
    <t>Then, a person ski over the fence of a walking bridge and also ski on the stairs.</t>
  </si>
  <si>
    <t>v_6S9NCdsUxfE</t>
  </si>
  <si>
    <t>A man is seen waxing a set of skis while looking back to speak to the camera.</t>
  </si>
  <si>
    <t>The man continues moving his arms up and down the skis while looking up to speak at the camera every once and a while.</t>
  </si>
  <si>
    <t>v_uM6ErLnAGW4</t>
  </si>
  <si>
    <t>Carved pepper jack-o-lanterns are seen prepared.</t>
  </si>
  <si>
    <t>A woman uses a knife to carve out the center and facial features of a bell pepper then places in a dish.</t>
  </si>
  <si>
    <t>The woman adds chopped vegetables, salsa, and eggs to a large bowl.</t>
  </si>
  <si>
    <t>The woman uses a spatula to mix everything together.</t>
  </si>
  <si>
    <t>A spoon is used to add ingredients into the hollow bell peppers.</t>
  </si>
  <si>
    <t>Cheese is added to the tops of the bell peppers and the tops are placed back on them.</t>
  </si>
  <si>
    <t>The bell peppers are removed from the dish and put on a plate.</t>
  </si>
  <si>
    <t>the finished bell peppers are seen on the cutting board.</t>
  </si>
  <si>
    <t>A woman adds ingredients to a casserole dish.</t>
  </si>
  <si>
    <t>v_lxlXHOHSOlk</t>
  </si>
  <si>
    <t>Ships are shown in the water.</t>
  </si>
  <si>
    <t>Men are walking on a street.</t>
  </si>
  <si>
    <t>A man in a yellow shirt is riding on a boat.</t>
  </si>
  <si>
    <t>People watching the men in the boat are applauding.</t>
  </si>
  <si>
    <t>v_w24Pub_hNSw</t>
  </si>
  <si>
    <t>A woman is seated, a man is standing, and a little girl is climbing on playground equipment.</t>
  </si>
  <si>
    <t>She drops down, hanging from the monkey bars as she pretends to kick the man.</t>
  </si>
  <si>
    <t>She swings to the end, and lands in another man's arms.</t>
  </si>
  <si>
    <t>v_8slE1UskRS4</t>
  </si>
  <si>
    <t>Three people are standing outside under a very large concrete gazebo and briefly the white word "MARANHAO" is on the right side of the screen.</t>
  </si>
  <si>
    <t>A man with an instrument starts walking towards the three people and he begins to adjust his instrument.</t>
  </si>
  <si>
    <t>Two of the people start dancing, the woman starts singing, then all the people are now holding instruments and are smiling as they start playing their instruments, dancing, and singing together.</t>
  </si>
  <si>
    <t>v_zwQYVBQnn4o</t>
  </si>
  <si>
    <t>This man is shown lifting a very heavy weight in the beginning of the video.</t>
  </si>
  <si>
    <t>Then another man does the same thing and he lifts it successfully.</t>
  </si>
  <si>
    <t>When he's done, someone comes on stage and gives him a hug.</t>
  </si>
  <si>
    <t>He is then given a medal.</t>
  </si>
  <si>
    <t>v_v8Dqgro-f-U</t>
  </si>
  <si>
    <t>We see a gym filled with people watching as people jump rope.</t>
  </si>
  <si>
    <t>We see the outside of the building and a man is interviewed with shots of the inside cut in.</t>
  </si>
  <si>
    <t>We watch girl perform see ladies serving snacks and watch another person perform.</t>
  </si>
  <si>
    <t>We see girls interviewed outside the main room and scenes from inside the gym.</t>
  </si>
  <si>
    <t>We see people on bleachers and kids jumping.</t>
  </si>
  <si>
    <t>We then see the blue ending screen.</t>
  </si>
  <si>
    <t>v_DCKwTvFrA6Q</t>
  </si>
  <si>
    <t>The woman introduces herself in the beginning of the video and then different pictures are shown.</t>
  </si>
  <si>
    <t>She also talks about the fun you can have in Chicago and her big production of being the black widow.</t>
  </si>
  <si>
    <t>v_5Qav3tLfiZA</t>
  </si>
  <si>
    <t>The man in dark blue shirt is kneeling with one knee.</t>
  </si>
  <si>
    <t>The man is dribbling the blue ball.</t>
  </si>
  <si>
    <t>The man is dribbling the ball on his side.</t>
  </si>
  <si>
    <t>v_5sUctxaAFrw</t>
  </si>
  <si>
    <t>Several pictures are shown in the beginning of old roofs as well as new roofs and people working on top of these roofs.</t>
  </si>
  <si>
    <t>More shots are shown of people spraying down the roofs and looking away from the camera.</t>
  </si>
  <si>
    <t>v_ZL7xefcDWYc</t>
  </si>
  <si>
    <t>A gymnast is performing on the bars while a crowds is watching.</t>
  </si>
  <si>
    <t>At the end, the gymnast flips around the bars and jump on the mattress.</t>
  </si>
  <si>
    <t>v_sd2MhdKdQTo</t>
  </si>
  <si>
    <t>A woman is seen sitting on stage while singing into a microphone and people sitting behind her playing instruments.</t>
  </si>
  <si>
    <t>The girl continues singing with the band and ending by speaking to the audience.</t>
  </si>
  <si>
    <t>v_rWfi4xN3XQI</t>
  </si>
  <si>
    <t>A woman stands next to a horse in a field.</t>
  </si>
  <si>
    <t>"HJCTV presents: Grooming your horse 101" is overlaid.</t>
  </si>
  <si>
    <t>A woman stands in a stall with a horse with a grooming brush, she starts brushing it.</t>
  </si>
  <si>
    <t>Two girls stand outdoors with another horse and brush it.</t>
  </si>
  <si>
    <t>The first woman returns with a new brush and allows children to help brush the horse.</t>
  </si>
  <si>
    <t>v_0PLaN0hmMDY</t>
  </si>
  <si>
    <t>A person holds a ring in a small box.</t>
  </si>
  <si>
    <t>Then, the man wraps the box with gift paper.</t>
  </si>
  <si>
    <t>After, the man tries to find the end of a scotch tape roll, but he can not find it.</t>
  </si>
  <si>
    <t>The man cuts the excess of paper and put take on the gift.</t>
  </si>
  <si>
    <t>v_l3k_7ydV74A</t>
  </si>
  <si>
    <t>Four men perform a wrestling stunt in costume while standing on an elevated, lit, stage in front of a seated audience.</t>
  </si>
  <si>
    <t>Two men in black lift one man in a blue shiny outfit, up, on their shoulders.</t>
  </si>
  <si>
    <t>The two men in black place the man in blue's legs around the neck of another man, the biggest man on the stage, who is also dressed in black.</t>
  </si>
  <si>
    <t>The large man in black then takes the man in blue and slams him down, off the stage and onto a table next to the stage, at which point the man lands with a force that breaks the table in two causing the man to fall to the floor under the table.</t>
  </si>
  <si>
    <t>v_j82E082KJSw</t>
  </si>
  <si>
    <t>There are two teams playing volley ball in an indoor stadium in front of a large number of spectators.</t>
  </si>
  <si>
    <t>The green and yellow team is playing against the red team.</t>
  </si>
  <si>
    <t>The players dive up high to throw the ball across the net to their opposing team.</t>
  </si>
  <si>
    <t>Then the green and yellow team plays against the blue team.</t>
  </si>
  <si>
    <t>The red team is back to play with the green and yellow team.</t>
  </si>
  <si>
    <t>Then the blue team returns to play against the green and yellow team.</t>
  </si>
  <si>
    <t>The volley ball game continues as the red team and blue team alternately play with their opponents.</t>
  </si>
  <si>
    <t>v_d6uMS_ZgMg4</t>
  </si>
  <si>
    <t>A camera pans all around a piece of exercise equipment followed by a woman riding on it.</t>
  </si>
  <si>
    <t>A person is seen adjusting the settings of the bike as well as riding around and drinking water.</t>
  </si>
  <si>
    <t>More shots are shown of the woman adjusting the machine as well as rolling it away and continuing to ride.</t>
  </si>
  <si>
    <t>v_QESBvmN1hcM</t>
  </si>
  <si>
    <t>A small group of people are seen swimming around a pool and lead into several clips of people playing the game as well as celebrating.</t>
  </si>
  <si>
    <t>Various people are then seen speaking to the camera followed by more clips of the game being shown and people celebrating.</t>
  </si>
  <si>
    <t>v_yzmPtZyuo4s</t>
  </si>
  <si>
    <t>An African American male athlete is walking preparing himself to run.</t>
  </si>
  <si>
    <t>The male then begins to run from an angle towards the mat and does a high jump clearing the bar.</t>
  </si>
  <si>
    <t>A replay is shown and the crowd begins to cheer for him.</t>
  </si>
  <si>
    <t>v_Z9pWpZK4k2M</t>
  </si>
  <si>
    <t>Two men, a woman, and a toddler are walking down the road but all of the adults have on Kangaroo shoes.</t>
  </si>
  <si>
    <t>People continue to walk pass them and the two males begin jumping extremely high as the lady walks away with the child.</t>
  </si>
  <si>
    <t>The four individuals then move in front of a building and start hoping around then eventually to a set of steps in what looks to be a court yard.</t>
  </si>
  <si>
    <t>v_-V00wKlFJA0</t>
  </si>
  <si>
    <t>A man is seen standing in a garage and proceeds to play a set of bagpipes.</t>
  </si>
  <si>
    <t>The man continues playing the instrument while moving his hands around and stops in the end to turn off the camera.</t>
  </si>
  <si>
    <t>v_bVOD0M4LCEY</t>
  </si>
  <si>
    <t>Several pairs of people are out in the desert holding a selfie stick as they travel around on camels.</t>
  </si>
  <si>
    <t>As they continue,some people come around and begin to film the people with their own camera.</t>
  </si>
  <si>
    <t>Now,a line of people are in the sand just standing around watching them as the people on the camel begin to talk back to them.</t>
  </si>
  <si>
    <t>v_9-XGzUTSsuI</t>
  </si>
  <si>
    <t>A white screen appears and green letters appear in the middle of the screen and read "eHow"and changes to a blue screen that has a large white word that reads "health" under a small white square that contains the green eHow.</t>
  </si>
  <si>
    <t>A man wearing athletic clothing is standing in an indoor gym doing some fighting exercises and when he stops to talk, a banner on the bottom left say his name is Steve Hess and he's a Personal Trainer.</t>
  </si>
  <si>
    <t>While talking the man is also doing arm and leg movements and the camera is zoomed out to show his whole body.</t>
  </si>
  <si>
    <t>When the man is done the same blue screen from the beginning appears and ends with the same white screen with the green eHow written in the middle.</t>
  </si>
  <si>
    <t>v_paY7wXmzcTQ</t>
  </si>
  <si>
    <t>A person is seen standing on a pair of skis while others move around an area.</t>
  </si>
  <si>
    <t>One person sits on a tube while others walk from behind.</t>
  </si>
  <si>
    <t>A person then kicks the person n the tube down the hill.</t>
  </si>
  <si>
    <t>v_aeEMrTpNUss</t>
  </si>
  <si>
    <t>A man steps up to a set of uneven bars while a man does flips behind him and begins performing a gymnastics routine.</t>
  </si>
  <si>
    <t>The man flips and spins himself around on the bars and ends by jumping down and waving his hands up.</t>
  </si>
  <si>
    <t>v_FFZOmzFc_us</t>
  </si>
  <si>
    <t>A man is seen wearing an apron in front of sink stacked with many dishes.</t>
  </si>
  <si>
    <t>The man begins washing the dishes in a quick motion and throwing them into a pile.</t>
  </si>
  <si>
    <t>The man continues washing the dishes while looking back to the camera.</t>
  </si>
  <si>
    <t>v_n1LmL6_vxKs</t>
  </si>
  <si>
    <t>A man is seen bending down before a large weight while looking off into the distance.</t>
  </si>
  <si>
    <t>He then picks the weight up over his head.</t>
  </si>
  <si>
    <t>Finally he throws the weight down on the floor.</t>
  </si>
  <si>
    <t>v_PAF5AIQNXhs</t>
  </si>
  <si>
    <t>A baby is seated in a swing, rocking gently.</t>
  </si>
  <si>
    <t>A little girl is seen swinging herself back and forth.</t>
  </si>
  <si>
    <t>Then a toddler and baby look at each other as they continue to lightly swing.</t>
  </si>
  <si>
    <t>v_1V0TqgcXSVk</t>
  </si>
  <si>
    <t>A woman is standing in a room, surrounded by yoga gear.</t>
  </si>
  <si>
    <t>She then shows how to use a stepper to exercise, stepping on and off, side to side.</t>
  </si>
  <si>
    <t>She talks a little longer about the exercise.</t>
  </si>
  <si>
    <t>v_Wzpyu5NEqZ4</t>
  </si>
  <si>
    <t>Men are playing wall ball in a room against each other.</t>
  </si>
  <si>
    <t>A man in a red shirt and glasses is talking.</t>
  </si>
  <si>
    <t>A man in a black shirt talks to a man in a red shirt.</t>
  </si>
  <si>
    <t>Papers are being shown on the screen.</t>
  </si>
  <si>
    <t>The man continues to talk to the microphone.</t>
  </si>
  <si>
    <t>A man in a black shirt is talking.</t>
  </si>
  <si>
    <t>The men are playing more wall ball.</t>
  </si>
  <si>
    <t>v_UCBAyJpXuCw</t>
  </si>
  <si>
    <t>People are on a stage playing instruments.</t>
  </si>
  <si>
    <t>A man in a black shirt is playing a drum set.</t>
  </si>
  <si>
    <t>A man in a green shirt plays a guitar at the front of the stage.</t>
  </si>
  <si>
    <t>v_xq7Gr0FUwpo</t>
  </si>
  <si>
    <t>Two scientist throws stones in the water while talking.</t>
  </si>
  <si>
    <t>Scientist writes a formula on a board, then the scientists run and jumps in the water.</t>
  </si>
  <si>
    <t>Then, people water ski in the water pulling by a boat.</t>
  </si>
  <si>
    <t>A woman water ski while two men explains the movements made by the girl.</t>
  </si>
  <si>
    <t>After, a man water ski holding a water sky rope tie to a pole while a person watch, then he falls in the water.</t>
  </si>
  <si>
    <t>After, a person water ski and then falls in the water.</t>
  </si>
  <si>
    <t>v_5HLW2AI1Ink</t>
  </si>
  <si>
    <t>A swimmer is shown putting on his goggles and spreading his hands out before he dives into a pool.</t>
  </si>
  <si>
    <t>A side view of the man is shown as he does the side stroke underneath the water.</t>
  </si>
  <si>
    <t>The male continues to swim and several techniques of his are highlighted such as the way his hand is cuffed and the position of his legs.</t>
  </si>
  <si>
    <t>v_I4mFeQwqjnE</t>
  </si>
  <si>
    <t>The credits of the clips are shown.</t>
  </si>
  <si>
    <t>People in black play dodge ball on a court.</t>
  </si>
  <si>
    <t>A guy dives to the ground to prevent ball from hitting him.</t>
  </si>
  <si>
    <t>v_UsqhZb0co6o</t>
  </si>
  <si>
    <t>A man is laying in bed and looks at his phone.</t>
  </si>
  <si>
    <t>He runs into a room and gets dressed.</t>
  </si>
  <si>
    <t>He sits down on his bed and puts shoes on.</t>
  </si>
  <si>
    <t>He stands up and runs out the door.</t>
  </si>
  <si>
    <t>v_czh5nNO_Eow</t>
  </si>
  <si>
    <t>A black screen appears with white words that read "How to Paint a Paneled Door".</t>
  </si>
  <si>
    <t>A man then appears in front of a red door that is leaning up against a wall that has plastic on it, and he's talking and touching the door.</t>
  </si>
  <si>
    <t>The man then grabs a paint brush and begins painting on paints various parts of the door while continuing to talk.</t>
  </si>
  <si>
    <t>The man stops painting, and begins talking as he points at a few things on the door.</t>
  </si>
  <si>
    <t>A black screen appears with white words that include a website if someone wants more information.</t>
  </si>
  <si>
    <t>v_eL4Ce4WPI0Y</t>
  </si>
  <si>
    <t>A woman is seen wiping off her feet and stepping into a circle pit.</t>
  </si>
  <si>
    <t>The woman then spins around and throws a discuss off into the air while the camera follows her.</t>
  </si>
  <si>
    <t>v_ItpDcSURusI</t>
  </si>
  <si>
    <t>A professional diver named Pandelela Rinong is getting ready to dive in a competition.</t>
  </si>
  <si>
    <t>She goes forward on the diving board and does a backward dive into the pool from several feet.</t>
  </si>
  <si>
    <t>She twists her body as she dives down into the pool.</t>
  </si>
  <si>
    <t>After she's done, she smiles and walks out of the pool.</t>
  </si>
  <si>
    <t>v_JGStyHrlN2U</t>
  </si>
  <si>
    <t>Several player on horseback are playing cricket on a field.</t>
  </si>
  <si>
    <t>All players ride their horses to one side of the field.</t>
  </si>
  <si>
    <t>The ride around and around as the try to hit the cricket ball.</t>
  </si>
  <si>
    <t>The ball is hit into the middle of the field away from all the players.</t>
  </si>
  <si>
    <t>v_CJCONq_i1cQ</t>
  </si>
  <si>
    <t>We see a man in a driveway cleaning snow from his car.</t>
  </si>
  <si>
    <t>The man cleans the snow under his windshield wipers.</t>
  </si>
  <si>
    <t>We see the building behind the car.</t>
  </si>
  <si>
    <t>We do a 360 spin to see the parking lot.</t>
  </si>
  <si>
    <t>The man opens the doors on his car and gets in.</t>
  </si>
  <si>
    <t>The man backs out and and gets out of the car.</t>
  </si>
  <si>
    <t>v_ZluOmpTPdWw</t>
  </si>
  <si>
    <t>A group of people seen running around a sandy field playing a soccer match in front of a large crowd.</t>
  </si>
  <si>
    <t>The people continue kick the ball around with several more balls being thrown in as well.</t>
  </si>
  <si>
    <t>v_E2KlBkQJyzU</t>
  </si>
  <si>
    <t>Two people are seen sitting on a ski bench putting on gear and leads into people pushing a puck around a hockey rink.</t>
  </si>
  <si>
    <t>Several shots are shown of the players skating around the ice and playing the sport of hockey.</t>
  </si>
  <si>
    <t>In the end they all kneel down next to one another and skate away.</t>
  </si>
  <si>
    <t>v_tlNpR7CkM-4</t>
  </si>
  <si>
    <t>A man is shown inside a church.</t>
  </si>
  <si>
    <t>He is playing a set of bagpipes while wearing a kilt.</t>
  </si>
  <si>
    <t>He continues to play, not moving.</t>
  </si>
  <si>
    <t>v_az-UGTdlbaA</t>
  </si>
  <si>
    <t>A woman in a black top and shorts wears boxing gloves.</t>
  </si>
  <si>
    <t>She spares with a man in black.</t>
  </si>
  <si>
    <t>She kicks and hits at him.</t>
  </si>
  <si>
    <t>She does several different exercises.</t>
  </si>
  <si>
    <t>v_K0XdsHfUpco</t>
  </si>
  <si>
    <t>Players play croquet in a lawn.</t>
  </si>
  <si>
    <t>A guy plays a bag pipe on the croquet field.</t>
  </si>
  <si>
    <t>Players shake hands to demonstrate sportsmanship.</t>
  </si>
  <si>
    <t>Players carry a huge check.</t>
  </si>
  <si>
    <t>A guy steps out of a line and charges at the camera.</t>
  </si>
  <si>
    <t>v_QWXzDdMjZOw</t>
  </si>
  <si>
    <t>A man holds a saxophone, then he takes out the neck and blows the mouthpiece while talking.</t>
  </si>
  <si>
    <t>Then, the man puts on the neck in the saxophone and shows the keys while talking.</t>
  </si>
  <si>
    <t>Then, the man plays the saxophone while explaining.</t>
  </si>
  <si>
    <t>v_4KgCkxpsN2g</t>
  </si>
  <si>
    <t>People are in a large yellow raft going down a water fall.</t>
  </si>
  <si>
    <t>A man in a boat is going down the river.</t>
  </si>
  <si>
    <t>Several pictures of rafters are displayed on the screen.</t>
  </si>
  <si>
    <t>Rafters are going down a rough hill and hitting the rocks.</t>
  </si>
  <si>
    <t>v_rHD_vDxPpDA</t>
  </si>
  <si>
    <t>A shoe is cleaned with a toothbrush by a sink.</t>
  </si>
  <si>
    <t>The counter is wiped with a towel.</t>
  </si>
  <si>
    <t>The shoe is cleaned more with the toothbrush and a towel.</t>
  </si>
  <si>
    <t>v_IB068eD8A7Y</t>
  </si>
  <si>
    <t>We see a man and a small boy holding a bow and arrow in a field.</t>
  </si>
  <si>
    <t>The boy shoots the arrow stretches and shoots more arrows.</t>
  </si>
  <si>
    <t>We see the man shoot three arrows and see the target.</t>
  </si>
  <si>
    <t>We see the boy as he tries to shoot balloons on the target and misses them all.</t>
  </si>
  <si>
    <t>The boy walks away and we see lady shoot two arrows and turn and kiss her hand.</t>
  </si>
  <si>
    <t>v_M_hfBH8xEig</t>
  </si>
  <si>
    <t>Blue text talks about the description of the video.</t>
  </si>
  <si>
    <t>Some boys are shown performing backetball layups, one after the other.</t>
  </si>
  <si>
    <t>One boy continuously does layups until the end.</t>
  </si>
  <si>
    <t>v_ZzarNWOJnro</t>
  </si>
  <si>
    <t>A man picks up an ax.</t>
  </si>
  <si>
    <t>He swings it at a piece of wood on a stump.</t>
  </si>
  <si>
    <t>He picks another one up and chops it.</t>
  </si>
  <si>
    <t>v_17ODXa4CEmI</t>
  </si>
  <si>
    <t>A person puts slices of lemon over two glasses of lemonade with ice.</t>
  </si>
  <si>
    <t>Then, the person pours water and adds sugar in a pot to make syrup.</t>
  </si>
  <si>
    <t>The person press hard a lemon, and then cuts the lemmons and squeeze them using an electric citrus juicer.</t>
  </si>
  <si>
    <t>next, the person pours a glass of water in a jar, then adds the syrup, the lemon juice, slices of lemon and ice.</t>
  </si>
  <si>
    <t>Then the person serves the lemonade.</t>
  </si>
  <si>
    <t>v_P49Ci0Ph8eU</t>
  </si>
  <si>
    <t>A gymnast stands before a large crowd in an arena and puts his hands up.</t>
  </si>
  <si>
    <t>He begins his routine that involves many flips and rotations.</t>
  </si>
  <si>
    <t>The crowd sits silently while he does this.</t>
  </si>
  <si>
    <t>He does a handstand and a series of more rotations and flips before dismounting.</t>
  </si>
  <si>
    <t>He claps as the crowd cheers him on after his routine is over.</t>
  </si>
  <si>
    <t>v_GYh4XH7jUL4</t>
  </si>
  <si>
    <t>A person dives off a board into a pool.</t>
  </si>
  <si>
    <t>They come up from under the water.</t>
  </si>
  <si>
    <t>v_xH_1O0mckTU</t>
  </si>
  <si>
    <t>man is standing in street holding a board and skateboarding through the street.</t>
  </si>
  <si>
    <t>man is walking in a yard and doing jumps and talking to a microphone.</t>
  </si>
  <si>
    <t>v_U01xasUtlvw</t>
  </si>
  <si>
    <t>a man is outside wearing a superman shirt.</t>
  </si>
  <si>
    <t>He spins in circles, looking around.</t>
  </si>
  <si>
    <t>He finds a broken bike, and repairs it while an angry man yells at him.</t>
  </si>
  <si>
    <t>v_6LOfAoP4Mg8</t>
  </si>
  <si>
    <t>A man is shown sanding a wall and laying out a large piece of water paper across the wall.</t>
  </si>
  <si>
    <t>He continues pushing the paper into the wall and sanding it from behind.</t>
  </si>
  <si>
    <t>v_XQ4owd3yQ_4</t>
  </si>
  <si>
    <t>A man pushes a table into the sand.</t>
  </si>
  <si>
    <t>He is then shown surfing on the bottom of the table in the ocean, gliding across a wave.</t>
  </si>
  <si>
    <t>Another angle is shown with the surfer effortlessly riding a wave on a table.</t>
  </si>
  <si>
    <t>He crashes along with the wave.</t>
  </si>
  <si>
    <t>v_x_BIktHkEc4</t>
  </si>
  <si>
    <t>A man wearing headphones is in a studio, speaking into a microphone.</t>
  </si>
  <si>
    <t>Other men are shown, one of which begins playing a harmonica.</t>
  </si>
  <si>
    <t>He stops playing and says something that makes the DJ laugh.</t>
  </si>
  <si>
    <t>v_pv6CNBFhgCU</t>
  </si>
  <si>
    <t>A machine draws a face on a pumpkin.</t>
  </si>
  <si>
    <t>The lights turn off and it shows the carved pumpkin turned on.</t>
  </si>
  <si>
    <t>It shows the pumpkin in the light.</t>
  </si>
  <si>
    <t>v_HVhLOYGU9E4</t>
  </si>
  <si>
    <t>A large semi truck is driving in the rain.</t>
  </si>
  <si>
    <t>Then we see boys riding skateboards outside a house.</t>
  </si>
  <si>
    <t>They perform several stunts on a board in the driveway.</t>
  </si>
  <si>
    <t>v_d4prmED8v-w</t>
  </si>
  <si>
    <t>A pole vaulter runs up and launches himself over the bar.</t>
  </si>
  <si>
    <t>The vaulter introduces his challenge to the camera, which is to make it over ten times in a row in 20 minutes.</t>
  </si>
  <si>
    <t>He launches himself over 10 times successfully and easily gets under the 20 minute limit.</t>
  </si>
  <si>
    <t>v_6AwS8vWMwSA</t>
  </si>
  <si>
    <t>We see a man and a woman playing competitive rock paper scissors cut with scenes of the crowd.</t>
  </si>
  <si>
    <t>We see a man with a mustache clapping.</t>
  </si>
  <si>
    <t>The lady wins and the man in the suit raises her hand.</t>
  </si>
  <si>
    <t>The man and the woman shake each others hands.</t>
  </si>
  <si>
    <t>The man in the game shakes his head as he turns around.</t>
  </si>
  <si>
    <t>v_jBKlpn2mE8I</t>
  </si>
  <si>
    <t>A woman walks into a backyard, and flips her hair forward.</t>
  </si>
  <si>
    <t>She brushes her hair for a long time, smoothing and tossing it.</t>
  </si>
  <si>
    <t>She then walks away from the camera, continuing to brush.</t>
  </si>
  <si>
    <t>She stands upright, then bends over to brush some more.</t>
  </si>
  <si>
    <t>v_icOO9whIgX8</t>
  </si>
  <si>
    <t>A yellow frame with girls playing Lacross opens up the video.</t>
  </si>
  <si>
    <t>A game of girls Lacross is going on as different slides are shown.</t>
  </si>
  <si>
    <t>The game ends with a penalty shot.</t>
  </si>
  <si>
    <t>v_-G-sh-NhYtk</t>
  </si>
  <si>
    <t>A person in a black coat is shoveling show from a driveway.</t>
  </si>
  <si>
    <t>A man is being shown standing in a garage.</t>
  </si>
  <si>
    <t>v_r7Z5Pm3pKMA</t>
  </si>
  <si>
    <t>We see a man and people entering a stadium.</t>
  </si>
  <si>
    <t>We switch to people on teams, and military marching in a yard.</t>
  </si>
  <si>
    <t>People are playing a game with sticks.</t>
  </si>
  <si>
    <t>We see a group of people on a team standing in a a circle.</t>
  </si>
  <si>
    <t>We see a man walking down the street then a person sitting on the sidewalk.</t>
  </si>
  <si>
    <t>v_BdKxwCdax_w</t>
  </si>
  <si>
    <t>A man is standing in a room in front of a mirror talking.</t>
  </si>
  <si>
    <t>He gets down on his knees and stands on his head.</t>
  </si>
  <si>
    <t>He moves around in a circle on his head and spins.</t>
  </si>
  <si>
    <t>v_fgEMvRrOCRI</t>
  </si>
  <si>
    <t>There are players, one in yellow and the other in red hurling in an open air stadium.</t>
  </si>
  <si>
    <t>They are part of a team that is playing in the large stadium with several spectators.</t>
  </si>
  <si>
    <t>The video is demonstrating how to catch the ball and scoop it up with the stick.</t>
  </si>
  <si>
    <t>It also demonstrates how to balance the ball on the stick as the player runs.</t>
  </si>
  <si>
    <t>The players are showing all the steps in the tutorial where the one of the player shoots the ball bravely for a point.</t>
  </si>
  <si>
    <t>There's a player in a blue and white uniform shooting the ball for a point and scoring a goal.</t>
  </si>
  <si>
    <t>v_x2CZHFxoZaM</t>
  </si>
  <si>
    <t>A man is crossing the finish line of a race.</t>
  </si>
  <si>
    <t>Lots of people are running in a race.</t>
  </si>
  <si>
    <t>People are running down a dirt road.</t>
  </si>
  <si>
    <t>v_EEaLID3z9tM</t>
  </si>
  <si>
    <t>A group of four young girls are standing beside each other in the bathroom and they chug something.</t>
  </si>
  <si>
    <t>They are swishing it in their mouths and almost all of them have their hands over their mouths.</t>
  </si>
  <si>
    <t>One of them spits it out in the sink and the other three are trying to carry on.</t>
  </si>
  <si>
    <t>They are having a really hard time and eventually they all spit out and one girl wins.</t>
  </si>
  <si>
    <t>v_jvQU6RyhY7I</t>
  </si>
  <si>
    <t>A woman has a bandana tied around her eyes.</t>
  </si>
  <si>
    <t>She uses a stick to swing at a pinata.</t>
  </si>
  <si>
    <t>She hits the pinata numerous times.</t>
  </si>
  <si>
    <t>v_TMnmi7WJr_o</t>
  </si>
  <si>
    <t>A man is standing outside a tattoo and piercing parlor.</t>
  </si>
  <si>
    <t>He lies down on a bench while a tattoo artist works on a tattoo on his back.</t>
  </si>
  <si>
    <t>He shows a close up of his work, which says thuglife.</t>
  </si>
  <si>
    <t>The man looks at the work in the mirror.</t>
  </si>
  <si>
    <t>v_MhWIIdVyWVs</t>
  </si>
  <si>
    <t>A martial arts artists performs slow moves with her arms and legs simultaneously.</t>
  </si>
  <si>
    <t>A man speaks to the camera after the woman finishes her martial arts routine.</t>
  </si>
  <si>
    <t>v_O8TIRkB99Lo</t>
  </si>
  <si>
    <t>A man stands in a doorway talking.</t>
  </si>
  <si>
    <t>The man climbs a ladder and adds a piece of wallpaper to the wall.</t>
  </si>
  <si>
    <t>The man uses a tool before turning to speak then smooths it out.</t>
  </si>
  <si>
    <t>The man speaks and uses another tool to cut a piece off then wipes the ceiling.</t>
  </si>
  <si>
    <t>v_5kdiJ2cC5_w</t>
  </si>
  <si>
    <t>A woman stands holding a violin against herself.</t>
  </si>
  <si>
    <t>The woman plays the violin.</t>
  </si>
  <si>
    <t>The woman stops playing the violin.</t>
  </si>
  <si>
    <t>v_jkmbAc9BWaE</t>
  </si>
  <si>
    <t>There's a man in a red shirt and a checked shirt over it, standing in a park.</t>
  </si>
  <si>
    <t>He throws a rubber tire on the ground.</t>
  </si>
  <si>
    <t>He is standing near a park bench with a skateboard in his hand.</t>
  </si>
  <si>
    <t>He is demonstrating how to do stunts on the skateboard by jumping up on the park bench.</t>
  </si>
  <si>
    <t>He repeats the same stunt over and over again.</t>
  </si>
  <si>
    <t>He falls off the skateboard a couple times but is successful most of the time.</t>
  </si>
  <si>
    <t>Then he holds the skateboard in his hand as he talks while pointing to the bench.</t>
  </si>
  <si>
    <t>v_aOrDnKEJAwQ</t>
  </si>
  <si>
    <t>An "eesa" logo is shown on screen.</t>
  </si>
  <si>
    <t>Two men wearing scuba diving gear in an indoor pool talk to the camera.</t>
  </si>
  <si>
    <t>The camera follows one of the men underwater where numerous manmade obstacles are present.</t>
  </si>
  <si>
    <t>Other men dressed like astronauts are underwater with them.</t>
  </si>
  <si>
    <t>The scuba divers wave goodbye and credits roll.</t>
  </si>
  <si>
    <t>v_BPpq8m93LSI</t>
  </si>
  <si>
    <t>We see balls and paddle and a blue table then a man talks and two men playing table tennis.</t>
  </si>
  <si>
    <t>We see an instructional title screen.</t>
  </si>
  <si>
    <t>The man demonstrates hitting a ball and we see him in play hitting the ball.</t>
  </si>
  <si>
    <t>v_sjyZWmvTGA4</t>
  </si>
  <si>
    <t>Several men are blowing leaves in front of a home.</t>
  </si>
  <si>
    <t>One man is going all throughout the yard to blow the leaves.</t>
  </si>
  <si>
    <t>He clears out in front of the home.</t>
  </si>
  <si>
    <t>He also clears out by the shed.</t>
  </si>
  <si>
    <t>Another man is shown wandering through the yard.</t>
  </si>
  <si>
    <t>v_ckzLOLHjP44</t>
  </si>
  <si>
    <t>We see men on a lacrosse field playing a game.</t>
  </si>
  <si>
    <t>A man hits the ball and the men run on the field.</t>
  </si>
  <si>
    <t>We see a man in red run on the screen and walk back.</t>
  </si>
  <si>
    <t>v_smk2WJV1Zmo</t>
  </si>
  <si>
    <t>woman is in a gym doing leg exercise and abs.</t>
  </si>
  <si>
    <t>thw woman is sitting in a terrace talking to the camera.</t>
  </si>
  <si>
    <t>woman is walking in a sidewalk with a white small dog and enters in a house.</t>
  </si>
  <si>
    <t>the woman is again in the terrace talking to the camera.</t>
  </si>
  <si>
    <t>v_xxXspvK4tEY</t>
  </si>
  <si>
    <t>An elderly woman is sitting on the couch with a young girl, showing her how to thread yard onto a knitting hook.</t>
  </si>
  <si>
    <t>The girl smiles and laughs as she figures out how to handle it.</t>
  </si>
  <si>
    <t>v_SwXGVQXyXkQ</t>
  </si>
  <si>
    <t>A man sits in a barber chair.</t>
  </si>
  <si>
    <t>The barber begins to shave his head.</t>
  </si>
  <si>
    <t>He shaves stars into his head.</t>
  </si>
  <si>
    <t>The design is intricately done.</t>
  </si>
  <si>
    <t>v_S2jbh7QMrKc</t>
  </si>
  <si>
    <t>People surf in the choppy waters of the ocean while a cat sits on a rock.</t>
  </si>
  <si>
    <t>One person surfs on a big wave going to the right, while other surfer gets in a wave to surf and falls but get on the surfboard again.</t>
  </si>
  <si>
    <t>A man surfs on a wave going to the left while other people surfs in the ocean.</t>
  </si>
  <si>
    <t>Suddenly, a man appears rowing a canoe.</t>
  </si>
  <si>
    <t>v_legHHtPK5fA</t>
  </si>
  <si>
    <t>A group of men are standing in a row.</t>
  </si>
  <si>
    <t>They are throwing darts at targets.</t>
  </si>
  <si>
    <t>The people converse as they try to hit their targets.</t>
  </si>
  <si>
    <t>v_QV2QXt6eDdI</t>
  </si>
  <si>
    <t>A young child is seen washing various dishes in a sink while wearing gloves and running them under water.</t>
  </si>
  <si>
    <t>The boy continues to stick a bowl under the water while the camera pans around his movements.</t>
  </si>
  <si>
    <t>v_0_BvBpwDMpU</t>
  </si>
  <si>
    <t>A gymnast is seen raising his arm in the air and climbing on top a gymnastics beam.</t>
  </si>
  <si>
    <t>He spins himself around performing various tricks on the beam and finishes by jumping down and smiling to the applauding audience.</t>
  </si>
  <si>
    <t>v_PmyAt4zuLRY</t>
  </si>
  <si>
    <t>a woman wearing butterflies wings costume playing beerpong.</t>
  </si>
  <si>
    <t>a woman is wearing a catty costume is standing behind the table.</t>
  </si>
  <si>
    <t>woman is sitting in front of the table and dance when the woman fails the ball.</t>
  </si>
  <si>
    <t>v_E4PIKUW4v0k</t>
  </si>
  <si>
    <t>A man and a woman stand on a street talking on front a window.</t>
  </si>
  <si>
    <t>A person passes on front the man and the woman.</t>
  </si>
  <si>
    <t>People pass on front the woman and the man.</t>
  </si>
  <si>
    <t>v_F8pv5rFrEm4</t>
  </si>
  <si>
    <t>We see gymnasts in a gym on each other shoulders.</t>
  </si>
  <si>
    <t>They then begin an aerobic dance.</t>
  </si>
  <si>
    <t>The people walk to their steps and step on them.</t>
  </si>
  <si>
    <t>The people moves the steps to the center of the room.</t>
  </si>
  <si>
    <t>A lady does a split on the floor and they finish.</t>
  </si>
  <si>
    <t>The ending title appears on the screen.</t>
  </si>
  <si>
    <t>v_FzdLe1mjk7c</t>
  </si>
  <si>
    <t>There is a wall of paintings then the scene fades out.</t>
  </si>
  <si>
    <t>People are standing on a balcony over looking a soccer event and the screen says Wuzler Cup Finale.</t>
  </si>
  <si>
    <t>Two rows of people are playing table soccer.</t>
  </si>
  <si>
    <t>The ball jumped off the table and a woman put it back into play and a goal was made.</t>
  </si>
  <si>
    <t>There are cheerleaders for this event.</t>
  </si>
  <si>
    <t>The red team won and are showing off their tshirts.</t>
  </si>
  <si>
    <t>The scene changes to a reported behind a desk.</t>
  </si>
  <si>
    <t>v_PxEu0AAH9LI</t>
  </si>
  <si>
    <t>A group of women wearing blue dresses are dancing on a stage in sync they dropped to the ground and the screen fades to black.</t>
  </si>
  <si>
    <t>A woman alone then appears on the stage with white words on the bottom left that say "BALLET D'ORIENT",and a special effect background and she begins to belly dance, then other women join her.</t>
  </si>
  <si>
    <t>The spotlight fades as the routine ends and the screen fades to black.</t>
  </si>
  <si>
    <t>v_f0lxilPpXeM</t>
  </si>
  <si>
    <t>A man and woman are sitting behind a desk talking.</t>
  </si>
  <si>
    <t>A doctor is performing surgery in a room.</t>
  </si>
  <si>
    <t>A woman in a red shirt is standing at a counter talking.</t>
  </si>
  <si>
    <t>A woman wipes her mouth with a napkin.</t>
  </si>
  <si>
    <t>v_YeNlYRWhFzE</t>
  </si>
  <si>
    <t>An intro leads into several shots of a man riding a large wave of a surf board from various angles.</t>
  </si>
  <si>
    <t>One man is then interviewed by the cameraman and is shown again riding large waves in the ocean.</t>
  </si>
  <si>
    <t>Another man is interviewed by the camera and shows off his surfing skills on his board.</t>
  </si>
  <si>
    <t>v_k8ZXFB6xqZs</t>
  </si>
  <si>
    <t>A man is outside in a tennis court talking while he is holding a tennis racket.</t>
  </si>
  <si>
    <t>He goes on the court and with the racket and a ball from his pocket and hits it.</t>
  </si>
  <si>
    <t>He gives some very detailed information a for a while, tennis seems to be something he knows about very well.</t>
  </si>
  <si>
    <t>He shows how you should hit the ball properly and goes on talking some more.</t>
  </si>
  <si>
    <t>v_tkHJgKq3jTs</t>
  </si>
  <si>
    <t>woman is in an offece talking to a men that are decorating a christmas tree.</t>
  </si>
  <si>
    <t>man talks to the one who was standing by the tree and gives him a barbie.</t>
  </si>
  <si>
    <t>man walks to a woman and start talking in te corner of the room.</t>
  </si>
  <si>
    <t>man is holding a ball next to the christmas tree putting the balls.</t>
  </si>
  <si>
    <t>v_0IN40z63WAU</t>
  </si>
  <si>
    <t>A man is shown working out on several different pieces of exercise equipment as well as adjusting the settings.</t>
  </si>
  <si>
    <t>The man puts in a USB and continues to ride around on the machines.</t>
  </si>
  <si>
    <t>He adjusts more settings as well as watches tv when he works out and close ups of his feet and body shown.</t>
  </si>
  <si>
    <t>v_bWquUXC2Te8</t>
  </si>
  <si>
    <t>A man is seen looking to the camera wile holding a razor.</t>
  </si>
  <si>
    <t>He begins shaving his face while looking into the mirror.</t>
  </si>
  <si>
    <t>He points to the razor and continues shaving his face and looking to the camera.</t>
  </si>
  <si>
    <t>v_GSXP6BYeS-o</t>
  </si>
  <si>
    <t>1 A guy shows the tools to clip his cats nails.</t>
  </si>
  <si>
    <t>2 The guy wraps up the cat.</t>
  </si>
  <si>
    <t>3 The Guy cut the cats nails and the cat tries to bite him a few times.</t>
  </si>
  <si>
    <t>4 The guy lets the cat go.</t>
  </si>
  <si>
    <t>v_etqiXPKlthk</t>
  </si>
  <si>
    <t>A young man drinks six bottles of beer while a person stand on front him holding a chronometer.</t>
  </si>
  <si>
    <t>Then, the young man spits beer on the person who fall on the ground.</t>
  </si>
  <si>
    <t>After, the person stand sand take off his pants and t-shirt, then he crowls on the grass.</t>
  </si>
  <si>
    <t>v_l0aksT_7wKo</t>
  </si>
  <si>
    <t>A man is seen laying on the floor while speaking out loud and crossing his arms overs his chest.</t>
  </si>
  <si>
    <t>The man then does several crunches in various ways and ends by speaking to the camera.</t>
  </si>
  <si>
    <t>v_VcyO9tZ3NkY</t>
  </si>
  <si>
    <t>A roof is repaired by PVC.</t>
  </si>
  <si>
    <t>The roof is cleaned and the seal is made again.</t>
  </si>
  <si>
    <t>v_Q7R3ajucvyE</t>
  </si>
  <si>
    <t>The boy holds open his eyelids and places in a contact lens.</t>
  </si>
  <si>
    <t>The man tilts back his head and closes his eyes to adjust the contact lens.</t>
  </si>
  <si>
    <t>The man rubs his eyes then opens them wide to show the contacts.</t>
  </si>
  <si>
    <t>v_nDGhaYCgRiI</t>
  </si>
  <si>
    <t>people is in a gym doing exercise some push ups and stretching.</t>
  </si>
  <si>
    <t>men start settle the gym and bring some mats and strings to ge gym.</t>
  </si>
  <si>
    <t>people are balancing on the srings on the gym and jumping in the elastic bed in gym class.</t>
  </si>
  <si>
    <t>men and women are balancing on th string and doing tricks making jumps.</t>
  </si>
  <si>
    <t>v_PKdQIdYuXo8</t>
  </si>
  <si>
    <t>man is standing holding an harmonica while is playing the guitar and its reading the music sheet.</t>
  </si>
  <si>
    <t>man is teaching how to play the harmonica in the key of A and its talking and playing the guitar.</t>
  </si>
  <si>
    <t>v_ha40KZvmcEo</t>
  </si>
  <si>
    <t>Several clips are shown of people riding in water on kayaks.</t>
  </si>
  <si>
    <t>The people perform flips in the water while text is shown.</t>
  </si>
  <si>
    <t>More clips are shown of people riding in the water and doing flips in the kayaks.</t>
  </si>
  <si>
    <t>v_YApgx2YL9wM</t>
  </si>
  <si>
    <t>A firefighter is shown walking on a tight rope in his gear very slowly.</t>
  </si>
  <si>
    <t>He moves along the rope towards the end and walks back to the start until he fails.</t>
  </si>
  <si>
    <t>v_7vXt9RxeXWY</t>
  </si>
  <si>
    <t>A man is standing up behind him talking.</t>
  </si>
  <si>
    <t>The man on the mat has a brown belt around his waist.</t>
  </si>
  <si>
    <t>v_16Mq9vM7Nck</t>
  </si>
  <si>
    <t>Two people are seen walking out of a building and leads into them playing crochet with one another.</t>
  </si>
  <si>
    <t>The men continue hitting the ball around the yard while speaking to one another and measuring out the ball.</t>
  </si>
  <si>
    <t>The men continue playing and one holding out his arm and end by walking away.</t>
  </si>
  <si>
    <t>v_78je-JBAqxQ</t>
  </si>
  <si>
    <t>A man is blowing a whislet in front of a room filled with people.</t>
  </si>
  <si>
    <t>They are playing beer pong with several red solo cups, drinking in between plays.</t>
  </si>
  <si>
    <t>A blonde woman watches as a man wins the game, hugging the woman next to him.</t>
  </si>
  <si>
    <t>v_w5J3Gt5WLwU</t>
  </si>
  <si>
    <t>A water polo match is shown and a person scores goals.</t>
  </si>
  <si>
    <t>This is a recruiting video.</t>
  </si>
  <si>
    <t>v_HCraAphAW1A</t>
  </si>
  <si>
    <t>A person in a black t-shirt clips the nails on the front paws of a brown and tan speckled cat.</t>
  </si>
  <si>
    <t>A brown and tan speckled cat is lying on a white cushion when a person walks in holding a pair of red handled nail clippers.</t>
  </si>
  <si>
    <t>The person cuts the forepaws of the cat as the cat watches on.</t>
  </si>
  <si>
    <t>The person finishes cutting the cat's nails and pets the cats head and shows the clippers close to the camera before walking away.</t>
  </si>
  <si>
    <t>v_f0Z-qud2N74</t>
  </si>
  <si>
    <t>Two boys are wrestling in a bedroom.</t>
  </si>
  <si>
    <t>One boy is picked up and thrown on the bed.</t>
  </si>
  <si>
    <t>The boy turns off the camera.</t>
  </si>
  <si>
    <t>v_rrXdhD3WDy4</t>
  </si>
  <si>
    <t>A piercing artist inserts a bar into a woman's nipple.</t>
  </si>
  <si>
    <t>The man screws on hardware to the end of the piercing.</t>
  </si>
  <si>
    <t>The woman wearing a costume sits up and shows her new piercings.</t>
  </si>
  <si>
    <t>v_Sn8IRyUFNac</t>
  </si>
  <si>
    <t>A woman smoking a cigarette speaks to another about how much they need smoking.</t>
  </si>
  <si>
    <t>They continue talking about their smoking habit and what they can do to continue smoking if they please.</t>
  </si>
  <si>
    <t>v_aVDyPmUgHU0</t>
  </si>
  <si>
    <t>A man comes onto the screen to introduce a video about him trimming trees.</t>
  </si>
  <si>
    <t>He picks up a trimming saw and starts the engine.</t>
  </si>
  <si>
    <t>He climbs the ladder and begins trimming the tree.</t>
  </si>
  <si>
    <t>He looks back to the camera and smiles.</t>
  </si>
  <si>
    <t>v_FYv-2ehoGWo</t>
  </si>
  <si>
    <t>A blonde woman wearing a dress has two, side by side shots of her playing a violin.</t>
  </si>
  <si>
    <t>She plays two different melodies on the violin and finishes together at the same time, smiling at the camera.</t>
  </si>
  <si>
    <t>v_UIZN2F8pjzE</t>
  </si>
  <si>
    <t>A man is standing outside in the dark smoking a cigarette in front of a green garage.</t>
  </si>
  <si>
    <t>After,an image of a lung is shown and shows how cigarettes affect your organs.</t>
  </si>
  <si>
    <t>v_KKbfCtmIE0o</t>
  </si>
  <si>
    <t>A woman demonstrates how to do Tai Chi outside on the grass.</t>
  </si>
  <si>
    <t>The same woman demonstrates Tai Chi indoors on a stage.</t>
  </si>
  <si>
    <t>A second woman joins the first woman to help demonstrate.</t>
  </si>
  <si>
    <t>v_VeU_EBE-YPE</t>
  </si>
  <si>
    <t>There are several Seagull brand acoustic guitars are shown displayed in a store.</t>
  </si>
  <si>
    <t>A man dressed in black, seated on a stool is playing the acoustic guitar in the store where the guitars are displayed.</t>
  </si>
  <si>
    <t>The man continues playing the guitar.</t>
  </si>
  <si>
    <t>v_4CTczKzaPa4</t>
  </si>
  <si>
    <t>Several men stand around a pinata.</t>
  </si>
  <si>
    <t>A man spins a blindfolded man around.</t>
  </si>
  <si>
    <t>The blindfolded man takes a few swings at the pinata.</t>
  </si>
  <si>
    <t>A woman in red shirt laughs.</t>
  </si>
  <si>
    <t>v_DDZFQKi1v2U</t>
  </si>
  <si>
    <t>A woman is seen laying on the couch with another girl sitting above her.</t>
  </si>
  <si>
    <t>The girl is then shown piercing the nipple of the girl laying down.</t>
  </si>
  <si>
    <t>She finishes the piercing and ends by smiling to the camera.</t>
  </si>
  <si>
    <t>v_7c5vvEn3uLk</t>
  </si>
  <si>
    <t>A cowboy is riding on a horse in a large arena and is swinging his rope.</t>
  </si>
  <si>
    <t>The view changes to show a group of men with their horses and they're each holding onto their ropes and doing various things with them like tying and swinging them.</t>
  </si>
  <si>
    <t>The focus switches to a man talking whose name is Trevor Brazile and it flashes from him talking and then to clips of him riding his horse in different arenas as he is also wrangling a small calf.</t>
  </si>
  <si>
    <t>Another man by the name of Stran Smith is now talking and clips of him riding his horse in different arenas as he wrangles a calf also plays.</t>
  </si>
  <si>
    <t>Clips of both of men talking and clips of them riding horses and wrangling calves play and rotate between the two of them.</t>
  </si>
  <si>
    <t>The outro video begins and it shows a hanging banner at the arena that reads "CALGARY STAMPEDE", a woman riding a horse and holding a red flag that say's "1912-2012 Calgary Stampede",and a calf is running across a dirt field.</t>
  </si>
  <si>
    <t>v_hS4L3PMfYqA</t>
  </si>
  <si>
    <t>A person sings on front a crowd dressed on hip hop clothes.</t>
  </si>
  <si>
    <t>A man dance hip hop doing acrobatics moves with his hands and legs on the floor on front a crowd.</t>
  </si>
  <si>
    <t>People takes pictures and film the man who are behind the man.</t>
  </si>
  <si>
    <t>v_-5xWaBSwnjY</t>
  </si>
  <si>
    <t>woman is in a large green field holding a yellow frisbee and playing with a dog.</t>
  </si>
  <si>
    <t>a lot of acrs are parked in the street behind the alrge field.</t>
  </si>
  <si>
    <t>woman is throwing the frisbee to the dog.</t>
  </si>
  <si>
    <t>v_DxNIzbD6uD4</t>
  </si>
  <si>
    <t>A woman is seen speaking to the camera in front of a large exercise bar and begins standing on the equipment while speaking and using her hands.</t>
  </si>
  <si>
    <t>The woman continues to demonstrate how to properly execute the exercises while moving her arms and legs back and fourth.</t>
  </si>
  <si>
    <t>v_S4ppfXBp5o0</t>
  </si>
  <si>
    <t>There are three body builders exercising and working out in a small gym with weightlifting equipment.</t>
  </si>
  <si>
    <t>One of the body builders lifts the weight bar several times and then drops it down while the other two body builders watch him.</t>
  </si>
  <si>
    <t>Then he goes and wipes off his sweat with a towel and lifts the weight bar again and drops it.</t>
  </si>
  <si>
    <t>He then wears an abdominal belt and lifts the weight bar again and drops it.</t>
  </si>
  <si>
    <t>He struggles to lift the weight bar, lifts it slightly and then drops it down.</t>
  </si>
  <si>
    <t>v_Hujj6Q1Et3k</t>
  </si>
  <si>
    <t>A man wearing headphones stands behind a pair of large drums.</t>
  </si>
  <si>
    <t>The man plays drums with his palms.</t>
  </si>
  <si>
    <t>The man ceases playing the drums and turns away.</t>
  </si>
  <si>
    <t>v_Mcutz37Bowg</t>
  </si>
  <si>
    <t>A man lays out a scarf and puts some accessories in the middle of it.</t>
  </si>
  <si>
    <t>He ties the end and folds it into double knots.</t>
  </si>
  <si>
    <t>He opens it again and puts something else into the middle of it.</t>
  </si>
  <si>
    <t>Then pulls it together and it closes, he made a little bag out of a scarf.</t>
  </si>
  <si>
    <t>v_Lbdp-HCjWw8</t>
  </si>
  <si>
    <t>An introduction comes onto the screen for a video about how to play squash.</t>
  </si>
  <si>
    <t>Two men are shown on a squash court playing a game of squash.</t>
  </si>
  <si>
    <t>Text shows up on the screen showing the things you will need for the game.</t>
  </si>
  <si>
    <t>An indication shows on the screen letting you know the different lines.</t>
  </si>
  <si>
    <t>Tips for the game also show up on the screen.</t>
  </si>
  <si>
    <t>At the end of the video a text box shows up with a fun fact about squash.</t>
  </si>
  <si>
    <t>v_Vvco5y9PUFM</t>
  </si>
  <si>
    <t>A man cross a parking lot bouncing with bouncing shoes.</t>
  </si>
  <si>
    <t>There are car in the paring lot.</t>
  </si>
  <si>
    <t>v_YpXe04ALJw4</t>
  </si>
  <si>
    <t>Several people are outdoors enjoying the beach.</t>
  </si>
  <si>
    <t>In the middle of the sand however,there are a group of men playing a game of beach volley ball.</t>
  </si>
  <si>
    <t>After several hits,one man decides to kick the ball over the net and another man takes off running from the other side and tackles him in the dirt.</t>
  </si>
  <si>
    <t>v_dtT0BzjTStw</t>
  </si>
  <si>
    <t>A coach gives instructions to boys in a basketball court.</t>
  </si>
  <si>
    <t>Then, two young men demonstrate the boys how to pass and shoot the ball in the basket.</t>
  </si>
  <si>
    <t>After, the young man helps the boys throw the ball in the basket, while by two run passing the ball to shoot in a basket.</t>
  </si>
  <si>
    <t>Then, the boys practice basketball defense taking turns while running to the other side of the court.</t>
  </si>
  <si>
    <t>v_5t_hQVg9NsE</t>
  </si>
  <si>
    <t>Old clips are shown of a man drawing a picture and two children watching.</t>
  </si>
  <si>
    <t>The kids are then shown in several clips performing dives off a board and walk along the sides climbing back to the top.</t>
  </si>
  <si>
    <t>v_P14X14uarj0</t>
  </si>
  <si>
    <t>A person is seen passing a basketball all around a court to others and ending by shooting a basket.</t>
  </si>
  <si>
    <t>The group continues to pass the ball around to one another performing drills while the coach instructs.</t>
  </si>
  <si>
    <t>v_B0jASjqZl7s</t>
  </si>
  <si>
    <t>A man is seen speaking to the camera and leads of a clip of people riding down a snowy hill on tubes.</t>
  </si>
  <si>
    <t>More people are seen riding down the hill while pointing to one another.</t>
  </si>
  <si>
    <t>The group continues riding down the hill while also stopping to talk to the camera.</t>
  </si>
  <si>
    <t>v_qiw2I1oQIVQ</t>
  </si>
  <si>
    <t>Several black and white photos are being shown of people who played drums.</t>
  </si>
  <si>
    <t>A group of drum players gather, playing in a room.</t>
  </si>
  <si>
    <t>Their playing is interspersed with images of sheet music, then returns to their performance.</t>
  </si>
  <si>
    <t>v_Y5puaQ9oNVw</t>
  </si>
  <si>
    <t>The gymnasts run to and then did cartwheel and thumbling as he go through the end of the mat.</t>
  </si>
  <si>
    <t>The player jumped and cartwheel high.</t>
  </si>
  <si>
    <t>The male gymnast rotate up in the air and then he landed on the end of the mat.</t>
  </si>
  <si>
    <t>v_CBDFNn15G90</t>
  </si>
  <si>
    <t>Several shots are shown of forests that lead into a person gearing up and riding in a kayak.</t>
  </si>
  <si>
    <t>The person paddles themselves along the rough river as well as showing other people riding along.</t>
  </si>
  <si>
    <t>They move past rough waters along the river and end by sitting near one another.</t>
  </si>
  <si>
    <t>v_aJsAuChVmlY</t>
  </si>
  <si>
    <t>A woman is seen inside a bathroom.</t>
  </si>
  <si>
    <t>She is using a dryer to blow dry her hair.</t>
  </si>
  <si>
    <t>She occasionally uses a brush to help speed the process.</t>
  </si>
  <si>
    <t>v_k67UWfSt-iE</t>
  </si>
  <si>
    <t>A small group of people are seen playing a game of volleyball while people watch along the sidelines.</t>
  </si>
  <si>
    <t>The players hit the ball several times over the net as well as chasing after the ball.</t>
  </si>
  <si>
    <t>The continue to play the game while others cheer and high five one another after.</t>
  </si>
  <si>
    <t>v_mJQS2T-IVWc</t>
  </si>
  <si>
    <t>A man in a hard hat walks across a yard to a metal structure.</t>
  </si>
  <si>
    <t>He adjusts a ladder and leans it up against the structure, walks back to look, and adjusts it a couple more times.</t>
  </si>
  <si>
    <t>When satisfied, he tightens a strap, and grabs a second ladder.</t>
  </si>
  <si>
    <t>He climbs up, taking this one with him.</t>
  </si>
  <si>
    <t>v_LLD4SapVrgQ</t>
  </si>
  <si>
    <t>BMX waiting at the gate for the gate to come down and the race to begin.</t>
  </si>
  <si>
    <t>They take off on the track going really fast through it really fast.</t>
  </si>
  <si>
    <t>Florida has several locations for BMXing if you love to do it and don't know where to go, they have 1500 licensed riders and 30 sponsored teams.</t>
  </si>
  <si>
    <t>They even have some bikes for mini riders that want to be like their daddy's.</t>
  </si>
  <si>
    <t>v_TJFl99tLNWk</t>
  </si>
  <si>
    <t>Different shades of nail polish bottles are seen.</t>
  </si>
  <si>
    <t>Pieces of taper are wrapped around the tips of fingers around the nails.</t>
  </si>
  <si>
    <t>Different shades of nail polish are applied to a foam pad then dabbed on the finger nails.</t>
  </si>
  <si>
    <t>A clear coating is coating is applied onto the nails.</t>
  </si>
  <si>
    <t>The tape is removed and the edges are cleaned up with nail polish remover solution.</t>
  </si>
  <si>
    <t>v_5zPTTiJiXUY</t>
  </si>
  <si>
    <t>A woman is sitting in a car barefoot, trying to drive.</t>
  </si>
  <si>
    <t>She lights a cigarette as she drives.</t>
  </si>
  <si>
    <t>v_mQCFphhDFw8</t>
  </si>
  <si>
    <t>A man in yellow shirt and black tights, walked towards the bike, bend over and unscrew the screw.</t>
  </si>
  <si>
    <t>The man in yellow shirt took out his tools from his pocket, he took off the bike wheel from the bike, pull out a yellow tool, insert it between the rubber and metal, removed the rubber inside the tire, tried to find the hole, took a square cloth, wipe the tire, then put the sticker, he pumped the rubber then put it back in the tire.</t>
  </si>
  <si>
    <t>The person screw the wheel back to the bike.</t>
  </si>
  <si>
    <t>v_WWip1_lFvGg</t>
  </si>
  <si>
    <t>A person holds their eye open.</t>
  </si>
  <si>
    <t>They put a contact lens in the eye.</t>
  </si>
  <si>
    <t>They then take the contact lens out of their eye.</t>
  </si>
  <si>
    <t>v_c4GQ3WTOeAA</t>
  </si>
  <si>
    <t>A small child is seen sitting on a coach opening a present.</t>
  </si>
  <si>
    <t>The camera pans all around her while she opens the present and smiles to the camera.</t>
  </si>
  <si>
    <t>She continues to try to open the box while looking and smiling.</t>
  </si>
  <si>
    <t>v_k_z03d9w_Mk</t>
  </si>
  <si>
    <t>A woman and man wearing matching green color dance on stage during a performance.</t>
  </si>
  <si>
    <t>The man spins his partner during the dance.</t>
  </si>
  <si>
    <t>The dancers kick up there feet while dancing.</t>
  </si>
  <si>
    <t>v_qknJO39WUGk</t>
  </si>
  <si>
    <t>A boy talks to the camera.</t>
  </si>
  <si>
    <t>The boy scrubs a metal sink with a brush.</t>
  </si>
  <si>
    <t>The boy switches his grip on the brush.</t>
  </si>
  <si>
    <t>v_aaMrQi25WHc</t>
  </si>
  <si>
    <t>Three people sit on front the ocean.</t>
  </si>
  <si>
    <t>A man surfs on a small wave, then fly in the air and lands on the shore.</t>
  </si>
  <si>
    <t>A person takes picture to the surfer.</t>
  </si>
  <si>
    <t>The man continues surfing, spinning and jumping, after he takes his surfboard and walks on the beach.</t>
  </si>
  <si>
    <t>A surfer turn over in a wave.</t>
  </si>
  <si>
    <t>v_8K_gkiWH5EI</t>
  </si>
  <si>
    <t>A surfer is standing in the ocean current.</t>
  </si>
  <si>
    <t>A couple of other surfers join him as they surf into the waves.</t>
  </si>
  <si>
    <t>They rides the waves to the shore together.</t>
  </si>
  <si>
    <t>v_kIIAJsYMjyc</t>
  </si>
  <si>
    <t>A man is seen sitting on the floor and jumping to a standing position.</t>
  </si>
  <si>
    <t>he then goes back in to a kneeling position and jumps to his feet again.</t>
  </si>
  <si>
    <t>The same man does this two more times.</t>
  </si>
  <si>
    <t>v_MRt7pz2OY5M</t>
  </si>
  <si>
    <t>A black intro screen appears and it has the words SUPER WASH in the middle.</t>
  </si>
  <si>
    <t>A red car and a car behind it is at a car wash and both of them are being worked on by two sets of people at each car.</t>
  </si>
  <si>
    <t>Now there are 3 cars visible and the same men are working on washing the red car while another man starts working on the 3rd car that's to the side of the red car and all the cars continue to get washed.</t>
  </si>
  <si>
    <t>The red car is parked outside of the building and it's clean, dry and very shiny.</t>
  </si>
  <si>
    <t>v_i69NhEDno_M</t>
  </si>
  <si>
    <t>People are driving a car down a street.</t>
  </si>
  <si>
    <t>They are paddling in a boat down a river.</t>
  </si>
  <si>
    <t>A man is standing in the water holding an oar.</t>
  </si>
  <si>
    <t>v_rwUlqI6HWyY</t>
  </si>
  <si>
    <t>A chef in a white chef’s uniform stands in an empty commercial kitchen and demonstrates how to make an omelette.</t>
  </si>
  <si>
    <t>A chef stands in a kitchen talks to the camera before taking an egg and pouring it into a mini black skillet.</t>
  </si>
  <si>
    <t>The chef maneuvers the egg over the stove with a fork gently prodding it.</t>
  </si>
  <si>
    <t>The chef then fold the egg in half in the skillet and plates it on a white plate before turning to the camera and talking again.</t>
  </si>
  <si>
    <t>v_RWTLd_0BeAg</t>
  </si>
  <si>
    <t>Two girls are dancing and twirling batons on a gym floor.</t>
  </si>
  <si>
    <t>One of the girls leaves and the other girl continues dancing alone.</t>
  </si>
  <si>
    <t>She starts throwing the batons in the air.</t>
  </si>
  <si>
    <t>The second girl joins her again and they finish dancing.</t>
  </si>
  <si>
    <t>v_b2YyPJ02NNQ</t>
  </si>
  <si>
    <t>We see a babies and kids playing.</t>
  </si>
  <si>
    <t>Kids walk on silts in circles.</t>
  </si>
  <si>
    <t>The kids walk in lines on their stilts.</t>
  </si>
  <si>
    <t>A man helps a girl walk on slits.</t>
  </si>
  <si>
    <t>A kid on stilts falls to their knees.</t>
  </si>
  <si>
    <t>Kids walk in a circle on their stilts.</t>
  </si>
  <si>
    <t>I see a closing screen and it fade to black.</t>
  </si>
  <si>
    <t>v_jJNDLjhemaE</t>
  </si>
  <si>
    <t>We see an indoor hockey game.</t>
  </si>
  <si>
    <t>The goalie blocks a shot and a handful of players fight over the puck.</t>
  </si>
  <si>
    <t>The puck hits the referee and knocks him over.</t>
  </si>
  <si>
    <t>The goalie blocks a shot.</t>
  </si>
  <si>
    <t>v_BahcBS2r0es</t>
  </si>
  <si>
    <t>Several children sit along a pool.</t>
  </si>
  <si>
    <t>They are all wearing flippers.</t>
  </si>
  <si>
    <t>A girl is underwater wearing scuba gear.</t>
  </si>
  <si>
    <t>Several children practice wearing scuba gear.</t>
  </si>
  <si>
    <t>v_j-FGgYaQVio</t>
  </si>
  <si>
    <t>A woman in an office is holding a pair of grooming clippers while standing next to a black dog who is standing on a table next to her while tethered to a metal pole on the table.</t>
  </si>
  <si>
    <t>The woman begins to groom the dogs face with the clippers.</t>
  </si>
  <si>
    <t>The woman then begins to groom under the dogs front legs.</t>
  </si>
  <si>
    <t>Finally, the woman grooms the dogs back legs and tail before a blue and white advertising sign populates.</t>
  </si>
  <si>
    <t>v_WJ4tCIdAgVo</t>
  </si>
  <si>
    <t>A girl is tying a blind fold around another while several children on look and an adult holds the girl in place.</t>
  </si>
  <si>
    <t>The girl is then handed a bat and attempts to break open a pinata.</t>
  </si>
  <si>
    <t>The girl succeeds in breaking the pinata and the children get very excited.</t>
  </si>
  <si>
    <t>v_MDdCBN1o2sE</t>
  </si>
  <si>
    <t>A camera pans all around the sky and shows a close up of a kite.</t>
  </si>
  <si>
    <t>A person is seen standing on the ground and pans back to the kite.</t>
  </si>
  <si>
    <t>The kite continues to move in the air while a person continue flying it.</t>
  </si>
  <si>
    <t>v_fZ729TTJq8g</t>
  </si>
  <si>
    <t>We see a bike tire and a man interviews BMX bike riders.</t>
  </si>
  <si>
    <t>We see the riders names and countries.</t>
  </si>
  <si>
    <t>The men wait then take off riding around the track.</t>
  </si>
  <si>
    <t>A man falls off his bike and the bike slides.</t>
  </si>
  <si>
    <t>Another man falls off his bike and is almost run over.</t>
  </si>
  <si>
    <t>The man interviews two men after the race and the screen goes green.</t>
  </si>
  <si>
    <t>v_zEyFuCsJh3Y</t>
  </si>
  <si>
    <t>People are working out on cycle bikes in a gym.</t>
  </si>
  <si>
    <t>A woman in the front stands up and pedals on the bike.</t>
  </si>
  <si>
    <t>A banner hanging on the wall is shown.</t>
  </si>
  <si>
    <t>v_3nvVkcxxaJ4</t>
  </si>
  <si>
    <t>A man in black is sitting and playing at a piano while a man in red is standing near drums.</t>
  </si>
  <si>
    <t>As the man in black plays, the man in red is rolling up a wire.</t>
  </si>
  <si>
    <t>The man in red begins bobbing his head to the beat of the piano music.</t>
  </si>
  <si>
    <t>The man then places the wire down.</t>
  </si>
  <si>
    <t>v_N6vpa6BarX4</t>
  </si>
  <si>
    <t>A boat is seen riding along the water with people sitting on the sides and watching.</t>
  </si>
  <si>
    <t>A young boy is then seen swimming underwater that leads into people riding the boat and driving around a city.</t>
  </si>
  <si>
    <t>The camera continues to pan around the city as well as the nightlife.</t>
  </si>
  <si>
    <t>v_ujWG6rjlN3s</t>
  </si>
  <si>
    <t>woman are practicing jumps in a cheerlading team.</t>
  </si>
  <si>
    <t>woman is laying down in a bed and a man is assisting her.</t>
  </si>
  <si>
    <t>v_0gkxTQGR6zI</t>
  </si>
  <si>
    <t>There are two people dressed in red shirts and blue shorts playing ping pong in a large stadium with lots of spectators watching them.</t>
  </si>
  <si>
    <t>The players play a long round of ping pong as they continue to maintain a great rally.</t>
  </si>
  <si>
    <t>The player on the right slices the ball across the ping pong table as he returns the ball to his opponent.</t>
  </si>
  <si>
    <t>The opponent manages to return the ball without missing it.</t>
  </si>
  <si>
    <t>They continue to play a great rally as one of the players literally jumps on the ping pong table to return the ball.</t>
  </si>
  <si>
    <t>The other player falls down on the ground trying to hit the ball back to his opponent.</t>
  </si>
  <si>
    <t>v_Va3NsrY1DJ8</t>
  </si>
  <si>
    <t>A man is on a tighrope in the snowy woods.</t>
  </si>
  <si>
    <t>He bounches high into the air, off the rope and back on.</t>
  </si>
  <si>
    <t>He continues this action throughout the video.</t>
  </si>
  <si>
    <t>v_GVn7MSMHXxk</t>
  </si>
  <si>
    <t>A teen boy is running on the beach.</t>
  </si>
  <si>
    <t>A dog is chasing him, trying to catch his frisbee.</t>
  </si>
  <si>
    <t>He throws the frisbee, and the dog jumps into the air to catch it.</t>
  </si>
  <si>
    <t>v__0sDAdyMtnk</t>
  </si>
  <si>
    <t>We see a man conducting an orchestra.</t>
  </si>
  <si>
    <t>We see a lady in a blue dress is playing in front of the other players.</t>
  </si>
  <si>
    <t>We see the lady from the back, and we see the other players.</t>
  </si>
  <si>
    <t>We see a shot of the whole orchestra.</t>
  </si>
  <si>
    <t>We see the basoon players playing.</t>
  </si>
  <si>
    <t>We fade to black and the video ends.</t>
  </si>
  <si>
    <t>v_bd3Df5_QMNw</t>
  </si>
  <si>
    <t>A picture of a dog in shown in a tub and leads into hands holding tools and a dog wandering around a tub.</t>
  </si>
  <si>
    <t>The person puts toothpaste onto a brush and brushes the dog's teeth back and fourth.</t>
  </si>
  <si>
    <t>Finally she puts gel in the dog's mouth and the dog is seen sitting on a bed waving to the camera.</t>
  </si>
  <si>
    <t>v_X5_KlfVvi6E</t>
  </si>
  <si>
    <t>Two woman are seen performing on a stage with one playing a flute and the other playing the piano.</t>
  </si>
  <si>
    <t>The women play a song while the camera zooms in on the flute player and them bowing and leaving in the end.</t>
  </si>
  <si>
    <t>v_NtX9Q0QX3sw</t>
  </si>
  <si>
    <t>A man cleans a window using a soft squeegee with detergent while explaining, then the man takes a steel wiper to clean the detergent on the window.</t>
  </si>
  <si>
    <t>Then, the man applies more detergent with the soft squeegee, then clean with the steep wiper.</t>
  </si>
  <si>
    <t>After, the man wash again the window using the soft squeegee and the steel wipe while explaining the procedure.</t>
  </si>
  <si>
    <t>v_TfFVoogTDJY</t>
  </si>
  <si>
    <t>The bikers are biking on the ramp, while on the starting line the group of bikers are in positioned.</t>
  </si>
  <si>
    <t>The small fence was put down the the bikers went bike racing over the big ramps.</t>
  </si>
  <si>
    <t>The spectators are on the side of the tracks.</t>
  </si>
  <si>
    <t>v_a6Wwa7qvlrA</t>
  </si>
  <si>
    <t>A man holds an iron that pass on top a painting.</t>
  </si>
  <si>
    <t>A man snowboard down a hill holding a stick.</t>
  </si>
  <si>
    <t>Snow flying in the air lands on the face of the man, then the man continue snowboarding.</t>
  </si>
  <si>
    <t>After, the man arrives to the ski station.</t>
  </si>
  <si>
    <t>v_cyJAifECfH0</t>
  </si>
  <si>
    <t>A man is seen bending down before a heavy set of weights.</t>
  </si>
  <si>
    <t>The man then bends down and lifts the weights over his head.</t>
  </si>
  <si>
    <t>He continues to hold the weights up and throws them down in the end while walking away.</t>
  </si>
  <si>
    <t>v_2QeU2xYPdWE</t>
  </si>
  <si>
    <t>A woman prepares for a shot put throw swinging her arms on a sporting field.</t>
  </si>
  <si>
    <t>The athlete winds back her shoulders than spins her body throwing a shot put.</t>
  </si>
  <si>
    <t>v_Paus1tL8KjE</t>
  </si>
  <si>
    <t>Several young men board a small powered boat on a very nice and sunny day.</t>
  </si>
  <si>
    <t>The slowly back the boat out to go water skiing.</t>
  </si>
  <si>
    <t>The boat leaves the dock and they're off.</t>
  </si>
  <si>
    <t>After picking up speed on the powered boat, their friends jump off and have a great time.</t>
  </si>
  <si>
    <t>A line of rope is thrown out for them to grab onto and it begins.</t>
  </si>
  <si>
    <t>They pick up speed and a young woman is skiing on the water at a very brisk pace.</t>
  </si>
  <si>
    <t>She goes back and forth and side to side in slow motion.</t>
  </si>
  <si>
    <t>The friends look back to see how she is doing.</t>
  </si>
  <si>
    <t>A young man is shown skiing on the water and is doing a great job.</t>
  </si>
  <si>
    <t>After he is done he lets go of the line and continues to ski on the water, only to fall back.</t>
  </si>
  <si>
    <t>v_kF7p6irju1Q</t>
  </si>
  <si>
    <t>A couple of women are shown inside a gym.</t>
  </si>
  <si>
    <t>One woman talks to the camera while another shows off dance moves.</t>
  </si>
  <si>
    <t>She demonstrates different ballet moves and positions.</t>
  </si>
  <si>
    <t>v_NrKBxbZXXg4</t>
  </si>
  <si>
    <t>People are rafting down a choppy river.</t>
  </si>
  <si>
    <t>A blue raft goes down a high waterfall.</t>
  </si>
  <si>
    <t>v_VkJ03vm8FJk</t>
  </si>
  <si>
    <t>Two men are holding a flute while one blows and the other moves his hands.</t>
  </si>
  <si>
    <t>An orchestra shows behind the men while they continue playing on the same instrument.</t>
  </si>
  <si>
    <t>The men continue playing until the song is finished and take a bow as the band claps.</t>
  </si>
  <si>
    <t>v_eCNng1eGQ_0</t>
  </si>
  <si>
    <t>We see the title screen on a red background.</t>
  </si>
  <si>
    <t>We see women playing lacrosse.</t>
  </si>
  <si>
    <t>We see the players through the net of a goal.</t>
  </si>
  <si>
    <t>We see a lady in pink talking to the camera.</t>
  </si>
  <si>
    <t>We then see a lady in a blue shirt talking.</t>
  </si>
  <si>
    <t>A lady in a backpack talks to the camera.</t>
  </si>
  <si>
    <t>We then see the ending screen and black.</t>
  </si>
  <si>
    <t>v_NAl-SP-92dI</t>
  </si>
  <si>
    <t>A "Monkeysee com" logo appears on screen with the tagline "See how the experts do it.</t>
  </si>
  <si>
    <t>" A young man stands in the foreground speaking while a female cheerleader stands behind him performing routines.</t>
  </si>
  <si>
    <t>The copyright and logo screen appears on a black screen.</t>
  </si>
  <si>
    <t>v_VOxaxr5LPiQ</t>
  </si>
  <si>
    <t>A shop attendant holds up the hula hoop and shows how to grip it.</t>
  </si>
  <si>
    <t>The woman drops the hoop and lets it spin around her body to the ground.</t>
  </si>
  <si>
    <t>The woman drops the hula hoop and lets it spin around her body then catches it.</t>
  </si>
  <si>
    <t>The woman practices swinging the hoop between two legs.</t>
  </si>
  <si>
    <t>The woman catches the spinning hula hoop as it falls between her legs.</t>
  </si>
  <si>
    <t>The woman spins the hoop upwards around her body.</t>
  </si>
  <si>
    <t>v_ck05xSh9-ig</t>
  </si>
  <si>
    <t>A guy is wiping a car tire.</t>
  </si>
  <si>
    <t>A female walks from driver side lightly rubbing a black cloth on the join the guy.</t>
  </si>
  <si>
    <t>The female throws the black cloth on a car directly above the tire the man is cleaning.</t>
  </si>
  <si>
    <t>The man picks up the black cloth, drops the rug on the sidewalk, and uses it to wipe the tire.</t>
  </si>
  <si>
    <t>v_zE1l4avJZaU</t>
  </si>
  <si>
    <t>A person is making a bow out of ribbon.</t>
  </si>
  <si>
    <t>They tie the ribbon onto a wrapped package.</t>
  </si>
  <si>
    <t>They tape the bow they made onto the package.</t>
  </si>
  <si>
    <t>v_y3Ll1puxM8c</t>
  </si>
  <si>
    <t>A black screen appears and the white words read "Nevena &amp; Goran Rodry-Go! El Mambo del Tra".</t>
  </si>
  <si>
    <t>A man and woman appear outdoors on a concrete brick deck and they begin dancing a routine in unison that include arm movements, steps, spins and various other dance moves.</t>
  </si>
  <si>
    <t>They stop dancing and the woman walks closer to the camera and sings to it while the man behind her dances along.</t>
  </si>
  <si>
    <t>She stops singing and they both laugh and walk away.</t>
  </si>
  <si>
    <t>v_wxoe1M2L4Qo</t>
  </si>
  <si>
    <t>A camera records a shop with two people standing inside, eventually leading over to a group of people standing by docks.</t>
  </si>
  <si>
    <t>A man walks down the docks while another holds a bucket and the camera pans to a woman talking.</t>
  </si>
  <si>
    <t>The woman puts on a vest and goggles and walks down into a boat.</t>
  </si>
  <si>
    <t>She talks to the camera while adjusting her goggles and is led over to the water wearing a tank.</t>
  </si>
  <si>
    <t>She hops in the water with the man and climbs back into the boat talking to the camera.</t>
  </si>
  <si>
    <t>v_Z8yNbpjUSLc</t>
  </si>
  <si>
    <t>A woman is in a kitchen talking about how to make lemonde.</t>
  </si>
  <si>
    <t>She presents various ingredients that you need to have.</t>
  </si>
  <si>
    <t>She blends all the juices together into a grinder to make a mixture.</t>
  </si>
  <si>
    <t>She then pours the mixture into a glass and drinks the juice.</t>
  </si>
  <si>
    <t>v_3zT7x5jZEfI</t>
  </si>
  <si>
    <t>Several shots of an audience cheering are shown as well as many clips of impressive sports events happening.</t>
  </si>
  <si>
    <t>People hit volleyballs back and fourth to one another while also showing clips of the people celebrating with their team mates.</t>
  </si>
  <si>
    <t>v_DXG4djsPk7s</t>
  </si>
  <si>
    <t>A person is wind surfing out on a lake.</t>
  </si>
  <si>
    <t>Other windsurfers pass behind him.</t>
  </si>
  <si>
    <t>v_lrxLP-R_ILw</t>
  </si>
  <si>
    <t>A girl does a tutorial on how to pack a bag.</t>
  </si>
  <si>
    <t>She then gives ballerina tips, especially on how to treat one's feet right.</t>
  </si>
  <si>
    <t>v_LFbW1KVHT8s</t>
  </si>
  <si>
    <t>a elder man is on water standing on a jet ski.</t>
  </si>
  <si>
    <t>The man begins to jet ski.</t>
  </si>
  <si>
    <t>The man takes on hand off of the handle.</t>
  </si>
  <si>
    <t>The man places both hands back on the handle and jet skis.</t>
  </si>
  <si>
    <t>v_gjyT6Rt985k</t>
  </si>
  <si>
    <t>A man walking very slowly toward a woman as she walks slowly towards him.</t>
  </si>
  <si>
    <t>They meet up and begin their dance, it is very intense and very well done, they work very well together,when they are done they bow and high five each other while the audience cheers for them.</t>
  </si>
  <si>
    <t>Then one of the judges stands up and speaks to them, causing them to smile and be more ecstatic.</t>
  </si>
  <si>
    <t>Another female judge critics them and the woman dancer runs up and hugs them, then the final judge tells them what he thinks of their performance.</t>
  </si>
  <si>
    <t>v_7PSicg5Q2ZI</t>
  </si>
  <si>
    <t>A woman in a green shirt stands in a kitchen.</t>
  </si>
  <si>
    <t>She stands in front of several ingredients.</t>
  </si>
  <si>
    <t>She cuts a lemon in half.</t>
  </si>
  <si>
    <t>She laughs a lot throughout the video.</t>
  </si>
  <si>
    <t>v_ze4292jVUcQ</t>
  </si>
  <si>
    <t>A group of people in swim caps are playing volleyball in an outdoor pool, surrounded by a spattering of onlookers, and an upright digital scoreboard.</t>
  </si>
  <si>
    <t>A yellow ball flies into the right side of the pool and the people in the pool swim and move it to the left side of the pool, while a man in all white tracks them from the side of the pool on a raised cement border.</t>
  </si>
  <si>
    <t>A person in the front spikes the yellow ball against a blue goal and past a goal blocker in the pool.</t>
  </si>
  <si>
    <t>A person on the far left of the pool throws the ball into the right side of the pool where all of the players swim to follow it.</t>
  </si>
  <si>
    <t>v_A7PBp9PDW80</t>
  </si>
  <si>
    <t>A young boy is seen looking off into the distance as well as a girl.</t>
  </si>
  <si>
    <t>People are seen walking inside followed by clips of people fencing.</t>
  </si>
  <si>
    <t>More shots are shown of people practicing and a girl bumping into an older man.</t>
  </si>
  <si>
    <t>v_X2LI_I_qw-A</t>
  </si>
  <si>
    <t>A group of kids are hanging out by a picnic table.</t>
  </si>
  <si>
    <t>A young girl peels potatoes.</t>
  </si>
  <si>
    <t>A young boy cuts the potatoes.</t>
  </si>
  <si>
    <t>v_7uumfT4aGLU</t>
  </si>
  <si>
    <t>A male gymnast is in an arena full of people and grabs two bars to begin his routine.</t>
  </si>
  <si>
    <t>After he is on the bars,he does several flips and turns before landing his performance and leaving the mat.</t>
  </si>
  <si>
    <t>v_RAaRFD5M8h4</t>
  </si>
  <si>
    <t>A close up of a dog is seen with a person holding a razor.</t>
  </si>
  <si>
    <t>The person then holds up the dogs face and begins trimming around it's eyes.</t>
  </si>
  <si>
    <t>The person continues shaving and ends by combing it's face.</t>
  </si>
  <si>
    <t>v_R586XlFT7Go</t>
  </si>
  <si>
    <t>A woman is seen speaking to the camera and leads into a woman running and interviewing other runners.</t>
  </si>
  <si>
    <t>She interviews two twins while running and the news shows off other runners in the area.</t>
  </si>
  <si>
    <t>v_M96TST6CN4M</t>
  </si>
  <si>
    <t>A large man is seen bending down on his knees moving his arms around and looking off into the distance.</t>
  </si>
  <si>
    <t>The man continues moving all around on the mat performing various martial arts moves and moving back and fourth to the camera.</t>
  </si>
  <si>
    <t>v_7QvvqWJRwNo</t>
  </si>
  <si>
    <t>People are sliding down a snowy slope with inflated tires.</t>
  </si>
  <si>
    <t>A child stands in the tire and jumps for joy.</t>
  </si>
  <si>
    <t>An adult gets up and pulls both tires.</t>
  </si>
  <si>
    <t>v_3VkqckKyshc</t>
  </si>
  <si>
    <t>A man dressed in a camouflaged suit is standing in a large grassy field with other people and he's pulling on a string we can barely see.</t>
  </si>
  <si>
    <t>There are a lot of other people moving around on the field doing their own thing.</t>
  </si>
  <si>
    <t>The camera angles are changing and when we get a close up of the man we can finally see the string he is pulling on.</t>
  </si>
  <si>
    <t>v_V90aT-d_FKo</t>
  </si>
  <si>
    <t>A woman is bathing two white colored puppies in an orange tub filled with water.</t>
  </si>
  <si>
    <t>She is joined by a man wearing a wrist watch, who helps the woman bathe the two puppies.</t>
  </si>
  <si>
    <t>One of the puppies tries to step out of the tub and the man holds him and puts him back in.</t>
  </si>
  <si>
    <t>The woman continues washing the puppies.</t>
  </si>
  <si>
    <t>v_OM0jqPYx700</t>
  </si>
  <si>
    <t>A man in black shirt wipe the table with white cloth.</t>
  </si>
  <si>
    <t>The white lights are reflected on the table.</t>
  </si>
  <si>
    <t>The man wipe the edge of the table with white rag.</t>
  </si>
  <si>
    <t>v__0mR06FcftE</t>
  </si>
  <si>
    <t>A woman is doing a tutorial on how to clean a kitchen sink with baking soda, a toothbrush and cloth rag.</t>
  </si>
  <si>
    <t>She first takes some baking soda on the rag and scrubs it on the sink.</t>
  </si>
  <si>
    <t>Then she takes the toothbrush and dips it in the baking soda.</t>
  </si>
  <si>
    <t>she brushes the toothbrush on the sink edges to clean it.</t>
  </si>
  <si>
    <t>She turns on the tap and washes the baking soda off of the sink.</t>
  </si>
  <si>
    <t>Then she takes some vinegar on the wash cloth and wipes the sink down with it.</t>
  </si>
  <si>
    <t>v_wlAnWPxnQ8k</t>
  </si>
  <si>
    <t>girlwearnig a purple body is in fornt of a balance pole and make a jump to stands on top.</t>
  </si>
  <si>
    <t>the girl is doing gymnastics on top of balance beam.</t>
  </si>
  <si>
    <t>people in the stands around the court are watching the kid doing gymnastics.</t>
  </si>
  <si>
    <t>the girl make a big somersault and lands on the floor.</t>
  </si>
  <si>
    <t>v_jEN2smSwZ-o</t>
  </si>
  <si>
    <t>A man with tattoed arms swabs the ear of young lady with an ear swab.</t>
  </si>
  <si>
    <t>The lady stand up and looks at herself in the mirror.</t>
  </si>
  <si>
    <t>She lays down on a black medical chair and the man pierces her ear's tragus with medical tools.</t>
  </si>
  <si>
    <t>The lady looks at herself and her new piercing in the mirror, smiles and gives two thumbs up.</t>
  </si>
  <si>
    <t>The words "If you want to know anything else about piercing just comment or message me:) New beauty videos along with a makeup collection will be up soon Bveeees&lt;3" appear on screen.</t>
  </si>
  <si>
    <t>v_RW7LEc-Ykh8</t>
  </si>
  <si>
    <t>A gymnast walks up to a beam, preparing himself.</t>
  </si>
  <si>
    <t>He mounts the beam, then does several acts around it, including spinning and flipping.</t>
  </si>
  <si>
    <t>He dismounts and walks away.</t>
  </si>
  <si>
    <t>v_SthTqCtPg7s</t>
  </si>
  <si>
    <t>A camera captures a net in front of the sky and shows two people preparing ropes for bungee jumping.</t>
  </si>
  <si>
    <t>The camera man jumps off the ledge and shows his feet while spinning around.</t>
  </si>
  <si>
    <t>Another camera captured his jump from the bottom and leads into several people waiting at the bottom and driving away.</t>
  </si>
  <si>
    <t>v_uC27rJLCn70</t>
  </si>
  <si>
    <t>A young boy in a blue jacket pulls onto a donut snow tube.</t>
  </si>
  <si>
    <t>Two young kids watch him.</t>
  </si>
  <si>
    <t>The whole group goes down the snow.</t>
  </si>
  <si>
    <t>v_pYUqRy9Ujaw</t>
  </si>
  <si>
    <t>man is wearing a back wetsuit doing windsurf in a lake.</t>
  </si>
  <si>
    <t>man is windsurfing in a lake doing tricks.</t>
  </si>
  <si>
    <t>he man windsurfing say hi to the camera.</t>
  </si>
  <si>
    <t>v_ObqrS-ZONKM</t>
  </si>
  <si>
    <t>A couple is seen performing a tango routine with one another in a small room.</t>
  </si>
  <si>
    <t>The people continue spinning and dancing all around the room and ends with them stopping and facing the camera.</t>
  </si>
  <si>
    <t>v_s3JuGKwna6o</t>
  </si>
  <si>
    <t>A group sits at a cafe table and enjoys cafe and pastries.</t>
  </si>
  <si>
    <t>The women pass condiments to each other.</t>
  </si>
  <si>
    <t>A small group sits on a balcony and talk.</t>
  </si>
  <si>
    <t>v_VEzhpSPnBrY</t>
  </si>
  <si>
    <t>A man is kneeling down on the ground.</t>
  </si>
  <si>
    <t>He is pulling on a cord that is attached to the wall.</t>
  </si>
  <si>
    <t>He continues pulling on the cord and working out.</t>
  </si>
  <si>
    <t>v_M4IUb6kp2yo</t>
  </si>
  <si>
    <t>A man walks up to a hedge carrying a large pair of hedge trimmers.</t>
  </si>
  <si>
    <t>He shows how to trim the hedges neatly, going down them a little at a time.</t>
  </si>
  <si>
    <t>He stops, talking to the camera as he goes.</t>
  </si>
  <si>
    <t>v_gzuLIo5ZR9A</t>
  </si>
  <si>
    <t>We see a little girl holding the leash for a big dog.</t>
  </si>
  <si>
    <t>The little girl falls and drops the leash.</t>
  </si>
  <si>
    <t>The little girl then follows the dog to get the leash.</t>
  </si>
  <si>
    <t>She gets the leash and walks the dog.</t>
  </si>
  <si>
    <t>v_wuZkli4TSZQ</t>
  </si>
  <si>
    <t>A woman is seen standing before pinata and swinging a bat.</t>
  </si>
  <si>
    <t>People watch on the side as the woman continue to hit the object.</t>
  </si>
  <si>
    <t>The woman swings over and over and a man comes into frame to kick it.</t>
  </si>
  <si>
    <t>v_DlJPKOVd0bA</t>
  </si>
  <si>
    <t>A group of children are standing outside a building.</t>
  </si>
  <si>
    <t>Adults supervise them as an officer walks by.</t>
  </si>
  <si>
    <t>The kids perform various exercises led by the adults.</t>
  </si>
  <si>
    <t>v_AS0hqTk_mIs</t>
  </si>
  <si>
    <t>In 2009, a man is shown sitting at a table.</t>
  </si>
  <si>
    <t>He has two rubik's cubes in front of him.</t>
  </si>
  <si>
    <t>As a timer runs, he solves the puzzle using only one hand.</t>
  </si>
  <si>
    <t>He jumps up in victory after only 17 seconds.</t>
  </si>
  <si>
    <t>v_DrigU09Wf7k</t>
  </si>
  <si>
    <t>The person is climbing on the stairs as the waves hit them, the surfers are surfing over the strong waves.</t>
  </si>
  <si>
    <t>Two people carrying their surfboards are climbing on the stairs.</t>
  </si>
  <si>
    <t>The people behind fence are watching the surfers as the run before the big wave hit them.</t>
  </si>
  <si>
    <t>v_o_Davs3OrOw</t>
  </si>
  <si>
    <t>A little boy wearing goggles jumps into a pool.</t>
  </si>
  <si>
    <t>He dives down to the bottom and picks something up off the bottom of the pool.</t>
  </si>
  <si>
    <t>He swims back to the top and above water.</t>
  </si>
  <si>
    <t>v_wZgSzWl5Hgg</t>
  </si>
  <si>
    <t>A line of people pick up a rope.</t>
  </si>
  <si>
    <t>They begin playing a game of tug of war.</t>
  </si>
  <si>
    <t>One side falls over and the crowd cheers.</t>
  </si>
  <si>
    <t>v_VIjOP5ZBvHg</t>
  </si>
  <si>
    <t>A black screen appears with the words,"Ticas Grooming Purse" along with their url.</t>
  </si>
  <si>
    <t>A dog is then shown hanging from a silver pole with two straps on him.</t>
  </si>
  <si>
    <t>A human then begins grabbing the dogs paws as the little dog tries to bite her.</t>
  </si>
  <si>
    <t>The grooming continues and then the dog is eventually put back down on the ground.</t>
  </si>
  <si>
    <t>v_OMYnLCWTdEA</t>
  </si>
  <si>
    <t>A man is squatting down in a big open room talking.</t>
  </si>
  <si>
    <t>The man demonstrates how to do a dance move.</t>
  </si>
  <si>
    <t>He then does the move several times and hops up to his feet.</t>
  </si>
  <si>
    <t>v_8JgckTuL1WA</t>
  </si>
  <si>
    <t>People are playing a game of badminton on a court.</t>
  </si>
  <si>
    <t>People are sitting behind them watching the game.</t>
  </si>
  <si>
    <t>A girl in a pink shirt picks up the ball.</t>
  </si>
  <si>
    <t>v_Ouy1exEw_dI</t>
  </si>
  <si>
    <t>A man prepares himself on a dock to go water skiing.</t>
  </si>
  <si>
    <t>He launches into the water as the boat guns off.</t>
  </si>
  <si>
    <t>The man holds onto the rope while gliding through the water, looking very confident and skilled.</t>
  </si>
  <si>
    <t>The boat is tied up on the dock and the man is finished for the day.</t>
  </si>
  <si>
    <t>v_LublNVXGH5I</t>
  </si>
  <si>
    <t>A man points to and picks up a pressurized spray can to display it.</t>
  </si>
  <si>
    <t>The man then picks up a roll of paper towels.</t>
  </si>
  <si>
    <t>The man shakes the pressurized spray can.</t>
  </si>
  <si>
    <t>The man sprays the window where the stain is and wipes the area with a paper towel.</t>
  </si>
  <si>
    <t>sprays the glass cleaner on the middle of the window in multiple spots and wipes them off.</t>
  </si>
  <si>
    <t>v_rZmNsUX-7SU</t>
  </si>
  <si>
    <t>A girl and a dog are on the swing set.</t>
  </si>
  <si>
    <t>They swing up and back down.</t>
  </si>
  <si>
    <t>They swing up and back down again.</t>
  </si>
  <si>
    <t>v_0xJPQ1I8-e0</t>
  </si>
  <si>
    <t>The man in blue helmet is paddling through the water current.</t>
  </si>
  <si>
    <t>Two rafts are stuck in running water.</t>
  </si>
  <si>
    <t>The people are paddling through the water but they are stuck in one spot.</t>
  </si>
  <si>
    <t>v_6Bm-_hI5A9A</t>
  </si>
  <si>
    <t>A man is shown playing a violin in front of a video game being played on tv.</t>
  </si>
  <si>
    <t>The man continues playing the instrument while the tv in the background shows a game being played.</t>
  </si>
  <si>
    <t>v_pF-r_m8LVPs</t>
  </si>
  <si>
    <t>A large group of people are seen standing at the bottom of a snowy hill speaking to one another.</t>
  </si>
  <si>
    <t>The people are then seen riding in tubes and going down a snowy trail.</t>
  </si>
  <si>
    <t>Several shots are shown of people riding down the mountain while looking and smiling to the camera.</t>
  </si>
  <si>
    <t>v_HnM44lX65cQ</t>
  </si>
  <si>
    <t>A seated man is using a sharpener to sharpen a large knife.</t>
  </si>
  <si>
    <t>He scrapes it along the surface and underbelly of the knife, sharpening it.</t>
  </si>
  <si>
    <t>v_L1XpfS1RCzE</t>
  </si>
  <si>
    <t>The person is riding a blue single raft.</t>
  </si>
  <si>
    <t>The man is paddling through the strong current of water.</t>
  </si>
  <si>
    <t>The man fell in the small falls.</t>
  </si>
  <si>
    <t>v_34cQhizPKfc</t>
  </si>
  <si>
    <t>A video of back country skiing is shown.</t>
  </si>
  <si>
    <t>The group prepares its equipment and then looks at its yurt.</t>
  </si>
  <si>
    <t>They then show skiing videos.</t>
  </si>
  <si>
    <t>v_lUw8OA9R4mQ</t>
  </si>
  <si>
    <t>A large group of people are seen standing around a room with a woman in front grabbing a drink.</t>
  </si>
  <si>
    <t>The woman puts her drink down and begins leading a group of people dancing around.</t>
  </si>
  <si>
    <t>The group continues to dance around while the camera captures their movements.</t>
  </si>
  <si>
    <t>v_HM3Rd5ZcME8</t>
  </si>
  <si>
    <t>A girl wearing a white ski jacket runs along the ski slope pulling an orange inner tube.</t>
  </si>
  <si>
    <t>A tubing attendant assists a group of kids load up on their inner tubes.</t>
  </si>
  <si>
    <t>The kids slide down the slope together in their inner tubes.</t>
  </si>
  <si>
    <t>The kids climb back up the tubing slope and slide down on their inner tubes once again.</t>
  </si>
  <si>
    <t>v_27e4y89XeyI</t>
  </si>
  <si>
    <t>An older black male is standing in the kitchen ironing a dark grey t-shirt.</t>
  </si>
  <si>
    <t>The man then pauses his ironing and looks at the person who is filming him and continues to put on his shirt.</t>
  </si>
  <si>
    <t>v__il2j9UtSe4</t>
  </si>
  <si>
    <t>A man is seen with messy hair and looking off in the distance.</t>
  </si>
  <si>
    <t>He holds up a coffee cup and turns towards the camera.</t>
  </si>
  <si>
    <t>He then gives a big smile while looking to the camera.</t>
  </si>
  <si>
    <t>v_jIQFVSymHQs</t>
  </si>
  <si>
    <t>An inflatable ball bounces on the grass as kids watch playing a game.</t>
  </si>
  <si>
    <t>A young boy in blue shirt and jeans retrieves the ball and runs towards the group.</t>
  </si>
  <si>
    <t>v_cP2LVnGxiww</t>
  </si>
  <si>
    <t>This man is shown holding a pumpkin in the beginning of the video then he carves the top off and gets the seeds and everything else out of the pumpkin.</t>
  </si>
  <si>
    <t>Someone gives one of the snow dogs a piece of the pumpkin.</t>
  </si>
  <si>
    <t>Then he puts the stencil on the pumpkin and carves a snow dog into the pumpkin.</t>
  </si>
  <si>
    <t>v_rBVbsbJJcyM</t>
  </si>
  <si>
    <t>An introduction comes onto the screen for a fine linen company.</t>
  </si>
  <si>
    <t>A woman explains that she will describe how to fold cloth napkins.</t>
  </si>
  <si>
    <t>She starts by pressing the napkin with a hot iron.</t>
  </si>
  <si>
    <t>She folds the napkin and continues to press it some more.</t>
  </si>
  <si>
    <t>v_Wr7YbcQ_Q9g</t>
  </si>
  <si>
    <t>A young boy mows the front lawn in a suburban residential neighborhood.</t>
  </si>
  <si>
    <t>A young boy in t-shirt and shorts maneuvers a lawn moves back and forth across a small patch of lawn as he mows the lawn.</t>
  </si>
  <si>
    <t>The boy then walks the mower down a longer stretch of lawn near the corner across from a stop sign.</t>
  </si>
  <si>
    <t>v_R_ffZ9kGeTI</t>
  </si>
  <si>
    <t>A large open outdoor area is shown by a moving camera.</t>
  </si>
  <si>
    <t>A man wearing a helmet is shown riding a skateboard with a long wooden plan base in various outdoors locations.</t>
  </si>
  <si>
    <t>A second rider joins the first rider on the skateboard.</t>
  </si>
  <si>
    <t>A clip of a man not wearing a helmet and riding another skateboard is shown.</t>
  </si>
  <si>
    <t>The helmeted man with the plank as a skateboard is shown again.</t>
  </si>
  <si>
    <t>Several other individuals riding other skateboards are shown.</t>
  </si>
  <si>
    <t>The original skateboarder is shown again.</t>
  </si>
  <si>
    <t>v_QjaqFPDoImc</t>
  </si>
  <si>
    <t>A man is running through a concrete sidewalk with steps in his Kangaroo shoes.</t>
  </si>
  <si>
    <t>More people appear and they too begin to jump throughout crowds of people.</t>
  </si>
  <si>
    <t>v_H0gSWEElh6A</t>
  </si>
  <si>
    <t>There's a man demonstrating how to use a hand setting tool.</t>
  </si>
  <si>
    <t>He is hammering nails into a wooden bar.</t>
  </si>
  <si>
    <t>He uses the tool to properly align the nails before hammering it in.</t>
  </si>
  <si>
    <t>He then demonstrates how the hammering process would look without using the alignment tool.</t>
  </si>
  <si>
    <t>Then he uses the alignment tool to show thew difference it makes to hammer a nail into wood when the tool is used.</t>
  </si>
  <si>
    <t>v_0-auIBOTx9E</t>
  </si>
  <si>
    <t>A skinny man,is talking on the phone bowling and knocks down all the bowling pins.</t>
  </si>
  <si>
    <t>Next,he has to go through several obstacles to roll the ball down and he ends up making it anyways.</t>
  </si>
  <si>
    <t>Some of them include,bowling with pins in the lane,standing from behind a chart,and even doing it with his eyes covered.</t>
  </si>
  <si>
    <t>v_dsCJ4xdRq-Q</t>
  </si>
  <si>
    <t>A group of four boys are at a table.</t>
  </si>
  <si>
    <t>As a timer counts, a boy is trying to solve a rubik's cube.</t>
  </si>
  <si>
    <t>He solves the cube, and shakes hands with the other boys.</t>
  </si>
  <si>
    <t>v_Q711Ki5aFHw</t>
  </si>
  <si>
    <t>A group dances in a spotlight wearing traditional chines robes and hats.</t>
  </si>
  <si>
    <t>The men pretend to pull imaginary ropes.</t>
  </si>
  <si>
    <t>The men crouch down one after the other and thrust there hips.</t>
  </si>
  <si>
    <t>The men stand back to back in a partial circle and dance.</t>
  </si>
  <si>
    <t>The men hold up there arms like a Hindu goddess.</t>
  </si>
  <si>
    <t>v_WwcbpTANbeU</t>
  </si>
  <si>
    <t>A view is seen of a deep canyon with a lift above it.</t>
  </si>
  <si>
    <t>A man is dressed in bungee gear by another man.</t>
  </si>
  <si>
    <t>He jumps out, then swings back and forth over the thin waters.</t>
  </si>
  <si>
    <t>v_bV4xdc71azY</t>
  </si>
  <si>
    <t>man is in a kichen holding a pan on stove and preparing an omelette.</t>
  </si>
  <si>
    <t>man is holding a bag and holds the pan, grab some cheese fom he bag and bend the omelette.</t>
  </si>
  <si>
    <t>v_PTkNBVyhUuo</t>
  </si>
  <si>
    <t>A group of people are seen standing around bow and arrows then the camera camera down a long line of people shooting bows.</t>
  </si>
  <si>
    <t>A man is then seen speaking to the camera followed by Several shots of random people shooting the arrows to a target.</t>
  </si>
  <si>
    <t>Many people watch on the sidelines and is followed by more shots of people shooting bows.</t>
  </si>
  <si>
    <t>v_JlgDwIT9KLI</t>
  </si>
  <si>
    <t>A red bowl contains a spoon and tuna fish in chunks.</t>
  </si>
  <si>
    <t>Someone pours mayonnaise into the tuna, as well as seasoning.</t>
  </si>
  <si>
    <t>The substance is mixed together, then spread onto the bread to make a sandwich.</t>
  </si>
  <si>
    <t>v_PUGP8PSlJEA</t>
  </si>
  <si>
    <t>A man is rock climbing on a wall next to a rock.</t>
  </si>
  <si>
    <t>He gets to the top and releases himself to fall to the bottom.</t>
  </si>
  <si>
    <t>v_LHu41OIGw7Q</t>
  </si>
  <si>
    <t>A camera pans around a lake area and leads into a person climbing into a kayak.</t>
  </si>
  <si>
    <t>The person then begins paddling along the water while moving underneath bridges.</t>
  </si>
  <si>
    <t>The person continues paddling all along the water and looking up to the camera.</t>
  </si>
  <si>
    <t>v_5kXIZCs22l8</t>
  </si>
  <si>
    <t>woman is posing to a camera in a white room.</t>
  </si>
  <si>
    <t>man is standing behind the wmoan cutting her hair with a scissor and the model is posing.</t>
  </si>
  <si>
    <t>v_YamDoDK71Ds</t>
  </si>
  <si>
    <t>A woman in a belly dancing outfit is dancing moving her body very strategically.</t>
  </si>
  <si>
    <t>She has her hands up in the air moving as she moves her hips very quickly.</t>
  </si>
  <si>
    <t>She talks about her love for belly dancing and stuff.</t>
  </si>
  <si>
    <t>Then you see her a different purple belly dancing outfit dancing outside.</t>
  </si>
  <si>
    <t>v_IvkpJMxlRKc</t>
  </si>
  <si>
    <t>A man was peeling a potato using a green peeler.</t>
  </si>
  <si>
    <t>He peeled the middle part one more time.</t>
  </si>
  <si>
    <t>Thrown it in the container.</t>
  </si>
  <si>
    <t>v_JguB9cLEXGY</t>
  </si>
  <si>
    <t>A person is seen holding up a stick followed by several clips of people throwing a javelin.</t>
  </si>
  <si>
    <t>More shots are shown of athletes throwing the javelin great distances while screaming each time after their throw.</t>
  </si>
  <si>
    <t>v_lBfyQsXSvUk</t>
  </si>
  <si>
    <t>A man is sitting in a chair.</t>
  </si>
  <si>
    <t>He is getting a tattoo on his arm.</t>
  </si>
  <si>
    <t>A man watches him get the tattoo.</t>
  </si>
  <si>
    <t>He gets his tattoo wraps with saran wrap.</t>
  </si>
  <si>
    <t>v_9PvtW0Uvnl0</t>
  </si>
  <si>
    <t>A camera pans away from a road and shows a person's feet moving around.</t>
  </si>
  <si>
    <t>Several shots are shown of people tying their shoes, hitting a button, and checking a watch.</t>
  </si>
  <si>
    <t>People are then seen running down the road one at a time followed by many more following.</t>
  </si>
  <si>
    <t>v_pRzFL4_I-cE</t>
  </si>
  <si>
    <t>Several shots of a casino is shown that includes close ups of poker tables and people sitting at a table playing.</t>
  </si>
  <si>
    <t>Many shots are shown of the dealer dealing cards while turning them around and the audience reacting.</t>
  </si>
  <si>
    <t>v_UyqM2sglj1s</t>
  </si>
  <si>
    <t>A person is snowboarding on a mountain.</t>
  </si>
  <si>
    <t>There is a montage of roads leading to a mountain and a chairlift.</t>
  </si>
  <si>
    <t>People jump on ramps and halfpipes.</t>
  </si>
  <si>
    <t>v_sZbkKa2iKrM</t>
  </si>
  <si>
    <t>A text intro leads into a wrestler slamming down another wrestler in a ring.</t>
  </si>
  <si>
    <t>The video continues with more shots of the man pinning down wrestlers.</t>
  </si>
  <si>
    <t>Several more shots are shown and ends with a subscribe option.</t>
  </si>
  <si>
    <t>v_vY77rUOOgwg</t>
  </si>
  <si>
    <t>The man in brown shirt is talking to the camera.</t>
  </si>
  <si>
    <t>The man placed a tool on the carpet with long pole.</t>
  </si>
  <si>
    <t>The man used the stretcher to flatten the carpet on the floor.</t>
  </si>
  <si>
    <t>v_AY2usHrPYL0</t>
  </si>
  <si>
    <t>We see a store, maps, and people on a bus.</t>
  </si>
  <si>
    <t>We see people at the beach.</t>
  </si>
  <si>
    <t>We see people in the lake and in rafts.</t>
  </si>
  <si>
    <t>We see a dog on the raft.</t>
  </si>
  <si>
    <t>We see a person paddling a raft.</t>
  </si>
  <si>
    <t>We see a dog swimming in the river.</t>
  </si>
  <si>
    <t>We see the ending screen in blue.</t>
  </si>
  <si>
    <t>v_GMwV9roiBYo</t>
  </si>
  <si>
    <t>A man is skating on a hockey rink and goes to make a goal.</t>
  </si>
  <si>
    <t>He shoots and makes a point and the crowd cheers.</t>
  </si>
  <si>
    <t>He makes another point and the crowd cheers.</t>
  </si>
  <si>
    <t>A team of yellow jerseys rushes onto the ice to congratulate him.</t>
  </si>
  <si>
    <t>They are lined up on the court while a man in a suit walks away from them.</t>
  </si>
  <si>
    <t>The man in the suit stops and talks to another man.</t>
  </si>
  <si>
    <t>He waves and walks back towards the players.</t>
  </si>
  <si>
    <t>The team beings skating towards the people.</t>
  </si>
  <si>
    <t>They skate across the ice and a man stands on the stands and holds up a trophy.</t>
  </si>
  <si>
    <t>v_eC4l8AuAmKw</t>
  </si>
  <si>
    <t>A large group of people are dancing in pairs on a dance floor.</t>
  </si>
  <si>
    <t>People watch from tables all around the dance floor.</t>
  </si>
  <si>
    <t>A man with a microphone stands on the dance floor.</t>
  </si>
  <si>
    <t>v_tRAntV9Om2o</t>
  </si>
  <si>
    <t>A man wearing a hat is seen putting on gloves and starting up a machine in some tall grass.</t>
  </si>
  <si>
    <t>The man then moves the machine all along the grass to cut it down.</t>
  </si>
  <si>
    <t>He pauses for a moment to speak to the camera and raises his hands up.</t>
  </si>
  <si>
    <t>v_9S9hPRDwi24</t>
  </si>
  <si>
    <t>A stick is being held from the ground.</t>
  </si>
  <si>
    <t>A man uses the croquette bat to hit a ball, then places it back to the ground.</t>
  </si>
  <si>
    <t>v_-t2ikmhg9_w</t>
  </si>
  <si>
    <t>A woman is seated on the floor, talking about a vacuum cleaner.</t>
  </si>
  <si>
    <t>She demonstrates how to apply powder to the carpet, and vacuum it up.</t>
  </si>
  <si>
    <t>She then shows how to clean the vacuum out, and the mechanics of the machine.</t>
  </si>
  <si>
    <t>v_KaGXQh-UHVU</t>
  </si>
  <si>
    <t>A group of people are in a house.</t>
  </si>
  <si>
    <t>A man is mopping the floor with a mop.</t>
  </si>
  <si>
    <t>Another boy attempts to walk through where he is mopping.</t>
  </si>
  <si>
    <t>The man takes a drink of beer and complains to the camera.</t>
  </si>
  <si>
    <t>He mops through the room in between the people.</t>
  </si>
  <si>
    <t>He stops mopping and speaks to the camera.</t>
  </si>
  <si>
    <t>v_1LdbczjQPII</t>
  </si>
  <si>
    <t>A globe is turning with writing in front of it.</t>
  </si>
  <si>
    <t>A man throws a bowling ball into various pins.</t>
  </si>
  <si>
    <t>He bounces it off of trampoline and knocks pins down.</t>
  </si>
  <si>
    <t>The throws a bowling ball off a bridge.</t>
  </si>
  <si>
    <t>A woman throws the ball down at pins.</t>
  </si>
  <si>
    <t>A man catches the bowling ball and throws it to pins.</t>
  </si>
  <si>
    <t>A man bounces it off a car and hits pins.</t>
  </si>
  <si>
    <t>Another trampoline trick is shown.</t>
  </si>
  <si>
    <t>A man throws a bowling ball down a slide and a person catches it at the bottom.</t>
  </si>
  <si>
    <t>A man throws a bowling ball up a hill and it rolls back down and hits pins.</t>
  </si>
  <si>
    <t>Two men bounce balls off trampolines to hit pins.</t>
  </si>
  <si>
    <t>A remote control car drives the bowling ball to hit pins.</t>
  </si>
  <si>
    <t>Two men high five after knocking pins down.</t>
  </si>
  <si>
    <t>A man standing on top of a building throws a ball down and hits pins.</t>
  </si>
  <si>
    <t>v_57J-q04z1Hs</t>
  </si>
  <si>
    <t>Two dancers dance in the center of the floor where there aren't many people watching.</t>
  </si>
  <si>
    <t>They're both wearing black decor and they're turning the batons in many different ways and music is playing.</t>
  </si>
  <si>
    <t>Many people are cheering, some are standing and others are sitting.</t>
  </si>
  <si>
    <t>v_k_bvz0NHKBo</t>
  </si>
  <si>
    <t>Two boys and two girls compete beer pong while other persons watch.</t>
  </si>
  <si>
    <t>Almost all the balls throw by the boys land in the cups, only one ball is missed.</t>
  </si>
  <si>
    <t>The girls talk each other while looking the boys.</t>
  </si>
  <si>
    <t>v_yFOZHa2pn1g</t>
  </si>
  <si>
    <t>A guy is putting a cloth shackles on a lady's ankles.</t>
  </si>
  <si>
    <t>The guy positions the lady at the edge.</t>
  </si>
  <si>
    <t>The lady bungee jumps when the guy removes his hand.</t>
  </si>
  <si>
    <t>v_YUN8d87DNNY</t>
  </si>
  <si>
    <t>A woman is sweeping in front of a barn.</t>
  </si>
  <si>
    <t>Chickens are on the ground behind her.</t>
  </si>
  <si>
    <t>She is shoveling dirt into a wheel barrow.</t>
  </si>
  <si>
    <t>Men are sweeping in front of the barn.</t>
  </si>
  <si>
    <t>A woman is brushing a horse with a brush.</t>
  </si>
  <si>
    <t>v_SzCK4QuEG3c</t>
  </si>
  <si>
    <t>A set of knifes rest on top of pin cones.</t>
  </si>
  <si>
    <t>A pocket knife is taken from wooden box and held with a clamp.</t>
  </si>
  <si>
    <t>The man uses sharpening stones on the blade of the knife.</t>
  </si>
  <si>
    <t>The man cuts through pieces of paper to show the knifes sharpness.</t>
  </si>
  <si>
    <t>A still shot of a hot open fire pit is seen.</t>
  </si>
  <si>
    <t>v_f0rWFvJ7uTk</t>
  </si>
  <si>
    <t>A group of boys line up in a baseball field then run to chase the ball.</t>
  </si>
  <si>
    <t>A woman rolls a kick ball on the field.</t>
  </si>
  <si>
    <t>The ball is returned to the field by someone on the sideline.</t>
  </si>
  <si>
    <t>A boy runs around the bases on the field.</t>
  </si>
  <si>
    <t>The group of boys point and signal to other players on the field.</t>
  </si>
  <si>
    <t>A boy kicks the ball and the other players run around the bases.</t>
  </si>
  <si>
    <t>v_NDvp3JeVWcM</t>
  </si>
  <si>
    <t>There is large indoor gym where a gymnastic event is being held.</t>
  </si>
  <si>
    <t>There is a girl gymnast who is performing on the bars.</t>
  </si>
  <si>
    <t>There are spectators watching her as she swings swiftly.</t>
  </si>
  <si>
    <t>She gets off the bars and is congratulated by her coach.</t>
  </si>
  <si>
    <t>The awards are then presented to the winners of the competition.</t>
  </si>
  <si>
    <t>the winners stand on stage to receive their medals of victory.</t>
  </si>
  <si>
    <t>The score board shows the names of all the winners.</t>
  </si>
  <si>
    <t>v_0-igBOtXYeE</t>
  </si>
  <si>
    <t>Several different wrestling battles are shown with many different wrestlers showcased.</t>
  </si>
  <si>
    <t>A man is hoisted onto the shoulders of another man and is then thrown down onto a table, which breaks in half with the force of his weight.</t>
  </si>
  <si>
    <t>Several more wrestlers are thrown violently onto ring floors and flat surfaces and tables, with one dark and long haired man appearing several times throughout the clip screaming in an animated way.</t>
  </si>
  <si>
    <t>A red haired man talks to a camera near the end of the clip.</t>
  </si>
  <si>
    <t>v_asyXgaH1Sro</t>
  </si>
  <si>
    <t>Two men are talking on the sidewalk.</t>
  </si>
  <si>
    <t>An orange fork lift goes by behind them.</t>
  </si>
  <si>
    <t>One of the men is brushing the other mans hair.</t>
  </si>
  <si>
    <t>The man in the red shirt plays with his hair.</t>
  </si>
  <si>
    <t>v_-L-LiCO1v-s</t>
  </si>
  <si>
    <t>A man standing in front of orange flowers talks.</t>
  </si>
  <si>
    <t>A small dog is laying on the ground.</t>
  </si>
  <si>
    <t>A shower head is shown.</t>
  </si>
  <si>
    <t>A woman is sitting on a bed with the dog.</t>
  </si>
  <si>
    <t>Her and the dog are in the shower.</t>
  </si>
  <si>
    <t>She is spraying the dog with water.</t>
  </si>
  <si>
    <t>A bottle is being held up to be shown.</t>
  </si>
  <si>
    <t>She dries the dog off with a white towel.</t>
  </si>
  <si>
    <t>A robot is dancing on the screen.</t>
  </si>
  <si>
    <t>v_LjfF72Hwpyg</t>
  </si>
  <si>
    <t>A snow piled lawn is shown.</t>
  </si>
  <si>
    <t>A man on a tractor is pulling a kid on a tube over mounds of snow over and over.</t>
  </si>
  <si>
    <t>It ends with the boy close up, and another eating cereal from the top of a staircase.</t>
  </si>
  <si>
    <t>v_V3uCGRAWG2M</t>
  </si>
  <si>
    <t>A representative of the GCN Network is talking and demonstrating how to use tools to fix bike wheels.</t>
  </si>
  <si>
    <t>He is standing near an elevated blue bike with several tools displayed on a wall behind him.</t>
  </si>
  <si>
    <t>He is using an Allen key to lever the bike tire.</t>
  </si>
  <si>
    <t>He rotates the bike tire and then uses the Allen key to adjust the screws.</t>
  </si>
  <si>
    <t>Then he resets the pistons of the wheel to realign them.</t>
  </si>
  <si>
    <t>Then he precisely fits in the attachment into the wheel.</t>
  </si>
  <si>
    <t>v_JtQSDGSKnsY</t>
  </si>
  <si>
    <t>A person uses a vacuum cleaner the clean the carpet of debris in a room sweeping it back and forth.</t>
  </si>
  <si>
    <t>The vacuum cleaner collecting bucket is moved in order to reach a new area of carpet.</t>
  </si>
  <si>
    <t>The person vacuums the carpet area around the couch.</t>
  </si>
  <si>
    <t>The person lifts up the head of the vacuum and examines the wheels underneath.</t>
  </si>
  <si>
    <t>v_ifmHO5lQq18</t>
  </si>
  <si>
    <t>A blonde woman runs and does a high jump repeatedly.</t>
  </si>
  <si>
    <t>A woman in white in the background does a high jump.</t>
  </si>
  <si>
    <t>A black lady walks past the camera.</t>
  </si>
  <si>
    <t>The black lady appears again and adjusts something on the ground.</t>
  </si>
  <si>
    <t>A man raises a red flag.</t>
  </si>
  <si>
    <t>v_tjUuEqmLGeI</t>
  </si>
  <si>
    <t>A girl in her dance uniform is standing with her mom talking waiting for her turn to come up, when it's her turn she and her partner walk on stage.</t>
  </si>
  <si>
    <t>They begin to do their routine with their batons.</t>
  </si>
  <si>
    <t>They work well together and one of the girls does a flip while the other girl holds her, they continue on with the rest of their routine.</t>
  </si>
  <si>
    <t>They end their routine, one of them kneeling and the other behind her and get up and walk off the stage.</t>
  </si>
  <si>
    <t>v_x1wy8QmHZL8</t>
  </si>
  <si>
    <t>A girl in a blue and sparkly costume is standing on a court while holding two batons.</t>
  </si>
  <si>
    <t>The girl begins her baton routine and starts her routine and twirls the batons and her body.</t>
  </si>
  <si>
    <t>Judges at a table watch her the whole time while they also write on a piece of paper.</t>
  </si>
  <si>
    <t>The girl drops her baton, picks it up and then continues on with her routine.</t>
  </si>
  <si>
    <t>v_7iuU-zsauOY</t>
  </si>
  <si>
    <t>A man is deep water scuba diving with some type of machine as if he is searching for something.</t>
  </si>
  <si>
    <t>In the midst,he begins playing with a small fish before continuing on his search.</t>
  </si>
  <si>
    <t>The man continues traveling through the water at a slow pace but he isn't finding anything.</t>
  </si>
  <si>
    <t>v_dI6TWaB6tls</t>
  </si>
  <si>
    <t>Two dancers engage in a ballroom dance in front of a live band and a full televised audience.</t>
  </si>
  <si>
    <t>A woman in a ballroom outfit approaches a man in a ballroom dance, when the two meet they begin to dance across the floor using elaborate footwork during the dance.</t>
  </si>
  <si>
    <t>A phone number inviting people to call in and vote for them appears on the screen along with the network logo.</t>
  </si>
  <si>
    <t>The two continue to dance exhibiting slides, pickups, a last kiss and slides on the dance floor as the people in the audience clap.</t>
  </si>
  <si>
    <t>v_55bimE5eU9E</t>
  </si>
  <si>
    <t>A man and a woman stand by each other as the man speaks.</t>
  </si>
  <si>
    <t>The woman reaches down and lifts a bar.</t>
  </si>
  <si>
    <t>She makes small lifts against her thighs.</t>
  </si>
  <si>
    <t>She continues the small lifts and adds a variance of big lifts.</t>
  </si>
  <si>
    <t>She lifts the bar over her head and brings it down to her thigh area to continue the small lifts.</t>
  </si>
  <si>
    <t>She brings the bar back over her head and drops it down to the ground.</t>
  </si>
  <si>
    <t>v_3HP2E_a9xrU</t>
  </si>
  <si>
    <t>A small child is seen swinging at a pinata with a large group of children behind them.</t>
  </si>
  <si>
    <t>More kids stand up to take a swing at the pinata as parents walk around the kids.</t>
  </si>
  <si>
    <t>One last girl attempts to break the pinata in the end.</t>
  </si>
  <si>
    <t>v_g_T8qK7qTFI</t>
  </si>
  <si>
    <t>People in traffic in a city look irritated as a cop directs traffic.</t>
  </si>
  <si>
    <t>A man sticks something in his ears.</t>
  </si>
  <si>
    <t>A man in a green shirt mocks a cop and people laugh and clap.</t>
  </si>
  <si>
    <t>The cop gives the man a Pepsi.</t>
  </si>
  <si>
    <t>We see the man on the cricket field throwing a ball.</t>
  </si>
  <si>
    <t>The man drinks the Pepsi and we see the closing screen.</t>
  </si>
  <si>
    <t>v_t_D9MYkEPEo</t>
  </si>
  <si>
    <t>an audience claps as a couple appears on stage.</t>
  </si>
  <si>
    <t>They dance gracefully, spinning and twirling.</t>
  </si>
  <si>
    <t>The couple bow as they finish their routine.</t>
  </si>
  <si>
    <t>v__BHoMDR2ZVg</t>
  </si>
  <si>
    <t>A man wearing glasses is seen speaking to the camera in a tattoo shop.</t>
  </si>
  <si>
    <t>The man is laying on a table and waving to the camera.</t>
  </si>
  <si>
    <t>He shows his outline and a man begins tattooing his leg.</t>
  </si>
  <si>
    <t>v_X1WExPnfJjE</t>
  </si>
  <si>
    <t>A young girl is seen sitting in front of the camera running a brush down her long hair.</t>
  </si>
  <si>
    <t>She suddenly jumps and screams towards the camera while smiling and setting the brush down.</t>
  </si>
  <si>
    <t>v_aFVthcfDK9Q</t>
  </si>
  <si>
    <t>A city next a river is displayed on a screen.</t>
  </si>
  <si>
    <t>Reporters talk in a TV set where other people are working.</t>
  </si>
  <si>
    <t>A man wearing white shirt clean his face while looking a mirror.</t>
  </si>
  <si>
    <t>v_pD-zyfLtC6w</t>
  </si>
  <si>
    <t>A biker seated on a bike revs the engine.</t>
  </si>
  <si>
    <t>Another biker is shown seated on a bike, making a gesture with both arms.</t>
  </si>
  <si>
    <t>Scenes of various bikers failing stunt jumps are shown, with occasional crowd reaction and aftermath shots.</t>
  </si>
  <si>
    <t>v__wo35butdOc</t>
  </si>
  <si>
    <t>A lady stands raising a metal disk in one hand.</t>
  </si>
  <si>
    <t>The lady spins with the disk and releases the disk.</t>
  </si>
  <si>
    <t>The lady places a towel around her back.</t>
  </si>
  <si>
    <t>v_zkLld95_bhg</t>
  </si>
  <si>
    <t>Between clips of a man on a catamaran moving in the ocean, black screens appear and different times with different words describing each movement the catamaran makes.</t>
  </si>
  <si>
    <t>The man is now standing on the boat and is pulling on ropes that move on the boat and then is shown once again as the boat is moving.</t>
  </si>
  <si>
    <t>The outro appears and it's a white screen with a picture of the boat and the words "MULTIHULL CENTRAL".</t>
  </si>
  <si>
    <t>v_3AWvyAJv20g</t>
  </si>
  <si>
    <t>A woman folds towels on an ironing board at home.</t>
  </si>
  <si>
    <t>Different clothing items are seen such as shirts, socks, and ties.</t>
  </si>
  <si>
    <t>The woman adds a tag to a piece of clothing and irons it in place.</t>
  </si>
  <si>
    <t>The tag is shown close up.</t>
  </si>
  <si>
    <t>v_HddRC-twMLc</t>
  </si>
  <si>
    <t>There's man dressed in a blue shirt and blue shorts shooting darts in a room that has beige walls.</t>
  </si>
  <si>
    <t>He has two darts in his hands which he aims and shoots at a target.</t>
  </si>
  <si>
    <t>v_-yn3D1fOfr0</t>
  </si>
  <si>
    <t>A woman in a black shirt is talking in front of a Christmas tree.</t>
  </si>
  <si>
    <t>She begins putting decorations on the Christmas tree.</t>
  </si>
  <si>
    <t>She places a gold bow on the top of the tree.</t>
  </si>
  <si>
    <t>Three women are talking in front of the tree.</t>
  </si>
  <si>
    <t>v_CIcVR4m7nOc</t>
  </si>
  <si>
    <t>Several people stand outside of cars.</t>
  </si>
  <si>
    <t>They get in a river on tubes.</t>
  </si>
  <si>
    <t>They float near a large bridge.</t>
  </si>
  <si>
    <t>The water gets a little choppy.</t>
  </si>
  <si>
    <t>v_JVfhBvlv0IY</t>
  </si>
  <si>
    <t>An athletic man is seen standing ready and runs down a long track into a sand pit.</t>
  </si>
  <si>
    <t>The man walks away while looking into the audience followed by another man running into the pit.</t>
  </si>
  <si>
    <t>Several more men take turns running down with their run showed again afterwards.</t>
  </si>
  <si>
    <t>v_efaYmJsTDJc</t>
  </si>
  <si>
    <t>A camera ia seen showing the outside of a home followed by a girl sitting in a tub.</t>
  </si>
  <si>
    <t>She looks to the mirror and has a friend hand her a solo cup.</t>
  </si>
  <si>
    <t>She runs throughout the house outside and shows a close up of mouth wash.</t>
  </si>
  <si>
    <t>v_gLPJ7_VhWVU</t>
  </si>
  <si>
    <t>A young lady explains how to put makeup on the eye lid using a brush.</t>
  </si>
  <si>
    <t>The young lady use an eyeliner to paint the border of the top lid.</t>
  </si>
  <si>
    <t>Then, she puts mascara to her eyelashes, and paint the the lower lid.</t>
  </si>
  <si>
    <t>After, she brush her cheek and put lipstick on the lips.</t>
  </si>
  <si>
    <t>v_xC5RVs9mXyM</t>
  </si>
  <si>
    <t>A large marching band are seen standing in the middle of a big crowd.</t>
  </si>
  <si>
    <t>The band then begins playing with one another in the circle.</t>
  </si>
  <si>
    <t>The people continuing playing with one another while people watch on the sides.</t>
  </si>
  <si>
    <t>v_zFb7PKk_-vA</t>
  </si>
  <si>
    <t>A woman is seen speaking to the camera while a group of people sit in tubes around her.</t>
  </si>
  <si>
    <t>The other people smile and wave to the camera while showing off the other tubes.</t>
  </si>
  <si>
    <t>The people continue to ride around the water while the camera pans all around their movements.</t>
  </si>
  <si>
    <t>v_s24-UW2mnjM</t>
  </si>
  <si>
    <t>This man is roller blading through the streets extremely fast.</t>
  </si>
  <si>
    <t>He jumps over a closed off area and keeps on skating passed people into the streets.</t>
  </si>
  <si>
    <t>He is skating in the streets of paris along with another skater, still skating past people and going down into the subway.</t>
  </si>
  <si>
    <t>He hold on to the back of someones motorcycle and uses it to catch speed and then continues back out of the subway back on to the sidewalks.</t>
  </si>
  <si>
    <t>v_U_Pb3Wm_pb4</t>
  </si>
  <si>
    <t>An orange rope is tied to a tree and dangling in the wind.</t>
  </si>
  <si>
    <t>A man steps up on the rope and begins to walk across it.</t>
  </si>
  <si>
    <t>The man jumps down off of the rope and starts at the beginning to walk across it.</t>
  </si>
  <si>
    <t>The man jumps off again and gets back on the rope and jumps off.</t>
  </si>
  <si>
    <t>The man tightens the rope.</t>
  </si>
  <si>
    <t>The camera shows the ground.</t>
  </si>
  <si>
    <t>v_Uo9q4riquHM</t>
  </si>
  <si>
    <t>It is raining outside while a man is on a lawn mower mowing his lawn.</t>
  </si>
  <si>
    <t>The camera focuses on water dripping down.</t>
  </si>
  <si>
    <t>The man rearranges himself on the mower.</t>
  </si>
  <si>
    <t>He continues to mow the lawn.</t>
  </si>
  <si>
    <t>The camera focuses on the running water again.</t>
  </si>
  <si>
    <t>Then switches back to the running water.</t>
  </si>
  <si>
    <t>v_QosVN26lb1g</t>
  </si>
  <si>
    <t>We see a woman hitting a pinata.</t>
  </si>
  <si>
    <t>The lady pauses to line up her shot.</t>
  </si>
  <si>
    <t>The lady holds the pinata as she hits it.</t>
  </si>
  <si>
    <t>A man takes the bat from the ladies hands.</t>
  </si>
  <si>
    <t>v_ivmBrbO32Qo</t>
  </si>
  <si>
    <t>a man in a lab coat uses a swiffer broom.</t>
  </si>
  <si>
    <t>He rakes it across a floor with cleaning solution.</t>
  </si>
  <si>
    <t>The floor shines as it comes clean beneath his feet.</t>
  </si>
  <si>
    <t>v_HzmT-lvHrpM</t>
  </si>
  <si>
    <t>A man stands with a bicycle on a rack and shows its different parts and features including the wheels.</t>
  </si>
  <si>
    <t>The man turns the crank and the wheel spins on the bike.</t>
  </si>
  <si>
    <t>The man spins the front wheel by hand.</t>
  </si>
  <si>
    <t>The man tightens a screw with his hand tool.</t>
  </si>
  <si>
    <t>v_HafSt7EDin0</t>
  </si>
  <si>
    <t>A basketball is focused on as it sits on a grass.</t>
  </si>
  <si>
    <t>Then it zooms out and a small girl is standing at the beginning of a hopscotch written in chalk, and a man is standing at the end and he throws a piece of chalk her way, it breaks, he hops to pick it up, she picks up the other piece and returns it to the chalk container off to the side.</t>
  </si>
  <si>
    <t>The girl returns to the beginning of the hopscotch and takes her turn, and they go back and forth and play taking turns jumping up and down the hopscotch.</t>
  </si>
  <si>
    <t>v_WhEdTfs7U5E</t>
  </si>
  <si>
    <t>At beach, several volleyball nets in different colors are set up, while people are standing or sitting on the side off the nets.</t>
  </si>
  <si>
    <t>Different teams, with combination of males and females played the beach volleyballs in the nets assigned to them.</t>
  </si>
  <si>
    <t>v_PMy2EyktRmo</t>
  </si>
  <si>
    <t>People are working out on exercise bikes.</t>
  </si>
  <si>
    <t>A man in a blue shirt is standing in front of them running around.</t>
  </si>
  <si>
    <t>v_lj-VovhJcPA</t>
  </si>
  <si>
    <t>A reporter talks in a TV set, then a reporter talks in a park, then a map of London is shown.</t>
  </si>
  <si>
    <t>A man shows a bag with a cigarette and then it is show next of papers.</t>
  </si>
  <si>
    <t>After, the man is in a backyard explaining to the reporter.</t>
  </si>
  <si>
    <t>People are in a park walking, a person with a pet and mother with a child.</t>
  </si>
  <si>
    <t>A man and a woman talk with the reporter.</t>
  </si>
  <si>
    <t>v_avxSMcGBdG8</t>
  </si>
  <si>
    <t>Individuals play croquet, with the camera only showing their lower legs an the balls and mallets.</t>
  </si>
  <si>
    <t>A group of people in witch costumes stand together as one talks.</t>
  </si>
  <si>
    <t>More small videos of people playing croquet are shown.</t>
  </si>
  <si>
    <t>The group of people in witch costumes are shown again.</t>
  </si>
  <si>
    <t>A series of croquet teams are shown, with some of them wearing costumes.</t>
  </si>
  <si>
    <t>The group of people in witch costumes is shown once more.</t>
  </si>
  <si>
    <t>Yet more small videos of people playing croquet are shown.</t>
  </si>
  <si>
    <t>And ending title screen is shown.</t>
  </si>
  <si>
    <t>v_n9P4ltD0g2k</t>
  </si>
  <si>
    <t>He starts cutting up fruit and putting it in the glass.</t>
  </si>
  <si>
    <t>He starts mashing the fruit with a stick.</t>
  </si>
  <si>
    <t>He adds ice to the glass and pours alcohol in.</t>
  </si>
  <si>
    <t>He shakes the drink and pours it into a tall glass.</t>
  </si>
  <si>
    <t>He adds some liquid and stirs it with a straw.</t>
  </si>
  <si>
    <t>v_tEAEFVJGGG0</t>
  </si>
  <si>
    <t>A man trims the bush on the lawn with a electric cutter.</t>
  </si>
  <si>
    <t>v_I9ZeyASdgTk</t>
  </si>
  <si>
    <t>A person turn on a button of a device with a long road next to a wood box.</t>
  </si>
  <si>
    <t>Then, the man put the rod in a hole and sparks come out, after the man end doing sparkles.</t>
  </si>
  <si>
    <t>v_nnWON1EzK0o</t>
  </si>
  <si>
    <t>A person is seen riding on a horse into a pit chasing down a baby calf.</t>
  </si>
  <si>
    <t>The man ropes the calf and jumps off the horse to tie him up then walks back to the horse.</t>
  </si>
  <si>
    <t>v_9ZGy24Geu5k</t>
  </si>
  <si>
    <t>A man is seen in the ocean on a surf board.</t>
  </si>
  <si>
    <t>The man glides towards an on coming wave.</t>
  </si>
  <si>
    <t>The man then jumps over the wave.</t>
  </si>
  <si>
    <t>The man then rides the inside of a new wave.</t>
  </si>
  <si>
    <t>v_maXU1lGguxs</t>
  </si>
  <si>
    <t>A beautiful young woman holding a violin in hand begins to motion back and forth against the strings with the bow to play a song that she has practiced.</t>
  </si>
  <si>
    <t>The nicely dressed woman in black with white sleeves continues playing and smiling intermittently while eloquently holding down different chords and notes in the corner of the room next to a piano dancing back and forth as she plays.</t>
  </si>
  <si>
    <t>The woman stops playing and smiles once more before walking out of view of the camera putting the violin down and ending the song.</t>
  </si>
  <si>
    <t>v_EfJIu_moZaE</t>
  </si>
  <si>
    <t>A person goes sailing by another boat in the water.</t>
  </si>
  <si>
    <t>Several scenes are shown of people sailing on the boats.</t>
  </si>
  <si>
    <t>A man is standing and talking to the camera.</t>
  </si>
  <si>
    <t>v_TjMdEjgAKLw</t>
  </si>
  <si>
    <t>A man stands on metal stilts an pulls a large straight edge over a ceiling to flatten out the plaster.</t>
  </si>
  <si>
    <t>The man reaches the nearest side and then turns around to continue.</t>
  </si>
  <si>
    <t>The man reaches the far side of the room and turns around to continue.</t>
  </si>
  <si>
    <t>The man finishes and lowers the straight edge tool smiling.</t>
  </si>
  <si>
    <t>v_ykcLgz3DlYg</t>
  </si>
  <si>
    <t>We see half a cake on a form with a person hand pointing to things.</t>
  </si>
  <si>
    <t>We see the person spins the cake with the cardboard above it.</t>
  </si>
  <si>
    <t>A person scrapes wax paper over the cake.</t>
  </si>
  <si>
    <t>We see a whole globe covered in chocolate.</t>
  </si>
  <si>
    <t>v_WP8YccCA2Jc</t>
  </si>
  <si>
    <t>Man scraps the ice from his windshield.</t>
  </si>
  <si>
    <t>The man in black puts a piece of cardboard on his windshield.</t>
  </si>
  <si>
    <t>Man pours hot water mixture on his cold windshield.</t>
  </si>
  <si>
    <t>v_YNVK-pb7fWM</t>
  </si>
  <si>
    <t>Two women are seen sitting in a park with one behind the other.</t>
  </si>
  <si>
    <t>One girl begins braiding the hair of another while sitting behind.</t>
  </si>
  <si>
    <t>The girl finishes the hair while the other looks back to the camera.</t>
  </si>
  <si>
    <t>v_eEfvYiuGULM</t>
  </si>
  <si>
    <t>Athletes throw a javelin across the field during a competition in a stadium.</t>
  </si>
  <si>
    <t>The athlete is not pleased with his throw and slaps his legs in frustration.</t>
  </si>
  <si>
    <t>The athlete is moderately pleased with his throw and claps his hands walking away and nods his head.</t>
  </si>
  <si>
    <t>A scoreboard is seen with the results of the competition.</t>
  </si>
  <si>
    <t>v_nDRaXY5ddPs</t>
  </si>
  <si>
    <t>A person is using a mop to mop the floor.</t>
  </si>
  <si>
    <t>A small dog is chasing the mop.</t>
  </si>
  <si>
    <t>They continue to mop with the dog on the mop.</t>
  </si>
  <si>
    <t>v_ZKo3_ifK2tQ</t>
  </si>
  <si>
    <t>A toy bear wearing red and white overalls pours a cup of coffee into a yellow coffee cup.</t>
  </si>
  <si>
    <t>The camera man zooms in on the toy bear from a side view to a front view.</t>
  </si>
  <si>
    <t>The camera man pans out and moves to a side view of the toy bear and zooms out.</t>
  </si>
  <si>
    <t>v_D_GSISuQw3Y</t>
  </si>
  <si>
    <t>There's a girl wearing a brown Cheers shirt doing a demonstration on how to paint her nails.</t>
  </si>
  <si>
    <t>She shows a bottle of magenta nail polish that she has already used on her nails.</t>
  </si>
  <si>
    <t>Then she takes a strip of rhinestones that she meticulously places and glues on her painted fingernails.</t>
  </si>
  <si>
    <t>Then she coats her nails and the rhinestones with a layer of neutral polish to secure the rhinestones.</t>
  </si>
  <si>
    <t>She talks in the camera as two boys stand behind her trying to participating in the video tutorial.</t>
  </si>
  <si>
    <t>v_nD4VObLUOuE</t>
  </si>
  <si>
    <t>We see a man in an orange shirt twirl and spin to throw the hammer over 80km .</t>
  </si>
  <si>
    <t>Next we see a man in a blue shirt throw 73km.</t>
  </si>
  <si>
    <t>We see a man in a white shirt throw 75km.</t>
  </si>
  <si>
    <t>The man in orange goes again and throws 81km.</t>
  </si>
  <si>
    <t>v_9WXl-2sINno</t>
  </si>
  <si>
    <t>A young girl giving a make up tutorial.</t>
  </si>
  <si>
    <t>She begins with the eye shadow.</t>
  </si>
  <si>
    <t>She gets a little bit distracted and starts talking to someone else in the room.</t>
  </si>
  <si>
    <t>She then finishes her other eye and laughs a little bit.</t>
  </si>
  <si>
    <t>v_U4ua-VD7hNM</t>
  </si>
  <si>
    <t>A person is seen laying on a long wire and walks his way all the way to end.</t>
  </si>
  <si>
    <t>He attempts to flip across the string again but fails and hurts himself.</t>
  </si>
  <si>
    <t>Several more men are seen watching from the sides when one slides across again.</t>
  </si>
  <si>
    <t>Another man is seen doing a flip on a rock and more shots people walking and jumping onto the string are shown.</t>
  </si>
  <si>
    <t>v_1gM0xfKN-Kc</t>
  </si>
  <si>
    <t>Several men and women are outside on a silver adult monkey bars climbing across it.</t>
  </si>
  <si>
    <t>After they all finish,the people get off and run back to do another set on the monkey bars.</t>
  </si>
  <si>
    <t>In the distance,more people are coming from the trail and a young boy is shown going across the bars before a group of images of them doing different activities are shown.</t>
  </si>
  <si>
    <t>v_zoSNO_k9RoM</t>
  </si>
  <si>
    <t>A person puts a contact lens in his right eye.</t>
  </si>
  <si>
    <t>Then, the person puts a contact lens in his left eye.</t>
  </si>
  <si>
    <t>v_ytvIoI5uwFA</t>
  </si>
  <si>
    <t>A man is standing in front of another man while someone adjusts the table between them.</t>
  </si>
  <si>
    <t>The men lock arms, and begin to arm wrestle.</t>
  </si>
  <si>
    <t>They push and pull hard, trying to win.</t>
  </si>
  <si>
    <t>They suddenly begin punching each other, breaking out in a fight.</t>
  </si>
  <si>
    <t>One begins to fall after a punch.</t>
  </si>
  <si>
    <t>v_M5UrBI13R3s</t>
  </si>
  <si>
    <t>A white intro screen appears and red letters in a foreign language appear flashing on the screen.</t>
  </si>
  <si>
    <t>A white bowl filled with water and 3 potatoes appear in one bowl, and ice cubes are in another white bowl.</t>
  </si>
  <si>
    <t>A hand then grabs the top potato, the bowl of ice cubes and pours the cubes into a bigger white bowl that already has water in it.</t>
  </si>
  <si>
    <t>The two hands now drop the potato into the larger bowl with the ice cubes and water and the fingers begin to peel off all of the skin under the water and when all the peels are gone the potato is placed onto a clean white plate.</t>
  </si>
  <si>
    <t>The white outro screen appears and more foreign red letters appear.</t>
  </si>
  <si>
    <t>v_VFVAkH9zPIM</t>
  </si>
  <si>
    <t>We see the title introducing us to Jesse.</t>
  </si>
  <si>
    <t>Jesse the dog runs and catches Frisbee.</t>
  </si>
  <si>
    <t>We see Jesse close up in the camera.</t>
  </si>
  <si>
    <t>Jesse is running around catching the Frisbee the lady throws.</t>
  </si>
  <si>
    <t>We see five still shots of Jesse jumping in the air.</t>
  </si>
  <si>
    <t>Jesse continues to run around with his Frisbee.</t>
  </si>
  <si>
    <t>We see the end credits on a black screen.</t>
  </si>
  <si>
    <t>v_We0DJIKCBOw</t>
  </si>
  <si>
    <t>A woman is shown preparing to lift a barbell into the air.</t>
  </si>
  <si>
    <t>She lifts it into the air and above her head.</t>
  </si>
  <si>
    <t>She drops the barbell to the ground.</t>
  </si>
  <si>
    <t>She bows for the crowd and blows them a kiss.</t>
  </si>
  <si>
    <t>She then walks off stage.</t>
  </si>
  <si>
    <t>v_zBg0FEtpC-o</t>
  </si>
  <si>
    <t>A man in a black knit hat talks to the camera while standing in front of a table with items on it and in front of a yellow truck with a black star on the door.</t>
  </si>
  <si>
    <t>The man picks up an orange packet from the table and later a smaller yellow packet and an orange device, all while talking.</t>
  </si>
  <si>
    <t>The man then places the yellow packet and orange device on the table next to each other on a metal table.</t>
  </si>
  <si>
    <t>The man then takes a metal plate, puts it upside down and starts a fire on top of it using the materials in the packet, before returning to talk to the camera again.</t>
  </si>
  <si>
    <t>v_6RxF2UHMYQM</t>
  </si>
  <si>
    <t>A person picks up a paint brush and can of varnish on an outside lawn.</t>
  </si>
  <si>
    <t>The person paints a coat various boards leaning up against an exterior wall of home.</t>
  </si>
  <si>
    <t>v_yWvyLG3kq2I</t>
  </si>
  <si>
    <t>A large water fall is shown.</t>
  </si>
  <si>
    <t>A person goes over the water fall in a green kayak.</t>
  </si>
  <si>
    <t>People are standing on the rocks above the water watching.</t>
  </si>
  <si>
    <t>v_KkpQ347Ceak</t>
  </si>
  <si>
    <t>A person is putting food into a bowl.</t>
  </si>
  <si>
    <t>They crack a nut and put that into the bowl.</t>
  </si>
  <si>
    <t>They crack another nut over a black tray.</t>
  </si>
  <si>
    <t>v_-HKsU_uFUWo</t>
  </si>
  <si>
    <t>woman is kneeling down in the floor talking to the camera holding a bend slide and opens it in the living room.</t>
  </si>
  <si>
    <t>dog is walking behind th woman.</t>
  </si>
  <si>
    <t>baby is walking to the woman and climb to the slide.</t>
  </si>
  <si>
    <t>v_Q9UovyMsTLc</t>
  </si>
  <si>
    <t>Three girls are seen standing behind a counter speaking to the camera with one spreading butter around a pan.</t>
  </si>
  <si>
    <t>Another mixes ingredients into a bowl with another girl's help and the girls lick the spoon used afterwards.</t>
  </si>
  <si>
    <t>They pour the mixture into a pan, put it in the oven, then shortly take it out some time after.</t>
  </si>
  <si>
    <t>Frosting is then seen all over the cake and the girl's spread it around and serve pieces onto a plate, followed by them eating on in a living room.</t>
  </si>
  <si>
    <t>v_7CNEttu-t7g</t>
  </si>
  <si>
    <t>A large exercise machine is shown.</t>
  </si>
  <si>
    <t>A man sits down and starts working out on the exercise machine.</t>
  </si>
  <si>
    <t>v_weeD4A7gl2A</t>
  </si>
  <si>
    <t>A car is seen sitting inside a car wash on a security camera with rags moving up and down the vehicle.</t>
  </si>
  <si>
    <t>A man then opens his door which is followed by the machine taking off the door and the car driving away.</t>
  </si>
  <si>
    <t>v_jx7_0MRlScw</t>
  </si>
  <si>
    <t>People are driving around playing bumper cars.</t>
  </si>
  <si>
    <t>A man has to help get cars unstuck.</t>
  </si>
  <si>
    <t>v_G0g7vEwI0z8</t>
  </si>
  <si>
    <t>Two people are cooking in pans on the oven.</t>
  </si>
  <si>
    <t>Two plates of food are on the counter.</t>
  </si>
  <si>
    <t>v_p3-tF0riSpQ</t>
  </si>
  <si>
    <t>A man is first seen speaking to the camera with text questions being asked to him.</t>
  </si>
  <si>
    <t>He is then seen putting a cleaner on his teeth and taking a bit of food.</t>
  </si>
  <si>
    <t>He continues speaking to the camera while occasionally eating food.</t>
  </si>
  <si>
    <t>v_hQl2eeYX3IY</t>
  </si>
  <si>
    <t>There's a man in a red shirt and brown hat blowing leaves off his driveway with a leaf blower.</t>
  </si>
  <si>
    <t>He begins by blowing the leaves off from near the front lawn.</t>
  </si>
  <si>
    <t>Then he moves towards where his white van is parked.</t>
  </si>
  <si>
    <t>He walks all around the driveway and blow the leaves, making sure he covers the entire driveway.</t>
  </si>
  <si>
    <t>Then he goes towards the corner of the garage and blow off a large pile of leaves that is lying there in a heap.</t>
  </si>
  <si>
    <t>v_MVVhOW7t3u0</t>
  </si>
  <si>
    <t>A track athlete walks down the path.</t>
  </si>
  <si>
    <t>A female participant prepares to run.</t>
  </si>
  <si>
    <t>She runs with a javelin over her shoulder, throwing it as far as she can.</t>
  </si>
  <si>
    <t>She then runs away from the spot on the track.</t>
  </si>
  <si>
    <t>v_zYN_cbLO3MU</t>
  </si>
  <si>
    <t>Several people surf with paddles in ocean water navigating rough waves as onlookers watch from boats and kayaks.</t>
  </si>
  <si>
    <t>A man is paddle rowing on a surfboard in a body of water, when he begins to surf the ocean waves using the paddle to navigate and guide the surfboard.</t>
  </si>
  <si>
    <t>Another man is shown in a red outfit performing the same feat with the paddle along with yet another man in a green shirt.</t>
  </si>
  <si>
    <t>Another man in is paddle surfboarding in a clear blue type of water before the scene switches again to another several more people navigating large and rough waves with surfboard and paddles.</t>
  </si>
  <si>
    <t>v_g9sYWTE6LTg</t>
  </si>
  <si>
    <t>A large group of people are sitting around while two men bring out a table and a man and woman stand on it.</t>
  </si>
  <si>
    <t>The man and woman speak to the crowd and perform a tango routine while standing on the table the entire time.</t>
  </si>
  <si>
    <t>The people step off the table and bow to the audience clapping and the camera panning around.</t>
  </si>
  <si>
    <t>v_kt_sGN-1prU</t>
  </si>
  <si>
    <t>Various text shown leads into several clips of people swinging around on uneven bars.</t>
  </si>
  <si>
    <t>More and more gymnasts are shown jumping off of a beam and onto uneven bars.</t>
  </si>
  <si>
    <t>Several woman are shown back to back performing these tricks.</t>
  </si>
  <si>
    <t>v_x06fLYM58wM</t>
  </si>
  <si>
    <t>A female ballet dancer is in a studio room by herself wearing a purple leotard with a skirt attached to it.</t>
  </si>
  <si>
    <t>She begins gracefully dancing throughout the room doing a series of turns and kicks all while on the tip of her toes.</t>
  </si>
  <si>
    <t>Finally,she begins doing a series of tiny backward steps and finishes in the position she started in.</t>
  </si>
  <si>
    <t>v_cXw6os9Xk5c</t>
  </si>
  <si>
    <t>A man on the side of the street drumming away on an actual drum set.</t>
  </si>
  <si>
    <t>People are standing around waiting an watching him.</t>
  </si>
  <si>
    <t>Cars are passing by and he just continues to drum like it's normal.</t>
  </si>
  <si>
    <t>He jams out using the cymbals and everything.</t>
  </si>
  <si>
    <t>v_6x3qs7jQQko</t>
  </si>
  <si>
    <t>A woman is styling the hair of a mannequin.</t>
  </si>
  <si>
    <t>She rolls the hair into curlers on top of the head of the mannequin.</t>
  </si>
  <si>
    <t>She takes the curlers out of the hair and styles it.</t>
  </si>
  <si>
    <t>v_x7PDVqDFw6c</t>
  </si>
  <si>
    <t>Film strips appear to roll across the screen.</t>
  </si>
  <si>
    <t>A man is using a telescoping pole by the side of a building.</t>
  </si>
  <si>
    <t>He stretches it upward, then cleans the side of the building with it.</t>
  </si>
  <si>
    <t>He uses it to clean the windows tha are highest.</t>
  </si>
  <si>
    <t>v_dIlpPraDc-I</t>
  </si>
  <si>
    <t>The man in red jacket is skiing on the slope.</t>
  </si>
  <si>
    <t>The man in is skiing down slope with is knees bend down.</t>
  </si>
  <si>
    <t>The man is skiing down the mountain.</t>
  </si>
  <si>
    <t>v_mhHoL-9mY1E</t>
  </si>
  <si>
    <t>We see a person sitting in front of a shoe holding a can with brush.</t>
  </si>
  <si>
    <t>The man takes the top off and sprays the shoes.</t>
  </si>
  <si>
    <t>The man uses the brush on the shoe to rub the shoe.</t>
  </si>
  <si>
    <t>The man puts the top back on the can.</t>
  </si>
  <si>
    <t>The man gets up and grabs the camera.</t>
  </si>
  <si>
    <t>v_VEihQG2UWKE</t>
  </si>
  <si>
    <t>People are flying kites on grass.</t>
  </si>
  <si>
    <t>The kites are shown in the sky.</t>
  </si>
  <si>
    <t>A woman is holding a purple umbrella.</t>
  </si>
  <si>
    <t>People are walking around in a park.</t>
  </si>
  <si>
    <t>v_hpoReoD1vD0</t>
  </si>
  <si>
    <t>A white plate is sitting on a white table in a kitchen.</t>
  </si>
  <si>
    <t>A child places turkey slices on two pieces of white bread, then adds a slice of cheese.</t>
  </si>
  <si>
    <t>Finally, she adds a layer of miracle whip.</t>
  </si>
  <si>
    <t>She leans forward, taking a large bite of the sandwich.</t>
  </si>
  <si>
    <t>v_8fqxUtHLyoE</t>
  </si>
  <si>
    <t>Two women are on a court with jump ropes.</t>
  </si>
  <si>
    <t>They do several stunts while jumping the ropes.</t>
  </si>
  <si>
    <t>They flip forward, backward and sideways in unison.</t>
  </si>
  <si>
    <t>v_IjmeHBgFb3g</t>
  </si>
  <si>
    <t>A gymnast is seen sitting before a beam and begins performing a routine with another person attached to his lower half.</t>
  </si>
  <si>
    <t>The two present to be one gymnast on a bar and end with them jumping off with their arms up.</t>
  </si>
  <si>
    <t>v_h9YbUJuYzLk</t>
  </si>
  <si>
    <t>A male stylist talks as he smooths a woman's hair.</t>
  </si>
  <si>
    <t>He then demonstrates how to cut and style her hair, clipping it as he goes.</t>
  </si>
  <si>
    <t>When he is done, he blows her hair dry and gives it it's final styling.</t>
  </si>
  <si>
    <t>v_XNzQVEmoJrY</t>
  </si>
  <si>
    <t>We see finger in front of the camera.</t>
  </si>
  <si>
    <t>A man in green walks unto a squash court.</t>
  </si>
  <si>
    <t>The light goes out and the room is dark.</t>
  </si>
  <si>
    <t>The man in green walks to the middle of the court and hits the ball back and forth.</t>
  </si>
  <si>
    <t>The man finishes and walks towards the camera.</t>
  </si>
  <si>
    <t>v_deU1mGcNh1Q</t>
  </si>
  <si>
    <t>A young child is seen sitting on the floor grabbing ice cream with it's hands.</t>
  </si>
  <si>
    <t>The child then grabs a spoon and continues to use his hands to eat.</t>
  </si>
  <si>
    <t>v_wEI_iPEfLNk</t>
  </si>
  <si>
    <t>A woman is seen speaking to the camera and leads into her holing up a jar of honey.</t>
  </si>
  <si>
    <t>She continues speaking and leads into her rubbing honey on her face.</t>
  </si>
  <si>
    <t>She dries off the mask and continues speaking while smiling to the camera.</t>
  </si>
  <si>
    <t>v_085A7Iv6xzA</t>
  </si>
  <si>
    <t>A view is shown of a man removing a paddle from a fence.</t>
  </si>
  <si>
    <t>We see his face as he speaks, before he kayaks down a very thin stream into open waters.</t>
  </si>
  <si>
    <t>He uses his phone as another person arrives, then videos others shooting down the passageway.</t>
  </si>
  <si>
    <t>v_FtAQcl1h7O8</t>
  </si>
  <si>
    <t>People are riding spin bikes in a gym.</t>
  </si>
  <si>
    <t>Two women are working out on exercise bikes.</t>
  </si>
  <si>
    <t>Yellow words come on the screen.</t>
  </si>
  <si>
    <t>v_v1hQ0vf66QY</t>
  </si>
  <si>
    <t>A countdown of text is shown that leads into clips of sumo wrestlers performing impressive throws.</t>
  </si>
  <si>
    <t>The video continues counting down as more shots are shown of sumo wrestlers fighting one another and people watching on the side.</t>
  </si>
  <si>
    <t>v_ILwwD00q1ZY</t>
  </si>
  <si>
    <t>A person in a furniture store is talking about popular furniture made from reclaimed wood.</t>
  </si>
  <si>
    <t>He shows rustic, contemporary and traditional type of furniture that is in his store.</t>
  </si>
  <si>
    <t>He shows the high quality reclaimed wood and the different furniture made from it.</t>
  </si>
  <si>
    <t>v_jkWqhnD8hyQ</t>
  </si>
  <si>
    <t>We see a title in the upper left corner.</t>
  </si>
  <si>
    <t>The man drills the cabinets apart and wipes and paints them.</t>
  </si>
  <si>
    <t>The cabinets dry and the man wipes them.</t>
  </si>
  <si>
    <t>We see a person applying a product over the paint.</t>
  </si>
  <si>
    <t>We see the cabinet faces put back on the cabinets.</t>
  </si>
  <si>
    <t>v_5BAvlsHfTLk</t>
  </si>
  <si>
    <t>Santa Cruz Nomad Bike company is demonstrating how to install a bike.</t>
  </si>
  <si>
    <t>The company representative is putting together the bike parts piece by piece.</t>
  </si>
  <si>
    <t>He starts with the main body and then goes to attach the wheels, the handle and the pedals.</t>
  </si>
  <si>
    <t>Then he goes ahead and attaches the rubber tires.</t>
  </si>
  <si>
    <t>After that he fixes the handles of the bike with black rubber tops.</t>
  </si>
  <si>
    <t>He finally reinforces all the parts and ensures the bike is ready for use.</t>
  </si>
  <si>
    <t>when he's done, he gets on the bike and rides it.</t>
  </si>
  <si>
    <t>v_q0buJ1CKj-Y</t>
  </si>
  <si>
    <t>A person is seen sitting in front of a desk holding a guitar in his hands.</t>
  </si>
  <si>
    <t>The man then begins playing the instrument moving his hands up and down.</t>
  </si>
  <si>
    <t>The person continues playing on the guitar and looking off into the distance.</t>
  </si>
  <si>
    <t>v_m5T_w1mhWgY</t>
  </si>
  <si>
    <t>A person is seen riding down a snowy hill followed by a man working on a machine and pulling paper out.</t>
  </si>
  <si>
    <t>The camera zooms in on the machine and the man takes a ski and runs the ski over the machine.</t>
  </si>
  <si>
    <t>He shows off the ski while continuing to use them on the machine and showing off how they look.</t>
  </si>
  <si>
    <t>v_KEUJ7ulD-_A</t>
  </si>
  <si>
    <t>The video opens up with an intro segment for a BMX race.</t>
  </si>
  <si>
    <t>The racers are shown at the gate getting ready for the race.</t>
  </si>
  <si>
    <t>Several racers are introduced with their names shown on the screen.</t>
  </si>
  <si>
    <t>The race starts and the racers race around the track.</t>
  </si>
  <si>
    <t>v_Mvw0hvMeM-w</t>
  </si>
  <si>
    <t>The video begins with the annual BMX biking event where several participants are gathered to begin their competitive event.</t>
  </si>
  <si>
    <t>Several bikers begin biking on their bikes on curved slopes in the open air arena.</t>
  </si>
  <si>
    <t>The bikers go over bumpy and hilly slopes in their gears and helmets.</t>
  </si>
  <si>
    <t>There are several bikers beginning a race from the top of the biking slope.</t>
  </si>
  <si>
    <t>They show off their stunts and skills as they speed through the obstacle course of the biking arena.</t>
  </si>
  <si>
    <t>v_bUCMSDMB7MU</t>
  </si>
  <si>
    <t>Two side by side videos are shown of a man in slow motion playing frisbee and doing tricks with a dog.</t>
  </si>
  <si>
    <t>The same man is shown again performing various tricks with his dog that are shown in real time as well as slow motion.</t>
  </si>
  <si>
    <t>v_ziJaskA3588</t>
  </si>
  <si>
    <t>People are in a boat while a person is attached to the back and waterboarding.</t>
  </si>
  <si>
    <t>As a large splash of water flies into the air white words appear in the middle of the screen that say "Wipeout Bay of Plenty".</t>
  </si>
  <si>
    <t>The person is shown from different angles waterboarding and then falling hard into the water multiple times.</t>
  </si>
  <si>
    <t>v_8UyB9XigBXM</t>
  </si>
  <si>
    <t>A young girl is seen brushing her hair as well as spraying product into her hair.</t>
  </si>
  <si>
    <t>She takes her hair in parts and begins braiding her hair.</t>
  </si>
  <si>
    <t>She finishes braiding her hair and ends by a picture of the braid.</t>
  </si>
  <si>
    <t>v_VmjCJxgPSiE</t>
  </si>
  <si>
    <t>A campfire is surrounded by stones.</t>
  </si>
  <si>
    <t>A person adds browned leafs to the campfire.</t>
  </si>
  <si>
    <t>A person uses a stick to move the leaves inside the fire.</t>
  </si>
  <si>
    <t>A person moves backwards away from the fire.</t>
  </si>
  <si>
    <t>A person moves forward towards the fire.</t>
  </si>
  <si>
    <t>v_kLpYpfT5bok</t>
  </si>
  <si>
    <t>Two people are fighting on the ground.</t>
  </si>
  <si>
    <t>People are sitting around them watching.</t>
  </si>
  <si>
    <t>People are sitting on chairs playing drums.</t>
  </si>
  <si>
    <t>v_9jFyJhik9VM</t>
  </si>
  <si>
    <t>A person goes windsurfing on a lime green board in a body of water.</t>
  </si>
  <si>
    <t>The person does a few spins.</t>
  </si>
  <si>
    <t>v_do_AQlxV9SI</t>
  </si>
  <si>
    <t>A large man is doing behind the neck shoulder presses.</t>
  </si>
  <si>
    <t>He is holding his breath doing them and then he stands up and starts to walk.</t>
  </si>
  <si>
    <t>He gets back on the bench and does a few more pf the shoulder presses again.</t>
  </si>
  <si>
    <t>Then, he goes outside and practices spinning and throwing.</t>
  </si>
  <si>
    <t>v_yUC6HXP9S8A</t>
  </si>
  <si>
    <t>A boy is standing outside on top of ice fishing out of a small hole in the ice.</t>
  </si>
  <si>
    <t>The boy struggles to get the fish out and someone comes and takes it out for him.</t>
  </si>
  <si>
    <t>Now there are four men visible and they all begin to fish out of the ice pond.</t>
  </si>
  <si>
    <t>Eventually,a man grabs a chair and starts fishing and taking his fish off of his line.</t>
  </si>
  <si>
    <t>v_1zyyumIi0iQ</t>
  </si>
  <si>
    <t>An intro leads into a group of cheerleaders performing several moves as a team and girls being interviewed on camera.</t>
  </si>
  <si>
    <t>They perform a routine shown by several videos and pictures and continue showing various tricks backstage and on stage.</t>
  </si>
  <si>
    <t>The girls speak to one another back stage with their coach and many people interact with them in the audience.</t>
  </si>
  <si>
    <t>v_i3H8cucgXEc</t>
  </si>
  <si>
    <t>A person is seen riding around on roller blades and performing a grind on a bar.</t>
  </si>
  <si>
    <t>Several more clips are shown of the person performing grinds with roller blades as well as other flips and tricks.</t>
  </si>
  <si>
    <t>v_XN7mRI1qGlQ</t>
  </si>
  <si>
    <t>woman is holding a hairdryer and dying a little kid hair.</t>
  </si>
  <si>
    <t>little kid in the back is standing and laughing.</t>
  </si>
  <si>
    <t>v_UeN7XgwLkOU</t>
  </si>
  <si>
    <t>man is standing in a room opening the blinds.</t>
  </si>
  <si>
    <t>men are skating on sidewalks by the street with a lot of people around.</t>
  </si>
  <si>
    <t>v_aMexiSP5Vjc</t>
  </si>
  <si>
    <t>A young child is seen using an elliptical while watching a computer video in front of her.</t>
  </si>
  <si>
    <t>The girl controls the moves on the video using the machine while the camera zooms in and out of the area.</t>
  </si>
  <si>
    <t>v_TIfAkOBMf5A</t>
  </si>
  <si>
    <t>People run out onto a stage.</t>
  </si>
  <si>
    <t>They begin to dance and work out on the stage.</t>
  </si>
  <si>
    <t>An audience is watching them perform.</t>
  </si>
  <si>
    <t>v_qwJhmfZKdNQ</t>
  </si>
  <si>
    <t>A man wearing a purple sweater is demonstrating how to use garden shears.</t>
  </si>
  <si>
    <t>He is trimming the hedges and bushes in the yard.</t>
  </si>
  <si>
    <t>He shows how the shears can be used effectively in hard to reach places.</t>
  </si>
  <si>
    <t>v_g9bIJ1MIvPk</t>
  </si>
  <si>
    <t>A roll of shingles is shown lying on a roof.</t>
  </si>
  <si>
    <t>A man holds up a sheet of the shingles.</t>
  </si>
  <si>
    <t>He uses pliers to remove damaged shingles before replacing them with new ones.</t>
  </si>
  <si>
    <t>v_e34P8tr-Mi4</t>
  </si>
  <si>
    <t>Three men are applying plaster to the ceiling of an unfinished room while another man watches.</t>
  </si>
  <si>
    <t>One of the men climbs a ladder to reach the ceiling.</t>
  </si>
  <si>
    <t>One man performs a short dance.</t>
  </si>
  <si>
    <t>The camera moves to reveal that the man dancing and another one of the men are using stilts to reach the ceiling.</t>
  </si>
  <si>
    <t>v_e-44ig51evc</t>
  </si>
  <si>
    <t>We see a title screen for the video.</t>
  </si>
  <si>
    <t>We then see little boys playing soccer in a couple of gymnasiums.</t>
  </si>
  <si>
    <t>We watch the boy in the white shirt score a goal.</t>
  </si>
  <si>
    <t>We see a boy kick a goal and the goalie reaches to stop the ball but misses.</t>
  </si>
  <si>
    <t>We see the boy in white score a goal and his Teammates hug him.</t>
  </si>
  <si>
    <t>3:10 The white ream number 10 scores and a teammate gives him a high five.</t>
  </si>
  <si>
    <t>v_zVOj9aaq4L0</t>
  </si>
  <si>
    <t>A woman is shown, playing with her hair.</t>
  </si>
  <si>
    <t>A salon artist appears, and his tools are shown on a table.</t>
  </si>
  <si>
    <t>The woman blows her hair dry before posing, and is shown step by step creating curls in her hair with his tools.</t>
  </si>
  <si>
    <t>She adjusts and brushes her hair, then shows off the final result.</t>
  </si>
  <si>
    <t>v__CYdiU1sMwc</t>
  </si>
  <si>
    <t>A man is using a leaf blower to blow the leaves off the grass.</t>
  </si>
  <si>
    <t>A car drives by on the road at a decent speed.</t>
  </si>
  <si>
    <t>He continues to blow the leaves mindlessly.</t>
  </si>
  <si>
    <t>The leaves are all falling on the road making the grass look so much better.</t>
  </si>
  <si>
    <t>v_cDV1vDdAT1w</t>
  </si>
  <si>
    <t>Several people are seen riding around on surf board with kites on the top.</t>
  </si>
  <si>
    <t>They continue riding around and a small child is seen up close.</t>
  </si>
  <si>
    <t>More shots are shown of them riding around one another and riding along the water.</t>
  </si>
  <si>
    <t>v_CiryRTSYkC4</t>
  </si>
  <si>
    <t>A person is seen gearing up while speaking to the camera and leads into him doing push ups.</t>
  </si>
  <si>
    <t>The man walks down a hallway with a women being introduced and leads into the two playing ping pong.</t>
  </si>
  <si>
    <t>The two continue playing and leads into the man holding up a basketball and the woman shocked.</t>
  </si>
  <si>
    <t>v_W2Wjbhsuacw</t>
  </si>
  <si>
    <t>Outside in a bucket there is some wood and someone come out and starts to blow something on it.</t>
  </si>
  <si>
    <t>He is blowing fire on to it with some kind of fire contraption that looks like a gardening tool.</t>
  </si>
  <si>
    <t>It is catching nicely and the woods is burning quick.</t>
  </si>
  <si>
    <t>The fire dies down a little but is still burning.</t>
  </si>
  <si>
    <t>v_rkDuiu5H8JY</t>
  </si>
  <si>
    <t>A woman demonstrates how to create a braided hairstyle using a young woman as a model for the style in a hands on tutorial.</t>
  </si>
  <si>
    <t>The hairstylist begins by parting the hair in four sections with a comb before braiding each section and clipping a hairpin on the ends of each braid.</t>
  </si>
  <si>
    <t>The woman then pulls each braid across the front of the models hairline.</t>
  </si>
  <si>
    <t>The model showcases the look while sitting in the chair and the camera captures her hairstyle from different angles before and image of three women on a sofa with a fly away helium balloon appears.</t>
  </si>
  <si>
    <t>v_3kEAg-JtDBY</t>
  </si>
  <si>
    <t>A woman is wearing a white robe and a black belt.</t>
  </si>
  <si>
    <t>She does karate moves in her room.</t>
  </si>
  <si>
    <t>She kicks her legs up several times.</t>
  </si>
  <si>
    <t>She finishes and stands up right with her arms by her side and bows.</t>
  </si>
  <si>
    <t>v_HdNOiIdGqvE</t>
  </si>
  <si>
    <t>A man in a white lab coat is seen talking to the camera and showing various tools in a laboratory.</t>
  </si>
  <si>
    <t>Towel are seen sitting in a sink and the man shows the proper hand washing tools.</t>
  </si>
  <si>
    <t>He puts his hands under the sink with soap and washes his hand thoroughly.</t>
  </si>
  <si>
    <t>He dries his hands and continues talking to the camera how why this is important.</t>
  </si>
  <si>
    <t>v_FyxltEKCfZ0</t>
  </si>
  <si>
    <t>We see nurses giving children shots.</t>
  </si>
  <si>
    <t>We see a laboratory with a scientist.</t>
  </si>
  <si>
    <t>We see a person in an MRI and we see a doctor looking at the results.</t>
  </si>
  <si>
    <t>Coffee is poured into a white mug.</t>
  </si>
  <si>
    <t>Coffee beans are spilling on each other.</t>
  </si>
  <si>
    <t>We see people making coffee in a coffee shop.</t>
  </si>
  <si>
    <t>v__NwkwvaC7Bg</t>
  </si>
  <si>
    <t>The scene transitions into a bunch of young people carrying pieces of wood to an open area outdoors.</t>
  </si>
  <si>
    <t>They begin to attempt to chop the wood, but have trouble getting the axe out at first.</t>
  </si>
  <si>
    <t>A woman finally gets the axe out and they start chopping the wood.</t>
  </si>
  <si>
    <t>The camera pans around to the spectators as a woman in a bandanna successfully chops the wood and takes a bow.</t>
  </si>
  <si>
    <t>The scene returns to the woman at that was at the beginning of the video.</t>
  </si>
  <si>
    <t>The video ends with the women around the wood startled as something falls.</t>
  </si>
  <si>
    <t>v_lQP65cm11FA</t>
  </si>
  <si>
    <t>A person puts on safety glasses and walks through a gate into a courtyard.</t>
  </si>
  <si>
    <t>The person blows the leaves from a driveway using an electric blower.</t>
  </si>
  <si>
    <t>The person blows the leaves from a grass area using the blower.</t>
  </si>
  <si>
    <t>The blower is seen up close with different attachments and settings featured.</t>
  </si>
  <si>
    <t>v_Qm7AL0RjHxI</t>
  </si>
  <si>
    <t>A man step on a square drawn in the beach and turns the body back and forth.</t>
  </si>
  <si>
    <t>Then, the man step on the triangle and does hand movements, after the man joint the hands.</t>
  </si>
  <si>
    <t>v_alcSAjjsH9w</t>
  </si>
  <si>
    <t>a man wearing an apron is laughing over a table.</t>
  </si>
  <si>
    <t>He is shown with a large bowl and several cracked eggs.</t>
  </si>
  <si>
    <t>He talks to a group of people about what to do with the eggs.</t>
  </si>
  <si>
    <t>He creates an omelette, then plates it.</t>
  </si>
  <si>
    <t>v_nt9tMdFVQ1c</t>
  </si>
  <si>
    <t>A group of men are playing volleyball on the beach, 3 on one side, and 2 on the other side.</t>
  </si>
  <si>
    <t>One team attempts to serve and it crashes into the net.</t>
  </si>
  <si>
    <t>The other (shorthanded) team sends its own serve, a simple lob, but the opposing team knock their return out of bounds.</t>
  </si>
  <si>
    <t>v_f2W1Mt04CIM</t>
  </si>
  <si>
    <t>People rides bumper cars in a carnival.</t>
  </si>
  <si>
    <t>An old man rides a small bumper car.</t>
  </si>
  <si>
    <t>Several people get stuck with other bumper cars.</t>
  </si>
  <si>
    <t>There are a lot of people in the carnival.</t>
  </si>
  <si>
    <t>v_9UGNhbRWM14</t>
  </si>
  <si>
    <t>A girl and a man are practicing boxing in a gym.</t>
  </si>
  <si>
    <t>There is a punching bag swinging in the background.</t>
  </si>
  <si>
    <t>The girl and man move around the floor swinging at each other.</t>
  </si>
  <si>
    <t>v_wyARf3xHOgs</t>
  </si>
  <si>
    <t>Children practice gymnastics in a room.</t>
  </si>
  <si>
    <t>A woman helps a child do a flip.</t>
  </si>
  <si>
    <t>Some children kick off of a wall.</t>
  </si>
  <si>
    <t>Some other kids do more flips.</t>
  </si>
  <si>
    <t>v_VcthLhKIntA</t>
  </si>
  <si>
    <t>A man wearing a hat is talking on a stage.</t>
  </si>
  <si>
    <t>A woman enters, and she begins to dance.</t>
  </si>
  <si>
    <t>The woman lights a hula hoop on fire, dancing with the hoop.</t>
  </si>
  <si>
    <t>v_9XyrLUWZl40</t>
  </si>
  <si>
    <t>A boy puts together a rubix cube and excitedly drops it.</t>
  </si>
  <si>
    <t>He jumps up and claps his hands together so happy about it.</t>
  </si>
  <si>
    <t>Another boy is doing it with only his feet.</t>
  </si>
  <si>
    <t>It's a competition, the audience is watching as the people competing are being timed.</t>
  </si>
  <si>
    <t>v_BG4QxmqBaS4</t>
  </si>
  <si>
    <t>Screens begin to appear with white words on them describing events that are about to take place.</t>
  </si>
  <si>
    <t>A still image is then shown before a guy attempts to do several pole vault jumps.</t>
  </si>
  <si>
    <t>Another black screen appears and a different person tries to do the jump but he too hits the pole.</t>
  </si>
  <si>
    <t>Once he is done, a different man attempts to do it but he isn't successful either.</t>
  </si>
  <si>
    <t>v_Pi5fonaOYTI</t>
  </si>
  <si>
    <t>A woman is talking to the camera while standing against a white background.</t>
  </si>
  <si>
    <t>She holds up a hula hoop while she talks.</t>
  </si>
  <si>
    <t>She then shows how to utilize the hula hoop while doing exercises and yoga poses, sometimes inserting parts of her body into the hoop.</t>
  </si>
  <si>
    <t>v_CXP20cVQN30</t>
  </si>
  <si>
    <t>People walk past the camera .</t>
  </si>
  <si>
    <t>The camera zooms in to show people swimming in the pool and some playing volleyball in the pool.</t>
  </si>
  <si>
    <t>One person gets out of the pool and walks away.</t>
  </si>
  <si>
    <t>A person throws the ball at someones face.</t>
  </si>
  <si>
    <t>People throw the balls so far that they go out of the pool.</t>
  </si>
  <si>
    <t>v_zDBpa2miW8A</t>
  </si>
  <si>
    <t>An intro starts entitled how to cut the grass.</t>
  </si>
  <si>
    <t>A man walks out wearing funny attire and showing off to the camera with a lawn mower.</t>
  </si>
  <si>
    <t>The man then walks around and blows the leaves off still wearing the funny outfit.</t>
  </si>
  <si>
    <t>v_79gvzh0wn0Q</t>
  </si>
  <si>
    <t>A woman in white karate uniform does a demonstration of a routine on the mat for judges during event.</t>
  </si>
  <si>
    <t>The woman bows and walks off the mat.</t>
  </si>
  <si>
    <t>A woman in black uniform shakes hands with judges.</t>
  </si>
  <si>
    <t>A woman in white uniform walks up and greets judges shaking their hands.</t>
  </si>
  <si>
    <t>v_TfIGKODkpPY</t>
  </si>
  <si>
    <t>There are people flying kites collectively in a huge parking lot where several cars and mini vans are parked.</t>
  </si>
  <si>
    <t>There's a man in a blue striped shirt standing with another man in a brown shirt, both getting ready to fly their orange kite.</t>
  </si>
  <si>
    <t>They pull the strings out of the spool and begin flying the kite.</t>
  </si>
  <si>
    <t>v_Y5VEl3e9Hbo</t>
  </si>
  <si>
    <t>Two boys are polishing shoes with brushes.</t>
  </si>
  <si>
    <t>Then, one boy takes a shoe up to play.</t>
  </si>
  <si>
    <t>A little boy put his leg in a big shoe and polish with a brush.</t>
  </si>
  <si>
    <t>Then, the other boy put his hand in the shoe to polish it.</t>
  </si>
  <si>
    <t>v_5rO2DwFhdwo</t>
  </si>
  <si>
    <t>Two men are on an indoor racquetball court.</t>
  </si>
  <si>
    <t>They pick the ball up and continue competing.</t>
  </si>
  <si>
    <t>v_3GgQdXjJfEU</t>
  </si>
  <si>
    <t>man wearing black shorts is running on race track and make a javelin throw.</t>
  </si>
  <si>
    <t>men are sitting on a side of the race track.</t>
  </si>
  <si>
    <t>man is standing in a dusty diamond behind green net.</t>
  </si>
  <si>
    <t>thee men are standing next to a green net watching the javelin throw.</t>
  </si>
  <si>
    <t>referees wearing green shirts are standing on the field.</t>
  </si>
  <si>
    <t>v_c6wINALtTvs</t>
  </si>
  <si>
    <t>woman is in a kitchen talking to the camera and showing how to prepare cookies.</t>
  </si>
  <si>
    <t>woman is mixing ingredients ni a kitchen aid and making balls and putnig them in a pan and on the oven.</t>
  </si>
  <si>
    <t>v_2QO41PbOUJ0</t>
  </si>
  <si>
    <t>A woman is seen looking off into the distance while smoking a cigarette.</t>
  </si>
  <si>
    <t>She speaks to someone out of frame while taking puffs from her cigarette.</t>
  </si>
  <si>
    <t>She continues smoking while the camera captures her movements.</t>
  </si>
  <si>
    <t>v_7jGKlEvH_uw</t>
  </si>
  <si>
    <t>A woman is seen spinning two hoops around her hands while looking back to the camera and speaking.</t>
  </si>
  <si>
    <t>She continues spinning around the hoops while pausing inbetween to hold them and speak.</t>
  </si>
  <si>
    <t>v_31KEa5VhvPs</t>
  </si>
  <si>
    <t>A group of spectators are gathered in a gym.</t>
  </si>
  <si>
    <t>A man and his teammates are pushing a puck.</t>
  </si>
  <si>
    <t>They are engaged in a game of curling on the ice.</t>
  </si>
  <si>
    <t>v_Xc2CUi0Rnpw</t>
  </si>
  <si>
    <t>The camera zooms in on several players and leads into a small group of people playing soccer against one another.</t>
  </si>
  <si>
    <t>Coaches and audience members react as they watch the game and the players continue kicking the ball up and down the field.</t>
  </si>
  <si>
    <t>v_nt8MurhX7HY</t>
  </si>
  <si>
    <t>A small group of people are seen standing on each side of a rope wile putting their hands up.</t>
  </si>
  <si>
    <t>The men then grab onto the rope and pull against one another.</t>
  </si>
  <si>
    <t>Men watch on the side as one team wins.</t>
  </si>
  <si>
    <t>v_YH3571KWDpM</t>
  </si>
  <si>
    <t>A large group of people are seen standing around an indoor gym behind one another.</t>
  </si>
  <si>
    <t>The group then begins dancing with one another performing the same moves.</t>
  </si>
  <si>
    <t>The people continue to dance around the room while the camera records their movements.</t>
  </si>
  <si>
    <t>v_ZmUk9OQ1zfk</t>
  </si>
  <si>
    <t>Several team members from a volleyball games are interviewed.</t>
  </si>
  <si>
    <t>They are shown playing on the beach, kicking the ball.</t>
  </si>
  <si>
    <t>v_hN9diyaOK4E</t>
  </si>
  <si>
    <t>A man competes solving a puzzle cube.</t>
  </si>
  <si>
    <t>A person pass behind the man.</t>
  </si>
  <si>
    <t>A hand extends a sheet on front the player.</t>
  </si>
  <si>
    <t>After finish, the man puts on his glasses.</t>
  </si>
  <si>
    <t>v_l-YtPYZ_534</t>
  </si>
  <si>
    <t>We see two men sitting then shaking their heads.</t>
  </si>
  <si>
    <t>We see tools and tips for croquet.</t>
  </si>
  <si>
    <t>The two men argue about the game.</t>
  </si>
  <si>
    <t>We see the men playing croquet.</t>
  </si>
  <si>
    <t>We see a diagram on the screen.</t>
  </si>
  <si>
    <t>The man has his foot on a red ball.</t>
  </si>
  <si>
    <t>We see a man laugh and dance while another is upset.</t>
  </si>
  <si>
    <t>v_ghWwS5ev6xk</t>
  </si>
  <si>
    <t>A man is seen sitting in a kayak while speaking to the camera and holding a paddle.</t>
  </si>
  <si>
    <t>The man then moves himself around on the kayak while demonstrating how to properly move.</t>
  </si>
  <si>
    <t>He continues to spin around while looking up at the camera.</t>
  </si>
  <si>
    <t>v_HVD8N0bbPVo</t>
  </si>
  <si>
    <t>A man in sunglasses is standing outside a building.</t>
  </si>
  <si>
    <t>He is then seen inside an elevator, acting strangely as he punches the air with different people riding.</t>
  </si>
  <si>
    <t>He is intentionally trying to scare and worry them.</t>
  </si>
  <si>
    <t>v_Ogx1hUoOSrE</t>
  </si>
  <si>
    <t>Four girls are shown looking into the camera.</t>
  </si>
  <si>
    <t>A girl up front begins waving a bottle of mouthwash.</t>
  </si>
  <si>
    <t>The girl then takes a cup of the mouthwash and drinks it.</t>
  </si>
  <si>
    <t>The cup of mouthwash is passed around until all the girls drink from it.</t>
  </si>
  <si>
    <t>v_PofMK_beoR8</t>
  </si>
  <si>
    <t>Several people begin walking into a room wearing Kangaroo shoes and bouncing around.</t>
  </si>
  <si>
    <t>On the left side of the room,there is a bar on two poles that is about five feet high that each person takes turns jumping over.</t>
  </si>
  <si>
    <t>v_qt-0mo_8ufU</t>
  </si>
  <si>
    <t>Skiers ride up a ski lift.</t>
  </si>
  <si>
    <t>A man in yellow skis down a slope.</t>
  </si>
  <si>
    <t>Several tricks are done by skiers.</t>
  </si>
  <si>
    <t>They jump over several ramps.</t>
  </si>
  <si>
    <t>v_kcB7HQPxzDM</t>
  </si>
  <si>
    <t>Lithuanian Zinaida Sendriute throws the discus 64 meters to lead out for her third throw, waving to the camera as she walks off.</t>
  </si>
  <si>
    <t>Cuban Yarelis Barrios is next and unleashes a mighty 67 meter toss with a thunderous scream.</t>
  </si>
  <si>
    <t>Croatian Sandra Perkovic out distances both of the previous throwers with a 69 meter toss to claim the lead.</t>
  </si>
  <si>
    <t>v_p35FXT4drA0</t>
  </si>
  <si>
    <t>An athletic man is seen stepping up to a circle and throwing an object off into the distance.</t>
  </si>
  <si>
    <t>His throw is shown again while others measure his throw on the side.</t>
  </si>
  <si>
    <t>The man grabs a flag and walks around the arena.</t>
  </si>
  <si>
    <t>v_Y_ITwC4_pEY</t>
  </si>
  <si>
    <t>A large screen is shown followed by a band playing on stage.</t>
  </si>
  <si>
    <t>A man wearing a mickey costume and playing the drums.</t>
  </si>
  <si>
    <t>The man continues playing the drums and ends with the curtain closing.</t>
  </si>
  <si>
    <t>v_YMsyF-g2TqE</t>
  </si>
  <si>
    <t>We see a carved pumpkin and a title screen.</t>
  </si>
  <si>
    <t>A man draws a face on a pumpkin.</t>
  </si>
  <si>
    <t>A man then carves a pumpkin into a snarling old man.</t>
  </si>
  <si>
    <t>The man takes an image of the pumpkin with a phone.</t>
  </si>
  <si>
    <t>The man tilts the pumpkin back into the light.</t>
  </si>
  <si>
    <t>We see still shots of the carved pumpkin.</t>
  </si>
  <si>
    <t>We see the ending screen with a website.</t>
  </si>
  <si>
    <t>v_OkCu0QymO10</t>
  </si>
  <si>
    <t>A man is seen standing on a ladder and working on a roof while the camera captures his movements.</t>
  </si>
  <si>
    <t>The man then sprays down the roof and moves back and fourth.</t>
  </si>
  <si>
    <t>v_FRsHew2Pcko</t>
  </si>
  <si>
    <t>A young boy is seated in front of a drum set.</t>
  </si>
  <si>
    <t>He is rapidly playing the drums in front of him.</t>
  </si>
  <si>
    <t>He also hits the cymbals several times.</t>
  </si>
  <si>
    <t>v_fkgojk18K0E</t>
  </si>
  <si>
    <t>We see a lady in a dancing costume.</t>
  </si>
  <si>
    <t>She points at her hips and waist.</t>
  </si>
  <si>
    <t>She begins to belly dance slowly.</t>
  </si>
  <si>
    <t>She picks up speed and spins her hands.</t>
  </si>
  <si>
    <t>She goes slower then goes fast again.</t>
  </si>
  <si>
    <t>The lady finishes her dance, stops and bows.</t>
  </si>
  <si>
    <t>v_c5Io6wg8D60</t>
  </si>
  <si>
    <t>A man is standing by a desk talking with some coaches about something.</t>
  </si>
  <si>
    <t>He begins to walk backwards and get himself ready to start running.</t>
  </si>
  <si>
    <t>He starts running and builds up speed pretty quickly.</t>
  </si>
  <si>
    <t>He lands into the sand and when he is done and man come behind him to smooth the sand out.</t>
  </si>
  <si>
    <t>v_88qqQjRPFUQ</t>
  </si>
  <si>
    <t>A camera shows a young child walking up a playground set with a dog wandering in the back.</t>
  </si>
  <si>
    <t>The child climbs up a set of stairs and slides down a slide.</t>
  </si>
  <si>
    <t>v_wdecG9VSAl0</t>
  </si>
  <si>
    <t>A young man is seen paddling a canoe down a river.</t>
  </si>
  <si>
    <t>He talks to the camera as he approaches.</t>
  </si>
  <si>
    <t>He gets out, continuing to talk about canoeing.</t>
  </si>
  <si>
    <t>v_V50vtrHboIE</t>
  </si>
  <si>
    <t>A woman is seen moving a hula hoop close up in front of the camera.</t>
  </si>
  <si>
    <t>The girl then speaks to the camera and leads into her spinning a hula hoop around.</t>
  </si>
  <si>
    <t>The woman continues speaking to the camera while spinning the hoop and demonstrating how to perform proper moves.</t>
  </si>
  <si>
    <t>v_BJWL_X79HRc</t>
  </si>
  <si>
    <t>Several men dreassed in lacrosse gear run onto a field.</t>
  </si>
  <si>
    <t>The opposing teams are shown in several clips, fighting and hitting the ball into each other's goals.</t>
  </si>
  <si>
    <t>v_6kUeZVukTEI</t>
  </si>
  <si>
    <t>Several clips are shown of people lifting heavy weights as well as jumping on a track.</t>
  </si>
  <si>
    <t>People are seen jumping over poles, squatting with weights, as well as performing various other exercises.</t>
  </si>
  <si>
    <t>In the end more people are seen jumping over a pole.</t>
  </si>
  <si>
    <t>v_fzHg9PhhlAg</t>
  </si>
  <si>
    <t>Several men from different places are outside on a large field playing cricket.</t>
  </si>
  <si>
    <t>Men come to the middle of the field and stand around a small rectangle and begin hitting the ball extremely far.</t>
  </si>
  <si>
    <t>As the ball goes to the outfield,the teammates begin jumping up and down and cheering for their team.</t>
  </si>
  <si>
    <t>Finally,a man is shown holding up a large silver award.</t>
  </si>
  <si>
    <t>v_SHT08nPhIb4</t>
  </si>
  <si>
    <t>A man is shooting a basketball into a hoop.</t>
  </si>
  <si>
    <t>Another man starts shooting a basketball into the hoop.</t>
  </si>
  <si>
    <t>The first man watches the second man.</t>
  </si>
  <si>
    <t>v_btMVEIvr0oc</t>
  </si>
  <si>
    <t>We see kids playing dodge ball in a trampoline park.</t>
  </si>
  <si>
    <t>We see a boy hit with the ball and throw it back.</t>
  </si>
  <si>
    <t>We see a boy in green throw the ball hard.</t>
  </si>
  <si>
    <t>The boy in striped shirt joins the game and the boy in red is out.</t>
  </si>
  <si>
    <t>A girl walks past the camera waving her hand.</t>
  </si>
  <si>
    <t>A boy in a yellow shirt walks towards the camera.</t>
  </si>
  <si>
    <t>v_xaMEGQCxddY</t>
  </si>
  <si>
    <t>Old videos are shown of track meets.</t>
  </si>
  <si>
    <t>A man is shown multiple times as he throws a discus.</t>
  </si>
  <si>
    <t>He spins in circles, then throws the disc as far as he can.</t>
  </si>
  <si>
    <t>v_f1HMhfSlPSw</t>
  </si>
  <si>
    <t>Gymnasts do tumbling routines with flips and spins on a mat inside of a gym.</t>
  </si>
  <si>
    <t>Men swings on hand rings as part of his tumbling routine.</t>
  </si>
  <si>
    <t>The man falls on the ground while swinging on the rings.</t>
  </si>
  <si>
    <t>The gymnast plays around a bit batting his ear and waiting for another person to clear the mat.</t>
  </si>
  <si>
    <t>v_ptY-0n53uq0</t>
  </si>
  <si>
    <t>A little boy is inside a garage room.</t>
  </si>
  <si>
    <t>He is playing a large drum set while wearing headphones.</t>
  </si>
  <si>
    <t>He hits the cymbals and drums hard with the sticks.</t>
  </si>
  <si>
    <t>v_G-EDozcMT_4</t>
  </si>
  <si>
    <t>An intro leads into several shots of skateboarders riding around on rails in a large city.</t>
  </si>
  <si>
    <t>The camera follows these borders closely as they perform tricks up stairs and over benches.</t>
  </si>
  <si>
    <t>The men continue skating on and ends with a police woman smiling and giving a thumbs up to the camera.</t>
  </si>
  <si>
    <t>v_qWdjYyFfrTM</t>
  </si>
  <si>
    <t>A production graphic is shown along with a link for more media.</t>
  </si>
  <si>
    <t>This fades into a man starting to play the saxophone in his living room up to a microphone.</t>
  </si>
  <si>
    <t>The man is now wearing sunglasses while playing, grooving to the music.</t>
  </si>
  <si>
    <t>The man is shown back without the sunglasses.</t>
  </si>
  <si>
    <t>Another window displaying the performer is shown in the corner of the video.</t>
  </si>
  <si>
    <t>v_KaGGtAhiH64</t>
  </si>
  <si>
    <t>A group of young men are seated at tables at a rubiks cube competition.</t>
  </si>
  <si>
    <t>An official removes a slip of paper from a rubiks cube sitting in front of a young man at the end of a table after which the competitor solves the cube and celebrates by banging his hands on the table.</t>
  </si>
  <si>
    <t>An official lifts a cup to reveal a rubiks cube that the same man then solves.</t>
  </si>
  <si>
    <t>A young man wearing a beige shirt solves a cube and presses his hands to his face before standing up.</t>
  </si>
  <si>
    <t>An official removes a piece of paper from on top of a cube as the young man in the black sweatshirt solves another cube.</t>
  </si>
  <si>
    <t>The young man solves two more cubes in front of an official before moving to get up.</t>
  </si>
  <si>
    <t>v_gIFI03m-ATM</t>
  </si>
  <si>
    <t>A large paint ball arena is shown with a group of people standing off to the side.</t>
  </si>
  <si>
    <t>The people then begin running around the course shooting guns at one another.</t>
  </si>
  <si>
    <t>The people continue running around and stop i the end to speak to one another.</t>
  </si>
  <si>
    <t>v_Jz2xJx1ICCM</t>
  </si>
  <si>
    <t>Some kids in class are about to start arm wrestling, they get their arms in place to start.</t>
  </si>
  <si>
    <t>The other kid on the side feels on one of the wrestlers muscles.</t>
  </si>
  <si>
    <t>He's writing things down keeping score and what not.</t>
  </si>
  <si>
    <t>The female arm wrestler wins bringing down the other guys arm.</t>
  </si>
  <si>
    <t>v_n7dHbqoEiek</t>
  </si>
  <si>
    <t>A man trims a wall of foliage outdoors, while wearing shorts and a pair of noise canceling headphones with a tree trimming motorized tool.</t>
  </si>
  <si>
    <t>The man takes a break and then climbs a ladder and uses the tool with an extended arm to trim the top of the wall from the top of the ladder.</t>
  </si>
  <si>
    <t>The man then moves the ladder down the length of the wall to continue trimming the foliage.</t>
  </si>
  <si>
    <t>v_mXb1tduBEj8</t>
  </si>
  <si>
    <t>A man is seen speaking to the camera holding a volleyball and leads into shots of him hitting the ball.</t>
  </si>
  <si>
    <t>He continues speaking to the camera while holding the ball and looking off into the distance.</t>
  </si>
  <si>
    <t>v_8Zgys8Vn-4Y</t>
  </si>
  <si>
    <t>A person is shown on skis riding behind a boat on water performing various tricks.</t>
  </si>
  <si>
    <t>The man continues doing several different tricks on the skis and the boat moving a lot faster.</t>
  </si>
  <si>
    <t>v_ywl6JVt7-7I</t>
  </si>
  <si>
    <t>A person is seen riding around on a lawn mower cutting the grass in a large field.</t>
  </si>
  <si>
    <t>The young boy moves closer to the camera while still driving around and cutting the grass.</t>
  </si>
  <si>
    <t>v_6iA4RXGAR_k</t>
  </si>
  <si>
    <t>Two ballroom dances are shown performing a routine in a large auditorium.</t>
  </si>
  <si>
    <t>The couple spin multiple times while the audience cheers them on loudly.</t>
  </si>
  <si>
    <t>They continue performing their dance routine and several people on look using phones and cameras.</t>
  </si>
  <si>
    <t>The couple does one last spin and eventually takes a bow.</t>
  </si>
  <si>
    <t>v_xIB7VSLKvaM</t>
  </si>
  <si>
    <t>A man is shown mowing his lawn with a push mower.</t>
  </si>
  <si>
    <t>He turns and goes back and forth, leaving marks on the lawn.</t>
  </si>
  <si>
    <t>A man talks in the corner of the screen about the process.</t>
  </si>
  <si>
    <t>v__j5JUQzOCtc</t>
  </si>
  <si>
    <t>An Olympic logo is seen with the 5 rings.</t>
  </si>
  <si>
    <t>A young boy wearing striped shirt in a gym lifts a weight bar over his head.</t>
  </si>
  <si>
    <t>A young man in blue shorts lifts a weight bar over his head in a crowded gym.</t>
  </si>
  <si>
    <t>Professional athletes in competitions lift large heavily weighted bars overhead for judging.</t>
  </si>
  <si>
    <t>v_r-xtiGmrKxA</t>
  </si>
  <si>
    <t>A man is standing in the gym alone and begins talking to the camera.</t>
  </si>
  <si>
    <t>He then puts his fist up and begins shadow boxing as he moves around the room.</t>
  </si>
  <si>
    <t>Next,he adds his feet and starts to kick the air and does twist as if someone is there hitting him.</t>
  </si>
  <si>
    <t>Finally,he comes back to the screen slightly out of breath to end the video.</t>
  </si>
  <si>
    <t>v_RZFU1gXLqDs</t>
  </si>
  <si>
    <t>A small group of people are seen sitting in bumper car and begin driving around crashing into one another.</t>
  </si>
  <si>
    <t>The camera follows around a woman he cannot seem to move the car and others on the side instruct her on how to drive as others crash into her.</t>
  </si>
  <si>
    <t>v_TbFqsEFrCB4</t>
  </si>
  <si>
    <t>A man is seen speaking to the camera in front of a large pool while using his hands with enthusiasm.</t>
  </si>
  <si>
    <t>The man continues to speak while using his hands and pans to the man swimming around the pool and back to talking.</t>
  </si>
  <si>
    <t>v_koSLx0E23gU</t>
  </si>
  <si>
    <t>We see an arena from out doors.</t>
  </si>
  <si>
    <t>We see people on trampoline performing flips in the arena.</t>
  </si>
  <si>
    <t>We see a person almost fall after flipping.</t>
  </si>
  <si>
    <t>The person lands and almost falls.</t>
  </si>
  <si>
    <t>A person flips multiple times down a strip on the ground.</t>
  </si>
  <si>
    <t>We see a man jump and land on the trampoline in slow motion.</t>
  </si>
  <si>
    <t>v_jrXoqceGS-k</t>
  </si>
  <si>
    <t>We see an animated opening screen.</t>
  </si>
  <si>
    <t>A man is driving then gets out of his car.</t>
  </si>
  <si>
    <t>We see a man rollerblading in a plaza and a skate park.</t>
  </si>
  <si>
    <t>We see the man's feet in the blades then a man's face.</t>
  </si>
  <si>
    <t>We see the man standing on an elevated sidewalk then skating on the railing.</t>
  </si>
  <si>
    <t>We see the man skate across a bench then put on sunglasses.</t>
  </si>
  <si>
    <t>We see the man turn and click a button and a car blows up.</t>
  </si>
  <si>
    <t>v_zq621OgpFFk</t>
  </si>
  <si>
    <t>A man services a tennis ball across the court.</t>
  </si>
  <si>
    <t>The man turns to talk to the camera.</t>
  </si>
  <si>
    <t>v_XWG_-4VMTcA</t>
  </si>
  <si>
    <t>A wrestler, standing at the top of a ladder, with another man on the ladder with him, but in front of him, jumps off the ladder from the top and takes the other person with him.</t>
  </si>
  <si>
    <t>A man in a wrestling costumer stands at the top of a ladder in the middle of a ring with a referee and people in the audience.</t>
  </si>
  <si>
    <t>The man jumps off the ladder as people in the audience clap for him and the other man falls off as well.</t>
  </si>
  <si>
    <t>v_43OU5XCzLzo</t>
  </si>
  <si>
    <t>People sails in a rocky river on inflatable individual boats.</t>
  </si>
  <si>
    <t>The boats pass with difficulty between the rocks.</t>
  </si>
  <si>
    <t>Then, people enters in more troubled waters.</t>
  </si>
  <si>
    <t>v_e4ZTZDDFtYY</t>
  </si>
  <si>
    <t>kids are standing in the opening of a cartoon.</t>
  </si>
  <si>
    <t>woman is talking in front of a micropone in front of a big audience.</t>
  </si>
  <si>
    <t>mmen are in the middle of an arena in a big stadium fighting between them.</t>
  </si>
  <si>
    <t>v_99A2KqvfBLI</t>
  </si>
  <si>
    <t>A man walks onto the stage to join a band.</t>
  </si>
  <si>
    <t>A man plays up front of a band with a harmonica.</t>
  </si>
  <si>
    <t>The keyboardist plays a spirited solo during the song.</t>
  </si>
  <si>
    <t>The man congratulates and gives a high five to the keyboardist at the end of the song.</t>
  </si>
  <si>
    <t>v_jgHYzuDU2Iw</t>
  </si>
  <si>
    <t>A man in tan khakis and a button down shirt sweeps a floor with a wide broom.</t>
  </si>
  <si>
    <t>A man walks and sweeps a floor walking to the left of the room pushing the wide broom in front of him.</t>
  </si>
  <si>
    <t>The man then walks to the right side of the room with the same wide broom.</t>
  </si>
  <si>
    <t>The man then finishes sweeping, lleans the broom in the corner of the room and stands against the wall in front of a window.</t>
  </si>
  <si>
    <t>v_sqEsAtdFfrg</t>
  </si>
  <si>
    <t>A young child is seen standing ready holding a pole and then runs down a long track and throws the pole.</t>
  </si>
  <si>
    <t>He walks back around the track when another person is seen running down and throwing the stick.</t>
  </si>
  <si>
    <t>Finally one last boy steps up to the track to throw the javelin and then walks back to the others.</t>
  </si>
  <si>
    <t>v_KIOvUY8S2pQ</t>
  </si>
  <si>
    <t>An intro with text is shown across the screen followed by two cartoon characters.</t>
  </si>
  <si>
    <t>The characters speak to one another and lead into them playing a game.</t>
  </si>
  <si>
    <t>One character loses the game and then disappears.</t>
  </si>
  <si>
    <t>v_1Cf8TkmsbMU</t>
  </si>
  <si>
    <t>We see a young man speaking in a news studio.</t>
  </si>
  <si>
    <t>We see a man riding a stationary bike and see a photo of the man holding a cake.</t>
  </si>
  <si>
    <t>We see the man being interviewed cut with scenes of the man working out.</t>
  </si>
  <si>
    <t>We see the man in the image holding the cake again and see the man in the shirt which no longer fits and is too big.</t>
  </si>
  <si>
    <t>We see the man working out again.</t>
  </si>
  <si>
    <t>We see three newscasters in the studio.</t>
  </si>
  <si>
    <t>v_DRK5oUhjwTg</t>
  </si>
  <si>
    <t>A pilates instructor on skates explains how to strap your risk protectors tight and shows that you need knee pads to protect your knees.</t>
  </si>
  <si>
    <t>The lady then explains the skates movement and how to use the breaks that is in the back of the skates.</t>
  </si>
  <si>
    <t>finally the lady shows you the right way to skate to have fun.</t>
  </si>
  <si>
    <t>v_E5bRptEXtq8</t>
  </si>
  <si>
    <t>Kids are sitting in bumper cars.</t>
  </si>
  <si>
    <t>They begin crashing into each other.</t>
  </si>
  <si>
    <t>They stop and start getting out of their cars.</t>
  </si>
  <si>
    <t>v_tnk1skdLN0Q</t>
  </si>
  <si>
    <t>A strong young man is standing in a large open green field preparing to throw a shot put.</t>
  </si>
  <si>
    <t>Once he throws the ball,a man runs out to mark the distance and he walks to the tent and takes the tape off of his wrist.</t>
  </si>
  <si>
    <t>Another man who is slightly shorter and larger approaches the circle and does the same thing followed by another person.</t>
  </si>
  <si>
    <t>All three of the men are finished and there scores shown.</t>
  </si>
  <si>
    <t>v_cDnJjAQtf-g</t>
  </si>
  <si>
    <t>Three men discuss the topic of playing water polo with kayaks.</t>
  </si>
  <si>
    <t>The scene changes to show a display of water polo with kayaks.</t>
  </si>
  <si>
    <t>Two boats crash as two men try to paddle their way to the ball, The men commentate over the scene, they players look severely injured.</t>
  </si>
  <si>
    <t>The display changes back to the men talking about the water polo, they are very intrigued and shocked.</t>
  </si>
  <si>
    <t>The scene reverts back to the water polo accident, the show banner concludes the video.</t>
  </si>
  <si>
    <t>v_G0vkQmcalvk</t>
  </si>
  <si>
    <t>A woman plays the drums and sings on stage.</t>
  </si>
  <si>
    <t>The camera pulls back on the scene.</t>
  </si>
  <si>
    <t>The woman finishes and stands up.</t>
  </si>
  <si>
    <t>v_3HEJb83Wm_I</t>
  </si>
  <si>
    <t>We see a green title screen.</t>
  </si>
  <si>
    <t>A lady in a bathroom talks to the camera.</t>
  </si>
  <si>
    <t>We see her pour baking soda and vinegar on her sink drain and talks and moves her hands while the solution foams.</t>
  </si>
  <si>
    <t>The lady turns the water on to rinse the solution down the drain.</t>
  </si>
  <si>
    <t>v_Kq115s7yL3I</t>
  </si>
  <si>
    <t>A window cleaning commercial demonstrates all the materials and techniques need to clean a house window.</t>
  </si>
  <si>
    <t>The commercial begins with a closeup up a two story house and the interior of the house including a line of large windows.</t>
  </si>
  <si>
    <t>Images of a person cleaning a window, soap, a bucket and sponge are showed along with a chalkboard with ingredients needed to clean a window.</t>
  </si>
  <si>
    <t>A person cleans a window using all of the tools, including removing screens to clean them and removing stickers on windows.</t>
  </si>
  <si>
    <t>v_oqX-n2KHWAM</t>
  </si>
  <si>
    <t>A man is talking as he stands in a kitchen.</t>
  </si>
  <si>
    <t>The man boils milk and adds fresh vanilla and pours the solution into a bowl with other ingredients.</t>
  </si>
  <si>
    <t>The man cooks the custard and pours into a bowl and freezes to make ice cream.</t>
  </si>
  <si>
    <t>The man cuts and cooks rubarb in sugar on the stove.</t>
  </si>
  <si>
    <t>He eats the ice cream over the cooked rubarb.</t>
  </si>
  <si>
    <t>We see a shot of London and fade out.</t>
  </si>
  <si>
    <t>v_uMAjCPUZfp0</t>
  </si>
  <si>
    <t>Several clips are shown of various people fencing with one another.</t>
  </si>
  <si>
    <t>The people continue moving back and fourth while the camera zooms in on the people playing.</t>
  </si>
  <si>
    <t>v_CV9n0jgThLY</t>
  </si>
  <si>
    <t>A person is in the basket of crane on a roof of a barn, while a man stands on the truck holding a rope.</t>
  </si>
  <si>
    <t>Smoke comes near a table.</t>
  </si>
  <si>
    <t>People stand on front the barn watching, also two women and two children stand on front the barn.</t>
  </si>
  <si>
    <t>v_exxji9vqjSw</t>
  </si>
  <si>
    <t>Various shots are shown of snowy mountains that transition in between shots of people skiing and snowboarding down the mountain.</t>
  </si>
  <si>
    <t>The people are seen performing various flips and tricks down the mountain while the camera captures them from many angles as well as the mountain.</t>
  </si>
  <si>
    <t>v_RZkwDTyxMZI</t>
  </si>
  <si>
    <t>We enter a room and see a boy putting a shirt on an ironing board.</t>
  </si>
  <si>
    <t>The boy begins ironing the tank top with an unplugged iron.</t>
  </si>
  <si>
    <t>The little boy irons a gray shirt and sits the iron on the board next to it.</t>
  </si>
  <si>
    <t>The little boy walks away smiling.</t>
  </si>
  <si>
    <t>The boy shows two fingers and walks around the room with the iron.</t>
  </si>
  <si>
    <t>v_EeGunBjmpFw</t>
  </si>
  <si>
    <t>A man in a jacket talks in front of house as men stand on the roof.</t>
  </si>
  <si>
    <t>A man throws shingles off the roof in the background.</t>
  </si>
  <si>
    <t>The men continue to throw the shingles off the roof.</t>
  </si>
  <si>
    <t>The man holding the camera turns and climbs the ladder and stands on the rooftop.</t>
  </si>
  <si>
    <t>The man turns the camera on himself and continues to talk.</t>
  </si>
  <si>
    <t>v_-5K3KZ6fHuI</t>
  </si>
  <si>
    <t>A group of friends are seated on sleds at the top of the hill.</t>
  </si>
  <si>
    <t>The two friends are pushed down the hill and they slide to the bottom.</t>
  </si>
  <si>
    <t>The two friends are stopped by rubber mats at the bottom of the hill.</t>
  </si>
  <si>
    <t>v_Yg6jFRYIyXw</t>
  </si>
  <si>
    <t>An Aurora Borealis is seen over a northern landscape.</t>
  </si>
  <si>
    <t>A man shovels snow from his porch with a snow shovel.</t>
  </si>
  <si>
    <t>The man shovels snow from a stair case with a snow shovel.</t>
  </si>
  <si>
    <t>The man finishes the job and shows his muscles.</t>
  </si>
  <si>
    <t>v_zQFC5vNZ_Qs</t>
  </si>
  <si>
    <t>A little girl is crossing the monkey bars.</t>
  </si>
  <si>
    <t>A woman is helping her standing under her.</t>
  </si>
  <si>
    <t>The girl drops and the woman catches her.</t>
  </si>
  <si>
    <t>v_y3LlQBDXAHI</t>
  </si>
  <si>
    <t>An athlete is seen standing in a circle and spinning herself around and around.</t>
  </si>
  <si>
    <t>She throws an object off in the distance and is shown again in slow motion.</t>
  </si>
  <si>
    <t>She walks back while cheering and others hold up a flag.</t>
  </si>
  <si>
    <t>v_eFq3gsEi9yI</t>
  </si>
  <si>
    <t>Two white pegs are shown in the wall with a red bed on the side and someone hitting it with a large block of wood.</t>
  </si>
  <si>
    <t>Another angle is shown and the person takes 21 shots at the balls.</t>
  </si>
  <si>
    <t>For the 22nd shot,a man is standing in a large field of white pegs and begins to hit all three balls at the same time in different directions.</t>
  </si>
  <si>
    <t>v_tr8JRPrfAN0</t>
  </si>
  <si>
    <t>A woman cleans the carpet and the floor with a vacuum, after the vacuum picks up dirt from the carpet.</t>
  </si>
  <si>
    <t>Then, the woman takes out the canister of the vacuum and continues cleaning the floor, the wall, the sofa and the floor.</t>
  </si>
  <si>
    <t>After, the woman cleans the frames of picture and pick up hair from a pillow.</t>
  </si>
  <si>
    <t>Next, the woman rewinds the wire of the canister and drops the trash in the trash can.</t>
  </si>
  <si>
    <t>v_drVqGhjI558</t>
  </si>
  <si>
    <t>A man is seen sitting at several tables and peeling potatoes while the camera looks around in fast motion.</t>
  </si>
  <si>
    <t>Another person is seen peeling potatoes and the man walks back over to the table to continue peeling.</t>
  </si>
  <si>
    <t>v_zu960Glpzo4</t>
  </si>
  <si>
    <t>Two men film themselves in an arm wrestling match that someone asked them to make.</t>
  </si>
  <si>
    <t>Two men are sitting in a room next to each other while one man reads off a laptop then they both grab one another's hand to motion what is about to happen.</t>
  </si>
  <si>
    <t>One man sets up the camera to film the match.</t>
  </si>
  <si>
    <t>The men get prepared at the corner of a table, grab hands and then countdown from three.</t>
  </si>
  <si>
    <t>The two men arm wrestle as the make jokes and laugh while doing it.</t>
  </si>
  <si>
    <t>One man gives up and both of the men talk and laugh about the match.</t>
  </si>
  <si>
    <t>One man grunts and throws his hands up in victory.</t>
  </si>
  <si>
    <t>v_YrS64TBX798</t>
  </si>
  <si>
    <t>A young girl is seen moving quickly around a horse brushing it's sides.</t>
  </si>
  <si>
    <t>She brushes all over the horse while another horse walks in and out of frame.</t>
  </si>
  <si>
    <t>She continues to brush the horse while the camera captures her movements.</t>
  </si>
  <si>
    <t>v_6B7fKzdJAbo</t>
  </si>
  <si>
    <t>women are standing in a wooden court in a roofed gym playing voleyball while public is in teraces watching the game.</t>
  </si>
  <si>
    <t>the ball hits a woman for the red team and people run to her.</t>
  </si>
  <si>
    <t>v_aEnq40UPxJ0</t>
  </si>
  <si>
    <t>They are playing a game of water polo.</t>
  </si>
  <si>
    <t>A woman throws the ball into the net and it's caught by the goalie.</t>
  </si>
  <si>
    <t>v_LITdMW0xh7o</t>
  </si>
  <si>
    <t>A man is outside in the good with an ax attempting to cut down a tree.</t>
  </si>
  <si>
    <t>Finally,the tree comes down and the man begins to hit the tree with the ax.</t>
  </si>
  <si>
    <t>v_L9MTwigRhmk</t>
  </si>
  <si>
    <t>BMX biker going down a track practicing in his lane by himself.</t>
  </si>
  <si>
    <t>Then there is another biker too, they're probably racing, They're going super fast down the track turning and hitting high bumps that make them go high up in the air.</t>
  </si>
  <si>
    <t>The track opens again and they start another race.</t>
  </si>
  <si>
    <t>Two bikers are dancing around before getting back on their bikes to get back on the track for another little race.</t>
  </si>
  <si>
    <t>v_YoJxVl_hUWg</t>
  </si>
  <si>
    <t>A man is underneath an RV trying to fix the wheel as a man stands on the outside helping.</t>
  </si>
  <si>
    <t>The wheel is then taken off and the other group of people crowd around to find the problem.</t>
  </si>
  <si>
    <t>As they are talking,the man remains underneath the RV and begins smiling as he holds the rig.</t>
  </si>
  <si>
    <t>v_p-uTwZ9Ph-A</t>
  </si>
  <si>
    <t>A man serves a ball to play squash with a partner.</t>
  </si>
  <si>
    <t>The men hit the ball to the wall.</t>
  </si>
  <si>
    <t>The man bounce the ball on the floor.</t>
  </si>
  <si>
    <t>v_tD-wp39rjnE</t>
  </si>
  <si>
    <t>A man holding a javelin runs down a track.</t>
  </si>
  <si>
    <t>The man throws the javelin.</t>
  </si>
  <si>
    <t>The man falls to the ground.</t>
  </si>
  <si>
    <t>We see the javelin flying through the air.</t>
  </si>
  <si>
    <t>We see people run to measure the distance of the javelin.</t>
  </si>
  <si>
    <t>The man pumps his arms and we see happy people in the crowd.</t>
  </si>
  <si>
    <t>we then see a reply of the man's toss.</t>
  </si>
  <si>
    <t>v_PVAHm5MjHdw</t>
  </si>
  <si>
    <t>A group of baton twirlers are practices their routine for an upcoming competition.</t>
  </si>
  <si>
    <t>The news announcer is commenting on the events.</t>
  </si>
  <si>
    <t>The coach is then interviewed stating what the girls are working on.</t>
  </si>
  <si>
    <t>Multiple twirlers are interviewed for their point of view on why they are working so hard.</t>
  </si>
  <si>
    <t>The coach states what she loves about the process and what is most important.</t>
  </si>
  <si>
    <t>The commentator announces where the competition will be help and states her name.</t>
  </si>
  <si>
    <t>v_OOcsprnRCQQ</t>
  </si>
  <si>
    <t>Three people are walking on a bridge on a lagoon.</t>
  </si>
  <si>
    <t>We see a man on a boat and a lady putting on scuba gear.</t>
  </si>
  <si>
    <t>The man and the woman are underwater looking at sea life.</t>
  </si>
  <si>
    <t>We see a man holding an underwater animal he hands to a lady.</t>
  </si>
  <si>
    <t>We see a man and a lady on a tropical patio talking and laughing.</t>
  </si>
  <si>
    <t>v_y2MSbfOsukM</t>
  </si>
  <si>
    <t>A woman is seen bending forward while sitting on a bed and holding a brush in her hands.</t>
  </si>
  <si>
    <t>She then runs the brush through her hair over and over again.</t>
  </si>
  <si>
    <t>She continues to run the brush through her hair and ends by smiling to the camera.</t>
  </si>
  <si>
    <t>v_diBZlwUO8rc</t>
  </si>
  <si>
    <t>We see a lady in a chefs coat in a kitchen talking.</t>
  </si>
  <si>
    <t>A lady sharpens a knife on a rod.</t>
  </si>
  <si>
    <t>The lady puts water on a black sharpener block.</t>
  </si>
  <si>
    <t>The lady then sharpens the knife.</t>
  </si>
  <si>
    <t>She then returns to the rod.</t>
  </si>
  <si>
    <t>Then back to the black block.</t>
  </si>
  <si>
    <t>We see a closing title screen.</t>
  </si>
  <si>
    <t>v_j_YetAlzwbk</t>
  </si>
  <si>
    <t>A child is standing on a stool filling a cup up with water in the sink.</t>
  </si>
  <si>
    <t>The child puts purple gloves on.</t>
  </si>
  <si>
    <t>They take the gloves off and set them in the sink.</t>
  </si>
  <si>
    <t>v_RtbfdVDciWQ</t>
  </si>
  <si>
    <t>A man wiggles his toes while seated in a room barefoot.</t>
  </si>
  <si>
    <t>The man puts on his shoes and ties the laces.</t>
  </si>
  <si>
    <t>The man dances his feet around while seated.</t>
  </si>
  <si>
    <t>v_-JqLjPz-07E</t>
  </si>
  <si>
    <t>Three men are presenting an instructional video for Slikhaar Studios.</t>
  </si>
  <si>
    <t>The man in the center is demonstrating a hairstyle on the person wearing the blue shirt.</t>
  </si>
  <si>
    <t>The man in the blue shirt sits on the chair next to the sink.</t>
  </si>
  <si>
    <t>The other man begins washing his hair.</t>
  </si>
  <si>
    <t>He scrubs in the shampoo and then washes it off.</t>
  </si>
  <si>
    <t>He then combs it and blow dries his hair after styling it with gel.</t>
  </si>
  <si>
    <t>He uses an electric clipper to groom the sideburns and the temples.</t>
  </si>
  <si>
    <t>He also trims the back and sides of his head with the clippers.</t>
  </si>
  <si>
    <t>He uses scissors to trim the hair and give it a finished look.</t>
  </si>
  <si>
    <t>The model uses some hair gel to style his hair after the haircut.</t>
  </si>
  <si>
    <t>The host of the show then explains how the hair was cut and styled and gives information about his website.</t>
  </si>
  <si>
    <t>v_gF0ymMmpS_M</t>
  </si>
  <si>
    <t>A woman is shown standing in front of an elliptical trainer, talking.</t>
  </si>
  <si>
    <t>She flips through a booklet before walking over to the trainer.</t>
  </si>
  <si>
    <t>She begins to demonstrate how to prepare the trainer for use.</t>
  </si>
  <si>
    <t>She climbs onto the trainer and shows how it is used by pedaling with her feet.</t>
  </si>
  <si>
    <t>A close up of the display screen is then shown.</t>
  </si>
  <si>
    <t>The trainer is folded to show compaction and ease of storage.</t>
  </si>
  <si>
    <t>v_hThdSxhMhDo</t>
  </si>
  <si>
    <t>A grey bunny is standing on a bed on a black towel eating something in his hand.</t>
  </si>
  <si>
    <t>As he eats,the bunny begins to grabs his ears and shakes its head.</t>
  </si>
  <si>
    <t>Struggling more,the bunny bends down and keeps eating something before looking out.</t>
  </si>
  <si>
    <t>v_5_UEjPqtnE0</t>
  </si>
  <si>
    <t>A young child is seen sitting before a fooseball table when one hands her the ball and she puts it into the game.</t>
  </si>
  <si>
    <t>The man then helps the girl play on the table by moving the poles all around and pushing the people.</t>
  </si>
  <si>
    <t>v_PmWF-HawRw0</t>
  </si>
  <si>
    <t>Athletes run down a track and throw a javelins across the field.</t>
  </si>
  <si>
    <t>A referees runs out to check the javelin position.</t>
  </si>
  <si>
    <t>A leader board is shows scores of athletes.</t>
  </si>
  <si>
    <t>v_5sl-E-AwptI</t>
  </si>
  <si>
    <t>A field hockey player dribbles a ball on the field between his legs.</t>
  </si>
  <si>
    <t>Th field hockey play dribble the ball back and forth in front of him.</t>
  </si>
  <si>
    <t>The field hockey player hits up while juggling the ball in the air and balances on his stick.</t>
  </si>
  <si>
    <t>The players dribble through a set of cones and takes shots on the goal.</t>
  </si>
  <si>
    <t>v_hrN0hOmQrD4</t>
  </si>
  <si>
    <t>People are driving a car with rafts on the back.</t>
  </si>
  <si>
    <t>They get in the rafts and are rafting down a river.</t>
  </si>
  <si>
    <t>They go to a hot dog stand and get food.</t>
  </si>
  <si>
    <t>They continue rafting down the river.</t>
  </si>
  <si>
    <t>v_ILgkiTHnGVI</t>
  </si>
  <si>
    <t>A man shows up on the screen wearing a martial arts uniform showing people how to do a side kick.</t>
  </si>
  <si>
    <t>He sways from side to side to show how to control your balance.</t>
  </si>
  <si>
    <t>He lifts his knees, one after alternating from left to right to show how to begin the kick.</t>
  </si>
  <si>
    <t>He continues to show how to finish the side kick with a follow through.</t>
  </si>
  <si>
    <t>Then he demonstrates how to do the kick from several angles.</t>
  </si>
  <si>
    <t>v_mGgidUE8drE</t>
  </si>
  <si>
    <t>We see an opening white screen.</t>
  </si>
  <si>
    <t>We then see a man pushing a bike brake and adjusting it.</t>
  </si>
  <si>
    <t>The man pulls a cord on the bike near the tire.</t>
  </si>
  <si>
    <t>The men then adjusts the bake lever again.</t>
  </si>
  <si>
    <t>We then see the man talking to the camera.</t>
  </si>
  <si>
    <t>v_KKAPxOMogDE</t>
  </si>
  <si>
    <t>woman that is sitting in a chair is holding a cup in the dog's mouth so the fog can lick the cup.</t>
  </si>
  <si>
    <t>black dog is standing in a living oom licking water from a cup.</t>
  </si>
  <si>
    <t>a woman is standing in a living with a black dog in a white carpet.</t>
  </si>
  <si>
    <t>v_tB_B3HVdO2I</t>
  </si>
  <si>
    <t>A boy is swinging across monkey bars in a park.</t>
  </si>
  <si>
    <t>A man is doing something behind him.</t>
  </si>
  <si>
    <t>The boy makes his way all the way across.</t>
  </si>
  <si>
    <t>v_KPfKLVV-HCQ</t>
  </si>
  <si>
    <t>A large group of people are seen moving around together in a large gymnasium.</t>
  </si>
  <si>
    <t>The people move up and down on a beam kicking their legs up and moving around.</t>
  </si>
  <si>
    <t>The people continue moving all around the board while the camera captures their movements.</t>
  </si>
  <si>
    <t>v_OhXBMlKOHMI</t>
  </si>
  <si>
    <t>There are a lot of people in an opened court area and they look to be mostly elderly people playing some kind of sport.</t>
  </si>
  <si>
    <t>A man and a woman begin to walk across the court together and they stop to watch a man with a stick who hits something across the court using his stick.</t>
  </si>
  <si>
    <t>Another man then walks up to the court to take his turn while the man who just had a turn moves out of his way.</t>
  </si>
  <si>
    <t>v_RW-nnJiVPsU</t>
  </si>
  <si>
    <t>A man puts on welding safety gear.</t>
  </si>
  <si>
    <t>The man starts welding something on a metal table.</t>
  </si>
  <si>
    <t>He stops welding, lifts his face mask and adjusts things in the table.</t>
  </si>
  <si>
    <t>He then lowers his face mask and starts welding again.</t>
  </si>
  <si>
    <t>He stops and lifts his mask again.</t>
  </si>
  <si>
    <t>He uses a tool to hit something on the table before sanding it.</t>
  </si>
  <si>
    <t>The man pulls off his gloves while walking to the camera.</t>
  </si>
  <si>
    <t>He brings the camera to the table to show the work he has done.</t>
  </si>
  <si>
    <t>v_mpyN1mrMl3U</t>
  </si>
  <si>
    <t>A woman is pouring ingredients into a mixer.</t>
  </si>
  <si>
    <t>She then makes the dough into balls and puts them on a cookie sheet.</t>
  </si>
  <si>
    <t>She places them in the oven.</t>
  </si>
  <si>
    <t>v_xAxax-pfZsk</t>
  </si>
  <si>
    <t>A man is sitting down on the ground and has a skate show on one foot and a prosthetic leg for the other.</t>
  </si>
  <si>
    <t>The man then puts the roller blade over his prosthetic and then follows with the other foot.</t>
  </si>
  <si>
    <t>Once they are both on,he scoots to the grass and someone assists him as he gets up.</t>
  </si>
  <si>
    <t>After he is steady,he gets up and goes rollerblading down the sidewalk before coming back and sitting on the pavement.</t>
  </si>
  <si>
    <t>v_ZjuM-Xv_jqY</t>
  </si>
  <si>
    <t>Several items are seen laid out on a table followed by a person presenting each item to the camera.</t>
  </si>
  <si>
    <t>The person dips a brush into water followed by a cleaner and rubbing a rag across the brush.</t>
  </si>
  <si>
    <t>The person scrubs down the shoes with the brush and wipes off the side with a rag.</t>
  </si>
  <si>
    <t>He waits a certain amount of time and rubs the shoes again and presents them.</t>
  </si>
  <si>
    <t>v_HdOylJP08Lk</t>
  </si>
  <si>
    <t>man is walking in a casino watching the pople and the machines.</t>
  </si>
  <si>
    <t>woman is sitting in a black jack table and is talking to men.</t>
  </si>
  <si>
    <t>woman is smiling and stretching her arm behind her back.</t>
  </si>
  <si>
    <t>man sits in a table and start playing black jack in a casino.</t>
  </si>
  <si>
    <t>v_IgEc5mY9L44</t>
  </si>
  <si>
    <t>A foreman wear blue colored gloves before he begins welding metal.</t>
  </si>
  <si>
    <t>He continues welding the metal with his torch and protective gear on.</t>
  </si>
  <si>
    <t>He welds the metal for a very long time.</t>
  </si>
  <si>
    <t>Then switches off the welding torch and puts the equipment away.</t>
  </si>
  <si>
    <t>v_O4LdjwlsGKI</t>
  </si>
  <si>
    <t>A young man in a brown hoodie and cargo pants is standing on a road in a forested area, instructing viewers as he holds onto the end of a skateboard.</t>
  </si>
  <si>
    <t>After demonstrating a stance on the board, he picks it up and walks back several yards, and places the skateboard on the ground, tiling it up with one foot on the end.</t>
  </si>
  <si>
    <t>He puts it down flat, and begins to skate forward on the board.</t>
  </si>
  <si>
    <t>He flips around on the board, doing a tricky move, and then heads back to where he began to skate.</t>
  </si>
  <si>
    <t>60 After speaking for a little longer, and gesturing to the board, he repeats the move again, heading back once again to the spot he started from.</t>
  </si>
  <si>
    <t>v_yWfTd8pRLgM</t>
  </si>
  <si>
    <t>A girl is doing back flips on a blue mat.</t>
  </si>
  <si>
    <t>A girl does the splits in the air.</t>
  </si>
  <si>
    <t>People are laying down on the mat next to her.</t>
  </si>
  <si>
    <t>She does several flips on a trampoline.</t>
  </si>
  <si>
    <t>v_Imui46JTe7s</t>
  </si>
  <si>
    <t>We see a fitness center sign.</t>
  </si>
  <si>
    <t>We then see a man talking to the camera and sitting and laying on a exercise ball.</t>
  </si>
  <si>
    <t>The man performs sits ups while on the ball and talking.</t>
  </si>
  <si>
    <t>The man sits up and talks to the camera.</t>
  </si>
  <si>
    <t>The end screen is seen on a black background.</t>
  </si>
  <si>
    <t>v_aCiN9mqkXoA</t>
  </si>
  <si>
    <t>Ingredients are prepared and poured into a large mixing bowl.</t>
  </si>
  <si>
    <t>A woman washes a bowl in a kitchen sink with a sponge.</t>
  </si>
  <si>
    <t>The woman smells the bowl to make sure it is clean.</t>
  </si>
  <si>
    <t>The woman places the bowl into a dish washer and shows the proper placement.</t>
  </si>
  <si>
    <t>A woman washes a plate in a kitchen sink with a sponge.</t>
  </si>
  <si>
    <t>The woman smells the plate to make sure it is clean.</t>
  </si>
  <si>
    <t>The woman places the plate into a dish washer and shows the proper placement.</t>
  </si>
  <si>
    <t>A woman washes glass cups in a kitchen sink with a sponge.</t>
  </si>
  <si>
    <t>The woman smells the glass cups to make sure they are clean.</t>
  </si>
  <si>
    <t>The woman places the glass cups into a dish washer and shows the proper placement.</t>
  </si>
  <si>
    <t>End credits are seen for the film.</t>
  </si>
  <si>
    <t>v_aMQVH3dF0QM</t>
  </si>
  <si>
    <t>An introduction appears on the screen for a video about galloping along the beach.</t>
  </si>
  <si>
    <t>Several images are shown of people riding on horseback along the beach.</t>
  </si>
  <si>
    <t>The images turn into a video of several people going along the sand dunes.</t>
  </si>
  <si>
    <t>The video then alternates between images and video of people enjoying the beach ride.</t>
  </si>
  <si>
    <t>The video ends with text displayed showing more information about the trip.</t>
  </si>
  <si>
    <t>v_xmK2kbPSGUs</t>
  </si>
  <si>
    <t>A woman demonstrates how to make a mixed drink in a bar at a bar countertop in front of a countertop filled with alcohol.</t>
  </si>
  <si>
    <t>The woman begins by talking to the camera and pulling out a bottle of alcohol next to a mason jar prepped with a slice of lemon and mint in it.</t>
  </si>
  <si>
    <t>The woman pours ice in the glass and a few shots of alcohol and then pours lemonade in the glass with a mint sprig and lemon wedge on the rim.</t>
  </si>
  <si>
    <t>The woman takes a sip of the drink before the scene fades.</t>
  </si>
  <si>
    <t>v_iZImXrduFlA</t>
  </si>
  <si>
    <t>a man is outside in his yard.</t>
  </si>
  <si>
    <t>He is using a pressure washer to wash the leaves off his lawn.</t>
  </si>
  <si>
    <t>He sprays them up and down, pushing them down an incline.</t>
  </si>
  <si>
    <t>v_UYhKDweME3A</t>
  </si>
  <si>
    <t>A man fills a pot with water and adds salt and oil, and then boil the water while talking.</t>
  </si>
  <si>
    <t>Then, the man puts the spaghetti in the bowling pot.</t>
  </si>
  <si>
    <t>After, the man taste the spaghetti and drain it.</t>
  </si>
  <si>
    <t>Next, the man adds grated cheese and oil on the spaghetti.</t>
  </si>
  <si>
    <t>v_f1YrGAkQd0U</t>
  </si>
  <si>
    <t>There are 3 men and 1 woman.</t>
  </si>
  <si>
    <t>Each of them show and tell you their way of bowling to earn strikes and get perfect scores on the high scoreboard.</t>
  </si>
  <si>
    <t>v_Mvl-TR0rDdA</t>
  </si>
  <si>
    <t>We see the title for Kyla Ross on the parallel bars.</t>
  </si>
  <si>
    <t>The girls lifts, then lowers her arms.</t>
  </si>
  <si>
    <t>Kyla then jumps onto the short bar.</t>
  </si>
  <si>
    <t>She transfers to the tall bar, then back to the short one.</t>
  </si>
  <si>
    <t>She spins back to the tall one and spins.</t>
  </si>
  <si>
    <t>She flips to the short bar, then back to the tall and flips.</t>
  </si>
  <si>
    <t>She dismounts and hugs her coach.</t>
  </si>
  <si>
    <t>We see her final score on a black screen.</t>
  </si>
  <si>
    <t>v_K9cQxJ37xzA</t>
  </si>
  <si>
    <t>A woman in a white tank top is riding an exercise bike in a room.</t>
  </si>
  <si>
    <t>She is doing push ups on a black mat.</t>
  </si>
  <si>
    <t>She is back to riding the exercise bike.</t>
  </si>
  <si>
    <t>She is lifting weights up and down at her sides.</t>
  </si>
  <si>
    <t>She is riding on the exercise bike again.</t>
  </si>
  <si>
    <t>v_jafEh82XETQ</t>
  </si>
  <si>
    <t>A man is demonstrating how to cook a friend bologna sandwich in his kitchen.</t>
  </si>
  <si>
    <t>He takes two slices of sandwich bread and puts them in the toaster.</t>
  </si>
  <si>
    <t>Then he takes a little butter and bologna in a frying pan and fries it.</t>
  </si>
  <si>
    <t>He flips the bologna to fry it on both sides.</t>
  </si>
  <si>
    <t>Then he takes two slices of American cheese.</t>
  </si>
  <si>
    <t>He takes the bologna out of the pan and places it on the toast along with the cheese slices.</t>
  </si>
  <si>
    <t>He shows the finished sandwich with the bologna and cheese.</t>
  </si>
  <si>
    <t>v_yfeKtTU0aOE</t>
  </si>
  <si>
    <t>A man is sitting on a weight machine and grabbing onto handle bars.</t>
  </si>
  <si>
    <t>He pulls the handlebars back and fourth as the seat he's moving on continuously moves.</t>
  </si>
  <si>
    <t>He performs this set several times and eventually pauses to let the instruction end.</t>
  </si>
  <si>
    <t>v_5l2_BVOqQX8</t>
  </si>
  <si>
    <t>A bald man in gray shirt is standing at the playground, he walked towards the monkey bars and started to pull himself up and down, he walked towards a lower pole and started to pull himself up while his legs are stretched down.</t>
  </si>
  <si>
    <t>He walked back to the monkey bar and pull himself up and down, his legs are moves from side to side then pull him up and down.</t>
  </si>
  <si>
    <t>v_9Ds9DvdPQkM</t>
  </si>
  <si>
    <t>A woman is talking while holding a saxophone.</t>
  </si>
  <si>
    <t>She begins to play the saxophone.</t>
  </si>
  <si>
    <t>v_fULvroAfMAo</t>
  </si>
  <si>
    <t>A guy raises a metal ball above his head, spins with a metal ball, and releases the metal ball.</t>
  </si>
  <si>
    <t>A guy cheers after releasing the metal ball.</t>
  </si>
  <si>
    <t>The score board is shown.</t>
  </si>
  <si>
    <t>v_dDYQNtOtb-Q</t>
  </si>
  <si>
    <t>A little boy is riding in a car drinking a drink and playing with his phone.</t>
  </si>
  <si>
    <t>He begins to have a conversation with an older man who is recording him in the car.</t>
  </si>
  <si>
    <t>v_VOLBBe1br3Q</t>
  </si>
  <si>
    <t>A man runs out on a professional stadium and throws a ball at a batter.</t>
  </si>
  <si>
    <t>Two women watching the game cheer after the batter hits the ball with his plank.</t>
  </si>
  <si>
    <t>One of the women exposes her bare chest to the camera, a black bar is overlaid.</t>
  </si>
  <si>
    <t>The camera returns to action on the field.</t>
  </si>
  <si>
    <t>v_WjX-xi2Ocbo</t>
  </si>
  <si>
    <t>A dirt clodden rodea is shown, as a man on a horse is released from a gate.</t>
  </si>
  <si>
    <t>He ropes a calf, dismounted to tie it up.</t>
  </si>
  <si>
    <t>Another man rides on screen momentarily.</t>
  </si>
  <si>
    <t>v_PPJ6gSuk33o</t>
  </si>
  <si>
    <t>A man is seen standing in a bathroom with a woman and looking back to speak to the camera.</t>
  </si>
  <si>
    <t>The man then moves all around the bathroom while continuing to speak and the camera zooms in.</t>
  </si>
  <si>
    <t>v_AuVL_nkYXw0</t>
  </si>
  <si>
    <t>A man is seen speaking to the camera while standing in front of exercise equipment.</t>
  </si>
  <si>
    <t>He continues speaking and leads into clips of a person's feet moving on the machine.</t>
  </si>
  <si>
    <t>The man the uses the machine continuously while pointing to his body and showing off his legs.</t>
  </si>
  <si>
    <t>v_daSrmaPxaZA</t>
  </si>
  <si>
    <t>A set of black boots are shown on a small table along with a bottle oil and a rag in front of a woman.</t>
  </si>
  <si>
    <t>The woman then grabs the rag and puts olive oil on it and begins polishing the boots.</t>
  </si>
  <si>
    <t>She then pauses with the rags and starts talking.</t>
  </si>
  <si>
    <t>v_PRTcRz--03E</t>
  </si>
  <si>
    <t>A person is seen walking into frame and begins playing on a set of bongo drums.</t>
  </si>
  <si>
    <t>The man continues playing on the drums while the camera doesn't move and ends with him hitting them once and walking away.</t>
  </si>
  <si>
    <t>v_J9OSz5iCwNU</t>
  </si>
  <si>
    <t>A young boy roller blades off a ramp and onto another ramp.</t>
  </si>
  <si>
    <t>The boy speeds off onto a ramp and jumps off it, landing on the cement.</t>
  </si>
  <si>
    <t>Later, the boy roller blades onto another ramp.</t>
  </si>
  <si>
    <t>The young boy is seen in another outfit, performing spins at the end of his roller blading.</t>
  </si>
  <si>
    <t>The boy roller blades criss cross style around some orange cones.</t>
  </si>
  <si>
    <t>The boy does it again, this time weaving in and out of the cones.</t>
  </si>
  <si>
    <t>v_5Z-78AmLjFo</t>
  </si>
  <si>
    <t>A man is using a welding tool on a pile of random metal indoors.</t>
  </si>
  <si>
    <t>Another man is holding up a shield to protect himself.</t>
  </si>
  <si>
    <t>The man holds up a shield to his face as he welds.</t>
  </si>
  <si>
    <t>v_oyljZJZJ7IA</t>
  </si>
  <si>
    <t>A man demonstrates how to use a special dog collar and harness on a dog using both a stuffed toy dog and real dogs.</t>
  </si>
  <si>
    <t>A man standing in front of a wooden fence holds a stuffed dog with a red collar/harness and holds the dog up while talking and demonstrating features of the collar harness.</t>
  </si>
  <si>
    <t>Two hands are showcased holding the red collar by itself and demonstrating the features of the collar harness with still graphics to accompany the hand showcase.</t>
  </si>
  <si>
    <t>The man stands, now, with a real dog and demonstrates how to put the harness on the real dog, then goes back to demonstrating with the stuffed dog before finally ending with petting the collared, real, tan, dog as a black Labrador Retriever wanders into the final shot.</t>
  </si>
  <si>
    <t>v_OMGTFZ9csg0</t>
  </si>
  <si>
    <t>A camera zooms in on a backyard that contains a volkswagon and other various items.</t>
  </si>
  <si>
    <t>A man is shown putting skis together at a rapid pace.</t>
  </si>
  <si>
    <t>The man finishes up the skis and leaves his hat on top of the skis.</t>
  </si>
  <si>
    <t>v_JA-B3KK9A-I</t>
  </si>
  <si>
    <t>An underwater view of blue water appear at the deep end of the pool.</t>
  </si>
  <si>
    <t>In slow motion someone splashes into the water.</t>
  </si>
  <si>
    <t>Various clips of men appear doing different dives into the pool and from different heights.</t>
  </si>
  <si>
    <t>A man goes into the water feet first, lands at the bottom of the deep pool, then drops to do a push up and then quickly shoots up.</t>
  </si>
  <si>
    <t>One guys jumps on the diving board but instead of diving he loses his footing and falls into the water.</t>
  </si>
  <si>
    <t>A boy is standing at a wall pressing a button and talking into an intercom then stops and laughs.</t>
  </si>
  <si>
    <t>v_3zMCxmdkcRY</t>
  </si>
  <si>
    <t>A man and woman are dancing on a roof top of a building in a city.</t>
  </si>
  <si>
    <t>He lifts the woman up into the air.</t>
  </si>
  <si>
    <t>The camera pans up to a tall building in the background.</t>
  </si>
  <si>
    <t>v_Qlh-VSBxcJs</t>
  </si>
  <si>
    <t>An intro leads into a belly dancer performing a routine in front of a mirror.</t>
  </si>
  <si>
    <t>She continues dancing around while moving all around the floor whipping her hair and grabbing her skirt.</t>
  </si>
  <si>
    <t>She finishes by sitting down on the floor and looking into the mirror.</t>
  </si>
  <si>
    <t>v_JYRVSy54UUY</t>
  </si>
  <si>
    <t>A woman is seen speaking to the camera while holding onto an accordion.</t>
  </si>
  <si>
    <t>She begins moving the instrument slowly while looking to the camera.</t>
  </si>
  <si>
    <t>She continues playing the accordion while speaking and looking away.</t>
  </si>
  <si>
    <t>v_NoVa1C5KBno</t>
  </si>
  <si>
    <t>A young teenaged boy is standing outside of the house with a tennis ball and racket.</t>
  </si>
  <si>
    <t>He goes to the tennis court and begins to talk about the game of tennis.</t>
  </si>
  <si>
    <t>He does some stretches for a little but and then gets ready to hit the ball over to the other side of the court.</t>
  </si>
  <si>
    <t>He talks about it on the court and then he leaves to go home.</t>
  </si>
  <si>
    <t>v_L35c6QI1l_0</t>
  </si>
  <si>
    <t>A scene of sand dunes leading to a beach shoreline.</t>
  </si>
  <si>
    <t>A girl in a blue blouse walks and poses in the sand.</t>
  </si>
  <si>
    <t>A man wearing a safari hat leads a group of camels with riders in a single file.</t>
  </si>
  <si>
    <t>The camera pans a close up of the camels lying in the sand with their riding saddles on.</t>
  </si>
  <si>
    <t>A rider captures the view of the sand dunes leading to the ocean.</t>
  </si>
  <si>
    <t>The camel caravan arrives to a camp on the beach.</t>
  </si>
  <si>
    <t>v_SlogVhfmTVs</t>
  </si>
  <si>
    <t>A boy sprays shaving cream into his hand from a can in his bathroom.</t>
  </si>
  <si>
    <t>The boy applies the shaving cream to his face.</t>
  </si>
  <si>
    <t>A man has shaving cream on his face and reads a label on a pressurized can and discusses it.</t>
  </si>
  <si>
    <t>A man rubs his smooth face.</t>
  </si>
  <si>
    <t>The man holds up a metal oil can.</t>
  </si>
  <si>
    <t>The man applies a medicine dropper with liquid to a razor and demonstrates how to use it.</t>
  </si>
  <si>
    <t>v_G9m5zxl2f08</t>
  </si>
  <si>
    <t>A person is seen putting their hands in a sink full of dirty water and pressing his face up against the water.</t>
  </si>
  <si>
    <t>The man continues wiping the mud off of his face as the mud drips down into the sink.</t>
  </si>
  <si>
    <t>v_J3qC2hqRhPc</t>
  </si>
  <si>
    <t>Elmo from Sesame Street is presenting how to brush teeth along with singer Bruno Mars.</t>
  </si>
  <si>
    <t>Elmo pulls out a toothbrush and begins dancing while Bruno Mars appears brushing his teeth on the mirror.</t>
  </si>
  <si>
    <t>Elmo is singing along as Bruno Mars continues to brush his teeth and the multicolored lights on the mirror flicker.</t>
  </si>
  <si>
    <t>Elmo and Bruno Mars continue to dance along as they teach little kids the importance of brushing teeth.</t>
  </si>
  <si>
    <t>v_pmIJcJiydpk</t>
  </si>
  <si>
    <t>A small child is seen standing with her hands on her hips and between jumping down a hop scotch outline.</t>
  </si>
  <si>
    <t>She jumps all the way down and speaks to the camera in the end.</t>
  </si>
  <si>
    <t>v_QdvC8Xt-ym0</t>
  </si>
  <si>
    <t>Two teams on horses ride around on a field.</t>
  </si>
  <si>
    <t>Using cricket bats they hit a ball back and forth.</t>
  </si>
  <si>
    <t>A team finally makes a goal.</t>
  </si>
  <si>
    <t>The scoring team then rides around in victory.</t>
  </si>
  <si>
    <t>v_rBmFxH3BUOw</t>
  </si>
  <si>
    <t>A man points to some products for the usage of waxing skis.</t>
  </si>
  <si>
    <t>The man cleans the ski with a towel.</t>
  </si>
  <si>
    <t>The man grabs one of the products and rubs it all over the ski, letting the product sit there for a while.</t>
  </si>
  <si>
    <t>After some time has passed, the man grabs another product and rubs it all over the ski.</t>
  </si>
  <si>
    <t>v_UU8a7vp6tgY</t>
  </si>
  <si>
    <t>A woman is puts a rod in a base.</t>
  </si>
  <si>
    <t>She then puts a skirt over the rod on the floor.</t>
  </si>
  <si>
    <t>She puts a fake Christmas tree up on the rod.</t>
  </si>
  <si>
    <t>A close up of the bow of the Christmas tree is shown.</t>
  </si>
  <si>
    <t>She fixes the bow on the tree.</t>
  </si>
  <si>
    <t>v_Rte9HqaQ1tw</t>
  </si>
  <si>
    <t>A white wall on the interior of a room is shown.</t>
  </si>
  <si>
    <t>A hand holding a lit match lights a candle.</t>
  </si>
  <si>
    <t>A man sets the candle beside a sink and begins to wash dishes.</t>
  </si>
  <si>
    <t>v_u713piB4VWk</t>
  </si>
  <si>
    <t>A close up of people sweeping is shown followed by people walking around an arena.</t>
  </si>
  <si>
    <t>Two wrestlers then bend down and walk around the pit a bit followed by wrestling one another.</t>
  </si>
  <si>
    <t>One man throws the other down and leads into clips of the city.</t>
  </si>
  <si>
    <t>v_Wh-Q13ZAffE</t>
  </si>
  <si>
    <t>A person is seen riding a sled down a hill followed by several people climbing up the hill and sliding back down again.</t>
  </si>
  <si>
    <t>An adult and child ride down as the person pulls the child out of the sled followed by more people riding down and walking up again.</t>
  </si>
  <si>
    <t>v_ognXkeWL7h8</t>
  </si>
  <si>
    <t>A toddler paint her lips with a lipstick.</t>
  </si>
  <si>
    <t>Then, the toddler applies make up to her eyelids on front a blue mirror.</t>
  </si>
  <si>
    <t>Next, the toddle takes more make up from a palette to continues applying to her eyelids.</t>
  </si>
  <si>
    <t>v_KVaTsulE5Z0</t>
  </si>
  <si>
    <t>A man is crossing a slack line.</t>
  </si>
  <si>
    <t>He puts something in the trunk of a car.</t>
  </si>
  <si>
    <t>He crosses the slack line onto the other side.</t>
  </si>
  <si>
    <t>v_ZdgWC6Jk2Nk</t>
  </si>
  <si>
    <t>A close up of a lawn mower is seen with a person's shoes walking behind.</t>
  </si>
  <si>
    <t>A camera pans out of a dirt hole and shows a man placing it down next to a tree.</t>
  </si>
  <si>
    <t>The camera pans around the tree and shows the man checking up on the dirt.</t>
  </si>
  <si>
    <t>v_dSOVaLk3ZmU</t>
  </si>
  <si>
    <t>A man sitting in a kayak pushing himself around swirling water using his paddles for support.</t>
  </si>
  <si>
    <t>The man flips several times in the water attempting to break free and he eventually does.</t>
  </si>
  <si>
    <t>v_Po6rrhjsS8g</t>
  </si>
  <si>
    <t>A man is talking in the camera, while another man with scarf is behind him, then they went in the building and sat on two couches, a woman came over to give them water.</t>
  </si>
  <si>
    <t>The man in sweater checked his phone then get two rackets in the bag, handed one to the guy, the guy standing bounced the ball on the racket.</t>
  </si>
  <si>
    <t>The two men started playing tennis while they are sitting.</t>
  </si>
  <si>
    <t>Then they moved the couches and started playing on the wall, then play in the area where people where working.</t>
  </si>
  <si>
    <t>A bald man went down on the stairs and went to the two men who were playing tennis on the wall.</t>
  </si>
  <si>
    <t>v_XpFkoI5hz7s</t>
  </si>
  <si>
    <t>A woman is seen working out with a man and leads into her speaking to the camera.</t>
  </si>
  <si>
    <t>She then steps back and fourth on a board moving her legs around and continuing to speak to the camera.</t>
  </si>
  <si>
    <t>She then hops around the camera and bit and ends by still speaking to the camera.</t>
  </si>
  <si>
    <t>v_0vIFg1eE7Tw</t>
  </si>
  <si>
    <t>A woman blowing kisses at the camera, then inserting her contact lenses.</t>
  </si>
  <si>
    <t>She begins to put eye shadow on her eyelids and rubbing it in.</t>
  </si>
  <si>
    <t>She adds eyelash extensions on her eyes.</t>
  </si>
  <si>
    <t>Then, she begins to contour her entire face little by little patting it down as she goes along.</t>
  </si>
  <si>
    <t>v_ECjumI_otNw</t>
  </si>
  <si>
    <t>A group of cheerleaders perform doing a tower, then the cheerleaders jump down.</t>
  </si>
  <si>
    <t>After, the cheerleaders jump, flip and does cartwheels.</t>
  </si>
  <si>
    <t>Next, the cheerleaders form human towers and dance together.</t>
  </si>
  <si>
    <t>v_pA8QJ2ZoeBM</t>
  </si>
  <si>
    <t>A woman is working out on an elliptical machine.</t>
  </si>
  <si>
    <t>The woman is sitting on a couch in heels.</t>
  </si>
  <si>
    <t>She continues to work out on the machine.</t>
  </si>
  <si>
    <t>v_LlpV8R-EaDQ</t>
  </si>
  <si>
    <t>A girl is sitting in the sand.</t>
  </si>
  <si>
    <t>She is putting sand in a blue bucket in front of her.</t>
  </si>
  <si>
    <t>Two people walk along the beach in front of her.</t>
  </si>
  <si>
    <t>v_lnieKUxnxuY</t>
  </si>
  <si>
    <t>A man walks into a room and puts his hand on a ladder while talking.</t>
  </si>
  <si>
    <t>We see a man putting orange tiles on a floor.</t>
  </si>
  <si>
    <t>We see aa man tiling a shower.</t>
  </si>
  <si>
    <t>We see the man putting the tiles on a floor again.</t>
  </si>
  <si>
    <t>We return to the man talking near the ladder and a website appears on the screen.</t>
  </si>
  <si>
    <t>v_kbRciA51ouY</t>
  </si>
  <si>
    <t>A newsman in a suit is talking.</t>
  </si>
  <si>
    <t>Older women are behind sewing machines sewing blankets.</t>
  </si>
  <si>
    <t>v_kZXVFSjRt5g</t>
  </si>
  <si>
    <t>A few people are sitting down indian style with life vest on watching a man inside of a float boat talk.</t>
  </si>
  <si>
    <t>They get ins the boat with paddles and some others next to them in a kayak.</t>
  </si>
  <si>
    <t>They use the paddle to try to control the boat, but get splashed by the very brown water.</t>
  </si>
  <si>
    <t>Another little boat comes and bumps into them, they paddle until they are about to reach back to land.</t>
  </si>
  <si>
    <t>v_ZHVzukkU9sk</t>
  </si>
  <si>
    <t>Two cookies are shown on a plate.</t>
  </si>
  <si>
    <t>The ingredients are mixed into a bowl one at a time, adding eggs, sugar, and butter.</t>
  </si>
  <si>
    <t>The cookies are cut out of the dough.</t>
  </si>
  <si>
    <t>They are then baked and assembled.</t>
  </si>
  <si>
    <t>v_blMN_9ZtxsY</t>
  </si>
  <si>
    <t>People are dressed up playing ping pong.</t>
  </si>
  <si>
    <t>People are standing next to the table watching.</t>
  </si>
  <si>
    <t>They continue to play and two of the men high five.</t>
  </si>
  <si>
    <t>v_2VvCuSFicyA</t>
  </si>
  <si>
    <t>A person is seen riding on a bicycle down a street with a dog tied next to him.</t>
  </si>
  <si>
    <t>The camera is shown in various angles the man riding the bike with the dog.</t>
  </si>
  <si>
    <t>The man continues riding around with the dog.</t>
  </si>
  <si>
    <t>v_0X34KkUlCAI</t>
  </si>
  <si>
    <t>A man with a whistle holds the middle of the rope.</t>
  </si>
  <si>
    <t>Two men are at each end of the rope pulling in their own direction over the mud.</t>
  </si>
  <si>
    <t>The red rope is leaning toward the man in blue as he nearly sits on the ground.</t>
  </si>
  <si>
    <t>The referee is on his knee observing.</t>
  </si>
  <si>
    <t>The competitor is taking short breaths as he stares.</t>
  </si>
  <si>
    <t>A man with a beard gives a wink and grins.</t>
  </si>
  <si>
    <t>Each man continues to pull as they lean back in the mud.</t>
  </si>
  <si>
    <t>It shows 6 minutes has passed as they continue to pull.</t>
  </si>
  <si>
    <t>It shows 8 minutes and 30 seconds have passed.</t>
  </si>
  <si>
    <t>The man in red stands up and runs backwards pulling the other man across the line.</t>
  </si>
  <si>
    <t>The two men shake hands and hug and walk away.</t>
  </si>
  <si>
    <t>The man in blue puts his arms around two men and walk away.</t>
  </si>
  <si>
    <t>v_Nkcc9kLDQz8</t>
  </si>
  <si>
    <t>People are standing on a hill of snow.</t>
  </si>
  <si>
    <t>People are skiing down a hill.</t>
  </si>
  <si>
    <t>The skiiers stop at the bottom and talk.</t>
  </si>
  <si>
    <t>v_p1yEPOr467M</t>
  </si>
  <si>
    <t>A group of men are pulled on an inflatable hot dog which make a swift turn causing them to fall of.</t>
  </si>
  <si>
    <t>People on water skis and inter tubes have comical crashes while being pulled along in the water.</t>
  </si>
  <si>
    <t>A boy on skis holds onto a tug rope on a dock and is pulled over falling in the water.</t>
  </si>
  <si>
    <t>A large group on inter tubes are pulled on tug ropes in the water then hit a large wave and flip into the air.</t>
  </si>
  <si>
    <t>A man on a boat jumps ship after an item with the boat still moving.</t>
  </si>
  <si>
    <t>v_S7MZle1gPzI</t>
  </si>
  <si>
    <t>A man lays back in ocean water as he holds onto a bar.</t>
  </si>
  <si>
    <t>He is drug by a boat filled with people.</t>
  </si>
  <si>
    <t>He gains his balance, and is water skiing quickly behind the boat.</t>
  </si>
  <si>
    <t>v_mG8h5rX3OnU</t>
  </si>
  <si>
    <t>Several people are captured decorating a Christmas tree in a living room in a fast forward, speed motion video.</t>
  </si>
  <si>
    <t>A Christmas tree stands undecorated in a living room.</t>
  </si>
  <si>
    <t>Two people decorate the tree with a light cord.</t>
  </si>
  <si>
    <t>Three people decorate the tree with blue and silver balls.</t>
  </si>
  <si>
    <t>The tree lights are turned on and wrapped gifts are placed under the tree as people start to sit under the tree and a dog casually walks by the tree.</t>
  </si>
  <si>
    <t>v_PdNb0g36a6U</t>
  </si>
  <si>
    <t>A guy is standing, gesturing, and instructing in a gym.</t>
  </si>
  <si>
    <t>A man demonstrates a gymnastic stunt on a hand platform.</t>
  </si>
  <si>
    <t>The man poses with his hands extended in the air.</t>
  </si>
  <si>
    <t>v_96kej9yK8To</t>
  </si>
  <si>
    <t>There's man dressed in a black sweater playing the violin in a church.</t>
  </si>
  <si>
    <t>There's a woman standing next to him, also dressed on black holding a violin in her hands.</t>
  </si>
  <si>
    <t>There's a statue of Jesus Christ right behind them.</t>
  </si>
  <si>
    <t>After the man stops playing the violin, the woman joins in and begins playing her violin.</t>
  </si>
  <si>
    <t>there are a few people seated in the front row, watching the woman play.</t>
  </si>
  <si>
    <t>v_IrO7Fgr102M</t>
  </si>
  <si>
    <t>A group of men on donkeys play a form of polo on a dirt field.</t>
  </si>
  <si>
    <t>The camera pans to people watching the game.</t>
  </si>
  <si>
    <t>The camera returns to the people riding the donkeys.</t>
  </si>
  <si>
    <t>v_1sA-lEbrgak</t>
  </si>
  <si>
    <t>A close up of a score board is shown followed by a man lifting a heavy set of weights.</t>
  </si>
  <si>
    <t>The man lifts it over his head and his score his shown afterwards.</t>
  </si>
  <si>
    <t>He does this several more times.</t>
  </si>
  <si>
    <t>v_uPyciwjOz3E</t>
  </si>
  <si>
    <t>Several dogs are at a park.</t>
  </si>
  <si>
    <t>Their owners talk about the.</t>
  </si>
  <si>
    <t>Several vendors are set up in tents.</t>
  </si>
  <si>
    <t>The ownders walk the dogs around.</t>
  </si>
  <si>
    <t>v_JbAvSsIaI8g</t>
  </si>
  <si>
    <t>A man is sitting behind a laptop.</t>
  </si>
  <si>
    <t>He takes a contact out of his eye.</t>
  </si>
  <si>
    <t>He rubs his eye before putting it back in.</t>
  </si>
  <si>
    <t>v_AWPlbtK7afY</t>
  </si>
  <si>
    <t>A group of people is learning how to rollerblade.</t>
  </si>
  <si>
    <t>Some peeople go in groups, but generally they are slow and awkward.</t>
  </si>
  <si>
    <t>v_Bc0_vvpfMAE</t>
  </si>
  <si>
    <t>A woman is shown talking in her kitchen.</t>
  </si>
  <si>
    <t>She fills a bowl with butter, flour and sugar, and adds eggs.</t>
  </si>
  <si>
    <t>She creates a dough, and then makes and bakes a batch of cookies.</t>
  </si>
  <si>
    <t>v__bj64aqyIyk</t>
  </si>
  <si>
    <t>A girl is crossing the monkey bars.</t>
  </si>
  <si>
    <t>A girl in a yellow shirt is standing on the ground watching.</t>
  </si>
  <si>
    <t>A girl on a blue shirt is standing on a playground.</t>
  </si>
  <si>
    <t>v_Il0IelOoXa4</t>
  </si>
  <si>
    <t>A woman is seen sitting in a canoe when a man pushes her along and climbs in back.</t>
  </si>
  <si>
    <t>The man is seen riding around and looking at her surroundings while the man behind paddles.</t>
  </si>
  <si>
    <t>The woman continues sitting and looking around her at the trees and sights.</t>
  </si>
  <si>
    <t>v_jSHcj_pXiI4</t>
  </si>
  <si>
    <t>A man is getting his ear pierced by another individual who only has his or her hands in frame.</t>
  </si>
  <si>
    <t>The second individual pushes a cart behind the first individual.</t>
  </si>
  <si>
    <t>The camera focus on the first individual.</t>
  </si>
  <si>
    <t>The second individual pierces the first man's other ear.</t>
  </si>
  <si>
    <t>v_AG2g8djPKV0</t>
  </si>
  <si>
    <t>We see a lady washing clothes by hand outdoors.</t>
  </si>
  <si>
    <t>The lady pours water on the clothes from a bowl.</t>
  </si>
  <si>
    <t>The lady pushes her hair back.</t>
  </si>
  <si>
    <t>The lady pours more water on the clothes.</t>
  </si>
  <si>
    <t>v_A49K-WtIzsY</t>
  </si>
  <si>
    <t>A man is outside scraping the ice off of the windows of his car.</t>
  </si>
  <si>
    <t>Once he is finished,he puts the tool in the back of his seat and gets in the car.</t>
  </si>
  <si>
    <t>v_T9jiC2SRLJQ</t>
  </si>
  <si>
    <t>A person is seen making a drink close up followed by him speaking to others on a mountain.</t>
  </si>
  <si>
    <t>More shots are shown of the man having a drink as well as speaking to others.</t>
  </si>
  <si>
    <t>The man has another drink and plays pool followed by a picture of them.</t>
  </si>
  <si>
    <t>v_RVOBQBamjDA</t>
  </si>
  <si>
    <t>A lady is sitting and playing the piano.</t>
  </si>
  <si>
    <t>A guy is standing and playing a saxophone.</t>
  </si>
  <si>
    <t>The lady and guy are performing on the same stage, together.</t>
  </si>
  <si>
    <t>The lady and guy stop playing.</t>
  </si>
  <si>
    <t>v_z31xpHUGgO0</t>
  </si>
  <si>
    <t>A man and a little boy play badminton in an indoor court.</t>
  </si>
  <si>
    <t>The little boy serves and returns the ball well.</t>
  </si>
  <si>
    <t>The little boy miss a ball that ends in the net, then the man recovers the ball and they continue playing.</t>
  </si>
  <si>
    <t>v_KCOzA0Suy5U</t>
  </si>
  <si>
    <t>Two young motorcycle riders sit on the bikes and wave on a dirt trail.</t>
  </si>
  <si>
    <t>The boys ride their bikes over jumps on the trails.</t>
  </si>
  <si>
    <t>A young rider jumps a ramp and clutches the handlebars with his feet.</t>
  </si>
  <si>
    <t>The boy does heal clicks and kicks his feet to the side of the motor bike in mid air.</t>
  </si>
  <si>
    <t>v_x9VlxLDK-VM</t>
  </si>
  <si>
    <t>A young girl with messy curly hair is standing in front of the sink cleaning a dish with a blue sponge.</t>
  </si>
  <si>
    <t>She then rinses the top of the plate and hands it to somebody standing behind her.</t>
  </si>
  <si>
    <t>As she grabs the next dish,someone comes along and puts another dish in the sink as she continues to dump water in and out of the container.</t>
  </si>
  <si>
    <t>v_XklHV0q3w40</t>
  </si>
  <si>
    <t>A man is sitting down playing a saxophone.</t>
  </si>
  <si>
    <t>He stops playing the saxophone and talks.</t>
  </si>
  <si>
    <t>He stands up and continues playing the saxophone.</t>
  </si>
  <si>
    <t>v_VOyKKN3NdXM</t>
  </si>
  <si>
    <t>A colorful intro with a lot of flashing words flash across the screen along with a logo and a banner with foreign language written on it.</t>
  </si>
  <si>
    <t>A woman dressed in an orange and red dress and scarf is standing and talking has she hold white paper in her hands.</t>
  </si>
  <si>
    <t>The woman is no longer shown and there are various pictures flashing that seem to be about SPEED CAR WASH.</t>
  </si>
  <si>
    <t>A few short video clips begin and they all take place at the SPEED CAR WASH company where cars are driving, products are shown, a man is washing a car and various people are talking either together or alone.</t>
  </si>
  <si>
    <t>The woman from before who is dressed in an orange and red dress appears again and is still holding the white paper as she talks.</t>
  </si>
  <si>
    <t>Flashing words appear after the woman is talking and continues to the end.</t>
  </si>
  <si>
    <t>v_q8TBL7DBgXY</t>
  </si>
  <si>
    <t>A pier is shown at a beach, with people walking alongside it.</t>
  </si>
  <si>
    <t>Many pictures are shown of a woman tying up a pair of skates.</t>
  </si>
  <si>
    <t>She skates and we see bikes, people riding them, palm trees, and ferris wheels.</t>
  </si>
  <si>
    <t>We follow the woman as she skates alongside surfboards and other people.</t>
  </si>
  <si>
    <t>v_4gEDonpfTeY</t>
  </si>
  <si>
    <t>A man and a woman dance in a restaurant full of people.</t>
  </si>
  <si>
    <t>The woman approaches a young male and touch his face, then the man gets angry and push the woman who ends on his arms and they continues dancing.</t>
  </si>
  <si>
    <t>A fire appears on the floor.</t>
  </si>
  <si>
    <t>A man puts two bread sticks on the nose while a woman watch with surprise.</t>
  </si>
  <si>
    <t>The man helps a woman light a cigarette, then he flips and takes as red table cloth to make tricks, the the man and the woman continues dancing until they kiss while liquid come out of bottles and appears the moon at the end.</t>
  </si>
  <si>
    <t>v_HeMpg3SAUUs</t>
  </si>
  <si>
    <t>A little girl is wiping water all over her face.</t>
  </si>
  <si>
    <t>She looks at the camera and smiles as she continues to wash her face.</t>
  </si>
  <si>
    <t>She sticks her tongue out slightly at the camera.</t>
  </si>
  <si>
    <t>v_d_z2CA-o13U</t>
  </si>
  <si>
    <t>people are having fun playing with paint ball guns in interesting ways,some are riding in cars and other are on the ground shooting paint balls at each other.</t>
  </si>
  <si>
    <t>there are people on motorcycles as well as up in the air in parachutes just have a big fun day.</t>
  </si>
  <si>
    <t>One guy seems to have a paint ball rocket launcher and shoots a guy with it.</t>
  </si>
  <si>
    <t>there are people on motor skate boards also.</t>
  </si>
  <si>
    <t>they show that a group of people made it to the top of a small hill to plant there flag and many of there team mates were defeated.</t>
  </si>
  <si>
    <t>v_DVsLkoQijV4</t>
  </si>
  <si>
    <t>Two girls dressed in a red shirt and black spanxs are bending over preparing for a volley ball game.</t>
  </si>
  <si>
    <t>The other team is shown on the other side of the net and they serve the ball.</t>
  </si>
  <si>
    <t>Both of the girls begin to play,hits the ball back over and the girl cheers as they gain a point.</t>
  </si>
  <si>
    <t>v_L9ons75VGCg</t>
  </si>
  <si>
    <t>There are a lot of different teams rowing very fast in a very large body of water that is outdoors, surrounded by a lot of trees and a lot of buildings.</t>
  </si>
  <si>
    <t>Now the focus is on canoes that only have one woman in it and they are racing on another just like the teams did but they are alone and they have numbers behind them.</t>
  </si>
  <si>
    <t>Now they are showing canoes with two men racing and they are also rowing very fast, and then teams of 4 men begin to race.</t>
  </si>
  <si>
    <t>When they are done racing they are now shown walking up to a man and a woman who are placing medals on ribbons around men and women that walk up to him.</t>
  </si>
  <si>
    <t>When the medals have all been given out the list of winners begin to display on different screens.</t>
  </si>
  <si>
    <t>v_Hcoc9euI0tk</t>
  </si>
  <si>
    <t>Two people are skiing down a very cold and snowy mountain slope during winter.</t>
  </si>
  <si>
    <t>Going left and right and starting to build up some more speed as they go.</t>
  </si>
  <si>
    <t>One of them falls and still moving down the slope ends up running into another skier causing him to fall down also.</t>
  </si>
  <si>
    <t>They try to grab hands and they end up finally at a halt.</t>
  </si>
  <si>
    <t>v_zuNQFkkyBNo</t>
  </si>
  <si>
    <t>We see green writing on a black title screen.</t>
  </si>
  <si>
    <t>A lady in a lacy black and white bra sits in a black room under bright spot lights smoking a cigarette.</t>
  </si>
  <si>
    <t>The lady adjusts her position in the chair and looks down.</t>
  </si>
  <si>
    <t>v_UusDcf16TVQ</t>
  </si>
  <si>
    <t>A person wearing a mask plays the accordion.</t>
  </si>
  <si>
    <t>A woman waves to the person with the camera.</t>
  </si>
  <si>
    <t>v_Xk3KngL2ZH0</t>
  </si>
  <si>
    <t>A close up of snow is shown that leads into a man playing drums.</t>
  </si>
  <si>
    <t>The man leans over a set of drums in the snow while the camera pans around.</t>
  </si>
  <si>
    <t>The man still plays the drums and stops to walk away and look at the camera.</t>
  </si>
  <si>
    <t>v_dtYofkPozXM</t>
  </si>
  <si>
    <t>A man is painting a room.</t>
  </si>
  <si>
    <t>He stands on many ladders to reach the walls.</t>
  </si>
  <si>
    <t>He poses in front of a fireplace.</t>
  </si>
  <si>
    <t>v_8WFB_LUOx4k</t>
  </si>
  <si>
    <t>A camera captures several shots of sites as well as people standing outside drinking and celebrating.</t>
  </si>
  <si>
    <t>One man pulls out a weed and a drone is seen flying in the distance.</t>
  </si>
  <si>
    <t>The people attempt to hit the drone and then are seen driving around on a golf cart around other people.</t>
  </si>
  <si>
    <t>A man shows up in a guerrilla suit and the drone flies over people playing games and riding around.</t>
  </si>
  <si>
    <t>v_Q1mh4F0L8Ec</t>
  </si>
  <si>
    <t>A girl in white top and blue jeans is brushing the fur of the horse on one side then she moved on the other side and then brushed his leg.</t>
  </si>
  <si>
    <t>The lady picked up a black bottle and spray the body of the horse, then brushed off the dirt off the horse shoes then put polished on the horse's feet.</t>
  </si>
  <si>
    <t>v_2ESPauwYUnQ</t>
  </si>
  <si>
    <t>A young boy arranges a shirt on the floor.</t>
  </si>
  <si>
    <t>He grabs and iron and irons the shirt.</t>
  </si>
  <si>
    <t>He places the iron down and looks around the room.</t>
  </si>
  <si>
    <t>v_UD4RnQp5tPY</t>
  </si>
  <si>
    <t>A young man stands in a dark room holding two maraca's and speaking to the camera.</t>
  </si>
  <si>
    <t>Another man walks in scolding him and then eventually take off their shirts.</t>
  </si>
  <si>
    <t>They walk to the bathroom and rub shaving cream all over their legs.</t>
  </si>
  <si>
    <t>They begin shaving their legs and hold up a razor smiling at the camera.</t>
  </si>
  <si>
    <t>v_4ksF9BUdQJM</t>
  </si>
  <si>
    <t>A man walks outside plugs his lawn mower in and gets ready to mow.</t>
  </si>
  <si>
    <t>He starts mowing his lawn casually going over all the grass.</t>
  </si>
  <si>
    <t>His dog comes outside and starts to follow him a little while he's closer to the house.</t>
  </si>
  <si>
    <t>The yard is slowly starting to look really really nice, once he is completely finished the yard looks great, nice and smooth.</t>
  </si>
  <si>
    <t>v_L0K-WJuI1-I</t>
  </si>
  <si>
    <t>A man is standing in a kitchen talking.</t>
  </si>
  <si>
    <t>He uses a vacuum to clean the floor.</t>
  </si>
  <si>
    <t>He removes the filter from the vacuum.</t>
  </si>
  <si>
    <t>He talks some more after this.</t>
  </si>
  <si>
    <t>v_syy0FVZ7SkQ</t>
  </si>
  <si>
    <t>A middle aged man talks while holding a mop.</t>
  </si>
  <si>
    <t>The man throws a mop pad on the floor and puts the mop on it picking up the pad.</t>
  </si>
  <si>
    <t>The man goes around the room mopping the floor.</t>
  </si>
  <si>
    <t>The same man is standing in a kitchen.</t>
  </si>
  <si>
    <t>The man runs water over the mop pad and then wrings it out.</t>
  </si>
  <si>
    <t>The man throws the mop pad on the floor again and picks it up with the mop.</t>
  </si>
  <si>
    <t>The man mops the floor going around the furniture.</t>
  </si>
  <si>
    <t>v_TrRsujPlt5w</t>
  </si>
  <si>
    <t>An elderly man is using an elliptical trainer inside a gym.</t>
  </si>
  <si>
    <t>He pedals and pushes back and forth as he talks to the person with the camera.</t>
  </si>
  <si>
    <t>v_wtA-5-6DRcY</t>
  </si>
  <si>
    <t>A group is lazily floating on intertubes in a river.</t>
  </si>
  <si>
    <t>The people are holding hands so they stay together.</t>
  </si>
  <si>
    <t>They float down the water in the rain, through the rapids.</t>
  </si>
  <si>
    <t>v_aDsRltSdQak</t>
  </si>
  <si>
    <t>We see the ocean and an island in the water.</t>
  </si>
  <si>
    <t>We see a person kitesurfing in the water.</t>
  </si>
  <si>
    <t>We then see two people kitesurfing.</t>
  </si>
  <si>
    <t>We go back to just one person surfing.</t>
  </si>
  <si>
    <t>We see the island from above.</t>
  </si>
  <si>
    <t>We return to the surfer in the water.</t>
  </si>
  <si>
    <t>v_v0mUPr68x2U</t>
  </si>
  <si>
    <t>A man get out a home while a dog follows him.</t>
  </si>
  <si>
    <t>Then a toddler get out the home, stand on the border of the swimming pool an falls in the water.</t>
  </si>
  <si>
    <t>The baby floats face up, then a man comes and take the baby.</t>
  </si>
  <si>
    <t>A woman puts a baby in the swimming pool, and the baby swims fast to reach the border of the swimming pool.</t>
  </si>
  <si>
    <t>A woman puts the baby in the swimming pool who swings and floats.</t>
  </si>
  <si>
    <t>v_0-ReTddxkhg</t>
  </si>
  <si>
    <t>Two women are in front of a camera, the woman in the red shirt is speaking.</t>
  </si>
  <si>
    <t>The women both put something from a cup in there mouths.</t>
  </si>
  <si>
    <t>The woman in red begins to dance.</t>
  </si>
  <si>
    <t>The woman in black makes a face to the camera.</t>
  </si>
  <si>
    <t>Both girls bend over a bit in front of the camera.</t>
  </si>
  <si>
    <t>The woman in red stops dancing and begins to laugh and the woman in black does this as well.</t>
  </si>
  <si>
    <t>It appears that both women either swallow or spit out whatever was in their mouths.</t>
  </si>
  <si>
    <t>v_yhWPzE-kmk4</t>
  </si>
  <si>
    <t>A young child is seen talking to the camera while wearing oven mits and holding a stick.</t>
  </si>
  <si>
    <t>The boy then opens and oven door and pulls out a plate of cookies.</t>
  </si>
  <si>
    <t>He uses the stick to push the rack back and closes the oven while waves to the camera.</t>
  </si>
  <si>
    <t>v_QT2l100KJe0</t>
  </si>
  <si>
    <t>A man in a yellow shirt has his hands behind his head.</t>
  </si>
  <si>
    <t>He is running down a track and throwing a javelin.</t>
  </si>
  <si>
    <t>He trips and falls forward.</t>
  </si>
  <si>
    <t>A shot of the field is shows with many people walking on it.</t>
  </si>
  <si>
    <t>v_OvSf6kk07uE</t>
  </si>
  <si>
    <t>Gymnasts stretch and prepare for a routine.</t>
  </si>
  <si>
    <t>They do a bunch of things with their shirts off.</t>
  </si>
  <si>
    <t>v_352jrqIWSFY</t>
  </si>
  <si>
    <t>Two wrestlers are seen hunches over in a ring with one running over to the other.</t>
  </si>
  <si>
    <t>One wrestler grabs the other and flips him over his shoulders, then a ref hits the side to tap out.</t>
  </si>
  <si>
    <t>v_0OxOI3sAIrM</t>
  </si>
  <si>
    <t>A woman is sitting on a mat on the floor.</t>
  </si>
  <si>
    <t>A man is talking about how to use a bowflex.</t>
  </si>
  <si>
    <t>She lies down, doing sit ups as he continues to talk.</t>
  </si>
  <si>
    <t>v__CJaovqcgtM</t>
  </si>
  <si>
    <t>A flat screen television is sitting on a stand showing the television show RAW.</t>
  </si>
  <si>
    <t>On the show,two men are wrestling each over moving on the ground.</t>
  </si>
  <si>
    <t>The fat man then picks up the skinny guy,drops him,and stands over him.</t>
  </si>
  <si>
    <t>v_iAWXaWo82u4</t>
  </si>
  <si>
    <t>A person is holding a dog covered in suds and holding a bottle of shampoo in a yard.</t>
  </si>
  <si>
    <t>We see the person standing next to the dog and washing him with the shampoo.</t>
  </si>
  <si>
    <t>A person waves their hand in front of the dog.</t>
  </si>
  <si>
    <t>The camera pans and we see another dog laying on the ground.</t>
  </si>
  <si>
    <t>v_1FFbrlvDQ7c</t>
  </si>
  <si>
    <t>A white screen appears with a picture of a globe and a banner around it with yellow words that say "ABADA-CAPOEIRA"and is followed with various white screens that have black writing on each individual screen.</t>
  </si>
  <si>
    <t>People that include both children and adults are gathered in a room and are watching a film being projected on a large wall.</t>
  </si>
  <si>
    <t>Now there are people that are dressed in white and are in a room with blue mats on the ground and various different people including both adults and children are all dancing capoeira style either together, or separately while some people play instruments and some people just watch them.</t>
  </si>
  <si>
    <t>When they're done dancing a lot of the children pile onto and around an adult man and they take a group picture.</t>
  </si>
  <si>
    <t>Outro appears and it's the globe, white screens with black words on each one, and then logos.</t>
  </si>
  <si>
    <t>v_J3TwVc0v89A</t>
  </si>
  <si>
    <t>Two sister toddlers enter in a kitchen, then one toddler wash the dishes in the sink.</t>
  </si>
  <si>
    <t>The mother puts dishes on the sink and open the dishwasher.</t>
  </si>
  <si>
    <t>The toddler sister helps with the dishwasher and then climbs the high chair and help wash the dishes and the toddler loads the dishwasher.</t>
  </si>
  <si>
    <t>The mother stands near the refrigerator drinking tea and texting.</t>
  </si>
  <si>
    <t>The sister toddler go down the chair and leave the kitchen.</t>
  </si>
  <si>
    <t>Then, the toddler go down the chair, then she close and turn on the dishwasher.</t>
  </si>
  <si>
    <t>v_QFz-keqof9g</t>
  </si>
  <si>
    <t>A rope is strung between two trees.</t>
  </si>
  <si>
    <t>A man walks on the rope.</t>
  </si>
  <si>
    <t>He falls several times off the rope.</t>
  </si>
  <si>
    <t>Eventually he is able to balance and walks back and forth.</t>
  </si>
  <si>
    <t>v_JKVOi9DE8Hs</t>
  </si>
  <si>
    <t>A little boy is throwing darts at a board.</t>
  </si>
  <si>
    <t>He walks over to the target, looking at where the darts hit.</t>
  </si>
  <si>
    <t>v_1o9RGnujlkI</t>
  </si>
  <si>
    <t>A girl is standing in a room taking out several arrows out of her pack and using her arrow to release them.</t>
  </si>
  <si>
    <t>She then moves around the gym,takes a deep breath and continues going.</t>
  </si>
  <si>
    <t>After she moves again,two carpets are shown hanging from the wall and she continues to aim at her target until all of her bows are gone.</t>
  </si>
  <si>
    <t>v_K1G84xfLr9s</t>
  </si>
  <si>
    <t>A girl walks onto a mat, bowing before the judges.</t>
  </si>
  <si>
    <t>She performs several martial arts moves using a large wooden stick.</t>
  </si>
  <si>
    <t>When she is done, a man blows a whistle.</t>
  </si>
  <si>
    <t>v_bKec2fA5RZ8</t>
  </si>
  <si>
    <t>A woman is shown talking to the camera holding a vacuum and followed by her vacuuming up her floor at a fast pace.</t>
  </si>
  <si>
    <t>She vacuums all around the area while still talking to the camera and eventually transitioning to a close up of the vacuum.</t>
  </si>
  <si>
    <t>v_gMaakjqhNmM</t>
  </si>
  <si>
    <t>There are some men playing darts in a basement where two dart boards are hung on the wall.</t>
  </si>
  <si>
    <t>One of the men wearing a green shirt aims the dart board with a dart to hit the bull's eye on one board.</t>
  </si>
  <si>
    <t>Another man also hits the dart on the other dart board.</t>
  </si>
  <si>
    <t>The man in green shoots another dart and then goes to remove it from the dart board.</t>
  </si>
  <si>
    <t>v_8kkKxLpiMus</t>
  </si>
  <si>
    <t>a group of people are gathered inside a room.</t>
  </si>
  <si>
    <t>They are walking back and forward together.</t>
  </si>
  <si>
    <t>They are dancing as a form of aerobics.</t>
  </si>
  <si>
    <t>v_kp-mNHSU5Rc</t>
  </si>
  <si>
    <t>Several shots of people leading around horses are shown and one ties a horse to pole and wets down a razor.</t>
  </si>
  <si>
    <t>The woman then cuts the horses mane and rubs down the horses coat while the camera pans around.</t>
  </si>
  <si>
    <t>The woman unties the horse and finishes by speaking to the camera.</t>
  </si>
  <si>
    <t>v_kcMJk5dg-Wc</t>
  </si>
  <si>
    <t>A small spout of water is shown outdoors between the forest and the rocks and is creating small waves.</t>
  </si>
  <si>
    <t>All of a sudden a person comes down the water kayaking.</t>
  </si>
  <si>
    <t>Once he gets to the bottom,the kayaker turns and the waves continue flowing washing up against the rocks.</t>
  </si>
  <si>
    <t>v_k3rWocPJ428</t>
  </si>
  <si>
    <t>A table soccer set is seen without players that is built out of Lego type blocks.</t>
  </si>
  <si>
    <t>A ball is dispensed from an enclosure.</t>
  </si>
  <si>
    <t>Two boys play a game of table soccer.</t>
  </si>
  <si>
    <t>A boy scores a goal and the ball is retrieved from the slot.</t>
  </si>
  <si>
    <t>A ball falls down a square chute.</t>
  </si>
  <si>
    <t>v_KoP6ZgL6fMY</t>
  </si>
  <si>
    <t>A woman in red is practicing to jump in the sand, She runs a little and jumps in the sand again.</t>
  </si>
  <si>
    <t>Then she starts to try from further back, sprinting and jumping into the sand.</t>
  </si>
  <si>
    <t>She starts to jump over little stands next and then another man joins in to practice with her.</t>
  </si>
  <si>
    <t>Then, an actual race begins and everyone is racing along.</t>
  </si>
  <si>
    <t>v_hKa9wV1orM8</t>
  </si>
  <si>
    <t>A teen wearing red cup gets hit by other cars.</t>
  </si>
  <si>
    <t>People spin around and then continue riding and bumping.</t>
  </si>
  <si>
    <t>Then, people spin without hitting and then continue riding and bumping cars.</t>
  </si>
  <si>
    <t>A boy wearing white shirt spins around and get hit by several cars.</t>
  </si>
  <si>
    <t>v_CZISTSKNsSk</t>
  </si>
  <si>
    <t>A man presents the videos with the topics he will cover as well as the equipment that will be needed to ski.</t>
  </si>
  <si>
    <t>Throughout the video, several people are shown demonstrating some key concepts of the skiing lesson.</t>
  </si>
  <si>
    <t>The video ends with the closing credits for the segment.</t>
  </si>
  <si>
    <t>v__kdhjXHUfes</t>
  </si>
  <si>
    <t>A woman is seen holding a pose on a stage and leads into another man walking on stage.</t>
  </si>
  <si>
    <t>The man and woman then perform a dance routine together around the stage while looking at one another.</t>
  </si>
  <si>
    <t>The two continue dancing and end with a bow and the audience applauding.</t>
  </si>
  <si>
    <t>v_rmaHl5HTcwE</t>
  </si>
  <si>
    <t>A close up of a dart board is seen that leads into darts appearing.</t>
  </si>
  <si>
    <t>A person's hand takes off the darts and more darts are shown hitting the board.</t>
  </si>
  <si>
    <t>This happens several more times while the camera captures it's movements.</t>
  </si>
  <si>
    <t>v_yJgC3-t_ciw</t>
  </si>
  <si>
    <t>There are two men playing Foos ball with two young boys in a living room.</t>
  </si>
  <si>
    <t>There is a large decorated Christmas tree behind them.</t>
  </si>
  <si>
    <t>There is a woman sitting in the living room with a little girl.</t>
  </si>
  <si>
    <t>The boys play Foos ball with the men.</t>
  </si>
  <si>
    <t>They laugh and enjoy themselves as they continue to play.</t>
  </si>
  <si>
    <t>v_BK8yiRJkfcU</t>
  </si>
  <si>
    <t>A large arena is seen with a person running by and pointing to the camera.</t>
  </si>
  <si>
    <t>Several shots are shown of the athlete playing football and leads into him standing.</t>
  </si>
  <si>
    <t>The man then runs down the field and long jumps into a sand pit and his jump is shown again.</t>
  </si>
  <si>
    <t>v_asWvAGhlbdQ</t>
  </si>
  <si>
    <t>A man is seen holding a sharp knife in his hands while the camera zooms in and the man points to two boxes.</t>
  </si>
  <si>
    <t>He then glides the knife along the boxes and shows off the sharpened knife to the camera.</t>
  </si>
  <si>
    <t>He ends by holding the knife and smiling to the camera.</t>
  </si>
  <si>
    <t>v_8aYk3so14fE</t>
  </si>
  <si>
    <t>A man is seen looking off into the distance and leads into him speaking to the camera.</t>
  </si>
  <si>
    <t>The man continues to speak to the camera and then walks behind a set of drums.</t>
  </si>
  <si>
    <t>The man plays the drums continuously and ends by speaking to the camera.</t>
  </si>
  <si>
    <t>v_hDV6wQKvKCg</t>
  </si>
  <si>
    <t>A young girl is shown swinging back and fourth on a swingset and smiling into the camera.</t>
  </si>
  <si>
    <t>She continues going back and fourth while the camera captures her yelling at the camera.</t>
  </si>
  <si>
    <t>v_vBCnsp-NEAg</t>
  </si>
  <si>
    <t>A person slices and ground garlic and chop parsley.</t>
  </si>
  <si>
    <t>Then, the person adds the garlic in the hot oil in a pan.</t>
  </si>
  <si>
    <t>The person cooks and drain the pasta, then put the pasta in the pot and add chicken broth, the cooked garlic, parsley, salt, pepper and cheese on top.</t>
  </si>
  <si>
    <t>Next, the person make fried chicken, then serves the pasta with the chicken.</t>
  </si>
  <si>
    <t>v_1f_EQl4C700</t>
  </si>
  <si>
    <t>Different people enjoy having a cup of tea together.</t>
  </si>
  <si>
    <t>A woman blends the holds up a greased pan then adds a yellow butter to a bowl.</t>
  </si>
  <si>
    <t>Flour is added to the bowl and everything is blended together.</t>
  </si>
  <si>
    <t>Eggs are added to the mixture and blended in with a blender.</t>
  </si>
  <si>
    <t>The woman adds a liquid extracts as well as additional powdered flour to the dish.</t>
  </si>
  <si>
    <t>The woman adds cubed fruit to the mixture and stirs it with a spatula.</t>
  </si>
  <si>
    <t>The host pours the ingredients into a pan then cooks them in an oven.</t>
  </si>
  <si>
    <t>The women enjoy a bite of the dish together.</t>
  </si>
  <si>
    <t>The host pours a cup of tea to enjoy.</t>
  </si>
  <si>
    <t>v_kS_wMOFfMDk</t>
  </si>
  <si>
    <t>A woman rubs her hand very well.</t>
  </si>
  <si>
    <t>Then, the woman rinse her hands with water.</t>
  </si>
  <si>
    <t>v_2ehPAKS6Gpo</t>
  </si>
  <si>
    <t>People are playing hockey on a rink of ice.</t>
  </si>
  <si>
    <t>A referee skates over to the people.</t>
  </si>
  <si>
    <t>They continue playing the game of hockey.</t>
  </si>
  <si>
    <t>v_Z4OyG8ZzUpg</t>
  </si>
  <si>
    <t>Two boys are out in the yard playing ball.</t>
  </si>
  <si>
    <t>One stands in front of the net and passes to the other with lacrosse sticks.</t>
  </si>
  <si>
    <t>The boys continue passing the ball bath and fourth to each other.</t>
  </si>
  <si>
    <t>One boy throws the ball out into the road while the other runs after it.</t>
  </si>
  <si>
    <t>Another boy comes in with a wig and the boys start wrestling each other.</t>
  </si>
  <si>
    <t>The boys then pretend the beat the boy with the wig up.</t>
  </si>
  <si>
    <t>The boys all continue wrestling each other while grabbing the objects and running away.</t>
  </si>
  <si>
    <t>v_E8r9-dSKLwc</t>
  </si>
  <si>
    <t>People are riding bikes around a dirt trail.</t>
  </si>
  <si>
    <t>They go over a hill several times.</t>
  </si>
  <si>
    <t>The boy is wearing a helmet.</t>
  </si>
  <si>
    <t>v_pv73L2pQX1s</t>
  </si>
  <si>
    <t>A person is welding a small square metal object.</t>
  </si>
  <si>
    <t>A flame exit a tube and a light sparkles form the welding machine.</t>
  </si>
  <si>
    <t>Two men weld to join to big cylinders.</t>
  </si>
  <si>
    <t>v_-1IBHYS3L-Y</t>
  </si>
  <si>
    <t>A man removes snow on a car using a snowbrush.</t>
  </si>
  <si>
    <t>Then, the man writes over the snow covering the window of a car, and a woman wearing winter clothes smiles.</t>
  </si>
  <si>
    <t>Then, the man continues removing the snow on his car.</t>
  </si>
  <si>
    <t>v_OYPyiUC4h68</t>
  </si>
  <si>
    <t>A man in bathing suit and his wife float down a river on intertubes.</t>
  </si>
  <si>
    <t>The man falls from his intertube and walks over to the waters edge.</t>
  </si>
  <si>
    <t>The man, now wearing life jacket, with his wife float down a river in the middle of a large group.</t>
  </si>
  <si>
    <t>A group from behind floats next to the man and woman as they slow down near the side of the river.</t>
  </si>
  <si>
    <t>v_oB6h3DscMUw</t>
  </si>
  <si>
    <t>A woman cuts the ends off a sweet potato on a cutting board with a knife.</t>
  </si>
  <si>
    <t>The woman uses a peeling tool to skin a sweet potato over the cutting board.</t>
  </si>
  <si>
    <t>v_L4ZhAK04yjg</t>
  </si>
  <si>
    <t>We see a man and a a woman dancing together.</t>
  </si>
  <si>
    <t>The man spins the woman back and forth.</t>
  </si>
  <si>
    <t>The screen turns a green shade.</t>
  </si>
  <si>
    <t>The lady takes her hair out of a pony tail.</t>
  </si>
  <si>
    <t>The screen turns a blue shade.</t>
  </si>
  <si>
    <t>A person enter the room then leaves.</t>
  </si>
  <si>
    <t>The people start spining again.</t>
  </si>
  <si>
    <t>The person returns and moves to the left.</t>
  </si>
  <si>
    <t>The color becomes normal again.</t>
  </si>
  <si>
    <t>The man stops and the woman is upset.</t>
  </si>
  <si>
    <t>v_ZWHFbIjh0N8</t>
  </si>
  <si>
    <t>An intro appears on a dark screen with red and white special effects and the words "MILWAUKEE OPEN" and "BEST PLAYS" show up on separate screens.</t>
  </si>
  <si>
    <t>Clips of various people, both men and women are outdoors at beaches, wearing beach attire as they play sand volleyball during different matches while a lot of spectators watching them and cheering them on.</t>
  </si>
  <si>
    <t>The clips end and the outro appears and looks just like the intro and ends with the words "BEST PLAYS" and "MILWAUKEE OPEN" on two different screens.</t>
  </si>
  <si>
    <t>v_tO1VJnsd8sg</t>
  </si>
  <si>
    <t>A person in a yellow shirt stands outside watching.</t>
  </si>
  <si>
    <t>A woman opens the door and walks out.</t>
  </si>
  <si>
    <t>v_3AZgr5HkSDY</t>
  </si>
  <si>
    <t>A large group of people are seen performing a routine together in an exercise class while moving up and down on a beam.</t>
  </si>
  <si>
    <t>The people continue moving around one another while moving their arms up and down on the beam and end by holding onto one another and walking around the room.</t>
  </si>
  <si>
    <t>v_9Ht1yvo936I</t>
  </si>
  <si>
    <t>people is playing black jack around a table.</t>
  </si>
  <si>
    <t>dealer is dealnig the cards and the tokens to the women.</t>
  </si>
  <si>
    <t>man stands from a table and walks in a room.</t>
  </si>
  <si>
    <t>v_hYj38k-VOFM</t>
  </si>
  <si>
    <t>A person is seen raking a yard and pauses to put his hand in his pocket.</t>
  </si>
  <si>
    <t>Another man comes walking in with a leaf blower pushing the leaves around.</t>
  </si>
  <si>
    <t>The man rakes more leaves and the leaf blower man comes in again.</t>
  </si>
  <si>
    <t>v_Ho0eNR4jvEg</t>
  </si>
  <si>
    <t>We see the underwater sea floor.</t>
  </si>
  <si>
    <t>Two people swim in front of the camera.</t>
  </si>
  <si>
    <t>We see a man holding a camera.</t>
  </si>
  <si>
    <t>We see a fin enter the camera.</t>
  </si>
  <si>
    <t>The camera is spinning wildly.</t>
  </si>
  <si>
    <t>Bubbles rise out of a tube.</t>
  </si>
  <si>
    <t>A man hands another person the mouthpiece.</t>
  </si>
  <si>
    <t>v_4S09Z8HRtdo</t>
  </si>
  <si>
    <t>Two people are seen walking around a yard in front of a board.</t>
  </si>
  <si>
    <t>Another man walks in and the group are seen laying up a fence.</t>
  </si>
  <si>
    <t>The men continue to put boards up on the fence and end by presenting it to the camera.</t>
  </si>
  <si>
    <t>v_f3Mse2A5edA</t>
  </si>
  <si>
    <t>A man is sitting behind a table completing a Rubik's cube.</t>
  </si>
  <si>
    <t>A person in a blue shirt is standing next to the table holding a stop watch.</t>
  </si>
  <si>
    <t>The man completes the Rubik's cube and sets it down.</t>
  </si>
  <si>
    <t>He hugs a person that walks up next to him.</t>
  </si>
  <si>
    <t>v_STR26rN9GcA</t>
  </si>
  <si>
    <t>Two men are outdoors on a sidewalk, playing drums with their bare hands.</t>
  </si>
  <si>
    <t>A large crowd crosses the sidewalk as they complete the show, and the man on the left stands upright.</t>
  </si>
  <si>
    <t>v_Y1j_e1DXW6I</t>
  </si>
  <si>
    <t>A group of people line up against a wall in front of a set of balls at the start of a game in a gym.</t>
  </si>
  <si>
    <t>The group runs up to retrieve the balls.</t>
  </si>
  <si>
    <t>The group trows balls back and forth with an opposing team in a dodge ball game.</t>
  </si>
  <si>
    <t>A man gets hit multiple times as he runs forward on the court and retrieves balls.</t>
  </si>
  <si>
    <t>v_oeFUzyNgxQU</t>
  </si>
  <si>
    <t>We see men on a stage walking on a slack line as two other men film the event.</t>
  </si>
  <si>
    <t>They switch and a different man then walks the slackline who flips off the slackline.</t>
  </si>
  <si>
    <t>The men switch again and the first man is on the slackline.</t>
  </si>
  <si>
    <t>The man fall off the slackline onto his butt.</t>
  </si>
  <si>
    <t>The second man bounces and flips off.</t>
  </si>
  <si>
    <t>The first man bounces and flips off.</t>
  </si>
  <si>
    <t>the men clap and take the slackline off stage.</t>
  </si>
  <si>
    <t>v_p8C7govzEPw</t>
  </si>
  <si>
    <t>A close up of a clock is shown followed by a person making and pouring out coffee as well as the outside of a building.</t>
  </si>
  <si>
    <t>A women sets up her keys, writes on a board, and leads into her grooming and petting the dogs.</t>
  </si>
  <si>
    <t>Several clips are shown of the woman grooming the animals from various views and the animals shown afterwards.</t>
  </si>
  <si>
    <t>v_CZGDWYYkO-U</t>
  </si>
  <si>
    <t>A girl wearing glasses is seen speaking to the camera that leads into her taking them off and holding them to her camera.</t>
  </si>
  <si>
    <t>She then holds up various items and holds her eye open to put in contact lens for both eyes.</t>
  </si>
  <si>
    <t>v_Ygy-zufAejI</t>
  </si>
  <si>
    <t>We see a man walking a tightrope high above a mountain range.</t>
  </si>
  <si>
    <t>We see a picture in picture in the upper left corner.</t>
  </si>
  <si>
    <t>We see the man holding a selfie stick.</t>
  </si>
  <si>
    <t>The man reaches the other side and turns around.</t>
  </si>
  <si>
    <t>the ending title screen loads.</t>
  </si>
  <si>
    <t>v_enESbo2pA9U</t>
  </si>
  <si>
    <t>Several shots are shown of a celebrity walking the red carpet as well as a woman hosting a news segment and pictures being shown beside her.</t>
  </si>
  <si>
    <t>More pictures are shown as well as the celebrity skiing and snowboarding and ends with men escorting the celebrity into a building and more pictures as the woman speaks.</t>
  </si>
  <si>
    <t>v_JhoGvKrhs8s</t>
  </si>
  <si>
    <t>A large marching band is seen standing together in front of a large building with others standing around.</t>
  </si>
  <si>
    <t>More shots are shown of the group standing around one another while the camera pans around.</t>
  </si>
  <si>
    <t>v_7hxCoi0XU6I</t>
  </si>
  <si>
    <t>An intro leads into two women in front of the camera, one standing and speaking, and the other sitting and watching.</t>
  </si>
  <si>
    <t>The woman standing holds up a brush and begins brushing the woman's hair.</t>
  </si>
  <si>
    <t>She finishes brushing the woman's hair and looks back to the camera smiling.</t>
  </si>
  <si>
    <t>v_vlBzrnOuW9U</t>
  </si>
  <si>
    <t>A woman helps a little boy kick a ball during a kickball game.</t>
  </si>
  <si>
    <t>Each time the ball reaches base, another kid has a turn to kick.</t>
  </si>
  <si>
    <t>v_bqsWU8HqpxE</t>
  </si>
  <si>
    <t>A man runs with a pole and a jumps high, then people jumps several times.</t>
  </si>
  <si>
    <t>Two men are boxing, then people gather, men parachute and a man dive in the water.</t>
  </si>
  <si>
    <t>People dressed with military clothes, then they are doing other activities.</t>
  </si>
  <si>
    <t>People practice pole vault, climbing and other activities.</t>
  </si>
  <si>
    <t>v_P5Sg_kACPRM</t>
  </si>
  <si>
    <t>Two men run on a track while a large crowd of spectators and press watch.</t>
  </si>
  <si>
    <t>A man in the grass in the background runs with the men for a moment.</t>
  </si>
  <si>
    <t>The man on the inside lane of the track starts running very fast and then jumps into a sand pit.</t>
  </si>
  <si>
    <t>the other man runs past the sand pit.</t>
  </si>
  <si>
    <t>The man that jumped steps out of the sand pit and walks to the side.</t>
  </si>
  <si>
    <t>v_xXGc5_0_2QI</t>
  </si>
  <si>
    <t>Inside of a fence men are sitting upon horses waiting.</t>
  </si>
  <si>
    <t>One of the men starts to chase after a bull on his horse.</t>
  </si>
  <si>
    <t>He gets off of his horse and brings the bull down and starts walking back to his horse.</t>
  </si>
  <si>
    <t>He gets back on the horse as the bull just lays on the ground defeated.</t>
  </si>
  <si>
    <t>v_v26OP6f29Qc</t>
  </si>
  <si>
    <t>The men discuss a project sitting at the table.</t>
  </si>
  <si>
    <t>Two men sit at a table together and read from a document.</t>
  </si>
  <si>
    <t>The two men play a game of rock paper scissors.</t>
  </si>
  <si>
    <t>v_1Z3mjpu1I2A</t>
  </si>
  <si>
    <t>There's a little girl washing dishes and spoons in the kitchen sink.</t>
  </si>
  <si>
    <t>She uses a blue dish scrub and plenty of dish soap and washes the glass and spoons while keeping the tap running.</t>
  </si>
  <si>
    <t>She has her hands covered with soap foam as she washes the spoons and knives under the tap.</t>
  </si>
  <si>
    <t>She then washes a pizza cutter and spoon thoroughly with the soap and water.</t>
  </si>
  <si>
    <t>v_VyQ4ZbgqMXk</t>
  </si>
  <si>
    <t>A man is playing a game of shuffleboard.</t>
  </si>
  <si>
    <t>A man falls down onto the shuffleboard.</t>
  </si>
  <si>
    <t>A disc is dropped onto the ground.</t>
  </si>
  <si>
    <t>v_pieT6K771WQ</t>
  </si>
  <si>
    <t>A girl talks stand on the sidewalk, then she walks to a hopscotch.</t>
  </si>
  <si>
    <t>The girl stands on the hopscotch, then she jumps hopscotch while talking.</t>
  </si>
  <si>
    <t>v_FLL06mU-ua8</t>
  </si>
  <si>
    <t>A man gives tips on outdoor physical training.</t>
  </si>
  <si>
    <t>He demonstrates on the monkey bars going back and forth with upper body strength.</t>
  </si>
  <si>
    <t>v_QgklQUCQcV4</t>
  </si>
  <si>
    <t>A news report on physical fitness is given.</t>
  </si>
  <si>
    <t>A few people discuss the benefits of hulahooping and then do a demonstration.</t>
  </si>
  <si>
    <t>v_vcRCId1-xdA</t>
  </si>
  <si>
    <t>A woman is seen holding a drink on stage speaking into a mic as well as the audience.</t>
  </si>
  <si>
    <t>The woman continues speaking and looking around the audience while taking sips of her drink and putting it down.</t>
  </si>
  <si>
    <t>Finally she picks up a guitar and grabs a pic from the front and steps away.</t>
  </si>
  <si>
    <t>v__W8m7v1Ir5I</t>
  </si>
  <si>
    <t>A large group of people are seen standing behind one another with others watching on the sides and leads into the group running down a road.</t>
  </si>
  <si>
    <t>The large group of kids continue running down the road after one another while people still watch on the sides.</t>
  </si>
  <si>
    <t>v_mtF0AFNSFnI</t>
  </si>
  <si>
    <t>A man is seen sitting in front of a woman who begins playing a piano.</t>
  </si>
  <si>
    <t>Another man is seen sitting next to her playing an accordion.</t>
  </si>
  <si>
    <t>The man and woman play together while smiling and nodding and end by stopping and the man applauding.</t>
  </si>
  <si>
    <t>v_VlfnvORj6KY</t>
  </si>
  <si>
    <t>A man is sitting behind three drums.</t>
  </si>
  <si>
    <t>He begins playing the drums in front of him.</t>
  </si>
  <si>
    <t>He finishes playing and pictures are shown on the screen.</t>
  </si>
  <si>
    <t>v_-bzI8_hCbWk</t>
  </si>
  <si>
    <t>A large group of people are seen standing around a large gymnasium playing a game of dodge ball with one another.</t>
  </si>
  <si>
    <t>One man performs an impressive flip that leads to a man speaking to the camera and showing more shots of impressive dodgeball play.</t>
  </si>
  <si>
    <t>v_Il2jGm3L0-0</t>
  </si>
  <si>
    <t>A male athlete puts powder on his hands.</t>
  </si>
  <si>
    <t>He mounts a high beam in the gym.</t>
  </si>
  <si>
    <t>He spins and flips several times before dismounting.</t>
  </si>
  <si>
    <t>v_IeMeu-7QihI</t>
  </si>
  <si>
    <t>A shot of people are shown from several angles and leads into various shots of people riding skis and doing tricks.</t>
  </si>
  <si>
    <t>More close up of water skiers are shown while the boat trails around the area.</t>
  </si>
  <si>
    <t>v_hV9sBYo342M</t>
  </si>
  <si>
    <t>A man is running down a track.</t>
  </si>
  <si>
    <t>He jumps onto a blue mat.</t>
  </si>
  <si>
    <t>He jumps over a high bar and lands on the blue mat.</t>
  </si>
  <si>
    <t>v_Zfo0XXcWXiU</t>
  </si>
  <si>
    <t>A woman brushes and dries her hair.</t>
  </si>
  <si>
    <t>The woman puts the blow dryer down and brushes her hair again.</t>
  </si>
  <si>
    <t>v_O_IrzZbXiCc</t>
  </si>
  <si>
    <t>A child smiles at the camera.</t>
  </si>
  <si>
    <t>The child practices field hockey with obstacles on the ground.</t>
  </si>
  <si>
    <t>The child walks away from the camera.</t>
  </si>
  <si>
    <t>v_2-hF-v79XyQ</t>
  </si>
  <si>
    <t>We see two men in a TV studio talking.</t>
  </si>
  <si>
    <t>We see people playing an indoor soccer game.</t>
  </si>
  <si>
    <t>A man in black is running with his arms in the air.</t>
  </si>
  <si>
    <t>A man in yellow slides on the ground.</t>
  </si>
  <si>
    <t>The 10 in yellow throws a tantrum.</t>
  </si>
  <si>
    <t>The yellow team all hug each other.</t>
  </si>
  <si>
    <t>We return to the men in the studio.</t>
  </si>
  <si>
    <t>v_FNX7CeuIvIQ</t>
  </si>
  <si>
    <t>A man is outside with two dogs on leashes.</t>
  </si>
  <si>
    <t>He puts on a show with the trained dogs.</t>
  </si>
  <si>
    <t>He throws frisbees, and the small crowd claps for the performing dogs.</t>
  </si>
  <si>
    <t>v_eWP99kNayuU</t>
  </si>
  <si>
    <t>A man stands over a roof of a house and puts a took on the roof.</t>
  </si>
  <si>
    <t>Then, the man holds the handle of a tool with one hand.</t>
  </si>
  <si>
    <t>The man holds the handle with two hands, then he continues holding the tool with one hand.</t>
  </si>
  <si>
    <t>v_vKShqwBJrME</t>
  </si>
  <si>
    <t>A person's hands are seen attempting to solve a rubix cube while the end of a table is shown.</t>
  </si>
  <si>
    <t>The person continues until they finish the cube and then shows his time on the screen.</t>
  </si>
  <si>
    <t>v_JxEnKQ7iXUI</t>
  </si>
  <si>
    <t>A group of young girls are dressed in pink tutus, standing on a stage and doing their ballerina routine.</t>
  </si>
  <si>
    <t>One of the girls goes out of sync from the rest and starts moving her feet as she's doing her routine and everything other girl is just standing on their feet and moving just their arms.</t>
  </si>
  <si>
    <t>The girls are now starting to sing as they continue to dance and the same girl that was doing her own thing out of sync continues to do her own dancing different from the majority of the young girls.</t>
  </si>
  <si>
    <t>The dance ends and some of the girls do a curtsy and then they all walk off the stage.</t>
  </si>
  <si>
    <t>v_oq8DE3Cbar0</t>
  </si>
  <si>
    <t>A man in a movie mask is seated by a flight of stairs.</t>
  </si>
  <si>
    <t>He is playing an accordian for the people passing by.</t>
  </si>
  <si>
    <t>A few pause to listen, then continue on their way.</t>
  </si>
  <si>
    <t>v_34eCEU2Y4T0</t>
  </si>
  <si>
    <t>A woman demonstrates, on a toy baby, how to swaddle a baby and wash a baby’s face using cotton balls and wet towels.</t>
  </si>
  <si>
    <t>A woman stands in front of a toy baby and talks to the camera.</t>
  </si>
  <si>
    <t>The woman swaddles the baby in a white blanket and then begins to apply water soaked cotton balls, from a nearby water filled container, to the baby’s eyes and nose and face.</t>
  </si>
  <si>
    <t>The woman finishes and talks to the camera again.</t>
  </si>
  <si>
    <t>v_s789WxU8PFY</t>
  </si>
  <si>
    <t>A woman is seen speaking to the camera and begins unboxing an item.</t>
  </si>
  <si>
    <t>She pulls out the panels as well as putting sunglasses on and presents a pan of objects to the camera.</t>
  </si>
  <si>
    <t>She continues speaking to the camera and pulls the objects out to present baked cookies.</t>
  </si>
  <si>
    <t>The cookies are seen again on a tray and she breaks them open to see.</t>
  </si>
  <si>
    <t>v_7845vSLQoG8</t>
  </si>
  <si>
    <t>A little boy is bending over dipping a paint brush into a blue bucket.</t>
  </si>
  <si>
    <t>He paints the fence in front of him.</t>
  </si>
  <si>
    <t>He walks towards the camera.</t>
  </si>
  <si>
    <t>v_3G3Zear4vog</t>
  </si>
  <si>
    <t>Two girls are seen moving quickly around the room while switching places and looking into a camera.</t>
  </si>
  <si>
    <t>The younger girl laughs to the camera while putting on makeup and the other moves around quick.</t>
  </si>
  <si>
    <t>v_yB35e1u3pJs</t>
  </si>
  <si>
    <t>A young girl is seen speaking to the camera while sitting at a table and leads into her holding up a contacts case.</t>
  </si>
  <si>
    <t>The girl then holds her eye open and takes out the contact, followed by her dipping it in liquid and putting it back in while still speaking.</t>
  </si>
  <si>
    <t>v_JRr3BruqS2Y</t>
  </si>
  <si>
    <t>A woman is rollerskating across a street with people crossing behind her.</t>
  </si>
  <si>
    <t>She goes back across the street alone.</t>
  </si>
  <si>
    <t>A woman in a grey sweater talks to the camera on the sidewalk.</t>
  </si>
  <si>
    <t>A man in a black hat talks to the camera in front of a blue building.</t>
  </si>
  <si>
    <t>A man in a black shirt is sitting down and talking.</t>
  </si>
  <si>
    <t>It goes back to the man in a black hat talking.</t>
  </si>
  <si>
    <t>It goes back to the man in the black shirt talking.</t>
  </si>
  <si>
    <t>The girl is bent over on roller blades pulling something out of a bench.</t>
  </si>
  <si>
    <t>She does tricks on the bench.</t>
  </si>
  <si>
    <t>A woman in a brown hat is talking.</t>
  </si>
  <si>
    <t>A man with a mohawk talks.</t>
  </si>
  <si>
    <t>The girl does more tricks on her roller blades.</t>
  </si>
  <si>
    <t>Three kids are sitting on a bench in roller skates talking.</t>
  </si>
  <si>
    <t>The girl on roller blades does another trick.</t>
  </si>
  <si>
    <t>An older woman is talking to the camera.</t>
  </si>
  <si>
    <t>v_mBZAFJ-Q6Mw</t>
  </si>
  <si>
    <t>A boy is drawing with chalk on concrete as he deals with the troubles of family life and school.</t>
  </si>
  <si>
    <t>He finishes drawing hopscotch boxes on the concrete as he begins to jump on the squares and begins to dance only to be reminded of the bullying at school.</t>
  </si>
  <si>
    <t>The young man is seen now break dancing and going through a routine.</t>
  </si>
  <si>
    <t>Back at home with his troubled family he is eating and day dreaming of dancing as the scene goes back to him dancing.</t>
  </si>
  <si>
    <t>He stops dancing to look at the hopscotch squares that are now faded and worn.</t>
  </si>
  <si>
    <t>In the classroom as the teacher is walking through the rows of desks he notices the young man asleep at his desk as he uses a ruler to tap him on his head to wake him.</t>
  </si>
  <si>
    <t>The young boy notices a note at his desk that has a picture of the hopscotch squares that says "teach me" followed by a smiley face.</t>
  </si>
  <si>
    <t>The credits roll as the concrete and the chalk marks of the hopscotch squares are shown.</t>
  </si>
  <si>
    <t>v_qisMX7KNi7s</t>
  </si>
  <si>
    <t>She opens a white bin and pours water and soap into it.</t>
  </si>
  <si>
    <t>She then closes it and turns the top.</t>
  </si>
  <si>
    <t>She hangs the clothes from a wood rack to dry.</t>
  </si>
  <si>
    <t>v_60CCYfec2vQ</t>
  </si>
  <si>
    <t>There are several workers on top of a roof working on repairing the roof.</t>
  </si>
  <si>
    <t>They are removing the old shingles with the help of a roof jacks.</t>
  </si>
  <si>
    <t>They continue removing the shingles while standing on top of the roof.</t>
  </si>
  <si>
    <t>v_xoETvVbyiBA</t>
  </si>
  <si>
    <t>A man walks up to a set of parallel bars.</t>
  </si>
  <si>
    <t>The man performs acrobatics on the bars in a professional venue.</t>
  </si>
  <si>
    <t>The man successfully jumps of the bars and lands on his feet.</t>
  </si>
  <si>
    <t>v_3Rc2pPAQ-Cs</t>
  </si>
  <si>
    <t>The man in white shirt is strumming the bongo drum.</t>
  </si>
  <si>
    <t>At the counter the man is sitting behind the counter.</t>
  </si>
  <si>
    <t>The man playing bongo hit one drum then the next, then he beat the drums fast.</t>
  </si>
  <si>
    <t>v_CsaeiOFuij0</t>
  </si>
  <si>
    <t>A man is positioning a camera and then walks into a room through a wall of glass with three walls in them.</t>
  </si>
  <si>
    <t>When he enters the room,another man appears with a racket in his hand and they begin hitting the ball up against the wall.</t>
  </si>
  <si>
    <t>The two go back and forth hitting the ball and they eventually stop when neither of the men are able to get to the ball.</t>
  </si>
  <si>
    <t>v_KHxBqZmSaJU</t>
  </si>
  <si>
    <t>people is sitting on a studio talking to each other.</t>
  </si>
  <si>
    <t>man is in the beach doing tricks with a little kid and people in the studio is talking about the video.</t>
  </si>
  <si>
    <t>page of a cheerleaders is shown in the screen and the video of the girl in the beach doing tricks.</t>
  </si>
  <si>
    <t>man is in a living room with a little girl and is doing tricks with her and on the beach, then a video of the man and the girl talking to a camera is shown while people in the stuio keep talking and showing their videos.</t>
  </si>
  <si>
    <t>v_UgtzVS_oeq0</t>
  </si>
  <si>
    <t>People are shown interacting in a dance hall.</t>
  </si>
  <si>
    <t>A woman smokes and exhales black smoke.</t>
  </si>
  <si>
    <t>A man approaches a table and places food on it.</t>
  </si>
  <si>
    <t>Two children eat under the table.</t>
  </si>
  <si>
    <t>Two individuals dancing together kiss.</t>
  </si>
  <si>
    <t>The woman smokes and the black smoke disappears.</t>
  </si>
  <si>
    <t>v_Gd6YooP1_CU</t>
  </si>
  <si>
    <t>A close up of a coffee drink is shown followed by a man drinking out of the cup.</t>
  </si>
  <si>
    <t>The camera pans around to more people with drinks in their hands.</t>
  </si>
  <si>
    <t>A ma looks down at his lap with the drink still in front of him.</t>
  </si>
  <si>
    <t>v_n5RVQbgz1Rs</t>
  </si>
  <si>
    <t>A large green field is shown as two teams begin rushing towards a ball hitting it with a stick that has a net at the end of it.</t>
  </si>
  <si>
    <t>As the game progresses,a player runs into two other people and flips over their shoulders ultimately getting injured.</t>
  </si>
  <si>
    <t>He lays on the ground and several replays of the incident are shown.</t>
  </si>
  <si>
    <t>Next,several still images of other teams walking and preparing to start are shown of them playing games in various locations.</t>
  </si>
  <si>
    <t>v_PFn7a6eEhb4</t>
  </si>
  <si>
    <t>The camera zooms in on a baby cow with various title pages shown across the screen.</t>
  </si>
  <si>
    <t>A group of men run around a calf while others hold him down.</t>
  </si>
  <si>
    <t>A drunk man attempts to interact with a bull and is flipped into the air.</t>
  </si>
  <si>
    <t>Several men drag him out while a tourist attempts to draw the bull in.</t>
  </si>
  <si>
    <t>The bull nearly grabs him but the boy makes it on the fence and throws the red blanket on the bull.</t>
  </si>
  <si>
    <t>v_uUzmPV8Vgqg</t>
  </si>
  <si>
    <t>A woman in track pants and her daughters wash a small dog with soap and water in a bucket on a patio.</t>
  </si>
  <si>
    <t>A woman uses a cup to pour water on the dog to remove the soap.</t>
  </si>
  <si>
    <t>v_qtfFFPKya3Y</t>
  </si>
  <si>
    <t>A field is shown with about ten men standing in the middle and a man takes off running and throws a ball at a man holding a paddle.</t>
  </si>
  <si>
    <t>More games are shown and the same exact actions are repeated throughout various teams.</t>
  </si>
  <si>
    <t>A man with short black hair is then shown and his teammates begin congratulating him and more teams are shown playing the game.</t>
  </si>
  <si>
    <t>v_Pt4BlfBqduE</t>
  </si>
  <si>
    <t>man is holding a hammer fixing the roof of a garage.</t>
  </si>
  <si>
    <t>man is standing in the rooftop adding a black mix.</t>
  </si>
  <si>
    <t>v_ean7ZR6XmG4</t>
  </si>
  <si>
    <t>man is sitting on a table eating a sandwich in a rstaurant talking to other man.</t>
  </si>
  <si>
    <t>man is watching the man while eats and talking to him.</t>
  </si>
  <si>
    <t>both men stands and play rock paper scissors and man hits the man sand this falls to the floor.</t>
  </si>
  <si>
    <t>man is sitting on the chair and talks to the man on thefloor and throw him the sandwich.</t>
  </si>
  <si>
    <t>man walks to a desk and sits in front of te computer drinking water and the other man is laying on the floor trying to talk.</t>
  </si>
  <si>
    <t>anoher man siting in front talk to the man in the desk.</t>
  </si>
  <si>
    <t>man stands and talk to the man on the floor and hits him again and the man spit blood.</t>
  </si>
  <si>
    <t>v_KVmuW9kwZV4</t>
  </si>
  <si>
    <t>A man at his dish washing job has a very unique way to do his dishes at a very fast speed.</t>
  </si>
  <si>
    <t>He throws all the plates one by one very fast.</t>
  </si>
  <si>
    <t>They all land into the sink on top of each other after he wipes them down, some of them fall out a bit.</t>
  </si>
  <si>
    <t>The he pushes them all down into the water.</t>
  </si>
  <si>
    <t>v_3PC5_h68qkc</t>
  </si>
  <si>
    <t>People are putting on their supplies and riding in rafts down a river.</t>
  </si>
  <si>
    <t>We see the location name and the resort shots of the restaurants, bathrooms and more.</t>
  </si>
  <si>
    <t>We see people dance and play games outdoors and in a room in groups with balloons and dancing.</t>
  </si>
  <si>
    <t>We see people zip lining in the jungle.</t>
  </si>
  <si>
    <t>v_bJahexpTlr8</t>
  </si>
  <si>
    <t>A man in a silver jacket is fixing a spoke on the tire of his bicycle.</t>
  </si>
  <si>
    <t>He spins the wheel of the tire.</t>
  </si>
  <si>
    <t>He takes the tire off the bike and lays it against the building.</t>
  </si>
  <si>
    <t>He uses a tool to fix the spoke of the tire.</t>
  </si>
  <si>
    <t>He puts the tire back on the bike and spins it.</t>
  </si>
  <si>
    <t>v_ERmsX91_7V4</t>
  </si>
  <si>
    <t>A person is seen running onto a court and shooting a basketball.</t>
  </si>
  <si>
    <t>The man is shown in several clips running down and scoring a basket.</t>
  </si>
  <si>
    <t>The man continues to shoot hoops over and over again.</t>
  </si>
  <si>
    <t>v_hLnVjkmioH8</t>
  </si>
  <si>
    <t>A boy sits at a kitchen counter and adjusts the camera.</t>
  </si>
  <si>
    <t>His friend moves the camera back so they are more visible.</t>
  </si>
  <si>
    <t>The two boys then arm wrestle and the left boy wins both times.</t>
  </si>
  <si>
    <t>The right boy walks away and the left boy reaches for the camera.</t>
  </si>
  <si>
    <t>v_SQM-heGm8iU</t>
  </si>
  <si>
    <t>Two women are seen running around a room and leads into one speaking to the camera.</t>
  </si>
  <si>
    <t>The people hit a tennis ball around the room while dancing and cheering with one another.</t>
  </si>
  <si>
    <t>The people continue hitting the ball around while playing with one another.</t>
  </si>
  <si>
    <t>v_Lvia-mF_Hnk</t>
  </si>
  <si>
    <t>A man in welding attire welds a piece of metal to another piece of metal on camera.</t>
  </si>
  <si>
    <t>A man wearing protective clothing and a metal welding hat stands in front of a piece of metal missing a long strip on the face of it.</t>
  </si>
  <si>
    <t>The man begins to weld creating large sparks of white light.</t>
  </si>
  <si>
    <t>When the welding stop the finished product reveals a strip has been welded onto the formerly bare spot and the welder tests it with a hard instrument.</t>
  </si>
  <si>
    <t>v_WhYyvKiwLc8</t>
  </si>
  <si>
    <t>A woman rides a bike outside.</t>
  </si>
  <si>
    <t>She is then shown playing a violin.</t>
  </si>
  <si>
    <t>She then roller blades outside.</t>
  </si>
  <si>
    <t>And then she does push ups on a roof.</t>
  </si>
  <si>
    <t>v_DEt_Xgg8dzc</t>
  </si>
  <si>
    <t>A person jumps and land on the sand.</t>
  </si>
  <si>
    <t>A man runs fast and jumps high to land on the sand, then stand and goes skiping to his sit, while people walk in the stadium.</t>
  </si>
  <si>
    <t>A man talks sitting in an elegant room.</t>
  </si>
  <si>
    <t>A man pass on front the crowd, then jumps and bend on the floor to celebrate.</t>
  </si>
  <si>
    <t>Three athletes stand on the podium, then a man runs and jumps to land on the sand.</t>
  </si>
  <si>
    <t>v_taO9hPOvMz0</t>
  </si>
  <si>
    <t>People are sitting on the sand on a beach.</t>
  </si>
  <si>
    <t>People are surfing on large waves in the water.</t>
  </si>
  <si>
    <t>A boy lays a towel out onto the sand of the beach.</t>
  </si>
  <si>
    <t>People continue to surf on the large waves of the water.</t>
  </si>
  <si>
    <t>v_BKRKHkkZq6g</t>
  </si>
  <si>
    <t>A man wearing a black shirt holds an exercise ball over another man wearing a light blue shirt performs sit-ups on an inclined bench.</t>
  </si>
  <si>
    <t>The man wearing the black shirt drops the ball on the floor and crouches down and high fives the man performing the sit-ups.</t>
  </si>
  <si>
    <t>v_j_ImkPKoA-U</t>
  </si>
  <si>
    <t>A man is sitting on a rock by a fast flowing river.</t>
  </si>
  <si>
    <t>Another man sails past him in a raft trying to keep up with the strong current and waves.</t>
  </si>
  <si>
    <t>There are several other people sitting on the rocks watching the rafter go by.</t>
  </si>
  <si>
    <t>They are sitting on the rocks with their life vests besides them.</t>
  </si>
  <si>
    <t>v_MlxMV7WH9-g</t>
  </si>
  <si>
    <t>A camera pans out of chocolate chip cookies and milk and leads into a woman speaking.</t>
  </si>
  <si>
    <t>The woman mixes various ingredients together in a bowl and leads into her putting clumps of dough onto a pan.</t>
  </si>
  <si>
    <t>She puts the pan in the oven then takes it out to show off her chocolate ship cookies.</t>
  </si>
  <si>
    <t>v_C_fqFJyf5SU</t>
  </si>
  <si>
    <t>A woman is seen standing in front of the camera holding onto fire.</t>
  </si>
  <si>
    <t>Another woman steps beside the first and the two begin performing a fire routine with one another.</t>
  </si>
  <si>
    <t>A man hands them objects to light and the woman continue dancing and spinning around with the fire.</t>
  </si>
  <si>
    <t>v_8qODQbBVsus</t>
  </si>
  <si>
    <t>A man and woman are standing at a counter with a pineapple.</t>
  </si>
  <si>
    <t>The man ripped the top of the pineapple.</t>
  </si>
  <si>
    <t>The man sliced the top off the pineapple.</t>
  </si>
  <si>
    <t>The man cut the pineapple in half.</t>
  </si>
  <si>
    <t>The man cut the skin off the pineapple.</t>
  </si>
  <si>
    <t>v_gmFioIDX4X0</t>
  </si>
  <si>
    <t>A person is seen climbing into the back of a kayak with another man and paddling alone the water.</t>
  </si>
  <si>
    <t>The camera pans around the area and zooms back and fourth along the water and pans to people on the beach.</t>
  </si>
  <si>
    <t>v_vycd0CJTwoA</t>
  </si>
  <si>
    <t>A parking lot is shown, and a man on roller blades takes off down the hill.</t>
  </si>
  <si>
    <t>He goes around sharp curves on his skates.</t>
  </si>
  <si>
    <t>He takes several country and wooded roads before rolling to a stop in a parking lot.</t>
  </si>
  <si>
    <t>v_TcxOTZ4xnQ4</t>
  </si>
  <si>
    <t>A girl demonstrates several gymnastic and tumbler moves in a living room and on a green lawn with a line of residential houses as a backdrop.</t>
  </si>
  <si>
    <t>A girl demonstrates a somersault move in the living room in front of two couches.</t>
  </si>
  <si>
    <t>The girl then demonstrates more advanced backflip gymnastic moves in a field of grass with houses in a residential neighborhood as the backdrop.</t>
  </si>
  <si>
    <t>v_OkEqcSlWMJg</t>
  </si>
  <si>
    <t>A small group of people are seen swimming in a pool and leads into various clips of children learning how to swim.</t>
  </si>
  <si>
    <t>A man helps them practice in the water as well as jumping off a diving board.</t>
  </si>
  <si>
    <t>More shots are shown of kids swimming and leads into a girl grabbing objects under water and swimming with another.</t>
  </si>
  <si>
    <t>v_EL47wkhiOq8</t>
  </si>
  <si>
    <t>The young boy serve the shuttlecock but it hit the net.</t>
  </si>
  <si>
    <t>The older man serve the ball and the kid missed it.</t>
  </si>
  <si>
    <t>An older woman in gray shirt serve the ball and the girl in red hit it.</t>
  </si>
  <si>
    <t>v_Jv7AjsdOk2I</t>
  </si>
  <si>
    <t>A man is skateboarding, he jumps up on higher levels.</t>
  </si>
  <si>
    <t>He kicks to build up some speed and does some cool tricks .</t>
  </si>
  <si>
    <t>He gets off and then jumps back on the board and does more tricks all around.</t>
  </si>
  <si>
    <t>He jumps up on a rail and then gets back down and sits on the board and waves.</t>
  </si>
  <si>
    <t>v_taHfD8TFfX4</t>
  </si>
  <si>
    <t>A baseball player is seen standing on a patch of dirt with another behind him.</t>
  </si>
  <si>
    <t>The man then begins to hit a ball.</t>
  </si>
  <si>
    <t>The man hits the ball in slow motion.</t>
  </si>
  <si>
    <t>v_X3Nr9Gj6JR0</t>
  </si>
  <si>
    <t>A person makes spaghetti from scratch using flour, eggs, a blender and a pasta press.</t>
  </si>
  <si>
    <t>A hand mixes flour in a bowl, adds eggs and mixes both ingredients with a mixer.</t>
  </si>
  <si>
    <t>The hands then take the resulting ball of dough and kneads it, covers it in saran wrap and cuts it in pieces before rolling it flat with a rolling pin.</t>
  </si>
  <si>
    <t>The person then takes the flattened dough and puts it in a presser, dusts it with flour, and puts it into a container and then a spaghetti press which produces many strands of spaghetti.</t>
  </si>
  <si>
    <t>v_aOzMA2rpWEw</t>
  </si>
  <si>
    <t>A man and a woman are standing outside in the snow talking.</t>
  </si>
  <si>
    <t>The man is cleaning the snow off of the car.</t>
  </si>
  <si>
    <t>The girl wears a fur coat and talks to the camera.</t>
  </si>
  <si>
    <t>The man continues brushing the snow off of the car.</t>
  </si>
  <si>
    <t>They are sitting inside the car talking.</t>
  </si>
  <si>
    <t>v_mbmMY04yMUA</t>
  </si>
  <si>
    <t>There is some script shown on fear of singing on stage.</t>
  </si>
  <si>
    <t>A woman in a green shirt is singing while doing the dishes in her kitchen sink.</t>
  </si>
  <si>
    <t>She continues to wash the spoons and forks with a blue scrub and soap as she sings in a high pitch and tone.</t>
  </si>
  <si>
    <t>She continues to wash a large knife and then places the wet utensils on a drying rack.</t>
  </si>
  <si>
    <t>She washes some glasses and scrubs them thoroughly with the same sponge.</t>
  </si>
  <si>
    <t>Then places the glass on the drying rack.</t>
  </si>
  <si>
    <t>v_PtoVL69LEh4</t>
  </si>
  <si>
    <t>A man raps along with a song.</t>
  </si>
  <si>
    <t>The guy gets a tattoo as well.</t>
  </si>
  <si>
    <t>v_dpUDMvzlwmI</t>
  </si>
  <si>
    <t>A large group of people are seen playing a soccer match on a large, sandy beach.</t>
  </si>
  <si>
    <t>Many people watch on the sidelines as the kids pass the ball back and fourth to one another.</t>
  </si>
  <si>
    <t>The game continues on as the kids move up and down the field and attempt several goals that end up missed.</t>
  </si>
  <si>
    <t>v__EZnGbfMqsc</t>
  </si>
  <si>
    <t>A young blonde girl jumps outside.</t>
  </si>
  <si>
    <t>She holds a jump rope and turns the jump rope in front of her.</t>
  </si>
  <si>
    <t>She performs the same thing again.</t>
  </si>
  <si>
    <t>She turns the jump rope once more and catches it with her feet.</t>
  </si>
  <si>
    <t>She does it once more.</t>
  </si>
  <si>
    <t>She turns the jump rope and completes a full jump.</t>
  </si>
  <si>
    <t>She goes and does it again.</t>
  </si>
  <si>
    <t>She jump ropes multiple times.</t>
  </si>
  <si>
    <t>She does it again, jump roping over and over again.</t>
  </si>
  <si>
    <t>She speaks to the camera.</t>
  </si>
  <si>
    <t>v_-3baQGb2zIY</t>
  </si>
  <si>
    <t>A black male majorette begins walking through the drum line with his baton.</t>
  </si>
  <si>
    <t>As he makes his way to the front of the band,he bgeins to twirl the baton and move across the field and takes his pants off.</t>
  </si>
  <si>
    <t>Underneath his pants is a pair of sparkly shorts and he continues to dance, doing turns,tricks,kicks,splits,and popping as the band plays.</t>
  </si>
  <si>
    <t>v_jwOZsKS25oc</t>
  </si>
  <si>
    <t>A woman dressed in a pink tank top and gray tights is demonstrating spinning in a fitness gym.</t>
  </si>
  <si>
    <t>She shows the various exercises using the bicycle.</t>
  </si>
  <si>
    <t>She also shows stomach crunches and stretches while laying down on the floor.</t>
  </si>
  <si>
    <t>She motivates her team to continue biking as she encourages them to go faster.</t>
  </si>
  <si>
    <t>v_--veKG73Di4</t>
  </si>
  <si>
    <t>A man and a women introduce themselves to the camera and start to talk to each other while the man is sitting behind a four set bongo set and the women is on the other side holding a water bottle.</t>
  </si>
  <si>
    <t>As the conversation ensues another woman approaches the woman and takes away her water bottle.</t>
  </si>
  <si>
    <t>Afterwards the man starts to play the bongos and woman starts to dance.</t>
  </si>
  <si>
    <t>As the woman dances on a man on a bike passes by and starts to observe what's going on.</t>
  </si>
  <si>
    <t>In the end while the woman stops dancing and starts to clap and the man playing the bongos stops playing and does a final clap.</t>
  </si>
  <si>
    <t>v_bxxSc2m08Sk</t>
  </si>
  <si>
    <t>We see a man performing Capoiera in a plaza.</t>
  </si>
  <si>
    <t>The man is joined by a second man and the practice together.</t>
  </si>
  <si>
    <t>The first man leaves and another man jumps in.</t>
  </si>
  <si>
    <t>The two men finish and shake hands and hug.</t>
  </si>
  <si>
    <t>Both men back out of the ring and a new man enters.</t>
  </si>
  <si>
    <t>v_HB11MXjwvVo</t>
  </si>
  <si>
    <t>A young boy pushes a vacuum cleaner in the kitchen of a home.</t>
  </si>
  <si>
    <t>The mother points underneath the furniture with her hand then foot directing the boy.</t>
  </si>
  <si>
    <t>The boy pushes the vacuum cleaner into the hallway and vacuums the area.</t>
  </si>
  <si>
    <t>v_Ue2EbbpegkE</t>
  </si>
  <si>
    <t>A man explains and shows how to do snow surfboard hillside turn.</t>
  </si>
  <si>
    <t>Then, the man performs toeside using a snow skateboard.</t>
  </si>
  <si>
    <t>The man continues explaining and performs a turn.</t>
  </si>
  <si>
    <t>A toddler ski on the snow.</t>
  </si>
  <si>
    <t>v_dsYLNeumBig</t>
  </si>
  <si>
    <t>A woman is standing and talking in a kitchen.</t>
  </si>
  <si>
    <t>She is using a small vacuum cleaner.</t>
  </si>
  <si>
    <t>She demonstrates how to use the vacuum as she talks.</t>
  </si>
  <si>
    <t>v_GaxyzK2mHqw</t>
  </si>
  <si>
    <t>woman is in a kitchen talking and slicing cheddar cheese into thick pieces, cutting the bread, then she put butter in a pan and the bread loaf on the pan with the cheese on top so the cheese can be melted in the pan, woman says this is wrong.</t>
  </si>
  <si>
    <t>woman shows a clean pan, put the butter on the bread and grate the cheese, then put it as a sandwich and in the pan with a lid till the bread is tasty.</t>
  </si>
  <si>
    <t>woman serve the bread in a blue dish and slice in two.</t>
  </si>
  <si>
    <t>v_hsIudyKGz6A</t>
  </si>
  <si>
    <t>A man is seen standing before a fire holding up an ax and begins cutting a piece of wood.</t>
  </si>
  <si>
    <t>Another man holds up the pieces of wood as the man continues to cut the wood and the other man moving the wood.</t>
  </si>
  <si>
    <t>v_T-vwsIOVNTw</t>
  </si>
  <si>
    <t>A person in white runs towards first base playing kickball.</t>
  </si>
  <si>
    <t>The man is tagged out by a woman wearing red.</t>
  </si>
  <si>
    <t>v_P_sjOVZiv6A</t>
  </si>
  <si>
    <t>We see an opening screen and a man drinks from a cup.</t>
  </si>
  <si>
    <t>the man paints a lady's nails in a dining room.</t>
  </si>
  <si>
    <t>The lady shows us her finger nails.</t>
  </si>
  <si>
    <t>The man drinks from his cup.</t>
  </si>
  <si>
    <t>The man leans back and laughs.</t>
  </si>
  <si>
    <t>we see a ending credit screen.</t>
  </si>
  <si>
    <t>v_lz2FMoj9tpo</t>
  </si>
  <si>
    <t>An athletic man is seen holding a discuss and begins spinning himself around in slow motion.</t>
  </si>
  <si>
    <t>The man then throws the object off into the distance and slow walks back while moving in slow motion.</t>
  </si>
  <si>
    <t>v_xg0OCQW8t2s</t>
  </si>
  <si>
    <t>A lawn mower is tied to a white rope.</t>
  </si>
  <si>
    <t>It is turned on and starts going in circles around the rope mowing the lawn.</t>
  </si>
  <si>
    <t>v_sRTDDlI1-Yo</t>
  </si>
  <si>
    <t>A shot of a playground is shown with various kids playing on the playground and riding down a slide.</t>
  </si>
  <si>
    <t>More shots are shown of kids swinging and hanging up side down as well as moving a steering wheel and climbing to the top.</t>
  </si>
  <si>
    <t>v_RfbEuBH1Pow</t>
  </si>
  <si>
    <t>A team of swimmers are huddled in.</t>
  </si>
  <si>
    <t>The team gets in the pool.</t>
  </si>
  <si>
    <t>Two teams play water polo against each other.</t>
  </si>
  <si>
    <t>A crowd looks on from the stands.</t>
  </si>
  <si>
    <t>v_5E42nKwv1xY</t>
  </si>
  <si>
    <t>We see a scoreboard in a game.</t>
  </si>
  <si>
    <t>Girls run onto the field and shake hands with the other team.</t>
  </si>
  <si>
    <t>We see girls playing volleyball indoors.</t>
  </si>
  <si>
    <t>The girls on the left make a shot and the team hugs.</t>
  </si>
  <si>
    <t>We see the scoreboard and people on the sidelines talking.</t>
  </si>
  <si>
    <t>We see a shot in slow motion and the girls hug.</t>
  </si>
  <si>
    <t>The game is over and the girls all shake hands.</t>
  </si>
  <si>
    <t>v_vuXsKQKbAfE</t>
  </si>
  <si>
    <t>Two men are in a pool putting on diving gear.</t>
  </si>
  <si>
    <t>The man in red puts the breather in his mouth then floats backward on his back.</t>
  </si>
  <si>
    <t>We see the man in red and blue putting a solution on their goggles before trying them on.</t>
  </si>
  <si>
    <t>The man in red puts the tube in his mouth then the breather before going under water.</t>
  </si>
  <si>
    <t>We then see a sign upside down floating in the water.</t>
  </si>
  <si>
    <t>v_3ROld-bSgPQ</t>
  </si>
  <si>
    <t>A baby girl is sitting next to all of her toys eating an ice cream very messily.</t>
  </si>
  <si>
    <t>Her mom takes the ice cream away from her and she starts to cry .</t>
  </si>
  <si>
    <t>Her mom gives her back the ice cream and she is happy again, back to eating it.</t>
  </si>
  <si>
    <t>She plays with her toys with her sticky ice cream fingers and her ice cream in the other hand.</t>
  </si>
  <si>
    <t>v_vwaQwo_5X-k</t>
  </si>
  <si>
    <t>We see a man break dancing in an office plaza.</t>
  </si>
  <si>
    <t>We switch and see different men break dancing in office plazas and lobbies.</t>
  </si>
  <si>
    <t>We see man do a handstand.</t>
  </si>
  <si>
    <t>We see a man take off and throw his jacket on the camera.</t>
  </si>
  <si>
    <t>We see the black closing screen.</t>
  </si>
  <si>
    <t>v_TBFAAb62ou4</t>
  </si>
  <si>
    <t>A man wearing a black baseball hat and a black shirt is playing an acoustic guitar.</t>
  </si>
  <si>
    <t>He is playing the Beatles song Yesterday on his guitar.</t>
  </si>
  <si>
    <t>He plays till the entire song is over and then stops and smiles at the camera.</t>
  </si>
  <si>
    <t>v_6GYdu5G61g8</t>
  </si>
  <si>
    <t>A group of people transport a boat on their heads.</t>
  </si>
  <si>
    <t>People jumps backwards on the river and floats on their backs.</t>
  </si>
  <si>
    <t>Then, people in a boat raft down the choppy waters of a river while paddling.</t>
  </si>
  <si>
    <t>People in two boats meet and start to throw water each other using the oars, then some rafters jump into the water.</t>
  </si>
  <si>
    <t>Persons jump from a balcony on the rocks to the water while other people continues rafting.</t>
  </si>
  <si>
    <t>v_TNwMZhQ7SFc</t>
  </si>
  <si>
    <t>A small girl is standing behind a man in a bathroom who is standing at a sink.</t>
  </si>
  <si>
    <t>The man turns around, grabs the towel and begins drying himself while the girl is still standing on the ground, and then puts the towel back when he's done.</t>
  </si>
  <si>
    <t>The man then picks up the small girl and begins to wash her face off and while the little girl brushes her teeth as she's getting her face cleaned.</t>
  </si>
  <si>
    <t>v_JNFUZz1bqmg</t>
  </si>
  <si>
    <t>A man is talking in front of two large windows.</t>
  </si>
  <si>
    <t>Two men are kneeling down on the ground.</t>
  </si>
  <si>
    <t>The man is back to talking in front of the windows.</t>
  </si>
  <si>
    <t>Two men are sitting on a train talking.</t>
  </si>
  <si>
    <t>A man in a black coat is walking down the street.</t>
  </si>
  <si>
    <t>He is holding a white paper in his hand and writing on it.</t>
  </si>
  <si>
    <t>He is then walking up some stairs on an bridge with other people.</t>
  </si>
  <si>
    <t>He is getting harnessed on top of the bridge.</t>
  </si>
  <si>
    <t>He jumps off the bridge and bungee jumps.</t>
  </si>
  <si>
    <t>A man in an orange vest puts him into the boat.</t>
  </si>
  <si>
    <t>A man holding a camera is standing on the sidewalk and watches another man trip and fall and runs over to help him.</t>
  </si>
  <si>
    <t>v_QnATCZ_P9DE</t>
  </si>
  <si>
    <t>A man is shown in the water, wearing a helmet, holding a paddle and sitting in a kayak.</t>
  </si>
  <si>
    <t>He is talking to the camera about how to use the kayak.</t>
  </si>
  <si>
    <t>He shows several rocking and paddling motions, and flips the kayak once at the end.</t>
  </si>
  <si>
    <t>v_ZRnCnUeqKv4</t>
  </si>
  <si>
    <t>a group is playing soccer on a field.</t>
  </si>
  <si>
    <t>The girls chase the ball, hitting it with sticks, trying to get it into the goal.</t>
  </si>
  <si>
    <t>v_ZGzXbvRHNAE</t>
  </si>
  <si>
    <t>A man cleans a spot in the kitchen sink with a sponge and bottle of clorox cleaner, in a black and white commercial.</t>
  </si>
  <si>
    <t>A shot of a suburban town is shown with a close up of the city name on a town sign.</t>
  </si>
  <si>
    <t>A man in an apron stands in front of a kitchen sink putting dishes away in a drainer.</t>
  </si>
  <si>
    <t>The man cleans a spot in the sink with a bottle of clorox and a sponge, before a marketing template appears with lettering and closeup of the bottle of clorox.</t>
  </si>
  <si>
    <t>v_eSQnn2RFxeY</t>
  </si>
  <si>
    <t>A woman holds the wheel of the yacht that sails in the ocean, and a dolphin swims near the yacht.</t>
  </si>
  <si>
    <t>Then, a young men talks, and from time ti time shows the sunset.</t>
  </si>
  <si>
    <t>Four people start to dance in the yacht, and one boy dance against the sail.</t>
  </si>
  <si>
    <t>The four people holds a big fish with both hands while the yacht continues to sail.</t>
  </si>
  <si>
    <t>v_XbN3TvLEm2A</t>
  </si>
  <si>
    <t>A woman dressed very comfortably is doing an exercise down on one knee.</t>
  </si>
  <si>
    <t>She puts her arm in the air and stares off into the distance holding it into place.</t>
  </si>
  <si>
    <t>After holding that on place for a few minutes she puts her arm down and then faces forward.</t>
  </si>
  <si>
    <t>She continues to just stay in that position.</t>
  </si>
  <si>
    <t>v_VOGF4tBFEuw</t>
  </si>
  <si>
    <t>A first person view is seen of a man riding a riding lawn mower.</t>
  </si>
  <si>
    <t>He takes turns quickly, mowing the lawn.</t>
  </si>
  <si>
    <t>He continues until the entire yard is mown.</t>
  </si>
  <si>
    <t>v_ooadlJjyibo</t>
  </si>
  <si>
    <t>A girl performs on a balance beam.</t>
  </si>
  <si>
    <t>The girl stands and performs two flips.</t>
  </si>
  <si>
    <t>The girl jumps in the air two times.</t>
  </si>
  <si>
    <t>The girl sits down then gets back on her feet.</t>
  </si>
  <si>
    <t>The girl flips across the beam two times and dismounts the beam.</t>
  </si>
  <si>
    <t>The girl raises her arms and turns to high five and hug a lady standing nearby.</t>
  </si>
  <si>
    <t>v_vP-wI1egoHA</t>
  </si>
  <si>
    <t>A small group of children are seen riding around in bumper cars crashing into one another.</t>
  </si>
  <si>
    <t>The kids move all around the game hitting into one another.</t>
  </si>
  <si>
    <t>The game continues on with the kids playing and crashing into each other.</t>
  </si>
  <si>
    <t>v_yKdvz5dgro4</t>
  </si>
  <si>
    <t>A young man dry a pot lid while dancing.</t>
  </si>
  <si>
    <t>Also, a teen wash a cup of steel and dancing.</t>
  </si>
  <si>
    <t>A woman enters and then leave the kitchen.</t>
  </si>
  <si>
    <t>v_R3CGHNqunGA</t>
  </si>
  <si>
    <t>A young man sits on a a planter in front of a brick building.</t>
  </si>
  <si>
    <t>A graphic is seen with cartoons.</t>
  </si>
  <si>
    <t>The young man sits on a planter with a skateboard on his lap the young man spins his board and does skateboard tricks riding on asphalt.</t>
  </si>
  <si>
    <t>The young man does tricks over an orange safety cone.</t>
  </si>
  <si>
    <t>The skateboarder stands up from the ledge and stands on his skateboard.</t>
  </si>
  <si>
    <t>v_qpVPY6w9Fp0</t>
  </si>
  <si>
    <t>A man is seen speaking to the camera while standing on a beach next to a shovel.</t>
  </si>
  <si>
    <t>The man then begins shoveling a pile of dirt and walking to the water to fill up buckets.</t>
  </si>
  <si>
    <t>The man stacks the buckets and begins putting sand around it and sculpting it into a castle.</t>
  </si>
  <si>
    <t>He walks away in the end and shows off the castle he's made.</t>
  </si>
  <si>
    <t>v_9g-5J05BIiQ</t>
  </si>
  <si>
    <t>An intro leads into several shots of people riding a skateboard around various areas and ending in a corn field.</t>
  </si>
  <si>
    <t>They end up at a house and swim into the pool doing tricks on their boards underwater.</t>
  </si>
  <si>
    <t>They are then seen riding down a road again in the end and one boarder scuffs dirt into the camera.</t>
  </si>
  <si>
    <t>v_GhwvPy4_2KE</t>
  </si>
  <si>
    <t>A young child is pushed on a swing set of an outdoor playground at a park.</t>
  </si>
  <si>
    <t>The child reaches out her hand.</t>
  </si>
  <si>
    <t>v_BLLeQHgNmYc</t>
  </si>
  <si>
    <t>Three people are seen standing on a lawn beginning to perform martial arts moves.</t>
  </si>
  <si>
    <t>The group moves around at the same time while looking away from the camera.</t>
  </si>
  <si>
    <t>They continue to move their arms and legs around together and end by holding s pose.</t>
  </si>
  <si>
    <t>v_suwVnxHZtI8</t>
  </si>
  <si>
    <t>People are sledding down a snowy hill on an inner tube.</t>
  </si>
  <si>
    <t>They stop at the bottom of the hill.</t>
  </si>
  <si>
    <t>Several tubes are on a rope going up a hill.</t>
  </si>
  <si>
    <t>People are sledding down a hill on an inner tube again.</t>
  </si>
  <si>
    <t>v_51XRujaBAbE</t>
  </si>
  <si>
    <t>Children sit on motorcycles and parents are next to them.</t>
  </si>
  <si>
    <t>A man carry a child, a woman applaud and a man takes pictures.</t>
  </si>
  <si>
    <t>A toddler stands on the hay and grabs the leg of a woman.</t>
  </si>
  <si>
    <t>Then, men push the motorcycles with the children while a man takes notes.</t>
  </si>
  <si>
    <t>Then, the children line on the start line and then run.</t>
  </si>
  <si>
    <t>v_2Ot4ZPYpNwI</t>
  </si>
  <si>
    <t>A man is seated on a couch, playing a harmonica.</t>
  </si>
  <si>
    <t>He lowers it from his mouth when he is done.</t>
  </si>
  <si>
    <t>v_8cH0mAgsuAc</t>
  </si>
  <si>
    <t>Several people are kneeling down on a red mat doing stretches.</t>
  </si>
  <si>
    <t>v_enx7eEDrYcc</t>
  </si>
  <si>
    <t>A girl is kneeling on a pad, arms in the air.</t>
  </si>
  <si>
    <t>She leans back, letting her arms touch the wall.</t>
  </si>
  <si>
    <t>She repeats the action one more time.</t>
  </si>
  <si>
    <t>v_2zFmooC8gUg</t>
  </si>
  <si>
    <t>A person is seen kneeling down on top of a roof and holding objects in place to hammer down.</t>
  </si>
  <si>
    <t>The man then lays down more tile while hammering the sides and presenting the tiles to the camera.</t>
  </si>
  <si>
    <t>v_mPtCJg-j4SM</t>
  </si>
  <si>
    <t>A woman dressed in workout clothes and a jacket is walking down a hall and stops to talk about whats behind the door.</t>
  </si>
  <si>
    <t>Once she opens the door,the camera pans many workout machines and the woman begins talking to the program director.</t>
  </si>
  <si>
    <t>After they are done talking,the young woman begins working out with the rest of the class as the trainer walks by making sure they are working out properly.</t>
  </si>
  <si>
    <t>Finally,the workout is finished and everyone begins high-fiving one another and the woman begins to talk again.</t>
  </si>
  <si>
    <t>v_FCzT4Knfhqs</t>
  </si>
  <si>
    <t>A camera pans around a group of people standing around each other with one spinning in circles.</t>
  </si>
  <si>
    <t>A man pushing the spinning girl around and around and zooms in on a pinata.</t>
  </si>
  <si>
    <t>The girl swings at the pinata blindfolded and a man jumps down to grab a piece of fallen candy.</t>
  </si>
  <si>
    <t>The girl breaks open the pinata and several people run down to grab the candy.</t>
  </si>
  <si>
    <t>v_fRUoSevi63M</t>
  </si>
  <si>
    <t>A woman is painting a picture on a canvas.</t>
  </si>
  <si>
    <t>She has orange and yellow paint on a board in front of her.</t>
  </si>
  <si>
    <t>She paints two flowers onto the canvas.</t>
  </si>
  <si>
    <t>v_Ci9WKE6wkOQ</t>
  </si>
  <si>
    <t>A man and woman are talking to a camera on exercises.</t>
  </si>
  <si>
    <t>The girl talks about equipment and how to use it.</t>
  </si>
  <si>
    <t>She prepares the equipment and helps the man perform the exercise.</t>
  </si>
  <si>
    <t>v_KrLVIvCoW90</t>
  </si>
  <si>
    <t>people standing on side of the road on skateboards and with parked cars in a side.</t>
  </si>
  <si>
    <t>boys are doing tricks riding skateboards in the wet asphalt going down a hill.</t>
  </si>
  <si>
    <t>boys are gathered under a tent in the sidewalk and doing tricks in skateboard showing the wey asphalt and the wet grass.</t>
  </si>
  <si>
    <t>v_bjYah4IvnII</t>
  </si>
  <si>
    <t>A camera with a caption is shown and leads into several people jumping off a bridge.</t>
  </si>
  <si>
    <t>Another shot of people riding down a river on tubes is shown followed by large groups of people on the sandbars.</t>
  </si>
  <si>
    <t>The cameraman grabs another tube an jumps in the water while still floating down and catching a popped balloon.</t>
  </si>
  <si>
    <t>v_82s4QeuHioo</t>
  </si>
  <si>
    <t>man is sitting on akayak holding a row and showing the corect way of rowing.</t>
  </si>
  <si>
    <t>people are in a kayak on lakeside.</t>
  </si>
  <si>
    <t>people are on rapids kayaking.</t>
  </si>
  <si>
    <t>men are swimming on the lake by the kayak and walking in the lakeside holding kayaks.</t>
  </si>
  <si>
    <t>v_3cmHM1Yu92s</t>
  </si>
  <si>
    <t>A woman is shown working out on an elliptical and smiling off into the distance.</t>
  </si>
  <si>
    <t>The video shows several different perks the machine can do while the woman continues to work.</t>
  </si>
  <si>
    <t>She eventually steps on the machine again and continues to work out on the machine.</t>
  </si>
  <si>
    <t>v_c2VcfB3YTBo</t>
  </si>
  <si>
    <t>We see a lady walking down stairs.</t>
  </si>
  <si>
    <t>She enters a room with kids in it, takes off her coat and starts dancing.</t>
  </si>
  <si>
    <t>A man enters and the lady and man perform a fancy dance as the kids watch.</t>
  </si>
  <si>
    <t>The man throws his coat across the room.</t>
  </si>
  <si>
    <t>The lady hugs the man from behind.</t>
  </si>
  <si>
    <t>The lady tries to leave and the man grabs her and pulls her back.</t>
  </si>
  <si>
    <t>They finish and the man shakes the hands of the kids.</t>
  </si>
  <si>
    <t>The lady puts on her coat as a girl talks to her and leaves the room.</t>
  </si>
  <si>
    <t>v_lBXRkMZfIXk</t>
  </si>
  <si>
    <t>A man is seen speaking to the camera and leads into him holding a piece of paper and two objects.</t>
  </si>
  <si>
    <t>He puts the objects on a board and sharpens a knife along the object.</t>
  </si>
  <si>
    <t>He continues speaking to the camera while sharpening the blade and pointing to the object.</t>
  </si>
  <si>
    <t>v_CG-7jcSB5_c</t>
  </si>
  <si>
    <t>A toddler holds a lacrosse stick, then he catches a ball with the lacrosse stick and throws to the floor.</t>
  </si>
  <si>
    <t>Then, the toddler try to catch another ball, but it rolls under a chair.</t>
  </si>
  <si>
    <t>Next, the toddler catch a ball and throw to the floor and the ball bounce.</t>
  </si>
  <si>
    <t>After, the toddler catch the bouncing ball and throw to the backyard, then the toddler steps down a step.</t>
  </si>
  <si>
    <t>v_Geh_BZchxFY</t>
  </si>
  <si>
    <t>We see a lady peeling small potatoes.</t>
  </si>
  <si>
    <t>The lady peels her second potato.</t>
  </si>
  <si>
    <t>The lady moves on to her third potatoes.</t>
  </si>
  <si>
    <t>We zoom out and see the ladies face.</t>
  </si>
  <si>
    <t>The lady peels her fourth and fifth potato.</t>
  </si>
  <si>
    <t>v_DozJpP2cClI</t>
  </si>
  <si>
    <t>Two people are playing badminton as someone records them with a video camera.</t>
  </si>
  <si>
    <t>A guy hurts himself as the other people watching him laugh at him.</t>
  </si>
  <si>
    <t>The people that were playing badminton go over and talk to other people that are sitting in lawn chairs.</t>
  </si>
  <si>
    <t>The boy goes into the house as the people continue to laugh.</t>
  </si>
  <si>
    <t>v_tl3wQEusmj8</t>
  </si>
  <si>
    <t>We see an opening scene with an image.</t>
  </si>
  <si>
    <t>We then see a lake with ducks and rocks.</t>
  </si>
  <si>
    <t>People are paddling in the lake in a canoe.</t>
  </si>
  <si>
    <t>We see a bridge and the people pass under the bridge.</t>
  </si>
  <si>
    <t>We see tall grass blowing in the breeze as the boaters ride past.</t>
  </si>
  <si>
    <t>The boaters arrives at the shore.</t>
  </si>
  <si>
    <t>v_XXIDYn4H_1A</t>
  </si>
  <si>
    <t>A scoreboard and large video screen are shown.</t>
  </si>
  <si>
    <t>Bikers launch down a very tall ramp onto a dirt bike track.</t>
  </si>
  <si>
    <t>The bikers race around the bumpy track.</t>
  </si>
  <si>
    <t>v_EiPofuIoUic</t>
  </si>
  <si>
    <t>A close up of a person's feet are seen riding along the river in a tube.</t>
  </si>
  <si>
    <t>Several more people are seen riding in tubes down the river while others watch on the side.</t>
  </si>
  <si>
    <t>The person continues riding down the river past others.</t>
  </si>
  <si>
    <t>v_ZqkJAD0CGBU</t>
  </si>
  <si>
    <t>A man is seen standing behind a small child who is blindfolded.</t>
  </si>
  <si>
    <t>Several clips are then shown of people swinging around at pinatas and failing miserably.</t>
  </si>
  <si>
    <t>More clips are shown of people swinging around at pinatas and ends with them hitting other people.</t>
  </si>
  <si>
    <t>v_v5peBgLKWL8</t>
  </si>
  <si>
    <t>bright sun is in the sky and shows a snowy mountain and a lot of pine trees covered in snow.</t>
  </si>
  <si>
    <t>an snowboarder is walking in the snow holding two poles.</t>
  </si>
  <si>
    <t>cubicles is hanging on wires and a snowboarder is going down the snowy slope with other snowboarders standing behind.</t>
  </si>
  <si>
    <t>men are walking in a snowy slope holding the poles and other snowboarders are sliding behind.</t>
  </si>
  <si>
    <t>women are in a hanging chair and under the kids are going down slope riding snowboards and playing in a snow castle.</t>
  </si>
  <si>
    <t>people is walking in snowy mountain and snowboarding.</t>
  </si>
  <si>
    <t>wmoan enters in a cave with a man and are serving wine and a elderly couple are toasting.</t>
  </si>
  <si>
    <t>a lot of people is waiting and sitting on their bags with the snowboards on a side, people is going down the mountain while the days goes by.</t>
  </si>
  <si>
    <t>v_17zMW3rzlR4</t>
  </si>
  <si>
    <t>Several professional men are placing wax on all types of skis.</t>
  </si>
  <si>
    <t>As they continue to place wax,they use tools to grind and smooth the skis.</t>
  </si>
  <si>
    <t>Finally, the use of cloths by the workers smooths and shines the skis.</t>
  </si>
  <si>
    <t>v_e-Z9xiEQqPQ</t>
  </si>
  <si>
    <t>A military procession carries a coffin and goes through a funeral ceremony.</t>
  </si>
  <si>
    <t>A news anchor talks in a newsroom.</t>
  </si>
  <si>
    <t>A coffin and is carried by a wagon along with military personell.</t>
  </si>
  <si>
    <t>A military man presents a flag to a guest.</t>
  </si>
  <si>
    <t>A man with a prosthetic leg and a woman ride horses with trainers with a trainer alongside.</t>
  </si>
  <si>
    <t>A journalist rides with a man in football jersey along a sidewalk.</t>
  </si>
  <si>
    <t>A horse trainer talks near a forested area.</t>
  </si>
  <si>
    <t>The man in a jersey stops on the horse as he approaches the funeral procession.</t>
  </si>
  <si>
    <t>v_6l0tenUYS-w</t>
  </si>
  <si>
    <t>There is man speaking on the microphone to announce who's coming up.</t>
  </si>
  <si>
    <t>Next many different people go up on stage to dance.</t>
  </si>
  <si>
    <t>v_LtdO87DWEHM</t>
  </si>
  <si>
    <t>Several clips of shown of a person riding down city streets on roller blades.</t>
  </si>
  <si>
    <t>The person continues riding along the streets and then text appears across the screen.</t>
  </si>
  <si>
    <t>v_GjHanmMGvuw</t>
  </si>
  <si>
    <t>A young girl is shown on a large gym floor doing flips and tricks with a baton and several judges watching her.</t>
  </si>
  <si>
    <t>She continues moving along the floor while along girl practices behind her.</t>
  </si>
  <si>
    <t>She finishes her routine and stands in front of the judges and hears her results.</t>
  </si>
  <si>
    <t>v_97McCuWAynA</t>
  </si>
  <si>
    <t>A surfer wearing a wet suit takes off and rides a wave in the ocean.</t>
  </si>
  <si>
    <t>Two surfers is greeted by a seal in the ocean that jumps on his board and plays with them.</t>
  </si>
  <si>
    <t>The surfer wearing a wet suit takes off on a wave leaving the seal behind.</t>
  </si>
  <si>
    <t>v_-x1twrM_ABM</t>
  </si>
  <si>
    <t>A man is in a room, pointing and talking about tiles.</t>
  </si>
  <si>
    <t>He is placing the tiles into the wall one at a time.</t>
  </si>
  <si>
    <t>The man completes the construction, then turns off the camera.</t>
  </si>
  <si>
    <t>v_Y-UOZRZ01hI</t>
  </si>
  <si>
    <t>A page with a video structured to look similar to Youtube is shown.</t>
  </si>
  <si>
    <t>A seated woman talks to the camera, interspersed by scenes of individuals shown welding.</t>
  </si>
  <si>
    <t>The Youtube lookalike page with a video is shown again.</t>
  </si>
  <si>
    <t>v_EcQ7DcVefdw</t>
  </si>
  <si>
    <t>A middle eastern news caster is talking about a recent event in another language.</t>
  </si>
  <si>
    <t>The scene switches to show group of people at an event of some kind.</t>
  </si>
  <si>
    <t>The people at the event are shown polishing shoes.</t>
  </si>
  <si>
    <t>A man in a red shirt is being interviewed while it shows others at the event on the split screen.</t>
  </si>
  <si>
    <t>The scene switches back to just the event with the newscaster talking over the footage.</t>
  </si>
  <si>
    <t>v_moMisK3nGuY</t>
  </si>
  <si>
    <t>woman is standing next to a horse holding a brush combing the horse's hair.</t>
  </si>
  <si>
    <t>litle kid is caressing the horse.</t>
  </si>
  <si>
    <t>woman walks to the track.</t>
  </si>
  <si>
    <t>v_ksPQdczmNKs</t>
  </si>
  <si>
    <t>A girl is seen crossing her arms and hula hooping over and over again.</t>
  </si>
  <si>
    <t>She continuously hula hoops while moving her legs all around and doing various jumps and tricks.</t>
  </si>
  <si>
    <t>v_n1dboqahvZU</t>
  </si>
  <si>
    <t>A man named Andrei approaches the stage.</t>
  </si>
  <si>
    <t>He powders his hands in preperation.</t>
  </si>
  <si>
    <t>He puts his hands on the weight.</t>
  </si>
  <si>
    <t>He prepares his body for lifting the heavy weight.</t>
  </si>
  <si>
    <t>He pulls up but drops the weight and falls down.</t>
  </si>
  <si>
    <t>The other competitor rejoices at their win.</t>
  </si>
  <si>
    <t>v_phDLuo6dYrk</t>
  </si>
  <si>
    <t>The clear sky is shown before a group of girls appear playing a game of field hockey.</t>
  </si>
  <si>
    <t>The two teams compete against each other in the building as still images are shown in between the plays.</t>
  </si>
  <si>
    <t>As one team gets close to making a goal,a male photographer is shown on the corner of the goal and then a girl appears at the end of the video making a funny face.</t>
  </si>
  <si>
    <t>v_yHtapvYRcMw</t>
  </si>
  <si>
    <t>Two men are performaing capoeria in the middle of a circle of people.</t>
  </si>
  <si>
    <t>They are performing while everyone claps.</t>
  </si>
  <si>
    <t>They take a short break and walk around a bit before starting their performance again.</t>
  </si>
  <si>
    <t>People are clapping to a set rhythm.</t>
  </si>
  <si>
    <t>This lasts for a long while.</t>
  </si>
  <si>
    <t>v_1xQTlp0hscs</t>
  </si>
  <si>
    <t>Bright text appears on the screen.</t>
  </si>
  <si>
    <t>An art piece is displayed on the wall, and we are shown several close ups of the paint.</t>
  </si>
  <si>
    <t>Perusers of art walk through the gallery, looking at the painting.</t>
  </si>
  <si>
    <t>We then conclude with someone taking a photo and walking away.</t>
  </si>
  <si>
    <t>v_ZMopjyYvcqw</t>
  </si>
  <si>
    <t>A man is showing a crossbow and a knife and other hunting gear.</t>
  </si>
  <si>
    <t>The man is talking to the camera showing a hunting bow.</t>
  </si>
  <si>
    <t>The bow is shown in detail.</t>
  </si>
  <si>
    <t>Another man is shown outdoors using the hunting bow to shoot a target.</t>
  </si>
  <si>
    <t>The man is talking to the camera again indoors showing the hunting bow.</t>
  </si>
  <si>
    <t>v_0ERgbWePjWk</t>
  </si>
  <si>
    <t>A man is on a diving board and begins to jump on the board once.</t>
  </si>
  <si>
    <t>The man goes into the air and does a forward roll in the air.</t>
  </si>
  <si>
    <t>The man then starts descending into the water from the top of his jump.</t>
  </si>
  <si>
    <t>The man lands into the water as it splashes and makes the move to come back to the surface.</t>
  </si>
  <si>
    <t>v_ZQs-OWTZA6o</t>
  </si>
  <si>
    <t>The woman with sunglasses, blue jacket pushed the round lifebuoy on the snow and jumped on it.</t>
  </si>
  <si>
    <t>The lifebuoy continue to slide on the snow, the woman is looking a the camera, she passed the orange flags, and several people that are standing on the side of the trail.</t>
  </si>
  <si>
    <t>v_NSavdMErlYA</t>
  </si>
  <si>
    <t>A guy talks while gesturing.</t>
  </si>
  <si>
    <t>The ingredients to make a dish is shown.</t>
  </si>
  <si>
    <t>The guy puts butter, oil and dry ingredients into a pan.</t>
  </si>
  <si>
    <t>The guy adds pasta to the pan.</t>
  </si>
  <si>
    <t>v_fgkiHZ0nENg</t>
  </si>
  <si>
    <t>A group of people are seen standing around a yard when one hits a ball and another watches closely.</t>
  </si>
  <si>
    <t>Another man walks into frame hitting the ball and the other people behind him continue playing.</t>
  </si>
  <si>
    <t>v_NDWJOqVUGeA</t>
  </si>
  <si>
    <t>A camera pans over a roof and shows several people working and a man being interviewed.</t>
  </si>
  <si>
    <t>A man sprays down a roof and shows the product used several times and the top of the roof.</t>
  </si>
  <si>
    <t>Another man is interviewed and shows more men working on the roof.</t>
  </si>
  <si>
    <t>v_dAP7xalPRHo</t>
  </si>
  <si>
    <t>A person puts a garment in a pail, then he adds detergent and water.</t>
  </si>
  <si>
    <t>Then, the man washes the cloth with his hand, and then pours water and rinse several times.</t>
  </si>
  <si>
    <t>Next, the person carry the the garment to hang on a rope and dry.</t>
  </si>
  <si>
    <t>v_fKFcbNM89MA</t>
  </si>
  <si>
    <t>A large river is seen followed by a person riding down in a tube.</t>
  </si>
  <si>
    <t>Another person is also seen riding in a tube.</t>
  </si>
  <si>
    <t>The two ride down the river together and pass other people sitting alongside the river.</t>
  </si>
  <si>
    <t>v_-nskwoky7vk</t>
  </si>
  <si>
    <t>A man is seen speaking to the camera while holding a large accordion in his hands.</t>
  </si>
  <si>
    <t>The man then demonstrates how to properly play the instrument while moving his hands up and down.</t>
  </si>
  <si>
    <t>v_RiQdIJNDTo4</t>
  </si>
  <si>
    <t>A white haired man sits at an upright piano and begins to play in a lobby while people walk by.</t>
  </si>
  <si>
    <t>The cameraman zooms in on the mans hands as he's playing and zooms back out.</t>
  </si>
  <si>
    <t>v_HPJuOvOmEW8</t>
  </si>
  <si>
    <t>An intro leads into a tall man wearing a santa costume and skating down a long street in between people.</t>
  </si>
  <si>
    <t>The camera follows him riding around the city and performing various tricks and maneuvers around cars and people.</t>
  </si>
  <si>
    <t>v_3baH1vI0Cxk</t>
  </si>
  <si>
    <t>Two men walked over the football table, one man counted the dice on the side.</t>
  </si>
  <si>
    <t>The players twist and push and pull the poles as they play on the table.</t>
  </si>
  <si>
    <t>The camera men are taking pictures behind them.</t>
  </si>
  <si>
    <t>v_Dys_KC7uIzs</t>
  </si>
  <si>
    <t>Several men are shown bowling while an audience watches on.</t>
  </si>
  <si>
    <t>The bowlers bowl in turn, one at a time.</t>
  </si>
  <si>
    <t>The players and audience cheer one of the players.</t>
  </si>
  <si>
    <t>v_i-8vfNV-klk</t>
  </si>
  <si>
    <t>A man is using a pair of hedge trimmers on trees.</t>
  </si>
  <si>
    <t>He is talking to the camera as he goes.</t>
  </si>
  <si>
    <t>He trims the trees with the shears.</t>
  </si>
  <si>
    <t>v_Z-2Gwqt_GCQ</t>
  </si>
  <si>
    <t>A person gather mops and cleaning materials on a hard floor.</t>
  </si>
  <si>
    <t>The person cleans the hard floor using a dust mop.</t>
  </si>
  <si>
    <t>Then, the person puts a cup of detergent in a litter of water, then wet a cloth and attaches to a handle to mop the floor.</t>
  </si>
  <si>
    <t>The person removes stains on the floor using a cloth with a special solution.</t>
  </si>
  <si>
    <t>v_qlvW6jW2mfQ</t>
  </si>
  <si>
    <t>A person take two sticks on the drums, one stick holds with a hand and the other with his foot, then the person plays with one hand and the drums falls.</t>
  </si>
  <si>
    <t>The person plays with a hand and feet, and the face of, a gorilla appears.</t>
  </si>
  <si>
    <t>Then, the person puts mustard in one drum and one egg on other drum, and drums.</t>
  </si>
  <si>
    <t>After, the person puts a tortilla and drums over, then fried and egg.</t>
  </si>
  <si>
    <t>Next , the person destroys the drums.</t>
  </si>
  <si>
    <t>v_rcMv32d1QkI</t>
  </si>
  <si>
    <t>The video begins with several shots of a person doing tricks on a skateboard while many people watch him on the sides.</t>
  </si>
  <si>
    <t>He attempts many more tricks that fail to have him land on the board and he walks around the bowl each time afterwards.</t>
  </si>
  <si>
    <t>v_Az7bzVcLMSM</t>
  </si>
  <si>
    <t>A woman is seen standing on a stage stage with a single light shown and begins performing a dance routine.</t>
  </si>
  <si>
    <t>The light is seen on the woman is leads into her on a lit stage performing a belly dancing routine.</t>
  </si>
  <si>
    <t>The stage becomes dark again and the woman continues dancing all on the stage and holding a pose.</t>
  </si>
  <si>
    <t>v_doNSg6PuKDM</t>
  </si>
  <si>
    <t>A child shovels the snow in a yard and throws it into the driveway.</t>
  </si>
  <si>
    <t>The girl drops her shovel and shovel in the snow.</t>
  </si>
  <si>
    <t>The child walks over to her family in the yard.</t>
  </si>
  <si>
    <t>v_G98dfNXqu4Q</t>
  </si>
  <si>
    <t>Several people are on horses at a rodeo.</t>
  </si>
  <si>
    <t>One man comes out of the gate and ropes a calf.</t>
  </si>
  <si>
    <t>The calf falls to the ground as he is roped into place.</t>
  </si>
  <si>
    <t>He tries to stand, but another man grabs him.</t>
  </si>
  <si>
    <t>v_5FSdOfvJnek</t>
  </si>
  <si>
    <t>a lot of people wearing red life jackets and are in a bus and holding rafts.</t>
  </si>
  <si>
    <t>people are in water paddling in the river.</t>
  </si>
  <si>
    <t>v_fxxeCpqgRfk</t>
  </si>
  <si>
    <t>The male athlete bow then raised his arms then walked to the poles.</t>
  </si>
  <si>
    <t>The athlete jumped onto the poles and balanced on the two poles, standing on his arms then falling and rotating.</t>
  </si>
  <si>
    <t>When the athlete is done with his number he jumped from the pole and landed on his feet on the mat.</t>
  </si>
  <si>
    <t>v_xpxxH2V7Fe8</t>
  </si>
  <si>
    <t>A row of drummers are standing in front of an orchestra.</t>
  </si>
  <si>
    <t>The drummers hold their drumsticks in front of their face.</t>
  </si>
  <si>
    <t>They each beat their drums.</t>
  </si>
  <si>
    <t>After each note the drummers raise their drumsticks back in front of their faces.</t>
  </si>
  <si>
    <t>v_pA5W1NYnmyY</t>
  </si>
  <si>
    <t>A man is seen standing on a ladder and speaking to the camera.</t>
  </si>
  <si>
    <t>He holds up various tools and begins piecing them together.</t>
  </si>
  <si>
    <t>He then cleans off a window using the tools and tightening up the ladder.</t>
  </si>
  <si>
    <t>v_4rKTw99bM8g</t>
  </si>
  <si>
    <t>A person wearing a blue jacket and orange helmet is on an overturned raft in the water.</t>
  </si>
  <si>
    <t>The raft completely overturns as he tries to make his way up.</t>
  </si>
  <si>
    <t>Then the man straightens the raft and sits up straight in the raft.</t>
  </si>
  <si>
    <t>v__hdjRMpleWs</t>
  </si>
  <si>
    <t>A man is seen riding in on a horse while swinging a rope and grabbing a calf.</t>
  </si>
  <si>
    <t>The person ties up the calf while others ride in on horses and the men untie the animal.</t>
  </si>
  <si>
    <t>v_R-lGXNY19wE</t>
  </si>
  <si>
    <t>A woman is holding a baby on the beach.</t>
  </si>
  <si>
    <t>She sets the baby on a towel and starts rubbing sunscreen on the baby.</t>
  </si>
  <si>
    <t>She picks the baby up and gives it a kiss.</t>
  </si>
  <si>
    <t>v_yfPa5IKWTvU</t>
  </si>
  <si>
    <t>A billboard is shown on a wall.</t>
  </si>
  <si>
    <t>Kids run out onto the stage and get in formation.</t>
  </si>
  <si>
    <t>A banner is placed at the front of the stage.</t>
  </si>
  <si>
    <t>The kids start cheerleading on the stage.</t>
  </si>
  <si>
    <t>The kids in the front hold up the banner.</t>
  </si>
  <si>
    <t>They run off of the stage.</t>
  </si>
  <si>
    <t>v_1PpVSeE2BJ8</t>
  </si>
  <si>
    <t>A baby boy is seated at a restaurant table.</t>
  </si>
  <si>
    <t>He is eating a vanilla ice cream cone.</t>
  </si>
  <si>
    <t>He takes a napkin and wipes his mouth before handing the napkin back and continuing to eat.</t>
  </si>
  <si>
    <t>v_SHfFrzy_fKM</t>
  </si>
  <si>
    <t>A little girl is guided as she mounts a camel at a station.</t>
  </si>
  <si>
    <t>A man helps her as he leads the camel around.</t>
  </si>
  <si>
    <t>The girl smiles as she rides the camel around the pen.</t>
  </si>
  <si>
    <t>v_Q2OOxx3RWhY</t>
  </si>
  <si>
    <t>The young girl is speaking to the camera.</t>
  </si>
  <si>
    <t>The girl is holding a hair curler.</t>
  </si>
  <si>
    <t>The young woman is providing tips to other girls on how to curl their hair.</t>
  </si>
  <si>
    <t>At the end of the video, the girl asks to like the video.</t>
  </si>
  <si>
    <t>v_RNxHKDlWAGQ</t>
  </si>
  <si>
    <t>A camera shows a person riding around a dirt track on a bike moving at a quick speed.</t>
  </si>
  <si>
    <t>Several more shots are shown of people riding the dirt track on bikes while the camera captures them from several angles.</t>
  </si>
  <si>
    <t>v_5P-4_nS8euM</t>
  </si>
  <si>
    <t>A young man is seen talking to the camera from various angles and then using a razor to cut his hair.</t>
  </si>
  <si>
    <t>He continues cutting his hair while speaking to the camera and laughing.</t>
  </si>
  <si>
    <t>He finishes his hair while looking into the camera then has his reflection shown behind a shower curtain.</t>
  </si>
  <si>
    <t>v_gF14lRI0HUM</t>
  </si>
  <si>
    <t>Two people are boxing in a ring.</t>
  </si>
  <si>
    <t>A man in a black shirt is refereeing the fight.</t>
  </si>
  <si>
    <t>A woman is holding a camera taking pictures of them fighting.</t>
  </si>
  <si>
    <t>v_HDhG0WkwGaU</t>
  </si>
  <si>
    <t>The videos transitions into a countdown of various people getting hurt on the streets from bull attacks.</t>
  </si>
  <si>
    <t>many different people are seen running down streets while a bull flips them over and hurt them.</t>
  </si>
  <si>
    <t>v_fOGXvBAmTsY</t>
  </si>
  <si>
    <t>There's a woman talking about being the first woman to participate in a marathon in 1967.</t>
  </si>
  <si>
    <t>A picture of the participant when she was young is shown.</t>
  </si>
  <si>
    <t>She talks about how different the marathons used to be back in the day where she shows clips of participants from a marathon at least 50 years ago.</t>
  </si>
  <si>
    <t>There are pictures of male participants shown dominating the scene where she was the only female participant.</t>
  </si>
  <si>
    <t>She talks about her experience as she shows more pictures of her participation against all odds.</t>
  </si>
  <si>
    <t>She also shares information on how things changed later when she was finally allowed to participate freely.</t>
  </si>
  <si>
    <t>v_DLFerdBxdxQ</t>
  </si>
  <si>
    <t>A woman is standing at a table, putting food into a large pita on a plate.</t>
  </si>
  <si>
    <t>An older woman demonstrates how to cut onions, peppers, lettuce, carrots, tomatoes, etc into chunks.</t>
  </si>
  <si>
    <t>The vegetables are places in a processor and pureed into a bowl.</t>
  </si>
  <si>
    <t>The mix is blended and put on the table to be served on the tortillas.</t>
  </si>
  <si>
    <t>The women sit at the table and talk as they eat.</t>
  </si>
  <si>
    <t>v_qVgsPJeQYMY</t>
  </si>
  <si>
    <t>A group of students stretch out in gym class.</t>
  </si>
  <si>
    <t>A group of band students practice inside a classroom and gym.</t>
  </si>
  <si>
    <t>The school band plays during outdoor events and sporting games.</t>
  </si>
  <si>
    <t>v_F-WmsfI8HG0</t>
  </si>
  <si>
    <t>We see a newscaster in a studio.</t>
  </si>
  <si>
    <t>We see a man operating 2 manual vacuum cleaners.</t>
  </si>
  <si>
    <t>We see some old style vacuums.</t>
  </si>
  <si>
    <t>We see a black and white TV clip.</t>
  </si>
  <si>
    <t>We see the man vacuum and still from the museum.</t>
  </si>
  <si>
    <t>We see a lady in black and white and in color.</t>
  </si>
  <si>
    <t>We then see a factory and a man talking.</t>
  </si>
  <si>
    <t>We see the man talking and see him near a vacuum.</t>
  </si>
  <si>
    <t>We see an old print ad.</t>
  </si>
  <si>
    <t>We return to the newscaster in the studio.</t>
  </si>
  <si>
    <t>v_9wH6BIpe9X4</t>
  </si>
  <si>
    <t>A woman is seen speaking to the camera and leads into clips of her and another riding horses in a forest and beach.</t>
  </si>
  <si>
    <t>The women then run the horses along the beach while the camera captures them from several angles.</t>
  </si>
  <si>
    <t>v_aDhbXceBwHw</t>
  </si>
  <si>
    <t>Two men are seen doing a sumo move in a large circle surrounded by others.</t>
  </si>
  <si>
    <t>One man pretends to fight a sumo wrestler and is pushed to the side very easily.</t>
  </si>
  <si>
    <t>The other man tries with his shot shown again in slow motion and stand all together with their arms up.</t>
  </si>
  <si>
    <t>v_MqQ9mgUb664</t>
  </si>
  <si>
    <t>A man and woman is standing on the counter while the man talks in the camera.</t>
  </si>
  <si>
    <t>A plate of cut pineapple is on a plate on the table, as the man get some grapes and put it on the chopping board and cut them into half, then placed them on top of the pineapple cuts, then he wiped his hands and showed the plate to the camera.</t>
  </si>
  <si>
    <t>v_bY0vSkxH0PE</t>
  </si>
  <si>
    <t>A child watches at a window while a man outdoors is shoveling snow.</t>
  </si>
  <si>
    <t>He moves back and forth, picking up snow and moving it away from the door.</t>
  </si>
  <si>
    <t>v_-tv6laq1ic0</t>
  </si>
  <si>
    <t>We see blinds down on a window.</t>
  </si>
  <si>
    <t>A person is laying in a tattoo parlor being tattooed.</t>
  </si>
  <si>
    <t>We back up and see the tattoo artist.</t>
  </si>
  <si>
    <t>The lady looks in her phone and smiles at the camera.</t>
  </si>
  <si>
    <t>We pan down and see the tattoo artist work.</t>
  </si>
  <si>
    <t>v_LgUCZHYBBEc</t>
  </si>
  <si>
    <t>A large group of people are seen riding on horses and begin moving around.</t>
  </si>
  <si>
    <t>The people play a game on the horses while chasing a ball.</t>
  </si>
  <si>
    <t>The men continue to play and end by one jumping off the horse.</t>
  </si>
  <si>
    <t>v_FkWlzk8CrxA</t>
  </si>
  <si>
    <t>A woman in a white shirt is talking to the camera.</t>
  </si>
  <si>
    <t>A man and the woman start to dance together.</t>
  </si>
  <si>
    <t>She raises her arm and he twists her around.</t>
  </si>
  <si>
    <t>v_dWUEAavKWmI</t>
  </si>
  <si>
    <t>Two men wearing blue are inside playing a game of ping ping.</t>
  </si>
  <si>
    <t>They are hitting the ball back and forth pretty quickly without stopping.</t>
  </si>
  <si>
    <t>One of them hits the ball up and stops their progress, they have to start again.</t>
  </si>
  <si>
    <t>they get back to playing and hitting it barely missing a beat.</t>
  </si>
  <si>
    <t>v_jLwUrFMRGzY</t>
  </si>
  <si>
    <t>An intro is shown followed by two people and a man talking to the camera.</t>
  </si>
  <si>
    <t>The camera pans out to more people and shows them performing an exercise that swings their legs back and fourth.</t>
  </si>
  <si>
    <t>The people continue following the instructor through various movements while he leads them in the exercise.</t>
  </si>
  <si>
    <t>v_cBMi-cIbI2c</t>
  </si>
  <si>
    <t>A man is dressed in a black uniform and approaches a small circle that is in the middle of the field surrounded by green nets.</t>
  </si>
  <si>
    <t>The crowd is panned and then the man is shown throwing his discus as multiple people run out to track his distance.</t>
  </si>
  <si>
    <t>An instant replay is played and the front of the man's face is visible.</t>
  </si>
  <si>
    <t>v_nDG3MsnLE20</t>
  </si>
  <si>
    <t>We see a curling stone and a graph.</t>
  </si>
  <si>
    <t>We see a person pushing the stone.</t>
  </si>
  <si>
    <t>We see the stone on another graph.</t>
  </si>
  <si>
    <t>We see a man push the stone and people sweep in front of it.</t>
  </si>
  <si>
    <t>v_vPh9o_BuJaU</t>
  </si>
  <si>
    <t>A close up of a person's feet are shown sitting in a chair.</t>
  </si>
  <si>
    <t>The person then bends forward and begins putting shoes on.</t>
  </si>
  <si>
    <t>He finishes putting shoes on and gets up to walk away.</t>
  </si>
  <si>
    <t>v_HnEvJUr8DEM</t>
  </si>
  <si>
    <t>A man is standing on a field.</t>
  </si>
  <si>
    <t>He kicks a ball into the air.</t>
  </si>
  <si>
    <t>He runs to first base.</t>
  </si>
  <si>
    <t>v_a7QrIgqkyao</t>
  </si>
  <si>
    <t>A woman is standing behind a table with several pumpkin carving kits.</t>
  </si>
  <si>
    <t>She shows the contents of the books.</t>
  </si>
  <si>
    <t>The woman chooses a design, carving it into the pumpkin.</t>
  </si>
  <si>
    <t>She then places batteries in tea light to go inside, and paints the pumpkin black.</t>
  </si>
  <si>
    <t>v_UVJ0mQndDhE</t>
  </si>
  <si>
    <t>We see a person sliding blue discs down a wooden table.</t>
  </si>
  <si>
    <t>The man moves to the other end of the table and the camera moves to see them from the end.</t>
  </si>
  <si>
    <t>We wee the person slide all their blue then the red discs down the table.</t>
  </si>
  <si>
    <t>We see a hand appear and point.</t>
  </si>
  <si>
    <t>The person grabs a blue disc and slides it two times.</t>
  </si>
  <si>
    <t>v_iOnlcEk50CM</t>
  </si>
  <si>
    <t>A male is standing on side on a road in front of a forest with his foot on a skateboard.</t>
  </si>
  <si>
    <t>The male then gets on the skateboard and start balancing himself on it.</t>
  </si>
  <si>
    <t>After,he picks up the skateboard and moves a few feet back and starts skateboarding.</t>
  </si>
  <si>
    <t>Once done,he picks up the skateboard and holds it back down to his side.</t>
  </si>
  <si>
    <t>v_CIAZbDkD0TE</t>
  </si>
  <si>
    <t>A woman walks out of a kitchen and over to a steamer with her daughter behind her.</t>
  </si>
  <si>
    <t>She picks up her iron and begins to iron a pair of pants as the girl plays with a dress, and the woman has left the iron resting on the clothing.</t>
  </si>
  <si>
    <t>She irons the dress for the girl as she watches.</t>
  </si>
  <si>
    <t>v__HIJu_hNweY</t>
  </si>
  <si>
    <t>Three girls are seen standing on a cliff hitting a birdie to one another.</t>
  </si>
  <si>
    <t>The camera pans around their movements as they hit the birdie around.</t>
  </si>
  <si>
    <t>The girls continue to hit the birdie around and showing off their butts in the end.</t>
  </si>
  <si>
    <t>v_H_xL4tssqEU</t>
  </si>
  <si>
    <t>A woman knits and shows her work.</t>
  </si>
  <si>
    <t>Women are knitting while sitting in a circle and talking each other.</t>
  </si>
  <si>
    <t>A reporter talks in the room where the women knits.</t>
  </si>
  <si>
    <t>v_P2H4fTMMHNE</t>
  </si>
  <si>
    <t>A woman is ironing a brown shirt on an ironing board.</t>
  </si>
  <si>
    <t>She looks at the tag on the shirt.</t>
  </si>
  <si>
    <t>She continues ironing the shirt on the ironing board.</t>
  </si>
  <si>
    <t>She lifts the shirt up and puts it over the ironing board.</t>
  </si>
  <si>
    <t>She turns the shirt inside out and holds it up.</t>
  </si>
  <si>
    <t>v_bJkemB0CcKo</t>
  </si>
  <si>
    <t>A man talks to the camera smiling and transitions to him holding a pan and spreading butter into it.</t>
  </si>
  <si>
    <t>He pours egg into the pan and pushes it around with several vegetables.</t>
  </si>
  <si>
    <t>He finishes by putting the omelet onto a plate and eating one big bite.</t>
  </si>
  <si>
    <t>v_EeUkryzfwYk</t>
  </si>
  <si>
    <t>An animated intro screen has a lot of little Christmas pictures moving on it and white words appear that say "Decorating The Christmas Tree".</t>
  </si>
  <si>
    <t>The same animation continues to play and the white words now appearing are "With Me, My Sis, Mom &amp; Chris".</t>
  </si>
  <si>
    <t>In fast motion, there are people in a residential home and they are winding strings of white Christmas tree lights around a very full and grown tree.</t>
  </si>
  <si>
    <t>When they are done with the lights, the begin to decorate the tree with ornaments until it's all filled with ornaments.</t>
  </si>
  <si>
    <t>The camera is picked up and the man is now attempting to put a white star on the top of the tree while children are hanging around and talking.</t>
  </si>
  <si>
    <t>The star is now on the tree, the camera is put back down, one of the girl hugs the tree.</t>
  </si>
  <si>
    <t>v_ceDvPX6hP_U</t>
  </si>
  <si>
    <t>A man is standing inside a gym as he speaks to the camera.</t>
  </si>
  <si>
    <t>He indicated a blue block on the ground before stepping over it and kneeling on top of it.</t>
  </si>
  <si>
    <t>He begins pulling the cord on the equipment, showing how it is used.</t>
  </si>
  <si>
    <t>v_lvlVfgZ53NQ</t>
  </si>
  <si>
    <t>A man is talking behind a bar, standing in front of numerous alcohol bottles.</t>
  </si>
  <si>
    <t>He pours liquids over a glass filled with ice.</t>
  </si>
  <si>
    <t>He then garnishes the final product for serving.</t>
  </si>
  <si>
    <t>v_z-1HUIQFGIg</t>
  </si>
  <si>
    <t>Karate students play standing and hand held drums in a studio.</t>
  </si>
  <si>
    <t>Karate students jump over the top of a rope held by other students on a mat.</t>
  </si>
  <si>
    <t>The group of karate students practices punches standing in a line.</t>
  </si>
  <si>
    <t>A group of younger student practice sparring against opponents.</t>
  </si>
  <si>
    <t>The groups spin each other in circles holding each others hands.</t>
  </si>
  <si>
    <t>The group stands in a circle and jump up and down together while watching the instructor.</t>
  </si>
  <si>
    <t>v_q2TF-3bWZuU</t>
  </si>
  <si>
    <t>A woman is talking as she stands outside horse stables.</t>
  </si>
  <si>
    <t>She talks as a client is riding one of her horses in a dirt field.</t>
  </si>
  <si>
    <t>She discusses the form and positioning of the rider.</t>
  </si>
  <si>
    <t>The rider takes the horse around for a trot while the woman watches.</t>
  </si>
  <si>
    <t>v_wdsZn1Yu_5M</t>
  </si>
  <si>
    <t>A blonde woman is speaking in a news room in front of a large screen.</t>
  </si>
  <si>
    <t>Boats are seen pulling people on water skis.</t>
  </si>
  <si>
    <t>A man is shown preparing and then skiing through the water.</t>
  </si>
  <si>
    <t>v_rBMQFpHspmo</t>
  </si>
  <si>
    <t>Several people are seen wandering around an indoor field with one pole volting over a bar.</t>
  </si>
  <si>
    <t>The same shot is shown again in slow motion as well as several other attempts the boy makes.</t>
  </si>
  <si>
    <t>He attempts the jump several more times while people watch him on the sides.</t>
  </si>
  <si>
    <t>v_V1AqyQ3qaQY</t>
  </si>
  <si>
    <t>A man is standing next to a pond.</t>
  </si>
  <si>
    <t>He loads an arrow in the bow.</t>
  </si>
  <si>
    <t>He shoots the arrow at a ceramic cat, knocking it into the water before moving on to other targets.</t>
  </si>
  <si>
    <t>v_4Dj7wOTfyH4</t>
  </si>
  <si>
    <t>A woman is seen walking into frame and speaking to the camera.</t>
  </si>
  <si>
    <t>She sits down on boxes while holding others up and begins laying tiles down on the floor.</t>
  </si>
  <si>
    <t>She picks others up while speaking to the camera followed by vacuuming the floor and a child playing along.</t>
  </si>
  <si>
    <t>v_1G5cu1NvDFw</t>
  </si>
  <si>
    <t>A young child is seen running around a back yard on a large set of stilts.</t>
  </si>
  <si>
    <t>The boy continues bouncing around as the camera captures him as well as running.</t>
  </si>
  <si>
    <t>v_LHjmL7Pg_80</t>
  </si>
  <si>
    <t>Boys are running on a field playing a game of soccer.</t>
  </si>
  <si>
    <t>Then they are are playing professional on an indoor court while an audience watches.</t>
  </si>
  <si>
    <t>They show many different clips from many different games, like a memoir of videos.</t>
  </si>
  <si>
    <t>Number 12 is the basis of them all, he seems to be a very great soccer player.</t>
  </si>
  <si>
    <t>v_eGl_I8h832w</t>
  </si>
  <si>
    <t>A young girl is seen speaking to the camera and looking off into the distance.</t>
  </si>
  <si>
    <t>She continues speaking and leads into a woman cutting her hair.</t>
  </si>
  <si>
    <t>She hands the girl her hair and shows off her cut in the end.</t>
  </si>
  <si>
    <t>v_dD3eR9Sb1x0</t>
  </si>
  <si>
    <t>Multiple colors and designs flash across the screen.</t>
  </si>
  <si>
    <t>Women gather onstage as they are about to perform.</t>
  </si>
  <si>
    <t>The women dance and jump, leading a zumba routine.</t>
  </si>
  <si>
    <t>v_fJEXzQ0L1uU</t>
  </si>
  <si>
    <t>Various shots of signs are shown as well as people walking around a field and getting ready for events.</t>
  </si>
  <si>
    <t>Many people are interviewed for the camera and show people waving and getting ready on the sides.</t>
  </si>
  <si>
    <t>People wave to the camera and stand around holding signs while more speak to the camera and show games of hopscotch.</t>
  </si>
  <si>
    <t>v__Hi9gQEaT-Q</t>
  </si>
  <si>
    <t>A dog pushes a stroller down the sidewalk.</t>
  </si>
  <si>
    <t>A person in white passes the tree.</t>
  </si>
  <si>
    <t>The dog passes a small tree.</t>
  </si>
  <si>
    <t>v_E_6XYa_WO8I</t>
  </si>
  <si>
    <t>A man starts chopping a piece of wood with an ax.</t>
  </si>
  <si>
    <t>He picks the wood back up and throws it into a pile.</t>
  </si>
  <si>
    <t>He picks up a new piece of wood and chops that one.</t>
  </si>
  <si>
    <t>v_WjEh7acrr5o</t>
  </si>
  <si>
    <t>A woman is seen sitting in a chair knitting thread while the camera watches her.</t>
  </si>
  <si>
    <t>The woman continues to knit while stopping to look at the camera and make faces.</t>
  </si>
  <si>
    <t>v_GhVERbQMZWQ</t>
  </si>
  <si>
    <t>A hummer backs a boat down a ramp.</t>
  </si>
  <si>
    <t>A person is wake boarding behind the boat.</t>
  </si>
  <si>
    <t>People are sitting on the boat.</t>
  </si>
  <si>
    <t>v_80pIiAmVa5Q</t>
  </si>
  <si>
    <t>A woman is seated at the bottom of a slide.</t>
  </si>
  <si>
    <t>She is adjusting her camera.</t>
  </si>
  <si>
    <t>A child slides down the slide, running into her from behind.</t>
  </si>
  <si>
    <t>v_GZjNt2TsChs</t>
  </si>
  <si>
    <t>A young child is seen climbing up a playground and then going down a slide.</t>
  </si>
  <si>
    <t>She goes back to the top again followed by another go down the slide and back to the stairs again.</t>
  </si>
  <si>
    <t>v_yRswMXWCcrI</t>
  </si>
  <si>
    <t>A person stands on a hill covered wit snow, then the person ski down the hill and fall.</t>
  </si>
  <si>
    <t>A skier comes down a hill makes a jump over stones and falls and rolls on the snow.</t>
  </si>
  <si>
    <t>Then, other man skies on the hill and flat areas covered with snow.</t>
  </si>
  <si>
    <t>Also, skiers makes a flip from in the air while other people watch.</t>
  </si>
  <si>
    <t>v_2EQMXueAmCA</t>
  </si>
  <si>
    <t>Two men play squash on an indoor court.</t>
  </si>
  <si>
    <t>The left man in the white shirt misses the ball and the start over.</t>
  </si>
  <si>
    <t>We see the man in the gray shirt miss the ball land stands up and pumps his fist while looking disappointed.</t>
  </si>
  <si>
    <t>v_5Owjrx-YjjM</t>
  </si>
  <si>
    <t>A little girl is sitting on the porch floor with her dad as he puts together a blue butterfly kite for her.</t>
  </si>
  <si>
    <t>After he's done completing the kite, they go out in the open to fly the kite.</t>
  </si>
  <si>
    <t>The father is holding the kite in his hand as the wind blows strongly.</t>
  </si>
  <si>
    <t>The girl holds the string of the kite and begins flying the kite high up in the air.</t>
  </si>
  <si>
    <t>v_JXvPFMjtbcw</t>
  </si>
  <si>
    <t>A chef explains how to cook an omelette with vegetables and spices, Then, the chef take a dish and serves the omelette with lettuce and lemon.</t>
  </si>
  <si>
    <t>A man and a woman pass behind the chef in the restaurant.</t>
  </si>
  <si>
    <t>Another man sit in a table, stand and walk away.</t>
  </si>
  <si>
    <t>Another person enters the restaurant and turns left.</t>
  </si>
  <si>
    <t>v_FhGOGbL-A84</t>
  </si>
  <si>
    <t>A little boy is in a yard, using a leaf blower.</t>
  </si>
  <si>
    <t>A little girl soon joins him, raking leaves.</t>
  </si>
  <si>
    <t>v_MIE0KbGIXjM</t>
  </si>
  <si>
    <t>A man is seen bent over washing his hands when another man walks out and speaks to him.</t>
  </si>
  <si>
    <t>The other man then begins washing his hands with soap under the faucet while the other man watches.</t>
  </si>
  <si>
    <t>He finishes washing while the other man leaves and cues to a third man walking out of the stall.</t>
  </si>
  <si>
    <t>v_5Qj8hHmZbiI</t>
  </si>
  <si>
    <t>People are playing beer pong at a party.</t>
  </si>
  <si>
    <t>People are drinking drinks from the table.</t>
  </si>
  <si>
    <t>A glass of beer is shown.</t>
  </si>
  <si>
    <t>v_Ck5i8CVEkJI</t>
  </si>
  <si>
    <t>A man is seen throwing a dart onto a board and leads into a woman speaking.</t>
  </si>
  <si>
    <t>The man throws several more darts while taking the time to speak to the woman.</t>
  </si>
  <si>
    <t>More people are shown throwing dart while the two continue to speak and the man points to the board.</t>
  </si>
  <si>
    <t>v_oMegp6a547Q</t>
  </si>
  <si>
    <t>The camera pans around several groups of people are seen performing martial arts around one another as well as people walking around and watching.</t>
  </si>
  <si>
    <t>Many shots are shown of people dancing and singing as well as performing martial arts in the streets and helping one another.</t>
  </si>
  <si>
    <t>People are seen playing instruments, reading the the news, and performing martial arts all around the street.</t>
  </si>
  <si>
    <t>v_j1QaZ7YWcJ8</t>
  </si>
  <si>
    <t>A person plays tam-tam inside a room, the man mainly plays on the tam- tam on front hum.</t>
  </si>
  <si>
    <t>A hand pass on front the screen.</t>
  </si>
  <si>
    <t>The person extend her arm over the tam-tam.</t>
  </si>
  <si>
    <t>v_0RUs80IYF38</t>
  </si>
  <si>
    <t>A man jumps off of the brown horse and he lassos the bull to the ground in the beginning.</t>
  </si>
  <si>
    <t>Then he gets on another horse and he lassos a bull bigger than the last one to the ground.</t>
  </si>
  <si>
    <t>When he's done tying the bull's legs together, he gets up and walks away.</t>
  </si>
  <si>
    <t>v_Rn_frSrkkbM</t>
  </si>
  <si>
    <t>A cricket game is being played between two teams in front of a crowd of people.</t>
  </si>
  <si>
    <t>The first play is made and the commentators narrate the play.</t>
  </si>
  <si>
    <t>Then, a replay of the previous play is started while the commentators narrate it.</t>
  </si>
  <si>
    <t>The camera cuts to a man laughing at a mistake made in the play.</t>
  </si>
  <si>
    <t>v_ahY7nqwwJEg</t>
  </si>
  <si>
    <t>The video leads into several clips of people performing skateboarding tricks out in public places.</t>
  </si>
  <si>
    <t>Many more clips are shown of people riding around on skateboards doing flips and tricks.</t>
  </si>
  <si>
    <t>v_wS_T-RMSSCE</t>
  </si>
  <si>
    <t>elephant is walking in a small water well playing with a ball.</t>
  </si>
  <si>
    <t>woman is talking in the camera and the elephant is again in the water well playing with the ball.</t>
  </si>
  <si>
    <t>little elephant is playing with a big blue ball.</t>
  </si>
  <si>
    <t>v_1izVZnE0l7k</t>
  </si>
  <si>
    <t>A girl is standing at a sink, washing dishes and playing in the water.</t>
  </si>
  <si>
    <t>She smiles as she rinses a plastic bowl.</t>
  </si>
  <si>
    <t>She walks over to the camera talking and laughing before leaving the room with her brother.</t>
  </si>
  <si>
    <t>v_nHuu6aInr1w</t>
  </si>
  <si>
    <t>A man puts a pile of marshmallows in his mouth.</t>
  </si>
  <si>
    <t>A man make a campfire and tips flash on the screen.</t>
  </si>
  <si>
    <t>The man digs a hole put rocks around it and gather firewood.</t>
  </si>
  <si>
    <t>He puts the wood in a triangle in the pit and logs on the outside.</t>
  </si>
  <si>
    <t>The man lights the fire and adds a few more pieces of wood.</t>
  </si>
  <si>
    <t>v_BYLxSOPFOuc</t>
  </si>
  <si>
    <t>man is standing in front of a mirror holding a camera.</t>
  </si>
  <si>
    <t>woman enters in the bathroom carying a white cat and the man kneels so the cat can stands on his back.</t>
  </si>
  <si>
    <t>the woman leaves the bathroom and the man keeps recording himself making poses in front of the camera and talking to himself in the mirror.</t>
  </si>
  <si>
    <t>the man enters in the bedroom and the woman is sitting in the bed holding the cat.</t>
  </si>
  <si>
    <t>man is in the bathroom again holding a knife and the woman enters in the room with a back scarf around her head.</t>
  </si>
  <si>
    <t>they are driving the car and are parked in snowy parking lot.</t>
  </si>
  <si>
    <t>they eners in a restaurant and leaves and walks to the car again.</t>
  </si>
  <si>
    <t>the woman gets into the car and the man opens the door and grabs a little brush and cleans the windshield and the woman do the same and plays with the man.</t>
  </si>
  <si>
    <t>v_NaTBiY3G3zc</t>
  </si>
  <si>
    <t>A woman is seen pushing a puck along the ice with others followed by a man speaking to the camera.</t>
  </si>
  <si>
    <t>More clips are shown of people curling on the ice while the man continues to speak to the camera and the game is shown in slow motion.</t>
  </si>
  <si>
    <t>v_m_sBF4vLRRc</t>
  </si>
  <si>
    <t>woman is wearing a red shirt and is standing talking to the camera in a white room.</t>
  </si>
  <si>
    <t>woman start dancing salsa steps on a wooden court.</t>
  </si>
  <si>
    <t>the woman is doing samba steps shaking her body side to side.</t>
  </si>
  <si>
    <t>v_XkOO6lc5vxw</t>
  </si>
  <si>
    <t>An intro shows off a hedge trimmer.</t>
  </si>
  <si>
    <t>A woman beings to speak about the hedge trimmer.</t>
  </si>
  <si>
    <t>The product is shown in action, trimming a bush.</t>
  </si>
  <si>
    <t>The woman shows off the blade, and charger.</t>
  </si>
  <si>
    <t>We see the product in use again.</t>
  </si>
  <si>
    <t>The woman shows the comfort grip.</t>
  </si>
  <si>
    <t>The woman talks about how to order the product.</t>
  </si>
  <si>
    <t>v_DgdEQgh8TKU</t>
  </si>
  <si>
    <t>A man is seen standing by the water holding an axe in one hand and a block of wood in the other.</t>
  </si>
  <si>
    <t>The man continues cutting wood while the camera pans to other people in the room and a woman speaking to the camera.</t>
  </si>
  <si>
    <t>v_IZXFAoiSj0c</t>
  </si>
  <si>
    <t>A female athlete is in a field and she begins to throw a shot put.</t>
  </si>
  <si>
    <t>The lady spins and spins in slow motion as words are shown at the top describing each phase needed to throw a shot put successfully.</t>
  </si>
  <si>
    <t>v_PWw-DAcSszM</t>
  </si>
  <si>
    <t>We see a man slowly performing Tai Chi.</t>
  </si>
  <si>
    <t>A white banner streams across the bottom.</t>
  </si>
  <si>
    <t>The man lifts his legs up in front of him then kicks out.</t>
  </si>
  <si>
    <t>The man stops and stands still.</t>
  </si>
  <si>
    <t>v_bsl3oM4svdQ</t>
  </si>
  <si>
    <t>A woman is seen pulling a piece of exercise equipment while struggling to get it to move.</t>
  </si>
  <si>
    <t>She moves the mat underneath her and then is able to pull the bar back and fourth towards her.</t>
  </si>
  <si>
    <t>v_lXTcGMN9I8g</t>
  </si>
  <si>
    <t>A young man at an outdoor festival is doing tightrope tricks in front of a crowd.</t>
  </si>
  <si>
    <t>The young man does various bouncing and balancing tricks on a tight rope a few feet above black mats.</t>
  </si>
  <si>
    <t>The gets off the rope and walks on the mats off the floor and towards his group.</t>
  </si>
  <si>
    <t>v_Jbl0E75cx8o</t>
  </si>
  <si>
    <t>A woman is seen sitting in a chair while a man uses various tools to pierce her ear.</t>
  </si>
  <si>
    <t>The man finishes the piercing and the girl begins to turn in the end.</t>
  </si>
  <si>
    <t>v_cnFw7hjmqJY</t>
  </si>
  <si>
    <t>man is standing in a court in front of kids and is walking showing how to score a basket.</t>
  </si>
  <si>
    <t>man throw the ball with someone in the other side of the court and make a lay up and the kids behind him in the court do the same.</t>
  </si>
  <si>
    <t>the coach os hlping the girl to catch the ball and run.</t>
  </si>
  <si>
    <t>the kid make a throw and then score a basket adn the kids behind her keeps doing the same.</t>
  </si>
  <si>
    <t>v_84x9A9xyLcE</t>
  </si>
  <si>
    <t>The sun rises over the hills.</t>
  </si>
  <si>
    <t>A man in shorts walks around.</t>
  </si>
  <si>
    <t>He grabs his board and places it into the water.</t>
  </si>
  <si>
    <t>The man climbs the board and surfs.</t>
  </si>
  <si>
    <t>v__AaSNARQPfE</t>
  </si>
  <si>
    <t>A man picks up a weight over his head and drops it on the ground.</t>
  </si>
  <si>
    <t>A man picks up a bar and raises it several times.</t>
  </si>
  <si>
    <t>A man in a black shirt is standing next to him.</t>
  </si>
  <si>
    <t>Another man stands next to him and lifts a bar with him.</t>
  </si>
  <si>
    <t>v_JM7YQFgxu2I</t>
  </si>
  <si>
    <t>There is a little girl slowly sliding down the side with the comfort of holding her mother's hand, the first time she went down.</t>
  </si>
  <si>
    <t>The second time she went down on her belly without help.</t>
  </si>
  <si>
    <t>v_6k5m4u5AchQ</t>
  </si>
  <si>
    <t>There are two camping out in the winter for an ice fishing trip.</t>
  </si>
  <si>
    <t>One of the men comes out of his camping tent with a fish in his hand.</t>
  </si>
  <si>
    <t>The two men are sitting in their make shift tent, fishing through a hole in the frozen lake.</t>
  </si>
  <si>
    <t>They are patiently sitting with their fishing rods till they fish out mid size fish from the holes.</t>
  </si>
  <si>
    <t>They show the kind of fish they have found as they lay it out on the frozen ground.</t>
  </si>
  <si>
    <t>One of the men cleans the fish scales.</t>
  </si>
  <si>
    <t>Then they cut the fish into small pieces and clean them up outside their garage.</t>
  </si>
  <si>
    <t>They sharpen the knife to slice the fish to prepare batter covered fried fish.</t>
  </si>
  <si>
    <t>The entire family sits together on a large dinning table and enjoy a delicious fried fish meal.</t>
  </si>
  <si>
    <t>v_7OZHg_OOfxw</t>
  </si>
  <si>
    <t>boys and girls are stading in a court practicing cheerleaders choreography and a woman is talking in a studio on news.</t>
  </si>
  <si>
    <t>high scoo musical scene is show and a man practicing is being interviewed and scenes of bring it on is showed.</t>
  </si>
  <si>
    <t>v_jzBR9ihZBbI</t>
  </si>
  <si>
    <t>A man is talking in front of a couple of graphs.</t>
  </si>
  <si>
    <t>She demonstrates the technique with his racquet.</t>
  </si>
  <si>
    <t>He then goes into a room, and plays a game of racquetball with a man.</t>
  </si>
  <si>
    <t>When they are done, he walks out and discusses it some more.</t>
  </si>
  <si>
    <t>v_b3bawTEPLtA</t>
  </si>
  <si>
    <t>A ballerina is seen swirling in a room and leads into the woman speaking to the camera and performing several ballet moves.</t>
  </si>
  <si>
    <t>She stands at the barre and then on her own to demonstrate how to properly perform ballet moves.</t>
  </si>
  <si>
    <t>She moves her arms up and down as well as her legs and continuously speaking to the camera.</t>
  </si>
  <si>
    <t>v_K-kJ-0nkKZk</t>
  </si>
  <si>
    <t>A set of hands are seen putting brush into a stack of sticks and then places cotton in the pile.</t>
  </si>
  <si>
    <t>He then lights a match and creates a fire and then bends over the fire to put more in.</t>
  </si>
  <si>
    <t>The camera closes in on the pit and is seen placing logs around the side.</t>
  </si>
  <si>
    <t>v_cvatsuUhqhk</t>
  </si>
  <si>
    <t>Two men are playing Foosball in a dark room.</t>
  </si>
  <si>
    <t>They compete intensely at a fast pace.</t>
  </si>
  <si>
    <t>The man of the red team wins all four times.</t>
  </si>
  <si>
    <t>Every time when he wins, he does a little cheering dance.</t>
  </si>
  <si>
    <t>v_ZOeQh2-ci3M</t>
  </si>
  <si>
    <t>A person uses the toilet in a stall.</t>
  </si>
  <si>
    <t>The man leaves the bathroom without washing his hands.</t>
  </si>
  <si>
    <t>The man eats from food dishes using his hands.</t>
  </si>
  <si>
    <t>A woman plays with the dogs.</t>
  </si>
  <si>
    <t>A person washes their hands in a sink using foam soap.</t>
  </si>
  <si>
    <t>The person uses a paper towel to dry off his hands.</t>
  </si>
  <si>
    <t>A person washes their hands in a stainless steel sink.</t>
  </si>
  <si>
    <t>v_76tyabobb_0</t>
  </si>
  <si>
    <t>A messy kid is eating an ice cream cone.</t>
  </si>
  <si>
    <t>He bites the parents ice cream cone.</t>
  </si>
  <si>
    <t>The parent adjusts the cone for the child.</t>
  </si>
  <si>
    <t>The parent wipes ice cream from the child's face.</t>
  </si>
  <si>
    <t>v_QJm_B5Hx4DI</t>
  </si>
  <si>
    <t>An employee of the beach patrol is talking about how to have a safe day at the beach.</t>
  </si>
  <si>
    <t>Sunscreen is addressed and he overviews how and why to apply sunscreen properly.</t>
  </si>
  <si>
    <t>Sunscreen SPF value is addressed with a slide on how to pay attention to the proper SPF.</t>
  </si>
  <si>
    <t>He addresses the negative impacts of sunburns, especially with children.</t>
  </si>
  <si>
    <t>He then talks about different types of specialty sunscreen to ensure you are safely covered.</t>
  </si>
  <si>
    <t>Children sunscreen safety is then talked about and how to properly protect your kids.</t>
  </si>
  <si>
    <t>He then discusses what to do when a sunburn does occur, how to handle it to take care of your skin.</t>
  </si>
  <si>
    <t>A slide is shown to make us aware of when a sunburn is bad and needs medical attention.</t>
  </si>
  <si>
    <t>He then takes another overview of how to use sunscreen to make your day enjoyable.</t>
  </si>
  <si>
    <t>v_EJxWhTE_ZeE</t>
  </si>
  <si>
    <t>Several clips of boxes are shown as well as people moving around a stage and an audience watching.</t>
  </si>
  <si>
    <t>The video leads into several people washing windows as quickly as they can while many watch them on the side.</t>
  </si>
  <si>
    <t>Many men speak to the camera as well as people announcing the scores and more window washing taking place.</t>
  </si>
  <si>
    <t>v_mgmwdQixDXY</t>
  </si>
  <si>
    <t>woman is showing her nails with a cute manicure and some polishes behind her hand.</t>
  </si>
  <si>
    <t>woman is holding a pink polish and start painting her nail.</t>
  </si>
  <si>
    <t>and with a little sponge and a little pin paint the nail with white blue and purple paint.</t>
  </si>
  <si>
    <t>with a small bush put som wwhite dots and clean the nail.</t>
  </si>
  <si>
    <t>woman cut a red paper and paint with frosty gray polish.</t>
  </si>
  <si>
    <t>v_tPiuksisb4E</t>
  </si>
  <si>
    <t>There is a hookah placed on a kitchen counter.</t>
  </si>
  <si>
    <t>A man wearing a black sleeveless shirt comes there and kneels down to begins smoking the hookah.</t>
  </si>
  <si>
    <t>He smokes the hookah and blows out smoke.</t>
  </si>
  <si>
    <t>He takes a few puffs of the hookah and exhales the smoke out.</t>
  </si>
  <si>
    <t>He continues smoking by taking long puffs of the hookah and then leaves.</t>
  </si>
  <si>
    <t>v_Qv0fN5A1vp4</t>
  </si>
  <si>
    <t>A close up of a bag is seen followed by a woman looking in the camera.</t>
  </si>
  <si>
    <t>She holds up a phone and speaks into the mirror.</t>
  </si>
  <si>
    <t>Finally she jumps up and down a bit and ends by turning off the camera.</t>
  </si>
  <si>
    <t>v_9mF5s6_dTlk</t>
  </si>
  <si>
    <t>A man in a crowded garage with lots of tools speaks to the camera as he holds a piece of paper.</t>
  </si>
  <si>
    <t>He taps a paper, continuously, on a iron type tool and brushes the paper against a long piece of wood.</t>
  </si>
  <si>
    <t>He puts down the piece of paper and takes the iron tool straight to the piece of wood.</t>
  </si>
  <si>
    <t>He picks up a paper towel and presses the iron against the piece of wood with one hand while using the other hand to drag a paper towel over the ironed areas of the board.</t>
  </si>
  <si>
    <t>He places the iron down.</t>
  </si>
  <si>
    <t>He takes the paper towel and quickly cleans the piece of wood.</t>
  </si>
  <si>
    <t>v_5Fq-ln3yC38</t>
  </si>
  <si>
    <t>A man pours a liquid onto a table.</t>
  </si>
  <si>
    <t>With the use of a paintbrush, he covers the table with the liquid.</t>
  </si>
  <si>
    <t>He removes varnish from the top of the table.</t>
  </si>
  <si>
    <t>Afterwards, he does a light sanding of the table.</t>
  </si>
  <si>
    <t>With a tack rug, he removes the dust.</t>
  </si>
  <si>
    <t>Wearing gloves, he applies a stain to the table.</t>
  </si>
  <si>
    <t>Finally, he polishes the table and shows off his end result.</t>
  </si>
  <si>
    <t>v_PlAVnu-ueM4</t>
  </si>
  <si>
    <t>Ms Smith is giving an interview talking about weight lifting, she speaks about how she started around 12.</t>
  </si>
  <si>
    <t>The coach briefly speaks about how gives them rest before every competition.</t>
  </si>
  <si>
    <t>She lifts the weight way above her head and drops it wearing her uniform.</t>
  </si>
  <si>
    <t>Everyone claps for her, and then you hear from her and the coach again before the interview is over.</t>
  </si>
  <si>
    <t>v_5Y4YkCkgShc</t>
  </si>
  <si>
    <t>A nighttime view of a city is shown through a window.</t>
  </si>
  <si>
    <t>A man in a chef's coat is standing in a kitchen talking to the camera.</t>
  </si>
  <si>
    <t>A pancake is shown with syrup being poured on it.</t>
  </si>
  <si>
    <t>Ingredients are placed in a bowl.</t>
  </si>
  <si>
    <t>The man cracks an egg and whisks the ingredients in a bowl.</t>
  </si>
  <si>
    <t>A ladle is shown next to the bowl.</t>
  </si>
  <si>
    <t>The man ladles the pancake batter onto the griddle.</t>
  </si>
  <si>
    <t>The man flips the pancakes.</t>
  </si>
  <si>
    <t>The pancake is placed on a plate and syrup is poured on it.</t>
  </si>
  <si>
    <t>The man is shown eating a piece of the pancake.</t>
  </si>
  <si>
    <t>The man continues talking to the camera while holding a piece of pancake.</t>
  </si>
  <si>
    <t>A television studio is shown.</t>
  </si>
  <si>
    <t>v_aSYCOvkN5uk</t>
  </si>
  <si>
    <t>A young man with Downs Syndrome bowls.</t>
  </si>
  <si>
    <t>Another young man throws a bowling ball.</t>
  </si>
  <si>
    <t>The first young man celebrates after a successful throw.</t>
  </si>
  <si>
    <t>v_COIwJdDOmcc</t>
  </si>
  <si>
    <t>man is standing in front of a gray car in a workshop changing a car wheel and talking to te camera.</t>
  </si>
  <si>
    <t>first the man grab an hiyraulic jack and put it under the car, unscrew the bolts wit a wheel brace and pulls out the wheel and mount the new one, put the screws back again with the wheel brace and tightens.</t>
  </si>
  <si>
    <t>man talking in front of the car and giving recomendations.</t>
  </si>
  <si>
    <t>v_Kv-A_H9TXug</t>
  </si>
  <si>
    <t>A guy sits on the floor and speaks.</t>
  </si>
  <si>
    <t>The guy lays down and does sit ups.</t>
  </si>
  <si>
    <t>The guy goes back to the sitting position.</t>
  </si>
  <si>
    <t>The credits of the video and an image are shown.</t>
  </si>
  <si>
    <t>v_MeHEDK_Y8sE</t>
  </si>
  <si>
    <t>A female Caucasian is sitting in a chair spinning around showing off her long blonde hair style,it is pinned to the right and has curls in the bottom.</t>
  </si>
  <si>
    <t>On the next screen,a woman begins grabbing the bottom and rolling it from the bottom up to about three inches and seals it with a piece of foil.</t>
  </si>
  <si>
    <t>Once the hair is folded up in a the foil,the lady takes a flat iron and runs it over the foil.</t>
  </si>
  <si>
    <t>As the next scene comes,the lady is pictured with eight foiled curls in her head that are sealed with long hair pins.</t>
  </si>
  <si>
    <t>The next step is to then remove the pins followed by the foil and release the curls.</t>
  </si>
  <si>
    <t>Finally,the style is completed and she is spun around once more to show the finished product.</t>
  </si>
  <si>
    <t>v_AahkhvTAXwg</t>
  </si>
  <si>
    <t>a woman walks onto a blue lit stage.</t>
  </si>
  <si>
    <t>She starts flipping back and forth on the stage.</t>
  </si>
  <si>
    <t>She is spinning and twirling a baton while she performs before disappearing.</t>
  </si>
  <si>
    <t>v_ZT_gv2W65Zc</t>
  </si>
  <si>
    <t>A woman brushes her hair with her hand.</t>
  </si>
  <si>
    <t>The woman combs her hair with a comb.</t>
  </si>
  <si>
    <t>The combing is shown in slow motion.</t>
  </si>
  <si>
    <t>v_IC61TQ-sd8o</t>
  </si>
  <si>
    <t>boys and girls are in stage doing a cheerleader choreography in a competiion while people in stands are watching them.</t>
  </si>
  <si>
    <t>men wearing black uniforms are standing behind the cheer team.</t>
  </si>
  <si>
    <t>v_n637bl2-DDo</t>
  </si>
  <si>
    <t>A man talks in front of an office building.</t>
  </si>
  <si>
    <t>The man enters the building and walks up the staircase.</t>
  </si>
  <si>
    <t>The man enters the gym room.</t>
  </si>
  <si>
    <t>People ride on stationary bikes and watch a television in the gym.</t>
  </si>
  <si>
    <t>v_byVhCu3KH1g</t>
  </si>
  <si>
    <t>Shoe polish supplies in a store, then people in a classroom get instructions about shoe polish.</t>
  </si>
  <si>
    <t>The teacher demonstrates to polish a boot using a tissue.</t>
  </si>
  <si>
    <t>Then, a girl polish the shoe of a woman using a cloth.</t>
  </si>
  <si>
    <t>A person takes pictures and a cameraman film.</t>
  </si>
  <si>
    <t>After, people practice shoe polish in group.</t>
  </si>
  <si>
    <t>v_oHOR69nFt-4</t>
  </si>
  <si>
    <t>We see the opening screen on orange.</t>
  </si>
  <si>
    <t>A lady is cooking in a kitchen.</t>
  </si>
  <si>
    <t>The lady pours ingredients into a bowl and stirs.</t>
  </si>
  <si>
    <t>The lady stirs an egg mixture and mixes it in with her original bow.</t>
  </si>
  <si>
    <t>She puts it in a glass pan and puts the pan in the oven.</t>
  </si>
  <si>
    <t>v__-_SwG4EnRU</t>
  </si>
  <si>
    <t>She begins dancing in the kitchen.</t>
  </si>
  <si>
    <t>She starts mopping the floor while she's dancing.</t>
  </si>
  <si>
    <t>v_0Q9RHSEFeMI</t>
  </si>
  <si>
    <t>People are working out in a gym.</t>
  </si>
  <si>
    <t>They are stepping up and down off of black step stools.</t>
  </si>
  <si>
    <t>They raise their hands and stop dancing.</t>
  </si>
  <si>
    <t>v_m3SlyuAh1Wk</t>
  </si>
  <si>
    <t>A close up of leaves are shown followed by a woman raking them and speaking to the camera.</t>
  </si>
  <si>
    <t>The woman continues raking while speaking to the camera back and fourth.</t>
  </si>
  <si>
    <t>She shows her piles as well as the clean lawn while still speaking to the camera.</t>
  </si>
  <si>
    <t>v_Pmt3R5olRP0</t>
  </si>
  <si>
    <t>A middle aged woman wearing a headpiece speaks to the camera while stiring with a spoon.</t>
  </si>
  <si>
    <t>She takes a couple sips from a cup while still speaking to the camera.</t>
  </si>
  <si>
    <t>She does this one more time before turning the camera off.</t>
  </si>
  <si>
    <t>v_0p3JN4KJsUs</t>
  </si>
  <si>
    <t>People practice ballet in a studio alone and in couples.</t>
  </si>
  <si>
    <t>Then, a boy and a girl dance ballet, then a man enter and dance with the girl.</t>
  </si>
  <si>
    <t>After, several couples dance ballet while other people observe.</t>
  </si>
  <si>
    <t>v_UQXB3JOoxYE</t>
  </si>
  <si>
    <t>A boy sits in the water, his skis out in front of him, while he holds the handle of the rope between his legs.</t>
  </si>
  <si>
    <t>We see a short flashback as we then see him in the boat in then in the water being assisted with his skis.</t>
  </si>
  <si>
    <t>Once again he is in the water, and the boat slowly picks up speed, pulling the young man upright until he is skiing full-speed behind the boat.</t>
  </si>
  <si>
    <t>A man comes up beside him, his arms outstretched as he holds a camera, and then a show of him with several other men in the boat.</t>
  </si>
  <si>
    <t>We soon see the man again in the water with his arm around the boy's shoulders, the boy triumphant after his successful ride.</t>
  </si>
  <si>
    <t>All in all everyone seemed to enjoy a great day outdoors whether in the boat or skiing or both.</t>
  </si>
  <si>
    <t>v_5HqegO_ayw8</t>
  </si>
  <si>
    <t>A large group of people are seen standing around a square with people playing volleyball.</t>
  </si>
  <si>
    <t>The people continuously hit the ball around the sandy field as the camera pans around them playing.</t>
  </si>
  <si>
    <t>The camera pans around the group as they keep playing.</t>
  </si>
  <si>
    <t>v_HAEyXtEdERI</t>
  </si>
  <si>
    <t>A camera pans around the outside of a building and surrounding areas and leads into several shots of people riding bikes on a track.</t>
  </si>
  <si>
    <t>Many people watch the race on the sidelines as the people continue going around the track and others record their time.</t>
  </si>
  <si>
    <t>Many people sit around speaking with one man speaking to a large group.</t>
  </si>
  <si>
    <t>More shots of people speaking and riding are shown and the audience cheers them on in the stands.</t>
  </si>
  <si>
    <t>v_sPEed6XrTZA</t>
  </si>
  <si>
    <t>An older man in a yellow t-shirt stands by an opened garage and white car parked outside.</t>
  </si>
  <si>
    <t>The man pours water and solution into a bucket and wand sprayer tank.</t>
  </si>
  <si>
    <t>The man begins washing the Nissan Leaf car with the sprayer and wipes it down with a cloth.</t>
  </si>
  <si>
    <t>v_CGz-ghbUXvk</t>
  </si>
  <si>
    <t>A wedding party is standing at the front of an aisle.</t>
  </si>
  <si>
    <t>A pair of men playing bagpipes enter the room before the bride makes her entrance with her father.</t>
  </si>
  <si>
    <t>Everyone stands to watch the procession.</t>
  </si>
  <si>
    <t>The man shakes hands with the groom, and we see the couple standing at the altar, facing each other.</t>
  </si>
  <si>
    <t>v_G3TPqsLNlrw</t>
  </si>
  <si>
    <t>A young man is water skiing and falls.</t>
  </si>
  <si>
    <t>Watching video of the lake and driving.</t>
  </si>
  <si>
    <t>You can see a man skiing from several different angles.</t>
  </si>
  <si>
    <t>Winter of Water skiing at Stoney Park.</t>
  </si>
  <si>
    <t>v_o6Xr1PiL-Jg</t>
  </si>
  <si>
    <t>The woman attempts to rake leaves, but then she falls and gets back up holding the rake and a man takes it from her.</t>
  </si>
  <si>
    <t>Then she walks away and comes back again and he rakes the leaves on top of her.</t>
  </si>
  <si>
    <t>v_yVJGQI5MBIk</t>
  </si>
  <si>
    <t>Two people are seen doing various martial arts moves to one another while a crowd of people cheer and applaud.</t>
  </si>
  <si>
    <t>The men continue kicking around one another and ends with them grabbing hands and smiling.</t>
  </si>
  <si>
    <t>v_TwJvPxAq9_o</t>
  </si>
  <si>
    <t>A girl is smoking a cigarette.</t>
  </si>
  <si>
    <t>A girl blows out smoke.</t>
  </si>
  <si>
    <t>A guy sits, gestures, and discusses.</t>
  </si>
  <si>
    <t>The guy gestures smoking a cigarette.</t>
  </si>
  <si>
    <t>v_XHQLkc06XIc</t>
  </si>
  <si>
    <t>A little girl does an introduction for a video of herself playing the violin.</t>
  </si>
  <si>
    <t>She begins to play the violin in a joyful and professional manner.</t>
  </si>
  <si>
    <t>She begins to pick up the speed of the song.</t>
  </si>
  <si>
    <t>When she is done playing she explains that the piece she just played.</t>
  </si>
  <si>
    <t>v_MNpV9WvVPSA</t>
  </si>
  <si>
    <t>instructions of how to play chords on the violin are shown.</t>
  </si>
  <si>
    <t>woman is in a room playing the violin.</t>
  </si>
  <si>
    <t>woman is showing how to play chords on wooden violin.</t>
  </si>
  <si>
    <t>v_lWFGSRpuopM</t>
  </si>
  <si>
    <t>Kids are driving around in bumper cars.</t>
  </si>
  <si>
    <t>The cars crash into each other.</t>
  </si>
  <si>
    <t>The kid in the green car crashes into the wall.</t>
  </si>
  <si>
    <t>v_Igpy_o0h3Cs</t>
  </si>
  <si>
    <t>A woman wear curls shows how to wrap pieces of fabric on a roller.</t>
  </si>
  <si>
    <t>The woman unrolls the curls from her hair.</t>
  </si>
  <si>
    <t>The woman combs out her hair using her hands.</t>
  </si>
  <si>
    <t>v_mEsW__Np9Xo</t>
  </si>
  <si>
    <t>People are riding horses around an arena.</t>
  </si>
  <si>
    <t>People are standing outside the arena watching them.</t>
  </si>
  <si>
    <t>The people watching turn around and look behind them.</t>
  </si>
  <si>
    <t>v_v2iIR1YLdz4</t>
  </si>
  <si>
    <t>A man is doing gymnastics in a living room.</t>
  </si>
  <si>
    <t>He is doing hand stands on a couple of bars on the ground.</t>
  </si>
  <si>
    <t>The bars are made from pvc pipes.</t>
  </si>
  <si>
    <t>v_LbGr5TjfTBY</t>
  </si>
  <si>
    <t>A cooker talks in a kitchen and shows the inside of a sharpener knife that has discs inside.</t>
  </si>
  <si>
    <t>Then, the man puts a knife in the sharpener knife to sharpen.</t>
  </si>
  <si>
    <t>After, the man wash and dry the knife.</t>
  </si>
  <si>
    <t>v_kF-J9mKwA8A</t>
  </si>
  <si>
    <t>A young boy playing a large drum game concentrates while the camera watches him play.</t>
  </si>
  <si>
    <t>Other people walk in and out of frame from the boy while he continuously plays the game on the drum.</t>
  </si>
  <si>
    <t>Another boy holding a drink walks into frame and watches the boy play the game.</t>
  </si>
  <si>
    <t>v_gR9qUDlytF8</t>
  </si>
  <si>
    <t>A large group of people are walking towards the camera and they look like they're in a small village.</t>
  </si>
  <si>
    <t>As the people get closer we see a man and a child are holding onto a saddle attached to a camel and riding on it while another man holds the leash and guides the camel.</t>
  </si>
  <si>
    <t>The camel passes the camera person and we get a view of the camel walking away and a view of a different side of the area that looks like a village.</t>
  </si>
  <si>
    <t>v_4w7sVSMbjyM</t>
  </si>
  <si>
    <t>A shot of a snowy area is shown followed by two people hoping along the area and speaking to the camera.</t>
  </si>
  <si>
    <t>More shots are shown of the men hopping around on snowboards in various locations as well as speaking to the camera and showing pictures of the people as well as footage of them riding around.</t>
  </si>
  <si>
    <t>v_cGEhbEHCQyE</t>
  </si>
  <si>
    <t>Many men are in a building playing a group of ice hockey against each other.</t>
  </si>
  <si>
    <t>As they continue to play,the referee begins to skate back and forth on the side in circles.</t>
  </si>
  <si>
    <t>After several starts and finishes,the games keeps going and the goalie is successful in blocking the puck each and every time.</t>
  </si>
  <si>
    <t>v_zwx1Kig4nXg</t>
  </si>
  <si>
    <t>We see a baby spining in a room with adults watching.</t>
  </si>
  <si>
    <t>An adult dances with the baby.</t>
  </si>
  <si>
    <t>Two adults hold the babies hands and dance.</t>
  </si>
  <si>
    <t>The baby is twirled in a circle.</t>
  </si>
  <si>
    <t>The baby is twirled again.</t>
  </si>
  <si>
    <t>The baby dances alone again.</t>
  </si>
  <si>
    <t>The baby picks up a toy dog and dances with it.</t>
  </si>
  <si>
    <t>v_n0meVEbpXak</t>
  </si>
  <si>
    <t>Kids are riding small dirt bikes around a track.</t>
  </si>
  <si>
    <t>A kid falls over and people help them up.</t>
  </si>
  <si>
    <t>v_jIsGq431gBs</t>
  </si>
  <si>
    <t>A bunch of people are meeting in a raft shop.</t>
  </si>
  <si>
    <t>They all meet in a room to put on helmets and get together their equipment.</t>
  </si>
  <si>
    <t>They all go for a long walk together, including down a large flight of stairs.</t>
  </si>
  <si>
    <t>They reach a long line of rafts by the water, where they get in and begin rafting.</t>
  </si>
  <si>
    <t>The people are white water rafting down a turbulent river, using their paddles in unison, going down small waterfalls together.</t>
  </si>
  <si>
    <t>They all stop to have lunch under an outdoor pavilion at the end of their adventure.</t>
  </si>
  <si>
    <t>v_bmf7otW5TQo</t>
  </si>
  <si>
    <t>A teen performs pommel horse spinning around, then jumps on the floor and goes to get power from a container.</t>
  </si>
  <si>
    <t>After, the teen gets again on the pommel horse and spins many times, while the jury observes.</t>
  </si>
  <si>
    <t>People walk behind the jury.</t>
  </si>
  <si>
    <t>Next, the teen stands on his hands and jumps to the mat.</t>
  </si>
  <si>
    <t>v_nyjtOdSyHn4</t>
  </si>
  <si>
    <t>A woman wearing a wig is seen blindfolding another girl while others watch on the sides.</t>
  </si>
  <si>
    <t>Kids are playing on the bouncehouse and a woman spins around the blindfolded girl.</t>
  </si>
  <si>
    <t>The girl swings around at a pinata and hits then walks away.</t>
  </si>
  <si>
    <t>v_-ceM4HHukhE</t>
  </si>
  <si>
    <t>A man sits down on an exercise machine.</t>
  </si>
  <si>
    <t>He begins working out on the machine.</t>
  </si>
  <si>
    <t>A man in a tan shirt stands behind him.</t>
  </si>
  <si>
    <t>v_DK271OQnNRA</t>
  </si>
  <si>
    <t>Three people go tubing down a rapid.</t>
  </si>
  <si>
    <t>They get stuck on the rocks, then push off and continue floating.</t>
  </si>
  <si>
    <t>v_4DFKpHF2aq4</t>
  </si>
  <si>
    <t>There's a young man wearing a black hoodie and hat out in the wilderness.</t>
  </si>
  <si>
    <t>He takes an umbrella in his hand and then tosses it behind him.</t>
  </si>
  <si>
    <t>Then he walks on a tight rope and tries to balance himself.</t>
  </si>
  <si>
    <t>There are some other men doing the same thing out in the wilderness, trying to balance themselves and walk on tight ropes.</t>
  </si>
  <si>
    <t>v_omLZQlz1PAo</t>
  </si>
  <si>
    <t>An elderly couple are dancing alone on a gymnasium floor while a line of people at a table watch.</t>
  </si>
  <si>
    <t>They spin and dance happily, and the crowd claps as they finish and walk away.</t>
  </si>
  <si>
    <t>v_c0Cn3HFXpLs</t>
  </si>
  <si>
    <t>Three men playing a game of racquetball are in a court surrounded by white walls.</t>
  </si>
  <si>
    <t>The man in white serves, followed by the man in the hat scoring on his serve.</t>
  </si>
  <si>
    <t>The man in the yellow shorts is next and manages to take the game over, serving several times to close the video.</t>
  </si>
  <si>
    <t>v_jsxrJJkUl2E</t>
  </si>
  <si>
    <t>A group of four men talk in front of a camera.</t>
  </si>
  <si>
    <t>There is an animated sequence.</t>
  </si>
  <si>
    <t>They continue to talk in front of the camera.</t>
  </si>
  <si>
    <t>Two of them stand holding a rake and they play rock paper scissors.</t>
  </si>
  <si>
    <t>One loses the game and jumps on the rake.</t>
  </si>
  <si>
    <t>Replays of him jumping on the rake.</t>
  </si>
  <si>
    <t>The other two hold the rake and play rock paper scissors.</t>
  </si>
  <si>
    <t>A different person loses and jumps on the rake.</t>
  </si>
  <si>
    <t>They show replays again of him jumping on it.</t>
  </si>
  <si>
    <t>A different set of guys hold the rake and play rock paper scissors again.</t>
  </si>
  <si>
    <t>One loses and jumps on the rake again.</t>
  </si>
  <si>
    <t>They show replays of him jumping on the rake.</t>
  </si>
  <si>
    <t>The other guy then jumps on the rake.</t>
  </si>
  <si>
    <t>They once again show replays.</t>
  </si>
  <si>
    <t>All four are once again talking in front of the camera.</t>
  </si>
  <si>
    <t>It ends with other videos of their you tube channel.</t>
  </si>
  <si>
    <t>v_8wDm37sdBCI</t>
  </si>
  <si>
    <t>A person is down below and is swinging a fabric and hitting it onto something.</t>
  </si>
  <si>
    <t>A wide shot of a city is shown from the from above.</t>
  </si>
  <si>
    <t>The view pans to other parts of the city and then zooms on other people hitting fabric onto an object as well.</t>
  </si>
  <si>
    <t>v_zzxYEZkahBU</t>
  </si>
  <si>
    <t>A person is throwing a disk down a strip of land.</t>
  </si>
  <si>
    <t>A woman in a brown shirt is holding a red cup.</t>
  </si>
  <si>
    <t>A boy pushes a ball with a stick.</t>
  </si>
  <si>
    <t>A man in a black shirt is holding a stick.</t>
  </si>
  <si>
    <t>A boy in a white shirt smiles at the camera.</t>
  </si>
  <si>
    <t>v_bX-PSFlwV5s</t>
  </si>
  <si>
    <t>A man is seen speaking to the camera while holding up a tool.</t>
  </si>
  <si>
    <t>A person is then seen peeling off a roof using the roof and speaking out loud.</t>
  </si>
  <si>
    <t>The man continues to take apart the roof.</t>
  </si>
  <si>
    <t>v_UCmycSotoy4</t>
  </si>
  <si>
    <t>A group of people are playing in white water kayaks.</t>
  </si>
  <si>
    <t>The person in the red tries to flip.</t>
  </si>
  <si>
    <t>A person in green attempts the same thing.</t>
  </si>
  <si>
    <t>The person in the red then has their front in the air for a long time.</t>
  </si>
  <si>
    <t>v_qoSn8oUMBSE</t>
  </si>
  <si>
    <t>A large group of people are seen walking out onto a field with a crowd cheering behind them.</t>
  </si>
  <si>
    <t>The men then begin playing a game of soccer and kicking the ball around the field.</t>
  </si>
  <si>
    <t>Several shots are shown of people scoring goals as well as others celebrating and holding one another.</t>
  </si>
  <si>
    <t>v_-vqefJDOxkw</t>
  </si>
  <si>
    <t>Several spectators watch as a man does track and field.</t>
  </si>
  <si>
    <t>The video with a man who begins running down the track.</t>
  </si>
  <si>
    <t>As he reaches the dirt section, he he does three jumps.</t>
  </si>
  <si>
    <t>On his final jump, he extends his legs to try and jump as far as possible.</t>
  </si>
  <si>
    <t>The video ends after he lands and he is shown smacking the ground.</t>
  </si>
  <si>
    <t>v_ahOnhEvMgq0</t>
  </si>
  <si>
    <t>The camera pans around a man standing in front of a ping pong table and begins playing a match with another man.</t>
  </si>
  <si>
    <t>The men continue hitting the ball back and fourth while various people watch him on the side.</t>
  </si>
  <si>
    <t>v_6XINT0LDdz8</t>
  </si>
  <si>
    <t>A gymnast is seen looking off into the distance and standing before a set of uneven bars.</t>
  </si>
  <si>
    <t>The man then jumps up onto the bars and begins swinging himself back and fourth.</t>
  </si>
  <si>
    <t>The man continues to swing around and ends by jumping down.</t>
  </si>
  <si>
    <t>v_rlWN8PZMbfY</t>
  </si>
  <si>
    <t>A woman washes her hands at a sink.</t>
  </si>
  <si>
    <t>The woman towels her hands dry.</t>
  </si>
  <si>
    <t>The camera shows a closeup of her dropping liquid into a contact lens.</t>
  </si>
  <si>
    <t>The contact lens is held up for inspection.</t>
  </si>
  <si>
    <t>The woman rubs the contact lens with the fluid.</t>
  </si>
  <si>
    <t>The woman puts the lens on.</t>
  </si>
  <si>
    <t>The woman removes the lens.</t>
  </si>
  <si>
    <t>The lens is held up for inspection.</t>
  </si>
  <si>
    <t>The woman removes the lens from her eye again.</t>
  </si>
  <si>
    <t>The woman cleans the lens with solution.</t>
  </si>
  <si>
    <t>The woman places the lens into a container.</t>
  </si>
  <si>
    <t>v_xYt__nSK8NA</t>
  </si>
  <si>
    <t>A young woman is seen looking to the camera smoking a cigarette and laughing to the camera.</t>
  </si>
  <si>
    <t>She continues taking puffs off the cigarette while looking into the camera and blowing smoke.</t>
  </si>
  <si>
    <t>v_7n1L0evoi34</t>
  </si>
  <si>
    <t>In Home Pet Groomers demonstrate how to groom a pet.</t>
  </si>
  <si>
    <t>The person is demonstrating how the dog's hair is trimmed with electric shears at their grooming salon.</t>
  </si>
  <si>
    <t>v_aVJRaXUjsEE</t>
  </si>
  <si>
    <t>Two men stand on the far left of a beer pong table.</t>
  </si>
  <si>
    <t>One of the men throws a beer pong ball across the table, into a cup.</t>
  </si>
  <si>
    <t>The other man with him throws a ball across the table, too.</t>
  </si>
  <si>
    <t>Two other men stand on the far right side of the beer pong table, and one of the men reaches to grab the cup where the ball fell into, and the other man bends down to catch a ball that has fallen on the floor.</t>
  </si>
  <si>
    <t>v_4Fxj9ObTMw8</t>
  </si>
  <si>
    <t>A girl leans over a sink, and a boy walks up to talk to her.</t>
  </si>
  <si>
    <t>She starts laughing and jumping up and down.</t>
  </si>
  <si>
    <t>The boy seems equally excited, and she smiles at the camera.</t>
  </si>
  <si>
    <t>v_rt3t2n6K_ww</t>
  </si>
  <si>
    <t>A young girl with a ponytail plays a drumkit, she appears to a trained musician.</t>
  </si>
  <si>
    <t>The girl focuses on one particular drum.</t>
  </si>
  <si>
    <t>The girl continues to play different parts of the drumkit.</t>
  </si>
  <si>
    <t>v_3DQTz4Ke50Q</t>
  </si>
  <si>
    <t>A truck is seen backing up and blowing leaves around while the camera captures the area around the truck.</t>
  </si>
  <si>
    <t>The truck is seen again in several locations backing up and pushing leaves back away from the truck.</t>
  </si>
  <si>
    <t>v_8ofNg0y8w60</t>
  </si>
  <si>
    <t>Two people are playing a tennis match on a blue court.</t>
  </si>
  <si>
    <t>The man in the blue shirt misses the ball and walks away to talk to someone.</t>
  </si>
  <si>
    <t>They replay the video of him missing the ball.</t>
  </si>
  <si>
    <t>A man in a white shirt sits on a chair with a microphone.</t>
  </si>
  <si>
    <t>They restart another tennis match.</t>
  </si>
  <si>
    <t>v_IpCYVZ-sMTc</t>
  </si>
  <si>
    <t>A man is seen speaking to the camera while holding a ski and pointing around it in various locations.</t>
  </si>
  <si>
    <t>The man continues speaking while rubbing down the ski with lotion and ending by presenting it to the screen.</t>
  </si>
  <si>
    <t>v_thvpt_lUxTI</t>
  </si>
  <si>
    <t>Two buses are parked in a parking lot.</t>
  </si>
  <si>
    <t>People are walking in front of it in the snow.</t>
  </si>
  <si>
    <t>A person is shoveling the snow in front of them.</t>
  </si>
  <si>
    <t>v_G5HZX5i26us</t>
  </si>
  <si>
    <t>An older woman is seen sitting in a chair with a needle in her hands.</t>
  </si>
  <si>
    <t>The woman then begins sowing while the camera captures her movements.</t>
  </si>
  <si>
    <t>The woman continues sowing and the camera watches from the side.</t>
  </si>
  <si>
    <t>v_06dIgOEgYp0</t>
  </si>
  <si>
    <t>A woman stands in snow with the words "Fat Girl Snowboarding" overlaid.</t>
  </si>
  <si>
    <t>A long typed message about her reason of wanting to snowboard.</t>
  </si>
  <si>
    <t>She makes several attempts down the snowy hill and falls many times.</t>
  </si>
  <si>
    <t>v_42i3phJnY4M</t>
  </si>
  <si>
    <t>a bullfighter holding a red cloth is in field.</t>
  </si>
  <si>
    <t>a bull is running to the red cloth of the bullfighter.</t>
  </si>
  <si>
    <t>a lot of people are sitting on stands watching the bullfighter.</t>
  </si>
  <si>
    <t>v_FDIYymZEFi0</t>
  </si>
  <si>
    <t>A young boy is seen pouring soap into his hands and scrubbing his hands above a sink.</t>
  </si>
  <si>
    <t>He then grabs a paper towel and dries off his hands.</t>
  </si>
  <si>
    <t>v_siMXfU6NPlE</t>
  </si>
  <si>
    <t>Couples dance on a dance floor during a party in front of a stage.</t>
  </si>
  <si>
    <t>The man spins his partner around while dancing.</t>
  </si>
  <si>
    <t>A man on the right dances swinging his arms back and fourth.</t>
  </si>
  <si>
    <t>v_LAbzDJZtSvQ</t>
  </si>
  <si>
    <t>A man is standing in the woods, talking.</t>
  </si>
  <si>
    <t>He uses an ax to hit a large piece of wood.</t>
  </si>
  <si>
    <t>He splits the wood into logs with the ax.</t>
  </si>
  <si>
    <t>v_dcARAWmvWSo</t>
  </si>
  <si>
    <t>We see men working on a roof on a ranch style house.</t>
  </si>
  <si>
    <t>We see the supplies on the ground.</t>
  </si>
  <si>
    <t>We see the men on the front part of the roof.</t>
  </si>
  <si>
    <t>We see a man throwing shingles into a trailer on the ground.</t>
  </si>
  <si>
    <t>We see the rolls of roofing materials.</t>
  </si>
  <si>
    <t>We see a man throwing shingles into a trailer.</t>
  </si>
  <si>
    <t>Three men throw shingles off the roof.</t>
  </si>
  <si>
    <t>v_GqrEVe0c6PQ</t>
  </si>
  <si>
    <t>A setting of glasses with lemon water are set on a place mat with a whole lemon.</t>
  </si>
  <si>
    <t>Lemon slices are scooped from a jar and placed into drinking glasses on a steel counter top.</t>
  </si>
  <si>
    <t>Steaming hot water is poured over the lemons in the glasses.</t>
  </si>
  <si>
    <t>The glasses are stirred with a stirring rod.</t>
  </si>
  <si>
    <t>The glasses are seen set on the table and are slowly panned over from right to left.</t>
  </si>
  <si>
    <t>v_1F_CSpL_4Dg</t>
  </si>
  <si>
    <t>A couple is seen with a crowd, going up a snow covered hill.</t>
  </si>
  <si>
    <t>They tube down the snowy hills.</t>
  </si>
  <si>
    <t>The people slide down steep fast curves on the intertubes.</t>
  </si>
  <si>
    <t>v_DXu_aHrZaUs</t>
  </si>
  <si>
    <t>A sign board is seen with a company logo and contact information.</t>
  </si>
  <si>
    <t>A construction worker screws down floor baseboards.</t>
  </si>
  <si>
    <t>A construction worker uses a handheld scraper to apply plaster to the bare floor.</t>
  </si>
  <si>
    <t>A worker places tiles onto the floor and uses plastic cross spacers in the groves.</t>
  </si>
  <si>
    <t>A heavy weight roller is rolled over the newly placed tiles.</t>
  </si>
  <si>
    <t>The finished floor is seen after the job is done.</t>
  </si>
  <si>
    <t>v_9fh_ray_B80</t>
  </si>
  <si>
    <t>A few guys are sitting near a cliff.</t>
  </si>
  <si>
    <t>A man is climbing a cliff with all limbs.</t>
  </si>
  <si>
    <t>The man that is climbing falls and begins to laugh.</t>
  </si>
  <si>
    <t>v_4M4MXPP9oRY</t>
  </si>
  <si>
    <t>There are several people gathered to watch a competitive game of water polo on a sunny day.</t>
  </si>
  <si>
    <t>There are two teams in an outdoor swimming pool playing against each other.</t>
  </si>
  <si>
    <t>The spectators are watching and cheering for the players.</t>
  </si>
  <si>
    <t>the players are playing with a yellow colored ball.</t>
  </si>
  <si>
    <t>After one of the team scores a point, the fellow teammates cheer for them.</t>
  </si>
  <si>
    <t>The winning team scores more points and receives applause from the crowd.</t>
  </si>
  <si>
    <t>v_Hfd5sxW8Clg</t>
  </si>
  <si>
    <t>Several contestants are on a stage standing behind a podium made to look like a Rubik cube.</t>
  </si>
  <si>
    <t>A boy then places a blind fold on his forehead as a man stand to his left examining his every move.</t>
  </si>
  <si>
    <t>The cube is then picked up off the counter and the timer begins as he attempts to solve the puzzle.</t>
  </si>
  <si>
    <t>After thirty five seconds,he pulls the blind fold down over his eyes and continues to try and solve the cube.</t>
  </si>
  <si>
    <t>A minute and fifteen seconds has passed and the boy puts the cube down and the timer stops.</t>
  </si>
  <si>
    <t>Everybody is extremely happy for him and begin and congratulates him as the other opponents are still attempting to solve theirs.</t>
  </si>
  <si>
    <t>v_QuaoqO4JgKY</t>
  </si>
  <si>
    <t>A young boy is seen walking to the end of a diving board and jumping off the side.</t>
  </si>
  <si>
    <t>The boy comes up from the surface and another boy is seen walking to the end of the board.</t>
  </si>
  <si>
    <t>v_KlIAmoVrptA</t>
  </si>
  <si>
    <t>A brunette woman is smiling and talking while standing in a bathroom with just her chest up visible and a quick banner on the bottom of the screen say's her name is "Aubrey Morgan".</t>
  </si>
  <si>
    <t>The woman is now standing up and with just her legs visible and wearing shorts, she's holding a razor up and showing it in different angles, and close ups, the text on the screen reads "Good Quality Razor".</t>
  </si>
  <si>
    <t>The woman begins to wash her legs while still standing up, exfoliates, and then applies a thick layer of shaving cream all over her leg, fans her leg, and then begins shaving her legs from the ankle and the knee and then rinses her razor.</t>
  </si>
  <si>
    <t>The woman holds up a disposable razor, then holds up a reusable razor and shows that the razor can be popped up.</t>
  </si>
  <si>
    <t>The woman is standing again and is now applying lotion to her leg.</t>
  </si>
  <si>
    <t>The woman is now standing with just her upper body showing and is smiling and talking.</t>
  </si>
  <si>
    <t>v_peoMXSP3VgY</t>
  </si>
  <si>
    <t>Mountains are seen in the background and a boy rides in a car.</t>
  </si>
  <si>
    <t>Skateboarders ride down through a parking garage together.</t>
  </si>
  <si>
    <t>The skateboards ride down a hill the skid at the bottom.</t>
  </si>
  <si>
    <t>The boy sets his board standing upright.</t>
  </si>
  <si>
    <t>A boy skateboards through the bleachers of a stadium.</t>
  </si>
  <si>
    <t>v_nGsRDNIsc2o</t>
  </si>
  <si>
    <t>People are sitting on exercise bikes and working out.</t>
  </si>
  <si>
    <t>A woman puts something on the side of the leg of a man working out.</t>
  </si>
  <si>
    <t>A man in a black suit talks in front of a television.</t>
  </si>
  <si>
    <t>v_Gdf7ZWhh9Nw</t>
  </si>
  <si>
    <t>A person is seen scrubbing down the mane of a horse's fur and leads into washing him and spray him.</t>
  </si>
  <si>
    <t>The camera shows shots of the liquid and then shows the woman scrubbing down and washing the horse.</t>
  </si>
  <si>
    <t>She walks the horse away and shakes the bottle, showing more shots of her cleaning the horse with the bottle shown intermittent.</t>
  </si>
  <si>
    <t>v_stkWKPWbQpE</t>
  </si>
  <si>
    <t>A man holding a baton and wearing glittery tights is standing on a basketball court and is doing a routine of baton twirling, flips, and dramatic dances.</t>
  </si>
  <si>
    <t>The man twirls the baton very quickly and unexpectedly drops it.</t>
  </si>
  <si>
    <t>The man quickly recovers and picks up the baton and continues his routine like he's never dropped it in the first place and throws the baton high up into the air and does numerous spins and quickly catches the baton before it hits the ground.</t>
  </si>
  <si>
    <t>The man ends his routine in a sitting position with his legs spread apart, his head thrown back and the baton resting on his right and between his legs.</t>
  </si>
  <si>
    <t>v_NgBfcoVZ254</t>
  </si>
  <si>
    <t>The building is being shown then the clock tower.</t>
  </si>
  <si>
    <t>The young people are walking on the walkway in front of the building.</t>
  </si>
  <si>
    <t>A young man is skateboarding on the road, going side to side moving his feet on the board.</t>
  </si>
  <si>
    <t>v_IxrncvpPWV8</t>
  </si>
  <si>
    <t>A group of several teen boys are playing a game of tug of war.</t>
  </si>
  <si>
    <t>They pull hard until the rope gives, and they win the game.</t>
  </si>
  <si>
    <t>v_Acogo5mgX4Q</t>
  </si>
  <si>
    <t>The scene is of a neighborhood surrounded by tall trees and a pile of dead leaves next to a leaf catcher.</t>
  </si>
  <si>
    <t>A man holding a rattle puts leaves in bags attached to a leaf catcher.</t>
  </si>
  <si>
    <t>Also, the man use the leaf catcher to collect trash in a bag.</t>
  </si>
  <si>
    <t>v_kYZSCs-ILNQ</t>
  </si>
  <si>
    <t>A man wearing a white shirt is holding a tennis racket.</t>
  </si>
  <si>
    <t>He starts hitting tennis balls with his tennis racket.</t>
  </si>
  <si>
    <t>v_GycRQhoHnXw</t>
  </si>
  <si>
    <t>A large group of women are seen standing in a room and begin belly dancing.</t>
  </si>
  <si>
    <t>The woman dance with one another performing the same routine and one woman dancing in front.</t>
  </si>
  <si>
    <t>The women continue dancing with one another and end by walking around.</t>
  </si>
  <si>
    <t>v_E9hFBWDR12A</t>
  </si>
  <si>
    <t>person is walking inside a house to an open field holding a baseball bat.</t>
  </si>
  <si>
    <t>perso is walking with a handle stick behind some men running around the field.</t>
  </si>
  <si>
    <t>some papers are shown and women selling lacrosse tshirts, in a game, people are gathered around the field.</t>
  </si>
  <si>
    <t>players walks from the dressing rooms and are in the field playig.</t>
  </si>
  <si>
    <t>players are stading in line clapping at the end of the game, results are shown in the end.</t>
  </si>
  <si>
    <t>v_jIYRVlrXJgc</t>
  </si>
  <si>
    <t>Two players are playing a game of racket ball.</t>
  </si>
  <si>
    <t>One female takes a swing at the ball and hits it.</t>
  </si>
  <si>
    <t>The other female takes a swing at the ball and misses and hits herself instead.</t>
  </si>
  <si>
    <t>She then sits down on the floor while the other person comes to turn the camera off.</t>
  </si>
  <si>
    <t>v_P3BkKdkf43I</t>
  </si>
  <si>
    <t>A young man is seen standing in the middle of a room and holding a tennis racket up in the air.</t>
  </si>
  <si>
    <t>Himself and a man are then seen hitting the tennis ball around while running around the room.</t>
  </si>
  <si>
    <t>The boy runs away from the man and towards the camera in the end.</t>
  </si>
  <si>
    <t>v_WMdeqUyHWSo</t>
  </si>
  <si>
    <t>A large group of people are standing together while a women in a beautiful dress speaks.</t>
  </si>
  <si>
    <t>Various people in costume are shown and a girl runs around playing with a kite.</t>
  </si>
  <si>
    <t>Several kites are shown up in the air while other children play with them.</t>
  </si>
  <si>
    <t>Hundreds of kites are shown in the air for a festival and a man interviews his experience with the kites.</t>
  </si>
  <si>
    <t>Several people stop and look around and the city pans over the night.</t>
  </si>
  <si>
    <t>v_3CJW0qBwwx4</t>
  </si>
  <si>
    <t>A man is seen kneeling down beside a car spraying a hose on the car.</t>
  </si>
  <si>
    <t>He uses a sponge to clean around the car while others clean around the sides.</t>
  </si>
  <si>
    <t>More shots are shown of them cleaning the inside as well as under the hood while the camera pans around.</t>
  </si>
  <si>
    <t>v_s07U8_fkUWU</t>
  </si>
  <si>
    <t>women are playing voleyball in a wooden court.</t>
  </si>
  <si>
    <t>peolpe are siting in chairs around the court watching the girls.</t>
  </si>
  <si>
    <t>referees are standing on sides of the court holding flags and watching the game no stairs.</t>
  </si>
  <si>
    <t>v_jN-FG9yxNvE</t>
  </si>
  <si>
    <t>"Fitness for Life 365" appears on the screen.</t>
  </si>
  <si>
    <t>A panning up of the inside of a gym is shown as there is a man climbing monkey bars going backwards.</t>
  </si>
  <si>
    <t>He then goes back and forth to continue his workout.</t>
  </si>
  <si>
    <t>The video then fades to a black screen and asks you to subscribe to their youtube channel.</t>
  </si>
  <si>
    <t>v_Pt0CjFgzpxM</t>
  </si>
  <si>
    <t>The video shows a tutorial on how to install ceramic tiles using concrete.</t>
  </si>
  <si>
    <t>A person wearing an orange vest and black pants is working on tiling a room in a house.</t>
  </si>
  <si>
    <t>He is kneeling down next to a pile of white square ceramic tiles and a bucket filled with grout and cement.</t>
  </si>
  <si>
    <t>He is smearing the floor with cement with a trowel.</t>
  </si>
  <si>
    <t>Then he places the square tiles next to each other in a straight line, making sure they are fitted tightly together.</t>
  </si>
  <si>
    <t>He removes more tiles from the box to places them on the wet cement, making sure they are properly aligned with each other.</t>
  </si>
  <si>
    <t>He continues placing the tiles to fill in all the gaps until the entire room is fully covered with the white tiles.</t>
  </si>
  <si>
    <t>v_z9uVyf0D8eM</t>
  </si>
  <si>
    <t>A man is seen playing a set of bag pipes to the camera while moving his hands up and down.</t>
  </si>
  <si>
    <t>The man continues playing the instrument in the room and ends by moving his hands down.</t>
  </si>
  <si>
    <t>v_WSKx2EK_Bqc</t>
  </si>
  <si>
    <t>A man is sitting down with a microphone attached to his ears and starts to talk about the congas in front of him.</t>
  </si>
  <si>
    <t>Once he is done talking,the man begins to play and hits the congas back and forth.</t>
  </si>
  <si>
    <t>In between his performance,he takes briefs breaks and talks before continuing playing.</t>
  </si>
  <si>
    <t>Now,he has on head phones and starts to play the congas straight through with no interruptions.</t>
  </si>
  <si>
    <t>v__uPVFvEQocU</t>
  </si>
  <si>
    <t>I woman talks to the camera while holding a ping pong ball and standing by a ping pong table, interspersed with closeups of short demonstrations of technique.</t>
  </si>
  <si>
    <t>The woman retrieves a new ball.</t>
  </si>
  <si>
    <t>The woman retrieves two balls, then gets rid of one.</t>
  </si>
  <si>
    <t>The woman retrieves another ball.</t>
  </si>
  <si>
    <t>v_WbZpWiPCHVU</t>
  </si>
  <si>
    <t>Coffee is spilled on the carpet.</t>
  </si>
  <si>
    <t>A person carpet cleans the carpet.</t>
  </si>
  <si>
    <t>They then clean seats of a car.</t>
  </si>
  <si>
    <t>They empty the water into the sink.</t>
  </si>
  <si>
    <t>They empty the bucket into another bucket.</t>
  </si>
  <si>
    <t>They vacuum up sprinkles off of the carpet.</t>
  </si>
  <si>
    <t>v_rVxxAI6wlXk</t>
  </si>
  <si>
    <t>A man grabs a suitcase out of a car.</t>
  </si>
  <si>
    <t>He lays down in a barber chair.</t>
  </si>
  <si>
    <t>A man starts shaving his beard with a razor.</t>
  </si>
  <si>
    <t>He wraps a towel around his face.</t>
  </si>
  <si>
    <t>v_OtcRXishIxw</t>
  </si>
  <si>
    <t>A young man is helping a young woman swing at a soccer pinata.</t>
  </si>
  <si>
    <t>They are on an outdoor green field at a school or community center.</t>
  </si>
  <si>
    <t>She keeps missing the pinata while her friends try to help her out.</t>
  </si>
  <si>
    <t>An adult is controlling the pinata trying to keep her from hitting it.</t>
  </si>
  <si>
    <t>She finally ends up finding where it generally is while her friends laugh at her and continue to try to help.</t>
  </si>
  <si>
    <t>She gets hit by the pinata and ends up being unsuccessful.</t>
  </si>
  <si>
    <t>v_Wiu7FVCc6DA</t>
  </si>
  <si>
    <t>A few men are in the woods running playing paintball.</t>
  </si>
  <si>
    <t>They are looking for the other to try to shoot them out, while staying close to their team mates.</t>
  </si>
  <si>
    <t>One of the men checks his gun and readjust his it and then keeps moving forward.</t>
  </si>
  <si>
    <t>He moves along to continue playing the game.</t>
  </si>
  <si>
    <t>v_lipavQnHm_g</t>
  </si>
  <si>
    <t>A man is standing on an indoor court with his racket in his right hand the racket ball in the left hand and is talking and motioning a lot.</t>
  </si>
  <si>
    <t>The man then drops the ball on the court, hits it, then catches it when it returns to him.</t>
  </si>
  <si>
    <t>The man continues to talk as he holds the ball and racket in his hands and the screen fades to black.</t>
  </si>
  <si>
    <t>v_yXzLQU_jS44</t>
  </si>
  <si>
    <t>A man is looking down and talking into the camera.</t>
  </si>
  <si>
    <t>The man removes his glasses and shows us how to insert contact lenses.</t>
  </si>
  <si>
    <t>The man shows the contact lens to the camera.</t>
  </si>
  <si>
    <t>The man inserts the contact and moves his eye around.</t>
  </si>
  <si>
    <t>The man shows his other contact.</t>
  </si>
  <si>
    <t>The man inserts the contact on the right and moves his eye around.</t>
  </si>
  <si>
    <t>v_J6-rLsT975U</t>
  </si>
  <si>
    <t>A man shovels snow in the winter.</t>
  </si>
  <si>
    <t>A timelapse photo is made and a path is cleared so a car can drive out.</t>
  </si>
  <si>
    <t>v_sOUNe30PXY4</t>
  </si>
  <si>
    <t>Two men are on top a ladder in a wrestling ring, a man is bend on the ladder.</t>
  </si>
  <si>
    <t>Then, the wrestler jumps over the man, and the man and the wrestler fall to the ring.</t>
  </si>
  <si>
    <t>The judge watch the men.</t>
  </si>
  <si>
    <t>v_Qwj7f4vqveo</t>
  </si>
  <si>
    <t>A kid takes a drink and swishes it around in their mouth.</t>
  </si>
  <si>
    <t>They spit it out into a sink.</t>
  </si>
  <si>
    <t>They take another drink out of a cup.</t>
  </si>
  <si>
    <t>They put their mouth on a towel.</t>
  </si>
  <si>
    <t>They take another drink and dump it out in the sink.</t>
  </si>
  <si>
    <t>They pick up the towel and wipe their face.</t>
  </si>
  <si>
    <t>They grab a cup and turn the sink on.</t>
  </si>
  <si>
    <t>v_Gc1Mk5UyECQ</t>
  </si>
  <si>
    <t>A lacrosse team goes to play a game.</t>
  </si>
  <si>
    <t>other highlights are shown.</t>
  </si>
  <si>
    <t>v_jIVP2bEWmJE</t>
  </si>
  <si>
    <t>A boy is standing in a kitchen with two pieces of bread.</t>
  </si>
  <si>
    <t>He opens the fridge and takes out sandwich ingredients.</t>
  </si>
  <si>
    <t>He squirts mustard and mayo onto the sandwich.</t>
  </si>
  <si>
    <t>He then adds meat and cheese.</t>
  </si>
  <si>
    <t>Afterward, he puts the ingredients back into the fridge, zeroing in on the sandwich on the counter.</t>
  </si>
  <si>
    <t>v_sLq6p6NKApk</t>
  </si>
  <si>
    <t>We see a man with a croquet mallet talking.</t>
  </si>
  <si>
    <t>The man lines up his shot of the red ball.</t>
  </si>
  <si>
    <t>The man hits the red ball.</t>
  </si>
  <si>
    <t>The man points at the blue ball the kneels in the grass.</t>
  </si>
  <si>
    <t>v_c-3fceLb7n4</t>
  </si>
  <si>
    <t>A group of friends play shuffle board on an indoor court.</t>
  </si>
  <si>
    <t>The group takes turns shooting pucks onto the shuffleboard court.</t>
  </si>
  <si>
    <t>v_g9b-kCC79kQ</t>
  </si>
  <si>
    <t>People are talking in a room.</t>
  </si>
  <si>
    <t>People are playing blackjack in a crowded casino.</t>
  </si>
  <si>
    <t>A man claps his hands and signs a paper.</t>
  </si>
  <si>
    <t>People continue to play blackjack.</t>
  </si>
  <si>
    <t>v_gPtpPiea0iQ</t>
  </si>
  <si>
    <t>A woman walks into a partially netted area.</t>
  </si>
  <si>
    <t>The woman stands preparing to hammer throw.</t>
  </si>
  <si>
    <t>The woman performs the hammer throw.</t>
  </si>
  <si>
    <t>The hammer is seen landing with judges walking towards it.</t>
  </si>
  <si>
    <t>The woman raises her arm.</t>
  </si>
  <si>
    <t>The woman walks out of the netted area.</t>
  </si>
  <si>
    <t>The woman raises her arm again.</t>
  </si>
  <si>
    <t>v_V8UMJTrfXdw</t>
  </si>
  <si>
    <t>Two people play foosball with a woman behind.</t>
  </si>
  <si>
    <t>One person scores and claps.</t>
  </si>
  <si>
    <t>v_o4uymxrCKeo</t>
  </si>
  <si>
    <t>A boy swings on a swing outdoors.</t>
  </si>
  <si>
    <t>He swings as high as he can with his legs out.</t>
  </si>
  <si>
    <t>v_cXVWUEcSx20</t>
  </si>
  <si>
    <t>A woman is seen sitting on a couch holding a hat and leads into her cutting the cat's claws.</t>
  </si>
  <si>
    <t>She then holds up a piece of paper as the cat runs away and she points to the paper.</t>
  </si>
  <si>
    <t>v_ULPw4uZcx5I</t>
  </si>
  <si>
    <t>A person is sitting in a tube with other people standing around and pushing the person down a snowy trail.</t>
  </si>
  <si>
    <t>The person flies down the trail in the tube with another person following down afterwards.</t>
  </si>
  <si>
    <t>v_c3vEqTcKPsU</t>
  </si>
  <si>
    <t>a journalist is interviewing a basketball player in a court.</t>
  </si>
  <si>
    <t>man is polishing the wooden floor.</t>
  </si>
  <si>
    <t>v_y1jyeWW-G4E</t>
  </si>
  <si>
    <t>a little girl is sitting in sand where she has been trying to make a sand castle.</t>
  </si>
  <si>
    <t>Adults and another girl laugh as they try to build something in the sand.</t>
  </si>
  <si>
    <t>v_-wFNUGYf298</t>
  </si>
  <si>
    <t>A young adult male punches and kicks a suspended punching bag.</t>
  </si>
  <si>
    <t>The young male then starts to move around the punching bag while still punching and kicking it.</t>
  </si>
  <si>
    <t>The young male then walks away while removing his gloves.</t>
  </si>
  <si>
    <t>v_2WzsyEvhPPI</t>
  </si>
  <si>
    <t>A man talking to the camera while holding a poster.</t>
  </si>
  <si>
    <t>He grabs various objects off the table and explains his instructions.</t>
  </si>
  <si>
    <t>He wraps a box with tin foil then writes on the box with a marker.</t>
  </si>
  <si>
    <t>He lays out more tin foil and wraps another object with it.</t>
  </si>
  <si>
    <t>He finishes wrapping all objects with tin foil and showing how.</t>
  </si>
  <si>
    <t>v_FujUrbL1qc0</t>
  </si>
  <si>
    <t>A man is sitting on a workout bench.</t>
  </si>
  <si>
    <t>He lays back and starts doing crunches.</t>
  </si>
  <si>
    <t>He sits back up on the machine and continues talking.</t>
  </si>
  <si>
    <t>v_sByOncVAMqg</t>
  </si>
  <si>
    <t>She stands on the beam, then does several hand springs and flips.</t>
  </si>
  <si>
    <t>v_3Y46yorcd5Q</t>
  </si>
  <si>
    <t>A large wave breaks in the ocean as surfers and surfers paddle over it.</t>
  </si>
  <si>
    <t>A large wave crashes in the ocean and a man rides down the face on body board.</t>
  </si>
  <si>
    <t>surfers ride waves in the ocean.</t>
  </si>
  <si>
    <t>A large wave breaks on shore and spectators run.</t>
  </si>
  <si>
    <t>v_CcBPELJaRlk</t>
  </si>
  <si>
    <t>Several people are divided up into groups on rafts kayaking through murky water.</t>
  </si>
  <si>
    <t>The first group of eight people paddle themselves near a cliff and go down the hill and the others trail behind them with the same actions.</t>
  </si>
  <si>
    <t>For the fifth group, an aerial view is provided and the others way for them to come.</t>
  </si>
  <si>
    <t>After, each group does the same thing as they maneuver throughout various parts of the water and hitting rocks.</t>
  </si>
  <si>
    <t>v_JLipYEVwKTg</t>
  </si>
  <si>
    <t>A woman wearing a leopard print jacket is sitting with a man in a hookah bar.</t>
  </si>
  <si>
    <t>The man kisses her as he leans forward.</t>
  </si>
  <si>
    <t>She is holding the hookah in her hand ready to take her first puff.</t>
  </si>
  <si>
    <t>After she inhales the hookah, she puffs out some smoke and coughs in discomfort.</t>
  </si>
  <si>
    <t>v_eEBiomp_9tQ</t>
  </si>
  <si>
    <t>A woman in a dress is walking up stairs.</t>
  </si>
  <si>
    <t>She takes her dress off and starts dancing.</t>
  </si>
  <si>
    <t>She is working out with other people on a step stool.</t>
  </si>
  <si>
    <t>v_XOEQfCu6KsE</t>
  </si>
  <si>
    <t>A man is seen walking around a field with a dog next to him.</t>
  </si>
  <si>
    <t>The man then grabs a frisbee and begins performing tricks with the dog.</t>
  </si>
  <si>
    <t>The man continues to throw around a frisbee with the dog while others watch on the side.</t>
  </si>
  <si>
    <t>v_f7qFnCkFIuQ</t>
  </si>
  <si>
    <t>A person is walking towards three people who are painting a fence black.</t>
  </si>
  <si>
    <t>The man asks the boy to see his work and pans the camera over to his wife.</t>
  </si>
  <si>
    <t>The man makes a joke to his wife and laughs off camera.</t>
  </si>
  <si>
    <t>v_VuGLqAda2hE</t>
  </si>
  <si>
    <t>A woman talks in a gym, then she drives a static bike.</t>
  </si>
  <si>
    <t>Then,the woman and other people lift weight.</t>
  </si>
  <si>
    <t>Then, the woman continues riding the bike and then lift weigh.</t>
  </si>
  <si>
    <t>v_qp3OfC0dCOs</t>
  </si>
  <si>
    <t>Outside in the backyard two little boys in matching swim suits are playing with nets trying to catch a ball.</t>
  </si>
  <si>
    <t>They are both trying to get the ball in their own net basically playfully fighting over whose going to get it.</t>
  </si>
  <si>
    <t>The dad comes and throws the ball over and the boys run after it.</t>
  </si>
  <si>
    <t>They continue to play and one of the little boys gets it in his net and trows it and when it lands they both go after it again.</t>
  </si>
  <si>
    <t>v_6cha8sVi65k</t>
  </si>
  <si>
    <t>Several hockey players leave a group, skating across the ice.</t>
  </si>
  <si>
    <t>They begin playing, shooting the puck back and forth, trying to get it to go into the enemy's goal.</t>
  </si>
  <si>
    <t>A goalie stands alone at his goal.</t>
  </si>
  <si>
    <t>Everyone gathers again as the referee signals them to play.</t>
  </si>
  <si>
    <t>v_CJKwvmOuhJk</t>
  </si>
  <si>
    <t>A person is seen standing before a sink wearing gloves.</t>
  </si>
  <si>
    <t>The woman looks back to the camera and smiles while holding a toothbrush.</t>
  </si>
  <si>
    <t>She then turns back to the sink full of dirty dishes.</t>
  </si>
  <si>
    <t>v_Szze8i9UsRo</t>
  </si>
  <si>
    <t>A person opens a round box and take off a bottle of nail polish and puts on holder.</t>
  </si>
  <si>
    <t>Then, the person puts a nail on a round support on the box, then paint her nails.</t>
  </si>
  <si>
    <t>After, the woman close the nail polish bottle.</t>
  </si>
  <si>
    <t>v_sWaU9O4xzFE</t>
  </si>
  <si>
    <t>A man and a woman get ready to play darts.</t>
  </si>
  <si>
    <t>Instructions on needed materials to play darts are displayed.</t>
  </si>
  <si>
    <t>The man and the woman walk to the dart board.</t>
  </si>
  <si>
    <t>They joke around getting ready to play darts.</t>
  </si>
  <si>
    <t>The man throws a dart.</t>
  </si>
  <si>
    <t>The woman follows after him.</t>
  </si>
  <si>
    <t>The woman throws three more darts.</t>
  </si>
  <si>
    <t>The man shows off his dart and demonstrates how to step.</t>
  </si>
  <si>
    <t>He throws the dart from afar.</t>
  </si>
  <si>
    <t>The position of the darts on the boars are shown.</t>
  </si>
  <si>
    <t>The man grabs the darts from the board.</t>
  </si>
  <si>
    <t>The woman throws some darts.</t>
  </si>
  <si>
    <t>The man follows after the woman.</t>
  </si>
  <si>
    <t>The woman does it again.</t>
  </si>
  <si>
    <t>The man returns to do the same.</t>
  </si>
  <si>
    <t>The woman throws them again.</t>
  </si>
  <si>
    <t>The man goes after her again.</t>
  </si>
  <si>
    <t>The woman goes once more and triumphantly wins.</t>
  </si>
  <si>
    <t>v_Mg3_BN9t9JY</t>
  </si>
  <si>
    <t>A woman is seen hosting a news segment and that leads into people riding around on horses.</t>
  </si>
  <si>
    <t>People are seen walking around an area with dogs stomping their feet as well as another man speaking to the camera.</t>
  </si>
  <si>
    <t>More shots are shown of the people playing the game on a horse as well as others speaking to the camera and getting a trophy.</t>
  </si>
  <si>
    <t>v_Hc--KcdMkEA</t>
  </si>
  <si>
    <t>A man stands in front of a podium talking.</t>
  </si>
  <si>
    <t>Two other men stand next to him.</t>
  </si>
  <si>
    <t>One of the two men digs in a fire pit where there was a fire and then pours water on it.</t>
  </si>
  <si>
    <t>The same man digs around in the pit with his hand looking for burning embers.</t>
  </si>
  <si>
    <t>v_n-i9nC6vxu0</t>
  </si>
  <si>
    <t>A body of water is shown below the trees.</t>
  </si>
  <si>
    <t>A person is walking on a slack line over the water.</t>
  </si>
  <si>
    <t>They get to the end of the slack line.</t>
  </si>
  <si>
    <t>v_ncTkaZcDcTo</t>
  </si>
  <si>
    <t>A skater girl in a white t-shirt and shorts tries to jump with her skateboard and falls backwards hitting her head.</t>
  </si>
  <si>
    <t>Two more skaters head around a curve, but one plows straight into a hay-stack, though luckily helmet-first.</t>
  </si>
  <si>
    <t>Another helmeted skater tries a hand-stop, and does stop, though unfortunately his skateboard does not.</t>
  </si>
  <si>
    <t>After a few more skating mishaps, the last performance is by a skater who doesn't feel the need for safety equipment and while headed straight down a hill, he flips off of his skateboard and spends several minutes checking on his various road-rashes.</t>
  </si>
  <si>
    <t>v_RVYINuYPY6o</t>
  </si>
  <si>
    <t>Three boys in a grass covered back yard take turns playing a game of cricket on the lawn.</t>
  </si>
  <si>
    <t>The boys take turns throwing and hitting the cricket ball, helping each other out by redistributing the ball back into the game when they land in the field.</t>
  </si>
  <si>
    <t>One of the boys puts on a football helmet and stands on the side lines catching the ball.</t>
  </si>
  <si>
    <t>v_mtQUYdj2Ecg</t>
  </si>
  <si>
    <t>A man attempts to lift a barbell.</t>
  </si>
  <si>
    <t>He bends at the knees, lifting it to his chest.</t>
  </si>
  <si>
    <t>He hits himself in the throat, falling backward.</t>
  </si>
  <si>
    <t>v_pJRUkudK6iE</t>
  </si>
  <si>
    <t>A textured intro screen appears and a logo of a shoe is displayed along with green words that say "VICKERMANN und STOYA".</t>
  </si>
  <si>
    <t>Two groups of supplies are shown and they include products from the company name in the intro screen that include brushes, a cloth, shoe shaper, shoelaces and a couple of small tin containers.</t>
  </si>
  <si>
    <t>A man wearing a green apron is untying shoelaces from a brown high shoe, then brushes it with a large brush, then he takes a smaller brush, dips it into a small container, then brushes it onto the shoe and the shoe looks very polished on any surface that he brushes.</t>
  </si>
  <si>
    <t>The man then picks up a white cloth and rubs it all over the shoe.</t>
  </si>
  <si>
    <t>The man puts the white cloth down, picks up a thick brush and brushes the shoe all over.</t>
  </si>
  <si>
    <t>Then he puts the shoe and the brush down, picks up the shoelace and laces the shoe.</t>
  </si>
  <si>
    <t>The man then picks up the polished shoe and unpolished shoe and puts them closer to the camera for a comparison then the same textured screen from the intro appears with the shoe log and the company name of "VICKERMANN und STOYA".</t>
  </si>
  <si>
    <t>v_CD8FFj8AJE0</t>
  </si>
  <si>
    <t>A man is seen speaking to the camera and leads into him wiping down another man's back.</t>
  </si>
  <si>
    <t>He rubs in lotion and then stands up with the man.</t>
  </si>
  <si>
    <t>The man holds a mirror up to his back and smiles back to the artist.</t>
  </si>
  <si>
    <t>v_Qxquum8p8S8</t>
  </si>
  <si>
    <t>There are some kids using a water pump to wash their hands at the Plumpton Park Zoo.</t>
  </si>
  <si>
    <t>There's a young boy in a black and white hoodie helping pump out water for another boy to wash his hands.</t>
  </si>
  <si>
    <t>Then he goes on help another young boy wearing a black hoodie to wash his hands.</t>
  </si>
  <si>
    <t>The three kids are having fun in the water as they wash their hands clean.</t>
  </si>
  <si>
    <t>v_1P_y_DLlg-E</t>
  </si>
  <si>
    <t>A lady stands in a yard holding a leaf blower before stepping over the cord.</t>
  </si>
  <si>
    <t>The lady blows the leafs as she walks around the yard.</t>
  </si>
  <si>
    <t>The lady points the tool at the camera and laugh.</t>
  </si>
  <si>
    <t>The lady continues to blow the leaves.</t>
  </si>
  <si>
    <t>v_QHJTOHgjDMw</t>
  </si>
  <si>
    <t>A girl walks into a room, seeing sheet music at a piano.</t>
  </si>
  <si>
    <t>She opens the piano and begins to play.</t>
  </si>
  <si>
    <t>She thinks about a couple while she is playing.</t>
  </si>
  <si>
    <t>v_bLqd98mmu3w</t>
  </si>
  <si>
    <t>A woman is scared of going in the water and says she cant do this.</t>
  </si>
  <si>
    <t>A group of people are sitting in a pool of water that is precariously close to the edge of a waterfall.</t>
  </si>
  <si>
    <t>The woman jumps in the water and everyone cheers.</t>
  </si>
  <si>
    <t>The group of people are laughing and talking while more people jump in the water.</t>
  </si>
  <si>
    <t>Scenes of the waterfall are viewed.</t>
  </si>
  <si>
    <t>v_MEuGzNPI1pw</t>
  </si>
  <si>
    <t>A man prepares for a gymnastics routine on the parallel bars.</t>
  </si>
  <si>
    <t>The crowd seems to approve when he flips and catches himself before then dismounting.</t>
  </si>
  <si>
    <t>v_qU_605hliNw</t>
  </si>
  <si>
    <t>A camera pans all around a wooded area and leads into two people riding around on skis.</t>
  </si>
  <si>
    <t>Several shots are shown of various people riding behind a boat on skis and performing tricks.</t>
  </si>
  <si>
    <t>The people continue riding as well as hanging on the side on a large pole.</t>
  </si>
  <si>
    <t>v_hyW_cjYi8P4</t>
  </si>
  <si>
    <t>A man is seen speaking to the camera while presenting various objects in front of him.</t>
  </si>
  <si>
    <t>The man then uses a marker to dig up the side of a table and fill it in.</t>
  </si>
  <si>
    <t>He shows how to use the pen on several objects while filling it in and sanding it afterwards.</t>
  </si>
  <si>
    <t>v_BC1ZIeZvFXw</t>
  </si>
  <si>
    <t>A boy is riding a long board down various road ways.</t>
  </si>
  <si>
    <t>He does a flip trick riding down one of the road ways.</t>
  </si>
  <si>
    <t>He winds back and fourth down the snowy road.</t>
  </si>
  <si>
    <t>He skateboards at night and the logo is shown.</t>
  </si>
  <si>
    <t>v_LxntXVcMxtc</t>
  </si>
  <si>
    <t>Two girls in karate class bow forward and then to each other before practice.</t>
  </si>
  <si>
    <t>The girl dodges an attack by taking a knee while blocking a hit.</t>
  </si>
  <si>
    <t>The karate students punch and block with their wrists.</t>
  </si>
  <si>
    <t>The girl does a standing spinning kicks.</t>
  </si>
  <si>
    <t>v_TXSNkjjTzdE</t>
  </si>
  <si>
    <t>A woman talks and fix her wet hair, also she shows a brush and a dry hair.</t>
  </si>
  <si>
    <t>The woman brush her hair on different directions using a hair dryer.</t>
  </si>
  <si>
    <t>Then, the woman stops and shows her hairstyle while talking.</t>
  </si>
  <si>
    <t>After, the woman shows the direction to comb hair, then uses a hair iron to straight the hair.</t>
  </si>
  <si>
    <t>v_gY5akj1YcMk</t>
  </si>
  <si>
    <t>A man does wave wheels in a canoe.</t>
  </si>
  <si>
    <t>He is shown doing downstream momentum, rolling over in his canoe.</t>
  </si>
  <si>
    <t>Now we see set edge and plant blade as he moves upstream.</t>
  </si>
  <si>
    <t>v_j_Xr8nLEjLQ</t>
  </si>
  <si>
    <t>A person stands on a rope, and then he jumps over a rope.</t>
  </si>
  <si>
    <t>The person jumps on his feet, as well on this butt and body.</t>
  </si>
  <si>
    <t>v_5QDwobEnN3g</t>
  </si>
  <si>
    <t>A family is seen sitting on the beach making sand castles with a object.</t>
  </si>
  <si>
    <t>People stand around to watch them work and the camera pans around the kids playing in the sand.</t>
  </si>
  <si>
    <t>v_iM8rmKLJnt8</t>
  </si>
  <si>
    <t>woman is painting the fence with white paint.</t>
  </si>
  <si>
    <t>man is painting a green bench in the park.</t>
  </si>
  <si>
    <t>v_ALjodjboELk</t>
  </si>
  <si>
    <t>A group of people are seen swimming around a pool with one man sitting on his head.</t>
  </si>
  <si>
    <t>More shots are shown of people close up swimming up the water as well as kneeling.</t>
  </si>
  <si>
    <t>A woman takes off her tank as well as putting it back and leads into them swimming more.</t>
  </si>
  <si>
    <t>v_PWrVWeH45Zo</t>
  </si>
  <si>
    <t>Boys are moping the tiled floor.</t>
  </si>
  <si>
    <t>A boy in short places his mop in a yellow bucket.</t>
  </si>
  <si>
    <t>A lady walks away with a long clear object in her hand.</t>
  </si>
  <si>
    <t>v_agr3ZKq1Iso</t>
  </si>
  <si>
    <t>Children ride in bumper cars on an amusement ride.</t>
  </si>
  <si>
    <t>One person follows close behind a car in front of him riding his bumper.</t>
  </si>
  <si>
    <t>The group gets stuck in a a large traffic jam after bumping each other.</t>
  </si>
  <si>
    <t>The cars turn around and get out of the traffic jam.</t>
  </si>
  <si>
    <t>A boy crashes into the back of a stopped car.</t>
  </si>
  <si>
    <t>v_39FIjDeot-s</t>
  </si>
  <si>
    <t>a lot of kids ar standing ni a basket court doing boxing movements.</t>
  </si>
  <si>
    <t>little girls are standing in the middle of a court practicing boxing.</t>
  </si>
  <si>
    <t>people are sitting on chairs in a wooden court.</t>
  </si>
  <si>
    <t>v_F4ERtlGMFt4</t>
  </si>
  <si>
    <t>A person is riding a bull in an arena.</t>
  </si>
  <si>
    <t>People are standing in an arena around a bull.</t>
  </si>
  <si>
    <t>A bull charges them and knocks them to the ground.</t>
  </si>
  <si>
    <t>v_H8f7pTaBFKk</t>
  </si>
  <si>
    <t>A man is seen scraping off a car that is covered with snow and speaking to the camera.</t>
  </si>
  <si>
    <t>The camera follows the man around as he continues to scrap off the car and speaking to the camera.</t>
  </si>
  <si>
    <t>v_0-F3q8Aj9Zk</t>
  </si>
  <si>
    <t>A teenage boy dances around in the background while another teenage boy wearing practices high jump in a school cafeteria.</t>
  </si>
  <si>
    <t>A teenage boy completes a high jump landing on his back on the mat.</t>
  </si>
  <si>
    <t>Several adults and teenagers are standing and sitting around the high jump mat while a boy in black does the high jump.</t>
  </si>
  <si>
    <t>The boy in black does another high jump while another teenage boy watches in the background.</t>
  </si>
  <si>
    <t>The same boy in black does a high jump while a taller boy in white walks past.</t>
  </si>
  <si>
    <t>The same high jump is shown slowly to point out mistakes the boy is making.</t>
  </si>
  <si>
    <t>A different boy wearing white does the high jump while other people stand and sit nearby.</t>
  </si>
  <si>
    <t>The high jump from the boy wearing white is replayed to point out mistakes.</t>
  </si>
  <si>
    <t>A third boy wearing blue does the high jump three times in a row with others in the background.</t>
  </si>
  <si>
    <t>A replay of the boy in blue is played to point out mistakes he is making.</t>
  </si>
  <si>
    <t>v_7kQ3JRkEQr0</t>
  </si>
  <si>
    <t>Two girls are standing up doing karate.</t>
  </si>
  <si>
    <t>People are sitting down watching them.</t>
  </si>
  <si>
    <t>A woman in a black robe is standing up next to them.</t>
  </si>
  <si>
    <t>v_R0sADQPdso8</t>
  </si>
  <si>
    <t>A lady speaks in front of a plaza.</t>
  </si>
  <si>
    <t>the lady hula hoops in short shorts and a tight shirt in a plaza and we see a timer in the upper right corner periodically.</t>
  </si>
  <si>
    <t>The timer reads The lady hula hoops for 2 minutes and seventeen seconds.</t>
  </si>
  <si>
    <t>The lady speaks to the camera again.</t>
  </si>
  <si>
    <t>We see the ending YouTube screen.</t>
  </si>
  <si>
    <t>v_DLfOiuxMstg</t>
  </si>
  <si>
    <t>A envelope with a key on it is shown.</t>
  </si>
  <si>
    <t>A woman wraps a book in brown paper.</t>
  </si>
  <si>
    <t>A woman in a gray sweater is talking.</t>
  </si>
  <si>
    <t>A woman waves at the camera.</t>
  </si>
  <si>
    <t>They finish wrapping the book and put the envelope on the front of the package.</t>
  </si>
  <si>
    <t>The words thank you is stamped inside a book.</t>
  </si>
  <si>
    <t>v_X7f-hwiYZ1Q</t>
  </si>
  <si>
    <t>A woman is seen speaking and laughing to the camera and leads into her holding up a magazine and presenting pages to the camera.</t>
  </si>
  <si>
    <t>The woman presents more objects to the camera and then uses one to brush her teeth while still speaking to the camera.</t>
  </si>
  <si>
    <t>v_rVYuVW9tB3U</t>
  </si>
  <si>
    <t>Two suma wrestlers walk to a ring.</t>
  </si>
  <si>
    <t>A crowd watches the fight.</t>
  </si>
  <si>
    <t>The suma wrestlers prepare themselves.</t>
  </si>
  <si>
    <t>A referee calls them into position.</t>
  </si>
  <si>
    <t>The suma wrestlers begin fighting, with one of them immediately throwing the other to the ground.</t>
  </si>
  <si>
    <t>The winning suma wrestler is applauded and cheered on by the crowd as he walks off the stage.</t>
  </si>
  <si>
    <t>v_dH_gpSfaA6E</t>
  </si>
  <si>
    <t>To wrap a circular gift you will need ribbon scissors, paper scissors, ribbons, tape, Japenese using paper because its soft and strong and the color doesn't come off.</t>
  </si>
  <si>
    <t>First measure the paper correctly by measuring at the sides then fold paper in the middle holding the paper the same way on the other side then close paper in the middle of the joint to make a crease then repeat until crease is all around then put tape on top then tie on the ribbon.</t>
  </si>
  <si>
    <t>v_c-aDlEaZmFk</t>
  </si>
  <si>
    <t>A lady gymnast dressed in black leotards is performing gymnastics on bars.</t>
  </si>
  <si>
    <t>She flawlessly jumps on the bar and swings back and forth from one bar to another without falling off.</t>
  </si>
  <si>
    <t>She successfully completes her round and jumps off of the bars.</t>
  </si>
  <si>
    <t>The crowd cheers loudly as they applaud for the gymnast.</t>
  </si>
  <si>
    <t>v_3TwqeiVbpS8</t>
  </si>
  <si>
    <t>A series of people violently falling off of water skis while water skiing exhibits.</t>
  </si>
  <si>
    <t>A person crashing into a family on the beach from going full speed on a water ski occurs.</t>
  </si>
  <si>
    <t>Several more people are shown crashing while on water skis with one man crashing and the water turning red at the point of impact and crashing.</t>
  </si>
  <si>
    <t>A last clip shows someone going up a ramp on water skis and then crashing into the water.</t>
  </si>
  <si>
    <t>v_at2XbuHG5WQ</t>
  </si>
  <si>
    <t>A white fence is shown outside a house.</t>
  </si>
  <si>
    <t>A man is holding a scraper and brush.</t>
  </si>
  <si>
    <t>He scrapes the paint off the fence, then repaints it with fresh paint.</t>
  </si>
  <si>
    <t>v_Ed08LA1pjIg</t>
  </si>
  <si>
    <t>The person is skiing down the high snow covered mountains.</t>
  </si>
  <si>
    <t>A red helicopter is flying around as the skiers are climbing the top mountain.</t>
  </si>
  <si>
    <t>The skiers ski down the slope, ride their motorcycles, went fishing , and ski.</t>
  </si>
  <si>
    <t>v_s__e_v6aaq0</t>
  </si>
  <si>
    <t>A little boy is inside a living room.</t>
  </si>
  <si>
    <t>He is pushing and pulling a large vacuum cleaner.</t>
  </si>
  <si>
    <t>He is vacuuming the large living room rug.</t>
  </si>
  <si>
    <t>v_boqZwv68BiM</t>
  </si>
  <si>
    <t>A close up of a tool is shown followed by a person cutting along a rug.</t>
  </si>
  <si>
    <t>The person continues using the tool along the sides and the camera fades to black shortly after.</t>
  </si>
  <si>
    <t>v_Bg9hw5K-m6Q</t>
  </si>
  <si>
    <t>A man is standing in his yard.</t>
  </si>
  <si>
    <t>He uses a brush to brush his very long hair.</t>
  </si>
  <si>
    <t>He brushes it from several different angles.</t>
  </si>
  <si>
    <t>v_MyMYuXh8E0Y</t>
  </si>
  <si>
    <t>A man in a black hoodie talks to the camera.</t>
  </si>
  <si>
    <t>A second man in a blue hoodie walks in and talks to the camera.</t>
  </si>
  <si>
    <t>The man in the black hoodie shows off a bottle of mouth wash.</t>
  </si>
  <si>
    <t>The two men talk to each other.</t>
  </si>
  <si>
    <t>The man in the blue hoodie pours the mouthwash in two glasses.</t>
  </si>
  <si>
    <t>The two men take classes and "cheers" each other.</t>
  </si>
  <si>
    <t>The two men keep the mouthwash in their mouths.</t>
  </si>
  <si>
    <t>The man in the black hoodie shows off his t-shirt.</t>
  </si>
  <si>
    <t>The two men show off signs that insult each other and try to make each other laugh.</t>
  </si>
  <si>
    <t>The man in the blue hoodie laughs first.</t>
  </si>
  <si>
    <t>The men both spit the mouthwash in the sink.</t>
  </si>
  <si>
    <t>v_DvtfiPvPhZ8</t>
  </si>
  <si>
    <t>A man and woman is seen walking onto a large stage away from one another.</t>
  </si>
  <si>
    <t>The two then begin performing a tango routine with one another.</t>
  </si>
  <si>
    <t>The man lifts the woman all around while they continue dancing and end by holing a pose.</t>
  </si>
  <si>
    <t>v_-HaFSqzE4Nc</t>
  </si>
  <si>
    <t>A teenage boy and girl are sitting in s car smoking from a hose.</t>
  </si>
  <si>
    <t>The girl and boy take turns blowing smoke rings.</t>
  </si>
  <si>
    <t>v_aM9WZ1_8yC0</t>
  </si>
  <si>
    <t>A man is throwing darts at a dart board.</t>
  </si>
  <si>
    <t>He points to the words on his shirt.</t>
  </si>
  <si>
    <t>He shows the darts in the dart board.</t>
  </si>
  <si>
    <t>He shows his hand while throwing the dart.</t>
  </si>
  <si>
    <t>v_hShYj_OGFtc</t>
  </si>
  <si>
    <t>A person is seen kneeling down in a large hole rubbing plaster along a wall.</t>
  </si>
  <si>
    <t>The man rubs plaster using a tool and stands up to grab paper.</t>
  </si>
  <si>
    <t>He rubs the paper along the wall and ends by looking up to the camera.</t>
  </si>
  <si>
    <t>v_BxzOUJbq28s</t>
  </si>
  <si>
    <t>A man with a beard is playing on a green drum.</t>
  </si>
  <si>
    <t>The man starts adding in a second drum to the mix.</t>
  </si>
  <si>
    <t>A third drum is added to the drumming mix.</t>
  </si>
  <si>
    <t>v_PuylbPlzbH0</t>
  </si>
  <si>
    <t>We see people holding their phones up to record.</t>
  </si>
  <si>
    <t>We then see a man playing a piano.</t>
  </si>
  <si>
    <t>The camera moves around the man's back.</t>
  </si>
  <si>
    <t>The crowd then claps for the man.</t>
  </si>
  <si>
    <t>The man then looks up and speaks.</t>
  </si>
  <si>
    <t>v_uxRBnIWE79s</t>
  </si>
  <si>
    <t>People are indoors and the focus is on various clips of various different people fencing one another.</t>
  </si>
  <si>
    <t>A fencing match between two women begin and the wording on the screen say's their names are Michelle Li &amp; Cindy Gao, and they are shown fighting from various different angles doing many fencing moves.</t>
  </si>
  <si>
    <t>When they are done fighting the women are shown standing close together, smiling, and the woman on the left has her arm resting on the shoulder of the woman on the right.</t>
  </si>
  <si>
    <t>The outro is a white screen with multiple colors on it that include logos, website and the name of the event.</t>
  </si>
  <si>
    <t>v_at3YFTd6nEw</t>
  </si>
  <si>
    <t>A woman is smiling sitting in a tattoo sitting on the chair waiting patiently, smiling and being over friendly.</t>
  </si>
  <si>
    <t>He is wearing gloves and grabs a clamp then hr puts it in her mouth and clamps her lip with it.</t>
  </si>
  <si>
    <t>Then grabs a needle and sticks it through her lip, he gets a piercing and puts it on for her.</t>
  </si>
  <si>
    <t>After that she gets up off the chair and walks to the mirror to check it out for herself.</t>
  </si>
  <si>
    <t>v_qI_Bo0D6p7I</t>
  </si>
  <si>
    <t>A small girl is seen hula hooping over and over again with her hands on her hips.</t>
  </si>
  <si>
    <t>The girl spins around with the hula hoop moving from her feet to her knees as well as the rest of her body.</t>
  </si>
  <si>
    <t>At one point she throws the hula hoop accidentally but picks it back up and continues spinning with it.</t>
  </si>
  <si>
    <t>In the end she falls to the ground with the hoop still in her hands.</t>
  </si>
  <si>
    <t>v_SEZvtGus0HU</t>
  </si>
  <si>
    <t>There are surfers riding on a very large wave.</t>
  </si>
  <si>
    <t>A white wave crashes down and the surfer below it disappears as the large white foam of the wave spreads to a very large area on the water.</t>
  </si>
  <si>
    <t>Men on water jets quickly go to the area where the surfers could be and they recover them from the water and quickly drive away from the wave as they pass other surfers and water jet drivers as they all continue to ride on the waves.</t>
  </si>
  <si>
    <t>Now the view changes to the view from a helicopter above and it shows the people on the water driving their water jets.</t>
  </si>
  <si>
    <t>A black screen appears and it includes white lettering that say's "Shot on Red One by Mike Waltze" and includes a website then the word "Courtesy NanoGreensHawaii dot com Instant Organic Nutrition".</t>
  </si>
  <si>
    <t>v_iEGYd3DJ3Wo</t>
  </si>
  <si>
    <t>A man dressed as a referee is shown in a hockey rink.</t>
  </si>
  <si>
    <t>A number of men play are shown playing hockey.</t>
  </si>
  <si>
    <t>Several of the hockey players start a fight.</t>
  </si>
  <si>
    <t>v_02V8Hz-M6BM</t>
  </si>
  <si>
    <t>The people are walking in the street with marching band.</t>
  </si>
  <si>
    <t>The men in green vest are walking on both sides of the parade.</t>
  </si>
  <si>
    <t>The man in neon green jacket is taking picture of the parade.</t>
  </si>
  <si>
    <t>v_oSyBkE3gYMM</t>
  </si>
  <si>
    <t>There's a young man skateboarding through a two lane empty road that has trees on both sides.</t>
  </si>
  <si>
    <t>He goes steadily through the long and winding road without stopping.</t>
  </si>
  <si>
    <t>He passes through curves and turns around to adjust his speed.</t>
  </si>
  <si>
    <t>Then as he approaches a steep curve, he tries to turn but ends up falling down and bruising himself.</t>
  </si>
  <si>
    <t>He gets up immediately and shows his friends his scraped and injured elbow.</t>
  </si>
  <si>
    <t>Another friend of his also shows his injuries that he's had from skateboarding.</t>
  </si>
  <si>
    <t>v_h9LI_6eBzw4</t>
  </si>
  <si>
    <t>A montage of canoe sprinting is shown.</t>
  </si>
  <si>
    <t>The winners celebrate and both men's and women's are shown.</t>
  </si>
  <si>
    <t>v_w_X7cLnFCYw</t>
  </si>
  <si>
    <t>An introduction comes onto the screen about a video showing how to triple jump.</t>
  </si>
  <si>
    <t>A guy is shown running down a track making a jump.</t>
  </si>
  <si>
    <t>The jump is shown again in slow motion for better understanding.</t>
  </si>
  <si>
    <t>The guy is then shown exiting the track.</t>
  </si>
  <si>
    <t>v_q0o0k2uD0co</t>
  </si>
  <si>
    <t>A person is washing a car.</t>
  </si>
  <si>
    <t>The person changes hands and washes with their other hand.</t>
  </si>
  <si>
    <t>They then use both hands.</t>
  </si>
  <si>
    <t>v_FKphYO14qhw</t>
  </si>
  <si>
    <t>A man is leaning over a large pool table.</t>
  </si>
  <si>
    <t>He uses a cue to shoot the ball toward the pocket.</t>
  </si>
  <si>
    <t>He tries again and again until they go into the pockets.</t>
  </si>
  <si>
    <t>v_EWSMeiZqUHQ</t>
  </si>
  <si>
    <t>A class room is filled with students either sitting or standing.</t>
  </si>
  <si>
    <t>Suddenly, a group of boys begin to run around the classroom smiling, marching in place, and doing some dancing and exercises while the rest of the sitting class look on.</t>
  </si>
  <si>
    <t>The boys spread apart and end their routine then they walk towards one another while smiling.</t>
  </si>
  <si>
    <t>v_43hQNmW-6_k</t>
  </si>
  <si>
    <t>A man is doing the splits inside a gym.</t>
  </si>
  <si>
    <t>He talks to the camera about the procedure.</t>
  </si>
  <si>
    <t>He leans forward, stretching his legs.</t>
  </si>
  <si>
    <t>v_6yVhTyPaaLQ</t>
  </si>
  <si>
    <t>A woman stands on front a paint holding a bottle, and then paintings on canvas are shown in a slideshow.</t>
  </si>
  <si>
    <t>Then, the woman paints two canvas using a bottle, when it is necessary the woman rotates the canvas.</t>
  </si>
  <si>
    <t>Then, the woman puts the canvas on the floor and continues painting with the bottle.</t>
  </si>
  <si>
    <t>After, the woman hangs the paintings on the, then she puts the paintings on the floor and then hang on the wall to continues painting.</t>
  </si>
  <si>
    <t>v_Xg_MSiPhJns</t>
  </si>
  <si>
    <t>A person is spreading something green on bread.</t>
  </si>
  <si>
    <t>They put the sandwich into a grill.</t>
  </si>
  <si>
    <t>They take the sandwich off the grill and put it onto a plate.</t>
  </si>
  <si>
    <t>v_HjRevGoqqz0</t>
  </si>
  <si>
    <t>People are interacting in an inside court.</t>
  </si>
  <si>
    <t>People run to pick up balls from the center of the court.</t>
  </si>
  <si>
    <t>Two teams are playing dodge-ball.</t>
  </si>
  <si>
    <t>A red team member runs up and throws a ball directly at an opponent.</t>
  </si>
  <si>
    <t>v_SgkdciuEuKs</t>
  </si>
  <si>
    <t>A woman demonstrates how to dry a counter top and sink of water splashed from a sink faucet with a paper towel.</t>
  </si>
  <si>
    <t>A woman stands in a kitchen next to a sink and talks to the camera.</t>
  </si>
  <si>
    <t>the woman points to a water splash on the counter next to the sink after turning on the water at the sink.</t>
  </si>
  <si>
    <t>The woman then grabs a paper towel and wipes down the sink counter, the inside of the sink and the faucet spout.</t>
  </si>
  <si>
    <t>The woman then returns to talking to the camera.</t>
  </si>
  <si>
    <t>v_aAZSPRL18Ss</t>
  </si>
  <si>
    <t>An intro leads into a woman talking to a class sitting on bicycles and beginning to ride.</t>
  </si>
  <si>
    <t>She leads the class in a bicycle riding class and inspires her students to peddle hard like this.</t>
  </si>
  <si>
    <t>The people smile along with her as the camera pans over several shots of the people.</t>
  </si>
  <si>
    <t>v_SfYJTxMRKDE</t>
  </si>
  <si>
    <t>A man hold a dish with food while talking, then, two girls run in the field were other people are walking.</t>
  </si>
  <si>
    <t>People play throwing balls on the ground.</t>
  </si>
  <si>
    <t>After, a band plays and people dance including a bride.</t>
  </si>
  <si>
    <t>The people get in boats and sail in the river while other people rest.</t>
  </si>
  <si>
    <t>People pass a small waterfall with choppy water, and then they go down the river.</t>
  </si>
  <si>
    <t>People dive in the river, and then rest while drinking, then go sail in the river.</t>
  </si>
  <si>
    <t>v_I71OenniCZI</t>
  </si>
  <si>
    <t>A group of senior citizens are gathered at a court.</t>
  </si>
  <si>
    <t>They are engaged in a game of curling.</t>
  </si>
  <si>
    <t>They hit the puck, pushing it forward.</t>
  </si>
  <si>
    <t>v_tJiYIajy41Q</t>
  </si>
  <si>
    <t>A man is seen close up standing on a field.</t>
  </si>
  <si>
    <t>A person then passes the man a ball to move up the field.</t>
  </si>
  <si>
    <t>The people then begin kicking the ball around.</t>
  </si>
  <si>
    <t>v_PhJVHb-J7zM</t>
  </si>
  <si>
    <t>A close up of a floor is seen followed by a young child kneeling before another.</t>
  </si>
  <si>
    <t>A person is seen sitting on a bed with the young child shines the shoes of another.</t>
  </si>
  <si>
    <t>The kids continues to shine the shoes of another.</t>
  </si>
  <si>
    <t>v_134sVNOzn_w</t>
  </si>
  <si>
    <t>A man is seen using a hammer and tool to knock off pieces of a roof.</t>
  </si>
  <si>
    <t>The man then lays a bar down and continues placing roof shingles on while the camera pans around.</t>
  </si>
  <si>
    <t>v_dQyZheN0Fw0</t>
  </si>
  <si>
    <t>An animated image of a curling brush is shown.</t>
  </si>
  <si>
    <t>A woman bends down and puts something on a scale.</t>
  </si>
  <si>
    <t>She then slides across the ice.</t>
  </si>
  <si>
    <t>v_QwLiAkfSa9A</t>
  </si>
  <si>
    <t>A larger woman is seen sitting on a chair while a man wipes down her lip and puts a mark onto it.</t>
  </si>
  <si>
    <t>The woman lies down and the man puts a needle into her lip creating a piercing.</t>
  </si>
  <si>
    <t>The woman sits up and smiles while the man wipes down her lip and she continues speaking.</t>
  </si>
  <si>
    <t>v_ma0HmFqdFqg</t>
  </si>
  <si>
    <t>A woman is seen wiping down a mirror that leads into her standing behind a counter.</t>
  </si>
  <si>
    <t>She pours ingredients into a buckets, soaks the sponge in the bucket, then wipes down a mirror with a wiper.</t>
  </si>
  <si>
    <t>v_rOeNl9qIoVI</t>
  </si>
  <si>
    <t>A person is seen riding along the water in a kayak while another man watches him on the side.</t>
  </si>
  <si>
    <t>He continues riding along the water in the kayak and doing flips in the water.</t>
  </si>
  <si>
    <t>v_mvWKOkRzfos</t>
  </si>
  <si>
    <t>People are playing volleyball in the sand.</t>
  </si>
  <si>
    <t>A person falls into the sand.</t>
  </si>
  <si>
    <t>A woman in a blue shirt is talking to the camera.</t>
  </si>
  <si>
    <t>v_oj6czGQ830c</t>
  </si>
  <si>
    <t>Men and woman posing and smiling at the camera.</t>
  </si>
  <si>
    <t>A groups men and woman dressed in cold water diving gear arrive in a van.</t>
  </si>
  <si>
    <t>The divers march in single file on a dock to the water and pose with their diving gear on.</t>
  </si>
  <si>
    <t>The divers are under water performing different sunken vehicles and playing around and posing.</t>
  </si>
  <si>
    <t>The divers are featured in some trick photography.</t>
  </si>
  <si>
    <t>The divers relax at a restaurant with their regular close on seated at a round picnic table.</t>
  </si>
  <si>
    <t>v_efkbBgZ2Mzo</t>
  </si>
  <si>
    <t>A person does a tutorial on how to use an elliptical most efficiently.</t>
  </si>
  <si>
    <t>A woman does the backwards elliptical while smiling sometimes.</t>
  </si>
  <si>
    <t>v_8-muYZwFf9c</t>
  </si>
  <si>
    <t>The video leads into various shots of people kite surfing all along the ocean.</t>
  </si>
  <si>
    <t>The person continues riding all along the water while the camera follows him from a bird's eye view.</t>
  </si>
  <si>
    <t>v_nSR-JSqGoWQ</t>
  </si>
  <si>
    <t>A video recap of a beach soccer game begins with an Argentinian goal off a deep pass.</t>
  </si>
  <si>
    <t>The Brazilians follow up with a goal on a penalty kick, taken by an exuberant keeper.</t>
  </si>
  <si>
    <t>The Argentinians steal a pass halfway across the sand field and take it down for a goal in the tight corner.</t>
  </si>
  <si>
    <t>This is immediately followed by another goal from Argentina on a penalty kick.</t>
  </si>
  <si>
    <t>Brazil finds itself down even more on another Argentinian goal on a beautiful pass and shot across the field.</t>
  </si>
  <si>
    <t>To make matters worse, Argentina scores on a deep uncontested shot after that.</t>
  </si>
  <si>
    <t>This game is far too easy for them, and they win by a large score.</t>
  </si>
  <si>
    <t>v_oW2v7KlfmJk</t>
  </si>
  <si>
    <t>A man is playing shuffleboard on a ship.</t>
  </si>
  <si>
    <t>He turns to the camera and says something.</t>
  </si>
  <si>
    <t>v_F2x2fynkbAQ</t>
  </si>
  <si>
    <t>A man dips a rag into a black container.</t>
  </si>
  <si>
    <t>He begins wiping a shoe with the rag.</t>
  </si>
  <si>
    <t>He picks up a brush and begins using that to brush the shoe.</t>
  </si>
  <si>
    <t>v_vMYPNyBR3d0</t>
  </si>
  <si>
    <t>We see three men on a boat in a lake.</t>
  </si>
  <si>
    <t>The left man holds his nears near his chest.</t>
  </si>
  <si>
    <t>A man acts weird and sprays himself.</t>
  </si>
  <si>
    <t>v_SXZjg8ap1Uk</t>
  </si>
  <si>
    <t>A large group of cheerleaders are seen running through a hole and onto a stage.</t>
  </si>
  <si>
    <t>The group then begins performing with one another while lifting one another into the air.</t>
  </si>
  <si>
    <t>The group continue to lift and jump around one another and end by walking off stage.</t>
  </si>
  <si>
    <t>v_O8jThut7tAQ</t>
  </si>
  <si>
    <t>A person talks and throws a bowling ball on the bowling lane.</t>
  </si>
  <si>
    <t>The man holds a ball and shows his left leg forward, then throws the bowling ball on the lane while talking.</t>
  </si>
  <si>
    <t>v_GyOLWizKXaE</t>
  </si>
  <si>
    <t>A man is outside with a lawn utensil and he begins cutting the yard.</t>
  </si>
  <si>
    <t>He moves a knob and then continues to cut the grass and another woman is shown cutting the yard.</t>
  </si>
  <si>
    <t>Finally,the man comes back and shows how his the object works to cut the grass.</t>
  </si>
  <si>
    <t>v_vSExyDlV9JA</t>
  </si>
  <si>
    <t>A small group of people are seen standing on a sandy beach and leads into a game of volleyball.</t>
  </si>
  <si>
    <t>The people play back and fourth with one of them spiking the ball and the camera panning around to people watching and celebrating.</t>
  </si>
  <si>
    <t>v_anfZnOQGPk0</t>
  </si>
  <si>
    <t>A young child is seen standing on a stage with others and one begins dancing in the middle.</t>
  </si>
  <si>
    <t>The young boy then moves in the middle taking turns with others dancing around.</t>
  </si>
  <si>
    <t>Another man moves to the middle to dance while others watch on the side.</t>
  </si>
  <si>
    <t>v_DmaPpBMsuXg</t>
  </si>
  <si>
    <t>A person is seen standing in the middle of a gym holding a tennis racket.</t>
  </si>
  <si>
    <t>The person then begins hitting a birdie across the gym.</t>
  </si>
  <si>
    <t>The person continuously hits the object back and fourth while looking to the camera.</t>
  </si>
  <si>
    <t>v_GG3JgE6hy4g</t>
  </si>
  <si>
    <t>A man is seen standing on a roof pushing pieces of debris up with a stick.</t>
  </si>
  <si>
    <t>The man continues pushing the debris off the roof while digging deeper and deeper into the mess.</t>
  </si>
  <si>
    <t>v_k25ECDpOD0E</t>
  </si>
  <si>
    <t>A person brush the teeth of a dog while holding the back neck.</t>
  </si>
  <si>
    <t>After, she taps the chest of the dog and put toothpaste on the brush and continue brushing the dog's teeth.</t>
  </si>
  <si>
    <t>After, the person tap again the the chest, put toothpaste on the brush and brush the dog's teeth.</t>
  </si>
  <si>
    <t>When the person finish to brush, she kiss the dog.</t>
  </si>
  <si>
    <t>v_4HC2-Unzuu4</t>
  </si>
  <si>
    <t>A woman is talking to the camera surrounded by alcohol bottles.</t>
  </si>
  <si>
    <t>The woman begins pouring different alcohols and lemon juice into a glass of ice.</t>
  </si>
  <si>
    <t>The woman shakes the drink mixture and strains it into another glass.</t>
  </si>
  <si>
    <t>The woman puts a small straw into the drink and holds it up and smiles.</t>
  </si>
  <si>
    <t>v_3ZUy7h-dN38</t>
  </si>
  <si>
    <t>A man wearing a black hat plays guitar for the camera to see.</t>
  </si>
  <si>
    <t>He continues strumming his fingers and moving his hands around the instrument until the song ends as well as the video.</t>
  </si>
  <si>
    <t>v_aEG-_-m49mY</t>
  </si>
  <si>
    <t>A woman is recording a video of a little boy who is painting a fence.</t>
  </si>
  <si>
    <t>The camera pans to the rest of the backyard and fence.</t>
  </si>
  <si>
    <t>Another little boy is painting the other end of the fence, and the camera goes up to him.</t>
  </si>
  <si>
    <t>The video then cuts to show that the fence is mostly completed.</t>
  </si>
  <si>
    <t>The video then shows the two boys working together to complete the final panel of the fencing.</t>
  </si>
  <si>
    <t>The video ends as the camera pans out to show the house and the freshly painted fence.</t>
  </si>
  <si>
    <t>v_ui7LIgAF8-E</t>
  </si>
  <si>
    <t>A woman is seen performing a jump off of a high dive and landing into a pool.</t>
  </si>
  <si>
    <t>More shots of her diving are shown again shortly after in slow motion.</t>
  </si>
  <si>
    <t>v_y1F_Hzpux48</t>
  </si>
  <si>
    <t>A large fish is seen swimming under frozen water.</t>
  </si>
  <si>
    <t>A man creates a hole in the ice to catch the fish.</t>
  </si>
  <si>
    <t>He catches it on a line, and pulls until He is able to get it through the hole.</t>
  </si>
  <si>
    <t>v_kuyuhXuMPX4</t>
  </si>
  <si>
    <t>We see the intro and intro scenes.</t>
  </si>
  <si>
    <t>A man stands in a garage with two shovels.</t>
  </si>
  <si>
    <t>We then see his shoveling supplies.</t>
  </si>
  <si>
    <t>The man stretches and puts on his winter clothes.</t>
  </si>
  <si>
    <t>He sprays his shovel with nonstick spray and shovels his driveway.</t>
  </si>
  <si>
    <t>The man lays down and had a hard time breathing.</t>
  </si>
  <si>
    <t>After putting down sand he drinks a warm beverage.</t>
  </si>
  <si>
    <t>We see the ending credits screen.</t>
  </si>
  <si>
    <t>v_yOcWUk9cOws</t>
  </si>
  <si>
    <t>Several girls are outside in a large green field playing a game.</t>
  </si>
  <si>
    <t>The girl in front of the camera is dressed in a yellow shirt and black shorts hit the ball with the stick and begins jumping in the air.</t>
  </si>
  <si>
    <t>v_15Yf7NIDLtM</t>
  </si>
  <si>
    <t>A shot of a christmas tree is shown followed by a man walking into frame.</t>
  </si>
  <si>
    <t>The man then begins decorating the tree as well as others.</t>
  </si>
  <si>
    <t>People continuously decorate the tree moving quickly around one another and end by presenting it to the camera.</t>
  </si>
  <si>
    <t>v_0KwSF8NdEug</t>
  </si>
  <si>
    <t>A woman is seen speaking to the camera while holding up a bag of cookies as well as a plate.</t>
  </si>
  <si>
    <t>Various ingredients are then see laid out in bowls.</t>
  </si>
  <si>
    <t>The woman mixes all the ingredients together and squishes them into tiny balls to plate in the end.</t>
  </si>
  <si>
    <t>v_8OSnT8UvJkU</t>
  </si>
  <si>
    <t>A woman with a nose ring is seen speaking to the camera and leads into someone cutting her hair.</t>
  </si>
  <si>
    <t>The person cuts around the sides and the woman is seen wearing glasses and posing with her new style.</t>
  </si>
  <si>
    <t>More shots of a person cutting is shown while the woman speaks to the camera.</t>
  </si>
  <si>
    <t>v_pw0A0Uv2TZM</t>
  </si>
  <si>
    <t>A young girl is inside a bathroom with her dad.</t>
  </si>
  <si>
    <t>He rubs water up and down her face.</t>
  </si>
  <si>
    <t>She giggles and smiles as he does so.</t>
  </si>
  <si>
    <t>v_c_NlYvL96y0</t>
  </si>
  <si>
    <t>A girl is stretching her body on a ballet bar.</t>
  </si>
  <si>
    <t>An instructor stands with a woman and talks about ballet.</t>
  </si>
  <si>
    <t>The girl dances and pans back to the instructor.</t>
  </si>
  <si>
    <t>The instructor talks about the tools you will need for ballet.</t>
  </si>
  <si>
    <t>She talks about various ballet moves to do at the barre while the dancer demonstrates.</t>
  </si>
  <si>
    <t>v_cIN4HNSRoAg</t>
  </si>
  <si>
    <t>A close up shot of a fooseball game is shown as the plastic people push around a ball.</t>
  </si>
  <si>
    <t>Hands are seen moving the ball around as well as grabbing the poles to play.</t>
  </si>
  <si>
    <t>v_lIXHKxbq59c</t>
  </si>
  <si>
    <t>Some people are shown as they prepare to tube down a long snow slope.</t>
  </si>
  <si>
    <t>They begin to head down the slope until they reach the end and are able to stop themselves.</t>
  </si>
  <si>
    <t>After that, they get out of their tubes and begin to exit.</t>
  </si>
  <si>
    <t>v_-fBxVUu0KcQ</t>
  </si>
  <si>
    <t>People are playing a sport on sand.</t>
  </si>
  <si>
    <t>A man in a green uniform gives a high five to someone on the sidelines.</t>
  </si>
  <si>
    <t>A man falls down into the sand.</t>
  </si>
  <si>
    <t>v_ZyOPt4sgsbs</t>
  </si>
  <si>
    <t>A young woman is seen holding onto a cat and smiling towards the camera.</t>
  </si>
  <si>
    <t>The cat begins to fuss around and the woman continues to smile.</t>
  </si>
  <si>
    <t>The woman then cuts the cats claws while the cat still moves around and she holds up the cat.</t>
  </si>
  <si>
    <t>v_OD5rJOPicoM</t>
  </si>
  <si>
    <t>Two people are sailing on boards out on a lake.</t>
  </si>
  <si>
    <t>One person is seen sailing on their board until they fall off the board and into the water.</t>
  </si>
  <si>
    <t>v_1qi8ZXUH_wY</t>
  </si>
  <si>
    <t>A group of men are wrapping boxes on a table.</t>
  </si>
  <si>
    <t>Several people are walking around the area.</t>
  </si>
  <si>
    <t>A man is getting very in depth on his wrapping and wraps the box tightly.</t>
  </si>
  <si>
    <t>Another man appears and grabs paper then walks away.</t>
  </si>
  <si>
    <t>The man wrapping finishes his box.</t>
  </si>
  <si>
    <t>v_f0CViWbj3V4</t>
  </si>
  <si>
    <t>A man and woman are seated on a porch.</t>
  </si>
  <si>
    <t>The man plays bongo drums while the woman helps occasionally.</t>
  </si>
  <si>
    <t>Another hand is seen banging a drum in the foreground.</t>
  </si>
  <si>
    <t>v_ntJk6Rj-lRA</t>
  </si>
  <si>
    <t>A person goes upstairs supporting on a crutch, then sits on the last step while a man follows him.</t>
  </si>
  <si>
    <t>The man lifts up the carpet, then the person gives the man a carpet runner with nails while talking both men.</t>
  </si>
  <si>
    <t>After, the man puts the carpet runner on the wood step and hummers the loosed nails.</t>
  </si>
  <si>
    <t>Next, the man put on the carpet and uses a machine and a hammer to fix the loosed carpet.</t>
  </si>
  <si>
    <t>v_CHaTWk6uqd8</t>
  </si>
  <si>
    <t>A man is seen speaking to the camera while pointing to a bike frame and spinning around the tire.</t>
  </si>
  <si>
    <t>The man then uses tools to adjust the tire wheel and continues spinning it.</t>
  </si>
  <si>
    <t>He is still seen working on the back of the bike while the camera zooms in.</t>
  </si>
  <si>
    <t>v_NkJA_0tErGY</t>
  </si>
  <si>
    <t>A man is speaking, he had a china cabinet behind him filled with glass product.</t>
  </si>
  <si>
    <t>He begins to start to show step by step instructions on how to make a sauce .</t>
  </si>
  <si>
    <t>Then in another frying pan he adds some meat and cheese while his bread is toasting.</t>
  </si>
  <si>
    <t>He then adds all the ingredients on the bread and cuts it in halves and begins to eat.</t>
  </si>
  <si>
    <t>v_uMCyo89mK_E</t>
  </si>
  <si>
    <t>A large christmas is shown is shown followed by a woman standing beside it.</t>
  </si>
  <si>
    <t>The girl begins decorating the tree while jumping up and down in place.</t>
  </si>
  <si>
    <t>She continues bouncing around while decorating the tree and looking off into the distance.</t>
  </si>
  <si>
    <t>v_QE80ROTC_fI</t>
  </si>
  <si>
    <t>A man and dog are seen standing outside in a field with a man playing fetch with a dog.</t>
  </si>
  <si>
    <t>The man throws the frisbee around with the dog while the animal brings it back.</t>
  </si>
  <si>
    <t>The man performs several more tricks with the dog using several frisbees.</t>
  </si>
  <si>
    <t>v_Ufki4AjZHFI</t>
  </si>
  <si>
    <t>A young man is shown on a road wearing stilts.</t>
  </si>
  <si>
    <t>He walks over to the side of the road.</t>
  </si>
  <si>
    <t>He then lifts his feet up and down as if in preparation of running.</t>
  </si>
  <si>
    <t>The video ends as the person recording tilts the camera and covers the lens.</t>
  </si>
  <si>
    <t>v_b1s0BdtlFZs</t>
  </si>
  <si>
    <t>A man sits on a toilet with her leg up.</t>
  </si>
  <si>
    <t>A person holding a camera walks into the bathroom.</t>
  </si>
  <si>
    <t>The man rubs shaving cream on their legs.</t>
  </si>
  <si>
    <t>He begins to shave his leg in the sink.</t>
  </si>
  <si>
    <t>v_NPt1niJMbvE</t>
  </si>
  <si>
    <t>A gymnast runs fast, then he jumps long in a stadium full of people.</t>
  </si>
  <si>
    <t>Two men walk holding javelins.</t>
  </si>
  <si>
    <t>After, the gymnast jumps happily.</t>
  </si>
  <si>
    <t>People take pictures of the gymnast.</t>
  </si>
  <si>
    <t>v_vlwOSDuiKQA</t>
  </si>
  <si>
    <t>A man is seen standing in a large room holding up a tennis racket.</t>
  </si>
  <si>
    <t>Two more people walk into frame and begin hitting the ball around the area.</t>
  </si>
  <si>
    <t>The men continue to hit the ball around with tennis rackets and chase it around the room.</t>
  </si>
  <si>
    <t>v_0QDPpdms08g</t>
  </si>
  <si>
    <t>Two people are seen standing in a gymnasium wearing boxing gloves.</t>
  </si>
  <si>
    <t>The men then go back and fourth with one another kicking and punching.</t>
  </si>
  <si>
    <t>The two continue to fight while the camera captures their movements.</t>
  </si>
  <si>
    <t>v_9ku5v_hSVMw</t>
  </si>
  <si>
    <t>A man squats and holds a bar over his head several times.</t>
  </si>
  <si>
    <t>A man in a red shirt watches him.</t>
  </si>
  <si>
    <t>He drops the bar on the ground in front of him.</t>
  </si>
  <si>
    <t>v_0m63LNVHP1U</t>
  </si>
  <si>
    <t>An older woman is seen talking to the camera and leads into her swinging back and fourth with another child.</t>
  </si>
  <si>
    <t>The child pushes the woman in a swing and continues playing with her on the swing set.</t>
  </si>
  <si>
    <t>v_bWBcYdYEup4</t>
  </si>
  <si>
    <t>Two people are seen performing a fencing match back and fourth while other people practice in the background.</t>
  </si>
  <si>
    <t>Several shots of people fencing are shown as well as a fencer being interviewed on camera.</t>
  </si>
  <si>
    <t>More shots of people fencing are shown and ends with many standing around and two shaking hands.</t>
  </si>
  <si>
    <t>v_Q4UF7Z0ozCw</t>
  </si>
  <si>
    <t>A pile of clothing is shown on a bench in a house.</t>
  </si>
  <si>
    <t>A sweater hangs from a rack.</t>
  </si>
  <si>
    <t>The sweater is shown from several angles as a vacuum is used to pick up hair and lint.</t>
  </si>
  <si>
    <t>v_H1FKtaktOEc</t>
  </si>
  <si>
    <t>A large building is seen with cars driving by and people walking around an arena.</t>
  </si>
  <si>
    <t>Several people are then seen shooting bow and arrows at a target and waving their hands in the air.</t>
  </si>
  <si>
    <t>The people continue to shoot the bow and arrow at the target while others watch on the side.</t>
  </si>
  <si>
    <t>v_YCdPa5gJYmc</t>
  </si>
  <si>
    <t>A shirtless guy spins a ball attached to a pole.</t>
  </si>
  <si>
    <t>The guy lifts this item from the grass at the pole end.</t>
  </si>
  <si>
    <t>The guy releases the item.</t>
  </si>
  <si>
    <t>A guy moves away from the descending item.</t>
  </si>
  <si>
    <t>The website address of the group is shown.</t>
  </si>
  <si>
    <t>v_o_e0KLnKpj8</t>
  </si>
  <si>
    <t>We see a lady starting a lawn mower.</t>
  </si>
  <si>
    <t>The lady stops and looks at the camera.</t>
  </si>
  <si>
    <t>The lady starts then stops mowing.</t>
  </si>
  <si>
    <t>The lady tries to start the mower again.</t>
  </si>
  <si>
    <t>Another lady comes to help and falls over.</t>
  </si>
  <si>
    <t>The first lady finally gets the mowers started.</t>
  </si>
  <si>
    <t>the lady throws her arm in the air and mows the lawn.</t>
  </si>
  <si>
    <t>v_bnkO0slLSyw</t>
  </si>
  <si>
    <t>A woman talks to the camera while a man stands beside her.</t>
  </si>
  <si>
    <t>The man turns and walks away while the woman demonstrates the female perspective of the dance sequence by herself.</t>
  </si>
  <si>
    <t>The man rejoins the woman and talks to the camera while demonstrating the sequence of steps from the male perspective.</t>
  </si>
  <si>
    <t>The two demonstrate the dance together without commentary.</t>
  </si>
  <si>
    <t>v_0Mn0gxECBLA</t>
  </si>
  <si>
    <t>A male mows a lawn using a red riding mower.</t>
  </si>
  <si>
    <t>A man whips grass of his foot.</t>
  </si>
  <si>
    <t>A large, black dog runs across the lawn.</t>
  </si>
  <si>
    <t>The man stops and reverses the riding mower.</t>
  </si>
  <si>
    <t>The man rubs his ear.</t>
  </si>
  <si>
    <t>v_P0j0bBKsNAo</t>
  </si>
  <si>
    <t>A man is seen beginning to climb up a rock wall while looking back and speaking to the camera.</t>
  </si>
  <si>
    <t>He continues to climb up and down while showing off to the properly climb with his feet.</t>
  </si>
  <si>
    <t>He does this a few more times while the camera shows text instructions.</t>
  </si>
  <si>
    <t>v_ABB755sPZfY</t>
  </si>
  <si>
    <t>Inside a gym, two men hold two jump ropes.</t>
  </si>
  <si>
    <t>A guy in a ponytail jumps the jump ropes with hand stands.</t>
  </si>
  <si>
    <t>A man in a black shirt watches.</t>
  </si>
  <si>
    <t>v_iiQ6t0p9lik</t>
  </si>
  <si>
    <t>The video takes place in the pool of a backyard.</t>
  </si>
  <si>
    <t>A tight rope is strung across the length of the pool and a woman is attempting to walk across, She falls several times.</t>
  </si>
  <si>
    <t>The last time she falls, the camera rewinds and shows her falling backwards.</t>
  </si>
  <si>
    <t>The video then cuts to a man who is also using a tight rope to cross a pool.</t>
  </si>
  <si>
    <t>The video shows several clips of the man falling.</t>
  </si>
  <si>
    <t>At one point, he is holding a camera while falling in.</t>
  </si>
  <si>
    <t>He also attempts to stand with one leg on the rope, as well as balancing.</t>
  </si>
  <si>
    <t>The video ends showing him in a final fall into a tube.</t>
  </si>
  <si>
    <t>v_2SBTnunPQrQ</t>
  </si>
  <si>
    <t>A little boy shines the shoes of a person using black shoe polish and make shine with a brush and a cloth.</t>
  </si>
  <si>
    <t>Then, the man pays the little boy.</t>
  </si>
  <si>
    <t>A boy cleans the tennis shows of a person putting white painting.</t>
  </si>
  <si>
    <t>v_o1WPnnvs00I</t>
  </si>
  <si>
    <t>A man is playing a flute in front of a microphone.</t>
  </si>
  <si>
    <t>A few other men are shown playing guitars as they sit.</t>
  </si>
  <si>
    <t>The group plays for the audience, occasionally zooming in on individuals.</t>
  </si>
  <si>
    <t>One man is playing drums while the others are on flute and guitar.</t>
  </si>
  <si>
    <t>The lights move fluidly as they crescendo, and they screen goes black.</t>
  </si>
  <si>
    <t>v_RYv3eIxMouY</t>
  </si>
  <si>
    <t>A yellow and brown animal is attached to the wall swaying from left to right.</t>
  </si>
  <si>
    <t>While it is there,a boy is wrapped up in a bandanna and he is holding the stick on the left side of the pinata.</t>
  </si>
  <si>
    <t>He then moves it to the right side and begins to hit the pinata ferociously.</t>
  </si>
  <si>
    <t>v_fm9mf-VuWxI</t>
  </si>
  <si>
    <t>A woman in a blue shirt is holding a lacrosse stick.</t>
  </si>
  <si>
    <t>They continue to play lacrosse.</t>
  </si>
  <si>
    <t>v_ucEqZtmQS-0</t>
  </si>
  <si>
    <t>A man in a black shirt is standing in a salon.</t>
  </si>
  <si>
    <t>He starts shaving a man's beard that is laying down.</t>
  </si>
  <si>
    <t>He towels off the man's face.</t>
  </si>
  <si>
    <t>v_qS7TStZg_5c</t>
  </si>
  <si>
    <t>A man is showing playing guitar with a title screen shown on the left.</t>
  </si>
  <si>
    <t>The man strums over and over again while gradually banging his head to the beat.</t>
  </si>
  <si>
    <t>v_hR6VFvMXCN4</t>
  </si>
  <si>
    <t>A close up of a flame is shown followed by audience members standing up and athletes standing ready.</t>
  </si>
  <si>
    <t>Hitler then watches a man jump into a pit as well as several other runners after him.</t>
  </si>
  <si>
    <t>More athletes continue jumping while the audience gets riled up and ends with soldiers raising flags up to the sky.</t>
  </si>
  <si>
    <t>v_A9TcWJnbcWs</t>
  </si>
  <si>
    <t>There are two boys playing squash in an indoor squash court.</t>
  </si>
  <si>
    <t>They are playing randomly in an unstructured game where they often miss the ball.</t>
  </si>
  <si>
    <t>v_Tc8L-74Ilck</t>
  </si>
  <si>
    <t>A man is seen standing at the bottom of a hole while a man records him.</t>
  </si>
  <si>
    <t>Two men are seen climbing along the hill and looking up to the camera.</t>
  </si>
  <si>
    <t>One man pulls the other out and climbs down while they and others speak to the camera.</t>
  </si>
  <si>
    <t>v_WRv7Kpf1KT0</t>
  </si>
  <si>
    <t>Two men are putting suntan lotion on each other at the beach.</t>
  </si>
  <si>
    <t>They rub it on each other's backs before turning around.</t>
  </si>
  <si>
    <t>v_ZdUUBA1czgY</t>
  </si>
  <si>
    <t>man is standing in a large field wlking and practicing a shot put.</t>
  </si>
  <si>
    <t>man wearing red shirt is standing on a side.</t>
  </si>
  <si>
    <t>men are pacticing in a large green grassy field.</t>
  </si>
  <si>
    <t>v_azfkn6EsuJA</t>
  </si>
  <si>
    <t>A man is buffing down his skis in a garage.</t>
  </si>
  <si>
    <t>He changes position to give himself more leverage as he buffs.</t>
  </si>
  <si>
    <t>He moves the shis to another location when he is done.</t>
  </si>
  <si>
    <t>v_z_ojmuWzMWo</t>
  </si>
  <si>
    <t>A dog is being bathed by a woman.</t>
  </si>
  <si>
    <t>The woman is spraying water on the small dog with a hose.</t>
  </si>
  <si>
    <t>She is now blow drying the dog.</t>
  </si>
  <si>
    <t>The dog is placed in the kennel next to a woman's feet.</t>
  </si>
  <si>
    <t>A dog plays behind and with the groomed dog.</t>
  </si>
  <si>
    <t>The dog now is getting a haircut.</t>
  </si>
  <si>
    <t>v_R547-iOgb6g</t>
  </si>
  <si>
    <t>Intro screen appears and includes an illustration of a man wiping the floor with a mop in a bathroom, a brand name and some other words.</t>
  </si>
  <si>
    <t>A woman is now in the bathroom using an advanced bucket that is tall and includes a handle for squeezing the flat mop and a storage compartment, and she mops the floor with the mop, then demonstrates how to squeeze it in the bucket and goes back to moping the rest of the bathroom.</t>
  </si>
  <si>
    <t>A top view of the bucket is shown and it shows the bucket has two water compartments and the clean water is in the front and the dirty water is kept in the back.</t>
  </si>
  <si>
    <t>A white screen appears and it displays the logo brand, different pictures of the mop sleeves and numbers next to it.</t>
  </si>
  <si>
    <t>The woman walks to the entrance of the bathroom, removes the wet floor sign, puts it in her cart, starts pushing the cart, and the focus goes back to the clean bathroom she just cleaned.</t>
  </si>
  <si>
    <t>v_c8HFew22GnI</t>
  </si>
  <si>
    <t>A man is acting as a dj with headphones on.</t>
  </si>
  <si>
    <t>Another man takes off on a pair of water skis.</t>
  </si>
  <si>
    <t>He skis as people gather and leave on a pier.</t>
  </si>
  <si>
    <t>Several people join in on a curling event, holding signs and smiling.</t>
  </si>
  <si>
    <t>v_1iIG5D3jTk4</t>
  </si>
  <si>
    <t>Two people are seen standing in a large gymnasium speaking to one another and leads into them performing a jump roping routine.</t>
  </si>
  <si>
    <t>The woman continue jumping all along the gym together and end by holding the ropes against their feet.</t>
  </si>
  <si>
    <t>v_oY1y_UONCGg</t>
  </si>
  <si>
    <t>A little boy is sitting on the floor, touching a vacuum cleaner and talking.</t>
  </si>
  <si>
    <t>He also picks up another vacuum, and starts rolling it across the room, back and forth.</t>
  </si>
  <si>
    <t>v_CqAJxW84FkU</t>
  </si>
  <si>
    <t>A man in a green shirt and green hat is holding a large knife.</t>
  </si>
  <si>
    <t>He starts cutting a piece of wood with the knife.</t>
  </si>
  <si>
    <t>He cuts the piece of wood in half.</t>
  </si>
  <si>
    <t>v_8fVB8gAjTO4</t>
  </si>
  <si>
    <t>we see a man in a room playing a set of drums.</t>
  </si>
  <si>
    <t>The man plays the drums on the left side primarily.</t>
  </si>
  <si>
    <t>The man pauses while playing.</t>
  </si>
  <si>
    <t>The man hits a few drums then stops.</t>
  </si>
  <si>
    <t>v_2UjVfKEcj4g</t>
  </si>
  <si>
    <t>A man is holding two extremely dirty high heeled women's shoes.</t>
  </si>
  <si>
    <t>He uses a ruler to scrape off the dried dirt.</t>
  </si>
  <si>
    <t>He then uses a brush to polish up the suede material before spraying a white substance onto the shoe.</t>
  </si>
  <si>
    <t>He scrapes it clean, then applies a new sole and spike to the heel.</t>
  </si>
  <si>
    <t>He shows off the renovator can.</t>
  </si>
  <si>
    <t>v_WkiBckpLXfU</t>
  </si>
  <si>
    <t>a man and a woman are talking in front of the camera.</t>
  </si>
  <si>
    <t>players are in a court playing hockey.</t>
  </si>
  <si>
    <t>a man and a woman are being interviewed.</t>
  </si>
  <si>
    <t>v_c0qbyRWSptg</t>
  </si>
  <si>
    <t>Boats are going through the water.</t>
  </si>
  <si>
    <t>A storm hits and a man is crying.</t>
  </si>
  <si>
    <t>The boats continue to go through the water.</t>
  </si>
  <si>
    <t>v_gpmrwsV9skQ</t>
  </si>
  <si>
    <t>A man in a suit is reading a newspaper.</t>
  </si>
  <si>
    <t>He puts a dissolving tablet into a glass of water.</t>
  </si>
  <si>
    <t>Someone runs in front of a car on stilts.</t>
  </si>
  <si>
    <t>v_5jfQNanBKAM</t>
  </si>
  <si>
    <t>A large group of boys paddle around on a lake in red canoes.</t>
  </si>
  <si>
    <t>Other groups of boys on a dock prepare boats for use.</t>
  </si>
  <si>
    <t>Two boys on a canoe back paddle to get away from the reeds on the edge on the lake.</t>
  </si>
  <si>
    <t>v_aB5xErksFkI</t>
  </si>
  <si>
    <t>A person is seen kneeling down on the floor laying out plaster as well as onto a tile.</t>
  </si>
  <si>
    <t>The person then flips over the tiles and places them down on the floor.</t>
  </si>
  <si>
    <t>v_OHwE8aA90IE</t>
  </si>
  <si>
    <t>A young man is seen standing before a lawn mower and looking at the camera.</t>
  </si>
  <si>
    <t>The boy then pulls a string on the lawn mower.</t>
  </si>
  <si>
    <t>He finally pushes forward on the lawn mower.</t>
  </si>
  <si>
    <t>v_9hR1MHvXGv8</t>
  </si>
  <si>
    <t>We see a man putting items in his car.</t>
  </si>
  <si>
    <t>The man gets in the car and drives down the street.</t>
  </si>
  <si>
    <t>We see men climbing indoors on a climbing wall, and outdoors in the woods.</t>
  </si>
  <si>
    <t>We see two men outdoors at night then day.</t>
  </si>
  <si>
    <t>We see men climbing a cliff.</t>
  </si>
  <si>
    <t>A man waves from the top.</t>
  </si>
  <si>
    <t>We see the men on the top of the cliff.</t>
  </si>
  <si>
    <t>A man drills holes in a wall.</t>
  </si>
  <si>
    <t>We see a man fall repeatedly.</t>
  </si>
  <si>
    <t>We see three men in a boat on a river.</t>
  </si>
  <si>
    <t>v_Z6WJ0A9VvxQ</t>
  </si>
  <si>
    <t>peolpe are running in street under a bridge.</t>
  </si>
  <si>
    <t>people are standing and running through the bridge and street.</t>
  </si>
  <si>
    <t>v_IcfWEKjl_AY</t>
  </si>
  <si>
    <t>A boy stands from the bottom of a slide and walk away.</t>
  </si>
  <si>
    <t>Other kids slide on another slide in the playground.</t>
  </si>
  <si>
    <t>A toddler climbs a jungle gym, and then go down the slide.</t>
  </si>
  <si>
    <t>v_AXDa8WmY2og</t>
  </si>
  <si>
    <t>A Shih Tzu dog is standing on a table being groomed by an elderly Asian woman.</t>
  </si>
  <si>
    <t>Once she is done with the top,the lady the grabs the dog front left paw and takes a pair of scissors and begins trimming underneath his body.</t>
  </si>
  <si>
    <t>Once the belly is done,the goes to the top of the dogs head and cuts the hair around the face and clips the rest of the hair behind him.</t>
  </si>
  <si>
    <t>The next step consist of her trimming the hair under the dog's mouth.</t>
  </si>
  <si>
    <t>v_pZzTMUJG9Rk</t>
  </si>
  <si>
    <t>A man is playing soccer with another across a field.</t>
  </si>
  <si>
    <t>He performs a quick turn around move with the other following close behind.</t>
  </si>
  <si>
    <t>The same clip is replayed over and over at slower speeds to better understand the trick.</t>
  </si>
  <si>
    <t>Another trick is performed and later shown in slow motion.</t>
  </si>
  <si>
    <t>Two more tricks are demonstrated by the duo and finally showed at a slowed down pace.</t>
  </si>
  <si>
    <t>v_2zvN1cL1uik</t>
  </si>
  <si>
    <t>An intro starts with music player and foreign letter are presented across the screen.</t>
  </si>
  <si>
    <t>A man sits down in front of a hookah and begins talking to the camera.</t>
  </si>
  <si>
    <t>The man takes a hit of the hookah and coughs a bit.</t>
  </si>
  <si>
    <t>The man shows how to avoid coughing with a hookah by moving the tobacco around on the bowl.</t>
  </si>
  <si>
    <t>He sits down and takes another puff off the hookah.</t>
  </si>
  <si>
    <t>He then continues taking puffs off the device and talking about how to get clear hits.</t>
  </si>
  <si>
    <t>v_xXDNNCl1m6c</t>
  </si>
  <si>
    <t>The Department of Transportation demonstrates ice and snow safety tips with a white car covered in snow.</t>
  </si>
  <si>
    <t>A lady in a red winter jacket places the keys in the ignition and starts the car.</t>
  </si>
  <si>
    <t>The lady in the red jacket opens the trunk of the car and removes a snow brush and brushes the snow off of the car body, windshields, head lights, front grill and license tag.</t>
  </si>
  <si>
    <t>v_XTErpg4IdiE</t>
  </si>
  <si>
    <t>A man is on the floor with some gadget looking at it and messing around with it.</t>
  </si>
  <si>
    <t>He puts a hose in one sde of it and starts ro mess around with it some more.</t>
  </si>
  <si>
    <t>He then moves it to the corer of the carpet and starts working on it.</t>
  </si>
  <si>
    <t>He moves it down more and pushing the carpet down, he does this to basically the entire room.</t>
  </si>
  <si>
    <t>v_bcOFV26B3jk</t>
  </si>
  <si>
    <t>A lady kicks a ball in a field.</t>
  </si>
  <si>
    <t>The lady picks up the baby.</t>
  </si>
  <si>
    <t>The lady runs across the screen.</t>
  </si>
  <si>
    <t>The camera pans left and right to show the crowd standing around.</t>
  </si>
  <si>
    <t>v_rx_WRuQ-X14</t>
  </si>
  <si>
    <t>A wall is painted by two men.</t>
  </si>
  <si>
    <t>They then hang up wall decorations that are wallpaperlike in appearance.</t>
  </si>
  <si>
    <t>v_jqrLD8zs7R4</t>
  </si>
  <si>
    <t>A couple appears on the screen, talking about dancing the tango.</t>
  </si>
  <si>
    <t>They begin showing different steps of the dance as they talk.</t>
  </si>
  <si>
    <t>They move forward and back and forth, demonstrating the tango.</t>
  </si>
  <si>
    <t>They then dance together for the camera.</t>
  </si>
  <si>
    <t>v_SN_YS2w3JhE</t>
  </si>
  <si>
    <t>Players stand on the sideline before a volleyball match on the beach.</t>
  </si>
  <si>
    <t>Players walk onto the court and take positions for the match.</t>
  </si>
  <si>
    <t>Teams play a game of beach volleyball.</t>
  </si>
  <si>
    <t>The players shake hands and congratulate each other.</t>
  </si>
  <si>
    <t>v_p4pj27t5B6g</t>
  </si>
  <si>
    <t>A young man talks while showing a saxophone.</t>
  </si>
  <si>
    <t>The young man points the keys of the saxophone while talking.</t>
  </si>
  <si>
    <t>Then, the young man fasten the saxophone with a blue ribbon on his neck.</t>
  </si>
  <si>
    <t>After, the young man puts his mouth on the mouthpiece of the saxophone, then he continues explaining.</t>
  </si>
  <si>
    <t>v_hPQEkPZmNsU</t>
  </si>
  <si>
    <t>A hair stylist explains how to cut a mans haircut.</t>
  </si>
  <si>
    <t>The hair sylist prepares the hair into sections with some clips and begins cutting the hair with a feather razor and puts a clip in the hair on top of the head and proceeds to cut the hair with scissors making layers.</t>
  </si>
  <si>
    <t>The hair stylist then uses a hair blower dryer to fluff up the hair using her fingers.</t>
  </si>
  <si>
    <t>The hair stylist then uses only her fingers to fluff up the hair.</t>
  </si>
  <si>
    <t>A close up of theman and the final cut and a close up of the hair stylist.</t>
  </si>
  <si>
    <t>v_r4F2X_MlL-U</t>
  </si>
  <si>
    <t>A hand lines the loose area of the wallpaper.</t>
  </si>
  <si>
    <t>The hand puts paste from a bowl on the back of the loose wallpaper.</t>
  </si>
  <si>
    <t>The hand runs a scrub on the loose wallpaper.</t>
  </si>
  <si>
    <t>The hand holds a blow dryer and the other hand rolls a device to mend the loose wallpaper.</t>
  </si>
  <si>
    <t>The hand runs a scrub quickly through the mended wallpaper.</t>
  </si>
  <si>
    <t>v_iuVi8QAWfCI</t>
  </si>
  <si>
    <t>A woman introduces her home decor video, standing next to a chair.</t>
  </si>
  <si>
    <t>She first scrubs the dirt from the chair with a sponge.</t>
  </si>
  <si>
    <t>Next, she applies a silver paint to the chair.</t>
  </si>
  <si>
    <t>She then dips her brush in a blue paint to cover the chair's seat, back, and then arms/legs.</t>
  </si>
  <si>
    <t>Lastly, she places stencils on the chair and paints the insides white to decorate.</t>
  </si>
  <si>
    <t>v_SjfrdNchlqw</t>
  </si>
  <si>
    <t>men are sitting in a black jack table in a casino and the dealer is spreading the cards to players.</t>
  </si>
  <si>
    <t>man is talking to the camera.</t>
  </si>
  <si>
    <t>the dealer woman is standing talking in front of the camera.</t>
  </si>
  <si>
    <t>man is standing in front of slot machine talking to the camera.</t>
  </si>
  <si>
    <t>v_E5SWUUNrHDU</t>
  </si>
  <si>
    <t>Various tools and products are laid out on a table and transitions into a man walking in front of a mirror and putting lotion on his face.</t>
  </si>
  <si>
    <t>He then puts cream on his face and shaves all around his face.</t>
  </si>
  <si>
    <t>He then wipes his face down with a rag and walks away from the mirror.</t>
  </si>
  <si>
    <t>v_qbDQNRf-EUI</t>
  </si>
  <si>
    <t>A man speaks to camera in front of bicycles.</t>
  </si>
  <si>
    <t>The man places a part on a bicycle being worked on.</t>
  </si>
  <si>
    <t>The man tightens the part on the bicycle.</t>
  </si>
  <si>
    <t>v_h4N22DApP_Y</t>
  </si>
  <si>
    <t>Crowd are sitting on chair, kids and young people are sitting at the table with timer solving the rubik's cubes, while a man with big beard is talking in front of the camera.</t>
  </si>
  <si>
    <t>The boys are solving the rubik's cube one is blind folded, one is solving it with one hand, others are solving with with both hands.</t>
  </si>
  <si>
    <t>v_yW76UI8lnNc</t>
  </si>
  <si>
    <t>Black and yellow tokens slides on the floor while people holding sticks arrange the tokens on a painted triangle.</t>
  </si>
  <si>
    <t>Toddlers walk on the sidewalk and cross the road stepping on the tokens.</t>
  </si>
  <si>
    <t>v_eRQAjBwhDXk</t>
  </si>
  <si>
    <t>A person skis quickly down a snow covered hill.</t>
  </si>
  <si>
    <t>People are on intertubes, sledding along the snow.</t>
  </si>
  <si>
    <t>v__86X1xtj67w</t>
  </si>
  <si>
    <t>Two teams plays throwing balls to hit an opponent.</t>
  </si>
  <si>
    <t>Two boys advance to the center and throw the balls, then they return to his place.</t>
  </si>
  <si>
    <t>After, the other team advance throwing balls and hit one player wearing purple t-shirt.</t>
  </si>
  <si>
    <t>They continue playing taking turns to hit the balls.</t>
  </si>
  <si>
    <t>People handle balls to players, then they go to the center to hit other team with the balls.</t>
  </si>
  <si>
    <t>v_AX2KQGWXg1E</t>
  </si>
  <si>
    <t>A woman and a man practice kick box in a gym where also other people train, then he woman talks.</t>
  </si>
  <si>
    <t>A cars run in a city with a soldier holding a weapon, a family in the street, people walking and car sit o the curve.</t>
  </si>
  <si>
    <t>The woman talks from a room, then she trains with others in a gym, then a lady in the gym talks.</t>
  </si>
  <si>
    <t>at the end trophies are shown.</t>
  </si>
  <si>
    <t>v_3Wjig_NRlnU</t>
  </si>
  <si>
    <t>A man performs martial arts fighting with people in a film, then a big door close and a woman helps the man fight.</t>
  </si>
  <si>
    <t>The man and the woman are on front a river fighting, and then hung his legs from a tree.</t>
  </si>
  <si>
    <t>Cannons fires a home and a village, after an army fight in a field and cannons destroy homes in a village.</t>
  </si>
  <si>
    <t>A man gives to the man a big gold coin, after the man fights with people.</t>
  </si>
  <si>
    <t>v_JowsnupmNd0</t>
  </si>
  <si>
    <t>She swings her leg up.</t>
  </si>
  <si>
    <t>She drops down to the ground.</t>
  </si>
  <si>
    <t>v_U6M5hbiHn5Q</t>
  </si>
  <si>
    <t>Man does acrobatic moves down a mat.</t>
  </si>
  <si>
    <t>Another man is running down a mat in the background.</t>
  </si>
  <si>
    <t>Several replays of acrobatic moves occurs.</t>
  </si>
  <si>
    <t>Young man runs and hugs what looks to be his coach.</t>
  </si>
  <si>
    <t>Another set of replays occur.</t>
  </si>
  <si>
    <t>Words go across the screen directing people to social media and websites.</t>
  </si>
  <si>
    <t>v_YJcjkeVD0qk</t>
  </si>
  <si>
    <t>A close up of food is laid out on the table and leads into a man taking puffs out of a hookah pipe.</t>
  </si>
  <si>
    <t>The man blows smoke rings as well as several other drinks while speaking to the camera and moving to various spots in the house.</t>
  </si>
  <si>
    <t>v_McwVhHxdr5g</t>
  </si>
  <si>
    <t>a little boy is riding inline skates down a driveway.</t>
  </si>
  <si>
    <t>He waves his arms, trying to keep his balance.</t>
  </si>
  <si>
    <t>He runs, then falls on the skates.</t>
  </si>
  <si>
    <t>v_slUvIngXl4g</t>
  </si>
  <si>
    <t>two sumos are on sides of a ring and the refeee is in the middle while people is in sands sitting arpund them watching them.</t>
  </si>
  <si>
    <t>sumo start wrestling and fell out the ring.</t>
  </si>
  <si>
    <t>v_6wTk8QqWxuo</t>
  </si>
  <si>
    <t>A boy is helping his father push a mower.</t>
  </si>
  <si>
    <t>They turn back to the camera.</t>
  </si>
  <si>
    <t>A person goes stand near the fence.</t>
  </si>
  <si>
    <t>v_l9LHfuoU8js</t>
  </si>
  <si>
    <t>A person is seen cutting a piece of roof tiling and hammering down the tile for a roof.</t>
  </si>
  <si>
    <t>He walks through hamming down the fabric and nailing a long board across.</t>
  </si>
  <si>
    <t>v__Boy9qJLibI</t>
  </si>
  <si>
    <t>A graphic is seen with logo title.</t>
  </si>
  <si>
    <t>A Google map shows different city locations.</t>
  </si>
  <si>
    <t>Teammates in jumpsuits run navigate through a course of wooden crate obstacles aiming paintball guns.</t>
  </si>
  <si>
    <t>The men receive gear from a rental shop including clothes and weapons.</t>
  </si>
  <si>
    <t>The two teams walk in a line together entering the course to play.</t>
  </si>
  <si>
    <t>The men fill their gun hoppers with ammo.</t>
  </si>
  <si>
    <t>The teammates navigate through a course with inflatable obstacles aiming for opponents.</t>
  </si>
  <si>
    <t>A man is hit in the face mask to end the game.</t>
  </si>
  <si>
    <t>v_S_CnkpTkjYQ</t>
  </si>
  <si>
    <t>A man is seated while playing the drums, with a woman instructing him standing next to him.</t>
  </si>
  <si>
    <t>He hits the drums back and forth as they talk.</t>
  </si>
  <si>
    <t>He then talks extensively about how to play the congas.</t>
  </si>
  <si>
    <t>He demonstrates by playing further while talking.</t>
  </si>
  <si>
    <t>v_IbYlWVA8Dh8</t>
  </si>
  <si>
    <t>a hand is shown on a table with different supplies.</t>
  </si>
  <si>
    <t>A man is seen taking all the parts of a bicycle out of a box.</t>
  </si>
  <si>
    <t>He assembles the bicycle in the yard.</t>
  </si>
  <si>
    <t>v_7dlkshlM4nk</t>
  </si>
  <si>
    <t>A tree is seen by the side of a road.</t>
  </si>
  <si>
    <t>A man shows how to mulch around the bottom of the tree.</t>
  </si>
  <si>
    <t>He spreads the mulch evenly as he gives directions.</t>
  </si>
  <si>
    <t>v_Gp2bIEiDWTI</t>
  </si>
  <si>
    <t>A girl plays with her braided pony tail.</t>
  </si>
  <si>
    <t>The girl twists her hair together in two sections.</t>
  </si>
  <si>
    <t>The girl braids the end of the twisted hair.</t>
  </si>
  <si>
    <t>The girl separates the braids and loosens them.</t>
  </si>
  <si>
    <t>The girl pulls the braids up her hair to make them more fluffy.</t>
  </si>
  <si>
    <t>The girl uses a flat iron on her hair.</t>
  </si>
  <si>
    <t>The girl holds two dogs and dances.</t>
  </si>
  <si>
    <t>v_iH659QSrcDc</t>
  </si>
  <si>
    <t>A text graphic is seen with a title and description.</t>
  </si>
  <si>
    <t>A man stands on a roof and drills pieces of wood down.</t>
  </si>
  <si>
    <t>Credits are seen for the video with a website.</t>
  </si>
  <si>
    <t>v_yLS0UuNYXOI</t>
  </si>
  <si>
    <t>A large ice glacier is shown in the water.</t>
  </si>
  <si>
    <t>A boat is pulling a person on skis behind the boat.</t>
  </si>
  <si>
    <t>The person is floating in the water.</t>
  </si>
  <si>
    <t>v_CpTIytatsno</t>
  </si>
  <si>
    <t>An athlete spins and throws a shot put on a large playing field of a stadium.</t>
  </si>
  <si>
    <t>The man celebrates and gives a thumbs up.</t>
  </si>
  <si>
    <t>A second athlete in grey shirt throws a shotput.</t>
  </si>
  <si>
    <t>The ball lands in the grass and the man is disappointed in the throw and walks away.</t>
  </si>
  <si>
    <t>A large man in yellow shirt and headband spins and throws a shut put that veers to the left of the field.</t>
  </si>
  <si>
    <t>The man is pleased with his shot and pumps his fist.</t>
  </si>
  <si>
    <t>The man gives high fives to his team mates.</t>
  </si>
  <si>
    <t>A rack of balls are seen in the grass behind scores for the game.</t>
  </si>
  <si>
    <t>The man awaits his score standing on the track among other athletes in the background.</t>
  </si>
  <si>
    <t>v_AQQT21DBT_E</t>
  </si>
  <si>
    <t>People are grooming and brushing dogs in a public facility.</t>
  </si>
  <si>
    <t>Women take cares of dogs that have long hair.</t>
  </si>
  <si>
    <t>A woman take cares of a poodle, while other woman pets a big dog.</t>
  </si>
  <si>
    <t>A woman talks on front a dog while petting.</t>
  </si>
  <si>
    <t>v_SY5WpDrtmEE</t>
  </si>
  <si>
    <t>A man is shown performing a song at Google's London offices.</t>
  </si>
  <si>
    <t>They are standing inside of an office space and playing the flute.</t>
  </si>
  <si>
    <t>The man starts really getting into it and cheering very passionately a people look on.</t>
  </si>
  <si>
    <t>A close up is shown of him playing over and over.</t>
  </si>
  <si>
    <t>he then ends the song to a round of applause and walks out of the frame.</t>
  </si>
  <si>
    <t>v_RNrxxPOyHo4</t>
  </si>
  <si>
    <t>A man is seen kneeling on the floor while holding an iron in his hands.</t>
  </si>
  <si>
    <t>He bends down with the iron to iron the shirt and puts it down.</t>
  </si>
  <si>
    <t>Afterwards he covers his ears and looks away in pain.</t>
  </si>
  <si>
    <t>v_0wpStx2JuS4</t>
  </si>
  <si>
    <t>A man in a white shirt and hat is sitting down.</t>
  </si>
  <si>
    <t>He is playing two drums in front of him.</t>
  </si>
  <si>
    <t>He stops playing them and sits up straight.</t>
  </si>
  <si>
    <t>v_5BVcwR8hEo0</t>
  </si>
  <si>
    <t>A boy serves a tennis ball.</t>
  </si>
  <si>
    <t>He then serves two more.</t>
  </si>
  <si>
    <t>The boy turns and walks away.</t>
  </si>
  <si>
    <t>v_NNKEE-015ZY</t>
  </si>
  <si>
    <t>A teen talks and hold a leash of a dog while a young man pets a dog on a couch.</t>
  </si>
  <si>
    <t>Then, the teen runs with the dog were other youth play frisbee, after the teen talks.</t>
  </si>
  <si>
    <t>A woman reads a book lean on a dispenser soda machine.</t>
  </si>
  <si>
    <t>A man walks a dog in a parking lot and the street.</t>
  </si>
  <si>
    <t>After, the teen and the young man are indoors.</t>
  </si>
  <si>
    <t>v_xfVx1-emCV8</t>
  </si>
  <si>
    <t>The video starts with a curling game being shown from overhead.</t>
  </si>
  <si>
    <t>The camera then shows a lady skating across the ice.</t>
  </si>
  <si>
    <t>Then the camera focuses back onto the curling game showing a lady about to shoot.</t>
  </si>
  <si>
    <t>They return to the overhead angle of the game while the lady prepares to shoot.</t>
  </si>
  <si>
    <t>Other players are shown watching in anticipation.</t>
  </si>
  <si>
    <t>The player makes the shot and the camera follows along.</t>
  </si>
  <si>
    <t>The crowd cheers and a replay of the shot is shown.</t>
  </si>
  <si>
    <t>v_9n_cwQLpo_c</t>
  </si>
  <si>
    <t>A person is snowboarding indoors alone.</t>
  </si>
  <si>
    <t>The person is zig-zagging with his board down a slope.</t>
  </si>
  <si>
    <t>The person turns around at the end of the slope with arms extended.</t>
  </si>
  <si>
    <t>v_s3DoV1L9zAM</t>
  </si>
  <si>
    <t>A young man is seen sitting behind a drum set holding sticks.</t>
  </si>
  <si>
    <t>The man begins playing the drums continuously while the camera captures his movements.</t>
  </si>
  <si>
    <t>He is still seen playing the drums and ends with his hands up.</t>
  </si>
  <si>
    <t>v_xmStXpxlG_I</t>
  </si>
  <si>
    <t>A toddler hits a piñata with a bat while it is spinning.</t>
  </si>
  <si>
    <t>A person is near the boy showing an arm.</t>
  </si>
  <si>
    <t>v_nxNir9CE3zI</t>
  </si>
  <si>
    <t>The scene says River Scum with a black background.</t>
  </si>
  <si>
    <t>A kayak is going down a river while a person is paddling.</t>
  </si>
  <si>
    <t>A screen comes with words.</t>
  </si>
  <si>
    <t>v_Ip1EWQCXvRM</t>
  </si>
  <si>
    <t>A small group of people are seen sitting in a raft with close ups of their feet and paddles are shown.</t>
  </si>
  <si>
    <t>A man speaks to the group and leads into them paddling down a river.</t>
  </si>
  <si>
    <t>The group continues riding down the river showing close ups of them working and ending with a logo across the screen.</t>
  </si>
  <si>
    <t>v_esQnfUcBbPE</t>
  </si>
  <si>
    <t>A black bull is taunted with a dummy hanging on a rope as the bull lunges at the dummy.</t>
  </si>
  <si>
    <t>A man with a green and white umbrella taunts a black bull on a rope while onlookers also taunt the bull from the side on a wall.</t>
  </si>
  <si>
    <t>The black bull lunges at another dummy and the dummy get caught on the bulls horn as the bull runs off after other taunting targets.</t>
  </si>
  <si>
    <t>v_-Q9WotFs1MI</t>
  </si>
  <si>
    <t>A man is holding an ax in the forest.</t>
  </si>
  <si>
    <t>He is talking and adjusting a large stump.</t>
  </si>
  <si>
    <t>He uses the ax to split the wood.</t>
  </si>
  <si>
    <t>v_TPsMocKBQU0</t>
  </si>
  <si>
    <t>We see a lady bouncing on a slack line.</t>
  </si>
  <si>
    <t>The lady sits on her knees.</t>
  </si>
  <si>
    <t>The man in the background picks up snow.</t>
  </si>
  <si>
    <t>The lady falls of the slack line.</t>
  </si>
  <si>
    <t>We see a man bouncing on the slack line.</t>
  </si>
  <si>
    <t>We go back to the first lady bouncing.</t>
  </si>
  <si>
    <t>The lady jumps off the slack line and gets back on.</t>
  </si>
  <si>
    <t>The lady spins while bouncing.</t>
  </si>
  <si>
    <t>The lady jumps off then is back on.</t>
  </si>
  <si>
    <t>v_NE6SEdnVUh4</t>
  </si>
  <si>
    <t>A group of men are sitting outside playing instruments together.</t>
  </si>
  <si>
    <t>One of the men hand another a stick made into a flute and he sits done and begins to start playing on it.</t>
  </si>
  <si>
    <t>The man starts playing saxophone along with him.</t>
  </si>
  <si>
    <t>The other men all join in and they all make music together, having a nice time.</t>
  </si>
  <si>
    <t>v_nFhBmNJ9zN0</t>
  </si>
  <si>
    <t>A person rides a horse in a field kicking a ball with a curved stick.</t>
  </si>
  <si>
    <t>People play polo in the field riding horses.</t>
  </si>
  <si>
    <t>The man with the curved stick runs behind the other players and dispute the ball and scores.</t>
  </si>
  <si>
    <t>After, the person runs behind a player with blue t-shirt to hit the ball and score.</t>
  </si>
  <si>
    <t>v_OsB_uEj1PRM</t>
  </si>
  <si>
    <t>A man is seen laying on the ground holding onto his stomach.</t>
  </si>
  <si>
    <t>He begins moving himself up and down on the ground while holding onto his waist.</t>
  </si>
  <si>
    <t>He continues moving up and down while the camera captures his movements.</t>
  </si>
  <si>
    <t>v_HI_lWd3JhII</t>
  </si>
  <si>
    <t>A close up of a person holding a bag is shown and follows with the person taking out the items.</t>
  </si>
  <si>
    <t>He lays the items out and runs a board across a ski.</t>
  </si>
  <si>
    <t>He finally rubs the ski again and places the cap on the bar.</t>
  </si>
  <si>
    <t>v_BcflqWdlBjI</t>
  </si>
  <si>
    <t>A man chops a large notch into a lox with an ax.</t>
  </si>
  <si>
    <t>The man uses his gloved hand to brush away splintered wood from the log.</t>
  </si>
  <si>
    <t>v_xafFWMX7ZeY</t>
  </si>
  <si>
    <t>An intro leads into a woman performing several different tricks with a dog and showing text for how to perform the trick.</t>
  </si>
  <si>
    <t>The woman continues performing tricks with the dog and end by walking to the camera.</t>
  </si>
  <si>
    <t>v_baktSTMnMv4</t>
  </si>
  <si>
    <t>A bunch of billiards players and shots are shown.</t>
  </si>
  <si>
    <t>The shots are trick shots in the second half of the video.</t>
  </si>
  <si>
    <t>v_XG6ar8yc2pM</t>
  </si>
  <si>
    <t>The words "My Horseback Riding Fails" appears.</t>
  </si>
  <si>
    <t>A girl riding a white horse fails to make her horse do jumps around a track.</t>
  </si>
  <si>
    <t>A song plays over the video.</t>
  </si>
  <si>
    <t>v_gN27GB5txG8</t>
  </si>
  <si>
    <t>A black screen with three rows of Arabic writing is shown.</t>
  </si>
  <si>
    <t>A young girl then comes into the bathroom and begins to wash her hands.</t>
  </si>
  <si>
    <t>As she continues,she begins talking and describing the process and then more writing appears.</t>
  </si>
  <si>
    <t>v_Z2GWtB7MGVs</t>
  </si>
  <si>
    <t>The camera pans back to show a hotel with red lanterns in the air and crows of people standing and looking out over the beach.</t>
  </si>
  <si>
    <t>A man rides a jetski in front of a large wave of dirty water.</t>
  </si>
  <si>
    <t>A sailboat is being swayed by a large wave.</t>
  </si>
  <si>
    <t>A lady is surfing on a large wave as a boat rides next to her filming it.</t>
  </si>
  <si>
    <t>We see the boat in the water swaying again.</t>
  </si>
  <si>
    <t>We see people surfing the large waves of the river.</t>
  </si>
  <si>
    <t>A man does a handstand on a surfboard while surfing.</t>
  </si>
  <si>
    <t>v_DEEgoxzTvdk</t>
  </si>
  <si>
    <t>A group of tall trees is surrounded by water.</t>
  </si>
  <si>
    <t>We see the vast ocean water around us.</t>
  </si>
  <si>
    <t>We then see several people as they relax on a boat.</t>
  </si>
  <si>
    <t>v_ta9cB1q4AzU</t>
  </si>
  <si>
    <t>A man talks and then walks in the street until to arrive to an ice cream shop.</t>
  </si>
  <si>
    <t>A woman shows a chocolate and vanilla ice cream cones, and a girl likes an ice cream.</t>
  </si>
  <si>
    <t>People purchase ice cream, and a raise child to see ice cream.</t>
  </si>
  <si>
    <t>The man lick an ice in the shop, then he pretends to lick an ice cream in a picture.</t>
  </si>
  <si>
    <t>v_DJyfOeZc2lI</t>
  </si>
  <si>
    <t>A woman is throwing darts at a dart board.</t>
  </si>
  <si>
    <t>The dart board is shown on the wall.</t>
  </si>
  <si>
    <t>She continues to throw darts at the dart board.</t>
  </si>
  <si>
    <t>She pulls the darts out of the dart board.</t>
  </si>
  <si>
    <t>v_tTBbFGv9emI</t>
  </si>
  <si>
    <t>A man cuts the center of a log with an ax while standing on the log.</t>
  </si>
  <si>
    <t>The man stands on the log holding the ax with the right hand.</t>
  </si>
  <si>
    <t>Then, the man continues cutting the log.</t>
  </si>
  <si>
    <t>After, two people walk on front the man, and one takes loosed wood from the log.</t>
  </si>
  <si>
    <t>v_Y5hT9Sk5EY4</t>
  </si>
  <si>
    <t>A dog groomer brushes the coat of a dog with a brush that is sitting on a table.</t>
  </si>
  <si>
    <t>The brushes are seen by themselves up close.</t>
  </si>
  <si>
    <t>The groomer holds up the brush to view it close up.</t>
  </si>
  <si>
    <t>The groomer removes hair from the brush and puts it into a pile.</t>
  </si>
  <si>
    <t>v_IIAaKRUze8A</t>
  </si>
  <si>
    <t>A man stands next to a small roof.</t>
  </si>
  <si>
    <t>He holds out a piece of metal.</t>
  </si>
  <si>
    <t>He places metal along side the roof.</t>
  </si>
  <si>
    <t>He attaches the pieces securely.</t>
  </si>
  <si>
    <t>v_S_ONutgLuV8</t>
  </si>
  <si>
    <t>A close up of a person's face is shown as well as driving and laying out a surf board toy.</t>
  </si>
  <si>
    <t>The man controls the machine along the water doing jumps and tricks and speaking to the camera.</t>
  </si>
  <si>
    <t>v_H0puoztHMY8</t>
  </si>
  <si>
    <t>A fire place in a room is shown.</t>
  </si>
  <si>
    <t>Windows on a house is shown.</t>
  </si>
  <si>
    <t>A hardwood flooring in a house is shown.</t>
  </si>
  <si>
    <t>There are paint cans sitting on the floor.</t>
  </si>
  <si>
    <t>v_Svr-YN9ujkA</t>
  </si>
  <si>
    <t>A woman puts her hands down on a table with some wash cloths to get a manicure.</t>
  </si>
  <si>
    <t>The manicurist puts some glass clear nail polish on her nails and then picks up a little bag of red glitter.</t>
  </si>
  <si>
    <t>The manicurist starts to put little fun decorations to make the nail look pretty.</t>
  </si>
  <si>
    <t>Then she gets the gooey stuff and goes over the nails with it to prevent them from coming off.</t>
  </si>
  <si>
    <t>v_1xcFq3SkTKk</t>
  </si>
  <si>
    <t>A large crowd of girls walk into frame holding bars then put the bars down on the ground.</t>
  </si>
  <si>
    <t>The girls then perform a dance routine moving the bars all around and end with them holding a pose and walking off stage.</t>
  </si>
  <si>
    <t>v_6qynXM937V0</t>
  </si>
  <si>
    <t>There's a man wearing a hat and a beige colored shirt standing on the banks of a river playing his harmonica.</t>
  </si>
  <si>
    <t>There is a still river behind him.</t>
  </si>
  <si>
    <t>He continues playing his harmonica to a soothing tune.</t>
  </si>
  <si>
    <t>After he stops playing, he puts his hands down.</t>
  </si>
  <si>
    <t>v_YYUm4o1aDmY</t>
  </si>
  <si>
    <t>A woman untie a pair of shoes until half and raise the tongues.</t>
  </si>
  <si>
    <t>Then, the woman put on a foot and tie the shoe behind the tongue.</t>
  </si>
  <si>
    <t>Then, the person put the other feet and tie the shoe, then she puts the tongues up.</t>
  </si>
  <si>
    <t>The woman talks and shows her shoes and skinny pants.</t>
  </si>
  <si>
    <t>v_zjbxaEVgzyE</t>
  </si>
  <si>
    <t>A woman is seen stepping into a pit with a large man and then begins running around one another.</t>
  </si>
  <si>
    <t>The woman then climbs on top of the man while he spins her around and she gets him in a head lock.</t>
  </si>
  <si>
    <t>The two bow to one another and the woman stands next to the host shaking his hands.</t>
  </si>
  <si>
    <t>v_VCldTcZi0aE</t>
  </si>
  <si>
    <t>There are several people gathered in an outdoor gymnasium.</t>
  </si>
  <si>
    <t>There are people standing and seated in the bleachers watching about twelve band students performing.</t>
  </si>
  <si>
    <t>Most of the players are drumming on the percussion instruments in a rhythmic tune.</t>
  </si>
  <si>
    <t>The percussion players begin going round in a circle as they play the instruments.</t>
  </si>
  <si>
    <t>v_IIKwRyf4Oyg</t>
  </si>
  <si>
    <t>A close up of a guitar is seen with a hand plucking the strings.</t>
  </si>
  <si>
    <t>A man is then seen singing into a microphone while still playing the guitar.</t>
  </si>
  <si>
    <t>The man moves his fingers up and down the guitar while still singing into the microphone.</t>
  </si>
  <si>
    <t>v_MN0YWduOEHk</t>
  </si>
  <si>
    <t>men are standing in big field pulling a thick rope.</t>
  </si>
  <si>
    <t>men are walking on sides of the rope and preparing themselves to pull the rope.</t>
  </si>
  <si>
    <t>men start pullnig the rope in both sides.</t>
  </si>
  <si>
    <t>v_5K6oT9zBjVE</t>
  </si>
  <si>
    <t>A person is showing off a scrubbing brush and cleaner and pouring the clearing into a sink.</t>
  </si>
  <si>
    <t>He scrubs the sink with the brush creating suds in the water while the facet runs.</t>
  </si>
  <si>
    <t>He continues scrubbing the sink with the brush until the sink is clean.</t>
  </si>
  <si>
    <t>He wipes a paper towel around the sink with the water continues to run.</t>
  </si>
  <si>
    <t>v_3VYPdypGB_Q</t>
  </si>
  <si>
    <t>A guy is outside playing a guitar.</t>
  </si>
  <si>
    <t>A boy rides a scooter.</t>
  </si>
  <si>
    <t>A child slides down a slide.</t>
  </si>
  <si>
    <t>Children and an adult stand in line.</t>
  </si>
  <si>
    <t>The boy walks towards the line.</t>
  </si>
  <si>
    <t>v_DbF6oI705UA</t>
  </si>
  <si>
    <t>A lady wearing a UCA jersey is giving a tutorial on the different moves of cheer leading.</t>
  </si>
  <si>
    <t>As she talks, several cheerleaders show the different poses and stretches that are often done by cheerleaders to improve flexibility.</t>
  </si>
  <si>
    <t>The lady continues to explain how certain poses help in improving general flexibility in cheerleaders.</t>
  </si>
  <si>
    <t>v_uoy7NjeESZc</t>
  </si>
  <si>
    <t>A group of bikers stand on the start line.</t>
  </si>
  <si>
    <t>Suddenly all the bikes fall from a stage.</t>
  </si>
  <si>
    <t>The scene of the fall of the bikers is repeated several times.</t>
  </si>
  <si>
    <t>v_rEDbnmvTblI</t>
  </si>
  <si>
    <t>The video is shot in first person view along a snowy slope.</t>
  </si>
  <si>
    <t>The person starts at the top of the slope, riding a tube.</t>
  </si>
  <si>
    <t>They quickly slide down and travel through the snowy path.</t>
  </si>
  <si>
    <t>At the bottom, a large pile of tubes stops the person from sliding further.</t>
  </si>
  <si>
    <t>The camera pans to another group of people who have also finished sliding down the slope.</t>
  </si>
  <si>
    <t>v_fSA-eTz3GkU</t>
  </si>
  <si>
    <t>A man in a black shirt spins around and throws a ball onto the field.</t>
  </si>
  <si>
    <t>A man in the stands claps for him.</t>
  </si>
  <si>
    <t>Another man spins and throws a ball onto the field.</t>
  </si>
  <si>
    <t>v_kmtuO9Xdp-Y</t>
  </si>
  <si>
    <t>A woman plays guitar on stage.</t>
  </si>
  <si>
    <t>The lady sings in the microphone.</t>
  </si>
  <si>
    <t>The lady takes a break from singing.</t>
  </si>
  <si>
    <t>The lady begins to sing again.</t>
  </si>
  <si>
    <t>The lady stops singing then steps back to the microphone.</t>
  </si>
  <si>
    <t>v_FbPUX8cWmeU</t>
  </si>
  <si>
    <t>A young lady dressed in a pink leotard and tuto begins prancing around a large stage.</t>
  </si>
  <si>
    <t>As she continues her routine,she continues doing ballet leaps and swinging her arms and twisting like a ballerina.</t>
  </si>
  <si>
    <t>Behind,her a castle appears cast on the wall as the girl smiles and looks out to the crowd.</t>
  </si>
  <si>
    <t>v_5kBKAfEX7XA</t>
  </si>
  <si>
    <t>An athlete is seen walking up to a set of uneven bars and begins performing a gymnastics routine on the bars.</t>
  </si>
  <si>
    <t>He continues moving around on the bars and ends by jumping down on the side with his arms out.</t>
  </si>
  <si>
    <t>v_Jz9ZxenBLa8</t>
  </si>
  <si>
    <t>There are a lot of people riding in small bumper cars that can fit either 1 or 2 people.</t>
  </si>
  <si>
    <t>A woman in a blue bumper car bumps into the middle metal part and she seems stuck and can't move but suddenly she begins to move again.</t>
  </si>
  <si>
    <t>Everyone keeps riding their bumper cars after the woman gets herself going again and eventually they all come to a stop.</t>
  </si>
  <si>
    <t>v_eufCY8KHuMA</t>
  </si>
  <si>
    <t>A man is riding a black horse in slow motion.</t>
  </si>
  <si>
    <t>People are shown trying to jump fences in several scenes, falling over or breaking through them at break neck speeds.</t>
  </si>
  <si>
    <t>As the rider walks away, the words Do you think it's easy? Appear on the screen.</t>
  </si>
  <si>
    <t>v_K8ivAsscK98</t>
  </si>
  <si>
    <t>A camera pans between a person and the cameraman and leads into a man sitting in front of a drum set.</t>
  </si>
  <si>
    <t>The man then plays the drums continuously and another man walks in and sings and dances.</t>
  </si>
  <si>
    <t>Another man is shown close up and pans back to the drummer then ceiling.</t>
  </si>
  <si>
    <t>v_t-xIv68Ac4c</t>
  </si>
  <si>
    <t>Several people are in a dance room and an instructor comes as they begin to dance.</t>
  </si>
  <si>
    <t>The six people continue to dance from side to side making arrows like a Jamaican dance.</t>
  </si>
  <si>
    <t>As it continues,steps are repeated and throws fist punts in the air.</t>
  </si>
  <si>
    <t>v_KyMDXMXZLyM</t>
  </si>
  <si>
    <t>A person is talking while looking at their icy car.</t>
  </si>
  <si>
    <t>He uses a tool to scrape the ice off the windshield.</t>
  </si>
  <si>
    <t>He continues scraping until he can see to drive.</t>
  </si>
  <si>
    <t>v_Nf-7lKa387k</t>
  </si>
  <si>
    <t>There is smoke and lights and words on the screen.</t>
  </si>
  <si>
    <t>The smoke is rolling around a hat.</t>
  </si>
  <si>
    <t>A person is blowing smoke out of their nose and smoke rings.</t>
  </si>
  <si>
    <t>The camera reverses and he continues to blow smoke.</t>
  </si>
  <si>
    <t>The words everything is purple.</t>
  </si>
  <si>
    <t>The smoke continues to blow and the words Edits by Jarron Jones comes up.</t>
  </si>
  <si>
    <t>The man keeps blowing smoke into the air.</t>
  </si>
  <si>
    <t>v_rBgMeunuviE</t>
  </si>
  <si>
    <t>There are 5 different people sitting in chairs playing accordions that has pianos attached to them.</t>
  </si>
  <si>
    <t>There are 2 women, and 3 men and all of them, look very serious about what they're doing.</t>
  </si>
  <si>
    <t>They all press different keys to make blending sounds and not all of them use the accordion much.</t>
  </si>
  <si>
    <t>v_JOYduGqZSRc</t>
  </si>
  <si>
    <t>Men explains the game beer pong, while people compete in the tournament.</t>
  </si>
  <si>
    <t>Two person wears funny clothes and white wigs.</t>
  </si>
  <si>
    <t>Several people compete beer pong in a table full of cups with beer, then one person wins and people congratulates the winner.</t>
  </si>
  <si>
    <t>Then, people plays beer pong unsuccessful, and then a man throw the ball in the far cup, then people hug the winner who receives a price.</t>
  </si>
  <si>
    <t>A person takes pictures to the winner.</t>
  </si>
  <si>
    <t>v_KIIcgQyr0-Y</t>
  </si>
  <si>
    <t>We see a guitar illustration on the opening scene.</t>
  </si>
  <si>
    <t>We see a man hitting the guitar like drum.</t>
  </si>
  <si>
    <t>The man plays a song on the guitar and we briefly see the song and artist name on the screen.</t>
  </si>
  <si>
    <t>We focus on the mans left hand on the guitar neck.</t>
  </si>
  <si>
    <t>The man finishes and stops playing.</t>
  </si>
  <si>
    <t>We see the illustration again.</t>
  </si>
  <si>
    <t>v_APCbvR0SBl0</t>
  </si>
  <si>
    <t>A person runs and throws a javelin.</t>
  </si>
  <si>
    <t>There are people watching them behind a fence.</t>
  </si>
  <si>
    <t>A green umbrella sits next to the track.</t>
  </si>
  <si>
    <t>v_0pxONuRdIAY</t>
  </si>
  <si>
    <t>Two people give a news report about the importance of wearing sunscreen and talk with each other.</t>
  </si>
  <si>
    <t>People are shown outside putting sunscreen on.</t>
  </si>
  <si>
    <t>The newscasters then talk at the end with each other.</t>
  </si>
  <si>
    <t>v_KoMKIJ6QbpY</t>
  </si>
  <si>
    <t>A man in a white shirt is putting a tile on the floor.</t>
  </si>
  <si>
    <t>The man points beside the tile then stands.</t>
  </si>
  <si>
    <t>The camera zooms in on the tile.</t>
  </si>
  <si>
    <t>v_4ivePL3RW0Q</t>
  </si>
  <si>
    <t>The video begins with a close up of two young boys.</t>
  </si>
  <si>
    <t>A title slide is then shown, and then shows several ingredients used in a recipe for cookies.</t>
  </si>
  <si>
    <t>The video then shows the two boys mixing ingredients together.</t>
  </si>
  <si>
    <t>They roll the dough into balls and place them into an oven.</t>
  </si>
  <si>
    <t>The boys take the cookies out of the oven and begin eating them.</t>
  </si>
  <si>
    <t>v_I6riV09yqm8</t>
  </si>
  <si>
    <t>An intro leads into a woman preparing to jump and flips around and around on bars.</t>
  </si>
  <si>
    <t>She continues her gymnastic routine flipping through the bars with a bar spotting her and she finishes by putting her arms up.</t>
  </si>
  <si>
    <t>v_dS9TsX_zyPg</t>
  </si>
  <si>
    <t>A man wearing an apron is seen rubbing down several dishes while throwing them in a sink.</t>
  </si>
  <si>
    <t>The man continues rubbing down dishes while immediately throwing them into a sink of water.</t>
  </si>
  <si>
    <t>v_SIeV0DPSpHQ</t>
  </si>
  <si>
    <t>We see an opening sequence with flashes.</t>
  </si>
  <si>
    <t>We see two men in a yard pushing an item in the grass.</t>
  </si>
  <si>
    <t>We see a dirt patch in the grass.</t>
  </si>
  <si>
    <t>We see the monitor on the device.</t>
  </si>
  <si>
    <t>We see a tree in a round of dirt.</t>
  </si>
  <si>
    <t>We see a root in the yard.</t>
  </si>
  <si>
    <t>We see the ending credits and the screen fades.</t>
  </si>
  <si>
    <t>v_wjD2BdbSb1o</t>
  </si>
  <si>
    <t>A girl in a black shirt and pink shorts is painting a wooden fence.</t>
  </si>
  <si>
    <t>v_s84BStnbfK8</t>
  </si>
  <si>
    <t>Two people are standing in a room.</t>
  </si>
  <si>
    <t>They begin to play a game of wall ball.</t>
  </si>
  <si>
    <t>They are swinging their rackets hitting the ball.</t>
  </si>
  <si>
    <t>v_xkKjgwIPEuM</t>
  </si>
  <si>
    <t>People are running around on field playing lacrosse.</t>
  </si>
  <si>
    <t>The crowd is watching them play.</t>
  </si>
  <si>
    <t>A black and white logo is shown on the screen.</t>
  </si>
  <si>
    <t>v_VCdZ9gfzRWo</t>
  </si>
  <si>
    <t>A large Christmas tree is sitting in a room.</t>
  </si>
  <si>
    <t>A man and woman are putting lights on the Christmas tree.</t>
  </si>
  <si>
    <t>A dog is walking around the Christmas tree.</t>
  </si>
  <si>
    <t>v_K4cNyYu2LLg</t>
  </si>
  <si>
    <t>A set of toddler boys are standing up against the wall talking and playing with toothbrushes.</t>
  </si>
  <si>
    <t>They both begin to brush their teeth ferociously without any toothpaste or water.</t>
  </si>
  <si>
    <t>v_B5s4uYNIM24</t>
  </si>
  <si>
    <t>An intro comes onto the screen showing a high rise building.</t>
  </si>
  <si>
    <t>Then, a man is shown gearing up and putting on several contraptions that he can connect to a belt.</t>
  </si>
  <si>
    <t>He is then shown washing the windows of the very tall building.</t>
  </si>
  <si>
    <t>He uses a scrapper the scrape of a sticker from one of the windows.</t>
  </si>
  <si>
    <t>He is shows dipping a washer in a bucket and washing the windows of the ground floor.</t>
  </si>
  <si>
    <t>Several of the window washing supplies are shown again before the video ends.</t>
  </si>
  <si>
    <t>v_uE6_kwnfDCQ</t>
  </si>
  <si>
    <t>A woman shows tango steps moving and turning around while talking.</t>
  </si>
  <si>
    <t>Then, the man moves around showing tango steps.</t>
  </si>
  <si>
    <t>After, the woman and the man dance tango together while the man talks.</t>
  </si>
  <si>
    <t>v_ThRbaI4pGIs</t>
  </si>
  <si>
    <t>A picture of an island coast is shown with calm blue waves washing up against the rocks.</t>
  </si>
  <si>
    <t>A male suddenly appears and begins running towards the water with a surf board.</t>
  </si>
  <si>
    <t>The man begins surfing on the waves as several people sit on the beach watching him.</t>
  </si>
  <si>
    <t>After awhile,the male leaves the water and sits on the hill with the surfboard and then walks away.</t>
  </si>
  <si>
    <t>v_AmW-O5MmJHk</t>
  </si>
  <si>
    <t>A woman hands a young boy a stick with a little girl grabbing for her attention.</t>
  </si>
  <si>
    <t>The pinata is lifted and the boy begins swinging at the object.</t>
  </si>
  <si>
    <t>The camera pans around people watching while he hits the pinata and a little boy is seen clapping behind him.</t>
  </si>
  <si>
    <t>v__7l3OxQodF0</t>
  </si>
  <si>
    <t>A man in a purple shirt is talking to the camera.</t>
  </si>
  <si>
    <t>He starts climbing wood planks up a wall.</t>
  </si>
  <si>
    <t>He gets down off the wall and continues talking.</t>
  </si>
  <si>
    <t>v_B3ZL18f1x4Y</t>
  </si>
  <si>
    <t>Various pictures of food are shown followed by a person cutting up vegetables and mixing various ingredients into a pot.</t>
  </si>
  <si>
    <t>He then cuts up a piece of bread, scoops out the insides, and fries up some meat.</t>
  </si>
  <si>
    <t>Finally he pours all the ingredients into the break bowl, wraps it up in aluminum foil, and shows more pictures of the sandwich.</t>
  </si>
  <si>
    <t>v_0RUMAGGab1k</t>
  </si>
  <si>
    <t>a man is standing in front of a camera.</t>
  </si>
  <si>
    <t>He starts playing a harmonica for the camera.</t>
  </si>
  <si>
    <t>He rocks back and forth to the music as he goes.</t>
  </si>
  <si>
    <t>v_04LdesS7Pxk</t>
  </si>
  <si>
    <t>A man is closing his eyes while getting his beard trimmed and combed.</t>
  </si>
  <si>
    <t>The man now has a nearly shaven beard and is getting his neck shaved.</t>
  </si>
  <si>
    <t>The man has shaving cream on his neck and side and is getting his beard closely shaven with a razor in a downward motion.</t>
  </si>
  <si>
    <t>His face is getting toweled off after being shaven.</t>
  </si>
  <si>
    <t>A man rubs something on his hands and pats it on the other mans face.</t>
  </si>
  <si>
    <t>His face gets patted with the towel at the end.</t>
  </si>
  <si>
    <t>v_qyssgQ2xq2M</t>
  </si>
  <si>
    <t>Inside of the house on the couch two men are sitting, one of them is talking casually awhile the other is holding his arm out on a pillow.</t>
  </si>
  <si>
    <t>The man is painting his friends finger nails, he seems to have done someone else's nails also and made little red heart.</t>
  </si>
  <si>
    <t>The man is talking and pretty excited her able to do this, he keeps putting the top of the polish back to get more paint on it.</t>
  </si>
  <si>
    <t>He jokingly rubs the other mans face, and continues to take his time painting his nails.</t>
  </si>
  <si>
    <t>v_jQU4NYJzxco</t>
  </si>
  <si>
    <t>There are two children standing at a double stainless steel sink in a residential home.</t>
  </si>
  <si>
    <t>The taller child moves dishes from the right side of the sink to the left side of the sink one by one while the smaller child holds onto an orange bottle brush and doesn't move any dishes.</t>
  </si>
  <si>
    <t>Both of the children turn to the camera behind them and the older gives a big smile while the little one gives a very small smile.</t>
  </si>
  <si>
    <t>v_8TDYCXqSHCw</t>
  </si>
  <si>
    <t>A gymnast lift a weight until his shoulders, then lift it above his head.</t>
  </si>
  <si>
    <t>The man left the weight fall on the floor.</t>
  </si>
  <si>
    <t>v_bDD56LnztiQ</t>
  </si>
  <si>
    <t>A man is seen speaking to the camera behind a desk and leads into shows of people riding on skateboards.</t>
  </si>
  <si>
    <t>More shots of him talking are shown as well as people do tricks on the skateboards.</t>
  </si>
  <si>
    <t>v_T9JSNxOyUQA</t>
  </si>
  <si>
    <t>A large group of people is standing and walking around several stacks of inner-tubes and a bus.</t>
  </si>
  <si>
    <t>Two young children are sitting in one of the bus seats.</t>
  </si>
  <si>
    <t>A group of adults is riding in the bus talking.</t>
  </si>
  <si>
    <t>Several kids are in their inner-tubes in the water among other people floating on inner-tubes in the water.</t>
  </si>
  <si>
    <t>Several people are shown in canoes with people in inner-tubes in the background.</t>
  </si>
  <si>
    <t>A young girl sinks down in the middle of her inner-tube and jumps back up with her head soaked.</t>
  </si>
  <si>
    <t>Someone shows a first person view floating down the river.</t>
  </si>
  <si>
    <t>Various other people are shown in inner-tubes and canoes in the water.</t>
  </si>
  <si>
    <t>A few people are seen buying food from two women at a a concession stand.</t>
  </si>
  <si>
    <t>A man holds a young boy in a life vest who looks like he is sleeping.</t>
  </si>
  <si>
    <t>v_l5uaH-Qydxk</t>
  </si>
  <si>
    <t>A young girl is climbing across the monkey bars outside a building.</t>
  </si>
  <si>
    <t>She is swinging from each rung, moving her body forward one at a time.</t>
  </si>
  <si>
    <t>When she reaches the other end, she turns and starts making her way back to the beginning.</t>
  </si>
  <si>
    <t>v_iJPPWotXvV0</t>
  </si>
  <si>
    <t>A man in a gym walks over to a barbell.</t>
  </si>
  <si>
    <t>The man lifts the barbell to his chest, then over his head.</t>
  </si>
  <si>
    <t>The man drops the weight.</t>
  </si>
  <si>
    <t>The man hugs the men behind him.</t>
  </si>
  <si>
    <t>A man in red runs and jumps on the weight lifting man.</t>
  </si>
  <si>
    <t>The man in red walks away laughing.</t>
  </si>
  <si>
    <t>v_Bi3vlu17qp8</t>
  </si>
  <si>
    <t>A person in a black shirt gets hit by a ball.</t>
  </si>
  <si>
    <t>People standing on the beach are tossing around an orange ball.</t>
  </si>
  <si>
    <t>There are people swimming in the water behind them.</t>
  </si>
  <si>
    <t>v_ZSoPIyVJWWk</t>
  </si>
  <si>
    <t>A clear package of soft flexible hair curlers is shown on a black table as a hand picks up an unwrapped purple curler and fidgets with it.</t>
  </si>
  <si>
    <t>The hand turns the bag around so that the contents are shown through the mouth of the bag before handling both the loose purple and pink curlers.</t>
  </si>
  <si>
    <t>The hand continues to go back and forth between handling the two loose curlers and the full back of curlers before the video ends.</t>
  </si>
  <si>
    <t>v_SIHG_BRgn2E</t>
  </si>
  <si>
    <t>A black and white video intro appears with special effects of asian lettering showing up while different pictures of people are displayed.</t>
  </si>
  <si>
    <t>An Asian man is now smiling and talking to the camera as he sits in front of a microphone in a studio, and he then sings as he plays on a black piano as he reads music from music sheets on the piano.</t>
  </si>
  <si>
    <t>When the man is done singing and playing he turns to the camera and gives a big smile.</t>
  </si>
  <si>
    <t>A black screen appears and white lettering appears at the bottom right.</t>
  </si>
  <si>
    <t>v_tHhdS8t9ytI</t>
  </si>
  <si>
    <t>docto is talking in a consulting room and mixing liquids into a test tube preparing coffee and talking to the camera about benefis of the coffee.</t>
  </si>
  <si>
    <t>coffe is being served in a cup and is shown the benefits of the coffee in the body.</t>
  </si>
  <si>
    <t>v_iAwNYgA6mkc</t>
  </si>
  <si>
    <t>A man kneels in his fencing gear.</t>
  </si>
  <si>
    <t>A man walks up to him with his back turned as they talk.</t>
  </si>
  <si>
    <t>The man stands, and engages in fencing with an opponent, both attached to cables behind them.</t>
  </si>
  <si>
    <t>v__eanWnL3FtM</t>
  </si>
  <si>
    <t>A man wearing a blue shirt and a man wearing a dart shirt enter a stage surrounded by a crowd.</t>
  </si>
  <si>
    <t>The two men competes paper, scissors and rock on front a judge.</t>
  </si>
  <si>
    <t>The two men continues competing while the judge gives the start.</t>
  </si>
  <si>
    <t>Then, the two men continue competing, after the man wearing dark shirt wins the competition and people cheers.</t>
  </si>
  <si>
    <t>v_JI5_cMwgnxI</t>
  </si>
  <si>
    <t>A guy wearing a red plaid shirt is showing a tutorial on how to trim and prune trees in a garden.</t>
  </si>
  <si>
    <t>He is using a pair of garden shears to chop off the excessive leaves grown on the trees.</t>
  </si>
  <si>
    <t>He then demonstrates how to fertile the trees and shrubs by using some fertilizer balls.</t>
  </si>
  <si>
    <t>He then used a liquid fertilizer on the trees and plants to fortify them.</t>
  </si>
  <si>
    <t>He finally waters the trees and plants with a hose to complete the process.</t>
  </si>
  <si>
    <t>v_4XGQR2VmWpw</t>
  </si>
  <si>
    <t>We see a red light then the title.</t>
  </si>
  <si>
    <t>A man's biker gear is shown.</t>
  </si>
  <si>
    <t>We are shown the terrain.</t>
  </si>
  <si>
    <t>The riders take off on their bikes.</t>
  </si>
  <si>
    <t>We see them ride over all types of terrain.</t>
  </si>
  <si>
    <t>We see an Aerial shot of the bikers.</t>
  </si>
  <si>
    <t>We see a lake, and a dog followed by a bike on a street.</t>
  </si>
  <si>
    <t>A man uses a knife to open a coconut.</t>
  </si>
  <si>
    <t>We go back to the dirt bikers performing stunts.</t>
  </si>
  <si>
    <t>We see two bikers flying through the sky.</t>
  </si>
  <si>
    <t>We then see three bikers sitting still on their bikes.</t>
  </si>
  <si>
    <t>We see the end title card.</t>
  </si>
  <si>
    <t>v_vWGkTOLx57s</t>
  </si>
  <si>
    <t>A young gymnastic boy gets on a bar and starts doing flips and other things.</t>
  </si>
  <si>
    <t>It seems like he is being judged for a tournament.</t>
  </si>
  <si>
    <t>He is on the bars doing excellent, looking awesome and having fun while doing it.</t>
  </si>
  <si>
    <t>Then, he lands and poses and the audience is shown.</t>
  </si>
  <si>
    <t>v_XDFJFhaG_p0</t>
  </si>
  <si>
    <t>A man stands holding a violin and bow discussing its features.</t>
  </si>
  <si>
    <t>The man sets the instrument under his chin and tightens the bow.</t>
  </si>
  <si>
    <t>The man undoes the bow strings and raps them around the violin.</t>
  </si>
  <si>
    <t>The man plays a song on the violin.</t>
  </si>
  <si>
    <t>v_crSMHcUkPcA</t>
  </si>
  <si>
    <t>A green splash appears against a white back drown.</t>
  </si>
  <si>
    <t>Then a series of words appear across the screen and showing various pictures describing the terms.</t>
  </si>
  <si>
    <t>A man is then shown standing on a ladder laying wall paper.</t>
  </si>
  <si>
    <t>After,the man cuts the wall paper and gains assistance while putting the paper on the roof.</t>
  </si>
  <si>
    <t>The two finish and give each a high five.</t>
  </si>
  <si>
    <t>Finally,several rooms are shown displaying the work they've done.</t>
  </si>
  <si>
    <t>v_Hj_YKQiU-8Y</t>
  </si>
  <si>
    <t>A young girl is seen speaking to the camera while playing with her hair.</t>
  </si>
  <si>
    <t>She points to her shirt and leads into her brushing her hair while speaking to the camera.</t>
  </si>
  <si>
    <t>v_iVVatZsgnGo</t>
  </si>
  <si>
    <t>A person is seen swimming under water using scuba gear and pulling a rope by her side.</t>
  </si>
  <si>
    <t>She then catches a fish and is seen again in a bikini swimming around a whale.</t>
  </si>
  <si>
    <t>More shots of a dolphin are shown jumping through the water and ends with text across the screen.</t>
  </si>
  <si>
    <t>v_5OGNGIF22SY</t>
  </si>
  <si>
    <t>A buff young man is sitting on a machine with a sliding seat demonstrating weight lifting techniques.</t>
  </si>
  <si>
    <t>He then slides back,puts his feet in the ropes and starts to tie his shoes.</t>
  </si>
  <si>
    <t>Once complete,the man grabs the rope and moves back and forth while pulling out the rope to exercise.</t>
  </si>
  <si>
    <t>Now he is done,he drops the ropes and starts to talk again.</t>
  </si>
  <si>
    <t>v_dgbGv3G4k5M</t>
  </si>
  <si>
    <t>A family is rearranging furniture in a living room.</t>
  </si>
  <si>
    <t>They set up a Christmas tree in the corner of the room.</t>
  </si>
  <si>
    <t>They put lights on the tree.</t>
  </si>
  <si>
    <t>They put bulbs onto the tree.</t>
  </si>
  <si>
    <t>A little girl does a spin in front of the tree.</t>
  </si>
  <si>
    <t>v__icW_MAe7Po</t>
  </si>
  <si>
    <t>A man is inside a gym with a ball.</t>
  </si>
  <si>
    <t>He joins a team, playing a game of soccer.</t>
  </si>
  <si>
    <t>They kick the ball back and forth on the court.</t>
  </si>
  <si>
    <t>v_huKjjvCG0EE</t>
  </si>
  <si>
    <t>men are standing in a geen grssy field playing croquet.</t>
  </si>
  <si>
    <t>people are sitting on the field around the croquet game.</t>
  </si>
  <si>
    <t>man wearing white uniform is talking to the camera in the field.</t>
  </si>
  <si>
    <t>a man and a woman are talking to the camera.</t>
  </si>
  <si>
    <t>v_aiTAx3oo97U</t>
  </si>
  <si>
    <t>We see a person standing on a stair stepper.</t>
  </si>
  <si>
    <t>The person moves a cord out of the way.</t>
  </si>
  <si>
    <t>The man begins to walk on the stepper.</t>
  </si>
  <si>
    <t>The person lifts their right hand.</t>
  </si>
  <si>
    <t>v_tt5-QtDwm3Y</t>
  </si>
  <si>
    <t>A man is seen speaking to the camera and leads into him helping a man shoot several baskets.</t>
  </si>
  <si>
    <t>The coach is then seen instructing a large group of children as they shoot baskets over and over.</t>
  </si>
  <si>
    <t>v_GTOP7XXi_vI</t>
  </si>
  <si>
    <t>Smoke fills an empty dark room.</t>
  </si>
  <si>
    <t>Words appear on the screen, followed by the appearance of men who are kickboxing.</t>
  </si>
  <si>
    <t>A group plays instruments behind them while they fight.</t>
  </si>
  <si>
    <t>The two men end the fight with a hug.</t>
  </si>
  <si>
    <t>v_ldjIg23Rofw</t>
  </si>
  <si>
    <t>two man are in a room playing row row row your boat.</t>
  </si>
  <si>
    <t>two men are playing taking a selfie in a living room.</t>
  </si>
  <si>
    <t>man is standing in living room playing beer pong and taking out his shirt.</t>
  </si>
  <si>
    <t>man is standing in the living room holding a tennis racket and hiting a ball.</t>
  </si>
  <si>
    <t>two men are standing in the living oom playing beer pong and doing other shot games with a bottle of whiskey.</t>
  </si>
  <si>
    <t>v_zyh1cftKtQM</t>
  </si>
  <si>
    <t>A woman is seen speaking to the camera while holding up various objects and begins brushing her hair.</t>
  </si>
  <si>
    <t>She ties her hair up while still speaking and holding up several brushes at the sign time.</t>
  </si>
  <si>
    <t>v_WdC6dVbfTvs</t>
  </si>
  <si>
    <t>A body piercing artist is seen piercing the belly button of a female.</t>
  </si>
  <si>
    <t>Initially he uses a piercing tool to make the incision on the belly button.</t>
  </si>
  <si>
    <t>Afterwards he inserts the piercing and makes sure its secure.</t>
  </si>
  <si>
    <t>Than he uses a wipe and cleans the area.</t>
  </si>
  <si>
    <t>Afterwards the girl stands up talks to he friend and looks in the mirror.</t>
  </si>
  <si>
    <t>In the end the camera man turns around and speaks to the camera with authority .</t>
  </si>
  <si>
    <t>v_yrCBN0tYjPE</t>
  </si>
  <si>
    <t>A man stands in a large room.</t>
  </si>
  <si>
    <t>He then jumps up on beams.</t>
  </si>
  <si>
    <t>He then balances himself on the beam.</t>
  </si>
  <si>
    <t>He does several flips and tricks.</t>
  </si>
  <si>
    <t>v_5fgJ5vWTcSQ</t>
  </si>
  <si>
    <t>A man is riding a skateboard down a suburban road.</t>
  </si>
  <si>
    <t>Two more are shown as the camera man is spotting them from behind.</t>
  </si>
  <si>
    <t>He pushes them, keeping them at a fast pace.</t>
  </si>
  <si>
    <t>v_a_v_1fL2VyM</t>
  </si>
  <si>
    <t>An athlete jumps with a pole to pass the horizontal bar, then he falls on the foamy mat.</t>
  </si>
  <si>
    <t>Then, there is a flash back of the vault pole jump.</t>
  </si>
  <si>
    <t>v_Z2wZr0Beq9c</t>
  </si>
  <si>
    <t>A woman is seen sitting behind a poker table and dealer cards while others do the same in the back.</t>
  </si>
  <si>
    <t>The woman continues dealing cards on the table while looking and smiling to the camera.</t>
  </si>
  <si>
    <t>v_cu8TBL7msJg</t>
  </si>
  <si>
    <t>Several clips are shown of people holding tennis rackets and hitting a ball into the distance.</t>
  </si>
  <si>
    <t>Text is shown across the screen and more shots are shown of people demonstrating.</t>
  </si>
  <si>
    <t>The people continue hitting the balls around the court while the camera captures their movements.</t>
  </si>
  <si>
    <t>v_I5RVQUYA1w4</t>
  </si>
  <si>
    <t>The two girls hug each other and the girl who's wearing the blue dress slightly pushes past the other girl.</t>
  </si>
  <si>
    <t>Then she runs back to her and hugs her and runs away from her again.</t>
  </si>
  <si>
    <t>v_6Eh7B3GnQWI</t>
  </si>
  <si>
    <t>We see a man talking to the camera while holding an accordion.</t>
  </si>
  <si>
    <t>The man then plays the accordion and we see it up close.</t>
  </si>
  <si>
    <t>The man holds a note and his hands shake.</t>
  </si>
  <si>
    <t>We zoom out and the man stops playing.</t>
  </si>
  <si>
    <t>v_mvl6wff267o</t>
  </si>
  <si>
    <t>A large group of people are seen running down a track and transitions into several more people running.</t>
  </si>
  <si>
    <t>Two girls check their wrists while one speaks to the camera and several shots of a wristband are shown.</t>
  </si>
  <si>
    <t>More people are interviewed while wearing the wrist bands and show how they work while many run around.</t>
  </si>
  <si>
    <t>v_vkk-sOo8Hqw</t>
  </si>
  <si>
    <t>We see men on a boat, a saw appears then a man in a hammock.</t>
  </si>
  <si>
    <t>the man gets up and goes to his mower and creates something on a wheel well and ties it to the mower and the shed door.</t>
  </si>
  <si>
    <t>The man allows the mower to spin around the object and cut the grass.</t>
  </si>
  <si>
    <t>It then pulls the object into the shed on the line and the door pulls closed.</t>
  </si>
  <si>
    <t>v_A6CBFa22oJc</t>
  </si>
  <si>
    <t>An add displays a web site about a business called happydogz.</t>
  </si>
  <si>
    <t>Then, a man appears pulled by a dog, then adds display information about a retractable dog leash.</t>
  </si>
  <si>
    <t>After, a couple pulls two dogs from leashes.</t>
  </si>
  <si>
    <t>After, adds display information about the leash.</t>
  </si>
  <si>
    <t>v_8LI3rnG6kMA</t>
  </si>
  <si>
    <t>A carved pumpking with a light in it glows on a counter.</t>
  </si>
  <si>
    <t>Supplies for carving are then shown.</t>
  </si>
  <si>
    <t>A woman cuts the top off the pumpkin, emptying the seeds.</t>
  </si>
  <si>
    <t>She then carves the traced lines to cut out the design.</t>
  </si>
  <si>
    <t>When she is done, a tea light is placed inside the pumpkin and lit.</t>
  </si>
  <si>
    <t>v_JK8pYBpatAY</t>
  </si>
  <si>
    <t>She has a metal weight bar on her shoulders.</t>
  </si>
  <si>
    <t>She moves up and down lifting the weight.</t>
  </si>
  <si>
    <t>v_2iBb6ArHweI</t>
  </si>
  <si>
    <t>A woman is seen speaking to the camera while holding a bottle of sunscreen.</t>
  </si>
  <si>
    <t>She then opens the bottle and uses a holder on the side.</t>
  </si>
  <si>
    <t>She shows off the holder while still speaking to the camera.</t>
  </si>
  <si>
    <t>v_TpURw9nc8ks</t>
  </si>
  <si>
    <t>Several people are seen standing around one another holding sticks and looking around.</t>
  </si>
  <si>
    <t>The people hit a ball across a lawn one at a time and are seen laughing and smiling at one another.</t>
  </si>
  <si>
    <t>v_IHPb-JPIhg8</t>
  </si>
  <si>
    <t>A man is swinging on a balance beam.</t>
  </si>
  <si>
    <t>He jumps off and puts his hands in the air.</t>
  </si>
  <si>
    <t>He gets back on the balance beam.</t>
  </si>
  <si>
    <t>v_CiCNA-Nr1QQ</t>
  </si>
  <si>
    <t>A man is at a bowling alley dressed in bowling clothes, shoes and wearing gloves as he takes turns rolling the ball down the lane and hitting pins.</t>
  </si>
  <si>
    <t>The man grabs the ball from the return and holds the ball and stands there for a while staring down the lane, and when he finally rolls it he makes a strike.</t>
  </si>
  <si>
    <t>When the strike is over, it then replays in slow motion.</t>
  </si>
  <si>
    <t>v_QtiqvB4uw2Y</t>
  </si>
  <si>
    <t>A view of a top of a roof with pine straws shown strewn all over it appears and a banner at the bottom say's "If you got pine straw on your roof, call us 678-887-9479.</t>
  </si>
  <si>
    <t>A man is now on the top of the roof and he has a blower in his right hand, metal stick in his left hand for balance, and he's walking along the roof blowing off all of the pine straws.</t>
  </si>
  <si>
    <t>The last view is of the cleaned off roof and the website is shown at the bottom of the screen.</t>
  </si>
  <si>
    <t>v_Y76wuHBZgdU</t>
  </si>
  <si>
    <t>A man is is laying carpet in a room.</t>
  </si>
  <si>
    <t>A woman is looking at carpet samples in a shop.</t>
  </si>
  <si>
    <t>Men are on their knees installing hardwood flooring.</t>
  </si>
  <si>
    <t>v_VdeYnCIbRJ4</t>
  </si>
  <si>
    <t>An athletic man is seen standing at the beginning of a long track with several people standing on the sidelines.</t>
  </si>
  <si>
    <t>He begins running down the track and jumping with a few others walk around him in the distance.</t>
  </si>
  <si>
    <t>v__UPD2IvdQ_M</t>
  </si>
  <si>
    <t>An audience is gathered in a gymnasium to watch the gymnast on the pommel horse.</t>
  </si>
  <si>
    <t>He concentrates, and then mounts to begin his routine.</t>
  </si>
  <si>
    <t>He performs first one, and then a second impressive handstand while gripping one handle with both hands.</t>
  </si>
  <si>
    <t>He completes his routine, and then finishes with a flawless dismount to cheering.</t>
  </si>
  <si>
    <t>v_nn-ASL9KZUo</t>
  </si>
  <si>
    <t>A man is seen throwing a dart up over the camera while looking into the distance.</t>
  </si>
  <si>
    <t>Several shots are shown of him throwing as well as text going across the screen.</t>
  </si>
  <si>
    <t>The man continues throwing over and over again.</t>
  </si>
  <si>
    <t>v_0YPfoB84Fes</t>
  </si>
  <si>
    <t>A woman shows how to cover a cake with frosting using a spatula.</t>
  </si>
  <si>
    <t>Then, she explains how to cleans the border of the cake using a cloth.</t>
  </si>
  <si>
    <t>v_hG2kfPRWjO0</t>
  </si>
  <si>
    <t>A close up of a phone is shown as well as a person waking up, brushing their teeth, and walking out the door.</t>
  </si>
  <si>
    <t>Close ups are shown of people riding up a ski lift as well as down a mountain.</t>
  </si>
  <si>
    <t>The people to zoom in on the camera looking closely and waving to one another.</t>
  </si>
  <si>
    <t>v_xCVZBvwhoWE</t>
  </si>
  <si>
    <t>A person is seen standing in a close room holding a tennis racket.</t>
  </si>
  <si>
    <t>The person then begins hitting the ball with the racket and walking around.</t>
  </si>
  <si>
    <t>Another person is seen walking in frame as well as out.</t>
  </si>
  <si>
    <t>v_AF6tasHTW-8</t>
  </si>
  <si>
    <t>Two kids are jump roping outside.</t>
  </si>
  <si>
    <t>Two adults are kneeling down on the ground holding a jump rope for a kid.</t>
  </si>
  <si>
    <t>The woman is talking to the camera.</t>
  </si>
  <si>
    <t>A boy spills a glass on his face while jump roping.</t>
  </si>
  <si>
    <t>v_f4mDKdD0z3U</t>
  </si>
  <si>
    <t>woman is wearing harness and get in a helicopter above and are flying above a volcano.</t>
  </si>
  <si>
    <t>a man and a woman are hanging from the helicopter's door holds to a rope and make a jump.</t>
  </si>
  <si>
    <t>the man and the woman are in the land talking to a couple.</t>
  </si>
  <si>
    <t>v_H6g8SsxL8RU</t>
  </si>
  <si>
    <t>man in in front of a car with the hood open.</t>
  </si>
  <si>
    <t>man walks through the woods and ty to light a woodfire.</t>
  </si>
  <si>
    <t>v_pVkwQOp1xZo</t>
  </si>
  <si>
    <t>Someone is stroking blue paint up and down on a fence.</t>
  </si>
  <si>
    <t>They put the paint brush in the paint again to gather more paint.</t>
  </si>
  <si>
    <t>Then continue to proceed with painting the fence.</t>
  </si>
  <si>
    <t>They do that multiple times trying to cover all of the brown.</t>
  </si>
  <si>
    <t>v_jqW7r60gOzE</t>
  </si>
  <si>
    <t>A man is seen standing before a hold child holding up a pinata while others stand around and watch.</t>
  </si>
  <si>
    <t>The blind folded boy then takes multiple swings at the pinata while the kids sit around and watch.</t>
  </si>
  <si>
    <t>v_lk2niPrG3y8</t>
  </si>
  <si>
    <t>There's a woman in a yellow tank top and black tights doing jump rope in a gym.</t>
  </si>
  <si>
    <t>She jumps in a rhythmic manner without stopping on the hardwood floor surface.</t>
  </si>
  <si>
    <t>After she's done, a person standing in front of her gives her a thumbs up and cheers for her.</t>
  </si>
  <si>
    <t>v_W3KCFRADoX8</t>
  </si>
  <si>
    <t>A woman is sitting in a room talking.</t>
  </si>
  <si>
    <t>There is a white cat on the bed behind her.</t>
  </si>
  <si>
    <t>She starts braiding her hair to the side.</t>
  </si>
  <si>
    <t>She continues talking and blows a kiss to the camera.</t>
  </si>
  <si>
    <t>v_cKHdMUfKsQ8</t>
  </si>
  <si>
    <t>A woman is seen speaking to the camera while holding up a paintbrush and bucket.</t>
  </si>
  <si>
    <t>She paints a piece of furniture next to her while also holding up a brush.</t>
  </si>
  <si>
    <t>She holds up more objects while dipping the brushes into them as well as uses it on the furniture.</t>
  </si>
  <si>
    <t>v_FeXBmKYV8HY</t>
  </si>
  <si>
    <t>A woman reporting is speaking to a camera with a serious demeanor.</t>
  </si>
  <si>
    <t>A man unzips his violin from the bag and plays a little bit for the camera while the reporter commentates.</t>
  </si>
  <si>
    <t>He begins to struggle playing with his condition, and shows surgery on how to fix him.</t>
  </si>
  <si>
    <t>The reporter claims that the man is better than ever and shows his progress playing a violin in a show.</t>
  </si>
  <si>
    <t>v_cwQQj3VZLC8</t>
  </si>
  <si>
    <t>A man is standing at the start line clapping his hands, people look on.</t>
  </si>
  <si>
    <t>He takes off running and does a long jump.</t>
  </si>
  <si>
    <t>He salutes the large applauding audience.</t>
  </si>
  <si>
    <t>Another man waits on the start line before accelerating into the long jump.</t>
  </si>
  <si>
    <t>He looks to the crowd who are subdued.</t>
  </si>
  <si>
    <t>He walk away looking at the ground.</t>
  </si>
  <si>
    <t>Another man waits on the start line before running into a longjump.</t>
  </si>
  <si>
    <t>He waves to the appreciative crowd and runs away smiling and celebrating.</t>
  </si>
  <si>
    <t>v_uu4_cV49pMI</t>
  </si>
  <si>
    <t>A person is seen lying on the ground with another person running from behind.</t>
  </si>
  <si>
    <t>The person running then falls and others around them help and drink water.</t>
  </si>
  <si>
    <t>v_n2fFj1mBjhQ</t>
  </si>
  <si>
    <t>Players are playing lacrosse in a hockey arena.</t>
  </si>
  <si>
    <t>The players leaves the arena.</t>
  </si>
  <si>
    <t>A green team player runs towards the clear window.</t>
  </si>
  <si>
    <t>v_dVCAykynRzs</t>
  </si>
  <si>
    <t>A camera pans around a mcdonalds and leads into a man speaking to a cashier.</t>
  </si>
  <si>
    <t>Several shots are then shown of people playing rock paper scissors with employees.</t>
  </si>
  <si>
    <t>When people win the game, they get a free ice cream.</t>
  </si>
  <si>
    <t>v_E7OCzz_XuiI</t>
  </si>
  <si>
    <t>A fridge is seen opening with two people grabbing onto a piece of cheese.</t>
  </si>
  <si>
    <t>The two men fight then begin playing a game of rock paper scissors.</t>
  </si>
  <si>
    <t>They use various tools and objects to play as well as smaller versions of themselves that keep panning backwards.</t>
  </si>
  <si>
    <t>v_50oy8wP2Wo8</t>
  </si>
  <si>
    <t>We see an opening screen then a sitting lady.</t>
  </si>
  <si>
    <t>We see a person cutting the ladies long hair with a level.</t>
  </si>
  <si>
    <t>The person then brushes her blunt hair.</t>
  </si>
  <si>
    <t>The lady turns around and smiles.</t>
  </si>
  <si>
    <t>We see a before and after.</t>
  </si>
  <si>
    <t>We then see scenes of people using the tool.</t>
  </si>
  <si>
    <t>We see the tool in white and blue.</t>
  </si>
  <si>
    <t>The closing screen is seen.</t>
  </si>
  <si>
    <t>v_VFKUKX9ToNI</t>
  </si>
  <si>
    <t>a group of swimmers are on a diving board.</t>
  </si>
  <si>
    <t>A man falls off the board very suddenly.</t>
  </si>
  <si>
    <t>He hits other levels on his way down into the water.</t>
  </si>
  <si>
    <t>v_insSTTMSC38</t>
  </si>
  <si>
    <t>A woman is doing some exercise on a machine.</t>
  </si>
  <si>
    <t>She is going at a pretty fast speed, you can see her get off and then get back on again.</t>
  </si>
  <si>
    <t>She places her hands around a piece and it allows her to she her stride and speed as well as her heartbeat and stuff.</t>
  </si>
  <si>
    <t>She changes the her speed and drink some water and keeps on going.</t>
  </si>
  <si>
    <t>v_1Ao43T5yRjI</t>
  </si>
  <si>
    <t>A rusty ball is shown rolling down some type of man made ramp.</t>
  </si>
  <si>
    <t>Several Olympic athletes are then shown putting the shotput by their neck and throwing it and getting their distance measured.</t>
  </si>
  <si>
    <t>A black scoreboard is finally shown and they begin to give the winner the medal and show the flag of the country the person is representing.</t>
  </si>
  <si>
    <t>v_lcUtnIptSjM</t>
  </si>
  <si>
    <t>A woman in a lab coat is in a hospital recovery room.</t>
  </si>
  <si>
    <t>She soaps up her hands well with soap.</t>
  </si>
  <si>
    <t>She then rinses and dries them thoroughly.</t>
  </si>
  <si>
    <t>v_zcvbHJ1BZ9s</t>
  </si>
  <si>
    <t>A man pulls a boot onto his foot seated in a chair inside.</t>
  </si>
  <si>
    <t>The man fastens the straps on the boat.</t>
  </si>
  <si>
    <t>A person shows the man how to fasten the straps on the boot.</t>
  </si>
  <si>
    <t>The man shakes while trying to finish putting on the shoes.</t>
  </si>
  <si>
    <t>v_29kX1NaPGP0</t>
  </si>
  <si>
    <t>An older man is seen speaking to the camera while holding a tennis ball and racket in his hand.</t>
  </si>
  <si>
    <t>He moves the racket and ball up to demonstrate how to properly serve the ball, followed by him actually serving the ball in slow motion.</t>
  </si>
  <si>
    <t>The same shot is shown several more times to demonstrate how to properly perform this serve.</t>
  </si>
  <si>
    <t>v_aEAmMKa8iuM</t>
  </si>
  <si>
    <t>An indoor BMX bike race happens.</t>
  </si>
  <si>
    <t>After the start, everyone goes around the track as quick as possible.</t>
  </si>
  <si>
    <t>v_TIue1jR51j8</t>
  </si>
  <si>
    <t>Man in purple talks to the camera.</t>
  </si>
  <si>
    <t>Man in purple walks forward in slow steps.</t>
  </si>
  <si>
    <t>Man in gray demonstrates how to walk.</t>
  </si>
  <si>
    <t>Man in gray demonstrates different jumps.</t>
  </si>
  <si>
    <t>v_dcmfRooP6dg</t>
  </si>
  <si>
    <t>A close up of a strawberry is shown.</t>
  </si>
  <si>
    <t>A woman is talking with an array of watercolors.</t>
  </si>
  <si>
    <t>She demonstrates how to use the watercolors to create art on a canvas.</t>
  </si>
  <si>
    <t>v_wRKFbuczjsw</t>
  </si>
  <si>
    <t>There's a woman in a pink shirt and black shorts training a dog on a large open lawn.</t>
  </si>
  <si>
    <t>she is throwing pink colored Frisbee discs for the dog to run and fetch.</t>
  </si>
  <si>
    <t>Every time she throws the disc, the dog gets excited and runs and fetches the disc for her.</t>
  </si>
  <si>
    <t>The dog is well trained to catch the disc in its mouth almost every time without missing it.</t>
  </si>
  <si>
    <t>there are are few people standing and watching the trainer and the dog.</t>
  </si>
  <si>
    <t>v_yAa24V7sXJM</t>
  </si>
  <si>
    <t>An emblem appears on the screen.</t>
  </si>
  <si>
    <t>A view of the sun is seen between the clouds.</t>
  </si>
  <si>
    <t>A woman walks up to a young boy who has his pants down, crouching in front of a bucket.</t>
  </si>
  <si>
    <t>She yells at him, and drags him away.</t>
  </si>
  <si>
    <t>She shows him how to lather his hands with soap.</t>
  </si>
  <si>
    <t>Then the group of gathered women talk as the boy watches and listens.</t>
  </si>
  <si>
    <t>The women look sad as she walks away.</t>
  </si>
  <si>
    <t>A boy and woman walk up to talk to another woman, and she looks upset.</t>
  </si>
  <si>
    <t>A doctor is shown talking about dirty hands to the women.</t>
  </si>
  <si>
    <t>They are then shown outside, washing their hands and doctoring the boy as they show how not to be dirty.</t>
  </si>
  <si>
    <t>The group jumps into the air in celebration.</t>
  </si>
  <si>
    <t>v_Kdf1HhynNx8</t>
  </si>
  <si>
    <t>Two girls are seen waving to the camera while one holds up a drink and the other plays with her hair.</t>
  </si>
  <si>
    <t>The girls walk around a bit followed by drinking out of a glass and making funny faces to the camera.</t>
  </si>
  <si>
    <t>v_zBtmE0BAjGE</t>
  </si>
  <si>
    <t>A woman is shown walking around a kitchen turning on a faucet and l letting the sink fill up with water.</t>
  </si>
  <si>
    <t>She is shown wearing gloves, spraying cleaner around the sink and scrubbing with a brush.</t>
  </si>
  <si>
    <t>She smiles at the cleaning product and pans out to the label being shown.</t>
  </si>
  <si>
    <t>v_45WfFPM5yvw</t>
  </si>
  <si>
    <t>a man in swimming trunks is outdoors, fastening himself into equipment.</t>
  </si>
  <si>
    <t>He gets on a parasailer, and gets into the water.</t>
  </si>
  <si>
    <t>He begins sailing on a surfboard, holding on tightly as he speeds up.</t>
  </si>
  <si>
    <t>He then stops in the water, leaning onto his side.</t>
  </si>
  <si>
    <t>v_r-XQMXUJBqk</t>
  </si>
  <si>
    <t>A kid is playing hopscotch on the ground.</t>
  </si>
  <si>
    <t>They go back and forth on the hopscotch board.</t>
  </si>
  <si>
    <t>They bend down to pick something up.</t>
  </si>
  <si>
    <t>v_5K-soRkdGDs</t>
  </si>
  <si>
    <t>A dog is shown running up steps to a building.</t>
  </si>
  <si>
    <t>They go inside, and it's a dog grooming salon.</t>
  </si>
  <si>
    <t>Several signs in another language are shown before the equipment is turned on.</t>
  </si>
  <si>
    <t>The dog is rinsed, soaped, bathed and clipped on the machine.</t>
  </si>
  <si>
    <t>v_oO6jZR9Aijc</t>
  </si>
  <si>
    <t>A store front is seen from the outside.</t>
  </si>
  <si>
    <t>A store owner stands behind a display wall and discusses.</t>
  </si>
  <si>
    <t>Paintball players run through a grassy court with obstacles and aim their weapons.</t>
  </si>
  <si>
    <t>The store owner displays different face masks for the sport.</t>
  </si>
  <si>
    <t>v_DKnvOGEDUyQ</t>
  </si>
  <si>
    <t>A group of people are seen standing around a Foosball table playing a game with one another using the poles to play.</t>
  </si>
  <si>
    <t>The men continue playing game and fourth while the camera captures them from above and two walk away in the end.</t>
  </si>
  <si>
    <t>v_37Q3so6ERxs</t>
  </si>
  <si>
    <t>A man in blue shirt drink a big glass of beer.</t>
  </si>
  <si>
    <t>The blonde man beside him is cheering.</t>
  </si>
  <si>
    <t>The man in blue shirt finished his drink and put it down, and the blonde man cheered.</t>
  </si>
  <si>
    <t>v_CRKA3xPEKm8</t>
  </si>
  <si>
    <t>man is standing in parallels doing gymnastics in a roofed gym.</t>
  </si>
  <si>
    <t>people is in teraces watching the man.</t>
  </si>
  <si>
    <t>v_rV9RzL8o7tk</t>
  </si>
  <si>
    <t>A girl wearing a white coat with hood is next to man and a woman on side of a pool table.</t>
  </si>
  <si>
    <t>Then, the girl walks and takes off the coat, then she takes a cue stick and bend on front two men.</t>
  </si>
  <si>
    <t>After, the girl turns and grabs the boy shirt while making a sexy gesture, then she turns to play again.</t>
  </si>
  <si>
    <t>A man wants to touch the butt of a girl.</t>
  </si>
  <si>
    <t>v_nw8MpBwL508</t>
  </si>
  <si>
    <t>A girl in a purple outfit gets onto a balance beam.</t>
  </si>
  <si>
    <t>She does a gymnastics routine on the balance beam.</t>
  </si>
  <si>
    <t>v_8LTh7r2U8Fw</t>
  </si>
  <si>
    <t>An athlete walks onto a field outside.</t>
  </si>
  <si>
    <t>He runs with a javelin in the air.</t>
  </si>
  <si>
    <t>He throws the javelin as far as he can, repeating multiple times.</t>
  </si>
  <si>
    <t>v_gtzg66XV6E0</t>
  </si>
  <si>
    <t>a woman is in front of a table, holding a cat.</t>
  </si>
  <si>
    <t>She pets the cat to calm him down.</t>
  </si>
  <si>
    <t>She then gently clips his toenails.</t>
  </si>
  <si>
    <t>v_0J55EGFLglQ</t>
  </si>
  <si>
    <t>it seems like they are watching on tv a game of soccer.</t>
  </si>
  <si>
    <t>The station shows for what channel it is that is being watched.</t>
  </si>
  <si>
    <t>The women on the court are running around trying to get the ball.</t>
  </si>
  <si>
    <t>One of the women runs all the way into the goal.</t>
  </si>
  <si>
    <t>v_ezx7z-kx2v4</t>
  </si>
  <si>
    <t>A man is standing up and throws a rock.</t>
  </si>
  <si>
    <t>People are standing and watching him.</t>
  </si>
  <si>
    <t>A man gets into a horse carriage and rides away.</t>
  </si>
  <si>
    <t>v_7univ6G4RXA</t>
  </si>
  <si>
    <t>We see a boy brushing his teeth and dancing in the bathroom.</t>
  </si>
  <si>
    <t>The boy pauses and looks at the brush.</t>
  </si>
  <si>
    <t>The boy returns to brushing and dancing.</t>
  </si>
  <si>
    <t>The boy holds on the the sink for a moment.</t>
  </si>
  <si>
    <t>The boy holds onto the sink again.</t>
  </si>
  <si>
    <t>v_veKNTB-N9EQ</t>
  </si>
  <si>
    <t>A close up of a wall is shown with water spraying down the sides that leads into several pictures as well as people spraying down the ground.</t>
  </si>
  <si>
    <t>More people are seen spraying down a truck as well as cars being lifted up on a machine while more pictures are shown.</t>
  </si>
  <si>
    <t>v_6sorAV7KJxA</t>
  </si>
  <si>
    <t>This man is shown standing on the roof saying a few words.</t>
  </si>
  <si>
    <t>Then he starts removing some parts of wood from the roof and he piles all of the tiles up.</t>
  </si>
  <si>
    <t>Then he puts them where they should go to make a full part on the roof.</t>
  </si>
  <si>
    <t>v_MJZjSHG6tBY</t>
  </si>
  <si>
    <t>A man does a barbecue in a yard while singing with people showing drinks in cans and cups.</t>
  </si>
  <si>
    <t>Then people walk to a bar and sing inside drinking beer.</t>
  </si>
  <si>
    <t>Women serves drinks from a fountain.</t>
  </si>
  <si>
    <t>A man talks on front a microphone and people continue singing and showing beer.</t>
  </si>
  <si>
    <t>Then, people are again singing, drinking and dancing outdoors.</t>
  </si>
  <si>
    <t>v_M6yAoJJQvGY</t>
  </si>
  <si>
    <t>A woman is seen speaking to the camera and leads into clips of her performing ab exercises wile speaking to the camera.</t>
  </si>
  <si>
    <t>The woman demonstrates how to do a proper sit up by moving her arms in different places and speaking to the camera.</t>
  </si>
  <si>
    <t>v_4XEowfJ-1W0</t>
  </si>
  <si>
    <t>A person shows a bowl of ice cream at Disneyland.</t>
  </si>
  <si>
    <t>The person enjoys the bowl of ice cream.</t>
  </si>
  <si>
    <t>A trolley rolls along a street with a conductor hanging out of the window.</t>
  </si>
  <si>
    <t>A busy street is seen with many people walking along and looking at a parked trolley car.</t>
  </si>
  <si>
    <t>v_etG65un_AiQ</t>
  </si>
  <si>
    <t>A jet ski is parked and a man is riding one.</t>
  </si>
  <si>
    <t>We see a man's name on the screen and a man behind a boat and a man jet skiing and flipping around.</t>
  </si>
  <si>
    <t>Two men on a jet ski shake their hair.</t>
  </si>
  <si>
    <t>A person name is on the screen and we see a man jet ski.</t>
  </si>
  <si>
    <t>Another name and another man on the jet ski.</t>
  </si>
  <si>
    <t>We see the man as he prepares to ski riding behind the boat.</t>
  </si>
  <si>
    <t>We see the lake and then the closing credits.</t>
  </si>
  <si>
    <t>v_mHbsKzezfFQ</t>
  </si>
  <si>
    <t>We see a black screen and the credits.</t>
  </si>
  <si>
    <t>A person is cutting a man's hair.</t>
  </si>
  <si>
    <t>They switch to an electric razor on the back.</t>
  </si>
  <si>
    <t>The person uses the shaver on their hand.</t>
  </si>
  <si>
    <t>The screen changes to black for a moment.</t>
  </si>
  <si>
    <t>We see the screen change again and the person lines the back of the man's head.</t>
  </si>
  <si>
    <t>The barber touches the shaver edge.</t>
  </si>
  <si>
    <t>The screen fades to black and the ending credits roll.</t>
  </si>
  <si>
    <t>v_p4YTDxTASBI</t>
  </si>
  <si>
    <t>A group of people are riding in various canoes down a river.</t>
  </si>
  <si>
    <t>A man shoots a flame up into the air followed by several others as well.</t>
  </si>
  <si>
    <t>The camera pans around the group of people dressed as pirates and in other various costumes.</t>
  </si>
  <si>
    <t>v_vHejQlbAL78</t>
  </si>
  <si>
    <t>Several people are seen grabbing skis as well as cars lined up and people speaking to one another.</t>
  </si>
  <si>
    <t>This leads into several clips of skiers riding down mountains one after the other.</t>
  </si>
  <si>
    <t>People are shown riding together as well as a solo and ends with a man kicking at the camera.</t>
  </si>
  <si>
    <t>v_o_AftOrP4zI</t>
  </si>
  <si>
    <t>The athlete is putting on his red sneakers, then he talked to the camera, and then run in the indoor tracking field.</t>
  </si>
  <si>
    <t>He rested for a bit, then his coach is having interview, then the scene change where the athlete started to practice, running around, then did some pole jumped.</t>
  </si>
  <si>
    <t>He did some exercises and stretches.</t>
  </si>
  <si>
    <t>v_jTMdMnbW9OI</t>
  </si>
  <si>
    <t>A boy in an orange shirt is playing a video game.</t>
  </si>
  <si>
    <t>The scene changes to the game itself.</t>
  </si>
  <si>
    <t>The scene changes back to the boy.</t>
  </si>
  <si>
    <t>The camera zooms in on the controller.</t>
  </si>
  <si>
    <t>The scene goes back to the game.</t>
  </si>
  <si>
    <t>There is a close up of the boy's face.</t>
  </si>
  <si>
    <t>The camera shows the TV with the back of the boy's head.</t>
  </si>
  <si>
    <t>The game is playing until the end.</t>
  </si>
  <si>
    <t>The boy says something and TV has numbers on it.</t>
  </si>
  <si>
    <t>The boy is talking again.</t>
  </si>
  <si>
    <t>The boy gets up and leaves the room.</t>
  </si>
  <si>
    <t>He goes to the bathroom and is rubbing his eyes.</t>
  </si>
  <si>
    <t>He looks in the mirror then reaches for the face wash and puts some in his hand.</t>
  </si>
  <si>
    <t>He throws the face wash on the washing machine.</t>
  </si>
  <si>
    <t>He puts his head in the sink and washes his face angrily.</t>
  </si>
  <si>
    <t>When he looks in the mirror again, it is an old man.</t>
  </si>
  <si>
    <t>He falls to the floor.</t>
  </si>
  <si>
    <t>He washes his face again and this time it turn to a skull.</t>
  </si>
  <si>
    <t>He rubs his face and the skull falls into the sink.</t>
  </si>
  <si>
    <t>v_q5thIuCSTkk</t>
  </si>
  <si>
    <t>A person has their hand over the lens.</t>
  </si>
  <si>
    <t>We then see a child in gray skiing in front of the camera operator.</t>
  </si>
  <si>
    <t>the child falls off their skis and lays in the snow.</t>
  </si>
  <si>
    <t>The camera person stops and wipes snow from the kids goggles and turns off the camera.</t>
  </si>
  <si>
    <t>v_ArGF2CfOxkY</t>
  </si>
  <si>
    <t>A horse is behind a yellow gate as a man sits on top holding a rope.</t>
  </si>
  <si>
    <t>The gate is opened,and a black calf comes running out into the field of dirt.</t>
  </si>
  <si>
    <t>Almost instantly,the man throws his lasso and jumps off to secure the cow.</t>
  </si>
  <si>
    <t>Once he is finished,the man gets back on the horse and other individuals come out to take the calf out.</t>
  </si>
  <si>
    <t>v_hHWXldYW8rU</t>
  </si>
  <si>
    <t>A camera walks closer to a girl pointing to her eye in the mirror.</t>
  </si>
  <si>
    <t>She then bends down forward and sticks her face under the water rubbing it along her face.</t>
  </si>
  <si>
    <t>v_ciEBsDNryN8</t>
  </si>
  <si>
    <t>A woman is seen holding an accordion while shaking her fists into the air.</t>
  </si>
  <si>
    <t>A band is seen walking in behind her and begins playing while she does.</t>
  </si>
  <si>
    <t>The girl continues to play with the band and ends by looking to the camera.</t>
  </si>
  <si>
    <t>v_WGHXYbCWvyU</t>
  </si>
  <si>
    <t>A man is seen standing in a field with his eye closed and standing still.</t>
  </si>
  <si>
    <t>The man then begins moving his arms and legs around his body.</t>
  </si>
  <si>
    <t>He continues moving his body around with his eyes closed.</t>
  </si>
  <si>
    <t>v_bXLa6zLsJ50</t>
  </si>
  <si>
    <t>A woman lays on a table being prepped for ear piercing.</t>
  </si>
  <si>
    <t>The person in charge of the operation pierces her ear in two places with a small rod.</t>
  </si>
  <si>
    <t>The person applies a cork to one end of the rod.</t>
  </si>
  <si>
    <t>The person pushes a different rod through the holes created by the initial piercing.</t>
  </si>
  <si>
    <t>The person caps the new rod on both ends.</t>
  </si>
  <si>
    <t>The woman shows off her new piercing and smiles.</t>
  </si>
  <si>
    <t>v_xPnNcv7ErXk</t>
  </si>
  <si>
    <t>A young child is seen smiling to the camera and beginning to climb across monkey bars.</t>
  </si>
  <si>
    <t>She makes it to the other side and then waves to the camera.</t>
  </si>
  <si>
    <t>v_S2V2TgLAMKg</t>
  </si>
  <si>
    <t>A person holds small objects in their hands.</t>
  </si>
  <si>
    <t>The person applies objects continuously to a wooden surface.</t>
  </si>
  <si>
    <t>When the person rubs on the smaller object, it puts a white residue on the surface.</t>
  </si>
  <si>
    <t>When the person rubs on the brown object, it removes the residue.</t>
  </si>
  <si>
    <t>v_79LyHiS908U</t>
  </si>
  <si>
    <t>A man is shown sitting in front of several drums and banging to a rhythm.</t>
  </si>
  <si>
    <t>He talks to the camera about his song and what he is planning on playing.</t>
  </si>
  <si>
    <t>The man continues playing while the camera pans in and out on him playing the drums.</t>
  </si>
  <si>
    <t>v_UBqFQKI1YW8</t>
  </si>
  <si>
    <t>A black man gymnast prepares to perform on a parallel bar exhibition.</t>
  </si>
  <si>
    <t>The man mounts the parallel bar and goes into a handstand and performs a series of spins and moves.</t>
  </si>
  <si>
    <t>The gymnast goes into his dismount and lands a perfect landing on the mat.</t>
  </si>
  <si>
    <t>v_TH1kq-KBr9Y</t>
  </si>
  <si>
    <t>A man is hanging up wallpaper.</t>
  </si>
  <si>
    <t>He looks back at the camera.</t>
  </si>
  <si>
    <t>He steps down from the step ladder.</t>
  </si>
  <si>
    <t>A chair appears with the wallpaper.</t>
  </si>
  <si>
    <t>The man is taking down the paper.</t>
  </si>
  <si>
    <t>v_eVwRbDXyBbc</t>
  </si>
  <si>
    <t>There is a pool table with billiard balls on it.</t>
  </si>
  <si>
    <t>A person has a pool cue in their hand.</t>
  </si>
  <si>
    <t>They hit the cue ball into the other balls.</t>
  </si>
  <si>
    <t>v_AWXdK-ix3gQ</t>
  </si>
  <si>
    <t>A gymaist stands holding is arm up and jumping onto a beam.</t>
  </si>
  <si>
    <t>He moves his arms and spins himself round and round on a set of bars.</t>
  </si>
  <si>
    <t>He does handstands and flips and jumps off to finish his routine.</t>
  </si>
  <si>
    <t>v_lvAXZEUE0m8</t>
  </si>
  <si>
    <t>A man puts a harness on and steps on a bridge.</t>
  </si>
  <si>
    <t>He jumps off the bridge and bungee jumps over a body of water.</t>
  </si>
  <si>
    <t>A boat drives up and puts him in the boat.</t>
  </si>
  <si>
    <t>v_2RfasAe0-tA</t>
  </si>
  <si>
    <t>A girl dressed as a tomboy and a boy dressed in a red shirt are standing in a room across from each other in a messy room.</t>
  </si>
  <si>
    <t>The two begin to grab each other and they begin salsa dancing.</t>
  </si>
  <si>
    <t>They continue dancing and spin each other around and doing a some type of salsa dancing.</t>
  </si>
  <si>
    <t>v_KPJJfGK5NCw</t>
  </si>
  <si>
    <t>This woman is shown standing in one spot for a little while.</t>
  </si>
  <si>
    <t>Then she moves to throw the ball into the air and she goes back to the position she was in.</t>
  </si>
  <si>
    <t>Then she jumps back and turns around to throw the ball at a small distance, except she is not positioned quite right this time.</t>
  </si>
  <si>
    <t>v_6URUyopL8qM</t>
  </si>
  <si>
    <t>A sign appears in a yard and a red van comes traveling down the road.</t>
  </si>
  <si>
    <t>After,a man appears tubing in a trail of water underneath the bridge.</t>
  </si>
  <si>
    <t>As he continues down the river,he hits a few rocks along the way and begins to bobble up and down before returning back in front of the red van.</t>
  </si>
  <si>
    <t>v_Hh7aXAtWsXg</t>
  </si>
  <si>
    <t>A woman is see laughing with a group of people and one man hitting the other.</t>
  </si>
  <si>
    <t>A person hands a man a set of darts who then throws them off into the distance.</t>
  </si>
  <si>
    <t>The people continue speaking while the camera pans all around them.</t>
  </si>
  <si>
    <t>v_1VDNFR3vQR4</t>
  </si>
  <si>
    <t>There are two guys standing on a large blue mat in a gym and they are both wearing shorts and a pair of boxing gloves.</t>
  </si>
  <si>
    <t>The men square up and they begin hitting and kicking at one another with brief moments of stopping in between their punches and their kicks.</t>
  </si>
  <si>
    <t>One of the guys kicks the other one too hard and the one who got kicked gets mad, rips his gloves off of his hands, walks away and angrily throws his gloves.</t>
  </si>
  <si>
    <t>v_ih3LAZtQM50</t>
  </si>
  <si>
    <t>A guy bows while standing outside.</t>
  </si>
  <si>
    <t>The guy start doing karate outside.</t>
  </si>
  <si>
    <t>The guy does karate indoors and then leaves.</t>
  </si>
  <si>
    <t>A dog stands with a sweater.</t>
  </si>
  <si>
    <t>v_qywEvklc1kM</t>
  </si>
  <si>
    <t>Two people are seen speaking to the camera with one holding a pot and the other handing him ingredients.</t>
  </si>
  <si>
    <t>The other then mixes the ingredients into a bowl and pouts it into a pan.</t>
  </si>
  <si>
    <t>More people come in to take a bite as well as a young boy helping and the man continuing to cook.</t>
  </si>
  <si>
    <t>v_q-ID2mgEIow</t>
  </si>
  <si>
    <t>A man wearing glasses is seen stepping into frame and playing an accordion.</t>
  </si>
  <si>
    <t>The man continues to play while looking off into the distance and stops by smiling to the camera.</t>
  </si>
  <si>
    <t>v_l5qCvYE1-tA</t>
  </si>
  <si>
    <t>Two young girls are in a gym and they do a side ways hurtles over a bar in the middle of the gym.</t>
  </si>
  <si>
    <t>The video is then replayed in slow motion and once again in a faster speed.</t>
  </si>
  <si>
    <t>v_zwm-v9MLOFY</t>
  </si>
  <si>
    <t>4 men are in a square doing break dance while people is gathered around them watching them dance and do tricks in front of a lot of stores.</t>
  </si>
  <si>
    <t>names of the break dancers are shown in the screen.</t>
  </si>
  <si>
    <t>v_9qUbxwjh-4A</t>
  </si>
  <si>
    <t>We see a young girl light a cigarette.</t>
  </si>
  <si>
    <t>She then takes the cigarette out of her mouth and talks.</t>
  </si>
  <si>
    <t>She hands the lighter to another person and puts her hand on her hip.</t>
  </si>
  <si>
    <t>v_d7-tFV0RSCk</t>
  </si>
  <si>
    <t>A man is standing outside of a home talking with a large silver pole in his hand that has a yellow rope attached to it.</t>
  </si>
  <si>
    <t>The man begins cleaning the inside of a sliding glass door with his pole and brush and washes around the base and the inside of the window.</t>
  </si>
  <si>
    <t>The man then stops and begins talking to the camera and pointing to the window before he waves bye.</t>
  </si>
  <si>
    <t>v_CTIVIXvCI3c</t>
  </si>
  <si>
    <t>A small child is seen hoping along the floor when a woman leads in more young dancers.</t>
  </si>
  <si>
    <t>She lines up the girls in front of a large crowd and the kids begin dancing on the stage.</t>
  </si>
  <si>
    <t>The little ones continue to dance and twirl on stage and walk off stage.</t>
  </si>
  <si>
    <t>v_rA_RAZx2_aA</t>
  </si>
  <si>
    <t>Women from different nationalities competes long jumps is a stadium.</t>
  </si>
  <si>
    <t>Women continue competing long jump.</t>
  </si>
  <si>
    <t>An athlete runs, then skip and jumps forward to perform long jump while judges holds sticks to measure.</t>
  </si>
  <si>
    <t>v_pibXLs9IOX8</t>
  </si>
  <si>
    <t>man is standing in a green field preparing himself to make a cricket shot, other man is watchim him and take off the hat and the sunglasses and the man is really sweaty and prepare to make the shot and to score which he did, they enjoy and hug each other and the man throw the ball.</t>
  </si>
  <si>
    <t>men are seating on a couch in a living room and are talking to each other and to the camera.</t>
  </si>
  <si>
    <t>winner and information of the video is shown.</t>
  </si>
  <si>
    <t>v_tPHfkxAwyp8</t>
  </si>
  <si>
    <t>A title screen appears in red letters and then fades out in a martial arts classroom.</t>
  </si>
  <si>
    <t>In a small martial arts classroom the students are gathered around, singing, clapping and playing instruments around a small circle for 5 capoeira matches where the fighters dancing and swinging their legs and arms and at the end of each match the fighters shake hands, hug and touch the musicians.</t>
  </si>
  <si>
    <t>Then a closing screen with a logo for the Capoeira school.</t>
  </si>
  <si>
    <t>v_yxZ4ouqcld4</t>
  </si>
  <si>
    <t>A camera shoots various shots all around a city and shoe store.</t>
  </si>
  <si>
    <t>Hundreds of people are walking around an area and checking out shoes.</t>
  </si>
  <si>
    <t>A man talks to a woman about what shoes she likes to wear.</t>
  </si>
  <si>
    <t>People are dancing and enjoying the event together.</t>
  </si>
  <si>
    <t>There is food being eaten at the event by many.</t>
  </si>
  <si>
    <t>Several runners are getting ready to start a race.</t>
  </si>
  <si>
    <t>The race begins and people run very fast.</t>
  </si>
  <si>
    <t>Several people get interviewed during the race.</t>
  </si>
  <si>
    <t>The man who wins the race comes across the finish line.</t>
  </si>
  <si>
    <t>Several more people are shown finishing.</t>
  </si>
  <si>
    <t>v_UKhH_iEifrU</t>
  </si>
  <si>
    <t>a list of ingredients is shown and the items are in a white table.</t>
  </si>
  <si>
    <t>fist a bag of tea is sumerge in boiled water and added some syrup into a starbucks cup.</t>
  </si>
  <si>
    <t>v_EA58Fo2e0CI</t>
  </si>
  <si>
    <t>A news station ad appears on the screen.</t>
  </si>
  <si>
    <t>We see two reporters outdoors, talking with members of a running team.</t>
  </si>
  <si>
    <t>They are preparing for a race, one of which is pregnant.</t>
  </si>
  <si>
    <t>The crowd is shown walking to where the race will begin.</t>
  </si>
  <si>
    <t>v_LlI1IJEkW5E</t>
  </si>
  <si>
    <t>A woman is in a kitchen, talking in front of an array of sandwich fixings.</t>
  </si>
  <si>
    <t>She opens the bread, and applies meat, cheese, pickles, and mustard.</t>
  </si>
  <si>
    <t>She closes the sandwiches, and puts them in a heated panini press.</t>
  </si>
  <si>
    <t>She removes the sandwiches as they are toasted, and plates them.</t>
  </si>
  <si>
    <t>v_JAZu9CWEVbQ</t>
  </si>
  <si>
    <t>There are two men in the water wearing wetsuits and laying on their surfboards as they ride a wave.</t>
  </si>
  <si>
    <t>The camera man is in a fast moving boat and he continues to video the surfers who are still riding the wave but now they are standing up.</t>
  </si>
  <si>
    <t>The surfer who is in front is happy to riding the wave for so long that he raises his two arms up in the air and then lowers it back down.</t>
  </si>
  <si>
    <t>The surfer in the back begins to lose balance and falls off of his board while the man in the front is still standing up.</t>
  </si>
  <si>
    <t>v_xPDjkE7llg4</t>
  </si>
  <si>
    <t>A woman cuts the nails of the back legs of a cat with a nail trimmer, while a person restraints the cat.</t>
  </si>
  <si>
    <t>Then, the woman stands on front the cat, and the person holds the cat from a neck.</t>
  </si>
  <si>
    <t>After, the woman cuts the nails of the front legs, but the cat kicks.</t>
  </si>
  <si>
    <t>A person wearing black clothes enters the room.</t>
  </si>
  <si>
    <t>v_f119wB0sj0w</t>
  </si>
  <si>
    <t>Several clips of baseball players are shown playing the game.</t>
  </si>
  <si>
    <t>At one point it shows a player arguing with a referee.</t>
  </si>
  <si>
    <t>The video ends with another title sequence.</t>
  </si>
  <si>
    <t>v_H1_5M9mQ79w</t>
  </si>
  <si>
    <t>A man wearing headphones is seen speaking into a microphone and begins playing a harmonica into the mic.</t>
  </si>
  <si>
    <t>The man continues playing and the camera ends with a close up of the instrument.</t>
  </si>
  <si>
    <t>v_hHmn5tf5d5I</t>
  </si>
  <si>
    <t>A small group of people are seen standing in a room with a woman standing in front.</t>
  </si>
  <si>
    <t>The woman then begins dancing around with the women while following her around.</t>
  </si>
  <si>
    <t>The women switch places with men and then begin following the woman dancing around.</t>
  </si>
  <si>
    <t>v_Krh4m6nxZWE</t>
  </si>
  <si>
    <t>A woman in a blue shirt is walking along a slack line.</t>
  </si>
  <si>
    <t>She falls off and grabs the rope.</t>
  </si>
  <si>
    <t>v_J7GJKAoU0rE</t>
  </si>
  <si>
    <t>Several people are gathered at a lake.</t>
  </si>
  <si>
    <t>Images are shown of the people posing with and flying kites.</t>
  </si>
  <si>
    <t>They are then seen flying the kites on a beach.</t>
  </si>
  <si>
    <t>v_qCZhlIBr8_Q</t>
  </si>
  <si>
    <t>An assortment of drum lines are shown practicing in various locations.</t>
  </si>
  <si>
    <t>Several schools are shown and the SB4TS is in the bottom right corner as a group in blue shirts and black pants begin to perform and make various formations.</t>
  </si>
  <si>
    <t>v_u0SpXGr_elM</t>
  </si>
  <si>
    <t>A gyros restaurant is shown from the outside.</t>
  </si>
  <si>
    <t>We enter, and the chef begins talking to the camera.</t>
  </si>
  <si>
    <t>He demonstrates how to make a gyro sandwich.</t>
  </si>
  <si>
    <t>He places all the ingredients on the counter, shaves the meat, and begins to stack them inside the pita.</t>
  </si>
  <si>
    <t>He continues talking for the camera, then serves the camera man a gyro.</t>
  </si>
  <si>
    <t>The man eats it, nodding in approval.</t>
  </si>
  <si>
    <t>v_QkX8GFbwN7c</t>
  </si>
  <si>
    <t>A man is seen creating sparks onto a metal pole while moving it along the side.</t>
  </si>
  <si>
    <t>He then puts the torch down and zooms in on the bar.</t>
  </si>
  <si>
    <t>v_rGuOU8U5Bvk</t>
  </si>
  <si>
    <t>A person is walking a horse in an arena.</t>
  </si>
  <si>
    <t>They begin to brush the horse's fur.</t>
  </si>
  <si>
    <t>They brush the ear of the horse.</t>
  </si>
  <si>
    <t>They brush the face of the horse.</t>
  </si>
  <si>
    <t>v_P9I3zxNUu74</t>
  </si>
  <si>
    <t>A man with two children are seen speaking to the camera with one throwing his hands up and leading into them moving quickly.</t>
  </si>
  <si>
    <t>The kids stand on a chair taking ornaments off a tree while moving back and fourth to the table to place the objects.</t>
  </si>
  <si>
    <t>The kids then sweep up the floor while dancing and having fun and end by all waving to the camera.</t>
  </si>
  <si>
    <t>v_zJKedNWsZKY</t>
  </si>
  <si>
    <t>A man is seen sitting on a piece of exercise equipment and begins moving himself back and fourth on the machine.</t>
  </si>
  <si>
    <t>The man continues moving back an fourth while pulling his body back and ends by unhooking himself and moving his feet.</t>
  </si>
  <si>
    <t>v_xa-zOtV3uPU</t>
  </si>
  <si>
    <t>A dealer is dealing cards at a blackjack table.</t>
  </si>
  <si>
    <t>People are sitting around the table playing.</t>
  </si>
  <si>
    <t>A man in a white shirt is standing up next to the table.</t>
  </si>
  <si>
    <t>v_lGwUq5vZGEk</t>
  </si>
  <si>
    <t>A young girl is demonstrating how to do a braid in layered hair.</t>
  </si>
  <si>
    <t>She begins by brushing her hair down.</t>
  </si>
  <si>
    <t>Then she brings all of her hair to her right side and starts braiding the hair on a single braid.</t>
  </si>
  <si>
    <t>She then takes a hair tie and ties it around the bottom of her braid.</t>
  </si>
  <si>
    <t>She takes some hair gel out of an orange container and uses it on the tips of her braid to smoothen the hair.</t>
  </si>
  <si>
    <t>She further braids the bottom part of her braid till the end and ties another hair tie around it.</t>
  </si>
  <si>
    <t>Then she takes a bobby pin and pins the short hair in the front to back of her head.</t>
  </si>
  <si>
    <t>She secures the pin into her hair and waves good bye.</t>
  </si>
  <si>
    <t>v_mA4wEXlASpc</t>
  </si>
  <si>
    <t>Two people are seen standing ready with one running down a track and into a sand pit.</t>
  </si>
  <si>
    <t>The man lays down while another raises a flag and walks away from the track.</t>
  </si>
  <si>
    <t>v_w9M6GUCtoQQ</t>
  </si>
  <si>
    <t>An girl is seen sitting at a table holding various objects in her hands and pushing them all together.</t>
  </si>
  <si>
    <t>She then rubs a needle on a cotton ball then pushing it onto a pencil and wrapping thread around it.</t>
  </si>
  <si>
    <t>She then holds up a box of a product and then pouring several liquids into a bowl.</t>
  </si>
  <si>
    <t>She then dips the needle in ink and using the pencil to draw a design on her leg, rubbing it off with a rag in the end.</t>
  </si>
  <si>
    <t>v_fpWOf1DR1oA</t>
  </si>
  <si>
    <t>A predominately dark dart board is empty.</t>
  </si>
  <si>
    <t>A guy throws a dart at the dart board.</t>
  </si>
  <si>
    <t>The dart hits the bullseye.</t>
  </si>
  <si>
    <t>v_dAdCETrsDQw</t>
  </si>
  <si>
    <t>A small group of people are seen walking the red carpet and speaking to one another.</t>
  </si>
  <si>
    <t>An athlete is then seen speaking with a new host and several shots of him playing and riding a horse are shown.</t>
  </si>
  <si>
    <t>More clips are shown of him playing a sport and speaking to the host and shaking his hand.</t>
  </si>
  <si>
    <t>v_Gn651vGKC2I</t>
  </si>
  <si>
    <t>A woman makes a tattoo in the arm of a girl while cleaning with a tissue.</t>
  </si>
  <si>
    <t>The girl makes pain gestures in the face.</t>
  </si>
  <si>
    <t>v_WUOiJOqrHlI</t>
  </si>
  <si>
    <t>A shot of the movie Forest Gump is shown with the man playing ping pong in several shots and him laughing in the end.</t>
  </si>
  <si>
    <t>More clips are shown of the actors playing with one another and a man showing the footage on a computer while speaking to the camera.</t>
  </si>
  <si>
    <t>Tom Hanks is interviewed several times about the event and then sits down in the end while playing.</t>
  </si>
  <si>
    <t>v_4y8mMJkvAR4</t>
  </si>
  <si>
    <t>A woman dressed in all black with a visor and sunglasses is talking holding a paddle.</t>
  </si>
  <si>
    <t>Once she is done talking,she begins kayaking with her white dog between her legs.</t>
  </si>
  <si>
    <t>Now the woman is out of the water and begins doing arm exercises with the paddle behind her head lifting it up and down.</t>
  </si>
  <si>
    <t>She then adds the legs and begins doing lunges in the grass before she continues to do curls with her hands.</t>
  </si>
  <si>
    <t>The lady has now moved to a patio an is laying down flat on her back doing leg exercises.</t>
  </si>
  <si>
    <t>v_485Wn1DXt5U</t>
  </si>
  <si>
    <t>A girl is standing outside in a field talking and hula hooping.</t>
  </si>
  <si>
    <t>Another girl then tries to do the same thing but she isn't successful.</t>
  </si>
  <si>
    <t>The first girl comes back and does it effortlessly as the second girl still struggles.</t>
  </si>
  <si>
    <t>For the last round,the girl begins to hula hoop and drinks soda and runs across the grass.</t>
  </si>
  <si>
    <t>v_Y1f_NXMfD98</t>
  </si>
  <si>
    <t>A black and brown down is standing up against the wall as a person moves a vacuum like machine back and forth over his fur.</t>
  </si>
  <si>
    <t>After his back is done,the person does the legs then lifts his tail up and does the but hole and the dog begins to walk away.</t>
  </si>
  <si>
    <t>The women then has to grab the dog and hold him to finish her task.</t>
  </si>
  <si>
    <t>Once complete,she takes the hair out of the vacuum and dumps it into a big black trash bag.</t>
  </si>
  <si>
    <t>v_yj7YkvTZ4zw</t>
  </si>
  <si>
    <t>A blonde women runs jumps and twist a lands on the padding.</t>
  </si>
  <si>
    <t>Another woman runs and jumps and she doesn't make it she falls onto the grass.</t>
  </si>
  <si>
    <t>She completely missed the jump altogether and hits the pole down when she falls.</t>
  </si>
  <si>
    <t>She is laughing down on the ground and a man comes up to help her up.</t>
  </si>
  <si>
    <t>v_Q8EoKJNm4mc</t>
  </si>
  <si>
    <t>a group of people are sitting in a sauna fully clothed.</t>
  </si>
  <si>
    <t>One guy stands up with a violin.</t>
  </si>
  <si>
    <t>The guy begins playing the violin and dancing.</t>
  </si>
  <si>
    <t>The guy kicks his shoe off while dancing.</t>
  </si>
  <si>
    <t>The guy sits down and plays the violin.</t>
  </si>
  <si>
    <t>v_rABAqfLcssA</t>
  </si>
  <si>
    <t>A person is seen riding a board with a kite along the ocean moving at a fast pace.</t>
  </si>
  <si>
    <t>The person continues riding along and eventually crashes while the camera zooms in on the rider.</t>
  </si>
  <si>
    <t>v_5wkGeYBS7hQ</t>
  </si>
  <si>
    <t>A group of boys are standing in a room with many clear cups of beer on a table they are all standing around.</t>
  </si>
  <si>
    <t>The boys talk, laugh and tease each other before beginning a game of beer pong across a long table using a triangle shaped array of clear cups.</t>
  </si>
  <si>
    <t>One of the ping pongs lands in the cup and one of the boys begins to drink the beer.</t>
  </si>
  <si>
    <t>The group continue to play beer pong when one final player is able to throw and land a ping pong ball while standing with his back to the cups at which point the boys celebrate, and laugh.</t>
  </si>
  <si>
    <t>v_zyi4NVylqB0</t>
  </si>
  <si>
    <t>A small group of people are seen shaking hands and standing together followed by a man blowing a whistle and people running around.</t>
  </si>
  <si>
    <t>The people then play a game of soccer with one another, running up and down the sandy field while coaches yell on the side and a goal is blocked.</t>
  </si>
  <si>
    <t>v_6jxqb8FyWnQ</t>
  </si>
  <si>
    <t>Two men are shown sitting at a table with their arms crossed one another.</t>
  </si>
  <si>
    <t>They grab each other's hand and begin an arm wrestling match with one yelling to the other.</t>
  </si>
  <si>
    <t>One almost wins but the other pulls back quickly and wins while screaming and pushing.</t>
  </si>
  <si>
    <t>v_OxPzQ4yqfwg</t>
  </si>
  <si>
    <t>An older woman sitting at the table reading her paper work.</t>
  </si>
  <si>
    <t>Her husband comes up behind her and reads through it with her.</t>
  </si>
  <si>
    <t>Roofers are on the roof fixing some issues, putting in some new shingles.</t>
  </si>
  <si>
    <t>A woman on the phone with the company walks up and hands the phone to her husband.</t>
  </si>
  <si>
    <t>v_b5SYTLjp6HI</t>
  </si>
  <si>
    <t>A man walks into a gym and bends in front of a weight.</t>
  </si>
  <si>
    <t>the man tries to lift the weight two times and drops it.</t>
  </si>
  <si>
    <t>The man lifts the weight three times and walks away.</t>
  </si>
  <si>
    <t>The man lifts the weight two times.</t>
  </si>
  <si>
    <t>the man lifts the weight three times and walks away.</t>
  </si>
  <si>
    <t>The man lifts the weight two tines and removes his weight lifting belt.</t>
  </si>
  <si>
    <t>v_DCCD1fufXfY</t>
  </si>
  <si>
    <t>The little girl went out of the room.</t>
  </si>
  <si>
    <t>The boy get the bottle under the bed and is holding it and then drink it.</t>
  </si>
  <si>
    <t>The boy went back to bed and pretend to sleep while the girl went back in the room.</t>
  </si>
  <si>
    <t>v_6kBo1TR--dk</t>
  </si>
  <si>
    <t>A large group of people are seen wandering around an area with a woman running past them.</t>
  </si>
  <si>
    <t>The woman is seen speaking to the camera and continues to run around the beach area.</t>
  </si>
  <si>
    <t>She runs along the boardwalk as well as past people and ends with her running a race and being interviewed.</t>
  </si>
  <si>
    <t>v_K-pwTH9ubkE</t>
  </si>
  <si>
    <t>A persons hands are seen playing a piano that pans away from the person playing.</t>
  </si>
  <si>
    <t>People are seen smiling and waving to the camera while the man continues to play the piano.</t>
  </si>
  <si>
    <t>The camera captures him from all over playing the piano as well as singing to the camera.</t>
  </si>
  <si>
    <t>v_IlD4gfHmWIg</t>
  </si>
  <si>
    <t>A gymnast wearing a magenta leotard is performing on the horse bar.</t>
  </si>
  <si>
    <t>There is a panel of judges sitting across from her and evaluating her.</t>
  </si>
  <si>
    <t>She stands up straight on the bar and does a twist and pummel.</t>
  </si>
  <si>
    <t>She continues to successfully do front flips on the horse bar.</t>
  </si>
  <si>
    <t>She completes her round after she jumps off of the horse bar doing a back flip.</t>
  </si>
  <si>
    <t>Then the gymnast walks away from the performing area.</t>
  </si>
  <si>
    <t>v_fm6UhMKF8DU</t>
  </si>
  <si>
    <t>Several shots of a bridge are shown as well as a sign and people standing on the ledge.</t>
  </si>
  <si>
    <t>Two men then bungee jump off the side of the bridge and are shown swinging up using their legs.</t>
  </si>
  <si>
    <t>v_P79nFNUaysw</t>
  </si>
  <si>
    <t>A man is seen speaking to the camera and leads into shots of water boiling in a pot.</t>
  </si>
  <si>
    <t>He takes a bite of the of the pasta and ends with him still smiling to the camera.</t>
  </si>
  <si>
    <t>v_sEvP3GFbLdw</t>
  </si>
  <si>
    <t>A close up of a couch is seen followed by a person walking in and out of frame.</t>
  </si>
  <si>
    <t>The person then sits down and holds their feet up.</t>
  </si>
  <si>
    <t>The person then puts a pair of shoes on and walks out of frame.</t>
  </si>
  <si>
    <t>v_5MuLI6Plf-Y</t>
  </si>
  <si>
    <t>A man wearing a black shirt is sitting and playing the guitar in front of a black backdrop.</t>
  </si>
  <si>
    <t>Initially he starts to play the guitar slowly to find the proper rhythm.</t>
  </si>
  <si>
    <t>Than he starts to play the notes faster and faster.</t>
  </si>
  <si>
    <t>In the end he looks at the guitar and adjusts his fingers as he finishes playing the song .</t>
  </si>
  <si>
    <t>v_RNA9HtKreug</t>
  </si>
  <si>
    <t>We see people putting electronics on a foosball table.</t>
  </si>
  <si>
    <t>We see the bars moving and then see two men sitting at the table.</t>
  </si>
  <si>
    <t>We see a group of people playing foosball in a narrow room.</t>
  </si>
  <si>
    <t>v_HppLOtjJY_Q</t>
  </si>
  <si>
    <t>A large group of people are standing on a bridge.</t>
  </si>
  <si>
    <t>They are looking into the rapid waters below.</t>
  </si>
  <si>
    <t>Several people on canoes come through the bridge, which is the finish line.</t>
  </si>
  <si>
    <t>v_OmE9IhdWFa0</t>
  </si>
  <si>
    <t>A model wearing a bikini opens directs the scene and talks behind an I-Pad screen.</t>
  </si>
  <si>
    <t>A meal is cooked in a frying pan.</t>
  </si>
  <si>
    <t>People ride on a boat and catch fish.</t>
  </si>
  <si>
    <t>Surfers ride large waves in the ocean.</t>
  </si>
  <si>
    <t>Jet skis pull surfers towards waves in the ocean.</t>
  </si>
  <si>
    <t>v_XiG7rgPoKKI</t>
  </si>
  <si>
    <t>We see team of boaters in a competition in the sea.</t>
  </si>
  <si>
    <t>We see the race start and the boaters take off.</t>
  </si>
  <si>
    <t>They pass a small boat in the water.</t>
  </si>
  <si>
    <t>We see one team up close.</t>
  </si>
  <si>
    <t>We see a score board on the screen.</t>
  </si>
  <si>
    <t>The racers pass a banner and we see the green team again.</t>
  </si>
  <si>
    <t>The race is finished and we see the crowd clapping.</t>
  </si>
  <si>
    <t>We see the final scores and the scene ends.</t>
  </si>
  <si>
    <t>v_2FjaU9wfxaU</t>
  </si>
  <si>
    <t>A woman is seen hosting a news segment with a man and leads into a person bring out a dog and petting the dog.</t>
  </si>
  <si>
    <t>The man then demonstrates how to properly groom the dog while the host continues to speak and pet the dog.</t>
  </si>
  <si>
    <t>v_Ckkf840HZE4</t>
  </si>
  <si>
    <t>A man is seen riding around on the water wake boarding behind a boat.</t>
  </si>
  <si>
    <t>The man is shown in several clips performing a trick with camera affects point to his movements.</t>
  </si>
  <si>
    <t>The man continues to ride around on the board while text appears to give instructions.</t>
  </si>
  <si>
    <t>v_GKy0MNJZxDc</t>
  </si>
  <si>
    <t>There is a large gymnasium where three gymnasts are performing gymnastics.</t>
  </si>
  <si>
    <t>There's one gymnast in orange leotards swinging on the rod and another gymnast next to him also swinging on the bars.</t>
  </si>
  <si>
    <t>They both swing upside down and stand on their hands for a few seconds before swinging back down.</t>
  </si>
  <si>
    <t>The third gymnast is performing behind them, doing front and back flips.</t>
  </si>
  <si>
    <t>The gymnast in the orange leotards does another front swing and then gets off the bars and walks away.</t>
  </si>
  <si>
    <t>v_33SI8z8PovA</t>
  </si>
  <si>
    <t>A black female is shown in a room with a black scarf around her head.</t>
  </si>
  <si>
    <t>Black spots on her faced are then zoomed in on and she begins to apply something on it.</t>
  </si>
  <si>
    <t>Next,she takes some spray and it makes her skin extremely oily and she continues to talk until the video is over.</t>
  </si>
  <si>
    <t>v_vcCwvRYqU2I</t>
  </si>
  <si>
    <t>We see a tree with leaves blowing int he wind.</t>
  </si>
  <si>
    <t>A man rakes his yard and talks to the camera.</t>
  </si>
  <si>
    <t>The man chooses a rake from four.</t>
  </si>
  <si>
    <t>The man throws some grass in the garbage.</t>
  </si>
  <si>
    <t>The man picks up and smells a twig with leaves.</t>
  </si>
  <si>
    <t>The man throws his rake into the yard.</t>
  </si>
  <si>
    <t>The man sprinkles leaves into the yard and rakes them up.</t>
  </si>
  <si>
    <t>We then see the twigs and leaves again.</t>
  </si>
  <si>
    <t>v_k8C1Jb_xvh0</t>
  </si>
  <si>
    <t>A male worker walks up to an elephant.</t>
  </si>
  <si>
    <t>He gives the elephant a dart.</t>
  </si>
  <si>
    <t>The elephant and a woman take turns throwing darts at their targets.</t>
  </si>
  <si>
    <t>v_Dv2T0R7HVBQ</t>
  </si>
  <si>
    <t>A young man is seen sitting at the bottom of a pool.</t>
  </si>
  <si>
    <t>He begins moving closer to the camera while smiling.</t>
  </si>
  <si>
    <t>He then bumps into the wall and moves upwards.</t>
  </si>
  <si>
    <t>v_V8gr2EMHNwQ</t>
  </si>
  <si>
    <t>Various shots are shown of the ocean as well as boats riding along the water.</t>
  </si>
  <si>
    <t>People are seen laying on beaches as well as speaking to one another and riding behind boats.</t>
  </si>
  <si>
    <t>Close ups of fish are seen as well as people riding around and surfing the water.</t>
  </si>
  <si>
    <t>v__--nxrRXdPg</t>
  </si>
  <si>
    <t>Athletes performs high jump successfully in a stadium full of people.</t>
  </si>
  <si>
    <t>An athlete jumps, but touch the horizontal rod.</t>
  </si>
  <si>
    <t>Other athletes perform high jump in a competition on front a crow.</t>
  </si>
  <si>
    <t>v_wBgU5jXb_V4</t>
  </si>
  <si>
    <t>A woman is walking her horse out to a field to ride.</t>
  </si>
  <si>
    <t>The horses tail is braided back and she is wearing pink.</t>
  </si>
  <si>
    <t>The lady gets on the horse and ride it around hitting a ball around.</t>
  </si>
  <si>
    <t>The horses tail is no longer braided as they ride around in the sand.</t>
  </si>
  <si>
    <t>v_JaBA8V-nuDg</t>
  </si>
  <si>
    <t>Three women are sitting in a room behind the table knitting scarves and hats before a logo appears.</t>
  </si>
  <si>
    <t>They all reappear and begin knitting a purple scarf as they talk.</t>
  </si>
  <si>
    <t>Next,each lady begins to talk and show pictures of who they are making the special garment for.</t>
  </si>
  <si>
    <t>v_Yp9WuBrgbI4</t>
  </si>
  <si>
    <t>The shirtless man is doing crunches.</t>
  </si>
  <si>
    <t>The woman is doing crunches while her legs is on a machine.</t>
  </si>
  <si>
    <t>The woman is holding the man's feet as he crunches.</t>
  </si>
  <si>
    <t>The man is moving his legs while he has big yoga ball under his legs.</t>
  </si>
  <si>
    <t>v_TTDruR5Vin4</t>
  </si>
  <si>
    <t>Two bikers are riding their motor bikes through rough terrain.</t>
  </si>
  <si>
    <t>They are dressed in biking gear with protective helmets and clothing.</t>
  </si>
  <si>
    <t>They are going on hilly slopes and uneven terrain on their motorbikes.</t>
  </si>
  <si>
    <t>They go through extremely steep and dangerous dirt roads at high speed.</t>
  </si>
  <si>
    <t>They also go over ramps created in the dirt road.</t>
  </si>
  <si>
    <t>They continue biking through the dirt at high speed as they create a cloud of dust behind them.</t>
  </si>
  <si>
    <t>v_UYcpD3r6Ol0</t>
  </si>
  <si>
    <t>A black screen appears and a black triangle with blue and green lights illuminating from it appear in the middle and red fancy lettering appear in the middle and read "Lovey's Nails".</t>
  </si>
  <si>
    <t>More lettering appear on different black screens and together they read "MALEFICENT NAILS"and "FOR EASIER USE RED NAIL TIPS IF YOU HAVE USA PUNTAS ROJAS SI TIENES".</t>
  </si>
  <si>
    <t>The woman is now removing nail polish from her nails on her left hand ,applies oil, then super glues fake nails onto her left hand and cuts the fake tipped nails into a pointed shape.</t>
  </si>
  <si>
    <t>The woman then opens up a small container of red thick liquid, takes a paint brush and applies it to her fake pointy tipped nails and applies a few coats onto each fake tipped nail, then once the red is dried she then applies flesh colored thick liquid over the entire nail include the red tips, shapes them, files,sands them down, then brushes off the powder with a brush.</t>
  </si>
  <si>
    <t>The woman then paints the top of the nails with a clear coat, then turns the nails over and paints the underside as well and puts her two hands together to show how it looks on the underside as well as the topside.</t>
  </si>
  <si>
    <t>The woman is now showing a close up of her face as she shows the near her face, then holds up a MAC lipstick that's named "Russian Red" and she applies it to her lips then smiles and shows of her newly done nails and lips by showing it at a few angles, and then finishing with still shot pictures and the word Shio on the last still shot.</t>
  </si>
  <si>
    <t>v_tAleUKVZCD8</t>
  </si>
  <si>
    <t>Two teams play ice hockey the white team scores, and people in the bleaches cheers, then the red teams scores for his team, then they continue playing.</t>
  </si>
  <si>
    <t>The white team scores and players hug each other, the crowd applauds.</t>
  </si>
  <si>
    <t>After the red team score.</t>
  </si>
  <si>
    <t>The players go to dressing rooms in the half time.</t>
  </si>
  <si>
    <t>Then, the players continue playing and the red team scores and wins the competition.</t>
  </si>
  <si>
    <t>v_iGXUvIRX77c</t>
  </si>
  <si>
    <t>People are playing the drums in a room.</t>
  </si>
  <si>
    <t>They begin marching back and forth in the room.</t>
  </si>
  <si>
    <t>A person in the back is playing the symbols.</t>
  </si>
  <si>
    <t>v_DRWMUsADKFM</t>
  </si>
  <si>
    <t>A camera pans around a room and leads into a room rubbing paper down and putting a box in the middle.</t>
  </si>
  <si>
    <t>The woman wraps the box up in paper and pushing in the sides.</t>
  </si>
  <si>
    <t>She tapes up the sides and uses a ribbon to tie the box up and ends by unwrapping it and showing what's inside.</t>
  </si>
  <si>
    <t>v_Qt2ktBj1l-Y</t>
  </si>
  <si>
    <t>The typing noise from the typewriter is going in the beginning and the title of a story that was typed is shown.</t>
  </si>
  <si>
    <t>Then two men are shown shoveling snow outside off of statues and the ground and when they're done, someone falls to the ground.</t>
  </si>
  <si>
    <t>v_kPbae85fofk</t>
  </si>
  <si>
    <t>People including security guards are standing behind a fence in a mall.</t>
  </si>
  <si>
    <t>We see a young man in a fancy jacket talk and throw darts across the room.</t>
  </si>
  <si>
    <t>The man stops throwing and ducks down for a moment then continues to throw.</t>
  </si>
  <si>
    <t>A lady wipes something off the mans face and the man and his entourage begin to leave the area.</t>
  </si>
  <si>
    <t>v_ResZdSbk9kE</t>
  </si>
  <si>
    <t>man wearing a blue helmet is kayaking in river showing how to use a row.</t>
  </si>
  <si>
    <t>man in river is sitting in yellow kayak holding a row.</t>
  </si>
  <si>
    <t>man is fighting against the current in a kayak.</t>
  </si>
  <si>
    <t>v_pQof_-tUNtY</t>
  </si>
  <si>
    <t>We see a box on fabric.</t>
  </si>
  <si>
    <t>A person wraps the box in the fabric and ties it up.</t>
  </si>
  <si>
    <t>We see the person wrap to bottles in the fabric together.</t>
  </si>
  <si>
    <t>They then put two bottles in a bag and tie it.</t>
  </si>
  <si>
    <t>v_eAIJhHmdjmk</t>
  </si>
  <si>
    <t>We see the green opening screens.</t>
  </si>
  <si>
    <t>We then see a person shovel snow with a pusher.</t>
  </si>
  <si>
    <t>We see an title screen.</t>
  </si>
  <si>
    <t>We we a man plowing an ice rink with his shovel.</t>
  </si>
  <si>
    <t>We then see the product screen.</t>
  </si>
  <si>
    <t>v_5kCv4zwc7-I</t>
  </si>
  <si>
    <t>A girl in a blue shirt holds up a pack of fake finger nails.</t>
  </si>
  <si>
    <t>She sticks them onto her finger nails.</t>
  </si>
  <si>
    <t>She is showing her finger nails to the camera.</t>
  </si>
  <si>
    <t>v_dAjhBWalWRM</t>
  </si>
  <si>
    <t>A group of people stand in front of a blackjack table.</t>
  </si>
  <si>
    <t>The blackjack attendant places cards on the table.</t>
  </si>
  <si>
    <t>v_yfikZ4E_uko</t>
  </si>
  <si>
    <t>Liquid is shown being poured into a bowl, followed by a person slicing up a pineapple and apple and mixing them into a bowl.</t>
  </si>
  <si>
    <t>The person then cuts up more fruits and adds it to the bowl and mixes it all around together to create a fruit bowl.</t>
  </si>
  <si>
    <t>v_lb-TlBtrKcU</t>
  </si>
  <si>
    <t>A woman is outside in a large green field talking,holding up a bow and arrow in front of a white paper with a large target.</t>
  </si>
  <si>
    <t>Before she begins,she assembles the bow in the arrow and hits the board.</t>
  </si>
  <si>
    <t>She then demonstrates the proper way to put the bow in their again and how you should hold the arrow before releasing it.</t>
  </si>
  <si>
    <t>After,a row of people are shown and they all begin to shoot their bows and arrows.</t>
  </si>
  <si>
    <t>v_KwY8nf4MqR4</t>
  </si>
  <si>
    <t>A small boy wearing a blue and yellow hoodie and gray sweat pants in standing in an outdoor tennis court.</t>
  </si>
  <si>
    <t>He is holding a blue racket as he bounces the yellow and orange tennis ball on the court.</t>
  </si>
  <si>
    <t>He starts with his first serve where the ball hits the net.</t>
  </si>
  <si>
    <t>Then he takes another ball, bounces it and serves again.</t>
  </si>
  <si>
    <t>The ball goes over the net and falls on the other side of the court.</t>
  </si>
  <si>
    <t>He gets another ball for the third time and drops it off his hands while trying to serve.</t>
  </si>
  <si>
    <t>v_-boJqGIgV9I</t>
  </si>
  <si>
    <t>A small girl is at an amusement park dart rewards game.</t>
  </si>
  <si>
    <t>A lady who is working at the stand comes and asks her how many darts she would like to use, she gives the girl the darts.</t>
  </si>
  <si>
    <t>The girl starts throwing darts, she is only able to hit one balloon, she asks for help but does not get it.</t>
  </si>
  <si>
    <t>v_oTsTx2BhtgY</t>
  </si>
  <si>
    <t>We see the title on a black background.</t>
  </si>
  <si>
    <t>We see a knife and sharpener and a man holding them.</t>
  </si>
  <si>
    <t>We see the man cut a tomato and paper.</t>
  </si>
  <si>
    <t>The person uses a sharpens and then cuts the tomato, and paper easily.</t>
  </si>
  <si>
    <t>Sharpen a different knife and cuts a tomato and shows us the sharpener.</t>
  </si>
  <si>
    <t>v_sY8TfKQHe5w</t>
  </si>
  <si>
    <t>A commercial advertising a pumpkin cutter, a pumpkin knife, and a pumpkin light is shown using a family of two boys and one mother preparing pumpkins for the demonstration.</t>
  </si>
  <si>
    <t>A little boy is shown using a pumpkin cutter to cut faces into a pumpkin.</t>
  </si>
  <si>
    <t>The boy is then shown scooping out a pumpkin using a pumpkin scoop.</t>
  </si>
  <si>
    <t>A boy is then shown placing a pumpkin light inside of a pumpkin as the mother leans in and smiles between the two boys and the finished pumpkins which now have carved faces with glowing lights inside.</t>
  </si>
  <si>
    <t>v_K1z2fiB9pUM</t>
  </si>
  <si>
    <t>Dozens of people are seen riding up a large, dusty hill while the camera pans around people riding on dirt bikes.</t>
  </si>
  <si>
    <t>The people ride all along the path while several others watch on the side and follow the riders as the continue riding along the track.</t>
  </si>
  <si>
    <t>v_C-M4L_WDzK8</t>
  </si>
  <si>
    <t>A group of women play field hockey on an outdoor field covered in grass .</t>
  </si>
  <si>
    <t>The women run after a white ball on the field while holding hockey sticks.</t>
  </si>
  <si>
    <t>The red team and blue team continue to play field hockey while a referee watches on and a guard guards the goal.</t>
  </si>
  <si>
    <t>v_Gba1MksaNBQ</t>
  </si>
  <si>
    <t>Some men are playing pool as three boxer dogs watch.</t>
  </si>
  <si>
    <t>The boxers stand by the pool table, trying to snap at the balls as they are shot with the cues.</t>
  </si>
  <si>
    <t>v_5WCgpt2bEJw</t>
  </si>
  <si>
    <t>A man sets a timer on a table.</t>
  </si>
  <si>
    <t>He then tries to solver a color block puzzle.</t>
  </si>
  <si>
    <t>He finishes the puzzle in only slightly over 8 seconds.</t>
  </si>
  <si>
    <t>v_aKvCtSitxJY</t>
  </si>
  <si>
    <t>A girl is standing with a hula hoop in her hand.</t>
  </si>
  <si>
    <t>The girl talks to the camera.</t>
  </si>
  <si>
    <t>The girl demonstrates the hula hoop.</t>
  </si>
  <si>
    <t>The girl drops the hula hoop and poses.</t>
  </si>
  <si>
    <t>v_1AEZ9fDDkz4</t>
  </si>
  <si>
    <t>A line of bikers prepare for a dirt bike race.</t>
  </si>
  <si>
    <t>They take off, racing over hills and around sharp corners, some falling off their bikes and kicking it angrily.</t>
  </si>
  <si>
    <t>v_DbuQn8EOJx0</t>
  </si>
  <si>
    <t>A boy sits in a room and talks to a camera while holding a demonstrating how to use an electronic cigarette.</t>
  </si>
  <si>
    <t>The boy unscrews the cigarette to reveal the inside mechanism.</t>
  </si>
  <si>
    <t>The boy puts the cigarette back together and begins to smoke it as a woman walks by in the background, and then he continues to talk to the camera.</t>
  </si>
  <si>
    <t>v_Zso0ZBs2y6E</t>
  </si>
  <si>
    <t>Close ups of fabric are shown and leads to a man putting them on a wall and a woman speaking to a great of men.</t>
  </si>
  <si>
    <t>A person lays out paper on a table and shows the men how to properly put wallpaper on.</t>
  </si>
  <si>
    <t>A man then speaks to the camera and ends with information being presented and the man putting down more paper.</t>
  </si>
  <si>
    <t>v_0K1SrDmREzs</t>
  </si>
  <si>
    <t>An athletic woman is seen standing in a circle moving in a slow motion holding a discuss.</t>
  </si>
  <si>
    <t>She then spins herself around while holding the object and then throwing it off the distance.</t>
  </si>
  <si>
    <t>v_BOckSaGr-uI</t>
  </si>
  <si>
    <t>A man in gray shirt is sitting on a chair.</t>
  </si>
  <si>
    <t>The man is pointing an empty canvas with his brush as he continue to talk.</t>
  </si>
  <si>
    <t>The man hold out his brush, dip the brush on the colors and began painting on the bigger canvas.</t>
  </si>
  <si>
    <t>v_7WfF6FrZEuU</t>
  </si>
  <si>
    <t>A woman is seen smiling and speaking to the camera.</t>
  </si>
  <si>
    <t>Another man is seen sitting behind her with another man in front.</t>
  </si>
  <si>
    <t>The woman continues speaking while the man in front cleans the other's shoes.</t>
  </si>
  <si>
    <t>v_RfXFS9fy-mI</t>
  </si>
  <si>
    <t>People are playing soccer in an indoor arena.</t>
  </si>
  <si>
    <t>They shoot and make a goal into the net.</t>
  </si>
  <si>
    <t>The players hug on the court.</t>
  </si>
  <si>
    <t>v_7uE2pMuAM8I</t>
  </si>
  <si>
    <t>A person polish a shoe with a wrapped finger.</t>
  </si>
  <si>
    <t>Then, the person grabs polish paste and water to polish the shoe.</t>
  </si>
  <si>
    <t>After, the person put a drop of water on the shoe and continues polishing.</t>
  </si>
  <si>
    <t>v_0h45uztur-o</t>
  </si>
  <si>
    <t>Wrapped presents are being shown lined up.</t>
  </si>
  <si>
    <t>A person is rolling out wrapping paper and using a ruler to hold it down.</t>
  </si>
  <si>
    <t>A box is set on top of the wrapping paper.</t>
  </si>
  <si>
    <t>The person begins wrapping the present.</t>
  </si>
  <si>
    <t>They are cutting the paper.</t>
  </si>
  <si>
    <t>They continue wrapping the present.</t>
  </si>
  <si>
    <t>They use tape to hold the paper on.</t>
  </si>
  <si>
    <t>They fold tissue paper to wrap around the middle of the box.</t>
  </si>
  <si>
    <t>They wrap curling ribbon around the box and tie it into a bow.</t>
  </si>
  <si>
    <t>The use the scissors to curl the ends of the bow.</t>
  </si>
  <si>
    <t>They stick a silver flower into the present.</t>
  </si>
  <si>
    <t>v_w6kBE7BHHeU</t>
  </si>
  <si>
    <t>This is a video for arm wrestling tips.</t>
  </si>
  <si>
    <t>A screen with caption is shown describing the video.</t>
  </si>
  <si>
    <t>There are two men at an arm wrestling table a man in a white t-shirt and glasses is informing on how to properly prepare for an arm wrestling match with stance, arm position, finger position, wrist placement, body position, body and arm movement.</t>
  </si>
  <si>
    <t>Another black screen appears with captions.</t>
  </si>
  <si>
    <t>The man in the white t-shirt shows several ways to stand during an arm wrestling match with both feet on the ground and wrapping one leg around the arm wrestling table.</t>
  </si>
  <si>
    <t>Another black screen appears with caption about finding arm wrestling clubs.</t>
  </si>
  <si>
    <t>The man in the glasses while still at the arm wrestling table with the other man gives a website address and social media sites.</t>
  </si>
  <si>
    <t>The screen goes black and there are credits rolling followed by a company name.</t>
  </si>
  <si>
    <t>v_sBx1HvNjs6s</t>
  </si>
  <si>
    <t>A bald man is talking and two pictures of a young male with nice hair flashes on the screen.</t>
  </si>
  <si>
    <t>The man then begins to work with a mannequin head that has a similar hairstyle as the boy in the pictures and he shows how the haircut was achieved while buzzing, cutting, combing and finger combing the hair.</t>
  </si>
  <si>
    <t>A black screen with white letters appear and they read "Thanks for wathing! Please subscribe!!".</t>
  </si>
  <si>
    <t>v_y-HkIwa-jWM</t>
  </si>
  <si>
    <t>An older man passes a ball to a group of small kids and eventually kicks the ball.</t>
  </si>
  <si>
    <t>The man runs as other kids run and runs all the way to home plate.</t>
  </si>
  <si>
    <t>A woman runs in front of the base with the ball and the man trips over her.</t>
  </si>
  <si>
    <t>He helps her up as they both.</t>
  </si>
  <si>
    <t>v_-qXqnltHWtE</t>
  </si>
  <si>
    <t>Cowboys compete in a rodeo competition.</t>
  </si>
  <si>
    <t>Men ride horses out of a gates and ropes a bull before dismounting and tying their its legs.</t>
  </si>
  <si>
    <t>The winner waves his hat and is congratulated by the other riders.</t>
  </si>
  <si>
    <t>v_GlvfqDfvbKA</t>
  </si>
  <si>
    <t>A man talks to the camera while seated at a drum set while another man plays drums in the background.</t>
  </si>
  <si>
    <t>The first man plays the drums.</t>
  </si>
  <si>
    <t>The first man stops playing and turns to the camera.</t>
  </si>
  <si>
    <t>v_OUfVZuWyqJQ</t>
  </si>
  <si>
    <t>We see the white opening screen.</t>
  </si>
  <si>
    <t>A man in jump stilts throws a bag over his shoulder and leaves a bank.</t>
  </si>
  <si>
    <t>The man in jump stilts runs from the cops on a city street.</t>
  </si>
  <si>
    <t>The man pushes through a market.</t>
  </si>
  <si>
    <t>The man jumps over a stroller being pushed by a lady.</t>
  </si>
  <si>
    <t>The man jumps over a truck and over a fence losing the cops.</t>
  </si>
  <si>
    <t>The man runs through a skate park down a city street and up stairs.</t>
  </si>
  <si>
    <t>The man opens the bag and counts his cash.</t>
  </si>
  <si>
    <t>v_9FaSaHgQSO8</t>
  </si>
  <si>
    <t>A large group of people are all seen riding around in bumper cars and driving around a track, bumping into one another.</t>
  </si>
  <si>
    <t>The people continue riding around and ends with a man and two children walking out.</t>
  </si>
  <si>
    <t>v_xE5KichXWrA</t>
  </si>
  <si>
    <t>An intro shows on the screen introducing a winter throwing video.</t>
  </si>
  <si>
    <t>A man does spins around in a circle and completes the throw celebrating his distance.</t>
  </si>
  <si>
    <t>He prepares for another throw by getting himself into position.</t>
  </si>
  <si>
    <t>He completes the throw and prepares for another.</t>
  </si>
  <si>
    <t>He completes the next throw and prepares for the next.</t>
  </si>
  <si>
    <t>He completes the last throw and again celebrates a good distance.</t>
  </si>
  <si>
    <t>The video ends with text displayed on the screen.</t>
  </si>
  <si>
    <t>v_mZxvYV53uf0</t>
  </si>
  <si>
    <t>Two girls are practicing dance moves in front of their television set in their living room.</t>
  </si>
  <si>
    <t>One of the girls is wearing a red shirt and the other is wearing a dark blue shirt.</t>
  </si>
  <si>
    <t>They are practicing ball room dancing.</t>
  </si>
  <si>
    <t>they take turns to swing and twirl around each other's hands as they go around in circles.</t>
  </si>
  <si>
    <t>They also follow a pattern of their leg movements as they follow the steps rhythmically.</t>
  </si>
  <si>
    <t>After they finish, they both giggle and walk away.</t>
  </si>
  <si>
    <t>v_k5wY4N61bzU</t>
  </si>
  <si>
    <t>A still image is pictured with the words Dog Walk Across America shown over it.</t>
  </si>
  <si>
    <t>A middle aged couple is then shown siting on logs talking with their dogs roaming behind them and another man sitting on a big boulder rock.</t>
  </si>
  <si>
    <t>Then several images of dogs are shown and then the woman reappears alone.</t>
  </si>
  <si>
    <t>Then another set of images are shown where the dogs are being helped by vets.</t>
  </si>
  <si>
    <t>The man then reappears with the lady and they begin to talk again.</t>
  </si>
  <si>
    <t>Lastly,the man walks off and a black screen appears showing multiple websites.</t>
  </si>
  <si>
    <t>v_wZeV6W1VEoM</t>
  </si>
  <si>
    <t>Some boys are inside a gym.</t>
  </si>
  <si>
    <t>They take turns stacking a pile of tires.</t>
  </si>
  <si>
    <t>After each addition, one of them jumps and stands at the top.</t>
  </si>
  <si>
    <t>v_s_hQSJVIN3c</t>
  </si>
  <si>
    <t>man is in a oofed gym stretching his leg and doing exercise in front of a chair.</t>
  </si>
  <si>
    <t>the man bend the other leg and stretch it.</t>
  </si>
  <si>
    <t>v_m5YvKrjGtPM</t>
  </si>
  <si>
    <t>A man kneels to grab a weight while a man watch him.</t>
  </si>
  <si>
    <t>A topless fat man practice weight lift behind the man.</t>
  </si>
  <si>
    <t>A person lift a weight on back.</t>
  </si>
  <si>
    <t>Then, the man lifts the weight, after he drops the weight to the floor.</t>
  </si>
  <si>
    <t>Again, the man kneels again and lift the weight above his head and then drop it.</t>
  </si>
  <si>
    <t>v_n9xULD7oYXc</t>
  </si>
  <si>
    <t>Two man sit at a table.</t>
  </si>
  <si>
    <t>The man closest to camera crochets.</t>
  </si>
  <si>
    <t>The man closest to camera scratches his ear.</t>
  </si>
  <si>
    <t>v_7GSCDxBSFsw</t>
  </si>
  <si>
    <t>A person holds a javelin and prepares to launch it.</t>
  </si>
  <si>
    <t>Then, the man runs and launch the javelin.</t>
  </si>
  <si>
    <t>v_htBt3oP9zuo</t>
  </si>
  <si>
    <t>A woman demonstrates how to apply wallpaper to a wall.</t>
  </si>
  <si>
    <t>A woman holds up the various tools needed to apply wallpaper.</t>
  </si>
  <si>
    <t>The woman demonstrates the process before applying the paper in short demonstration segments.</t>
  </si>
  <si>
    <t>The woman then begins to apply the wallpaper to a wall step by step.</t>
  </si>
  <si>
    <t>v_bqDxblFvgro</t>
  </si>
  <si>
    <t>A person's bare feet are shown walking up a flight of stairs.</t>
  </si>
  <si>
    <t>Then different men are shown diving in slow motion off the diving board into the water.</t>
  </si>
  <si>
    <t>Women and boys are also jumping, each landing in an outdoor pool.</t>
  </si>
  <si>
    <t>v_vbWdGj1sfO8</t>
  </si>
  <si>
    <t>A female is laying on her back exercising inside of a gym.</t>
  </si>
  <si>
    <t>She is wearing black and pink and just looks very comfortable while she works out.</t>
  </si>
  <si>
    <t>She brings her arms up and her legs up to the center of her body.</t>
  </si>
  <si>
    <t>She does that repeatedly for a little while.</t>
  </si>
  <si>
    <t>v_ruHObln9mwI</t>
  </si>
  <si>
    <t>the players rush the field and start fighting.</t>
  </si>
  <si>
    <t>A person punches someone in the head.</t>
  </si>
  <si>
    <t>The coach is trying to fight another coach.</t>
  </si>
  <si>
    <t>A man climbs over the balcony to try and fight.</t>
  </si>
  <si>
    <t>The red team gathers and hugs each other.</t>
  </si>
  <si>
    <t>v_RZqM8Z0ocjE</t>
  </si>
  <si>
    <t>A volleyball coach stands by a net holding a ball and speaks.</t>
  </si>
  <si>
    <t>Two groups of girls run out to the middle of a court to grab volleyballs.</t>
  </si>
  <si>
    <t>They throw the balls at each other.</t>
  </si>
  <si>
    <t>The coach is seen giving instructions.</t>
  </si>
  <si>
    <t>The girls continue to throw the balls at each other.</t>
  </si>
  <si>
    <t>Two girls stand by the sidelines talking.</t>
  </si>
  <si>
    <t>v_BZQb9uWULOc</t>
  </si>
  <si>
    <t>People are sitting bored in a lounge.</t>
  </si>
  <si>
    <t>A man walks in holding a portable beer pong table.</t>
  </si>
  <si>
    <t>The people get excited for him.</t>
  </si>
  <si>
    <t>They play a few rounds of beer pong.</t>
  </si>
  <si>
    <t>A man holds up a ping pong ball in front of a group of people.</t>
  </si>
  <si>
    <t>Text appears on the screen.</t>
  </si>
  <si>
    <t>v_5pqVrMgiMcs</t>
  </si>
  <si>
    <t>A skateboarder come rolling down a steep road.</t>
  </si>
  <si>
    <t>Skateboarders roll down the middle of public streets.</t>
  </si>
  <si>
    <t>The words "Fair Oaks Longboarding" along with credits appear over the skaters.</t>
  </si>
  <si>
    <t>v_KTNJc_NVOmg</t>
  </si>
  <si>
    <t>A cat is laying on its back on the couch.</t>
  </si>
  <si>
    <t>A person picks up the cat and lays it on their lap.</t>
  </si>
  <si>
    <t>They start clipping the cats nails.</t>
  </si>
  <si>
    <t>v_jaaWdcA_COY</t>
  </si>
  <si>
    <t>There is a woman in a bikini walking past people with hula hoops.</t>
  </si>
  <si>
    <t>She goes to the grass and she begins hooping in circles, she is having a really good time dancing and hooping.</t>
  </si>
  <si>
    <t>Then, other people are dancing around and hooping also, doing tricks and just enjoying the day.</t>
  </si>
  <si>
    <t>Everyone is watching as the two girls hoop around outside of the store.</t>
  </si>
  <si>
    <t>v_m0ZPQ8q4Qq4</t>
  </si>
  <si>
    <t>A little girl is outside on a snowy day.</t>
  </si>
  <si>
    <t>She is playing hopscotch which is drawn on the driveway.</t>
  </si>
  <si>
    <t>She hops along each square, then turns and goes back to the beginning.</t>
  </si>
  <si>
    <t>v_UzdI8PLRiXg</t>
  </si>
  <si>
    <t>A towel and glass are on a table next to a piece of foam and metal.</t>
  </si>
  <si>
    <t>A tool is being shown by a man holding it.</t>
  </si>
  <si>
    <t>The metal is used to sharpen a knife in front of him.</t>
  </si>
  <si>
    <t>v_MbEoZXWVc-I</t>
  </si>
  <si>
    <t>A group of people are seen hanging out around an area with several standing around a beer pong match.</t>
  </si>
  <si>
    <t>The people play beer pong back and fourth and a woman takes a drink in the end that is gross.</t>
  </si>
  <si>
    <t>v_nY8a1E4QH5Q</t>
  </si>
  <si>
    <t>A dance class is choreographing a routine and everyone is generally in sync with each other.</t>
  </si>
  <si>
    <t>They move back and forth, up and down, and shake their chests.</t>
  </si>
  <si>
    <t>v_iYH0Ol3xIZU</t>
  </si>
  <si>
    <t>A man in a white asian inspired outfit stands outdoors, surrounded by trees, on the grass, and performs several slow martial arts and meditation moves.</t>
  </si>
  <si>
    <t>The scene begins with a bare green patch of cut grass surrounded by tall trees and a building in the background beyond the foliage.</t>
  </si>
  <si>
    <t>The man runs into the frame into the center of the grass, centers himself and does a leg lift followed by several slow hand movements up and down and around.</t>
  </si>
  <si>
    <t>The man continues to perform slow martial arts moves using feet, hands, knees, and shoulders moving around the grass patch and sometime stomping his feet on the ground.</t>
  </si>
  <si>
    <t>v_kK9k01CtXnE</t>
  </si>
  <si>
    <t>This is a how to film on how to apply a seal to a roof.</t>
  </si>
  <si>
    <t>Black things are put on the side of the roof.</t>
  </si>
  <si>
    <t>The roof is sealed up.</t>
  </si>
  <si>
    <t>v_-Cefl3S_L-w</t>
  </si>
  <si>
    <t>A large group of people are seen playing a tug of war match with one another and pulling onto a rope against one another.</t>
  </si>
  <si>
    <t>The people continue playing with one another and ends with one team winning and the crowd cheering.</t>
  </si>
  <si>
    <t>v_YcDlkZkPb6g</t>
  </si>
  <si>
    <t>A graphic shows on the screen for a website about basketball drills.</t>
  </si>
  <si>
    <t>Some young men on an indoor basketball court are shown doing some of the basketball drills.</t>
  </si>
  <si>
    <t>An older man begins explaining the drills while more footage is shown of the players demonstrating them.</t>
  </si>
  <si>
    <t>The screen goes black and more text reminds the viewer to visit the website for more information.</t>
  </si>
  <si>
    <t>v_C26UfwZbHE0</t>
  </si>
  <si>
    <t>woman is talking to another standing in front of green lockers in a hallway, a man walks to the girls holding yellow roses on his hand.</t>
  </si>
  <si>
    <t>a woman walks in the hall holding a mouthwash and talking to the camera about it.</t>
  </si>
  <si>
    <t>woman is in front of a handwash cleaning his mouth with mouthwash.</t>
  </si>
  <si>
    <t>the woman is in the hall and talk to the boys and they seem impressed by her fresh breath.</t>
  </si>
  <si>
    <t>v_OmlzSz6AKfI</t>
  </si>
  <si>
    <t>A child in a helmet is shown.</t>
  </si>
  <si>
    <t>Several other children in helmets on bikes ride off of a ramp.</t>
  </si>
  <si>
    <t>A man runs along side them.</t>
  </si>
  <si>
    <t>The cross a finish line.</t>
  </si>
  <si>
    <t>v_PIr3WhkKB1o</t>
  </si>
  <si>
    <t>A special effect video clip appears with someone running on a treadmill and white words on the middle of the screen that read "CityNews HEALTH".</t>
  </si>
  <si>
    <t>A man and woman newscaster appear sitting on stools, both dressed in work attire and talking to the camera and to one another.</t>
  </si>
  <si>
    <t>The newscaster woman is now shown outdoors and talking to people on a beach, and clips of people sunbathing, applying suntan lotion, and different types of suntan lotions are show.</t>
  </si>
  <si>
    <t>The newscaster woman is now sitting on the beach, holding a bottle of suntan lotion and begins to apply lotion all over her arm.</t>
  </si>
  <si>
    <t>A new clip appears with the newscaster woman interviewing a Doctor, then a woman is shown sitting in a chair while the Doctor is standing up talking to her, and the banner below say's his name is "DR PAUL COHEN DERMATOLOGIST" and various clips of people playing in the sun play in between him talking.</t>
  </si>
  <si>
    <t>The newscaster woman is back indoors with the man she was shown with earlier and they end with a smile.</t>
  </si>
  <si>
    <t>v_QtCNHRtycmg</t>
  </si>
  <si>
    <t>Several clips are shown of men speaking to one another as well as riding on a dirt bike.</t>
  </si>
  <si>
    <t>More clips are shown of people riding around and cheering with one another.</t>
  </si>
  <si>
    <t>The riders continue to go around the track as well as show off jumps in the end.</t>
  </si>
  <si>
    <t>v_HD4aY4ATCFY</t>
  </si>
  <si>
    <t>a big burguer is in a table.</t>
  </si>
  <si>
    <t>woman is talking to the camera sanding i front of a wall with a lot of wallpapers.</t>
  </si>
  <si>
    <t>woman grab a sandwich and spread butter in it, then put pickles, cheddar cheese, jam and pork, then se put butter on top and toast it, when the sandwich is ready is cutted in the half and its being serve in a plate.</t>
  </si>
  <si>
    <t>v_DBGsPnuwdnU</t>
  </si>
  <si>
    <t>People are riding bumper cars on a brown floor.</t>
  </si>
  <si>
    <t>A boy's red bumper car gets stuck on the column.</t>
  </si>
  <si>
    <t>A lady in a black jilbab waves.</t>
  </si>
  <si>
    <t>The lady bumper car collides with a man's.</t>
  </si>
  <si>
    <t>A guy walks across the brown floor.</t>
  </si>
  <si>
    <t>v_PDEUAMa8aOU</t>
  </si>
  <si>
    <t>A man is seen putting products into a woman's hair followed by blow drying her hair and brushing it down.</t>
  </si>
  <si>
    <t>The person then cuts the woman's hair several inches while moving slower in the end.</t>
  </si>
  <si>
    <t>v_Z-6dR4H2dns</t>
  </si>
  <si>
    <t>a group of models are gathered at a car wash.</t>
  </si>
  <si>
    <t>Cars pull in, and the woman are using soap to soap down the cars.</t>
  </si>
  <si>
    <t>They then rinse and wipe the cars clean.</t>
  </si>
  <si>
    <t>v_e8w3gmiv-mM</t>
  </si>
  <si>
    <t>A little boy is playing on the jungle gym while a man talks to him and records.</t>
  </si>
  <si>
    <t>He goes up the stairs and slides down the slide several times.</t>
  </si>
  <si>
    <t>When he is done he goes over and hugs a lady in a wheelchair.</t>
  </si>
  <si>
    <t>v_2Mj26IwwEiY</t>
  </si>
  <si>
    <t>There's a home improvement specialist demonstrating how to remove wallpaper from walls.</t>
  </si>
  <si>
    <t>He starts of by preparing the space by moving furniture away from the walls and covering the furniture with plastic sheets for protection.</t>
  </si>
  <si>
    <t>He also removes the window treatments from windows.</t>
  </si>
  <si>
    <t>He shows how to take precautionary measures with respect to electrical wiring and switches and circuits.</t>
  </si>
  <si>
    <t>Then he shows how to use fans to ventilate the room.</t>
  </si>
  <si>
    <t>He takes a scour and begins to scour the wall paper.</t>
  </si>
  <si>
    <t>He uses a paint roller to soak the wall paper for easy removal.</t>
  </si>
  <si>
    <t>He then demonstrates how steam can be used too to loosen the wall paper.</t>
  </si>
  <si>
    <t>Then he begins to slowly peel off the paper from the wall.</t>
  </si>
  <si>
    <t>He re-wets the surface and uses a flat tool to remove any stubborn wall paper.</t>
  </si>
  <si>
    <t>He finally uses a sponge and soap water to clean the wall to remove any residual wall paper.</t>
  </si>
  <si>
    <t>He shows how to apply primer to prep the wall for painting.</t>
  </si>
  <si>
    <t>Information on how to use these techniques is provided on the Lowe's company website.</t>
  </si>
  <si>
    <t>v_EFtxSXp1pck</t>
  </si>
  <si>
    <t>chef is sanding in front of a coutner with chopped ingredients in different plates and talking to the camera.</t>
  </si>
  <si>
    <t>man spray oil on the pan and add the mix of the eggs and the vegetables.</t>
  </si>
  <si>
    <t>man is standing in the kitchen talking to the camera giving a recipe.</t>
  </si>
  <si>
    <t>v_OzRxQDkrhTg</t>
  </si>
  <si>
    <t>Two teams are on the field playa game trying to score.</t>
  </si>
  <si>
    <t>One of the players on the blue team falls down on the field.</t>
  </si>
  <si>
    <t>Another blue player gets the ball from out of bounds, puts it on the line and hits back into the game.</t>
  </si>
  <si>
    <t>Te coaches start jumping with joy as well as the players.</t>
  </si>
  <si>
    <t>v_ZdwkA72VMKE</t>
  </si>
  <si>
    <t>Two men are shuffling brooms across a floor with another pulling it on a string.</t>
  </si>
  <si>
    <t>One man follows behind and the two shuffling eventually move the puck into a hole.</t>
  </si>
  <si>
    <t>The three men cheer with each other and give each other big hugs.</t>
  </si>
  <si>
    <t>v_K1_g97xCqKg</t>
  </si>
  <si>
    <t>The video begins with a closeup of a tire in an auto shop.</t>
  </si>
  <si>
    <t>The cameraman uses his hand to show a specific spot on the tire and zooms in closer.</t>
  </si>
  <si>
    <t>The man puts down the camera and begins working on the tire.</t>
  </si>
  <si>
    <t>He grabs the camera again to show different screws.</t>
  </si>
  <si>
    <t>The video ends showing both sides of the tire.</t>
  </si>
  <si>
    <t>v_fT7dpRY0DTo</t>
  </si>
  <si>
    <t>The camera pans over the walls of a shower stall.</t>
  </si>
  <si>
    <t>A man plasters and installs tiles on the wall.</t>
  </si>
  <si>
    <t>The man applies grout to the gaps between the tiles.</t>
  </si>
  <si>
    <t>The man measures and cuts a tile for installation in the shower.</t>
  </si>
  <si>
    <t>The man installs the soap dish.</t>
  </si>
  <si>
    <t>Scrolling text is shown on a blue screen.</t>
  </si>
  <si>
    <t>v_TvNNx-ZFfDA</t>
  </si>
  <si>
    <t>There is a facility open just for beer pong games so people can come play.</t>
  </si>
  <si>
    <t>Everyone loves it and is excited to be there around other people that like to play.</t>
  </si>
  <si>
    <t>A lot of different groups are playing and talking about it as well as even playing rock paper scissors to see who gets to go first.</t>
  </si>
  <si>
    <t>Whoever is the winner gets a check at the end of the game.</t>
  </si>
  <si>
    <t>v_zrwpgILg7VI</t>
  </si>
  <si>
    <t>A large group of people are in a mall and are watching people set up an area with a large black floor and a large black wall.</t>
  </si>
  <si>
    <t>Suddenly there are lit up people wearing light suits that are dancing on the black area and they change from 1-7 people, and alternate suit colors from white, then to red and then back to white again.</t>
  </si>
  <si>
    <t>Their light suits go out and the dance is over.</t>
  </si>
  <si>
    <t>v_1oaJBEdY6ao</t>
  </si>
  <si>
    <t>A man driving a moving tractor steps around and looks towards the front.</t>
  </si>
  <si>
    <t>He begins moving again on the machine cutting the grass and steering the instrument.</t>
  </si>
  <si>
    <t>A man on a bike looks onward and laughs and the man eventually steps off.</t>
  </si>
  <si>
    <t>v_nLddpveoSHE</t>
  </si>
  <si>
    <t>A tattooo artist is shown, interspersed with the artists speaking to the camera, giving tattoos.</t>
  </si>
  <si>
    <t>They show various images of their finished work coupled with actiively injecting ink and making designs.</t>
  </si>
  <si>
    <t>v_g3InHLh678M</t>
  </si>
  <si>
    <t>A boy is walking across the stage with helmet and sword.</t>
  </si>
  <si>
    <t>The boy meets another boy where baby faces are shown on their faces.</t>
  </si>
  <si>
    <t>A man showing I'm bald words is above his head.</t>
  </si>
  <si>
    <t>The boys separate as question marks appear over their heads.</t>
  </si>
  <si>
    <t>A description of the video is shown.</t>
  </si>
  <si>
    <t>The boy s continue to spar across the stage.</t>
  </si>
  <si>
    <t>Pretend quotes are shown over their head and they continue to spar.</t>
  </si>
  <si>
    <t>The boy on the left turns into flames and they set back up and continue to spar.</t>
  </si>
  <si>
    <t>The stage lights up green and they separate and come back to spar.</t>
  </si>
  <si>
    <t>The stage lights up blue as silly quotes appear over the boy on the rights head.</t>
  </si>
  <si>
    <t>v__B3Q8bTJWG4</t>
  </si>
  <si>
    <t>A man rides a horse into an arena.</t>
  </si>
  <si>
    <t>He jumps off the horse and ties a calf.</t>
  </si>
  <si>
    <t>He stands up and gets back on his horse.</t>
  </si>
  <si>
    <t>Two people come and lay the calf down on the arena.</t>
  </si>
  <si>
    <t>v_WV_MFi9EZeQ</t>
  </si>
  <si>
    <t>A man is seen speaking to the camera while holding a scraper.</t>
  </si>
  <si>
    <t>He pushes the scraper along the car while speaking to the camera.</t>
  </si>
  <si>
    <t>In the end he slides down into the snow.</t>
  </si>
  <si>
    <t>v_8Ztw2YrUHRE</t>
  </si>
  <si>
    <t>A group of individuals are performing at a Holiday Baton Recital.</t>
  </si>
  <si>
    <t>The girls continue dancing,moving up and down and twirling the baton.</t>
  </si>
  <si>
    <t>The lights begin to flicker and the girls form a straight line in the back of the stage.</t>
  </si>
  <si>
    <t>During the recital,the girls do the same routine but instead of a horizontal line form a vertical one.</t>
  </si>
  <si>
    <t>Once they are done,they move towards the back of the stage and dance off behind the curtains.</t>
  </si>
  <si>
    <t>v_pwPid8YHHpU</t>
  </si>
  <si>
    <t>A man puts on a matador outfit in a room.</t>
  </si>
  <si>
    <t>A matador fights with a bowl using a red cape in a stadium.</t>
  </si>
  <si>
    <t>Boys practice using the red cape together in the arena.</t>
  </si>
  <si>
    <t>People get autographs from the matador and are seen on the street interviewing about the event.</t>
  </si>
  <si>
    <t>The bull runs and charges aft the matador from a distance.</t>
  </si>
  <si>
    <t>The matador cheers to the crowd with his back facing the bull.</t>
  </si>
  <si>
    <t>v_fxyqt18d-jo</t>
  </si>
  <si>
    <t>A man, in black t-shirt, stands alone in a kitchen, talks to a camera in an animated way and prepares a peanut butter and jelly sandwich.</t>
  </si>
  <si>
    <t>The man holds up a jar of peanut butter and a bottle of jelly after pulling out two pieces of bread while standing in front of a kitchen countertop.</t>
  </si>
  <si>
    <t>The man puts jelly and peanut butter on the bread.</t>
  </si>
  <si>
    <t>The man bites into the sandwich, begins talking again, slams the sandwich down on a plate and walks off.</t>
  </si>
  <si>
    <t>v_RZ8r5B69CLY</t>
  </si>
  <si>
    <t>People are shown on a volleyball court as they warm up.</t>
  </si>
  <si>
    <t>The girls volley the ball back and forth over the net.</t>
  </si>
  <si>
    <t>They try to keep the ball from their opponents as the game truly begins.</t>
  </si>
  <si>
    <t>v_h91i2x9Gouk</t>
  </si>
  <si>
    <t>A woman is seen speaking to the camera holding up various mops and presenting them to the camera.</t>
  </si>
  <si>
    <t>She then dips the mops into a bucket and washes them along the floor.</t>
  </si>
  <si>
    <t>She continues speaking while holding up the mops as well as taking them apart and showing how they work.</t>
  </si>
  <si>
    <t>v_V9xuy-rVj9w</t>
  </si>
  <si>
    <t>A group of men and boys are on a snow capped hill.</t>
  </si>
  <si>
    <t>They lob snowballs and ride the cars, then they ski down the hill.</t>
  </si>
  <si>
    <t>They are shown skiing and performing many tricks, spinning and flipping as they go.</t>
  </si>
  <si>
    <t>v_Z9o_h64qVeo</t>
  </si>
  <si>
    <t>We see a boy playing an accordion.</t>
  </si>
  <si>
    <t>The boy slides his hand across the keys.</t>
  </si>
  <si>
    <t>A piece of paper enters the scene on the lower right.</t>
  </si>
  <si>
    <t>The boy finishes and the screen goes black.</t>
  </si>
  <si>
    <t>v_Y_slRMRs18I</t>
  </si>
  <si>
    <t>The hand drills a hole with an electric tool.</t>
  </si>
  <si>
    <t>The hand screws two nail into holes with an electric tool.</t>
  </si>
  <si>
    <t>The person leaves with the electric tool.</t>
  </si>
  <si>
    <t>v_U0jlI70N_DQ</t>
  </si>
  <si>
    <t>Several kids are in a pool playing a game of water polo.</t>
  </si>
  <si>
    <t>One of the girls gets the ball and makes a shot into the net as the crowd cheers.</t>
  </si>
  <si>
    <t>The game resets and the teams begin to play again.</t>
  </si>
  <si>
    <t>v_yqBRp0txs-c</t>
  </si>
  <si>
    <t>Two men are shown speaking at a party playing pong with two other men.</t>
  </si>
  <si>
    <t>The men keep getting the balls into the cups back and fourth and one jumps on the back of the other.</t>
  </si>
  <si>
    <t>v_crz2vi_dguk</t>
  </si>
  <si>
    <t>A sink is covered in filth.</t>
  </si>
  <si>
    <t>A bottle is held up to the camera.</t>
  </si>
  <si>
    <t>The water runs over a sponge.</t>
  </si>
  <si>
    <t>The solution is poured on the sponge and the sink is cleaned.</t>
  </si>
  <si>
    <t>v_LLLuBjEVHI8</t>
  </si>
  <si>
    <t>A teenage boy wearing a white shirt and black track pants is shooting hoops in an outdoor basketball court.</t>
  </si>
  <si>
    <t>There are a few cones arranged around the court.</t>
  </si>
  <si>
    <t>The boy continues running, dribbling and shooting hoops with the basketball.</t>
  </si>
  <si>
    <t>He hits a shot and makes a basket and then stops playing.</t>
  </si>
  <si>
    <t>v_f9eW4rFQG-A</t>
  </si>
  <si>
    <t>A map is shown and then two large fish are shown in the water as a bird floats across the water.</t>
  </si>
  <si>
    <t>Two men are on a boat and they are sailing across the water over fish.</t>
  </si>
  <si>
    <t>An underwater view is then shown and you can see the bottom of the ducks body.</t>
  </si>
  <si>
    <t>Several men and boats are then shown and one mail catches a fish.</t>
  </si>
  <si>
    <t>After, a man dressed in all black is underwater and a water helicopter is shown then the man goes back under water holding the camera and playing with large fish.</t>
  </si>
  <si>
    <t>More are shown and males continue to jump off the boat, and show their findings underwater and dumping water on themselves and another map is shown.</t>
  </si>
  <si>
    <t>v_lvd2InghJOo</t>
  </si>
  <si>
    <t>Two people are playing racquetball .</t>
  </si>
  <si>
    <t>The ball comes around behind the players.</t>
  </si>
  <si>
    <t>They resume playing and jumping.</t>
  </si>
  <si>
    <t>The ball again gets by the players.</t>
  </si>
  <si>
    <t>The man in yellow restarts a new match.</t>
  </si>
  <si>
    <t>The man in blue walks to the window and messes with a sticker.</t>
  </si>
  <si>
    <t>The man in yellow tries to restart a new match.</t>
  </si>
  <si>
    <t>The man in blue hits the ball in the corner and it rolls back.</t>
  </si>
  <si>
    <t>They start another round of racquetball.</t>
  </si>
  <si>
    <t>v_rLCRgksVNE8</t>
  </si>
  <si>
    <t>A girl is getting her nose pierced.</t>
  </si>
  <si>
    <t>The nose is cleaned before the piercing.</t>
  </si>
  <si>
    <t>She talks to the camera.</t>
  </si>
  <si>
    <t>The man pierces her nose.</t>
  </si>
  <si>
    <t>v_Ha5KU-pp4gk</t>
  </si>
  <si>
    <t>A scenery of a residence is shown.</t>
  </si>
  <si>
    <t>A man appears from behind a hedge and he's holding a lime green hedge cutter and he begins to go around his hedges and starts cutting away at them first at the top, then he concentrates on the sides and towards the bottom.</t>
  </si>
  <si>
    <t>The man then moves his hedge cutter and concentrates on the top of the hedges.</t>
  </si>
  <si>
    <t>v_i7rJN34TruM</t>
  </si>
  <si>
    <t>Four people are seen hitting a ball around a gymnasium back and fourth off the wall with a tennis racket.</t>
  </si>
  <si>
    <t>The men continue playing with one another and end by shaking hands with each other.</t>
  </si>
  <si>
    <t>v_ODW0I_ITug0</t>
  </si>
  <si>
    <t>A man is seen standing in front of the camera holding onto a set of bagpipes.</t>
  </si>
  <si>
    <t>The man continues to play while taking breaks here and there and showing text in the end.</t>
  </si>
  <si>
    <t>v_L2jO-evVIRE</t>
  </si>
  <si>
    <t>A woman is seen raking leaves around a lawn while three dogs stand near her and hold toys.</t>
  </si>
  <si>
    <t>The woman continues raking as the dog roam around her with toys and she gradually picks them up and throws them for the dogs.</t>
  </si>
  <si>
    <t>v_MQ7k1wig4jk</t>
  </si>
  <si>
    <t>There are several men playing Foos ball in an indoor room that has wooden panels.</t>
  </si>
  <si>
    <t>They are all engrossed in the game as they hit the ball back and forth.</t>
  </si>
  <si>
    <t>v_b_iUgvzb1-0</t>
  </si>
  <si>
    <t>A woman bends forward extending her left left arm on front and raising her leg up while having the right hand over her shoulder.</t>
  </si>
  <si>
    <t>Then, the woman turns to the left and throw a ball and spin her body.</t>
  </si>
  <si>
    <t>v_4kNx9rVwmAg</t>
  </si>
  <si>
    <t>A woman leads a class of boys and girl in exercise.</t>
  </si>
  <si>
    <t>They use steppers to jump up and down, and side to side.</t>
  </si>
  <si>
    <t>Then they run in place, hopping on and off the steppers.</t>
  </si>
  <si>
    <t>They slow down, cooling off before clapping.</t>
  </si>
  <si>
    <t>v_5ObgpPDmVPA</t>
  </si>
  <si>
    <t>woman is in sea scubadiving and a man is behind her.</t>
  </si>
  <si>
    <t>they are watching the fishes and trunks.</t>
  </si>
  <si>
    <t>men are scuba diving under the sea.</t>
  </si>
  <si>
    <t>v_CikGafc6H_8</t>
  </si>
  <si>
    <t>A group of boys are lined up, playing the drums.</t>
  </si>
  <si>
    <t>A couple of teams are inside the pool.</t>
  </si>
  <si>
    <t>v_asM7fbK_F-U</t>
  </si>
  <si>
    <t>A woman is seen speaking to someone off camera and leads into herself playing the drums.</t>
  </si>
  <si>
    <t>Another man steps into frame and begins playing the drums with a woman.</t>
  </si>
  <si>
    <t>A small child appears in front a bit grabbing onto the woman while she and the man still play drums.</t>
  </si>
  <si>
    <t>v_wOZdXVdiB04</t>
  </si>
  <si>
    <t>A large group of people are seen playing dodgeball against one another and throwing the ball back and fourth.</t>
  </si>
  <si>
    <t>Many people watch the game on the sidelines as people continue to play while some fall and walk in and out of frame.</t>
  </si>
  <si>
    <t>v_9LhMNDcFW_k</t>
  </si>
  <si>
    <t>An Asian woman is standing while holding a card that has gold BYN letters on the back of it.</t>
  </si>
  <si>
    <t>A clip begins to play and it shows various men in a large field playing croquet while spectators look on.</t>
  </si>
  <si>
    <t>A young man is then presented with a large silver cup that is handed to him by an older man.</t>
  </si>
  <si>
    <t>v_goH-zdx5urM</t>
  </si>
  <si>
    <t>A woman lies on her back doing abs.</t>
  </si>
  <si>
    <t>The woman raises her kneed to the chest and pull the head with her hands.</t>
  </si>
  <si>
    <t>Then, the woman stops and a dog approach to her.</t>
  </si>
  <si>
    <t>v_gyCXP8w8GRA</t>
  </si>
  <si>
    <t>A young team of boys are in a gym at a karate match.</t>
  </si>
  <si>
    <t>A woman walks her son out to the mat and begins fixing his mat and preparing him to face his opponent.</t>
  </si>
  <si>
    <t>The two individuals walk up to the mat and the referee gives them the signal to begin.</t>
  </si>
  <si>
    <t>As the boy is being approached,he kicks his opponent in the head.</t>
  </si>
  <si>
    <t>The boy that is kicked falls out on the ground and his mother rushes out to make sure he is okay as the other boy takes a knee.</t>
  </si>
  <si>
    <t>Once the boy is okay,the referee begins making several hand gestures and they conclude the match,the young boy goes to his mother and makes his way to who ever is holding the camera.</t>
  </si>
  <si>
    <t>v_BiIIco4EC2U</t>
  </si>
  <si>
    <t>A blindfolded man is seen sitting at a table with a timer coming on next to him attempting to solve a rubix cube.</t>
  </si>
  <si>
    <t>The man finishes the cube and timer stops while a person standing next to him records his time.</t>
  </si>
  <si>
    <t>Another man is seen walking around in the background while the camera pans around to more people solving cubes.</t>
  </si>
  <si>
    <t>v_9hYyE1gofFQ</t>
  </si>
  <si>
    <t>A girl is shown on the gymnastics floor preparing to do a baton routine.</t>
  </si>
  <si>
    <t>The routine begins as she starts to dance around the floor and twirl her batons.</t>
  </si>
  <si>
    <t>The routine ends an she runs off the stage as the crowd cheers.</t>
  </si>
  <si>
    <t>v_IucYlH_gAic</t>
  </si>
  <si>
    <t>A person is seen moving themselves along the water while also being shown in slow motion.</t>
  </si>
  <si>
    <t>The person pushes themselves under the water and continues moving underneath.</t>
  </si>
  <si>
    <t>The camera captures the man from several angles.</t>
  </si>
  <si>
    <t>v_b7_ok8iTlT8</t>
  </si>
  <si>
    <t>There are distant view shots of areas around Los Angeles, Hollywood, and surrounding areas.</t>
  </si>
  <si>
    <t>A man then talks behind a table full of ingredients and cooking utensils.</t>
  </si>
  <si>
    <t>The man then shows off some of his vegetables and ingredients and smells them.</t>
  </si>
  <si>
    <t>He starts cooking by squeezing a lemon into a bowl of soaked vegetables.</t>
  </si>
  <si>
    <t>Then, he puts onions, lemon juice, pepper, oil, which he smells, and some other vegetables on a plate.</t>
  </si>
  <si>
    <t>He then shreds cheese onto a place with a shredder.</t>
  </si>
  <si>
    <t>He puts the shredded cheese onto the original plate.</t>
  </si>
  <si>
    <t>After, he picks some herbs and places them on a plate.</t>
  </si>
  <si>
    <t>He then adds salt and more pepper to the original plate.</t>
  </si>
  <si>
    <t>He then talks about a bottle of oil and adds some to the original plate.</t>
  </si>
  <si>
    <t>He also adds a different type of oil to the plate.</t>
  </si>
  <si>
    <t>There are then different clips and angles of the finished food plate.</t>
  </si>
  <si>
    <t>v_bJ1vEQKX-hE</t>
  </si>
  <si>
    <t>A man completes a large set of push-ups and then introduces the concepts of dodgeball.</t>
  </si>
  <si>
    <t>A graphic is shown of the court.</t>
  </si>
  <si>
    <t>The two teams line up to play against one another.</t>
  </si>
  <si>
    <t>The concepts of ruling people out and blocking the ball are introduced.</t>
  </si>
  <si>
    <t>The teams congratulate each other, showing sportsmanship.</t>
  </si>
  <si>
    <t>More rules are shown on the screen, highlighting player safety.</t>
  </si>
  <si>
    <t>v_pxfc6AIPrig</t>
  </si>
  <si>
    <t>A person is seen in several different shots performing tricks along the water while others ride around him.</t>
  </si>
  <si>
    <t>The man continues to perform tricks along the water and ends with the video fading to black.</t>
  </si>
  <si>
    <t>v_twQbAuWVxlU</t>
  </si>
  <si>
    <t>A green figures walks down the street.</t>
  </si>
  <si>
    <t>An endless stream of other green figures appear.</t>
  </si>
  <si>
    <t>Each of the figures is walking a dog.</t>
  </si>
  <si>
    <t>The clip seems to be a loop.</t>
  </si>
  <si>
    <t>v_icGrJ2XBxa0</t>
  </si>
  <si>
    <t>People are sitting in kayaks on a river.</t>
  </si>
  <si>
    <t>They are rowing their oars.</t>
  </si>
  <si>
    <t>People are standing on the beach with medals around their necks.</t>
  </si>
  <si>
    <t>v_Nq6cd5Xue9Q</t>
  </si>
  <si>
    <t>We see a man running on a track.</t>
  </si>
  <si>
    <t>The man uses a long stick to perform a long jump.</t>
  </si>
  <si>
    <t>We then see the man attempt and fail the long jump repeatedly.</t>
  </si>
  <si>
    <t>We see the man's shirt get stuck on the pole.</t>
  </si>
  <si>
    <t>v_NfTfLk1D-tI</t>
  </si>
  <si>
    <t>A close up of drums are seen followed by a person walking into frame.</t>
  </si>
  <si>
    <t>The person sits down in front of the drums and begins playing them continuously.</t>
  </si>
  <si>
    <t>The man continues playing the drums faster and faster while the camera captures his movements.</t>
  </si>
  <si>
    <t>v_NjFxN3xQqeY</t>
  </si>
  <si>
    <t>A man is seen pushing a lawn mower along a yard and moving the machine all around the yard.</t>
  </si>
  <si>
    <t>Another man is seen grabbing a machine out of a truck as the other man continues to mow the lawn.</t>
  </si>
  <si>
    <t>v_8VYre-lXqIo</t>
  </si>
  <si>
    <t>A pregnant woman is slowly moving in a room.</t>
  </si>
  <si>
    <t>She moves side to side as she goes.</t>
  </si>
  <si>
    <t>She lifts her feet and arms, doing several martial arts moves.</t>
  </si>
  <si>
    <t>v_jQ2UoAENwlw</t>
  </si>
  <si>
    <t>A man is seen sitting on a chair look nervously at the camera while another man sits behind him.</t>
  </si>
  <si>
    <t>The man then begins tattooins the man's chest and the man looks up into the camera every now and then.</t>
  </si>
  <si>
    <t>v_W74AfHdwWhM</t>
  </si>
  <si>
    <t>There is a woman shown throwing knives into wood and taking them out.</t>
  </si>
  <si>
    <t>In the end the other people who are there all sit down and eat popsicles.</t>
  </si>
  <si>
    <t>v_uAKyRSEaY1s</t>
  </si>
  <si>
    <t>A man wearing a grey t-shirt stands at a desk with a computer monitor displaying a timer.</t>
  </si>
  <si>
    <t>The man holds a Rubik's Cube and starts the timer as he starts to solve the Rubik's Cube.</t>
  </si>
  <si>
    <t>As the man completes the Rubik's Cube he drops the puzzle and stops the timer at 26 seconds.</t>
  </si>
  <si>
    <t>v_gOe72cTd0IA</t>
  </si>
  <si>
    <t>We see a black opening title screen.</t>
  </si>
  <si>
    <t>We see a boat floating in the ocean and people sitting on the boat.</t>
  </si>
  <si>
    <t>Three people are underwater in diving gear looking at the sealife.</t>
  </si>
  <si>
    <t>We see a man and a woman swimming together and the lady waves at the camera.</t>
  </si>
  <si>
    <t>The lady makes an explosion sign with her hands and waves.</t>
  </si>
  <si>
    <t>The lady takes her mouth piece out and shrugs her shoulders.</t>
  </si>
  <si>
    <t>We see the people back on the boat and the man and the girl hug each other.</t>
  </si>
  <si>
    <t>We see a balloon high in the sky.</t>
  </si>
  <si>
    <t>v_H3pQJc8d8H8</t>
  </si>
  <si>
    <t>Three men in white are doing karate moves in a room.</t>
  </si>
  <si>
    <t>They do a few kicks in the air.</t>
  </si>
  <si>
    <t>Two of the men start fighting each other.</t>
  </si>
  <si>
    <t>v_leJM3mgm_gU</t>
  </si>
  <si>
    <t>A large, blue ball is tossed in the air.</t>
  </si>
  <si>
    <t>A child runs to catch a blue, large ball.</t>
  </si>
  <si>
    <t>The child falls on the lawn.</t>
  </si>
  <si>
    <t>v_UsexiHSzIQI</t>
  </si>
  <si>
    <t>A woman comes onto the screen to introduce a video about working out.</t>
  </si>
  <si>
    <t>The same woman is shown as she teaches a spin class with several participants.</t>
  </si>
  <si>
    <t>She takes a break from the bike and does tome abdominal exercises on the floor.</t>
  </si>
  <si>
    <t>The video ends with the closing credit shown at the end.</t>
  </si>
  <si>
    <t>v_0w2XFd-Q9Eg</t>
  </si>
  <si>
    <t>A person sits on front a laptop and a cube puzzle.</t>
  </si>
  <si>
    <t>Then, the person solves a cube puzzle.</t>
  </si>
  <si>
    <t>After, the person solves the cube puzzle puts it on the laptop.</t>
  </si>
  <si>
    <t>v_MHAS5TK2eW0</t>
  </si>
  <si>
    <t>A group of people are exercizing in an aerobics class.</t>
  </si>
  <si>
    <t>They are using a stepper, dancing and jumping on and off the equipment.</t>
  </si>
  <si>
    <t>v_AWryNQMbcd8</t>
  </si>
  <si>
    <t>Two small children are seen outside by a swingset.</t>
  </si>
  <si>
    <t>One swings back and fourth while the other stands on the side.</t>
  </si>
  <si>
    <t>One man kicks the other boy and he bends over.</t>
  </si>
  <si>
    <t>v_ZW46Rcuhqac</t>
  </si>
  <si>
    <t>Beer and other alcohol is shown on a counter in a kitchen.</t>
  </si>
  <si>
    <t>A man takes a pitcher of beer and begins talking to the camera.</t>
  </si>
  <si>
    <t>The man proceeds to drink the entire pitcher of beer.</t>
  </si>
  <si>
    <t>v_oNc2lJ9hV9E</t>
  </si>
  <si>
    <t>A lady speaks in a kitchen with a medal on the screen and we see shots of cake and cooking.</t>
  </si>
  <si>
    <t>We see the lady make a cake and give instructions.</t>
  </si>
  <si>
    <t>The lady takes and prepares her cake pans.</t>
  </si>
  <si>
    <t>The lady mixes her dry ingredients then mixes them in the mixer with red food coloring and pours them into cake pans cooks and cools them on racks.</t>
  </si>
  <si>
    <t>The lady makes frosting in the mixer and puts frosting in between the layers of cake and on top.</t>
  </si>
  <si>
    <t>The lady cuts the cake and we see the ending title screen.</t>
  </si>
  <si>
    <t>v_fghAmraOM9A</t>
  </si>
  <si>
    <t>A woman wearing a protective helmet speaks to the camera while standing outdoors next to a palm tree.</t>
  </si>
  <si>
    <t>The woman is standing on a sidewalk wearing rollerblades and protective gear.</t>
  </si>
  <si>
    <t>The woman speaks to the camera and demonstrates different techniques of skating down the sidewalk.</t>
  </si>
  <si>
    <t>v_g5rkuDdjRVI</t>
  </si>
  <si>
    <t>We see two boys on a train talking.</t>
  </si>
  <si>
    <t>It gets dark in a tunnel.</t>
  </si>
  <si>
    <t>Someone throws something at a boy.</t>
  </si>
  <si>
    <t>We see the boys riding skateboards down a residential street.</t>
  </si>
  <si>
    <t>A man rides downhill backwards.</t>
  </si>
  <si>
    <t>We see a boy fall off his skateboard.</t>
  </si>
  <si>
    <t>We see a number three on a wall.</t>
  </si>
  <si>
    <t>We see a person jump off their skateboard.</t>
  </si>
  <si>
    <t>v_7iTrw4kr8e0</t>
  </si>
  <si>
    <t>An intro leads into a woman looking into the mirror and putting makeup on.</t>
  </si>
  <si>
    <t>She puts glasses and looks down at the mirror.</t>
  </si>
  <si>
    <t>She turns herself away and ends with a logo shown.</t>
  </si>
  <si>
    <t>v_5SyvdU5LWPk</t>
  </si>
  <si>
    <t>A group of lacrosse players are shown on a field.</t>
  </si>
  <si>
    <t>They run around, trying to get the ball away from each other.</t>
  </si>
  <si>
    <t>They are shown playing in slow motion.</t>
  </si>
  <si>
    <t>v_9qJbSz-eCq0</t>
  </si>
  <si>
    <t>A man wearing a plastic head covering is shown eating ice cream.</t>
  </si>
  <si>
    <t>We see the inside of a plant, where cookies are crushed and put into containers of vanilla ice cream, then sorted.</t>
  </si>
  <si>
    <t>Ice cream fills the pints, and is mixed in a giant vault before other ingredients are added and the pints filled.</t>
  </si>
  <si>
    <t>We then see popsicles being created, before a man and woman are shown eating the treats.</t>
  </si>
  <si>
    <t>v_goLVOzKw4U8</t>
  </si>
  <si>
    <t>A man wearing gloves holds a pair of pliers and putting an object in between.</t>
  </si>
  <si>
    <t>He sparks the object to create a flame and puts his mask on to protect himself.</t>
  </si>
  <si>
    <t>He continues flaming the object and shows off what he has burned.</t>
  </si>
  <si>
    <t>v__pYDg0B6_tw</t>
  </si>
  <si>
    <t>A boy jumps on a diving board high.</t>
  </si>
  <si>
    <t>Then, the boy jumps and flips three time, but falls on his back making a big splash.</t>
  </si>
  <si>
    <t>v_MD6p1s-N9rM</t>
  </si>
  <si>
    <t>A young man irons a shirt on an ironing board in a hallway.</t>
  </si>
  <si>
    <t>The man adjusts the camera and returns to ironing.</t>
  </si>
  <si>
    <t>The man finishes ironing and turns the camera away.</t>
  </si>
  <si>
    <t>v_cWrOETjOOTc</t>
  </si>
  <si>
    <t>A man in a red shirt is kneeling down.</t>
  </si>
  <si>
    <t>Another man in a black shirt is standing up in front of him.</t>
  </si>
  <si>
    <t>They are fixing something on a bike.</t>
  </si>
  <si>
    <t>v_CpxGRgJgRPA</t>
  </si>
  <si>
    <t>A woman explains how to wrap a box with gift paper.</t>
  </si>
  <si>
    <t>Then, the woman cuts the paper and wraps around the box using tape.</t>
  </si>
  <si>
    <t>After, the woman folds the sides of the paper and cutting a piece to fit the box, then put tape to joint the ends while explaining.</t>
  </si>
  <si>
    <t>v_U-VzZQGWOqA</t>
  </si>
  <si>
    <t>A young girl is seen licking an ice cream cone while the camera watching her eat.</t>
  </si>
  <si>
    <t>She continues eating the ice cream cone and looking off into the distance.</t>
  </si>
  <si>
    <t>v_Ck0IhZZI5CA</t>
  </si>
  <si>
    <t>A man in jeans and tshirt rolls a paint roller in the tray.</t>
  </si>
  <si>
    <t>The man applies more paint to the fence with a roller and getting more paint until he lifts the roller and is pleased.</t>
  </si>
  <si>
    <t>The man gets more paint on his brush from the tray.</t>
  </si>
  <si>
    <t>The man finishes painting the section of fence and then sets down his roller.</t>
  </si>
  <si>
    <t>v_B2_qciB7U1Q</t>
  </si>
  <si>
    <t>Several people are longboarding and biking down a hill.</t>
  </si>
  <si>
    <t>A person has a white glove and is holding onto the person in front of them.</t>
  </si>
  <si>
    <t>Words go on the screen at the end.</t>
  </si>
  <si>
    <t>v_Ga-6wy0Nboo</t>
  </si>
  <si>
    <t>man is snowboarding going down a hill sliding in zigzags passing small flags.</t>
  </si>
  <si>
    <t>man is talking to the camera in a dark room.</t>
  </si>
  <si>
    <t>man is snowboarding on the snowy slope and a video is showing the right position of the body when going side to side.</t>
  </si>
  <si>
    <t>v_peaOnHl5YS8</t>
  </si>
  <si>
    <t>A man and daughter are seen sliding into frame wearing only socks and a long shirt.</t>
  </si>
  <si>
    <t>The two are seen holding mops and begin singing with one another.</t>
  </si>
  <si>
    <t>The two continue to dance around and sing with each other.</t>
  </si>
  <si>
    <t>v_kvqX0QOgYDc</t>
  </si>
  <si>
    <t>Scuba diver swim and glide underwater in the ocean near a rock face.</t>
  </si>
  <si>
    <t>The scuba divers make hand gestures and joke.</t>
  </si>
  <si>
    <t>The men swim up close into view.</t>
  </si>
  <si>
    <t>v_SnFWB9NLFjY</t>
  </si>
  <si>
    <t>A close up of skis are shown followed by a person pushing themselves along using sticks and skiing down the mountain.</t>
  </si>
  <si>
    <t>The person continuously riding down on the mountain using the skis and zooming past people and stopping at the bottom.</t>
  </si>
  <si>
    <t>v_5pzCqex6S48</t>
  </si>
  <si>
    <t>A man is seen standing ready and putting his arms up by his sides.</t>
  </si>
  <si>
    <t>The man then jumps onto a set of uneven bars and begins performing a gymnastics routine.</t>
  </si>
  <si>
    <t>The man spins himself all around and ends by jumping off the side with his arms up.</t>
  </si>
  <si>
    <t>v_LB2P_KH0W2I</t>
  </si>
  <si>
    <t>Two women are washing dishes in the kitchen.</t>
  </si>
  <si>
    <t>They go back and forth over the kitchen.</t>
  </si>
  <si>
    <t>The scene is in very fast motion.</t>
  </si>
  <si>
    <t>v_Zf3RcqHO82M</t>
  </si>
  <si>
    <t>A man and woman are sitting on a stage together.</t>
  </si>
  <si>
    <t>They are talking about the tango dance.</t>
  </si>
  <si>
    <t>They spin and twirl before an audience.</t>
  </si>
  <si>
    <t>v_XPwpA67qHjA</t>
  </si>
  <si>
    <t>A news story is given about walking a slackline.</t>
  </si>
  <si>
    <t>People of all levels walk, lie, and meditate on the rope.</t>
  </si>
  <si>
    <t>Some people walk over oncoming canoers.</t>
  </si>
  <si>
    <t>v_rdszlTqxBXs</t>
  </si>
  <si>
    <t>A woman put lipstick on her lips on front a mirror.</t>
  </si>
  <si>
    <t>Then She laugh with other teens next to her.</t>
  </si>
  <si>
    <t>v_QU5R75IyQow</t>
  </si>
  <si>
    <t>A man is talking to a camera in his bathroom.</t>
  </si>
  <si>
    <t>He is then shown brushing, spraying, and styling a woman's hair before braiding it.</t>
  </si>
  <si>
    <t>she poses for the camera when he is finished.</t>
  </si>
  <si>
    <t>v_Mkljhl3D9-Q</t>
  </si>
  <si>
    <t>The man instructs four women on cooking.</t>
  </si>
  <si>
    <t>The man adds oil, onions, garlic, and peppers to a pot.</t>
  </si>
  <si>
    <t>The man adds clams to the pot.</t>
  </si>
  <si>
    <t>The man adds broth to the pot.</t>
  </si>
  <si>
    <t>The man boils pasta in a separate pot.</t>
  </si>
  <si>
    <t>The women gather around a pot to see the pasta.</t>
  </si>
  <si>
    <t>The man finishes the sauce and pours it in a pot.</t>
  </si>
  <si>
    <t>The man adds the pasta.</t>
  </si>
  <si>
    <t>The man adds the pasta to the plate.</t>
  </si>
  <si>
    <t>The women try the pasta dish.</t>
  </si>
  <si>
    <t>Everyone laughs and seems happy.</t>
  </si>
  <si>
    <t>The man starts calling out tickets.</t>
  </si>
  <si>
    <t>The women cook the dish that the man had just taught them to make.</t>
  </si>
  <si>
    <t>The man helps them and gives them pointers.</t>
  </si>
  <si>
    <t>The women look anxious as they try to cook.</t>
  </si>
  <si>
    <t>The waiters start serving the plates.</t>
  </si>
  <si>
    <t>v_aYC7F72n924</t>
  </si>
  <si>
    <t>A construction worker is standing in a building, holding a mop and bucket.</t>
  </si>
  <si>
    <t>He shows off the bucket and solution, then mops the floor in a demonstration.</t>
  </si>
  <si>
    <t>He gets the floor completely clean and shiny before standing to one side.</t>
  </si>
  <si>
    <t>v_wM7FmqEj4PY</t>
  </si>
  <si>
    <t>woman is standing in a living room holding an iron.</t>
  </si>
  <si>
    <t>woman wearing a pink shirt is ironing a blue shirt.</t>
  </si>
  <si>
    <t>quiet living room is with old furnitures.</t>
  </si>
  <si>
    <t>v_f0cxC1B5cbw</t>
  </si>
  <si>
    <t>A woman is raking leaves into a large pile.</t>
  </si>
  <si>
    <t>A man is running a lawn mower over leaves.</t>
  </si>
  <si>
    <t>He puts some of the leaves into a garden bed.</t>
  </si>
  <si>
    <t>v_TSIz-6s4OeY</t>
  </si>
  <si>
    <t>A woman is seen speaking to the camera and leads into her ironing a pair of pants.</t>
  </si>
  <si>
    <t>The woman continues ironing the pants while moving the iron up and down.</t>
  </si>
  <si>
    <t>v_daDd48y4x0g</t>
  </si>
  <si>
    <t>We see lots of plate of fancy food.</t>
  </si>
  <si>
    <t>We then zoom in on the plates.</t>
  </si>
  <si>
    <t>We see a shadow on the plates.</t>
  </si>
  <si>
    <t>A man on the right picks up a few plates.</t>
  </si>
  <si>
    <t>v_t6trrsdhMEc</t>
  </si>
  <si>
    <t>A woman wearing workout gear is standing upright and hanging onto a very long punching bag.</t>
  </si>
  <si>
    <t>Suddenly the woman jumps up and straddles the bag.</t>
  </si>
  <si>
    <t>Slowly, the woman drops her upper half of her body while still straddling the bag, and does 5 sit ups while the bag swings with her.</t>
  </si>
  <si>
    <t>The woman holds onto the bag, smiles, then jumps off.</t>
  </si>
  <si>
    <t>v_4UIAc9irBLs</t>
  </si>
  <si>
    <t>A woman and a young girl swim in a pool.</t>
  </si>
  <si>
    <t>The young girl holds on to the woman as she swims.</t>
  </si>
  <si>
    <t>The young girl lets go and swims near the woman.</t>
  </si>
  <si>
    <t>The young girl and the woman hold hands and swim to the surface of the pool.</t>
  </si>
  <si>
    <t>The woman holds on to the girl.</t>
  </si>
  <si>
    <t>v_dRiIYsAmNAc</t>
  </si>
  <si>
    <t>A large group of people are seen running around a sandy pit kicking a soccer ball around.</t>
  </si>
  <si>
    <t>The people continue playing soccer with one another and wait for a call in the end.</t>
  </si>
  <si>
    <t>v_ZIHD-3iWCrE</t>
  </si>
  <si>
    <t>A woman is holding a kitten in her lap.</t>
  </si>
  <si>
    <t>A guy is clipping the nails on the cat.</t>
  </si>
  <si>
    <t>v_-QuFk_ThRNg</t>
  </si>
  <si>
    <t>Two bodybuilder women are seated at a table.</t>
  </si>
  <si>
    <t>They are arm wrestling, vieing to win.</t>
  </si>
  <si>
    <t>When there is a victor, the two women shake hands.</t>
  </si>
  <si>
    <t>v_S3OJBVHL9y8</t>
  </si>
  <si>
    <t>The green and white team gets off the floor.</t>
  </si>
  <si>
    <t>The green and white team are pulling the rope in a tug of war contest.</t>
  </si>
  <si>
    <t>The red and black team are pulling the rope in a tug of war contest.</t>
  </si>
  <si>
    <t>The green and white team are repeatedly taking steps and the audience is cheering.</t>
  </si>
  <si>
    <t>The green and white team are standing holding the rope.</t>
  </si>
  <si>
    <t>v_7hEUl8lziZs</t>
  </si>
  <si>
    <t>A man in a yellow shirt is on his knees layering cement on the floor.</t>
  </si>
  <si>
    <t>He stops for a second and looks up.</t>
  </si>
  <si>
    <t>The man goes back to layering the floor with cement.</t>
  </si>
  <si>
    <t>v_259K1wC2IMk</t>
  </si>
  <si>
    <t>A young boy is seen pulling a mop out of a bucket followed by him pushing the mop across the floor.</t>
  </si>
  <si>
    <t>The camera pans to a woman in the distance and the boy continuing to push the mop along the floor.</t>
  </si>
  <si>
    <t>v_CTxuJBTp_CQ</t>
  </si>
  <si>
    <t>A person spreads out the branches on a Christmas tree.</t>
  </si>
  <si>
    <t>The person drapes shiny tinsel strands around the tree.</t>
  </si>
  <si>
    <t>The person hangs Christmas bulbs on the tree.</t>
  </si>
  <si>
    <t>A child comes and watches the person decorating the tree then runs around playing.</t>
  </si>
  <si>
    <t>The person rolls up a sheer piece of fabric to put away.</t>
  </si>
  <si>
    <t>v_9qFwSM8QLIE</t>
  </si>
  <si>
    <t>Various crowd scenes at a bullfight arena are shown.</t>
  </si>
  <si>
    <t>Matadors walk out into the ring area.</t>
  </si>
  <si>
    <t>A parade of horses and riders is shown.</t>
  </si>
  <si>
    <t>Scenes of matadors interacting with bulls are shown.</t>
  </si>
  <si>
    <t>The crowd cheers for a matador.</t>
  </si>
  <si>
    <t>Matadors are hoisted on people's shoulders and paraded.</t>
  </si>
  <si>
    <t>v_l_Y_Xns6SpE</t>
  </si>
  <si>
    <t>The woman is leaning on the pool table focusing on the ball.</t>
  </si>
  <si>
    <t>The woman hit the ball and cheered .</t>
  </si>
  <si>
    <t>The woman hit the ball again and started jumping.</t>
  </si>
  <si>
    <t>v_Lyi8-hf1rCw</t>
  </si>
  <si>
    <t>A man in a a leotard is blowing in his hands getting himself warmed up to start running.</t>
  </si>
  <si>
    <t>Once he starts he goes super fast jumping up and into the sand.</t>
  </si>
  <si>
    <t>They show a replay of his run and land in slow motion.</t>
  </si>
  <si>
    <t>When he is done he walks around the arena while being followed by a camera.</t>
  </si>
  <si>
    <t>v_NOXPH0_y4Ww</t>
  </si>
  <si>
    <t>a little girl is standing in a kitchen and starts squeeze a lemon into a water bowl, a person is standing by her side.</t>
  </si>
  <si>
    <t>lttle girl suck her finger and smile while a woman walks throug kitchen and puts something in the counter.</t>
  </si>
  <si>
    <t>little girl is standing in the kitchen with her mouth open and play with her hair.</t>
  </si>
  <si>
    <t>the girl starts walking an sit in fronts of a counter with a bowl of fruits and talk to the camera, walks again in the kitchen and keep aqueezing lemons in the water bowl, woman starts helping her.</t>
  </si>
  <si>
    <t>woman clean her hands in the sink and the girl walks in the kitchen and keep squeezing the lemons.</t>
  </si>
  <si>
    <t>v_XI6sjZg9Yeg</t>
  </si>
  <si>
    <t>A man is seen laying floor down on the ground using a machine and others helping.</t>
  </si>
  <si>
    <t>Several shots are shown of the men pushing down the floor and using a torch underneath to keep it in place.</t>
  </si>
  <si>
    <t>The man continue working while showing the steam on the hot mats and the finished roof with done.</t>
  </si>
  <si>
    <t>v_liNIRD7YwFQ</t>
  </si>
  <si>
    <t>A large wave is crashing toward the shore.</t>
  </si>
  <si>
    <t>A surfer is shown tearing through the water.</t>
  </si>
  <si>
    <t>A rainbow appears, then we see boats on the beach and more surfers in the waves.</t>
  </si>
  <si>
    <t>v_p800u2wCKbE</t>
  </si>
  <si>
    <t>A news reporter is talking about a local fund raiser held by a nursery school.</t>
  </si>
  <si>
    <t>There are several people gathered to support the cause.</t>
  </si>
  <si>
    <t>There is a lemonade stand set up where people are purchasing lemonade to donate money for a cause.</t>
  </si>
  <si>
    <t>One of the parents is talking to the news reporter about the fund raiser.</t>
  </si>
  <si>
    <t>Three more parents are standing are chatting as they sip lemonade.</t>
  </si>
  <si>
    <t>A picture the girl, Hannah is shown for whom the fund raiser was held.</t>
  </si>
  <si>
    <t>v_bR62246z9qA</t>
  </si>
  <si>
    <t>Cheerleaders with their hands in do a cheer.</t>
  </si>
  <si>
    <t>They go on the floor and stand still.</t>
  </si>
  <si>
    <t>They perform a cheer leading routine.</t>
  </si>
  <si>
    <t>Four girls are lifted and hold their legs.</t>
  </si>
  <si>
    <t>Two girls are lifted in the air and two girls are flipped then two girls lift the two girls.</t>
  </si>
  <si>
    <t>Four girls are lifted and hold two other girls up and a third is added.</t>
  </si>
  <si>
    <t>Two girls in the front held up a red sign.</t>
  </si>
  <si>
    <t>Three girls are lifted and they each hold another girl on their shoulders.</t>
  </si>
  <si>
    <t>v_nO2tXrQDD8I</t>
  </si>
  <si>
    <t>Several individuals play against each other in a table football match.</t>
  </si>
  <si>
    <t>Two individuals walk by in the background.</t>
  </si>
  <si>
    <t>Another two individuals walk by in the background.</t>
  </si>
  <si>
    <t>v_rcrhyi2EzZc</t>
  </si>
  <si>
    <t>Two young kids are his mother are standing in a kitchen washing dishes.</t>
  </si>
  <si>
    <t>The little girl takes a blue sponge cleans her dish and then gets down and begins walking around.</t>
  </si>
  <si>
    <t>Both the mother and son are still at the sink and she stands besides him and helps him clean his dish as well.</t>
  </si>
  <si>
    <t>v_Y9wrTRY3mUI</t>
  </si>
  <si>
    <t>A group of people, children and families live, travel, and ice fish on a vast ice and snow covered piece of land.</t>
  </si>
  <si>
    <t>A group of men and a woman talk to a camera while showcasing fish caught and live fishing in ice holes on a snow and ice covered terrain.</t>
  </si>
  <si>
    <t>Several people fish in ice holes with children nearby while other drive across the ice terrain.</t>
  </si>
  <si>
    <t>Fish are shown , local animals native to the area, toilets, cars on the ice, children, people holding fish just caught and ice holes where the fish are coming from along with dogs pulling snow sleds.</t>
  </si>
  <si>
    <t>v_mhPpeG3LrUk</t>
  </si>
  <si>
    <t>A girl is seen sitting outdoors and holding up a bottle of sunscreen while speaking to the camera.</t>
  </si>
  <si>
    <t>The girl then shakes up the bottle, pours it into her hands, and rubs it all over her body.</t>
  </si>
  <si>
    <t>v_x4qwV0Ti1Og</t>
  </si>
  <si>
    <t>A large track is shown with several people riding down on tubes at once.</t>
  </si>
  <si>
    <t>A man records a close up of a tube and pushing it into a woman standing in the snow.</t>
  </si>
  <si>
    <t>She begins talking on her phone and the same clip is shown again in slow motion.</t>
  </si>
  <si>
    <t>v_8bX1g0mefzM</t>
  </si>
  <si>
    <t>A woman talks showing a shoe, then she cleans it with a cloth.</t>
  </si>
  <si>
    <t>The woman puts oil in a cloth and polish the shoe.</t>
  </si>
  <si>
    <t>Then, the woman takes shoe polish and apply to the shoe.</t>
  </si>
  <si>
    <t>v_o-S8I8lhQpo</t>
  </si>
  <si>
    <t>A woman is parasailing in the ocean.</t>
  </si>
  <si>
    <t>She goes through tough waves.</t>
  </si>
  <si>
    <t>She goes over a large wave, which knocks her over.</t>
  </si>
  <si>
    <t>v_7ToBC5eGg38</t>
  </si>
  <si>
    <t>A young woman is seen standing on a court wearing a hat and holding a tennis racket.</t>
  </si>
  <si>
    <t>The girl then throws the ball up into the air and hits it off into the distance.</t>
  </si>
  <si>
    <t>She looks back and smiles to the camera.</t>
  </si>
  <si>
    <t>v_U20a95sHi8E</t>
  </si>
  <si>
    <t>A close up of a car is seen followed by people walking into frame and washing the car.</t>
  </si>
  <si>
    <t>The people clean the exterior as well as interior and roll the car outside.</t>
  </si>
  <si>
    <t>They park the car and continue to wipe it down followed by drying it off in the end.</t>
  </si>
  <si>
    <t>v_r4kC4AHDIH8</t>
  </si>
  <si>
    <t>People on a river bank get on inflated boats and raft in a river with choppy waters.</t>
  </si>
  <si>
    <t>Two men are on a red canoe.</t>
  </si>
  <si>
    <t>A group of rafters go down the river while, also people in canoes raft.</t>
  </si>
  <si>
    <t>The rafters arrive to calm waters, then a team celebrates a victory.</t>
  </si>
  <si>
    <t>v_0acEl97ZBME</t>
  </si>
  <si>
    <t>A camera pans up to a man sitting and smoking a cigarette.</t>
  </si>
  <si>
    <t>Another man walks over with a cart and begins digging through trash.</t>
  </si>
  <si>
    <t>The man smoking cigarettes begins talking to the homeless man about how life sucks and how he can relate to the homeless man.</t>
  </si>
  <si>
    <t>v_jcaOoRM6J80</t>
  </si>
  <si>
    <t>We see outdoor images then a man in a kitchen.</t>
  </si>
  <si>
    <t>We see ingredients on a table.</t>
  </si>
  <si>
    <t>The man mixes the ingredients in a mixer bowl.</t>
  </si>
  <si>
    <t>The man stirs the mix then turns the mixer back on.</t>
  </si>
  <si>
    <t>The man mixes the mix and pours it into cake pans.</t>
  </si>
  <si>
    <t>The man taps the pans then puts the cake in the oven.</t>
  </si>
  <si>
    <t>We see cookware, cupcakes, and the man cooking.</t>
  </si>
  <si>
    <t>Then see the bright end screen.</t>
  </si>
  <si>
    <t>v_9uieGqu2TYA</t>
  </si>
  <si>
    <t>A black intro screen appears and it contains white words that say "Named Gymnastic Elements Parallel bars", then "MUSIC: Nightwish Where were you last night", and the last screen includes foreign words an email and a website.</t>
  </si>
  <si>
    <t>Various short clips of different men on different parallel bars in gymnasiums are doing handstands, swinging on them and doing various other tricks as spectators look on.</t>
  </si>
  <si>
    <t>The last man on the parallel bars seems to be practicing in a gym with no large group of spectators looking on.</t>
  </si>
  <si>
    <t>v_CLbEvGHmK8k</t>
  </si>
  <si>
    <t>A group of people perform simple step aerobics out on a sunny day.</t>
  </si>
  <si>
    <t>The aerobics instructor has the class switch to a new aerobics move in which the group dances their arms out in front of them and incorporate clapping as they take steps.</t>
  </si>
  <si>
    <t>Their next move is placing their hands up towards the sky as they take a step.</t>
  </si>
  <si>
    <t>v_JMrfe-UVA0Y</t>
  </si>
  <si>
    <t>man is standing in front of a screen talking to the camera.</t>
  </si>
  <si>
    <t>a woman is playing with a cat and its in table with a nail clipper cutting the cat's nails.</t>
  </si>
  <si>
    <t>v_5gaobaT6K1A</t>
  </si>
  <si>
    <t>A woman is seen riding off a bull when the bull knocks her off and others run in to help.</t>
  </si>
  <si>
    <t>Several more people are shown attempting to taunt the bull and end by getting hurt and others helping.</t>
  </si>
  <si>
    <t>v_P6ijX0vabJs</t>
  </si>
  <si>
    <t>A close up of an instrument is shown followed by a woman sitting into frame and speaking to the camera.</t>
  </si>
  <si>
    <t>She then picks up the flute and begins playing it and pausing to speak in between.</t>
  </si>
  <si>
    <t>She plays the instrument again and pauses to put it down and speak to the camera.</t>
  </si>
  <si>
    <t>v__m8WprCWHF4</t>
  </si>
  <si>
    <t>A black screen appears and quickly white words fly across it and they say "Here it comes Set for full Screen".</t>
  </si>
  <si>
    <t>A picture of a snowcapped mountain appears and white words on the screen say "HARTEL PRODUCTIONS".</t>
  </si>
  <si>
    <t>A wooden board appears at an outdoor area an it say's "CLAM BEACH COUNTY PARK WELCOME NORTH DAY USE PARKING", then in yellow some text appears that say "THE DOG WALK".</t>
  </si>
  <si>
    <t>Various still shots of people walking with dogs or walking alone along a road appear along with various shots of the area and titles of what they are.</t>
  </si>
  <si>
    <t>At the end there are still shots of dogs getting loaded into a car, the dogs in the car, a man loading the car with his walker, a closing sign and then yellow words appear that say "THE END" and it fades to black.</t>
  </si>
  <si>
    <t>v_v8u8BiprYKs</t>
  </si>
  <si>
    <t>A lady kneels in front of bushes and talks.</t>
  </si>
  <si>
    <t>The lady uses gardening shears to trim the bush.</t>
  </si>
  <si>
    <t>The lady stands and trims the bushes.</t>
  </si>
  <si>
    <t>The lady kneels down again and continues to talk to the camera.</t>
  </si>
  <si>
    <t>v_4o4Vh49v-q4</t>
  </si>
  <si>
    <t>A little girl is standing in her bathroom and demonstrating how she rinses her mouth with mouth wash.</t>
  </si>
  <si>
    <t>She takes a sip of Listerine mouth was from her cup and holds it in her mouth for several seconds while her older brother video tapes her.</t>
  </si>
  <si>
    <t>Another little girl walks behind her and watches her rinse.</t>
  </si>
  <si>
    <t>She holds the mouth wash in her mouth for a long time and then spits it out in the sink.</t>
  </si>
  <si>
    <t>v_Gms3Yt6RrV4</t>
  </si>
  <si>
    <t>A man is seen talking with a camera very close to his face.</t>
  </si>
  <si>
    <t>Another man with a helmet on is standing near by.</t>
  </si>
  <si>
    <t>A third man is seen in a car next to the man talking.</t>
  </si>
  <si>
    <t>The man wearing the helmet starts down the street on a skateboard.</t>
  </si>
  <si>
    <t>The man goes down a few very steep hills on his skateboard.</t>
  </si>
  <si>
    <t>The man rides past a stop sign.</t>
  </si>
  <si>
    <t>The man with the camera and the man in the car follow filming the man on the skateboard.</t>
  </si>
  <si>
    <t>After the stop sign, the car passes the man on the skateboard.</t>
  </si>
  <si>
    <t>The car stops and the man on the skateboard stops just past them and picks up his skateboard.</t>
  </si>
  <si>
    <t>v_qlq13iS0nEA</t>
  </si>
  <si>
    <t>A man with a guitar and a microphone performs a piece of music.</t>
  </si>
  <si>
    <t>A black screen with a graphic of a white guitar and a website appear.</t>
  </si>
  <si>
    <t>The man stops playing then the black screen with white guitar and website appear again.</t>
  </si>
  <si>
    <t>v_E4yf1mz4ij0</t>
  </si>
  <si>
    <t>An athlete is seen walking into a circle and preparing himself to throw a shot put.</t>
  </si>
  <si>
    <t>The man throws the object several times after spinning around and several people watching on the sidelines.</t>
  </si>
  <si>
    <t>v_XwW5p80hYCg</t>
  </si>
  <si>
    <t>A logo and the words Master Lube TV show up on a black screen.</t>
  </si>
  <si>
    <t>A young man is standing and talking in a business while other young men are cleaning and detailing the inside and outside of a silver vehicle.</t>
  </si>
  <si>
    <t>The now cleaned vehicle pulls out of the garage and drives away from the business.</t>
  </si>
  <si>
    <t>The vehicle is now parked and two young men are wiping it down with a a dry cloth.</t>
  </si>
  <si>
    <t>More clips of the young man talking solo and all the cleaning they did previously replays.</t>
  </si>
  <si>
    <t>A red, white and blue flag with the words "HAND CAR WASH" blows in the wind.</t>
  </si>
  <si>
    <t>More clips of the young man talking solo and replays of the cleaning loops as words below the man show up and read "MasterLube Hand Car Wash 750 Broadwater Ave (406) 294-5530.</t>
  </si>
  <si>
    <t>Flags are show again and it fades to a black screen with a logo and the words MasterLube.</t>
  </si>
  <si>
    <t>v_Q5kU3DUXXZg</t>
  </si>
  <si>
    <t>Numerous different pictures of fitness people flash on the screen and the logo LA MUSCLE flashes quickly.</t>
  </si>
  <si>
    <t>A group of people appear and they are on bicycles pedaling and are doing a cardio workshop while the man in front wearing a headband is talking the whole time.</t>
  </si>
  <si>
    <t>The outro screen appears and it's a white screen that shoes the LA MUSCLE logo like it did in the beginning and the words "For More Visit LAMUSCLE dot TV".</t>
  </si>
  <si>
    <t>v_1kMPW5huHWQ</t>
  </si>
  <si>
    <t>A man is completing a rubiks cube.</t>
  </si>
  <si>
    <t>A timer is sitting on the table next to him.</t>
  </si>
  <si>
    <t>He sets the completed rubiks cube down on the table.</t>
  </si>
  <si>
    <t>v_cvEOK7xAPSs</t>
  </si>
  <si>
    <t>People running up the beach very quickly.</t>
  </si>
  <si>
    <t>Then they start to make strange faces towards the camera.</t>
  </si>
  <si>
    <t>They start bouncing and doing tricks on some kind of bouncy rope.</t>
  </si>
  <si>
    <t>Some of the the tricks look like they are very extreme.</t>
  </si>
  <si>
    <t>v_RHfjDkr6mcc</t>
  </si>
  <si>
    <t>A woman is seen standing behind an ironing board ironing a shirt while speaking to the camera every now and then.</t>
  </si>
  <si>
    <t>The moves the shirt all around the table ironing it and holding it up in the end to present.</t>
  </si>
  <si>
    <t>v_-fMxoShIXiM</t>
  </si>
  <si>
    <t>A woman with long, black, curly hair is wearing casual wear, talking, and squatting on a roof.</t>
  </si>
  <si>
    <t>The woman then stands up and walks to a part of the roof where she lifts up a black shingle on the roof.</t>
  </si>
  <si>
    <t>The woman is now on standing on the ground in front of the house smiling and talking.</t>
  </si>
  <si>
    <t>A large truck pulls up to the house and a man begins to unload shingles onto the roof.</t>
  </si>
  <si>
    <t>The woman is back on the roof with a shovel and is shoveling off all of the old shingles then she dumps them in a large dumpster.</t>
  </si>
  <si>
    <t>Men are now laying out long pieces of black material and nailing them into the roof, as well as nailing the shingles down.</t>
  </si>
  <si>
    <t>The roof is done and a view of the entire house is shown to show off the finished roof.</t>
  </si>
  <si>
    <t>The woman is standing in front of the home, smiling while talking.</t>
  </si>
  <si>
    <t>v_wNvLv7PtvQg</t>
  </si>
  <si>
    <t>A camera zooms in out two people riding in a canoe together.</t>
  </si>
  <si>
    <t>The camera moves in closer and captures the people paddling further down the river.</t>
  </si>
  <si>
    <t>v_jFqY3M37F-g</t>
  </si>
  <si>
    <t>We see a man siting and holding a drum.</t>
  </si>
  <si>
    <t>We then see the man playing on the drum.</t>
  </si>
  <si>
    <t>The man hits a drum off camera left.</t>
  </si>
  <si>
    <t>The man shuffles his hands on the drum.</t>
  </si>
  <si>
    <t>The man stops paying the drums.</t>
  </si>
  <si>
    <t>v_E29kZvEtOUA</t>
  </si>
  <si>
    <t>A child helps push a lawn mower with an adult to cut the grass.</t>
  </si>
  <si>
    <t>A man mows the lawn of a large yard along with a child watching nearby.</t>
  </si>
  <si>
    <t>The man empties out the collection hopper bag on the lawn mower and empties it into a trash bin and wheels it away.</t>
  </si>
  <si>
    <t>The child plays with the lawn mower while turned off.</t>
  </si>
  <si>
    <t>v_nt4Ag91306U</t>
  </si>
  <si>
    <t>A person is throwing a tennis ball up in the air and hits the ball.</t>
  </si>
  <si>
    <t>Two men begin talking about this tennis move and how you should properly hold your racket.</t>
  </si>
  <si>
    <t>The man demonstrates how to throw the ball up and how to swing.</t>
  </si>
  <si>
    <t>The man continues to discuss when to hit the ball for this move and how to execute it properly.</t>
  </si>
  <si>
    <t>v_DIF8qouivIU</t>
  </si>
  <si>
    <t>A man wearing a white fencing outfit walks over to a woman in leather with her hands tied together.</t>
  </si>
  <si>
    <t>He holds her waist and speaks to her while watching the men fence behind them.</t>
  </si>
  <si>
    <t>They speak to another couple defiantly and the men prepare to fight.</t>
  </si>
  <si>
    <t>The men fence back and fourth when the older gentleman pinches his eyes and fight again.</t>
  </si>
  <si>
    <t>The men become agitated and one leaves with shirt off.</t>
  </si>
  <si>
    <t>v_W7JxYa-PiB8</t>
  </si>
  <si>
    <t>A man wearing a hat is seen holding a tennis racket and bouncing a ball up and down.</t>
  </si>
  <si>
    <t>The man then serves the ball and leads into a tennis match between four people.</t>
  </si>
  <si>
    <t>The announcer laughs as the other team mates speak to each other and showing his hit again in slow motion.</t>
  </si>
  <si>
    <t>v_gnKpguqHfag</t>
  </si>
  <si>
    <t>A green and yellow team Hockey team is pictured and there location is shown on a map.</t>
  </si>
  <si>
    <t>The video then reverts back to the game and shows the venue that the teams are playing in.</t>
  </si>
  <si>
    <t>After,several players are shown skating around the rink and then a bald Caucasian male is shown dressed in a black polo begins talking to the camera.</t>
  </si>
  <si>
    <t>Once finished,the bench is panned and the game begins with the referee standing in between the two teams and they begin playing.</t>
  </si>
  <si>
    <t>As they continue,the bald man is shows and continues talking and they continue to flash between him,the players, and the games.</t>
  </si>
  <si>
    <t>v_BERvPz1e_AU</t>
  </si>
  <si>
    <t>Various athletes are seen standing together in the middle of a large stadium and leads into a woman throwing a shot put and then walking away.</t>
  </si>
  <si>
    <t>Several more people are seen walking up and throwing the object with a woman running with the american flag and standing on a podium with others.</t>
  </si>
  <si>
    <t>v_B1u-Er4jXFA</t>
  </si>
  <si>
    <t>The camera zooms in on a chef spinning around a spatula in a pan and putting more ingredients into the pan.</t>
  </si>
  <si>
    <t>He stirs around the mixture and presses it to the side while setting down the spatula.</t>
  </si>
  <si>
    <t>v_vT6bb2y34UE</t>
  </si>
  <si>
    <t>Two wires are seen laid across and table with a person putting a box on top.</t>
  </si>
  <si>
    <t>The person wraps the box with wires and tying a bow on top.</t>
  </si>
  <si>
    <t>The person ties a candy cane with the box and shows it off to the camera.</t>
  </si>
  <si>
    <t>v_LW5lcM_rKBY</t>
  </si>
  <si>
    <t>A man is seen holding a power drill with a potato on the end and people peeling around him.</t>
  </si>
  <si>
    <t>The man turns on the drill and peels the potato with another person pointing on the side.</t>
  </si>
  <si>
    <t>v_7S7THbo8uds</t>
  </si>
  <si>
    <t>Two men are seen holding each other's arms and leads into the men performing an arm wrestling match.</t>
  </si>
  <si>
    <t>One man smokes a cigarette while they continue to play and that man winds while holding his arms up.</t>
  </si>
  <si>
    <t>v_GU_8hjy79VQ</t>
  </si>
  <si>
    <t>A man is seen with a large pole.</t>
  </si>
  <si>
    <t>A large crowd is in the stands in the background.</t>
  </si>
  <si>
    <t>The man with the pole runs and throws it and then hits the ground.</t>
  </si>
  <si>
    <t>The pole flies through the air and lands just past the number 85 on a field.</t>
  </si>
  <si>
    <t>Several man run out to the pole.</t>
  </si>
  <si>
    <t>Men are seen in the stands clapping.</t>
  </si>
  <si>
    <t>The man that threw the pole is seen putting a jacket on.</t>
  </si>
  <si>
    <t>Many people walk around and sit on the field.</t>
  </si>
  <si>
    <t>The man is seen throwing the pole again.</t>
  </si>
  <si>
    <t>v_lx5Yfoj7Gk8</t>
  </si>
  <si>
    <t>A close up of a machine is shown printing paper and leads into people working around the picture.</t>
  </si>
  <si>
    <t>The people continue working with the machine putting paper through and measuring it and laying it out on a table.</t>
  </si>
  <si>
    <t>The people are then seen hanging the paper up on a wall and presenting it in the end.</t>
  </si>
  <si>
    <t>v_QhDPo3amF6o</t>
  </si>
  <si>
    <t>The bumper car ride is packed with people, already many are crashing.</t>
  </si>
  <si>
    <t>A man flashes the peace sign at the camera, having a good time.</t>
  </si>
  <si>
    <t>Car 9 has finally gotten going but he is crashing left and right.</t>
  </si>
  <si>
    <t>A man reverses into another car behind him.</t>
  </si>
  <si>
    <t>A large pile-up occurs in the middle of the track.</t>
  </si>
  <si>
    <t>v_8ZjUZbykp4U</t>
  </si>
  <si>
    <t>A man is seen sitting behind a drum set playing on the drums.</t>
  </si>
  <si>
    <t>The camera pans all around his movements while he speaks to the camera.</t>
  </si>
  <si>
    <t>More shots are shown of him playing as well as singing and other people playing instruments around him.</t>
  </si>
  <si>
    <t>v_BxEnhkx2srY</t>
  </si>
  <si>
    <t>A boy prepares to do a high jump in a gym.</t>
  </si>
  <si>
    <t>He takes off running with the high jump stick.</t>
  </si>
  <si>
    <t>he makes the jump and lands on the safety pads.</t>
  </si>
  <si>
    <t>v_kkEjwEXkz3w</t>
  </si>
  <si>
    <t>A person's hands with nails are shown followed by two women talking to the camera.</t>
  </si>
  <si>
    <t>Several objects on paper are shown while the women continue to speak and one start making designs on the nails.</t>
  </si>
  <si>
    <t>v_MleVjHU-wI8</t>
  </si>
  <si>
    <t>We then see a man holding something wrapped in a plastic bag.</t>
  </si>
  <si>
    <t>A woman joins the man.</t>
  </si>
  <si>
    <t>The man opens the plastic bag.</t>
  </si>
  <si>
    <t>The lady gift wraps the box for the man.</t>
  </si>
  <si>
    <t>The man takes a shot at the gift wrapping.</t>
  </si>
  <si>
    <t>The lady finishes wrapping the gift.</t>
  </si>
  <si>
    <t>The man folds an edge, and the lady tapes it.</t>
  </si>
  <si>
    <t>The man presents the box to the camera and talks.</t>
  </si>
  <si>
    <t>the closing screen is then seen and it goes black.</t>
  </si>
  <si>
    <t>v_2FKWKDEg5KE</t>
  </si>
  <si>
    <t>We see a man working on a piece of equipment.</t>
  </si>
  <si>
    <t>The man heats the caulk and scrapes it off.</t>
  </si>
  <si>
    <t>The screen flashes and the man puts on new caulk.</t>
  </si>
  <si>
    <t>The man stops and points at the caulk The end scene is seen.</t>
  </si>
  <si>
    <t>v_3SL_Au0H0cw</t>
  </si>
  <si>
    <t>man is wearing a black kimono and isdoing yoga movements.</t>
  </si>
  <si>
    <t>man is standing in a large green grassy field.</t>
  </si>
  <si>
    <t>man is slowly walking practicing boxing movements.</t>
  </si>
  <si>
    <t>v_xpA16yFuDqw</t>
  </si>
  <si>
    <t>A woman and man are shown swimming backward in the water of a pool.</t>
  </si>
  <si>
    <t>They demonstrate different techniques as the swim.</t>
  </si>
  <si>
    <t>The names of the various methods appear on the screen between examples.</t>
  </si>
  <si>
    <t>v_UCndppz9rWc</t>
  </si>
  <si>
    <t>manis wearing a white shirt and is walking in a green grass carrying a lawnmower.</t>
  </si>
  <si>
    <t>kid is standing in the field watching the man with the lawnmower.</t>
  </si>
  <si>
    <t>man stands and extends the hand to hold the kid.</t>
  </si>
  <si>
    <t>v_7iPb7mLURVc</t>
  </si>
  <si>
    <t>A woman is seen speaking to the camera while holing a baton in her hands.</t>
  </si>
  <si>
    <t>She continues speaking to the camera while spinning around the baton.</t>
  </si>
  <si>
    <t>She continues to spin around the baton and demonstrate how to properly twirl it.</t>
  </si>
  <si>
    <t>v_ooWk0EL6I7o</t>
  </si>
  <si>
    <t>A lady and a man kneel in a curling ring.</t>
  </si>
  <si>
    <t>They talk to each other and a broom enters the scene.</t>
  </si>
  <si>
    <t>they start to move forwards.</t>
  </si>
  <si>
    <t>The man stops and the lady stumbles.</t>
  </si>
  <si>
    <t>v_oJ9BFy1KNlY</t>
  </si>
  <si>
    <t>A man stands indoors, on a platform, in front of three onlookers, and lifts a heavily weighted bar bell.</t>
  </si>
  <si>
    <t>A man approaches a barbell on the floor and stands before it preparing to lift it.</t>
  </si>
  <si>
    <t>The man then bends at the knees and puts his hands on the bar portion of the weight.</t>
  </si>
  <si>
    <t>The man then lifts the bell above his head and then lets the bell fall to the floor where it bounces a bit upon landing as the man turns and walks away from the weight.</t>
  </si>
  <si>
    <t>v_q4rVY3sLQqA</t>
  </si>
  <si>
    <t>Two men describe lead climbing while one man in a bright green shirt climbs a climbing wall the other man wearing a dark green shirt holds the lead line and explains the process.</t>
  </si>
  <si>
    <t>The man in the dark green shirt places a strap and link to the climbing wall and loops a rope through the clip.</t>
  </si>
  <si>
    <t>The man reverses the strap position and loops the rope through the strap eye link.</t>
  </si>
  <si>
    <t>The man in the bright green shirt continue climbing to the top of the wall.</t>
  </si>
  <si>
    <t>The man in the dark green shirt continues talking to the camera.</t>
  </si>
  <si>
    <t>v_MLfEz9HPElE</t>
  </si>
  <si>
    <t>One woman throws something at another.</t>
  </si>
  <si>
    <t>Then, the two women play hopscotch.</t>
  </si>
  <si>
    <t>v_0uh3HP895OA</t>
  </si>
  <si>
    <t>a woman is sitting behind a desk talking to the camera.</t>
  </si>
  <si>
    <t>A woman walks into a room and sits in a pew.</t>
  </si>
  <si>
    <t>The woman begins to knit.</t>
  </si>
  <si>
    <t>The woman then talks to the camera.</t>
  </si>
  <si>
    <t>v_FMlWHXByLL0</t>
  </si>
  <si>
    <t>Kids are jump roping in a gym.</t>
  </si>
  <si>
    <t>They do flips over each other.</t>
  </si>
  <si>
    <t>People in the audience clap for them at the end.</t>
  </si>
  <si>
    <t>v_DqT3NrqisLk</t>
  </si>
  <si>
    <t>A close up of a person's feet are seen as well as text on the screen.</t>
  </si>
  <si>
    <t>The person is seen taking the laces off and running the shoes under water.</t>
  </si>
  <si>
    <t>The person mixes ingredients into a bowl and scrubs the shoes using the tooth brush.</t>
  </si>
  <si>
    <t>She then sticks the shoes in the wash and shows them off afterwards.</t>
  </si>
  <si>
    <t>v_7oBW5W6Fdok</t>
  </si>
  <si>
    <t>We see a man preparing to throw a hammer in track and field.</t>
  </si>
  <si>
    <t>The man shakes his legs and walks to the field.</t>
  </si>
  <si>
    <t>The man spins hard and throws the hammer.</t>
  </si>
  <si>
    <t>We see the hammer as it flies across the track.</t>
  </si>
  <si>
    <t>v_xEnnIWce1ok</t>
  </si>
  <si>
    <t>Two men perform a flip move on a playground that leads to one being dropped on the ground.</t>
  </si>
  <si>
    <t>The camera zooms in on the fallen man while they all laugh together.</t>
  </si>
  <si>
    <t>v_rA7qVOp47Qg</t>
  </si>
  <si>
    <t>A girl is riding on a white horse that is in an enclosed obstacle course, but it's just walking, trotting and running around the perimeter doing laps.</t>
  </si>
  <si>
    <t>Another girl is now the focus and she's riding on a taller brown horse who begins walking, trotting and they also stay on the perimeter of the area.</t>
  </si>
  <si>
    <t>When the brown horse is done going around in laps, it walks over to the white horse who is now in the middle of the area and it stops.</t>
  </si>
  <si>
    <t>v_jmPV_y8YntQ</t>
  </si>
  <si>
    <t>There are several girls standing ready with their jump ropes in an indoor gym.</t>
  </si>
  <si>
    <t>They are ready to compete in competition.</t>
  </si>
  <si>
    <t>There are several people seated and standing that are watching the girls as they jump rope.</t>
  </si>
  <si>
    <t>The girls take turns and jump rope in a relay manner.</t>
  </si>
  <si>
    <t>They switch between the contestants and move from fast skipping to slower and steadier skipping.</t>
  </si>
  <si>
    <t>They take turns as they skip.</t>
  </si>
  <si>
    <t>After they stop, the crowd claps and cheers.</t>
  </si>
  <si>
    <t>v__UlKLq9w_nw</t>
  </si>
  <si>
    <t>A group of people have gathered at an outdoor court.</t>
  </si>
  <si>
    <t>They are involved in a game of curling.</t>
  </si>
  <si>
    <t>Each person uses the stick to push the puck as a girl talks to the camera.</t>
  </si>
  <si>
    <t>v_3gpgeAMy6a8</t>
  </si>
  <si>
    <t>kids are standing in a green grassy field flying kites.</t>
  </si>
  <si>
    <t>man wearing white shirt is flying the kite in a lage field.</t>
  </si>
  <si>
    <t>litle kid wearing an orange shirt is watching the man.</t>
  </si>
  <si>
    <t>v_5mxY_p7N_Yw</t>
  </si>
  <si>
    <t>The video leads into several clips of a hockey player moving around the ice and players speaking to the camera.</t>
  </si>
  <si>
    <t>The people continuing skating on the ice while practicing as players intervene to speak to the camera.</t>
  </si>
  <si>
    <t>v_TPzxIqu1JJg</t>
  </si>
  <si>
    <t>A text intro leads into several shots of a warehouse and people working with torches.</t>
  </si>
  <si>
    <t>People are seen using computers as well as magnets that leads into people making cakes.</t>
  </si>
  <si>
    <t>People use several tools and materials to make a large cake that moves around and brings it into an exhibit in the end.</t>
  </si>
  <si>
    <t>v_U697zTxxDHM</t>
  </si>
  <si>
    <t>A group of friends sit together against a fence at a skate park.</t>
  </si>
  <si>
    <t>People on roller blades do tricks on a ramp over steps.</t>
  </si>
  <si>
    <t>People on roller blades do tricks on a bench at the skate park.</t>
  </si>
  <si>
    <t>People do trucks on a railing down a ramp at the skate park.</t>
  </si>
  <si>
    <t>The roller skates ride on half pipe ramps.</t>
  </si>
  <si>
    <t>v_lcVkXTsnR7A</t>
  </si>
  <si>
    <t>A guy climbs up the stairs carrying a black amplifier.</t>
  </si>
  <si>
    <t>The guy walks through a door he opened.</t>
  </si>
  <si>
    <t>The guy plays a harmonica with a microphone in one hand.</t>
  </si>
  <si>
    <t>The guy plays the guitar.</t>
  </si>
  <si>
    <t>The black amplifier is displayed on a table.</t>
  </si>
  <si>
    <t>The amplifier is displayed on a table.</t>
  </si>
  <si>
    <t>v_im-nQ-KEzaQ</t>
  </si>
  <si>
    <t>A woman is seen speaking to the camera with various ingredients laid out as well as her cleaning.</t>
  </si>
  <si>
    <t>She lays out a newspaper and mixes various ingredients together into a spray bottle.</t>
  </si>
  <si>
    <t>She puts on gloves and using the newspaper to wipe down a window after she has sprayed it.</t>
  </si>
  <si>
    <t>She continues wiping down the window while speaking to the camera.</t>
  </si>
  <si>
    <t>v_dUa0E0ASviM</t>
  </si>
  <si>
    <t>A girl is warming up and stretching and grabs 2 large ropes.</t>
  </si>
  <si>
    <t>Two women are holding each rope and the girl tries to pull both ropes at once.</t>
  </si>
  <si>
    <t>She continues pulling the rope and succeeds at pulling the two women closer to her.</t>
  </si>
  <si>
    <t>v_ouc67LyENuw</t>
  </si>
  <si>
    <t>Cows are running through fields with men chasing after them with sticks.</t>
  </si>
  <si>
    <t>The men are agitating the cows and causing them to fight with one another.</t>
  </si>
  <si>
    <t>The men are singing and dancing around the cows.</t>
  </si>
  <si>
    <t>The media interviews men from the crowd.</t>
  </si>
  <si>
    <t>A female reporter is holding a microphone while doing a news report.</t>
  </si>
  <si>
    <t>A large crowd of men are following her.</t>
  </si>
  <si>
    <t>v_EjaS2rW81S4</t>
  </si>
  <si>
    <t>Several people are seen kneeling on a beach helping a small child make sand castles.</t>
  </si>
  <si>
    <t>Many people are seen walking around the beach as the boy and older woman continue to make sand castles.</t>
  </si>
  <si>
    <t>v_dEUFGAwRhEM</t>
  </si>
  <si>
    <t>A couple of large balloons are floating over the ocean water.</t>
  </si>
  <si>
    <t>Competitor boaters are shown racing in the water.</t>
  </si>
  <si>
    <t>They paddle quickly toward the finish mark.</t>
  </si>
  <si>
    <t>v_J3coWVRd5do</t>
  </si>
  <si>
    <t>A girl runs down a track in slow motion.</t>
  </si>
  <si>
    <t>She takes a huge jump, hurling herself over a bar.</t>
  </si>
  <si>
    <t>She is shown performing the act again in slow motion.</t>
  </si>
  <si>
    <t>v_kG7inHibWLU</t>
  </si>
  <si>
    <t>A girl knocks on a door but nobody answers.</t>
  </si>
  <si>
    <t>She dances and prepares food in front of the stove with another woman.</t>
  </si>
  <si>
    <t>She fights and then both girls separate.</t>
  </si>
  <si>
    <t>v_7ZX3NHDmMZY</t>
  </si>
  <si>
    <t>People are in a swimming pool playing water polo.</t>
  </si>
  <si>
    <t>A woman is walking outside the pool.</t>
  </si>
  <si>
    <t>A man rubs his face while in the water before getting out of the water.</t>
  </si>
  <si>
    <t>v_e0Qj2F3V6fM</t>
  </si>
  <si>
    <t>The video stats explaining how to make Omelette muffins.</t>
  </si>
  <si>
    <t>She shows the ingredients and tell what to set the oven to.</t>
  </si>
  <si>
    <t>She mixes everything together and stirs it up with seasoning.</t>
  </si>
  <si>
    <t>She then puts it into the tray and into the oven to bake.</t>
  </si>
  <si>
    <t>Afterward she takes it out and shows the finished product.</t>
  </si>
  <si>
    <t>v_FIzlf7jdsUY</t>
  </si>
  <si>
    <t>Pictures of people's hair is shown.</t>
  </si>
  <si>
    <t>A woman in a pink shirt has pictures of her hair.</t>
  </si>
  <si>
    <t>Words come on the screen at the end.</t>
  </si>
  <si>
    <t>v_wFmczV8lv-I</t>
  </si>
  <si>
    <t>A group of gymnast enter front a side of a stadium.</t>
  </si>
  <si>
    <t>Next, a gymnast is shown on the bar and does multiple tricks consisting of flips and handstands then flips off to land and walks off.</t>
  </si>
  <si>
    <t>As a man runs near him,a replay is shown of the instances where he messed up and then his score is shown.</t>
  </si>
  <si>
    <t>Another man is shown doing various tricks and flips but instead of being above the bar,he starts out below the bar and comes on the top to do a hand stand before finally flipping off.</t>
  </si>
  <si>
    <t>Several other teams approach the bar and they too begin doing the same tricks in their competition.</t>
  </si>
  <si>
    <t>The winner then begins waving his flag and waving his hand to the crowd.</t>
  </si>
  <si>
    <t>v_TDWbRqIEcts</t>
  </si>
  <si>
    <t>We see a man in a room in front of a bookshelf with a cookie.</t>
  </si>
  <si>
    <t>The cookie is snatched from the man.</t>
  </si>
  <si>
    <t>We see the face of a young boy.</t>
  </si>
  <si>
    <t>We see ingredients added to a bowl.</t>
  </si>
  <si>
    <t>We switch and see a cat.</t>
  </si>
  <si>
    <t>We see ingredients in a mixer, then poured into a bowl then refrigerated.</t>
  </si>
  <si>
    <t>We see the cat appear again.</t>
  </si>
  <si>
    <t>A person shapes balls and coats them in powdered sugar.</t>
  </si>
  <si>
    <t>The cookies are baked.</t>
  </si>
  <si>
    <t>We see the man talking with a girl.</t>
  </si>
  <si>
    <t>We see the cookies and two mugs.</t>
  </si>
  <si>
    <t>We see the man with two kids.</t>
  </si>
  <si>
    <t>v_gkhgAlVSKTI</t>
  </si>
  <si>
    <t>A woman is seen playing a set of bagpipes while people sit around her and watch.</t>
  </si>
  <si>
    <t>The girl continues playing as the camera watches her move her hands along the instrument and a man standing next to her to pose and throw change.</t>
  </si>
  <si>
    <t>v_ybhc3-s7aYo</t>
  </si>
  <si>
    <t>A man is seen standing before a large log holding an ax in his hands.</t>
  </si>
  <si>
    <t>He holds the ax up over his head while still looking down at the log.</t>
  </si>
  <si>
    <t>He swing the ax down and chops the log in half.</t>
  </si>
  <si>
    <t>v_WidcZbpPEC0</t>
  </si>
  <si>
    <t>People are in a room talk to each other.</t>
  </si>
  <si>
    <t>Then, the men compete arm wrestling and the winner looks happy, while people 
 applaud.</t>
  </si>
  <si>
    <t>A man drinks beer from a bottle.</t>
  </si>
  <si>
    <t>v_l8TsSm4Yh4M</t>
  </si>
  <si>
    <t>A person is seen walking around a paintball course and leads into clips of people playing paintball and speaking to one another.</t>
  </si>
  <si>
    <t>A man points to the camera and leads into more shots of people playing and working with one another.</t>
  </si>
  <si>
    <t>v_GtYf9VsPHO0</t>
  </si>
  <si>
    <t>A close up of a sandwich is shown followed by ingredients and a woman speaking to the camera.</t>
  </si>
  <si>
    <t>Several ingredients are laid out and shown close up one by one while the woman mixes them all together in a bowl.</t>
  </si>
  <si>
    <t>She then pours the mixture onto a slice of break and presents it on a plate while speaking continuously.</t>
  </si>
  <si>
    <t>v_rVmNL8rzHnU</t>
  </si>
  <si>
    <t>A man is putting wall paper on the wall, he is trying to measure it just right so that it is even with the rest.</t>
  </si>
  <si>
    <t>He cuts some of the paper and takes the plastic part off of the back so that it is sticky and begins pressing the adhesive side down on the wall.</t>
  </si>
  <si>
    <t>He starts to add pressure to it so that any bubbles get out and it looks nice and even.</t>
  </si>
  <si>
    <t>He stands back to look at the wall and make sure it look good, then shows a before and after photo.</t>
  </si>
  <si>
    <t>v_znoMrA2qCbA</t>
  </si>
  <si>
    <t>A man is kneeling on a field.</t>
  </si>
  <si>
    <t>He picks up a heavy ball, and uses it to perform numerous exercise techniques.</t>
  </si>
  <si>
    <t>He then sets it back down on the grass.</t>
  </si>
  <si>
    <t>v_a7oaRcmRZ5k</t>
  </si>
  <si>
    <t>A boat is seen riding along the water with a man driving others around.</t>
  </si>
  <si>
    <t>A person is seen riding on the back doing several flips and tricks on his board.</t>
  </si>
  <si>
    <t>The people watch the man as well as the camera as he continues flipping around and looking back to the camera.</t>
  </si>
  <si>
    <t>v_NJuf9o45A8U</t>
  </si>
  <si>
    <t>A man is snowboarding down a hill of snow.</t>
  </si>
  <si>
    <t>He is jumping in the air and doing tricks off of pipes.</t>
  </si>
  <si>
    <t>v_LOhacn4jdT4</t>
  </si>
  <si>
    <t>A man walks around while adjusting a belt, with many other people in the room.</t>
  </si>
  <si>
    <t>The man walks through a tunnel flanked by several other men.</t>
  </si>
  <si>
    <t>The man gets on a stage and powders his hands.</t>
  </si>
  <si>
    <t>The man walks before a barbell with weights.</t>
  </si>
  <si>
    <t>The man lifts the weights.</t>
  </si>
  <si>
    <t>The man drops the weights.</t>
  </si>
  <si>
    <t>The man walks off stage as attendants move to the weight on stage.</t>
  </si>
  <si>
    <t>A replay of the lift is shown from a different angle.</t>
  </si>
  <si>
    <t>v_S633fHu_NrU</t>
  </si>
  <si>
    <t>A lady is standing at the table with ingredients on the table.</t>
  </si>
  <si>
    <t>The woman pointed the ingredients such as red bell peppers, celery, carrots, chicken breast, olives, pickled gherkins, olive oil in the bottle, white wine in the bottle, mayonnaise, mustard and gruyere, salt and pepper.</t>
  </si>
  <si>
    <t>The lady touched the ingredients in the plates, then she sliced the chicken, put the mustard, mayonnaise and olive oil in a bowl, then added the vegetables, and then the plate is shown with the chicken salad.</t>
  </si>
  <si>
    <t>v_GBTpVjwLxe0</t>
  </si>
  <si>
    <t>A kayak rider paddles against the current and maneuvers back and forth with his hips and paddle.</t>
  </si>
  <si>
    <t>The kayak rider dips into the water and recovers.</t>
  </si>
  <si>
    <t>v_wMDyshGO2og</t>
  </si>
  <si>
    <t>A game is taking place between argentina and peru.</t>
  </si>
  <si>
    <t>People in the crowded stands gather and disperse.</t>
  </si>
  <si>
    <t>The men are shown on the court, playing the game and kicking the ball.</t>
  </si>
  <si>
    <t>The scoreboard is shown for comparison as the game ends.</t>
  </si>
  <si>
    <t>v_ecWUNT_HcN8</t>
  </si>
  <si>
    <t>A large roof is seen close up followed by a person standing on a ladder and pushing down tiles.</t>
  </si>
  <si>
    <t>More people are seen working on the roof hammering down tiles as well as pushing them off and speaking to the camera.</t>
  </si>
  <si>
    <t>The camera continues to pan all around the roof as well as buildings around them and the men continuing to work.</t>
  </si>
  <si>
    <t>v_f5xSylPY_bQ</t>
  </si>
  <si>
    <t>A girl is sitting down in front of a couch.</t>
  </si>
  <si>
    <t>She starts playing a flute.</t>
  </si>
  <si>
    <t>She continues playing the flute white looking down.</t>
  </si>
  <si>
    <t>v_ynxngsa-IHU</t>
  </si>
  <si>
    <t>A man stands in front of a wall filled with hair products.</t>
  </si>
  <si>
    <t>Various scissors and combs are laid out on a mat.</t>
  </si>
  <si>
    <t>The salon stylist towels off then rubs hair products through the man's hair with his hands.</t>
  </si>
  <si>
    <t>The stylist combs out the persons hair and cuts it with scissors.</t>
  </si>
  <si>
    <t>The stylist trims the sideburns and around the ears.</t>
  </si>
  <si>
    <t>The stylist uses his hands to style the hair and blow drys it when finished cutting for the person to see.</t>
  </si>
  <si>
    <t>v_PVJK-r4pNg8</t>
  </si>
  <si>
    <t>We see a smiling man with credits running on the screen.</t>
  </si>
  <si>
    <t>We see an instructional screen.</t>
  </si>
  <si>
    <t>We see two men playing a game of squash.</t>
  </si>
  <si>
    <t>v_1_PiNdPt6RU</t>
  </si>
  <si>
    <t>woman is eating bran flakes and putting some mascara, washing her teeth and cleaning her mouth with mouthwash.</t>
  </si>
  <si>
    <t>journalists are talking in the news.</t>
  </si>
  <si>
    <t>v_Lx_FcKpTZIw</t>
  </si>
  <si>
    <t>A woman is washing her hands over a sink.</t>
  </si>
  <si>
    <t>She rinses her hands off in the sink.</t>
  </si>
  <si>
    <t>She grabs a paper towel and dries her hands.</t>
  </si>
  <si>
    <t>v_zPGc84TC74A</t>
  </si>
  <si>
    <t>We see the title screen on gray.</t>
  </si>
  <si>
    <t>Two men are playing squash.</t>
  </si>
  <si>
    <t>We see a transition urging practice.</t>
  </si>
  <si>
    <t>A transition starts but doesn't change to anything.</t>
  </si>
  <si>
    <t>The man in white wipes his brow with his sleeve.</t>
  </si>
  <si>
    <t>The end credits run up the screen.</t>
  </si>
  <si>
    <t>v_zL_WLS1gPNw</t>
  </si>
  <si>
    <t>A woman is kneeling down on the ground next to a desk.</t>
  </si>
  <si>
    <t>She starts painting the desk white with a paint brush.</t>
  </si>
  <si>
    <t>She then starts painting two of the drawers orange.</t>
  </si>
  <si>
    <t>v_KRz3aBw_TlQ</t>
  </si>
  <si>
    <t>Men take turns throwing darts at a dart board.</t>
  </si>
  <si>
    <t>A woman in the crowd claps for them.</t>
  </si>
  <si>
    <t>A man takes a drink out of a glass.</t>
  </si>
  <si>
    <t>v_Ru18FF0tcuA</t>
  </si>
  <si>
    <t>A person is rowing at the edge of a boat.</t>
  </si>
  <si>
    <t>The person takes out a fishing hook.</t>
  </si>
  <si>
    <t>The person starts fishing at his edge.</t>
  </si>
  <si>
    <t>v_iqmpDgATXbU</t>
  </si>
  <si>
    <t>A woman is seen performing a belly dancing routine on a large stage with other people watching on the sides.</t>
  </si>
  <si>
    <t>The woman continues dancing and spinning around the stage and ends with her posing and walking off.</t>
  </si>
  <si>
    <t>v_YUFPWt0VQ1Y</t>
  </si>
  <si>
    <t>There is a group of marching band students playing the trumpets.</t>
  </si>
  <si>
    <t>They are dressed in maroon and yellow colored uniforms and white hats.</t>
  </si>
  <si>
    <t>There are some students playing the drums and some students playing the trumpet.</t>
  </si>
  <si>
    <t>They continue playing the band as they march along the streets.</t>
  </si>
  <si>
    <t>v_-EKpX0t44pQ</t>
  </si>
  <si>
    <t>A wrestler is walking out and gets into the ring.</t>
  </si>
  <si>
    <t>Someone is laying on their stomach getting a tattoo on their back.</t>
  </si>
  <si>
    <t>A man in a red shirt is tattooing the man laying down.</t>
  </si>
  <si>
    <t>The wrestler is shown again.</t>
  </si>
  <si>
    <t>v_86sxvTk3YEY</t>
  </si>
  <si>
    <t>An actor,Jason Stathom,is sitting in a blue reclining chair talking a late night tv host by the name of Jimmy Fallon who is sitting behind a desk.</t>
  </si>
  <si>
    <t>The two continue to speak then they both stand up in a joking manner and walk over to a table.</t>
  </si>
  <si>
    <t>They both stand at the ends of the table and begin arm wrestling and talking.</t>
  </si>
  <si>
    <t>After a long period of time passes,the actor wins and starts cheering for himself.</t>
  </si>
  <si>
    <t>v_AntmYynwbhQ</t>
  </si>
  <si>
    <t>A woman in white shirt is posing with her short hair.</t>
  </si>
  <si>
    <t>A man in white shirt is cutting the hair of the girl in a studio with white background, then he braided the back of her hair, then continue to cut and style the girl's hair.</t>
  </si>
  <si>
    <t>v_VXiaPftjWqQ</t>
  </si>
  <si>
    <t>A man is seen kneeling down on a floor followed by shots of him putting plaster and tiles down are shown.</t>
  </si>
  <si>
    <t>He then drills into a bucket and lays plaster down, as well as placing tiles on the floor yet again and showing more shots of him working in the end.</t>
  </si>
  <si>
    <t>v_osaJxzwVt6Q</t>
  </si>
  <si>
    <t>kid is standing in front of stage playing congas.</t>
  </si>
  <si>
    <t>behind him is a girl playing the tambourine and a boy playing the triangle.</t>
  </si>
  <si>
    <t>in the background kids standing on stage are playing drums.</t>
  </si>
  <si>
    <t>v_4_yy5vswBn4</t>
  </si>
  <si>
    <t>A man is sitting at a table.</t>
  </si>
  <si>
    <t>A woman steps onto the table and falls into his arms.</t>
  </si>
  <si>
    <t>She does a back flip off of him onto the floor.</t>
  </si>
  <si>
    <t>They begin dancing on the dance floor.</t>
  </si>
  <si>
    <t>v_LkwkGj27pP8</t>
  </si>
  <si>
    <t>A man is seen leaning onto a fence and continuously bending down to dip paint into a bucket.</t>
  </si>
  <si>
    <t>The woman brushes the fence continuously in front of her while the camera captures her from behind.</t>
  </si>
  <si>
    <t>v_JBnHqQjeVMk</t>
  </si>
  <si>
    <t>Cars and RV's sit outside a rodeo center.</t>
  </si>
  <si>
    <t>Cowboys practice their lasso work.</t>
  </si>
  <si>
    <t>People shop inside the store of the rodeo center.</t>
  </si>
  <si>
    <t>A young kid catches a calf.</t>
  </si>
  <si>
    <t>A cowboy jumps off his horse to control the calf he has caught.</t>
  </si>
  <si>
    <t>Another cowboy in a black shirt jumps off his horse.</t>
  </si>
  <si>
    <t>A man in a pink shirt lassos a calf.</t>
  </si>
  <si>
    <t>A woman on a horse catches a calf.</t>
  </si>
  <si>
    <t>Another man jumps off his brown horse to control the calf he has caught.</t>
  </si>
  <si>
    <t>v_8tI9IsSpgeI</t>
  </si>
  <si>
    <t>A man lifts large weight off the ground.</t>
  </si>
  <si>
    <t>He pushes it over his head before dropping it on the ground.</t>
  </si>
  <si>
    <t>v_D99jYbtGO38</t>
  </si>
  <si>
    <t>A man throws a ball to his son, who catches it with a lacrosse stick.</t>
  </si>
  <si>
    <t>The boy flings it back and it sails to the right of the man.</t>
  </si>
  <si>
    <t>v_sV6JEbmqDUw</t>
  </si>
  <si>
    <t>A woman is shown from various angles moving on an exercise machine and leads into the earth revolving.</t>
  </si>
  <si>
    <t>She places an item on the machine and several pictures of health are shown.</t>
  </si>
  <si>
    <t>She is again on the machine riding and finally folds up the machine in the end.</t>
  </si>
  <si>
    <t>v_rvkVdD2u_yA</t>
  </si>
  <si>
    <t>A man is talking in front of a net.</t>
  </si>
  <si>
    <t>He crouches down to the floor, crossing his ankles.</t>
  </si>
  <si>
    <t>He then goes forward and back several times, stretching.</t>
  </si>
  <si>
    <t>v_CP9NQpJD0-Y</t>
  </si>
  <si>
    <t>A man sits in a room and discusses.</t>
  </si>
  <si>
    <t>The man holds up a coffee cup while talking.</t>
  </si>
  <si>
    <t>The man takes a few drinks from the coffee cup.</t>
  </si>
  <si>
    <t>v_fsz79uPkUSs</t>
  </si>
  <si>
    <t>A toddler is sitting down in front of a table,with her play make up laid out on the table.</t>
  </si>
  <si>
    <t>She then takes her foundation and puts it around her face.</t>
  </si>
  <si>
    <t>Next comes her eye shadow,then her lips but she ends up dropping it on the floor and has to go under the table to get it.</t>
  </si>
  <si>
    <t>Finally,she comes back and adds the finishing touches on her lips,she finishes off her lips and adds more color to her cheeks.</t>
  </si>
  <si>
    <t>v_06ofnvq2Hjs</t>
  </si>
  <si>
    <t>We see images which were shot around DC.</t>
  </si>
  <si>
    <t>We see a man talking and shots of skateboards as people assemble in a room.</t>
  </si>
  <si>
    <t>We see Tony Hawk who points to other people.</t>
  </si>
  <si>
    <t>We see people skateboarding in the street, and around DC.</t>
  </si>
  <si>
    <t>We see a skater named Shaun Gregoirie.</t>
  </si>
  <si>
    <t>A lady holds up a USA Flag and talks.</t>
  </si>
  <si>
    <t>We see a cop car on the street.</t>
  </si>
  <si>
    <t>We see Anthony Shetler sitting and talking before skating on the street.</t>
  </si>
  <si>
    <t>A man jumps stairs and falls.</t>
  </si>
  <si>
    <t>v_O9HLR19is-A</t>
  </si>
  <si>
    <t>A man is seen sitting in a bumper car holding a thumbs up and then begins driving around.</t>
  </si>
  <si>
    <t>The people continue driving around bumping into one another and ends with them standing up.</t>
  </si>
  <si>
    <t>v_PQBeNLSdugw</t>
  </si>
  <si>
    <t>Young boys are shown doing a karate demo in front of the judges.</t>
  </si>
  <si>
    <t>They move back and forth and front to back performing various punches.</t>
  </si>
  <si>
    <t>They then relax and take a bow while the people behind them clap.</t>
  </si>
  <si>
    <t>They then continue on with their routine of play fighting.</t>
  </si>
  <si>
    <t>This continues on until the boy finish their routine to applause and then sit down.</t>
  </si>
  <si>
    <t>v_C3K-OgdK8FY</t>
  </si>
  <si>
    <t>A man is wearing sunglasses inside a building.</t>
  </si>
  <si>
    <t>We see a group of people in the building as they dance aerobically.</t>
  </si>
  <si>
    <t>They shake in unison, going back and forth and side to side.</t>
  </si>
  <si>
    <t>v_E0xXymnjDkc</t>
  </si>
  <si>
    <t>People are standing outside playing volleyball.</t>
  </si>
  <si>
    <t>A man in a black shirt is talking to someone.</t>
  </si>
  <si>
    <t>A man in a gray shirt has his hands on his hips.</t>
  </si>
  <si>
    <t>v_ujiWstJ3tt0</t>
  </si>
  <si>
    <t>A man is kneeling down on the ground sanding a wall with a silver utensil.</t>
  </si>
  <si>
    <t>The man stands up,looks back at the camera and continues doing his task.</t>
  </si>
  <si>
    <t>Now the man is back on his knees and continues to do what he was doing in the beginning.</t>
  </si>
  <si>
    <t>v_oFku30m99do</t>
  </si>
  <si>
    <t>A woman is seen standing in a bathroom wrapped up in a towel.</t>
  </si>
  <si>
    <t>The girl holds her hair up with one hand and rubs makeup on with the other.</t>
  </si>
  <si>
    <t>v_F1RpG1Vwi28</t>
  </si>
  <si>
    <t>There's a bald man with a goatee beard standing in his bathroom in front of a large mirror with an electric shaver in his hand.</t>
  </si>
  <si>
    <t>He is demonstrating how to shave off his beard and maintain it.</t>
  </si>
  <si>
    <t>Then he begins showing how to use the trimmer for his beard by adjusting the clipper size.</t>
  </si>
  <si>
    <t>He completely shaves his beard off.</t>
  </si>
  <si>
    <t>He then touches his skin to see how clean the shave is.</t>
  </si>
  <si>
    <t>He removes the hair off of the shaver and cleans it.</t>
  </si>
  <si>
    <t>v_8Qg395HjqFg</t>
  </si>
  <si>
    <t>A man in a white jacket picks up an iron.</t>
  </si>
  <si>
    <t>He places tin foil down onto a table.</t>
  </si>
  <si>
    <t>He puts bread on the tin foil with butter and cheese.</t>
  </si>
  <si>
    <t>He puts the iron on the sandwich.</t>
  </si>
  <si>
    <t>He opens the tin foil and cuts the sandwich in half.</t>
  </si>
  <si>
    <t>He takes a bit of the sandwich.</t>
  </si>
  <si>
    <t>v_zSCZphJS2vA</t>
  </si>
  <si>
    <t>An athlete is seen walking up to a platform and begins spinning himself around and throwing an object off into the distance.</t>
  </si>
  <si>
    <t>His throw is shown again in slow motion and another man is seen spinning around then throwing the object with his hands up afterwards.</t>
  </si>
  <si>
    <t>v_Z7gECmnHeKk</t>
  </si>
  <si>
    <t>A man is seen sitting on a piece of exercise equipment and rowing himself back and fourth on a machine.</t>
  </si>
  <si>
    <t>The man continues moving himself back and fourth as the camera captures him from several angles.</t>
  </si>
  <si>
    <t>v_-C1nnsyw7R0</t>
  </si>
  <si>
    <t>man is standing in a racetrack and is running to make a jump and people is standing around him.</t>
  </si>
  <si>
    <t>man is sitting in a room talking to the camera.</t>
  </si>
  <si>
    <t>man is running in a racetrack and jumping in the dust and man is sitting in a room talking.</t>
  </si>
  <si>
    <t>players are running playing american football and spectators are in the terraces.</t>
  </si>
  <si>
    <t>old man is talking in the room and the man in the race track is running and practicing the jump.</t>
  </si>
  <si>
    <t>v_zUuT2FBf-Oc</t>
  </si>
  <si>
    <t>Two large pieces of decorated construction paper are shown with the words Happy Birthday all over them.</t>
  </si>
  <si>
    <t>We then see presents wrapped with the same wording.</t>
  </si>
  <si>
    <t>v_TSVDMiy_FC4</t>
  </si>
  <si>
    <t>A close up pair of shoes is shown followed by various text instructions and tools laid out.</t>
  </si>
  <si>
    <t>A person is then seen rubbing down the show with a rag using several ingredients and zooming in on the clean pair of shoes.</t>
  </si>
  <si>
    <t>v_iPU4muYW14Y</t>
  </si>
  <si>
    <t>A woman is standing on a wooden floor.</t>
  </si>
  <si>
    <t>She is raising and lowering her arms, changing to different positions.</t>
  </si>
  <si>
    <t>She is displaying acts of tai chai for the camera.</t>
  </si>
  <si>
    <t>v_mEjU4uJZccw</t>
  </si>
  <si>
    <t>a man is shown on a stage, playing a set of drums.</t>
  </si>
  <si>
    <t>The woman to one side is playing maracas.</t>
  </si>
  <si>
    <t>The man on the other side is playing an electric guitar.</t>
  </si>
  <si>
    <t>v_kXCtmH4V0TI</t>
  </si>
  <si>
    <t>A man is shown entering a circular caged area with one side open.</t>
  </si>
  <si>
    <t>The man begins rotating a ball that is attached to a string around him.</t>
  </si>
  <si>
    <t>The man begins spinning his body quickly in circles.</t>
  </si>
  <si>
    <t>The man lets go of the string and the ball flies through the air.</t>
  </si>
  <si>
    <t>v_uqT5jtfx8x0</t>
  </si>
  <si>
    <t>Two teams play polo holding poles to kick a ball on front a crowd in a field.</t>
  </si>
  <si>
    <t>People stand next to the scores boards.</t>
  </si>
  <si>
    <t>Then, a player get up the stage to receives a trophy, after a woman kiss the winner and other players on stage, and all rise the trophy.</t>
  </si>
  <si>
    <t>v_HXn5ZpSEMqg</t>
  </si>
  <si>
    <t>A man hold up a bench and opens the parts so he can set it up.</t>
  </si>
  <si>
    <t>He sticks a pin in and snaps his ski in.</t>
  </si>
  <si>
    <t>He then waxes the ski and removes the pin.</t>
  </si>
  <si>
    <t>He adjusts the parts of the bench.</t>
  </si>
  <si>
    <t>We see the bench in shots with the end credits.</t>
  </si>
  <si>
    <t>v_BryW4niZT9Y</t>
  </si>
  <si>
    <t>A man serves a tennis ball when playing tennis with a person in a tennis court.</t>
  </si>
  <si>
    <t>Then, the man serves again to a person behind the net, while a player stands next to him.</t>
  </si>
  <si>
    <t>After, the man serves a ball but nobody is behind the net.</t>
  </si>
  <si>
    <t>v_34NXXCSWyzE</t>
  </si>
  <si>
    <t>A man riding a horse and swinging a rope around is seen chasing after a calf and eventually grabbing the animal with his rope.</t>
  </si>
  <si>
    <t>He holds the calf down and another man comes out to help the man tie up the calf.</t>
  </si>
  <si>
    <t>He then grabs his rope and rides out of the arena on his horse.</t>
  </si>
  <si>
    <t>v_tMheZSxPl3Q</t>
  </si>
  <si>
    <t>Pieces of furniture are seen including cabinets and tables.</t>
  </si>
  <si>
    <t>A person sands down a piece of wood with an electric sander.</t>
  </si>
  <si>
    <t>A person sands down a piece of wood by hand.</t>
  </si>
  <si>
    <t>v_hPOtGLv1GzM</t>
  </si>
  <si>
    <t>People are riding bicycles on a track.</t>
  </si>
  <si>
    <t>A man crashes and lands on the track.</t>
  </si>
  <si>
    <t>A man in a hat is talking to the camera.</t>
  </si>
  <si>
    <t>People continue to ride bikes on the track and crashing.</t>
  </si>
  <si>
    <t>v_3xmgPNrmUYM</t>
  </si>
  <si>
    <t>A camera zooms in on a weight with a person standing nearby.</t>
  </si>
  <si>
    <t>A woman is then standing with weights in her hands and doing lunges.</t>
  </si>
  <si>
    <t>A second woman comes in as well as a man doing various weight lifting moves.</t>
  </si>
  <si>
    <t>v_JkcoGLKl_0A</t>
  </si>
  <si>
    <t>A baby is riding a swing in the playground.</t>
  </si>
  <si>
    <t>A hand pushs her while she enjoys the ride.</t>
  </si>
  <si>
    <t>The man starts to play with her.</t>
  </si>
  <si>
    <t>v_6okx-34bDEg</t>
  </si>
  <si>
    <t>People run in a marathon in the street.</t>
  </si>
  <si>
    <t>A man head the race and run alone in the street.</t>
  </si>
  <si>
    <t>Suddenly, the man crashes into the car and falls.</t>
  </si>
  <si>
    <t>v_CmS2nSm5n2Q</t>
  </si>
  <si>
    <t>There's a man in a blue shirt walking into a tall building where there's an indoor fencing arena.</t>
  </si>
  <si>
    <t>He walks into the arena and talks with two fencers.</t>
  </si>
  <si>
    <t>One of the fencers puts on a fencing suit on the man.</t>
  </si>
  <si>
    <t>The fencer then demonstrates and gives the man a lesson in fencing.</t>
  </si>
  <si>
    <t>He shows the man the various skills involved in fencing.</t>
  </si>
  <si>
    <t>The man is able to miss and evade every move of the fencer as he goes untouched by the sword.</t>
  </si>
  <si>
    <t>Then both the fencers remove their masks and shake hands.</t>
  </si>
  <si>
    <t>The fencer talks about his experience with the master fencer.</t>
  </si>
  <si>
    <t>v_sJUUm0n4cXA</t>
  </si>
  <si>
    <t>A game of lacrosse begins and a boy by the name of Chase Madrid is highlights making scenes throughout the game.</t>
  </si>
  <si>
    <t>Several different games begin and a yellow circle is drawn around him for each play when he is running back and forth.</t>
  </si>
  <si>
    <t>When the highlight reel is finished,a black screen appears and shows the High School as well as the name for the player.</t>
  </si>
  <si>
    <t>v_8v2sAylgkgc</t>
  </si>
  <si>
    <t>A man is at a park, where he and his wife, who is holding a baby, push two small children on the swings.</t>
  </si>
  <si>
    <t>The woman disappears as the man continues to push.</t>
  </si>
  <si>
    <t>v_Kcy0A0DuckE</t>
  </si>
  <si>
    <t>A small group of kids are seen moving around a gymnasium throwing balls around.</t>
  </si>
  <si>
    <t>The kids throw the balls to one another while playing a game.</t>
  </si>
  <si>
    <t>The game continues on while the kids jump and down.</t>
  </si>
  <si>
    <t>v_A0F6uT95xhA</t>
  </si>
  <si>
    <t>A man dances in in a big room.</t>
  </si>
  <si>
    <t>As he does the dance he explains how to do it.</t>
  </si>
  <si>
    <t>v_3S_aifr5rG4</t>
  </si>
  <si>
    <t>These horses are walking in a grassy area by themselves and then a woman is shown brushing the horse's hair.</t>
  </si>
  <si>
    <t>The camera zooms in to shows the horse' nose and then the woman climbs onto the horse's saddle to ride it somewhere.</t>
  </si>
  <si>
    <t>Then two other people are hsown riding the horse's in different settings.</t>
  </si>
  <si>
    <t>v_DIATqGGmG2g</t>
  </si>
  <si>
    <t>Two girls are siting outside talking with there feet crossed.</t>
  </si>
  <si>
    <t>One of the girls hands the other a container which she pulls a little paper out of that tells her what to do.</t>
  </si>
  <si>
    <t>She reads it and then does what the paper says to do.</t>
  </si>
  <si>
    <t>They take turns doing this, picking a note and then doing the task it says to do and they are having fun while doing so.</t>
  </si>
  <si>
    <t>v_FRoL-CpfbJ4</t>
  </si>
  <si>
    <t>Water splashing on a watch tower.</t>
  </si>
  <si>
    <t>People sitting on the beach in a boat.</t>
  </si>
  <si>
    <t>music plays in the background as different people are sailing during different clips.</t>
  </si>
  <si>
    <t>v_RBkieLmOUlQ</t>
  </si>
  <si>
    <t>Two boys in karate pants wrestle one another in the background.</t>
  </si>
  <si>
    <t>The group forms a circle and two of the boys begin to spar in a martial arts practice.</t>
  </si>
  <si>
    <t>the boy in pink top does a spinning kick.</t>
  </si>
  <si>
    <t>v_-l5e1zVzQOQ</t>
  </si>
  <si>
    <t>A band plays music on stage.</t>
  </si>
  <si>
    <t>A man plays the drums intensely.</t>
  </si>
  <si>
    <t>A large screen shows the band above.</t>
  </si>
  <si>
    <t>People play the guitar on the stage.</t>
  </si>
  <si>
    <t>v_TdAfqkmTrf0</t>
  </si>
  <si>
    <t>Players are running around playing lacrosse on a field of grass.</t>
  </si>
  <si>
    <t>The audience is watching and applauding for them.</t>
  </si>
  <si>
    <t>v_ZVMGA4oF6xo</t>
  </si>
  <si>
    <t>A balded man is seen talking to a camera while rubbing his head and making grimace faces.</t>
  </si>
  <si>
    <t>He continues speaking to the camera and the video ends with him waving and shutting the camera off.</t>
  </si>
  <si>
    <t>v_t6Hc2tHRrs4</t>
  </si>
  <si>
    <t>A group is shown together and racing on bmx bikes in a series of photos.</t>
  </si>
  <si>
    <t>Then we see people on bikes, performing stunts, going around a ring and jumping hills.</t>
  </si>
  <si>
    <t>A biker flies through the air, then we see a final photo of the winners with their medals.</t>
  </si>
  <si>
    <t>v_HmqRZ4HPu1U</t>
  </si>
  <si>
    <t>A man in a yard starts his lawn mower.</t>
  </si>
  <si>
    <t>The man mows his lawn with headphones on his ears as his dog walks around the yard.</t>
  </si>
  <si>
    <t>the dog runs to get out of the way of the lawn mower and leaves the scene.</t>
  </si>
  <si>
    <t>v_fVzpG-QQ1n8</t>
  </si>
  <si>
    <t>A cat is seen licking itself on a bed while a person continuously attempts to cut it's claws.</t>
  </si>
  <si>
    <t>The person scratches the cat while it continues to lick itself and attempts again to cut it's claws.</t>
  </si>
  <si>
    <t>Finally the person plays with the cat and the car continues licking.</t>
  </si>
  <si>
    <t>v_KgfKmcsEMK0</t>
  </si>
  <si>
    <t>A guy is shaving a male's leg.</t>
  </si>
  <si>
    <t>The male laughs and messes with his shorts.</t>
  </si>
  <si>
    <t>The guy rinses the razor in a blue bowl full with soapy liquid.</t>
  </si>
  <si>
    <t>v_BadeHG8y4PQ</t>
  </si>
  <si>
    <t>A man is holding a volleyball while standing on a court and speaking.</t>
  </si>
  <si>
    <t>Female players train and practice behind him while he speaks.</t>
  </si>
  <si>
    <t>v_X1vyuNazaIc</t>
  </si>
  <si>
    <t>Two children in pajamas hang Christmas ornaments from a tree.</t>
  </si>
  <si>
    <t>A fake bat bursts out of the Christmas tree and scares the children.</t>
  </si>
  <si>
    <t>v_rVqeQ9D7EWo</t>
  </si>
  <si>
    <t>A man is standing outside a trailer.</t>
  </si>
  <si>
    <t>He begins to shovel snow in front of the trailer.</t>
  </si>
  <si>
    <t>He puts the snow shovel in the snow and continues talking.</t>
  </si>
  <si>
    <t>v_PlUAKvaRd8s</t>
  </si>
  <si>
    <t>A small child is seen sitting in a tube while others stand around him.</t>
  </si>
  <si>
    <t>The boy then begins riding down a snowy hill in the tube.</t>
  </si>
  <si>
    <t>The boy continues to ride until he reaches the bottom.</t>
  </si>
  <si>
    <t>v_TV8putYbiCU</t>
  </si>
  <si>
    <t>A woman stands by a sink as she speaks.</t>
  </si>
  <si>
    <t>She turns on the faucet and wets the sink.</t>
  </si>
  <si>
    <t>She sprays the sink with a cleaner.</t>
  </si>
  <si>
    <t>She grabs a paper towel and wipes the sink.</t>
  </si>
  <si>
    <t>She turns on the water and wets the sink.</t>
  </si>
  <si>
    <t>She grabs another paper towel and wipes the sink.</t>
  </si>
  <si>
    <t>She finishes wiping the sink and speaks.</t>
  </si>
  <si>
    <t>v_JFGJYIZ7ONE</t>
  </si>
  <si>
    <t>A team is playing basketball against another team.</t>
  </si>
  <si>
    <t>They chase the ball all over the court.</t>
  </si>
  <si>
    <t>They try to keep the ball away from their opponent, making baskets as they go.</t>
  </si>
  <si>
    <t>v_5I5xXW25OXs</t>
  </si>
  <si>
    <t>Two men getting ready for a contest by doing paper scissors rocks to see who goes first.</t>
  </si>
  <si>
    <t>The men cross their arms and began drinking the liquids during the contest.</t>
  </si>
  <si>
    <t>v_vl7OBBTv7KY</t>
  </si>
  <si>
    <t>an oreo cheesecake is on top of a table.</t>
  </si>
  <si>
    <t>oreos are in a bowl and the cooker is crushing them and melted butter and mixing and put it in a pan.</t>
  </si>
  <si>
    <t>whipping cream is meled in a bowl and beat until double its volume.</t>
  </si>
  <si>
    <t>in other bowl a cream cheese is mixed with sugar and vanilla and break oreo cookies in a bowl and mix it together and then drop it in the pan and top it off with oreo cookies.</t>
  </si>
  <si>
    <t>v_J_CqwWJZTh4</t>
  </si>
  <si>
    <t>A woman is seen speaking into a microphone and leads into her throwing darts at a person's head after spinning.</t>
  </si>
  <si>
    <t>The person wears a pumpkin head and more people are seen attempting to throw darts.</t>
  </si>
  <si>
    <t>In the end the man takes the pumpkin off of his head.</t>
  </si>
  <si>
    <t>v_AR-VPPtV7ag</t>
  </si>
  <si>
    <t>A man is shown sitting down in front of a tree shuffling cards when someone hands him a drink.</t>
  </si>
  <si>
    <t>He then chugs the drink very quickly and points to the one who threw the drink.</t>
  </si>
  <si>
    <t>v_FaiSWZFSHSE</t>
  </si>
  <si>
    <t>Several images of a bakery and a chef are shown and then a little animate guy comes along showing what the video will be about.</t>
  </si>
  <si>
    <t>A real chef then appears and begins cutting small layers of cakes and adding them together.</t>
  </si>
  <si>
    <t>Once all the layers of the cake are cut out and iced together,the fondant is placed on the cake as well as the icing and the desert is complete.</t>
  </si>
  <si>
    <t>v_rMX2KeJa8qI</t>
  </si>
  <si>
    <t>A group of shirtless men are seen standing around the outside of a home when one grabs various tools and hands more to another.</t>
  </si>
  <si>
    <t>The men then hit a ball all around the yard through stands sticking out and speak to one another while drinking water.</t>
  </si>
  <si>
    <t>The men hit the ball a few more times and continue to speak to one another.</t>
  </si>
  <si>
    <t>v_brSp5DB7OLs</t>
  </si>
  <si>
    <t>A young girl is shown taking wet clothes our of a bucket.</t>
  </si>
  <si>
    <t>Several people are around her washing clothes and tending to them.</t>
  </si>
  <si>
    <t>She looks back at the camera and seems to be having fun.</t>
  </si>
  <si>
    <t>A young boy jumps in front of the camera and is smiling.</t>
  </si>
  <si>
    <t>The little girls continue rinsing the clothes in the bucket as the young boy turns his back to the camera.</t>
  </si>
  <si>
    <t>The young girl continues on with her work and is shown being very focused in her task.</t>
  </si>
  <si>
    <t>v_t2zLJ5mKTT8</t>
  </si>
  <si>
    <t>Water falls as a man stand on a jet ski.</t>
  </si>
  <si>
    <t>We see the man jet skiing and performing jumps on a lake.</t>
  </si>
  <si>
    <t>The man skis with his hand in the water as he bends down.</t>
  </si>
  <si>
    <t>We see the boat pass us with the skier in the air.</t>
  </si>
  <si>
    <t>v_Np43Q2E8GCE</t>
  </si>
  <si>
    <t>Two women and a man are walking in the hallway looking at the carpets on display.</t>
  </si>
  <si>
    <t>A red van driven by a man passed, then a man walked towards the house, then a man is crouching on the carpeted floor cutting a piece or brown carpet, iron the carpet, press the carpet with heavy metal.</t>
  </si>
  <si>
    <t>v_0XRZ2F5B7fQ</t>
  </si>
  <si>
    <t>A man and a woman scrape frost off of a parked car's windows, windshield and wiper blades while a second woman talks to them from the side of the car in the snow.</t>
  </si>
  <si>
    <t>A man in a long black wool coat scrapes ice off of a blue car's windshield while a woman in a black fur collared coat talks to him from the side of the car.</t>
  </si>
  <si>
    <t>A second woman begins wiping snow off of the car's windshield wipers while talking to the woman in the fur hooded coat.</t>
  </si>
  <si>
    <t>The man gets in the back seat of the car and shuts the door behind him while the woman in the fur hooded coat waves at the other woman who is moving towards the drivers side car door.</t>
  </si>
  <si>
    <t>v_WiJMIl5Tp3A</t>
  </si>
  <si>
    <t>There are a few girls doing gymnastics in a gym.</t>
  </si>
  <si>
    <t>There's a young girl wearing an athletic tank top and shorts doing back flips in her backyard.</t>
  </si>
  <si>
    <t>She continues to back flips in a fast manner.</t>
  </si>
  <si>
    <t>She also does a back flip on the beach.</t>
  </si>
  <si>
    <t>Then she does some more back flips in her backyard and in a park.</t>
  </si>
  <si>
    <t>The girl then stretches her leg towards the back of her head to make her toes touch her head.</t>
  </si>
  <si>
    <t>Several pictures of the girl are shown where she has participated as a cheerleader and in many gymnastic events.</t>
  </si>
  <si>
    <t>v_juP0cn5B60Y</t>
  </si>
  <si>
    <t>A woman is seen speaking to the camera while shots of homes are shown.</t>
  </si>
  <si>
    <t>People are then seen grooming dogs and holding up awards.</t>
  </si>
  <si>
    <t>The woman continues speaking to the camera while the dogs continue to be groomed behind her.</t>
  </si>
  <si>
    <t>v_zp86ztwZEKk</t>
  </si>
  <si>
    <t>A talking man dressed in athletic gear is standing on a very green field and the words on the bottom left say his name is Neil Macmillan and his title is Head Coach.</t>
  </si>
  <si>
    <t>A large group of girls dressed in athletic gear are shown playing land hockey, and the people not playing are dressed for cold weather.</t>
  </si>
  <si>
    <t>Clips of the man continue to play and rotate from showing the man and the girls playing land hockey until they are done playing.</t>
  </si>
  <si>
    <t>v_FK73jqIGUzE</t>
  </si>
  <si>
    <t>A boy welds on a piece of metal making sparkles.</t>
  </si>
  <si>
    <t>Then, the boy raise his helmet and talks.</t>
  </si>
  <si>
    <t>v_AhWkUdag6NA</t>
  </si>
  <si>
    <t>A woman opens her mouth and smiles at the camera.</t>
  </si>
  <si>
    <t>People are going by, water sailing.</t>
  </si>
  <si>
    <t>They spin and turn in the water as they sail.</t>
  </si>
  <si>
    <t>v_zQ4HbFGX7t0</t>
  </si>
  <si>
    <t>A man closing his house door and then opening his car door.</t>
  </si>
  <si>
    <t>He gets in the car and puts the keys in the ignition and starts driving down the highway to his shop.</t>
  </si>
  <si>
    <t>He gets some boards and starts sanding them down smoothing them out.</t>
  </si>
  <si>
    <t>When the day is over he turns the lights off and gets ready for work.</t>
  </si>
  <si>
    <t>v_GwIHO7HpGkY</t>
  </si>
  <si>
    <t>A man is standing on ice holding a fishing pole in his right hand and there's a very small hole in the ice in front of him and he drops his hook into the hole and tugs on his pole.</t>
  </si>
  <si>
    <t>The man then pulls on the fishing wire a few times and stands there holding his fishing pole, moving it, and winding it from time to time.</t>
  </si>
  <si>
    <t>The end of the pole begins to bend and the man starts pulling the pole and winding it up and he pulls a fish out of the hole and it lands onto the ice.</t>
  </si>
  <si>
    <t>The man grabs the fish from the ice and puts it right back into the hole he just pulled it out from while it's still attached to the hook and his wire.</t>
  </si>
  <si>
    <t>The man then begins to pull on the fishing wire, pulls his pole up and and down a few times, and then adjusts the camera.</t>
  </si>
  <si>
    <t>v_dWBnXy2nauU</t>
  </si>
  <si>
    <t>The tile screen shows up with some names.</t>
  </si>
  <si>
    <t>A man starts throwing a shot-put several different times as names scroll at the bottom.</t>
  </si>
  <si>
    <t>A group can be seen behind watch him.</t>
  </si>
  <si>
    <t>A man is behind the last one thrown.</t>
  </si>
  <si>
    <t>v_bmc11KqVbEE</t>
  </si>
  <si>
    <t>Words appear on the screen before it goes black.</t>
  </si>
  <si>
    <t>A man appears, using squeegees to wash a window in front of him while he speaks.</t>
  </si>
  <si>
    <t>He applies soap liberally before swiping it off with the rake.</t>
  </si>
  <si>
    <t>He stops cleaning the window, and says a few words in closing.</t>
  </si>
  <si>
    <t>v_4fgIHu_Se3Q</t>
  </si>
  <si>
    <t>An athlete walks up to a beam.</t>
  </si>
  <si>
    <t>He mounts quickly, spinning and turning around it and jumping between the two bars several times.</t>
  </si>
  <si>
    <t>He finally dismounts, throwing his arms into the air before walking away.</t>
  </si>
  <si>
    <t>v_kzvFQv5UCx4</t>
  </si>
  <si>
    <t>A man makes tattoos on the back head and neck of a person.</t>
  </si>
  <si>
    <t>Then, the man cleans the head and neck with a white tissue.</t>
  </si>
  <si>
    <t>After, the man continues making the tattoo on the side of the head while cleaning the paint.</t>
  </si>
  <si>
    <t>v_fXdw7jwiP8g</t>
  </si>
  <si>
    <t>A woman in a black leotard is talking on a stage.</t>
  </si>
  <si>
    <t>She starts dancing for the camera.</t>
  </si>
  <si>
    <t>She shows several dance moves as she does them.</t>
  </si>
  <si>
    <t>v_vULLe2qogZU</t>
  </si>
  <si>
    <t>Two people are playing a lacrosse game.</t>
  </si>
  <si>
    <t>They shoot at the goal and make the point.</t>
  </si>
  <si>
    <t>v_-qGmUrF_7v4</t>
  </si>
  <si>
    <t>A little girl in a room standing in front of some chairs is hitting a dora pinata.</t>
  </si>
  <si>
    <t>She hits it a few times and then its someone else's turn.</t>
  </si>
  <si>
    <t>An older girl hits it so hard that it doesn't break but the whole pinata falls down and the adults have to put it back up.</t>
  </si>
  <si>
    <t>After everyone takes their tun the little girl gets to go again, when hitting doesn't work they all grab a piece of string and pull it.</t>
  </si>
  <si>
    <t>v_kliGNOFLJSk</t>
  </si>
  <si>
    <t>people is in a court stretching and making exercise, jumping the rope and weightlifting.</t>
  </si>
  <si>
    <t>man is talking to the camera and the people practicing capoeira, doing suicides and weightlifting are training.</t>
  </si>
  <si>
    <t>v_0WRxp0X0edY</t>
  </si>
  <si>
    <t>A man and a woman anchor are talking behind a desk and several television.</t>
  </si>
  <si>
    <t>The woman is then shown alone and she begins talking.</t>
  </si>
  <si>
    <t>An ice rink then appears and a woman begins coaching a man about specific techniques for a game.</t>
  </si>
  <si>
    <t>She has a brief interview and continues coaching people on Curling.</t>
  </si>
  <si>
    <t>More people are in the gym and they continue curling and more instructors begin having interviews.</t>
  </si>
  <si>
    <t>Clips are shown from a real curling game and the people begin to wait against the wall.</t>
  </si>
  <si>
    <t>v_r_n1PfHvKI4</t>
  </si>
  <si>
    <t>There is a field with a kite laying in it.</t>
  </si>
  <si>
    <t>A man is preparing to fly the kite.</t>
  </si>
  <si>
    <t>The kite gets airborne and soars.</t>
  </si>
  <si>
    <t>v_eDMv3IHGpnA</t>
  </si>
  <si>
    <t>A man wearing very large glasses is talking into a black microphone while people behind him are dancing until he points into their direction and they all scatter off the dance floor.</t>
  </si>
  <si>
    <t>Men are dressed in red suits and each are taking turns break dancing alone as words on the screen are possibly naming the dancer.</t>
  </si>
  <si>
    <t>When the last man is dancing they all stop and strike a pose and DJ that has been playing this whole time continues to play music at his DJ station.</t>
  </si>
  <si>
    <t>v_BUqr7or97JA</t>
  </si>
  <si>
    <t>A woman and a man performs arm wrestling.</t>
  </si>
  <si>
    <t>The man raise his t-shirt sleeve until the shoulder.</t>
  </si>
  <si>
    <t>A man walks in a room behind the wrestlers.</t>
  </si>
  <si>
    <t>The man bend the woman's arm, but the woman straight her arm and bend the arm of the man and win.</t>
  </si>
  <si>
    <t>v_YL3MvJVk6u0</t>
  </si>
  <si>
    <t>A man prunes dead branches from fruit bearing plant stems in the winter.</t>
  </si>
  <si>
    <t>A man, in a field of dirt and fruit crops with bare branches from the winter, begins to prune dead branches from the fruit plants with a pruning tool and a hatchet.</t>
  </si>
  <si>
    <t>An image of the plants in fruit bearing months appears before returning to the man in the field pruning the dead branches.</t>
  </si>
  <si>
    <t>v_edbczrXeEOk</t>
  </si>
  <si>
    <t>A person is shown performing a dive off of a board while a couple people watch on the sidelines and clap.</t>
  </si>
  <si>
    <t>The person performs several more tricks off of the high dive while more people watch on the sides.</t>
  </si>
  <si>
    <t>v_EZdnNs-5tlo</t>
  </si>
  <si>
    <t>Children drives bumper cars in a carnival.</t>
  </si>
  <si>
    <t>A little girl bumps on the wall and gets stuck with other cars, then the girl gets free and continues riding.</t>
  </si>
  <si>
    <t>The little girl get stuck with other children, then she gets free and then rides the bumper car.</t>
  </si>
  <si>
    <t>v_1BWF1U1dJ_w</t>
  </si>
  <si>
    <t>A person demonstrates how to make a mini meat and cheese sandwich platter with garnish.</t>
  </si>
  <si>
    <t>A large platter of prepared sandwiches displays.</t>
  </si>
  <si>
    <t>A persons hands is seen throwing different sandwich making ingredients into a shopping cart inside of a grocery store, the ingredients include rolls and lunch meat.</t>
  </si>
  <si>
    <t>A person is then seen putting a sandwich of cheese and meat together on white bread rolls with lettuce on a counter top.</t>
  </si>
  <si>
    <t>The person cuts the rolls apart to make individual sandwiches and then adds toothpicks and strawberries along with lettuce garnish to the platter which is then focused on by the camera as the finished product.</t>
  </si>
  <si>
    <t>v_zruHn4r6_CY</t>
  </si>
  <si>
    <t>We see a sign with a mans' name.</t>
  </si>
  <si>
    <t>We see a man run and do a long jump on different tracks repeatedly with his name on a sign occasionally.</t>
  </si>
  <si>
    <t>We see the man on a blue track with ad signs.</t>
  </si>
  <si>
    <t>The man tumbles on his landing.</t>
  </si>
  <si>
    <t>The man lands on his back.</t>
  </si>
  <si>
    <t>The screen fades to black.</t>
  </si>
  <si>
    <t>v_e51NGAPMp1s</t>
  </si>
  <si>
    <t>A man sinks underwater in a pool.</t>
  </si>
  <si>
    <t>The man sinks underwater in a pool backwards.</t>
  </si>
  <si>
    <t>Text is shown on a black screen.</t>
  </si>
  <si>
    <t>v_yDrTpm9c7MY</t>
  </si>
  <si>
    <t>woman is sitting on a wooden bench talking to the camera.</t>
  </si>
  <si>
    <t>woman is doing somersaults on a large green grassy field.</t>
  </si>
  <si>
    <t>woman is making a jump and slide and fell into the grass.</t>
  </si>
  <si>
    <t>v_Ta70WnVT6Lc</t>
  </si>
  <si>
    <t>A video is shown of skateboarders at an outdoor skatepark.</t>
  </si>
  <si>
    <t>Interviews are shown and then a few races are shown.</t>
  </si>
  <si>
    <t>v_TEkIJQljABs</t>
  </si>
  <si>
    <t>A small child seated at a table eats ice cream with a spoon while people walk by in the background.</t>
  </si>
  <si>
    <t>A pair of adult hands briefly enter the camera frame in the foreground.</t>
  </si>
  <si>
    <t>The child inserts her spoon into her ice cream container on the table.</t>
  </si>
  <si>
    <t>The child complains about something.</t>
  </si>
  <si>
    <t>The camera zooms in on the ice cream.</t>
  </si>
  <si>
    <t>v_-ROljbRVlos</t>
  </si>
  <si>
    <t>A person is seen standing on a court wearing stilts on his feet.</t>
  </si>
  <si>
    <t>The boy then begins running down the court on the stilts.</t>
  </si>
  <si>
    <t>The boy dunks a small ball into the basket and walks back to grab it.</t>
  </si>
  <si>
    <t>v_Wgm-mYzdnxc</t>
  </si>
  <si>
    <t>A man is seen using a power drill in a large bowl filled with chocolate.</t>
  </si>
  <si>
    <t>Another person hands him a blender but the man continues using the drill in the bowl.</t>
  </si>
  <si>
    <t>v_oLEagb_RGq8</t>
  </si>
  <si>
    <t>A young woman is seen standing behind a lawn mower in a yard.</t>
  </si>
  <si>
    <t>She begins pushing the lawn mower along the yard.</t>
  </si>
  <si>
    <t>She moves herself back on the lawn and looks into the camera.</t>
  </si>
  <si>
    <t>v_lnx8WSmcLF8</t>
  </si>
  <si>
    <t>A gymnast performs a routine on the horizontal bars.</t>
  </si>
  <si>
    <t>The gymnast spins and turns from one bar to the other, also holding on one hand.</t>
  </si>
  <si>
    <t>Then, the gymnast spins and jumps stand on the floor, then a flashback of the routine is presented.</t>
  </si>
  <si>
    <t>v_i5K-DXt9djA</t>
  </si>
  <si>
    <t>A man and woman are riding bikes quickly down a paved street.</t>
  </si>
  <si>
    <t>they stop, pumping air into their tires.</t>
  </si>
  <si>
    <t>they then replace the tubes and get back on their bikes.</t>
  </si>
  <si>
    <t>They continue riding down the road.</t>
  </si>
  <si>
    <t>v_bdDzTqaiB3E</t>
  </si>
  <si>
    <t>A woman is standing in the bathtub using the shower to wash her clothes.</t>
  </si>
  <si>
    <t>She kicks the clothes around and steps around and kind of dances on them.</t>
  </si>
  <si>
    <t>Her boyfriend is recording her and himself in the mirror.</t>
  </si>
  <si>
    <t>He continues to watch her as she steps on the clothed, and then he turns the camera to his mother.</t>
  </si>
  <si>
    <t>v_1SouLWwpbvU</t>
  </si>
  <si>
    <t>Several people are in a small room dressed in work out clothes going up and and on the stair step.</t>
  </si>
  <si>
    <t>They then turn around and start to dance on the stair step and intensifying the workout.</t>
  </si>
  <si>
    <t>Midway through,the instructor gets off and walks around while the rest of the class continues.</t>
  </si>
  <si>
    <t>After,the grab the stair step,place it against the wall and come back to their spots for the remainder of the workout.</t>
  </si>
  <si>
    <t>v_9ddD5Ob93J0</t>
  </si>
  <si>
    <t>Steven Richardson, a store manager, discusses the topic of tire care for vehicles with 4 wheel drive.</t>
  </si>
  <si>
    <t>He explains that mismatched tires on 4 wheel drive vehicles cause wear and tear.</t>
  </si>
  <si>
    <t>He recommend that all 4 tires should be replaced at the same time.</t>
  </si>
  <si>
    <t>He advertises the website belletire dot com and says to use it to find a location near you.</t>
  </si>
  <si>
    <t>v_sNnNDCx6RRA</t>
  </si>
  <si>
    <t>A ballerina is seen walking out onto a stage and leads into her performing a ballet routine.</t>
  </si>
  <si>
    <t>The girl spins herself around on her shoes while the audience watches her.</t>
  </si>
  <si>
    <t>She continues spinning and twirling around and ends by holding a pose and bowing.</t>
  </si>
  <si>
    <t>v_cJcr6kWylI8</t>
  </si>
  <si>
    <t>A barefoot man is touching up a piece of wood furniture with a brush.</t>
  </si>
  <si>
    <t>He then moves the piece around to show the scuffs and buffs them out with a brush.</t>
  </si>
  <si>
    <t>The man shows the cleaned edges with his fingers.</t>
  </si>
  <si>
    <t>v_E1Xsc4kfFRE</t>
  </si>
  <si>
    <t>A couple of kids are cheering at a bowling alley.</t>
  </si>
  <si>
    <t>They join other children, arguing over a bowling ball.</t>
  </si>
  <si>
    <t>They pick a ball, then bowl it down the lane.</t>
  </si>
  <si>
    <t>v_YptHsVTHquc</t>
  </si>
  <si>
    <t>A group of people are dancing around each other.</t>
  </si>
  <si>
    <t>A girl moves around with a hula hoop doing various movements.</t>
  </si>
  <si>
    <t>The People continuing dancing around her in various motions.</t>
  </si>
  <si>
    <t>The girl spins her hula hoop around her head.</t>
  </si>
  <si>
    <t>v_8YkCDiVc7RI</t>
  </si>
  <si>
    <t>Two girls are seen speaking and waving to the camera that lead into them performing several jumps and tricks on a mat.</t>
  </si>
  <si>
    <t>the girls continue taking turns flipping all around the mat in the area as well as speaking to the camera and waving.</t>
  </si>
  <si>
    <t>v_YcAs1-6SYb4</t>
  </si>
  <si>
    <t>A woman is standing with a ball on a string.</t>
  </si>
  <si>
    <t>She is in a competition for athletics.</t>
  </si>
  <si>
    <t>She swings the ball around numerous times, then legs go and cheers as it lands far into the field.</t>
  </si>
  <si>
    <t>v_zvAlL20-K4w</t>
  </si>
  <si>
    <t>An athlete is seen standing ready in the middle of a small circle and then throws a shot put off into the distance.</t>
  </si>
  <si>
    <t>The man walks away shaking his arms and his throw is shown again several times.</t>
  </si>
  <si>
    <t>Several more athletes are shown stepping up to the platform throwing the shot put and ending with a man in a hat speaking to the audience.</t>
  </si>
  <si>
    <t>v_XSfG1M-Ik_A</t>
  </si>
  <si>
    <t>A lady in a bra and panties grabs and throws a shotput.</t>
  </si>
  <si>
    <t>IT goes through a window on a house and a cat runs.</t>
  </si>
  <si>
    <t>The man looks outside and sees the lady.</t>
  </si>
  <si>
    <t>the lady uses a pole to pole vault into the second story window and jump on the man.</t>
  </si>
  <si>
    <t>We see the title screen and the man's pants fly out the window.</t>
  </si>
  <si>
    <t>v_d6lajCxMhPE</t>
  </si>
  <si>
    <t>A person holding a broom cleans the floor back and forth.</t>
  </si>
  <si>
    <t>The person turn the broom to collect the dust.</t>
  </si>
  <si>
    <t>v_SfFjpnTKG7s</t>
  </si>
  <si>
    <t>Athletes runs on an outdoors track of a field and pole vault during practice.</t>
  </si>
  <si>
    <t>An athlete runs and pole vaults during an Olympic competition in a stadium.</t>
  </si>
  <si>
    <t>Athletes make a practice jumps and dive under the rope and onto the mat.</t>
  </si>
  <si>
    <t>v_NT0dXbWzt7w</t>
  </si>
  <si>
    <t>A little boy is filling an ice cream cone with ice cream.</t>
  </si>
  <si>
    <t>He licks the ice cream cone.</t>
  </si>
  <si>
    <t>He lifts the ice cream cone up to show the camera.</t>
  </si>
  <si>
    <t>v_yDWOqabreoU</t>
  </si>
  <si>
    <t>A girls has a pole and she is blindfolded.</t>
  </si>
  <si>
    <t>She swings at a pinata and misses.</t>
  </si>
  <si>
    <t>She steps closer and tries again, hitting it this time.</t>
  </si>
  <si>
    <t>She backs up as a dog comes into the picture.</t>
  </si>
  <si>
    <t>She keeps swinging at missing.</t>
  </si>
  <si>
    <t>She stops for moment, takes a hard swing and hits it.</t>
  </si>
  <si>
    <t>v_C1TWr5XH8b0</t>
  </si>
  <si>
    <t>Various text is shown across the screen and leads into a man speaking and more tools being shown.</t>
  </si>
  <si>
    <t>The man rubs the tools along his skin and points back and fourth to the vacuum while speaking.</t>
  </si>
  <si>
    <t>v_fljxcvQe_Mo</t>
  </si>
  <si>
    <t>The top shingle of a roof dangles unsecured.</t>
  </si>
  <si>
    <t>A man on a roof hammers a nail into the shingle, securing the shingle.</t>
  </si>
  <si>
    <t>v_hj88A5tvA0Y</t>
  </si>
  <si>
    <t>Various people are seen walking around a beach leading into men tightening up a rope and bouncing on the rope.</t>
  </si>
  <si>
    <t>Several people perform many tricks and jumps on the rope while others stand and watch on the side.</t>
  </si>
  <si>
    <t>v_tYyTrDyzB6o</t>
  </si>
  <si>
    <t>A person is seen riding in a tube down a river while the camera zooms in on a persons feet.</t>
  </si>
  <si>
    <t>The people in tubes ride past others in the water.</t>
  </si>
  <si>
    <t>More people are seen riding down the river in tubes.</t>
  </si>
  <si>
    <t>v_yuYqFaAnTxI</t>
  </si>
  <si>
    <t>A series of clips of the same woman performing pole vaults at different professional athletic events plays.</t>
  </si>
  <si>
    <t>A woman holding a pole runs on a track toward a goal line and performs a pole vault in front of event onlookers and supporters.</t>
  </si>
  <si>
    <t>The woman is then shown at two more event performing the same pole vault surrounded by onlookers and score takers.</t>
  </si>
  <si>
    <t>v_o8RIoxL9FDE</t>
  </si>
  <si>
    <t>A woman stands in front of a mirror and rinses her mouth before pulling her face close to the mirror and looking at her teeth from a close up angle.</t>
  </si>
  <si>
    <t>A woman sits in front of a bathroom mirror squishing water in her mouth, as if rinsing her mouth.</t>
  </si>
  <si>
    <t>The woman then spits the water into the sink and looks at her teeth very close in the mirror before the scene fades out.</t>
  </si>
  <si>
    <t>v_mBsIWxXJPY0</t>
  </si>
  <si>
    <t>We see people on skis falling hard.</t>
  </si>
  <si>
    <t>We see a person fly into a snow pile.</t>
  </si>
  <si>
    <t>A person skis and falls as they jump across a street.</t>
  </si>
  <si>
    <t>A person on skis is holding a line and falls then a person in white crashes into another and they both fall.</t>
  </si>
  <si>
    <t>A snowboarder can't hold the line and knocks over a person helping and falls himself.</t>
  </si>
  <si>
    <t>v_dJAZplo9ke0</t>
  </si>
  <si>
    <t>A river surrounded by rocks apperas.</t>
  </si>
  <si>
    <t>Several people are floating through it in intertubes.</t>
  </si>
  <si>
    <t>They float down the river together through the rapids.</t>
  </si>
  <si>
    <t>v_f025sQGYfJM</t>
  </si>
  <si>
    <t>A man and a man in green shirt is decorating the Christmas tree with his kid in gray shirt, they are putting the decorations while the woman is sitting on a chair by the tree and put the decors on the blue table.</t>
  </si>
  <si>
    <t>The lady helped the man and child to hang the decor in the Christmas tree, the man handed some decorations to the lady and she put it on the tree.</t>
  </si>
  <si>
    <t>The woman sat on the chair to arrange the christmas ball on the table, and helped them with the decorations.</t>
  </si>
  <si>
    <t>A lady in black top put more decorations to the christmas tree.</t>
  </si>
  <si>
    <t>v_9bUNAiuRXyo</t>
  </si>
  <si>
    <t>A boy walks up to a post on a very large indoor court.</t>
  </si>
  <si>
    <t>He gets himself ready, moving his arms around.</t>
  </si>
  <si>
    <t>He begins to spin around very quickly.</t>
  </si>
  <si>
    <t>Finally letting go and throwing the ball.</t>
  </si>
  <si>
    <t>v_XSnPmf41ToA</t>
  </si>
  <si>
    <t>A woman slaps her cheek as she prepares on a field.</t>
  </si>
  <si>
    <t>She swings a ball around several times.</t>
  </si>
  <si>
    <t>She lets go, letting the ball fly through the air.</t>
  </si>
  <si>
    <t>v_Po3-9ktM5Do</t>
  </si>
  <si>
    <t>A woman wearing a black top and with curly brown hair and bronze highlights is demonstrating how to use a diffuser to dry hair.</t>
  </si>
  <si>
    <t>She is using the blow dryer on medium heat to dry her hair.</t>
  </si>
  <si>
    <t>She blow dries the curls till the moisture from the hair is gone.</t>
  </si>
  <si>
    <t>After she's done using the blow dryer, she uses a wide tooth comb to comb through her curls.</t>
  </si>
  <si>
    <t>She then poofs up her hair and shows off her luscious curls.</t>
  </si>
  <si>
    <t>v_3EuY86B4uTo</t>
  </si>
  <si>
    <t>A helicopter flies in some people who then start playing paintball.</t>
  </si>
  <si>
    <t>They run around obstacles and have a great time.</t>
  </si>
  <si>
    <t>v_wQbVxdVTN-I</t>
  </si>
  <si>
    <t>A boy holds an axe outside.</t>
  </si>
  <si>
    <t>He swings the axe at a stump.</t>
  </si>
  <si>
    <t>Another boy is shown doing the same thing.</t>
  </si>
  <si>
    <t>They continue to try to split the wood.</t>
  </si>
  <si>
    <t>v_nnUYbsoLNqo</t>
  </si>
  <si>
    <t>The start of a race is shown as people run by and the finish is also shown.</t>
  </si>
  <si>
    <t>People in costumes are shown and people are generally having a great time.</t>
  </si>
  <si>
    <t>v_NEthbdTgx-M</t>
  </si>
  <si>
    <t>An intro leads into several shots of people riding down snowy hills and climbing up the side.</t>
  </si>
  <si>
    <t>Two people speak to the camera and show more shots of them climbing a mountain and various shots of the mountain.</t>
  </si>
  <si>
    <t>The people then ride around on skis while still speaking to the camera and show several shots of them riding down the snowy mountain.</t>
  </si>
  <si>
    <t>v_aJsDVKt5Igs</t>
  </si>
  <si>
    <t>Two women and a little girl are walking outdoors, showing the little girl a group of boys in the distance.</t>
  </si>
  <si>
    <t>They throw a ball, and the girl kicks it before being led to a base.</t>
  </si>
  <si>
    <t>The group gathers together to congratulate her.</t>
  </si>
  <si>
    <t>v_icm5lX5pZE0</t>
  </si>
  <si>
    <t>A man is seen sitting behind a desk working on a computer.</t>
  </si>
  <si>
    <t>Several shots are shown of people printing off paper as well as paper close up.</t>
  </si>
  <si>
    <t>More clips are shown of people hanging up the wallpaper as well as shots of the city.</t>
  </si>
  <si>
    <t>v_E50d5qFvzOI</t>
  </si>
  <si>
    <t>A video begins showing a man and woman holding each other and moving back and fourth.</t>
  </si>
  <si>
    <t>The couple moves their feet back and fourth while the man speaks to the camera.</t>
  </si>
  <si>
    <t>The woman eventually speaks the camera while performing several different dance moves for the camera to see.</t>
  </si>
  <si>
    <t>v_8kjYbv52EcI</t>
  </si>
  <si>
    <t>Several canoes are shown in idle in murky water.</t>
  </si>
  <si>
    <t>Then a set of boys begin kayaking in the water and jumping off the trees.</t>
  </si>
  <si>
    <t>v__L8VrJYsOAQ</t>
  </si>
  <si>
    <t>A person is washing their hands in a sink.</t>
  </si>
  <si>
    <t>Two women are standing by the sink washing their hands.</t>
  </si>
  <si>
    <t>v_vQ8NJRCSyb4</t>
  </si>
  <si>
    <t>Two men on one knee demonstrate a hip flexxer stretch in a therapy gym.</t>
  </si>
  <si>
    <t>The man wearing a black t-shirt uses the man wearing a green t-shirt as a model to demonstrate the hip flexxer stretch.</t>
  </si>
  <si>
    <t>The man in the black t-shirt adjusts the man in the green -t shirt a into different positions by slight positioning of the foot, leg, hips and arms.</t>
  </si>
  <si>
    <t>v_rqraLuIBvyg</t>
  </si>
  <si>
    <t>The credits of the clips is shown.</t>
  </si>
  <si>
    <t>A woman is outside next to a pile of snow.</t>
  </si>
  <si>
    <t>A guy picks up a shovel land shovels snow off to the side.</t>
  </si>
  <si>
    <t>The guy puts down the shovel and stretches his back backwards twice.</t>
  </si>
  <si>
    <t>The guy picks up the shovel and continues to shovel snow.</t>
  </si>
  <si>
    <t>v_JGKjMJm0HRI</t>
  </si>
  <si>
    <t>A close up shot of children are seen riding around a bumper car game and running into one another.</t>
  </si>
  <si>
    <t>Two boys are seen bumping in to one another with several other kids riding around and hitting each other.</t>
  </si>
  <si>
    <t>v_ORL5yMppl8E</t>
  </si>
  <si>
    <t>A kid fills a pot with water.</t>
  </si>
  <si>
    <t>He puts the pot on a stove and puts a lid on it.</t>
  </si>
  <si>
    <t>He adds salt and pasta to the pot.</t>
  </si>
  <si>
    <t>He puts the lid back on the pot.</t>
  </si>
  <si>
    <t>He stirs the pot and pours the pasta into a strainer.</t>
  </si>
  <si>
    <t>He pours the pasta back into the pan.</t>
  </si>
  <si>
    <t>He adds sauce and stirs it together.</t>
  </si>
  <si>
    <t>v_0CTnYEE7rdo</t>
  </si>
  <si>
    <t>A man is skateboarding down a city street.</t>
  </si>
  <si>
    <t>He is seen talking to the camera in the middle of the road.</t>
  </si>
  <si>
    <t>Then we see him doing several different stunts as he winds in and out of traffic.</t>
  </si>
  <si>
    <t>v_2YSsqivrvR4</t>
  </si>
  <si>
    <t>A person is seen sitting on the edge of a bed carrying a guitar.</t>
  </si>
  <si>
    <t>The person begins playing the guitar while looking over to the camera.</t>
  </si>
  <si>
    <t>The man continues playing and stops moving his hand out of frame.</t>
  </si>
  <si>
    <t>v_P9jIpcRGeOk</t>
  </si>
  <si>
    <t>Several people are shown in images gathered outside a building.</t>
  </si>
  <si>
    <t>Two cartoon sumo wrestlers are engaged in a fight.</t>
  </si>
  <si>
    <t>They body slam each other as a referee watches.</t>
  </si>
  <si>
    <t>v_MAXfslyf7Dw</t>
  </si>
  <si>
    <t>Sumos are standing in front of each other in a dust court and a referee dress in white suit is watching them.</t>
  </si>
  <si>
    <t>men stat wrestling and one of them if taking off the court.</t>
  </si>
  <si>
    <t>v_nh1GBPeyyMo</t>
  </si>
  <si>
    <t>A person's hands are seen cutting a piece of paper with scissors and then wrapping a box with paper.</t>
  </si>
  <si>
    <t>She tapes down the present and ties it in a bowl, finishes by cutting the excess string and placing a tag on top.</t>
  </si>
  <si>
    <t>v_McFsP60TqH4</t>
  </si>
  <si>
    <t>A young child is seen sitting on the floor brushing her hair in front of a mirror.</t>
  </si>
  <si>
    <t>The girl continues to brush her hair and ends with her watching a video and speaking to the camera.</t>
  </si>
  <si>
    <t>v_Damu3T2Yy0M</t>
  </si>
  <si>
    <t>Two men are seen speaking to the camera when another walks into frame laughing and walks away.</t>
  </si>
  <si>
    <t>The men continue speaking then lead into an arm wrestling match between the two.</t>
  </si>
  <si>
    <t>One beats the other and flexes his arms to the camera while smiling.</t>
  </si>
  <si>
    <t>v_W1Cp1UyY8S8</t>
  </si>
  <si>
    <t>A man is power washing a fence.</t>
  </si>
  <si>
    <t>It cuts to him power washing a different section.</t>
  </si>
  <si>
    <t>It fades to an open shot of the fence.</t>
  </si>
  <si>
    <t>v_YoDlwg4eAEA</t>
  </si>
  <si>
    <t>Several alternating images of dishes of food appear.</t>
  </si>
  <si>
    <t>A recipe for greek dressing begins.</t>
  </si>
  <si>
    <t>The ingredients made from oilsand powders are mixed together and shaken in a jar, and poured onto a salad.</t>
  </si>
  <si>
    <t>It is then topped with blocks of cheese.</t>
  </si>
  <si>
    <t>v_jqLwYHwYYPM</t>
  </si>
  <si>
    <t>A black screen appears and the yellow words appear on them read "Extreme How-To presents".</t>
  </si>
  <si>
    <t>The second black screen has yellow words that read "Installing Heated Floor Tile".</t>
  </si>
  <si>
    <t>A man is now standing and talking in the corner of a residential home, dressed in a long sleeved button up black shirt, brown long pants, shoes and wearing a hat.</t>
  </si>
  <si>
    <t>The man walks away from the corner and the next view is of a kneeling man using a tool to remove base molding from a wall, using a drill gun, measuring with a long ruler, then laying on the ground gray pieces of fabric with some wires attached to it.</t>
  </si>
  <si>
    <t>The man is then shown pressing buttons on a little white box and the man is now pointing to those wires attached to those gray pieces of fabric and the man starts putting wires into a gray pipe that is now shown on the wall.</t>
  </si>
  <si>
    <t>The man is back on the ground with a long tape measure and measuring the ground.</t>
  </si>
  <si>
    <t>The man is now holding a tile with ridges on all four sides and he takes a mallet and a tool to gently pound the pieces together.</t>
  </si>
  <si>
    <t>When the man reaches the wall he uses a pencil to measure the tile, takes it to a wet tile cutter and cuts it.</t>
  </si>
  <si>
    <t>The man is back in the house and piecing a small tile near some cabinets, then the man begins to grout, and uses a large,wet, yellow sponge to clean up the excess grout.</t>
  </si>
  <si>
    <t>The talking man from earlier appears back in the corner talking and yellow words appear on the screen that contain websites.</t>
  </si>
  <si>
    <t>v_pEr9p5-qUsU</t>
  </si>
  <si>
    <t>Several tables are set up in a large room.</t>
  </si>
  <si>
    <t>Several groups are playing beer pong.</t>
  </si>
  <si>
    <t>Some people are cheering about winning.</t>
  </si>
  <si>
    <t>Others look upset about losing.</t>
  </si>
  <si>
    <t>v_SZXscHYG26Y</t>
  </si>
  <si>
    <t>The person is parasailing, he is holding the sail.</t>
  </si>
  <si>
    <t>The man is moving forwards towards the island.</t>
  </si>
  <si>
    <t>The person has his feet on the parasail board.</t>
  </si>
  <si>
    <t>v_2qN85UKyL2s</t>
  </si>
  <si>
    <t>We see a man and a woman playing pool.</t>
  </si>
  <si>
    <t>The lady takes her turn shooting the ball.</t>
  </si>
  <si>
    <t>We see bright camera flashes.</t>
  </si>
  <si>
    <t>We see the lady taking the photos.</t>
  </si>
  <si>
    <t>The lady hands her pool stick to a man and shakes his hand.</t>
  </si>
  <si>
    <t>She shakes another man's hand and leaves.</t>
  </si>
  <si>
    <t>v_A5-gsreb2zY</t>
  </si>
  <si>
    <t>A woman gets her nose clamped by a man sitting behind her head.</t>
  </si>
  <si>
    <t>He pierces through her septum.</t>
  </si>
  <si>
    <t>He cuts it and removes the clamp.</t>
  </si>
  <si>
    <t>The man puts an earring through the hole.</t>
  </si>
  <si>
    <t>He puts qtips in her nose to catch the blood.</t>
  </si>
  <si>
    <t>v_dmiLuqRB09U</t>
  </si>
  <si>
    <t>A woman is sitting on a chair.</t>
  </si>
  <si>
    <t>She gets a dermal piercing in her cheek.</t>
  </si>
  <si>
    <t>The girl shows the piercing and smiles.</t>
  </si>
  <si>
    <t>v_PRLlYhneNMk</t>
  </si>
  <si>
    <t>Two people are seen wearing funny hates and standing behind a table speaking to the camera.</t>
  </si>
  <si>
    <t>They then quickly wrap a present and show off a better present underneath.</t>
  </si>
  <si>
    <t>More shots are shown of them wrapping as they quickly move around and speaking to the camera.</t>
  </si>
  <si>
    <t>v_s3EHHOAkQYE</t>
  </si>
  <si>
    <t>A person is seen riding in a car panning to others while following behind a large group of people on bikes.</t>
  </si>
  <si>
    <t>The driver hands people water on the side as well as pulling them in to fix a bike.</t>
  </si>
  <si>
    <t>The car continues to follow and help the man as well as stopping to change a wheel and climbing back in the car.</t>
  </si>
  <si>
    <t>v_vjCKf3el7pM</t>
  </si>
  <si>
    <t>A man is seen looking closely into the camera followed by a person wake boarding and performing various tricks.</t>
  </si>
  <si>
    <t>Several shots are shown of people doing tricks along the water while the boat pulls them from the front.</t>
  </si>
  <si>
    <t>v_0fw8it7Gj7k</t>
  </si>
  <si>
    <t>A man is seen holding up a piece of wood and rubbing it down while speaking to the camera and spraying down polish.</t>
  </si>
  <si>
    <t>The man wipes down the polish with a rag while continuing to speak to the camera and holding up the piece of wood in the end.</t>
  </si>
  <si>
    <t>v_IV47aK7qJdY</t>
  </si>
  <si>
    <t>The dry brown and yellow leaves are on the ground, on top of green grass.</t>
  </si>
  <si>
    <t>A man with a leaf blower on his hand started to blew the leaves towards the center of the field.</t>
  </si>
  <si>
    <t>The man blew the leaves from the side of the road towards the tree, while another man with leaf blower walks on other side of the walkway.</t>
  </si>
  <si>
    <t>v_7Sfl-Fmr_3E</t>
  </si>
  <si>
    <t>A man is shown working on a fence in the backyard.</t>
  </si>
  <si>
    <t>The man wears a blue outfit as he paints the wooden fence a red color.</t>
  </si>
  <si>
    <t>The man cleans the paint off of boards.</t>
  </si>
  <si>
    <t>v_Ux4brKS0Sac</t>
  </si>
  <si>
    <t>A man is seen speaking to the camera while putting a box around some paper.</t>
  </si>
  <si>
    <t>He wraps the box in paper while using scissors to cut around the sides.</t>
  </si>
  <si>
    <t>The man tapes up the box and presents it to the camera.</t>
  </si>
  <si>
    <t>v_VDX1IQnUMgo</t>
  </si>
  <si>
    <t>A news anchor is standing behind a table with papers on it talking as a man is picture swimming on the television screen behind him.</t>
  </si>
  <si>
    <t>After,a group of people are in a pool playing a game of water polo making goals.</t>
  </si>
  <si>
    <t>A coach is then shown in a hallway as the people come back and continue playing the game before a football game then shows.</t>
  </si>
  <si>
    <t>v_sEENChh3zno</t>
  </si>
  <si>
    <t>A girl is seen jumping items into water and scrubbing a pan with a brush.</t>
  </si>
  <si>
    <t>She continues speaking to the camera as well as into the pan and demonstrating how to properly clean a pan.</t>
  </si>
  <si>
    <t>v_jpvgI6bNO1g</t>
  </si>
  <si>
    <t>A camera pans all around a forest and leads into a rope tied to a tree.</t>
  </si>
  <si>
    <t>A person is seen tightening the rope followed by walking along the rope.</t>
  </si>
  <si>
    <t>Several people are seen walking on the rope as well as bouncing and performing tricks.</t>
  </si>
  <si>
    <t>v_doAvtD_jgiY</t>
  </si>
  <si>
    <t>We see a girl in gold doing a baton routine.</t>
  </si>
  <si>
    <t>The girl does a flip.</t>
  </si>
  <si>
    <t>the girls spins repeatedly and catches her baton.</t>
  </si>
  <si>
    <t>The girl spins and two batons roll in and she grabs each.</t>
  </si>
  <si>
    <t>The girl spins, catches her baton and poses for her finish as the crowd claps.</t>
  </si>
  <si>
    <t>v_h4phcAYe0aE</t>
  </si>
  <si>
    <t>A person is raking leaves into a pile.</t>
  </si>
  <si>
    <t>A little boy is picking up the leaves and playing in the pile.</t>
  </si>
  <si>
    <t>The boy picks up a rake and starts raking the leaves.</t>
  </si>
  <si>
    <t>v_XsqslHC79FQ</t>
  </si>
  <si>
    <t>There's a young girl wearing a brown sweater playing the violin.</t>
  </si>
  <si>
    <t>She strings the violin with her left hand while she uses the bow stick with her right hand.</t>
  </si>
  <si>
    <t>She continues playing her tune on the violin with full concentration without pausing.</t>
  </si>
  <si>
    <t>She constantly looks down at the violin as she plays the notes.</t>
  </si>
  <si>
    <t>After she finishes playing the violin, she smiles and walks away.</t>
  </si>
  <si>
    <t>v_EJiyr-6l3ps</t>
  </si>
  <si>
    <t>A video of clipping a cats toenails is shown.</t>
  </si>
  <si>
    <t>Each paw is grabbed and the nail is pushed out and trimmed.</t>
  </si>
  <si>
    <t>The cat is oddly calm the whole time.</t>
  </si>
  <si>
    <t>v_joehK-w2bCc</t>
  </si>
  <si>
    <t>A man is walking in a room.</t>
  </si>
  <si>
    <t>A girl is dancing in front of a mirror in the room.</t>
  </si>
  <si>
    <t>He watches her from outside the room.</t>
  </si>
  <si>
    <t>v_MCsGSMze_6Q</t>
  </si>
  <si>
    <t>There is a black and white TV show with two men on a stage talking and laughing.</t>
  </si>
  <si>
    <t>The right man gets up and walks to a piano.</t>
  </si>
  <si>
    <t>The man plays a grand piano.</t>
  </si>
  <si>
    <t>The man finishes and stands up.</t>
  </si>
  <si>
    <t>The men shake hands and the piano player walks away and the host talks and shimmies a bit.</t>
  </si>
  <si>
    <t>v_8KPk9pH4wWw</t>
  </si>
  <si>
    <t>An athlete is seen waving his hands to the crowd and clapping followed by him running over a beam.</t>
  </si>
  <si>
    <t>His same shot is shown again in slow motion and hes seen speaking to a man.</t>
  </si>
  <si>
    <t>v_yaK-giAk4e8</t>
  </si>
  <si>
    <t>A group of young men are in a kitchen, playing a game of beer pong.</t>
  </si>
  <si>
    <t>They cheer as they get the ball into a cup.</t>
  </si>
  <si>
    <t>A woman appears, and picks up one of the cups.</t>
  </si>
  <si>
    <t>v_NO5J7RjTTTo</t>
  </si>
  <si>
    <t>Two boys at a young age are playing fooseball with each other.</t>
  </si>
  <si>
    <t>One grab the ball and puts it back into play.</t>
  </si>
  <si>
    <t>The boys continue to play the game back and fourth on the tabs.</t>
  </si>
  <si>
    <t>v_C7UEAqu1KtY</t>
  </si>
  <si>
    <t>A camera pans around a yard leading to a rake sitting up against a trash can.</t>
  </si>
  <si>
    <t>A man is seen stretching off into the distance and begins raking the leaves.</t>
  </si>
  <si>
    <t>He picks the leaves up and throws them in the trash as well as onto a blanket and handing it to a girl.</t>
  </si>
  <si>
    <t>v_FGdCWm4gI3M</t>
  </si>
  <si>
    <t>A collection of skateboards lined up on a street in the upward position on their wheels and upside down on the platform.</t>
  </si>
  <si>
    <t>A skateboarder wearing a white helmet skates by followed by another skateboarder while the camera pans a group of skateboarder spectators watching from the street curb.</t>
  </si>
  <si>
    <t>A group of skateboarders perform tricks and maneuvers up and down the street.</t>
  </si>
  <si>
    <t>A view of a vehicle loaded with skateboards and skateboarding equipment.</t>
  </si>
  <si>
    <t>Another view of the skateboards lined up on the street in the upright position.</t>
  </si>
  <si>
    <t>Spectators watch from the street curb while a group of skateboarders take turns skating down hill and making a sharp spin stop at a designated spot.</t>
  </si>
  <si>
    <t>v_yGPzIGJ_2B8</t>
  </si>
  <si>
    <t>woman is walking in a green grassy backyard.</t>
  </si>
  <si>
    <t>man is standing in a bacyard in front of a fence with a machine in front of him.</t>
  </si>
  <si>
    <t>woman is in the backyard and a man is behind her using a lawn mower to cut the grass.</t>
  </si>
  <si>
    <t>man is walking with some white plastic bags on the cloth.</t>
  </si>
  <si>
    <t>v_XsCND4lDiqA</t>
  </si>
  <si>
    <t>An old man threw the yellow ball in the cup and it bounced back on the table.</t>
  </si>
  <si>
    <t>The old man in black shirt threw the ball and landed on the table.</t>
  </si>
  <si>
    <t>A man threw the ball back and the man in black shirt take the ball from the cup and threw it but landed outside the table.</t>
  </si>
  <si>
    <t>v_uj0UBMgR2gk</t>
  </si>
  <si>
    <t>We see a man in an orchestra making faces.</t>
  </si>
  <si>
    <t>The man then stands and plays the violin.</t>
  </si>
  <si>
    <t>We see people at lockers.</t>
  </si>
  <si>
    <t>We go back to the man playing the violin.</t>
  </si>
  <si>
    <t>We see the people in the locker.</t>
  </si>
  <si>
    <t>We see the playing man and then the crowd stands and claps.</t>
  </si>
  <si>
    <t>The man smiles and waves.</t>
  </si>
  <si>
    <t>v_mNq0NksbsZ4</t>
  </si>
  <si>
    <t>People are long boarding down a hill.</t>
  </si>
  <si>
    <t>A silver truck is parked next to the hill.</t>
  </si>
  <si>
    <t>A person falls off the long board onto the pavement.</t>
  </si>
  <si>
    <t>v_FkMk9TZdea0</t>
  </si>
  <si>
    <t>White text says in memory of Paul Walker.</t>
  </si>
  <si>
    <t>A person is shown using a small brush to create an image of Paul Walker.</t>
  </si>
  <si>
    <t>Each detail is drawn one at a time, producing the final completed image.</t>
  </si>
  <si>
    <t>v_cqVvHj1oC-8</t>
  </si>
  <si>
    <t>Two people are seen hosting a news segment that leads into clips of people scraping off their cars.</t>
  </si>
  <si>
    <t>A woman is seen speaking to the camera while scraping off her car and holding up products to help.</t>
  </si>
  <si>
    <t>More people are seen speaking to the camera and showing off their methods of melting ice and leading back to the two reporters.</t>
  </si>
  <si>
    <t>v_ubgCjUUmP9I</t>
  </si>
  <si>
    <t>A male gymnast dressed red and white leotards is performing on a horse bar.</t>
  </si>
  <si>
    <t>He climbs up the horse bar and does backhand springs.</t>
  </si>
  <si>
    <t>He continues swiftly over the horse bar as he raises his body by pushing his body weight on his arms.</t>
  </si>
  <si>
    <t>He continues doing front and back hand springs.</t>
  </si>
  <si>
    <t>After he's done, he gets off the bar and walks towards the judges and other contestants.</t>
  </si>
  <si>
    <t>The spectators cheer for him and the judges shake hands with the gymnast.</t>
  </si>
  <si>
    <t>v_2P555wnyj_8</t>
  </si>
  <si>
    <t>A man is standing in a room melting down an object with a utensil that is creating several sparks.</t>
  </si>
  <si>
    <t>Another male then walks behind the person and puts on a helmet for protection as he watches the man in front of him.</t>
  </si>
  <si>
    <t>v_jVp2BsFOIVA</t>
  </si>
  <si>
    <t>Three kids swinging on the play set in the back yard.</t>
  </si>
  <si>
    <t>One of the boys climb and slides down the slide.</t>
  </si>
  <si>
    <t>More kids join and and they go down the slide together and move around the set very quickly.</t>
  </si>
  <si>
    <t>They start to swing on their tummies and just overall having a great time playing.</t>
  </si>
  <si>
    <t>v_98SSjNuSxvM</t>
  </si>
  <si>
    <t>A series of words appear across the screen and they inform us that the men are attempting to row across the Atlantic.</t>
  </si>
  <si>
    <t>A man is then shown outside on his patio rowing and words indicate that it has been two hours and 1600 calories burned.</t>
  </si>
  <si>
    <t>After the man is shown again but this time he is exhausted and is forced to take a breath so he can breathe.</t>
  </si>
  <si>
    <t>Now the man is standing up and is taking to the camera and holds up his hand to show the blisters he has on his hands.</t>
  </si>
  <si>
    <t>v_JhqQGe0TkBU</t>
  </si>
  <si>
    <t>People stands on top of a diving board, the a man jumps in the swimming pool.</t>
  </si>
  <si>
    <t>Suddenly a girl runs on a lower dining board and jumps in the swimming pool.</t>
  </si>
  <si>
    <t>People sit around the pool.</t>
  </si>
  <si>
    <t>v_Ba3uRADSg50</t>
  </si>
  <si>
    <t>A few older men are shown standing in front of monkey bars talking to one another.</t>
  </si>
  <si>
    <t>One begins climbing along the bars with several other people coming from behind.</t>
  </si>
  <si>
    <t>One woman falls in the water and many more climb across the monkey bars.</t>
  </si>
  <si>
    <t>v_gh5di42-RJo</t>
  </si>
  <si>
    <t>A small boy wearing a black and red striped shirt is sitting with a drum set and playing drums.</t>
  </si>
  <si>
    <t>A man wearing a pink shirt and black trousers is standing next to him.</t>
  </si>
  <si>
    <t>Another person wearing a denim shirt walks past the boy.</t>
  </si>
  <si>
    <t>the boy continues to drum the cymbals and the hi-hat in a rhythmic way as the people cheer for him.</t>
  </si>
  <si>
    <t>He alternately hits the cymbals and the snare drums with the sticks.</t>
  </si>
  <si>
    <t>He ends by hitting the cymbals.</t>
  </si>
  <si>
    <t>v_RxuL7k7-hYQ</t>
  </si>
  <si>
    <t>Gymnasts swing on double bars during Olympic competition.</t>
  </si>
  <si>
    <t>Gymnast swings on double bars during practice in a gym.</t>
  </si>
  <si>
    <t>v_hyk4wNZwwxc</t>
  </si>
  <si>
    <t>Several adults are a doing a stepping exercise onto platforms.</t>
  </si>
  <si>
    <t>They step on and of and spin around.</t>
  </si>
  <si>
    <t>They do a cart wheel off the platform.</t>
  </si>
  <si>
    <t>They end their exercise and step off.</t>
  </si>
  <si>
    <t>v_i9DlXuEewE8</t>
  </si>
  <si>
    <t>A young teen age girl is sitting in a large chair talking on the phone and making faces.</t>
  </si>
  <si>
    <t>Two other females then begin dancing out front in the yard on a sidewalk.</t>
  </si>
  <si>
    <t>The girl then grabs her sweat pants and begins teaching her counterpart different dance steps and the first female reappears on the phone.</t>
  </si>
  <si>
    <t>v_1uC0xzyx4Bc</t>
  </si>
  <si>
    <t>A person is showing how to install rubber tiles in a gym.</t>
  </si>
  <si>
    <t>The video shows several people working out in a gym on the flooring.</t>
  </si>
  <si>
    <t>The person shows how to prep the floor surface before installing the tiles.</t>
  </si>
  <si>
    <t>He demonstrates how to lay the tiles on the floor in a criss-cross manner.</t>
  </si>
  <si>
    <t>The video shows a simulation how the tiles can measured up and laid down one by one in order to get a perfect wall to to wall fit.</t>
  </si>
  <si>
    <t>A person also shows how to trim tiles to fit flush edge to edge without leaving a gap between tiles.</t>
  </si>
  <si>
    <t>Finally he shows how to use a vinegar solution to clean the tiles in order to maintain the quality of the tiles.</t>
  </si>
  <si>
    <t>The video ends with the information of the tile company.</t>
  </si>
  <si>
    <t>v_vctal2m9Zvg</t>
  </si>
  <si>
    <t>An indoor barn is shown and a man is sitting on a horse.</t>
  </si>
  <si>
    <t>The gates open and the man flies out with is lasso chasing after a black and white calf.</t>
  </si>
  <si>
    <t>The man throws the rope and catches the calf,gets off,ties the cow up and returns back on top of the horse.</t>
  </si>
  <si>
    <t>v_o0O-CwwSaGw</t>
  </si>
  <si>
    <t>A girl with long hair is shown speaking to the camera and leads into her spraying water all over a dog in the tub.</t>
  </si>
  <si>
    <t>She scrubs the dog with shampoo and runs again runs the water over the dog.</t>
  </si>
  <si>
    <t>She holds the dog with a towel and then blow dries the dog in her lap while combing him.</t>
  </si>
  <si>
    <t>The dog is shown again all dried off and shakes himself while looking at the camera and the girl speaks more.</t>
  </si>
  <si>
    <t>v_ocvKEzb7OaE</t>
  </si>
  <si>
    <t>A man in a black shirt setting up a camera while sitting in front of a rub-ix cube and a electronic stop clock.</t>
  </si>
  <si>
    <t>Once the clock starts another man off camera and the man sitting in front of the cube starts to figure out the puzzle.</t>
  </si>
  <si>
    <t>Once the clock reaches 43 seconds both the men finish the puzzle and congratulate each other on completing the puzzle.</t>
  </si>
  <si>
    <t>v_qkHBMmMlEr8</t>
  </si>
  <si>
    <t>We see a man talking in a basketball gym.</t>
  </si>
  <si>
    <t>The man points at the boy.</t>
  </si>
  <si>
    <t>The man points to the right.</t>
  </si>
  <si>
    <t>We see a man making shots in a basketball hoop.</t>
  </si>
  <si>
    <t>v_VD3kzQGuQnc</t>
  </si>
  <si>
    <t>A woman is seen speaking to the camera and leads into her pouring ice into a glass.</t>
  </si>
  <si>
    <t>She then mixes various ingredients into the glass and mixes them up in a shaker.</t>
  </si>
  <si>
    <t>The woman then puts the glass down and pours the mixture into glass presenting it to the camera.</t>
  </si>
  <si>
    <t>v_kN2ZNcn241g</t>
  </si>
  <si>
    <t>A man wearing a coach shirt is standing while a female gymnast turns flips on a beam.</t>
  </si>
  <si>
    <t>He spots her as she flips and dismounts before sitting down.</t>
  </si>
  <si>
    <t>v_5rftu62ML_c</t>
  </si>
  <si>
    <t>A large group of people are shown in various shots riding around in canoes.</t>
  </si>
  <si>
    <t>A man speaks to the camera while people walk around with the canoes and show off pictures.</t>
  </si>
  <si>
    <t>More people are seen using them as well as walking around.</t>
  </si>
  <si>
    <t>v_escpZEdyNTI</t>
  </si>
  <si>
    <t>A person is seen running hold a surf board, and is shown again looking at his phone and laughing.</t>
  </si>
  <si>
    <t>More people are seen in various locations checking their phone and ends with a woman riding an exercise bike.</t>
  </si>
  <si>
    <t>v_7yg2zbiTJJ4</t>
  </si>
  <si>
    <t>A woman's hand picks up a stuffed animal surrounded by gifts.</t>
  </si>
  <si>
    <t>Gift wrapping accessories are shown.</t>
  </si>
  <si>
    <t>A woman lays out tissue paper and places a stuffed toy in the center.</t>
  </si>
  <si>
    <t>The woman wraps the toy in the tissue paper and tapes it shut.</t>
  </si>
  <si>
    <t>The woman lays out cellophane and places the wrapped toy on it.</t>
  </si>
  <si>
    <t>The woman cuts the cellophane and then proceeds to roll up the tissue paper covered toy.</t>
  </si>
  <si>
    <t>The woman twists the ends of the cellophane and tapes the package shut.</t>
  </si>
  <si>
    <t>Ribbon is placed around the ends of the package.</t>
  </si>
  <si>
    <t>The woman shows the package to the camera and sets it on a counter.</t>
  </si>
  <si>
    <t>v_oxp7V1AKJWk</t>
  </si>
  <si>
    <t>A little boy is playing an arcade game.</t>
  </si>
  <si>
    <t>He picks up a ball and throws it at the pins.</t>
  </si>
  <si>
    <t>He turns around and walks away.</t>
  </si>
  <si>
    <t>v_ijnNP7P5m28</t>
  </si>
  <si>
    <t>Men and women and kids are roasting marshmallow in the bonfire while others are skiing or resting on the chairs.</t>
  </si>
  <si>
    <t>A woman slide down the slope and the little girl came up to her and give her a kiss, then the woman help the little girl slide down the slope.</t>
  </si>
  <si>
    <t>v_i7NKJhCdKx0</t>
  </si>
  <si>
    <t>A man is outside in the snow holding a rope that is attached to a snow mobile.</t>
  </si>
  <si>
    <t>The snow mobile starts to move and the person begins snowboarding throughout the field.</t>
  </si>
  <si>
    <t>They continue to move through the snow and the forest of trees into a parking lot by a cabin.</t>
  </si>
  <si>
    <t>v_wHRHS7_4J_s</t>
  </si>
  <si>
    <t>A young girl is seen standing ready looking down at a violin.</t>
  </si>
  <si>
    <t>The girl is then seen playing the violin while moving her hands up and down.</t>
  </si>
  <si>
    <t>The girl continues playing the instrument and ends by looking to the camera.</t>
  </si>
  <si>
    <t>v_bDiwuABU45I</t>
  </si>
  <si>
    <t>A man is rubbing sunscreen on his back.</t>
  </si>
  <si>
    <t>A girl is laying down on a towel on the beach behind him.</t>
  </si>
  <si>
    <t>A person in an orange shirt walks behind him.</t>
  </si>
  <si>
    <t>v_yGCklVOLgk8</t>
  </si>
  <si>
    <t>A person is seen falling into the water in front of a jump.</t>
  </si>
  <si>
    <t>Another person is seen riding along on skis past him.</t>
  </si>
  <si>
    <t>The man continues to ride as the camera zooms in on the water.</t>
  </si>
  <si>
    <t>v_IiG80Vp4WyY</t>
  </si>
  <si>
    <t>A man is seen holding an instrument in front of a large stack of instruments and speaking to the camera.</t>
  </si>
  <si>
    <t>The man then plays the instrument continuously and ends with him pausing and holding the instrument.</t>
  </si>
  <si>
    <t>v_WOkHZ33CgAs</t>
  </si>
  <si>
    <t>Two men start fighting standing outside.</t>
  </si>
  <si>
    <t>One man throws the other man onto a table.</t>
  </si>
  <si>
    <t>v_RZr2KLNE6qE</t>
  </si>
  <si>
    <t>A camera zooms in on a baby wearing a baseball hat riding back and fourth on a swing set.</t>
  </si>
  <si>
    <t>The baby continuously rides back and fourth while another child rides a swing next to him.</t>
  </si>
  <si>
    <t>v_4mfnfTpcfck</t>
  </si>
  <si>
    <t>A group of girls are sitting in an old car while a large group of cars behind them move around.</t>
  </si>
  <si>
    <t>Other people are shown wearing christmas attire and dancing in the streets of the car.</t>
  </si>
  <si>
    <t>A band is playing by a group of kids while the parade follows them full of people dancing.</t>
  </si>
  <si>
    <t>v_qY8t0S0WWoA</t>
  </si>
  <si>
    <t>A man and a child paint a fence with brushes.</t>
  </si>
  <si>
    <t>A baby watches the man and the toddler painting.</t>
  </si>
  <si>
    <t>v_iPiP-7UwAa4</t>
  </si>
  <si>
    <t>A large group of people are seen standing on a stage while others watch on the side.</t>
  </si>
  <si>
    <t>The cheerleaders then begin performing a routine while throwing others up and flipping around.</t>
  </si>
  <si>
    <t>The group continues to perform on the stage and end by holding a pose and walking away.</t>
  </si>
  <si>
    <t>v_uN8lcRwsBno</t>
  </si>
  <si>
    <t>A guy sits with his legs close to his chest.</t>
  </si>
  <si>
    <t>The guy is exercising by pulling a handle.</t>
  </si>
  <si>
    <t>The guy stops exercising fixes his reading glasses and touches his beard.</t>
  </si>
  <si>
    <t>The guy removes his legs from the exercise machine and touches the knob.</t>
  </si>
  <si>
    <t>v_yPpKYckLbdI</t>
  </si>
  <si>
    <t>We see a girl jumping on a trampoline in doors.</t>
  </si>
  <si>
    <t>We see the girl spin in the air.</t>
  </si>
  <si>
    <t>The girl does a series of flips.</t>
  </si>
  <si>
    <t>The girl flips into blue boxes.</t>
  </si>
  <si>
    <t>The girl does a series of flips and a spin.</t>
  </si>
  <si>
    <t>We see a title screen and then see the girls bloopers.</t>
  </si>
  <si>
    <t>v_igwT-3gprOI</t>
  </si>
  <si>
    <t>A woman is shown talking to the camera with her hands and the camera pointing to a building.</t>
  </si>
  <si>
    <t>She stands in front of the building doing a several little dances and continues this in front of several buildings and locations.</t>
  </si>
  <si>
    <t>v_OqLrsVv44MY</t>
  </si>
  <si>
    <t>A woman smiling at the camera is shown scraping off her car with a scraper.</t>
  </si>
  <si>
    <t>She talks to the camera man while smiling at the camera and continuing to scrape.</t>
  </si>
  <si>
    <t>v_n1sWb2K6hBM</t>
  </si>
  <si>
    <t>We see a lady bring a horse into a stable turns the horse around and ties him up.</t>
  </si>
  <si>
    <t>The lady then brushes the horse and cleans the hooves on the horse on the right.</t>
  </si>
  <si>
    <t>The lady then sprays a product in the mane and comes it.</t>
  </si>
  <si>
    <t>The lady moves to the front of the horse and brushes his mane.</t>
  </si>
  <si>
    <t>the lady brushes the left side of the horse and cleans his hooves.</t>
  </si>
  <si>
    <t>The lady then brushes the tail and the horse and the lady leave.</t>
  </si>
  <si>
    <t>v_IVnPfvBZxKE</t>
  </si>
  <si>
    <t>Various pictures of ingredients are shown followed by pictures of the ingredients laid out on a cutting board.</t>
  </si>
  <si>
    <t>The pictures transition into more ingredients with hands covering them up and squeezing them into a ball.</t>
  </si>
  <si>
    <t>Pictures and video of the food being cooked in a pan are shown followed by a person taking it out and cutting it with a knife.</t>
  </si>
  <si>
    <t>Finally, a picture of the finished food product is shown.</t>
  </si>
  <si>
    <t>v_ExcXXMZYGs0</t>
  </si>
  <si>
    <t>We see people rafting down a river in a yellow raft.</t>
  </si>
  <si>
    <t>The raft is overturned and the people fall into the river.</t>
  </si>
  <si>
    <t>The people duck under branch of a low hanging tree and the right front man stands and dances.</t>
  </si>
  <si>
    <t>A man in the back of the raft walks forward.</t>
  </si>
  <si>
    <t>v_MFeI2mRg6Ho</t>
  </si>
  <si>
    <t>Some team is playing a game on the field, one of them scores.</t>
  </si>
  <si>
    <t>The audience goes crazy and then the teams are back to trying to score into the goal.</t>
  </si>
  <si>
    <t>The guy from the yellow team has the ball on the stick, he's running quickly with it and he scores.</t>
  </si>
  <si>
    <t>They put the trophy in the air and yell with excitement.</t>
  </si>
  <si>
    <t>v_VWmSZPIoBlw</t>
  </si>
  <si>
    <t>A man wearing a black coat is standing on the sidewalk.</t>
  </si>
  <si>
    <t>He walks up to a car and starts scraping the snow off the windows.</t>
  </si>
  <si>
    <t>The snow falls onto the ground in front of the car.</t>
  </si>
  <si>
    <t>v_gRzHp84ptgE</t>
  </si>
  <si>
    <t>A man and a little girl are standing on a beach.</t>
  </si>
  <si>
    <t>The man picks up the girl and picks up a surf board.</t>
  </si>
  <si>
    <t>He goes surfing in the water with her on his back.</t>
  </si>
  <si>
    <t>v_pF7z3Z_JSGk</t>
  </si>
  <si>
    <t>A man holds the back paws of a cat and clips its nails sitting on the floor.</t>
  </si>
  <si>
    <t>The man finishes one paw then wrestles with the cat.</t>
  </si>
  <si>
    <t>The man pets that cats stomach.</t>
  </si>
  <si>
    <t>The man examines the cats after the job is done.</t>
  </si>
  <si>
    <t>v_I62kL8H81XA</t>
  </si>
  <si>
    <t>A cup with lemonade is next a jar with a lemonade.</t>
  </si>
  <si>
    <t>A bowl with three cups of cold water, a cup of lemon juice, a cup of water and a cup of sugar are on at table.</t>
  </si>
  <si>
    <t>Then, a person adds sugar, and lemon to pot with water to warm.</t>
  </si>
  <si>
    <t>Then, the person adds the lemonade to a jar and serves in a cup.</t>
  </si>
  <si>
    <t>v_wIK83guBfM0</t>
  </si>
  <si>
    <t>A man is in a garage with newspaper on a table.</t>
  </si>
  <si>
    <t>He shows how to cut the top off a pumpkin, and removes the insides.</t>
  </si>
  <si>
    <t>Then he carves a design into the pumpkin, creating a novelty jackolantern.</t>
  </si>
  <si>
    <t>v_R52e9UAE60k</t>
  </si>
  <si>
    <t>A group of people are shown riding on horses in the desert.</t>
  </si>
  <si>
    <t>A man talks to the camera while riding the horse and giving various shots of the land.</t>
  </si>
  <si>
    <t>He shows off the several other people on horses and continues talking about his adventure close up to the camera.</t>
  </si>
  <si>
    <t>v_5HCYb6qfkdk</t>
  </si>
  <si>
    <t>A person opens a door and walks inside a kitchen.</t>
  </si>
  <si>
    <t>A woman sits on a kitchen counter shaving her legs in a sink.</t>
  </si>
  <si>
    <t>v_zwX7e_5Koh0</t>
  </si>
  <si>
    <t>An intro leads into a group of women standing on a wood floor behind a piece of exercise equipment.</t>
  </si>
  <si>
    <t>The women then begin moving back and fourth and up and down on the equipment while the woman in front speaks out loud.</t>
  </si>
  <si>
    <t>v_RKUEXxnXrm8</t>
  </si>
  <si>
    <t>A man demonstrates how to make an egg salad sandwich.</t>
  </si>
  <si>
    <t>A man starts talking to the camera in close up angle and then takes a bite of a sandwich.</t>
  </si>
  <si>
    <t>A grop of sandwich making materials is shown.</t>
  </si>
  <si>
    <t>An eggs is boiled in a pan, and then the eggs are run under cold water.</t>
  </si>
  <si>
    <t>Celery is chopped into bits along with other vegetables and then the eggs are mixed with this and a finished sandwich is shown.</t>
  </si>
  <si>
    <t>v_CHkT4As5jZI</t>
  </si>
  <si>
    <t>A bartender talks about how to make a proper cocktail.</t>
  </si>
  <si>
    <t>He grabs a glass and puts ice in the glass.</t>
  </si>
  <si>
    <t>He then mixes vodka and soda together in the glass.</t>
  </si>
  <si>
    <t>He grabs a lemon and puts it in the glass to finish.</t>
  </si>
  <si>
    <t>v_O337_rGYZPc</t>
  </si>
  <si>
    <t>A close up of various objects in shown in a circle of dirt and leads into a person holding a bag.</t>
  </si>
  <si>
    <t>The person then opens the bag and points to the objects in dirt and lights a match.</t>
  </si>
  <si>
    <t>The objects catch fire and the camera zooms in on the objects burning.</t>
  </si>
  <si>
    <t>v_NnLjEbG31ZE</t>
  </si>
  <si>
    <t>A group of friends ride inter tubes through small rapids in a tropical jungle.</t>
  </si>
  <si>
    <t>The group goes past large boulders popping up out of the water.</t>
  </si>
  <si>
    <t>v_QRLye5j54ic</t>
  </si>
  <si>
    <t>A boy is standing in the tall grass of a field.</t>
  </si>
  <si>
    <t>He is holding onto a kite in the air.</t>
  </si>
  <si>
    <t>He leans way back, being drug by the force of the wind.</t>
  </si>
  <si>
    <t>v_y-OZ45FQZ0g</t>
  </si>
  <si>
    <t>A man is sitting on the couch wearing jeans a shirt, and he's holding a guitar on his lap, strumming with his right hand and tapping the upper strings with his left hand.</t>
  </si>
  <si>
    <t>The man slows down and stops strumming and tapping on his guitar.</t>
  </si>
  <si>
    <t>A colorful screen appears and it displays a cartoon picture of a Pokemon standing outdoors near a tree while it's snowing, and red words read "Pokemon-Pallet-Town".</t>
  </si>
  <si>
    <t>v_ZBG-KhSyVgQ</t>
  </si>
  <si>
    <t>People are standing on the backs of horses.</t>
  </si>
  <si>
    <t>Three girls are talking to a camera.</t>
  </si>
  <si>
    <t>The horses are walking across a dirt road.</t>
  </si>
  <si>
    <t>v_Io1OF2OkTWY</t>
  </si>
  <si>
    <t>A man is seen speaking to the camera while holding onto a dog in a plane.</t>
  </si>
  <si>
    <t>Several clips are shown of the man in a plane with the dog as well as underwater.</t>
  </si>
  <si>
    <t>The man performs several activities with his dog in hand while a woman speaks to the camera.</t>
  </si>
  <si>
    <t>v_wdb4-V33wIo</t>
  </si>
  <si>
    <t>A camera pans around a snowy roof and leads into a man pushing snow off of a roof and onto the ground below.</t>
  </si>
  <si>
    <t>The man continues speaking to the camera while pushing off snow and leading into an empty roof.</t>
  </si>
  <si>
    <t>Another man is seen shoveling off snow and ends with pictures of the men working.</t>
  </si>
  <si>
    <t>v_8Uyi1KXdS50</t>
  </si>
  <si>
    <t>An elderly woman is seated in a chair.</t>
  </si>
  <si>
    <t>She is knitting with red yarn.</t>
  </si>
  <si>
    <t>She talks to the person with the camera as she knits.</t>
  </si>
  <si>
    <t>v_98wL6zakU9o</t>
  </si>
  <si>
    <t>A person is seen pushing a sander along a ski and leads into another person tightening down a ski and spraying wax along the top.</t>
  </si>
  <si>
    <t>The person wipes it down and then uses a bar of wax on the sander along the ski.</t>
  </si>
  <si>
    <t>v_TkNCytAQ5cw</t>
  </si>
  <si>
    <t>A woman is hosting a news segment that leads into clips of people working on the streets and protesting.</t>
  </si>
  <si>
    <t>Several women are interviewed by the camera and shows more clips of people working and protesting.</t>
  </si>
  <si>
    <t>v_frWLB7ZxMNI</t>
  </si>
  <si>
    <t>We see a man shooting pool on a blue table.</t>
  </si>
  <si>
    <t>The man finishes and smiles as his friend claps his hands.</t>
  </si>
  <si>
    <t>v_xJNqBSJ7rqU</t>
  </si>
  <si>
    <t>A senior picture of a female is shown and then a screen flashes indicating that her highlights are about to be shown.</t>
  </si>
  <si>
    <t>Several videos of her are then shown running up against girls from other teams defending her territory and stripping the ball from the other opponents.</t>
  </si>
  <si>
    <t>v__vbwjI1QA7g</t>
  </si>
  <si>
    <t>man is standing in a room with dart game haging on the wall.</t>
  </si>
  <si>
    <t>he took one of the dart from the board and keeps talking, approaches to the camera and shows the sharp dart.</t>
  </si>
  <si>
    <t>he throw the dart to the board and lean on the wall.</t>
  </si>
  <si>
    <t>man open his arms and swings side to side, kneel on the floor.</t>
  </si>
  <si>
    <t>he take other dart into the board and with the head down starts yelling at the camera.</t>
  </si>
  <si>
    <t>v_V-6nF6U6rfI</t>
  </si>
  <si>
    <t>A gymnast is seen standing ready and holding her arms up that lead into her climbing on a beam and performing a gymnastics routine on the beam.</t>
  </si>
  <si>
    <t>The girl performs several jumps and tricks that ends with her jumping into a mat and holding her arms up.</t>
  </si>
  <si>
    <t>v_8kC5L_Iu3KY</t>
  </si>
  <si>
    <t>A person is seen sitting behind a set of drums playing them consistently.</t>
  </si>
  <si>
    <t>She continues to play the drums while the camera zooms in on her hands.</t>
  </si>
  <si>
    <t>v_08ItAtlb60Q</t>
  </si>
  <si>
    <t>There are many trophies on display that you can win for doing a good job.</t>
  </si>
  <si>
    <t>Men on their bikes are waiting to start a race .</t>
  </si>
  <si>
    <t>Two men hit their knuckles together before the race begins.</t>
  </si>
  <si>
    <t>The audience is cheering and the riders are off going super fast trying to win.</t>
  </si>
  <si>
    <t>v_9PGFsuE3Ye0</t>
  </si>
  <si>
    <t>A man is seen doing karate in front of another with a knife and leads into a shot of a man bowling and text across his face.</t>
  </si>
  <si>
    <t>The man celebrates as people watch and clipart is shown as well as more shots of the man celebrating and bowling.</t>
  </si>
  <si>
    <t>The man holds a trophy in the end and screams to the camera and the audience.</t>
  </si>
  <si>
    <t>The camera then zooms in on a photo on a poster.</t>
  </si>
  <si>
    <t>v_H9FxfosWRTE</t>
  </si>
  <si>
    <t>A woman is seen kneeling down before a large weight and speaking to the camera continuously.</t>
  </si>
  <si>
    <t>She moves her body around the weight and pointing around to demonstrate how to properly hold the weight.</t>
  </si>
  <si>
    <t>v_qcV3JtJDoV8</t>
  </si>
  <si>
    <t>They pass a group of people snowboarding.</t>
  </si>
  <si>
    <t>They get to the bottom of the hill and stop in front of a small building.</t>
  </si>
  <si>
    <t>v_AyWXuUCDSjw</t>
  </si>
  <si>
    <t>We see 5 men walking down the street sides by side.</t>
  </si>
  <si>
    <t>A man looks at the men.</t>
  </si>
  <si>
    <t>A lady looks at the men.</t>
  </si>
  <si>
    <t>Two men turn and look at each other.</t>
  </si>
  <si>
    <t>One man buys drinks as everyone stares at them.</t>
  </si>
  <si>
    <t>The five men drink their beers in one gulp.</t>
  </si>
  <si>
    <t>The men leave the bar drunk.</t>
  </si>
  <si>
    <t>We see a gray closing screen.</t>
  </si>
  <si>
    <t>v_7LhKz7863kg</t>
  </si>
  <si>
    <t>woman wearing black clothes is laying down in the floor doing abs.</t>
  </si>
  <si>
    <t>woman doing abs in the floor have her fet tied to elastics.</t>
  </si>
  <si>
    <t>woman is doing exercise in a roofed gym.</t>
  </si>
  <si>
    <t>v_AvjExlAl18I</t>
  </si>
  <si>
    <t>A man is seen performing a dance routine on a stage while an orchestra plays behind him.</t>
  </si>
  <si>
    <t>A woman then steps in and dances with the man while spinning his hat around and twirling on the stage.</t>
  </si>
  <si>
    <t>The two end by making a funny gesture and then walk off the stage to the side.</t>
  </si>
  <si>
    <t>v_W0M9tXQV3Xg</t>
  </si>
  <si>
    <t>A man is talking in next to several exercise bikes.</t>
  </si>
  <si>
    <t>He starts working out on one of the bikes.</t>
  </si>
  <si>
    <t>People are working out in the dark.</t>
  </si>
  <si>
    <t>v_rdZ0TZcP0NU</t>
  </si>
  <si>
    <t>A group of people play polo on horses on a grass covered, fenced in field surrounded by onlookers and spectators.</t>
  </si>
  <si>
    <t>A man on a horse walks down the center of a line of people on a horse while holding a long mallet pole.</t>
  </si>
  <si>
    <t>A group of spectators standing and sitting on the grass look on from the side of the field.</t>
  </si>
  <si>
    <t>The game of polo begins and the people on the horses begin to swing their mallet poles across the ground.</t>
  </si>
  <si>
    <t>v_HvzJ-RJOF9Q</t>
  </si>
  <si>
    <t>A man is seen speaking to the camera while moving his arms around and others swim in a pool behind him.</t>
  </si>
  <si>
    <t>The man continues speaking to the camera and a person jumps off the diving board behind him.</t>
  </si>
  <si>
    <t>v_fg_R9Vrr1KI</t>
  </si>
  <si>
    <t>A gymnast mounts a high beam in a gym.</t>
  </si>
  <si>
    <t>He flips and does several springs.</t>
  </si>
  <si>
    <t>He then dismounts, throwing his arms up as he does so.</t>
  </si>
  <si>
    <t>v_7-uMJ_5WsZM</t>
  </si>
  <si>
    <t>A large orange machine is shown moving down a road with a claw like arm and razor cutting down the grass.</t>
  </si>
  <si>
    <t>The cutting continues and the machine is being operated in different areas such as highways.</t>
  </si>
  <si>
    <t>v_pHU2Ie4VQBg</t>
  </si>
  <si>
    <t>A girl is seen performing a belly dancing routine on a small stage.</t>
  </si>
  <si>
    <t>She continues dancing and performing around the stage and finishes her dance with a posing, bowing, and walking off.</t>
  </si>
  <si>
    <t>v_e9l3PzP4uGQ</t>
  </si>
  <si>
    <t>Various clip are shown of ingredients being laid out in bowls followed by a person mixing them all together.</t>
  </si>
  <si>
    <t>The person rolls them into balls and sets them on a plate, finally sticking them into the oven.</t>
  </si>
  <si>
    <t>She then pulls out the made cookies and gives the camera a thumbs up.</t>
  </si>
  <si>
    <t>v_tQ9yPS_BJHQ</t>
  </si>
  <si>
    <t>People are driving bumper cars and crashing into each other.</t>
  </si>
  <si>
    <t>A green car crashes into a gold car.</t>
  </si>
  <si>
    <t>A blue car crashes into a gold car.</t>
  </si>
  <si>
    <t>v_3UgGvKnelfY</t>
  </si>
  <si>
    <t>A camera pans around a large warehouse and shows clips of materials being made and men working.</t>
  </si>
  <si>
    <t>Machinery is shown pushing materials along while people watch on the sides.</t>
  </si>
  <si>
    <t>More products for homes are being pushed out and a machinery is shown carrying them away.</t>
  </si>
  <si>
    <t>v_airowj9k5ro</t>
  </si>
  <si>
    <t>A close up of a slide is seen followed by an adult and a young child riding down the slide.</t>
  </si>
  <si>
    <t>The woman laughs with the baby and picks her up at the bottom.</t>
  </si>
  <si>
    <t>v_5ZmZr2bguy0</t>
  </si>
  <si>
    <t>A woman is seen standing in a large circle and bending herself forward.</t>
  </si>
  <si>
    <t>The woman then spins herself around and throws an object off into the distance.</t>
  </si>
  <si>
    <t>The woman does this several times afterwards.</t>
  </si>
  <si>
    <t>v_piKE8obU4JY</t>
  </si>
  <si>
    <t>A drum line gets in formation at an outdoor event.</t>
  </si>
  <si>
    <t>They begin their routine, each section moving in their own set way before coming together and spreading out again.</t>
  </si>
  <si>
    <t>They form into two rows and finish the song.</t>
  </si>
  <si>
    <t>v_-kuXhOsHAc4</t>
  </si>
  <si>
    <t>A person walks up stairs into a room and sees beer poured from a keg and people talking.</t>
  </si>
  <si>
    <t>People stand and play beer pong while others watch.</t>
  </si>
  <si>
    <t>A man tries to blow a ball out of a cup.</t>
  </si>
  <si>
    <t>A man hits the ball away from the cup.</t>
  </si>
  <si>
    <t>The left team jumps and cheers.</t>
  </si>
  <si>
    <t>We see peoples faces up close and plates of food on a table.</t>
  </si>
  <si>
    <t>We see a lighted sign and end.</t>
  </si>
  <si>
    <t>v_mXbrIyhXbQo</t>
  </si>
  <si>
    <t>A man is seen standing around a neighborhood on a pair of stilts.</t>
  </si>
  <si>
    <t>The man walks up the street and turns towards the back.</t>
  </si>
  <si>
    <t>He then begins jumping down the road and looking back to the camera.</t>
  </si>
  <si>
    <t>v_M_Jib8gkQpg</t>
  </si>
  <si>
    <t>A man jumps of a diving board backwards into a swimming pool.</t>
  </si>
  <si>
    <t>There is a big splash and the man surfaces smiling.</t>
  </si>
  <si>
    <t>v_2rA5pyel_NE</t>
  </si>
  <si>
    <t>Children bring desert out for their family member.</t>
  </si>
  <si>
    <t>The family enjoys eating the desert together.</t>
  </si>
  <si>
    <t>The people in the restaurant laugh at the man and he wonders what they are doing.</t>
  </si>
  <si>
    <t>The man gets up and walks away to the other room.</t>
  </si>
  <si>
    <t>v_w28ML-KpYdI</t>
  </si>
  <si>
    <t>a man is standing in his back yard.</t>
  </si>
  <si>
    <t>He is laughing as he paits the side of a shed.</t>
  </si>
  <si>
    <t>He uses a sprayer to apply the red paint.</t>
  </si>
  <si>
    <t>v_Ww2_b9f6Kh0</t>
  </si>
  <si>
    <t>We see a man on a diving board high in the air.</t>
  </si>
  <si>
    <t>The man does a handstand and fall from the handstand into the water.</t>
  </si>
  <si>
    <t>The next man simply runs and dives while flipping into the water.</t>
  </si>
  <si>
    <t>The final man does a more traditional dive.</t>
  </si>
  <si>
    <t>v_c-X500da7JU</t>
  </si>
  <si>
    <t>A person shows how to warp a gift like a professional and do fancy ornaments and ribbons on gifts.</t>
  </si>
  <si>
    <t>The woman arrange a gift basket and shows a pile of nice gifts.</t>
  </si>
  <si>
    <t>Then, the woman wraps gifts with different shapes and ornaments.</t>
  </si>
  <si>
    <t>v_c81l0bAPiFo</t>
  </si>
  <si>
    <t>A lady kneels in a canoe as she rows on a lake.</t>
  </si>
  <si>
    <t>A lady attempts to stand on one foot in the boat and falls into the lake.</t>
  </si>
  <si>
    <t>A lady has one foot in the water and one in the boat and she starts doing push-ups on the boat.</t>
  </si>
  <si>
    <t>The lady finishes and shows her muscle to the camera.</t>
  </si>
  <si>
    <t>We see an emblem on the screen.</t>
  </si>
  <si>
    <t>v_OhPSVjVQZ8o</t>
  </si>
  <si>
    <t>A young child wearing a helmet is climbing on monkey bars on a playground with a small boy underneath her.</t>
  </si>
  <si>
    <t>A person riding a bike goes around the young girl and she climbs until the last bar.</t>
  </si>
  <si>
    <t>v_w6ofRgXA0xc</t>
  </si>
  <si>
    <t>A man in red short is pouring a bottle onto some wood.</t>
  </si>
  <si>
    <t>The man throws some paper on top of the wood.</t>
  </si>
  <si>
    <t>The man throws matches at the pile of wood.</t>
  </si>
  <si>
    <t>A fire begins to burn.</t>
  </si>
  <si>
    <t>v_BEA4YVQv7Wk</t>
  </si>
  <si>
    <t>A camera pans around a large indoor pool and shows a man jumping off a diving board into the water.</t>
  </si>
  <si>
    <t>Several people are shown warming up and followed up by many jumping into the pool.</t>
  </si>
  <si>
    <t>A man instructs them on how to properly land in the water followed by several people jumping one at a time into the pool, including the camera man.</t>
  </si>
  <si>
    <t>v_YbD0P8dH6Oc</t>
  </si>
  <si>
    <t>Two sumos prepares to wrestle in a ring while a judge stands in middle of them.</t>
  </si>
  <si>
    <t>Then the sumos wrestle, and the thin sumo throws the fat sumo to the floor.</t>
  </si>
  <si>
    <t>After, the fat sumo stands up and left the ring.</t>
  </si>
  <si>
    <t>The crow applaud, then men broom the ring.</t>
  </si>
  <si>
    <t>v_JxBFSll-mDE</t>
  </si>
  <si>
    <t>A man is seen speaking to the camera holding a hockey stick and leads into him instructing other players.</t>
  </si>
  <si>
    <t>The man continue playing around one another while the man yells to them and the others continue playing.</t>
  </si>
  <si>
    <t>v_V6lFpCjRKC8</t>
  </si>
  <si>
    <t>A small group of men are seen standing around a court with many people sitting and watching on the sides.</t>
  </si>
  <si>
    <t>A person runs down with a pole vault and throws it off into the distance while the same clip is shown again in slow motion and another goes after.</t>
  </si>
  <si>
    <t>v_9FAPy8NVDgY</t>
  </si>
  <si>
    <t>The video begins with an introduction to Recipes in Motion about quick spaghetti sauce.</t>
  </si>
  <si>
    <t>The video transitions into showing a ladle pouring the sauce onto noodles.</t>
  </si>
  <si>
    <t>Someone begins to cut various vegetable with a knife, this includes a green vegetable and onions.</t>
  </si>
  <si>
    <t>Next an empty metallic pan is shown as someone pours oil and the vegetables into it.</t>
  </si>
  <si>
    <t>They then begin stirring the vegetables with the oil.</t>
  </si>
  <si>
    <t>After this what other ingredients are added include tomatoes, spices and some type of liquid.</t>
  </si>
  <si>
    <t>Everything is being stirred together.</t>
  </si>
  <si>
    <t>The pan is removed and the stirred ingredients are blended.</t>
  </si>
  <si>
    <t>The blended ingredients are put back onto the man and a red substance from a can is poured onto the pan and mixed in.</t>
  </si>
  <si>
    <t>The sauce is completed and poured onto the noodles.</t>
  </si>
  <si>
    <t>The video ends with with an orange background with information on where to watch more videos.</t>
  </si>
  <si>
    <t>v_ngE2y5ExVqw</t>
  </si>
  <si>
    <t>A teenager boy hits a Sponge Bob piñata covered his eyes with a cloth while woman takes pictures.</t>
  </si>
  <si>
    <t>A boy hits the piñata until it falls while the boy cover his eyes with a blue cloth.</t>
  </si>
  <si>
    <t>A man rubs his face with his hand and then he sticks his tong out.</t>
  </si>
  <si>
    <t>v_hSnTYQ9osIg</t>
  </si>
  <si>
    <t>Two people are outside in ball dancing in a plaza as a group of people surround them and watch.</t>
  </si>
  <si>
    <t>People come and go to watch the two people dance and then they finally stop dancing,bow and grabs a cloth to wash their face.</t>
  </si>
  <si>
    <t>v_3C4Nry679BA</t>
  </si>
  <si>
    <t>A woman places vegetable leaves in a bow.</t>
  </si>
  <si>
    <t>The camera pans right to show a man standing beside the woman.</t>
  </si>
  <si>
    <t>The man slices a cucumber on a plate.</t>
  </si>
  <si>
    <t>v_2X4-yp_EFVE</t>
  </si>
  <si>
    <t>Two men are seen leading over the hood of the car while grabbing onto each other's hands.</t>
  </si>
  <si>
    <t>They then begin a game of arm wrestling and ends with one man winning and both looking at the camera and one holding his wrist.</t>
  </si>
  <si>
    <t>v_fc3yCFrmkCU</t>
  </si>
  <si>
    <t>Video title or label are shown.</t>
  </si>
  <si>
    <t>A guy gestures the peace sign.</t>
  </si>
  <si>
    <t>A guy is snow board down a slope.</t>
  </si>
  <si>
    <t>A group in a row wave goodbye.</t>
  </si>
  <si>
    <t>v_Z57GknpXOBg</t>
  </si>
  <si>
    <t>A man is getting ready to waterboard, there's a boat waiting for him to his right, and the white words on the right bottom corner say "Spray Lake Watersports &amp; Activity Centre".</t>
  </si>
  <si>
    <t>The man goes in the water and as he's holding onto the bar connected to the rope and the boat, he is quickly waterboarding on the lake, sometimes using both hands to hold onto the bar and sometimes alternating hands.</t>
  </si>
  <si>
    <t>The man lets go of the bar and begins to slow towards a dock.</t>
  </si>
  <si>
    <t>A pair of hands are now holding a waterboard that has black and silver pair of shoes attached to it.</t>
  </si>
  <si>
    <t>A person is briefly shown waterboarding and the view goes to bubbling underwater.</t>
  </si>
  <si>
    <t>v_MfFM_a26bR8</t>
  </si>
  <si>
    <t>A person is seen riding around on the horse in a closed in area.</t>
  </si>
  <si>
    <t>The camera continues to follow him riding around the area galloping around.</t>
  </si>
  <si>
    <t>v_s_gb6Xi_J5g</t>
  </si>
  <si>
    <t>The little girl is on top of the monkey bar.</t>
  </si>
  <si>
    <t>A little kid in colorful shirt is crossing the monkey bar.</t>
  </si>
  <si>
    <t>The little girl fell from monkey bar and went back to the monkey bar.</t>
  </si>
  <si>
    <t>v_uiG7A8lEdEg</t>
  </si>
  <si>
    <t>Players are playing lacrosse outdoors in front of an audience.</t>
  </si>
  <si>
    <t>A player is laying on the field.</t>
  </si>
  <si>
    <t>The player hits the ball into the goal.</t>
  </si>
  <si>
    <t>The audience and teammates celebrate the goal, and teammates pat each other on the shoulder.</t>
  </si>
  <si>
    <t>A guy removes his helmet.</t>
  </si>
  <si>
    <t>v_-eCMRApm6n4</t>
  </si>
  <si>
    <t>A girl shows how to make lemonade.</t>
  </si>
  <si>
    <t>She then rakes in the cash her parents helped her.</t>
  </si>
  <si>
    <t>v_TrhOt1WyU7Y</t>
  </si>
  <si>
    <t>A camera pans to a kite flying around in the sky as well as people in a field.</t>
  </si>
  <si>
    <t>A man is seen off to the site controlling the kite with his hands.</t>
  </si>
  <si>
    <t>He continues flying the object around the sky with the camera following.</t>
  </si>
  <si>
    <t>v_d-sWAcDYsbc</t>
  </si>
  <si>
    <t>A young man sits down on a chair in front of a drum set.</t>
  </si>
  <si>
    <t>He begins playing the drums, which are located inside of a living room.</t>
  </si>
  <si>
    <t>The playing continues until he puts down the drum sticks and looks at the camera with a shocked look.</t>
  </si>
  <si>
    <t>The video ends with the man getting up to turn off the camera.</t>
  </si>
  <si>
    <t>v_cdO-xmdjM7Q</t>
  </si>
  <si>
    <t>A group of people walk holding inflatable boats and arrive to a lake, then the people sail in the lake.</t>
  </si>
  <si>
    <t>After, the people take the boats to sail on a narrow choppy river.</t>
  </si>
  <si>
    <t>The rafters arrive to a cascade and the boats fold when descend the cascade, then they continue rafting in the river.</t>
  </si>
  <si>
    <t>v_zlAwW2Pxc1A</t>
  </si>
  <si>
    <t>A man is standing on a ladder.</t>
  </si>
  <si>
    <t>He is hanging wall paper onto a wall in front of him.</t>
  </si>
  <si>
    <t>He uses a tool to smooth out the wall paper once it's on the wall.</t>
  </si>
  <si>
    <t>v_MSiXlMKPGKs</t>
  </si>
  <si>
    <t>Various shots of people standing together and moving around ice are shown as well as people playing shuffle board and yelling to one another.</t>
  </si>
  <si>
    <t>Several people are interviewed on the camera that intervenes with shots of shuffleboard and people rubbing their necks and speaking to one another.</t>
  </si>
  <si>
    <t>v_3W92sMbvoaE</t>
  </si>
  <si>
    <t>A woman is riding an intertube down a snowy hill.</t>
  </si>
  <si>
    <t>She spins as she goes down, running into another person.</t>
  </si>
  <si>
    <t>She is knocked out of her intertube.</t>
  </si>
  <si>
    <t>v_68oJj9QktGg</t>
  </si>
  <si>
    <t>Several shots are shown of bulls running into people in busy streets and people becoming hurt by the bulls.</t>
  </si>
  <si>
    <t>Many more shots are shown of bulls hurting people in various locations while others try to help them on the side.</t>
  </si>
  <si>
    <t>v_Sb2SPX38lyQ</t>
  </si>
  <si>
    <t>A dark sky with a moon and cloud is shown in between trail so dirt.</t>
  </si>
  <si>
    <t>After,A man wearing a hat is shown walking down the trail and several dirt bikers racing are shown.</t>
  </si>
  <si>
    <t>The man then puts on a helmet,the bar is let down and he begins jumping over a hill.</t>
  </si>
  <si>
    <t>As the video continues,you are following the man racing through the trail and doing tricks and riding at side angles to ensure that the tricks are landed and he doesn't fall off.</t>
  </si>
  <si>
    <t>The man then reappears and the reflection of racing is shown in his eye before he walks off.</t>
  </si>
  <si>
    <t>v_ZvVnXvKlKbQ</t>
  </si>
  <si>
    <t>Bowling pins are getting hit with bowling ball.</t>
  </si>
  <si>
    <t>A crowd cheers sitting behind the bowling alley.</t>
  </si>
  <si>
    <t>A man kisses a trophy in his hands.</t>
  </si>
  <si>
    <t>v_wmmOt79-Azo</t>
  </si>
  <si>
    <t>People are standing in a room playing tennis.</t>
  </si>
  <si>
    <t>A woman picks up a ball that falls onto the ground.</t>
  </si>
  <si>
    <t>The girl walks up to the net.</t>
  </si>
  <si>
    <t>v_LFOlEafI35c</t>
  </si>
  <si>
    <t>Two young men arm wrestle in a kitchen using a standing cat chair as an table.</t>
  </si>
  <si>
    <t>A young man in a white tank top places his elbow on a elevated cat chair along with another young man in a black shirt.</t>
  </si>
  <si>
    <t>The two young men begin to arm wrestle.</t>
  </si>
  <si>
    <t>The man in the black shirt wins the arm wrestling match at which point the man in the white tank top backs away and stands in front of a refrigerator next to a girl drinking a canned beverage.</t>
  </si>
  <si>
    <t>v_EPql2nTJb9I</t>
  </si>
  <si>
    <t>A man and woman are standing an a kitchen.</t>
  </si>
  <si>
    <t>The woman is chopping up various vegetables on a white tray.</t>
  </si>
  <si>
    <t>v_-fjUWhSM6Hc</t>
  </si>
  <si>
    <t>A huge crowd is in the stands in an arena.</t>
  </si>
  <si>
    <t>A man throws a javelin.</t>
  </si>
  <si>
    <t>Photographers take pictures in the background.</t>
  </si>
  <si>
    <t>Several men run to where the javelin lands.</t>
  </si>
  <si>
    <t>The man that threw the javelin celebrates.</t>
  </si>
  <si>
    <t>Another man throws a javelin.</t>
  </si>
  <si>
    <t>People walk all around doing different things.</t>
  </si>
  <si>
    <t>Several men run out to where the javelin lands again.</t>
  </si>
  <si>
    <t>The second man to throw the javelin and a man in the stands celebrate.</t>
  </si>
  <si>
    <t>A third man throws a javelin so hard that he falls.</t>
  </si>
  <si>
    <t>The same men run to the the javelin's landing spot.</t>
  </si>
  <si>
    <t>The third man walks away looking disappointed.</t>
  </si>
  <si>
    <t>A fourth man throws a javelin.</t>
  </si>
  <si>
    <t>Again, the men run to where the javelin lands.</t>
  </si>
  <si>
    <t>The fourth man looks disappointed looking for his jacket.</t>
  </si>
  <si>
    <t>The first man to throw a javelin runs around celebrating and hugs another man.</t>
  </si>
  <si>
    <t>A man puts a gold medal around the neck of the first javelin thrower and shakes his hand.</t>
  </si>
  <si>
    <t>He puts a silver medal on the second thrower.</t>
  </si>
  <si>
    <t>He puts a bronze medal on the third thrower.</t>
  </si>
  <si>
    <t>All of the men shake hands.</t>
  </si>
  <si>
    <t>The gold medal winner talks to a news person.</t>
  </si>
  <si>
    <t>The silver medalist talks to a news person.</t>
  </si>
  <si>
    <t>v_d44RiNHK6KA</t>
  </si>
  <si>
    <t>Two people are working out on exercise bikes.</t>
  </si>
  <si>
    <t>The one wearing a blue wig puts their hands in the air.</t>
  </si>
  <si>
    <t>People are in front of them also on exercise bikes.</t>
  </si>
  <si>
    <t>v_1d6FGbM4FRM</t>
  </si>
  <si>
    <t>One person covers the floor with tiles.</t>
  </si>
  <si>
    <t>Then, another man come and help cover the floor with tiles.</t>
  </si>
  <si>
    <t>v_2ErgL7-MXHw</t>
  </si>
  <si>
    <t>Two men stands on front a tall hedge holding trimmers.</t>
  </si>
  <si>
    <t>The men cuts the top of the hedge.</t>
  </si>
  <si>
    <t>Leaves falls from the top of the hedge.</t>
  </si>
  <si>
    <t>v_jXZ6WVxXgLA</t>
  </si>
  <si>
    <t>A man is using a large broom in a parking lot.</t>
  </si>
  <si>
    <t>He spins the broom in circles around him.</t>
  </si>
  <si>
    <t>The spinning brushes the piles of leaves out of the parking lot.</t>
  </si>
  <si>
    <t>v_bFRqNqyVznA</t>
  </si>
  <si>
    <t>A woman is seen speaking to the camera while holding a rag and cleaner and leads into her spraying down the gloves and moving them along a piano.</t>
  </si>
  <si>
    <t>The woman continues wiping all around the piano and ends by speaking to the camera.</t>
  </si>
  <si>
    <t>v_p2P5g7HTJeY</t>
  </si>
  <si>
    <t>People are running around on a field playing a game of lacrosse.</t>
  </si>
  <si>
    <t>A man in white shorts sits down in front of the camera.</t>
  </si>
  <si>
    <t>A man knocks over one of his team mates.</t>
  </si>
  <si>
    <t>Two men almost crash into the camera.</t>
  </si>
  <si>
    <t>A group of players fight over the ball.</t>
  </si>
  <si>
    <t>A man hits the ball far across the field.</t>
  </si>
  <si>
    <t>The screen fades to green.</t>
  </si>
  <si>
    <t>v_-KWToNMY1Lc</t>
  </si>
  <si>
    <t>A man is seated on a horse and holding a lasso while assistants stand by and an audience watches.</t>
  </si>
  <si>
    <t>A cow is released and the man chases after it.</t>
  </si>
  <si>
    <t>The man lassos and ties it up.</t>
  </si>
  <si>
    <t>A man briefly enters the camera frame.</t>
  </si>
  <si>
    <t>Another man is seated on a horse and holding a lasso in the same setting.</t>
  </si>
  <si>
    <t>A cow is released and the second man chases after it.</t>
  </si>
  <si>
    <t>The second man lassos and ties it up.</t>
  </si>
  <si>
    <t>Two riders and two assistants enter the frame.</t>
  </si>
  <si>
    <t>v_ZQU0p5OKC04</t>
  </si>
  <si>
    <t>A man bungee jumps from an elevated capsule into a body of water beneath him in a forest like environment.</t>
  </si>
  <si>
    <t>A man in a blue shirt is strapped into a bungee jumping harness.</t>
  </si>
  <si>
    <t>The man is then lifted into the air in a yellow capsule with a guide, high above a body of water.</t>
  </si>
  <si>
    <t>The man then jumps out of the capsule and falls the distance between the capsule and the water and plops into the water.</t>
  </si>
  <si>
    <t>v_niHEMszTMBU</t>
  </si>
  <si>
    <t>A man in a blue shirt is standing in the woods explaining something.</t>
  </si>
  <si>
    <t>He then shows how to set up wood for a fire.</t>
  </si>
  <si>
    <t>The camera goes back to him standing.</t>
  </si>
  <si>
    <t>The camera goes to the fire being started.</t>
  </si>
  <si>
    <t>the camera goes back to him standing.</t>
  </si>
  <si>
    <t>The camera goes back to him building a different kind of campfire.</t>
  </si>
  <si>
    <t>He is standing in the woods again talking.</t>
  </si>
  <si>
    <t>v_PzAjZbCEbLU</t>
  </si>
  <si>
    <t>a video of how to prevent RV roof leaks is shown, there is a roof of an RV and a man cleaning the glue around the leak.</t>
  </si>
  <si>
    <t>man is putting white glue around the leak.</t>
  </si>
  <si>
    <t>v_4fw4nswO748</t>
  </si>
  <si>
    <t>An introduction comes onto the screen for a video about snowboarding.</t>
  </si>
  <si>
    <t>A snowboarder begins to make some commentary about his snowboarding techniques.</t>
  </si>
  <si>
    <t>Several clips of snowboarders are shown performing the technique as he explains.</t>
  </si>
  <si>
    <t>v_FGAlwzRvAHg</t>
  </si>
  <si>
    <t>The screen shows Transworld Snowboarding at Keystone, Colorado.</t>
  </si>
  <si>
    <t>It displays the fundamentals of snowboarding by Jack Mitrani.</t>
  </si>
  <si>
    <t>A person wearing a green hoodie and a hat is talking about the essentials required for snowboarding.</t>
  </si>
  <si>
    <t>He is demonstrating his tutorial with a snowboard placed in front of him.</t>
  </si>
  <si>
    <t>He is holding an iron in his hand as he is explaining how to wax the board.</t>
  </si>
  <si>
    <t>He has a piece of hard wax in his hand and an iron too.</t>
  </si>
  <si>
    <t>He begins melting the wax with the heated iron and drops it on the board.</t>
  </si>
  <si>
    <t>He drops the melted wax all over the board.</t>
  </si>
  <si>
    <t>He then drags the melted wax all through the board.</t>
  </si>
  <si>
    <t>He continues the same process throughout the entire board.</t>
  </si>
  <si>
    <t>Then uses a scraper to scrape the wax off and clean the board.</t>
  </si>
  <si>
    <t>He also uses a brush to brush off the wax and blows the wax shavings off of the board.</t>
  </si>
  <si>
    <t>v_7qeiQKbWpLM</t>
  </si>
  <si>
    <t>A female gymnast goes through her routine as her coach supervises.</t>
  </si>
  <si>
    <t>Graphics appear at the bottom of the screen that gives the girl's name and country she represents.</t>
  </si>
  <si>
    <t>Her coach walks to the uneven bars to position himself in case she falls.</t>
  </si>
  <si>
    <t>The coach walks up to the uneven bars a second time to position himself to catch her if needed and then walks across to the other side of the mats.</t>
  </si>
  <si>
    <t>She gets off the uneven bars and lands on the mat and poses.</t>
  </si>
  <si>
    <t>v_vijDPbwU6vA</t>
  </si>
  <si>
    <t>People are sitting around a campfire.</t>
  </si>
  <si>
    <t>A man in a hat stands up and chops wood.</t>
  </si>
  <si>
    <t>He gives a thumbs up and puts the ax over his shoulder.</t>
  </si>
  <si>
    <t>v_ZKSORB5ygRM</t>
  </si>
  <si>
    <t>A man drives his car to the beach.</t>
  </si>
  <si>
    <t>He gears up for the surf.</t>
  </si>
  <si>
    <t>He then surfs across a large wave.</t>
  </si>
  <si>
    <t>He finishes and stands on the beach.</t>
  </si>
  <si>
    <t>v_h0R04AFnor4</t>
  </si>
  <si>
    <t>A person touches the skin with a green light while cleaning the area.</t>
  </si>
  <si>
    <t>The person clean the leg with cotton.</t>
  </si>
  <si>
    <t>The person continues applying the green light.</t>
  </si>
  <si>
    <t>v_9a6C5rvS56A</t>
  </si>
  <si>
    <t>There are 4 african american children skipping around on the concrete ground.</t>
  </si>
  <si>
    <t>3 are wearing dresses and 1 of them is wearing a shirt and pants.</t>
  </si>
  <si>
    <t>After they're done skipping, they go to pick vegetables on the side of a building and put them into a blue bowl.</t>
  </si>
  <si>
    <t>v_KcgpoXEh44M</t>
  </si>
  <si>
    <t>Two women are in a room standing behind a table and one holds up a teddy bear.</t>
  </si>
  <si>
    <t>The two the help each other,and begin by taking out a roll of wrapping paper.</t>
  </si>
  <si>
    <t>After,the young girl begins to cut,fold, and tape the paper and places the bear inside.</t>
  </si>
  <si>
    <t>Finally,the task is complete and she holds the finished product up on the table.</t>
  </si>
  <si>
    <t>v_UBtVJ-w9O28</t>
  </si>
  <si>
    <t>A group of men are outside standing in a circle hitting sticks as two males begin fighting.</t>
  </si>
  <si>
    <t>Next,two more men begin dancing around the circle making fighting movements.</t>
  </si>
  <si>
    <t>After,the men come into the circle in pairs and begin to dance around each other as if they are fighting each other.</t>
  </si>
  <si>
    <t>v_3jb0w48ACkU</t>
  </si>
  <si>
    <t>A girl video records a man throwing lighting the end of a stick on fire.</t>
  </si>
  <si>
    <t>The man blows the stick of fire into a pile of wood and eventually creates a fire.</t>
  </si>
  <si>
    <t>v_bL0bXUG2QWI</t>
  </si>
  <si>
    <t>Two men are standing on a gym.</t>
  </si>
  <si>
    <t>A man gets on his knees and lifts two weights.</t>
  </si>
  <si>
    <t>A man stands behind him and talks.</t>
  </si>
  <si>
    <t>The man stands up and kneels back down several times.</t>
  </si>
  <si>
    <t>v_hEabp9fbqtw</t>
  </si>
  <si>
    <t>A man is wearing white in front of a building.</t>
  </si>
  <si>
    <t>He is doing several martial arts moves.</t>
  </si>
  <si>
    <t>He moves very slowly as he demonstrates the moves.</t>
  </si>
  <si>
    <t>v_iksziMLKsBQ</t>
  </si>
  <si>
    <t>We see a black intro screen.</t>
  </si>
  <si>
    <t>We see princess Diana and a man playing pool.</t>
  </si>
  <si>
    <t>Photographers stand up at the end of her table.</t>
  </si>
  <si>
    <t>The princess and her people exit the room.</t>
  </si>
  <si>
    <t>We go back to the black screen.</t>
  </si>
  <si>
    <t>v_18qVzfQ9VAs</t>
  </si>
  <si>
    <t>A woman is standing while wearing a pair of black boots.</t>
  </si>
  <si>
    <t>Her boots begin to move and kick as she starts dancing.</t>
  </si>
  <si>
    <t>She moves side to side, kicking in and out.</t>
  </si>
  <si>
    <t>The woman is fully shown as she stops dancing and begins to speak to the camera.</t>
  </si>
  <si>
    <t>v_ZIvekQVbCZ4</t>
  </si>
  <si>
    <t>A man is jumping rope in a room.</t>
  </si>
  <si>
    <t>A man behind him is stretching.</t>
  </si>
  <si>
    <t>A man behind him starts doing push ups.</t>
  </si>
  <si>
    <t>v_zahB34blHyk</t>
  </si>
  <si>
    <t>There is a man wearing a blue hazmat suit spray painting a tall fence.</t>
  </si>
  <si>
    <t>He is using a spray paint hose to paint the wooden fence.</t>
  </si>
  <si>
    <t>He moves the hose back and forth to ensure he covers the entire surface area of the fence.</t>
  </si>
  <si>
    <t>v_d-NsZZkxTa0</t>
  </si>
  <si>
    <t>A little girl is running around with a stick pushing and object, playing and having a lot of fun.</t>
  </si>
  <si>
    <t>The little girl goes forward playing for around 10 meters and then she goes back running.</t>
  </si>
  <si>
    <t>She touches a red plate and positions it and then runs again to the other side.</t>
  </si>
  <si>
    <t>v_2L9pp85KvbQ</t>
  </si>
  <si>
    <t>A man has a hookah in his mouth and he is inhaling smoke for a while.</t>
  </si>
  <si>
    <t>He takes the hookah out of his mouth and exhales letting out a bunch of smoke.</t>
  </si>
  <si>
    <t>I think he is trying to make O's with the smoke but he doesn't know how.</t>
  </si>
  <si>
    <t>He keeps inhaling and continues to try blowing out the smoke.</t>
  </si>
  <si>
    <t>v_71vVRQ4l8OI</t>
  </si>
  <si>
    <t>A gymnist is seen pushing himself up onto a set of uneven bars while several other people watch on the sidelines as well as perform.</t>
  </si>
  <si>
    <t>Several older men man runs into frame to check on the gymnast in back while the man on the bars continues his routine.</t>
  </si>
  <si>
    <t>The athlete does a back flip and finishes his routine while several others run into frame.</t>
  </si>
  <si>
    <t>v_rduaWxRvcw0</t>
  </si>
  <si>
    <t>A woman wearing a head scarf is seated, talking to the camera.</t>
  </si>
  <si>
    <t>She takes rollers out of her hair, one at a time.</t>
  </si>
  <si>
    <t>She then styles her hair and displays it to the camera.</t>
  </si>
  <si>
    <t>v_vEiQlqCy-rI</t>
  </si>
  <si>
    <t>A goalie is shown saving several balls and being interviewed by a reporter.</t>
  </si>
  <si>
    <t>Many shots are shown of boys playing soccer and being interviewed and leads into the coach being interviewed.</t>
  </si>
  <si>
    <t>Many people enjoy watching the game and finish with more players being interviewed.</t>
  </si>
  <si>
    <t>v_yw9W5dZ6T18</t>
  </si>
  <si>
    <t>The man is standing in the kitchen.</t>
  </si>
  <si>
    <t>He grab a tong and a silver, metal bowl with vegetables in it.</t>
  </si>
  <si>
    <t>The ingredients on the counter are in white containers.</t>
  </si>
  <si>
    <t>the chef is holding a small piece of nut.</t>
  </si>
  <si>
    <t>v_44M2Ov9JzUE</t>
  </si>
  <si>
    <t>The camera pans in on a volleyball player while she plays a game with others.</t>
  </si>
  <si>
    <t>The camera pauses every now and then to capture her movements and pans around the other people playing.</t>
  </si>
  <si>
    <t>v_jBnNbI48KjQ</t>
  </si>
  <si>
    <t>A host speaks to the camera with various musicians sitting behind him and leads into several shots of landscapes.</t>
  </si>
  <si>
    <t>The same man speaks to the camera and is shown riding on a surf board with several other surfers.</t>
  </si>
  <si>
    <t>The man is seen once again in the studio and is interviewed by a woman and another man.</t>
  </si>
  <si>
    <t>v_PV8QJ4QJgtY</t>
  </si>
  <si>
    <t>A woman is standing and talking to the camera, as she pointed to the horse next to her.</t>
  </si>
  <si>
    <t>A woman in yellow is sitting on the horse, the horse walked around the ramp.</t>
  </si>
  <si>
    <t>The horse began running in circles as the older woman is watching.</t>
  </si>
  <si>
    <t>v_fhEvf47Jqi8</t>
  </si>
  <si>
    <t>A man is seen speaking to the camera and leads into him holding a set of tools and presenting them to the camera.</t>
  </si>
  <si>
    <t>He then uses the tools on bushes nearby while still looking to the camera to speak.</t>
  </si>
  <si>
    <t>v_5QBRDpzedoI</t>
  </si>
  <si>
    <t>A man is running down a track in slow motion doing several jumps and landing into a pit.</t>
  </si>
  <si>
    <t>The same man is shown several times through various clips in slow motion performing the long jump on a track field.</t>
  </si>
  <si>
    <t>v_7Zd7KlliqQw</t>
  </si>
  <si>
    <t>A man is seen moving around in slow motion while the camera captures him from several angles.</t>
  </si>
  <si>
    <t>A pair of scissors and a comb is then seen close up and leads into a person cutting the man's hair.</t>
  </si>
  <si>
    <t>He finally blow dries the man's hair and is shown once again smiling and laughing to the camera.</t>
  </si>
  <si>
    <t>v_mI7Hwk_AF-M</t>
  </si>
  <si>
    <t>women are in a big green field playing hurling.</t>
  </si>
  <si>
    <t>woman is in a small green court practicing hurling shots.</t>
  </si>
  <si>
    <t>v_MaYV3jnGr6g</t>
  </si>
  <si>
    <t>person is watching her hands with soap in a handwasher, put some solution into the pots, holds an eye contact with the index finger and with the other hands open her eye and put the contact in her eye, grab the other contact and with the other hands open the eye ad put it in the eye.</t>
  </si>
  <si>
    <t>now the person wash her hands and opens the eye and with the fingers grab the contact from the eye and put it into a pot, then she do the same with the other eye, open the eye and grab the contact from the eye and put it in the pot.</t>
  </si>
  <si>
    <t>v_qRT0Z6Sz_Ck</t>
  </si>
  <si>
    <t>A person gets off a plane.</t>
  </si>
  <si>
    <t>A person is rollerblading through a city and hanging out with friends.</t>
  </si>
  <si>
    <t>This happens in many different places, but it basically the same thing.</t>
  </si>
  <si>
    <t>v__xtOX9UCWmU</t>
  </si>
  <si>
    <t>A man is shown against a white background.</t>
  </si>
  <si>
    <t>He is playing a guitar with his hands.</t>
  </si>
  <si>
    <t>The chords and words appear at the bottom of the screen as he plays.</t>
  </si>
  <si>
    <t>v_bzndhMU3izM</t>
  </si>
  <si>
    <t>We we an opening screen for a product.</t>
  </si>
  <si>
    <t>We see a person shoveling their sidewalk.</t>
  </si>
  <si>
    <t>The man reaches the house and turns to finish the other side of the walkway.</t>
  </si>
  <si>
    <t>We see a person spraying an item on their sidewalk.</t>
  </si>
  <si>
    <t>We then see two closing screens.</t>
  </si>
  <si>
    <t>v_MxZtYALqIrE</t>
  </si>
  <si>
    <t>A man is engaged in a pool competition.</t>
  </si>
  <si>
    <t>He shoots the stick at the balls, making them go into the corner pockets.</t>
  </si>
  <si>
    <t>When he wins, he high fives another man.</t>
  </si>
  <si>
    <t>v_G9ZEi6eRhi0</t>
  </si>
  <si>
    <t>There are about five to six young boys bouncing and jumping in an enclosed bouncy house with basketballs in their hands.</t>
  </si>
  <si>
    <t>The coach is guiding them by blowing the whistle as the children continue to bounce and jump.</t>
  </si>
  <si>
    <t>They take turns to throw the orange balls as instructed by their coach.</t>
  </si>
  <si>
    <t>v_N4Z9eYSu2uM</t>
  </si>
  <si>
    <t>People are playing tug of war on a field.</t>
  </si>
  <si>
    <t>People fall into a pile of muddy water.</t>
  </si>
  <si>
    <t>People are standing next to them watching.</t>
  </si>
  <si>
    <t>v_dexjr5WGeqQ</t>
  </si>
  <si>
    <t>The woman shows the square mats and points to the different materials and features.</t>
  </si>
  <si>
    <t>The woman sweeps the floor to prep for a project.</t>
  </si>
  <si>
    <t>The woman uses a chalk line then tape to mark the floor.</t>
  </si>
  <si>
    <t>The woman sets in the square carpet pieces in place to cover the floor.</t>
  </si>
  <si>
    <t>The woman shows the finished floor off.</t>
  </si>
  <si>
    <t>v_PMDpnLURLp8</t>
  </si>
  <si>
    <t>He grabs the long pole and begins to walk with it to the other side of the field.</t>
  </si>
  <si>
    <t>Then he positions himself and does a jump and lands.</t>
  </si>
  <si>
    <t>Everyone else begins to take their turns and start to run and jump also.</t>
  </si>
  <si>
    <t>They practice for a while and do it for a few more times.</t>
  </si>
  <si>
    <t>v_kpnGg2lOBLM</t>
  </si>
  <si>
    <t>A large group of people are seen jumping rope in a gymnasium while moving back and fourth with the camera.</t>
  </si>
  <si>
    <t>A woman stands in front to instruct the group and continue jumping rope and then stopping.</t>
  </si>
  <si>
    <t>The people then do a warm up with one another and stretch with the woman leading in front.</t>
  </si>
  <si>
    <t>v_7V1ZHZRHFrg</t>
  </si>
  <si>
    <t>A treadmill is shown, then a woman, using the treadmill in the living room is shown, she is wearing blue top and black shorts.</t>
  </si>
  <si>
    <t>She adjusted the monitor, then a treadmill adjustments and meters are shown with numbers on it.</t>
  </si>
  <si>
    <t>v_MbCIH5bay4Q</t>
  </si>
  <si>
    <t>A man is seen standing ready outside a track and begins running towards a bar.</t>
  </si>
  <si>
    <t>The man then jumps over the bar and is shown again in slow motion.</t>
  </si>
  <si>
    <t>v_eepvgF5Fi_Q</t>
  </si>
  <si>
    <t>People sit at a black jack table.</t>
  </si>
  <si>
    <t>A man sits behind the table dealing the cards.</t>
  </si>
  <si>
    <t>A man cashes in chips with the dealer.</t>
  </si>
  <si>
    <t>v_XLspZ5bof7o</t>
  </si>
  <si>
    <t>A lady is talking to the camera in a light room.</t>
  </si>
  <si>
    <t>She turns around and grabs a handful of hair.</t>
  </si>
  <si>
    <t>The lady starts braiding her hair adding more hair as she braids.</t>
  </si>
  <si>
    <t>The lady pulls her braid in front of her and adds a hair tie.</t>
  </si>
  <si>
    <t>She pulls her hair to loosen the braid and turns to the camera and smiles.</t>
  </si>
  <si>
    <t>v_Io0_nTofT7w</t>
  </si>
  <si>
    <t>A row of teenaged boys are playing snare drums.</t>
  </si>
  <si>
    <t>A large bass drum and player appear.</t>
  </si>
  <si>
    <t>A girl playing a drum joins in.</t>
  </si>
  <si>
    <t>v_-wWtZjqIH9o</t>
  </si>
  <si>
    <t>A group of children of varying ages slide down a blue slide in a theme park.</t>
  </si>
  <si>
    <t>A group of children appear at the top of high slide.</t>
  </si>
  <si>
    <t>The children then slide down the slide, with one girl's headband coming down over her eyes.</t>
  </si>
  <si>
    <t>The children land and get up and run off.</t>
  </si>
  <si>
    <t>v_zL0L9Faa5CA</t>
  </si>
  <si>
    <t>White text explains the process of knee injury.</t>
  </si>
  <si>
    <t>A man is shown doing athletic acts, including jumping on a mattress, and stretches for his knees before jumping again and again.</t>
  </si>
  <si>
    <t>v_DLJFoRluYx4</t>
  </si>
  <si>
    <t>A man stands in a bathroom in front of a mirror, holding a razor.</t>
  </si>
  <si>
    <t>The man begins speaking to the camera while showing the razor and its various parts.</t>
  </si>
  <si>
    <t>Soon he begins shaving his face while looking in the mirror.</t>
  </si>
  <si>
    <t>Afterward, he resumes speaking to the camera and showing how the razor performed.</t>
  </si>
  <si>
    <t>The man places the razor on a charging stand which shows a light illuminating, and then picks it back up.</t>
  </si>
  <si>
    <t>The video ends with the man touching his face to demonstrate the smooth job.</t>
  </si>
  <si>
    <t>v__5by7Is4JEU</t>
  </si>
  <si>
    <t>Two men demonstrate jump rope stunts, tricks and techniques in an auditorium in front of a group of students.</t>
  </si>
  <si>
    <t>A man in a grey track suit performs jump rope tricks in front of a group of students.</t>
  </si>
  <si>
    <t>The man in the grey track suit finishes and the children clap.</t>
  </si>
  <si>
    <t>A second man walks beside the man and the two men begin to perform more tricks and stunts including backflips and dance moves during the demonstration.</t>
  </si>
  <si>
    <t>v_hTx_y1ils70</t>
  </si>
  <si>
    <t>Two people are seen hosting a news segment speaking to one another and showing several clips on the interior of a gym.</t>
  </si>
  <si>
    <t>The woman then climbs on the treadmill and gives it a try while still speaking to the man.</t>
  </si>
  <si>
    <t>v_y7R4iEhqx9A</t>
  </si>
  <si>
    <t>A woman is seen speaking to the camera holding a beer and leads into her drinking from the glass.</t>
  </si>
  <si>
    <t>She continues drinking the beer while laughing to the camera and nodding in agreement.</t>
  </si>
  <si>
    <t>v_fIG7aXzSyMU</t>
  </si>
  <si>
    <t>A volunteer rakes leaves in a front yard.</t>
  </si>
  <si>
    <t>Volunteers carry and set up yard tools and cleaning products.</t>
  </si>
  <si>
    <t>A group of volunteers rake the leaves together in front of a house.</t>
  </si>
  <si>
    <t>Volunteers all eat together in a cafeteria.</t>
  </si>
  <si>
    <t>A man loads up bags of leaves and drops them off at a collection yard.</t>
  </si>
  <si>
    <t>v_Iwgbi95VjXU</t>
  </si>
  <si>
    <t>A girl in a bathing suit is sitting on the beach.</t>
  </si>
  <si>
    <t>She is putting sand into a cup and building a sand castle.</t>
  </si>
  <si>
    <t>Another girl walks up and talks to her.</t>
  </si>
  <si>
    <t>v_SIKxtWHWybU</t>
  </si>
  <si>
    <t>A man lays down on the floor over a mat.</t>
  </si>
  <si>
    <t>The man holds a weight ovebe his head.</t>
  </si>
  <si>
    <t>The man exercise holding the weight and raising the folded legs until the chest.</t>
  </si>
  <si>
    <t>v_RRFC2NrZSf4</t>
  </si>
  <si>
    <t>A man wearing a black shirt that has white words that say "Plays well with self" is sitting in a home and playing on two different bongos that are different in size, design and color.</t>
  </si>
  <si>
    <t>The man stops hitting the bongos and rests his left hand on the lighter colored bongo.</t>
  </si>
  <si>
    <t>Then the man moves his right leg as if he is going to stand up and the bongo moves without his leg support.</t>
  </si>
  <si>
    <t>v_duGxOdcqg3I</t>
  </si>
  <si>
    <t>Stone cold steve austin in the ring sweating profusely.</t>
  </si>
  <si>
    <t>He looks over at the other wrestler breathing and sweating, they just look at each other for a while.</t>
  </si>
  <si>
    <t>They open beers and bump the together, then they start throwing beers to the audience.</t>
  </si>
  <si>
    <t>Then, austin rolls out of the ring and starts walking to the back.</t>
  </si>
  <si>
    <t>v_VNMj5YKHEsY</t>
  </si>
  <si>
    <t>woman is talking to a man in an icerink skating and holding hockey poles playing pulling the disc.</t>
  </si>
  <si>
    <t>woman is in an hospital talking to a man.</t>
  </si>
  <si>
    <t>man and woman looked the man that have bandage in his head.</t>
  </si>
  <si>
    <t>v_oD45QIOK4z0</t>
  </si>
  <si>
    <t>The players from Brasil scores while people in the bleaches celebrate.</t>
  </si>
  <si>
    <t>A Brazilian player pass the ball to his playmate who scores and runs to celebrate, other Brazilian players scores many times.</t>
  </si>
  <si>
    <t>After, Brasil plays with other teems and scores many times.</t>
  </si>
  <si>
    <t>Then Brasil plays with players from other countries and scores.</t>
  </si>
  <si>
    <t>At the end, Brasil win the competition.</t>
  </si>
  <si>
    <t>v_L4mSCZwXelk</t>
  </si>
  <si>
    <t>People are playing indoor soccer in an arena.</t>
  </si>
  <si>
    <t>People are sitting in the stands watching.</t>
  </si>
  <si>
    <t>v_bhRHD3bBNZY</t>
  </si>
  <si>
    <t>A woman stands in a room holding a hula hoop.</t>
  </si>
  <si>
    <t>She demonstrates how to use the hula hoop.</t>
  </si>
  <si>
    <t>She spins it using her hips and talking to the camera.</t>
  </si>
  <si>
    <t>v_hjsu3SGAdLs</t>
  </si>
  <si>
    <t>A man wearing a blue shirt is playing the piano in a yard.</t>
  </si>
  <si>
    <t>There are two elephants standing behind him.</t>
  </si>
  <si>
    <t>One of the elephant is trying to play the piano with his trunk.</t>
  </si>
  <si>
    <t>The man continues to play the piano in a fast pace using various keys on the piano.</t>
  </si>
  <si>
    <t>He gives a big finish with the tune and then pats the elephant's trunk.</t>
  </si>
  <si>
    <t>v_BqjNfptu17Q</t>
  </si>
  <si>
    <t>A guy stands on the shore of a beach holding a hockey stick balancing a ball.</t>
  </si>
  <si>
    <t>A hockey stick and a white ball lay on fake grass outside.</t>
  </si>
  <si>
    <t>A person moves a white ball with a hockey stick.</t>
  </si>
  <si>
    <t>A person demonstrates ten field hockey techniques.</t>
  </si>
  <si>
    <t>A guy uses a hockey stick to bounce a ball in the air.</t>
  </si>
  <si>
    <t>Greetings and credits are shown.</t>
  </si>
  <si>
    <t>v_unz00-r84NY</t>
  </si>
  <si>
    <t>A boy plays with a ball in a yard.</t>
  </si>
  <si>
    <t>A boy swings and hits the ball out of the yard.</t>
  </si>
  <si>
    <t>The boy walks to retrieve the ball.</t>
  </si>
  <si>
    <t>The boy plays a game where he hits the ball and knocks down trash can lids.</t>
  </si>
  <si>
    <t>The boy swings a stick at the balls to hit them through a goal.</t>
  </si>
  <si>
    <t>v_tb8KKdC7r-A</t>
  </si>
  <si>
    <t>People play shuffleboard in a gym.</t>
  </si>
  <si>
    <t>A woman throws a black puck, then she talks and continue playing.</t>
  </si>
  <si>
    <t>Old man wearing a cap talks in the gym .</t>
  </si>
  <si>
    <t>Two women talks side by side, one of the woman holds a pole.</t>
  </si>
  <si>
    <t>v_TrFoFWXLMFg</t>
  </si>
  <si>
    <t>An infomercial shows a person using a razor on their leg while speaking to the camera.</t>
  </si>
  <si>
    <t>The woman continues shaving her legs and a close up of the tool is shown.</t>
  </si>
  <si>
    <t>v_LNd1TrbshXM</t>
  </si>
  <si>
    <t>A woman walks into frame playing with her hair and parting it behind her.</t>
  </si>
  <si>
    <t>The woman continues braiding up her hair and shows off the end result while looking to the camera then away.</t>
  </si>
  <si>
    <t>v_uqixFWxAQSA</t>
  </si>
  <si>
    <t>cars covered by a thick snow is shown and a man is cleaning the snow with a shovel in the windshield and all the car.</t>
  </si>
  <si>
    <t>car is going in street.</t>
  </si>
  <si>
    <t>v_lcOepzWnOO4</t>
  </si>
  <si>
    <t>A couple and a child are in a living room.</t>
  </si>
  <si>
    <t>The couple begin dancing in the middle of the room, spinning and twirling.</t>
  </si>
  <si>
    <t>v_h3H6TzHC8Cc</t>
  </si>
  <si>
    <t>A referee wearing a white shirt in a boxing match starts a boxing match.</t>
  </si>
  <si>
    <t>Two girl boxers approach each other and start kick boxing.</t>
  </si>
  <si>
    <t>The taller boxer approaches the shorter boxer and hits the shorter boxer with a straight kick.</t>
  </si>
  <si>
    <t>Both boxers exchange punches and kicks in the center of the ring.</t>
  </si>
  <si>
    <t>The referee manages the fight while following and watching the fighters closely.</t>
  </si>
  <si>
    <t>v_3bTGq7QDjUg</t>
  </si>
  <si>
    <t>Two people are tubing in a stream with lush water and huge rocks through out it.</t>
  </si>
  <si>
    <t>Once the two get around the curve,they hit two small hills and wade in the calmer part of the water.</t>
  </si>
  <si>
    <t>v_Huz41aVo5eo</t>
  </si>
  <si>
    <t>man is waxing a woman's leg.</t>
  </si>
  <si>
    <t>woman is talking to the camera and showing how to wax the leg.</t>
  </si>
  <si>
    <t>v_kkXSGwesZ0U</t>
  </si>
  <si>
    <t>Two people have their legs tied together and then receive instructions.</t>
  </si>
  <si>
    <t>They walk out to a ledge and then go bungee jumping over the edge.</t>
  </si>
  <si>
    <t>v_uo1ERV8LZeU</t>
  </si>
  <si>
    <t>Pictures of a drink are shown followed by an empty bowl and a person putting ingredients in the bowl.</t>
  </si>
  <si>
    <t>The person stirs the ingredients all around and pours the mixture into a glass with ice to serve.</t>
  </si>
  <si>
    <t>v_zH-fOiPLLxA</t>
  </si>
  <si>
    <t>A brush is attached to a power drill for scrubbing.</t>
  </si>
  <si>
    <t>The top of the sink is scrubbed then the bowl.</t>
  </si>
  <si>
    <t>It is wiped with a towel to finish.</t>
  </si>
  <si>
    <t>v_FjY3eKNvzug</t>
  </si>
  <si>
    <t>People are sitting on exercise machines in a room.</t>
  </si>
  <si>
    <t>They all begin working out and pulling on a rope.</t>
  </si>
  <si>
    <t>People are standing in front of them cheering them on.</t>
  </si>
  <si>
    <t>v_3NFWgG4_6NI</t>
  </si>
  <si>
    <t>A man is seen dancing with a hula hoop in a crowded area while people wander around behind her.</t>
  </si>
  <si>
    <t>The woman continues spinning the hoop around herself as people watch her spin around.</t>
  </si>
  <si>
    <t>v_vWEbHvnkogA</t>
  </si>
  <si>
    <t>A jazz musicians is teaching how to play the saxophone.</t>
  </si>
  <si>
    <t>He is giving instructions and talking about music and scales.</t>
  </si>
  <si>
    <t>Then he starts to play some for a little before going back to lecturing.</t>
  </si>
  <si>
    <t>He talks about the notes he has written on the chalk board and goes back to lecturing more about it all.</t>
  </si>
  <si>
    <t>v_X6BHwIJKl-Q</t>
  </si>
  <si>
    <t>A person talks while sit in a boat holding a paddle.</t>
  </si>
  <si>
    <t>Then, the person sails in choppy waters, suddenly he pivote the boat away helping with the oar.</t>
  </si>
  <si>
    <t>v__Wq1OGf0MHM</t>
  </si>
  <si>
    <t>A group of kids and adults are by a river.</t>
  </si>
  <si>
    <t>They get into rafts and float down stream.</t>
  </si>
  <si>
    <t>They paddle through the rapids and falls.</t>
  </si>
  <si>
    <t>v_-Sp-gOEGy2o</t>
  </si>
  <si>
    <t>"How to start a campfire with FiAir" appears on screen.</t>
  </si>
  <si>
    <t>Wildlife Biologist Bryon Shissler sits outside by a campfire pit and speaks to the camera.</t>
  </si>
  <si>
    <t>He builds and lights a fire in the pit using the FiAir device.</t>
  </si>
  <si>
    <t>"FiAir The handly little blower to feed your fires" appears on screen.</t>
  </si>
  <si>
    <t>v_XKA2W2735WM</t>
  </si>
  <si>
    <t>People watch a parade where people walk on front a marching band holding a banner and waving the viewers.</t>
  </si>
  <si>
    <t>A man cross the street holding a small flag and extend his hand.</t>
  </si>
  <si>
    <t>A group of soldiers holds rifles and flags on front a black car.</t>
  </si>
  <si>
    <t>A veteran make the military salute.</t>
  </si>
  <si>
    <t>v_KgONRjXP8_Y</t>
  </si>
  <si>
    <t>A person dips a paint brush into a pan.</t>
  </si>
  <si>
    <t>They use the brush to paint the side of a table.</t>
  </si>
  <si>
    <t>They use large strokes, continuing to paint.</t>
  </si>
  <si>
    <t>v_sra0ywgWITo</t>
  </si>
  <si>
    <t>A man walks over to another man upset and suggests an arm wrestling match.</t>
  </si>
  <si>
    <t>The men begin to hold hands and quickly move away while two women walk into scene.</t>
  </si>
  <si>
    <t>The men continue the match while look calm and the other looks struggled.</t>
  </si>
  <si>
    <t>The match continues as the men discuss their issues and the women watching yell at the men.</t>
  </si>
  <si>
    <t>The women then help the men arm wrestle and one punches the other to help one man win.</t>
  </si>
  <si>
    <t>The punched woman pulls the arms up and stabs them while the other man also stabs them.</t>
  </si>
  <si>
    <t>The women pull out duct tape and stuff one body into a bag.</t>
  </si>
  <si>
    <t>v_ersl2OEJ-eI</t>
  </si>
  <si>
    <t>A man is concentrating extremely hard as he is throwing darts on to a board at a tournament.</t>
  </si>
  <si>
    <t>People cheer and screen for him as another man approaches the board and hives him competition.</t>
  </si>
  <si>
    <t>The two go back and forth,however the first guy appears to be the fan's favorite and ends up winning the game.</t>
  </si>
  <si>
    <t>v_mBAlD4A8swo</t>
  </si>
  <si>
    <t>A man is sitting on an exercise bike.</t>
  </si>
  <si>
    <t>He is working out on the bike.</t>
  </si>
  <si>
    <t>He is talking to the camera while working out.</t>
  </si>
  <si>
    <t>v_QFxe74w7aNc</t>
  </si>
  <si>
    <t>A group of martial artists and drummers perform in a street competition.</t>
  </si>
  <si>
    <t>The martial artists in red pants and black shirts do kicks and flips.</t>
  </si>
  <si>
    <t>Drummers wearing all black and red hats play the drums.</t>
  </si>
  <si>
    <t>The performers finish their piece and the crowd applauds.</t>
  </si>
  <si>
    <t>v_3HBAcaU552I</t>
  </si>
  <si>
    <t>A young boy and girl are standing over a sink with their mother talking.</t>
  </si>
  <si>
    <t>The mother instructs them on how to brush their teeth while laughing.</t>
  </si>
  <si>
    <t>The boy helps his younger sister brush his teeth.</t>
  </si>
  <si>
    <t>She gets them some water to gargle in their mouths.</t>
  </si>
  <si>
    <t>The boy and girl begin playing in the sink.</t>
  </si>
  <si>
    <t>The woman laughs at the children dribbling water.</t>
  </si>
  <si>
    <t>v_eNE8O5cgYuE</t>
  </si>
  <si>
    <t>A woman is outside wind blowing a little bit through her hair, the view is outstanding.</t>
  </si>
  <si>
    <t>There is ia group of runners starting a marathon taking their time.</t>
  </si>
  <si>
    <t>It was scenic and beautiful out there, flowers blossoming and everything.</t>
  </si>
  <si>
    <t>A few of the runners talk about their experience to reporters.</t>
  </si>
  <si>
    <t>v_ufgYKCfK2Vk</t>
  </si>
  <si>
    <t>She is dancing with a baton very gracefully all around the stage for her performance.</t>
  </si>
  <si>
    <t>She does handstands and all kinds of different intriguing moves.</t>
  </si>
  <si>
    <t>She throws the baton up and does a few cartwheels and lands in time to catch it.</t>
  </si>
  <si>
    <t>She accidentally drops the baton and picks its up and continues on and on until the end of her dance.</t>
  </si>
  <si>
    <t>v_HcPhIfhQLmA</t>
  </si>
  <si>
    <t>kid is sanding in a room talking to the camera.</t>
  </si>
  <si>
    <t>anoher man appears on the room and is practicing a head lock.</t>
  </si>
  <si>
    <t>man throw the the kid in the bed and stands.</t>
  </si>
  <si>
    <t>v_Y-dpHbPGQWE</t>
  </si>
  <si>
    <t>An opening screen with the title of a song is shown.</t>
  </si>
  <si>
    <t>We see a man playing a guitar in a recording studio.</t>
  </si>
  <si>
    <t>We see a ending screen with the man's youtube channel address on it.</t>
  </si>
  <si>
    <t>v_F4FpAZJSV1g</t>
  </si>
  <si>
    <t>man is in a racetrack running to make a high jump into the dust.</t>
  </si>
  <si>
    <t>woman is putting numbers in a scoeboard.</t>
  </si>
  <si>
    <t>man is running in the middle of the field.</t>
  </si>
  <si>
    <t>v_aWz9H0jTv3c</t>
  </si>
  <si>
    <t>Two men are in an inside court.</t>
  </si>
  <si>
    <t>They play a game of racquetball together.</t>
  </si>
  <si>
    <t>They take turns hitting the ball back and forth against the wall.</t>
  </si>
  <si>
    <t>v_NtUIIxVvDsA</t>
  </si>
  <si>
    <t>People are sitting in a car.</t>
  </si>
  <si>
    <t>They are standing around a large inflatable raft.</t>
  </si>
  <si>
    <t>They are rafting in choppy water of a river.</t>
  </si>
  <si>
    <t>v_q8lLTxHen0I</t>
  </si>
  <si>
    <t>Various pictures are shown of people huddled up together as well as people playing soccer on a beach.</t>
  </si>
  <si>
    <t>More pictures are shown of people playing as well as one man receiving a trophy and celebrating with others.</t>
  </si>
  <si>
    <t>v_3sAcnQxBchE</t>
  </si>
  <si>
    <t>A camera pans around a woman sitting in a chair smoking a cigarette.</t>
  </si>
  <si>
    <t>She speaks to the camera while continuing to smoke and ends by spreading her legs.</t>
  </si>
  <si>
    <t>v_Kwhp0DNop9I</t>
  </si>
  <si>
    <t>woman is ni seashore wearing a big hat and smiling.</t>
  </si>
  <si>
    <t>peolpe are scuba diving in the sea next to the pier with bags on their backs and showing the fishes and rocks on the floor.</t>
  </si>
  <si>
    <t>v_iZg4cUU6Hkc</t>
  </si>
  <si>
    <t>A group of teen boys are outside in a yard.</t>
  </si>
  <si>
    <t>They gather supplies, then light a fire.</t>
  </si>
  <si>
    <t>They begin kicking a flaming ball back and forth.</t>
  </si>
  <si>
    <t>v_R-VaPP7ToKQ</t>
  </si>
  <si>
    <t>A boy is sitting behind a table.</t>
  </si>
  <si>
    <t>He picks up a beer and takes a drink quickly.</t>
  </si>
  <si>
    <t>A woman grabs it away from him.</t>
  </si>
  <si>
    <t>v_mc-1msYF8Xo</t>
  </si>
  <si>
    <t>Various shots of plated food are shown followed by a sandwich sitting on a table and a woman holding up pans.</t>
  </si>
  <si>
    <t>The woman then puts ingredients onto sandwich bread and mixes the two together and takes multiple bites.</t>
  </si>
  <si>
    <t>v_xm7pETlJrwA</t>
  </si>
  <si>
    <t>A woman is seen speaking to the camera while holding up a bucket and pot.</t>
  </si>
  <si>
    <t>She pours water out of the pot into the bucket as well as some detergent.</t>
  </si>
  <si>
    <t>She then washing clothes in the bucket using water continuously as well as a toothbrush.</t>
  </si>
  <si>
    <t>She lays out the clothes in the end as well as hangs them up.</t>
  </si>
  <si>
    <t>v_RK1L77bNTxg</t>
  </si>
  <si>
    <t>three people is in studio talking about news.</t>
  </si>
  <si>
    <t>a history about curling sport and the kids team playing in the field and scoring is shown in the screen.</t>
  </si>
  <si>
    <t>back to the studio reporters keep talking about the history.</t>
  </si>
  <si>
    <t>v_-4VuHlphgL4</t>
  </si>
  <si>
    <t>A man is standing behind a couch, wearing a protective head covering.</t>
  </si>
  <si>
    <t>He is covering a couch with plastic, and tapes it in place.</t>
  </si>
  <si>
    <t>He speaks to the camera about what he did a little longer.</t>
  </si>
  <si>
    <t>v_TQ22icNBoSI</t>
  </si>
  <si>
    <t>We see blue letters on a black screen and see a roof.</t>
  </si>
  <si>
    <t>Then we switch to more letters and roof has been sprayed with a solution.</t>
  </si>
  <si>
    <t>We are informed the roof has been cleaned and shown shots of the clean roof.</t>
  </si>
  <si>
    <t>We then see the front of the house.</t>
  </si>
  <si>
    <t>We are provided the phone number of the pressure washers.</t>
  </si>
  <si>
    <t>v_T0wmRC8Ka2Y</t>
  </si>
  <si>
    <t>The ball falls onto the ground and a guy in red shorts picks it up.</t>
  </si>
  <si>
    <t>A man in a black hat serves the ball.</t>
  </si>
  <si>
    <t>v_TdFvHyfq97o</t>
  </si>
  <si>
    <t>A man is standing outside in a field of grass that is relatively low.</t>
  </si>
  <si>
    <t>However,in his hand he has a scythe and begins swinging it back and forth cutting the grass down further.</t>
  </si>
  <si>
    <t>As he cuts,several texts appear across the screen with white words about what he is doing and explaining the activity.</t>
  </si>
  <si>
    <t>v_0S0fNrI4oVs</t>
  </si>
  <si>
    <t>A group of USA olympic fencing champions are shown competing in fencing interspersed with images and graphics advertising an upcoming fencing tournament in NYC.</t>
  </si>
  <si>
    <t>Several images of fencers are shows interspersed with video of the fencers walking.</t>
  </si>
  <si>
    <t>An image of a girl holding an American flag behind her appears.</t>
  </si>
  <si>
    <t>More still images of fencing and a slow motion video of a fencing competition appear before a final marketing graphic with a website on it.</t>
  </si>
  <si>
    <t>v_iyGv338SnrQ</t>
  </si>
  <si>
    <t>An elderly woman lays on down against a brown pillow.</t>
  </si>
  <si>
    <t>She holds a harmonica to her mouth and plays it.</t>
  </si>
  <si>
    <t>The light in the room brightens.</t>
  </si>
  <si>
    <t>She finishes playing and laughs.</t>
  </si>
  <si>
    <t>v_Iuk7PNmG3tQ</t>
  </si>
  <si>
    <t>Several players from the black and white team are playing ice hockey in the arena.</t>
  </si>
  <si>
    <t>One of the players from the black team hits the puck away from his opponent.</t>
  </si>
  <si>
    <t>The players from the white team try to prevent him from hitting a goal.</t>
  </si>
  <si>
    <t>An animated version of the game is shown on screen.</t>
  </si>
  <si>
    <t>Then the focus is back on the real game where a black team player is highlighted as he takes a shot on the goal.</t>
  </si>
  <si>
    <t>Again, another animated example is shown to explain how the game works.</t>
  </si>
  <si>
    <t>The black team player hits the puck on the opposite corner of the ice.</t>
  </si>
  <si>
    <t>As the black moves fast and towards the goal, it cause the goalie to fall down.</t>
  </si>
  <si>
    <t>The black team wins the goal and gets the victory in the game.</t>
  </si>
  <si>
    <t>v_1f8iBakydSI</t>
  </si>
  <si>
    <t>A camera pans over a weight room and shows various people working on a machines.</t>
  </si>
  <si>
    <t>One man is seen running on an elliptical while another using a rowing machine in the back.</t>
  </si>
  <si>
    <t>v_gfwSnetklbE</t>
  </si>
  <si>
    <t>A man is shoveling snow off of the top of a car.</t>
  </si>
  <si>
    <t>He walks around the car and starts shoveling the ground.</t>
  </si>
  <si>
    <t>v_TXgzRTa2C38</t>
  </si>
  <si>
    <t>A person throws a bowling ball down a lane.</t>
  </si>
  <si>
    <t>They knock the pins down.</t>
  </si>
  <si>
    <t>They throw the ball at a spare and knock all the rest of the pins down.</t>
  </si>
  <si>
    <t>v__CFadTE9L4I</t>
  </si>
  <si>
    <t>A woman washes clothes in a bucket with soap.</t>
  </si>
  <si>
    <t>The woman wrings out a towel.</t>
  </si>
  <si>
    <t>Someone is folding in the background while the woman continues washing the clothes.</t>
  </si>
  <si>
    <t>v_HQFey_iCEw8</t>
  </si>
  <si>
    <t>A man in a baseball cap, shorts and a blue short sleeved shirt serves three tennis balls across a tennis net on a tennis court by himself.</t>
  </si>
  <si>
    <t>A man on a tennis court by himself serves a tennis ball with a tennis racket across a net.</t>
  </si>
  <si>
    <t>The man then serves two more balls across the net, the ball just land on the other side.</t>
  </si>
  <si>
    <t>v_R3ffxWaI9QU</t>
  </si>
  <si>
    <t>A male athlete is running on a track.</t>
  </si>
  <si>
    <t>He jumps high into the air.</t>
  </si>
  <si>
    <t>He vaults backwards over a high beam.</t>
  </si>
  <si>
    <t>This is shown repeated in slow motion numerous times.</t>
  </si>
  <si>
    <t>v_MZiBlBhpq-Y</t>
  </si>
  <si>
    <t>A man sits down with a guitar.</t>
  </si>
  <si>
    <t>The man begins playing the guitar.</t>
  </si>
  <si>
    <t>The man starts singing while playing the guitar.</t>
  </si>
  <si>
    <t>The man stops playing the guitar and stands up and walks toward the camera.</t>
  </si>
  <si>
    <t>v_yZLwR5EJ7Wc</t>
  </si>
  <si>
    <t>A man plays bagpipes in a city square while nobody pays attention.</t>
  </si>
  <si>
    <t>A cop tells him to stop.</t>
  </si>
  <si>
    <t>v_BbFCkDdq3S0</t>
  </si>
  <si>
    <t>A boy runs slowly down a path.</t>
  </si>
  <si>
    <t>He takes a huge leap into the air.</t>
  </si>
  <si>
    <t>He lands in a giant sand pit.</t>
  </si>
  <si>
    <t>v_LVub7uinY-4</t>
  </si>
  <si>
    <t>A small group of people are seen playing a baseball game on a field and leads into several more shots of them playing.</t>
  </si>
  <si>
    <t>The video continues with several clips of people hitting and catching the ball and ends with text across the screen.</t>
  </si>
  <si>
    <t>v_ER0UPx6-VcM</t>
  </si>
  <si>
    <t>A man and woman are playing inside a racquetball court.</t>
  </si>
  <si>
    <t>They are using racquets, balls, special shoes and protective glasses.</t>
  </si>
  <si>
    <t>They show how to stand and hit the ball.</t>
  </si>
  <si>
    <t>v_pmix_U52VWk</t>
  </si>
  <si>
    <t>A boy is standing behind a music stand playing a flute.</t>
  </si>
  <si>
    <t>He stops playing and smiles before walking away.</t>
  </si>
  <si>
    <t>v_QrKWO2uNNJ0</t>
  </si>
  <si>
    <t>A woman with a hat on stands and talks.</t>
  </si>
  <si>
    <t>She is playing with her hair and talking.</t>
  </si>
  <si>
    <t>Pictures of her hair are inserted.</t>
  </si>
  <si>
    <t>v_Yxsw5nTf4Dg</t>
  </si>
  <si>
    <t>A girl in a bikini is doing hula hoop on a patio.</t>
  </si>
  <si>
    <t>She spins around several times and seems to be having a lot of fun.</t>
  </si>
  <si>
    <t>The came moves up and down to keep her in the frame.</t>
  </si>
  <si>
    <t>It then jumps to another girl only showing her bottom half as a hula hoop spins around her.</t>
  </si>
  <si>
    <t>Another girls is shown dancing inside of a house several times.</t>
  </si>
  <si>
    <t>v_y4PXBhxpZHk</t>
  </si>
  <si>
    <t>A large group of people are shown in several shots playing a sport's game while hundreds of people watch on the sides.</t>
  </si>
  <si>
    <t>The men continue running around the field while close ups of coaches are shown and one scores a goal.</t>
  </si>
  <si>
    <t>One man kneels down and the others shake hands with players.</t>
  </si>
  <si>
    <t>v_QElXIVBV-gk</t>
  </si>
  <si>
    <t>A lady chef wearing a stripe blouse talks in a kitchen.</t>
  </si>
  <si>
    <t>The lady chef describes the ingredients needed and the preparation for the creamy seafood pasta.</t>
  </si>
  <si>
    <t>The lady chef shows a step by step process for preparing the creamy seafood pasta dish and shows the final product.</t>
  </si>
  <si>
    <t>v_2w3FSD235TY</t>
  </si>
  <si>
    <t>A man is talking in a stable as he feeds a horse beside him.</t>
  </si>
  <si>
    <t>He talks extensively about the benefits of horse riding.</t>
  </si>
  <si>
    <t>He mounts a saddle onto the horse.</t>
  </si>
  <si>
    <t>He then leads the horse out, feeding him an apple as he continues to speak.</t>
  </si>
  <si>
    <t>v_QyYbyFXmd-g</t>
  </si>
  <si>
    <t>A man is sen standing in front of a large group of people holding onto a rope.</t>
  </si>
  <si>
    <t>The man raises his arms and the two team begin a game of tug of war.</t>
  </si>
  <si>
    <t>Another game of tug of war occurs on the side and ends with the men standing straight.</t>
  </si>
  <si>
    <t>v_uTc2-oAxgbc</t>
  </si>
  <si>
    <t>We see a girl sitting in a piercing parlor with a lady standing near her.</t>
  </si>
  <si>
    <t>The lady puts a clip on the girls lip and sticks a large needle through her lip.</t>
  </si>
  <si>
    <t>The lady slides the earring through the girls lip and puts a disinfectant on it.</t>
  </si>
  <si>
    <t>v__qzzQdKJ7F0</t>
  </si>
  <si>
    <t>A young girl is seen speaking to the camera and holds up a bottle to the camera.</t>
  </si>
  <si>
    <t>The girl then begins painting her nails and showing them off to the camera.</t>
  </si>
  <si>
    <t>She continues to paint her nails as well as make funny faces to the camera.</t>
  </si>
  <si>
    <t>v_ZQs0S7WwYiM</t>
  </si>
  <si>
    <t>A person puts carpets shims on the floor.</t>
  </si>
  <si>
    <t>The man measures the shims to fit in the corners.</t>
  </si>
  <si>
    <t>After, the person puts stripes on the border of the shims, then put the carpet.</t>
  </si>
  <si>
    <t>v_7EPzlmJ25dA</t>
  </si>
  <si>
    <t>A man takes videos of him skiing and snowboarding down a mountain.</t>
  </si>
  <si>
    <t>He also goes through a forest.</t>
  </si>
  <si>
    <t>v_W_scepAxfPA</t>
  </si>
  <si>
    <t>Two swimmers stand bow forward on a high dive platform.</t>
  </si>
  <si>
    <t>The divers dive from the platform into the water.</t>
  </si>
  <si>
    <t>v_IN8-B39kq_k</t>
  </si>
  <si>
    <t>Two men introduce themselves in the beginning of the video and tell the viewers that they will be talking about tattoos.</t>
  </si>
  <si>
    <t>One of the guys comes on the screen and gives some tips about how to prepare to give a tattoo.</t>
  </si>
  <si>
    <t>A close up of a man is shown giving a tattoo to someone.</t>
  </si>
  <si>
    <t>Several clients are shown close up on the screen while they are in the process of a tattoo.</t>
  </si>
  <si>
    <t>v_Eq0Ibnq9sYA</t>
  </si>
  <si>
    <t>A woman is seen pushing a puck along some ice followed by people brushing ice with brooms in front of the puck.</t>
  </si>
  <si>
    <t>They continuously brush and end the puck in a circle and ends with the woman speaking to the others.</t>
  </si>
  <si>
    <t>v_mRyXubjYWEo</t>
  </si>
  <si>
    <t>A man first salutes and then does karate inside a room while spinning on one leg, next he makes salute.</t>
  </si>
  <si>
    <t>A male makes the cross signal in a squatting position, then he spins his body.</t>
  </si>
  <si>
    <t>Then, the man and the male fight while jumping and kicking.</t>
  </si>
  <si>
    <t>After, the male kick the face of the man with his feet and does a spin with a hand on the floor while the man lands on a foamy mat.</t>
  </si>
  <si>
    <t>v_XQWebGbAjxU</t>
  </si>
  <si>
    <t>A close up of a mat is shown surrounded by pucks and a stick sitting in the middle.</t>
  </si>
  <si>
    <t>The camera pans to people pushing the puck along the ice followed by a person pushing the puck into the middle.</t>
  </si>
  <si>
    <t>v_XPctbL-V1ww</t>
  </si>
  <si>
    <t>A little boy in his pajamma's standing in the mirror watching himself brush his teeth.</t>
  </si>
  <si>
    <t>He moves forward a little and spits out some toothpaste.</t>
  </si>
  <si>
    <t>Then continues to brush, he puts the tooth brush down and grabs a cup of water gargles a bit and spits it out.</t>
  </si>
  <si>
    <t>He finds this very amusing, and does it over and over until the cup of water is empty and then he gets down off his stool and cleans his face with a towel.</t>
  </si>
  <si>
    <t>v_f0hh9bwVfV0</t>
  </si>
  <si>
    <t>Some text appears on screen asking a question about a topic in SCUBA diving safety.</t>
  </si>
  <si>
    <t>The scene changes to show a lot of SCUBA air tanks and some more text explaining more about the question.</t>
  </si>
  <si>
    <t>A man is SCUBA diving underwater while holding his air tank in his hands and the text continues to explain.</t>
  </si>
  <si>
    <t>The air tank is seen floating on it's own on the sea bed.</t>
  </si>
  <si>
    <t>Another man is SCUBA diving and he lets go of his tank to demonstrate the buoyancy.</t>
  </si>
  <si>
    <t>The scene switches back to the group of air tanks with more text explaining.</t>
  </si>
  <si>
    <t>Another scene is shown with 2 tanks and a bag next to some trees.</t>
  </si>
  <si>
    <t>v_0bosp4-pyTM</t>
  </si>
  <si>
    <t>A man is holding a pocket knife while sitting on some rocks in the wilderness.</t>
  </si>
  <si>
    <t>Then he takes a small stone from the flowing river and smashes it on another stone.</t>
  </si>
  <si>
    <t>He starts to crush the small stone to smaller pieces.</t>
  </si>
  <si>
    <t>He grind it hard to make the pieces smaller.</t>
  </si>
  <si>
    <t>Then he takes a piece of bark and rubs the powered stone pieces onto it.</t>
  </si>
  <si>
    <t>The stone particles stick to the wet piece of wood.</t>
  </si>
  <si>
    <t>He then takes the knife and sharpens it against the wood piece.</t>
  </si>
  <si>
    <t>He then notices a little black and green poisonous frog sitting next to him.</t>
  </si>
  <si>
    <t>The frog then escapes and jumps away.</t>
  </si>
  <si>
    <t>He explains how the frog secretes a poisonous fluid that can be extremely harmful.</t>
  </si>
  <si>
    <t>v_1tEJRzqqalM</t>
  </si>
  <si>
    <t>We see a pink opening screen.</t>
  </si>
  <si>
    <t>We see a lady brushing two miniature horses.</t>
  </si>
  <si>
    <t>The lady cleans the brown horses hooves.</t>
  </si>
  <si>
    <t>The lady cleans the hooves on the white and tan horse.</t>
  </si>
  <si>
    <t>The lady brushes the mane on both horses.</t>
  </si>
  <si>
    <t>The lady puts her supplies down.</t>
  </si>
  <si>
    <t>We see black and white still images of the horses.</t>
  </si>
  <si>
    <t>We see the lady brush the brown horse again.</t>
  </si>
  <si>
    <t>v_fwU91k-Vmb8</t>
  </si>
  <si>
    <t>A bunch of children are riding around in bumper cars.</t>
  </si>
  <si>
    <t>They go back and forth on the track.</t>
  </si>
  <si>
    <t>They bump into each other, smiling and laughing.</t>
  </si>
  <si>
    <t>v_GwmpYLRpJQw</t>
  </si>
  <si>
    <t>snowy mountins are shown and people is doing snowboard going down the hill holding poles.</t>
  </si>
  <si>
    <t>a snow house with kids playing is shown.</t>
  </si>
  <si>
    <t>ma is playing with a toy airplane.</t>
  </si>
  <si>
    <t>people doing snowboarding are going down the mountain with red lighes and fireworks are in sky.</t>
  </si>
  <si>
    <t>v_93bg_XU3OTg</t>
  </si>
  <si>
    <t>The product's varying sizes are displayed.</t>
  </si>
  <si>
    <t>The guy pours product in a container and uses a brush to put the liquid on the surface of a metal object.</t>
  </si>
  <si>
    <t>The guy puts a white cloth on the edge.</t>
  </si>
  <si>
    <t>The guy runs the metal object repeatedly across the white cloth.</t>
  </si>
  <si>
    <t>v_DbZ0ns9s2X0</t>
  </si>
  <si>
    <t>A painting is shown followed by several pictures of painting tools and supplies.</t>
  </si>
  <si>
    <t>A person's hand then begins putting marks on the painting and dipping her brush continuously in the paint.</t>
  </si>
  <si>
    <t>The camera pans down the finished picture and a text is shown across the screen.</t>
  </si>
  <si>
    <t>v_ygkcjkVqxAA</t>
  </si>
  <si>
    <t>A woman is seen playing Frisbee out in a back yard with a dog and performs several tricks with the dog.</t>
  </si>
  <si>
    <t>She continuously plays with several toys with the dog when another person watches on the side.</t>
  </si>
  <si>
    <t>v_8P0N5psQrEI</t>
  </si>
  <si>
    <t>A Caucasian woman in late maternity is shown seated on a living room sofa.</t>
  </si>
  <si>
    <t>She puts on a sock on her left foot while crossing her leg and then proceeds to put on a tennis shoe on her left foot.</t>
  </si>
  <si>
    <t>She is cleary in discomfort as she proceeds to tie her shoe, which she rests on an ottoman.</t>
  </si>
  <si>
    <t>She takes a small break and then proceeds to put on her right shoe, She rests her right foot on the ottoman while she ties the shoe.</t>
  </si>
  <si>
    <t>The satisfied and exhausted woman sits back on the sofa and holds her large belly as she completes the task of putting her right shoe on.</t>
  </si>
  <si>
    <t>v_dJVWRkiRXHM</t>
  </si>
  <si>
    <t>A man holding a racket stands in a squash court talking to the camera.</t>
  </si>
  <si>
    <t>The man bounces and catches a blue ball.</t>
  </si>
  <si>
    <t>The man then hits the ball off the back wall and catches it.</t>
  </si>
  <si>
    <t>The man then stands and talks to the camera.</t>
  </si>
  <si>
    <t>v_2KsL5MBiZcc</t>
  </si>
  <si>
    <t>A small group of people are seen standing around a field with a ref speaking to the people.</t>
  </si>
  <si>
    <t>The players then begin a match of lacrosse with one another and run up and down the field playing.</t>
  </si>
  <si>
    <t>v_HNIs8lFvKkA</t>
  </si>
  <si>
    <t>There are two people dressed in yellow shirts playing table tennis in a finished basement.</t>
  </si>
  <si>
    <t>There are three people seated on sofas next to them watching soccer television.</t>
  </si>
  <si>
    <t>Another person seated on the sofa is playing on his phone.</t>
  </si>
  <si>
    <t>The two players continue playing table tennis.</t>
  </si>
  <si>
    <t>The player on the right hits the ball which is opponent returns in a fast manner.</t>
  </si>
  <si>
    <t>The ball falls off the table.</t>
  </si>
  <si>
    <t>The person on the right runs to pick up the ball.</t>
  </si>
  <si>
    <t>They continue playing and serving the ball.</t>
  </si>
  <si>
    <t>A guy dressed in a black hoodie walks by.</t>
  </si>
  <si>
    <t>One of the player pauses to adjust the table.</t>
  </si>
  <si>
    <t>They continue playing table tennis as they talk to each other.</t>
  </si>
  <si>
    <t>v_2bS6JfPF1mk</t>
  </si>
  <si>
    <t>Two young children are shown when one climbs across a set of monkey bars and the other steps out of frame.</t>
  </si>
  <si>
    <t>The girl makes it to the end of the bars and looks to the camera speaking and smiling.</t>
  </si>
  <si>
    <t>v_IfYiYObrUlY</t>
  </si>
  <si>
    <t>A woman talks in kitchen, then come two boys and talk whiles showing the fruits on the counter.</t>
  </si>
  <si>
    <t>Then, a man comes and puts all the fruits in a large bowl while explaining.</t>
  </si>
  <si>
    <t>After, the man adds on top the fruits yogurt, chocolate and cereal.</t>
  </si>
  <si>
    <t>v_H8K1E49607E</t>
  </si>
  <si>
    <t>A person wearing a vest has several buckets on the street he is drumming with.</t>
  </si>
  <si>
    <t>Many people are standing around in amazement watching this man play, while some are recording with a camera.</t>
  </si>
  <si>
    <t>The man continues drumming faster and the crowd continues to cheer him on.</t>
  </si>
  <si>
    <t>Many people walk past and don't seem to notice the drummer.</t>
  </si>
  <si>
    <t>v_O8JVA-scYlM</t>
  </si>
  <si>
    <t>A boy stands behind a table of food.</t>
  </si>
  <si>
    <t>He begins spreading mayonnaise on slices of bread.</t>
  </si>
  <si>
    <t>He puts lettuce on the bread.</t>
  </si>
  <si>
    <t>He stacks tomatoes on top of the lettuce on the bread.</t>
  </si>
  <si>
    <t>He puts chicken on top of the tomato.</t>
  </si>
  <si>
    <t>He puts one piece of bread on top of the other.</t>
  </si>
  <si>
    <t>He puts mayonnaise on top of the top piece of bread.</t>
  </si>
  <si>
    <t>He stacks the food up on the bread again.</t>
  </si>
  <si>
    <t>He tops it with a final piece of bread.</t>
  </si>
  <si>
    <t>He cuts the sandwich into four slices on a board.</t>
  </si>
  <si>
    <t>He puts a toothpick in each section of the sandwich.</t>
  </si>
  <si>
    <t>He moves the sandwich from the board onto a plate.</t>
  </si>
  <si>
    <t>He adds fries to the plate with the sandwich on it.</t>
  </si>
  <si>
    <t>v_63Zt34YuyRk</t>
  </si>
  <si>
    <t>There's a NBC news reporter wearing a red sweater and white shirt talking about dog grooming by Scissor Wizard a grooming company.</t>
  </si>
  <si>
    <t>The representative from the company is talking about the services they offer and how those dogs participate in dog shows.</t>
  </si>
  <si>
    <t>A groomer is seen using shears to creatively trim the dog's hair and even dye it in colorful shades of red, green, yellow and blue.</t>
  </si>
  <si>
    <t>v_z6GHmDSskgY</t>
  </si>
  <si>
    <t>Multiple people are in an exercise class in a room with lot of mirrors at a gym, and they are dancing as well as spinning around and stepping up onto a platform.</t>
  </si>
  <si>
    <t>A woman walks by the exercise room holding weights.</t>
  </si>
  <si>
    <t>A woman places the weights down on the rack.</t>
  </si>
  <si>
    <t>A woman walks by without holding any weights.</t>
  </si>
  <si>
    <t>v_iZtie23nW_A</t>
  </si>
  <si>
    <t>A red mustang is being hosed down.</t>
  </si>
  <si>
    <t>Next, the workers rub soap over the car.</t>
  </si>
  <si>
    <t>After that, they both work on washing the soap off before applying another soap over the vehicle.</t>
  </si>
  <si>
    <t>They then use hoses to wash the car clean.</t>
  </si>
  <si>
    <t>v_XKOeu8n7R7s</t>
  </si>
  <si>
    <t>A small group of men are seen running around a basketball court playing a game of basketball.</t>
  </si>
  <si>
    <t>One player moves all around the net holding the ball and demonstrates how to properly shoot a hoop.</t>
  </si>
  <si>
    <t>He bounces the ball around a bit and more shots of the people playing are shown.</t>
  </si>
  <si>
    <t>v_eSyrFLhr3b0</t>
  </si>
  <si>
    <t>A man is seen speaking to the camera while showing a plate of food and pouring out ingredients onto a plate.</t>
  </si>
  <si>
    <t>He continues to mix ingredients together onto a plate and ends with a close up of the dish and him speaking more.</t>
  </si>
  <si>
    <t>v_sJ0Tc4nthOA</t>
  </si>
  <si>
    <t>Two people are shown holding fencing sticks and pointing towards each other.</t>
  </si>
  <si>
    <t>They move back and fourth and match with each other.</t>
  </si>
  <si>
    <t>v_89rUyq2rCJ8</t>
  </si>
  <si>
    <t>A man is riding on a surfboard in the ocean.</t>
  </si>
  <si>
    <t>He does a big flip, landing back in the wave.</t>
  </si>
  <si>
    <t>The flip is repeated in slow motion.</t>
  </si>
  <si>
    <t>v_nlYl30Dqfc0</t>
  </si>
  <si>
    <t>woman is standing in middle of stage talking to the camera and showing in slow motion dance moves.</t>
  </si>
  <si>
    <t>woman is making the movements quickly and showing the position of the hands.</t>
  </si>
  <si>
    <t>woman is showing salsa movements in a room.</t>
  </si>
  <si>
    <t>v_KoeytdNfQ_M</t>
  </si>
  <si>
    <t>A man is standing on a dark field.</t>
  </si>
  <si>
    <t>He throws a frisbee through the air, and a dog catches it.</t>
  </si>
  <si>
    <t>The dog chases and does tricks to get the frisbee.</t>
  </si>
  <si>
    <t>v_8qzR38WgsS8</t>
  </si>
  <si>
    <t>A group of young boys are on bicycles behind a sand preparing to take off and race down the course.</t>
  </si>
  <si>
    <t>The latch is let down and they all take off into the dirt and start to race in the dirt.</t>
  </si>
  <si>
    <t>Many of the boys keep going around the track and people are spread throughout the course holding up sticks.</t>
  </si>
  <si>
    <t>v_NpsOCOnQS6c</t>
  </si>
  <si>
    <t>A man spraying a fence grey using a powerful spray gun.</t>
  </si>
  <si>
    <t>A man in casually standing behind him watching with his hands crossed, yawning.</t>
  </si>
  <si>
    <t>The man spraying sprays up and down making good time.</t>
  </si>
  <si>
    <t>He makes sure to go over all the spots so he doesn't miss any.</t>
  </si>
  <si>
    <t>v_Dx9wjBdbZ1M</t>
  </si>
  <si>
    <t>The man is kicking the tile of the roof until it moved.</t>
  </si>
  <si>
    <t>The man pull out one tire of the roof and pointed on the sides of the tiles.</t>
  </si>
  <si>
    <t>He put back the tile, move it to its original place.</t>
  </si>
  <si>
    <t>v_pYbOylWZx-s</t>
  </si>
  <si>
    <t>A man in a black tank top describes cardio workout on a spin bike.</t>
  </si>
  <si>
    <t>The man in the black tank top mounts the spinning bike in intervals of 45 second cruise speed tension, the 15 seconds hard with tension up.</t>
  </si>
  <si>
    <t>Then cool down with cruise speed tension.</t>
  </si>
  <si>
    <t>v_kXfYuIx31Bo</t>
  </si>
  <si>
    <t>A close up of a machine is shown followed by a man shoveling dirt around a floor.</t>
  </si>
  <si>
    <t>The man then uses the machine around the dirt and waters down the area afterwards.</t>
  </si>
  <si>
    <t>Another man is seen pouring water down on the ground and pasting white paper down.</t>
  </si>
  <si>
    <t>v_aGu-FfGDdVI</t>
  </si>
  <si>
    <t>A man is in the murky waters, using a paddle.</t>
  </si>
  <si>
    <t>He is kayaking toward the camera and past other kayakers.</t>
  </si>
  <si>
    <t>He goes through the water faster, trying to keep up with the current.</t>
  </si>
  <si>
    <t>v_aXCAudMzN2o</t>
  </si>
  <si>
    <t>A man is seen jumping up and down on a pair of stilts while a few others move around on stilts with help.</t>
  </si>
  <si>
    <t>More shots are shown of people jumping around on the stilts and others still needing help from others.</t>
  </si>
  <si>
    <t>v_qNxA4UTadGo</t>
  </si>
  <si>
    <t>The camera pans around a pool and audience and leads into a group of swimmers standing ready on the side.</t>
  </si>
  <si>
    <t>Afterwards several men are seen performing impressive dives into a pool that include flips and tricks and the divers receiving medals in the end.</t>
  </si>
  <si>
    <t>v_NouHsmaE-xA</t>
  </si>
  <si>
    <t>People are in a rodeo arena while a man on a horse prepares a rope with a loop.</t>
  </si>
  <si>
    <t>Then,the man spins the loop and throw to catch a calf, then run and tie the calf.</t>
  </si>
  <si>
    <t>A young man enters the arena and untie the calf.</t>
  </si>
  <si>
    <t>v_WFqm48C2BPk</t>
  </si>
  <si>
    <t>Various shots are shown of a boat riding along rough water conditions from several angles.</t>
  </si>
  <si>
    <t>The camera shows a board and leads back to the water, transitioning into people seen sitting inside the boat.</t>
  </si>
  <si>
    <t>The camera walks around more and captures views of the inside as well as the water.</t>
  </si>
  <si>
    <t>v_UOL8oxziVwU</t>
  </si>
  <si>
    <t>A bald man inside of a home is holding a camera and videotaping a woman on stilts.</t>
  </si>
  <si>
    <t>The camera pans to the woman, who is walking around the living room in the stilts.</t>
  </si>
  <si>
    <t>The man asks the woman to act like a movie character, and she agrees.</t>
  </si>
  <si>
    <t>The woman then grabs the camera, and the view is obscured by her hand.</t>
  </si>
  <si>
    <t>v_AbVuOBhG634</t>
  </si>
  <si>
    <t>A woman is standing outside, talking to the camera.</t>
  </si>
  <si>
    <t>She speaks extensively in her new york city location.</t>
  </si>
  <si>
    <t>At the end, a screen appears with contact information.</t>
  </si>
  <si>
    <t>v_0je8CeAJABY</t>
  </si>
  <si>
    <t>First the man walks onto the stage in the beginning and shakes his head roughly.</t>
  </si>
  <si>
    <t>Then he wrestles a bald man in a wrestling match.</t>
  </si>
  <si>
    <t>Next he wrestles a man who has long short blonde hair and he wrestles a man who has a low haircut and he wins.</t>
  </si>
  <si>
    <t>The crowd starts cheering and roaring because of how many times he'd won.</t>
  </si>
  <si>
    <t>v_NOGtIoZbEVg</t>
  </si>
  <si>
    <t>A young man sits on a bed.</t>
  </si>
  <si>
    <t>The man starts playing an acoustic guitar.</t>
  </si>
  <si>
    <t>The man starts singing while playing.</t>
  </si>
  <si>
    <t>The man pauses and rolls is eyes.</t>
  </si>
  <si>
    <t>The man finishes and looks up, then at the ground.</t>
  </si>
  <si>
    <t>v_t19uSLVQGWA</t>
  </si>
  <si>
    <t>A man is seen sitting behind a drum set beginning to play while others watch him on the side.</t>
  </si>
  <si>
    <t>The man continues to play the drum set faster and faster and ends by stopping to speak to the camera.</t>
  </si>
  <si>
    <t>v_T6TgMYLrPII</t>
  </si>
  <si>
    <t>The woman is adjusting the matt, while the man is raising the pole.</t>
  </si>
  <si>
    <t>The woman is running with a pole, then she jumped over the yellow rope.</t>
  </si>
  <si>
    <t>The woman jumped over the rope while her coach is on the side of the tract watching and assisting her as she jumped over the pole.</t>
  </si>
  <si>
    <t>v_plZs-3GtoOo</t>
  </si>
  <si>
    <t>A barber is shown using clippers on his client's head in a hair salon.</t>
  </si>
  <si>
    <t>He is shaving a man's head with shaving cream and a razor.</t>
  </si>
  <si>
    <t>He is also styling a boy's hair with gel and a comb.</t>
  </si>
  <si>
    <t>He is shaving a man's beard with shaving gel and a razor.</t>
  </si>
  <si>
    <t>He is also cutting a man's hair with scissors to give him a Mohawk.</t>
  </si>
  <si>
    <t>He is using clippers on a young man.</t>
  </si>
  <si>
    <t>The website is advertised on the screen with pictures of the website.</t>
  </si>
  <si>
    <t>v_FRzN9ApCxW8</t>
  </si>
  <si>
    <t>A man is outside in a field of grass pushing a lawn mower back and forth.</t>
  </si>
  <si>
    <t>Once he makes it to the other side of the strip,the person with the camera walks closer to him and starts to talk to them.</t>
  </si>
  <si>
    <t>After,the guy with the lawn mower begins to laugh and continues cutting the yard.</t>
  </si>
  <si>
    <t>v_3hSPAtKORgk</t>
  </si>
  <si>
    <t>A graphic of a boy kicking a soccer ball with 3 defender is seen.</t>
  </si>
  <si>
    <t>The ball is deflected by the defenders in the graphic.</t>
  </si>
  <si>
    <t>A soccer player kicks a ball that is blocked by a series of defenders and a goalie on and indoor field.</t>
  </si>
  <si>
    <t>v_QR2BmWR5FGM</t>
  </si>
  <si>
    <t>A small playground is seen followed by a man and his dog walking into frame.</t>
  </si>
  <si>
    <t>The man pushes it dog up and the dog rides down the slide.</t>
  </si>
  <si>
    <t>The man does this again with the dog in another playground.</t>
  </si>
  <si>
    <t>v_Zob68l3snFo</t>
  </si>
  <si>
    <t>a man is in a boat in the water.</t>
  </si>
  <si>
    <t>a loaf of bread is thrown to fishes and their are fighting to eat it.</t>
  </si>
  <si>
    <t>man is diving ni deep sea through the shoals and corals.</t>
  </si>
  <si>
    <t>v_--0edUL8zmA</t>
  </si>
  <si>
    <t>Four men are playing dodge ball in an indoor court.</t>
  </si>
  <si>
    <t>They start running towards the red balls after the coach blows the whistle.</t>
  </si>
  <si>
    <t>One of the players hits the ball on his opponent.</t>
  </si>
  <si>
    <t>The opponent strikes back at the other player, but he manages to dodge the ball.</t>
  </si>
  <si>
    <t>Next, the player hits another ball directly at his opponent standing opposite him.</t>
  </si>
  <si>
    <t>The player hits the ball hard on his opponent's leg.</t>
  </si>
  <si>
    <t>They continue playing several rounds of dodge ball.</t>
  </si>
  <si>
    <t>The player aims directly at one of his opponents and hits him on his leg.</t>
  </si>
  <si>
    <t>The game ends after the coach blows the whistle.</t>
  </si>
  <si>
    <t>v_ABCRXwB5-JQ</t>
  </si>
  <si>
    <t>People sail in canoes in a river rowing oars.</t>
  </si>
  <si>
    <t>A young man plays the guitar in a boat, while a youth smoke a cigarette.</t>
  </si>
  <si>
    <t>Two young ladies sail a boat behind the men.</t>
  </si>
  <si>
    <t>v_4_CcDjbCXBQ</t>
  </si>
  <si>
    <t>A woman is seen hosting a news segment and leads into shots of people playing soccer and audience members watching.</t>
  </si>
  <si>
    <t>More highlights of the game are shown as well as team mates celebrating and hugging one another.</t>
  </si>
  <si>
    <t>v_tIAdhrfT70I</t>
  </si>
  <si>
    <t>A fox news icon appears on the screen.</t>
  </si>
  <si>
    <t>A group of people are in a building, playing a game called beer pong.</t>
  </si>
  <si>
    <t>The news reporters gather in their studio to play beer pong.</t>
  </si>
  <si>
    <t>A male and female reporter attempt to throw the balls at the cups.</t>
  </si>
  <si>
    <t>The woman walks away laughing as the other reporters continue to talk.</t>
  </si>
  <si>
    <t>They resume playing before the fox news icon again appears onscreen.</t>
  </si>
  <si>
    <t>v_cHSGL-OcMak</t>
  </si>
  <si>
    <t>Two people are seen walking around on stilts in the middle of a street and sidewalk.</t>
  </si>
  <si>
    <t>The walk continue walking up and down the streets on stilts passing by people and speaking.</t>
  </si>
  <si>
    <t>v_HlFnWOx53XU</t>
  </si>
  <si>
    <t>woman is standing in a field playing bagpipes.</t>
  </si>
  <si>
    <t>woman is standing in the middle of a parking lot playing bag pipes.</t>
  </si>
  <si>
    <t>a blue house is behind the woman that is playing bagpipes.</t>
  </si>
  <si>
    <t>v_bw96D55q2FI</t>
  </si>
  <si>
    <t>A skateboarder comes by and rolls in a patch of dirt by the side walk.</t>
  </si>
  <si>
    <t>A man then begins to ride his skateboard from the top of the roof down an inclined road.</t>
  </si>
  <si>
    <t>The man then begins moving and skateboarding throughout the neighborhood and interacting with the people.</t>
  </si>
  <si>
    <t>All of a sudden,the man walks through the subway and gets off his skateboard until he gets to his destination.</t>
  </si>
  <si>
    <t>He then proceeds to skate through the city,jumping over the poles and the credits begin to roll.</t>
  </si>
  <si>
    <t>v_75u6o4tXGC0</t>
  </si>
  <si>
    <t>man is standing in front of a kitchen cooking and showing the ingredients to a cook.</t>
  </si>
  <si>
    <t>man put the ingredients in a pan and cook the chicken with the salad and serve it in a plate.</t>
  </si>
  <si>
    <t>v_LrmtSSUVRaQ</t>
  </si>
  <si>
    <t>An introduction comes onto the screen for a video about casino dealing.</t>
  </si>
  <si>
    <t>A man explains that they are at a casino dealing school where they will teach people how to deal.</t>
  </si>
  <si>
    <t>Another man begins to tell and about the basics for casino dealing.</t>
  </si>
  <si>
    <t>v_rosZj4ZcPBA</t>
  </si>
  <si>
    <t>Outside a man is using a leaf blower using it to blow a pile of leaves.</t>
  </si>
  <si>
    <t>He seems to be at a park or something in the parking lot.</t>
  </si>
  <si>
    <t>He is wearing a hat and jeans and just out there by himself.</t>
  </si>
  <si>
    <t>He continues to keep blowing the pile of leaves when a dog runs by out of nowhere.</t>
  </si>
  <si>
    <t>v_zcdJNPYkIE0</t>
  </si>
  <si>
    <t>A scuba-diving man interacts underwater with a large fish.</t>
  </si>
  <si>
    <t>The man makes a pushing gesture towards the camera.</t>
  </si>
  <si>
    <t>The man makes several gestures towards the camera.</t>
  </si>
  <si>
    <t>The fish rams into the man and swims away.</t>
  </si>
  <si>
    <t>v_yVbzejdydrw</t>
  </si>
  <si>
    <t>A man holds two swords out and pretends to hit another people holding swords.</t>
  </si>
  <si>
    <t>He demonstrates again and hands the swords to another man.</t>
  </si>
  <si>
    <t>He commentates on his ability while continuing to show several sword movements.</t>
  </si>
  <si>
    <t>Other men begin to fight with the swords.</t>
  </si>
  <si>
    <t>One man falls down and acts hurt to portray a role in the play Hamlet.</t>
  </si>
  <si>
    <t>v_rMdojBVP-aM</t>
  </si>
  <si>
    <t>A camera pans around a woman standing in front of a dog balancing on a fence.</t>
  </si>
  <si>
    <t>The dog continues balancing on the fence while the camera pans around.</t>
  </si>
  <si>
    <t>The dog then jumps off the fence in the end.</t>
  </si>
  <si>
    <t>v_liI1E_ZZV5w</t>
  </si>
  <si>
    <t>A man is holding a white shoe and puts it on the ground.</t>
  </si>
  <si>
    <t>The man already has a shoe on his right foot and it tightens itself when he touches it.</t>
  </si>
  <si>
    <t>The man's face is shown and he's looking down at the shoes and then it shows the left shoe on the foot and it's tightening itself .</t>
  </si>
  <si>
    <t>The man stands up from the car and the scene reveals that it's Michael J Fox in the movie Back to the Future.</t>
  </si>
  <si>
    <t>v_Oya9LWABkf4</t>
  </si>
  <si>
    <t>A girl is outside on a boat dock holding a three hula hoops in her hands.</t>
  </si>
  <si>
    <t>She starts swinging them in her hand,around her legs,wrist,and neck and stops briefly to adjust the camera.</t>
  </si>
  <si>
    <t>The young lady then appears again with twenty to thirty hula hoops around her body swinging them back and forth before advising you to subscribe to a channel.</t>
  </si>
  <si>
    <t>v__WPcOFgi5vU</t>
  </si>
  <si>
    <t>Two men are seen standing in an enclosed room holding tennis rackets and begin hitting the ball off the wall to one another.</t>
  </si>
  <si>
    <t>The men continue walking back and fourth with the ball and hitting it off the wall as well as bumping into the wall.</t>
  </si>
  <si>
    <t>v_8zfA20hcc0o</t>
  </si>
  <si>
    <t>Two men are seen passing a ball to one another and leads into a group of people playing soccer.</t>
  </si>
  <si>
    <t>The people move up and down the court while the camera follows their movements.</t>
  </si>
  <si>
    <t>Many people watch on the sides as the group continues to play.</t>
  </si>
  <si>
    <t>v_dSHw52PBi5I</t>
  </si>
  <si>
    <t>People in an indoor pool watch on as multiple divers are taking turns and standing at the highest diving point with the word INDIANA on it as they do multiple flips before they land into the pool.</t>
  </si>
  <si>
    <t>A few woman take their turns jumping off of the highest diving point as they start in different ways, do multiple flips, then dive into the pool making small splashes as they hit the water.</t>
  </si>
  <si>
    <t>A blonde woman does a very slow handstand facing towards the pool, then pushes off and does multiple flips before she dives into the pool creating a small splash.</t>
  </si>
  <si>
    <t>When the women are finished diving, men take their turns diving from the highest point as well and they also do multiple flips before they hit the water creating a small splash.</t>
  </si>
  <si>
    <t>v_R4ES1QLRvtg</t>
  </si>
  <si>
    <t>A person in dark winter gear is using a shovel to shovel the walkway of a parking garage.</t>
  </si>
  <si>
    <t>It is night time and the street is dimly lit with the street lights.</t>
  </si>
  <si>
    <t>He continues shoveling the entire pathway while several cars drive by on the main road nearby.</t>
  </si>
  <si>
    <t>He picks up the up snow and piles it up on the corner.</t>
  </si>
  <si>
    <t>After he finishes, he walks away.</t>
  </si>
  <si>
    <t>v_zNpILhjhFbQ</t>
  </si>
  <si>
    <t>A person sits on a mat in a gym and does sit ups while holding her legs up.</t>
  </si>
  <si>
    <t>The person finishes the exercise routine and takes a break.</t>
  </si>
  <si>
    <t>A graphic is seen with a feather falling.</t>
  </si>
  <si>
    <t>v_cGqmHplppAU</t>
  </si>
  <si>
    <t>Various clips are shown of people playing on the beach as well putting sunscreen on and carrying objects.</t>
  </si>
  <si>
    <t>A large explosion is shown followed by kids fishing with a man and more clips of people playing on the beach.</t>
  </si>
  <si>
    <t>v_a50gTER-FsQ</t>
  </si>
  <si>
    <t>Three men walk into a building.</t>
  </si>
  <si>
    <t>They begin to play a game of curling.</t>
  </si>
  <si>
    <t>People are shown enjoying themselves at the curling hall and the trophies are shown that have been won.</t>
  </si>
  <si>
    <t>The men are shown in the locker preparing to curl.</t>
  </si>
  <si>
    <t>The men are shown all together posing on the ice.</t>
  </si>
  <si>
    <t>v_FkSf3pxra3M</t>
  </si>
  <si>
    <t>Many judges sit around a field, waiting the performance of an athlete.</t>
  </si>
  <si>
    <t>An athlete approaches the field area.</t>
  </si>
  <si>
    <t>The athlete spins his body around and tosses a disc with maximum force.</t>
  </si>
  <si>
    <t>v_cRDXBF2RcYI</t>
  </si>
  <si>
    <t>A person is laying back on a bed.</t>
  </si>
  <si>
    <t>A person puts wax on their leg.</t>
  </si>
  <si>
    <t>They put paper on it and rip off the hair.</t>
  </si>
  <si>
    <t>v_-ySxFjhhK4Y</t>
  </si>
  <si>
    <t>We see a man preparing and throwing shotput.</t>
  </si>
  <si>
    <t>We see a man running to measure the distance.</t>
  </si>
  <si>
    <t>We see a man standing and measure.</t>
  </si>
  <si>
    <t>We see people in the crowd cheering.</t>
  </si>
  <si>
    <t>We see the people in the bleachers again.</t>
  </si>
  <si>
    <t>We zoom in as the player walks away.</t>
  </si>
  <si>
    <t>v_K-Jzu2AmuW4</t>
  </si>
  <si>
    <t>Two women and a man dance pop music while doing different steps.</t>
  </si>
  <si>
    <t>The women and the man rise the arms while dancing, then they continue dancing and turning.</t>
  </si>
  <si>
    <t>v_3H7ZS0E90pY</t>
  </si>
  <si>
    <t>She does a gymnastic routine on the balance beam.</t>
  </si>
  <si>
    <t>She jumps off the beam and lands on the mat with her hands up.</t>
  </si>
  <si>
    <t>A woman in a blue shirt comes over and hugs her.</t>
  </si>
  <si>
    <t>v_Wr_Eu2M7U9E</t>
  </si>
  <si>
    <t>A woman walks into a garage with a rolled up paper in her hand.</t>
  </si>
  <si>
    <t>Once she leaves,a black cat is shown and it begins to crawl over everything and then the lady comes and pets it.</t>
  </si>
  <si>
    <t>The female leaves and walks into a room and starts covering the room in wall paper.</t>
  </si>
  <si>
    <t>She forgets the scissors and walks out to grab them and comes back to apply more paper on the wall.</t>
  </si>
  <si>
    <t>A break is needed and the woman get a drink from the kitchen.</t>
  </si>
  <si>
    <t>Shortly after,the lady continues her tasks and then walks outside to take her cat out.</t>
  </si>
  <si>
    <t>The wall still isn't finished and she goes back to the room to finish it rolling the outside of it to ensure its smoothness.</t>
  </si>
  <si>
    <t>As she finishes,the cat comes in the room and starts playing with a ball before returning back outside.</t>
  </si>
  <si>
    <t>The women reappears in another set of clothes to finish the wall,she finally finishes and begins to throw her hands up and collapses on the bed.</t>
  </si>
  <si>
    <t>v_ctFlPn4EfkU</t>
  </si>
  <si>
    <t>People are playing golf on the grass.</t>
  </si>
  <si>
    <t>A man hits the ball with a club.</t>
  </si>
  <si>
    <t>A man in a white hat walks behind him.</t>
  </si>
  <si>
    <t>v_OK84hJx9daQ</t>
  </si>
  <si>
    <t>The final product and credits are shown.</t>
  </si>
  <si>
    <t>Ingredients are mixed and sauteed.</t>
  </si>
  <si>
    <t>Pasta is added to the fry pan.</t>
  </si>
  <si>
    <t>Tomato paste and dry ingredients is added to the pan.</t>
  </si>
  <si>
    <t>The final product is taken from the fry pan and placed on a white plate.</t>
  </si>
  <si>
    <t>The final product and credits of the clip are shown.</t>
  </si>
  <si>
    <t>v_q66BG9h_7XI</t>
  </si>
  <si>
    <t>People are strapping on these Qloja machines to their feet.</t>
  </si>
  <si>
    <t>It takes a pretty long time to get them on and then they start to walk.</t>
  </si>
  <si>
    <t>They build up a little speed and start kind of running in a line.</t>
  </si>
  <si>
    <t>A line of about 15 people wearing these contraceptions are running on them, then a smaller group of three are bouncing up and down all around.</t>
  </si>
  <si>
    <t>v_XumLmNQiRjk</t>
  </si>
  <si>
    <t>People are playing a game of volleyball against each other.</t>
  </si>
  <si>
    <t>v_V_rril47Z5Q</t>
  </si>
  <si>
    <t>Two people choreograph a routine with nunchucks.</t>
  </si>
  <si>
    <t>The girls drop the nunchucks then dance around.</t>
  </si>
  <si>
    <t>A third person joins and then leaves.</t>
  </si>
  <si>
    <t>v_q3DzEgYmIV0</t>
  </si>
  <si>
    <t>A hand saw sits on top of a roof.</t>
  </si>
  <si>
    <t>A ladder leans on it.</t>
  </si>
  <si>
    <t>The roof is old and dilapidated.</t>
  </si>
  <si>
    <t>The camera then pans down.</t>
  </si>
  <si>
    <t>v_Kq8g8jjodvc</t>
  </si>
  <si>
    <t>A weight lifter opens his mouth wide.</t>
  </si>
  <si>
    <t>He lifts a giant barbell with all his might.</t>
  </si>
  <si>
    <t>He lifts it to his chest, then over his head.</t>
  </si>
  <si>
    <t>v_B0sXYJeZ8Xk</t>
  </si>
  <si>
    <t>A woman is seen standing in a yard with a lawn mower in front of her.</t>
  </si>
  <si>
    <t>The girl then pushes the lawn mower along the yard.</t>
  </si>
  <si>
    <t>The camera moves in closer of the woman still pushing the mower and speaking to the camera.</t>
  </si>
  <si>
    <t>v_aRZd3O6-PKw</t>
  </si>
  <si>
    <t>A man is standing outside under a tent hitting a pinata with a stick.</t>
  </si>
  <si>
    <t>After about three strings,he moves and gives the stick to a young girl with a grey and black dress on.</t>
  </si>
  <si>
    <t>Once she has the stick,she is hitting in the wrong direction and then is redirected towards the pinata and still ends up missing it.</t>
  </si>
  <si>
    <t>v_2R_TVXvocQs</t>
  </si>
  <si>
    <t>a man and a woman are dancing doing a zumba choreogaphy in the middle of stage.</t>
  </si>
  <si>
    <t>man wearing a grey shirts approach to stage and keeps dancing.</t>
  </si>
  <si>
    <t>woman wearing a pink shirt is in the background holding a white cellphone and taking pictures.</t>
  </si>
  <si>
    <t>v_W_5Mx-mfNmU</t>
  </si>
  <si>
    <t>A couple wheels a small wagon and cooler in a park area.</t>
  </si>
  <si>
    <t>Sticks are collected then a ring of stones is construct with the sticks stacked together with twigs inside.</t>
  </si>
  <si>
    <t>The bundle of woods is lit on fire and more sticks are added to keep it going.</t>
  </si>
  <si>
    <t>The man sits down in a lawn chair and enjoys the day.</t>
  </si>
  <si>
    <t>The man screws a nozzle onto a propane tank and fuels the fire with it.</t>
  </si>
  <si>
    <t>The fire is put out with a bucket of water and covered in earth.</t>
  </si>
  <si>
    <t>v__LAABOgXU1s</t>
  </si>
  <si>
    <t>A man is taking a tire off a hub with a tool.</t>
  </si>
  <si>
    <t>He then puts the tire on top of the tool to finish taking it off.</t>
  </si>
  <si>
    <t>v_f4k-dKaEZog</t>
  </si>
  <si>
    <t>A team of players run on a field.</t>
  </si>
  <si>
    <t>They are holding some sort of rackets.</t>
  </si>
  <si>
    <t>The swing them at each other.</t>
  </si>
  <si>
    <t>Some players run past a yellow line.</t>
  </si>
  <si>
    <t>v_ral5Oaib_vk</t>
  </si>
  <si>
    <t>Opening credits show the upcoming activities.</t>
  </si>
  <si>
    <t>A man in plaid is standing at a microphone acknowledging the crowd.</t>
  </si>
  <si>
    <t>He begins playing the harmonica.</t>
  </si>
  <si>
    <t>The man stops playing and dances in place.</t>
  </si>
  <si>
    <t>The man continues to play his harmonica.</t>
  </si>
  <si>
    <t>The man stop splaying and thanks the crowd as the closing credits appear.</t>
  </si>
  <si>
    <t>v_sR0hZeYm06I</t>
  </si>
  <si>
    <t>There's a little boy dressed in a red shirt and blue jeans seated on a black leather recliner.</t>
  </si>
  <si>
    <t>He is sitting with his hands stretched out.</t>
  </si>
  <si>
    <t>A man standing next to him with a small stick is tickling the boy's hand with the stick.</t>
  </si>
  <si>
    <t>The boy seems to like it and asks him to do it on his other hand too.</t>
  </si>
  <si>
    <t>The man tickles the little boy's other hand too.</t>
  </si>
  <si>
    <t>The boy smiles and asks for more.</t>
  </si>
  <si>
    <t>v_mWOa-0w0Bls</t>
  </si>
  <si>
    <t>A camera pans around grass and leads to a fence.</t>
  </si>
  <si>
    <t>The camera pans all around the fence with flowers on the side.</t>
  </si>
  <si>
    <t>The camera continues to pan around the fence and the different colors.</t>
  </si>
  <si>
    <t>v_NLkJgnrKaKM</t>
  </si>
  <si>
    <t>A man takes a hookah and exhales smoke rings.</t>
  </si>
  <si>
    <t>He inhales and does it again.</t>
  </si>
  <si>
    <t>v_5fMtHNSIOAE</t>
  </si>
  <si>
    <t>Eight middle aged white men are on one of a rope attempting to win a game of tug-of-war outside in a field at what looks to be a tournament.</t>
  </si>
  <si>
    <t>As the game begins,the men all fall into a slanted position as they struggle to pull the rope.</t>
  </si>
  <si>
    <t>Suddenly, a man from the sides begins to talk to the man in the front and gets in his face as if he's giving him a pep talk to stay strong,win,and not let the other team get the best of him.</t>
  </si>
  <si>
    <t>The game continues and you can see that the team is being drug but they suddenly gain strength and pull the rope back to their side,then they all stand up as the game is finished.</t>
  </si>
  <si>
    <t>v_2I9xymLVssI</t>
  </si>
  <si>
    <t>Two people get into an truck.</t>
  </si>
  <si>
    <t>They drive onto the street.</t>
  </si>
  <si>
    <t>A man carrying a ladder sets it against a house.</t>
  </si>
  <si>
    <t>The woman watches the man.</t>
  </si>
  <si>
    <t>The man looks at the roof of the house on the ladder.</t>
  </si>
  <si>
    <t>He shows her something and she holds it in her hand.</t>
  </si>
  <si>
    <t>A man talks in front of a house.</t>
  </si>
  <si>
    <t>A man climbs a ladder and looks at a roof.</t>
  </si>
  <si>
    <t>A man goes through a stack of papers.</t>
  </si>
  <si>
    <t>It shows the papers on the screen.</t>
  </si>
  <si>
    <t>v_xYM6h31PrM0</t>
  </si>
  <si>
    <t>A gymnast is seen standing before a beam raising her arms up and others watching on the side.</t>
  </si>
  <si>
    <t>The woman then performs a gymnasts routine in front of a large group of people.</t>
  </si>
  <si>
    <t>She falls off at one point and jumps back on to finish her routine and ends by jumping off the side.</t>
  </si>
  <si>
    <t>v_qsTCTQo-wI8</t>
  </si>
  <si>
    <t>A man is explaining how to play the drums on bongos.</t>
  </si>
  <si>
    <t>He demonstrates how he alternates between three bongos.</t>
  </si>
  <si>
    <t>He later switches to a much slower beat and rhythm by drumming on the bongos.</t>
  </si>
  <si>
    <t>He explains how the beats on the drum changes as the rhythm changes.</t>
  </si>
  <si>
    <t>He then switches back to a faster beat and rhythm on the drums by alternating between two drums.</t>
  </si>
  <si>
    <t>v_8lw8uAimUXI</t>
  </si>
  <si>
    <t>A woman stands at the end of a diving board.</t>
  </si>
  <si>
    <t>She lightly bounces up and down.</t>
  </si>
  <si>
    <t>She then does a backflip into the water.</t>
  </si>
  <si>
    <t>v_2IRQ5fPwHV8</t>
  </si>
  <si>
    <t>A group of women are gathered in a room, then go to the beach.</t>
  </si>
  <si>
    <t>A woman photographs the others under the pier.</t>
  </si>
  <si>
    <t>They talk to the camera between shoots.</t>
  </si>
  <si>
    <t>v_Fg_VZJAtByk</t>
  </si>
  <si>
    <t>A man takes a moment to himself before he starts playing the guitar.</t>
  </si>
  <si>
    <t>The man plays the guitar.</t>
  </si>
  <si>
    <t>The man quits playing the guitar.</t>
  </si>
  <si>
    <t>v_hiEVVSgAhls</t>
  </si>
  <si>
    <t>Two people are playing a game of ping pong.</t>
  </si>
  <si>
    <t>People are playing basketball behind them.</t>
  </si>
  <si>
    <t>The man grabs the ball again and serves it across the table.</t>
  </si>
  <si>
    <t>The man is holding a phone and taking a picture with the girl.</t>
  </si>
  <si>
    <t>v_B0rorWq-j44</t>
  </si>
  <si>
    <t>An elderly lady in a neck brace yells at the camera in a grocery store.</t>
  </si>
  <si>
    <t>The lady vacuums the floor in the store.</t>
  </si>
  <si>
    <t>The lady dances to the music and pretends to play a guitar.</t>
  </si>
  <si>
    <t>The lady takes off her sunglasses and talks to the camera.</t>
  </si>
  <si>
    <t>We end seeing her standing in an aisle.</t>
  </si>
  <si>
    <t>v_4A49mkP6HsM</t>
  </si>
  <si>
    <t>There is a group of Korean Pop singers performing on a stage.</t>
  </si>
  <si>
    <t>One of the singers is playing the violin while the audience cheers and claps for him.</t>
  </si>
  <si>
    <t>Then another singer grabs the mic and talks to the audience.</t>
  </si>
  <si>
    <t>The audience applaud and smile as they watch.</t>
  </si>
  <si>
    <t>The performer sings as he plays the violin and then bows down in front of the audience.</t>
  </si>
  <si>
    <t>The crowd cheers and claps for him.</t>
  </si>
  <si>
    <t>v_jBvGvVw3R-Q</t>
  </si>
  <si>
    <t>A man is standing in a gym preparing to lift a set of weights placed on a bar.</t>
  </si>
  <si>
    <t>Next the screen flashes to a younger male jerking and then drops the bar on the ground.</t>
  </si>
  <si>
    <t>Several more people are shown lifting weights and dropping them on the ground.</t>
  </si>
  <si>
    <t>The man begins to dance as he lifts and drops the bar and the continuation of weightlifting is repeated.</t>
  </si>
  <si>
    <t>After,the men continue walking around the gym eating a protein bar.</t>
  </si>
  <si>
    <t>v_HsklqPvsMEQ</t>
  </si>
  <si>
    <t>A person is seen aiming a paintball gun off into the distance in a large field.</t>
  </si>
  <si>
    <t>Many people watch on the side as the man aims.</t>
  </si>
  <si>
    <t>Suddenly another person comes into frame and plays with the man.</t>
  </si>
  <si>
    <t>v_N3rFdrfE3q8</t>
  </si>
  <si>
    <t>A boy picks up a rake off the ground and carries it.</t>
  </si>
  <si>
    <t>A man goes down a slide wearing a blue helmet.</t>
  </si>
  <si>
    <t>He falls onto the ground after going down the slide.</t>
  </si>
  <si>
    <t>v_gzyu1S2LNIw</t>
  </si>
  <si>
    <t>A small group of girls are seen standing ready holding flags and lead into them performing a routine.</t>
  </si>
  <si>
    <t>A man sits in front of them playing an instrument while they continue spinning and many on the sides watch.</t>
  </si>
  <si>
    <t>v_jgNeMnPVfkQ</t>
  </si>
  <si>
    <t>A player on the orange team skates with the puck until he is tripped up and falls.</t>
  </si>
  <si>
    <t>Player 18 on the grey team retrieves the puck and makes a break down the ice perused by defenders.</t>
  </si>
  <si>
    <t>Player 18 takes a shot on the goal.</t>
  </si>
  <si>
    <t>The goalie on the orange team blocks the shot and puts the puck back into play.</t>
  </si>
  <si>
    <t>Player 4 on the orange team takes the puck down the ice passing once to himself passed defenders.</t>
  </si>
  <si>
    <t>Player 4 takes a shot on the goal and scores.</t>
  </si>
  <si>
    <t>Player 4 and teammates celebrate and the win and skate off the ice.</t>
  </si>
  <si>
    <t>v_9WDvq8LXrxU</t>
  </si>
  <si>
    <t>A seated man cleans a shoe in a classroom setting with other individuals.</t>
  </si>
  <si>
    <t>The man turns to the camera and smiles.</t>
  </si>
  <si>
    <t>The man laughs as he holds the shoe downwards.</t>
  </si>
  <si>
    <t>v_jzGsvw5Douk</t>
  </si>
  <si>
    <t>We see rafts and people in a building.</t>
  </si>
  <si>
    <t>People board a bus and exit at a water park.</t>
  </si>
  <si>
    <t>People grab rafts,and people on rafts fill a river.</t>
  </si>
  <si>
    <t>We see an artificial waterfall and people sliding through it.</t>
  </si>
  <si>
    <t>A person falls out of their raft.</t>
  </si>
  <si>
    <t>A man holding a selfie stick is riding a raft.</t>
  </si>
  <si>
    <t>Another man holding a selfie stick.</t>
  </si>
  <si>
    <t>We see the phone number and credits for the video.</t>
  </si>
  <si>
    <t>v_c9bvuUO9Q0Q</t>
  </si>
  <si>
    <t>A small group of people are seen standing outside with one being blindfolded and holding a bat.</t>
  </si>
  <si>
    <t>A person then pulls up a pinata and begins swinging at the object.</t>
  </si>
  <si>
    <t>The boy moves his hands around and continues to swing at the object.</t>
  </si>
  <si>
    <t>v_uqiooW1OAXU</t>
  </si>
  <si>
    <t>People gather in a tour facility in the dessert.</t>
  </si>
  <si>
    <t>Then, people rides camels pulled by men.</t>
  </si>
  <si>
    <t>The caravan advance in the desert, while the camels walk in line.</t>
  </si>
  <si>
    <t>A white car parks behind the camels.</t>
  </si>
  <si>
    <t>Then, the man makes kneel the camels and people get down the camels.</t>
  </si>
  <si>
    <t>After, a group of tourists rides camels and pass on front the tour facility.</t>
  </si>
  <si>
    <t>v_ABmZdlZEZOY</t>
  </si>
  <si>
    <t>An intro leads into several shots of divers moving around the ocean and passing various fish and items under water.</t>
  </si>
  <si>
    <t>The diver comes above the water holding a tank and spins around while the camera follows.</t>
  </si>
  <si>
    <t>v_Y34oqcxYmWc</t>
  </si>
  <si>
    <t>A man and a woman are dancing on a dance floor in front of a crowd of people.</t>
  </si>
  <si>
    <t>The crowd applauds for them.</t>
  </si>
  <si>
    <t>The couple hugs and bows for the crowd.</t>
  </si>
  <si>
    <t>v_p1yiPvIkRec</t>
  </si>
  <si>
    <t>A person is seen sitting on a bench holding a rubix cube.</t>
  </si>
  <si>
    <t>The person then begins moving their hands around the solve the cube.</t>
  </si>
  <si>
    <t>The person solves the cube then turns the camera off.</t>
  </si>
  <si>
    <t>v_HGtfDm5EOtc</t>
  </si>
  <si>
    <t>Two men are seen swinging their arms and legs around one another while a group of people stand around and watch them.</t>
  </si>
  <si>
    <t>The men continue spinning around wile people clap and end with them shaking each other's hands.</t>
  </si>
  <si>
    <t>v_n--fgqwuTTI</t>
  </si>
  <si>
    <t>A person is putting something on a chain of a bike.</t>
  </si>
  <si>
    <t>They use a blue tool to take the chain apart.</t>
  </si>
  <si>
    <t>They put it back together using a tool.</t>
  </si>
  <si>
    <t>v_fRmHJKlQmmw</t>
  </si>
  <si>
    <t>A man is doing a gymnastic routine on a balance beam.</t>
  </si>
  <si>
    <t>He jumps off the beam onto a mat.</t>
  </si>
  <si>
    <t>Another man jumps onto a balance beam and does a routine.</t>
  </si>
  <si>
    <t>v_EP9Ul7UdzYI</t>
  </si>
  <si>
    <t>Several men dressed for the cold are waiting in a room outside the snow.</t>
  </si>
  <si>
    <t>They go outside, prepared to ski.</t>
  </si>
  <si>
    <t>They begin skiing, going down a steep hill, moving side to side and angling through the snow covered trees.</t>
  </si>
  <si>
    <t>v_ksk7okDk_wY</t>
  </si>
  <si>
    <t>A group of people are on an outdoor court on the beach.</t>
  </si>
  <si>
    <t>They are playing a game of volleyball.</t>
  </si>
  <si>
    <t>They kick and hit the ball back and forth, celebrating when they win as the crowd claps and cheers.</t>
  </si>
  <si>
    <t>v_mdXSm8Yr6aU</t>
  </si>
  <si>
    <t>A little girl is on a swing set next to her baby brother.</t>
  </si>
  <si>
    <t>They are being pushed as they swing back and forth.</t>
  </si>
  <si>
    <t>v_FxGXQIH3-RQ</t>
  </si>
  <si>
    <t>People walk around cars and tents and sit in chairs in the background doing different things.</t>
  </si>
  <si>
    <t>A man and a dog are in the middle of a field preparing to play frisbee.</t>
  </si>
  <si>
    <t>The man throws a frisbee and the dog runs, catches it and brings it back.</t>
  </si>
  <si>
    <t>The dog is very excited preparing for his next trick.</t>
  </si>
  <si>
    <t>The man kneels down and throws frisbees for the dog as he rolls, flips and walks around.</t>
  </si>
  <si>
    <t>A second man joins the first man on the field and they both raise an arm and then turn to walk away together.</t>
  </si>
  <si>
    <t>v_6_NquDQUFm0</t>
  </si>
  <si>
    <t>A woman is seen running back and fourth on a small track and leads into her putting a helmet on.</t>
  </si>
  <si>
    <t>She grabs a pole and runs down the track jumping over a bar and onto a mat.</t>
  </si>
  <si>
    <t>She jumps up and walks over to a group of people keeping her score.</t>
  </si>
  <si>
    <t>v_c1eUdyyT4zg</t>
  </si>
  <si>
    <t>kids are driving bumper cars in an amusement park.</t>
  </si>
  <si>
    <t>parents are sitting on bumper cars with his children.</t>
  </si>
  <si>
    <t>man wearing a yellow vest is sitting on the background.</t>
  </si>
  <si>
    <t>v_ffGPrFNbQkA</t>
  </si>
  <si>
    <t>A large group of people are seen wearing protective hear and wandering around an area speaking to one another.</t>
  </si>
  <si>
    <t>Another person runs in and speaks to the others while holding a gun and others aiming over the sides.</t>
  </si>
  <si>
    <t>A woman grabs a toy giraffe while others react and others watch in the distance.</t>
  </si>
  <si>
    <t>v_PBxI7l0AqAY</t>
  </si>
  <si>
    <t>A man is speaking about how things works while a woman works on a horse.</t>
  </si>
  <si>
    <t>As he speaks he washes his hands with some hand sanitizer.</t>
  </si>
  <si>
    <t>Then he gets soap and starts to wash his hands very throughly.</t>
  </si>
  <si>
    <t>He grabs a napkin and dries his hands off still continuing to speak.</t>
  </si>
  <si>
    <t>v_j5D5FR6Xtps</t>
  </si>
  <si>
    <t>A person is seen holding a woman's long hair as well as a brush in his hands.</t>
  </si>
  <si>
    <t>The man continues playing with the hair and leads into him brushing the hair and braiding it.</t>
  </si>
  <si>
    <t>v_Wir90-9HmAI</t>
  </si>
  <si>
    <t>Two people are seen sitting at a table speaking with cups of coffees on the table in front of them.</t>
  </si>
  <si>
    <t>The man is then seen sitting alone in various locations and then begins dancing on a wall.</t>
  </si>
  <si>
    <t>He then is shown waking up in his bed assuming it was all a dream.</t>
  </si>
  <si>
    <t>v_UyORfPxpaGo</t>
  </si>
  <si>
    <t>A boy sitting on a bunk bed.</t>
  </si>
  <si>
    <t>Another boy approaches as he wraps his legs around his neck.</t>
  </si>
  <si>
    <t>The second boy spins him around and slams him to the ground.</t>
  </si>
  <si>
    <t>v_M6xFXdXOzzc</t>
  </si>
  <si>
    <t>There are 4 people who are all playing badminton and the boy in the white shirt is the first one to serve to the man in the black shirt.</t>
  </si>
  <si>
    <t>Then the man wearing the black shirt serves to the boy whose wearing the gold shirt.</t>
  </si>
  <si>
    <t>Then the boy who's wearing the white shirt hits the shuttlecock and serves to the girl who's wearing the pink shirt and the game goes on and everyone keeps serving to each other and they all use different shuttlecocks.</t>
  </si>
  <si>
    <t>v_G4XDVF_hYZc</t>
  </si>
  <si>
    <t>A boy is sitting at a table fiddling with a Rubik's cube and then places it on the table.</t>
  </si>
  <si>
    <t>The boy then picks it up and begins competing with four other males to solve it.</t>
  </si>
  <si>
    <t>Once solved,the boy slams his arms against a black bar that stops the timer and the judge times him at 20 seconds.</t>
  </si>
  <si>
    <t>v_ptukoEe5jvI</t>
  </si>
  <si>
    <t>A group of beach goers play a game of volley ball on a busy beach wearing swimsuits.</t>
  </si>
  <si>
    <t>A woman dances after making a serve and hugs her friend.</t>
  </si>
  <si>
    <t>A player scores a point and gives teammate a high five.</t>
  </si>
  <si>
    <t>Beach goers are seen playing in the water.</t>
  </si>
  <si>
    <t>v_HpQrpwNgCjc</t>
  </si>
  <si>
    <t>A close up of a high dive is shown followed by people walking up the steps.</t>
  </si>
  <si>
    <t>Suddenly a person is seen jumping off of the high dive and into the pool.</t>
  </si>
  <si>
    <t>v_j_q_MOjw80Q</t>
  </si>
  <si>
    <t>A close up of ingredients are shown followed by a man licking the spoon and mixing ingredients into a pot.</t>
  </si>
  <si>
    <t>He mixes more ingredients in a blender and squishes them all into balls to put in the oven.</t>
  </si>
  <si>
    <t>He takes them out and finishes by decorating them.</t>
  </si>
  <si>
    <t>v_bxRZ-Lvjgzk</t>
  </si>
  <si>
    <t>An intro leads into A close up of a painting and a paintbrush swirling around and around.</t>
  </si>
  <si>
    <t>The hand holding the brush begins painting grass into the painting slowly down the picture.</t>
  </si>
  <si>
    <t>v_F7V-FqgG3T8</t>
  </si>
  <si>
    <t>Two men are standing in a room playing a game of tennis.</t>
  </si>
  <si>
    <t>Behind the man,there is a row of kids sitting against the wall where a row of kids are watching them play.</t>
  </si>
  <si>
    <t>The game continues,the child holds his own until the adult ends up hitting it and the kid is not able to return the ball.</t>
  </si>
  <si>
    <t>v_5R3h6lxne90</t>
  </si>
  <si>
    <t>There are two news anchors, a lady and a gentleman both dressed in black presenting a news section.</t>
  </si>
  <si>
    <t>The lady is holding two small cards in her hands as she talks about the product to the viewers.</t>
  </si>
  <si>
    <t>There is another lady seated on a table along with two other women, demonstrating how to wear colored lenses in eyes.</t>
  </si>
  <si>
    <t>They are talking and discussing about the lenses and how it works.</t>
  </si>
  <si>
    <t>There's a commercial shown where the same lenses are worn by several people to show how it can be used.</t>
  </si>
  <si>
    <t>a doctor in a lab coat talks about the lenses too, while people are showing how to use them.</t>
  </si>
  <si>
    <t>Another news anchor also talks about the same lenses and how it has become a dangerous trend among teenagers.</t>
  </si>
  <si>
    <t>The lady news anchor comes back with the male news anchor to continue the program.</t>
  </si>
  <si>
    <t>v_0lzqfDIWXtw</t>
  </si>
  <si>
    <t>Several players are shown on an ice rink.</t>
  </si>
  <si>
    <t>They are engaged in different games of curling.</t>
  </si>
  <si>
    <t>They use their bats to move the puck, high fiving when they are done.</t>
  </si>
  <si>
    <t>v_BC0cgv8YgTg</t>
  </si>
  <si>
    <t>A cartoon network show is played.</t>
  </si>
  <si>
    <t>A blue character chops a block but fails several times.</t>
  </si>
  <si>
    <t>v_lVMMPkvnid8</t>
  </si>
  <si>
    <t>Team of Bolivian bowlers get ready to start bowling by practicing a technique taught by Jason Belmont by putting two fingers in the holes and using two hands to spin the ball.</t>
  </si>
  <si>
    <t>The young amateur players begin to bowl using the two handed technique.</t>
  </si>
  <si>
    <t>The president of the Bowling Federation Marcelo Garafulic is introduced.</t>
  </si>
  <si>
    <t>The announcer begins explaining how the team of Bolivian bowlers are training and more practice is shown.</t>
  </si>
  <si>
    <t>Garafulic starts to explain clinics and the medals they have won breaking perfect games.</t>
  </si>
  <si>
    <t>The bowlers are shown practicing once again.</t>
  </si>
  <si>
    <t>v_8GqAgX-kseE</t>
  </si>
  <si>
    <t>A boy is barefoot, pushing a lawn mower in his yard.</t>
  </si>
  <si>
    <t>A little girl runs by as he mows.</t>
  </si>
  <si>
    <t>v_uaGy1W-EYWU</t>
  </si>
  <si>
    <t>A man is in a room with a crowd of people watching him as he prepares to perform.</t>
  </si>
  <si>
    <t>The male stands up right and puts a blue plastic chair between his legs and starts spinning around his head.</t>
  </si>
  <si>
    <t>Once he is done,another person comes up and he begins spinning around on his head as a colorful hula hoop begins spinning around his waist.</t>
  </si>
  <si>
    <t>He completes his performance and the crowd jumps up and congratulates the man.</t>
  </si>
  <si>
    <t>v_gaILpaBa7M8</t>
  </si>
  <si>
    <t>A electric machine is attached to the end of a ping pong table and is moving with the motion senses of a person's hand.</t>
  </si>
  <si>
    <t>After,several balls are then thrown towards the paddle and returned by the machine.</t>
  </si>
  <si>
    <t>The person then walks across the table and begins hitting the balls faster and the machine speeds up to hit the ball.</t>
  </si>
  <si>
    <t>v_pF8jt67vTDY</t>
  </si>
  <si>
    <t>Adults are playing a game of volley ball on a court.</t>
  </si>
  <si>
    <t>v_FV2TzKt9MdI</t>
  </si>
  <si>
    <t>People are working out on spin bikes.</t>
  </si>
  <si>
    <t>A woman in a yellow tank top talks to the camera.</t>
  </si>
  <si>
    <t>A woman in a green tank top talks to the camera.</t>
  </si>
  <si>
    <t>v_ZZVrH3Hv1fM</t>
  </si>
  <si>
    <t>A woman is seen walking into frame and speaking to the camera while holding various objects in her hands.</t>
  </si>
  <si>
    <t>She continues to pull out more objects while still speaking to the camera.</t>
  </si>
  <si>
    <t>v_IwSUfrzxFnU</t>
  </si>
  <si>
    <t>Two boys walk down a sidewalk near a pool.</t>
  </si>
  <si>
    <t>There are lots of people doing different things in and around the pool.</t>
  </si>
  <si>
    <t>Some boys jump off of the diving boards doing flips and other tricks.</t>
  </si>
  <si>
    <t>v_AonniE_CsPY</t>
  </si>
  <si>
    <t>People have their hands on a casino table.</t>
  </si>
  <si>
    <t>v_iazhs1cz_1Q</t>
  </si>
  <si>
    <t>A woman is sitting behind a piano.</t>
  </si>
  <si>
    <t>A child is sitting behind a keyboard playing it.</t>
  </si>
  <si>
    <t>Pictures of pianos are shown at the end.</t>
  </si>
  <si>
    <t>v_qcA3mFHfo84</t>
  </si>
  <si>
    <t>A girl is shown several times running on a track.</t>
  </si>
  <si>
    <t>She uses a pole to vault over a bar.</t>
  </si>
  <si>
    <t>She lands on a mat on the other side.</t>
  </si>
  <si>
    <t>v_-FbWTFJ3kV0</t>
  </si>
  <si>
    <t>A boat that has a blue sail with two people is sailing in a body of water.</t>
  </si>
  <si>
    <t>The person at the front of the boat is leaning off to the side and is seemingly hitting the water.</t>
  </si>
  <si>
    <t>The water starts to become more and more choppy.</t>
  </si>
  <si>
    <t>The boat makes a turn to the right.</t>
  </si>
  <si>
    <t>The boat begins to head to the shore.</t>
  </si>
  <si>
    <t>v_rbnlUn4UNSk</t>
  </si>
  <si>
    <t>We see two people under water in a pool.</t>
  </si>
  <si>
    <t>The people exchange one flipper.</t>
  </si>
  <si>
    <t>The men start to share a breather.</t>
  </si>
  <si>
    <t>The exchange their other flippers.</t>
  </si>
  <si>
    <t>The men change their air equipment.</t>
  </si>
  <si>
    <t>The right man is unable to find the arm hole.</t>
  </si>
  <si>
    <t>v_rse-MW1helQ</t>
  </si>
  <si>
    <t>First the people are shown swimming backwards.</t>
  </si>
  <si>
    <t>Then they are shown playing volleyball in the water.</t>
  </si>
  <si>
    <t>v_bru03d1k6DY</t>
  </si>
  <si>
    <t>A woman is talking in front of an image of two deer on a plain.</t>
  </si>
  <si>
    <t>We thensee a man talking as they drill holes in the ice.</t>
  </si>
  <si>
    <t>Some booth serve hot dogs to the people as they ice fish.</t>
  </si>
  <si>
    <t>A little boy and girl attempt to catch a fish.</t>
  </si>
  <si>
    <t>They are interviewed as they fish.</t>
  </si>
  <si>
    <t>v_sjHCZWdopsQ</t>
  </si>
  <si>
    <t>The fingers are pressing the black keys.</t>
  </si>
  <si>
    <t>One finger is pressing one key.</t>
  </si>
  <si>
    <t>The fingers are moving to different keys and pressing them.</t>
  </si>
  <si>
    <t>v_B8WIh6PUjE0</t>
  </si>
  <si>
    <t>A woman is seen speaking to the camera using her hands and leads into her kneeling down dumping a bucket.</t>
  </si>
  <si>
    <t>She then uses a rake to rub it all the dirt around the tree while still stopping to speak to the camera.</t>
  </si>
  <si>
    <t>v_TsPh4-BsCYk</t>
  </si>
  <si>
    <t>A woman is shown holding a shot put and talking to the camera while standing in a large gym.</t>
  </si>
  <si>
    <t>She demonstrates how to properly throw the tool and performs several throws to show how it's one correctly.</t>
  </si>
  <si>
    <t>v_Zi2Pah5-BXI</t>
  </si>
  <si>
    <t>The exterior a store is seen from the parking lot.</t>
  </si>
  <si>
    <t>A man sits on a wooden bench up against a window with trophies.</t>
  </si>
  <si>
    <t>The man talks while a seated with a tattoo artist working on his shoulder.</t>
  </si>
  <si>
    <t>The tattoo artist wipes the area that he is working on and continues drawing.</t>
  </si>
  <si>
    <t>The tattoo artist turns off the light and stops his work.</t>
  </si>
  <si>
    <t>The man stands up and shows off his tattoo.</t>
  </si>
  <si>
    <t>v_6LADh__9LUI</t>
  </si>
  <si>
    <t>men are on sides of a car polishing a blue car in a hand car wash.</t>
  </si>
  <si>
    <t>blue car is inside a blue car wash and men are polishing it.</t>
  </si>
  <si>
    <t>men are holding clothes on them hands cleaning the car.</t>
  </si>
  <si>
    <t>v_uyBGDfYo0qE</t>
  </si>
  <si>
    <t>A person is vacuuming in a hallway.</t>
  </si>
  <si>
    <t>A toddler in pajamas runs past frantically, running into other rooms and jumping excitedly because he wants to be picked up.</t>
  </si>
  <si>
    <t>He is angry when his mother goes into the bathroom with the vacuum.</t>
  </si>
  <si>
    <t>The woman gives the boy the vacuum, and he vacuums the floors.</t>
  </si>
  <si>
    <t>v_FpxVS1Xpl1U</t>
  </si>
  <si>
    <t>people are sitting in chairs in pool.</t>
  </si>
  <si>
    <t>man and woman are talking and presenting the man that walks by the pool.</t>
  </si>
  <si>
    <t>man is weightlifting and doing a big jump from a trampoline and talking to the camera.</t>
  </si>
  <si>
    <t>a big platfom is shown and a man is being interviewed by a woman in top of trampoline.</t>
  </si>
  <si>
    <t>woman in audience is screaming and throwing kisses.</t>
  </si>
  <si>
    <t>man is on the 10 m trampoline and make a hand stand to make the jump to the pool.</t>
  </si>
  <si>
    <t>woman is impressed siting by the pool and have her hands on her face.</t>
  </si>
  <si>
    <t>presentator is interviewing the man.</t>
  </si>
  <si>
    <t>v_dcclQadR-L0</t>
  </si>
  <si>
    <t>A group of people are riding on horses on a field.</t>
  </si>
  <si>
    <t>They start a game of polo.</t>
  </si>
  <si>
    <t>They race their horses, trying to get the ball.</t>
  </si>
  <si>
    <t>v_r0P0egQt-jU</t>
  </si>
  <si>
    <t>Women are standing on the sand watching while some other women surf.</t>
  </si>
  <si>
    <t>A few of them are out there in the ocean riding on the waves enjoying the ride.</t>
  </si>
  <si>
    <t>One of them only has one arm and she surfs so well, its amazing.</t>
  </si>
  <si>
    <t>They carry her over and then 4 girls stand while they get gifts for their performance and the one handed girl gets to talk about it.</t>
  </si>
  <si>
    <t>v_KrHpGJBzjJk</t>
  </si>
  <si>
    <t>A woman in a dark room plays the drums with his hand.</t>
  </si>
  <si>
    <t>The camera tilts on it's side then goes back upright.</t>
  </si>
  <si>
    <t>We see the room around the lady.</t>
  </si>
  <si>
    <t>v_ORI5ZNZARw8</t>
  </si>
  <si>
    <t>A woman is seen sitting on a piece of exercise equipment looking forward.</t>
  </si>
  <si>
    <t>She then grabs the lever in front and begins pulling herself.</t>
  </si>
  <si>
    <t>The girl then pulls herself back and fourth on the machine while the camera captures her movements.</t>
  </si>
  <si>
    <t>v_w--HmpjK-s8</t>
  </si>
  <si>
    <t>A man with dreads is talking and getting his instruments together to make some music.</t>
  </si>
  <si>
    <t>he is jamming out in the car very happily.</t>
  </si>
  <si>
    <t>There is a lot of traffic and and ambulence driving by too.</t>
  </si>
  <si>
    <t>He records all of the music on a laptop.</t>
  </si>
  <si>
    <t>v_XtqTatsTGNY</t>
  </si>
  <si>
    <t>The boy stands at the bottom of a small staircase and then he walks up to slide down the blue slide.</t>
  </si>
  <si>
    <t>When he's done sliding down he runs away and tries to go out the gate.</t>
  </si>
  <si>
    <t>v_1stYB5_yR5k</t>
  </si>
  <si>
    <t>man is talking to the camera cleaning a wooden shed and start painting it.</t>
  </si>
  <si>
    <t>the man mix the paint and with a brush varnish all the shed.</t>
  </si>
  <si>
    <t>at the end the man talks to the camera and shows the materials list.</t>
  </si>
  <si>
    <t>v_HUzoMRdSrZo</t>
  </si>
  <si>
    <t>We see a city scene at night.</t>
  </si>
  <si>
    <t>We see people playing soccer outdoors at night.</t>
  </si>
  <si>
    <t>A man falls on the ground.</t>
  </si>
  <si>
    <t>We see a man shifting the ball with his feet.</t>
  </si>
  <si>
    <t>We see two men high five each other.</t>
  </si>
  <si>
    <t>We see the closing tile screen.</t>
  </si>
  <si>
    <t>v_Y9EIH-A_ePo</t>
  </si>
  <si>
    <t>Two girls are outside in a yard.</t>
  </si>
  <si>
    <t>They are bouncing and throwing a ball to each other.</t>
  </si>
  <si>
    <t>They chase each other with the ball playfully.</t>
  </si>
  <si>
    <t>They run up to the camera and talk for a while.</t>
  </si>
  <si>
    <t>v_E7rhlhVA0SY</t>
  </si>
  <si>
    <t>We see a Gelato store outside.</t>
  </si>
  <si>
    <t>We see a title screen for a cake.</t>
  </si>
  <si>
    <t>We then see a lady cooking.</t>
  </si>
  <si>
    <t>The lady puts gelato in a bowl.</t>
  </si>
  <si>
    <t>The lady puts rice crispies on it.</t>
  </si>
  <si>
    <t>The lady puts a dome in a chocolate dome and puts a crispies circle on it.</t>
  </si>
  <si>
    <t>The lady puts holes in a chocolate dome.</t>
  </si>
  <si>
    <t>The lady sprays the domes.</t>
  </si>
  <si>
    <t>The lady puts the red dome on top of a black one and put the dome with holes on top of it.</t>
  </si>
  <si>
    <t>The lady puts the cake in a display case.</t>
  </si>
  <si>
    <t>v_LaWCwEG6n3w</t>
  </si>
  <si>
    <t>A person is seen standing off in the distance with another standing around a hole.</t>
  </si>
  <si>
    <t>The person uses a fishing pole on the hole and attempts to pull out a fish.</t>
  </si>
  <si>
    <t>The person continues pulling while the other watches on the side.</t>
  </si>
  <si>
    <t>v_padyJHC5Y5Y</t>
  </si>
  <si>
    <t>A woman is seen brushing wet hair and rubbing lotion all throughout her hair.</t>
  </si>
  <si>
    <t>She then blow dries her hair and is seen again with her hair pinned up around the top.</t>
  </si>
  <si>
    <t>She blow dries the bottom of her hair and is then seen again with all of her hair pinned up.</t>
  </si>
  <si>
    <t>She undoes the pins to show off her new hair.</t>
  </si>
  <si>
    <t>v_w30TFlJiRKA</t>
  </si>
  <si>
    <t>A little boy plays piano in a home, then, he bends to the left and talks.</t>
  </si>
  <si>
    <t>After, the boy continues playing the piano, then he takes a rest.</t>
  </si>
  <si>
    <t>The boy change clothes and continues playing the piano.</t>
  </si>
  <si>
    <t>v_CsyHOM8ngZA</t>
  </si>
  <si>
    <t>A shaggy dog is getting a bath from a veterinarian.</t>
  </si>
  <si>
    <t>The veterinarian is blow drying the dog after washing it.</t>
  </si>
  <si>
    <t>A different vet is petting and brushing the dog.</t>
  </si>
  <si>
    <t>A video montage of the dog plays and then credits roll.</t>
  </si>
  <si>
    <t>v_I4_jFA46Uio</t>
  </si>
  <si>
    <t>A little girl is standing in front of a kitchen sink.</t>
  </si>
  <si>
    <t>She has a bowl and a knife in her hand.</t>
  </si>
  <si>
    <t>She is peeling potatoes with the knife.</t>
  </si>
  <si>
    <t>v_ufxyjYMKe7c</t>
  </si>
  <si>
    <t>Two boys in matching shirts sit on a sofa and talk with a candy toy in their hands as they hold the candy up to the camera, play with the candy toy buttons and talk.</t>
  </si>
  <si>
    <t>The two boys mock fight with the toy candy, which is shaped like a hand with retractable fingers, and the camera speeds up when they do this.</t>
  </si>
  <si>
    <t>The boys then switch toys and open the toy candy at which point they begin to eat the candy and talk while chewing.</t>
  </si>
  <si>
    <t>A closeup of the toy candy is then shown, with the candy lying on a maroon backdrop and posed.</t>
  </si>
  <si>
    <t>v_GiHxeCLGNy8</t>
  </si>
  <si>
    <t>A person is at a camp fire poking around at the wood.</t>
  </si>
  <si>
    <t>The camera moves over to a little boy as he is talking to the camera person.</t>
  </si>
  <si>
    <t>The camera person continues to narrate the situation as he records the fire.</t>
  </si>
  <si>
    <t>v_yL7tvoBkkkI</t>
  </si>
  <si>
    <t>Various people are seen from a bird's eye view working in rough conditions out in the open.</t>
  </si>
  <si>
    <t>They are scrubbing clothes and hanging them up while the camera pans around and watches.</t>
  </si>
  <si>
    <t>v_FXl3qRRs9jw</t>
  </si>
  <si>
    <t>People are walking next to a bull.</t>
  </si>
  <si>
    <t>There is a large group walking behind the bull.</t>
  </si>
  <si>
    <t>There is another bull and they start fighting.</t>
  </si>
  <si>
    <t>The crowd is rallying around the bulls.</t>
  </si>
  <si>
    <t>A man in a red shirt is talking into a microphone.</t>
  </si>
  <si>
    <t>A man is putting a black shirt on.</t>
  </si>
  <si>
    <t>v_fSVDG4h0lzM</t>
  </si>
  <si>
    <t>A middle age man is standing in the field preparing to hit a ball.</t>
  </si>
  <si>
    <t>Once the man hits the ball it is caught and the other teams jumps and cheers in excitement and there is replay.</t>
  </si>
  <si>
    <t>v_RI8IORq_BbY</t>
  </si>
  <si>
    <t>A man shows how to sharpen a knife with a machine.</t>
  </si>
  <si>
    <t>Then, he sharpens knives against each other.</t>
  </si>
  <si>
    <t>v_oezddremlnE</t>
  </si>
  <si>
    <t>A close up of a girl's hair is shown followed by a person braiding her hair.</t>
  </si>
  <si>
    <t>The person continues braiding the hair and the camera pans away from her face.</t>
  </si>
  <si>
    <t>v_9PFlQcBl_jU</t>
  </si>
  <si>
    <t>Several people are outside watching a about four men bullfighting with a cape.</t>
  </si>
  <si>
    <t>Once the bull is caught,they start to move it and they have difficulty because the crowd is on their back.</t>
  </si>
  <si>
    <t>Next,a shirtless man lays down on the dirt,gets trampled by the bull and jumps up happy about what just happened.</t>
  </si>
  <si>
    <t>Another bull comes along,runs over a person and the person remains on the ground and a crowd of people come running over to him laying a blanket across his body.</t>
  </si>
  <si>
    <t>v_p0-BGit7WAo</t>
  </si>
  <si>
    <t>A young boy is seen speaking with others while wrapping ballet shoes around him and walking past others.</t>
  </si>
  <si>
    <t>The man then steps into ballet class and interacts with the dancers and ends by drinking a beer.</t>
  </si>
  <si>
    <t>v_oQ_PwsBgozM</t>
  </si>
  <si>
    <t>a lady and a young girl are in room with a Christmas tree.</t>
  </si>
  <si>
    <t>The lights are turned on on the tree an the little girl dances in front of it.</t>
  </si>
  <si>
    <t>A young boy plays with and takes ornaments off the tree and shows them to the camera.</t>
  </si>
  <si>
    <t>The man take it and shows it to the camera then puts it back.</t>
  </si>
  <si>
    <t>v_YKLZAgdkFrk</t>
  </si>
  <si>
    <t>A girl is seen speaking to the camera on the floor.</t>
  </si>
  <si>
    <t>Another woman is seen sitting on a swingset looking to the camera.</t>
  </si>
  <si>
    <t>The woman swings back and fourth while looking down at her hand.</t>
  </si>
  <si>
    <t>v_ngwH6Zy5vb8</t>
  </si>
  <si>
    <t>A man in a suit is playing a piano.</t>
  </si>
  <si>
    <t>The audience stands up and claps for him.</t>
  </si>
  <si>
    <t>People are hugging and mingling on a stage.</t>
  </si>
  <si>
    <t>v_Fvc0-yNMFyE</t>
  </si>
  <si>
    <t>A small group of people are seen riding around on bumper cars while bumping into one another.</t>
  </si>
  <si>
    <t>The kids continue driving the cars around when a man walks in and out of frame making sure the kids and parents are safe.</t>
  </si>
  <si>
    <t>v_UojTppgtyCE</t>
  </si>
  <si>
    <t>An outdoor garden is seen and a man in tshirt stands in it holding a pair of sheers.</t>
  </si>
  <si>
    <t>Mellons are seen throughout the garden.</t>
  </si>
  <si>
    <t>The man points to the melons up against the wall and begins trimming them with his sheers throwing them to the side.</t>
  </si>
  <si>
    <t>The man walks over to the outer edge of the melon plants and picks up a large vine in one hand then trims off leafs with the other hand.</t>
  </si>
  <si>
    <t>The man does circular motions with his hands around his waste to demonstrate size.</t>
  </si>
  <si>
    <t>A garden website is seen.</t>
  </si>
  <si>
    <t>v_yjOriMHCSdw</t>
  </si>
  <si>
    <t>A painted construction paper piece sits on a table along with a suitcase of supplies.</t>
  </si>
  <si>
    <t>I person cuts up a piece of construction paper.</t>
  </si>
  <si>
    <t>Designs are drawn on the paper with markers.</t>
  </si>
  <si>
    <t>The construction paper is folded over an item and a piece of tape secures the construction paper in the middle.</t>
  </si>
  <si>
    <t>The corners are folded like a present and peices of tape are used to secure the folded ends of the package.</t>
  </si>
  <si>
    <t>A ribbon is slid under the package and tied in a bow.</t>
  </si>
  <si>
    <t>v_JiZCjH6ePq0</t>
  </si>
  <si>
    <t>A group of people are in a gym playing dodgeball.</t>
  </si>
  <si>
    <t>A logo appears on the screen.</t>
  </si>
  <si>
    <t>A man is talking to the camera while people play dodgeball behind him.</t>
  </si>
  <si>
    <t>The man and players demonstrate dodgeball techniques.</t>
  </si>
  <si>
    <t>Captions appear on the screen periodically that explain dodgeball.</t>
  </si>
  <si>
    <t>v_D5vmWDHQ86I</t>
  </si>
  <si>
    <t>There's a man in a green shirt talking and being interviewed by another man dressed in a black jacket and gray pants.</t>
  </si>
  <si>
    <t>They are seated on chairs in a large room with wooden floors.</t>
  </si>
  <si>
    <t>The entrance of the Valqueire Tennis club is shown.</t>
  </si>
  <si>
    <t>The ID card of the person being interviewed is also shown.</t>
  </si>
  <si>
    <t>The man in green continues talking about soccer to the interviewer.</t>
  </si>
  <si>
    <t>Brazil versus Venezuela soccer game is shown.</t>
  </si>
  <si>
    <t>The man in green talks about a newspaper article related to the soccer as clips from the soccer game are shown.</t>
  </si>
  <si>
    <t>v_pxt1-L_-H74</t>
  </si>
  <si>
    <t>Two people are seen standing next to one another speaking to the camera and leads into the two performing a dance routine with one another.</t>
  </si>
  <si>
    <t>The people continue dancing around on the side of a road and ends with them posing and laughing.</t>
  </si>
  <si>
    <t>v_eDm8bUVWxAM</t>
  </si>
  <si>
    <t>A man in a white shirt is talking.</t>
  </si>
  <si>
    <t>A bow and arrow is set up in the grass.</t>
  </si>
  <si>
    <t>A man shoots a bow and arrow while in the water.</t>
  </si>
  <si>
    <t>v_ienRkMdn_OM</t>
  </si>
  <si>
    <t>A hand is put into a brush and moves the hair to be piled up and vaccumed with the other hand.</t>
  </si>
  <si>
    <t>The middle section is done and the horse stands still while being cut down.</t>
  </si>
  <si>
    <t>Now,the middle is done and the person moves to the back of the horse until all of the horse's body is cut down.</t>
  </si>
  <si>
    <t>v_Ncfysce-svA</t>
  </si>
  <si>
    <t>A person plays an acoustic guitar while sitting on a beige sofa in jeans and a t-shirt.</t>
  </si>
  <si>
    <t>A room is shown with an acoustic guitar lying across a beige sofa and a stone art piece in front of the sofa with rocks in it.</t>
  </si>
  <si>
    <t>A person, face unseen, approaches the sofa and picks up the guitar.</t>
  </si>
  <si>
    <t>The person then sits down and plays the acoustic guitar, which has a capo on the neck, and plays until the scene fades to a Spanish subtitle.</t>
  </si>
  <si>
    <t>v_H5Z__A99EG4</t>
  </si>
  <si>
    <t>There's a man doing a science experiment in his kitchen using a on liter Pepsi bottle that is filled with foam.</t>
  </si>
  <si>
    <t>There's a boy laying down on the floor with his legs stretched up against the cabinet.</t>
  </si>
  <si>
    <t>The man is holding a hose in one hand and blowing air into the bottle simultaneously.</t>
  </si>
  <si>
    <t>Then he drops the huge bubble from the bottle onto the boy's face.</t>
  </si>
  <si>
    <t>v_j1IYrdjnY6M</t>
  </si>
  <si>
    <t>A web address is displayed on the slide.</t>
  </si>
  <si>
    <t>The name of a sunscreen is shown.</t>
  </si>
  <si>
    <t>The sunscreen bottle is shown.</t>
  </si>
  <si>
    <t>The price of the sunscreen is shown.</t>
  </si>
  <si>
    <t>The sunscreen bottle is presented.</t>
  </si>
  <si>
    <t>An information guideline is shown.</t>
  </si>
  <si>
    <t>v_ry-AEtNb4c0</t>
  </si>
  <si>
    <t>The title is on the screen.</t>
  </si>
  <si>
    <t>The screen switches to the man explaining his art.</t>
  </si>
  <si>
    <t>We see the man's artwork.</t>
  </si>
  <si>
    <t>We see the man talking again.</t>
  </si>
  <si>
    <t>He grabs paint on his brush.</t>
  </si>
  <si>
    <t>He discusses his painting technique.</t>
  </si>
  <si>
    <t>He is painting on the art.</t>
  </si>
  <si>
    <t>He cleans his brush on paper.</t>
  </si>
  <si>
    <t>He adds more paint to the brush.</t>
  </si>
  <si>
    <t>He is painting on the art again.</t>
  </si>
  <si>
    <t>He cleans his brush on the paper again.</t>
  </si>
  <si>
    <t>He adds white paint to the brush.</t>
  </si>
  <si>
    <t>He paints white on the artwork.</t>
  </si>
  <si>
    <t>He crosses his arms and talks.</t>
  </si>
  <si>
    <t>We see the title card.</t>
  </si>
  <si>
    <t>v_MSfIKwQhLFk</t>
  </si>
  <si>
    <t>People dive into the pool and start swimming.</t>
  </si>
  <si>
    <t>A person reaches the end and takes their goggles off.</t>
  </si>
  <si>
    <t>They wave at the camera and smile.</t>
  </si>
  <si>
    <t>The other swimmers get to the finish line.</t>
  </si>
  <si>
    <t>v_2w7Fxoeo_Qk</t>
  </si>
  <si>
    <t>A man wearing a helmet and carrying a skateboard lays on a skateboard and goes down a bowling lane to knock over pins.</t>
  </si>
  <si>
    <t>People look to watch him go down the lane.</t>
  </si>
  <si>
    <t>Someone pushes someone laying on a skateboard down a bowling lane.</t>
  </si>
  <si>
    <t>People throw bowling balls after the person.</t>
  </si>
  <si>
    <t>Two men laugh watching the man.</t>
  </si>
  <si>
    <t>Someone pushes another person laying on a skateboard down a bowling lane.</t>
  </si>
  <si>
    <t>v_3zDw5mwGIW0</t>
  </si>
  <si>
    <t>A person pours different colors of paint on a surface.</t>
  </si>
  <si>
    <t>Then, the woman paints flowers on the headboard of a bed.</t>
  </si>
  <si>
    <t>v_a2k-AgrAppg</t>
  </si>
  <si>
    <t>A little girl sits on front a cup of ice cream, then she takes a piece of food from the cup and eats it.</t>
  </si>
  <si>
    <t>Then, the girl grab the spoon and eats the ice cream.</t>
  </si>
  <si>
    <t>A hand takes nuts from the ice cram.</t>
  </si>
  <si>
    <t>v_WD40PRo1quM</t>
  </si>
  <si>
    <t>A man and a woman are seen dancing around a living room performing a tango routine.</t>
  </si>
  <si>
    <t>They spin each other round and round and ends with credits rolling.</t>
  </si>
  <si>
    <t>v_wIcK3bQNqcA</t>
  </si>
  <si>
    <t>A person moves their fingers around the center of a bike's wheel.</t>
  </si>
  <si>
    <t>The person takes a black part and adds it.</t>
  </si>
  <si>
    <t>The person adds a smaller black part and fastens it.</t>
  </si>
  <si>
    <t>The person removes their hands from the center of the bike's wheel.</t>
  </si>
  <si>
    <t>v_GUbKGqYKj7U</t>
  </si>
  <si>
    <t>There are a lot of people at a park and some are playing while others are just watching.</t>
  </si>
  <si>
    <t>A man and a woman are standing at the entrance of the playing field and getting ready to play.</t>
  </si>
  <si>
    <t>When the ball rolls towards them, the man kicks it and runs while other players try and get into motion for the play.</t>
  </si>
  <si>
    <t>Another man runs towards the home base and dives onto the dirt to touch the base they are protecting and another man is trying to catch the ball to get the man out.</t>
  </si>
  <si>
    <t>The man attempts to catch the ball, misses it, falls on the ground to catch it, throws it at the head of the man who is already on the base and they all laugh and the team who just scored give one another high fives.</t>
  </si>
  <si>
    <t>v_p771liKjycc</t>
  </si>
  <si>
    <t>Two kids are outside playing together at a playground.</t>
  </si>
  <si>
    <t>One boy jumps off and walks to the other side as the other one begins to do the monkey bars.</t>
  </si>
  <si>
    <t>After he makes it to the other side,he climbs off and runs to another set of monkey bars and follows through those as well.</t>
  </si>
  <si>
    <t>v_ZTwmb1d44bc</t>
  </si>
  <si>
    <t>A curling stone slides down the ice.</t>
  </si>
  <si>
    <t>The blue team discuss their strategy.</t>
  </si>
  <si>
    <t>The white team high five each other.</t>
  </si>
  <si>
    <t>The blue team discuss while a member points.</t>
  </si>
  <si>
    <t>A blue team player takes his turn and curls his stone into the center.</t>
  </si>
  <si>
    <t>The blue team comes and hugs the player as they celebrate.</t>
  </si>
  <si>
    <t>v_zi_TdMQffkU</t>
  </si>
  <si>
    <t>A person is seen sitting on a horse in front of a large crowd.</t>
  </si>
  <si>
    <t>The man then rides in on the horse and ropes up a calf.</t>
  </si>
  <si>
    <t>He ties up the calf while others ride in on horses to help.</t>
  </si>
  <si>
    <t>v_0UR4hXxt68E</t>
  </si>
  <si>
    <t>A group of cheerleaders stand in a line in a large auditorium in preparation.</t>
  </si>
  <si>
    <t>The group of cheerleaders does a dance routine in all dancing in unison.</t>
  </si>
  <si>
    <t>Half of the group kneels on the floor and the other standing group exits to the sides.</t>
  </si>
  <si>
    <t>The remaining group stands back up and does a second dance routine together.</t>
  </si>
  <si>
    <t>The group of cheerleader end their routine and jump up and down before bowing to the crowd.</t>
  </si>
  <si>
    <t>v_eGTZNTfgg24</t>
  </si>
  <si>
    <t>Various athletes are seen standing ready while one jumps in place and prepares himself.</t>
  </si>
  <si>
    <t>He then runs down a long track into a sand pit and sticks his hands in the air.</t>
  </si>
  <si>
    <t>A man holds a white fag up while the athlete celebrates and his jump and people's reactions in the audience are shown again.</t>
  </si>
  <si>
    <t>v_XC6tvSBS0PA</t>
  </si>
  <si>
    <t>A young lady wearing a colorful swimsuit is underwater swimming in a pool.</t>
  </si>
  <si>
    <t>A screen flashes and shows step two as the girl demonstrates swimming with your feet close together.</t>
  </si>
  <si>
    <t>Next,a warning screen appears saying not to swim without goggles as the girl does the exact opposite.</t>
  </si>
  <si>
    <t>After,the girl is shown with an orange mermaid tail on swimming under water as she joins another "mermaid".</t>
  </si>
  <si>
    <t>v_5FM_xJGb-Tk</t>
  </si>
  <si>
    <t>A man in a little kayak type of of boat is paddling the boat.</t>
  </si>
  <si>
    <t>He is sitting by himself in it because it's so small it only fits one person really.</t>
  </si>
  <si>
    <t>He uses a lot of energy into paddling, going really fast.</t>
  </si>
  <si>
    <t>I believe he is probably practicing for an event late in the future.</t>
  </si>
  <si>
    <t>v_2DMOP9Fy91U</t>
  </si>
  <si>
    <t>A woman is standing outside in front of a building.</t>
  </si>
  <si>
    <t>She begins dancing with hula hoops.</t>
  </si>
  <si>
    <t>She finishes and words come on the screen.</t>
  </si>
  <si>
    <t>v_bPkk-z5n8MY</t>
  </si>
  <si>
    <t>A large group of people are seen spinning and twirling batons in the city.</t>
  </si>
  <si>
    <t>A large group of people are seen sitting around the group watching.</t>
  </si>
  <si>
    <t>The group continues to dance around the city block while the camera pans around and watches them walk away.</t>
  </si>
  <si>
    <t>v_jOUwMAGYImE</t>
  </si>
  <si>
    <t>A man sits on a stationary bike on a stage and starts working out.</t>
  </si>
  <si>
    <t>He sticks one leg up to the side.</t>
  </si>
  <si>
    <t>He gets off and does a hand stand.</t>
  </si>
  <si>
    <t>v_fZzswQaICfM</t>
  </si>
  <si>
    <t>There is a hopscotch board drawn with chalk on the pavement.</t>
  </si>
  <si>
    <t>A little girl in green takes her turn and then more of her friends follow after.</t>
  </si>
  <si>
    <t>All three girls stand and then drop a bottle cap to move forward with their jumps.</t>
  </si>
  <si>
    <t>They play different variations of the game just having fun doing so and when its over one of the girls throws her hands in the air.</t>
  </si>
  <si>
    <t>v_ivjnwAR91Sk</t>
  </si>
  <si>
    <t>A large group of people are seen standing on a stage with people watching on the sidelines.</t>
  </si>
  <si>
    <t>People take turns jumping onto a large mat over a beam and cheering with teammates.</t>
  </si>
  <si>
    <t>More shots are shown of kids fooling around while looking and laughing to the camera.</t>
  </si>
  <si>
    <t>v_26qGsfI9tZ8</t>
  </si>
  <si>
    <t>A toddler climbs the steps of a playground.</t>
  </si>
  <si>
    <t>Then, the boy slides down until to reach the ground.</t>
  </si>
  <si>
    <t>v_t6FuJ4L8sHY</t>
  </si>
  <si>
    <t>A group of people are seen standing on a soccer field and leads into one falling down and being helped back up.</t>
  </si>
  <si>
    <t>The same shot is shown again in slow motion and leads into one scoring a goal with others not paying attention.</t>
  </si>
  <si>
    <t>The same shot is shown again in slow motion several times and pans back to all the players.</t>
  </si>
  <si>
    <t>v_L0QdLXym4F4</t>
  </si>
  <si>
    <t>A lady is filming a girl and a boy who are outdoors at a park playground.</t>
  </si>
  <si>
    <t>The young girl hangs an goes across the monkey bars using her arms while the young boy stands behind rails and watches.</t>
  </si>
  <si>
    <t>The jumps down at the end of the monkey bars and then jumps up and down and gives a high five to the excited woman filming her.</t>
  </si>
  <si>
    <t>The lady behind the camera then walks over and pans to the little boy who is now at the monkey bars and holds a conversation with him.</t>
  </si>
  <si>
    <t>v_7MAADmeogHo</t>
  </si>
  <si>
    <t>A bike is seen upside down in a shop.</t>
  </si>
  <si>
    <t>A man shows how to remove a tire.</t>
  </si>
  <si>
    <t>He then replaces it and tightens it back into place.</t>
  </si>
  <si>
    <t>v_Bhc8INrOToY</t>
  </si>
  <si>
    <t>A man is seen speaking to the camera and leads into clips of them skiing.</t>
  </si>
  <si>
    <t>The men move down all along the mountain while others are shown skiing next to them.</t>
  </si>
  <si>
    <t>The people continue riding down the hill and end by stopping at the bottom.</t>
  </si>
  <si>
    <t>v_ie9PgZt9svA</t>
  </si>
  <si>
    <t>A group of girls on a rope jumping team do a routine in a large music hall.</t>
  </si>
  <si>
    <t>A group of girls jump rope individually.</t>
  </si>
  <si>
    <t>Three girls jump rope with two holding a single rope on each end.</t>
  </si>
  <si>
    <t>Three girls jump together inside of a single rope.</t>
  </si>
  <si>
    <t>A group of girls hold two ropes and take turns doing double dutch while members run through and jump the rope.</t>
  </si>
  <si>
    <t>v_fcSJAHXHDvM</t>
  </si>
  <si>
    <t>A man is seen moving in slow motion holding a tennis racket and throwing a ball up into the air.</t>
  </si>
  <si>
    <t>Arrows point around his body and show him hitting the ball while pausing to show off his body movements.</t>
  </si>
  <si>
    <t>v_kUwCHpiuCuA</t>
  </si>
  <si>
    <t>A bicycle elliptical machine is sitting in living room by a couch.</t>
  </si>
  <si>
    <t>A dog appears on the couch and suddenly a person sits on the machine and turns it on.</t>
  </si>
  <si>
    <t>Once the machine is on,it begins to flash 30 minutes several times and the person begins to exercise on the machine pushing the bars back and forth.</t>
  </si>
  <si>
    <t>v_sgPkVKPp1dU</t>
  </si>
  <si>
    <t>A man in black shirt lifted the barbel and started to carry it up and down for few times, while behind him, two men are removing the metal plates on another barbel.</t>
  </si>
  <si>
    <t>The man in black shirt added more weight on the barbel by adding yellow plates on both side, then continue weight lifting.</t>
  </si>
  <si>
    <t>v_Ox16PeB954Q</t>
  </si>
  <si>
    <t>A man and child are sitting on a couch while the adult smokes hookah tobacco.</t>
  </si>
  <si>
    <t>The child grabs it as if to smoke only to have it pulled away.</t>
  </si>
  <si>
    <t>The child is then able to stick it in his own mouth but doesn't know what to do.</t>
  </si>
  <si>
    <t>He ends up sticking it back into the adults mouth and the adult continues to smoke from the hookah pipe.</t>
  </si>
  <si>
    <t>v_7bUu05RIksU</t>
  </si>
  <si>
    <t>Business details are written in white text on a black background.</t>
  </si>
  <si>
    <t>Men wearing jackets pressure wash a white car in a parking lot.</t>
  </si>
  <si>
    <t>Two men wash a black SUV with a pressure washing hose.</t>
  </si>
  <si>
    <t>Men wash a white car using hand towels.</t>
  </si>
  <si>
    <t>The business details are seen before end credits for the video are shown.</t>
  </si>
  <si>
    <t>v_HwM3ionUBsg</t>
  </si>
  <si>
    <t>The video takes place in a gymnasium of various gymnasts.</t>
  </si>
  <si>
    <t>A young girl stands on top of the trampoline in preparation to jump.</t>
  </si>
  <si>
    <t>She jumps on the bar and begins to do several flips between two bars.</t>
  </si>
  <si>
    <t>She then jumps to the padded area and throws up her hands, and a man gives her a hug.</t>
  </si>
  <si>
    <t>v_4w3QwJdzwsE</t>
  </si>
  <si>
    <t>A large boat with a wind sail on it is seen riding along a big storm with people on board.</t>
  </si>
  <si>
    <t>The boat tips over at one point when another boat comes by and falls over as well.</t>
  </si>
  <si>
    <t>v_6pY2zz2_CCU</t>
  </si>
  <si>
    <t>woman is sitting on a couch with a cat on her legs, he grab a scisoors from the table next to her and starts cutting the front cat nails.</t>
  </si>
  <si>
    <t>she looks his back paws and gave her cat some cat food.</t>
  </si>
  <si>
    <t>the girl congratlate the cat and put him on the floor.</t>
  </si>
  <si>
    <t>v_k74CgBa46bA</t>
  </si>
  <si>
    <t>A man without a shirt on sits outside by the trees and drinks out of a coffee cup.</t>
  </si>
  <si>
    <t>A person is seen petting a cat.</t>
  </si>
  <si>
    <t>v_Mmdcsw_SEzc</t>
  </si>
  <si>
    <t>A boy is building a sandcastle near the edge of the ocean.</t>
  </si>
  <si>
    <t>He forms huge circles and stands up.</t>
  </si>
  <si>
    <t>v_rliYO1sEYts</t>
  </si>
  <si>
    <t>A man kisses a girl on the beach.</t>
  </si>
  <si>
    <t>People are playing rock paper scissors on the beach.</t>
  </si>
  <si>
    <t>A man in a black shirt is standing on the beach.</t>
  </si>
  <si>
    <t>v_7vECSCWxbDk</t>
  </si>
  <si>
    <t>A man plugs a cable into his guitar.</t>
  </si>
  <si>
    <t>He begins playing the guitar.</t>
  </si>
  <si>
    <t>He looks up and speaks.</t>
  </si>
  <si>
    <t>He goes back to playing his guitar.</t>
  </si>
  <si>
    <t>He looks up again and speaks as he makes hand gestures.</t>
  </si>
  <si>
    <t>He begins playing his guitar again.</t>
  </si>
  <si>
    <t>He glides his finger along his guitar.</t>
  </si>
  <si>
    <t>v_UW1wC80VNd8</t>
  </si>
  <si>
    <t>A woman is in a kitchen, stirring food in a pot.</t>
  </si>
  <si>
    <t>She adds her gathered ingredients one a time as she talks, showing the pasta she is using.</t>
  </si>
  <si>
    <t>She then adds a bowlful of vegetables she has mixed.</t>
  </si>
  <si>
    <t>v_rZMiqPMOpzA</t>
  </si>
  <si>
    <t>A person is seen sitting in front of the camera holding an instrument.</t>
  </si>
  <si>
    <t>The man then begins playing the instrument while the camera captures is movements.</t>
  </si>
  <si>
    <t>The man continues to play moving his hands all along the instrument and finally turning the camera off.</t>
  </si>
  <si>
    <t>v_KK7g7udEPuo</t>
  </si>
  <si>
    <t>A man is looking all over for his dog.</t>
  </si>
  <si>
    <t>He said he paid his dog 10 dollars to cut the grass and now he's gone.</t>
  </si>
  <si>
    <t>He finally finds the dog who is driving the riding lawn mower.</t>
  </si>
  <si>
    <t>According to the owner, the dog is asking for a raise.</t>
  </si>
  <si>
    <t>He continues mowing in not very straight lines as the other dogs watch.</t>
  </si>
  <si>
    <t>v_OM_n35Vcw30</t>
  </si>
  <si>
    <t>Two kids are seen holding poles with another man and playing a game of shuffle board on a mat.</t>
  </si>
  <si>
    <t>The kids push the puck around back and fourth while walking around one another and ends with a woman stepping into frame and a close up of the young boy.</t>
  </si>
  <si>
    <t>v_eBajcta4sD4</t>
  </si>
  <si>
    <t>A camera pans around a building as well as people inside posing for pictures and putting fencing gear on.</t>
  </si>
  <si>
    <t>More clips are shown of fencing objects, people watching on the sides, and others getting ready to fence.</t>
  </si>
  <si>
    <t>Several clips are then shown of two people fencing each other with a woman reffing on the sides and people watching on the sides.</t>
  </si>
  <si>
    <t>v_JFA1iR09BUA</t>
  </si>
  <si>
    <t>A man is practicing in front of a mirror in a studio while another watches.</t>
  </si>
  <si>
    <t>They start taking turns in front of the mirror trying to perfect their moves.</t>
  </si>
  <si>
    <t>They are doing all kinds of crazy acrobatic flips and other moves.</t>
  </si>
  <si>
    <t>There is about six or seven men sitting up against the wall watching as the other flips around in the air.</t>
  </si>
  <si>
    <t>v_ctWolbJDJyc</t>
  </si>
  <si>
    <t>A person is seen walking down the length of a diving board while the camera zooms in.</t>
  </si>
  <si>
    <t>The man turns around and performs a back flip off of the board into the water.</t>
  </si>
  <si>
    <t>v_m-BZKFg9k18</t>
  </si>
  <si>
    <t>A lady dances around on an aerobic stair in a fitness gym.</t>
  </si>
  <si>
    <t>The lady spins off of the step.</t>
  </si>
  <si>
    <t>The lady touches her toes to the step.</t>
  </si>
  <si>
    <t>The lady repeats the routine repeatedly.</t>
  </si>
  <si>
    <t>The lady steps off of her step in front of it and looks at the camera.</t>
  </si>
  <si>
    <t>v_JTFEzdAw1L4</t>
  </si>
  <si>
    <t>An older woman throws a white ball towards a green cup.</t>
  </si>
  <si>
    <t>A young boy gives her back the ball.</t>
  </si>
  <si>
    <t>The woman throws the ball again.</t>
  </si>
  <si>
    <t>She does a dance and throws it again.</t>
  </si>
  <si>
    <t>She again throws the white ball.</t>
  </si>
  <si>
    <t>The young boy hands the woman the ball and she throws it again.</t>
  </si>
  <si>
    <t>The older woman starts laughing.</t>
  </si>
  <si>
    <t>v_-ArIbKfZc2s</t>
  </si>
  <si>
    <t>A group of rafters paddle there raft down a river with rapids and obstacles.</t>
  </si>
  <si>
    <t>A group of rafter push off from a rock and turn there boat around to face the current.</t>
  </si>
  <si>
    <t>The rafters maneuver through a concrete structure.</t>
  </si>
  <si>
    <t>The group paddles around a large boulder sticking high up in the middle of the river.</t>
  </si>
  <si>
    <t>The group jumps from a rock into the river.</t>
  </si>
  <si>
    <t>v_UD7HJBRK2Z4</t>
  </si>
  <si>
    <t>A light blue screen appears and it has multiple blue words that are not in English and they're scrolling from bottom to top.</t>
  </si>
  <si>
    <t>The direction of the scrolling letters change from bottom to top and now they're in the middle.</t>
  </si>
  <si>
    <t>A man wearing a white button up short sleeved shirt and black long pants is standing on green grass that's near water, with a large bush behind him and he's doing very slow coordinated movements.</t>
  </si>
  <si>
    <t>v_Ptw9hFDV4ow</t>
  </si>
  <si>
    <t>A coach is training a boy and a girl to do kickboxing.</t>
  </si>
  <si>
    <t>There is a woman standing in a purple shirt, filming the coach teach the kids.</t>
  </si>
  <si>
    <t>Both the girl and the boy are taking turns in returning the punches and kicks to the coach.</t>
  </si>
  <si>
    <t>The coach is encouraging the students to constantly punch and return the kicks.</t>
  </si>
  <si>
    <t>v_8OCTuqJVToU</t>
  </si>
  <si>
    <t>A small group of children are seen sitting around a pool while the camera pans around the pool.</t>
  </si>
  <si>
    <t>The kids kick their feet around and show one instructor helping a child.</t>
  </si>
  <si>
    <t>The man continues to swim around the pool with children and close ups of children.</t>
  </si>
  <si>
    <t>v_LWAxCIy4PBw</t>
  </si>
  <si>
    <t>A little boy is pushing a mop.</t>
  </si>
  <si>
    <t>He closes an oven door that is open.</t>
  </si>
  <si>
    <t>He continues to mop the floor.</t>
  </si>
  <si>
    <t>He picks the mop up and puts it in the air.</t>
  </si>
  <si>
    <t>He sets it down and continues mopping.</t>
  </si>
  <si>
    <t>v_qzt9U8tEdJQ</t>
  </si>
  <si>
    <t>Someone is shown driving down a snowy street in the Ukraine.</t>
  </si>
  <si>
    <t>Several skiers are skiing down the slopes on the side of a mountain.</t>
  </si>
  <si>
    <t>A close up is seen of some of the skiers as they go.</t>
  </si>
  <si>
    <t>v_zJX_Oh4yVnc</t>
  </si>
  <si>
    <t>A person is seen riding around on a dirt bike that leads into him speaking to the camera.</t>
  </si>
  <si>
    <t>He shows off his bike as well as camera and leads into several clips of him riding around.</t>
  </si>
  <si>
    <t>He continues to ride around on the track while also showing close ups of himself as well as the camera.</t>
  </si>
  <si>
    <t>v_r7kQ1sko74M</t>
  </si>
  <si>
    <t>A young man is seen playing a single drum standing next to a group of people also drumming.</t>
  </si>
  <si>
    <t>The boy continues drumming with the group and the camera pans around to people watching on the sides.</t>
  </si>
  <si>
    <t>v_h7Tq3Gsj6lY</t>
  </si>
  <si>
    <t>A man is shown in several shots riding around on a skateboard.</t>
  </si>
  <si>
    <t>Close ups are shown of objects as well as skateboard and places you can buy them.</t>
  </si>
  <si>
    <t>More close ups are shown of products.</t>
  </si>
  <si>
    <t>v_pnN9AK7WKHU</t>
  </si>
  <si>
    <t>We see a person jet skiing.</t>
  </si>
  <si>
    <t>We see a red and black sail on a surfboard.</t>
  </si>
  <si>
    <t>We then see a yellow and blue sail.</t>
  </si>
  <si>
    <t>A yellow one passes a black one and keeps going, then the yellow one turns around.</t>
  </si>
  <si>
    <t>A yellowish green one appears on the screen.</t>
  </si>
  <si>
    <t>Three pass a red and blue one going in opposite directions.</t>
  </si>
  <si>
    <t>The rider of the red and blue one falls off his board.</t>
  </si>
  <si>
    <t>v_aBmKEmXVCqM</t>
  </si>
  <si>
    <t>A man is standing on a elliptical working out.</t>
  </si>
  <si>
    <t>He moves his arms back and forth.</t>
  </si>
  <si>
    <t>There is a lake behind him.</t>
  </si>
  <si>
    <t>v_b5GJUtjiWkQ</t>
  </si>
  <si>
    <t>Three kids are seen standing out in front of a house when one plays hop scotch to a person coming in frame.</t>
  </si>
  <si>
    <t>The camera follows the same girl hopping down a long path and continuing her way back to where she started.</t>
  </si>
  <si>
    <t>v_JwdW7Tlc4gs</t>
  </si>
  <si>
    <t>A young man is sitting in his room.</t>
  </si>
  <si>
    <t>The young man started to play his guitar.</t>
  </si>
  <si>
    <t>The young man is moving his fingers as he press the threads on the guitar.</t>
  </si>
  <si>
    <t>v_H5F01WIyJWI</t>
  </si>
  <si>
    <t>A blindfolded man is standing outside with vehicles parked behind him and he's playing a small set of bongos as well as a large set of bongos right next to it.</t>
  </si>
  <si>
    <t>The man quickly only hits the small bongos and then moves onto the big bongos going from his right to his left.</t>
  </si>
  <si>
    <t>On the return back going from his left to his right, he hits only the large bongos first, then hits the smaller bongos.</t>
  </si>
  <si>
    <t>v_4p6OjaHHSDs</t>
  </si>
  <si>
    <t>A close up is shown of a woman wearing glasses.</t>
  </si>
  <si>
    <t>She starts smoking a cigarette, then leans over.</t>
  </si>
  <si>
    <t>A woman in bed is laughing as she falls onto her own bed, still smoking.</t>
  </si>
  <si>
    <t>v_ad5QOYLt_cI</t>
  </si>
  <si>
    <t>man is standing in front of a table chopping vegetables and preparing a sandwich, he put in a bread butter cheese, avoado, and ham and a rolled sandwich.</t>
  </si>
  <si>
    <t>man talks o the camera and spread butter in bread slices with a knife put cheddar cheese, ham and ketchup and cut in four slices and serve them in a plate.</t>
  </si>
  <si>
    <t>v_k9VKFjPYT3o</t>
  </si>
  <si>
    <t>A man in a blue coat is talking outside by a rock.</t>
  </si>
  <si>
    <t>He is wearing a rock climbing harness.</t>
  </si>
  <si>
    <t>He begins climbing up the rock.</t>
  </si>
  <si>
    <t>He has a rope around his neck with different rock climbing tools.</t>
  </si>
  <si>
    <t>He gives another person a high five.</t>
  </si>
  <si>
    <t>v_gh8rmWE-564</t>
  </si>
  <si>
    <t>Two people are seen riding down a hill with one on skis and the other on a sled.</t>
  </si>
  <si>
    <t>The person then goes over a jump and crashes into a snowbank, showing the same shot again in slow motion.</t>
  </si>
  <si>
    <t>v_tZ6Fjq6SJvQ</t>
  </si>
  <si>
    <t>A man and a woman dressed in a black evening gown and a black suit dance in a ball room dance style in a large room with stone floors and grated windows.</t>
  </si>
  <si>
    <t>The man and woman begin with a fast dance with a lot of foot work twirling around the floor.</t>
  </si>
  <si>
    <t>The man and woman then begin a slow dance in which they glide, caress, spin and twirl each other across the floor at times lingering in smoldering postures that imply romance.</t>
  </si>
  <si>
    <t>The man and woman then begin to dance fast again utilizing fast twirls and foot work and with the man picking the woman up and spinning her around in the air until one final dip.</t>
  </si>
  <si>
    <t>v__zkcTAj5Z8Q</t>
  </si>
  <si>
    <t>A young boy is seen swimming around with another person standing in the water.</t>
  </si>
  <si>
    <t>The boy continues to swim around with the other people as well as do flips under the water.</t>
  </si>
  <si>
    <t>The kids move under and over the water while the camera continues to follow them.</t>
  </si>
  <si>
    <t>v_Qm6HmQv5uOo</t>
  </si>
  <si>
    <t>A man sings a song with someone plays an accordion in a restaurant.</t>
  </si>
  <si>
    <t>The man playing accordion breaks his instrument in half.</t>
  </si>
  <si>
    <t>The people are startled but continue on singing the song.</t>
  </si>
  <si>
    <t>v_cwhkG3LhZO8</t>
  </si>
  <si>
    <t>A little boy is standing at the parking lot, he is not wearing a shirt, he talked to the camera.</t>
  </si>
  <si>
    <t>He then walked with both his elbows up towards the road.</t>
  </si>
  <si>
    <t>The boy is on stage playing a brown guitar, he is not wearing a shirt, there's a microphone in front of him, behind him is a man playing a guitar too.</t>
  </si>
  <si>
    <t>v_-zHX3Gdx6I4</t>
  </si>
  <si>
    <t>A boy is running down a track.</t>
  </si>
  <si>
    <t>The boy lifts his body above the height of a pole.</t>
  </si>
  <si>
    <t>The boy lands on his back on to a red mat.</t>
  </si>
  <si>
    <t>The boy gets up from the mat.</t>
  </si>
  <si>
    <t>The boy celebrates by clapping and flexing both arms.</t>
  </si>
  <si>
    <t>A man stands and observes.</t>
  </si>
  <si>
    <t>v_IuY073Pr4E4</t>
  </si>
  <si>
    <t>The man walks towards a children's playground.</t>
  </si>
  <si>
    <t>The man hangs from mounted bar type devices in the playground.</t>
  </si>
  <si>
    <t>The man dismounts and walks back to the camera.</t>
  </si>
  <si>
    <t>v_bjtjeUcoxkg</t>
  </si>
  <si>
    <t>A man speaks to a camera.</t>
  </si>
  <si>
    <t>Another man shaves his face that is covered with shaving cream.</t>
  </si>
  <si>
    <t>The man shaves part of his neck.</t>
  </si>
  <si>
    <t>The man's razor is covered with shaving cream so he rinses the razor with water.</t>
  </si>
  <si>
    <t>The man speaks to the camera again.</t>
  </si>
  <si>
    <t>The shaving man again shaves part of his cheek area.</t>
  </si>
  <si>
    <t>An animation of shaving is shown.</t>
  </si>
  <si>
    <t>The man continues to speak to the camera.</t>
  </si>
  <si>
    <t>The shaving man shaves more towards his chin, including his upper cheek.</t>
  </si>
  <si>
    <t>The man speaks some more to the camera.</t>
  </si>
  <si>
    <t>v_X487OD6H6LE</t>
  </si>
  <si>
    <t>A man is sitting behind two congas with one shoulder rolled up.</t>
  </si>
  <si>
    <t>After he finishes talking,he begins hitting the conga.</t>
  </si>
  <si>
    <t>After several hits,he adds in the other conga and starts to hit the other conga.</t>
  </si>
  <si>
    <t>v_PUJqlmTdlak</t>
  </si>
  <si>
    <t>A man shuffles a deck of cards and deals them.</t>
  </si>
  <si>
    <t>Four aces are shown face up on the table.</t>
  </si>
  <si>
    <t>A man sits at a table and plays blackjack.</t>
  </si>
  <si>
    <t>v_NA8fCmbHwU8</t>
  </si>
  <si>
    <t>A team rides together on a bus.</t>
  </si>
  <si>
    <t>Teams play games of beach soccer.</t>
  </si>
  <si>
    <t>A man makes a bicycle kick in the sand.</t>
  </si>
  <si>
    <t>The winning team holds up a trophy together and celebrates.</t>
  </si>
  <si>
    <t>Teammates call from the bench and cheer.</t>
  </si>
  <si>
    <t>v_I4wkBjpwAAU</t>
  </si>
  <si>
    <t>Two army men in the their uniforms are tied together and pulling each other in opposite direction as part of their training.</t>
  </si>
  <si>
    <t>There is a crowd of army officers watching them cheering for them as they do the strength training exercise.</t>
  </si>
  <si>
    <t>The game is over after one of the army officer's drags the other officer on the ground and wins the game.</t>
  </si>
  <si>
    <t>v_NkvwL_M_lDg</t>
  </si>
  <si>
    <t>The man in blue shirt is strumming the drum in front of him.</t>
  </si>
  <si>
    <t>The young man strum the drum in front of him then the next drum.</t>
  </si>
  <si>
    <t>The young man strum the drums in front of him.</t>
  </si>
  <si>
    <t>v_4IRb308UjTA</t>
  </si>
  <si>
    <t>A woman opens the trunk of a car.</t>
  </si>
  <si>
    <t>She gets a spare tire out and sets it on the ground.</t>
  </si>
  <si>
    <t>She takes the old tire off.</t>
  </si>
  <si>
    <t>She puts the new tire on.</t>
  </si>
  <si>
    <t>She puts the hub of the tire on.</t>
  </si>
  <si>
    <t>v_lly76lvHbB8</t>
  </si>
  <si>
    <t>A man in a red shirt holds onto a disc and skates down the ice.</t>
  </si>
  <si>
    <t>He lets go of the disc and walks back.</t>
  </si>
  <si>
    <t>v_7MWFfqhKgIY</t>
  </si>
  <si>
    <t>A little girl performs holding on the rings.</t>
  </si>
  <si>
    <t>A boy stands next a man, then he raise a hand and walks to perform on the parallel bards.</t>
  </si>
  <si>
    <t>The boy swing on the bars, and then jumps on the mat.</t>
  </si>
  <si>
    <t>v_wjcCl0jPxO4</t>
  </si>
  <si>
    <t>There's a woman in a maroon shirt washing her face in the sink.</t>
  </si>
  <si>
    <t>An aesthetician is talking about skin care routines and giving tips on how to keep facial skin clean.</t>
  </si>
  <si>
    <t>The model washes her face and then dabs it dry gently with a towel.</t>
  </si>
  <si>
    <t>v_bFgXdHQnTtQ</t>
  </si>
  <si>
    <t>Three girls exercise inside a house.</t>
  </si>
  <si>
    <t>The girls dance while jumping, spinning and moving the hips.</t>
  </si>
  <si>
    <t>Then, the girls one by one thrown to the ground, then stand and continue dancing.</t>
  </si>
  <si>
    <t>After, two girls kneel and a child stands on the legs and raise her arms, after the girls ends their performance.</t>
  </si>
  <si>
    <t>v_-lER_VO9LUo</t>
  </si>
  <si>
    <t>Two dogs are walking on the sidewalk attached by a rope.</t>
  </si>
  <si>
    <t>Two people are walking on the sidewalk next to them.</t>
  </si>
  <si>
    <t>One of the people is carrying a water bottle.</t>
  </si>
  <si>
    <t>v_r5cjo7N6IEY</t>
  </si>
  <si>
    <t>A shadow is on the ground, caused by a designed shrub.</t>
  </si>
  <si>
    <t>A man is shown outdoors, showing off his multitude of decorative bushes in his yard.</t>
  </si>
  <si>
    <t>He clips and measures them to make sure they look their best.</t>
  </si>
  <si>
    <t>He finds two that look like boxers, and pretends to make them fight.</t>
  </si>
  <si>
    <t>v_hh6Yt_LJPwQ</t>
  </si>
  <si>
    <t>A woman is seen talking to people out in public followed by a man washing his mouth out and kissing another girl.</t>
  </si>
  <si>
    <t>He then presents the mouth to various people spread out through days and has the people speak to the camera about their experience.</t>
  </si>
  <si>
    <t>v_G-zVpNXq224</t>
  </si>
  <si>
    <t>We see Ellen playing table tennis.</t>
  </si>
  <si>
    <t>A Table tennis player comes out.</t>
  </si>
  <si>
    <t>The new match is played.</t>
  </si>
  <si>
    <t>The man holds his arms out.</t>
  </si>
  <si>
    <t>Ellen ducks down near the table.</t>
  </si>
  <si>
    <t>The players shake hands, the lady hugs Ellen and laugh.</t>
  </si>
  <si>
    <t>We see the ending screen with Ellen on it.</t>
  </si>
  <si>
    <t>v_N2fTZV7pnEw</t>
  </si>
  <si>
    <t>A man is skiin on a slope, quickly.</t>
  </si>
  <si>
    <t>He turns as he passes between other skiers on the way.</t>
  </si>
  <si>
    <t>The man continues until he is finished, then removes himself to the board and joins other skiers at the resting spot.</t>
  </si>
  <si>
    <t>v_IrTqW6Qn8mI</t>
  </si>
  <si>
    <t>A close up is shown of leaves being blown.</t>
  </si>
  <si>
    <t>A person is blowing leaves with a leaf blower.</t>
  </si>
  <si>
    <t>They continue blowing the leaves across the yard.</t>
  </si>
  <si>
    <t>v_D2Trvi7Im_s</t>
  </si>
  <si>
    <t>A woman is skating down a sidewalk outside.</t>
  </si>
  <si>
    <t>She rolls slowly past the camera.</t>
  </si>
  <si>
    <t>She keeps skating down the sidewalk past the ocean's edge.</t>
  </si>
  <si>
    <t>v_3Hgwyprv8u4</t>
  </si>
  <si>
    <t>A camera pans all around a vacuum close up and shows a person's feet.</t>
  </si>
  <si>
    <t>The person walks around with the vacuum and pushes it along a rug.</t>
  </si>
  <si>
    <t>More shots are shown of the person using the attachments on the camera as well as showing how it's made.</t>
  </si>
  <si>
    <t>v_eUCKEnKxG8w</t>
  </si>
  <si>
    <t>Two young girls are seen kneeling before a tub while speaking to the camera.</t>
  </si>
  <si>
    <t>The girls hold up a product and measure it out followed by putting it into their mouths and swishing it around.</t>
  </si>
  <si>
    <t>The girls then spit out the liquid and continue to speak to the camera.</t>
  </si>
  <si>
    <t>v_9BS1II6O7I0</t>
  </si>
  <si>
    <t>A young man solves a cube puzzle while a man stand on front him.</t>
  </si>
  <si>
    <t>Then, a man writes on a paper and shows the young man.</t>
  </si>
  <si>
    <t>The young man solves again the puzzle is less time, and the man takes note.</t>
  </si>
  <si>
    <t>After the young man solves again two times the puzzle in less time.</t>
  </si>
  <si>
    <t>At the end, the young man solves the puzzle in less time than the previous times, he raises happy from his chair.</t>
  </si>
  <si>
    <t>v_sdMr24Qyrw8</t>
  </si>
  <si>
    <t>A young girl is sitting in a chair, awaiting nervously.</t>
  </si>
  <si>
    <t>The piercing artist paints a dot above her lip.</t>
  </si>
  <si>
    <t>He sanitizes his tools and proceeds to pierce the lip of the young girl.</t>
  </si>
  <si>
    <t>He inserts a ring into the piercing.</t>
  </si>
  <si>
    <t>He tightens the piercing and cleans around the piercing.</t>
  </si>
  <si>
    <t>The girl looks into a mirror handed to her by the piercing artist and looks pleased.</t>
  </si>
  <si>
    <t>v_tseeGOVN_eY</t>
  </si>
  <si>
    <t>A child is seen turning on a faucet and begins washes dishes in a sink.</t>
  </si>
  <si>
    <t>The child turns the water off an on again while scrubbing the dishes and another person walking in to help.</t>
  </si>
  <si>
    <t>v_opAcl-kukdU</t>
  </si>
  <si>
    <t>cherleader team wearing purple uniforms are doing a choreography on the middle of a wooden court.</t>
  </si>
  <si>
    <t>a lot of people are sitting on stands around the court.</t>
  </si>
  <si>
    <t>people is walking on sides of the wooden court in a roofed gym.</t>
  </si>
  <si>
    <t>v_J0EWvkkxh5o</t>
  </si>
  <si>
    <t>We see a girl preparing to dive in an indoor pool.</t>
  </si>
  <si>
    <t>The girl jumps and stands looking scared of the height.</t>
  </si>
  <si>
    <t>The girl turns and dives into the water.</t>
  </si>
  <si>
    <t>The girl surfaces and swims to the edge of the pool.</t>
  </si>
  <si>
    <t>v_BJ-1HVacaF4</t>
  </si>
  <si>
    <t>The video starts with a logo of the cathedrals of light.</t>
  </si>
  <si>
    <t>Next a group of people are shown.</t>
  </si>
  <si>
    <t>Then people are shown swimming in an underwater world.</t>
  </si>
  <si>
    <t>Reefs and rocks are shown underwater.</t>
  </si>
  <si>
    <t>Scuba divers are shown swimming deep into the water exploring what is around.</t>
  </si>
  <si>
    <t>v_JFVZdzzJVr8</t>
  </si>
  <si>
    <t>Two men are next to the table wearing blue shirts and welding helmets.</t>
  </si>
  <si>
    <t>The man is holding a welding machine and working on a metal that causes sparks, next to him is another man watching closely on the metal.</t>
  </si>
  <si>
    <t>The lights lit up, the man is poking the metal.</t>
  </si>
  <si>
    <t>v_gJKw6jGjiDE</t>
  </si>
  <si>
    <t>A gymnast stands nervously awaiting her start.</t>
  </si>
  <si>
    <t>The crowd in the arena watches her.</t>
  </si>
  <si>
    <t>She climbs up to a bar and performs various flips, cartwheels, as well as doing the splits mid air.</t>
  </si>
  <si>
    <t>She jumps off the bar and lands on a blue mat.</t>
  </si>
  <si>
    <t>v_6fgk5PKVS2o</t>
  </si>
  <si>
    <t>A person's car is shown from several angles with a person inside and leads into the car driving with people inside.</t>
  </si>
  <si>
    <t>The people are then shown in various angles riding up a snowy mountain and going down a hill.</t>
  </si>
  <si>
    <t>Close ups of the people's faces are shown as they go up and down the hill several times and landing at the bottom of a hill.</t>
  </si>
  <si>
    <t>v_uBhuULfs3Hc</t>
  </si>
  <si>
    <t>A man is at a mound, spinning a disc around in circles.</t>
  </si>
  <si>
    <t>He lets go of the disc and watches it fly.</t>
  </si>
  <si>
    <t>A line of discs is shown before a group of people on the field, choosing their own disc.</t>
  </si>
  <si>
    <t>People are shown, one at a time, throwing the discs.</t>
  </si>
  <si>
    <t>The winner stands with his trophy, shaking hands of people who walk up to him.</t>
  </si>
  <si>
    <t>v_4dyn1oKJO34</t>
  </si>
  <si>
    <t>Various clips are shown of people playing lacrosse followed by a man holding the stick and speaking to the camera.</t>
  </si>
  <si>
    <t>He moves the stick all around demonstrating how to properly play.</t>
  </si>
  <si>
    <t>v_G9ynahMxUz8</t>
  </si>
  <si>
    <t>A little girl kicks a big pink ball to her mother, who catches it and kicks it back.</t>
  </si>
  <si>
    <t>They continue kicking and throwing the ball to each other, and a man joins in.</t>
  </si>
  <si>
    <t>The little girl chases down the ball, bringing it back.</t>
  </si>
  <si>
    <t>v_2WwWzzO6rZQ</t>
  </si>
  <si>
    <t>A female gymnast jumps onto a balance beam and do many tricks and flips and lands back on her feet.</t>
  </si>
  <si>
    <t>the gymnast does two nice back flips back to back while keeping her balance and landing prefect on her feet.</t>
  </si>
  <si>
    <t>finally the female gymnast finishes with a high twice flip off the balance beam in the air and lands on the mat prefect.</t>
  </si>
  <si>
    <t>v_oT42qP2zIXo</t>
  </si>
  <si>
    <t>An intro appears of a person standing in front of objects on a counter, then a white screen appears with a picture of an owl and the words on the screen that include a website and the gray words "Samurai Pro Knife Sharpener".</t>
  </si>
  <si>
    <t>The man then picks up the two knives near his cutting board and demonstrates how they each cut a piece of green onion the cutting board, then he fastens the sharpener onto the counter, runs his knife through the sharpener a few times then goes back to showing how it cuts the green onion and how the blades look.</t>
  </si>
  <si>
    <t>The man is touching, holding and showing the camera a closer look of the sharpener.</t>
  </si>
  <si>
    <t>The outro is a person drawing the owl and the website onto a large piece of paper with markers, gives a thumbs up when they're done, then the screen goes to a digital white screen of the same owl that was just drawn and the website below it.</t>
  </si>
  <si>
    <t>v_YPSV5JEqhBw</t>
  </si>
  <si>
    <t>Women are holding a ball and spinning around before throwing it onto the field.</t>
  </si>
  <si>
    <t>A man in a red shirt is holding a broom.</t>
  </si>
  <si>
    <t>People are watching them throw the balls.</t>
  </si>
  <si>
    <t>v_1t0yXLlX1XE</t>
  </si>
  <si>
    <t>Several images of a bald man bowling are shown and then he appears and throws a curve ball.</t>
  </si>
  <si>
    <t>Several videos from different locations are shown of the curve ball and the ball almost goes to the gutter but curves about two to three feet away from the bowling pins.</t>
  </si>
  <si>
    <t>v_iUe1t0sN4Jo</t>
  </si>
  <si>
    <t>A man bowls several times down a lane.</t>
  </si>
  <si>
    <t>The screen of the score board is shown.</t>
  </si>
  <si>
    <t>v_aUbSDHBZNEQ</t>
  </si>
  <si>
    <t>A close up of a dog is seen who proceeds to run away towards another dog.</t>
  </si>
  <si>
    <t>The big dog then leads the little dog around on a leash.</t>
  </si>
  <si>
    <t>v_QJVtvcYcwac</t>
  </si>
  <si>
    <t>This a video tutorial on getting box braids.</t>
  </si>
  <si>
    <t>A screen pops up with several websites and social media addresses.</t>
  </si>
  <si>
    <t>There are stills of the processes to make the braids shown on a girl in a pink jacket.</t>
  </si>
  <si>
    <t>Then a video shows how the process looks in actual time using a comb and the technique of separating the braids as a woman braids the hair by hand.</t>
  </si>
  <si>
    <t>Then there is a front view of the little girl in pink as the woman behind her finishes up the braiding process at the front of her head.</t>
  </si>
  <si>
    <t>There are screen text that mentions how the hair looks six hours later.</t>
  </si>
  <si>
    <t>Then there are still shots of the results of her hair being braided.</t>
  </si>
  <si>
    <t>v_Ycf5NG0xedg</t>
  </si>
  <si>
    <t>A waterfall appears on screen next to a river with the title "H20 Adventures Savegre River" overlaid.</t>
  </si>
  <si>
    <t>A group of people walk across a red suspension walking bridge above the river.</t>
  </si>
  <si>
    <t>A group of people wearing life vests and holding oars listen to instructions.</t>
  </si>
  <si>
    <t>Groups of people row inflatable rafts down the fast current river.</t>
  </si>
  <si>
    <t>People stand on shore talking and drinking beverages.</t>
  </si>
  <si>
    <t>Video credits appear on screen over video of a lizard on a rock.</t>
  </si>
  <si>
    <t>The screen goes completely black after the credits end.</t>
  </si>
  <si>
    <t>v_aFGLXYcKD2M</t>
  </si>
  <si>
    <t>A couple of men are on an indoor tennis court.</t>
  </si>
  <si>
    <t>They lob the ball back and forth over the net.</t>
  </si>
  <si>
    <t>They hit the ball back to each other.</t>
  </si>
  <si>
    <t>v_jGLJuL49zYE</t>
  </si>
  <si>
    <t>Two men alternatively dance on the street while pedestrian and road traffic pass by.</t>
  </si>
  <si>
    <t>Two women stop to watch the dancers.</t>
  </si>
  <si>
    <t>A man and a woman stop to watch the dancers.</t>
  </si>
  <si>
    <t>v_Gpjx38IDVT0</t>
  </si>
  <si>
    <t>A boy is inside an outdoor net.</t>
  </si>
  <si>
    <t>He swings a ball on a rope very quickly.</t>
  </si>
  <si>
    <t>He lets it go and watches as it flies across the field.</t>
  </si>
  <si>
    <t>v_TDwSu2nfSXw</t>
  </si>
  <si>
    <t>A boy dancing on the front of a book with describing credits.</t>
  </si>
  <si>
    <t>The boy is sitting in an empty room talking about his dance moves.</t>
  </si>
  <si>
    <t>The boy is standing in the room showing a move that starts with kicking his left foot out as he slowly turns and shows the rest of the current dance move.</t>
  </si>
  <si>
    <t>Next the boy starts with same move but moves quicker.</t>
  </si>
  <si>
    <t>The instructions to practice are shown as the boy is dancing in the almost empty room.</t>
  </si>
  <si>
    <t>v_Uk_VxavVjP0</t>
  </si>
  <si>
    <t>The trees are shown above the water.</t>
  </si>
  <si>
    <t>A man puts his hands behind his head.</t>
  </si>
  <si>
    <t>v_WjueR8K-nnI</t>
  </si>
  <si>
    <t>Children rides bumper cars in a carnival.</t>
  </si>
  <si>
    <t>The kids get stuck in the center, but they free and drive.</t>
  </si>
  <si>
    <t>A woman push a stroller in the street.</t>
  </si>
  <si>
    <t>Children bumps cars and ride around.</t>
  </si>
  <si>
    <t>The children gets off the bumper cars and walk to the exit.</t>
  </si>
  <si>
    <t>v_3nvKiZeVfGY</t>
  </si>
  <si>
    <t>A person slides a heavy ball on the floor while holding a brush on his left hand.</t>
  </si>
  <si>
    <t>Then, two men brush the floor on front the heavy ball without touching it.</t>
  </si>
  <si>
    <t>People plays behind the person.</t>
  </si>
  <si>
    <t>The yellow ball reaches the center of the red circle.</t>
  </si>
  <si>
    <t>v_pgBfTJzVB98</t>
  </si>
  <si>
    <t>A man is wearing a red hat and sunglasses.</t>
  </si>
  <si>
    <t>He throws a dart in front of him.</t>
  </si>
  <si>
    <t>He makes a bulls eye on the dart board.</t>
  </si>
  <si>
    <t>v_XwrF8edyJz0</t>
  </si>
  <si>
    <t>A camera pans around glasses of lemonade followed by a person squeezing juice out of lemons.</t>
  </si>
  <si>
    <t>The person mixes various ingredients together into a bowl and pours it into a glass.</t>
  </si>
  <si>
    <t>Several shots are shown of the glasses being poured as well as presented to the camera.</t>
  </si>
  <si>
    <t>v_1_YFTTzzLrI</t>
  </si>
  <si>
    <t>A man sits at a table and a woman moves a box from him.</t>
  </si>
  <si>
    <t>He puts his hands on the table then begins to solve a rubix cube.</t>
  </si>
  <si>
    <t>The timer continues as he solves the cube.</t>
  </si>
  <si>
    <t>v_J4UFrrwKUQA</t>
  </si>
  <si>
    <t>two men are standing in a sailing boat in sea.</t>
  </si>
  <si>
    <t>man is standing in a dock wearing a red bull shirt and then is in the saillboat.</t>
  </si>
  <si>
    <t>dolphins are swimming next to the boat.</t>
  </si>
  <si>
    <t>people are standing on a sunny day in a dock.</t>
  </si>
  <si>
    <t>v_TssNxg5XJ-o</t>
  </si>
  <si>
    <t>A man is kneeling on the ice with another beside hide pulling string out of a hole.</t>
  </si>
  <si>
    <t>They continue to pull the string while the man beside him grabs a hook.</t>
  </si>
  <si>
    <t>He places the hook near the hole but the man grabs a fish on a string.</t>
  </si>
  <si>
    <t>The fish flops around and the man grabs the fish and holds him up.</t>
  </si>
  <si>
    <t>v_RYyGvn4MOr0</t>
  </si>
  <si>
    <t>People drive bumper cars in a carnival.</t>
  </si>
  <si>
    <t>A little girl follows a boy in a yellow bumper car.</t>
  </si>
  <si>
    <t>Then, the boy and the girl hit other bumper cars.</t>
  </si>
  <si>
    <t>v_PEp22TMpoHA</t>
  </si>
  <si>
    <t>A group of people are on rafts,white water rafting through rocky waters.</t>
  </si>
  <si>
    <t>Eventually,they travel through the water and end up hitting a huge rock and losing their paddles.</t>
  </si>
  <si>
    <t>After,they continue to go through rocky parts of the water and slide down small hills.</t>
  </si>
  <si>
    <t>v_teDceMxV9PA</t>
  </si>
  <si>
    <t>A reporter reports on a story about amputees and non amputees using replacement limbs with advanced technology or as leg extenders and performance enhancers for non amputees.</t>
  </si>
  <si>
    <t>A reporter sits at a reporters table during a news broadcast before the clip cuts to people wearing limb replacement technology.</t>
  </si>
  <si>
    <t>Several clips of men who are not amputees wearing amputee extender legs are shown with the subjects running and bounced in the street.</t>
  </si>
  <si>
    <t>v_brewO_8bl4g</t>
  </si>
  <si>
    <t>Hulk Hogan is seen speaking to the camera while holding up his arms and another man stands in the background.</t>
  </si>
  <si>
    <t>The man continues speaking to the camera and leads into clips of a boy arm wrestling and another man holding up his arm.</t>
  </si>
  <si>
    <t>v_WnYqWQ005Tc</t>
  </si>
  <si>
    <t>An Asian male is standing on a hard wood floor and begins talking and begins to do a spin on his head.</t>
  </si>
  <si>
    <t>After the clip,he comes back and shows how to properly place your hands on the floor.</t>
  </si>
  <si>
    <t>As he continues,he grabs a beanie and puts it on his hand to make him turn easier.</t>
  </si>
  <si>
    <t>The man then does the twist continuously and shows off the cricket position before returning to talk again.</t>
  </si>
  <si>
    <t>v_rob5gIT_pAw</t>
  </si>
  <si>
    <t>man is welding a metal machine in a room.</t>
  </si>
  <si>
    <t>man is talknig to the camera and is holding an emery in a machine room.</t>
  </si>
  <si>
    <t>v_Yyv8oxrFGV0</t>
  </si>
  <si>
    <t>A group of men are seen crowded around a table where more men are sitting and speaking.</t>
  </si>
  <si>
    <t>Eventually two men chug a beer followed down a line of more men drinking their beer.</t>
  </si>
  <si>
    <t>The men finish their beers and laugh and applaud one another while many watch on the sides.</t>
  </si>
  <si>
    <t>v_SMpmoqIk3Ts</t>
  </si>
  <si>
    <t>Several individuals are in the water playing a game and the man throws an orange ball to a person.</t>
  </si>
  <si>
    <t>The person then takes the ball and throws it to the man sitting next to the goal.</t>
  </si>
  <si>
    <t>He then moves to the other side of the pool and grabs the goal.</t>
  </si>
  <si>
    <t>v_Xhrk1wP8tCs</t>
  </si>
  <si>
    <t>A man is sitting down next to a desk where a fitness equipment piece is placed.</t>
  </si>
  <si>
    <t>The man shows off the pedals of the equipment as well as a timer on the equipment.</t>
  </si>
  <si>
    <t>A woman is seen walking on the equipment.</t>
  </si>
  <si>
    <t>A man pulls the fitness equipment from under a desk.</t>
  </si>
  <si>
    <t>The man is seen by the desk again, talking about the fitness equipment.</t>
  </si>
  <si>
    <t>v_Snw8Jf1DQwg</t>
  </si>
  <si>
    <t>A screenshot of a woman wearing a blue jumpsuit is standing in a pose holding two batons and white words on the middle of the screen say "2 Baton Nicole".</t>
  </si>
  <si>
    <t>The woman is now standing on a floor with a lot of colorful lines and dashes and she begins her 2 baton routine that includes a lot of twirling, spinning, and throwing and catching of the batons.</t>
  </si>
  <si>
    <t>Almost to the end of her routine the woman drops the baton twice, picks them up and continues to do her routine until the end.</t>
  </si>
  <si>
    <t>v_On4V94fVLpg</t>
  </si>
  <si>
    <t>A lady speaks with two pumpkins on a table.</t>
  </si>
  <si>
    <t>A woman shows her palm.</t>
  </si>
  <si>
    <t>A person carves a pumpkin.</t>
  </si>
  <si>
    <t>A females gives an interview on carving kit.</t>
  </si>
  <si>
    <t>Children hold pumpkins with smiles on their faces.</t>
  </si>
  <si>
    <t>A man pulls the top of a pumpkin off.</t>
  </si>
  <si>
    <t>The lady presents a knife and a smaller knife.</t>
  </si>
  <si>
    <t>Two people sit with papers in front of them.</t>
  </si>
  <si>
    <t>v_K9kVsnTQh-g</t>
  </si>
  <si>
    <t>A man in sweat shirt washes plates and cups in a sink with soapy water.</t>
  </si>
  <si>
    <t>The man picks up silverware soaking in sink and washes them off.</t>
  </si>
  <si>
    <t>The man washes pots and a cutting board.</t>
  </si>
  <si>
    <t>The man washes a coffee press gadget.</t>
  </si>
  <si>
    <t>The man turns off the water and drains the sink.</t>
  </si>
  <si>
    <t>v_ssies4ErWus</t>
  </si>
  <si>
    <t>People are sitting on the edge of the water.</t>
  </si>
  <si>
    <t>A guy is chopping something on the ground.</t>
  </si>
  <si>
    <t>A woman gets up and walks away.</t>
  </si>
  <si>
    <t>v_KdqoLhoXjS8</t>
  </si>
  <si>
    <t>A grooming room is shown and three people are washing different dogs.</t>
  </si>
  <si>
    <t>Other rooms are shown and the dogs continue being groomed and laying down on the ground waiting for their turn.</t>
  </si>
  <si>
    <t>After,the camera leaves the back of the office and the reception area is shown.</t>
  </si>
  <si>
    <t>v_mNTO-xnsaTc</t>
  </si>
  <si>
    <t>People are paddling oars in a blue raft.</t>
  </si>
  <si>
    <t>They go over a wave in the water.</t>
  </si>
  <si>
    <t>They continue going down the river.</t>
  </si>
  <si>
    <t>v_6PaTEwG8Ym4</t>
  </si>
  <si>
    <t>A man is seated on a chair in a hair salon.</t>
  </si>
  <si>
    <t>He is getting a haircut from a hairdresser who is wearing a blue dress.</t>
  </si>
  <si>
    <t>The man is sitting with a camera in his hand.</t>
  </si>
  <si>
    <t>The hairdresser finishes cutting his hair and then steps back.</t>
  </si>
  <si>
    <t>v_PNdG3SUdJzc</t>
  </si>
  <si>
    <t>A kneeling man attempts to start a fire while several others watch on.</t>
  </si>
  <si>
    <t>One of the spectators walks away briefly.</t>
  </si>
  <si>
    <t>The kneeling man starts a fire.</t>
  </si>
  <si>
    <t>One of the spectators kisses the kneeing man.</t>
  </si>
  <si>
    <t>v_A0R3KFXD_BU</t>
  </si>
  <si>
    <t>A group of men sit around a bar flirting with a bartender behind the bar.</t>
  </si>
  <si>
    <t>The woman continues talking to the men while the camera pans around various groups of people nearby the bar.</t>
  </si>
  <si>
    <t>The woman sparks with her hands while also dealing cards for people at the bar.</t>
  </si>
  <si>
    <t>v_izdf6Fm48Tc</t>
  </si>
  <si>
    <t>A man is seen speaking to the camera with a pair of shoes in front of him.</t>
  </si>
  <si>
    <t>He holds up the shoes as well as cleaning products and begins using them on the shoes.</t>
  </si>
  <si>
    <t>He wipes the shoes while still showing the cleaning products and speaking to the camera.</t>
  </si>
  <si>
    <t>v_a9qztQPPsJg</t>
  </si>
  <si>
    <t>man is sitting in font of a table talking about how to clean a white sneaker.</t>
  </si>
  <si>
    <t>man pour a liquid on water and cleans the shoe with a brush and with a wipe polish it.</t>
  </si>
  <si>
    <t>v_7MDr4f1r8rI</t>
  </si>
  <si>
    <t>Girls are shown one at a time, using pvc pipes to vault in an indoor gym onto a mat.</t>
  </si>
  <si>
    <t>Finally a boy is shown vaulting as well.</t>
  </si>
  <si>
    <t>v_P2HtcvFg3z8</t>
  </si>
  <si>
    <t>A close up of a cartoon earth is shown, followed by a cartoon man with a javelin.</t>
  </si>
  <si>
    <t>The man is then shown throwing three different javelins in competition, interspersed with words on the screen.</t>
  </si>
  <si>
    <t>v_Zgiq5MK8fQ8</t>
  </si>
  <si>
    <t>A woman is seen standing next to a frozen car while looking away from the camera.</t>
  </si>
  <si>
    <t>The woman then begins using a scraper to scrape off the sides.</t>
  </si>
  <si>
    <t>The woman continues scraping the car and looking off into the distance.</t>
  </si>
  <si>
    <t>v_v5KAaaZD6uk</t>
  </si>
  <si>
    <t>Athletes are giving interviews, and some show off their participation medals.</t>
  </si>
  <si>
    <t>Athletes are boarding white buses.</t>
  </si>
  <si>
    <t>The buses move down the road.</t>
  </si>
  <si>
    <t>A person stacks tee shirts.</t>
  </si>
  <si>
    <t>Athletes wait at the start line.</t>
  </si>
  <si>
    <t>Athletes are running down the road.</t>
  </si>
  <si>
    <t>Athletes cross the finish line.</t>
  </si>
  <si>
    <t>v_i1s-HuRTr5k</t>
  </si>
  <si>
    <t>An athlete is seen sitting on the ground when a man walks over and hands him shoes.</t>
  </si>
  <si>
    <t>The man then puts on the shoes and begins moving around the field.</t>
  </si>
  <si>
    <t>The man kicks a ball around while the camera follows him from behind.</t>
  </si>
  <si>
    <t>v_Nk4p-ah_PkA</t>
  </si>
  <si>
    <t>People playing a baseball game are shown on a large field with dozens of people watching on the side.</t>
  </si>
  <si>
    <t>The people continue playing the game and ends with several players running of the field in the end.</t>
  </si>
  <si>
    <t>v_IZdVPuT8Hfs</t>
  </si>
  <si>
    <t>A person is helping a young man to jump behind the rails of a bridge and check the belts.</t>
  </si>
  <si>
    <t>Then, the man jumps down the bridge.</t>
  </si>
  <si>
    <t>v_V4_SJyhRGqA</t>
  </si>
  <si>
    <t>A game of croquette is in progress.</t>
  </si>
  <si>
    <t>A man has lined up numerous colored balls.</t>
  </si>
  <si>
    <t>He moves down the line, hitting each ball through the goal.</t>
  </si>
  <si>
    <t>v_7uk4sqUBhks</t>
  </si>
  <si>
    <t>This video is a tutorial showing people how to ski correctly.</t>
  </si>
  <si>
    <t>First it tells you what environment you should ski in.</t>
  </si>
  <si>
    <t>It also shows someone skiing in the snow to accompany the steps given.</t>
  </si>
  <si>
    <t>v_gqJE_SZyoIc</t>
  </si>
  <si>
    <t>A man is working out on an elliptical machine.</t>
  </si>
  <si>
    <t>It shows the screen on the machine.</t>
  </si>
  <si>
    <t>v_lEqYTrzaHsc</t>
  </si>
  <si>
    <t>An intro leads into a boat full of people flying on the water.</t>
  </si>
  <si>
    <t>The camera shows various angles of the boat moving along the water as well as close ups on the people on board.</t>
  </si>
  <si>
    <t>v_EavcvmrlVLQ</t>
  </si>
  <si>
    <t>We see men playing a game of soccer and scoring repeatedly indoors.</t>
  </si>
  <si>
    <t>We see a goalie jumping around and a man shoot and score.</t>
  </si>
  <si>
    <t>We see a happy young man fanning his shirt.</t>
  </si>
  <si>
    <t>v_UfYMJBu4HI0</t>
  </si>
  <si>
    <t>Apply the tiles in the same exact direction.</t>
  </si>
  <si>
    <t>The tile must be installed over the adhesive.</t>
  </si>
  <si>
    <t>Then roll immediately with a hundred-point roller.</t>
  </si>
  <si>
    <t>Cut tiles near the perimeter to ensure smooth installation.</t>
  </si>
  <si>
    <t>v_QWhn9Ncvvso</t>
  </si>
  <si>
    <t>A person shows bacon on a dish, then puts mayonnaise on two pieces of bread.</t>
  </si>
  <si>
    <t>Then, the person puts bacon on a bread and lettuce and tomato on the other bread, then spread peeper and form the sandwich.</t>
  </si>
  <si>
    <t>Next, the person cuts the sandwich in half, then takes a half and gives a bite.</t>
  </si>
  <si>
    <t>v_VGVIaQuhdcI</t>
  </si>
  <si>
    <t>A man uses a tool to even plaster on a wall.</t>
  </si>
  <si>
    <t>The man works on the wall below the visible frame of the camera.</t>
  </si>
  <si>
    <t>The man rises up in front of the camera and walks past it.</t>
  </si>
  <si>
    <t>v_oXFKaTlg3p0</t>
  </si>
  <si>
    <t>People are riding in a boat in the water.</t>
  </si>
  <si>
    <t>The boat is pulling a tube with a man behind it.</t>
  </si>
  <si>
    <t>The person flies off of the tube.</t>
  </si>
  <si>
    <t>The boat is pulling the same tube with several young people on it.</t>
  </si>
  <si>
    <t>A person water skis behind the boat.</t>
  </si>
  <si>
    <t>A jet ski passes by the boat then we see the passengers.</t>
  </si>
  <si>
    <t>v_Qzewn-dGdOI</t>
  </si>
  <si>
    <t>A man holding a red cape is standing in front of a bull.</t>
  </si>
  <si>
    <t>The bull hits him and knocks him to the ground.</t>
  </si>
  <si>
    <t>People carry the man off the arena.</t>
  </si>
  <si>
    <t>v_K_I5LyzD8m0</t>
  </si>
  <si>
    <t>A barber rubs shaving cream on a man's bald head.</t>
  </si>
  <si>
    <t>The barber stops to clean his hands with a towel.</t>
  </si>
  <si>
    <t>The barber grabs a razor and slowly shaves the head of the man.</t>
  </si>
  <si>
    <t>v_XP8pufIBsnM</t>
  </si>
  <si>
    <t>A young man bend to lift a weight to his shoulders, then he lifts the weight above his head.</t>
  </si>
  <si>
    <t>The young man lets the weight falls on the floor.</t>
  </si>
  <si>
    <t>After, the man flips, and then a man comes and hugs the young man.</t>
  </si>
  <si>
    <t>v_DhYJl8KAZN4</t>
  </si>
  <si>
    <t>An intro comes onto the screen giving information for a percussion company.</t>
  </si>
  <si>
    <t>A man begins to play a set of drums with the camera showing him from several different angles.</t>
  </si>
  <si>
    <t>The camera shows his foot using a pedal to play the drums.</t>
  </si>
  <si>
    <t>As the video ends the closing credits are displayed.</t>
  </si>
  <si>
    <t>v_Y4svcMuQgBw</t>
  </si>
  <si>
    <t>A woman talks and smiles while ironing a garment from a laundry room.</t>
  </si>
  <si>
    <t>A woman wearing a pink shirt and apron stands in a laundry room in front of a washer and dryer and talks facing the camera.</t>
  </si>
  <si>
    <t>The woman bends down to pick up a garment and then spreads it over an ironing table.</t>
  </si>
  <si>
    <t>The woman proceeds to iron the garment, stopping momentarily, to spray the garment with a liquid from a white spray bottle, then finishes ironing the garment and holds it to her face and cheeks and smiles.</t>
  </si>
  <si>
    <t>v_o0d1PXKkJqM</t>
  </si>
  <si>
    <t>There's a man in a pink shirt and a lady in a white tank top holding bagpipes in her hand.</t>
  </si>
  <si>
    <t>They are standing in a parking lot near a silver car.</t>
  </si>
  <si>
    <t>The lady begins playing her bagpipes as the man watches her play.</t>
  </si>
  <si>
    <t>She continues playing and after she's done, the man claps for her and gives her a hug.</t>
  </si>
  <si>
    <t>v_z9PXpyWbXk8</t>
  </si>
  <si>
    <t>The kid is standing in the court.</t>
  </si>
  <si>
    <t>The little girl is sitting at the other end of a mat.</t>
  </si>
  <si>
    <t>The young boy run towards the mat and jump over the pole.</t>
  </si>
  <si>
    <t>v_UdIoEWadRxI</t>
  </si>
  <si>
    <t>A woman bartender is standing behind a bar.</t>
  </si>
  <si>
    <t>An empty glass is in front of her as she talks.</t>
  </si>
  <si>
    <t>She adds ice to the glass with a scoop.</t>
  </si>
  <si>
    <t>She adds three different liquids from three bottles to the glass.</t>
  </si>
  <si>
    <t>She stirs and continues to talk about the drink.</t>
  </si>
  <si>
    <t>v_fnZIksNLUXA</t>
  </si>
  <si>
    <t>We see people on a boat and then see quick shots of people on a boat in diving gear.</t>
  </si>
  <si>
    <t>We see people under water diving.</t>
  </si>
  <si>
    <t>A man holds a white thing and touches it over and over.</t>
  </si>
  <si>
    <t>Above water people are on the boat and a person falls into the water, we see people underwater diving and looking at sealife at night.</t>
  </si>
  <si>
    <t>A person falls back into the water and we are underwater near a shipwreck in the day.</t>
  </si>
  <si>
    <t>The men get on the boat after they are done.</t>
  </si>
  <si>
    <t>v_I1P5GuVHFQA</t>
  </si>
  <si>
    <t>A man is seen speaking to the camera while holding up various objects and sharpening a stick.</t>
  </si>
  <si>
    <t>The man then puts a helmet on and attached the stick to a holder, leading into the man creating a spark and cutting an object.</t>
  </si>
  <si>
    <t>He pauses to speak more to the camera and looking down at the object to see how it turned out.</t>
  </si>
  <si>
    <t>v_n--IF_1qqYA</t>
  </si>
  <si>
    <t>A man is mowing his lawn, he has chickens in his coop.</t>
  </si>
  <si>
    <t>The time is speed up so quickly so it looks like it is in double time.</t>
  </si>
  <si>
    <t>He walks around the yard looking around.</t>
  </si>
  <si>
    <t>The yard looks very green and very nicely kept.</t>
  </si>
  <si>
    <t>v_0HrPpZa_xv8</t>
  </si>
  <si>
    <t>A cowboy on a horse runs after a cow.</t>
  </si>
  <si>
    <t>The cowboy jumps off the horse and runs after the cow.</t>
  </si>
  <si>
    <t>The cowboy ties the cow up.</t>
  </si>
  <si>
    <t>v_oRR1nIUPbjo</t>
  </si>
  <si>
    <t>A person is sitting in a raft going down a stream.</t>
  </si>
  <si>
    <t>There are multiple people in a raft going in the river.</t>
  </si>
  <si>
    <t>Someone falls into the water and gets helped back in.</t>
  </si>
  <si>
    <t>v_eMNvlcxXZj8</t>
  </si>
  <si>
    <t>They are stepping on stepping stools.</t>
  </si>
  <si>
    <t>They are dancing together while working out.</t>
  </si>
  <si>
    <t>v_MZQmJZ_31O0</t>
  </si>
  <si>
    <t>We see a ladies eye and noes up close.</t>
  </si>
  <si>
    <t>We see the lady in the desert spinning hula hoops and performing tricks.</t>
  </si>
  <si>
    <t>The lady hula hoops with 10 or so golden hula hoops.</t>
  </si>
  <si>
    <t>The lady spins the hoop on her hand then transfers it to her leg stretched upward and we see her in the gold hoops again.</t>
  </si>
  <si>
    <t>The lady spins her body in and out of the hoops and we see her in a handstand with the hula hoop on her feet.</t>
  </si>
  <si>
    <t>She is in the gold hoops as they fall to the ground she then spins many pink hoops from her hands to her feet and as a skirt.</t>
  </si>
  <si>
    <t>v_yauw3CrvbtY</t>
  </si>
  <si>
    <t>A man in a white shirt is standing next to a swimming pool.</t>
  </si>
  <si>
    <t>A man is holding a camera filming him go up the stairs.</t>
  </si>
  <si>
    <t>He stands on a diving board and jumps into the pool below him.</t>
  </si>
  <si>
    <t>He gets out of the water and walks to give hugs to people.</t>
  </si>
  <si>
    <t>v_y3r4IrZkgBo</t>
  </si>
  <si>
    <t>A woman is seen sitting on a tub with a towel wrapped around her and shaving her legs.</t>
  </si>
  <si>
    <t>She then laughs to the camera and runs out with a young boy pushing her to the floor.</t>
  </si>
  <si>
    <t>v_cz20Wqx9d4Q</t>
  </si>
  <si>
    <t>Two men are sitting at a picnic table getting ready to arm wrestle.</t>
  </si>
  <si>
    <t>Various people are watching from the sides and the men begin to arm wrestle.</t>
  </si>
  <si>
    <t>A man is interviewed by the cameraman and shows off his biceps to the camera.</t>
  </si>
  <si>
    <t>Two men continue talking to the camera and eventually begin arm wrestling again.</t>
  </si>
  <si>
    <t>They play various matches of arm wrestling and interview a woman onlooker who also wants to arm wrestle.</t>
  </si>
  <si>
    <t>The man lets her win their arm wrestling match and the girl seems giddy.</t>
  </si>
  <si>
    <t>v_1cccnJAK7TI</t>
  </si>
  <si>
    <t>A guy is tattooing a lady's upper arm.</t>
  </si>
  <si>
    <t>The lady is in pain.</t>
  </si>
  <si>
    <t>The guy whips with a white paper towel.</t>
  </si>
  <si>
    <t>v_W6y6Vmk5edg</t>
  </si>
  <si>
    <t>A gymnast is seen leaning across a long beam and begins performing a gymnastics routine.</t>
  </si>
  <si>
    <t>The girl flips and tricks along the beam while others watch on the side.</t>
  </si>
  <si>
    <t>The woman continues moving along the beam and ends by jumping off the side and walking off the stage.</t>
  </si>
  <si>
    <t>v_Z4biLo6k5fI</t>
  </si>
  <si>
    <t>The faucet showing is then a hand attached the hose and tighten the hose.</t>
  </si>
  <si>
    <t>A straw is attached to a tank.</t>
  </si>
  <si>
    <t>The woman is washing the dog with the hose in the bathtub.</t>
  </si>
  <si>
    <t>v_M2OoQFcDflU</t>
  </si>
  <si>
    <t>A tray of chips are shown on a table.</t>
  </si>
  <si>
    <t>A person is dealing cards onto the table.</t>
  </si>
  <si>
    <t>People sitting at the table give each other high fives.</t>
  </si>
  <si>
    <t>v_A6DBt7UgWEg</t>
  </si>
  <si>
    <t>A spinning disc with circles of color are shown, panning out a a film reel and the words films of india.</t>
  </si>
  <si>
    <t>A man is shown stretching before engaging in a tennis match in front of a crowd.</t>
  </si>
  <si>
    <t>He then speaks to the crowd amongst flashing cameras through a microphone.</t>
  </si>
  <si>
    <t>The man is occasionally shown playing tennis, then goes back to speaking to the group.</t>
  </si>
  <si>
    <t>v_Gl3okOVEwgg</t>
  </si>
  <si>
    <t>A man is standing at the foot of a large wall.</t>
  </si>
  <si>
    <t>He is stretching and staring at it looking like he might climb it.</t>
  </si>
  <si>
    <t>He looks up and down before putting a foot on the base of the wall.</t>
  </si>
  <si>
    <t>He then starts to climb higher and higher.</t>
  </si>
  <si>
    <t>He scales the wall very methodically.</t>
  </si>
  <si>
    <t>He eventually get to the very top with relative ease.</t>
  </si>
  <si>
    <t>v_-fuvIQpA-QQ</t>
  </si>
  <si>
    <t>A teen boy is standing in a kitchen, holding a pitcher and talking.</t>
  </si>
  <si>
    <t>He fills the pitcher with water at the sink.</t>
  </si>
  <si>
    <t>He then mixes a powder into the water, creating a drink mix.</t>
  </si>
  <si>
    <t>He ads alcohol, then drinks from the pitcher to test the flavor.</t>
  </si>
  <si>
    <t>v_nXr1r26HZis</t>
  </si>
  <si>
    <t>A group of people are inside a building.</t>
  </si>
  <si>
    <t>They are playing a game of foosball together.</t>
  </si>
  <si>
    <t>They kick the figures back and forth, trying to win the game.</t>
  </si>
  <si>
    <t>v_LslQvR_4bkk</t>
  </si>
  <si>
    <t>A man practice ice hockey throwing a disc with a stick.</t>
  </si>
  <si>
    <t>Then, the player scores in a game and he is congratulated by teammates.</t>
  </si>
  <si>
    <t>Other player talks and talks when score while men plays ice hockey.</t>
  </si>
  <si>
    <t>A player talks and teams are playing in the ice court, and players score.</t>
  </si>
  <si>
    <t>v_1JEQbXJC85w</t>
  </si>
  <si>
    <t>A man in tshirt leans on a kitchen counter next to bags of ingredients.</t>
  </si>
  <si>
    <t>The man presents each separate ingredient and holds them up showing each one.</t>
  </si>
  <si>
    <t>A pan of sliced sausage and peppers cooks on a stove.</t>
  </si>
  <si>
    <t>A pot of soup boils.</t>
  </si>
  <si>
    <t>Ingredients sit next to the stove top and are being used to prepare the food.</t>
  </si>
  <si>
    <t>A bowl of sliced vegetables has the pans ingredients added in.</t>
  </si>
  <si>
    <t>A bowl of colander of pasta is added into to bowl and shaken.</t>
  </si>
  <si>
    <t>A bag of cheese is held up.</t>
  </si>
  <si>
    <t>The man speaks up close to the camera.</t>
  </si>
  <si>
    <t>v_bJx4unQR6nU</t>
  </si>
  <si>
    <t>A woman talks in an office.</t>
  </si>
  <si>
    <t>The woman explains how she curls her hair.</t>
  </si>
  <si>
    <t>v_aT-0XxCqV5E</t>
  </si>
  <si>
    <t>A large group of people are seen standing and sitting around a sand pit while a runner jumps inside it.</t>
  </si>
  <si>
    <t>The man is shown several times jumping with people measuring his jump afterwards and raking the sand.</t>
  </si>
  <si>
    <t>v_w8LDUu66JWI</t>
  </si>
  <si>
    <t>Two cheerleaders exercise in a gym while talking.</t>
  </si>
  <si>
    <t>A cheerleader is in a room and then lift weight, while the other one talks on his phone.</t>
  </si>
  <si>
    <t>After, the cheerleaders talk and exercise.</t>
  </si>
  <si>
    <t>After, the cheerleaders exercise and also talk.</t>
  </si>
  <si>
    <t>v_UJfwaeMrZ7A</t>
  </si>
  <si>
    <t>A woman is on a concrete court outside.</t>
  </si>
  <si>
    <t>She is jumping across a chalk drawn hopscotch game.</t>
  </si>
  <si>
    <t>She goes back and forth over the puzzle twice.</t>
  </si>
  <si>
    <t>v_TqO-bmGQGiY</t>
  </si>
  <si>
    <t>Two dogs wearing clothing run together up stairs.</t>
  </si>
  <si>
    <t>The two dogs are shown running together amidst crowds in several different locations while following a man.</t>
  </si>
  <si>
    <t>The man teaches one dog to pull another by the leash.</t>
  </si>
  <si>
    <t>v_AVL31l6H1uI</t>
  </si>
  <si>
    <t>A lady in a suit talks in a white room.</t>
  </si>
  <si>
    <t>We see a man washing a car with a towel.</t>
  </si>
  <si>
    <t>We see the car being rinsed with a pressure washer and the wheel is wiped.</t>
  </si>
  <si>
    <t>the emblem appears on the screen as suds slip down a car.</t>
  </si>
  <si>
    <t>v_r6r4Q9jLFvs</t>
  </si>
  <si>
    <t>A man is standing in a room with three walls and a glass wall behind him hitting a ball with a racket.</t>
  </si>
  <si>
    <t>A series of words are then shown as well as a YouTube video.</t>
  </si>
  <si>
    <t>The next screen comes around with a large hot air balloon and animated cars.</t>
  </si>
  <si>
    <t>v_rVRNX-fClE4</t>
  </si>
  <si>
    <t>A blurry object is shown and white text shows up that reads "Fun Shoe Shine".</t>
  </si>
  <si>
    <t>As the picture becomes more clear there is a small silver can with a screw on lid and the writing on the can say's "Dr Martens AirWair".</t>
  </si>
  <si>
    <t>A pair of shiny black boots are standing and their black shoelaces are tied and the text "After" appears on the front left area of the boot.</t>
  </si>
  <si>
    <t>A few angles of the boots are shown and various words pop up in front of them.</t>
  </si>
  <si>
    <t>A person is then seen wiping the boot down with a cloth and more texts show up.</t>
  </si>
  <si>
    <t>A close up of the silver can being opened by a hand is showing the contents in it and how to use the contents on a boot.</t>
  </si>
  <si>
    <t>The can is then screwed tight again and the texts "See you next time" ends the video.</t>
  </si>
  <si>
    <t>Pop up texts occur throughout the entire time.</t>
  </si>
  <si>
    <t>v_U4UHEGNFyz8</t>
  </si>
  <si>
    <t>A person is riding a bike down a dirt track.</t>
  </si>
  <si>
    <t>A little boy wearing red is riding a small bike down the track.</t>
  </si>
  <si>
    <t>A person falls down at the end.</t>
  </si>
  <si>
    <t>v_3jEnu5mEYA4</t>
  </si>
  <si>
    <t>Food sizzling in hot oil in a black skillet on the stove, a long stemmed spoon sits in the skillet.</t>
  </si>
  <si>
    <t>Onions are added to the skillet.</t>
  </si>
  <si>
    <t>the skillet is stirred and the spoon removed.</t>
  </si>
  <si>
    <t>Salt is added and stirred in.</t>
  </si>
  <si>
    <t>The skillet gently sizzles as the mix cooks.</t>
  </si>
  <si>
    <t>Spices are added to the skillet.</t>
  </si>
  <si>
    <t>The flame is visible as the skillet sizzles more vigorously, the skillet is stirred and the food is browning.</t>
  </si>
  <si>
    <t>4 eggs are broken into the skillet.</t>
  </si>
  <si>
    <t>The mixture is stirred and left to cook.</t>
  </si>
  <si>
    <t>Pasta is poured and stirred in to the mixture from a sieve.</t>
  </si>
  <si>
    <t>It is left to cook more.</t>
  </si>
  <si>
    <t>It is now plated and fresh herbs are sprinkled on top.</t>
  </si>
  <si>
    <t>v_TcGhRsPTTRE</t>
  </si>
  <si>
    <t>A man is seen walking around an area pointing to himself and speaking to the camera.</t>
  </si>
  <si>
    <t>The man then begins performing various martial arts moves and kicking towards the camera.</t>
  </si>
  <si>
    <t>The man continues moving around while the camera captures his movements.</t>
  </si>
  <si>
    <t>v_hgzyQ_jHeJc</t>
  </si>
  <si>
    <t>A gymnast bows before walking up to the beam.</t>
  </si>
  <si>
    <t>He mounts the beam and begins to perform.</t>
  </si>
  <si>
    <t>He spins around the beam multiple times.</t>
  </si>
  <si>
    <t>He jumps off the beam in a finale.</t>
  </si>
  <si>
    <t>v_HysxcMFrTkc</t>
  </si>
  <si>
    <t>A group of men dressed as redcoats march onto a stage.</t>
  </si>
  <si>
    <t>We then see a woman holding a flag in the center and many women alongside her as they jump on a massive jumprope.</t>
  </si>
  <si>
    <t>They perform many jumping and flipping tricks with the ropes, bringing in more ropes every few minutes.</t>
  </si>
  <si>
    <t>When they finish, they freeze in a pose and the screen turns black.</t>
  </si>
  <si>
    <t>v_B-KSdR2ct00</t>
  </si>
  <si>
    <t>A woman is brushing her teeth.</t>
  </si>
  <si>
    <t>A woman approaches behind her.</t>
  </si>
  <si>
    <t>The woman stops brushing her teeth.</t>
  </si>
  <si>
    <t>A woman smiles really big.</t>
  </si>
  <si>
    <t>v_Ds-LrRrLj9c</t>
  </si>
  <si>
    <t>A little girl wearing a brown bow is standing in front of the sink brushing her teeth.</t>
  </si>
  <si>
    <t>The little girl,then turns the water on and spits several times in the sink.</t>
  </si>
  <si>
    <t>Finally,she puts the brush down,rinses her mouth and dries it with a brown towel.</t>
  </si>
  <si>
    <t>v_QLsdBUBpz_8</t>
  </si>
  <si>
    <t>A small child is seen sitting on top of a slide and looking back towards the camera.</t>
  </si>
  <si>
    <t>The boy then pushes himself backwards down the slide while turning over in the end and jumping off.</t>
  </si>
  <si>
    <t>v_ri5WJu1K0ak</t>
  </si>
  <si>
    <t>A young girl is seen speaking to the camera and begins playing with her hair.</t>
  </si>
  <si>
    <t>She pins up her and puts put a headband in her hair.</t>
  </si>
  <si>
    <t>She then puts in more fake hair as well as doing her makeup.</t>
  </si>
  <si>
    <t>She points to the camera in the end and smiles.</t>
  </si>
  <si>
    <t>v_8yFimnZ8XhA</t>
  </si>
  <si>
    <t>A girl is sitting in a tube surrounded by a large group of people also sitting on tubes.</t>
  </si>
  <si>
    <t>The camera pans around to the various people sitting in the tubes.</t>
  </si>
  <si>
    <t>The girl jumps out of her tube and finds herself swimming in the water.</t>
  </si>
  <si>
    <t>v_MEbEcvzdytY</t>
  </si>
  <si>
    <t>A woman in a red workout shirt is talking about the benefits of an elliptical cross trainer.</t>
  </si>
  <si>
    <t>Another woman in a pink tank top is demonstrating the use of the elliptical.</t>
  </si>
  <si>
    <t>The woman in red continues explaining the use of the elliptical.</t>
  </si>
  <si>
    <t>Then a demonstration of how the legs must move on the elliptical is shown.</t>
  </si>
  <si>
    <t>The woman in red further explains benefits of the workout with an elliptical.</t>
  </si>
  <si>
    <t>The woman on the machine continues to show the viewers the correct way to exercising on the elliptical.</t>
  </si>
  <si>
    <t>The host then concludes the tutorial.</t>
  </si>
  <si>
    <t>v_ZMG8WE3Y22k</t>
  </si>
  <si>
    <t>Several pictures of different individual are shown white water rafting as an intro for a video.</t>
  </si>
  <si>
    <t>Men then arrive in a field and take the rafts out before more pictures are shown.</t>
  </si>
  <si>
    <t>The men then stand in the field with their paddles and actually get in the raft demonstrating the proper way to row.</t>
  </si>
  <si>
    <t>Finally,they are in the water and all of them begin to paddle throughout the water.</t>
  </si>
  <si>
    <t>More people join them and they eventually get out of the water and walk back to land.</t>
  </si>
  <si>
    <t>v_Io8EwPbNUbE</t>
  </si>
  <si>
    <t>A video tutorial is shown of a family doing dishes at a campsite.</t>
  </si>
  <si>
    <t>Everything is thrown into two buckets.</t>
  </si>
  <si>
    <t>One with soap and the other to rinse.</t>
  </si>
  <si>
    <t>v_b40ECuGuck8</t>
  </si>
  <si>
    <t>Woman throws a throwing knife at board.</t>
  </si>
  <si>
    <t>Three men throw knives.</t>
  </si>
  <si>
    <t>Knives hit a board.</t>
  </si>
  <si>
    <t>Two men throw throwing knives backwards.</t>
  </si>
  <si>
    <t>Man throws throwing knife.</t>
  </si>
  <si>
    <t>Woman throws throwing knife.</t>
  </si>
  <si>
    <t>A man and woman throw throwing knives.</t>
  </si>
  <si>
    <t>Man throws knife while laying down.</t>
  </si>
  <si>
    <t>Man demonstrates techniques to students.</t>
  </si>
  <si>
    <t>Dojo members practice techniques.</t>
  </si>
  <si>
    <t>Dojo members bow to the man.</t>
  </si>
  <si>
    <t>v_TakNLlCbjvw</t>
  </si>
  <si>
    <t>A child walks by a hopscotch pattern.</t>
  </si>
  <si>
    <t>The child puts her palms on the hopscotch pattern.</t>
  </si>
  <si>
    <t>The child hops on the hopscotch pattern.</t>
  </si>
  <si>
    <t>v_lu1bVIcDn4c</t>
  </si>
  <si>
    <t>A young woman is standing behind a counter with a black skillet on it.</t>
  </si>
  <si>
    <t>In her hands,she is holding two onions then the video rapidly shows her with a tomato,rutabaga and a bag of Cathedral City mature cheddar.</t>
  </si>
  <si>
    <t>Next,she begins cutting each of the ingredients and adds butter to a skillet.</t>
  </si>
  <si>
    <t>After it is fried for five minutes,the mushrooms go in the pot and three eggs are cracked.</t>
  </si>
  <si>
    <t>The rest of the contents are added into a measuring cup then eventually all of the contents are poured into a frying pan.</t>
  </si>
  <si>
    <t>After sometime,an omelette is created and put on a plate along with two slices of toast.</t>
  </si>
  <si>
    <t>v_V9LQVhq2ePE</t>
  </si>
  <si>
    <t>A camera pans away from a sign and leads into people pushing material around a floor.</t>
  </si>
  <si>
    <t>A bend bends down around a floor and pushes the material around the room.</t>
  </si>
  <si>
    <t>In the end the camera pans around the finished floor.</t>
  </si>
  <si>
    <t>v_G12fEYNjIR0</t>
  </si>
  <si>
    <t>Team USA Women are in the Olympics.</t>
  </si>
  <si>
    <t>Tracy,Natalie, Nicole,Allison and Debbie are group photographed in multiple scenes.</t>
  </si>
  <si>
    <t>As Team USA scores,the team mates hug.</t>
  </si>
  <si>
    <t>v_zGwcX0S4DVA</t>
  </si>
  <si>
    <t>People are riding camels in the desert.</t>
  </si>
  <si>
    <t>People are walking alongside camels.</t>
  </si>
  <si>
    <t>A lady looks down and to the side of her camel.</t>
  </si>
  <si>
    <t>v_RbbjYXAxaPI</t>
  </si>
  <si>
    <t>A large crowd sits in a theater clapping and watching.</t>
  </si>
  <si>
    <t>Two women are seen on stage dancing.</t>
  </si>
  <si>
    <t>One of the women shows her talent balancing swords on her different parts of her body.</t>
  </si>
  <si>
    <t>v_W_LjBXWG7wI</t>
  </si>
  <si>
    <t>Several shots of beaches are shown and leads into women in bikinis playing a game of volley ball.</t>
  </si>
  <si>
    <t>The girls continue playing then sit on the sides and touch each other's legs.</t>
  </si>
  <si>
    <t>They then put lotion all over their legs and begins shaving their legs and holding the ball laughing in the end.</t>
  </si>
  <si>
    <t>v_4x08i2_AYKo</t>
  </si>
  <si>
    <t>A man walks on stilts into a park.</t>
  </si>
  <si>
    <t>Turns to his right and walks pass a row of benches.</t>
  </si>
  <si>
    <t>The man speeds up then returns to his initial speed.</t>
  </si>
  <si>
    <t>The man reaches the park's sign and comes to a stop.</t>
  </si>
  <si>
    <t>v_K_0DLTcFy-8</t>
  </si>
  <si>
    <t>A man with a thick mustache is dressed in winter clothing is sitting on a white bucket turned upside down on a frozen body of water as he drinks a beer from a blue can and talking.</t>
  </si>
  <si>
    <t>The man then picks up his fishing pole and pulls on the fishing wire that's in the fishing hole in front of him,holds the wire up, then puts it back in the hole while he's still talking.</t>
  </si>
  <si>
    <t>The man then gets off of his bucket and while on his two knees he puts his fingers in and out of the fishing hole and keeps talking.</t>
  </si>
  <si>
    <t>v_BAgUUUOGaxI</t>
  </si>
  <si>
    <t>A man is seen sitting in a busy city square playing an accordion while others watch.</t>
  </si>
  <si>
    <t>The man continues playing as people walk around and notice.</t>
  </si>
  <si>
    <t>v_nM_6V_Z6IwI</t>
  </si>
  <si>
    <t>A man is in front of a mirror.</t>
  </si>
  <si>
    <t>He is covering his face in a white liquid substance.</t>
  </si>
  <si>
    <t>He then disappears for a while, and returns with a wet but clean face.</t>
  </si>
  <si>
    <t>v_PLPUWZ7XZDo</t>
  </si>
  <si>
    <t>She grabs a while bar and holds it next to her.</t>
  </si>
  <si>
    <t>She puts the bar down and picks up a kettle bell.</t>
  </si>
  <si>
    <t>She lifts the kettle bell and puts it back down.</t>
  </si>
  <si>
    <t>She then picks it back up and lifts it up and down several times in front of her.</t>
  </si>
  <si>
    <t>v_IWHN3TD8mMQ</t>
  </si>
  <si>
    <t>A woman introduces herself to the camera and begins to talk about the topic of the video, pasta.</t>
  </si>
  <si>
    <t>The camera shows the ingredients that go into cooking pasta.</t>
  </si>
  <si>
    <t>The woman drops salt in a pot of water and turns the burners on.</t>
  </si>
  <si>
    <t>Once, boiling, she adds the pasta in the pot.</t>
  </si>
  <si>
    <t>She stirs the pasta, and then empties the pot in a colander once the pasta is al dente.</t>
  </si>
  <si>
    <t>She returns the pasta to the pot and adds olive oil.</t>
  </si>
  <si>
    <t>v_POafWgyeV0I</t>
  </si>
  <si>
    <t>A woman and male sports news reporter, report, during a live newscast, from behind a newscast table, on a story about the dangers of dodgeball in schools and whether or not a dodge ball hurts more than a soccer ball when hit with one or the other.</t>
  </si>
  <si>
    <t>Two newscasters talk to each other from behind a newscast table.</t>
  </si>
  <si>
    <t>The clip switches to display a series of video clips of different children playing dodgeball in gymnasiums and being hit by the dodgeball.</t>
  </si>
  <si>
    <t>The woman reporter then takes a group of men out to a enclosed, paved area, outdoors, and proceeds to throw both a dodgeball and soccer ball at them, at which point several of the men display that they have been hit and hurt by both balls.</t>
  </si>
  <si>
    <t>v_aG5kKRuw0Fk</t>
  </si>
  <si>
    <t>A large group of women are seen standing on a stage hitting drums while another group of men play behind them.</t>
  </si>
  <si>
    <t>The group continuously plays in front of a large crowd and ends with credits rolling along the screen.</t>
  </si>
  <si>
    <t>v_ZJWLTokAJbo</t>
  </si>
  <si>
    <t>A young woman is shown exercising on a black elliptical.</t>
  </si>
  <si>
    <t>She continues exercising and a close up of the machine is shown.</t>
  </si>
  <si>
    <t>Finally,she takes a sip of her water as she finishes her brisk workout and then Golds Gym appears in the middle of the screen.</t>
  </si>
  <si>
    <t>v_TQco5PWc2JU</t>
  </si>
  <si>
    <t>A man is seen speaking to the camera and leads into him with shaving cream.</t>
  </si>
  <si>
    <t>He then holds up a razor and begins shaving his face while old shots of movies are shown.</t>
  </si>
  <si>
    <t>The men continues shaving and ends with text across the screen.</t>
  </si>
  <si>
    <t>v_Y4pyUctR49I</t>
  </si>
  <si>
    <t>A patient sitting in a hospital chair in a hospital room gets her nails done by a manicurist who is wearing a green blouse.</t>
  </si>
  <si>
    <t>The patient is listening to music as she is moving her feet to the rhythm of some music.</t>
  </si>
  <si>
    <t>v_i887uArWX9w</t>
  </si>
  <si>
    <t>We see a game of Foosball being played.</t>
  </si>
  <si>
    <t>We pan up and see the players.</t>
  </si>
  <si>
    <t>We see the players on the left.</t>
  </si>
  <si>
    <t>A person spins the second from right bar.</t>
  </si>
  <si>
    <t>v_C4V6fqELvPY</t>
  </si>
  <si>
    <t>A fast motion video shows a young boy beginning to climb across a set of monkey bars.</t>
  </si>
  <si>
    <t>The boy makes it across and jumps down while another person attempts right behind him.</t>
  </si>
  <si>
    <t>v_9FJwDxnlW7Y</t>
  </si>
  <si>
    <t>A middle aged man is shoveling snow on a sidewalk while a medium sized brown dog chases the shovel.</t>
  </si>
  <si>
    <t>The man throws the snow and turns the other way to repeat the shoveling while the dog continues to chase the shovel.</t>
  </si>
  <si>
    <t>At the end of the sidewalk near a driveway a young woman in a black snowsuit lying on her stomach sees the dog chasing the shovel and laughs.</t>
  </si>
  <si>
    <t>The man now turns and runs down the sidewalk shoveling the snow again and the dog runs along with him.</t>
  </si>
  <si>
    <t>The man does not turn around and shovel the sidewalk again, but carries the snow in the shovel and walks away from the dog.</t>
  </si>
  <si>
    <t>The dog trails behind as if tired.</t>
  </si>
  <si>
    <t>v_nGYqSqf0yCY</t>
  </si>
  <si>
    <t>People are standing on a stage.</t>
  </si>
  <si>
    <t>They start playing a game of rock paper scissors.</t>
  </si>
  <si>
    <t>Men standing in referee shirts are standing behind them.</t>
  </si>
  <si>
    <t>v_WtBr459dWY4</t>
  </si>
  <si>
    <t>woman wearing a red shirt is holdgina ball and is trying to throw the ball to someone when somebody throw her a ball and now she gots two and throw them.</t>
  </si>
  <si>
    <t>man is holding a red ball and is walking in a wooden court and throw the ball.</t>
  </si>
  <si>
    <t>people are playing dodgeball in a roofedwooden gym.</t>
  </si>
  <si>
    <t>v_PV5Y3NeR5yQ</t>
  </si>
  <si>
    <t>A girl is standing outside in the middle of the road doing tricks with a hula hoop,moving it around her hips and her arms.</t>
  </si>
  <si>
    <t>While she is performing,a woman is sitting behind her with her bags on the ground.</t>
  </si>
  <si>
    <t>When the girl is finished performing,she grabs a beanie,holds it up and then starts to ask for money from the crowd of people who was watching her.</t>
  </si>
  <si>
    <t>v_NzMZlzy5Q9A</t>
  </si>
  <si>
    <t>Two sumo wrestlers are shown in a ring as spectators and a referee watch.</t>
  </si>
  <si>
    <t>The wrestlers crouch down and run into each other.</t>
  </si>
  <si>
    <t>They briefly wrestle while one man gets thrown out of the ring.</t>
  </si>
  <si>
    <t>The winner performs a hand signal with the referee.</t>
  </si>
  <si>
    <t>The loser walks in the back as they show a replay of the win.</t>
  </si>
  <si>
    <t>The video ends with the host interviewing the loser, and showing the sumo ring.</t>
  </si>
  <si>
    <t>v_j0FMv4RDpEk</t>
  </si>
  <si>
    <t>Men are working on a roof.</t>
  </si>
  <si>
    <t>A man is spraying the paste on the roof, a male is handing off the pieces, and a guy is adding the pieces to the pasted area on the roof.</t>
  </si>
  <si>
    <t>A person is spraying the paste on the roof pieces.</t>
  </si>
  <si>
    <t>v_aCJHnvM0Mkc</t>
  </si>
  <si>
    <t>A young Asian boy is standing in a living room with a mop in his hand.</t>
  </si>
  <si>
    <t>The boy bends down,picks up a spray bottle and squirts it on the floor.</t>
  </si>
  <si>
    <t>He then moves the broom back and forth and cleans the floor.</t>
  </si>
  <si>
    <t>v_qcYRPEEitZU</t>
  </si>
  <si>
    <t>A woman sits in front of a large crowd while holding shaving cream and a razor.</t>
  </si>
  <si>
    <t>Another man is seen on stage shaving his face and the woman begins shaving her legs.</t>
  </si>
  <si>
    <t>The crowd cheers them on for the shaving competition.</t>
  </si>
  <si>
    <t>v_mxY7J50ItrU</t>
  </si>
  <si>
    <t>A small group of people are seen standing side by side with one another punching a bag one after the other.</t>
  </si>
  <si>
    <t>Many people are then shown kicking the bags next to one another.</t>
  </si>
  <si>
    <t>v_wkJWeSw8FSE</t>
  </si>
  <si>
    <t>A man stands lighting a stick with campers in the background and a fire blazing.</t>
  </si>
  <si>
    <t>He sticks the cone into the fire and the end of the stick begins to catch fire.</t>
  </si>
  <si>
    <t>v_xATeffo_kP4</t>
  </si>
  <si>
    <t>A close up of a fooseball table is shown as well as people playing on the table.</t>
  </si>
  <si>
    <t>The game continues on as the people use the bars to move the game as the ball moves back and fourth.</t>
  </si>
  <si>
    <t>v_jCd-VeMUwRg</t>
  </si>
  <si>
    <t>A group of people are wearing snorkeling gear in the edge of the ocean water.</t>
  </si>
  <si>
    <t>They are then seen under the water, exploring and looking at fish.</t>
  </si>
  <si>
    <t>They reach out to touch the fish as they swim by.</t>
  </si>
  <si>
    <t>v_n1KeC6NXPUA</t>
  </si>
  <si>
    <t>A girl is playing on a playground.</t>
  </si>
  <si>
    <t>She goes backwards on the monkey bars.</t>
  </si>
  <si>
    <t>She shows her hands to the camera and continues talking.</t>
  </si>
  <si>
    <t>v_aivuk1LvDv8</t>
  </si>
  <si>
    <t>A woman is playing a classical song on the piano in a black and white film.</t>
  </si>
  <si>
    <t>She begins to speed up the pace of the music she is playing.</t>
  </si>
  <si>
    <t>The camera shows her playing the piano from overhead.</t>
  </si>
  <si>
    <t>The audience applauds for the woman and the video ends.</t>
  </si>
  <si>
    <t>v_GWRqx0obKzA</t>
  </si>
  <si>
    <t>A group pose smiling for the camera.</t>
  </si>
  <si>
    <t>A group wave to the camera while more people in the background walk through the water.</t>
  </si>
  <si>
    <t>The group go rafting on the water.</t>
  </si>
  <si>
    <t>They wave again to the camera.</t>
  </si>
  <si>
    <t>The group are shown in their raft as they sail along the river.</t>
  </si>
  <si>
    <t>They are shown taking a break in the river.</t>
  </si>
  <si>
    <t>POV footage from one of the rafters.</t>
  </si>
  <si>
    <t>The group is out of the river and hiking.</t>
  </si>
  <si>
    <t>v_sfPGQnxbJ3U</t>
  </si>
  <si>
    <t>men are in front of a mirror in a room.</t>
  </si>
  <si>
    <t>man is alone practicing kicks and punches.</t>
  </si>
  <si>
    <t>man wearing white shirt is stretching her legs bind the other man.</t>
  </si>
  <si>
    <t>v_bNvAqFcKzqU</t>
  </si>
  <si>
    <t>A large group of people are seen wandering around a city square with a young child in the middle playing an instrument.</t>
  </si>
  <si>
    <t>The boy plays a saxophone while people walk past him and put money down.</t>
  </si>
  <si>
    <t>The boy continues playing while the camera captures his movements and others stop to watch.</t>
  </si>
  <si>
    <t>v_xWxpAaPhknA</t>
  </si>
  <si>
    <t>People are jumping off diving boards into the pool below them.</t>
  </si>
  <si>
    <t>They are walking up a set of stairs to get to the diving board.</t>
  </si>
  <si>
    <t>A person does a back flip into the water.</t>
  </si>
  <si>
    <t>v_b7Q-Jj9ZEH0</t>
  </si>
  <si>
    <t>The little girl slide down the yellow slide and fell on the pool of balls.</t>
  </si>
  <si>
    <t>The girl reach out the a hand as she climbs on the top of the slide.</t>
  </si>
  <si>
    <t>The girl slide down again and fell on the pool of ball but on her stomach.</t>
  </si>
  <si>
    <t>v_N7kI8J6vfL8</t>
  </si>
  <si>
    <t>Girls are going down a small red slide.</t>
  </si>
  <si>
    <t>A man in a red shirt is standing behind them.</t>
  </si>
  <si>
    <t>He walks away towards the house.</t>
  </si>
  <si>
    <t>v_iIhEO_NA8gk</t>
  </si>
  <si>
    <t>A young girl is outside running down the road between a forest and then ends up in the airport.</t>
  </si>
  <si>
    <t>She is sitting down playing on her iPad and then begins to board an airplane.</t>
  </si>
  <si>
    <t>The plane lands and she is in a cabin and begins skiing at a resort.</t>
  </si>
  <si>
    <t>As she is skating,she changes her skis and the screen is covered with a grey static like film and the person continues with her snow activities.</t>
  </si>
  <si>
    <t>v_mZ6iJfRokTw</t>
  </si>
  <si>
    <t>A man is floating in the ocean water talking.</t>
  </si>
  <si>
    <t>He then talks to a group of people while drinking an energy drink.</t>
  </si>
  <si>
    <t>He bungee jumps off the side of a bridge.</t>
  </si>
  <si>
    <t>He is talking to the camera as he swings above the water.</t>
  </si>
  <si>
    <t>v_bULPHJydFTQ</t>
  </si>
  <si>
    <t>We see a locker room, and the title screen.</t>
  </si>
  <si>
    <t>We see a man winding up to throw the hammer in track and field on his third attempt.</t>
  </si>
  <si>
    <t>After it's thrown we see men measuring the distance.</t>
  </si>
  <si>
    <t>We then see his fifth attempt and the measuring.</t>
  </si>
  <si>
    <t>We then see his sixth attempt and measuring.</t>
  </si>
  <si>
    <t>The camera zooms in on the man as he shakes another mans hand.</t>
  </si>
  <si>
    <t>We then see 8 men standing on platforms holding plaques.</t>
  </si>
  <si>
    <t>v_J6ScF5n_Cug</t>
  </si>
  <si>
    <t>A young girl plays the clarinet.</t>
  </si>
  <si>
    <t>The girl pauses for a second to flip her music sheet standing in front of her.</t>
  </si>
  <si>
    <t>The young girl resumes playing her clarinet.</t>
  </si>
  <si>
    <t>The girl stops and looking pleased with her performance.</t>
  </si>
  <si>
    <t>v_KuAVv3uS4zc</t>
  </si>
  <si>
    <t>Several intros lead into a bike race between 3 men on bikes.</t>
  </si>
  <si>
    <t>One crashes hard while the others pass and continue the race.</t>
  </si>
  <si>
    <t>All men continue to ride through the track until one eventually wins while one chases him.</t>
  </si>
  <si>
    <t>v_lUk_dSjmIgM</t>
  </si>
  <si>
    <t>A young girl is cleaning the sink.</t>
  </si>
  <si>
    <t>The girl gets her shirt all wet.</t>
  </si>
  <si>
    <t>The girl points to the drain of the sink.</t>
  </si>
  <si>
    <t>v_C53reDr47oU</t>
  </si>
  <si>
    <t>A young child is shown rubbing glitter all over his lips and walking over to a mirror.</t>
  </si>
  <si>
    <t>He continues putting the gloss on his lips and smacking his lips and finally turning towards the camera to speak.</t>
  </si>
  <si>
    <t>v_WElK913B33U</t>
  </si>
  <si>
    <t>A man and a woman works out the a cardio machine.</t>
  </si>
  <si>
    <t>The stride length of the pedal is displayed in the screen.</t>
  </si>
  <si>
    <t>Then, the man comes to meet the woman that exercise.</t>
  </si>
  <si>
    <t>Then the man exercise, and the muscles of the abdomen are shown.</t>
  </si>
  <si>
    <t>The steps of the machine and the screen panel is shown.</t>
  </si>
  <si>
    <t>v_OmIcycXGkG8</t>
  </si>
  <si>
    <t>A girl and a boy play ping pong in a basement type room with a ping pong table and florescent lights for lighting.</t>
  </si>
  <si>
    <t>The boy walks up to the camera for a close up.</t>
  </si>
  <si>
    <t>The boy and girl begin to play ping pong again.</t>
  </si>
  <si>
    <t>v_HUvBb3Hmir8</t>
  </si>
  <si>
    <t>The young girl in gray shirt is brushing the thong, while the female in blue t-shirt is washing the pans, and the other girl is holding a sponge.</t>
  </si>
  <si>
    <t>The older girl in blue is washing the knife, while the other one is wiping the bowl.</t>
  </si>
  <si>
    <t>The girls put the clean dishes on the rack to dry it.</t>
  </si>
  <si>
    <t>v_mzXRehGBEOg</t>
  </si>
  <si>
    <t>A woman smiles at the camera.</t>
  </si>
  <si>
    <t>The woman rinses a toothbrush under water.</t>
  </si>
  <si>
    <t>The woman applies toothpaste to the toothbrush.</t>
  </si>
  <si>
    <t>The woman demonstrates brushing her teeth.</t>
  </si>
  <si>
    <t>The woman rinses the toothbrush under water again.</t>
  </si>
  <si>
    <t>The woman rinses her mouth with a glass of water.</t>
  </si>
  <si>
    <t>The woman towels her mouth and shows her teeth.</t>
  </si>
  <si>
    <t>v_dojDT4CtenU</t>
  </si>
  <si>
    <t>A group of athletes are shown standing on a mound, while one throws a ball to another player.</t>
  </si>
  <si>
    <t>The batter hits the ball into the stands and the moment is recaptured in 3-d.</t>
  </si>
  <si>
    <t>A reporter comments how amazing the hit was and replays it from various angles.</t>
  </si>
  <si>
    <t>The player is interviewed by a reporter and once again has his moment shown on tv.</t>
  </si>
  <si>
    <t>v_cpy_BFGQoQ8</t>
  </si>
  <si>
    <t>Inside of a rock climbing store men are gathered around a jumping on a rope.</t>
  </si>
  <si>
    <t>The man in the green does some tricks and then a man in a hoodie jumps and walks on it.</t>
  </si>
  <si>
    <t>Someone has a camera and everyone is scattered around doing their own thing.</t>
  </si>
  <si>
    <t>The man in the green continues to jump on the rope until he take it down.</t>
  </si>
  <si>
    <t>v_pq2xsK79FcQ</t>
  </si>
  <si>
    <t>A track and field long jumper from the Florida Gators dressed in blue and orange prepares to make his run while other participants, coaches and officials congregate around the track and field course.</t>
  </si>
  <si>
    <t>The Florida Gator long jumper begins his run with a gradual forward walk then a skip and a fast sprint to the sand pit jumping marker.</t>
  </si>
  <si>
    <t>The Florida Gator long jumper jumps and flies through the air and lands in the sand.</t>
  </si>
  <si>
    <t>The camera pans to the score board showing the long jumpers results.</t>
  </si>
  <si>
    <t>v_Tz5eN8gV6F4</t>
  </si>
  <si>
    <t>An intro starts and leads to a woman standing next to a German Sheppard on a table.</t>
  </si>
  <si>
    <t>A fast motion watch around of the shop occurs then shows the woman brushing the dog with several instruments.</t>
  </si>
  <si>
    <t>She pets the dog a bit while continuing to brush him and talking to the camera.</t>
  </si>
  <si>
    <t>v_15HUSdsIHxg</t>
  </si>
  <si>
    <t>Little girls performs holding sticks moving around an spinning the sticks.</t>
  </si>
  <si>
    <t>The little girls hold the sticks up and jump turning around.</t>
  </si>
  <si>
    <t>Two women walk toward the door.</t>
  </si>
  <si>
    <t>After, the little girls spins on the floor, then continue jumping and spinning around.</t>
  </si>
  <si>
    <t>Next, the girls get together to salute.</t>
  </si>
  <si>
    <t>v_2x-Xqt98Ek4</t>
  </si>
  <si>
    <t>A man plays tam-tam, and then he talks with crossed hands on a tan-tam.</t>
  </si>
  <si>
    <t>Then, the man plays tam-tam with his right hand and plays with sticks with the left hand.</t>
  </si>
  <si>
    <t>v_E-XerA_sOjw</t>
  </si>
  <si>
    <t>A man walks out onto a playing field with a large Dalmatian.</t>
  </si>
  <si>
    <t>The man stops and throws the frisbee and returns it to the man.</t>
  </si>
  <si>
    <t>The dog runs around in circles on the field with the frisbee.</t>
  </si>
  <si>
    <t>v_Tvzd_WIvBU4</t>
  </si>
  <si>
    <t>A person is cutting cordwood using a log splitter.</t>
  </si>
  <si>
    <t>The wood remaining is shown and stumps are cut up.</t>
  </si>
  <si>
    <t>v_lgwDuuJy2zY</t>
  </si>
  <si>
    <t>A camera pans all around a lake and shows a person riding around on a canoe.</t>
  </si>
  <si>
    <t>The person gets stuck before a rock and finally paddles themselves past.</t>
  </si>
  <si>
    <t>The person continues to get stuck around the area but moves down successfully.</t>
  </si>
  <si>
    <t>v_di8Vr1fzUh8</t>
  </si>
  <si>
    <t>The man in suit is talking to the camera as people are behind him.</t>
  </si>
  <si>
    <t>The older man throw his darts on the dartboard and three darts landed on one place.</t>
  </si>
  <si>
    <t>The man positioned himself then throw the darts in the board and the darts are away from each other.</t>
  </si>
  <si>
    <t>The man continue to hit the board with darts.</t>
  </si>
  <si>
    <t>v_XoeGnEtEq3U</t>
  </si>
  <si>
    <t>The camera pans around a large group of women sitting in chair knitting and speaking to one another.</t>
  </si>
  <si>
    <t>Several shots are shown of women knitting and leading back into people helping one another knit and more pictures shown.</t>
  </si>
  <si>
    <t>v_2FRzNpVz6f8</t>
  </si>
  <si>
    <t>A bunch of teammates are riding horses on the field.</t>
  </si>
  <si>
    <t>They are playing a game of polo.</t>
  </si>
  <si>
    <t>The people run on their horses, trying to hit the ball.</t>
  </si>
  <si>
    <t>v_aXI9v77XV7A</t>
  </si>
  <si>
    <t>A man is talking in front of a rock climbing wall.</t>
  </si>
  <si>
    <t>He starts climbing the rock climbing wall.</t>
  </si>
  <si>
    <t>A man in a yellow hat is talking.</t>
  </si>
  <si>
    <t>He climbs up the wall.</t>
  </si>
  <si>
    <t>Several people are climbing up the rock climbing wall.</t>
  </si>
  <si>
    <t>v_XnBUb3qoFQM</t>
  </si>
  <si>
    <t>A man wearing black bathing trunks sitting on an inner tube as it slides down a tubing slide.</t>
  </si>
  <si>
    <t>A man wearing dark trunks stands on an enclosed water slide ride at a water park.</t>
  </si>
  <si>
    <t>Two men slide down a blue water slide at a water park and end up in a huge swimming pool.</t>
  </si>
  <si>
    <t>Different scenes of a group of people swimming in different parts of a water park.</t>
  </si>
  <si>
    <t>v_5deGCvJOGg0</t>
  </si>
  <si>
    <t>A man dressed in white curling gear is participating in the sport.</t>
  </si>
  <si>
    <t>He goes on the curling rink with his stick and rock.</t>
  </si>
  <si>
    <t>He is playing the sport while in another location there are two musicians performing.</t>
  </si>
  <si>
    <t>They are both singing as one musician is playing a guitar and the other is drumming a tambourine.</t>
  </si>
  <si>
    <t>The man continues to play curling on the ice rink as he pushes the rock with his curling stick.</t>
  </si>
  <si>
    <t>He is shown pictured with another young man.</t>
  </si>
  <si>
    <t>He is posing for pictures with different people while holding a broomstick in his hand.</t>
  </si>
  <si>
    <t>He is back in the curling rink, singing and twirling the curling stick in his hands.</t>
  </si>
  <si>
    <t>v_-4WdzYpCJPU</t>
  </si>
  <si>
    <t>A man is standing at a table holding a bow in his hand talking.</t>
  </si>
  <si>
    <t>He then goes outside and shoots an arrow at a target.</t>
  </si>
  <si>
    <t>A close up of the bow is shown.</t>
  </si>
  <si>
    <t>v_n_hNYA5kWME</t>
  </si>
  <si>
    <t>We then see people solving Rubiks cubes in a competition.</t>
  </si>
  <si>
    <t>A boy finishes, throws his arms up and spins in his chair.</t>
  </si>
  <si>
    <t>We see a boy throw his arms and yells.</t>
  </si>
  <si>
    <t>v_poFH53rF9uY</t>
  </si>
  <si>
    <t>A team prepares to play a game called hurling.</t>
  </si>
  <si>
    <t>Highlights of a game are shown and players are interviewed.</t>
  </si>
  <si>
    <t>Teammates cheer from the sidelines.</t>
  </si>
  <si>
    <t>v_vREBYOCUCj0</t>
  </si>
  <si>
    <t>A man in a blue coat is standing in the snow talking.</t>
  </si>
  <si>
    <t>He begins skiing down a hill of snow.</t>
  </si>
  <si>
    <t>v_YuCMWTdK_DY</t>
  </si>
  <si>
    <t>A man is seen walking into a circle and looking off into the distance.</t>
  </si>
  <si>
    <t>The man stretches a bit and begins spinning himself around.</t>
  </si>
  <si>
    <t>He continues to spin and ends by walking away.</t>
  </si>
  <si>
    <t>v_lXueRLwe3tk</t>
  </si>
  <si>
    <t>The man in blue shirt is holding a white spray bottle with green and black lid on it.</t>
  </si>
  <si>
    <t>He started spraying the contents of the bottle on the white car's hood.</t>
  </si>
  <si>
    <t>He wiped the hood and the back of the white car with a yellow cloth.</t>
  </si>
  <si>
    <t>He vacuum the floor of the car on the driver's side, wipe the dirt off the steering wheel using the yellow cloth.</t>
  </si>
  <si>
    <t>He wiped the meters, the side window and glass and the wheel.</t>
  </si>
  <si>
    <t>He is showing a white spray bottle with black lid, while he is holding a yellow cloth.</t>
  </si>
  <si>
    <t>He is wiping the edge of the car then showed the white spray bottle.</t>
  </si>
  <si>
    <t>A white car is shown being dirty and then the after where it is clean and shiny.</t>
  </si>
  <si>
    <t>v_nobV1wL__iY</t>
  </si>
  <si>
    <t>A gun is seen moving around several corners and hitting people in various places.</t>
  </si>
  <si>
    <t>More shots of a person running around a paintball field as shown as well as pointing to others, shooting others, and hiding behind objects.</t>
  </si>
  <si>
    <t>The men group together in the end, give a thumbs up, and show more shots of people shooting.</t>
  </si>
  <si>
    <t>v_43gst-Mw43s</t>
  </si>
  <si>
    <t>a comic of a man telling how to wash with a detergent.</t>
  </si>
  <si>
    <t>a house is shown with a sentence of how to wash the rooftop.</t>
  </si>
  <si>
    <t>the numbers and address are shown in the advertising.</t>
  </si>
  <si>
    <t>v_-y5p8UMdM20</t>
  </si>
  <si>
    <t>Several shots are shown of signs and building as well as pictures of divers.</t>
  </si>
  <si>
    <t>Many people are seen speaking to the camera while taking turns diving off a board.</t>
  </si>
  <si>
    <t>More clips are shown of people diving and waving to the camera as well as speaking to one another and holding up a score.</t>
  </si>
  <si>
    <t>v_vy5IRxiudmI</t>
  </si>
  <si>
    <t>A group of people are inside a gym.</t>
  </si>
  <si>
    <t>They are lifting weights and dancing.</t>
  </si>
  <si>
    <t>Others are using recumbent bikes and pedaling quickly.</t>
  </si>
  <si>
    <t>v_FBANd818hU4</t>
  </si>
  <si>
    <t>A man kicks a soccer ball, then he plays with other young men in the street, the man scores.</t>
  </si>
  <si>
    <t>Then, they continue playing and the young man scores, as well the man scores.</t>
  </si>
  <si>
    <t>Teams are playing indoor soccer and the man wearing a yellow t-shirt scores playing with several teams.</t>
  </si>
  <si>
    <t>The man dispute the ball with other player and kick it to a playmate, the man continues playing an scoring for his team.</t>
  </si>
  <si>
    <t>v_W6Sz8ajVsjc</t>
  </si>
  <si>
    <t>There's a man in a black shirt representing Pev's Paintball talking about the recreational game.</t>
  </si>
  <si>
    <t>He is holding a paintball gun in his hand as he talks about how the sport is played.</t>
  </si>
  <si>
    <t>A man dressed in a camouflage print outfit is hiding and running with a paintball gun.</t>
  </si>
  <si>
    <t>The Pev representative is explaining the features of the paintball gun and how to use if effectively.</t>
  </si>
  <si>
    <t>v_olFThb2_GHM</t>
  </si>
  <si>
    <t>We see a man preparing to throw the discuss.</t>
  </si>
  <si>
    <t>He throws and walks away and we see it in slow motion.</t>
  </si>
  <si>
    <t>We see the next man walk up and throw and we see it again.</t>
  </si>
  <si>
    <t>A guy in yellow shorts throws and we see it again.</t>
  </si>
  <si>
    <t>v_msGQHfIRLhE</t>
  </si>
  <si>
    <t>A young woman is seen performing several martial arts moves in the middle of a large mat.</t>
  </si>
  <si>
    <t>The girl continues moving around and then leads into her fighting a boy.</t>
  </si>
  <si>
    <t>More pictures of her are shown as well as her fighting.</t>
  </si>
  <si>
    <t>v_pXeVR0bf4Pk</t>
  </si>
  <si>
    <t>A man stands up in a raft.</t>
  </si>
  <si>
    <t>Several rafts are on the ground, filled with people.</t>
  </si>
  <si>
    <t>They listen to an instructor tell them what they need to do.</t>
  </si>
  <si>
    <t>They raft through the rapids of a heavily flowing river.</t>
  </si>
  <si>
    <t>One of the rafts capsizes at the end.</t>
  </si>
  <si>
    <t>v_7I6v9c00aRA</t>
  </si>
  <si>
    <t>A man floats in calm water and holds onto a rope while waiting for the boat to drive.</t>
  </si>
  <si>
    <t>The man bare foot skis on a rope off the side of a boat attempting to stand up.</t>
  </si>
  <si>
    <t>The man stands up and immediately falls into the water at high speed.</t>
  </si>
  <si>
    <t>v_rInf05YA7ww</t>
  </si>
  <si>
    <t>people are playing futsal in a roofed gym.</t>
  </si>
  <si>
    <t>referee is watching the game running side to side.</t>
  </si>
  <si>
    <t>v_vt46wY2Q9JQ</t>
  </si>
  <si>
    <t>Two men are decorating a Christmas tree.</t>
  </si>
  <si>
    <t>They are putting red ribbon around the tree.</t>
  </si>
  <si>
    <t>A dresser is shown at the end.</t>
  </si>
  <si>
    <t>v_CI6cPLeVCTk</t>
  </si>
  <si>
    <t>Two people are seen sitting on swings outside.</t>
  </si>
  <si>
    <t>The people then begin moving back and fourth.</t>
  </si>
  <si>
    <t>The people continuously swing back and fourth on the swingset.</t>
  </si>
  <si>
    <t>v_nE0_PaRBXeA</t>
  </si>
  <si>
    <t>There's a man in a blue shirt using the lat pull machine in a gym.</t>
  </si>
  <si>
    <t>There are a few other people running on the treadmill behind the man.</t>
  </si>
  <si>
    <t>He starts off by pulling the handles of the machine and then goes back and forth to exercise.</t>
  </si>
  <si>
    <t>v_t8hx8ihRPGc</t>
  </si>
  <si>
    <t>A boy is shown going down a slide.</t>
  </si>
  <si>
    <t>A woman is talking to the camera at the park.</t>
  </si>
  <si>
    <t>Kids are shown playing on various equipment.</t>
  </si>
  <si>
    <t>v_VcbMGRcN9Cc</t>
  </si>
  <si>
    <t>The video shows a slow motion of three people playing Foosball.</t>
  </si>
  <si>
    <t>There are two people standing on one side and a single player on the other side.</t>
  </si>
  <si>
    <t>They continue playing Foosball with each other.</t>
  </si>
  <si>
    <t>v_o2hmponBzIE</t>
  </si>
  <si>
    <t>A small group of girls wearing costumes are seen walking out onto a gym floor and holding a pose in front of a large audience.</t>
  </si>
  <si>
    <t>The girls perform a dance routine with batons in their hand and end by lining up and walking away.</t>
  </si>
  <si>
    <t>v_KlJqjBqpnjw</t>
  </si>
  <si>
    <t>A woman named Sapna appears in a photo.</t>
  </si>
  <si>
    <t>She is then seen demonstrating a variety of jump rope moves.</t>
  </si>
  <si>
    <t>She jumps forward and back, and side to side.</t>
  </si>
  <si>
    <t>v_IqRwR1a9ia0</t>
  </si>
  <si>
    <t>A man wearing a construction hard hat applies plaster to a wall using a hand held flat edge.</t>
  </si>
  <si>
    <t>The man pauses to explain his procedure.</t>
  </si>
  <si>
    <t>A Company name and slogan are seen in white text.</t>
  </si>
  <si>
    <t>v_dL9mlqbG5CU</t>
  </si>
  <si>
    <t>A rock band is playing a rock song in a black an white environment.</t>
  </si>
  <si>
    <t>Several curlers are preparing for a curling match while the band plays.</t>
  </si>
  <si>
    <t>the band and the curlers are both on the ice interacting with one another.</t>
  </si>
  <si>
    <t>The video returns to the black and white environment where the curler and the band members are both singing.</t>
  </si>
  <si>
    <t>The video focuses on a woman getting ready to curl while the others watch.</t>
  </si>
  <si>
    <t>v_oKaNlV45bB8</t>
  </si>
  <si>
    <t>A young woman is seen brushing her tooth followed by close ups of a tooth brush.</t>
  </si>
  <si>
    <t>Shots are shown of her teeth close up as well as her still brushing.</t>
  </si>
  <si>
    <t>She continues brushing all along her teeth to demonstrate how it's done.</t>
  </si>
  <si>
    <t>v_uaLMHEtFlNA</t>
  </si>
  <si>
    <t>A gopro ad appears on the screen.</t>
  </si>
  <si>
    <t>Someone wears the device as he uses a mower to mow his lawn.</t>
  </si>
  <si>
    <t>It is sped up as it shows every angle as he completes mowing the lawn, back and forth and going over the same spots until it is perfect.</t>
  </si>
  <si>
    <t>v_vWNDj8KxmBg</t>
  </si>
  <si>
    <t>Several clips are shown of people performing flips and tricks in the middle of a floor while a light shines down in the middle.</t>
  </si>
  <si>
    <t>The kids continue spinning around one another and end by standing up together and falling down.</t>
  </si>
  <si>
    <t>v_gdr6iVHHYcU</t>
  </si>
  <si>
    <t>Two women are in a room talking.</t>
  </si>
  <si>
    <t>A woman begins to put makeup on the other woman.</t>
  </si>
  <si>
    <t>She dabs the woman's face with a sponge.</t>
  </si>
  <si>
    <t>v_p4qZGZenAoU</t>
  </si>
  <si>
    <t>A woman with her hair up in a towel introduces her video showing how she washes her face.</t>
  </si>
  <si>
    <t>She applies a moisturizer to her face while dancing around.</t>
  </si>
  <si>
    <t>She then dances in the living room with the moisturizer on.</t>
  </si>
  <si>
    <t>Finally, she returns to the bathroom and washes her face.</t>
  </si>
  <si>
    <t>v_Xa1yH3vxlAk</t>
  </si>
  <si>
    <t>man is standing on side of car stuck in traffic.</t>
  </si>
  <si>
    <t>man holding bagpipes is walking in street between cars.</t>
  </si>
  <si>
    <t>v_dPdeb0SgIw8</t>
  </si>
  <si>
    <t>A TV reporter is talking while shows a screen of a person playing hockey on ice.</t>
  </si>
  <si>
    <t>Then, the reporters talk and comment each other, while one of the man is on front a laptop.</t>
  </si>
  <si>
    <t>v__3hVtPVXTmg</t>
  </si>
  <si>
    <t>A gymnast is seen running towards a set of uneven bars and performing a routine on the bars.</t>
  </si>
  <si>
    <t>She swings all around and jumps on the mat to end her routine.</t>
  </si>
  <si>
    <t>v_-XCESzrIWXA</t>
  </si>
  <si>
    <t>People are playing soccer in an indoor soccer arena.</t>
  </si>
  <si>
    <t>Two of the men hug on the court.</t>
  </si>
  <si>
    <t>A person kicks a ball into the goal.</t>
  </si>
  <si>
    <t>v_2RpAv3irv1c</t>
  </si>
  <si>
    <t>A woman sprays lotion and brush her hair.</t>
  </si>
  <si>
    <t>Then, the woman makes a braid with the front hair and fasten it with a pin.</t>
  </si>
  <si>
    <t>After, the woman makes a pony tail and spray lotion to her hair.</t>
  </si>
  <si>
    <t>v_cuyD4bT4Bvc</t>
  </si>
  <si>
    <t>initial logo is shown and a web page.</t>
  </si>
  <si>
    <t>man is in a skate park in white skates.</t>
  </si>
  <si>
    <t>man is sitting in a tube and make tricks in a skate park, other man is sitting watching him.</t>
  </si>
  <si>
    <t>little kid is talking to someone and watching the man in skates doing the tricks in skate park.</t>
  </si>
  <si>
    <t>v_NzJkKwzPqvk</t>
  </si>
  <si>
    <t>An older woman is using a cue to play pool.</t>
  </si>
  <si>
    <t>She shoots the ball and walks away.</t>
  </si>
  <si>
    <t>Then she bangs cues with another person.</t>
  </si>
  <si>
    <t>v_nOxKfRwdf2w</t>
  </si>
  <si>
    <t>Two people are talking to a camera outside.</t>
  </si>
  <si>
    <t>A ballerina does several twirls on stage.</t>
  </si>
  <si>
    <t>v_U89hsv1dzuQ</t>
  </si>
  <si>
    <t>man is smoking a cigarrette in a dark street.</t>
  </si>
  <si>
    <t>man is wearing a white t shirt smoking a cigarrette and watching to the camera.</t>
  </si>
  <si>
    <t>man is in the night in a dark field smoking.</t>
  </si>
  <si>
    <t>v_3svMy4Kfjd8</t>
  </si>
  <si>
    <t>A guy is water boarding in a body of water.</t>
  </si>
  <si>
    <t>The guy messes with his hair.</t>
  </si>
  <si>
    <t>The guy gives hands gesture.</t>
  </si>
  <si>
    <t>v_aYfWH960W0Q</t>
  </si>
  <si>
    <t>An athletic woman is seen running down a track with a large group of people watching her on the sidelines.</t>
  </si>
  <si>
    <t>She continues running and finishes the race while collapsing on the ground in the end and breathing heavily while crying.</t>
  </si>
  <si>
    <t>She sits back up crying and another woman helps her up, ending with a short clip of a girl running.</t>
  </si>
  <si>
    <t>v_At7fzSxdiCg</t>
  </si>
  <si>
    <t>A man is running down the track at a track and field competition.</t>
  </si>
  <si>
    <t>He begins to take some rapid steps to give himself so leverage for a jump he is trying to make.</t>
  </si>
  <si>
    <t>He takes off into the air as he begins the jump.</t>
  </si>
  <si>
    <t>He lands on the ground as he completes the jump.</t>
  </si>
  <si>
    <t>v_o18RrUlR-0Y</t>
  </si>
  <si>
    <t>A man with long beard is talking in the camera while a hand is brushing the side of his beard, then he continue talking while in his back the TV is running, then he closed up his beard, showed a man in green and the kid sitting next to him.</t>
  </si>
  <si>
    <t>The man in green shaves the man's beard on the side then brushed it then continue to shave the long beard leaving the stubble.</t>
  </si>
  <si>
    <t>v_IfpcrV_cwHI</t>
  </si>
  <si>
    <t>A close up of a pool table is shown followed by a man hitting the ball.</t>
  </si>
  <si>
    <t>The man the celebrates and shakes the hands of the opponent.</t>
  </si>
  <si>
    <t>He walks around the audience celebrating with them and walks back to his bag.</t>
  </si>
  <si>
    <t>v_XxyTLG8B-Ns</t>
  </si>
  <si>
    <t>A man is talking to the camera as he gets ready to ride the bumper cars.</t>
  </si>
  <si>
    <t>The man rides around in the bumper car bumping in to the other people while the camera watches.</t>
  </si>
  <si>
    <t>The camera zooms in on the people for a closer look.</t>
  </si>
  <si>
    <t>The ride ends and the people get out of the bumper cars.</t>
  </si>
  <si>
    <t>v_mTlReluteEQ</t>
  </si>
  <si>
    <t>A man throws an object in a track and field event at the Olympics.</t>
  </si>
  <si>
    <t>This is then shown in slow motion and then sped up.</t>
  </si>
  <si>
    <t>The coach reacts and cheers.</t>
  </si>
  <si>
    <t>The athlete receives a medal and waves to the crowd.</t>
  </si>
  <si>
    <t>v_XkWO7aqcC8Y</t>
  </si>
  <si>
    <t>A man is outdoors, cutting wires off a stack of sheetrock.</t>
  </si>
  <si>
    <t>He moves the sheets, then muds the floors before laying them down.</t>
  </si>
  <si>
    <t>The man presses the large sheets onto the ground.</t>
  </si>
  <si>
    <t>v_BO0vQ6ASVlo</t>
  </si>
  <si>
    <t>A man holds a frisbee next to a dog, then the dog jumps above the back of the man and grabs a frisbee.</t>
  </si>
  <si>
    <t>The man throws a frisbee and the dog runs to get it, after the man does tricks with the dog.</t>
  </si>
  <si>
    <t>A person lie down with his feet up, then the dog stand on his feet and plays with the frisbee.</t>
  </si>
  <si>
    <t>The man plays with the dog frisbee doing tricks and throwing the frisbee.</t>
  </si>
  <si>
    <t>v_8pR6NBu7Ay0</t>
  </si>
  <si>
    <t>The outside of a box containing a gun is shown.</t>
  </si>
  <si>
    <t>A man is joined by two others in front of a display of guns.</t>
  </si>
  <si>
    <t>They talk about the guns, then join a game of paintball outdoors, hiding behind obstacles as they shoot at each other.</t>
  </si>
  <si>
    <t>v_M7tUnCF9lU4</t>
  </si>
  <si>
    <t>A lady standing beside the slide is holding a little child on top of the slide.</t>
  </si>
  <si>
    <t>She looked inside the tunnel and moved the little kid to show him and wave at the person.</t>
  </si>
  <si>
    <t>The lady hold the child while she push him down the slide.</t>
  </si>
  <si>
    <t>The lady slide the kid up back to the top.</t>
  </si>
  <si>
    <t>The lady hold the child and pushed him down the slide.</t>
  </si>
  <si>
    <t>The child sat on the bottom of the slide while looking away.</t>
  </si>
  <si>
    <t>v_9Cs3CYCMH2w</t>
  </si>
  <si>
    <t>Two people are jump roping outside on a patio.</t>
  </si>
  <si>
    <t>The boy leaves and the girls starts jump roping by herself.</t>
  </si>
  <si>
    <t>The girl does a hand stand.</t>
  </si>
  <si>
    <t>The boy starts jump roping by himself.</t>
  </si>
  <si>
    <t>The girl does a flip in the air.</t>
  </si>
  <si>
    <t>The boy does a flip in the air.</t>
  </si>
  <si>
    <t>v_wsc5GIgVwN8</t>
  </si>
  <si>
    <t>Several people are shown in a back ground of lasers are portrayed as members on a team.</t>
  </si>
  <si>
    <t>A man from the team then comes along and starts to skateboard down the road in a community environment.</t>
  </si>
  <si>
    <t>As he continues skating,he moves to a more rural area with large mountains and field in the open and points begin to rack up in the corner of the screen.</t>
  </si>
  <si>
    <t>v_Z-C5yMAUmM4</t>
  </si>
  <si>
    <t>A woman is sitting down taking a drink.</t>
  </si>
  <si>
    <t>She sets the drink down and starts talking.</t>
  </si>
  <si>
    <t>v_jjuitTS2cuM</t>
  </si>
  <si>
    <t>A little toddler is walking down the street holding her dog leash.</t>
  </si>
  <si>
    <t>The dog is walking ahead of her not pulling her, he is very gentle.</t>
  </si>
  <si>
    <t>The dog stops to sniff around and then begins walking again.</t>
  </si>
  <si>
    <t>The little girl trying to follow closely behind him.</t>
  </si>
  <si>
    <t>v_MWdPh6J-YXM</t>
  </si>
  <si>
    <t>A man stretches in front of the camera.</t>
  </si>
  <si>
    <t>The camera cuts to scenes of the man on a small boat paddling.</t>
  </si>
  <si>
    <t>The camera cuts to scenes of various men paddling boats from various angles, with different backgrounds.</t>
  </si>
  <si>
    <t>The camera shows men putting boats away.</t>
  </si>
  <si>
    <t>The camera shows several men in a car.</t>
  </si>
  <si>
    <t>The camera shows quick clips of men exercising in a gym.</t>
  </si>
  <si>
    <t>The camera returns to scenes of men paddling boats.</t>
  </si>
  <si>
    <t>The camera cuts to accelerated footage of a car driving.</t>
  </si>
  <si>
    <t>The camera cuts to scenes of men relaxing and tossing a ball around.</t>
  </si>
  <si>
    <t>The camera cuts to a scene of a man sitting relaxing.</t>
  </si>
  <si>
    <t>v_nwBb-WkaCYU</t>
  </si>
  <si>
    <t>A person is sitting behind a table doing a rubiks cube blind folded.</t>
  </si>
  <si>
    <t>A timer is on the desk in front of them.</t>
  </si>
  <si>
    <t>The person completes the rubiks cube and sets it down on the table.</t>
  </si>
  <si>
    <t>v_JavaLreBqtI</t>
  </si>
  <si>
    <t>We see a lady sitting on a couch talking.</t>
  </si>
  <si>
    <t>The lady makes faces and claps her hands.</t>
  </si>
  <si>
    <t>We watch the lady pull rollers our out her braids.</t>
  </si>
  <si>
    <t>We see her hair up close.</t>
  </si>
  <si>
    <t>The lady makes a quote sign with her fingers.</t>
  </si>
  <si>
    <t>v_NulnzF8avMI</t>
  </si>
  <si>
    <t>The gymnast gathers his focus, and mounts the pommel horse to begin his event.</t>
  </si>
  <si>
    <t>The audience watches and cheers as the announcers give their commentary.</t>
  </si>
  <si>
    <t>He goes up to a hand stand.</t>
  </si>
  <si>
    <t>He picks up his speed once he comes back down from the hand stand.</t>
  </si>
  <si>
    <t>The gymnast has a nice dismount.</t>
  </si>
  <si>
    <t>We watch the performance again in slow motion then see his smile as he is seated afterwords.</t>
  </si>
  <si>
    <t>v_UqE_T7oG1Gc</t>
  </si>
  <si>
    <t>woman is talking to the camera and holding makeup brushes.</t>
  </si>
  <si>
    <t>woman is shoing a braid on her hair and its shownig how to do the braid.</t>
  </si>
  <si>
    <t>v_87fIi0-1JVM</t>
  </si>
  <si>
    <t>A girl travels in a car while talking.</t>
  </si>
  <si>
    <t>The girl is in a piercing shop, then a man rubs her nose with a tissue and put a mark.</t>
  </si>
  <si>
    <t>After, the man pierce the nose of the girl and puts a tip.</t>
  </si>
  <si>
    <t>After, the man cleans the area, and the girl dry some tears on her face.</t>
  </si>
  <si>
    <t>After, the girl holds a camera on front her face and talks, also shows her piercing.</t>
  </si>
  <si>
    <t>v_8381XS5ZDNs</t>
  </si>
  <si>
    <t>A piece of exercise equipment spins around on a panel when a woman suddenly appears.</t>
  </si>
  <si>
    <t>She climbs on the machine and begins exercising while the camera pans around her movements.</t>
  </si>
  <si>
    <t>She continues to use the equipment and eventually shows a picture of the equipment.</t>
  </si>
  <si>
    <t>v_8kyg5u6o21k</t>
  </si>
  <si>
    <t>boy is putting a helmet and is fixing his skateboard.</t>
  </si>
  <si>
    <t>boy is going down an slope passing by houses till is dark.</t>
  </si>
  <si>
    <t>v_jXIKHEsmVl4</t>
  </si>
  <si>
    <t>A guy is outside chopping wood.</t>
  </si>
  <si>
    <t>The ax gets stuck on the wood on his first try.</t>
  </si>
  <si>
    <t>The guy pulls the ax out.</t>
  </si>
  <si>
    <t>The guy keeps cutting the wood smaller and smaller.</t>
  </si>
  <si>
    <t>v_SpEdr2o2TP0</t>
  </si>
  <si>
    <t>A man and woman are talking in a stable.</t>
  </si>
  <si>
    <t>The man helps the woman on the horse and she leads it around the arena.</t>
  </si>
  <si>
    <t>The woman gets off the horse and talks to the camera.</t>
  </si>
  <si>
    <t>v_iSHPVCBsnLw</t>
  </si>
  <si>
    <t>Two men are seen sitting on a couch watching tv and speaking back and fourth to one another.</t>
  </si>
  <si>
    <t>Another walks into frame speaking and holding a drink and the two men continue speaking to one another.</t>
  </si>
  <si>
    <t>v_7m--xUKvqkc</t>
  </si>
  <si>
    <t>A hand holds a damp mop sign up to the camera.</t>
  </si>
  <si>
    <t>A person mops a floor, with the camera only picking up part of the person and the mop.</t>
  </si>
  <si>
    <t>The camera shows a close up of the mop head.</t>
  </si>
  <si>
    <t>v_dKwPfFN7DpM</t>
  </si>
  <si>
    <t>A man is shown spinning in circles while throwing a shot put off into the distance.</t>
  </si>
  <si>
    <t>Several men are then shown over and over again throwing the object off into the distance in various locations.</t>
  </si>
  <si>
    <t>v_iMF8-iDLl6U</t>
  </si>
  <si>
    <t>An intro featuring the text "how to change a tire" plays.</t>
  </si>
  <si>
    <t>A woman has a tool that allows you put the tire on to a rim while a man holds the tool.</t>
  </si>
  <si>
    <t>The woman then uses the same tool to remove the tire from the rim.</t>
  </si>
  <si>
    <t>The person filming shows an iPhone's timer at various points to show how long a step should take.</t>
  </si>
  <si>
    <t>The tool that removes the tier from the rim is shown and how it works.</t>
  </si>
  <si>
    <t>A man opens a Bridgestone locker or machine to show the inside.</t>
  </si>
  <si>
    <t>The video ends with an image of a solar powered vehicle.</t>
  </si>
  <si>
    <t>v_3TVKXCyNObQ</t>
  </si>
  <si>
    <t>People skateboard down the road of a city.</t>
  </si>
  <si>
    <t>A group of teens meet on the road and watch a teen skateboard.</t>
  </si>
  <si>
    <t>A teen enters a skateboard ramp and skateboard around.</t>
  </si>
  <si>
    <t>A boy skateboards on a road passing a city and a field.</t>
  </si>
  <si>
    <t>Two teens skateboard on a road.</t>
  </si>
  <si>
    <t>v_8EGM3zcvjs8</t>
  </si>
  <si>
    <t>Eight people are standing at the studio, one woman walked at the back of the group.</t>
  </si>
  <si>
    <t>The group started dancing, swirling, shaking their hips, rotating, their arms and hands are moving from side to side, in front.</t>
  </si>
  <si>
    <t>v_SIj-ti_70HQ</t>
  </si>
  <si>
    <t>A woman stands in front of a mirror smiling and begins brushing her hair.</t>
  </si>
  <si>
    <t>She continues brushing her hair and looking at herself in the mirror.</t>
  </si>
  <si>
    <t>v_oNqtuh6qa2E</t>
  </si>
  <si>
    <t>A man is standing outside on a sidewalk with a silver camera in his hand filming something.</t>
  </si>
  <si>
    <t>As the camera turns,the man is filming someone on a one-seater paddling as he is playing a bag of pipes.</t>
  </si>
  <si>
    <t>The man continues,and a gruop of people crowd around him and watch him until he falls off the wheel.</t>
  </si>
  <si>
    <t>v__6mQ9_DQr0Q</t>
  </si>
  <si>
    <t>Man approaches the weights before him.</t>
  </si>
  <si>
    <t>Man lifts up weights and drops them to the floor.</t>
  </si>
  <si>
    <t>Man lifts up weights and holds them for a while.</t>
  </si>
  <si>
    <t>Man shakes his hands in celebration.</t>
  </si>
  <si>
    <t>Man screams in celebration.</t>
  </si>
  <si>
    <t>v_B-60jGEds7M</t>
  </si>
  <si>
    <t>A boat sails in the choppy waters of an ocean.</t>
  </si>
  <si>
    <t>The big waves moves the boat up and down.</t>
  </si>
  <si>
    <t>A person stands on front the boat wearing dark clothes.</t>
  </si>
  <si>
    <t>v_d8u6MM00_ig</t>
  </si>
  <si>
    <t>A large group of people are seen wandering around an arena when a man steps up to a weight.</t>
  </si>
  <si>
    <t>The man lifts the weight over his head and throws it on the ground.</t>
  </si>
  <si>
    <t>Several more men are seen attempting to lift the weight with others succeeding and cheering and others dropping the weight.</t>
  </si>
  <si>
    <t>v_KfkNKhAWOII</t>
  </si>
  <si>
    <t>Graphics with "FCC Presents" followed by "The Great Indoors with Tracy Briggs" appear on screen.</t>
  </si>
  <si>
    <t>Briggs speaks to the camera from a kitchen.</t>
  </si>
  <si>
    <t>She begins preparing a potato and tomtatos to eat.</t>
  </si>
  <si>
    <t>v_6rMF2jWbeUQ</t>
  </si>
  <si>
    <t>A woman is seen sitting in a wheelchair looking to the camera and wheels herself over to a side.</t>
  </si>
  <si>
    <t>She then puts her shoes on with another man's help while still smiling to the camera.</t>
  </si>
  <si>
    <t>She wheels herself away and claps in the end.</t>
  </si>
  <si>
    <t>v_9zm9jW7_ANc</t>
  </si>
  <si>
    <t>The chef begins by removing and slicing the endive.</t>
  </si>
  <si>
    <t>The chef then places them in a bin,afterwards he slices and peels more.</t>
  </si>
  <si>
    <t>The chef then chops romaine and places them in a silver bin and mixes endive with the romaine.</t>
  </si>
  <si>
    <t>Finally he removes the salad mixture with a dressing on it from a round silver bowl and places the salad on a white plate.</t>
  </si>
  <si>
    <t>v_M1SUIrWykRs</t>
  </si>
  <si>
    <t>Several people are surfing on a large wave in the water.</t>
  </si>
  <si>
    <t>A man and a little girl are swimming in the water.</t>
  </si>
  <si>
    <t>v_7OTqYfUuAIw</t>
  </si>
  <si>
    <t>A young child is seen kicking around in the middle of a room.</t>
  </si>
  <si>
    <t>The kid kicks both of his legs around while the camera pans around.</t>
  </si>
  <si>
    <t>Another child is seen kicking on the side while a dog walks in and out of frame.</t>
  </si>
  <si>
    <t>v_KYl67H9-4TA</t>
  </si>
  <si>
    <t>A small child wearing a wig is seen holding a violin and speaking to the camera.</t>
  </si>
  <si>
    <t>She then plays a song on the violin moving his arms and hands back and fourth and ends by speaking off into the distance.</t>
  </si>
  <si>
    <t>v_8z29qtUWwdU</t>
  </si>
  <si>
    <t>A man is seen talking to the camera and presents his knife and sharpener.</t>
  </si>
  <si>
    <t>He then glides the knife down the sharpener and shows how other knives work with different sharpeners.</t>
  </si>
  <si>
    <t>He presents the knife one last time while still speaking to the camera.</t>
  </si>
  <si>
    <t>v_MFlYmFZ7xlo</t>
  </si>
  <si>
    <t>A man is mopping a floor.</t>
  </si>
  <si>
    <t>A woman is eating.</t>
  </si>
  <si>
    <t>v_fjoaurNKg60</t>
  </si>
  <si>
    <t>A person washes there hands and closes a sink drain.</t>
  </si>
  <si>
    <t>The person removes a contact from the container and places on the tip of their finger.</t>
  </si>
  <si>
    <t>The person holds open one eyelid at a time and inserts the contact into their eye.</t>
  </si>
  <si>
    <t>A cleaner solution is sprayed into the container to clean it out.</t>
  </si>
  <si>
    <t>The contact lens is removed from the eye.</t>
  </si>
  <si>
    <t>Solution is sprayed on the contact lens resting in the palm of a hand before being placed back on the counter.</t>
  </si>
  <si>
    <t>v_61sN9tqZHwk</t>
  </si>
  <si>
    <t>A series of masks are shown on a table.</t>
  </si>
  <si>
    <t>A yorkie dog is shown from several angles.</t>
  </si>
  <si>
    <t>We then see the dog winning competitions and getting groomed.</t>
  </si>
  <si>
    <t>v_GEhtyurCwDQ</t>
  </si>
  <si>
    <t>We see an electric shaver from various angles.</t>
  </si>
  <si>
    <t>The man unwraps the product and takes it out of the bag.</t>
  </si>
  <si>
    <t>The product is being taken out of it's packaging.</t>
  </si>
  <si>
    <t>The man shaves his hand then adds a guard and shaves his beard and the hairline in back.</t>
  </si>
  <si>
    <t>The man rinses the shaver and works on his neck.</t>
  </si>
  <si>
    <t>v_0AjYz-s4Rek</t>
  </si>
  <si>
    <t>A man and a woman dressed in snow clothing are walking in the snow and they begin to drill into the ice ground with hand held red crank long drills.</t>
  </si>
  <si>
    <t>When they make a hole in the ice they put their fishing wire attached with bait into the hole and begin ice fishing until the woman catches a fish.</t>
  </si>
  <si>
    <t>After they're done fishing, they are now at a wood fire and the fish is cooking on the wood.</t>
  </si>
  <si>
    <t>v_19YCgLDhfoE</t>
  </si>
  <si>
    <t>A woman exercise sniping a stick on her hand in a filed.</t>
  </si>
  <si>
    <t>The woman exercise on front the ocean spinning the stick on her neck.</t>
  </si>
  <si>
    <t>Then, the woman throws the stick on the air.</t>
  </si>
  <si>
    <t>After, the woman pass the stick from hand to another on her folded arm.</t>
  </si>
  <si>
    <t>v_zihMznAYlV0</t>
  </si>
  <si>
    <t>Two men in padded sumo costumes are pulled along a tug rope on a ski slope.</t>
  </si>
  <si>
    <t>Two men in yellow padded sumo costumes do jumps on their snowboard on a downhill course.</t>
  </si>
  <si>
    <t>A filmer waives to the camera.</t>
  </si>
  <si>
    <t>The man spins while sliding across a platform in the sumo suit.</t>
  </si>
  <si>
    <t>The two men give each other a high five.</t>
  </si>
  <si>
    <t>The man in sumo suit goes over a small triangular obstacle.</t>
  </si>
  <si>
    <t>A man on small skis crashes while trying to jump.</t>
  </si>
  <si>
    <t>The man jumps onto and slide across a platform while wearing a sumo suit.</t>
  </si>
  <si>
    <t>The man bounces over a low railing.</t>
  </si>
  <si>
    <t>v_T6KP0pg7qxM</t>
  </si>
  <si>
    <t>A boy is sitting in a chair behind a counter.</t>
  </si>
  <si>
    <t>A girl comes up next to him and tries to feed him cereal.</t>
  </si>
  <si>
    <t>He starts throwing darts at a dartboard.</t>
  </si>
  <si>
    <t>v_v8XN1ajGeIw</t>
  </si>
  <si>
    <t>A close up is shown of a very dirty floor being cleaned with a large vacuum.</t>
  </si>
  <si>
    <t>Words on the screen explain the strength of the vacuum as the person continues.</t>
  </si>
  <si>
    <t>The floor is being cleaned at walking speed.</t>
  </si>
  <si>
    <t>The man continues to demonstrate the usage until an ad for the company appears at the end.</t>
  </si>
  <si>
    <t>v_zQCqzIgIpHI</t>
  </si>
  <si>
    <t>A view is seen of the outside of an airport, then the wing of the flying plane.</t>
  </si>
  <si>
    <t>A man is on the plane wearing a mask.</t>
  </si>
  <si>
    <t>Several people are sleeping in the dark quarters.</t>
  </si>
  <si>
    <t>They arrive at a ski resort, and ride the lifts before donning skis and skiing down treacherous hills.</t>
  </si>
  <si>
    <t>v_K8ZPkLVlAiA</t>
  </si>
  <si>
    <t>A man is holding the arm of a canister vacuum in a vacuum showroom.</t>
  </si>
  <si>
    <t>The man lifts the arm and shows it to the camera.</t>
  </si>
  <si>
    <t>The man then pretends, then actually vacuums the linoleum floor with the vacuum.</t>
  </si>
  <si>
    <t>v_ovTKJgSWMKQ</t>
  </si>
  <si>
    <t>Scores are shown on a screen in front of pool water.</t>
  </si>
  <si>
    <t>A man towels off in a room.</t>
  </si>
  <si>
    <t>He enters the competition, shaking hands after his dive.</t>
  </si>
  <si>
    <t>Between dives, the scoreboard is shown again.</t>
  </si>
  <si>
    <t>The final scene is of the man backflipping off the diving board.</t>
  </si>
  <si>
    <t>v_X2zoUDI1Gmc</t>
  </si>
  <si>
    <t>A woman is seen smiling to the camera holding up a blow dryer and various attachments.</t>
  </si>
  <si>
    <t>She is then seen again with wet hair and then sprays liquid into her hair and then blow dries her hair more.</t>
  </si>
  <si>
    <t>She then pins her hair up, attaches and attachment to the blow dryer, and dries her hair all around, spinning to the camera in the end.</t>
  </si>
  <si>
    <t>v_LFeoVokXAFY</t>
  </si>
  <si>
    <t>A man uses a large plastic blue bat.</t>
  </si>
  <si>
    <t>He swings it at a pinata shaped like spongebob squarepants.</t>
  </si>
  <si>
    <t>He misses several times, and keeps swinging.</t>
  </si>
  <si>
    <t>v_GvvmZ1Bi1xk</t>
  </si>
  <si>
    <t>We see a finger on the lens and a shoulder.</t>
  </si>
  <si>
    <t>A woman pushes a lawn mower through the grass.</t>
  </si>
  <si>
    <t>The lady lifts the mower and backs up.</t>
  </si>
  <si>
    <t>The lady turns the mower.</t>
  </si>
  <si>
    <t>v_lUX1nfb5rx0</t>
  </si>
  <si>
    <t>woman is standing in font of a counter and is talking to the camera.</t>
  </si>
  <si>
    <t>a clean sink is shown and a woman claing the surface of water and wine with a cloth and then with an sponge.</t>
  </si>
  <si>
    <t>the woman put a cleaner on a cloth and cleans the sink, then the woman is talking and a white table covers the sink.</t>
  </si>
  <si>
    <t>v_rBaR5xF8orE</t>
  </si>
  <si>
    <t>A large group of people are seen sitting around an auditorium with one man flying kites around in the middle.</t>
  </si>
  <si>
    <t>The person continues moving around with the kites and walks away in the end with a woman speaking to the crowd.</t>
  </si>
  <si>
    <t>v_lwXIgNoLGhM</t>
  </si>
  <si>
    <t>We see people in a field holding flags.</t>
  </si>
  <si>
    <t>We see people playing paintball in the woods.</t>
  </si>
  <si>
    <t>We see people in lines like soldiers.</t>
  </si>
  <si>
    <t>We see the people in the woods in paint ball gear.</t>
  </si>
  <si>
    <t>We see an empty metal tank.</t>
  </si>
  <si>
    <t>We see the people in the woods again.</t>
  </si>
  <si>
    <t>We see inside the tank.</t>
  </si>
  <si>
    <t>We see the people walking through the field.</t>
  </si>
  <si>
    <t>We see people running with smoke.</t>
  </si>
  <si>
    <t>We see a ending title screen.</t>
  </si>
  <si>
    <t>v_XORmEz1vOeQ</t>
  </si>
  <si>
    <t>A man kneels down by a tree in a yard.</t>
  </si>
  <si>
    <t>He talks as he digs with his hands.</t>
  </si>
  <si>
    <t>He shows and instructs on how to apply and pack mulching around the base of the tree.</t>
  </si>
  <si>
    <t>v_CYSyc4jy9-Q</t>
  </si>
  <si>
    <t>A person runs and jumps wearing bouncing shoes, and a man make a surprised face.</t>
  </si>
  <si>
    <t>People wearing bouncing shoes bounce and jumps in a gym, a presenter talks and also tries the bouncing shoes.</t>
  </si>
  <si>
    <t>A man bounce and jumps high in the beach, in the street.</t>
  </si>
  <si>
    <t>Then, men flip over wearing bouncing shoes, after a man plays basketball wearing bouncing shoes in a gym.</t>
  </si>
  <si>
    <t>A person rides a bike in the gym.</t>
  </si>
  <si>
    <t>Two men wearing bouncing shoes stand front to front in a TV set.</t>
  </si>
  <si>
    <t>v_U0HiAZCgmd8</t>
  </si>
  <si>
    <t>A woman is seen speaking to the camera and leads into her pouring ice into a glass followed by various liquids.</t>
  </si>
  <si>
    <t>She mixes the liquids back and fourth and ends by presenting the drink and putting in a lemon with straw.</t>
  </si>
  <si>
    <t>v_rLH89pN9I84</t>
  </si>
  <si>
    <t>A woman walks out onto the grass.</t>
  </si>
  <si>
    <t>Two small dogs follow her on leashes.</t>
  </si>
  <si>
    <t>She bends down and the dogs come up to her.</t>
  </si>
  <si>
    <t>v_e_y8_3siD0c</t>
  </si>
  <si>
    <t>A young child is seen standing ready before a game of hop scotch.</t>
  </si>
  <si>
    <t>The girl then begins hopping on the chalk.</t>
  </si>
  <si>
    <t>The girl hops all the way to the end and walks back to the screen.</t>
  </si>
  <si>
    <t>v_djgM0IWIBKc</t>
  </si>
  <si>
    <t>A group of men are in a kayak going down the river bank.</t>
  </si>
  <si>
    <t>The are paddling and looking at the trees in the distance enjoying their day.</t>
  </si>
  <si>
    <t>One of the men gets out of the boat to go swimming in the water, They all get in and start splashing water, swimming under and enjoying the day before getting back in to turn back.</t>
  </si>
  <si>
    <t>Once they start to head back to land and to get ready to get on the dock.</t>
  </si>
  <si>
    <t>v_dyvB6XCWPZs</t>
  </si>
  <si>
    <t>People are rafting in rafts down a choppy river.</t>
  </si>
  <si>
    <t>People are jumping off a rock into the water.</t>
  </si>
  <si>
    <t>People are doing flips off the front of the raft.</t>
  </si>
  <si>
    <t>People are sitting on a boat pulling the rafts.</t>
  </si>
  <si>
    <t>v_BSIV5tJ3bv4</t>
  </si>
  <si>
    <t>An athlete walks in front of a crowd rubbing his hands in powder and grabbing a weight set.</t>
  </si>
  <si>
    <t>He lifts the weights over his head and throws it down afterwards, raising his hands up with his coach.</t>
  </si>
  <si>
    <t>v_HHxPjC6T2e0</t>
  </si>
  <si>
    <t>A unicorn pinata sways in the wind from a line.</t>
  </si>
  <si>
    <t>A woman swings wildly at it with a bat, as she is blindfolded.</t>
  </si>
  <si>
    <t>v_fVg3StD8LL0</t>
  </si>
  <si>
    <t>A man is seen hosting a news segment and speaking to the camera.</t>
  </si>
  <si>
    <t>The man is then seen helping another lay down plaster.</t>
  </si>
  <si>
    <t>The host continues helping the men tear up floor as well as lay it down and speak to the camera.</t>
  </si>
  <si>
    <t>v_-Rv7tGWehRE</t>
  </si>
  <si>
    <t>We see a boy using jumpstilts on a residential street.</t>
  </si>
  <si>
    <t>The man stops jumping the first time.</t>
  </si>
  <si>
    <t>We see a person come outside then go inside.</t>
  </si>
  <si>
    <t>The jumping man faces and walks towards the camera.</t>
  </si>
  <si>
    <t>v_PD9e9MVHEyU</t>
  </si>
  <si>
    <t>We see the title screen on white A lady sits in a chair talking.</t>
  </si>
  <si>
    <t>The lady starts painting on her hand.</t>
  </si>
  <si>
    <t>We see the closing credits on a white screen.</t>
  </si>
  <si>
    <t>v_ZoKdN--u6TU</t>
  </si>
  <si>
    <t>A young man is seen pushing a puck down a table to another man standing on the other side.</t>
  </si>
  <si>
    <t>The other man then pushes a puck and the boys continue playing the game back and fourth.</t>
  </si>
  <si>
    <t>The camera zooms in on the men in the end as well as other people standing around the room.</t>
  </si>
  <si>
    <t>v_lQq_JPRFEMw</t>
  </si>
  <si>
    <t>People are playing a game of lacrosse on a field.</t>
  </si>
  <si>
    <t>The teams line up and shake hands.</t>
  </si>
  <si>
    <t>A woman in a blue coat is talking to the camera.</t>
  </si>
  <si>
    <t>A man in a tan suit is talking into a microphone.</t>
  </si>
  <si>
    <t>v_WYcTPQSXwRc</t>
  </si>
  <si>
    <t>A marching band plays in a parade while people watch stand on the sidewalk.</t>
  </si>
  <si>
    <t>The marching band pass on front a carnival and a green field.</t>
  </si>
  <si>
    <t>Then, the marching band arrives to a city.</t>
  </si>
  <si>
    <t>An old man holding a trophy walks on front the marching band.</t>
  </si>
  <si>
    <t>After, the marching band arrives to a bus station.</t>
  </si>
  <si>
    <t>A bond lady applaud, hug people and talks.</t>
  </si>
  <si>
    <t>v_KGIDKn3t2Qk</t>
  </si>
  <si>
    <t>An intro is shown with a drink being poured into a glass and a caption about drink mixing.</t>
  </si>
  <si>
    <t>A girl begins to make a drink called a Mai Tai.</t>
  </si>
  <si>
    <t>She takes out all the things she will need to make the drink.</t>
  </si>
  <si>
    <t>She gets some ice into a glass and into the shaker.</t>
  </si>
  <si>
    <t>She adds in the rum, triple sec, syrup, sour mix, and puts the lid on the shaker.</t>
  </si>
  <si>
    <t>She shakes the shaker for a bit until it gets cold and pours the drink into the glass over the ice.</t>
  </si>
  <si>
    <t>She tops it off with a bit of sour mix and cherries, as well as a straw.</t>
  </si>
  <si>
    <t>The video ends with the closing caption.</t>
  </si>
  <si>
    <t>v_r9OvUc28Qi8</t>
  </si>
  <si>
    <t>A large group of people are in an area walking, talking and hanging out.</t>
  </si>
  <si>
    <t>Two men with a referee in the middle appear on a stage and they are in an intense arm wrestling match.</t>
  </si>
  <si>
    <t>The man without a hat wins the match and is briefly interviewed where he's smiling and talking.</t>
  </si>
  <si>
    <t>Another match between two men begins and ones again the same man that won the first match wins again.</t>
  </si>
  <si>
    <t>He holds his right arm up flexing it while smiling and his name Allen Fisher pops up on the screen and a black screen with the words 25 Time World Champion ends the video.</t>
  </si>
  <si>
    <t>v_5O1ttcUIUKk</t>
  </si>
  <si>
    <t>men are standing in a large green field playing lacrosse.</t>
  </si>
  <si>
    <t>people is around the field watching the game.</t>
  </si>
  <si>
    <t>men are running side to side of the ield playing lacrosse trying to score.</t>
  </si>
  <si>
    <t>v_1JHqxhajh60</t>
  </si>
  <si>
    <t>A hand is holding a shower head close to a dog.</t>
  </si>
  <si>
    <t>The dog moves around the bathtub as he tries to bite the water being splashed on him.</t>
  </si>
  <si>
    <t>v_0dkIuFFlLRM</t>
  </si>
  <si>
    <t>A camera pans around a set of stairs and leads into people working out in a class.</t>
  </si>
  <si>
    <t>Several shots are shown of people working out together while a man speaks to the camera.</t>
  </si>
  <si>
    <t>The man continues speaking while more people are shown working out together.</t>
  </si>
  <si>
    <t>v_p5H5ZmAwdH8</t>
  </si>
  <si>
    <t>A woman is lifting wallpaper as she tries to smooth it down without bubbles with a tool.</t>
  </si>
  <si>
    <t>She applies the tool smoothly, making sure to repeel and correct any mistakes as she goes along.</t>
  </si>
  <si>
    <t>v_8HhihBmSS9s</t>
  </si>
  <si>
    <t>A small group of people are seen standing around a field that leads into a game of kickball.</t>
  </si>
  <si>
    <t>The people kick around the ball and cheer with one another as they score points on their side.</t>
  </si>
  <si>
    <t>Another team member scores a goal and their teammates run in with their arms up.</t>
  </si>
  <si>
    <t>v_FWPJWq-uhUw</t>
  </si>
  <si>
    <t>An athletic man wearing a track suit and a bib number 171 is walking on a track and warming himself up.</t>
  </si>
  <si>
    <t>The man then grabs his necklace, puts it in his mouth and begins clapping above his head and a name below appears and it say's IRVING SALADINO.</t>
  </si>
  <si>
    <t>The man drops the necklace from his mouth and immediately begins to run and does his hop, skip and jump.</t>
  </si>
  <si>
    <t>Replays of the man's run and jump play and the man is shown celebrating himself, and with others on the field.</t>
  </si>
  <si>
    <t>v_KFo88zRw5CM</t>
  </si>
  <si>
    <t>A man is waterskiing behind a boat while holding a rope.</t>
  </si>
  <si>
    <t>He tries to hold on as he zips to the side.</t>
  </si>
  <si>
    <t>He slips, splits, and falls into the water.</t>
  </si>
  <si>
    <t>v_YO8EY7miuk8</t>
  </si>
  <si>
    <t>A small group of people are seen standing together on a stage and lead into them playing the instruments and two men kneeling in front.</t>
  </si>
  <si>
    <t>The men then perform various martial arts around one another while the people stand around and watch.</t>
  </si>
  <si>
    <t>v_4k-F7EXpcrM</t>
  </si>
  <si>
    <t>A man is riding a rowing machine in a gym.</t>
  </si>
  <si>
    <t>A finger briefly covers part of the camera lens.</t>
  </si>
  <si>
    <t>The man continues to row as people walk by in the gym.</t>
  </si>
  <si>
    <t>v_gvhjtFg8A-c</t>
  </si>
  <si>
    <t>A person moves a tire towards the gate.</t>
  </si>
  <si>
    <t>The gates close in their lanes.</t>
  </si>
  <si>
    <t>People are sitting on tires behind gates.</t>
  </si>
  <si>
    <t>A person moves their feet.</t>
  </si>
  <si>
    <t>When the gate is released, people slide down the ice on tires.</t>
  </si>
  <si>
    <t>A person celebrates and raises their hands.</t>
  </si>
  <si>
    <t>v_avJNxcysMCk</t>
  </si>
  <si>
    <t>Many people are gathered at the finish line of a marathon, waiting for the runners to come in.</t>
  </si>
  <si>
    <t>Many runners start trickling in and slowing down stopping once they get to that point.</t>
  </si>
  <si>
    <t>There are many runners and some people on the sides but the stands are completely empty on that side.</t>
  </si>
  <si>
    <t>More and more men keep running in little by little.</t>
  </si>
  <si>
    <t>v_WVxP7f_OyEs</t>
  </si>
  <si>
    <t>Some people are seen on water skis in the lake.</t>
  </si>
  <si>
    <t>A man talks to the camera, demonstrating how to water ski.</t>
  </si>
  <si>
    <t>Several moves and positions are shown as he talks.</t>
  </si>
  <si>
    <t>v_qpeovDXc1cg</t>
  </si>
  <si>
    <t>A woman is drinking a cup of coffee.</t>
  </si>
  <si>
    <t>Coffee beans are shown in a cup.</t>
  </si>
  <si>
    <t>Web articles are being shown.</t>
  </si>
  <si>
    <t>A cup mug is being filled with coffee.</t>
  </si>
  <si>
    <t>People are riding bikes down the street.</t>
  </si>
  <si>
    <t>v_PveTDlMybvU</t>
  </si>
  <si>
    <t>Motorcycle riders race around a dirt track during a competition.</t>
  </si>
  <si>
    <t>One rider crashes over a jump and falls off his bike.</t>
  </si>
  <si>
    <t>The other rider slows down and pulls off the track.</t>
  </si>
  <si>
    <t>The crashed rider crawls on the ground and is helped by another.</t>
  </si>
  <si>
    <t>The rider waves his arms to signal the others and takes the crashed bike off the course.</t>
  </si>
  <si>
    <t>The rider is seen crashing in slow motion.</t>
  </si>
  <si>
    <t>v_qpyAkXLIJz0</t>
  </si>
  <si>
    <t>A group of people are seen standing around a room with some holding onto instruments.</t>
  </si>
  <si>
    <t>People are sitting at a table playing with cups.</t>
  </si>
  <si>
    <t>More people are seen drumming on the side while the people continue to play with cups.</t>
  </si>
  <si>
    <t>Eventually people play with a guitar and end by walking off the stage.</t>
  </si>
  <si>
    <t>v_gjfa7WGhM6U</t>
  </si>
  <si>
    <t>A young man is sitting in a chair with his head down shaving his leg with an electric razor.</t>
  </si>
  <si>
    <t>The man stops and cleans out the razor.</t>
  </si>
  <si>
    <t>The man shakes the razor when it stops working until it starts again and continues to shave his leg.</t>
  </si>
  <si>
    <t>v_eLeGJBfqURA</t>
  </si>
  <si>
    <t>A dog is outside in a large field and runs towards a man holding a yellow Frisbee.</t>
  </si>
  <si>
    <t>The man then begins walking and throws the frisbee for the dog to catch.</t>
  </si>
  <si>
    <t>He throws it several time and the dog catches each and every one.</t>
  </si>
  <si>
    <t>v_Pyf_5Bffu5A</t>
  </si>
  <si>
    <t>kids are playing beach soccer in a dusty field.</t>
  </si>
  <si>
    <t>people are standing around the field in stands.</t>
  </si>
  <si>
    <t>man makes a goal and the team and people in stands are celebrating.</t>
  </si>
  <si>
    <t>man is doing a corner and scores a goal and ruun to his teammates to celebrate.</t>
  </si>
  <si>
    <t>the game start te game and men keeps running and scores another goal and celebrates while theres a repetition.</t>
  </si>
  <si>
    <t>v_9uZoTZsTwv0</t>
  </si>
  <si>
    <t>A teenage boy on a horse spinning a rope in the air chases after a little cow.</t>
  </si>
  <si>
    <t>The cow is running and the boy throws the rope around its neck.</t>
  </si>
  <si>
    <t>It causes the cow to fall over after being pulled back by the rope.</t>
  </si>
  <si>
    <t>The boy goes running off the horse after it and pins the little cow down.</t>
  </si>
  <si>
    <t>v_VpfLfFtu0d8</t>
  </si>
  <si>
    <t>We see meat and cheese on a counter.</t>
  </si>
  <si>
    <t>A man talks to the camera in a kitchen.</t>
  </si>
  <si>
    <t>The man spreads mustard on bread.</t>
  </si>
  <si>
    <t>The man assembles the sandwich.</t>
  </si>
  <si>
    <t>The sandwich is pressed.</t>
  </si>
  <si>
    <t>The man cuts the sandwich.</t>
  </si>
  <si>
    <t>The man plates all of the food.</t>
  </si>
  <si>
    <t>v_9-yA1F4il_A</t>
  </si>
  <si>
    <t>A lady is blowing leaves off a roof.</t>
  </si>
  <si>
    <t>the lady walks to the right then towards the top.</t>
  </si>
  <si>
    <t>The camera pans down and we see a small boy on the ground below.</t>
  </si>
  <si>
    <t>v_dZ4y7J3ASEE</t>
  </si>
  <si>
    <t>A person throws a ball to a teen who runs and kick the ball.</t>
  </si>
  <si>
    <t>A teen grabs the ball in the air and throws to another girl.</t>
  </si>
  <si>
    <t>The falls on the ground an the girl takes it.</t>
  </si>
  <si>
    <t>v_sjE-hHKFghc</t>
  </si>
  <si>
    <t>A woman is seen wearing roller blades and speaking to the camera.</t>
  </si>
  <si>
    <t>She then rides around on her blades while looking over to the camera and speaking.</t>
  </si>
  <si>
    <t>She continues demonstrating how to properly use the blades and moving around.</t>
  </si>
  <si>
    <t>v_G6W6wen6n7w</t>
  </si>
  <si>
    <t>We see a man run and do a high jump 6'11 and see the replay.</t>
  </si>
  <si>
    <t>We then see the man jump at 6'9 and see the replay.</t>
  </si>
  <si>
    <t>The man jumps at 6'11 again and we see the replay.</t>
  </si>
  <si>
    <t>We see the man jump at 7'2 and we see the replay.</t>
  </si>
  <si>
    <t>We see the man jump at 8'3 using a springboard and we see the replay.</t>
  </si>
  <si>
    <t>v_ULZpTYSwlTs</t>
  </si>
  <si>
    <t>There are some weightlifters on stage participating in weightlifting events.</t>
  </si>
  <si>
    <t>There are several spectators watching the event.</t>
  </si>
  <si>
    <t>One of the weightlifters successfully lifts the weight bar high up and then drops it down.</t>
  </si>
  <si>
    <t>He raises his right hand feeling triumphant.</t>
  </si>
  <si>
    <t>v_k_gAGeXhmHo</t>
  </si>
  <si>
    <t>There is a close up of several men and boys who are sweating.</t>
  </si>
  <si>
    <t>They play rock paper scissors, and the loser becomes enraged.</t>
  </si>
  <si>
    <t>He runs through the building and outdoors, screaming and hitting the air.</t>
  </si>
  <si>
    <t>The man is shown sitting on a chair, talking.</t>
  </si>
  <si>
    <t>He shakes up a bottle and takes a drink before choking.</t>
  </si>
  <si>
    <t>They replay the game, ending with him again talking while sitting in the chair.</t>
  </si>
  <si>
    <t>v_4o7Abew2ExY</t>
  </si>
  <si>
    <t>A man is sitting on a bucket ice fishing.</t>
  </si>
  <si>
    <t>He stands up and pulls a fish out of the hole.</t>
  </si>
  <si>
    <t>He cuts the hook out of the fish and throws the fish on the ice.</t>
  </si>
  <si>
    <t>He sits back down on the bucket.</t>
  </si>
  <si>
    <t>v_Ed9xVend710</t>
  </si>
  <si>
    <t>A still shot of a man on water skis is shown.</t>
  </si>
  <si>
    <t>It then jumps to the same man water skiing very intently.</t>
  </si>
  <si>
    <t>He falls a few times and does his best to stay upright.</t>
  </si>
  <si>
    <t>The video then shows other people trying their best but falling each time.</t>
  </si>
  <si>
    <t>The video continues to show people falling again and again.</t>
  </si>
  <si>
    <t>At the end, credits are shown as to who filmed and starred in the video.</t>
  </si>
  <si>
    <t>v_agZNSscDJww</t>
  </si>
  <si>
    <t>A man is playing the bagpipes.</t>
  </si>
  <si>
    <t>People are playing a game of lacrosse outside.</t>
  </si>
  <si>
    <t>v_YZhNtSJMzq8</t>
  </si>
  <si>
    <t>A boy mows a backyard using a mower that has a collecting bag on back.</t>
  </si>
  <si>
    <t>The boy pass the sidewalk and turn to the yard to continue cutting the grass.</t>
  </si>
  <si>
    <t>v_e0a1lp4ZWu8</t>
  </si>
  <si>
    <t>People are riding on horses in a field.</t>
  </si>
  <si>
    <t>A person in a red shirt is standing next to the horse.</t>
  </si>
  <si>
    <t>A man in a black hat is next to the horse.</t>
  </si>
  <si>
    <t>v_dSsMVoPLQOk</t>
  </si>
  <si>
    <t>A woman is seen shaving down the fur of a dog while the camera shows many dogs sitting in crates.</t>
  </si>
  <si>
    <t>A woman is seen speaking to the camera and showing off several dogs with long hair and afterwards.</t>
  </si>
  <si>
    <t>The woman continues shaving down the sides of the dog while stopping to speak to the camera and showing off the shaved dog.</t>
  </si>
  <si>
    <t>v_ztnt2EYuK3I</t>
  </si>
  <si>
    <t>A person in a black coat is scraping ice off of a window.</t>
  </si>
  <si>
    <t>A kid in a yellow coat is smiling at the camera.</t>
  </si>
  <si>
    <t>A boy in a green jacket is scraping the ice off of another car.</t>
  </si>
  <si>
    <t>v_YtgiDWEY_1A</t>
  </si>
  <si>
    <t>The news shows a picture of a man name Albertinho Gazio, Meanwhile a woman walking out of her house in snow gear towards her parked car.</t>
  </si>
  <si>
    <t>The man behind the camera seems to be Albertinho, He is walking through the snow and talking, he and his wife and taking off the snow from the cars in the parking lot.</t>
  </si>
  <si>
    <t>His hands are extremely red from the snow but his wife is wearing gloves so she's unaffected.</t>
  </si>
  <si>
    <t>He takes a paper out of his pocket and reads through it, while his wife laughs at him before they start walking back inside.</t>
  </si>
  <si>
    <t>v_g0Cp28ElIMk</t>
  </si>
  <si>
    <t>A girl put her foot on a line and then pulls herself up .</t>
  </si>
  <si>
    <t>Her feet are dirty but she is trying to balance on the rope.</t>
  </si>
  <si>
    <t>A man gets up on the rope trying to balance himself also, he has trouble maintaining his balance causing himself to almost fall quite a bit.</t>
  </si>
  <si>
    <t>He tried this over water and then he watches a woman try to balance herself.</t>
  </si>
  <si>
    <t>v_jtyWcZGp4VA</t>
  </si>
  <si>
    <t>A person take on the hands a small and big brush and a com, and points a jug of detergent and a spray bottle.</t>
  </si>
  <si>
    <t>The person takes the big brush and brush the back leg of the dog from top to bottom.</t>
  </si>
  <si>
    <t>After, the person brushes the back leg of the dog using the big brush, then she small brush and the comb.</t>
  </si>
  <si>
    <t>Next, the person sprays the leg of the dog and combs.</t>
  </si>
  <si>
    <t>v_xI4LLnFt6Io</t>
  </si>
  <si>
    <t>A person plays bagpipes on the streets as people pass by.</t>
  </si>
  <si>
    <t>The crowd is shown and someone takes a picture with the woman.</t>
  </si>
  <si>
    <t>v_t5Br7yOUe4g</t>
  </si>
  <si>
    <t>There's a gymnast wearing red leotards performing gymnastics on a horse bar in a large stadium with spectators and a panel of judges.</t>
  </si>
  <si>
    <t>She begins by getting onto the horse bar and does a front flips and a couple back flips.</t>
  </si>
  <si>
    <t>Then she continues twisting her legs and does another side flips by twisting her body.</t>
  </si>
  <si>
    <t>She then gracefully does few more continuous back flips and jumps off the bar and walks away.</t>
  </si>
  <si>
    <t>v_d8MgSp3oCoA</t>
  </si>
  <si>
    <t>Two sumos stand face to face on front a woman.</t>
  </si>
  <si>
    <t>Then, the sumos push each other while the woman watch them.</t>
  </si>
  <si>
    <t>After, a sumo falls on the ground heavily, then he stands.</t>
  </si>
  <si>
    <t>A man wearing yellow clothes approach the ring.</t>
  </si>
  <si>
    <t>v_Fz1NCLAB8bA</t>
  </si>
  <si>
    <t>Five products are aligned on a table,illustrating the products needed to shave.</t>
  </si>
  <si>
    <t>A young white male walks into the bathroom,turns on the water and begins to rub his beard.</t>
  </si>
  <si>
    <t>A series of different forms of the product is shown and then the man prepares his skin with oil and puts it around his beard.</t>
  </si>
  <si>
    <t>Next comes the brush and he adds some white cream to it to lather up his hair.</t>
  </si>
  <si>
    <t>Finally,it is time to shave and the beard is taken completely down.</t>
  </si>
  <si>
    <t>For the finishing touches,lotion is added and the man is now dressed in a suit ready to go.</t>
  </si>
  <si>
    <t>v_ydJsJgdaEq4</t>
  </si>
  <si>
    <t>A man wearing a hat is seen speaking to the camera and holding up various cleaning products.</t>
  </si>
  <si>
    <t>He then holds up a bottle and rag and begins wiping down a class door.</t>
  </si>
  <si>
    <t>He continues wiping down a door and speaking to the camera.</t>
  </si>
  <si>
    <t>v_7_5VT6QCqNI</t>
  </si>
  <si>
    <t>A man is talking to the camera while styling a woman's hair.</t>
  </si>
  <si>
    <t>The man is showing various hair care products.</t>
  </si>
  <si>
    <t>The man is drying the woman's hair with a blow dryer.</t>
  </si>
  <si>
    <t>The man shows a hair brush.</t>
  </si>
  <si>
    <t>The man hands the woman the brush and blow dryer.</t>
  </si>
  <si>
    <t>The woman proceeds to dry her own hair.</t>
  </si>
  <si>
    <t>The man resumes blow drying the woman's hair.</t>
  </si>
  <si>
    <t>The man sprays the woman's hair with hairspray.</t>
  </si>
  <si>
    <t>A row of hair care products is shown.</t>
  </si>
  <si>
    <t>A logo for hair care products is shown.</t>
  </si>
  <si>
    <t>v_46l7dmH8pCg</t>
  </si>
  <si>
    <t>A group of people are in the backyard of a house, playing croquette.</t>
  </si>
  <si>
    <t>A woman uses the mallet to hit the ball, then others join in.</t>
  </si>
  <si>
    <t>A man holding a mallet and ball talks about the process of how to play the game, playing and hitting the ball and he explains it.</t>
  </si>
  <si>
    <t>He then puts his arms out at his sides.</t>
  </si>
  <si>
    <t>v_-Wmrg_0jxA8</t>
  </si>
  <si>
    <t>A circle is formed of several children who are talking and banging each other in the head with foam mallets.</t>
  </si>
  <si>
    <t>The other people laugh as they watch.</t>
  </si>
  <si>
    <t>v_3A26j50_awY</t>
  </si>
  <si>
    <t>We see a track with people standing around.</t>
  </si>
  <si>
    <t>We see a man with a javelin run.</t>
  </si>
  <si>
    <t>The man returns and we see another javelin thrower with him.</t>
  </si>
  <si>
    <t>A man in red and white runs down a track and performs a high jump.</t>
  </si>
  <si>
    <t>The camera is lowered and covered by a hand.</t>
  </si>
  <si>
    <t>v_FaDD5MyZj88</t>
  </si>
  <si>
    <t>A man is shown doing a jump in slow motion on a track several times back to back.</t>
  </si>
  <si>
    <t>The camera shows several different angles of the athlete jumping in a line as well as into the pit on sand.</t>
  </si>
  <si>
    <t>He performs several long jumps back to back and shows off his distance acquired.</t>
  </si>
  <si>
    <t>v_cxIfpBvuk0E</t>
  </si>
  <si>
    <t>A girl is lighting a cigarette and blowing smoke.</t>
  </si>
  <si>
    <t>An arm comes into view and the girl smells it.</t>
  </si>
  <si>
    <t>She smokes some more and blows smoke as she plays with her hair.</t>
  </si>
  <si>
    <t>She is saying something to the camera as she smokes.</t>
  </si>
  <si>
    <t>She thumps her ashes and continues to smoke.</t>
  </si>
  <si>
    <t>She turns around and then back to smoking.</t>
  </si>
  <si>
    <t>She sticks her tongue out.</t>
  </si>
  <si>
    <t>She pans over to a picture of a crazy looking woman and tries to imitate it.</t>
  </si>
  <si>
    <t>She continues to smoke and talk to the camera.</t>
  </si>
  <si>
    <t>She makes faces at the camera.</t>
  </si>
  <si>
    <t>She gets up close to the camera as someone walks behind her.</t>
  </si>
  <si>
    <t>v_uLT7PmD_AJA</t>
  </si>
  <si>
    <t>A person's hands are seen working on the head of a human and placing pieces of hair into the head.</t>
  </si>
  <si>
    <t>The person ties the hair into several braids and then transitions into pictures of the hair in an updo.</t>
  </si>
  <si>
    <t>v_a5R0qO5NynU</t>
  </si>
  <si>
    <t>A woman does hula hoops outside and then in the dark alternating.</t>
  </si>
  <si>
    <t>A man takes a hula hoop and describes it before cutting back to the woman.</t>
  </si>
  <si>
    <t>v_sC_hs-OXERg</t>
  </si>
  <si>
    <t>A man is seen bending over a block of wood and sanding it own.</t>
  </si>
  <si>
    <t>He pours out more liquids in front of a group of people and rubs it all along the block of wood.</t>
  </si>
  <si>
    <t>He continues rubbing it down while people on the sidelines watch.</t>
  </si>
  <si>
    <t>v_pcaPtKtS03E</t>
  </si>
  <si>
    <t>A close up of a christmas tree is shown followed by a young child hanging up ornaments.</t>
  </si>
  <si>
    <t>The girl walks back and fourth hanging up ornaments all over a tree.</t>
  </si>
  <si>
    <t>The girl continues to hang up ornaments while the camera captures her movements.</t>
  </si>
  <si>
    <t>v_z4_OuffZPAo</t>
  </si>
  <si>
    <t>A man peels a potato while blindfolded and two little girls watch.</t>
  </si>
  <si>
    <t>The man finishes and holds up the potato to the camera.</t>
  </si>
  <si>
    <t>The man picks up a peel off the table.</t>
  </si>
  <si>
    <t>the man removes his blindfold.</t>
  </si>
  <si>
    <t>v_VuEy38XdUgA</t>
  </si>
  <si>
    <t>The video starts with several people playing shuffleboard on a shuffleboard court.</t>
  </si>
  <si>
    <t>One person makes a shot with a black puck.</t>
  </si>
  <si>
    <t>The next person makes a shot with a yellow puck.</t>
  </si>
  <si>
    <t>The people continue to alternate shots between a yellow and a black puck.</t>
  </si>
  <si>
    <t>v_pOO6H6d5SXI</t>
  </si>
  <si>
    <t>An elderly man is seated in the living room.</t>
  </si>
  <si>
    <t>He is playing an accordian.</t>
  </si>
  <si>
    <t>He continues playing the accordian for the camera.</t>
  </si>
  <si>
    <t>v_6_XA3oKwwzU</t>
  </si>
  <si>
    <t>A woman is playing an acoustic guitar.</t>
  </si>
  <si>
    <t>A woman standing next to her is dancing and twirling a baton.</t>
  </si>
  <si>
    <t>v_9nh_6Hzg_aw</t>
  </si>
  <si>
    <t>A person is shown looking around a city and begins washing windows with his tools.</t>
  </si>
  <si>
    <t>He goes up and down the windows at a rapid pace and continues filming himself through the glass.</t>
  </si>
  <si>
    <t>He finishes the glass in record time and turns off the camera.</t>
  </si>
  <si>
    <t>v_o5j6N8O6HS4</t>
  </si>
  <si>
    <t>One man is explaining to another man how to use a rowing machine.</t>
  </si>
  <si>
    <t>One of the main starts to row on the rowing machine before the other.</t>
  </si>
  <si>
    <t>Next, the other man joins the first man and starts to row.</t>
  </si>
  <si>
    <t>v_GlAEgSWM2nQ</t>
  </si>
  <si>
    <t>A man in shorts is shown in front of some bushes and is trimming them with a manual trimmer.</t>
  </si>
  <si>
    <t>He is being very precise and going a very detailed job.</t>
  </si>
  <si>
    <t>He goes up and down the length of the bushes and is paying attention to every part of them.</t>
  </si>
  <si>
    <t>He then moves higher and higher getting the very top of the bush.</t>
  </si>
  <si>
    <t>v_3fg_CB3rBSk</t>
  </si>
  <si>
    <t>kids are in a park around a squarepants bob sponge piñata pulling threads.</t>
  </si>
  <si>
    <t>woman is behind playground holding a bag and watching the kids.</t>
  </si>
  <si>
    <t>woman holds the piñata while kids keep pulling from the piñata.</t>
  </si>
  <si>
    <t>kid pulls the thread and opn the piñata and kneel in the floor picking up candies.</t>
  </si>
  <si>
    <t>v_hV_Ud3zrAnA</t>
  </si>
  <si>
    <t>Several people are seen jumping roping with one another as well as on their own as others watch on the side.</t>
  </si>
  <si>
    <t>The people performing several jumps and spins with the jump rope as well as shots that are shown in slow motion.</t>
  </si>
  <si>
    <t>v_OeIQ0P0FCCg</t>
  </si>
  <si>
    <t>A person sitting on a bicycle is seen sitting before a track start with others and leads into him completing a race.</t>
  </si>
  <si>
    <t>Several more shots are shown of people racing all together as well as the man riding around and others recording him.</t>
  </si>
  <si>
    <t>v_0BXBfSWIR2k</t>
  </si>
  <si>
    <t>A wind surfer surfs against heavy waves.</t>
  </si>
  <si>
    <t>The surfer flings his board against a wave, flying high into the air.</t>
  </si>
  <si>
    <t>The surfer lands back on the waters and resumes his surf.</t>
  </si>
  <si>
    <t>v_PBZScfP9ynI</t>
  </si>
  <si>
    <t>A woman is doing kickboxing in front of a mirrored wall.</t>
  </si>
  <si>
    <t>She high kicks her legs into the air.</t>
  </si>
  <si>
    <t>She alternates the kicks with punches.</t>
  </si>
  <si>
    <t>v_PFYk8lhE7-0</t>
  </si>
  <si>
    <t>A man is outside with a large metal box.</t>
  </si>
  <si>
    <t>Another man is sanding a wall and ceiling inside a building.</t>
  </si>
  <si>
    <t>They then sand the floors.</t>
  </si>
  <si>
    <t>v__Z71mu4aQy4</t>
  </si>
  <si>
    <t>A cricket player hits a ball that is pitched.</t>
  </si>
  <si>
    <t>A player makes a diving catch in the outfield.</t>
  </si>
  <si>
    <t>The player smiles and is a good sport.</t>
  </si>
  <si>
    <t>v_-z0ZvJD9gY4</t>
  </si>
  <si>
    <t>A young man is seen spraying down a dog with water in the middle of an alleyway while the dog moves away from the water.</t>
  </si>
  <si>
    <t>The person continues spraying the dog with the hose and standing waiting for the dog.</t>
  </si>
  <si>
    <t>v_mQoYAZ2BLDM</t>
  </si>
  <si>
    <t>Two people arm wrestle in a competition.</t>
  </si>
  <si>
    <t>The losers arm is hurt.</t>
  </si>
  <si>
    <t>v_-y8LMGQt8uI</t>
  </si>
  <si>
    <t>A group of people are seen going up and down snowy mountains on skis and in ski cars.</t>
  </si>
  <si>
    <t>A view is then seen of the snowy mountains with a bridge in front.</t>
  </si>
  <si>
    <t>v_CBN0dqyWB7w</t>
  </si>
  <si>
    <t>A man is seen kneeling down next to a car while speaking to the camera.</t>
  </si>
  <si>
    <t>The camera pans all around the car as well as the tire while the man continues to speak to the camera.</t>
  </si>
  <si>
    <t>v_XkVicWlqTV4</t>
  </si>
  <si>
    <t>A man serves a ball in a beach volleyball game, then he run on front the net to receive the ball while people watch the game in a beach.</t>
  </si>
  <si>
    <t>A serves a ball and plays while people watch the game in a beach.</t>
  </si>
  <si>
    <t>v_u_G3ZPXU35A</t>
  </si>
  <si>
    <t>A pair of french doors is shown on a house.</t>
  </si>
  <si>
    <t>A man demonstrates how to clean the glass in the windows of the doors.</t>
  </si>
  <si>
    <t>He scrubs them with a cloth, wiping them clean.</t>
  </si>
  <si>
    <t>He continues going down one door, cleaning each individual window.</t>
  </si>
  <si>
    <t>v_aj1ole7T9hc</t>
  </si>
  <si>
    <t>A woman is mowing a lawn, pushing the mower back and forth.</t>
  </si>
  <si>
    <t>She covers half the lawn and driveway before the video ends.</t>
  </si>
  <si>
    <t>v_cK1ssoaX768</t>
  </si>
  <si>
    <t>A group of men plays soccer in a sand area.</t>
  </si>
  <si>
    <t>A crowd watches from the the stands.</t>
  </si>
  <si>
    <t>A goalie tries to block a ball and does the splits but misses the ball.</t>
  </si>
  <si>
    <t>v_br8Ao_UBEZA</t>
  </si>
  <si>
    <t>Two men enter the racquetball room.</t>
  </si>
  <si>
    <t>The two men start playing racquetball, running around the room trying to hit the ball.</t>
  </si>
  <si>
    <t>A man leaved the room and looks into the camera.</t>
  </si>
  <si>
    <t>v_iuEuMQUXLVw</t>
  </si>
  <si>
    <t>woman is standing in a kitchen and is eating a cake full of cream.</t>
  </si>
  <si>
    <t>a cake is in a pot on the counter, woman is speaking to the camera in the kitchen.</t>
  </si>
  <si>
    <t>cake mix is beat with a mixer, the woman keeps talking and mixing the cake.</t>
  </si>
  <si>
    <t>oil is in a pot.</t>
  </si>
  <si>
    <t>woman holds a green pot full of sand and its putted on the pressure cooker.</t>
  </si>
  <si>
    <t>put the mixer on the oily pot.</t>
  </si>
  <si>
    <t>the pression mix is open and then closed while the woman keeps talking in the kitchen, after a ime she open the pot and the cake is ready.</t>
  </si>
  <si>
    <t>a decorated cake is shown and the cakes along the pression pot.</t>
  </si>
  <si>
    <t>v_c7Rxe5IzUQw</t>
  </si>
  <si>
    <t>A black and white video shows two people in a bedroom, playing guitars.</t>
  </si>
  <si>
    <t>They continue throughout the video, shaking somewhat as they play.</t>
  </si>
  <si>
    <t>v_KU4twxFnX5Q</t>
  </si>
  <si>
    <t>A group of runners walk down a dirt path.</t>
  </si>
  <si>
    <t>They begin running, being passed by cars as they go.</t>
  </si>
  <si>
    <t>They continue running through the town together.</t>
  </si>
  <si>
    <t>v_AOBkrb8yYS4</t>
  </si>
  <si>
    <t>A close up of a ball is shown followed by a person hitting the ball in several locations.</t>
  </si>
  <si>
    <t>The man continues to demonstrate how to hit the ball in various angles as well as kneeling on the ground to shoot.</t>
  </si>
  <si>
    <t>v_ZlHaPkhGr_g</t>
  </si>
  <si>
    <t>There's a girl with long brown hair playing the harmonica in a hospital elevator.</t>
  </si>
  <si>
    <t>The elevator door opens and several people enter the elevator.</t>
  </si>
  <si>
    <t>She continues playing her harmonica.</t>
  </si>
  <si>
    <t>There's a young boy and his mother who smile at the lady as she plays.</t>
  </si>
  <si>
    <t>Then they get off the elevator when they reach their level.</t>
  </si>
  <si>
    <t>The lady continues playing the harmonica as the elevator moves further and stops at other levels and more people walk in.</t>
  </si>
  <si>
    <t>People continue to get on and off the elevator but she continues to play her harmonica.</t>
  </si>
  <si>
    <t>A person enters the elevator with a man on a stretcher along with some other people.</t>
  </si>
  <si>
    <t>They smile at her and compliment her.</t>
  </si>
  <si>
    <t>They get off the elevator when they reach their desired level in the hospital.</t>
  </si>
  <si>
    <t>v_An_CpsJkJMM</t>
  </si>
  <si>
    <t>A toddler wash his hands in the sink.</t>
  </si>
  <si>
    <t>Then, the toddler splash water on his face and smile.</t>
  </si>
  <si>
    <t>The toddled puts water on his face, and then moves his head.</t>
  </si>
  <si>
    <t>v_e07y3QI4Kbg</t>
  </si>
  <si>
    <t>Two people are seen arm wrestling with one another while one man holds their hands.</t>
  </si>
  <si>
    <t>The men then continue to wrestle with one slamming the other's hand down.</t>
  </si>
  <si>
    <t>v_tA4KrZHGoYQ</t>
  </si>
  <si>
    <t>A group of people are seen huddled around and leads into a group of them riding down a river with one man's help.</t>
  </si>
  <si>
    <t>The ride continuously down the river bumping into rocks along the way and leads to them walking out on the side.</t>
  </si>
  <si>
    <t>Finally a picture of them all together in shown in the end.</t>
  </si>
  <si>
    <t>v_-1CEVKeAyA8</t>
  </si>
  <si>
    <t>An older woman is seen sitting in a chair knitting while holding two needles and leads into her showing off her knitting basket and speaking to the camera.</t>
  </si>
  <si>
    <t>The woman continues speaking while holding the knitting tools and ends by fading to black.</t>
  </si>
  <si>
    <t>v_5aMigcn2cU8</t>
  </si>
  <si>
    <t>A group of two women and two men pose together.</t>
  </si>
  <si>
    <t>They are then shown performing an art exercise called zumba inside a building.</t>
  </si>
  <si>
    <t>They dance back and forth in unison, then are shown posing together at the end as musical notes float across the screen.</t>
  </si>
  <si>
    <t>v_IBkHS9Zl2z8</t>
  </si>
  <si>
    <t>A man in a brown coat and hat is shoveling the snow from his driveway.</t>
  </si>
  <si>
    <t>Pictures of the man are being shown.</t>
  </si>
  <si>
    <t>The man gets out a snowblower and starts snowblowing his driveway.</t>
  </si>
  <si>
    <t>A woman in a blue coat is talking.</t>
  </si>
  <si>
    <t>The man continues snowblowing before talking to the camera.</t>
  </si>
  <si>
    <t>v_-UfNSW7yeSo</t>
  </si>
  <si>
    <t>A person welds a seam of a large metal pipe wearing protective mask.</t>
  </si>
  <si>
    <t>The person peers through a tiny hole in a piece of metal.</t>
  </si>
  <si>
    <t>The man finishes the weld and the seam is seen glowing red hot.</t>
  </si>
  <si>
    <t>A man taps the finished welled with a metal file.</t>
  </si>
  <si>
    <t>v_vNzTWjEFr-Y</t>
  </si>
  <si>
    <t>The video shows a person's hand holding up an acoustic guitar.</t>
  </si>
  <si>
    <t>The Yamaha case of the guitar is also shown.</t>
  </si>
  <si>
    <t>A young man is seen playing his acoustic guitar.</t>
  </si>
  <si>
    <t>He is strumming his guitar to a tune.</t>
  </si>
  <si>
    <t>v_7e035QnLp0c</t>
  </si>
  <si>
    <t>A man is seen in several locations walking along a long rope tied to two trees.</t>
  </si>
  <si>
    <t>The man continues performing several variations on how to walk on the rope as well as jumping up and down and continuing to walk.</t>
  </si>
  <si>
    <t>v_99PtaOQbBIY</t>
  </si>
  <si>
    <t>Several cats are shown sitting around followed by a man speaking to the camera.</t>
  </si>
  <si>
    <t>More shots are shown of cars and leads into a woman cutting a cat's claws.</t>
  </si>
  <si>
    <t>Several products are shown laid out as well as several people holding cats and cutting their nails.</t>
  </si>
  <si>
    <t>v_VoQ2VhCqir0</t>
  </si>
  <si>
    <t>men is holding a bucket and is standing in the oof of a house and its working on it.</t>
  </si>
  <si>
    <t>man is doing the mix in a bucket in a floor and in the roof again.</t>
  </si>
  <si>
    <t>v_I-vi5EpjrFI</t>
  </si>
  <si>
    <t>Text is shown across the screen leading into two women speaking to one another.</t>
  </si>
  <si>
    <t>One takes a sip of mouth wash and spits it into the sink.</t>
  </si>
  <si>
    <t>She hands the container back to the woman who turns to speak to the camera.</t>
  </si>
  <si>
    <t>v_6eQuZddoEcI</t>
  </si>
  <si>
    <t>Three athletes perform hammer throws at a professional sports event in front of an audience in bleachers and score keepers.</t>
  </si>
  <si>
    <t>A man spins a hammer throw sports hammer around and around again at a professional sports event and then lets it go to fly into a field surrounded by an audience in bleachers.</t>
  </si>
  <si>
    <t>The athlete walks away and looks disappointed as a scoreboard reveals the score.</t>
  </si>
  <si>
    <t>Two more athletes perform the same sport in the same way both letting the hammer fly in the air.</t>
  </si>
  <si>
    <t>A final scoreboard displays showing hammer throw scores.</t>
  </si>
  <si>
    <t>v_4l8r_wBuJ6Y</t>
  </si>
  <si>
    <t>A man is wearing a yellow vest.</t>
  </si>
  <si>
    <t>He is standing in front of a building cleaning a window.</t>
  </si>
  <si>
    <t>A person is seen looking out one of the windows.</t>
  </si>
  <si>
    <t>v_g0RK-2ydod0</t>
  </si>
  <si>
    <t>A chef is seen standing before a table with various objects laid out and pulling a piece of food out of pot.</t>
  </si>
  <si>
    <t>He shows the object to the camera and begins peeling it out into a bowl.</t>
  </si>
  <si>
    <t>The person then cuts up the food and continues peeling more into a pot.</t>
  </si>
  <si>
    <t>v_TjDlEonao3s</t>
  </si>
  <si>
    <t>There's a woman doing a tutorial on how to use a curling iron on a model's hair.</t>
  </si>
  <si>
    <t>She takes sections of the model's hair one at time and puts it into the curling iron and then releases it gradually to pull out the curls.</t>
  </si>
  <si>
    <t>She continues the process till the entire head of hair is curled with the iron.</t>
  </si>
  <si>
    <t>The model then smiles and takes a selfie while looking in the mirror.</t>
  </si>
  <si>
    <t>v_wfSh2F8ymIg</t>
  </si>
  <si>
    <t>A camera shows a person's feet riding down a snow mountain while spinning around in circles.</t>
  </si>
  <si>
    <t>The person continues spinning down the hill while a large crowd watches on the side and a young boy jumps up at the bottom.</t>
  </si>
  <si>
    <t>v_1opIvQF0m_M</t>
  </si>
  <si>
    <t>A person on a skateboard moves over and ramp and up on a corner.</t>
  </si>
  <si>
    <t>The camera shows him doing various moves and interviewing the camera.</t>
  </si>
  <si>
    <t>Another man rides a wakeboard doing and tricks and eventually falls.</t>
  </si>
  <si>
    <t>Several other clips are shown of people kayaking doing several stunts while the camera records.</t>
  </si>
  <si>
    <t>v_soeRPsbkfas</t>
  </si>
  <si>
    <t>A man is shown doing several different long jumps back to back while the camera captures him.</t>
  </si>
  <si>
    <t>He swings his arms around to demonstrate a proper move followed by several more jumps.</t>
  </si>
  <si>
    <t>v_YonmpJvwmKM</t>
  </si>
  <si>
    <t>A man is pictured next to an ad for yoga.</t>
  </si>
  <si>
    <t>He is standing in a forest, making slow and graceful yoga moves.</t>
  </si>
  <si>
    <t>He stands on a platform, continuing the graceful movements.</t>
  </si>
  <si>
    <t>We then see him again in the woods, still performing yoga quietly.</t>
  </si>
  <si>
    <t>v_ComW-O6dMW4</t>
  </si>
  <si>
    <t>These two men are shown spraying the exterior of the black car with soap.</t>
  </si>
  <si>
    <t>Then they started hand washing the car using their hands and a towel.</t>
  </si>
  <si>
    <t>They scrubbed almost everywhere to make the black turn into shine.</t>
  </si>
  <si>
    <t>v_CIPSw35iF3k</t>
  </si>
  <si>
    <t>A person is slicing a potato.</t>
  </si>
  <si>
    <t>They stack up the potato slices and start chopping them into tiny pieces.</t>
  </si>
  <si>
    <t>He sets the pieces on a plate sitting in a sink.</t>
  </si>
  <si>
    <t>There is plates of food in the sink.</t>
  </si>
  <si>
    <t>He empties the plates into a pot.</t>
  </si>
  <si>
    <t>He stirs everything in the pot together.</t>
  </si>
  <si>
    <t>He then takes a scoop of that and puts it on a plate with vegetables on it.</t>
  </si>
  <si>
    <t>He tops it with garnishments.</t>
  </si>
  <si>
    <t>v_9wMEbyzxNHI</t>
  </si>
  <si>
    <t>men are talking to the camera sitting in a chair.</t>
  </si>
  <si>
    <t>men taking off their glasses and shave the half of their faces while a woman is putting some makeup on them, doing their eyebrows and putting some eyeliner and lashes.</t>
  </si>
  <si>
    <t>men look at them in the mirror with the half way of the face with makeup and the oher half without makeup and are talking to the camera.</t>
  </si>
  <si>
    <t>v_jCNaa108OhI</t>
  </si>
  <si>
    <t>People shovels the snow using a wheeled snow shovel.</t>
  </si>
  <si>
    <t>Then, a man demonstrates how to shovel the snow, the he uses a bag.</t>
  </si>
  <si>
    <t>v_dY2iZq5T0zo</t>
  </si>
  <si>
    <t>A group of people are riding horses and playing polo.</t>
  </si>
  <si>
    <t>They fight over the ball in front of the watching crowd.</t>
  </si>
  <si>
    <t>When it's over, they pose for pictures outside the rodeo and stadium.</t>
  </si>
  <si>
    <t>v_Qyruw9480BU</t>
  </si>
  <si>
    <t>A lady in a pink shirt stands in a laundry room talking to the camera.</t>
  </si>
  <si>
    <t>The camera zooms out to show us the whole room.</t>
  </si>
  <si>
    <t>The lady shows us a spray bottle and shakes it up.</t>
  </si>
  <si>
    <t>The lady then speaks to the camera.</t>
  </si>
  <si>
    <t>v_lEYr4d4vBWc</t>
  </si>
  <si>
    <t>A close up of a wall is shown followed by several clips of men opening a window.</t>
  </si>
  <si>
    <t>They're also seen working on a roof and putting tiles down on the side.</t>
  </si>
  <si>
    <t>They put in a window and end by closing up.</t>
  </si>
  <si>
    <t>v_3ZJQHfrfR2M</t>
  </si>
  <si>
    <t>A man is cleaning leaves off a sidewalk with a broom and a shovel.</t>
  </si>
  <si>
    <t>The man sweeps the leaves in a circle and puts them in the bin.</t>
  </si>
  <si>
    <t>A yellow bus rides past the man.</t>
  </si>
  <si>
    <t>The man sweeps again and puts the leaves in the bin.</t>
  </si>
  <si>
    <t>v_1ErQKcUju8o</t>
  </si>
  <si>
    <t>A tutorial is presented on how to do simple ballet moves.</t>
  </si>
  <si>
    <t>After showing the materials, the teacher touches the student to show perfect form.</t>
  </si>
  <si>
    <t>v_fBov3cwPEho</t>
  </si>
  <si>
    <t>We see a man and a baby decorating a Christmas tree.</t>
  </si>
  <si>
    <t>The baby takes a blue bulb off the tree.</t>
  </si>
  <si>
    <t>The dad puts it back and the baby takes it again.</t>
  </si>
  <si>
    <t>The child turns towards the camera and the dad walks to a counter.</t>
  </si>
  <si>
    <t>The child drops the blue bulb and goes for another.</t>
  </si>
  <si>
    <t>The child adds another blue bulb to the tree.</t>
  </si>
  <si>
    <t>The camera pans up to show the tree and then shows the stockings.</t>
  </si>
  <si>
    <t>v_jbSBQL08VHA</t>
  </si>
  <si>
    <t>A man is seen speaking to the camera and working on a bike followed by him pulling chains and spinning wheels on the bike.</t>
  </si>
  <si>
    <t>He peddles the bike and shows the tire spinning again, ending with him tightening the tire and spinning it once more.</t>
  </si>
  <si>
    <t>v_tS-MHCJKMgM</t>
  </si>
  <si>
    <t>A welding specialist from Tulsa Welding School is demonstrating how to weld.</t>
  </si>
  <si>
    <t>He explains the techniques of welding with the help of welder wearing protective gear and mask, using the blow torch.</t>
  </si>
  <si>
    <t>v_WVaYjd1F8kg</t>
  </si>
  <si>
    <t>A person cuts a pepper and put in a bowl.</t>
  </si>
  <si>
    <t>Also, the person cook noodles in a pot.</t>
  </si>
  <si>
    <t>Then, the person fry mushrooms in a pan, add salt, garlic, tomatoes and roots.</t>
  </si>
  <si>
    <t>After, the person add the pepper and the noodles, mix and serves.</t>
  </si>
  <si>
    <t>v_sCCJpFKVV8g</t>
  </si>
  <si>
    <t>A woman is seen bending over a table with a tattoo artist rubbing her back from behind and grabbing a tattoo needle.</t>
  </si>
  <si>
    <t>The woman then begins tattooing the back of the woman while the camera pans around from various angles.</t>
  </si>
  <si>
    <t>v_moqRG7uwZ4Q</t>
  </si>
  <si>
    <t>A view of a leaf blower lays on the ground in a yard.</t>
  </si>
  <si>
    <t>The leaf blower blows brown dried up leaves using the leaf blower.</t>
  </si>
  <si>
    <t>The leaves are blown away from some lawn furniture and blown towards the middle of the yard.</t>
  </si>
  <si>
    <t>v_B-lmXhRr6bE</t>
  </si>
  <si>
    <t>A large black item is drawn on a long sheet of white paper.</t>
  </si>
  <si>
    <t>A person uses a brush to continue the painting.</t>
  </si>
  <si>
    <t>They add leaves, creating a black plant.</t>
  </si>
  <si>
    <t>v_VLmZ3M3wSbo</t>
  </si>
  <si>
    <t>A young man is seen holding his eye open in front of a mirror and attempting to put a contact lens in.</t>
  </si>
  <si>
    <t>He drops the lens on the sink and again tries to put the contact into his eye.</t>
  </si>
  <si>
    <t>He drops the lens again and continues trying to put it into his eye and the camera moves around in the end.</t>
  </si>
  <si>
    <t>v_ti3EHJLR2mU</t>
  </si>
  <si>
    <t>The video is a tutorial on how to make Alfredo sauce pasta.</t>
  </si>
  <si>
    <t>A lady with blond hair wearing a maroon tank top is demonstrating how to boil water to make bow-tie pasta.</t>
  </si>
  <si>
    <t>She then strains the pasta out in a bowl by throwing out the excess water.</t>
  </si>
  <si>
    <t>Then she takes a stick of butter and cuts it and adds to a saucepan.</t>
  </si>
  <si>
    <t>then she adds some milk and cheese to it and stirs it in with the cooked pasta.</t>
  </si>
  <si>
    <t>She adds some more milk and cheese to the pasta to make the sauce.</t>
  </si>
  <si>
    <t>She continues stirring the pasta in the saucepan.</t>
  </si>
  <si>
    <t>She serves the pasta in a square brown plate and takes a spoonful of the pasta to taste it.</t>
  </si>
  <si>
    <t>She is happy with the way it turned out.</t>
  </si>
  <si>
    <t>v_LDjomH0-hYA</t>
  </si>
  <si>
    <t>A woman wearing a dress is dancing on a stage.</t>
  </si>
  <si>
    <t>Smoke is pumped out onto the stage behind her.</t>
  </si>
  <si>
    <t>She bows at the end and steps back.</t>
  </si>
  <si>
    <t>v_f9Bo4yVcnDE</t>
  </si>
  <si>
    <t>A man wearing a black coat is chopping a piece of wood with an ax.</t>
  </si>
  <si>
    <t>He tries again and chops it again.</t>
  </si>
  <si>
    <t>He moves the stump and tries to chop it again.</t>
  </si>
  <si>
    <t>He continues to chop the wood.</t>
  </si>
  <si>
    <t>v_I7Sole68Gag</t>
  </si>
  <si>
    <t>Swimmers are swimming to one side of the pool and then they stop briefly.</t>
  </si>
  <si>
    <t>Some swimmers on the side lines are watching them.</t>
  </si>
  <si>
    <t>They start throwing a ball back and forth around.</t>
  </si>
  <si>
    <t>A man in the corner of the pool tries to catch the ball and misses it.</t>
  </si>
  <si>
    <t>v_hSYfK-W2UJQ</t>
  </si>
  <si>
    <t>A woman talks, facing the camera while holding two dumbbells and then demonstrates a spin cycle exercise in front of a class in a gym.</t>
  </si>
  <si>
    <t>A woman stands and talks while facing the the camera, in a gym, with a wall of mirrors to her side and several people behind her standing near various pieces of gym equipment.</t>
  </si>
  <si>
    <t>The woman, now wearing a headset with a mic attached to the mouthpiece, starts cycling very fast on a spin cycle machine in front of a mirror with a class of people behind her who are also on spin cycle machines.</t>
  </si>
  <si>
    <t>The woman then lifts dumbbells with her arms while standing, lifts dumbbells while sitting on the floor and then returns to the spin cycle machine before the scene fades to black.</t>
  </si>
  <si>
    <t>v_MYzG-TsW8w8</t>
  </si>
  <si>
    <t>Four men are outside in a field throwing a baseball to each other.</t>
  </si>
  <si>
    <t>A ball then rolls into a pond and a little boy grabs it and throws it.</t>
  </si>
  <si>
    <t>The scene moves to a playground and the boys begin going down the slide.</t>
  </si>
  <si>
    <t>More kids are shown and they are doing various activities as they play such as the see saw,monkey bars and swings.</t>
  </si>
  <si>
    <t>On the side,a boy begins pumping his tire and a small baby is shown bathing in a basin.</t>
  </si>
  <si>
    <t>v_7rvrBulkd5c</t>
  </si>
  <si>
    <t>An exercise instructor is explaining the step.</t>
  </si>
  <si>
    <t>She steps up on it and begins to show the exercises.</t>
  </si>
  <si>
    <t>She goes in front of it and shows more exercises, stepping up and down and raising her arms as she steps.</t>
  </si>
  <si>
    <t>She stops and explains more.</t>
  </si>
  <si>
    <t>She turns back to the step and begins more advances steps.</t>
  </si>
  <si>
    <t>She stops for moment and shows the fast step again.</t>
  </si>
  <si>
    <t>v_upic9S0oEhg</t>
  </si>
  <si>
    <t>Two men play a song on a guitars together in a dimly lit room.</t>
  </si>
  <si>
    <t>Ones down to play the acoustic guitar.</t>
  </si>
  <si>
    <t>v_bOULU-0Nloc</t>
  </si>
  <si>
    <t>In a sped up mode an elderly man walks to the front of a house and grabs a blue snow plow.</t>
  </si>
  <si>
    <t>Continuing in the sped up mode, the man begins to plow snow to make a path.</t>
  </si>
  <si>
    <t>The man then moves the camera view and plows the snow in a different area that is fenced in.</t>
  </si>
  <si>
    <t>The man grabs the camera, points to the plow and then pans to the different areas of the yard.</t>
  </si>
  <si>
    <t>The man then goes indoors to show a messy and cluttered workshop filled with tools and supplies.</t>
  </si>
  <si>
    <t>The man goes back outside, shows his dog and walks around his yard, puts his dog down and the dog runs back to the workshop and pushes the door open.</t>
  </si>
  <si>
    <t>v_fllAtkXf7pw</t>
  </si>
  <si>
    <t>A lady sits back, talks, and drinks coffee.</t>
  </si>
  <si>
    <t>Credits of the clip are shown.</t>
  </si>
  <si>
    <t>v_QinlLV8QKBU</t>
  </si>
  <si>
    <t>A old man puts salt to bowling water in a pot, then he adds pasta and let cook for one minute.</t>
  </si>
  <si>
    <t>Then, the man turns off the stove and puts on the pot a cloth and a lid and let it for 10 min.</t>
  </si>
  <si>
    <t>After, the man drains the pasta in the sink.</t>
  </si>
  <si>
    <t>A woman comes and taste the cooked pasta and gives a thump up.</t>
  </si>
  <si>
    <t>v_ksvIIhvmSRM</t>
  </si>
  <si>
    <t>A man is seen sitting in a tube speaking and leads into people walking around carrying tubes.</t>
  </si>
  <si>
    <t>Shots of the water is shown followed by people riding down a river on the tubes.</t>
  </si>
  <si>
    <t>The people continue to ride down one after the other while people watch on the side.</t>
  </si>
  <si>
    <t>v_9RcCkU6dVD0</t>
  </si>
  <si>
    <t>A girl hits a pinata with an orange, toy bat.</t>
  </si>
  <si>
    <t>The bat falls and the girl picks it up.</t>
  </si>
  <si>
    <t>Behind her, a boy demonstrates how she should hit and cheers her on.</t>
  </si>
  <si>
    <t>v_TL7hwQauhFo</t>
  </si>
  <si>
    <t>In an indoor court teams of men are playing soccer while audience sits in the stadium.</t>
  </si>
  <si>
    <t>The team in black is trying to prevent the other team in red from scoring, the goalie blocks the score.</t>
  </si>
  <si>
    <t>They run up and down the court trying to score and keep the other from scoring.</t>
  </si>
  <si>
    <t>The red team scores and it's 1-1, they continue back on the court til the game is over.</t>
  </si>
  <si>
    <t>v_H2l7GraYFhI</t>
  </si>
  <si>
    <t>A band plays on a stage.</t>
  </si>
  <si>
    <t>A man in a suit plays the saxophone up front wearing sunglasses.</t>
  </si>
  <si>
    <t>v_BV4zqyN8hLs</t>
  </si>
  <si>
    <t>Various clips are shown of a man wake boarding and doing flips followed by him sitting on a boat and speaking to the camera.</t>
  </si>
  <si>
    <t>Several more shots of him riding and speaking are shown as well as a blonde woman also wake boarding.</t>
  </si>
  <si>
    <t>The two ride along the water together while the man continues to speak to the camera.</t>
  </si>
  <si>
    <t>v_ApH2nZIq2tU</t>
  </si>
  <si>
    <t>A band appears, walking down the street and across a field as they play for a crowd.</t>
  </si>
  <si>
    <t>Words appear on the screen talking about celebrating March 4th with a parade.</t>
  </si>
  <si>
    <t>v_d14twk9O2Vw</t>
  </si>
  <si>
    <t>An introduction comes onto the screen for a video about a tour for a band.</t>
  </si>
  <si>
    <t>They are shown getting haircuts in a barbershop and commentating about the haircut.</t>
  </si>
  <si>
    <t>They are also shown jamming out in a session with several people dancing around and having a good time.</t>
  </si>
  <si>
    <t>v_8OA30kYcAUQ</t>
  </si>
  <si>
    <t>A man rakes brown leaves in a lawn.</t>
  </si>
  <si>
    <t>The man puts the leaves in a trashcan.</t>
  </si>
  <si>
    <t>The man stops and moves the trashcan.</t>
  </si>
  <si>
    <t>The man pulls out a black object from his pocket and presents it.</t>
  </si>
  <si>
    <t>The man screws the black object at the end of the rake handle.</t>
  </si>
  <si>
    <t>The man moves the trashcan and rakes.</t>
  </si>
  <si>
    <t>The man stop raking, walks toward a tree, and hangs the rake on the tree.</t>
  </si>
  <si>
    <t>The man removes a pair of rakes for the tree and lifts it above his head.</t>
  </si>
  <si>
    <t>The man uses the dual rakes to pick up the leaves and put them into the trashcan.</t>
  </si>
  <si>
    <t>The man lifts the dual rakes above his head and then pairs them together.</t>
  </si>
  <si>
    <t>The man takes the paired rakes back to the tree where he hangs them on a branch.</t>
  </si>
  <si>
    <t>v_0vJfctL116Y</t>
  </si>
  <si>
    <t>A woman in a white apron is slicing lettuce on a board.</t>
  </si>
  <si>
    <t>She dries and cuts some cucumbers to put in a bowl of salad.</t>
  </si>
  <si>
    <t>She tosses the salad with her hands.</t>
  </si>
  <si>
    <t>She grabs a bottle of vinegar and pours it on top of the salad.</t>
  </si>
  <si>
    <t>She opens a bottle with her teeth and pours that onto the salad too.</t>
  </si>
  <si>
    <t>She puts more dressing on the salad.</t>
  </si>
  <si>
    <t>A lady in the background is pulling saran wrap out.</t>
  </si>
  <si>
    <t>She continues tossing the salad and mixing the dressing into it.</t>
  </si>
  <si>
    <t>A woman behind her pours seasoning onto the salad.</t>
  </si>
  <si>
    <t>A woman holds the bowl up and shows the salad while smiling.</t>
  </si>
  <si>
    <t>The woman who tossed the salad is washing her hands off on a towel.</t>
  </si>
  <si>
    <t>v_BiZF6o-AU64</t>
  </si>
  <si>
    <t>A graphic plays that says "StuntsAmazing" with a link to their facebook page.</t>
  </si>
  <si>
    <t>A man shows off a variety of pool tricks on his pool table in his house.</t>
  </si>
  <si>
    <t>A graphic plays that says "Subscribe" and the video ends.</t>
  </si>
  <si>
    <t>v_Ke29p3rcs1k</t>
  </si>
  <si>
    <t>a room with a table without painting is shown and a emery is on top of it.</t>
  </si>
  <si>
    <t>man walks into a room and use the emery on the top of the table.</t>
  </si>
  <si>
    <t>man take out the glasses and cleans the disc of the emery.</t>
  </si>
  <si>
    <t>v_H-hgVm5G54Y</t>
  </si>
  <si>
    <t>We see a persons hand on the camera.</t>
  </si>
  <si>
    <t>A girl then shows us her brush.</t>
  </si>
  <si>
    <t>The girl uses the brush to brush her hair.</t>
  </si>
  <si>
    <t>She shows us her brush again.</t>
  </si>
  <si>
    <t>Her hand then covers the camera.</t>
  </si>
  <si>
    <t>v_G4tUTpJV-so</t>
  </si>
  <si>
    <t>An asian woman is seen kneeling on the floor.</t>
  </si>
  <si>
    <t>She rises very slowly, arms first.</t>
  </si>
  <si>
    <t>She does several martial arts moves for the camera.</t>
  </si>
  <si>
    <t>v_ZW3SKczQzJU</t>
  </si>
  <si>
    <t>A man is seen walking into a bathroom and looking through dirty toothbrushes.</t>
  </si>
  <si>
    <t>The person pours toothpaste out onto a brush and continuously brushes his teeth.</t>
  </si>
  <si>
    <t>He then brushes more and ends by rinsing his mouth out with mouth wash and showing off the sink.</t>
  </si>
  <si>
    <t>v_kOVQPyzXkUY</t>
  </si>
  <si>
    <t>A guy type walks on a rope while holding a selfie stick recording him self.</t>
  </si>
  <si>
    <t>the guy type walks across water on a rope that has a short distance from the dock to a boat edge while people watch.</t>
  </si>
  <si>
    <t>guy's also bounce and do tricks on a pink type rope as well.</t>
  </si>
  <si>
    <t>guy's try to type walk across the water but falls in and some make it across.</t>
  </si>
  <si>
    <t>v__I8sqYLhRKM</t>
  </si>
  <si>
    <t>Two girls are shown raking up leaves in a yard while continuously talking to the camera.</t>
  </si>
  <si>
    <t>The older girl shows the younger one how to rake while another girl stands by and watches on a nearby slide.</t>
  </si>
  <si>
    <t>The camera zooms in on the younger girl and watches her rake up the leaves.</t>
  </si>
  <si>
    <t>v_gx6QvOXwetM</t>
  </si>
  <si>
    <t>Two boys are kneeling in the grass cutting the grass with a pair of scissors.</t>
  </si>
  <si>
    <t>They grab some pieces and use the scissors to cut it up.</t>
  </si>
  <si>
    <t>Then throw the grass they cut back behind them.</t>
  </si>
  <si>
    <t>They are going at it kind of quickly, they seem like very bored little kids with nothing else to do.</t>
  </si>
  <si>
    <t>v_3J_-uEjb8UE</t>
  </si>
  <si>
    <t>A red and blue triple-A logo is pictured on a white screen and then the screen flashes to a big snow truck.</t>
  </si>
  <si>
    <t>Once the truck is gone,there are various people plowing through the snow in attempt to get it off of the roads and to clear a walkway.</t>
  </si>
  <si>
    <t>After,a young Black male begins to talk and illustrate the snow on the cars as he represents the Public relations aspect of triple A.</t>
  </si>
  <si>
    <t>As the man continues to talk,a man with of bucket of water is shown and there is no longer any water on his car.</t>
  </si>
  <si>
    <t>After awhile, another man is pictured shoveling snow off of his car and then getting inside to adjust the radio,suddenly,the man is back outside and is scraping off snow from every aspect of the car including, windows,exhaust pipes, windshields,and tail lights then the black male comes back and continues to talk.</t>
  </si>
  <si>
    <t>v_Y7yGeNl7POk</t>
  </si>
  <si>
    <t>A little girl jumps hopscotch in the street.</t>
  </si>
  <si>
    <t>The little girl turns and jumps hopscotch.</t>
  </si>
  <si>
    <t>v_fxlTN3mCWDA</t>
  </si>
  <si>
    <t>There are several passengers traveling in a subway train.</t>
  </si>
  <si>
    <t>Two of the passengers are seated on folding chairs and they're playing drums on bongos.</t>
  </si>
  <si>
    <t>They continue to play the bongos while the other passengers are busy doing their own thing.</t>
  </si>
  <si>
    <t>One young boy who is seated near the players is watching them play.</t>
  </si>
  <si>
    <t>The players continue playing the bongos and drumming on them.</t>
  </si>
  <si>
    <t>After they stop playing, one person applauds them.</t>
  </si>
  <si>
    <t>v_N0DA6RpIf5Y</t>
  </si>
  <si>
    <t>A man is raking leaves in a large yard.</t>
  </si>
  <si>
    <t>He uses the rake to push the leaves into piles.</t>
  </si>
  <si>
    <t>He continues to rake, clearing a path of dirt underneath.</t>
  </si>
  <si>
    <t>v_1R25VGmqS9o</t>
  </si>
  <si>
    <t>A team on the field running around playing lacrosse.</t>
  </si>
  <si>
    <t>Everyone is running after each other trying to make the goal.</t>
  </si>
  <si>
    <t>Everyone is running a lot trying to prevent the other team from scoring.</t>
  </si>
  <si>
    <t>The girl in the red looks like she almost makes it before running off.</t>
  </si>
  <si>
    <t>v_73LZVxxlJV8</t>
  </si>
  <si>
    <t>big skyscraper with a great view.</t>
  </si>
  <si>
    <t>men is cleaning the window on the outside hanging on the Scaffolding.</t>
  </si>
  <si>
    <t>v_DrEsyzI2u4c</t>
  </si>
  <si>
    <t>An athletic man is seen holding onto a piece of exercise equipment and kneeling while speaking to the camera.</t>
  </si>
  <si>
    <t>He continues speaking and begins moving his arms and body back and fourth.</t>
  </si>
  <si>
    <t>v_oNYC_3fcGg0</t>
  </si>
  <si>
    <t>The man is surfing on the waves and fall in the water.</t>
  </si>
  <si>
    <t>The man is surfing while other surfers are behind him.</t>
  </si>
  <si>
    <t>The surfer is surfing over the water and fell near the rocks.</t>
  </si>
  <si>
    <t>v_hvCYwmaukDw</t>
  </si>
  <si>
    <t>Men are dressed in soccer gear that have the PEPSI logo on their shirts and they are playing on a grassy field.</t>
  </si>
  <si>
    <t>Very large sumos start walking on the field with their own soccer ball in hand, and the soccer men approach them and the sumo points over to the PEPSI cooler filled with soda.</t>
  </si>
  <si>
    <t>The men and sumos begin a soccer game against one another and when a man tries to make a goal a sumo blocks the entire goal and in various other moves the sumo wins including a goal when a sumo fell and the soccer ball flew into the net.</t>
  </si>
  <si>
    <t>A man grabs a pepsi can and throws it to a sumo and all the sumos run to the cooler, drinks a pepsi, then they're shown walking off with the pepsi cooler.</t>
  </si>
  <si>
    <t>v_lnvsb4-71BQ</t>
  </si>
  <si>
    <t>A man is seen speaking to the camera while holding up several game of ping pong are played.</t>
  </si>
  <si>
    <t>The man continues hitting the ball while speaking to the camera and holding up ping pong tools.</t>
  </si>
  <si>
    <t>The man demonstrates how to properly hit the ball and move his body around and still hitting the ball.</t>
  </si>
  <si>
    <t>v_q2VG0zzPJMw</t>
  </si>
  <si>
    <t>There's a welder in a blue shirt wearing a yellow protective helmet, welding a large metal pipe in a workshop.</t>
  </si>
  <si>
    <t>There's another welder wearing a blue protective suit and white helmet welding a metal piece on a workshop table.</t>
  </si>
  <si>
    <t>He is welding the metal piece with precision in a horizontal manner.</t>
  </si>
  <si>
    <t>There's a welding machine showing how it works on melting metal at high temperature.</t>
  </si>
  <si>
    <t>v_gYchIiLd9Uw</t>
  </si>
  <si>
    <t>A young girl is seen sitting on a bed speaking to the camera and leads into her performing gymnastic tricks on a trampoline.</t>
  </si>
  <si>
    <t>More shots are shown of several girls performing various flips and tricks on a gym floor and ending with a group of girl doing cheerleading lifts.</t>
  </si>
  <si>
    <t>v_7-RbxFePrmU</t>
  </si>
  <si>
    <t>A girl is holding a toothbrush up to the camera.</t>
  </si>
  <si>
    <t>She uses the brush to brush her teeth.</t>
  </si>
  <si>
    <t>She scrubs her teeth back and forth for a long time.</t>
  </si>
  <si>
    <t>v_ODx-nocNBos</t>
  </si>
  <si>
    <t>A person on the screen is showing a box containing sumo wrestling toys.</t>
  </si>
  <si>
    <t>The person gives a demonstration on how to use the toys.</t>
  </si>
  <si>
    <t>Next the person does several demonstrations of the sumo wrestling toy set using toys that they have made as well as toys from the set.</t>
  </si>
  <si>
    <t>v_bi_xkH87Rnw</t>
  </si>
  <si>
    <t>People watch a gymnast perform her routine.</t>
  </si>
  <si>
    <t>The gymnast stands on the side of the balance beam.</t>
  </si>
  <si>
    <t>The gyjmnast mounts the beam.</t>
  </si>
  <si>
    <t>The gymnast performs her routine on the beam.</t>
  </si>
  <si>
    <t>The gymnast almost falls, but catches herself.</t>
  </si>
  <si>
    <t>The gymnast dismounts and lands on the blue mat.</t>
  </si>
  <si>
    <t>v_L0arB1mOuSE</t>
  </si>
  <si>
    <t>Several clips of shown of people playing kickball against one another in a large field.</t>
  </si>
  <si>
    <t>Several clips are shown of people running around, catching and throwing the ball, as well as partying on the side.</t>
  </si>
  <si>
    <t>v_cdEBDjnH9xk</t>
  </si>
  <si>
    <t>A man is seen putting objects onto a wall and place a board along the wall.</t>
  </si>
  <si>
    <t>He continues moving the objects on the wall and then nails them down with a nail gun and presents the shelves he's made.</t>
  </si>
  <si>
    <t>v_G1LGXWN_9v4</t>
  </si>
  <si>
    <t>A man is seen playing a bongo drum quickly moving his hands all around the instrument.</t>
  </si>
  <si>
    <t>He continuously plays the drum while closing his eyes in concentration and ends by hitting his hands faster.</t>
  </si>
  <si>
    <t>v_sS1Zh8mqMOE</t>
  </si>
  <si>
    <t>A pair of shoes is displayed on a table while a man and a woman have a conversation.</t>
  </si>
  <si>
    <t>A woman challenges a man to arm wrestling.</t>
  </si>
  <si>
    <t>The man removes the shoes from the table.</t>
  </si>
  <si>
    <t>The woman and the man arm wrestle.</t>
  </si>
  <si>
    <t>The man beats the woman.</t>
  </si>
  <si>
    <t>He takes out the shoes and displays them back on the table.</t>
  </si>
  <si>
    <t>The woman and the man laugh as they carry on a conversation.</t>
  </si>
  <si>
    <t>v_5v9p5jBN_Hg</t>
  </si>
  <si>
    <t>A woman talks in a gym.</t>
  </si>
  <si>
    <t>The woman stands on a lane, then she runs to perform a long jump that lands in the sand.</t>
  </si>
  <si>
    <t>The jump of the woman is repeated several times.</t>
  </si>
  <si>
    <t>v_1AxGiLSmGZo</t>
  </si>
  <si>
    <t>Several people are seen kite surfing along the water and one performing tricks.</t>
  </si>
  <si>
    <t>More people perform tricks and one fall off the side, immediately climbing back on.</t>
  </si>
  <si>
    <t>v_9Rd8PpfRNmY</t>
  </si>
  <si>
    <t>A child paints her toenails with white nail polish on front a little child.</t>
  </si>
  <si>
    <t>A person enters the room and walk on front the children.</t>
  </si>
  <si>
    <t>Then, the child turns to listen somebody for a second and continues painting her toenails.</t>
  </si>
  <si>
    <t>After, a hand touches the back of the child twice who turns and then continues painting her toenails.</t>
  </si>
  <si>
    <t>v_O7SljQqahy8</t>
  </si>
  <si>
    <t>A person pours vinegar in a sink on a towel.</t>
  </si>
  <si>
    <t>The person then uses the towel to rub the surface of the sink.</t>
  </si>
  <si>
    <t>The person drops the towel and picks it up.</t>
  </si>
  <si>
    <t>v_xbA294b3Z5c</t>
  </si>
  <si>
    <t>A woman is seen speaking to the camera while showing off her nails and leads into her holding up a contact lens.</t>
  </si>
  <si>
    <t>The girl then pours liquid out into a container and them demonstrates how to properly put in and take on a contact lens.</t>
  </si>
  <si>
    <t>v_p2C4MeV02GU</t>
  </si>
  <si>
    <t>woman is talking to the camera holding a big cat on her legs that is sitting in a cat cushion and its caressing his head.</t>
  </si>
  <si>
    <t>woman is holding a nail clipper and cut the cat's nails explaining the right way to do it.</t>
  </si>
  <si>
    <t>v_CUtkQIV2eto</t>
  </si>
  <si>
    <t>A person water ski in the water holding a rope attached to a boat in the river.</t>
  </si>
  <si>
    <t>The person pass on front a boat in the river while waterskiing.</t>
  </si>
  <si>
    <t>Then, the person gives a thumb up while performing waterskii, after the person continues waterskiing.</t>
  </si>
  <si>
    <t>Then, the surfboard floats on front a metal structure.</t>
  </si>
  <si>
    <t>v_oSQNry_U7oA</t>
  </si>
  <si>
    <t>A trainer wearing a wet suit gives a walrus treats and the walrus nods his head up in town in excitement at the beginning of a show.</t>
  </si>
  <si>
    <t>The trainer plays a small saxophone and the walrus nods and is given a treat.</t>
  </si>
  <si>
    <t>The walrus is handed the saxophone and it plays it while the dancing with the trainer.</t>
  </si>
  <si>
    <t>v_Wq-eDa62BcI</t>
  </si>
  <si>
    <t>A person's hands demonstrates how to stye and comb a blonde haired doll.</t>
  </si>
  <si>
    <t>The person's hand begins to brush the doll's hair with a pink bristle brush before holding up a bottle of hair styling product.</t>
  </si>
  <si>
    <t>The hand sprays some of the hair style product on the doll's hair and then proceeds to brush the hair again.</t>
  </si>
  <si>
    <t>The hand then turns the doll around to showcase the finished style, the hand also gestures to areas around the dolls hair.</t>
  </si>
  <si>
    <t>v_6q7LQZLC_N8</t>
  </si>
  <si>
    <t>A sailboat with dark red plum colored sails is riding on the ocean.</t>
  </si>
  <si>
    <t>The boat turns and we see it from behind as we move to the left side.</t>
  </si>
  <si>
    <t>The camera zoom in and out then flashes to another angle.</t>
  </si>
  <si>
    <t>We see the credits run over the video.</t>
  </si>
  <si>
    <t>v_vMy5o7pvy4c</t>
  </si>
  <si>
    <t>A man swings his arms around over his head.</t>
  </si>
  <si>
    <t>He thin spins his whole body.</t>
  </si>
  <si>
    <t>The man releases the hammer and lowers his arms.</t>
  </si>
  <si>
    <t>v_MxYa4WTV8Zs</t>
  </si>
  <si>
    <t>A man and a woman decorate a Christmas tree from decorations around the room in sped-up video.</t>
  </si>
  <si>
    <t>A dog walks through the camera frame.</t>
  </si>
  <si>
    <t>The man leaves the camera frame.</t>
  </si>
  <si>
    <t>The man returns to decorating wearing a Santa hat.</t>
  </si>
  <si>
    <t>The man stands on a chair to put a decoration at the top of the tree.</t>
  </si>
  <si>
    <t>The completed tree is shown by itself.</t>
  </si>
  <si>
    <t>v_NTZ_mWvnHVY</t>
  </si>
  <si>
    <t>Two people are standing by the water one of the grabs some board.</t>
  </si>
  <si>
    <t>He puts it in the water and rides it, it goes pretty fast.</t>
  </si>
  <si>
    <t>He turns it a few times and passes by someone else on another one.</t>
  </si>
  <si>
    <t>He gets off and walks to a field with it above his head.</t>
  </si>
  <si>
    <t>v_G1aYtrFJqUc</t>
  </si>
  <si>
    <t>A man wearing gloves is inside a building.</t>
  </si>
  <si>
    <t>He rolls up a carpet and sets it aside.</t>
  </si>
  <si>
    <t>He then sweeps and mops the floors until they are clean.</t>
  </si>
  <si>
    <t>v_Z0oEaM7h6jM</t>
  </si>
  <si>
    <t>A logo appears on the screen briefly.</t>
  </si>
  <si>
    <t>A man talks to a group while standing in a raft.</t>
  </si>
  <si>
    <t>A group of people are rafting down rivers with rapids.</t>
  </si>
  <si>
    <t>They cheer by lifting their paddles.</t>
  </si>
  <si>
    <t>They continue to raft down the river.</t>
  </si>
  <si>
    <t>It cuts to the people on the bank at a campsite.</t>
  </si>
  <si>
    <t>People are once again rafting down the river.</t>
  </si>
  <si>
    <t>A person kayaks down the river.</t>
  </si>
  <si>
    <t>Another person kayaks down the river.</t>
  </si>
  <si>
    <t>Another group rafts down the river.</t>
  </si>
  <si>
    <t>It shows monkeys on the bank.</t>
  </si>
  <si>
    <t>People get splashed by a waterfall.</t>
  </si>
  <si>
    <t>It cuts to the logo and information.</t>
  </si>
  <si>
    <t>v_gdisMpHS668</t>
  </si>
  <si>
    <t>Two women are seen standing before a christmas tree with young children present as well.</t>
  </si>
  <si>
    <t>The people then all move around one another putting ornaments on the tree in fast motion.</t>
  </si>
  <si>
    <t>The girls continue putting items on the tree and end by smiling to the camera.</t>
  </si>
  <si>
    <t>v_0jvbBtMIA8k</t>
  </si>
  <si>
    <t>A man is sitting on a chair next to a talk show host.</t>
  </si>
  <si>
    <t>A woman is hosting a beer pong tournament, and the two men go over to the table.</t>
  </si>
  <si>
    <t>They drink and try to throw the balls into the cups.</t>
  </si>
  <si>
    <t>The band plays in the background as the men play.</t>
  </si>
  <si>
    <t>v_G2soQTiGL10</t>
  </si>
  <si>
    <t>A large group of people are seen standing around a table with one speaking to the camera.</t>
  </si>
  <si>
    <t>The people then assist one another putting ingredients into pans and flipping them around.</t>
  </si>
  <si>
    <t>The people continue mixing the food together and finish by presenting it onto a plate.</t>
  </si>
  <si>
    <t>v_tOEomEC1rY8</t>
  </si>
  <si>
    <t>A woman is sitting in a chair while a woman behind her is holding a hair dryer.</t>
  </si>
  <si>
    <t>She begins drying the woman's hair.</t>
  </si>
  <si>
    <t>The woman is talking to the camera pointing at a hair dryer.</t>
  </si>
  <si>
    <t>v_a370DDsJtBA</t>
  </si>
  <si>
    <t>A woman is seated behind a wooden table.</t>
  </si>
  <si>
    <t>She quickly moves color blocks on a puzzle, trying to solve it.</t>
  </si>
  <si>
    <t>She solves the puzzle and shows it to the camera.</t>
  </si>
  <si>
    <t>v_8olnQLX0hO8</t>
  </si>
  <si>
    <t>A small group of men are seen walking down a dirt road followed by several shots of them riding in tubes and laughing to the camera.</t>
  </si>
  <si>
    <t>They continue riding down the river under trees and has more people holding the camera.</t>
  </si>
  <si>
    <t>v_HhlWUEbHBUk</t>
  </si>
  <si>
    <t>A guy shows you how to make a drink,the guy pours ice in a tall glass,adds a half cup of a certain type of liquor and pour it in the cup with the ice.</t>
  </si>
  <si>
    <t>He then adds soda to the cup which makes the cup full to the top and starts to stir it up with a metal tool.</t>
  </si>
  <si>
    <t>the guy then squeezes three half limes into the cup and push the three lime to the bottom of the cup with the metal tool he use to stir the drink.</t>
  </si>
  <si>
    <t>finally he pours the drink from the tall glass to a shorter glass,adds a different type of liquor with a straw to finish it off.</t>
  </si>
  <si>
    <t>v_FJZTNJ0LuJ4</t>
  </si>
  <si>
    <t>Two people stand in front of a cake and they talk.</t>
  </si>
  <si>
    <t>Text appears on the screen as they talk.</t>
  </si>
  <si>
    <t>A woman mixes ingredients into a pot on the stove.</t>
  </si>
  <si>
    <t>A man pours in rum into the pot and stirs it.</t>
  </si>
  <si>
    <t>They poke holes in the cake with knives and pour the mixture on it.</t>
  </si>
  <si>
    <t>They stand in front of the cake again and talk.</t>
  </si>
  <si>
    <t>They eat the cake as they talk.</t>
  </si>
  <si>
    <t>v_0qTzoVjsMpQ</t>
  </si>
  <si>
    <t>A man fills a hookah with water and sets it on a table.</t>
  </si>
  <si>
    <t>He puts tobacco in a device and covers it with tin foil.</t>
  </si>
  <si>
    <t>He pokes a hole in the top of the tin foil several times.</t>
  </si>
  <si>
    <t>He puts that onto the top of the hookah.</t>
  </si>
  <si>
    <t>He takes a smoke off the hookah and blows the smoke.</t>
  </si>
  <si>
    <t>v_2O-TyeSMueg</t>
  </si>
  <si>
    <t>A group of people ride on a boat to Catalina Island.</t>
  </si>
  <si>
    <t>A man wearing a grey t-shirt films himself using a selfie stick while riding on a boat.</t>
  </si>
  <si>
    <t>The group of people on the boat are dressed in scuba diving gear.</t>
  </si>
  <si>
    <t>A man in scuba gear enters the water while filming himself while holding a selfie stick.</t>
  </si>
  <si>
    <t>The diver films himself while diving underwater.</t>
  </si>
  <si>
    <t>The ddiver films a school of fish a nd bright yellow tropical fish.</t>
  </si>
  <si>
    <t>The diver cameraman walks backwards onto steps leading out of the water.</t>
  </si>
  <si>
    <t>A group of divers dressed in street clothes ride in a golf cart.</t>
  </si>
  <si>
    <t>v_X1lLinc_yvo</t>
  </si>
  <si>
    <t>woman is standing in a kitchen in front of a camera and showing ingredients on top of table.</t>
  </si>
  <si>
    <t>woman is pouring the ingredients inside a kitchen aid and mixing them and explaining to the camera how to do the paste.</t>
  </si>
  <si>
    <t>v_VTwQgMELGVE</t>
  </si>
  <si>
    <t>A woman behind the bar talking, she has a bottle of corona.</t>
  </si>
  <si>
    <t>She sucks on the bottle of a few times.</t>
  </si>
  <si>
    <t>Then, she grabs it with just her mouth and holds it up chugging the beer.</t>
  </si>
  <si>
    <t>She chugs and chugs until it is completely empty.</t>
  </si>
  <si>
    <t>v_zD_wAe6Eoxc</t>
  </si>
  <si>
    <t>A Caucasian male is outside holding up a skateboard.</t>
  </si>
  <si>
    <t>He then goes down a winding road and comes down skateboarding and the picture is still until he slides into a trick and then it is paused again.</t>
  </si>
  <si>
    <t>The routine continues and then the player stands up as continue to go down the road.</t>
  </si>
  <si>
    <t>Once he is completely finished, he goes back to where he originally started and keeps talking to the camera as he holds his skateboard in his left hand.</t>
  </si>
  <si>
    <t>After, the man turns around and shows how his brown cargo shorts are patched up with duct tape.</t>
  </si>
  <si>
    <t>v_XKpx9fyNINg</t>
  </si>
  <si>
    <t>A close up of a person putting on a rack is shown followed by several women lifting up large amounts of weight.</t>
  </si>
  <si>
    <t>More people are seen lifting up the heavy weights over their head and throwing it down when they are done.</t>
  </si>
  <si>
    <t>v_BbJeZoks_c4</t>
  </si>
  <si>
    <t>Several people are seen sitting outside at a picnic table and leads into two people tying a rope around a tree.</t>
  </si>
  <si>
    <t>More people come to help and lead into a boy walking on the rope with a man's help.</t>
  </si>
  <si>
    <t>More people attempt to walk on the rope with other's help as well as by themselves.</t>
  </si>
  <si>
    <t>v_UvuXGKesWS0</t>
  </si>
  <si>
    <t>The words Freestyle Swimming float across the screen.</t>
  </si>
  <si>
    <t>A man jumps in the pool and swims freestyle.</t>
  </si>
  <si>
    <t>The words BackStroke Style float across the screen.</t>
  </si>
  <si>
    <t>The same man swims backstroke down the lane from where he came.</t>
  </si>
  <si>
    <t>The words BreastStroke show up on the screen.</t>
  </si>
  <si>
    <t>The man does the breaststroke back across the pool.</t>
  </si>
  <si>
    <t>v_8hkVzhEKqpY</t>
  </si>
  <si>
    <t>A man and woman news reporter are sitting in front of a tv screen as they talk.</t>
  </si>
  <si>
    <t>They then show clips from an outdoor volleyball game.</t>
  </si>
  <si>
    <t>The team mates hit the ball back and forth over the net.</t>
  </si>
  <si>
    <t>Afterward, they shake hands with their opponents.</t>
  </si>
  <si>
    <t>v_hIjOvSJf9c0</t>
  </si>
  <si>
    <t>Two people are seen speaking to the camera and leads into a ruler being shown and the woman holding a sponge.</t>
  </si>
  <si>
    <t>She wipes down a wall while the man sands it down and then are seen measuring the length of the wall.</t>
  </si>
  <si>
    <t>Then they lay paper down, cut the paper, and align it onto the wall.</t>
  </si>
  <si>
    <t>They rub in the paper, press it along the wall, and smile back at the camera.</t>
  </si>
  <si>
    <t>v_StM48dIvK-M</t>
  </si>
  <si>
    <t>People are participating in a tug of war match in a gym.</t>
  </si>
  <si>
    <t>The yellow team on the left side pulls the rope mostly to the left or wins.</t>
  </si>
  <si>
    <t>An adult grabs the arm of a blue team member.</t>
  </si>
  <si>
    <t>v_FofBEedm80o</t>
  </si>
  <si>
    <t>The words "Grandmaster Huang Sheng Shyan" and "Taiji Push Hands" appear on screen.</t>
  </si>
  <si>
    <t>Several students individually approach the Grandmaster attempting to fight him and are pushed back quickly.</t>
  </si>
  <si>
    <t>The Grandmaster taps a student on the head and he quickly falls to the ground.</t>
  </si>
  <si>
    <t>v_E6LJROCxQPA</t>
  </si>
  <si>
    <t>A person is seen walking across the yard leading into a long rope.</t>
  </si>
  <si>
    <t>The man jumps on the rope and attempts to walk across it.</t>
  </si>
  <si>
    <t>He continues walking and leads into him falling off.</t>
  </si>
  <si>
    <t>v_VVezUub0ocQ</t>
  </si>
  <si>
    <t>cat is sleeping in a furry table and a man holds him and shows a nail clipper and starts cutting the cat nails sitting in a couch.</t>
  </si>
  <si>
    <t>cat is sitting in a red carpet.</t>
  </si>
  <si>
    <t>v_1-nEQf-TJPE</t>
  </si>
  <si>
    <t>A video of vodka being poured into a martini glass is shown.</t>
  </si>
  <si>
    <t>A woman stands behind a bar with bottles and ingredients.</t>
  </si>
  <si>
    <t>She mixes the alcohols into a glass, then shakes them up before decorating and displaying the drink.</t>
  </si>
  <si>
    <t>v_M4db4WfqDoE</t>
  </si>
  <si>
    <t>A large snowy mountain is shown as well as people driving and people standing along a mountain.</t>
  </si>
  <si>
    <t>Several shots are shown of people on snowboards, performing tricks, and gesturing to the camera.</t>
  </si>
  <si>
    <t>The video continues on with impressive clips of people doing stunts as well as close ups of people riding.</t>
  </si>
  <si>
    <t>v_I9kOPQ3J5HA</t>
  </si>
  <si>
    <t>A woman puts a harness on.</t>
  </si>
  <si>
    <t>A man clips a rope to the front of the woman's harness.</t>
  </si>
  <si>
    <t>He ties the rope into a knot.</t>
  </si>
  <si>
    <t>v_ykdPTjsmfgY</t>
  </si>
  <si>
    <t>A person stands by a river.</t>
  </si>
  <si>
    <t>A group of people wearing vests kayak down a river.</t>
  </si>
  <si>
    <t>A person holds their paddle over their head.</t>
  </si>
  <si>
    <t>A couple of people are sitting by the river in a grassy area.</t>
  </si>
  <si>
    <t>The people kayaking approach a bridge.</t>
  </si>
  <si>
    <t>A couple of people sit near some cars next to the river.</t>
  </si>
  <si>
    <t>v_BD_ON66t6rM</t>
  </si>
  <si>
    <t>A man is kayaking on water and moving his arms back and fourth quickly.</t>
  </si>
  <si>
    <t>The camera follows him moving through the water and eventually works his way towards a bridge.</t>
  </si>
  <si>
    <t>v_hToIzZ3o6Ic</t>
  </si>
  <si>
    <t>The credits of the clip alongside a bucket of paint are shown.</t>
  </si>
  <si>
    <t>A hand paints a wardrobe white with a paintbrush.</t>
  </si>
  <si>
    <t>The hand picks up a white rug.</t>
  </si>
  <si>
    <t>The hand places two fingers inside the rug and proceeds to whip the painted wardrobe.</t>
  </si>
  <si>
    <t>The final product of the painted wardrobe is shown.</t>
  </si>
  <si>
    <t>v_cg0sa6wYA1U</t>
  </si>
  <si>
    <t>A person's arms are seen moving back and fourth in the water controlling a kayak under some tombs sticking out of the water.</t>
  </si>
  <si>
    <t>The man continues pushing his way along and ends with him sticking his pole into the water.</t>
  </si>
  <si>
    <t>v_0Gr4aKQzGYk</t>
  </si>
  <si>
    <t>Various shots of a tattoo shop are shown followed by a woman sitting in a chair and a man getting items ready.</t>
  </si>
  <si>
    <t>She takes a sip of water and the man then pierces her lip with a needle.</t>
  </si>
  <si>
    <t>She is shown again in a picture of her new piercing.</t>
  </si>
  <si>
    <t>v_eaFvnf8IF-I</t>
  </si>
  <si>
    <t>A man is playing an accordian while staring occasionally into the camera.</t>
  </si>
  <si>
    <t>The man changes his finger tips constantly and looks off into the distance while playing.</t>
  </si>
  <si>
    <t>The man continues his song and eventually finishes by smiling into the camera.</t>
  </si>
  <si>
    <t>v_o1bO6f-Uo8A</t>
  </si>
  <si>
    <t>A man in the front yard showing how to mow the lawn.</t>
  </si>
  <si>
    <t>He first moves all the debris out of the way so that nothing gets caught in the mower before mowing.</t>
  </si>
  <si>
    <t>Then he uses a stethoscope to listen to the mower while he puts oil in it.</t>
  </si>
  <si>
    <t>He suggest that you finish mowing by sunset and if you are using a pushing mower you should keep your back striaght and arms bent.</t>
  </si>
  <si>
    <t>v_m7vcstRI23E</t>
  </si>
  <si>
    <t>A little girl is standing in a kitchen in front of a bowl and sugar cookie mix.</t>
  </si>
  <si>
    <t>The girl starts showing the ingredients to her audience, before pouring the cookie mix into a bowl.</t>
  </si>
  <si>
    <t>She then adds butter and egg yolks, and stirs the whole thing up using a hand mixer.</t>
  </si>
  <si>
    <t>She rolls the dough in plastic wrap before spreading it back out and cutting into shapes with cookie cutters.</t>
  </si>
  <si>
    <t>The cookies are baked and ready to frost with sprinkles and frosting.</t>
  </si>
  <si>
    <t>v_FkWxS_5VxsM</t>
  </si>
  <si>
    <t>A polished hands takes a piece of tape.</t>
  </si>
  <si>
    <t>The polished hands puts a piece of tape at the edge of a brown object.</t>
  </si>
  <si>
    <t>The hand paints turquoise polish on the tape.</t>
  </si>
  <si>
    <t>The hand cuts the the polished tape in strips.</t>
  </si>
  <si>
    <t>The hand puts the strip on a polished nail.</t>
  </si>
  <si>
    <t>The hand paints the nail with clear nail polish.</t>
  </si>
  <si>
    <t>The hand rubs a soaked cotton ball on a fingernail so the polish is removed.</t>
  </si>
  <si>
    <t>v_Jp7KeCimrMI</t>
  </si>
  <si>
    <t>A man stretches out shirts on an ironing board in a workshop area and uses a flat iron to steam press it.</t>
  </si>
  <si>
    <t>The man removes the ironed shirt and places it on a hanger.</t>
  </si>
  <si>
    <t>The man gives the shirt one more quick ironing on a single spot then hangs the shirt on a rack.</t>
  </si>
  <si>
    <t>v_YotaXgC6Ee8</t>
  </si>
  <si>
    <t>A man jumps off a diving board into a pool several times.</t>
  </si>
  <si>
    <t>Another person is swimming in the pool.</t>
  </si>
  <si>
    <t>He does a flip and lands in the water before surfacing.</t>
  </si>
  <si>
    <t>v_Z_1Zoc6lINU</t>
  </si>
  <si>
    <t>We see a lady sitting at a table with shoes and supplies talking to the camera.</t>
  </si>
  <si>
    <t>We see screens with shoes on them.</t>
  </si>
  <si>
    <t>The lady shows us various shoes.</t>
  </si>
  <si>
    <t>The lady shows us the shoe supplies.</t>
  </si>
  <si>
    <t>The lady adds a product to the shoes.</t>
  </si>
  <si>
    <t>The lady then wipes the product off with a towel.</t>
  </si>
  <si>
    <t>The lady then adds shoes wax to the shoe and wipes it off.</t>
  </si>
  <si>
    <t>v_3UbQ0UDmbbw</t>
  </si>
  <si>
    <t>A man clears snow from a car in snow covered parking lot.</t>
  </si>
  <si>
    <t>A man in a narrow hallway holds and directs a camera in the hallway, presses a button in the hallway, then exits through the door in the hallway and goes outside.</t>
  </si>
  <si>
    <t>Once outside the camera picks up a snow covered parking lot filled with snow covered cars and one girl in pink pants.</t>
  </si>
  <si>
    <t>A man holding a long snow removing brush approaches a car and begins wiping snow off of the car at times gesturing wildly with his arms.</t>
  </si>
  <si>
    <t>The man clears the entire car with snow, with the brush and a shovel before the scene cuts to a vehicle driving down the street in the snow.</t>
  </si>
  <si>
    <t>v_szdKUpvx9Sk</t>
  </si>
  <si>
    <t>We see men standing around in a casino holding beers.</t>
  </si>
  <si>
    <t>We see a man and put money on the table.</t>
  </si>
  <si>
    <t>The dealer counts the money and gives the man chips.</t>
  </si>
  <si>
    <t>The dealer deals a hands of blackjack and the we see the men clapping and the dealer laughing.</t>
  </si>
  <si>
    <t>We see the dealer give the man chips and the man stands in his group showing his friends his stack of chips.</t>
  </si>
  <si>
    <t>Two men cheer and throw their fists in the air and the me laugh and cheer and walk.</t>
  </si>
  <si>
    <t>v_kHTcsP6nQdY</t>
  </si>
  <si>
    <t>He pauses as another slides down.</t>
  </si>
  <si>
    <t>He slides down as she stops.</t>
  </si>
  <si>
    <t>He runs up to her and she slides down to the end.</t>
  </si>
  <si>
    <t>v_G16xScfD5WM</t>
  </si>
  <si>
    <t>We see the title over a landscape.</t>
  </si>
  <si>
    <t>People are playing instruments in a field.</t>
  </si>
  <si>
    <t>We then see men practicing martial arts.</t>
  </si>
  <si>
    <t>A man kicks another man to the ground.</t>
  </si>
  <si>
    <t>We see a man toss another man over his back.</t>
  </si>
  <si>
    <t>A man does a flip, then does a back flip.</t>
  </si>
  <si>
    <t>We see the people playing instruments again.</t>
  </si>
  <si>
    <t>130 We see words appear on the screen, and the end credits appear.</t>
  </si>
  <si>
    <t>v_sMO2IlNgDuw</t>
  </si>
  <si>
    <t>A young child is seen playing with a toy and putting lip stick on her lips.</t>
  </si>
  <si>
    <t>The camera is then seen moving around a room, walking down stairs and following the young girl.</t>
  </si>
  <si>
    <t>The girl walks back into her room to play with her toy while the camera follows.</t>
  </si>
  <si>
    <t>v_klGP18026Ek</t>
  </si>
  <si>
    <t>Two men play games of rock paper scissors in front of a referee.</t>
  </si>
  <si>
    <t>A woman taps one of they on the back.</t>
  </si>
  <si>
    <t>They play a final game and a man celebrates his victory.</t>
  </si>
  <si>
    <t>v_gGs1qNxsFTg</t>
  </si>
  <si>
    <t>A man is sitting behind a table.</t>
  </si>
  <si>
    <t>He picks up a rubiks cube and completes it.</t>
  </si>
  <si>
    <t>A man stands next to him and writes something on a paper.</t>
  </si>
  <si>
    <t>v_Fh1LR3xB3zQ</t>
  </si>
  <si>
    <t>A man is seen speaking to the camera and begins holding up knives.</t>
  </si>
  <si>
    <t>He pans all around his tools and shows off a kit.</t>
  </si>
  <si>
    <t>He then leads into sharpening a knife with various boards and sticks while still speaking to the camera.</t>
  </si>
  <si>
    <t>v_r3dM-5cZ7e8</t>
  </si>
  <si>
    <t>A group of swimmers stand ready on a platform and bend down to their feet.</t>
  </si>
  <si>
    <t>Several men stand behind them when they all jump in at the same time.</t>
  </si>
  <si>
    <t>The men race back and fourth doing a butterfly movement back and fourth until they all reach the end.</t>
  </si>
  <si>
    <t>v_NbdAUGbrWrE</t>
  </si>
  <si>
    <t>A teenage girl brushes her hair.</t>
  </si>
  <si>
    <t>The girl looks down as if she is confused.</t>
  </si>
  <si>
    <t>v_LL_leiyIdVQ</t>
  </si>
  <si>
    <t>Various people are shown in the beginning in a large gymnasium performing several slips and tricks on a trampoline one at a time.</t>
  </si>
  <si>
    <t>The people continue jumping and flipping around the gym with one ending in a large pit in the end.</t>
  </si>
  <si>
    <t>v_JnP5FDtEPVE</t>
  </si>
  <si>
    <t>The groomer sprays the brown dog.</t>
  </si>
  <si>
    <t>The dog runs around the shop.</t>
  </si>
  <si>
    <t>The groomer bushes the brown dog.</t>
  </si>
  <si>
    <t>v_UvPUywSVy1k</t>
  </si>
  <si>
    <t>A person is seen holding up various food items while laughing and speaking with others.</t>
  </si>
  <si>
    <t>The men then begin cooking together by mixing various ingredients and presenting them onto a plate.</t>
  </si>
  <si>
    <t>The recipe is then shown for how to cook the food and leads into clips of the food being cooked and presented with the men eating together.</t>
  </si>
  <si>
    <t>v_8kNk_fzmTyI</t>
  </si>
  <si>
    <t>An intro leads into several shots of water steaming and a young woman swimming back and fourth in the water.</t>
  </si>
  <si>
    <t>She comes up to the surface and speaks to the camera while several more shots of water are shown.</t>
  </si>
  <si>
    <t>v_WmabLngcvas</t>
  </si>
  <si>
    <t>A man is seen sitting on a camel followed by getting off and another man climbing on.</t>
  </si>
  <si>
    <t>The man then leads the other around on the camel.</t>
  </si>
  <si>
    <t>The man stops the camel and gets the other person off while climbing back on.</t>
  </si>
  <si>
    <t>v_2SMmL6kIx-w</t>
  </si>
  <si>
    <t>Several performers walk out of a box and it ends up being one male and one female.</t>
  </si>
  <si>
    <t>The lady then begins moving in strange ways and continuing telling a story in ballerina form.</t>
  </si>
  <si>
    <t>After a few minutes,the male joins them and they continue dancing together with strong legs and firm arms.</t>
  </si>
  <si>
    <t>v_E4oP6Ex9IPo</t>
  </si>
  <si>
    <t>A man is holding a yellow iron sitting on top of a box.</t>
  </si>
  <si>
    <t>He melts a bar of was on the bottom of the hot iron.</t>
  </si>
  <si>
    <t>He then irons over the wax that dripped down onto a ski.</t>
  </si>
  <si>
    <t>He finishes and sets the iron down.</t>
  </si>
  <si>
    <t>v_Zfak-LkgQfQ</t>
  </si>
  <si>
    <t>A logo fro a company pops up on a black screen.</t>
  </si>
  <si>
    <t>A man in a yellow jacket and orange helmet is shown ocean kayaking.</t>
  </si>
  <si>
    <t>Other kayakers are shown battling through waves and riding them.</t>
  </si>
  <si>
    <t>A set of photos show the kayakers navigating the ocean and crashing into waves.</t>
  </si>
  <si>
    <t>v_Qq2vKc9hWUk</t>
  </si>
  <si>
    <t>A woman is standing inside a racquetball court.</t>
  </si>
  <si>
    <t>She starts hitting the ball, running after it.</t>
  </si>
  <si>
    <t>She trips and falls down, hitting the ground as a man rescues the ball.</t>
  </si>
  <si>
    <t>v_cxVbaN4GxxU</t>
  </si>
  <si>
    <t>A man stands outside a tent.</t>
  </si>
  <si>
    <t>He looks inside the tent at a group of kids playing cards and a woman sitting outside.</t>
  </si>
  <si>
    <t>A boy walks through parked cars, smiling.</t>
  </si>
  <si>
    <t>He is then shown on a kayak in a lake.</t>
  </si>
  <si>
    <t>The rest of the family soon joins him.</t>
  </si>
  <si>
    <t>v_MAZlsi4Bon8</t>
  </si>
  <si>
    <t>A young boy is at a party holding a stick and hitting a pinata.</t>
  </si>
  <si>
    <t>When the boy is done hitting it an adult walks towards the pinata.</t>
  </si>
  <si>
    <t>Another child standing with the adult also begins walking towards the pinata.</t>
  </si>
  <si>
    <t>v_eS7ENymCpZE</t>
  </si>
  <si>
    <t>A rough ocean has large white capped waves and a sailboat traversing through it.</t>
  </si>
  <si>
    <t>The sailboat goes over the top of large waves and lands with a splash.</t>
  </si>
  <si>
    <t>The boat maneuvers and is tilted sideways as it goes over waves.</t>
  </si>
  <si>
    <t>v_9Pun6fgAg8Q</t>
  </si>
  <si>
    <t>Two teams play beach volleyball on front a crowd.</t>
  </si>
  <si>
    <t>A woman holds a smart phone.</t>
  </si>
  <si>
    <t>A man serves a ball.</t>
  </si>
  <si>
    <t>A man wearing a cap and plaid shirt pass on front the players.</t>
  </si>
  <si>
    <t>v_THPFtlx3gXw</t>
  </si>
  <si>
    <t>A man is standing on a hill, celebrating before a crowd.</t>
  </si>
  <si>
    <t>He is shown on a bmx dirt bike, performing a plethora of stunts, wheelies, and spins for a crowd.</t>
  </si>
  <si>
    <t>Women are shown close up, dancing.</t>
  </si>
  <si>
    <t>v_UMUGmKRkaxo</t>
  </si>
  <si>
    <t>Two boys play ping pong in a gym and one of the boys use a Nunchaku as a racket t o play and make tricks.</t>
  </si>
  <si>
    <t>A man pass on front the ping pong table and stand near the table.</t>
  </si>
  <si>
    <t>Then, the man joint one of the players and start to play, after, Bruce Lee appears in the screen of a smart phone that flips around.</t>
  </si>
  <si>
    <t>A boy does martial arts moves and braks a board, then he fix the Nunchaku and after use it to light a match in the mouth of the other boy.</t>
  </si>
  <si>
    <t>v_lDriXPZt_Yg</t>
  </si>
  <si>
    <t>A woman is holding a bottle of purple nail polish up to the camera.</t>
  </si>
  <si>
    <t>She then applies it to her nails.</t>
  </si>
  <si>
    <t>When she is done, she shows off her nails and the polish one last time.</t>
  </si>
  <si>
    <t>v_qeyCTRqPCN4</t>
  </si>
  <si>
    <t>Bullfighting is being advertised on the screen.</t>
  </si>
  <si>
    <t>There are clips of bull fights and man is talking about his bull fighting experience.</t>
  </si>
  <si>
    <t>The bull rolls a barrel while the clown is behind it.</t>
  </si>
  <si>
    <t>A trophy is awarded to the bull fighter.</t>
  </si>
  <si>
    <t>v_V6s9eMtUnME</t>
  </si>
  <si>
    <t>A woman standing next to a vehicle talks to the camera while occasionally gesturing at the vehicle.</t>
  </si>
  <si>
    <t>The woman holds up a bottle of spray.</t>
  </si>
  <si>
    <t>The woman sprays the vehicle's window with the bottle.</t>
  </si>
  <si>
    <t>The woman uses a towel to clean the window.</t>
  </si>
  <si>
    <t>The woman talks to the camera again.</t>
  </si>
  <si>
    <t>The woman returns to cleaning the window.</t>
  </si>
  <si>
    <t>The woman talks to the camera once more.</t>
  </si>
  <si>
    <t>v_M0mLgp8VxpY</t>
  </si>
  <si>
    <t>A shuffleboard is shown in a room.</t>
  </si>
  <si>
    <t>A man in a blue sweater throws a ball down the shuffleboard.</t>
  </si>
  <si>
    <t>v_MoPg7NqyhLI</t>
  </si>
  <si>
    <t>A large group of people are seen sitting in a floor followed by people shooting bow and arrows and running around a course.</t>
  </si>
  <si>
    <t>The kids continue running around one another shooting the bow and arrows and ends with a woman holding up her hand and showing a picture.</t>
  </si>
  <si>
    <t>v_OZiArYAPXDo</t>
  </si>
  <si>
    <t>An older video of bad quality begins to play and there are white words on red blocks that read "Leichtathletik leicht gemacht Diskus".</t>
  </si>
  <si>
    <t>A disc is flying through the air and lands on a field, then a still shot picture of a naked man holding a disc briefly appears until another clip plays of a man on a large field throwing a disc.</t>
  </si>
  <si>
    <t>A man is now sitting on a field and the words on the screen say that he is "Lars Riedel" and under it the word "Olympiasieger", and it shows him talking while switching back and forth to clips of a man on a field is holding a disc on the field, swinging it and then throwing it.</t>
  </si>
  <si>
    <t>The still shot picture of the naked man holding the dickus shows up again and then goes back to clips of the man who is now just walking on the field.</t>
  </si>
  <si>
    <t>v_j3P7ttoKGeY</t>
  </si>
  <si>
    <t>A group of people begin to walk in a room and they begin to play a game of Foosball.</t>
  </si>
  <si>
    <t>The game begins to intensifies and the men begin to look at each other in the eye as they start to make goals.</t>
  </si>
  <si>
    <t>Once the first game is finished,another set of men begin to compete and starts to clip the ball over the people.</t>
  </si>
  <si>
    <t>Next,women join and starts to roll the ball on the edge of the table as they make goals.</t>
  </si>
  <si>
    <t>Finally,a man appears with a Nokia phone recording the game and shows video options of different tricks that were performed.</t>
  </si>
  <si>
    <t>v_87hjft6OBiU</t>
  </si>
  <si>
    <t>There is a man shown lifting a weight that weighs over 90 pounds.</t>
  </si>
  <si>
    <t>There is a woman who's running on the treadmill behind him.</t>
  </si>
  <si>
    <t>v_Tywf5EzWntY</t>
  </si>
  <si>
    <t>A skier is adjusting his shoes on the board.</t>
  </si>
  <si>
    <t>Then he is seen flying through the air on the water board.</t>
  </si>
  <si>
    <t>He is skiing while attached to the back of a boat.</t>
  </si>
  <si>
    <t>v_6Lh3yNFvskc</t>
  </si>
  <si>
    <t>A player holding a basketball dribbles the ball, run and jump to throw the ball in the basket several times.</t>
  </si>
  <si>
    <t>A man throw a basketball in the court and then leave.</t>
  </si>
  <si>
    <t>v_brY1jVHquE0</t>
  </si>
  <si>
    <t>A young child is seen holding onto a stick in a living room while pushing a ball around.</t>
  </si>
  <si>
    <t>The boy continues pushing the ball around while the camera captures his movements.</t>
  </si>
  <si>
    <t>He stops to speak to the camera and continues hitting the ball around.</t>
  </si>
  <si>
    <t>v_qtOP38458F4</t>
  </si>
  <si>
    <t>A male gymast prepares to mount a beam.</t>
  </si>
  <si>
    <t>He jumps up, doing an handstand on the bar.</t>
  </si>
  <si>
    <t>He then spins and flips several times.</t>
  </si>
  <si>
    <t>He dismounts, throwing his arms up in the air.</t>
  </si>
  <si>
    <t>v_aZfNeGBMU1Y</t>
  </si>
  <si>
    <t>A little girl is holding a stick and is gently hitting a large pinata that is ninja turtled theme.</t>
  </si>
  <si>
    <t>In the background a boy on a white chair is gently tossing a ball in the air above his lap.</t>
  </si>
  <si>
    <t>A taller boy is standing and walking near the boy sitting on the chair and he has a green plastic bag over his left hand that he's moving back and forth with a twist of his wrist.</t>
  </si>
  <si>
    <t>A little girl on the side begins to jump as she's waiting for her turn.</t>
  </si>
  <si>
    <t>v_iZlG0UOtImQ</t>
  </si>
  <si>
    <t>A blond boy holding a pool stick is hitting balls on a pool table that is sectioned off from yellow tape while a large crowd is gathered outside of the yellow tape.</t>
  </si>
  <si>
    <t>The boy grabs another stick from under the pool table, puts it on the table, chalks his stick,and then successfully hits the ball into the hole despite a woman trying to distract him.</t>
  </si>
  <si>
    <t>The boy goes around the table and continues to hit the remaining balls into the holes, the crowd cheers him on, and he goes around the crowd and gives everyone high fives.</t>
  </si>
  <si>
    <t>The boy hugs the woman who was trying to distract him the whole time, he puts his stick down, and she hugs him again.</t>
  </si>
  <si>
    <t>A black screen appears and white words on the screen say "The Black Widow Jeanette Lee Worlds Best Female Pool Player A Ron Hawks Video".</t>
  </si>
  <si>
    <t>v_Fp_uU-qMDSc</t>
  </si>
  <si>
    <t>A man dressed in all white is shown fighting different men outdoors and hitting them very hard.</t>
  </si>
  <si>
    <t>Tai Chi Combat along with his website and various other website icons are located on the bottom right.</t>
  </si>
  <si>
    <t>The man is then standing alone outdoors where he's still wearing the same white outfit and is talking very passionately using hand motions and lots of facial expressions.</t>
  </si>
  <si>
    <t>The man is once again shown to be fighting different men outdoors and he seems to be winning each fight.</t>
  </si>
  <si>
    <t>After this round of fights, the man is once again talking very passionately with a lot of hand movements and facial expressions.</t>
  </si>
  <si>
    <t>The man then goes back to more fighting with different men somewhere outdoors where he continues to win the fights by hitting and occasionally kicking.</t>
  </si>
  <si>
    <t>Lastly, the man is once again show talking very passionately with hand movements and a lot of facial expressions and around him are overlays on the screen advertising his youtube channel along with his website for TAI CHI COMBAT.</t>
  </si>
  <si>
    <t>v_jQgAdClKvDE</t>
  </si>
  <si>
    <t>A man in a neon coat is driving a car with the camera on a stick outside the window.</t>
  </si>
  <si>
    <t>He drives quickly on the snow, laughing as he records himself.</t>
  </si>
  <si>
    <t>He and his passengers stand on a snowy mound, spinning as they record themselves.</t>
  </si>
  <si>
    <t>They then use saws to cut a path in the snow.</t>
  </si>
  <si>
    <t>They water ski on the frozen water path.</t>
  </si>
  <si>
    <t>v_E33xUgVqEH0</t>
  </si>
  <si>
    <t>A person cleans an extremely dirty sink with a paper towel.</t>
  </si>
  <si>
    <t>The title, TubOTowels, appears on the screen.</t>
  </si>
  <si>
    <t>v_E_Z4BceegCQ</t>
  </si>
  <si>
    <t>A young man in white runs on the stage dancing.</t>
  </si>
  <si>
    <t>Other men are dancing in the background.</t>
  </si>
  <si>
    <t>A smaller boy runs on stage, confused.</t>
  </si>
  <si>
    <t>A man with a microphone talks to the young kid.</t>
  </si>
  <si>
    <t>The young boy starts dancing.</t>
  </si>
  <si>
    <t>Everyone on the stage stops dancing.</t>
  </si>
  <si>
    <t>The men point to the singer.</t>
  </si>
  <si>
    <t>The singer in red starts dancing.</t>
  </si>
  <si>
    <t>v_aTvt_fP243g</t>
  </si>
  <si>
    <t>A yellow cloth, yellow and green sponge, and a cif creme cleaner is placed on the counter next to a shallow sink with silver drainer.</t>
  </si>
  <si>
    <t>A hand pour a drop of Cif creme, wiped it with the green side of the sponge, wiped it in circular motion, then wipe the counter with yellow cloth.</t>
  </si>
  <si>
    <t>v_uWguPHhQON4</t>
  </si>
  <si>
    <t>A man prepares his supplies near a picnic table and then sets one down.</t>
  </si>
  <si>
    <t>The man pours lighter fluid in a camp fire ring.</t>
  </si>
  <si>
    <t>The man retrieves matches which drops onto the fire and it erupts in flames.</t>
  </si>
  <si>
    <t>v_VFvHqc5Bg-0</t>
  </si>
  <si>
    <t>A group of people in snow gear are shown snow boarding on snow covered snow slopes with visual emphasis shown to a particular snow boarder in a green coat.</t>
  </si>
  <si>
    <t>A man in a green coat snow sleds over many surfaces up and down slopes as he passes other snow sledders while surrounded by bare brown foliage and snow covered roofs and hills.</t>
  </si>
  <si>
    <t>As the man snowboards, one person he passes falls down and break his sled and several of the other skiers perform trick as they snowboard including snow boarding off of elevated platforms and doing jumps as they snow board.</t>
  </si>
  <si>
    <t>v_w9LRKWLmw0A</t>
  </si>
  <si>
    <t>A little boy mops a wooden ramp, barefoot,outdoors with a mini mop and bucket of water.</t>
  </si>
  <si>
    <t>A young boy stands outside, without a shirt, barefoot and jeans and mops a wooden ramp with a yellow mini mop.</t>
  </si>
  <si>
    <t>The boy dunks the mop in water after awhile and continues to mop the ramp.</t>
  </si>
  <si>
    <t>v_f--wWfsr0zA</t>
  </si>
  <si>
    <t>A news woman is speaking inside a news room.</t>
  </si>
  <si>
    <t>A couple of professional dancers are shown dancing and performing ballet on a stage, with the female occasionally shown speaking to the camera.</t>
  </si>
  <si>
    <t>She is seen walking out after a performance to see a room filled with people and do a press conference.</t>
  </si>
  <si>
    <t>A poster of three women is shown at the end.</t>
  </si>
  <si>
    <t>v_1GQARL4coRo</t>
  </si>
  <si>
    <t>A man paddles a surfboard with a baby on the board in front of him.</t>
  </si>
  <si>
    <t>He momentarily lifts the baby up to a standing position.</t>
  </si>
  <si>
    <t>A woman moves towards the man and the baby.</t>
  </si>
  <si>
    <t>The man momentarily lifts the baby up to a standing position again.</t>
  </si>
  <si>
    <t>The man momentarily lifts the baby up to a standing position once more.</t>
  </si>
  <si>
    <t>v_PcSnU_nGi5E</t>
  </si>
  <si>
    <t>The man in brown shirt is standing next to a pile of tennis ball while he is talking to the camera.</t>
  </si>
  <si>
    <t>He played tennis ball with another person.</t>
  </si>
  <si>
    <t>The man in purple shirt serve the ball while the black man hit the ball back.</t>
  </si>
  <si>
    <t>v_x03YF3JbWjs</t>
  </si>
  <si>
    <t>A woman gives a hair tutorial.</t>
  </si>
  <si>
    <t>The woman ties her hair and prepares it so that it looks better.</t>
  </si>
  <si>
    <t>v_zLbSEo4xhVY</t>
  </si>
  <si>
    <t>A special effect intro of a man airborn on a waterboard with the words MMXIV HYPERLITE COLLECTION is on the screen.</t>
  </si>
  <si>
    <t>A few men appear near the lake and then a series of different clips and men on water boards play one after another as they all waterboard quickly on the water and some are doing flips while holding onto the rope.</t>
  </si>
  <si>
    <t>A woman in pink shorts appears and she is briefly shown water boarding as well.</t>
  </si>
  <si>
    <t>Now a man is sitting on a boat while a large remote controlled airplane is flying towards him, and a standing man quickly grabs it before it hits the face of the sitting man, and the sitting man turns to the camera to give a shocked and relief look on his face.</t>
  </si>
  <si>
    <t>The clips of various people waterboarding shows up again and they are all still holding onto the rope while standing on the boards and doing jumps, flips and other tricks.</t>
  </si>
  <si>
    <t>The outro clip begins and it's similar to the intro.</t>
  </si>
  <si>
    <t>v_gEqT50dX-iY</t>
  </si>
  <si>
    <t>A man explains a procedure holdings cloths and cleaning materials while showing the cloths.</t>
  </si>
  <si>
    <t>After, the man approaches to a window and starts to clean for an instant, and then continues explaining.</t>
  </si>
  <si>
    <t>v_uavot-yVwhg</t>
  </si>
  <si>
    <t>A lady sits at a table with a shoe, water, salt, brush and towel.</t>
  </si>
  <si>
    <t>The lady puts salt it the water and dips the brush then brushes the shoe.</t>
  </si>
  <si>
    <t>The lady wipes the shoe with the towel and talks to the camera.</t>
  </si>
  <si>
    <t>We see an ending title screen.</t>
  </si>
  <si>
    <t>v_17ytsjuUCRA</t>
  </si>
  <si>
    <t>A dog is getting a bath outside.</t>
  </si>
  <si>
    <t>Soap is worked through the coat and then washed off.</t>
  </si>
  <si>
    <t>v_6hsOVkC7hxA</t>
  </si>
  <si>
    <t>There's a shirtless man wearing denim jeans out in a forest.</t>
  </si>
  <si>
    <t>He is chopping wood from a cut tree bark with a hammer.</t>
  </si>
  <si>
    <t>He he hitting the chopped log of wood with all his force.</t>
  </si>
  <si>
    <t>v_U-kPlTqXc_M</t>
  </si>
  <si>
    <t>A small group of people are seen standing around a table filled with solo cups and one catching a cup.</t>
  </si>
  <si>
    <t>The man then drinks from a cup and proceeds to collapse onto the table.</t>
  </si>
  <si>
    <t>v_Cf7xy_HQ9H0</t>
  </si>
  <si>
    <t>A man is rollerblading outside in a parking lot.</t>
  </si>
  <si>
    <t>He does several tricks on his rollerblades.</t>
  </si>
  <si>
    <t>He does a cart wheel on the ground.</t>
  </si>
  <si>
    <t>v_v1FHFQ1UZHw</t>
  </si>
  <si>
    <t>A man writing on the wall.</t>
  </si>
  <si>
    <t>Switches to a product being featured.</t>
  </si>
  <si>
    <t>The man writes on the wall again.</t>
  </si>
  <si>
    <t>He begins to apply product.</t>
  </si>
  <si>
    <t>Switches to the product again.</t>
  </si>
  <si>
    <t>He writes on the wall.</t>
  </si>
  <si>
    <t>He begins to lay out tools.</t>
  </si>
  <si>
    <t>Next he measures and levels the wall.</t>
  </si>
  <si>
    <t>He takes out the product and begins placing a coat on the crack in the wall.</t>
  </si>
  <si>
    <t>He then takes a roller and rolls it along the wall.</t>
  </si>
  <si>
    <t>Next he hangs and apply s a white sheet to the wall.</t>
  </si>
  <si>
    <t>He repeats the process in the different sections of the wall that need it.</t>
  </si>
  <si>
    <t>Now He writes on the wall again.</t>
  </si>
  <si>
    <t>Next a dog jumps in front of a wall.</t>
  </si>
  <si>
    <t>He writes again on the wall.</t>
  </si>
  <si>
    <t>Lettering appears on the screen for the product.</t>
  </si>
  <si>
    <t>v_x39KxoQHEp4</t>
  </si>
  <si>
    <t>Several people float down a river in tubes.</t>
  </si>
  <si>
    <t>They pass through several rocks.</t>
  </si>
  <si>
    <t>The water gets rough as the past through some rocks.</t>
  </si>
  <si>
    <t>Several people stand up in the river.</t>
  </si>
  <si>
    <t>v_C8fyaj592GA</t>
  </si>
  <si>
    <t>Individuals stand behind black platforms awaiting instructions.</t>
  </si>
  <si>
    <t>Individuals are using dance moves to exercise using the platform.</t>
  </si>
  <si>
    <t>The people do jumping jacks to the right of the platform.</t>
  </si>
  <si>
    <t>The individuals do jumping jacks at the left of the platform.</t>
  </si>
  <si>
    <t>The lady who had been instructing the group continuously claps her hands and begins to leave.</t>
  </si>
  <si>
    <t>v_z6g5QbIPatk</t>
  </si>
  <si>
    <t>A girl holds up a white piece of paper and it has a drawing on it that is done in black ink.</t>
  </si>
  <si>
    <t>The girl then turns around and the video is sped up to show her drawing on a pumpkin near a kitchen while multiple people are moving about around her.</t>
  </si>
  <si>
    <t>The girl finishes the drawing and she begins to carve the design out of the pumpkin while the video is still in a sped up mode.</t>
  </si>
  <si>
    <t>The pumpkin is now done being carved and it appears on a black screen with just the carved out area illuminating in an orange color.</t>
  </si>
  <si>
    <t>The girl appears again holding up the white paper, runs out of the room and the screen goes back to black with just the pumpkin illuminating.</t>
  </si>
  <si>
    <t>v_F12ga-do744</t>
  </si>
  <si>
    <t>A large man is seen standing on a large mat walking forward and screaming to the audience.</t>
  </si>
  <si>
    <t>The man then lifts the bar up then back down and screams out loud.</t>
  </si>
  <si>
    <t>The same clips is shown again immediately afterwards.</t>
  </si>
  <si>
    <t>v_YPNLMBhuDS8</t>
  </si>
  <si>
    <t>A man is seen speaking to the camera while holding up a shoe and polish and pointing to objects.</t>
  </si>
  <si>
    <t>The man then rubs down the shoe with a rag while the camera zooms in on more products and speaking to the camera.</t>
  </si>
  <si>
    <t>v_-ew9R4QppTk</t>
  </si>
  <si>
    <t>man is sitting in a white room playing congas a bongos.</t>
  </si>
  <si>
    <t>fat man wearing glasses is sitting on a chair in a white room.</t>
  </si>
  <si>
    <t>man is sitting in a room playing salsa music with the bongos.</t>
  </si>
  <si>
    <t>v_ePAc9xK9fac</t>
  </si>
  <si>
    <t>woman is climbing a rock wall in a gym and a man is pulling the ropes.</t>
  </si>
  <si>
    <t>woman start descending from the rock wall.</t>
  </si>
  <si>
    <t>v_SV-8M3HNk1s</t>
  </si>
  <si>
    <t>A clip is shown of a person on a wake board riding on some waves and crashing into the water.</t>
  </si>
  <si>
    <t>Several more clips are shown of people riding on the wake boards on the ocean waves gliding along.</t>
  </si>
  <si>
    <t>v_m12BPEN6Y3s</t>
  </si>
  <si>
    <t>A girl wearing a scarf is seen talking to the camera and begins mixing various ingredients into a bowl.</t>
  </si>
  <si>
    <t>She places the batter into circles on separate pans and shows the cookies she made after they are done.</t>
  </si>
  <si>
    <t>v_4DmsWE6byuw</t>
  </si>
  <si>
    <t>A man is walking in circles in the center of a crowd.</t>
  </si>
  <si>
    <t>He begins to break dance.</t>
  </si>
  <si>
    <t>Several clips of men break dancing in different venues are shown, as they flip, spin, and perform for crowds.</t>
  </si>
  <si>
    <t>v_vbLxVuLLPek</t>
  </si>
  <si>
    <t>There two men dressed Scottish kilts and attire standing in the courtyard.</t>
  </si>
  <si>
    <t>One of the men is playing the bagpipes and the other is playing the drums.</t>
  </si>
  <si>
    <t>A woman tourist walks past them as they continue to play.</t>
  </si>
  <si>
    <t>v_d_6BVfxlAsI</t>
  </si>
  <si>
    <t>An empty poker table is shown followed by a woman dealing cards and speaking to the camera.</t>
  </si>
  <si>
    <t>She instructs on how to play the game while still speaking to the camera and smiling.</t>
  </si>
  <si>
    <t>v_MINjkEBIIkA</t>
  </si>
  <si>
    <t>A man is standing in a room.</t>
  </si>
  <si>
    <t>They are throwing darts at a dartboard.</t>
  </si>
  <si>
    <t>A woman then comes and throws darts at a dartboard.</t>
  </si>
  <si>
    <t>v_AgocNx3-De0</t>
  </si>
  <si>
    <t>People raft in a muddy river, then they camping on the shore to rest and play.</t>
  </si>
  <si>
    <t>Then, the man continue rafting in the river, and a man falls in the water and his friends rescue him, then they continue rafting.</t>
  </si>
  <si>
    <t>A woman and a man stands next a helicopter, then the helicopter fly.</t>
  </si>
  <si>
    <t>v_yNHc-xADBm8</t>
  </si>
  <si>
    <t>A camp fire burns brightly in the night.</t>
  </si>
  <si>
    <t>The fire slowly grows in size.</t>
  </si>
  <si>
    <t>The scene becomes brighter and better lit.</t>
  </si>
  <si>
    <t>There are trees in the background.</t>
  </si>
  <si>
    <t>v_saShR7NwjMg</t>
  </si>
  <si>
    <t>A close up of a person leads into the person watching their hands and scrubbing it with soap.</t>
  </si>
  <si>
    <t>A man is shown scrubbing up his hands in a sink while demonstrating the proper way to wash hands and dip them under the water.</t>
  </si>
  <si>
    <t>The man dries it off with a rag in the end.</t>
  </si>
  <si>
    <t>v_sz1772O9AUM</t>
  </si>
  <si>
    <t>A car drives into a car wash bay.</t>
  </si>
  <si>
    <t>The driver gets out and inserts money into a machine.</t>
  </si>
  <si>
    <t>The person then washes their car with a pressure washer.</t>
  </si>
  <si>
    <t>We see another machine, and a vending machine.</t>
  </si>
  <si>
    <t>v_pK3OSevBqDw</t>
  </si>
  <si>
    <t>A man is seen standing next to a fence while the camera pans around the lake nearby.</t>
  </si>
  <si>
    <t>The man bends down and begins painting the fence while the camera focuses on a person walking down.</t>
  </si>
  <si>
    <t>Another man walks up with a bucket and helps the man paint while the cameraman continues to look around.</t>
  </si>
  <si>
    <t>v_wj_xmkHjItg</t>
  </si>
  <si>
    <t>A car is traveling through snow covered roads and trees before arriving at a cabin.</t>
  </si>
  <si>
    <t>The people put on skis and are shown going down the hills, skiing.</t>
  </si>
  <si>
    <t>They continue skiing, waving at the camera and showing a final panoramic view as the video ends.</t>
  </si>
  <si>
    <t>v_nVN1rP8H688</t>
  </si>
  <si>
    <t>Various title cards flash in front of the screen.</t>
  </si>
  <si>
    <t>We see a dog, and a man with a selfie stick carrying a snowboard.</t>
  </si>
  <si>
    <t>The man is snowboarding and holding the selfie stick.</t>
  </si>
  <si>
    <t>The man is playing with the dog, and we see the dog close up.</t>
  </si>
  <si>
    <t>The man is snowboarding downhill.</t>
  </si>
  <si>
    <t>He stops to pet his dog again before snowboarding again.</t>
  </si>
  <si>
    <t>the man and the dog are walking in an area with little snow.</t>
  </si>
  <si>
    <t>The man mounts the board and snowboards before putting it in his truck.</t>
  </si>
  <si>
    <t>We see the Gopro screen.</t>
  </si>
  <si>
    <t>v_kuPWb9E4aUQ</t>
  </si>
  <si>
    <t>A diver is swimming under the blue water.</t>
  </si>
  <si>
    <t>Two divers wearing their oxygen are under the water, they are holding onto the strong rope.</t>
  </si>
  <si>
    <t>The divers dive deeper to into the water, they swim towards a coral bed under the water.</t>
  </si>
  <si>
    <t>The people are riding the white boat towards the ocean.</t>
  </si>
  <si>
    <t>v_KSbIw1m2KoU</t>
  </si>
  <si>
    <t>A female gymnast prepares to mount the bar.</t>
  </si>
  <si>
    <t>She mounts, then does several hand springs, forward flips, and back flips.</t>
  </si>
  <si>
    <t>Then she dismounts, throwing her arms up in the air.</t>
  </si>
  <si>
    <t>v_5u-PL0wr3TU</t>
  </si>
  <si>
    <t>A toddler goes down on a slide in a playground full of people, when the toddler touches the floor, she stand and run.</t>
  </si>
  <si>
    <t>Suddenly, a man run behind the toddler.</t>
  </si>
  <si>
    <t>v_yrGietojx78</t>
  </si>
  <si>
    <t>A man in a white shirt is holding a tool in his hand.</t>
  </si>
  <si>
    <t>He starts chopping weeds down in a field.</t>
  </si>
  <si>
    <t>He stops and puts the tool against a fence.</t>
  </si>
  <si>
    <t>v_KEU4Sj6x1p4</t>
  </si>
  <si>
    <t>The race begins, one of the racer has a huge head start before the other even starts moving.</t>
  </si>
  <si>
    <t>They begin to run again but this time the man who had the head start takes his time and the man in the blue runs fast and jumps in the sand.</t>
  </si>
  <si>
    <t>He runs and jumps again, this time they show it again in slow motion.</t>
  </si>
  <si>
    <t>He just keeps practicing his run and jump over and over trying to get it perfect.</t>
  </si>
  <si>
    <t>v_iYdbam6e8cI</t>
  </si>
  <si>
    <t>People are roller blading down sets of stairs.</t>
  </si>
  <si>
    <t>A person falls into the street.</t>
  </si>
  <si>
    <t>A school bus is on the street behind them.</t>
  </si>
  <si>
    <t>v_XazKuBawFCM</t>
  </si>
  <si>
    <t>A woman is standing on a field in a circle.</t>
  </si>
  <si>
    <t>She spins while holding a disc.</t>
  </si>
  <si>
    <t>she accidentally lets go, and the disc flies out behind her.</t>
  </si>
  <si>
    <t>v__K88UOvtQPk</t>
  </si>
  <si>
    <t>A young girl is seen playing a saxophone while looking over to the camera and moving her hands up and down.</t>
  </si>
  <si>
    <t>The woman continues to play the instrument and ends by turning off the camera.</t>
  </si>
  <si>
    <t>v_G6FhQuR3_88</t>
  </si>
  <si>
    <t>We see men playing instruments in a plaza.</t>
  </si>
  <si>
    <t>The front man turns around to the men behind him.</t>
  </si>
  <si>
    <t>The man in front grabs the microphone.</t>
  </si>
  <si>
    <t>The band finishes playing their instruments.</t>
  </si>
  <si>
    <t>v_8liz3Fu7DGU</t>
  </si>
  <si>
    <t>On a a big field there is a lacrosse team playing a game , they are all moving around strategically.</t>
  </si>
  <si>
    <t>They throw the ball trying to make the goal while the other team tries to block them.</t>
  </si>
  <si>
    <t>They are running around you can see arrows to pointing to whats going on here and there.</t>
  </si>
  <si>
    <t>it is a very physical and hands on sport that requires stamina and energy.</t>
  </si>
  <si>
    <t>v_kB0h-fHb_WU</t>
  </si>
  <si>
    <t>A guy with with leg extensions enter.</t>
  </si>
  <si>
    <t>The guy hops and flips on a trampoline.</t>
  </si>
  <si>
    <t>A man and woman remove an attachment from a cable and attach another.</t>
  </si>
  <si>
    <t>The cables are lifted up.</t>
  </si>
  <si>
    <t>The man and woman remove what they removed from the trampoline and leave.</t>
  </si>
  <si>
    <t>The guy with leg extensions leaves.</t>
  </si>
  <si>
    <t>Two people enter with a chair and bucket.</t>
  </si>
  <si>
    <t>v_Ne8UzAInivM</t>
  </si>
  <si>
    <t>A scuba diver is swimming through the water on a video game.</t>
  </si>
  <si>
    <t>They are looking through rubble of an old ship.</t>
  </si>
  <si>
    <t>They get in their boat and drive.</t>
  </si>
  <si>
    <t>They jump under the water again.</t>
  </si>
  <si>
    <t>v_dZa5ir3baH4</t>
  </si>
  <si>
    <t>A man prepares to run along an indoor track.</t>
  </si>
  <si>
    <t>He runs, taking very large strides.</t>
  </si>
  <si>
    <t>He jumps awkwardly into the sand, landing on his face.</t>
  </si>
  <si>
    <t>v_d3Rx-nw5Zlw</t>
  </si>
  <si>
    <t>There's a young man wearing a blue jacket and a white shirt standing near a wall with white bathroom tiles.</t>
  </si>
  <si>
    <t>He is smoking a cigarette.</t>
  </si>
  <si>
    <t>He continues taking a several puffs of the cigarette as he empties the ashes of the burned cigarette on the side.</t>
  </si>
  <si>
    <t>He looks a bit confused as he continues smoking the cigarette.</t>
  </si>
  <si>
    <t>v_pajUG7Y6Gtk</t>
  </si>
  <si>
    <t>Three people are seen standing on a sandy field and lead into one scoring a goal.</t>
  </si>
  <si>
    <t>The men celebrate while his clip is shown again several times.</t>
  </si>
  <si>
    <t>The men continue to celebrate and begin playing the game again.</t>
  </si>
  <si>
    <t>v_avGe67wRvxA</t>
  </si>
  <si>
    <t>A lady wipes lipstick off her face.</t>
  </si>
  <si>
    <t>The lady then lines her lips with a pencil.</t>
  </si>
  <si>
    <t>The lady stops and adjusts the camera.</t>
  </si>
  <si>
    <t>the camera move and we see a man next to the lady.</t>
  </si>
  <si>
    <t>the lady fixes her hair in the camera.</t>
  </si>
  <si>
    <t>v_OZftVCeblMk</t>
  </si>
  <si>
    <t>A man is seen standing before a kitchen sink and washing dishes in his hands.</t>
  </si>
  <si>
    <t>The man then cleans the dishes and puts them away, then looking over upset to see more dishes.</t>
  </si>
  <si>
    <t>v___wPHayoMgw</t>
  </si>
  <si>
    <t>A young woman is dressed in a zebra onesie sitting on her bed smoking a hookah.</t>
  </si>
  <si>
    <t>She takes two puffs,exhales the smoke and a spark flies from the end of the tube.</t>
  </si>
  <si>
    <t>The man behind the camera switches and then begins to smoke the hookah as the girl begins to record.</t>
  </si>
  <si>
    <t>Once he is finished,the hookah is given back to the girl and she starts to smoke.</t>
  </si>
  <si>
    <t>v_t9UsqWspqZM</t>
  </si>
  <si>
    <t>A person dressed up as Darth Vader plays a violin on the sidewalk.</t>
  </si>
  <si>
    <t>People walk in front of him.</t>
  </si>
  <si>
    <t>v_LZleSe6Kovg</t>
  </si>
  <si>
    <t>A man is wearing a white robe with a black belt.</t>
  </si>
  <si>
    <t>He starts doing karate moves in a room.</t>
  </si>
  <si>
    <t>He stands up right at the end.</t>
  </si>
  <si>
    <t>v_bt4cH91_KPI</t>
  </si>
  <si>
    <t>An excited man is seen talking to the camera and transitions into several shots of men winning games, beer, and being interviewed by the host.</t>
  </si>
  <si>
    <t>The men are then seen playing a game of beer pong with several others around and showing off a shaved head.</t>
  </si>
  <si>
    <t>A man is seen talking on a phone and more shots of the men playing beer pong are shown.</t>
  </si>
  <si>
    <t>v_hJKX5ZulTgI</t>
  </si>
  <si>
    <t>A woman spins around, showing off her hair style.</t>
  </si>
  <si>
    <t>We see a black hair drying spinning on the screen.</t>
  </si>
  <si>
    <t>The woman is getting her hair styled in the background by another woman, while text covers the screen with instructions.</t>
  </si>
  <si>
    <t>The woman brushes and finalizes the style, and the client has a huge happy smile.</t>
  </si>
  <si>
    <t>v_8ZqRn0ovdAI</t>
  </si>
  <si>
    <t>A man is seen sitting on a park bench playing guitar with a small boy beside him.</t>
  </si>
  <si>
    <t>The boy then begins playing a set of drums next to the man playing guitar.</t>
  </si>
  <si>
    <t>The two continue playing with one another and stop to wave to the camera and speak to one another.</t>
  </si>
  <si>
    <t>v_ns8v94HCtlM</t>
  </si>
  <si>
    <t>A person is turning on a machine and watching a hose grow bigger while he spins the dial.</t>
  </si>
  <si>
    <t>He continues pressing buttons and begins grooming a dog.</t>
  </si>
  <si>
    <t>The person goes up and down on the dog and eventually makes him look good as new with different settings.</t>
  </si>
  <si>
    <t>v_tHFF0OaIHoE</t>
  </si>
  <si>
    <t>A young girl is sitting in an empty bath tub shaving a man's leg that is thrown over the tub.</t>
  </si>
  <si>
    <t>As she continues,the dog comes and she shows the hair on the razor to the camera.</t>
  </si>
  <si>
    <t>v_vvoqG7UQsdc</t>
  </si>
  <si>
    <t>There are two students, a boy and a girl in a pole vault runway.</t>
  </si>
  <si>
    <t>One of the students, a boy sprints with the pole on the runway while a person in blue the other student watch him perform.</t>
  </si>
  <si>
    <t>Then he jumps up high and lands a few feet away on the landing area.</t>
  </si>
  <si>
    <t>His actions are replayed in slow motion to capture his jump and landing.</t>
  </si>
  <si>
    <t>v_2bkQz8BcKZ4</t>
  </si>
  <si>
    <t>A small group of girls are seen walking onto a stage followed by more people following behind.</t>
  </si>
  <si>
    <t>More people continue walking out onto the stage with some holding signs and others watching on the side.</t>
  </si>
  <si>
    <t>v_tilmCzSf1oc</t>
  </si>
  <si>
    <t>A boy in karate class bows before a performance.</t>
  </si>
  <si>
    <t>The boy performs a karate routine with hand scythes.</t>
  </si>
  <si>
    <t>The boy ends his routine and bows.</t>
  </si>
  <si>
    <t>v_bUHE8XcPZgs</t>
  </si>
  <si>
    <t>We see a man walk to the parallel bars and jump on.</t>
  </si>
  <si>
    <t>We see the man perform a routine on the bars.</t>
  </si>
  <si>
    <t>The man does a handstand.</t>
  </si>
  <si>
    <t>The man flips and dismounts from the bars.</t>
  </si>
  <si>
    <t>The man raise his arms in the air.</t>
  </si>
  <si>
    <t>The man walks away and hugs another man.</t>
  </si>
  <si>
    <t>v_-AaOr1DI2no</t>
  </si>
  <si>
    <t>A lady stands in a living room and discusses.</t>
  </si>
  <si>
    <t>The lady easily pulls the wallpaper of the wall.</t>
  </si>
  <si>
    <t>A woman paints the wall with a liquid.</t>
  </si>
  <si>
    <t>The woman puts wallpaper on the area.</t>
  </si>
  <si>
    <t>The woman cuts the wallpaper with a box cutter.</t>
  </si>
  <si>
    <t>The woman paints the wallpaper with paint.</t>
  </si>
  <si>
    <t>v_1Uur858vdY8</t>
  </si>
  <si>
    <t>An athletic man is seen standing ready and begins running down a track and jumping into a pit.</t>
  </si>
  <si>
    <t>The man celebrates as his score is shown and his jump is shown again in slow motion.</t>
  </si>
  <si>
    <t>v_7Xl0K-revJc</t>
  </si>
  <si>
    <t>A man teaches the proper way to get a mouthpiece on a saxophone.</t>
  </si>
  <si>
    <t>He then describes how to properly play the horn.</t>
  </si>
  <si>
    <t>v_gHk4mjlJ5cg</t>
  </si>
  <si>
    <t>A shirtless man talks in a gym.</t>
  </si>
  <si>
    <t>A lady runs past both ways then jumps rope behind the man.</t>
  </si>
  <si>
    <t>We see title screens with instructions.</t>
  </si>
  <si>
    <t>We see a lady jumping rope eleven different ways.</t>
  </si>
  <si>
    <t>v_ajA_cE6b9AY</t>
  </si>
  <si>
    <t>a river is shown and a car is a dust path.</t>
  </si>
  <si>
    <t>men are rafting on a lake on the rapids.</t>
  </si>
  <si>
    <t>v_GPR8rtfZr4A</t>
  </si>
  <si>
    <t>A graphic logo is seen that is black and white in color with the letter "N".</t>
  </si>
  <si>
    <t>A tv host stands in front of a camouflaged background.</t>
  </si>
  <si>
    <t>Two girls are seen walking in a photograph in baseball uniforms.</t>
  </si>
  <si>
    <t>A large group of fans crowds on a baseball field and surrounds a famous singer doing a performance.</t>
  </si>
  <si>
    <t>A red handball is rolled to a kicker during a kickball match who kicks it into the outfield for a run.</t>
  </si>
  <si>
    <t>Another man in tshirt and black sweats kicks a ball and runs around the bases trying to avoid being tagged with the ball.</t>
  </si>
  <si>
    <t>The same man rides on a skateboard in the city.</t>
  </si>
  <si>
    <t>The man is seen again in an up close video in a room.</t>
  </si>
  <si>
    <t>v_E-6XZrDYRuM</t>
  </si>
  <si>
    <t>The title shows as a man ride a horse through an arena.</t>
  </si>
  <si>
    <t>There is then a showcase of horses jumping over obstacles.</t>
  </si>
  <si>
    <t>One of the pictures rotates around in a circle and the next video squeezes in on itself.</t>
  </si>
  <si>
    <t>It continues to show horse jumping over obstacles with video effects.</t>
  </si>
  <si>
    <t>A man walks side my side with with partner.</t>
  </si>
  <si>
    <t>The credits role with some praise.</t>
  </si>
  <si>
    <t>v_Jth2Zlpr1gQ</t>
  </si>
  <si>
    <t>The woman in red top is standing.</t>
  </si>
  <si>
    <t>The woman stretches her arms one side first then the next one.</t>
  </si>
  <si>
    <t>The woman put her arms in front of her, then stretch out and turned around.</t>
  </si>
  <si>
    <t>v_GKK32IWDlSE</t>
  </si>
  <si>
    <t>A man is outside on a track.</t>
  </si>
  <si>
    <t>He runs with a javelin in his hand.</t>
  </si>
  <si>
    <t>He throws it as far as he can, raising his arms in victory.</t>
  </si>
  <si>
    <t>v_fgFU8vdsA8k</t>
  </si>
  <si>
    <t>A girl and a man are inside a high structure wearing bungee jumping equipment.</t>
  </si>
  <si>
    <t>The girl get out and stand on the border of the structure, then while the man puts a rope behind the girl.</t>
  </si>
  <si>
    <t>After, the girl jumps from the structure for a moment and then she gets up on the structure.</t>
  </si>
  <si>
    <t>v_YDNEa5ZOf6c</t>
  </si>
  <si>
    <t>A man wearing a hood is opening a paper, then he went down the stair and walked to a pathway.</t>
  </si>
  <si>
    <t>The woman is talking to the camera and showing the ground covered with snow.</t>
  </si>
  <si>
    <t>The man is standing next to the van and began scooping off the snow on the roof of the car, while the other person is using a broom to get the snow off the car.</t>
  </si>
  <si>
    <t>v_Hub83eTB8mM</t>
  </si>
  <si>
    <t>A construction worker is standing and talking to the camera while holding a sprayer.</t>
  </si>
  <si>
    <t>He is very animated while he goes back to sanding and spraying.</t>
  </si>
  <si>
    <t>v_9ZQY-ZfimYo</t>
  </si>
  <si>
    <t>A man is shown speaking to the camera excitedly and shows several shots of the man climbing a rock wall and various locations.</t>
  </si>
  <si>
    <t>Then man then continues speaking to the camera and demonstrates how to properly climb the wall while still speaking.</t>
  </si>
  <si>
    <t>v_GwLhmYF7Wdw</t>
  </si>
  <si>
    <t>man is standing in front of a white cloth in a studio doing exercise in an elliptical machine showing the characteristics of the bike.</t>
  </si>
  <si>
    <t>woman is doing the same that the man, watching the elliptical and doing exercise.</t>
  </si>
  <si>
    <t>v_uA3dbKjT9rM</t>
  </si>
  <si>
    <t>A girl sitting int eh driver seat of a car is talking on her phone on speaker.</t>
  </si>
  <si>
    <t>She hangs up and starts talking out loud and then her and her friend are walking through a parking garage.</t>
  </si>
  <si>
    <t>The girls are walking and talking through the mall, then they go to Claires to get ears pierced.</t>
  </si>
  <si>
    <t>They continue walking around the mall for a while.</t>
  </si>
  <si>
    <t>v_Gn7Ha7l1uOk</t>
  </si>
  <si>
    <t>A man stands in a stair rail holding a knife.</t>
  </si>
  <si>
    <t>A guy prepare to play the drums.</t>
  </si>
  <si>
    <t>The guy plays a drum set.</t>
  </si>
  <si>
    <t>v_zryPDx9WL08</t>
  </si>
  <si>
    <t>Several shots are shown of a man warming up as well as performing martial arts tricks.</t>
  </si>
  <si>
    <t>A man speaks to the camera while several clips are shown of people flipping and doing tricks in various locations.</t>
  </si>
  <si>
    <t>The people jump and flip around one another and continue performing parkour.</t>
  </si>
  <si>
    <t>v_OjQHQptSXk0</t>
  </si>
  <si>
    <t>A large parade of people marching down a street is shown with several hundred people watching on the side.</t>
  </si>
  <si>
    <t>The people continue playing the instruments as the camera pans around the large group of people and following the parade.</t>
  </si>
  <si>
    <t>v_qm1dudWLlUg</t>
  </si>
  <si>
    <t>A man is drinking a beer during a game while others look on and smile.</t>
  </si>
  <si>
    <t>Several people are watching the match and the man drinking a beer looks at the camera and smiles.</t>
  </si>
  <si>
    <t>v_ZjHIN-M-dQY</t>
  </si>
  <si>
    <t>A group of people re riding stationary bikes in a big gym.</t>
  </si>
  <si>
    <t>One man moves a stationary bike.</t>
  </si>
  <si>
    <t>A woman adjusts the top hat she is wearing.</t>
  </si>
  <si>
    <t>v_ZEChBNpLCyU</t>
  </si>
  <si>
    <t>A man is seen speaking to the camera and begins laying out tarp next to a tree.</t>
  </si>
  <si>
    <t>The man cuts the tarp and begins putting mulch all around the tree.</t>
  </si>
  <si>
    <t>v_xAI1y9izXOM</t>
  </si>
  <si>
    <t>Two men sit across a table and begin an arm wrestling match.</t>
  </si>
  <si>
    <t>They both struggle a bit until the man on the left eventually wins.</t>
  </si>
  <si>
    <t>v_me4rMjlnTlI</t>
  </si>
  <si>
    <t>A small group of children are seen holding onto a rope with a man standing in front of them speaking to them.</t>
  </si>
  <si>
    <t>The kids continue pulling with adult's help and then cheer in the end.</t>
  </si>
  <si>
    <t>v_ZhPL4xb8JD0</t>
  </si>
  <si>
    <t>A horseman sits on a horse and a person stands on front a cattle squeeze chute.</t>
  </si>
  <si>
    <t>Suddenly, the horseman and a calf run to the the arena, while the horseman runs behind the calf spinning in the air a rope.</t>
  </si>
  <si>
    <t>After, the horseman throws the hoop and catch the calf, then quickly he lie the calf on the floor and tie the legs.</t>
  </si>
  <si>
    <t>v_5Ia1MCFut_8</t>
  </si>
  <si>
    <t>A young child is seen climbing into a slide and edging her way closer to the edge.</t>
  </si>
  <si>
    <t>The girl then rides down the slide smiling and walks away.</t>
  </si>
  <si>
    <t>v_X0IXZMr95TM</t>
  </si>
  <si>
    <t>A clear bottle pours a drink into a cocktail glass.</t>
  </si>
  <si>
    <t>A bartender picks up a stainless steel cup and scoops ice into it.</t>
  </si>
  <si>
    <t>The bartender pours liquors into a shot glass and dumps them into a cup.</t>
  </si>
  <si>
    <t>The bartender caps the cup and shakes vigorously.</t>
  </si>
  <si>
    <t>The contents of the mixing cup are poured into a martini glass.</t>
  </si>
  <si>
    <t>v_V4tqzi5uw9Y</t>
  </si>
  <si>
    <t>A man touches his faces and waves.</t>
  </si>
  <si>
    <t>The man walks a mower across very tall growing grass.</t>
  </si>
  <si>
    <t>v_eLVaojWbwHE</t>
  </si>
  <si>
    <t>A middle aged woman is standing in a room behind a table full of pain and various size brushes and an image of trees on a easel.</t>
  </si>
  <si>
    <t>In her left hand,she has a wheel of paint and begins to make stokes on the image to complete her picture.</t>
  </si>
  <si>
    <t>She goes back and forth from the paint to the board and shows how to make a tree and then cleans her brushes.</t>
  </si>
  <si>
    <t>v_BCsfauy69xM</t>
  </si>
  <si>
    <t>A person is carving a pumpkin.</t>
  </si>
  <si>
    <t>We see two people side by side carving pumpkins.</t>
  </si>
  <si>
    <t>We see from inside the pumpkin as they are being carved.</t>
  </si>
  <si>
    <t>We see five pumpkins on a couch and in the dark lit from the inside.</t>
  </si>
  <si>
    <t>v_Y82dz6aTwJ0</t>
  </si>
  <si>
    <t>A woman is sitting on the couch and is putting her feet in a python printed heels.</t>
  </si>
  <si>
    <t>Once they are on she stands up and walks around as the camera zooms in on her red painted toe nails.</t>
  </si>
  <si>
    <t>v_O2JUUFFdWpk</t>
  </si>
  <si>
    <t>A man in a blue costume throws something into the audience.</t>
  </si>
  <si>
    <t>He picks up a green can and takes a drink.</t>
  </si>
  <si>
    <t>He then plays rock paper scissors with another man across from him.</t>
  </si>
  <si>
    <t>v_B3fiiuk0EqE</t>
  </si>
  <si>
    <t>A man shovels snow from a driveway.</t>
  </si>
  <si>
    <t>The camera pans to show another man using an electric shoveling machine to clear show from his driveway.</t>
  </si>
  <si>
    <t>The man finishes clearing snow and turns to the camera.</t>
  </si>
  <si>
    <t>v_gYARGADLcmQ</t>
  </si>
  <si>
    <t>We see an aerial view of a beach with people all over.</t>
  </si>
  <si>
    <t>We see people building sand castles.</t>
  </si>
  <si>
    <t>We interview a judge, who then walks among the people.</t>
  </si>
  <si>
    <t>We see two men interviewed.</t>
  </si>
  <si>
    <t>We see an awning over the beach and canopies beyond that.</t>
  </si>
  <si>
    <t>v_VQPfRCsSmQk</t>
  </si>
  <si>
    <t>There's a woman in a red sweater and white shirt and blue pants sitting in her living room on a brown leather sofa.</t>
  </si>
  <si>
    <t>She is holding a spray can of furniture polish in her hand.</t>
  </si>
  <si>
    <t>She also has a paper towel in her other hand which she uses to wipe the table.</t>
  </si>
  <si>
    <t>She sprays the wooden table surface with the spray and then wipes it with the white paper towel.</t>
  </si>
  <si>
    <t>She explains how to use the spray and wipe the furniture.</t>
  </si>
  <si>
    <t>v_jYA_3BMF2d4</t>
  </si>
  <si>
    <t>We see a man standing in a room.</t>
  </si>
  <si>
    <t>The man starts performing tai chi.</t>
  </si>
  <si>
    <t>The man turns and faces left.</t>
  </si>
  <si>
    <t>The man turns to face right.</t>
  </si>
  <si>
    <t>The man makes his way to the right side of the room slowly.</t>
  </si>
  <si>
    <t>The screen then fades to black.</t>
  </si>
  <si>
    <t>v_QEaQzeB94N4</t>
  </si>
  <si>
    <t>A young man plays the violin on a sidewalk for people passing by in downtown area.</t>
  </si>
  <si>
    <t>Two students walk by behind the musician while he plays.</t>
  </si>
  <si>
    <t>The woman on the bench has turned to watch facing the man play the song.</t>
  </si>
  <si>
    <t>A man drops change in the musician's cup after he plays.</t>
  </si>
  <si>
    <t>v_dN14VPSHimI</t>
  </si>
  <si>
    <t>a man is riding a horse in a rodeo and catch a bull while in stands people are watching them andother man in a hse are on side of the court.</t>
  </si>
  <si>
    <t>men are riding a horse in a barn and throw a rope to catch a bull.</t>
  </si>
  <si>
    <t>v_TI3WqIauOYs</t>
  </si>
  <si>
    <t>A man takes off his shirt.</t>
  </si>
  <si>
    <t>He starts doing karate moves on a blue mat.</t>
  </si>
  <si>
    <t>He does several flips in the air.</t>
  </si>
  <si>
    <t>v_aAlbRFeu32E</t>
  </si>
  <si>
    <t>First the young woman is sleeping in her bed, but then she wakes up to say something.</t>
  </si>
  <si>
    <t>Next she is shown sitting at the restaurant eating fries and then she is shown in her room again, staring at the clothes on her bed and putting on her shoes.</t>
  </si>
  <si>
    <t>She is also shown doing fun things in the video and other girls are too.</t>
  </si>
  <si>
    <t>v_ICM-GjDa9QY</t>
  </si>
  <si>
    <t>A young man puts detergent in a blue bucket, then shows and explains how to clean a screen windows using a squeegee.</t>
  </si>
  <si>
    <t>After, the young man cleans the wet screen with a cloth.</t>
  </si>
  <si>
    <t>The young man compares a dirt screen with the clean one and gives a thump up.</t>
  </si>
  <si>
    <t>v_-HHybw--2XA</t>
  </si>
  <si>
    <t>A camera pans around a fenced in area and leads into a man and his dog performing tricks with a frisbee.</t>
  </si>
  <si>
    <t>The an continues to perform tricks with the dog using the toys and other dogs watching on the side.</t>
  </si>
  <si>
    <t>v_rgrzN8ELIxI</t>
  </si>
  <si>
    <t>A collage of drawings and logos are seen in black and white that make up a larger logo.</t>
  </si>
  <si>
    <t>A beach is seen from the distance and houses are seen on a hillside in a small beach town.</t>
  </si>
  <si>
    <t>A surfer walks down towards the beach.</t>
  </si>
  <si>
    <t>v_w3DvA9405_o</t>
  </si>
  <si>
    <t>A woman is seen looking off in the distance who holds onto a harmonica.</t>
  </si>
  <si>
    <t>She begins playing the harmonica while looking away from the camera.</t>
  </si>
  <si>
    <t>The continues playing the harmonica and stops to look down at the camera.</t>
  </si>
  <si>
    <t>v_5ytocb1ypRU</t>
  </si>
  <si>
    <t>A person using a chain saw is cutting down limbs off of a tree.</t>
  </si>
  <si>
    <t>The man uses an extension to cut a limb off the top of the tree.</t>
  </si>
  <si>
    <t>v_j5V7kD_HeMw</t>
  </si>
  <si>
    <t>A man descends from a steam slope on his snowboard.</t>
  </si>
  <si>
    <t>Another catches air as he flies over a snowy hill.</t>
  </si>
  <si>
    <t>Another snowboarder sharply slides down a steep hill to the base.</t>
  </si>
  <si>
    <t>A man in grey is shown performing some tricks in the air.</t>
  </si>
  <si>
    <t>First person perspective of a snowboarder going down a hill is shown.</t>
  </si>
  <si>
    <t>Another snowboarder flies down the hill, expertly cutting left and right.</t>
  </si>
  <si>
    <t>Various footage of snowboarders descending large slopes is shown.</t>
  </si>
  <si>
    <t>First person perspective of snowboarder with fellow rider in front of him closes the video.</t>
  </si>
  <si>
    <t>v_feUoPtDWe1Y</t>
  </si>
  <si>
    <t>The woman in white sweater is talking to the camera.</t>
  </si>
  <si>
    <t>The woman is holding a violin and stick.</t>
  </si>
  <si>
    <t>The woman put the violin between her neck and shoulder and began playing for few seconds then talked to the camera.</t>
  </si>
  <si>
    <t>v_pzZ4TGcMK1k</t>
  </si>
  <si>
    <t>People stand on the border of the diving boards and they dive while in the water.</t>
  </si>
  <si>
    <t>Swimmer stand on the diving boards, then they jump spinning in the air and diving in the water.</t>
  </si>
  <si>
    <t>Swimmers jump from the diving board, they spins three times in the air before to dive inn the water.</t>
  </si>
  <si>
    <t>v_NLpWaffN3XM</t>
  </si>
  <si>
    <t>A girl demonstrates playing an acoustic guitar using her hands to create percussion noise on the body of the guitar.</t>
  </si>
  <si>
    <t>A girl enters a room where an acoustic guitar is leaning against a sofa and sits down on the sofa and begins to play the guitar.</t>
  </si>
  <si>
    <t>The girl uses her right hand to make beats with the guitar and picks chords with the left hand while staring intently at the guitar.</t>
  </si>
  <si>
    <t>The girl continues to play intensely, occasionally nodding her head to the rhythm.</t>
  </si>
  <si>
    <t>v_xddZ9YjTGgo</t>
  </si>
  <si>
    <t>A young man in green shirt is standing at the goal, while the young player in blue kicked the ball to the goal, and the ball went inside the goal, the man in green shirt missed the ball.</t>
  </si>
  <si>
    <t>The man in red shirt run towards the ball, kicked the ball, and the goalkeeper wasn't able to block it, the player high five his teammates.</t>
  </si>
  <si>
    <t>The players are kicking the ball to the goal and the goalkeepers weren't able to block the ball.</t>
  </si>
  <si>
    <t>v_8btD4-N4stM</t>
  </si>
  <si>
    <t>We see scene of a bullfighting with matadors in the ring and see them stabbing the bulls.</t>
  </si>
  <si>
    <t>We see images of bloody bulls and carcasses being dragged on the ground.</t>
  </si>
  <si>
    <t>We see images of a bull in a slaughterhouse.</t>
  </si>
  <si>
    <t>Words go across the screen about torturing the bulls.</t>
  </si>
  <si>
    <t>We then see a PETA ending screen.</t>
  </si>
  <si>
    <t>v_3_hJrb_aDWU</t>
  </si>
  <si>
    <t>A kayak rider drifts in the bay of an ocean.</t>
  </si>
  <si>
    <t>Two kayak riders talk while sitting in their kayaks.</t>
  </si>
  <si>
    <t>The view of the surrounding mountains is seen.</t>
  </si>
  <si>
    <t>v_TZ5Vd9eL5WA</t>
  </si>
  <si>
    <t>Two people are standing in a kitchen.</t>
  </si>
  <si>
    <t>A man moves a glass bowl off the counter.</t>
  </si>
  <si>
    <t>A woman begins chopping a tomato on a board.</t>
  </si>
  <si>
    <t>v_unLrTQt07kI</t>
  </si>
  <si>
    <t>We a man washing dishes in a restaurant kitchen with two other men standing behind him on massaging his shoulder.</t>
  </si>
  <si>
    <t>Teh dishwasher shakes the man off his shoulders.</t>
  </si>
  <si>
    <t>The man in rear in blue walks out of the room.</t>
  </si>
  <si>
    <t>The other man pretends to wash dishes then washes his hands.</t>
  </si>
  <si>
    <t>v_2VYZeOa6804</t>
  </si>
  <si>
    <t>A reporter broadcast from a TV studio set.</t>
  </si>
  <si>
    <t>Then he reporter shows interviews a male an a female player next a swimming pool while a group of players jump into the water.</t>
  </si>
  <si>
    <t>Two teams play water polo in the swimming pool while the reporter continues to interview people.</t>
  </si>
  <si>
    <t>A woman and a man writes the scores on a the game, then people applauds.</t>
  </si>
  <si>
    <t>The winner team gets out the water and celebrates, and then the reporter interviews the team members.</t>
  </si>
  <si>
    <t>Again, the team gets in the water, and then the reporter broadcast from a studio set.</t>
  </si>
  <si>
    <t>v_0ivHmKR8cUw</t>
  </si>
  <si>
    <t>woman is standing in front of a counter talking to the camera and showing drinks.</t>
  </si>
  <si>
    <t>woman grabbs the juice and liquor and and serve it in a cup.</t>
  </si>
  <si>
    <t>woman is showing in a bar how to prepare a cocktail.</t>
  </si>
  <si>
    <t>v_4XfNexN6t04</t>
  </si>
  <si>
    <t>A man wearing a blue shirt walks to some congas and sit down.</t>
  </si>
  <si>
    <t>The musician begins to play the congas in a small room.</t>
  </si>
  <si>
    <t>The man then gets up and approaches the camera.</t>
  </si>
  <si>
    <t>v_YWu9gYCBAas</t>
  </si>
  <si>
    <t>We see shots of a sink.</t>
  </si>
  <si>
    <t>A person sprays the sink with a bottle then uses scrub brushes to scrub the sink.</t>
  </si>
  <si>
    <t>The person rinses the sink the wipes it with a blue towel.</t>
  </si>
  <si>
    <t>The person then rinses the sink again and wipes it down with the blue towel again.</t>
  </si>
  <si>
    <t>The person sprays the sink with a solution and uses a small roller paint brush to run the solution into the sink.</t>
  </si>
  <si>
    <t>We see before and after shots of the sink.</t>
  </si>
  <si>
    <t>v_QGY7zA03RkE</t>
  </si>
  <si>
    <t>A group of people play ping pong with automated machines and robots.</t>
  </si>
  <si>
    <t>One man plays ping pong with an orange machine with a red paddle attached to the end of a robotic arm.</t>
  </si>
  <si>
    <t>A man and a child play ping pong across a blue ping pong table as a man appears standing next to an orange automated machine and talks.</t>
  </si>
  <si>
    <t>Another man plays ping pong across a blue ping pong table with a white, metal, robot.</t>
  </si>
  <si>
    <t>A man in a suit and tie talks while a hand places an orange ball into the automated two prong hand of a white robot before going to an area in a room filled with orange robotic machines.</t>
  </si>
  <si>
    <t>v_in5XF1bbYr0</t>
  </si>
  <si>
    <t>We see a series of opening screens.</t>
  </si>
  <si>
    <t>A person throws a frisbee as a dog catches them.</t>
  </si>
  <si>
    <t>A man raises his hands in the air and walks off and another person walks past the camera.</t>
  </si>
  <si>
    <t>We see an image of the dog laying in the grass with words on the screen.</t>
  </si>
  <si>
    <t>v_pCEg_GoXoU4</t>
  </si>
  <si>
    <t>Several shots are shown of scuba divers moving along the water and fish moving around them.</t>
  </si>
  <si>
    <t>More people are seen moving along the ocean while gesturing to the camera and capturing all the wildlife around them.</t>
  </si>
  <si>
    <t>In the end they're seen riding a boat together and waving to the camera.</t>
  </si>
  <si>
    <t>v_J_ZY19xnhJU</t>
  </si>
  <si>
    <t>A little boy runs fast to his swing set and his dog runs after him.</t>
  </si>
  <si>
    <t>He climbs up the slide and and slide and his little brother comes up to play too.</t>
  </si>
  <si>
    <t>The mom comes over to play on the sea saw with one of the boys and he falls off.</t>
  </si>
  <si>
    <t>They play for a while going from one part of the set to the next.</t>
  </si>
  <si>
    <t>v_Aqq8S79ZAhk</t>
  </si>
  <si>
    <t>A camera pans around a room and leads into two women speaking and pulling out rock tiles.</t>
  </si>
  <si>
    <t>The women then put plaster down followed by the rock tiles and showing off the finished shower in the end and people reacting.</t>
  </si>
  <si>
    <t>v_69SYd5feEBQ</t>
  </si>
  <si>
    <t>An elderly lady sits in a chair knitting and talking to the camera.</t>
  </si>
  <si>
    <t>The lady shakes her head slightly while looking at the camera.</t>
  </si>
  <si>
    <t>The lady pauses and looks out the window.</t>
  </si>
  <si>
    <t>v_FBbN6FHC7L8</t>
  </si>
  <si>
    <t>A woman wearing a red leotard demonstrates a ballet move traveling toe move.</t>
  </si>
  <si>
    <t>The ballet instructor shimmies across the floor taking small little side steps.</t>
  </si>
  <si>
    <t>The instructor demonstrates a spot turn ballet turns.</t>
  </si>
  <si>
    <t>The instructor than combines the side toe step with the spot turning move.</t>
  </si>
  <si>
    <t>v_vZuy4OyWBsQ</t>
  </si>
  <si>
    <t>Two young teenage girls hold soapsuds in their hands in a kitchen.</t>
  </si>
  <si>
    <t>The girls throw the suds in each other's faces.</t>
  </si>
  <si>
    <t>One girl hops on the shoulders of the other.</t>
  </si>
  <si>
    <t>They begin to wash the dishes.</t>
  </si>
  <si>
    <t>v_e6r-A-LAe2E</t>
  </si>
  <si>
    <t>A young boy and a small boy are on a fenced field.</t>
  </si>
  <si>
    <t>They kick a ball, then try to chase it down.</t>
  </si>
  <si>
    <t>The kids continue playing as a man joins, fighting over the ball.</t>
  </si>
  <si>
    <t>v_4uwtqRBE4Kk</t>
  </si>
  <si>
    <t>a sea is shown with a green forest on seashore.</t>
  </si>
  <si>
    <t>blond man is standing in seashore and talking to the camera and surfing big waves on the sea.</t>
  </si>
  <si>
    <t>man is walking on seashore through a lot of people and talking to the camera and holding an award and talking about surfing the seashore.</t>
  </si>
  <si>
    <t>v_M1J3XjExaW4</t>
  </si>
  <si>
    <t>A man is seen speaking to the camera while holding onto a stick.</t>
  </si>
  <si>
    <t>He points down to balls in front of him as well as his body.</t>
  </si>
  <si>
    <t>He them demonstrates how to hit the ball properly while still speaking.</t>
  </si>
  <si>
    <t>v_FRjVP5r9rqc</t>
  </si>
  <si>
    <t>An elderly woman pans to the camera and does various hand movements on the floor.</t>
  </si>
  <si>
    <t>The woman grabs several items of clothing and shows how she washes them in the sink.</t>
  </si>
  <si>
    <t>She holds a bar of soap and rubs it all over the clothes and dips it into the water.</t>
  </si>
  <si>
    <t>She continues cleaning the clothes off in the water and showing how she cleans her clothes.</t>
  </si>
  <si>
    <t>v_ZBuPedt-oEE</t>
  </si>
  <si>
    <t>First the woman grabs some dishes to prepare something and puts them into a refrigerator.</t>
  </si>
  <si>
    <t>She then holds a cup under a foam dispenser and remove sit when it's filled up.</t>
  </si>
  <si>
    <t>She then tops it with crushed graham bears.</t>
  </si>
  <si>
    <t>next she gets a plate and a round stencil.</t>
  </si>
  <si>
    <t>she puts the plate under the dispenser and she removes it and slowly pulls the circle off of the cake once she is done smoothing the paste.</t>
  </si>
  <si>
    <t>Then she uses a knife to put lines on the sides of the cake.</t>
  </si>
  <si>
    <t>Next she puts cream on the edges from top to bottom.</t>
  </si>
  <si>
    <t>then she drizzles a little chocolate syrup on there.</t>
  </si>
  <si>
    <t>She is now done making the cake.</t>
  </si>
  <si>
    <t>v_SMUWOVJ3bzE</t>
  </si>
  <si>
    <t>A young child is seen sitting before a piano and playing a song while wearing a halloween costume.</t>
  </si>
  <si>
    <t>The boy continues playing the instrument and ends by pulling his mask down.</t>
  </si>
  <si>
    <t>v_PY4304sV5fY</t>
  </si>
  <si>
    <t>An young male Caucasian is sitting in a room behind a keyboard.</t>
  </si>
  <si>
    <t>Before he plays,he begins to talk and make movements across three black keys with his right hand as he continues to talk.</t>
  </si>
  <si>
    <t>He finally begins to play and you can see his hand moving rapidly across the keyboard on the left side of the screen.</t>
  </si>
  <si>
    <t>For his final chords,he takes his hand off the board and moves his head around in a circle.</t>
  </si>
  <si>
    <t>v_3ddoLUFrGsE</t>
  </si>
  <si>
    <t>A woman and a boy are making victory sign and smiling.</t>
  </si>
  <si>
    <t>The woman is putting make up to the boy's face, and then the boy shows his face.</t>
  </si>
  <si>
    <t>Then, the woman put make on a girl face.</t>
  </si>
  <si>
    <t>The boy and the girl look their faces on a mirror making funny faces and waving.</t>
  </si>
  <si>
    <t>v_9wtMJoqGTg0</t>
  </si>
  <si>
    <t>A girl performances some gymnastics stunts.</t>
  </si>
  <si>
    <t>A girl stands in place facing a lady.</t>
  </si>
  <si>
    <t>The girl holds up her hand.</t>
  </si>
  <si>
    <t>The girl turn around and climbs the gymnastic, wooden bar.</t>
  </si>
  <si>
    <t>With her hands on the bar, the girl lifts and splits her legs above her head.</t>
  </si>
  <si>
    <t>The lady moves a platform to the left side of the bar.</t>
  </si>
  <si>
    <t>The girl sits on the bar with her hand raised.</t>
  </si>
  <si>
    <t>The girl knees on the bar.</t>
  </si>
  <si>
    <t>The girl stands on the bar.</t>
  </si>
  <si>
    <t>The girl lifts off the bar and land on edge of the bar.</t>
  </si>
  <si>
    <t>The girl back flips three times.</t>
  </si>
  <si>
    <t>The girl takes two steps and front flips.</t>
  </si>
  <si>
    <t>The girl lifts of the bar and lands in the same position.</t>
  </si>
  <si>
    <t>The girl turns, jumps in place, and back flips.</t>
  </si>
  <si>
    <t>The girl turns and spins with hands raised.</t>
  </si>
  <si>
    <t>The girl steps forward, jumps and turns.</t>
  </si>
  <si>
    <t>The girls steps forward and front flips and lands at the edge.</t>
  </si>
  <si>
    <t>The girl back flips three times off the bar and lands on a blue mat.</t>
  </si>
  <si>
    <t>v_IbcBQFvcS9o</t>
  </si>
  <si>
    <t>a white house and a backyard full of snow appears a person is cleaning the fron entrance of the house.</t>
  </si>
  <si>
    <t>a car covered in snow appears and the person is cleaning the snow from the car and its open the road in front of the car.</t>
  </si>
  <si>
    <t>a red car appears covered in snow and a person is cleaning the snow .</t>
  </si>
  <si>
    <t>a black car is covered in snow.</t>
  </si>
  <si>
    <t>v_QDjaaUtepHo</t>
  </si>
  <si>
    <t>A pink and yellow logo with lips appears on screen.</t>
  </si>
  <si>
    <t>A male hairdresser works on the hair of a seated woman in a luxury beauty salon.</t>
  </si>
  <si>
    <t>The man dries and applies product to the woman's hair.</t>
  </si>
  <si>
    <t>v_dJVTlZWqYOs</t>
  </si>
  <si>
    <t>A man picks up a bowling ball and throws it down the lane at some pins.</t>
  </si>
  <si>
    <t>He falls onto the ground.</t>
  </si>
  <si>
    <t>The audience behind him applauds him.</t>
  </si>
  <si>
    <t>v_fsyMiHRW3z4</t>
  </si>
  <si>
    <t>A woman stands by a yellow hopscotch and talks to the camera.</t>
  </si>
  <si>
    <t>The woman plays hopscotch on the painted concrete.</t>
  </si>
  <si>
    <t>The woman talks to the camera once again.</t>
  </si>
  <si>
    <t>v_htKhaMfxxrM</t>
  </si>
  <si>
    <t>An opening scene with a child with a light saber deflecting lasers as they hit the wall to introduce a show.</t>
  </si>
  <si>
    <t>A man in a blue t-shirt and glasses is standing in front of an old telephone booth and explains to his followers on Youtube how he had gone to the hospital to fix a damaged knee from an arm wrestling match.</t>
  </si>
  <si>
    <t>Then a video is shown of the incident where he damaged his knee at an arm wrestling match as these two men sit at a table with a referee overlooking as the man in the glasses at the end of the match falls off his chair and walks off stage.</t>
  </si>
  <si>
    <t>v_wCGpPDYfs-s</t>
  </si>
  <si>
    <t>A band is playing music, while a woman in gray suit is singing, and behind her is a man in black suit is also singing, the guy in green shirt is playing the drum, the people in the big room are dancing and singing while others are sitting, two people are talking in one corner while the singing and dancing continue.</t>
  </si>
  <si>
    <t>The guy in green shirt plays the drums.</t>
  </si>
  <si>
    <t>v_mdJHGKABLhU</t>
  </si>
  <si>
    <t>A man and a woman are smiling in a picture.</t>
  </si>
  <si>
    <t>Someone holds a razor over a sink.</t>
  </si>
  <si>
    <t>A man with shaving cream on his beard starts shaving.</t>
  </si>
  <si>
    <t>The man continues shaving his beard.</t>
  </si>
  <si>
    <t>He wipes his face with a towel and smiles.</t>
  </si>
  <si>
    <t>v_m3AbqJNPn-o</t>
  </si>
  <si>
    <t>A young girl has her hair pulled back and glasses on as someone marks here cartilage.</t>
  </si>
  <si>
    <t>Once it is marked,she begins smiling at the camera.</t>
  </si>
  <si>
    <t>The man then grabs a pair of tweezers and clips the girl's ear.</t>
  </si>
  <si>
    <t>The earring is finally in and the girl begins to smile in approval and touches her other ear.</t>
  </si>
  <si>
    <t>v_nMK_jVy5ZuI</t>
  </si>
  <si>
    <t>Several clips are shown of athletes running down a large track into a pit of sand.</t>
  </si>
  <si>
    <t>More people are shown running down the track performing impressive jumps as well as celebrating afterwards.</t>
  </si>
  <si>
    <t>Several clips are shown of athletes running down the track as well as jumping over beams and waving to the audience.</t>
  </si>
  <si>
    <t>v_OMlpKhvmMpA</t>
  </si>
  <si>
    <t>A group of men are seen walking around a table filled with cups while laughing and smiling to one another.</t>
  </si>
  <si>
    <t>One man then jumps on the table and crashes it to the floor while others run around and laugh.</t>
  </si>
  <si>
    <t>v_IjFlVNAWQec</t>
  </si>
  <si>
    <t>A view is seen of people in the ocean.</t>
  </si>
  <si>
    <t>The waters are rough, splashing harshly against the rocks.</t>
  </si>
  <si>
    <t>The people are being knocked off their surfboards.</t>
  </si>
  <si>
    <t>v_ibIRzsC9NjY</t>
  </si>
  <si>
    <t>People are sitting on and riding camels outside.</t>
  </si>
  <si>
    <t>A person is walking and holding a string tied to the camel's face.</t>
  </si>
  <si>
    <t>A light brown liquid is being poured into small glasses.</t>
  </si>
  <si>
    <t>v_7wBrvMGZROQ</t>
  </si>
  <si>
    <t>A man is working out on bars.</t>
  </si>
  <si>
    <t>He has a weight attached to his belt.</t>
  </si>
  <si>
    <t>He goes up and down on the bars.</t>
  </si>
  <si>
    <t>v_g_cdSUwwk8Y</t>
  </si>
  <si>
    <t>We are shown the overgrown yard.</t>
  </si>
  <si>
    <t>A white truck is seen in a driveway.</t>
  </si>
  <si>
    <t>We see the cameraman's shadow.</t>
  </si>
  <si>
    <t>A person in blue is mowing the lawn.</t>
  </si>
  <si>
    <t>A person People are using leaf blowers.</t>
  </si>
  <si>
    <t>The camera pans to show the trees and the garden.</t>
  </si>
  <si>
    <t>v_xywGFiZ0hqs</t>
  </si>
  <si>
    <t>In introduction with show title and website is seen.</t>
  </si>
  <si>
    <t>A woman stands in bathroom and then places a contact lens into her eye.</t>
  </si>
  <si>
    <t>The woman then takes the contact lens back out of her eye.</t>
  </si>
  <si>
    <t>The woman shows a pair of tweezers and uses them to take the contact out of her eye instead.</t>
  </si>
  <si>
    <t>v_Amnp8434e90</t>
  </si>
  <si>
    <t>Various shots of windersurfers are shown on a large body of water with several people swimming off in the distance.</t>
  </si>
  <si>
    <t>The wake boarders ride back and fourth past each other and perform several tricks.</t>
  </si>
  <si>
    <t>The ride close to shore doing tricks one at a time.</t>
  </si>
  <si>
    <t>v_zTrI4pPFIlw</t>
  </si>
  <si>
    <t>He mounts, then proceeds to do many flips and handsprings.</t>
  </si>
  <si>
    <t>When he is finished, he dismounts.</t>
  </si>
  <si>
    <t>v_UtErFzrzcqk</t>
  </si>
  <si>
    <t>A girl hits a piñata blindfolded while the piñata goes up and down in a backyard.</t>
  </si>
  <si>
    <t>Then, the girl take off the cloth on her eyes and smile.</t>
  </si>
  <si>
    <t>v_pLJhoqTpAaI</t>
  </si>
  <si>
    <t>A tire for a bicycle spins, and a man catches it.</t>
  </si>
  <si>
    <t>We see a question written on paper, then a man in a bike shop as he talks.</t>
  </si>
  <si>
    <t>He demonstrates how to remove the rubber of a tire from the frame and replace it.</t>
  </si>
  <si>
    <t>He then talks to the camera a little longer.</t>
  </si>
  <si>
    <t>v_fMRgMeDs9Ck</t>
  </si>
  <si>
    <t>A mans hair is seen close up followed by a razor being used on the sides.</t>
  </si>
  <si>
    <t>A person is seen combing the person's hair while still using the trimmer.</t>
  </si>
  <si>
    <t>The man's head is also seen being shaven on the side.</t>
  </si>
  <si>
    <t>v_-zfOvigQLdA</t>
  </si>
  <si>
    <t>There's a lady swimmer diving into an indoor pool from a tall diving board while a small group of people are watching her perform.</t>
  </si>
  <si>
    <t>The diver stands in one position first to adjust her stance and then gradually steps forward on the diving board.</t>
  </si>
  <si>
    <t>She jumps up high and twists her body as she makes the jump.</t>
  </si>
  <si>
    <t>She ends up hurting herself on the back as she misjudges the distance from the diving board as she falls into the pool.</t>
  </si>
  <si>
    <t>v_Tcf9sOzU-7M</t>
  </si>
  <si>
    <t>Several different intros eventually leads into two men pointing on a field and getting ready for paintball.</t>
  </si>
  <si>
    <t>Then the men run throughout the field and attack each other with paintball guns.</t>
  </si>
  <si>
    <t>They run through the field quickly and attack one another using the paint gun.</t>
  </si>
  <si>
    <t>v_0kykNR9FUWU</t>
  </si>
  <si>
    <t>A girl gymnast in red sparkly leotard is doing gymnastics on a horse bar.</t>
  </si>
  <si>
    <t>She swiftly jumps and does handsprings and back flips on the horse bar.</t>
  </si>
  <si>
    <t>There is a panel of judges watching her in the stadium in Nanning, China.</t>
  </si>
  <si>
    <t>She continues to gracefully walk on the horse bar as she jumps and does a back flip right onto the ground and then walks away.</t>
  </si>
  <si>
    <t>v_sV8nkrbJIKE</t>
  </si>
  <si>
    <t>A close up of food is shown followed by a person putting various ingredients into a mug.</t>
  </si>
  <si>
    <t>They mix around the ingredients, put the mug in the microwave, and take it out in the end showing off the cake.</t>
  </si>
  <si>
    <t>v_79jhPh0PzWQ</t>
  </si>
  <si>
    <t>Someone hits a bat against two balls.</t>
  </si>
  <si>
    <t>The balls go to a loop in the ground.</t>
  </si>
  <si>
    <t>They split apart and go different distances.</t>
  </si>
  <si>
    <t>v_EoYvQ_pn8KE</t>
  </si>
  <si>
    <t>Two women sweep a floor together as a ball glides behind them.</t>
  </si>
  <si>
    <t>They sweep the floor again and one of the women stops for a second as her partner starts sweeping faster.</t>
  </si>
  <si>
    <t>They sweep the floor again with one woman furiously sweeping towards the end as her partner stops for a second and looks up.</t>
  </si>
  <si>
    <t>v_EAp9xQx2o6k</t>
  </si>
  <si>
    <t>People warm out raising the hands and bending.</t>
  </si>
  <si>
    <t>Then, people work out doing stepper workout putting a feet each time.</t>
  </si>
  <si>
    <t>After, people turn before step on the stepper.</t>
  </si>
  <si>
    <t>v_3zjhYw-TVQw</t>
  </si>
  <si>
    <t>There's a man in a blue shirt and beige pants sitting in front yard on brown mulch talking about lawn and garden care.</t>
  </si>
  <si>
    <t>He points to the brown mulch and the shrub near him as he explains the do's and don'ts about lawn care.</t>
  </si>
  <si>
    <t>v_Z3DhUZhoRDA</t>
  </si>
  <si>
    <t>Wall paper on a wall is shown.</t>
  </si>
  <si>
    <t>A person puts a piece of wax paper on the wall paper.</t>
  </si>
  <si>
    <t>They run a brush down the front of the paper.</t>
  </si>
  <si>
    <t>v_3HUoSa_3vpc</t>
  </si>
  <si>
    <t>We see a bartender behind a bar add ice to a glass.</t>
  </si>
  <si>
    <t>The man pours three liquors into a glass and shakes it up.</t>
  </si>
  <si>
    <t>The man pours it in a glass and adds soda.</t>
  </si>
  <si>
    <t>The man squeezes a lemon, stirs in the glass and transfers it to a smaller glass.</t>
  </si>
  <si>
    <t>The man adds a straw and presents the glass to us.</t>
  </si>
  <si>
    <t>v_uWWo9qZh3cU</t>
  </si>
  <si>
    <t>News anchors introduce a clip sitting at a desk in a newsroom.</t>
  </si>
  <si>
    <t>President Obama introduces and interviews a band playing on stage.</t>
  </si>
  <si>
    <t>President Clinton plays the saxophone on stage with a band.</t>
  </si>
  <si>
    <t>President George Bush dances with an African drum player and other diplomats.</t>
  </si>
  <si>
    <t>v_X5Dsemc20pg</t>
  </si>
  <si>
    <t>A man is seen speaking to the camera while presenting various liquids and ingredients.</t>
  </si>
  <si>
    <t>The man mixes ingredients into a glass with fruit for several drinks while stopping to have a drink.</t>
  </si>
  <si>
    <t>He continues making more drinks using different ingredients and speaking to the camera.</t>
  </si>
  <si>
    <t>v_6SFW4g4UVKI</t>
  </si>
  <si>
    <t>A man's face is moving back and forth.</t>
  </si>
  <si>
    <t>The man is shining a shoe.</t>
  </si>
  <si>
    <t>v_ys3NrLuOxMs</t>
  </si>
  <si>
    <t>Green text explains several rules of the game.</t>
  </si>
  <si>
    <t>A man and a boy practice lay ups together, and the coach shows his point of view.</t>
  </si>
  <si>
    <t>They demonstrate a couple of different moves.</t>
  </si>
  <si>
    <t>v_iPk4GeFFcTQ</t>
  </si>
  <si>
    <t>An athletic man is seen running down a long track and throwing a javelin off into the distance with others measuring his throw.</t>
  </si>
  <si>
    <t>The man walks away and high fives a man in the crowd while his score is shown and another steps up to the side.</t>
  </si>
  <si>
    <t>v_gdi_m9LjRAw</t>
  </si>
  <si>
    <t>A man is standing outside holding a chainsaw.</t>
  </si>
  <si>
    <t>He starts cutting down a tree next to him.</t>
  </si>
  <si>
    <t>He stands next to the tree talking.</t>
  </si>
  <si>
    <t>v_wUsmKmxxHYQ</t>
  </si>
  <si>
    <t>A woman is seen speaking to the camera while a woman swims back and fourth in the pool behind her.</t>
  </si>
  <si>
    <t>Clips are then shown close up on how to perform proper swimming techniques while the camera interments with the woman speaking.</t>
  </si>
  <si>
    <t>v_fhtNAMK0Vqk</t>
  </si>
  <si>
    <t>A man wearing a cowboy hat, sunglasses and yellow latex gloves is standing next to a horse in a stable.</t>
  </si>
  <si>
    <t>He is using a blow dryer to dry the horse's wet body.</t>
  </si>
  <si>
    <t>He moves the blow dryer back and forth all over the horse's back to dry it.</t>
  </si>
  <si>
    <t>He is also uses a scrubbing brush on the horse's back to clean the horse.</t>
  </si>
  <si>
    <t>v_o6lTgyb_AkM</t>
  </si>
  <si>
    <t>A painter demonstrates various art pieces in her studio.</t>
  </si>
  <si>
    <t>She sits in her studio, speaking.</t>
  </si>
  <si>
    <t>She grabs a paintbrush and dips it into black paint repeatedly, as she paints a black tree.</t>
  </si>
  <si>
    <t>She grabs a sponge and dips it into green and blue paint while painting the leaves on the tree.</t>
  </si>
  <si>
    <t>She moves on to grab the paintbrush and dips it into black paint repeatedly, and moves on to paint another tree.</t>
  </si>
  <si>
    <t>With the same paint brush, this time dipping it into green paint, she paints the pines of three.</t>
  </si>
  <si>
    <t>She finishes her painting and speaks for a bit.</t>
  </si>
  <si>
    <t>v_zCcUwVzaEac</t>
  </si>
  <si>
    <t>A man sits on a track and talks as he is interviewed.</t>
  </si>
  <si>
    <t>Two men in red walk up the bleachers and one stops to talk to someone.</t>
  </si>
  <si>
    <t>A group of women walk behind the man being interviewer.</t>
  </si>
  <si>
    <t>v_Bm6HrokioXU</t>
  </si>
  <si>
    <t>A man is seen standing around with a large group of kids and leads into the kids play dodgbeall in a large gymnasium.</t>
  </si>
  <si>
    <t>A woman is seen speaking to the camera while more shots of the game are shown and the man speaking to the kids.</t>
  </si>
  <si>
    <t>They are all seen sitting together and the man interviews the kids in a classroom.</t>
  </si>
  <si>
    <t>v_D5EgASje8MQ</t>
  </si>
  <si>
    <t>Lawrence Welk is playing an accordion and directing his band.</t>
  </si>
  <si>
    <t>He is joined by another accordion player.</t>
  </si>
  <si>
    <t>The band stands up to plan and the camera goes back and forth between the accordion players and the band.</t>
  </si>
  <si>
    <t>They continue to play the accordions with the band behind them.</t>
  </si>
  <si>
    <t>v_w6xH78z3l08</t>
  </si>
  <si>
    <t>A man is seen speaking to the camera in front of a car and begins taking a hubcap off.</t>
  </si>
  <si>
    <t>He slides the pieces off of the tire.</t>
  </si>
  <si>
    <t>Finally he puts the hubcap back in place.</t>
  </si>
  <si>
    <t>v_xdl0lyO9ub0</t>
  </si>
  <si>
    <t>A man ina shirt that says beast mode is making a video on what the best free workouts to do without a gym are.</t>
  </si>
  <si>
    <t>He has a weight bar with no weight and he bends over a certain way.</t>
  </si>
  <si>
    <t>He shows you how to use the weight bar for different weight lifting positions.</t>
  </si>
  <si>
    <t>Once he is done with the weight bar he stands back and talks about it all.</t>
  </si>
  <si>
    <t>v_vruB4ViPGuE</t>
  </si>
  <si>
    <t>People are sitting on a bench.</t>
  </si>
  <si>
    <t>A man is drinking from a coffee cup.</t>
  </si>
  <si>
    <t>A woman is drinking from a coffee cup.</t>
  </si>
  <si>
    <t>v_DF8nlagyN6k</t>
  </si>
  <si>
    <t>Two people are on a white slab and they begin fencing one another.</t>
  </si>
  <si>
    <t>There are constant stops and the boy closest to the camera keeps winning.</t>
  </si>
  <si>
    <t>Both of them keep being reset but the outcome is no different and the lady on the side keeps walking back and forth clicking a black button.</t>
  </si>
  <si>
    <t>v_2_Tgrk8iJpE</t>
  </si>
  <si>
    <t>An indoor court is filled with people wearing uniforms and playing dodgeball throwing the balls to either side of the team.</t>
  </si>
  <si>
    <t>A slow motion replay of a dodgeball being thrown and caught is replayed.</t>
  </si>
  <si>
    <t>A man quickly throws a ball and his target catches it, he turns around and walks with his right up straight up in the air while the rest of the players continue to play.</t>
  </si>
  <si>
    <t>A still shot picture of a man holding two balls and black words scrolling from the bottom to the top with the word and number "JARDINE 77" is at the top.</t>
  </si>
  <si>
    <t>v_K5_Rm4MfF9o</t>
  </si>
  <si>
    <t>A man is swimming backward in lake water.</t>
  </si>
  <si>
    <t>The two men shown begin water skiing.</t>
  </si>
  <si>
    <t>They lose their gopro device, and have to scuba to find it, taking more than two weeks to locate the still working device.</t>
  </si>
  <si>
    <t>v_sRMrtzg0nwU</t>
  </si>
  <si>
    <t>Various shots of strings are shown followed by knitting supplies and people knitting in a library.</t>
  </si>
  <si>
    <t>The woman give a small child knit wear and demonstrate how they properly knit to the young girl.</t>
  </si>
  <si>
    <t>v_9DVsv84awMg</t>
  </si>
  <si>
    <t>"EPBF Millennium Series" appears on screen.</t>
  </si>
  <si>
    <t>Opened end of vehicle appears with "www paint-supply net" printed on bumper while tools are placed inside.</t>
  </si>
  <si>
    <t>The car drives down a dark black road with photoshopped objects popping up on either side.</t>
  </si>
  <si>
    <t>The end of the road appears with the word "Paintball FAILs" above it and pictures of paintball below it.</t>
  </si>
  <si>
    <t>The words "Friendly Fire" appear.</t>
  </si>
  <si>
    <t>A group of people play paintball on a grassy field with inflatable obstacles.</t>
  </si>
  <si>
    <t>The words "Stupid Hopper" appear.</t>
  </si>
  <si>
    <t>People once again play paintball on the field.</t>
  </si>
  <si>
    <t>The words "1/3 Lauf" appear.</t>
  </si>
  <si>
    <t>People again play paintball on the field.</t>
  </si>
  <si>
    <t>The word "Fehlstart" appears on screen.</t>
  </si>
  <si>
    <t>People play paintball on the field.</t>
  </si>
  <si>
    <t>Contact information for Paint Supply GmbH appears.</t>
  </si>
  <si>
    <t>v_dRRht9vdYDE</t>
  </si>
  <si>
    <t>There are a few older gentlemen playing a game on ice.</t>
  </si>
  <si>
    <t>They have a coach to help them and he talks about how to curl.</t>
  </si>
  <si>
    <t>He talks about the steps and how to get in the hack, even demonstrating.</t>
  </si>
  <si>
    <t>He seems pretty professional walking on the ice with his shoes on while demonstrating.</t>
  </si>
  <si>
    <t>v_uhAIe9rcjSo</t>
  </si>
  <si>
    <t>A close up is seen of a metal double sink.</t>
  </si>
  <si>
    <t>Then we see two bowls with powder and a cut lime.</t>
  </si>
  <si>
    <t>A woman uses the lime dipped in powder to scrub and then rinse the sink before drying it off, showing off a perfecting clean sink.</t>
  </si>
  <si>
    <t>v_TCcopbAANQ0</t>
  </si>
  <si>
    <t>A person is assembling a bike on a white cloth.</t>
  </si>
  <si>
    <t>They put on a blue apron and gloves.</t>
  </si>
  <si>
    <t>They put handle bars on the bike.</t>
  </si>
  <si>
    <t>v_cAGABdvv5u8</t>
  </si>
  <si>
    <t>two men are riding a water bike in a sea while a big wave is behind them.</t>
  </si>
  <si>
    <t>a lot of scenes of people surfing on big waves on the sea and a city is in the background.</t>
  </si>
  <si>
    <t>v_KjbZvsu0OxE</t>
  </si>
  <si>
    <t>A dog is seen wandering around a yard as well as a man speaking to the camera.</t>
  </si>
  <si>
    <t>The dog moves around the area while the man continues to speak to the camera.</t>
  </si>
  <si>
    <t>The dog runs back and fourth while the camera zooms in on his face.</t>
  </si>
  <si>
    <t>v_YQiTt8b6N60</t>
  </si>
  <si>
    <t>A close up is shown of a woman's eyes.</t>
  </si>
  <si>
    <t>She is sitting on a rock, then biking, then adorning scuba gear.</t>
  </si>
  <si>
    <t>She dives, swimming alongside tropical fish and a nursing shark.</t>
  </si>
  <si>
    <t>She is finally shown wearing sunglasses, smiling and laughing.</t>
  </si>
  <si>
    <t>v_CoHVA7nr82A</t>
  </si>
  <si>
    <t>A man holds a welding device and adjusts it while showing his work area.</t>
  </si>
  <si>
    <t>The welder is held over a steel plate and moved slowly.</t>
  </si>
  <si>
    <t>The man pulls the welder over a copper colored piece of metal.</t>
  </si>
  <si>
    <t>The man puts down his face guard and welds a spot on a piece of metal.</t>
  </si>
  <si>
    <t>The man stops for a break.</t>
  </si>
  <si>
    <t>The man welds a line into a piece of material.</t>
  </si>
  <si>
    <t>The man holds up a hammer chisel over the bar of metal and chips off some pieces.</t>
  </si>
  <si>
    <t>the man uses a wire brush to clean the metal.</t>
  </si>
  <si>
    <t>v_bV_X5E1-T50</t>
  </si>
  <si>
    <t>A girl is sitting and smoking cigarettes.</t>
  </si>
  <si>
    <t>Johnny cash is playing in the background and she has a drink in her hand.</t>
  </si>
  <si>
    <t>She stares into the camera while taking puffs on her cigarette.</t>
  </si>
  <si>
    <t>She fixes her hair a bit while looking into the camera.</t>
  </si>
  <si>
    <t>She smiles into the camera and leans closer.</t>
  </si>
  <si>
    <t>v_G-fsWVYrAgc</t>
  </si>
  <si>
    <t>A woman stands on front a table with baby products, then the woman rolls up diapers and puts around a circular container with a ribbon.</t>
  </si>
  <si>
    <t>After, the woman puts diapers around a folded towel with a ribbon.</t>
  </si>
  <si>
    <t>Next, the woman fills the circular container with baby products and put on top the towel, a plush and a bottle.</t>
  </si>
  <si>
    <t>v_WW0Sm6oDc9M</t>
  </si>
  <si>
    <t>A boy picks up a bowling ball and runs down the lane.</t>
  </si>
  <si>
    <t>He dives into the pins at the end.</t>
  </si>
  <si>
    <t>He runs back and falls onto the lane.</t>
  </si>
  <si>
    <t>v_i0rC2mfp7mI</t>
  </si>
  <si>
    <t>A man dressed in all black and a mask on is outside in a public place playing and instrument with bags in the middle and small keyboard on the outside of it.</t>
  </si>
  <si>
    <t>As he plays,multiple people walk by continuing on with their life.</t>
  </si>
  <si>
    <t>None of them acknowledge him and the hat in front of hi remains empty.</t>
  </si>
  <si>
    <t>v_8w9pf_Ecm_U</t>
  </si>
  <si>
    <t>Two girls holding pom poms perform a dance routine in a gymnasium.</t>
  </si>
  <si>
    <t>Several people are shown watching in the background while the girls continue to do flexible moves.</t>
  </si>
  <si>
    <t>The grab canes and continue spinning the canes while doing splits and various other dance moves.</t>
  </si>
  <si>
    <t>v_LNKdVrX_0Fg</t>
  </si>
  <si>
    <t>A woman wearing overalls is talking to the camera.</t>
  </si>
  <si>
    <t>She lays out wrapping paper, showing how to wrap a toy in it.</t>
  </si>
  <si>
    <t>She wraps it around the toy, then tapes it up.</t>
  </si>
  <si>
    <t>v_I6gc2AjcYOY</t>
  </si>
  <si>
    <t>We see a lady washing a white towel in a sink.</t>
  </si>
  <si>
    <t>The lady lifts the towel up.</t>
  </si>
  <si>
    <t>The lady picks something up off the floor.</t>
  </si>
  <si>
    <t>The lady wrings out the towel in the sink.</t>
  </si>
  <si>
    <t>the lady then walks away.</t>
  </si>
  <si>
    <t>v_b87ec6jTm_M</t>
  </si>
  <si>
    <t>We see a black screen with the intro.</t>
  </si>
  <si>
    <t>We see people in blue playing drums.</t>
  </si>
  <si>
    <t>A title screen appears and we see another team.</t>
  </si>
  <si>
    <t>Another title screen and a team with a man jumping a ribbon.</t>
  </si>
  <si>
    <t>The title appears twice and we see a red team.</t>
  </si>
  <si>
    <t>The title screen returns and we see a team in purple.</t>
  </si>
  <si>
    <t>The title returns 3 times and people are outdoors practicing.</t>
  </si>
  <si>
    <t>We see people perform in front of a crowd.</t>
  </si>
  <si>
    <t>We see a bunch of quick shots of teams, then the ending screen.</t>
  </si>
  <si>
    <t>v_w9cJ3FNGw_U</t>
  </si>
  <si>
    <t>A cowboy on a horse is released from a gate.</t>
  </si>
  <si>
    <t>He lassos a little calf.</t>
  </si>
  <si>
    <t>He dismounts, then ties the calf.</t>
  </si>
  <si>
    <t>v_LxLvhGHwca8</t>
  </si>
  <si>
    <t>Several people are seen wandering around a dark city while wearing stilts on their feet to walk.</t>
  </si>
  <si>
    <t>The people continue walking and jumping around on the stilts while waving to the camera and sitting on the ground.</t>
  </si>
  <si>
    <t>v_27Pg4wHah2I</t>
  </si>
  <si>
    <t>A man is seated at a piano, looking confused as he plays and an elderly woman watches.</t>
  </si>
  <si>
    <t>He speeds his playing as she stands.</t>
  </si>
  <si>
    <t>The audience looks perplexed and amused, dancing in place.</t>
  </si>
  <si>
    <t>The people get up and dance to the music.</t>
  </si>
  <si>
    <t>He then walks away with his arm in a woman's.</t>
  </si>
  <si>
    <t>v_UzCeMCr0lM8</t>
  </si>
  <si>
    <t>A woman peels a potatoes in a rustic kitchen.</t>
  </si>
  <si>
    <t>Then, the woman takes another potatoes and peels it with a knife.</t>
  </si>
  <si>
    <t>After, the woman puts the potatoe on adish.</t>
  </si>
  <si>
    <t>v_YnG1Uhh2h5E</t>
  </si>
  <si>
    <t>Two young man and a man play pool hitting white balls with a cue stick.</t>
  </si>
  <si>
    <t>The young man hits balls that land in the pocket of the pool table.</t>
  </si>
  <si>
    <t>Then, the man puts the balls in a metal triangle and arrange others balls.</t>
  </si>
  <si>
    <t>After, the young man strikes the white ball but immidiately stop it with the cue sticks.</t>
  </si>
  <si>
    <t>Next, the young man strikes the balls and sends a white ball to a pocket.</t>
  </si>
  <si>
    <t>The man strikes a white ball and send balls in the pocket.</t>
  </si>
  <si>
    <t>At the end, the young man puts the ball inside a metal triangle.</t>
  </si>
  <si>
    <t>v_rDWa3Z2IaIw</t>
  </si>
  <si>
    <t>Three girls are standing together on a green floor talking with one another about a sport.</t>
  </si>
  <si>
    <t>One person is then shown playing Field hockey and then comes back to talk about what she has just done.</t>
  </si>
  <si>
    <t>Next,they go over the correct ways to defend the ball and then they all begin talking one by one about the sport again.</t>
  </si>
  <si>
    <t>After,a screen appears with the question,"What if the game is tied?"and the young lady goes into detail for the answer.</t>
  </si>
  <si>
    <t>Finally the questions are answered and they all come back together and close out the video.</t>
  </si>
  <si>
    <t>v_fo0gFCcKdtg</t>
  </si>
  <si>
    <t>People are paddling canoes in an indoor pool.</t>
  </si>
  <si>
    <t>A boy paddles a canoe.</t>
  </si>
  <si>
    <t>The boy leans to the side, and the canoe flips over.</t>
  </si>
  <si>
    <t>The boy swims to the surface of the water.</t>
  </si>
  <si>
    <t>v_B69Fkd_L9gA</t>
  </si>
  <si>
    <t>There's man standing on his deck that is covered with snow.</t>
  </si>
  <si>
    <t>He is getting ready to get into his hot tub on his deck.</t>
  </si>
  <si>
    <t>He walks bare foot through the snow to get into his hot tub.</t>
  </si>
  <si>
    <t>He begins to shovel the snow off the deck to make it easier for him to walk.</t>
  </si>
  <si>
    <t>He clears the snow from the deck to create a pathway to the hot tub.</t>
  </si>
  <si>
    <t>v_jTChoOFb05w</t>
  </si>
  <si>
    <t>Various shots of landscapes are shown as well as people driving and other's being interviewed.</t>
  </si>
  <si>
    <t>Several shots of people on the beach are shown and leads into people playing various sports on the beach.</t>
  </si>
  <si>
    <t>The people play back and fourth while others interview and many watch on the sides.</t>
  </si>
  <si>
    <t>v_Qp_zbvHLwLk</t>
  </si>
  <si>
    <t>A woman is seen pushing a lawn mower along a yard and stopping to pull the string and get it going.</t>
  </si>
  <si>
    <t>The woman continues pushing the mower along the lawn and moving back to where she started.</t>
  </si>
  <si>
    <t>v_Lr-FutvMXoA</t>
  </si>
  <si>
    <t>A person is pole volting over a beam followed by several more clips of people jumping.</t>
  </si>
  <si>
    <t>More people are shown using the bar to pole volt over a beam.</t>
  </si>
  <si>
    <t>v_wr2FC2P3hIs</t>
  </si>
  <si>
    <t>A row of clippers,brushes,and razors are being shown.</t>
  </si>
  <si>
    <t>Shortly after,the front of the building is shown and the name on the plaza is shown.</t>
  </si>
  <si>
    <t>A man with long curly hair is shown sitting in the barbershop getting his hair down and the barber is using a combination of scissors,brushes, and blow dryers to complete the look.</t>
  </si>
  <si>
    <t>Once done, a still image of the barber and his information is shown for advertisement.</t>
  </si>
  <si>
    <t>v_rMevLL0KHzc</t>
  </si>
  <si>
    <t>A person is seen riding on a horse around others while speaking to other people and kids holding up a sign.</t>
  </si>
  <si>
    <t>The kids continue to hold signs and look to the camera while more people ride around on horses.</t>
  </si>
  <si>
    <t>More clips are shown of people riding horses and kids wearing helmets.</t>
  </si>
  <si>
    <t>v_hEoASC7qC28</t>
  </si>
  <si>
    <t>A man is sitting in the water holding a rope.</t>
  </si>
  <si>
    <t>He gets up and starts wake boarding.</t>
  </si>
  <si>
    <t>He falls back into the water.</t>
  </si>
  <si>
    <t>v_vX0xxYxGj-4</t>
  </si>
  <si>
    <t>Two lines of people stand over a long rope.</t>
  </si>
  <si>
    <t>Each line picks up the rope and starts playing tug rope while a large crowd watches.</t>
  </si>
  <si>
    <t>The team wearing light blue shirts wins the round.</t>
  </si>
  <si>
    <t>v_JQ3mObvro1s</t>
  </si>
  <si>
    <t>A white intro screen appears with small circle pictures of a man at the upper left, a woman at the bottom right, and the words "HOOKED ON RUNNING Smart training for busy women" in the middle.</t>
  </si>
  <si>
    <t>A woman wearing a hat, glasses and a long sleeved hot pink top is standing in front of a brick wall and talking.</t>
  </si>
  <si>
    <t>The woman is now standing behind a table and is putting crumpled up papers into a running shoe and stuffing it as much as she can.</t>
  </si>
  <si>
    <t>The woman then grabs a pink sole from the shoe and pours baking soda all over the top.</t>
  </si>
  <si>
    <t>The woman then grabs a toothbrush and the show she just stuffed and motions scrubbing but doesn't really do it, then puts both the toothbrush and the shoe out of sight.</t>
  </si>
  <si>
    <t>The woman grabs another pair of shoes, the right shoe is unlaced and the left shoe is laced and she's holding onto them then puts them down.</t>
  </si>
  <si>
    <t>v_uXPm6SMQH1M</t>
  </si>
  <si>
    <t>A black horse is standing in a stable with several yellow things on his hair.</t>
  </si>
  <si>
    <t>A woman then appears and begin shaving off all of the horse's hair.</t>
  </si>
  <si>
    <t>The side is completely gone and when she moves from the back she goes underneath his body to remove that hair as well.</t>
  </si>
  <si>
    <t>v_Z8QrA66UVzI</t>
  </si>
  <si>
    <t>A man is seen standing in front of a window speaking to the camera while wearing a headpiece.</t>
  </si>
  <si>
    <t>The man then brushes along the sides of the window and points back and fourth to the window while speaking to the camera.</t>
  </si>
  <si>
    <t>v_f3spxjpfuxM</t>
  </si>
  <si>
    <t>A man is shown speaking to the camera then kneels down and presses carpet down with a tool.</t>
  </si>
  <si>
    <t>He then screws in the stairs and kneel down while still speaking to the camera.</t>
  </si>
  <si>
    <t>v_meMZuh8iNDs</t>
  </si>
  <si>
    <t>A woman talks and shows her long French braid.</t>
  </si>
  <si>
    <t>Then, the woman lie on the bed and brush her hair on the border of the bed.</t>
  </si>
  <si>
    <t>Then, the woman takes a lock of front hair and braid taking hair from sides.</t>
  </si>
  <si>
    <t>Then, the woman shows the braid while continues talking.</t>
  </si>
  <si>
    <t>v_L5nqeFWufrE</t>
  </si>
  <si>
    <t>There's a diver participating in an event in a large stadium in lots of spectators.</t>
  </si>
  <si>
    <t>He is jumping off the dash board and diving into the deep swimming pool.</t>
  </si>
  <si>
    <t>While diving he accidentally bumps his head on the diving board and injures himself.</t>
  </si>
  <si>
    <t>He expresses pain as he gets off the pool and his coach comes to help him.</t>
  </si>
  <si>
    <t>The second time when the diver dives, he manages to successfully make it into the swimming pool without injuries.</t>
  </si>
  <si>
    <t>Another historic diving event is shown where the diver accidentally hurts his head on the diving board while diving into the pool.</t>
  </si>
  <si>
    <t>v_oJCB2Zglcq4</t>
  </si>
  <si>
    <t>A small group of people are seen standing inside a fenced in area with a man sitting on a horse.</t>
  </si>
  <si>
    <t>The man rides into the pit and chases a calf with a rope.</t>
  </si>
  <si>
    <t>The man ties up the calf after it's caught and climbs back on the horse while another unties the calf.</t>
  </si>
  <si>
    <t>v_r4bI22hGTg4</t>
  </si>
  <si>
    <t>There are kids bouncing in trampolines.</t>
  </si>
  <si>
    <t>Several kids are jumping up and down.</t>
  </si>
  <si>
    <t>The camera is very shaky.</t>
  </si>
  <si>
    <t>v_ZsXJw0d3QbU</t>
  </si>
  <si>
    <t>They begin going and bumping into each other.</t>
  </si>
  <si>
    <t>People are standing behind the gate watching them.</t>
  </si>
  <si>
    <t>A man in a blue shirt is walking in front of them.</t>
  </si>
  <si>
    <t>v_STaS53CNlZI</t>
  </si>
  <si>
    <t>An intro that's a blue screen with white words that read "MegaZip Sentosa dot Singapore dot November 2010" appear on the screen.</t>
  </si>
  <si>
    <t>Four people appear near a railing where they are all attached to harnesses.</t>
  </si>
  <si>
    <t>A man puts his hand on the woman's shoulder and guides her to the opening where she is to leave but a blue screen appears with the white words say "yes",then it goes back to the woman getting ready to jump and she bends her knees and a blue screen appears and say's "no", and she shakes her head and backs away.</t>
  </si>
  <si>
    <t>A blue screen appears again and it says "OK Maybe"and the woman once again gets ready to jump at the opening and at the same time the other man who is attached to the harness is also ready to go.</t>
  </si>
  <si>
    <t>A blue screen appears that say's "no" but the woman and the man do let go and they go zip lining across the heavily tree green forest below and a blue screen appears again and say's "I Think She Said Yes?".</t>
  </si>
  <si>
    <t>A new group is now harnessed and they are filmed taking their turns going down the zip line and the man holding the camera turns it to himself to reveal a close up shot of his smiling face as well as the scenery around him which include the forest below them and the beach at the ending point.</t>
  </si>
  <si>
    <t>They reach the end of the zip line and the worker begins to pull them to the landing point where a close up of the worker appears and he also has a big smile on his face while he other zip liners are standing there and smiling as well.</t>
  </si>
  <si>
    <t>The view changes to ground view and it shows what the zip liners look like from the ground.</t>
  </si>
  <si>
    <t>The blue outro appears and the words "Sentosa MegaZip November 2010 The End" are displayed.</t>
  </si>
  <si>
    <t>v_goSGYjLTGnQ</t>
  </si>
  <si>
    <t>A young male dressed in an red jumpsuit is on the stage break dancing.</t>
  </si>
  <si>
    <t>Once he is finished,a group of guys swarm him and they all point to another boy so he can take the stage.</t>
  </si>
  <si>
    <t>The boy comes along and starts flipping and doing a variation of the robot.</t>
  </si>
  <si>
    <t>All of the men behind him then become his background dancers as the boy takes a microphone and begins singing.</t>
  </si>
  <si>
    <t>v_Ej_a4iCd45I</t>
  </si>
  <si>
    <t>We see the title cards on blue.</t>
  </si>
  <si>
    <t>We see men playing beach volleyball.</t>
  </si>
  <si>
    <t>We see an interview with a man.</t>
  </si>
  <si>
    <t>Two men high five each other the men all trade sides.</t>
  </si>
  <si>
    <t>The ball lands on the ground.</t>
  </si>
  <si>
    <t>A man kicks the ball to the other side.</t>
  </si>
  <si>
    <t>A man jumps and spins in the air.</t>
  </si>
  <si>
    <t>The man in gray daces as the other men jump around.</t>
  </si>
  <si>
    <t>The men pose for a photo.</t>
  </si>
  <si>
    <t>The title card is shown and we fade out.</t>
  </si>
  <si>
    <t>v_QfUTGmlNO1s</t>
  </si>
  <si>
    <t>A clip of an old tv show is shown with a woman washing dishes and a young girl stepping into frame.</t>
  </si>
  <si>
    <t>The woman hands the girl a glass of water and is shown again in various angles, ending with a woman washing clothes.</t>
  </si>
  <si>
    <t>v_JWb0-VdfZI4</t>
  </si>
  <si>
    <t>A small child is seen standing on the sidewalk and looking off into the distance.</t>
  </si>
  <si>
    <t>The girl then throws the rock and begins playing a game of hopscotch.</t>
  </si>
  <si>
    <t>She throws and hops several times while stopping to look to the camera.</t>
  </si>
  <si>
    <t>v_YFTQImGp_nY</t>
  </si>
  <si>
    <t>A television announcer claps on her legs while singing introducing a show.</t>
  </si>
  <si>
    <t>A group of dancers in colorful costumes do an dance act with hula hoops.</t>
  </si>
  <si>
    <t>The audience is seen and members clap for the group.</t>
  </si>
  <si>
    <t>The older members of the group hold up poles for the children dancing to swing from.</t>
  </si>
  <si>
    <t>The hula hoop dancers get even more hoops for the finale.</t>
  </si>
  <si>
    <t>Confetti rains from the air onto the performers.</t>
  </si>
  <si>
    <t>The announcer stands up and claps for the group.</t>
  </si>
  <si>
    <t>v_rCwolEeHY80</t>
  </si>
  <si>
    <t>A man sits with shears resting in hand in a rose garden.</t>
  </si>
  <si>
    <t>The man clips dead roses from a rose bush with shears.</t>
  </si>
  <si>
    <t>The man clips whole branches near the base of the rose bushes.</t>
  </si>
  <si>
    <t>Dying rose bush leaves a seen up close.</t>
  </si>
  <si>
    <t>Healthy rose bush leaves are seen up close.</t>
  </si>
  <si>
    <t>v_boqfpo3YAps</t>
  </si>
  <si>
    <t>Several pictures are shown of a woman standing by herself as well as with friends.</t>
  </si>
  <si>
    <t>Video footage is then shown of her running alongside a large group of people while many watch on the sides.</t>
  </si>
  <si>
    <t>More pictures are shown of her finishing the race as well as others.</t>
  </si>
  <si>
    <t>v_bEt8fGREAAA</t>
  </si>
  <si>
    <t>A man with a saxaphone around his neck talks to the camera in a dim room.</t>
  </si>
  <si>
    <t>The camera changes like a box spinning.</t>
  </si>
  <si>
    <t>The man looks around then he is playing his saxophone.</t>
  </si>
  <si>
    <t>A website a person the screen in the lower left corner and the screen fades.</t>
  </si>
  <si>
    <t>v_sYJgYpQknw0</t>
  </si>
  <si>
    <t>The front of a large brown building with snow in front of it is shown.</t>
  </si>
  <si>
    <t>In the inside,there is a ping pong table and two adult males begin walking towards each other.</t>
  </si>
  <si>
    <t>They then begin playing ping pong with nun-chucks and using their feet to hit the ball.</t>
  </si>
  <si>
    <t>As the game progresses,more balls are added and they continue to play without missing one ball.</t>
  </si>
  <si>
    <t>The game intensifies and the man on the right misses the ball and the man congratulates himself.</t>
  </si>
  <si>
    <t>v_3YDQ9wZtIgw</t>
  </si>
  <si>
    <t>A large group of people are seen running around a field playing a game of lacrosse with one another.</t>
  </si>
  <si>
    <t>The players run up and down the field while the camera captures their movements.</t>
  </si>
  <si>
    <t>The men continue playing around one another while people watch on the side and cheer them on.</t>
  </si>
  <si>
    <t>v_C9yUg3e1dEg</t>
  </si>
  <si>
    <t>A man is lifting a large weight over his head several times.</t>
  </si>
  <si>
    <t>A woman walks in front of him.</t>
  </si>
  <si>
    <t>A man in a black shirt stands behind him.</t>
  </si>
  <si>
    <t>v_ybcStSlBGPc</t>
  </si>
  <si>
    <t>A lighted jack-o-lantern comes into focus.</t>
  </si>
  <si>
    <t>The jack-o-lantern moves towards the camera.</t>
  </si>
  <si>
    <t>A young woman is talking very animatedly in front of a white wall.</t>
  </si>
  <si>
    <t>The woman holds a small pumpkin in her hand while talking.</t>
  </si>
  <si>
    <t>The woman holds up a piece of paper with some stickers on it.</t>
  </si>
  <si>
    <t>The pumpkin is seen moving on it's own on a table with a black tablecloth.</t>
  </si>
  <si>
    <t>The pumpkin spins around showing some cartoon faces.</t>
  </si>
  <si>
    <t>An animation of a knife stabs the pumpkin and a cat runs back and forth next to the table.</t>
  </si>
  <si>
    <t>The pumpkin is replaced with other objects one at a time, a knife, a spoon, a candle, etc.</t>
  </si>
  <si>
    <t>The woman is wearing a sticker of a mustache on her face and draws on the small pumpkin with a black felt pen.</t>
  </si>
  <si>
    <t>The woman holds a knife and begins carving the pumpkin along the lines she drew.</t>
  </si>
  <si>
    <t>The woman scoops out the pumpkin seeds with a spoon and puts the seeds in a Halloween themed paper cup.</t>
  </si>
  <si>
    <t>The woman continues carving the face of the pumpkin to turn it into a jack-o-lantern.</t>
  </si>
  <si>
    <t>The woman cleans up the face of the jack-o-lantern with a towel and places the top with the stem back on.</t>
  </si>
  <si>
    <t>The woman places the candle inside the jack-o-lantern.</t>
  </si>
  <si>
    <t>The woman flicks on a disposable lighter.</t>
  </si>
  <si>
    <t>The lighted jack-o-lantern is seen once again moving on it's own on the black table.</t>
  </si>
  <si>
    <t>The video ends and shows a split screen with samples from three other videos the woman has made, with a "Subscribe" button in the middle.</t>
  </si>
  <si>
    <t>v_weB3srg6o4c</t>
  </si>
  <si>
    <t>man is sitting in a handwash and another man enters in the bathrrom and start a conversation.</t>
  </si>
  <si>
    <t>man is spreading toothpaste in toothbrush and wash their tooth.</t>
  </si>
  <si>
    <t>v_EE1UoJSNyms</t>
  </si>
  <si>
    <t>A man rakes leaves from the yard into a pile and dumps them in a metal trash bin.</t>
  </si>
  <si>
    <t>The man puts his tools away in the shed and carries away a bag of leaves.</t>
  </si>
  <si>
    <t>v_w2zTEQMg_v0</t>
  </si>
  <si>
    <t>A group of men and women of various ages are working out on elliptical exercise machines.</t>
  </si>
  <si>
    <t>A man, wearing only work out shorts, wipes sweat from his brown and leans against a wall.</t>
  </si>
  <si>
    <t>A fit woman's body in a white bikini exhibits as a woman and a man in work out clothes appear working out on elliptical machines.</t>
  </si>
  <si>
    <t>The woman and man then appear dressed in full casual attire before returning to the elliptical machines in work out gear, and cycling backwards and forwards on the elliptical machines again and showcasing fit profiles both alone and on the machine.</t>
  </si>
  <si>
    <t>v_TN73eY7B208</t>
  </si>
  <si>
    <t>A group of female in a big studio are wearing black, they are in a formation, then the man in black vest and white pants walked at the center.</t>
  </si>
  <si>
    <t>The females and man started to march, then danced, putting their arms up, then down and then they go forward then backward, sideways, and move their arms side to side, they also shake their hips and body.</t>
  </si>
  <si>
    <t>v_rDGbxMgkt7w</t>
  </si>
  <si>
    <t>Several women are outside on a stage doing several exercises and working out as a group.</t>
  </si>
  <si>
    <t>As they continue,several people begin to walk by the stage and watch them perform.</t>
  </si>
  <si>
    <t>The instructors continue to dance and amp up the other teams to dance and they end by clapping it off together.</t>
  </si>
  <si>
    <t>v_obt6wudzHxY</t>
  </si>
  <si>
    <t>Instruction on how to braid your hair.</t>
  </si>
  <si>
    <t>A girl in a grey t-shirt demonstrates how to braid your hair and shows a step by step process.</t>
  </si>
  <si>
    <t>Some tips are displayed in print.</t>
  </si>
  <si>
    <t>The hair stylist shows the finished product while dresses in a black top and sunglasses.</t>
  </si>
  <si>
    <t>v_xfThpRE6bLc</t>
  </si>
  <si>
    <t>A few people attempt to surf in an ocean.</t>
  </si>
  <si>
    <t>Sometimes they fall, but often the surfers do a great job.</t>
  </si>
  <si>
    <t>v_g-Egl6eXlX4</t>
  </si>
  <si>
    <t>A man is sitting in a barber chair.</t>
  </si>
  <si>
    <t>Another man starts shaving the sides of his head.</t>
  </si>
  <si>
    <t>He blow dries his hair and styles it.</t>
  </si>
  <si>
    <t>He puts some gel in his hair.</t>
  </si>
  <si>
    <t>v_XLOhMBLYy2g</t>
  </si>
  <si>
    <t>A camera pans all around a lake and trees an leads into people pulling a rope along.</t>
  </si>
  <si>
    <t>A man ties the rope into place and shows several clips of people hanging on the rope as well as walking.</t>
  </si>
  <si>
    <t>More clips are shown of people walking along the rope as well as more landscapes.</t>
  </si>
  <si>
    <t>v_pVehZjbud_M</t>
  </si>
  <si>
    <t>A lady plays with her hair.</t>
  </si>
  <si>
    <t>The lady brushes the bottom of her hair by stretching her arm upwards she brushes the top then the ends and finishes.</t>
  </si>
  <si>
    <t>v_s9Q8SZbixV4</t>
  </si>
  <si>
    <t>A group of people are in a high school gym.</t>
  </si>
  <si>
    <t>Males are partnered with females and they are holding hands.</t>
  </si>
  <si>
    <t>Now they are all dancing the same dance.</t>
  </si>
  <si>
    <t>It appears to be some sort of tango dance.</t>
  </si>
  <si>
    <t>The men are twirling the girls around their hands.</t>
  </si>
  <si>
    <t>The men are leading the girls in the dance.</t>
  </si>
  <si>
    <t>The girls are twirling around the boys.</t>
  </si>
  <si>
    <t>The dancing continues for many more moments.</t>
  </si>
  <si>
    <t>The girls and boys separate.</t>
  </si>
  <si>
    <t>The girls twirl scarfs around, then the boys pick them up to finish.</t>
  </si>
  <si>
    <t>v_nm2sHNDN7Lo</t>
  </si>
  <si>
    <t>We see a man in a pink shirt throw a ball in a cup in a game of beer pong.</t>
  </si>
  <si>
    <t>The man on the left team blows the ball out of the cup.</t>
  </si>
  <si>
    <t>The man and the two ladies laugh and cheer and he high fives one lady.</t>
  </si>
  <si>
    <t>The man makes hand signs.</t>
  </si>
  <si>
    <t>v_Ig_AvatvYrk</t>
  </si>
  <si>
    <t>There is a young man dressed in a black shirt going round in circles to show his hair from the front and back.</t>
  </si>
  <si>
    <t>Then he takes a spray bottle and sprays his hair with water and combs it.</t>
  </si>
  <si>
    <t>He then takes a razor and begins shaving the sides and the back of his head.</t>
  </si>
  <si>
    <t>He takes a pair of scissors and starts trimming the top part of hair.</t>
  </si>
  <si>
    <t>He uses a black comb and scissors to point cut his hair.</t>
  </si>
  <si>
    <t>He holds the hair in his hand as he trims it.</t>
  </si>
  <si>
    <t>He takes the razor again and shaves the sides.</t>
  </si>
  <si>
    <t>He takes the scissors too and trims his hair.</t>
  </si>
  <si>
    <t>He then blow dries his hair.</t>
  </si>
  <si>
    <t>He takes a small amount of hair gel on his finger from the container and rubs it through the long section of his hair.</t>
  </si>
  <si>
    <t>He then combs the hair to style it.</t>
  </si>
  <si>
    <t>He runs his fingers through the hair to finish off the look.</t>
  </si>
  <si>
    <t>He rotates around to show his hairstyle from all angles.</t>
  </si>
  <si>
    <t>v_fL8Gzk7ALxQ</t>
  </si>
  <si>
    <t>A group of people is gathered in a circle.</t>
  </si>
  <si>
    <t>Two men are in the circle demonstrating a martial art.</t>
  </si>
  <si>
    <t>Several men in the circle play an instrument.</t>
  </si>
  <si>
    <t>v_pLcrLi5oAvU</t>
  </si>
  <si>
    <t>A hair dresser is cutting a mans hair, starting at the top.</t>
  </si>
  <si>
    <t>Then, he starts at the back cut and combing back there.</t>
  </si>
  <si>
    <t>After that he uses some clippers to clip some of the harder areas.</t>
  </si>
  <si>
    <t>Finally using the comb to style it a bit and give it finishing touches.</t>
  </si>
  <si>
    <t>v_mhsotF4wdG8</t>
  </si>
  <si>
    <t>two guys appears in a backyard and are speaking to the camera.</t>
  </si>
  <si>
    <t>guys are in a wood surface playing rock paper scissors and the loser is given a wooden hit in the nuts and fell to the floor.</t>
  </si>
  <si>
    <t>man is talking to camera and other guys are in the back adn then talking to the winner.</t>
  </si>
  <si>
    <t>they are playing round two o rock paper scissors and again the loser is fiven a wooden hit in the nuts and a man is talking to the camera.</t>
  </si>
  <si>
    <t>the guys make the final round of rock paper scissors and the winner is announced, one of the men gaves a hit in the nuts to both guys.</t>
  </si>
  <si>
    <t>v_JvFo4uTvmYs</t>
  </si>
  <si>
    <t>A person stands on a mat.</t>
  </si>
  <si>
    <t>They run down a runway holding a pole and vault over a bar.</t>
  </si>
  <si>
    <t>They land on their back on a mat.</t>
  </si>
  <si>
    <t>v_Ia3Aa4AO-_E</t>
  </si>
  <si>
    <t>two twins dressed in the same way and with the same hairstyle are in a room talking to the camera.</t>
  </si>
  <si>
    <t>the man in the back start putting some boxers above the pants and the man in front continue speaking to the camera.</t>
  </si>
  <si>
    <t>Man in front holds a brushteeth and put some toothpaste and clean his teeth, then the guy introduces the toothbrush into a honey pot and brush the teeth with it.</t>
  </si>
  <si>
    <t>man in front holds an hairbrush and the other guy drinks water, the other guy holds a toothbrush with jam and brush his teeth.</t>
  </si>
  <si>
    <t>v_2CfCDcCuOO4</t>
  </si>
  <si>
    <t>A small dog is playing with a pink frisbee.</t>
  </si>
  <si>
    <t>A man in a white shirt and red shorts lays down and puts his feet in the air.</t>
  </si>
  <si>
    <t>The dog stands on top of the mans feet.</t>
  </si>
  <si>
    <t>People are watching them on the sidelines.</t>
  </si>
  <si>
    <t>v_QPxiOzXkUFM</t>
  </si>
  <si>
    <t>man is sitting on a boat in a calm lake.</t>
  </si>
  <si>
    <t>car is being driven in a highway with cars standing on the sides.</t>
  </si>
  <si>
    <t>photo of a iver is shown and he car going through the haighway and arriving to a lake.</t>
  </si>
  <si>
    <t>people are in boat paddling in the river and arriving to a camp on pier.</t>
  </si>
  <si>
    <t>v_KQvqRh1mY8c</t>
  </si>
  <si>
    <t>A man runs holding a pole with both hands.</t>
  </si>
  <si>
    <t>Then, she jumps high with the pole to pass over an horizontal bar.</t>
  </si>
  <si>
    <t>The man falls on the mat.</t>
  </si>
  <si>
    <t>v_nSuPseBeQI0</t>
  </si>
  <si>
    <t>A couple of boys are riding skateboards.</t>
  </si>
  <si>
    <t>They watch another couple of men playing basketball.</t>
  </si>
  <si>
    <t>They argue, then the basketball players leave.</t>
  </si>
  <si>
    <t>v_1SXVKikAHdM</t>
  </si>
  <si>
    <t>a box of rollerbldes is shown and the lid is opened amd tje accesories are shown with the rollerblades.</t>
  </si>
  <si>
    <t>man is in street skating and showing pictures of the skates.</t>
  </si>
  <si>
    <t>v_erXZ0pZEtGE</t>
  </si>
  <si>
    <t>A woman in a parking lot is bouncing up and down with some kind of pogo stick attachments on her legs.</t>
  </si>
  <si>
    <t>The woman walks around the parking lot.</t>
  </si>
  <si>
    <t>The woman starts bouncing up and down while walking around.</t>
  </si>
  <si>
    <t>A man walks up and talks to the woman.</t>
  </si>
  <si>
    <t>The woman holds the man's hands for balance while bouncing.</t>
  </si>
  <si>
    <t>v_u2uoYvo8J5s</t>
  </si>
  <si>
    <t>A man is opening his back door to let a little girl outside.</t>
  </si>
  <si>
    <t>The man is following the little girl.</t>
  </si>
  <si>
    <t>A little girl walks and points toward the camera.</t>
  </si>
  <si>
    <t>A dog enters the scene and the little girl jumps with happiness.</t>
  </si>
  <si>
    <t>The little girl walks around her slide.</t>
  </si>
  <si>
    <t>The little girl starts to climb up the slide and the man helps her get to the top.</t>
  </si>
  <si>
    <t>The little girl begins to play with the wheel and gets on her knees.</t>
  </si>
  <si>
    <t>The man helps the little girl go down the slide.</t>
  </si>
  <si>
    <t>The little girl goes to the swing and the man helps her into it.</t>
  </si>
  <si>
    <t>The little girl points at the camera.</t>
  </si>
  <si>
    <t>The man pushes the little girl on the swing.</t>
  </si>
  <si>
    <t>v_wBy9_ZSfEVA</t>
  </si>
  <si>
    <t>People run dragging a large red kite through a field.</t>
  </si>
  <si>
    <t>The kite is in the air and the kids are standing under it watching it.</t>
  </si>
  <si>
    <t>The kite is in the air flying.</t>
  </si>
  <si>
    <t>A man and a little girl and a boy are flying the kite and holding the base of it.</t>
  </si>
  <si>
    <t>A little girl throws something on the ground.</t>
  </si>
  <si>
    <t>v_jmS3NFo4XCc</t>
  </si>
  <si>
    <t>We see a dart board swinging gently.</t>
  </si>
  <si>
    <t>Two darts, one red, one green hit the board.</t>
  </si>
  <si>
    <t>We change angle and two more darts hit the board.</t>
  </si>
  <si>
    <t>The screen fades to black and we see the end credits.</t>
  </si>
  <si>
    <t>v_DR0hc7lT0hE</t>
  </si>
  <si>
    <t>A man is seen backing away from the camera while speaking and holding a hula hoop.</t>
  </si>
  <si>
    <t>The man then swings the hula hoop all around himself while walking to the camera.</t>
  </si>
  <si>
    <t>Another man walks into frame and hula hoops with the man while still looking at the camera.</t>
  </si>
  <si>
    <t>v_PF0c0UIsG0E</t>
  </si>
  <si>
    <t>A man is seen sitting down and speaking to the camera while holding a hookah hose and another person is seen in frame.</t>
  </si>
  <si>
    <t>The man takes a puff from the pipe while speaking to the camera and hands it to the other man who also takes a hit.</t>
  </si>
  <si>
    <t>He blows the smoke out and the first man is still seen speaking to the camera.</t>
  </si>
  <si>
    <t>v_4QqoWbK2ELc</t>
  </si>
  <si>
    <t>A person prepares to bungee jump over a body of water while onlookers watch from the ground.</t>
  </si>
  <si>
    <t>The person is sitting down, first, strapped into bungee jumping gear.</t>
  </si>
  <si>
    <t>The person stands at the edge of a wooden jumping surface as onlookers watch from the ground.</t>
  </si>
  <si>
    <t>The person jumps off of the edge and falls down as the camera follows and reveals that this is a man who has jumped, and the man is smiling and laughing as he flails in the air just above the water.</t>
  </si>
  <si>
    <t>v_cKFARm4dsws</t>
  </si>
  <si>
    <t>A little boy is getting on the swinging closing his little safety guard.</t>
  </si>
  <si>
    <t>He closes it and builds up some momentum to start going fast.</t>
  </si>
  <si>
    <t>He kicks his feet back and forth getting pretty high.</t>
  </si>
  <si>
    <t>He just enjoys his time swinging back and forth outside enjoying the day.</t>
  </si>
  <si>
    <t>v_3WyJNIqDFQg</t>
  </si>
  <si>
    <t>A close up a chair is shown while the camera pans out backwards and text moves across the screen.</t>
  </si>
  <si>
    <t>The camera follows closely into the chair and leads into a woman sitting comfortable on the chair.</t>
  </si>
  <si>
    <t>The woman adjusts the seat and leads into several more close ups of the chair being shown.</t>
  </si>
  <si>
    <t>v_W_iKlOPSDos</t>
  </si>
  <si>
    <t>We see a speedboat speeding through a lake and a man jet skiing behind it.</t>
  </si>
  <si>
    <t>The screen flashes black and we see more jet skiing.</t>
  </si>
  <si>
    <t>v_zlXs92vjuSU</t>
  </si>
  <si>
    <t>A young man named Sean wearing a beanie hat and black earring studs.</t>
  </si>
  <si>
    <t>He is demonstrating how to pierce his ear with stud earrings.</t>
  </si>
  <si>
    <t>He expresses severe pain as he tries to pierce his ear lobe.</t>
  </si>
  <si>
    <t>He takes an ice cube to soothe his ear lobe.</t>
  </si>
  <si>
    <t>Then he uses a cigarette lighter to heat the earring to sanitize it.</t>
  </si>
  <si>
    <t>He tries using a thumbtack to help the piercing but ends up causing severe bleeding in his ear.</t>
  </si>
  <si>
    <t>He then tries a rubber mallet to force the earring in.</t>
  </si>
  <si>
    <t>He cries and sobs in pain at his unsuccessful attempt of piercing his own ear lobe.</t>
  </si>
  <si>
    <t>v_vu-3Zi94F0M</t>
  </si>
  <si>
    <t>A man is seen sitting in a kayak looking to the camera.</t>
  </si>
  <si>
    <t>He then sticks his paddle in the water and begins moving along.</t>
  </si>
  <si>
    <t>He continues riding around an area while moving the paddle.</t>
  </si>
  <si>
    <t>v_evXdygHVzNc</t>
  </si>
  <si>
    <t>A teen spins holding a disc in his right hand, then the girl throws the disc while competing in a stadium.</t>
  </si>
  <si>
    <t>Then, another young woman spins around an throws a disc.</t>
  </si>
  <si>
    <t>A female spins and throw a disc far and she wins the competition.</t>
  </si>
  <si>
    <t>A man in the track raise a white flag on his right arm.</t>
  </si>
  <si>
    <t>v_8LiO75NtXNw</t>
  </si>
  <si>
    <t>Gymnast from Ukraine performs long jump in a final competition.</t>
  </si>
  <si>
    <t>A man holds a white and a red flags.</t>
  </si>
  <si>
    <t>The gymnast runs in the track until a white line, and jumps to perform the long jump.</t>
  </si>
  <si>
    <t>Then, a woman from Germany performs the long jump, and after a girl from Australia jumps long on the sand box.</t>
  </si>
  <si>
    <t>The woman from Germany wins the competition, she runs and greats the public.</t>
  </si>
  <si>
    <t>v_PNQpC_FlE2M</t>
  </si>
  <si>
    <t>A man in a vest is sitting in a boat.</t>
  </si>
  <si>
    <t>Then the man is in the water, holding a stick and a line attached to the boat.</t>
  </si>
  <si>
    <t>The boat begins to pull him in the water as he begins water skiing.</t>
  </si>
  <si>
    <t>He skis for a long while.</t>
  </si>
  <si>
    <t>v_8xS6cDOq5do</t>
  </si>
  <si>
    <t>girls are sitting in a rom and boys are standing behind them boys starts comb the hair.</t>
  </si>
  <si>
    <t>woman wearing blue sweater crawl on all fours.</t>
  </si>
  <si>
    <t>boys keep combing the hair and putting some hair rolls on the girls.</t>
  </si>
  <si>
    <t>woman in the middle is irritated and stands and remove the rolls for th head and sits again and laugh a lot.</t>
  </si>
  <si>
    <t>v_shZRGB58YBU</t>
  </si>
  <si>
    <t>A man is seated on a stage.</t>
  </si>
  <si>
    <t>There is a room full of people watching him.</t>
  </si>
  <si>
    <t>He is playing a set of drums with his hands.</t>
  </si>
  <si>
    <t>v_OTMkyaTCpqM</t>
  </si>
  <si>
    <t>An overhead view of a pool match.</t>
  </si>
  <si>
    <t>A man in a funny blue vest is shown as the next player to take a shot.</t>
  </si>
  <si>
    <t>He pauses and studies the table before taking his shot.</t>
  </si>
  <si>
    <t>He shoots and hits the blue ball in the corner right pocket.</t>
  </si>
  <si>
    <t>v_eBEnQDNyzFk</t>
  </si>
  <si>
    <t>A close up of food is shown followed by two women speaking to the camera and presenting various ingredients.</t>
  </si>
  <si>
    <t>The women then mix the ingredients into a pot after the noodles are cooked and then mix everything together in a bowl.</t>
  </si>
  <si>
    <t>Finally the dish is shown on a plate in the end and the women eat the food.</t>
  </si>
  <si>
    <t>v_ZtfdFFYa8vY</t>
  </si>
  <si>
    <t>black dog is walking in a treadmill in a white room.</t>
  </si>
  <si>
    <t>dog is running in the treadmill that is next to a drawer.</t>
  </si>
  <si>
    <t>dog is wearing a red necklace and is doing exercise.</t>
  </si>
  <si>
    <t>v_yE0fDD_7FkM</t>
  </si>
  <si>
    <t>A girl is walking on a diving board.</t>
  </si>
  <si>
    <t>People are in the background watching.</t>
  </si>
  <si>
    <t>The girl jumps off the diving board into the swimming pool.</t>
  </si>
  <si>
    <t>There is a small splash in the water.</t>
  </si>
  <si>
    <t>v_5qBzjfW-sMs</t>
  </si>
  <si>
    <t>A young man is seen putting a piece of wood onto a bark and holds up an axe.</t>
  </si>
  <si>
    <t>He then swings the axe the bark breaking it in half, followed by him yelling into the air.</t>
  </si>
  <si>
    <t>v_N2nNkWXYAYw</t>
  </si>
  <si>
    <t>A woman sits on the floor next a vacuum.</t>
  </si>
  <si>
    <t>The woman vacuums dirt on a hard floor.</t>
  </si>
  <si>
    <t>Then, the woman cleans waste on a carpet.</t>
  </si>
  <si>
    <t>After, the woman vacuums over a pillow using a smaller nozzle.</t>
  </si>
  <si>
    <t>Next, then woman put a new nozzle to clean narrow surfaces.</t>
  </si>
  <si>
    <t>Also the woman measures the pressure of suction and shows the inside of the vacuum.</t>
  </si>
  <si>
    <t>v_yCqe0J1xgyc</t>
  </si>
  <si>
    <t>We see two girls representing China standing on diving boards above an Olympic size pool and dive in unison and we see their scores.</t>
  </si>
  <si>
    <t>We then see two girls representing the USA dive in unison and see their scores.</t>
  </si>
  <si>
    <t>Next are two girls representing Italy diving and scores are shown.</t>
  </si>
  <si>
    <t>Germany is the next team to dive and scores are shown for them.</t>
  </si>
  <si>
    <t>v_x75wqBUD3zo</t>
  </si>
  <si>
    <t>A man is seen speaking to the camera while holding up a harmonica.</t>
  </si>
  <si>
    <t>The man blows into the instrument while pausing to speak to the camera.</t>
  </si>
  <si>
    <t>He continues playing the instrument and stopping to speak to the camera.</t>
  </si>
  <si>
    <t>v___mIAEE03bE</t>
  </si>
  <si>
    <t>People are snowboarding down a large hill of snow.</t>
  </si>
  <si>
    <t>A person in a green jacket is snowboarding while holding a camera in front of them.</t>
  </si>
  <si>
    <t>The people get to the bottom and start taking their snowboards off.</t>
  </si>
  <si>
    <t>v_vV_d5bfNmBQ</t>
  </si>
  <si>
    <t>Men on the beach playing volleyball in the sand.</t>
  </si>
  <si>
    <t>One of the guys hits the ball over to the other side and they hit it back.</t>
  </si>
  <si>
    <t>Then on the other side of the beach there is a group of women also playing volleyball.</t>
  </si>
  <si>
    <t>They are playing a really good game, one of the girl lands right on her stomach.</t>
  </si>
  <si>
    <t>v_Djlmto9iibw</t>
  </si>
  <si>
    <t>A dog is swimming in a small pool.</t>
  </si>
  <si>
    <t>He is being rubbed with shampoo.</t>
  </si>
  <si>
    <t>He is back in the water getting cleaned.</t>
  </si>
  <si>
    <t>A person is spraying the dog with a hose.</t>
  </si>
  <si>
    <t>The dog is then put in a metal pen.</t>
  </si>
  <si>
    <t>v_jA-KApGlXyA</t>
  </si>
  <si>
    <t>A person explains how to play squash holding a racket and a blue ball.</t>
  </si>
  <si>
    <t>Then, he continues explaining showing how to hit the ball on the wall.</t>
  </si>
  <si>
    <t>v_EBhAGOXvPcA</t>
  </si>
  <si>
    <t>A bike is seen outside a building.</t>
  </si>
  <si>
    <t>A group of men are outside, drinking eer and talking while playing beer pong.</t>
  </si>
  <si>
    <t>They try to throw the ball into the glasses.</t>
  </si>
  <si>
    <t>They laugh and talk as they play.</t>
  </si>
  <si>
    <t>v_eTIaRqgQ4Qg</t>
  </si>
  <si>
    <t>A camera is seen panning around a large lake followed by a person riding by on skis behind a jet ski.</t>
  </si>
  <si>
    <t>Two people are seen riding behind the jet ski and continuing to move along the water.</t>
  </si>
  <si>
    <t>v_offWBoR4Ggg</t>
  </si>
  <si>
    <t>The player in yellow shirt kicked the ball towards the goal, and the goalkeeper was not able to catch it, another player in red shirt kicked the ball and the goalkeeper weren't able to catch it.</t>
  </si>
  <si>
    <t>The goalkeeper is standing in front of the net, the crowds are cheering.</t>
  </si>
  <si>
    <t>v_0rX2f0H3AaA</t>
  </si>
  <si>
    <t>A white screen is shown and several words are shown on the screen.</t>
  </si>
  <si>
    <t>Then a blue mat is shown and an individual begins sweeping and laying the blue mat against the mat.</t>
  </si>
  <si>
    <t>The man takes out a measuring tape and cuts off a piece of the blue mat and continues covering the floor.</t>
  </si>
  <si>
    <t>v_IRmk1AM-yJE</t>
  </si>
  <si>
    <t>Two people are seen playing a game of pool while others watch on the side and conversation.</t>
  </si>
  <si>
    <t>The men continue hitting the ball around the table and moving around.</t>
  </si>
  <si>
    <t>v_Fi0PQwhsGs4</t>
  </si>
  <si>
    <t>Two men are outside talking to one another and they begin doing arm stretches.</t>
  </si>
  <si>
    <t>They then stop and do a series of Rock,Paper,Scissors.</t>
  </si>
  <si>
    <t>v_3CO7fRiJOy4</t>
  </si>
  <si>
    <t>Several small children drive around in bumper cars.</t>
  </si>
  <si>
    <t>One of them continuously spins in circles.</t>
  </si>
  <si>
    <t>She rides alone after the others have left.</t>
  </si>
  <si>
    <t>v_5KEq4f4dGto</t>
  </si>
  <si>
    <t>We see a lady painting her fingernails.</t>
  </si>
  <si>
    <t>We see a titles screen.</t>
  </si>
  <si>
    <t>The lady files and puts on a clear coat.</t>
  </si>
  <si>
    <t>The lady paints her finger nails blue.</t>
  </si>
  <si>
    <t>The lady adds a top coat of clear polish.</t>
  </si>
  <si>
    <t>The lady puts oil on her cuticles and we see the finished product.</t>
  </si>
  <si>
    <t>v_nA9MM4baSdc</t>
  </si>
  <si>
    <t>This woman is shown playing the black harmonica.</t>
  </si>
  <si>
    <t>she stops for a little bit, but then she keeps going.</t>
  </si>
  <si>
    <t>v_cfhc7tf8vU4</t>
  </si>
  <si>
    <t>A tall Black male is standing outside clapping trying to gain the crowds participation.</t>
  </si>
  <si>
    <t>The athlete then takes off and does a triple jump into the pit.</t>
  </si>
  <si>
    <t>Once he gets out of the pit,he walks around and a replay is shown to make sure that he didn't scratch and the jump can be counted.</t>
  </si>
  <si>
    <t>Another man approaches the run way and repeats the same step but ends up scratching.</t>
  </si>
  <si>
    <t>v_VEwZJ-5u_Xs</t>
  </si>
  <si>
    <t>People fly kites from a rooftop holding kite string pools.</t>
  </si>
  <si>
    <t>Several kites fly in the sky.</t>
  </si>
  <si>
    <t>A man holds a kite string pool while flying a kite.</t>
  </si>
  <si>
    <t>v_IWXIEfaltJ4</t>
  </si>
  <si>
    <t>A man is shown holding up a piece of metal and places it along a wall.</t>
  </si>
  <si>
    <t>He then puts plaster along the metal and rubs the sander all over the wall while still looking back to the camera.</t>
  </si>
  <si>
    <t>v_TWhxFETOG8I</t>
  </si>
  <si>
    <t>Two teams play a game of indoor soccer.</t>
  </si>
  <si>
    <t>Players from the white team dribble and pass the ball all the way down field and make a goal.</t>
  </si>
  <si>
    <t>Players from the blue team dribble and pass all the way down field and make a goal.</t>
  </si>
  <si>
    <t>A member of the blue team battles two defenders near goal and makes a point.</t>
  </si>
  <si>
    <t>Players take corner kicks and assist a goals.</t>
  </si>
  <si>
    <t>v_CcKeoeSZVnE</t>
  </si>
  <si>
    <t>Two women are smoking a hookah while seated on a couch.</t>
  </si>
  <si>
    <t>They take turns taking hits and blowing smoke.</t>
  </si>
  <si>
    <t>They are blowing the smoke in rings toward the camera.</t>
  </si>
  <si>
    <t>v_uK0dxEMBXfY</t>
  </si>
  <si>
    <t>A man standing in a yard talks to the camera about his yard.</t>
  </si>
  <si>
    <t>The man motions he had across the yard.</t>
  </si>
  <si>
    <t>The man then mows his lawn with his mower.</t>
  </si>
  <si>
    <t>The man stops and shows the electrical cord on his mower.</t>
  </si>
  <si>
    <t>v_QRcwvzq7QUM</t>
  </si>
  <si>
    <t>We see a lady standing in a news studio talking to the camera.</t>
  </si>
  <si>
    <t>We then see people in a field on horses.</t>
  </si>
  <si>
    <t>The people are playing polo on the horses.</t>
  </si>
  <si>
    <t>We see a man talking to the camera.</t>
  </si>
  <si>
    <t>We then see the people playing again.</t>
  </si>
  <si>
    <t>The man is talking to the camera again.</t>
  </si>
  <si>
    <t>We see the polo players on their horses.</t>
  </si>
  <si>
    <t>A man holds liquor in front of a horses mouth, We see the newscaster again.</t>
  </si>
  <si>
    <t>v_PnY3FT_QqWo</t>
  </si>
  <si>
    <t>A woman is standing in a gated yard beside a girl on a horse.</t>
  </si>
  <si>
    <t>She walks away as the girl rides the horse carefully around the fence.</t>
  </si>
  <si>
    <t>She then takes the horse into a light trot as she rides.</t>
  </si>
  <si>
    <t>v_1QjVfj0S8qQ</t>
  </si>
  <si>
    <t>A shirtless man scrapes roofing gravel using a shovel.</t>
  </si>
  <si>
    <t>The man stops and leans on the shovel for a moment to look at the amount of work that is ahead of him.</t>
  </si>
  <si>
    <t>The man continues to scrape the gravel roof and turns with his back towards the camera.</t>
  </si>
  <si>
    <t>v_BrnUW2LSJDI</t>
  </si>
  <si>
    <t>Two men are seen standing around a shuffleboard table followed by the men hitting pucks across the board.</t>
  </si>
  <si>
    <t>The men continue hitting the pucks and zoom in on their faces in the end.</t>
  </si>
  <si>
    <t>v_m978SIFnHS8</t>
  </si>
  <si>
    <t>Dark nights are shown with lightning flashing through the sky.</t>
  </si>
  <si>
    <t>After,the video begins and several people are shown on a large boat sailing in the water.</t>
  </si>
  <si>
    <t>The weather begins to turn nasty and the people have to hold on for dear life so they won't die.</t>
  </si>
  <si>
    <t>In one instance,the boat begins to tip to the side and the people jump in joy that it didn't tip over as the horrid weather continues.</t>
  </si>
  <si>
    <t>v_W-poAYW1pb0</t>
  </si>
  <si>
    <t>A group of runners are on a street, and a boston marathoner who has broken a record is shown talking in an interview after celebrating.</t>
  </si>
  <si>
    <t>News casters are shown talking about the man and others as they reach the end of the marathon.</t>
  </si>
  <si>
    <t>The runners are shown as a group, as men dressed as british solders enact a play for the crowds.</t>
  </si>
  <si>
    <t>v_BGeB6KEQM94</t>
  </si>
  <si>
    <t>A man in peach sweater is skateboarding and then fell on the ground.</t>
  </si>
  <si>
    <t>A man in orange stop is skateboarding in the dark street and fell on the ground.</t>
  </si>
  <si>
    <t>A man in black shirt skateboard down the wide road and fell on the side of the road, the man showed his bleeding cuts in front of the camera.</t>
  </si>
  <si>
    <t>A the skateboarders are falling off their skateboards.</t>
  </si>
  <si>
    <t>v_p7VTBhv3OLY</t>
  </si>
  <si>
    <t>A man is talking in front of a net in a yard.</t>
  </si>
  <si>
    <t>Two boys are seen hitting a ball into the net.</t>
  </si>
  <si>
    <t>Then we see a game on a field with men hitting balls with nets into the goal.</t>
  </si>
  <si>
    <t>v_d0h_l9bE1o0</t>
  </si>
  <si>
    <t>A group of cheerleaders are shown practicing their routine in a gymnasium.</t>
  </si>
  <si>
    <t>The scene transitions to one cheerleader being interviewed while others stretch in the background, with occasional cheerleader-related clips interspersed.</t>
  </si>
  <si>
    <t>A man wearing blue is interviewed in the same setting, with occasional cheerleader-related clips interspersed.</t>
  </si>
  <si>
    <t>Another man is interviewed in the same setting, with occasional cheerleader-related clips interspersed.</t>
  </si>
  <si>
    <t>The camera returns to the man in blue being interviewed, with short cheerleader action sequences.</t>
  </si>
  <si>
    <t>The camera returns to the first individual interviewed, with short cheerleader action sequences.</t>
  </si>
  <si>
    <t>v_cqHWqXRkUfU</t>
  </si>
  <si>
    <t>Several people are standing outside in a snow with tubes in front of them.</t>
  </si>
  <si>
    <t>Two people then get in the tubes and are pushed down the slopes.</t>
  </si>
  <si>
    <t>They go down the snow slide and once they reach the bottom they get off.</t>
  </si>
  <si>
    <t>v_g0B_4IlLn3g</t>
  </si>
  <si>
    <t>A girl is standing in her bathroom making giggly faces while holding a cup.</t>
  </si>
  <si>
    <t>She finally takes whatever is in the cub and begins to gags as she spits it into the sink.</t>
  </si>
  <si>
    <t>After her mouth is empty,she shows off a bottle of Crest mouthwash.</t>
  </si>
  <si>
    <t>v_KAbo60mowhw</t>
  </si>
  <si>
    <t>A man plays catch with a dog in a dirt field while throwing a Frisbee.</t>
  </si>
  <si>
    <t>The man holds out the Frisbee in his hand to the dog.</t>
  </si>
  <si>
    <t>A woman plays catch with the dog throwing a Frisbee in a grassy park.</t>
  </si>
  <si>
    <t>v_faF9-lWmK3Y</t>
  </si>
  <si>
    <t>The camera man opens a door and watches a woman leaving forward in a tub.</t>
  </si>
  <si>
    <t>The woman talks to the camera man while washing several clothes in a tub filled with water.</t>
  </si>
  <si>
    <t>The woman learns down exhausted and turns back to the camera man quickly then back to the tub.</t>
  </si>
  <si>
    <t>v_vAzTt06gpgE</t>
  </si>
  <si>
    <t>A group of people are running down a road with various people cheering and clapping on the sides.</t>
  </si>
  <si>
    <t>A woman is high fiving the people as well other runners.</t>
  </si>
  <si>
    <t>More shots of people on the sides are shown while the runners continue running.</t>
  </si>
  <si>
    <t>v_Mw_AIqw6rfM</t>
  </si>
  <si>
    <t>A large group of people are seen standing around a horse track and leads into several men sitting on horses and one riding around swinging a stick.</t>
  </si>
  <si>
    <t>The men then begin playing a game on the horses and shaking each other's hands.</t>
  </si>
  <si>
    <t>The princess then hands a box to one of the players and stands near several others holding a trophy.</t>
  </si>
  <si>
    <t>v_16g-sBraeKE</t>
  </si>
  <si>
    <t>A woman is showing her finger nails to the camera.</t>
  </si>
  <si>
    <t>A woman in a black shirt is sitting in a room talking to a camera.</t>
  </si>
  <si>
    <t>A person is doing someone else's nails on a table.</t>
  </si>
  <si>
    <t>They are putting fake fingernails on them.</t>
  </si>
  <si>
    <t>They are cutting the nails down.</t>
  </si>
  <si>
    <t>They begin painting the nails.</t>
  </si>
  <si>
    <t>v__ao0UwSJHWA</t>
  </si>
  <si>
    <t>A man is seen sitting in a large gym while speaking to the camera and sitting on a medicine ball.</t>
  </si>
  <si>
    <t>The man then bends forward onto the ball while still speaking to the camera.</t>
  </si>
  <si>
    <t>The man continues to balance on the ball and sits himself up as well as catches a ball.</t>
  </si>
  <si>
    <t>v_kpE3q-Hmd7A</t>
  </si>
  <si>
    <t>A group of men are inside of a gym space stepping on aerobic steppers at a fast pace.</t>
  </si>
  <si>
    <t>They look to be having a great time and begin reaching out with their arms and varying their workout.</t>
  </si>
  <si>
    <t>They continue on performing another series of similar workout with their steppers.</t>
  </si>
  <si>
    <t>They move side to side, alternating their movements to a specific rhythm.</t>
  </si>
  <si>
    <t>Their last of their workouts seem to be a compilation of everything they have been doing thus far and they are varying their movements within it.</t>
  </si>
  <si>
    <t>v_NzRNlTfyYtI</t>
  </si>
  <si>
    <t>A woman uses a NordicTrack exercise machine.</t>
  </si>
  <si>
    <t>The exercise machine is shown by itself.</t>
  </si>
  <si>
    <t>The woman uses the machine again.</t>
  </si>
  <si>
    <t>The machine's digital display controls are shown.</t>
  </si>
  <si>
    <t>A splash screen of a woman and a show title are shown.</t>
  </si>
  <si>
    <t>The woman exercises on the machine again.</t>
  </si>
  <si>
    <t>v_Wdp8yduPUX4</t>
  </si>
  <si>
    <t>Four people prepare to skateboard down a slope.</t>
  </si>
  <si>
    <t>The four individuals skateboard down the slope together or alone as spectators watch.</t>
  </si>
  <si>
    <t>The camera pans over background scenery.</t>
  </si>
  <si>
    <t>One of the individuals tends to his skateboard.</t>
  </si>
  <si>
    <t>The four individuals engage in more skateboarding down the slope.</t>
  </si>
  <si>
    <t>One of the individuals is again shown tending to his skateboard.</t>
  </si>
  <si>
    <t>v_GTxmHim5JnY</t>
  </si>
  <si>
    <t>Two children twirl on a tire swing.</t>
  </si>
  <si>
    <t>Another child is swinging in another swing set.</t>
  </si>
  <si>
    <t>A very small child runs through the play area.</t>
  </si>
  <si>
    <t>v_1FKoT6uFsjY</t>
  </si>
  <si>
    <t>A kid is sitting on the bed and waves to the camera.</t>
  </si>
  <si>
    <t>He is explaining his daily routine to the camera.</t>
  </si>
  <si>
    <t>He is putting red contacts in his eyes.</t>
  </si>
  <si>
    <t>The contact falls out of his eye and he puts it back in, but it falls out over and over.</t>
  </si>
  <si>
    <t>Finally he gets it to stay and he gives the camera close up and some moves.</t>
  </si>
  <si>
    <t>v_znhZPUF6xQw</t>
  </si>
  <si>
    <t>Several clips are shown of various girls performing gymnastics tricks on a large mat.</t>
  </si>
  <si>
    <t>The girls continue jumping and flipping around the area while the camera continues to capture their movements.</t>
  </si>
  <si>
    <t>v_gMwjhe0Njkc</t>
  </si>
  <si>
    <t>A black and white image of a man is shown and then the man appears in a field throwing a discus.</t>
  </si>
  <si>
    <t>After,he continues throwing the discus and when he is finished,he is shown standing on a set of cubes as the winner.</t>
  </si>
  <si>
    <t>The participants shake each other hands and they both end up walking off.</t>
  </si>
  <si>
    <t>v_2mVwrM0qOGw</t>
  </si>
  <si>
    <t>man is standing in a room holding a bow and talking to another man.</t>
  </si>
  <si>
    <t>manis practicing shots with a bow to a board in a large field.</t>
  </si>
  <si>
    <t>v_6EKVtCJ2nrs</t>
  </si>
  <si>
    <t>A man in black jacket holds a friend in both arms.</t>
  </si>
  <si>
    <t>The friend wearing a rope puts out her arms in preparation.</t>
  </si>
  <si>
    <t>The friend is thrown from the building wearing a bungee cord and swings in a wide arc over the ground below then back and forth.</t>
  </si>
  <si>
    <t>A woman in black jacket sits on a ramp and is pushed down by friends.</t>
  </si>
  <si>
    <t>The woman falls off the building and swings from a rope above the ground below.</t>
  </si>
  <si>
    <t>v_fs2per3zoZQ</t>
  </si>
  <si>
    <t>Two men sit behind a table with a pumpkin on it.</t>
  </si>
  <si>
    <t>A man smashes the pumpkin with a hammer.</t>
  </si>
  <si>
    <t>He starts ripping out the seeds and handing them to the man next to him.</t>
  </si>
  <si>
    <t>v_NpfdyZntPbg</t>
  </si>
  <si>
    <t>A man wipes the bottom of a ski.</t>
  </si>
  <si>
    <t>He puts polish on the bottom of the ski and rubs it in.</t>
  </si>
  <si>
    <t>He takes a paper towel and wipes the bottom of the ski.</t>
  </si>
  <si>
    <t>v_aDBSNU2trmo</t>
  </si>
  <si>
    <t>A point of view of a person shows himself sitting in a sled holding hands of two children in sleds.</t>
  </si>
  <si>
    <t>A person pushes the three down a hill while still holding hands and lets go at the bottom to meet with the others.</t>
  </si>
  <si>
    <t>v_7rT8tqLyFa0</t>
  </si>
  <si>
    <t>A man is standing in a weight room with multiple screens on and computers on it.</t>
  </si>
  <si>
    <t>After he finishes talking,he gets on an ellipitacal and starts rowing.</t>
  </si>
  <si>
    <t>Next,he moves to another machine and does the same thing as well in a slightly different way.</t>
  </si>
  <si>
    <t>v_D9DdNf-TIO8</t>
  </si>
  <si>
    <t>A bird is sitting on a bar over a bath tub.</t>
  </si>
  <si>
    <t>A dog is in the bathtub getting a shower.</t>
  </si>
  <si>
    <t>A person is rubbing soap into the dogs fur.</t>
  </si>
  <si>
    <t>The dog shakes itself off.</t>
  </si>
  <si>
    <t>v_rv9jW-t3mT4</t>
  </si>
  <si>
    <t>An outdoor track and field meet is shown.</t>
  </si>
  <si>
    <t>Pole vaulters are shown in a competition.</t>
  </si>
  <si>
    <t>Some of them make their jumps while others do not.</t>
  </si>
  <si>
    <t>v_Prt07JFztMI</t>
  </si>
  <si>
    <t>Two men are in an alley.</t>
  </si>
  <si>
    <t>They are bouncing up and down on sticks.</t>
  </si>
  <si>
    <t>There is a van in the foreground.</t>
  </si>
  <si>
    <t>There are also several buildings.</t>
  </si>
  <si>
    <t>v_EmM2yXiiz5c</t>
  </si>
  <si>
    <t>A man rides a bicycle behind three men who are running in a professional race on a paved freeway lined with onlookers, spectators and participants.</t>
  </si>
  <si>
    <t>A man is riding a bicycle down a freeway wearing a helmet and sporting a paper tag on the front of the bicycle.</t>
  </si>
  <si>
    <t>Three men are running in front of the man on the bicycle with one of the men juggling three balls while running and one drinking water and waiving at the crowd.</t>
  </si>
  <si>
    <t>The men turn a bend while jogging and an onlooker starts clapping for them from behind.</t>
  </si>
  <si>
    <t>v_64vbnwtL7I8</t>
  </si>
  <si>
    <t>Groups of people bowl games in a bowling alley.</t>
  </si>
  <si>
    <t>People in recorded video of the bowling match.</t>
  </si>
  <si>
    <t>Spectators sit and stand behind the railing watching the event.</t>
  </si>
  <si>
    <t>A man bowls a his turns standing backwards.</t>
  </si>
  <si>
    <t>People in the stands cheer for the bowler.</t>
  </si>
  <si>
    <t>v_SSqVGeD2XaQ</t>
  </si>
  <si>
    <t>Three men are seen speaking and waving to the camera that leads into the men playing games with strangers on the street.</t>
  </si>
  <si>
    <t>The winner gets to kiss the man and the loser gets to slap him.</t>
  </si>
  <si>
    <t>Several shots are shown of him slapping and kissing girls as well as running around the area to find more people.</t>
  </si>
  <si>
    <t>v_3rqesp6F95Q</t>
  </si>
  <si>
    <t>A few people are seen standing around various fooseball tables playing games with one another.</t>
  </si>
  <si>
    <t>The people continue to push the ball around back and fourth while the camera focuses on one game.</t>
  </si>
  <si>
    <t>The people keep track of their scores and others watch them in the distance.</t>
  </si>
  <si>
    <t>v_k2U1lOpLqdk</t>
  </si>
  <si>
    <t>As a red cut scene passes a young man in a blue shirt is seen concentrating.</t>
  </si>
  <si>
    <t>Afterwards another man is seen on a curling rink releasing a rock stone as two other men use brooms to clear the way as the stone travels down the path.</t>
  </si>
  <si>
    <t>The act continues with the same men once more engaging in the same act.</t>
  </si>
  <si>
    <t>Afterwards another young man in a blue shirt repeats the same move as the white team looks on.</t>
  </si>
  <si>
    <t>Finally as spectators look on, a member of the white team releases a rock stone and two men from the team use brooms to clear the path.</t>
  </si>
  <si>
    <t>v_Y-SehqCvzME</t>
  </si>
  <si>
    <t>A man is seen speaking to the camera while holding a guitar in his hands.</t>
  </si>
  <si>
    <t>The man begins playing the guitar and singing into a microphone.</t>
  </si>
  <si>
    <t>The man continues singing and playing and stops in the end.</t>
  </si>
  <si>
    <t>v_mQ9e5RyHE_k</t>
  </si>
  <si>
    <t>A man is seen speaking to the camera as well as several shots of a bowling alley and him bowling a ball.</t>
  </si>
  <si>
    <t>He continues speaking to the camera while showing several videos of him throwing the bowling ball and hitting several pins.</t>
  </si>
  <si>
    <t>v_-V5_GMuMzc8</t>
  </si>
  <si>
    <t>Another man is giving him a hair cut.</t>
  </si>
  <si>
    <t>He then brushes off the mans neck.</t>
  </si>
  <si>
    <t>v_Q0UzDeDra3U</t>
  </si>
  <si>
    <t>A man demonstrates how to change the tire on a car.</t>
  </si>
  <si>
    <t>A car drives through a street and then shows as being parked at which a man approaches the car holding a lug nut removal tool.</t>
  </si>
  <si>
    <t>The man removes the lug nuts and then jacks the car up.</t>
  </si>
  <si>
    <t>The man then removes the tire and pulls a spare tire off of the back of the car.</t>
  </si>
  <si>
    <t>The man then puts the new tire on the car.</t>
  </si>
  <si>
    <t>v_PG0ao4HkF8M</t>
  </si>
  <si>
    <t>A man hangs wallpaper on a blank wall.</t>
  </si>
  <si>
    <t>Each frame is rolled down and put on the wall.</t>
  </si>
  <si>
    <t>v_R4M90w2zPVU</t>
  </si>
  <si>
    <t>A man in a red hockey helmet and with a long curling mustache is seen in a still shot standing next to a woman while leaning on a glass barrier in front of a hockey skate rink.</t>
  </si>
  <si>
    <t>The man is then shown entering a live hockey game and playing hockey with a floor filled with other players.</t>
  </si>
  <si>
    <t>Another man is shown sitting next to a snoopy doll before the camera changes back to the man in the mustache again in another still shot.</t>
  </si>
  <si>
    <t>v_85DumZo8-ik</t>
  </si>
  <si>
    <t>A woman claps her hands together.</t>
  </si>
  <si>
    <t>She sprints down a track.</t>
  </si>
  <si>
    <t>She jumps up in the air.</t>
  </si>
  <si>
    <t>v_uO2YgcdqoZg</t>
  </si>
  <si>
    <t>A man dressed in a black wife-beater is near a fluorescent wall glass and is talking.</t>
  </si>
  <si>
    <t>As he is talking,several clips appear in between him where he is in a room with three walls and glass as the fourth wall while playing wall ball.</t>
  </si>
  <si>
    <t>The final scene is shown,and the male comes back talking before finally flashing a url at then end.</t>
  </si>
  <si>
    <t>v_Mm6iYEyY9dI</t>
  </si>
  <si>
    <t>A young man is seen standing in the middle of a large field holding instruments and standing in front of others.</t>
  </si>
  <si>
    <t>The man then begins playing the instruments one by one.</t>
  </si>
  <si>
    <t>Several kids then walk into frame using hula hoops while the man joins in still singing and clapping his hands.</t>
  </si>
  <si>
    <t>v_wtQQ5I0QRuw</t>
  </si>
  <si>
    <t>A young women in her bra and underwear sits on a bed.</t>
  </si>
  <si>
    <t>She then applies lotion to her legs and hands.</t>
  </si>
  <si>
    <t>She is very thorough in her work making sure not to miss anything.</t>
  </si>
  <si>
    <t>She then starts the process of shaving her legs very intently.</t>
  </si>
  <si>
    <t>She continues this process with her other leg being very good at attention to detail.</t>
  </si>
  <si>
    <t>v_4eCKiA1czfk</t>
  </si>
  <si>
    <t>A person blows leaves using a leaf blower.</t>
  </si>
  <si>
    <t>Then, an area without leaves are shown next to the trees.</t>
  </si>
  <si>
    <t>v_zT6ITDwPi0w</t>
  </si>
  <si>
    <t>A girl stands and talks in a public restroom.</t>
  </si>
  <si>
    <t>The girl goes into a stall and closes the door.</t>
  </si>
  <si>
    <t>She emerges and washes her hands.</t>
  </si>
  <si>
    <t>She takes a paper and drys her hands.</t>
  </si>
  <si>
    <t>Another person is washing their hands.</t>
  </si>
  <si>
    <t>The girl throws away the papertowel.</t>
  </si>
  <si>
    <t>v_eOmL8f-yB40</t>
  </si>
  <si>
    <t>A man taps the top of a piano with a stick and talks to a large band sitting in front of him.</t>
  </si>
  <si>
    <t>He sits down at the piano and he and the band play.</t>
  </si>
  <si>
    <t>A large audience watches from near by.</t>
  </si>
  <si>
    <t>The man throws the stick behind the band.</t>
  </si>
  <si>
    <t>The man plays standing for a moment and then bows.</t>
  </si>
  <si>
    <t>v_83a5nOzZU1g</t>
  </si>
  <si>
    <t>A drink is being poured into a glass followed by a woman grabbing a glass and pouring mixtures into it.</t>
  </si>
  <si>
    <t>She creates an alcoholic drink by pouring several different mixes together and the camera zooming in on the drink.</t>
  </si>
  <si>
    <t>v_EqqqGf4wLH0</t>
  </si>
  <si>
    <t>A Mexican band is playing and singing.</t>
  </si>
  <si>
    <t>The camera does a closeup on each member.</t>
  </si>
  <si>
    <t>There is a crowd listening to them.</t>
  </si>
  <si>
    <t>The band name is on the back of their shirts.</t>
  </si>
  <si>
    <t>v_k6AzbT12a9c</t>
  </si>
  <si>
    <t>This man is on his hands and knees on the floor.</t>
  </si>
  <si>
    <t>This is being recorded from a tv screen and it's really loud.</t>
  </si>
  <si>
    <t>There's no one else in the room with this man and he looks like a woman who's being entered from behind.</t>
  </si>
  <si>
    <t>v_DaDHatB3RbM</t>
  </si>
  <si>
    <t>A close up of a canoe is seen moving along the water showing a person paddling in the front.</t>
  </si>
  <si>
    <t>Several more people are seen riding around in canoes and showing waterfalls as well as a fire.</t>
  </si>
  <si>
    <t>v_nj5dMUGvOWo</t>
  </si>
  <si>
    <t>A woman is doing a gymnastics routine on uneven bars.</t>
  </si>
  <si>
    <t>A woman does flips on the bar.</t>
  </si>
  <si>
    <t>She jumps off and lands on a mat.</t>
  </si>
  <si>
    <t>v_IDr50VT8BK8</t>
  </si>
  <si>
    <t>She picks up a red brush and begins brushing her hair.</t>
  </si>
  <si>
    <t>A Netflix advertisement is shown on the screen.</t>
  </si>
  <si>
    <t>v_iCkDtX_mTII</t>
  </si>
  <si>
    <t>A man is sitting on an exercise machine.</t>
  </si>
  <si>
    <t>He pulls a bar in front of him and starts working out.</t>
  </si>
  <si>
    <t>He drops the bar and finishes.</t>
  </si>
  <si>
    <t>v_lGvI5pyjpFg</t>
  </si>
  <si>
    <t>A young girl is seen standing behind a table squeezing limes while another washes dishes in the background.</t>
  </si>
  <si>
    <t>The girl continues juicing the fruit and walks towards the camera then back again.</t>
  </si>
  <si>
    <t>v_oZa-yum3mcU</t>
  </si>
  <si>
    <t>The Duggar mom and a little girl walks up to another woman at a horse ranch and the words on the bottom left say the woman's name is Morgan Brown and she's the Equestrian Instructor.</t>
  </si>
  <si>
    <t>The woman leads them into the barn and she puts a helmet on the little girls head, they walk to get horses and at some point the Duggar mom put a helmet on as well.</t>
  </si>
  <si>
    <t>In between interviews they show the Duggar mom and the little girl getting instructions about their horse and then getting on their horses and riding on them in an enclosed area.</t>
  </si>
  <si>
    <t>The red and white TLC logo remains on the bottom right area of the screen the whole time.</t>
  </si>
  <si>
    <t>v_B_heSKsoI9o</t>
  </si>
  <si>
    <t>A man is seen speaking to the camera and leads into several people holding and shooting bows.</t>
  </si>
  <si>
    <t>The instructors assists the students while speaking to the camera and shows several shots of the person shooting the arrows.</t>
  </si>
  <si>
    <t>v_c0Hix_5Vm8I</t>
  </si>
  <si>
    <t>A vans off the wall ad is shown.</t>
  </si>
  <si>
    <t>Multiple pictures flash across the screen.</t>
  </si>
  <si>
    <t>Men are shown drinking wine before performing numerous tricks on ski boards.</t>
  </si>
  <si>
    <t>Images of them in the air performing tricks and jumping are shown.</t>
  </si>
  <si>
    <t>v_h49mHiWjXBA</t>
  </si>
  <si>
    <t>man is standing in an icetrack talking to the camera.</t>
  </si>
  <si>
    <t>people are playing curling in an ice court.</t>
  </si>
  <si>
    <t>v_BIJK3xcjiKE</t>
  </si>
  <si>
    <t>Several clips are shown of people playing soccer in front of a large stadium.</t>
  </si>
  <si>
    <t>The people kick a ball all around the area as well as throw their hands up.</t>
  </si>
  <si>
    <t>More shots are shown of people playing against one another on different fields and celebrating.</t>
  </si>
  <si>
    <t>v__7AyUgKv3kU</t>
  </si>
  <si>
    <t>A kid is seen speaking to the camera and pans over to an older woman blowing leaves in yard.</t>
  </si>
  <si>
    <t>The woman speaks to the boy and he walks over to her while she still blows leaves around.</t>
  </si>
  <si>
    <t>In the end she's seen walking away past a fence.</t>
  </si>
  <si>
    <t>v_mhU_KzxJyr4</t>
  </si>
  <si>
    <t>A young male is sitting in the desert on top of a camel.</t>
  </si>
  <si>
    <t>The man begins talking to another male who has a red wrap on his head.</t>
  </si>
  <si>
    <t>The camel then lifts up and begins walking throughout the desert towards a group of kids and cars.</t>
  </si>
  <si>
    <t>v_1PTNnaEu8xo</t>
  </si>
  <si>
    <t>A man is tying a yellow belt around the waist of a taller man who shakes his hand and then shakes everyone else.</t>
  </si>
  <si>
    <t>The man and another begin to do some karate moves against one another but they rarely make physical contact.</t>
  </si>
  <si>
    <t>There is a group of men standing around them watching them.</t>
  </si>
  <si>
    <t>When they are finished, they take all take a group photo together.</t>
  </si>
  <si>
    <t>v_om1vXrpctVE</t>
  </si>
  <si>
    <t>Two large men are seen standing in a pit surrounded by others and one ref standing in the middle.</t>
  </si>
  <si>
    <t>The men then bow before one another as people continue to sweep the arena and lead into the men fighting.</t>
  </si>
  <si>
    <t>The men continuously wrestle one another while the ref moves around them and ends with them walking around then off stage.</t>
  </si>
  <si>
    <t>v_q9y-83399Ao</t>
  </si>
  <si>
    <t>A person in a yellow cap is swimming in a swimming pool.</t>
  </si>
  <si>
    <t>A person in a white shirt is talking.</t>
  </si>
  <si>
    <t>The person is out of the water moving their arms.</t>
  </si>
  <si>
    <t>v_NeUIHk1uCgA</t>
  </si>
  <si>
    <t>A woman mounts a beam with an audience in the background.</t>
  </si>
  <si>
    <t>The woman performs gymnastics on the beam.</t>
  </si>
  <si>
    <t>The woman dismounts from the beam.</t>
  </si>
  <si>
    <t>v_QY-2lN9zwho</t>
  </si>
  <si>
    <t>A young boy laughs while holding two toothbrushes.</t>
  </si>
  <si>
    <t>He uses an electric brush to brush his teeth.</t>
  </si>
  <si>
    <t>He shakes the brush, occasionally pouring water on it and putting it back in his mouth.</t>
  </si>
  <si>
    <t>v_A1SuSeqDTEI</t>
  </si>
  <si>
    <t>We see a man preparing to get in a kayak.</t>
  </si>
  <si>
    <t>We then see the man riding in his kayak on a rough river.</t>
  </si>
  <si>
    <t>The man goes over a rock.</t>
  </si>
  <si>
    <t>We see a mountain near the river.</t>
  </si>
  <si>
    <t>The kayak is overturned in the river.</t>
  </si>
  <si>
    <t>We see the man on the shore.</t>
  </si>
  <si>
    <t>We see the man go over a waterfall.</t>
  </si>
  <si>
    <t>We see the man pull his kayak onto the shore.</t>
  </si>
  <si>
    <t>We see the kayak overturned and we then see the river running.</t>
  </si>
  <si>
    <t>We see the ending screens.</t>
  </si>
  <si>
    <t>v_QCBaT1NJ32E</t>
  </si>
  <si>
    <t>A woman is seen laughing to the camera and begins smoking a cigarette.</t>
  </si>
  <si>
    <t>The woman takes puffs off of her cigarette while looking into the camera.</t>
  </si>
  <si>
    <t>The woman continues lifting up her cigarette and blowing smoke into the distance.</t>
  </si>
  <si>
    <t>v_g2uL6H3fP1c</t>
  </si>
  <si>
    <t>We see a man walking in a parking lot.</t>
  </si>
  <si>
    <t>The man starts performing martial arts moves.</t>
  </si>
  <si>
    <t>The man removes his shirt and necklace.</t>
  </si>
  <si>
    <t>The man flips around and does Capoeira moves.</t>
  </si>
  <si>
    <t>We see the man do a handstand on one hand.</t>
  </si>
  <si>
    <t>The man finishes, grabs his shirt, and walks off.</t>
  </si>
  <si>
    <t>We see video clips in the closing screen.</t>
  </si>
  <si>
    <t>v_p0O-EsMFcL4</t>
  </si>
  <si>
    <t>An individual rides on an inner tube down a river with rocks in it.</t>
  </si>
  <si>
    <t>A man pushes the individual downstream.</t>
  </si>
  <si>
    <t>Another man pushes the individual further downstream.</t>
  </si>
  <si>
    <t>v_kMYZWwZXx3E</t>
  </si>
  <si>
    <t>A camera pans all around a fence while text is being shown across.</t>
  </si>
  <si>
    <t>A person is shown in several shots spraying down the fence with a hose.</t>
  </si>
  <si>
    <t>In the end more clips are shown of the fence.</t>
  </si>
  <si>
    <t>v_lzQwtmUrSK4</t>
  </si>
  <si>
    <t>People are running around on dirt playing soccer.</t>
  </si>
  <si>
    <t>People are in an indoor arena playing soccer.</t>
  </si>
  <si>
    <t>People in the stands are applauding for them.</t>
  </si>
  <si>
    <t>v_c05oRliUOxk</t>
  </si>
  <si>
    <t>We see an opening title scene.</t>
  </si>
  <si>
    <t>We see people riding horses through the mountains.</t>
  </si>
  <si>
    <t>We turn and see the canyon and river.</t>
  </si>
  <si>
    <t>A person in blue turns around a few times.</t>
  </si>
  <si>
    <t>We see a large white mound of snow.</t>
  </si>
  <si>
    <t>The person in the blue shirt looks up the mountain.</t>
  </si>
  <si>
    <t>We see a blue bar at the bottom of the screen.</t>
  </si>
  <si>
    <t>v_wrf4MfW4MGg</t>
  </si>
  <si>
    <t>A man with long hair is seen brushing his face with a brush while holding his hand up and speaking to the camera.</t>
  </si>
  <si>
    <t>He then holds up the brush and grabs his hoodie while smiling at the camera.</t>
  </si>
  <si>
    <t>v_U_qCCwgS0OM</t>
  </si>
  <si>
    <t>Intro leads into A man mopping up dirt on a floor and showing the tools afterwards.</t>
  </si>
  <si>
    <t>Several shots of mops pushing around dirt is shown followed by the better mop being dipped into water and dripped on a table.</t>
  </si>
  <si>
    <t>A 3d mop shows how it works with a woman also moping up things on her floor.</t>
  </si>
  <si>
    <t>Several other shots of people mopping are shown as well as people shrugging and where to buy the mops.</t>
  </si>
  <si>
    <t>v_YrMrSXH8k6k</t>
  </si>
  <si>
    <t>A man is seen holding a blow torch and begins using it while pulling his mask down.</t>
  </si>
  <si>
    <t>The man continuously sparks with the machine on a piece of metal.</t>
  </si>
  <si>
    <t>He stops in the end while taking off his mask and looking into the camera.</t>
  </si>
  <si>
    <t>v_X4IE65LtDzQ</t>
  </si>
  <si>
    <t>A woman and young girl are seen speaking to the camera while holding together a toy.</t>
  </si>
  <si>
    <t>The two create a hop scotch game with the toy and lay it down on the ground and show off the foam.</t>
  </si>
  <si>
    <t>The woman speaks to the camera while the girl hops along the game.</t>
  </si>
  <si>
    <t>v_0bjHe_5nACw</t>
  </si>
  <si>
    <t>A woman is seen speaking to the camera while holding a violin and continues with her playing the violin and pausing.</t>
  </si>
  <si>
    <t>The woman continues playing the instrument and stopping to speak to the camera and demonstrate how to play.</t>
  </si>
  <si>
    <t>v_jwqotL-yNvE</t>
  </si>
  <si>
    <t>A video is shown of a first person view of someone exploring a large open field on the way to a track.</t>
  </si>
  <si>
    <t>Then, the person puts the camera down and begins working out on the track.</t>
  </si>
  <si>
    <t>The guys takes off his track suit and continues to work out.</t>
  </si>
  <si>
    <t>He flips himself over in the air and lands on a pile of sand.</t>
  </si>
  <si>
    <t>He proceeds to do some break dancing moves before the video ends.</t>
  </si>
  <si>
    <t>v_Wx-fRCjU9r0</t>
  </si>
  <si>
    <t>Teams are playing ice hockey in the center so everyone who's sitting down can watch them.</t>
  </si>
  <si>
    <t>The blue team scores a goal first and then people start clapping and cheering.</t>
  </si>
  <si>
    <t>Next the blue team scores another one again and the crowd goes wild.</t>
  </si>
  <si>
    <t>v_wt-PGxOkL_s</t>
  </si>
  <si>
    <t>A woman is seen bending down in front of the camera and turn on a faucet of water.</t>
  </si>
  <si>
    <t>The woman continues uses the water and begins scrubbing down a shirt and stepping in the buckets.</t>
  </si>
  <si>
    <t>More shots are shown of them cleaning the clothes and ends by hanging them up.</t>
  </si>
  <si>
    <t>v_Ls8ha6c0ye8</t>
  </si>
  <si>
    <t>a man is driving a car through a window.</t>
  </si>
  <si>
    <t>He gets a pass into a park area.</t>
  </si>
  <si>
    <t>He is shown driving, walking, and riding horses as he explores the area.</t>
  </si>
  <si>
    <t>v_c8iet_4ndU0</t>
  </si>
  <si>
    <t>A girl is jumping and swinging on balance bars.</t>
  </si>
  <si>
    <t>A woman in a black shirt is standing under her watching.</t>
  </si>
  <si>
    <t>She helps her jump off and land on a mat.</t>
  </si>
  <si>
    <t>v_9VGxxRNOdbM</t>
  </si>
  <si>
    <t>A gymnast put power chalk power on his hands and stands near the pommel horse.</t>
  </si>
  <si>
    <t>Then, the gymnast approach the pommel horse to spin around many times.</t>
  </si>
  <si>
    <t>Then, the gymnast stand on his hand and jumps to land on the floor, while people applaud.</t>
  </si>
  <si>
    <t>v_JSDZWq777Mc</t>
  </si>
  <si>
    <t>A man walks up to the side of a cabin.</t>
  </si>
  <si>
    <t>He uses a large knife to cut through the grass.</t>
  </si>
  <si>
    <t>He swings the knife back and forth, cutting the grass and weeds.</t>
  </si>
  <si>
    <t>v_xWY7A8Sf-HE</t>
  </si>
  <si>
    <t>A woman is standing on a field while people are gathered behind her.</t>
  </si>
  <si>
    <t>Several people run together, chasing each other.</t>
  </si>
  <si>
    <t>Kids are shown close up at the end.</t>
  </si>
  <si>
    <t>v_6z6iFou8nW0</t>
  </si>
  <si>
    <t>A boy in a green shirt steps on a stool to reach the sink.</t>
  </si>
  <si>
    <t>A woman stands next to him.</t>
  </si>
  <si>
    <t>The little boy washes his hands in the sink.</t>
  </si>
  <si>
    <t>She wipes the sink with a paper towel.</t>
  </si>
  <si>
    <t>The boy dries his hands with a towel.</t>
  </si>
  <si>
    <t>v_ctMcsGnutho</t>
  </si>
  <si>
    <t>A woman is seen speaking to the camera in a dealership and leads into several close ups of a car.</t>
  </si>
  <si>
    <t>The woman then presents various tools and begins taking off the tire off of the car.</t>
  </si>
  <si>
    <t>She pulls out a new tire and places it on the car, screwing it in place and showing where the tire is in the trunk.</t>
  </si>
  <si>
    <t>She closes the trunk and shows off the car while still speaking to the camera.</t>
  </si>
  <si>
    <t>v_wWOH-b4PTq4</t>
  </si>
  <si>
    <t>A large group of people are seen sitting on a beach that leads into several people sitting on sail boats and riding along.</t>
  </si>
  <si>
    <t>The various boats continue riding all along the water with the winner jumping in the water and standing proudly on the podium.</t>
  </si>
  <si>
    <t>v_h-N9TvaBax8</t>
  </si>
  <si>
    <t>woman is talking in news talking about a los angeles baseball player.</t>
  </si>
  <si>
    <t>me are in a street court playing dodgeball wearing dodgers uniform, people are watching the game and cars are passing by in the street.</t>
  </si>
  <si>
    <t>men wearing dodgers uniform are shown in pictures in a baseball field people on the terraces and the woman on the news talking about them.</t>
  </si>
  <si>
    <t>v_FrvK75jGdjE</t>
  </si>
  <si>
    <t>A child plays a violin on stage during a solo performance.</t>
  </si>
  <si>
    <t>A man watches with interest from the side of the stage.</t>
  </si>
  <si>
    <t>The girl pauses briefly then begins playing again.</t>
  </si>
  <si>
    <t>The girl lowers her violin and wand at the end of the performance.</t>
  </si>
  <si>
    <t>v_jqZg_FK2OlM</t>
  </si>
  <si>
    <t>A camera pans around a fenced in are and leads into a woman holding a paint brush.</t>
  </si>
  <si>
    <t>She brushes the side of the fence up and down while the camera continues looking around the side.</t>
  </si>
  <si>
    <t>v_DkouAjobzac</t>
  </si>
  <si>
    <t>An intro leads into a man talking and smiling into a camera and several shots of people preparing a boat and riding along the water.</t>
  </si>
  <si>
    <t>Another woman is seen talking to the camera followed by several more shots of the boat along the water and people riding and steering the boat.</t>
  </si>
  <si>
    <t>v_o1R8glzh0As</t>
  </si>
  <si>
    <t>Three men are seen walking in slow motion while another girl walks into frame and the group grab tubes from a pile.</t>
  </si>
  <si>
    <t>The people speak to the camera and are then seen sitting in the tubes and floating down a river.</t>
  </si>
  <si>
    <t>The people continuously ride down the river while bobbing back and fourth and are then seen sitting on a bus and speaking to one another.</t>
  </si>
  <si>
    <t>v_kzdRUWpBXd4</t>
  </si>
  <si>
    <t>A large group of people are seen dressed up in holiday gear and are seen throwing objects at one another.</t>
  </si>
  <si>
    <t>The people continue playing dodgeball against one another and end by dancing in the middle.</t>
  </si>
  <si>
    <t>v_6ffxjwTIZHk</t>
  </si>
  <si>
    <t>A man in a green shirt is holding some papers and talking outside.</t>
  </si>
  <si>
    <t>He starts moving some dirt next to a tree with his hand.</t>
  </si>
  <si>
    <t>He steps away from the tree and continues talking.</t>
  </si>
  <si>
    <t>v_Y53B2WdEbAg</t>
  </si>
  <si>
    <t>Several women are kneeling on the ground and working on preparing a soup.</t>
  </si>
  <si>
    <t>One of the women picks out some of the food from the grater.</t>
  </si>
  <si>
    <t>A woman slices some of the white vegetable into a yellow bowl.</t>
  </si>
  <si>
    <t>v_iFDr-o61ewo</t>
  </si>
  <si>
    <t>A little boy carries a bower on his back and blow dead leaves of a backyard.</t>
  </si>
  <si>
    <t>Then, the little boy goes to other place to blow leaves.</t>
  </si>
  <si>
    <t>After, the little boy blow leaves near a tree.</t>
  </si>
  <si>
    <t>v_Vf02ZDnbduk</t>
  </si>
  <si>
    <t>A piece of exercise equipment is put together through technology and then shown in real time.</t>
  </si>
  <si>
    <t>A person's hand turns a knob on the machine and begins running on the machine.</t>
  </si>
  <si>
    <t>Close ups of her feet are shown as well as several other angles of her running.</t>
  </si>
  <si>
    <t>v_AQSiBbhLBhs</t>
  </si>
  <si>
    <t>A woman with very long hair is standing on a balcony showing off the length of her hair.</t>
  </si>
  <si>
    <t>She turns around and faces the camera continuing to brush her hair and display its length.</t>
  </si>
  <si>
    <t>She begins to twirl and sway her hair with her back to the camera and that is when the video ends.</t>
  </si>
  <si>
    <t>v_2FcdD7WapJM</t>
  </si>
  <si>
    <t>A person is seen unscrewing a bottle of mouth wash and pouring it into a cup.</t>
  </si>
  <si>
    <t>The girl then drinks from it and swishes it around her mouth.</t>
  </si>
  <si>
    <t>She spits out the mixture and shows off pictures in the end.</t>
  </si>
  <si>
    <t>v_zLF5DSuDixg</t>
  </si>
  <si>
    <t>A compilation of shot put is put together, you see many different men getting prepared.</t>
  </si>
  <si>
    <t>They turn their bodies very quickly building up as much speed as they can before taking their shot.</t>
  </si>
  <si>
    <t>They practice and they do it professionally, it a serious sport that people really enjoy yo be a part of.</t>
  </si>
  <si>
    <t>They tend to get very excited when they do good on their throws.</t>
  </si>
  <si>
    <t>v__032TQam_mY</t>
  </si>
  <si>
    <t>A woman in a purple coat is talking.</t>
  </si>
  <si>
    <t>She starts brushing a horse with the brush.</t>
  </si>
  <si>
    <t>She cleans the bottom of the horse's foot.</t>
  </si>
  <si>
    <t>She sprays the horse's tail and starts brushing it.</t>
  </si>
  <si>
    <t>She finishes and continues talking to the camera.</t>
  </si>
  <si>
    <t>v_nfe_V3ei6ag</t>
  </si>
  <si>
    <t>A volleyball player throws the ball in the air.</t>
  </si>
  <si>
    <t>Her teammate catches it and throws it over the net.</t>
  </si>
  <si>
    <t>The volleyball player serves the ball.</t>
  </si>
  <si>
    <t>An opposing player dives to spike the ball.</t>
  </si>
  <si>
    <t>Her teammate throws the ball over the net.</t>
  </si>
  <si>
    <t>The volleyball player who dove earlier spikes the ball over the net.</t>
  </si>
  <si>
    <t>An opposing player hits the ball.</t>
  </si>
  <si>
    <t>Her teammate hits it back at her.</t>
  </si>
  <si>
    <t>The teammate spikes it over the net.</t>
  </si>
  <si>
    <t>The opposing player hits the ball.</t>
  </si>
  <si>
    <t>Her teammate throws the ball over the net to the opposing team.</t>
  </si>
  <si>
    <t>The opposing player hits the ball towards her teammate.</t>
  </si>
  <si>
    <t>Her teammate hits the ball.</t>
  </si>
  <si>
    <t>Her teammate hits the ball over the net.</t>
  </si>
  <si>
    <t>An opposing player dives and hits the ball.</t>
  </si>
  <si>
    <t>One of the teammates on the opposing team dives to catch and throw the out of bounds ball.</t>
  </si>
  <si>
    <t>v_dE1NAofn3ks</t>
  </si>
  <si>
    <t>A curler prepares to make a curling shot while being watch be other people in the arena.</t>
  </si>
  <si>
    <t>She makes the shot and lets go of the puck as the other team members chase it and sweep the ice.</t>
  </si>
  <si>
    <t>Another shot is made, and team members proceed to follow the shot and sweep the ice.</t>
  </si>
  <si>
    <t>A third shot is then made and the curlers allow the shot to knock out another puck.</t>
  </si>
  <si>
    <t>v_BII4aKnegaU</t>
  </si>
  <si>
    <t>A small group of people are seen taking a spin class together that leads into a man speaking to the camera.</t>
  </si>
  <si>
    <t>Shots of the gym are shown that lead into another cycling class with the man leading the group and still speaking to the camera.</t>
  </si>
  <si>
    <t>v_EjUMR9v_8Pg</t>
  </si>
  <si>
    <t>A man and a woman are sitting down talking on a bench in front of a wall with several rims.</t>
  </si>
  <si>
    <t>The two then stand up and begin talking and you can see that they are in a junk yard.</t>
  </si>
  <si>
    <t>Finally,they begin dancing together and do rugged hip hop dance moves suited for the environment.</t>
  </si>
  <si>
    <t>v_YPlsA_vTltk</t>
  </si>
  <si>
    <t>A girl walks in from the side and begins stomping in the room.</t>
  </si>
  <si>
    <t>The girl continues exercising and moves side to side and starts to put her foot up moving in a hip hop fashion.</t>
  </si>
  <si>
    <t>She then moves into a sort of squat of some sort and continues moving and then slides from left to right and continues dancing and crumping.</t>
  </si>
  <si>
    <t>v_DuU7OKTAmsY</t>
  </si>
  <si>
    <t>We see people floating in a lake in purple rafts.</t>
  </si>
  <si>
    <t>A person puts their feet on a rock.</t>
  </si>
  <si>
    <t>The people hit the rough water.</t>
  </si>
  <si>
    <t>We see a red canoe on the shore.</t>
  </si>
  <si>
    <t>We pan over the river.</t>
  </si>
  <si>
    <t>v_Cdmd9VB8tJI</t>
  </si>
  <si>
    <t>A man is shown washing a dog with a water hose in a backyard with several flowers.</t>
  </si>
  <si>
    <t>The camera pans around the wet dog as the man continues to wash him and he shakes off.</t>
  </si>
  <si>
    <t>He pours more shampoo on the dog and rubs the shampoo into it's fur.</t>
  </si>
  <si>
    <t>v_lKSWdEIuJtM</t>
  </si>
  <si>
    <t>A back yard area is seen that leads into several kids and older man working on a ladder.</t>
  </si>
  <si>
    <t>The group cuts hedges along the side as well as throw them into a bucket and help the older man.</t>
  </si>
  <si>
    <t>The kids continue to help the other man by gathering leaves as he pushing them back towards the front.</t>
  </si>
  <si>
    <t>v_opaWopwV74I</t>
  </si>
  <si>
    <t>A woman is sitting bent over and washing her laundry by hand in a bowl.</t>
  </si>
  <si>
    <t>Her friend comes by and talks to her and laugh before walking away again.</t>
  </si>
  <si>
    <t>She continues to scrub her clothes extensively, making sure its nice and clean before putting in another bucket.</t>
  </si>
  <si>
    <t>She washes and washes and throws them in the dry bucket when she is done.</t>
  </si>
  <si>
    <t>v_v8fS--GlXF4</t>
  </si>
  <si>
    <t>A man is seen kneeling down on the dirt when a bull comes running into the man.</t>
  </si>
  <si>
    <t>He knocks over the man and is dragged away, followed by his clip being shown again.</t>
  </si>
  <si>
    <t>Several more clips are shown of people chasing bulls and running away.</t>
  </si>
  <si>
    <t>v_v3tNh1and0U</t>
  </si>
  <si>
    <t>A swimmer swims inside of a pool.</t>
  </si>
  <si>
    <t>The swimmer is seen wearing a training snorkel.</t>
  </si>
  <si>
    <t>v_Gi55CA6ktE8</t>
  </si>
  <si>
    <t>A screen of fighters are shown and then two random images are selected.</t>
  </si>
  <si>
    <t>Once selected,the pictures move to the top corners of the screen and two people dressed in sumo uniforms stand in the middle of a round-about and begin fighting as cars travel around them.</t>
  </si>
  <si>
    <t>v_rhDxMg72ofo</t>
  </si>
  <si>
    <t>An intro begins then shows pictures of a girl standing in the bathroom with long, straight hair.</t>
  </si>
  <si>
    <t>She then begins talking to the camera while stroking her hair followed by blow drying and brushing her hair.</t>
  </si>
  <si>
    <t>She then puts lotion into her hair and breaking her hair into sections.</t>
  </si>
  <si>
    <t>She straightens each section of hair and smiles in the end.</t>
  </si>
  <si>
    <t>v_sYpC9oPhmY4</t>
  </si>
  <si>
    <t>A band is gathered outside a building.</t>
  </si>
  <si>
    <t>A leader is using a baton to instruct them.</t>
  </si>
  <si>
    <t>They are playing the drums for a small audience.</t>
  </si>
  <si>
    <t>v_V4BNtCtuSQQ</t>
  </si>
  <si>
    <t>A guy in the backyard is mowing the lawn on a hot and sunny day while a lady records and narrates.</t>
  </si>
  <si>
    <t>He starts to go in a back and forth motion as he moves the mower.</t>
  </si>
  <si>
    <t>The guy changes direction as he continues to mow.</t>
  </si>
  <si>
    <t>v_MnzVdvbvnMc</t>
  </si>
  <si>
    <t>A group of guards march down a driveway as they play the trumpets.</t>
  </si>
  <si>
    <t>A man heats a small pan with a flame.</t>
  </si>
  <si>
    <t>Three soldiers standing near watch him.</t>
  </si>
  <si>
    <t>The man grabs a paintbrush and moves it around in the pan.</t>
  </si>
  <si>
    <t>He takes the brush and brushes a shoe.</t>
  </si>
  <si>
    <t>He flames the shoe with the flame canister.</t>
  </si>
  <si>
    <t>He brushes the shoe again.</t>
  </si>
  <si>
    <t>He then flames the shoe some more.</t>
  </si>
  <si>
    <t>v_-DTxZliHCTE</t>
  </si>
  <si>
    <t>A man is mowing the lawn on a yard and laughing and making jokes with friends that are watching.</t>
  </si>
  <si>
    <t>He begins to run with the lawn mover and nearly runs into something as his friends laugh in enjoyment.</t>
  </si>
  <si>
    <t>One of his friends tries to help him as he is mowing the lawn.</t>
  </si>
  <si>
    <t>v_6aj1njn541k</t>
  </si>
  <si>
    <t>a girl is sitting in a chair talking.</t>
  </si>
  <si>
    <t>A woman walks up to the girl and wipes her earlobes.</t>
  </si>
  <si>
    <t>The woman then pierces the girl's ear.</t>
  </si>
  <si>
    <t>The girl puts her glasses on after her ears are pieced.</t>
  </si>
  <si>
    <t>v_q6bl7g5JGng</t>
  </si>
  <si>
    <t>A man is shown smiling in an image as words go over his face.</t>
  </si>
  <si>
    <t>He is in and indoor court, showing a little boy how to hit a tennis ball against the wall with a racket.</t>
  </si>
  <si>
    <t>The boy tries several times.</t>
  </si>
  <si>
    <t>v_AF8sbdPa4rE</t>
  </si>
  <si>
    <t>A man with no hands grabs a dart that is stuck to the board and walks backward.</t>
  </si>
  <si>
    <t>He then throws the dark up in the air to show it landed on the board.</t>
  </si>
  <si>
    <t>v_F5IWShcFIN4</t>
  </si>
  <si>
    <t>A storm trooper is seen speaking to the camera and leads into a camera panning around a neighbor and the man walking around.</t>
  </si>
  <si>
    <t>Many kids stop to speak to the man as well as cars stopping to speak.</t>
  </si>
  <si>
    <t>v_YBuNpnthXfE</t>
  </si>
  <si>
    <t>A large group of people are seen playing a game of tug of war with other people walking around.</t>
  </si>
  <si>
    <t>The people play back and fourth while others watching on the side.</t>
  </si>
  <si>
    <t>One group then pulls another down and ends by walking away.</t>
  </si>
  <si>
    <t>v_lsgB3WU-1r0</t>
  </si>
  <si>
    <t>A city skyline appears in front of a large river.</t>
  </si>
  <si>
    <t>Several businesses are shown from the outside.</t>
  </si>
  <si>
    <t>A fencing match commences inside a building.</t>
  </si>
  <si>
    <t>v_2fs09c8gFsk</t>
  </si>
  <si>
    <t>We see people riding bumper cars.</t>
  </si>
  <si>
    <t>The camera moves down the row to the right.</t>
  </si>
  <si>
    <t>The girl in black gets stuck the gets going.</t>
  </si>
  <si>
    <t>The cars then come to a stop.</t>
  </si>
  <si>
    <t>v_hv3tNd_6qB4</t>
  </si>
  <si>
    <t>A woman dances while another stands in the background.</t>
  </si>
  <si>
    <t>A third woman sweeps the floor.</t>
  </si>
  <si>
    <t>The second woman starts walking around with a towel under one foot.</t>
  </si>
  <si>
    <t>The first woman stops dancing and starts walking around with a towel under one foot.</t>
  </si>
  <si>
    <t>The sweeping woman stops, jumps, and waves before resuming.</t>
  </si>
  <si>
    <t>The first woman pulls items out of a cabinet and places them on the floor.</t>
  </si>
  <si>
    <t>A fourth individual is briefly shown in the doorway.</t>
  </si>
  <si>
    <t>v_rfWlK9njyzg</t>
  </si>
  <si>
    <t>The floor has a hopscotch on it.</t>
  </si>
  <si>
    <t>Someone is sitting with a lap top.</t>
  </si>
  <si>
    <t>There is a trashcan in the corner.</t>
  </si>
  <si>
    <t>A boy is playing hopscotch.</t>
  </si>
  <si>
    <t>v_3YdmY4oPE5s</t>
  </si>
  <si>
    <t>A small group of people are seen standing around a field when one lady hits a ball.</t>
  </si>
  <si>
    <t>The people continue playing crochet on the lawn while walking around.</t>
  </si>
  <si>
    <t>v_XhqFJNRt-5g</t>
  </si>
  <si>
    <t>People are walking in front of a white fence.</t>
  </si>
  <si>
    <t>Behind the fence a man is riding a horse.</t>
  </si>
  <si>
    <t>He ropes a calf and throws it down onto the ground.</t>
  </si>
  <si>
    <t>He ties the legs of the calf and stands up.</t>
  </si>
  <si>
    <t>He gets back on his horse.</t>
  </si>
  <si>
    <t>v_n-hsQkfdUk0</t>
  </si>
  <si>
    <t>A person plays tam-tam using three instruments.</t>
  </si>
  <si>
    <t>Other man plays the drums using two sticks.</t>
  </si>
  <si>
    <t>v_wSTU_jI-FRU</t>
  </si>
  <si>
    <t>A cartoon yellow character is shown running with bulls behind him.</t>
  </si>
  <si>
    <t>Several sumo wrestlers are then shown running down a track.</t>
  </si>
  <si>
    <t>A gun fires, and they run again.</t>
  </si>
  <si>
    <t>v_LSkcoamI3gw</t>
  </si>
  <si>
    <t>A man comes outside and starts shoveling the snow with his black shovel and many people drive past while he's doing it.</t>
  </si>
  <si>
    <t>In the end the camera zooms in to show what is written in the big pile of snow.</t>
  </si>
  <si>
    <t>The letters create this world known holiday phrase and that is Merry Christmas including the year 2013.</t>
  </si>
  <si>
    <t>v_ntYIITLp90k</t>
  </si>
  <si>
    <t>A man gets on his bike.</t>
  </si>
  <si>
    <t>The tire is flat and he feels it.</t>
  </si>
  <si>
    <t>He hooks the air pump up to the tire.</t>
  </si>
  <si>
    <t>Tools are sitting on a brick wall.</t>
  </si>
  <si>
    <t>He turns the bike upside down to look at the tire.</t>
  </si>
  <si>
    <t>He takes a nut off of the wheel to get the tire off.</t>
  </si>
  <si>
    <t>He uses a tool to get the tire off of the wheel.</t>
  </si>
  <si>
    <t>He pumps a pump and then fills it with water.</t>
  </si>
  <si>
    <t>He rubs chalk on the tire and puts glue on it.</t>
  </si>
  <si>
    <t>He puts the tire back on the wheel.</t>
  </si>
  <si>
    <t>He puts the air pump on and fills it with air.</t>
  </si>
  <si>
    <t>He gets on his bike and rides away.</t>
  </si>
  <si>
    <t>v_xMChLTVPzNI</t>
  </si>
  <si>
    <t>A woman is seen standing behind a counter speaking to the camera and pointing to various ingredients.</t>
  </si>
  <si>
    <t>She pours oil into a hot pan and begins mixing ingredients together in the pan.</t>
  </si>
  <si>
    <t>She boils noodles into a pot and mixes it together in the pan and serves it onto a plate.</t>
  </si>
  <si>
    <t>v_fJ7gcHxxJMM</t>
  </si>
  <si>
    <t>A girl in a one piece bathing suit begins walking on a diving board that's located in a large indoor pool area with a lot of people in the stands.</t>
  </si>
  <si>
    <t>When the girl gets to the end of the diving board she jumps and then flips and spins into the pool.</t>
  </si>
  <si>
    <t>When the girl hits the water she makes a small splash.</t>
  </si>
  <si>
    <t>v_YmVdnkDo0xQ</t>
  </si>
  <si>
    <t>A man is seen cleaning up a bathroom when a walks into frame and leads into a news article.</t>
  </si>
  <si>
    <t>A picture of a sign is shown followed by a person washing their hands as well as clips from tv shows.</t>
  </si>
  <si>
    <t>More shots are articles are shown and ends with people walking in a subway.</t>
  </si>
  <si>
    <t>v_oOYaw6-b4SY</t>
  </si>
  <si>
    <t>A blurry vision shows two people in a gym with one punching and kicking the other holding gloves.</t>
  </si>
  <si>
    <t>The two continue to move around the gym practicing their kicks and punches.</t>
  </si>
  <si>
    <t>v_9BR5LChbBLQ</t>
  </si>
  <si>
    <t>There's a black and red colored race car in a parking lot.</t>
  </si>
  <si>
    <t>A man wearing beige shorts begins cleaning the black race car with a cloth and a spray.</t>
  </si>
  <si>
    <t>He wipes the car down to make it shiny and clean.</t>
  </si>
  <si>
    <t>Both the cars are parked in the parking lot, looking clean and sparkly after a car wash.</t>
  </si>
  <si>
    <t>Information about Hand Job, mobile waterless car wash is shown on the screen.</t>
  </si>
  <si>
    <t>v_AQ2-EcbX4dE</t>
  </si>
  <si>
    <t>A small group of people are seen standing around a large horse in a barn full of hay.</t>
  </si>
  <si>
    <t>The people brush the horse all along the sides when a woman comes out back to speak to them.</t>
  </si>
  <si>
    <t>v_UB2GzjNzo3M</t>
  </si>
  <si>
    <t>A man is seen riding a bike in slow motion with a flag in the back and leads into several clips of people of all ages riding bikes.</t>
  </si>
  <si>
    <t>The people continuing riding around the dirt court while other stand ready on their bikes and interact with one another.</t>
  </si>
  <si>
    <t>v_tJcbG_HGZE8</t>
  </si>
  <si>
    <t>A glue stick is shown on a table.</t>
  </si>
  <si>
    <t>A pair of scissors is on a table.</t>
  </si>
  <si>
    <t>A person gets on a computer and prints something.</t>
  </si>
  <si>
    <t>They stick that to their door.</t>
  </si>
  <si>
    <t>v_zvXi08rTq3Y</t>
  </si>
  <si>
    <t>A man is in the car with a small boy.</t>
  </si>
  <si>
    <t>We see an orange car come into the screen followed by a gold car.</t>
  </si>
  <si>
    <t>v_vi8zTSA6bhY</t>
  </si>
  <si>
    <t>man is in a swinging make a kind of somervault on the air.</t>
  </si>
  <si>
    <t>the man makes the big jump in the air and lands in a bike and stat riding it.</t>
  </si>
  <si>
    <t>men iss swinging in a green grassy yard.</t>
  </si>
  <si>
    <t>v_ggw-70xi0dA</t>
  </si>
  <si>
    <t>A man with a red jacket and grey pants is walking across a slack line in the middle of the mountains.</t>
  </si>
  <si>
    <t>As he is trying to tight rope,he falls over and is never able to stand up.</t>
  </si>
  <si>
    <t>Although he isn't able to get up,he holds on and starts bouncing up and down upside down.</t>
  </si>
  <si>
    <t>v_65rZgGe7Zr4</t>
  </si>
  <si>
    <t>man is walking in a backyard shake the tree holds a broom and sweep the dry leaves on the floor.</t>
  </si>
  <si>
    <t>man go for a dustpan and a bag and pick up the leaves from the floor.</t>
  </si>
  <si>
    <t>v_PI_A4uJ_fsI</t>
  </si>
  <si>
    <t>A man is setting up cameras and lighting in the background for some video shoot.</t>
  </si>
  <si>
    <t>A man is on a machine standing and using only his arms and feet to move on it.</t>
  </si>
  <si>
    <t>Then a woman gets on it taking the mans place and she uses the machine.</t>
  </si>
  <si>
    <t>They are creating a commercial advertisment for television viewers.</t>
  </si>
  <si>
    <t>v_Gz0UlnBx6JU</t>
  </si>
  <si>
    <t>man is talking to the camera in a news studio and sart talking with a man that is part of a band.</t>
  </si>
  <si>
    <t>band is in a stage, men are playing drums.</t>
  </si>
  <si>
    <t>man is again in news studio with the band and man start laying drums.</t>
  </si>
  <si>
    <t>v_Ci__IRtoMOo</t>
  </si>
  <si>
    <t>We see people riding in bumper cars.</t>
  </si>
  <si>
    <t>A girl is waving frilly toy.</t>
  </si>
  <si>
    <t>A little boy in gray smiles a the camera.</t>
  </si>
  <si>
    <t>We see a man in a red hat with a boy laughing hard.</t>
  </si>
  <si>
    <t>We see a traffic jam on the right.</t>
  </si>
  <si>
    <t>We zoom in on a lady in a white shirt.</t>
  </si>
  <si>
    <t>The lady in white smiles at the camera.</t>
  </si>
  <si>
    <t>The ride ends and the people all stand up.</t>
  </si>
  <si>
    <t>v_w8lqIgJn09Y</t>
  </si>
  <si>
    <t>A man in an athletic uniform begins swinging a ball and a string around.</t>
  </si>
  <si>
    <t>He lets go and the ball hits the screen as he falls to the ground.</t>
  </si>
  <si>
    <t>The video is replayed at various speeds.</t>
  </si>
  <si>
    <t>v_Z-syOvXCc20</t>
  </si>
  <si>
    <t>A young child is seen sitting on a swing set when an older man steps behind him and pushes.</t>
  </si>
  <si>
    <t>The boy moves back and fourth on the swing and leads to the boy jumping off and the man looking surprised.</t>
  </si>
  <si>
    <t>v_dtvIQ9Pd-Bg</t>
  </si>
  <si>
    <t>We see a man and the intro scene.</t>
  </si>
  <si>
    <t>A man in a kitchen has knifes and a sharpening block.</t>
  </si>
  <si>
    <t>The man wets the block and runs a knife across two different blocks.</t>
  </si>
  <si>
    <t>The man grabs a pole and sharpens the knife on it.</t>
  </si>
  <si>
    <t>The man wipes the knife on a towel.</t>
  </si>
  <si>
    <t>The man grabs and removes a lemon.</t>
  </si>
  <si>
    <t>The man shows us an upside down pot.</t>
  </si>
  <si>
    <t>v_vPhAXENSjiw</t>
  </si>
  <si>
    <t>The cheerleading team comes out for a performance.</t>
  </si>
  <si>
    <t>A girl attempts multiple flips and sticks the landing.</t>
  </si>
  <si>
    <t>Another girls follows suit as the team works hard in the background.</t>
  </si>
  <si>
    <t>The team shows off some dance moves next and the crowd cheers.</t>
  </si>
  <si>
    <t>After some more team-flips the team poses and celebrates as the routine ends.</t>
  </si>
  <si>
    <t>Several members hug and talk.</t>
  </si>
  <si>
    <t>The judges submit their scores and the team anticipates the results.</t>
  </si>
  <si>
    <t>The team is crowned the winners of the competition.</t>
  </si>
  <si>
    <t>v_qTvZtsi-3KU</t>
  </si>
  <si>
    <t>Some women are swimming in a pool.</t>
  </si>
  <si>
    <t>They have babies in their arms as they swim.</t>
  </si>
  <si>
    <t>They are teaching the babies to go under water and hold their breaths.</t>
  </si>
  <si>
    <t>v_elW8E-9bCRQ</t>
  </si>
  <si>
    <t>Two very tall men in tuxedos are dancing outside of a store.</t>
  </si>
  <si>
    <t>People are standing back watching them do their dance.</t>
  </si>
  <si>
    <t>One of the men puts his foot out while the other turns him in circles.</t>
  </si>
  <si>
    <t>When the dance is finally over both men shake hands and wave to the crowd.</t>
  </si>
  <si>
    <t>v_nAkA1HfRwF8</t>
  </si>
  <si>
    <t>A man is seen doing flips on a soft floor while moving in slow motion.</t>
  </si>
  <si>
    <t>The man continues performing several tricks across the floor and ends with a title sequence across the screen.</t>
  </si>
  <si>
    <t>v_uXcCES4BsQ0</t>
  </si>
  <si>
    <t>Two people are seen sitting behind a counter when one moves back and fourth and prepares himself.</t>
  </si>
  <si>
    <t>The man then solves a rubix cube while a timer is going and he puts a blindfold over his eyes and a person puts paper in front.</t>
  </si>
  <si>
    <t>He solves the sube and then slams his hands down on the table.</t>
  </si>
  <si>
    <t>v_-Xl95IW5H_s</t>
  </si>
  <si>
    <t>This is a tutorial on how to start a campfire.</t>
  </si>
  <si>
    <t>It shows the campfire burning on the ground.</t>
  </si>
  <si>
    <t>It starts with the things you will need to begin with.</t>
  </si>
  <si>
    <t>A designated place and some rocks arranged in a circle to create a pit.</t>
  </si>
  <si>
    <t>Some crumpled newspaper and a lighter along with a bucket of water.</t>
  </si>
  <si>
    <t>A man begins demonstrating how to place the newspaper and twigs on top of that.</t>
  </si>
  <si>
    <t>He then creates a pyramid shaped structure.</t>
  </si>
  <si>
    <t>He takes his lighter and lights the newspaper in several places to start the fire.</t>
  </si>
  <si>
    <t>The bonfire starts burning and continues to burn.</t>
  </si>
  <si>
    <t>He adds a few more twigs to keep the flames burning.</t>
  </si>
  <si>
    <t>v_aIwFZCRFHx8</t>
  </si>
  <si>
    <t>First the people are all shown sitting in their cars in one long line.</t>
  </si>
  <si>
    <t>Then the cars get powered on and they are able to get driven.</t>
  </si>
  <si>
    <t>After the people are done driving they all get out of the cars.</t>
  </si>
  <si>
    <t>v_NpKBAtQ5M6I</t>
  </si>
  <si>
    <t>An older man with a long ponytail and a pair of glasses is outside kneeling near a bike.</t>
  </si>
  <si>
    <t>The man has a pair of blue pliers in his hand and begins fixing the chain on the bike.</t>
  </si>
  <si>
    <t>Once the chain is on,he begins moving the pedal and demonstrates how the chain is operating.</t>
  </si>
  <si>
    <t>After awhile,he stops the chain and begins to take two links out of the chain on the bike.</t>
  </si>
  <si>
    <t>As the chain begins to hang down,the man puts it back in the right place and begins to spin the back wheel and begins to talk when he is finished.</t>
  </si>
  <si>
    <t>v_5laHmakSAAg</t>
  </si>
  <si>
    <t>The video leads into several shots of people throwing impressive shots of balls landing into cups.</t>
  </si>
  <si>
    <t>Several people are shown throwing balls into a cup and the camera showing a close up.</t>
  </si>
  <si>
    <t>v_q3-S2tg4ULw</t>
  </si>
  <si>
    <t>Young boy talks to camera in front of drum set in a studio.</t>
  </si>
  <si>
    <t>Young boy plays on the drum set, and the cymbals, while intermittently speaking to the camera.</t>
  </si>
  <si>
    <t>The boy finishes up recording his drum session and returns to the camera.</t>
  </si>
  <si>
    <t>v_9PqYL4zTnxY</t>
  </si>
  <si>
    <t>A woman is in a driveway, doing tricks and stunts as she jumps rope.</t>
  </si>
  <si>
    <t>She increases speed, then stops as a man approaches her to discuss her technique.</t>
  </si>
  <si>
    <t>She then returns to demonstrating how to jump rope, and the various names of the moves.</t>
  </si>
  <si>
    <t>v_mDqiAEB4Ads</t>
  </si>
  <si>
    <t>A view from indoors show a nice ocean view then pans to a man on his knees on the ground as he grouts some tiles and the white words on the screen say "INSTALLING TILES WITH DITRA".</t>
  </si>
  <si>
    <t>The man is then shown putting spacers in between tiles and measuring.</t>
  </si>
  <si>
    <t>The man then goes to another part of the room with a white bucket and an orange cloth and is wiping down wooden floorboards.</t>
  </si>
  <si>
    <t>The man is then shown pouring powder into a large white bucket, pouring water into it then mixing the contents with a hand drill.</t>
  </si>
  <si>
    <t>The man is then in a corner of the room and he's applying the mixture onto the floorboards then puts down an orange material.</t>
  </si>
  <si>
    <t>The man is then shown cutting the tiles with a manual hand cutter while another man is helping him by holding it, the the man holding the tile takes it away and sands it.</t>
  </si>
  <si>
    <t>The man is shown once again on his hands and knees and is applying putty onto the ground or the tile, putting the tiles down, adding spacers, then measuring that it's all even with a white circular leveler.</t>
  </si>
  <si>
    <t>A low view of the tiles are shown and a man is grouting, wiping tiles down and various views of the tiled room are shown.</t>
  </si>
  <si>
    <t>v_Lfh5p8ReOYo</t>
  </si>
  <si>
    <t>A woman is seen sitting at the end of a bed taking her shoes off and then baby's feet walking.</t>
  </si>
  <si>
    <t>Shots of furniture is shown that leads into a woman speaking, followed by several people vacuuming and stepping onto the carpet.</t>
  </si>
  <si>
    <t>A person adjusts the vacuum and continues using it while the woman speaks, and leads into a man playing with a baby.</t>
  </si>
  <si>
    <t>v_vYxBAbbvSxc</t>
  </si>
  <si>
    <t>A GoPro camera is seen and then another screen appears showing that the camera has won awards.</t>
  </si>
  <si>
    <t>A camera is mounted on the helmet of a water skier and after he gets himself into position a man on a horse by a pond pull him for a ride.</t>
  </si>
  <si>
    <t>Near land he lets go and falls into the water, as he celebrates and points at the man on the horse as a dog runs by.</t>
  </si>
  <si>
    <t>A screen appears asking to submit footage to the GoPro awards.</t>
  </si>
  <si>
    <t>v__6fbXk6y8X0</t>
  </si>
  <si>
    <t>We see a man kite surfing.</t>
  </si>
  <si>
    <t>We pass a person on the beach.</t>
  </si>
  <si>
    <t>The rider falls in the water.</t>
  </si>
  <si>
    <t>Water splashes and covers the camera lens.</t>
  </si>
  <si>
    <t>The person is riding in the other direction.</t>
  </si>
  <si>
    <t>We see the sand blowing in the wind.</t>
  </si>
  <si>
    <t>v_nVk5nIE-6bM</t>
  </si>
  <si>
    <t>There are a lot of people gathered on the street to watch a parade or to be in the parade.</t>
  </si>
  <si>
    <t>There are 4 young people dressed in military attire carrying a red and white banner in a parade.</t>
  </si>
  <si>
    <t>They are then followed by a group of dancing girls that are all dressed in the same outfits that are red, white and black, but some are wearing white tops and the others are wearing red tops.</t>
  </si>
  <si>
    <t>They are then followed by a very large band that are playing different instruments and they are all in sync and one woman is enjoying it so much that she begins to dance while the band plays on.</t>
  </si>
  <si>
    <t>v_mHWQrZW6-0M</t>
  </si>
  <si>
    <t>Several people canoe down a lake interspersed with several still photos of the lake stats and features.</t>
  </si>
  <si>
    <t>Several still photos of the lake are shown which includes browned and dry weeds/marsh and calm blue water along with a shallow body of water heavy with rocks.</t>
  </si>
  <si>
    <t>Two canoes with people in them are shown in the lake.</t>
  </si>
  <si>
    <t>An art mural of a blue and yellow fish is shown along with more still shots and video of people on the lake.</t>
  </si>
  <si>
    <t>v_9GP266ETAuE</t>
  </si>
  <si>
    <t>A ball is shown swinging around followed by shots of scenery and people getting ready.</t>
  </si>
  <si>
    <t>A man records an athlete holding the ball and sitting on a bench.</t>
  </si>
  <si>
    <t>Various people are shown getting ready to perform followed by several people swinging the balls.</t>
  </si>
  <si>
    <t>Eventually several different women are shown performing the task while also warming up their throws.</t>
  </si>
  <si>
    <t>v_u0p_dBCEDs4</t>
  </si>
  <si>
    <t>We see an intro screen with arrows.</t>
  </si>
  <si>
    <t>A chef is talking while standing in front of a bow as she cooks spaghetti.</t>
  </si>
  <si>
    <t>The lady adds salt, and spaghetti to boiling water.</t>
  </si>
  <si>
    <t>The lady grabs a noodle to show how it should look when cooked.</t>
  </si>
  <si>
    <t>The lady drains the water, adds sauce, and adds some of the cook water.</t>
  </si>
  <si>
    <t>She puts it on a plate.</t>
  </si>
  <si>
    <t>We then see the black credits rolling.</t>
  </si>
  <si>
    <t>v_exhsUZg_xQA</t>
  </si>
  <si>
    <t>man is standing in a track in a roofed gym and runs to make big jumps in front of judges.</t>
  </si>
  <si>
    <t>people are in terraces watching the boy.</t>
  </si>
  <si>
    <t>man claps after the man make the jumps.</t>
  </si>
  <si>
    <t>v_4-_ZQGwppfI</t>
  </si>
  <si>
    <t>A woman is seen looking beyond the camera and showing the back of her head.</t>
  </si>
  <si>
    <t>She holds up various products and rubs them through her hair.</t>
  </si>
  <si>
    <t>She then pits up her hair while hairspraying it and feeling the texture afterwards.</t>
  </si>
  <si>
    <t>She finishes pinning up her hair and looking back at the camera.</t>
  </si>
  <si>
    <t>v_IQvSj-3BGPo</t>
  </si>
  <si>
    <t>A man and a dog are standing in the middle of the field playing while he is holding a group of Frisbees.</t>
  </si>
  <si>
    <t>The man then throws all of the frisbees and the dog runs after them several times and catches them.</t>
  </si>
  <si>
    <t>In the middle of the routine,he grabs several frisbees and gives them to the dog one by one as he kneels down in front of him.</t>
  </si>
  <si>
    <t>Several tricks are done,and then the dog appears jump roping in the field,they go back to their regular routines and the owner picks up the dog and waves to the crowd.</t>
  </si>
  <si>
    <t>v_qmar8pDP5co</t>
  </si>
  <si>
    <t>The video begins with two sumo wrestlers on a sumo stage.</t>
  </si>
  <si>
    <t>There is a large crowd spectating, and a man in the center of the ring acting as referee.</t>
  </si>
  <si>
    <t>The two sumo wrestlers throw a white powder into the ring.</t>
  </si>
  <si>
    <t>The squat and clap their hands together, while a group of men hold flags and walk around the ring.</t>
  </si>
  <si>
    <t>Two other men hold brooms as sweep up some of the powder.</t>
  </si>
  <si>
    <t>The two sumo wrestlers walk out of the ring and again throw more powder.</t>
  </si>
  <si>
    <t>They collide into one another and back away.</t>
  </si>
  <si>
    <t>They again collide into each other and begin wrestling.</t>
  </si>
  <si>
    <t>The man in black sumo shorts throws the other man out of the ring.</t>
  </si>
  <si>
    <t>They bow and the loser exits the ring.</t>
  </si>
  <si>
    <t>v_gjkK_eSIs2g</t>
  </si>
  <si>
    <t>A man is bending over picking up a heavy weight several times in a row and setting it down.</t>
  </si>
  <si>
    <t>A man is measuring another mans arm length.</t>
  </si>
  <si>
    <t>The man measures the length of the weight bar.</t>
  </si>
  <si>
    <t>v_b1D6v3kZrHM</t>
  </si>
  <si>
    <t>A man stands with a bow and arrow.</t>
  </si>
  <si>
    <t>A man shots an arrow from bow.</t>
  </si>
  <si>
    <t>The credit of the clip is shown.</t>
  </si>
  <si>
    <t>A guy talks with his mouth and hand.</t>
  </si>
  <si>
    <t>An extended hand holding a pen is shown on a split screen.</t>
  </si>
  <si>
    <t>Several arrows hit the target.</t>
  </si>
  <si>
    <t>An arrow goes through the hole of a donut.</t>
  </si>
  <si>
    <t>An arrow cuts the string holding an apple.</t>
  </si>
  <si>
    <t>An arrow goes through the hole of a CD.</t>
  </si>
  <si>
    <t>Credit of the clip is presented.</t>
  </si>
  <si>
    <t>Credits of the video are shown.</t>
  </si>
  <si>
    <t>v_QRdQ8KIVf40</t>
  </si>
  <si>
    <t>Two men play billiards while taking turns to hit the ball with a stick, while a man plays billiards alone on back.</t>
  </si>
  <si>
    <t>A man and a child walk in a living room on back the table pool.</t>
  </si>
  <si>
    <t>A woman walks with a stick next to the men.</t>
  </si>
  <si>
    <t>v_CZp3ZPTQrds</t>
  </si>
  <si>
    <t>A man is seen speaking to the camera followed by several pictures of bearded men.</t>
  </si>
  <si>
    <t>The man then begins using scissors on his face while holding up pieces of paper.</t>
  </si>
  <si>
    <t>The man continues to shave his face and ends by waving to the camera.</t>
  </si>
  <si>
    <t>v_sHx5UcQQ1kU</t>
  </si>
  <si>
    <t>A young boy is shown speaking to the camera and eventually shows his hands moving objects.</t>
  </si>
  <si>
    <t>He places the objects together and begins shaving the sides with a sharp knife.</t>
  </si>
  <si>
    <t>He continues sharpening the object and shows the knife running across his bare skin.</t>
  </si>
  <si>
    <t>v_R_EnlXwBvtA</t>
  </si>
  <si>
    <t>Two men in basketball shorts are playing racketball.</t>
  </si>
  <si>
    <t>The men continue to serve and then hit and return each other's serves.</t>
  </si>
  <si>
    <t>They take a short break after one man scores.</t>
  </si>
  <si>
    <t>They continue to play and serve.</t>
  </si>
  <si>
    <t>v_iqe_HmjojQ8</t>
  </si>
  <si>
    <t>A kickball player kicks the ball at home plate in a large arena.</t>
  </si>
  <si>
    <t>The player runs past the first base.</t>
  </si>
  <si>
    <t>The player then comes back to the first base and puts his foot on it.</t>
  </si>
  <si>
    <t>v_y-7ZKlq2UFw</t>
  </si>
  <si>
    <t>There's a guitarist in a green shirt demonstrating how to play an acoustic guitar.</t>
  </si>
  <si>
    <t>Various types of guitars made from a variety of wood are shown.</t>
  </si>
  <si>
    <t>The guitarist is strumming the guitar with his pick as he plays his music.</t>
  </si>
  <si>
    <t>There are images of the guitar store and the kinds of guitars sold scrolling through the bottom of the screen.</t>
  </si>
  <si>
    <t>The guitarist continues playing his guitar.</t>
  </si>
  <si>
    <t>v_ndET50Ccnr8</t>
  </si>
  <si>
    <t>A small group of people are seen swimming around a pool throwing a ball around while several people watch on the sides.</t>
  </si>
  <si>
    <t>The people continue throwing the ball around to one another while the camera captures the game going on.</t>
  </si>
  <si>
    <t>v_tl2RLYJUu3k</t>
  </si>
  <si>
    <t>Three martial artists with black belts do a demonstration for younger children.</t>
  </si>
  <si>
    <t>They jump and kick then bow to each other.</t>
  </si>
  <si>
    <t>v_nr34x_-K5c0</t>
  </si>
  <si>
    <t>An athletic man is swimming around on a paddle board while another man gets behind and assists him.</t>
  </si>
  <si>
    <t>He then flips the man forward and the man demonstrates how to flip yourself back over.</t>
  </si>
  <si>
    <t>They do this several more times to become more comfortable with the move.</t>
  </si>
  <si>
    <t>v_xSiT1pgUEm8</t>
  </si>
  <si>
    <t>There are six to eight people sailing down a turbulent water stream in a raft.</t>
  </si>
  <si>
    <t>They are all dressed in red gears and yellow helmets.</t>
  </si>
  <si>
    <t>They use the oars to sail themselves down the rapids.</t>
  </si>
  <si>
    <t>They are trying hard to stay afloat in the turbulent water as the boat gets bumpy sailing through the rapids.</t>
  </si>
  <si>
    <t>As they sail through they come across another group of rafters in the same rapids.</t>
  </si>
  <si>
    <t>They continue their journey through the rough water of the rapids.</t>
  </si>
  <si>
    <t>v_CKWWRS9CpTY</t>
  </si>
  <si>
    <t>A group of runners are running in a marathon.</t>
  </si>
  <si>
    <t>A man high fives a woman in a crowd.</t>
  </si>
  <si>
    <t>The crowd around them cheers.</t>
  </si>
  <si>
    <t>A woman in white hat starts walking strangely.</t>
  </si>
  <si>
    <t>Another woman in a white hat falls to the ground.</t>
  </si>
  <si>
    <t>The other woman in the hat also falls.</t>
  </si>
  <si>
    <t>They both try to get up but they keep falling down.</t>
  </si>
  <si>
    <t>One of the women starts to crawl to the finish line.</t>
  </si>
  <si>
    <t>The other woman follows her.</t>
  </si>
  <si>
    <t>A man lifts one of the women and hugs her.</t>
  </si>
  <si>
    <t>v_W3a7BIqWov4</t>
  </si>
  <si>
    <t>A person is seen laying down on a bowling alley on the floor.</t>
  </si>
  <si>
    <t>The man then begins break dancing on the floor.</t>
  </si>
  <si>
    <t>The man kics a ball down a lane and people celebrate.</t>
  </si>
  <si>
    <t>v_qCy-68g0oXw</t>
  </si>
  <si>
    <t>A man is seen standing before a ping pong table and throws a ball off into the distance.</t>
  </si>
  <si>
    <t>A man takes a drink and leads into the two playing more beer pong.</t>
  </si>
  <si>
    <t>The men throw the ball back and fourth to one another while smiling to the camera.</t>
  </si>
  <si>
    <t>v_metrvLaYO1w</t>
  </si>
  <si>
    <t>People are standing on a colorful mat.</t>
  </si>
  <si>
    <t>A woman does a karate move.</t>
  </si>
  <si>
    <t>A child standing behind her raises his hand.</t>
  </si>
  <si>
    <t>v_d40Tv56RrnA</t>
  </si>
  <si>
    <t>The camera man captures a view of a thatched roof house.</t>
  </si>
  <si>
    <t>A young girl in a black blouse and a girl in a white tank top stand in a thatched roof house watching two woman washing clothes Filipino style.</t>
  </si>
  <si>
    <t>A girl in a pink blouse and a girl in a white t-shirt wash clothes in large tubs just outside the thatched roof house.</t>
  </si>
  <si>
    <t>The camera man pans the front of the washing area while the girl in the white t-shirt rinses the clothes.</t>
  </si>
  <si>
    <t>v__ajGnJjNUX0</t>
  </si>
  <si>
    <t>An ad for Floorworks appears on the screen.</t>
  </si>
  <si>
    <t>A guest room is shown, displaying the dirty carpets.</t>
  </si>
  <si>
    <t>Men are shown replacing and repairing the floors with wooden slats that don't need glue to install.</t>
  </si>
  <si>
    <t>Final photos are shown of the new hardwood floors in the guest room.</t>
  </si>
  <si>
    <t>v_yVQBdK8VQ_I</t>
  </si>
  <si>
    <t>A girl stands at a kitchen sink and demonstrates rinsing her mouth out with Crest whitening mouthwash.</t>
  </si>
  <si>
    <t>A girl stands by a sink talking and using had gestures.</t>
  </si>
  <si>
    <t>The girl then picks up a bottle of Crest whiting mouth wash and rinses her mouth for 60 seconds.</t>
  </si>
  <si>
    <t>The woman then spits the rinse out in the sink, and proceeds to talk to the camera again.</t>
  </si>
  <si>
    <t>v_He7CDkVm_aE</t>
  </si>
  <si>
    <t>A woman stands with a child that is seated next to a counter.</t>
  </si>
  <si>
    <t>The woman applies a dry powder to the back of the girls hair and brushes in through.</t>
  </si>
  <si>
    <t>The woman get s a blow dryer and uses it while she brushes the girls hair to straighten it.</t>
  </si>
  <si>
    <t>v_tbKBKWCh6rs</t>
  </si>
  <si>
    <t>man is standing in front of a mirror spreading cream on his face.</t>
  </si>
  <si>
    <t>man is kneeling and wash her face.</t>
  </si>
  <si>
    <t>the man grabs a green towel and wipe his face.</t>
  </si>
  <si>
    <t>v_iEWe6IYVIuk</t>
  </si>
  <si>
    <t>A woman is adjusting her exercise machine.</t>
  </si>
  <si>
    <t>She adjusts the knobs and pushes the seat up.</t>
  </si>
  <si>
    <t>She then sits down on the seat and places her feet in the pedals.</t>
  </si>
  <si>
    <t>She begins to pedal slow then fast.</t>
  </si>
  <si>
    <t>v_Db6sq4DjW7E</t>
  </si>
  <si>
    <t>A coach instructs players in a basketball court.</t>
  </si>
  <si>
    <t>v_YJOoLvwqWCw</t>
  </si>
  <si>
    <t>two women are standing on a gym arm wrestling.</t>
  </si>
  <si>
    <t>in te background people are standingin the gym doing exercise.</t>
  </si>
  <si>
    <t>strong women are sitting in a chair arm wrestling.</t>
  </si>
  <si>
    <t>v_66-sCRx4QRI</t>
  </si>
  <si>
    <t>A man drives to the ocean and surfs on a surfboard, riding waves, before leaving the beach with his surfboard.</t>
  </si>
  <si>
    <t>A man gets in his truck, puts his surfboard in the back of his truck and drives.</t>
  </si>
  <si>
    <t>The man arrives at the beach, changes into a wets suit and begins to surf on a surfboard in the ocean, riding waves.</t>
  </si>
  <si>
    <t>The man then leaves the beach, in his wetsuit, with his surfboard under his arm.</t>
  </si>
  <si>
    <t>v_AIZWoAbhUTY</t>
  </si>
  <si>
    <t>a man is crouched next to a girl on the beach.</t>
  </si>
  <si>
    <t>They are putting sand into a pile.</t>
  </si>
  <si>
    <t>They are trying to build a sand castle.</t>
  </si>
  <si>
    <t>v_KOFXi1RYx_g</t>
  </si>
  <si>
    <t>An audience is sitting in the stands watching a game on the field.</t>
  </si>
  <si>
    <t>These riders get on their horses and start trying to score for their team.</t>
  </si>
  <si>
    <t>Someone makes it and one of the groups in the audience clap.</t>
  </si>
  <si>
    <t>When the game is over the riders all shake each others hands.</t>
  </si>
  <si>
    <t>v_K_AFdv3PKp0</t>
  </si>
  <si>
    <t>A man is seen using a large sander against a wall moving the machinery all along the wall.</t>
  </si>
  <si>
    <t>The man continues sanding the wall and ends with him keeping it steady.</t>
  </si>
  <si>
    <t>v_IJ2m8Bi3LVE</t>
  </si>
  <si>
    <t>Various shots are shown of a person close up wearing making and laughing at the camera.</t>
  </si>
  <si>
    <t>Various objects are then shown closely to the camera and the person pours liquid into a contact case.</t>
  </si>
  <si>
    <t>He then mixes the liquids with the contacts and puts them slowly into his eye while looking at the camera.</t>
  </si>
  <si>
    <t>He then takes his hands and pops out the contacts.</t>
  </si>
  <si>
    <t>v_3CImIarFM30</t>
  </si>
  <si>
    <t>A person's hands are seen playing in dirt while moving their hands all around the soil.</t>
  </si>
  <si>
    <t>The person continues to play around in the soil while the camera watches their hand movements.</t>
  </si>
  <si>
    <t>v_F_sbhegCsyg</t>
  </si>
  <si>
    <t>A group of people are gathered at an outdoor park.</t>
  </si>
  <si>
    <t>They are dressed up, and they get into a raft.</t>
  </si>
  <si>
    <t>They white water raft down a river together.</t>
  </si>
  <si>
    <t>v_mzxp9dHn0Rs</t>
  </si>
  <si>
    <t>A man is sitting in front of a goal blocking balls.</t>
  </si>
  <si>
    <t>People are in the stands watching the game.</t>
  </si>
  <si>
    <t>v_1KVxpHAC08g</t>
  </si>
  <si>
    <t>A young boy and girl sit next to each other.</t>
  </si>
  <si>
    <t>They are fed ice cream.</t>
  </si>
  <si>
    <t>The girl tries to eat the boys ice cream.</t>
  </si>
  <si>
    <t>The girl laughs at the end.</t>
  </si>
  <si>
    <t>v_i9Yxt2k2aWg</t>
  </si>
  <si>
    <t>Someone is sleeping on a white couch.</t>
  </si>
  <si>
    <t>They get up and do crunches on the floor.</t>
  </si>
  <si>
    <t>They stand up and walk out the door.</t>
  </si>
  <si>
    <t>v_cNvTm72aGcM</t>
  </si>
  <si>
    <t>A woman is on stage in front of a band.</t>
  </si>
  <si>
    <t>She is a belly dancer, and gyrates and shakes to the music.</t>
  </si>
  <si>
    <t>She dances slowly, dropping to the ground as she finishes.</t>
  </si>
  <si>
    <t>v_dF2p3CMDe_g</t>
  </si>
  <si>
    <t>A man wearing no shirt plays a hand drum.</t>
  </si>
  <si>
    <t>A solo man spins his body around on his hands and does cartwheels.</t>
  </si>
  <si>
    <t>Two men do a practice karate routine and dodge kicks from the other opponent.</t>
  </si>
  <si>
    <t>The men both do hand stands then come together and touch hands.</t>
  </si>
  <si>
    <t>The man does jumping flips by himself.</t>
  </si>
  <si>
    <t>The two men do jumping kicks while they spar in a karate dance.</t>
  </si>
  <si>
    <t>The man stands on his hands and bends backwards to a horizontal position.</t>
  </si>
  <si>
    <t>v__LmtW0w6ad4</t>
  </si>
  <si>
    <t>A man displays martial arts moves in a movie clip that shows the man fighting different people in several different locations in a city backdrop.</t>
  </si>
  <si>
    <t>A man is escorted into a room and left alone until he is attacked, violently, by a man who appears suddenly in the room with him, the two fight.</t>
  </si>
  <si>
    <t>The man is then shown in several other locations fighting with different men using martial arts skills until the clip fades to a marketing invitation to subscribe.</t>
  </si>
  <si>
    <t>v_wJV-kQRmaGc</t>
  </si>
  <si>
    <t>A black banner overlay with the word POWERCHALK written in white and green is across the banner.</t>
  </si>
  <si>
    <t>When the banner overlay goes away a man jumps to the end of a diving board and then does a forward front flip and flips 5 times before he dives straight into the water in the pool.</t>
  </si>
  <si>
    <t>There are a lot of spectators standing on the sidelines.</t>
  </si>
  <si>
    <t>v_SEebwJMNMQs</t>
  </si>
  <si>
    <t>A violinist is playing the violin in a music room.</t>
  </si>
  <si>
    <t>She adjusts the violin under her chin as she reads the music.</t>
  </si>
  <si>
    <t>At the end of her song she removes the violin and smiles.</t>
  </si>
  <si>
    <t>v_p4Bm_NB_QoI</t>
  </si>
  <si>
    <t>A small group of girls are first seen walking out on a gymnasium floor with several people watching on the sidelines.</t>
  </si>
  <si>
    <t>The girls then perform a routine using batons while spinning and twirling.</t>
  </si>
  <si>
    <t>They make an ending pose while the audience claps and run off to the side.</t>
  </si>
  <si>
    <t>v_hDpYoAAFwOA</t>
  </si>
  <si>
    <t>A man performs stunts on the back of a motorcycle, falls off, and injures himself at which point he falls to the ground and looks hurt.</t>
  </si>
  <si>
    <t>A man is hanging off of a moving bicycle on a down ramp.</t>
  </si>
  <si>
    <t>The man falls off of the bike and onto the ground with torn clothes.</t>
  </si>
  <si>
    <t>The camera pans the man's damaged clothes and helmet and his befallen face as he lays on the ground injured.</t>
  </si>
  <si>
    <t>v_ADbpTpH4U7s</t>
  </si>
  <si>
    <t>Various ingredients are shown laid out on a table and leads into a person putting items into a bowl.</t>
  </si>
  <si>
    <t>The person is then seen cutting up fruit and laying it into a bowl.</t>
  </si>
  <si>
    <t>She pours more liquid in and presents it to the camera.</t>
  </si>
  <si>
    <t>v_yEBiJguscMY</t>
  </si>
  <si>
    <t>Two men are playing wall ball in a room.</t>
  </si>
  <si>
    <t>There is an audience watching them play.</t>
  </si>
  <si>
    <t>The man pretends his racket is a guitar.</t>
  </si>
  <si>
    <t>v_bzZMUbtgZho</t>
  </si>
  <si>
    <t>A man is surf boarding in the ocean on a blue surf board.</t>
  </si>
  <si>
    <t>The water looks greenish blue as the surfer surfs through big waves.</t>
  </si>
  <si>
    <t>The man is surfing near a beach by some hotels.</t>
  </si>
  <si>
    <t>The surfer continues to surf through tall waves without falling off.</t>
  </si>
  <si>
    <t>v_Eo3PUIfZSJU</t>
  </si>
  <si>
    <t>A gymnast performs on the vault on front a crowd, she flips and falls from the vault.</t>
  </si>
  <si>
    <t>Then, the gymnast jumps, flips but staggers during her performance.</t>
  </si>
  <si>
    <t>The gymnast performs backward flips, then she continues with her routine.</t>
  </si>
  <si>
    <t>Next, the gymnast jumps and does a double flip and land stands on the mat.</t>
  </si>
  <si>
    <t>v_scBelfrnHoI</t>
  </si>
  <si>
    <t>A man runs and jumps in various public locations with springs on his legs while spectators watch.</t>
  </si>
  <si>
    <t>A cameraman films the man while lying on the ground.</t>
  </si>
  <si>
    <t>The man with springs jumps over another man.</t>
  </si>
  <si>
    <t>v_LWJzkihZUWA</t>
  </si>
  <si>
    <t>We see a little girl putting makeup on her face at a toy vanity.</t>
  </si>
  <si>
    <t>She closes the makeup case and opens it back up.</t>
  </si>
  <si>
    <t>She rubs the tip of the brush with her finger.</t>
  </si>
  <si>
    <t>v_uICwWvS_AOo</t>
  </si>
  <si>
    <t>Four men ride in a convertible car and drive along a desert highway.</t>
  </si>
  <si>
    <t>Two friends ride down an escalator.</t>
  </si>
  <si>
    <t>The friends stand at a card table in a casino and play hands.</t>
  </si>
  <si>
    <t>The man makes a large bet and sits down to play a few hands at the table.</t>
  </si>
  <si>
    <t>The man accumulates a large number of chips.</t>
  </si>
  <si>
    <t>The man's friends win a hand and the couple celebrates.</t>
  </si>
  <si>
    <t>The man is tracked by security personnel and cameras.</t>
  </si>
  <si>
    <t>The woman falls back if her chair to the ground and the men help her up.</t>
  </si>
  <si>
    <t>The friend playing is gone and the chair is empty.</t>
  </si>
  <si>
    <t>v_Hv3We5wjaJE</t>
  </si>
  <si>
    <t>A couple are in the flowing water of a river.</t>
  </si>
  <si>
    <t>They are sitting next to several buckets.</t>
  </si>
  <si>
    <t>They scrub clothing against the rocks, trying to clean them.</t>
  </si>
  <si>
    <t>v_GySHt3Z6Lt4</t>
  </si>
  <si>
    <t>A person light wood to make fire.</t>
  </si>
  <si>
    <t>Then, a man blow the fire, while the person puts sticks on the nascent fire.</t>
  </si>
  <si>
    <t>After, the fire starts to growth bigger and bigger while the men put sticks on top.</t>
  </si>
  <si>
    <t>v_b5GrYqt5tRQ</t>
  </si>
  <si>
    <t>A group of men are holding maracas in the their hands and playing to some Reggae music.</t>
  </si>
  <si>
    <t>One of the men begins singing in the microphone.</t>
  </si>
  <si>
    <t>The rest of the men join him in singing the chorus.</t>
  </si>
  <si>
    <t>They play the maracas as they sing the song.</t>
  </si>
  <si>
    <t>The men also dance as they sing and play the maracas The lead singer sings solo for some time while the others play their maracas.</t>
  </si>
  <si>
    <t>Then all the men join him in singing the song while playing their maracas.</t>
  </si>
  <si>
    <t>v_TiQ6P1NkPHU</t>
  </si>
  <si>
    <t>Two people are dancing in a dance studio.</t>
  </si>
  <si>
    <t>First the woman sways her hips a little bit and moves one foot behind the other.</t>
  </si>
  <si>
    <t>She also tells viewers to make eye contact with the person to make sure they're comfortable and at some point, the man spins her around in a circle and she comes back around for them to start dancing normal again.</t>
  </si>
  <si>
    <t>v_BCC6fxrmA9M</t>
  </si>
  <si>
    <t>Three men are interviewed, one of whom plays the piano and sings for the interviewer and his camera crew in a narrow hallway.</t>
  </si>
  <si>
    <t>Four men are in a room, three of whom are being interviewed by the fourth man who has blonde hair, is wearing glasses, and has a camera crew with him.</t>
  </si>
  <si>
    <t>The interviewer leads one of the men into the hallway to a piano, where the man has a seat.</t>
  </si>
  <si>
    <t>The man begins to play and sing as the camera crew, interviewer and onlookers watch, before the man ends the song, gets up and walks away.</t>
  </si>
  <si>
    <t>v_-DphPPTybSY</t>
  </si>
  <si>
    <t>We see men in a room playing pool in a tournament.</t>
  </si>
  <si>
    <t>The man in the blue shirt approaches to shoot.</t>
  </si>
  <si>
    <t>The man walks away to exchange his pool stick.</t>
  </si>
  <si>
    <t>The man in blue makes his shot.</t>
  </si>
  <si>
    <t>The man then takes another shot.</t>
  </si>
  <si>
    <t>The man takes his third shot.</t>
  </si>
  <si>
    <t>The man makes his fourth shot.</t>
  </si>
  <si>
    <t>The man makes his final shot.</t>
  </si>
  <si>
    <t>v_UkZiyYfO57g</t>
  </si>
  <si>
    <t>An intro leads into a woman speaking to the camera while several skiiers ride around her.</t>
  </si>
  <si>
    <t>The camera follows the girl riding down a snowy hill as well as riding up ski lifts and speaking again to the camera.</t>
  </si>
  <si>
    <t>Several more shots of her skiing are shown and ends with her waving to the camera and various pictures of skiers.</t>
  </si>
  <si>
    <t>v_Cu8lmHiXkUU</t>
  </si>
  <si>
    <t>Two people are seen playing a game of ping pong with one another.</t>
  </si>
  <si>
    <t>They hit the ball back and fourth across the table while people watch on the sides.</t>
  </si>
  <si>
    <t>The boys continue to play back and fourth while switching places and looking to the camera.</t>
  </si>
  <si>
    <t>v_9SiYS0SEKTw</t>
  </si>
  <si>
    <t>A person is seen standing behind a bike speaking to the camera and showing close ups of the bike.</t>
  </si>
  <si>
    <t>The person continues speaking while showing off his gear and leads into him adjusting settings on his bike.</t>
  </si>
  <si>
    <t>v_YMSMASHyl2Y</t>
  </si>
  <si>
    <t>A woman dressed in a black top is talking about American Grooming services for pets.</t>
  </si>
  <si>
    <t>She demonstrates all the various grooming services that her company provides for pets.</t>
  </si>
  <si>
    <t>There are several groomers working on dogs as they trim and shear pet hair and clip their nails.</t>
  </si>
  <si>
    <t>The groomers talk about where they have graduated from and how they got hired for the job.</t>
  </si>
  <si>
    <t>The video shows how different dogs are groomed by professional groomers that provide quality services.</t>
  </si>
  <si>
    <t>v_s_H9cTp2tT8</t>
  </si>
  <si>
    <t>Various shots of people walking around a snowy mountain are shown followed by person playing games on horses.</t>
  </si>
  <si>
    <t>Many upscale people are seen watching on the sidelines as the horse game carries on and a winner is chosen.</t>
  </si>
  <si>
    <t>The people then arrive late at night dressed up and posing for pictures.</t>
  </si>
  <si>
    <t>v_uDs0wOnwaAM</t>
  </si>
  <si>
    <t>A small group of people are all seen playing various matches of ping pong with one another down a line of tables.</t>
  </si>
  <si>
    <t>The people continuing hitting the ball back and fourth while the camera captures them from various angles and a close up of a young boy in the end.</t>
  </si>
  <si>
    <t>v_15vwVfNA99o</t>
  </si>
  <si>
    <t>a woman is sitting at a table in a fast food restaurant while eating.</t>
  </si>
  <si>
    <t>She continually speaks to nobody as she eats.</t>
  </si>
  <si>
    <t>She stands up and grabs her purse, continuing to talk and laugh as she leaves.</t>
  </si>
  <si>
    <t>v_4E89GQ2UnoQ</t>
  </si>
  <si>
    <t>We see a raft full of people in a rough river and see lots of stills.</t>
  </si>
  <si>
    <t>We see the people in shots.</t>
  </si>
  <si>
    <t>We see the title screen.</t>
  </si>
  <si>
    <t>We see a helicopter over a river.</t>
  </si>
  <si>
    <t>The raft turns over and a lady laughs.</t>
  </si>
  <si>
    <t>We see a bus driving on the street.</t>
  </si>
  <si>
    <t>We see the canyon from afar.</t>
  </si>
  <si>
    <t>We see a tunnel and a speedboat.</t>
  </si>
  <si>
    <t>We see still shots of the rafters.</t>
  </si>
  <si>
    <t>v_6d7oOG3dS-Y</t>
  </si>
  <si>
    <t>A man is seen pushing a board down into the floor to push the carpet down.</t>
  </si>
  <si>
    <t>He continues cutting around the carpet and pushing it down with a large beam.</t>
  </si>
  <si>
    <t>v_Yf49q7bGpkk</t>
  </si>
  <si>
    <t>A bull in a ring starts chasing two men.</t>
  </si>
  <si>
    <t>Several others run onto the ring, and the bull flips as they grab his horns and tail.</t>
  </si>
  <si>
    <t>They open the gate, but fail to get the bull back inside as he charges them.</t>
  </si>
  <si>
    <t>v_V9nOM1VWdnc</t>
  </si>
  <si>
    <t>A person shows and explains a lemon squeezer and shows the part were the lemon goes.</t>
  </si>
  <si>
    <t>Then, the person points to two jugs on a table.</t>
  </si>
  <si>
    <t>Next, the person puts ice in a cup, and then squeeze a lemon using the lemon squeezer, add syrup and water from jugs.</t>
  </si>
  <si>
    <t>Then, the person put a cover on the cup and shake the mix.</t>
  </si>
  <si>
    <t>v_f6NpnKJZJE0</t>
  </si>
  <si>
    <t>A woman is working out an elliptical machine.</t>
  </si>
  <si>
    <t>A person plugs a cell phone into the machine.</t>
  </si>
  <si>
    <t>v_XHuKkrKjnhQ</t>
  </si>
  <si>
    <t>city with buildings and skyscrapers are in the back and a woman holding a cake is walking and is written how to wrap gifts.</t>
  </si>
  <si>
    <t>wmoan is sitting in a table and have a box and a a gift wrap on top and its showing how to wrap the gift and talking about it.</t>
  </si>
  <si>
    <t>decoative tapes are used to make a ribbon aound the gift and is showing how to make ribbons with diferents clothes.</t>
  </si>
  <si>
    <t>v_N3xWCui6fNY</t>
  </si>
  <si>
    <t>A young girl plays an accordian.</t>
  </si>
  <si>
    <t>The girl turns her head to the right.</t>
  </si>
  <si>
    <t>The girl's playing slows.</t>
  </si>
  <si>
    <t>v_XFySa1Gc-yM</t>
  </si>
  <si>
    <t>A woman is seen curling her hair while speaking to the camera and leads into her speaking in front of judges.</t>
  </si>
  <si>
    <t>The judges critique her and she runs away happy and skipping out of the building.</t>
  </si>
  <si>
    <t>v_SjwFCog0amE</t>
  </si>
  <si>
    <t>Two men are sitting, with their shoes in view.</t>
  </si>
  <si>
    <t>A man picks up a shoe and puts it on his foot.</t>
  </si>
  <si>
    <t>He then applies the other shoe, then ties the laces.</t>
  </si>
  <si>
    <t>v_3tRTl23mhVQ</t>
  </si>
  <si>
    <t>man is chewing gum sitting on the grades.</t>
  </si>
  <si>
    <t>man is standing on ractrack holding a large pole and running to do a javelin throw.</t>
  </si>
  <si>
    <t>people is going down the stairs.</t>
  </si>
  <si>
    <t>v_UrPn5-8yNgA</t>
  </si>
  <si>
    <t>A person is shaving their legs.</t>
  </si>
  <si>
    <t>A polished hand gestures at the person shaving.</t>
  </si>
  <si>
    <t>The person lows their head to see under their leg.</t>
  </si>
  <si>
    <t>v_lidR3AK0ZzQ</t>
  </si>
  <si>
    <t>A woman is seen bending down in front of a large set of weights and begins lifting it to her shoulders.</t>
  </si>
  <si>
    <t>She then bends down and puts the weights back down to her feet.</t>
  </si>
  <si>
    <t>v_sVeC5VlDsjk</t>
  </si>
  <si>
    <t>Several pictures are shown of a beach and landscapes as well as people walking on the beach.</t>
  </si>
  <si>
    <t>Several clips are then shown of people riding along the water and surfing the waves.</t>
  </si>
  <si>
    <t>More shots are shown of people surfing in the water.</t>
  </si>
  <si>
    <t>v_s2cXljpR-xk</t>
  </si>
  <si>
    <t>A man is seen speaking to a woman outside that leads into a game of rock paper scissors.</t>
  </si>
  <si>
    <t>The girls slaps the man and he continues to play the game with several other girls on the street in various locations.</t>
  </si>
  <si>
    <t>When the man wins the girls kiss him on the cheek.</t>
  </si>
  <si>
    <t>v_306mYrvdzIk</t>
  </si>
  <si>
    <t>Four people are in a pool hitting the ball back and forth over the net.</t>
  </si>
  <si>
    <t>As they play,someone walks across the camera and then a set of boys are zoomed in on as they serve the ball.</t>
  </si>
  <si>
    <t>The ball goes out on both sides and they are forced to get out and go and get it.</t>
  </si>
  <si>
    <t>They get the large beach ball back and continue to hit it over the net to one another.</t>
  </si>
  <si>
    <t>v_M-bUoaIqtDk</t>
  </si>
  <si>
    <t>We see a person kitesufing in the sea.</t>
  </si>
  <si>
    <t>The person passes us and turns around.</t>
  </si>
  <si>
    <t>The person stops before taking off again.</t>
  </si>
  <si>
    <t>v_GehJuCIJ7AI</t>
  </si>
  <si>
    <t>five different people tosses a freebie in the air and a dog jumps and catch the freebie in his mouth, the dog then moves on to the next person and do the same thing as many people watch from a distances.</t>
  </si>
  <si>
    <t>there are two dogs now that are jumping the air catching freebies while doing tricks.</t>
  </si>
  <si>
    <t>Now there is one lady with one dog doing tricks and the dog catches the freebie as the lady toss it in the air.</t>
  </si>
  <si>
    <t>v_ruHRz56XGE4</t>
  </si>
  <si>
    <t>A man mows the grass around a tree.</t>
  </si>
  <si>
    <t>The man gets stuck and the mower turns off, and the man has to pull the igniter.</t>
  </si>
  <si>
    <t>Then, the man continues cutting the grass around the tree.</t>
  </si>
  <si>
    <t>v_Q684UQhx7yI</t>
  </si>
  <si>
    <t>A man is sitting on a bull in a gate.</t>
  </si>
  <si>
    <t>The bull is released and a man on a horse chases after it.</t>
  </si>
  <si>
    <t>The man jumps off the horse and ties the bull up.</t>
  </si>
  <si>
    <t>The man stands up and walks back to his horse.</t>
  </si>
  <si>
    <t>v_pzHDfjY-pFY</t>
  </si>
  <si>
    <t>A boy is floating in a raft as his father holds a rope attached to it.</t>
  </si>
  <si>
    <t>The boat floats away slowly, pulling the child as he stands in his raft.</t>
  </si>
  <si>
    <t>He is then pulled up toward the two men in the boat.</t>
  </si>
  <si>
    <t>v_deLpSUF1wio</t>
  </si>
  <si>
    <t>A boy is standing in the woods with another boy.</t>
  </si>
  <si>
    <t>He lights a fire, then throws it at a pile.</t>
  </si>
  <si>
    <t>The two boys stare at the pile while it burns.</t>
  </si>
  <si>
    <t>v_aqpeiIMe47Q</t>
  </si>
  <si>
    <t>chiopped vegetables are in a bowls on top of table.</t>
  </si>
  <si>
    <t>the ingredients are mixed inside a bowl together with oil, pepper and mayonnaise.</t>
  </si>
  <si>
    <t>v_6RdkwoTi-98</t>
  </si>
  <si>
    <t>A man performs a hammer throw in an outdoor area, caged in, surrounded by crowds of people watching.</t>
  </si>
  <si>
    <t>A man in a red t-shirt approaches a players circle on the ground inside of an enclosed metal fence area.</t>
  </si>
  <si>
    <t>The man spins a ball, attached to a rope, around and around.</t>
  </si>
  <si>
    <t>The man lets the ball goes and watches as it lands off screen.</t>
  </si>
  <si>
    <t>v_BTG82umu8Ug</t>
  </si>
  <si>
    <t>A young woman is practicing on a track and field track, sprinting and high jumping over a high bar and landing on her feet while three men in the background are watching her practice.</t>
  </si>
  <si>
    <t>The woman jumps again, this time sprinting a little bit faster.</t>
  </si>
  <si>
    <t>The woman jumps again with a longer run up.</t>
  </si>
  <si>
    <t>Another young woman in the background is jogging by.</t>
  </si>
  <si>
    <t>The woman jumps again with an even longer run up and adds a small skip/hop to her initial run.</t>
  </si>
  <si>
    <t>A man in the background is jogging on the field while another man stands and stretches his legs.</t>
  </si>
  <si>
    <t>The woman doesn't clear the bar perfectly and it falls off of it's poles.</t>
  </si>
  <si>
    <t>The woman jumps again with an even longer run up and a more powerful skip/hop to start her run.</t>
  </si>
  <si>
    <t>The woman jumps again with the long run up and powerful skip at the beginning.</t>
  </si>
  <si>
    <t>v_5g70tfGYWDk</t>
  </si>
  <si>
    <t>A couple of people are on an indoor tennis court.</t>
  </si>
  <si>
    <t>They lob the ball back and forth, playing a game of tennis.</t>
  </si>
  <si>
    <t>They continue playing, trying to win the game.</t>
  </si>
  <si>
    <t>v_jM0l31xZj8E</t>
  </si>
  <si>
    <t>The screen is full of white bubbles and words, while a pair of hands plays the piano.</t>
  </si>
  <si>
    <t>The bubbles and words disappear and it is just the hands moving over the keyboard.</t>
  </si>
  <si>
    <t>The hands disappear and it is just the keyboard.</t>
  </si>
  <si>
    <t>v__6TamBiyYWA</t>
  </si>
  <si>
    <t>A man appears before several targets on a back wall.</t>
  </si>
  <si>
    <t>He talks about the basics of archery.</t>
  </si>
  <si>
    <t>A woman is shown with an archery set.</t>
  </si>
  <si>
    <t>She pulls back the arrow, then shoots at her target as he talks.</t>
  </si>
  <si>
    <t>v_YAjqqbSsFTg</t>
  </si>
  <si>
    <t>A bunch of colorful flowers are shown, including their identification tags.</t>
  </si>
  <si>
    <t>A man shows bees and different breeds, including a tree.</t>
  </si>
  <si>
    <t>He teaches us how to mulch a tree properly.</t>
  </si>
  <si>
    <t>v_5wOmHw6Boj8</t>
  </si>
  <si>
    <t>A clear bottle of detergent is shown and a person begins cleaning a mug with a cloth.</t>
  </si>
  <si>
    <t>The person shows herself putting on the glove and goes back to washing the mug before finally showing her book on the product.</t>
  </si>
  <si>
    <t>v_oTKYejnHLtE</t>
  </si>
  <si>
    <t>A magazine about saxophones is shown just before a pair of hands are shown playing a saxophone.</t>
  </si>
  <si>
    <t>Multiple screens begin to appear, showing the hands playing various notes on the screen.</t>
  </si>
  <si>
    <t>The screen goes backwards until the video ends.</t>
  </si>
  <si>
    <t>v_QWFedtlPRYM</t>
  </si>
  <si>
    <t>Title screens show up on the video.</t>
  </si>
  <si>
    <t>A woman is holding a cloth in a kitchen.</t>
  </si>
  <si>
    <t>The woman begins running water in a bath tub and a sink.</t>
  </si>
  <si>
    <t>The woman washes a cloth in the sink.</t>
  </si>
  <si>
    <t>The woman lays the wet cloth on a dry one and dries it out.</t>
  </si>
  <si>
    <t>The woman puts the pair of pants on an ironing board.</t>
  </si>
  <si>
    <t>The ending credits appear.</t>
  </si>
  <si>
    <t>v_oXKrreio9hg</t>
  </si>
  <si>
    <t>A gymnast is seen standing ready with her arms up that leads into her running down and doing flips down a track into a pit.</t>
  </si>
  <si>
    <t>She puts her arms up to finish and her jumps are shown several more times in slow motion.</t>
  </si>
  <si>
    <t>v_P7bvD_CZH5M</t>
  </si>
  <si>
    <t>Several clips are shown of many people standing on a surf board and pushing themselves along the water with a paddle.</t>
  </si>
  <si>
    <t>The people continue to paddle around the water while many people are seen sitting.</t>
  </si>
  <si>
    <t>v_cSfs5ht9sro</t>
  </si>
  <si>
    <t>We see a person riding a ski lift.</t>
  </si>
  <si>
    <t>The person lifts the bar on the chair.</t>
  </si>
  <si>
    <t>The person hops off the lift and onto the slope.</t>
  </si>
  <si>
    <t>The person puts on their ski poles.</t>
  </si>
  <si>
    <t>The person skis swiftly down the ski slope.</t>
  </si>
  <si>
    <t>The person reaches the bottom of the slope and looks up.</t>
  </si>
  <si>
    <t>320 The person's hand comes to the screen to turn off the camera.</t>
  </si>
  <si>
    <t>v_8xsLp6lqijo</t>
  </si>
  <si>
    <t>A man is standing on a skateboard.</t>
  </si>
  <si>
    <t>He picks up the skateboard and holds it in his hand.</t>
  </si>
  <si>
    <t>He puts the skateboard back down and continues skateboarding.</t>
  </si>
  <si>
    <t>v_buBtMl9SUNk</t>
  </si>
  <si>
    <t>People dive in the water wearing diving suit, small and big fishes swim near the divers.</t>
  </si>
  <si>
    <t>The diver kneel on the sea floor waving their hands.</t>
  </si>
  <si>
    <t>Manta fish and a big fish swim in the water.</t>
  </si>
  <si>
    <t>The divers stands and continue swimming in the water.</t>
  </si>
  <si>
    <t>v_UZBHdQZc0ZM</t>
  </si>
  <si>
    <t>men are holding snowslides from a deposit.</t>
  </si>
  <si>
    <t>old woman is sitting on snowslide and its going down a snowy slope.</t>
  </si>
  <si>
    <t>old woman is in snowslide going down snow track.</t>
  </si>
  <si>
    <t>a man and a woman are grabing the old lady fom the back in a slide.</t>
  </si>
  <si>
    <t>different people are going down slope holding snowslides with a rope.</t>
  </si>
  <si>
    <t>old women are sitting on woodn bench talking to the camera.</t>
  </si>
  <si>
    <t>old people are sitting and standing in front of a camera posing for a picture.</t>
  </si>
  <si>
    <t>v_USaP2UCPBEc</t>
  </si>
  <si>
    <t>Text appears on the screen with a link.</t>
  </si>
  <si>
    <t>People in uniform march down the street.</t>
  </si>
  <si>
    <t>It cuts to the crowd looking on.</t>
  </si>
  <si>
    <t>A marchign band begins to walk down the street.</t>
  </si>
  <si>
    <t>Another set of uniformed people walk down the street.</t>
  </si>
  <si>
    <t>They stop and wave to the crowd.</t>
  </si>
  <si>
    <t>It goes back to the marching band.</t>
  </si>
  <si>
    <t>A horse and carriage walk down the street followed by the people in uniform.</t>
  </si>
  <si>
    <t>Two woman wave flags around.</t>
  </si>
  <si>
    <t>The rest of the people continue to march down the street.</t>
  </si>
  <si>
    <t>v_lVe-7FnfNz8</t>
  </si>
  <si>
    <t>A girl is going across monkey bars on a playground.</t>
  </si>
  <si>
    <t>She gets to the end and jumps onto the ground.</t>
  </si>
  <si>
    <t>She puts her hands up in the air.</t>
  </si>
  <si>
    <t>v_NNQQPZpzCOk</t>
  </si>
  <si>
    <t>Some women are on a boat attempting to figure out how to play shuffleboard.</t>
  </si>
  <si>
    <t>The girl makes a shuffleboard ahot and the girls all begin to celebrate.</t>
  </si>
  <si>
    <t>She continues to attempt make shots and act silly.</t>
  </si>
  <si>
    <t>She puts down the shuffleboard stick and the video ends.</t>
  </si>
  <si>
    <t>v_jqLFT1c8WS8</t>
  </si>
  <si>
    <t>Videos of several men throwing the discus are shown in turn, with the men being watched by audiences and judges, and the throws replayed in slow motion after.</t>
  </si>
  <si>
    <t>Judges are shown evaluating the distance of the one of the throws.</t>
  </si>
  <si>
    <t>Judges are once again shown evaluating the distance of one of the throws.</t>
  </si>
  <si>
    <t>v_bz9R-Xa5xqM</t>
  </si>
  <si>
    <t>A man wearing a black shirt stands in a living room with a red and black accordion.</t>
  </si>
  <si>
    <t>The musician sitting in a chair holding a black accordion and prepares to demonstrate how to play an accordion.</t>
  </si>
  <si>
    <t>The man then demonstrates playing an accordian using a brown accordion.</t>
  </si>
  <si>
    <t>v_0jeq5CeP2P0</t>
  </si>
  <si>
    <t>A kite is seen flying around the air with a person riding behind the kite on the sand.</t>
  </si>
  <si>
    <t>The camera continues to pan around the beach capturing the person flying a kite and him riding around and holding it.</t>
  </si>
  <si>
    <t>v_kOIj7AgonHM</t>
  </si>
  <si>
    <t>A person with crazy hair appears and leads into her on a space ship with gravity essentially turned off.</t>
  </si>
  <si>
    <t>She shows off the various items carried on a space craft and puts a lotion into her hair.</t>
  </si>
  <si>
    <t>She combs the lotion in thoroughly and dries off her head with a towel.</t>
  </si>
  <si>
    <t>She points to the camera and combs through her hair one last time.</t>
  </si>
  <si>
    <t>v_kXP1tgr476c</t>
  </si>
  <si>
    <t>This man is sitting outdoors polishing another man's shoes and neither one of their faces are shown.</t>
  </si>
  <si>
    <t>The man is sitting on the ground and he is using a brown towel to polish the man's shoes.</t>
  </si>
  <si>
    <t>He also puts liquid onto a small brush and he puts it on the man's shoes.</t>
  </si>
  <si>
    <t>v_5DBzvN5Qe_0</t>
  </si>
  <si>
    <t>A girl does flips in front of a room full of children.</t>
  </si>
  <si>
    <t>She uses a hula hoop to go in circles.</t>
  </si>
  <si>
    <t>She acts silly as she demonstrates how she can use the hula hoop.</t>
  </si>
  <si>
    <t>v_Ay6oxBYCSnU</t>
  </si>
  <si>
    <t>Several players are on an ice rink.</t>
  </si>
  <si>
    <t>They are playing hockey against each other.</t>
  </si>
  <si>
    <t>One team scores a goal.</t>
  </si>
  <si>
    <t>Everyone cheers about the goal.</t>
  </si>
  <si>
    <t>v_Mx-rOsiQTos</t>
  </si>
  <si>
    <t>We see a man get in riding leaf blower.</t>
  </si>
  <si>
    <t>We see the leaves being blown on the ground.</t>
  </si>
  <si>
    <t>We see a pipe on the machine.</t>
  </si>
  <si>
    <t>We return to seeing the leaves being blown.</t>
  </si>
  <si>
    <t>We see leaves blowing in the street.</t>
  </si>
  <si>
    <t>v_cy-RLevyo_8</t>
  </si>
  <si>
    <t>From the roof we see the street where a car is parked and a man standing on the room the man begins to pry up roof shingles.</t>
  </si>
  <si>
    <t>The man adds a fixed piece of shingles and nails hem down.</t>
  </si>
  <si>
    <t>The man finishes and walks away.</t>
  </si>
  <si>
    <t>We see the ruck on the street for the roofing company.</t>
  </si>
  <si>
    <t>v_KYN1NR7l2zQ</t>
  </si>
  <si>
    <t>This man is shown standing in the water wearing his pool cap and his goggles are on top of his forehead.</t>
  </si>
  <si>
    <t>He then puts on the goggles on and shows us a couple of swimming techniques in the water and he goes back to talking.</t>
  </si>
  <si>
    <t>v_m34BYRanODU</t>
  </si>
  <si>
    <t>A woman talks in a backyard wearing loose clothes.</t>
  </si>
  <si>
    <t>The woman exercise stepping on the mat.</t>
  </si>
  <si>
    <t>v_2DvHUEFc5VA</t>
  </si>
  <si>
    <t>two men are sitting in front of a counter in a kitchen.</t>
  </si>
  <si>
    <t>men start mixing a cake.</t>
  </si>
  <si>
    <t>man is in the kitchen and pour some ingredients inside a cooking pot and mix them while is boiling water and put the pot on top of the boiled water.</t>
  </si>
  <si>
    <t>man start mixing in a kitchen aid and create a white cream.</t>
  </si>
  <si>
    <t>v_6Ik0MQ53FBU</t>
  </si>
  <si>
    <t>A large group of people are seen standing around a beach as well as several shots of cars and people riding bulls.</t>
  </si>
  <si>
    <t>Various people ride the bulls and sit in the cars as well as end with a game of volleyball and celebrating.</t>
  </si>
  <si>
    <t>v_O_StqLLpAVI</t>
  </si>
  <si>
    <t>A bike with a deflated tire goes through the dirt.</t>
  </si>
  <si>
    <t>A man gets off the bike to look at it.</t>
  </si>
  <si>
    <t>He removes the tire from the bike.</t>
  </si>
  <si>
    <t>He replaces the tube of the tire and fixes the bike.</t>
  </si>
  <si>
    <t>v_Pu85El6jhao</t>
  </si>
  <si>
    <t>A man in a red wet suit is sitting on a float talking casually.</t>
  </si>
  <si>
    <t>Next to hime are many other people on their own floats, just relaxing.</t>
  </si>
  <si>
    <t>They are floating through the river passing all the green scenery.</t>
  </si>
  <si>
    <t>The man in the red wet suit is leading the way.</t>
  </si>
  <si>
    <t>v_B3ZVUyLeT84</t>
  </si>
  <si>
    <t>A boy surfs in a big wave.</t>
  </si>
  <si>
    <t>A group of people lye down on surfboards in a wave.</t>
  </si>
  <si>
    <t>Suddenly, a boy stands an surf below the wave.</t>
  </si>
  <si>
    <t>Men stand in the beach holding surfboards.</t>
  </si>
  <si>
    <t>v_UVxXr_mh5BM</t>
  </si>
  <si>
    <t>A picture of a young lady's bun is shown and then the lady then appears.</t>
  </si>
  <si>
    <t>She begins by braiding one side of her hair and then twists it down and does the same thing on the other side.</t>
  </si>
  <si>
    <t>With one twist,she pulls it up and bobby pins it together with the other side following.</t>
  </si>
  <si>
    <t>The hair style is then complete and she more pictures are shown again of the finish product.</t>
  </si>
  <si>
    <t>v_cwCNZAsvf8U</t>
  </si>
  <si>
    <t>A females left leg and foot is in a bathtub as the lady shaves her leg.</t>
  </si>
  <si>
    <t>Once she is done with the front,she turns her legs to the left and right and shaves the sides in an upward motion.</t>
  </si>
  <si>
    <t>v_8YTuNZ-mIaY</t>
  </si>
  <si>
    <t>A large group of men in uniform are gathered around to play some paintball.</t>
  </si>
  <si>
    <t>They start to run off and everyone is sneaking around trying to catch and shoot other people without getting caught.</t>
  </si>
  <si>
    <t>The field they are playing on is pretty cool, it has a lot of different hiding places.</t>
  </si>
  <si>
    <t>in the end they all take of most of their head gear and start walking back together.</t>
  </si>
  <si>
    <t>v_FZix27qFZTc</t>
  </si>
  <si>
    <t>A man paints a hose on front a fence in a backyard.</t>
  </si>
  <si>
    <t>The man paint the fence from up to down.</t>
  </si>
  <si>
    <t>v_VNROQWtYhlw</t>
  </si>
  <si>
    <t>There's a woman dressed in a sparkly golden dress is eating a Magnum chocolate truffle ice cream bar.</t>
  </si>
  <si>
    <t>She talks about her favorite flavor being chocolate.</t>
  </si>
  <si>
    <t>She takes a bite off the ice cream bar as she savors the rich flavor.</t>
  </si>
  <si>
    <t>She answers questions about needing to have down time as an actor and enjoying her favorite ice cream bar.</t>
  </si>
  <si>
    <t>The video ends with a decadent chocolate ice cream bar being drizzled with rich chocolate.</t>
  </si>
  <si>
    <t>v_b0QGh__f7lU</t>
  </si>
  <si>
    <t>An older man is seen laughing to the camera and playing a large set of bongo drums.</t>
  </si>
  <si>
    <t>He continues playing along faster and faster and finishes by slapping the drum one final time.</t>
  </si>
  <si>
    <t>v_aRdqcOaBvjk</t>
  </si>
  <si>
    <t>A person is seen close up riding on the back of a bike shooting a paint ball off into the distance.</t>
  </si>
  <si>
    <t>Several shots are shown of people riding around in cars shooting paint balls at one another.</t>
  </si>
  <si>
    <t>The people continue riding around on machines and jumping over obstacles.</t>
  </si>
  <si>
    <t>v_LQAFcEvifrU</t>
  </si>
  <si>
    <t>A camera pans around the inside of a car looking out showing other cars driving around.</t>
  </si>
  <si>
    <t>The car begins moving while looking around the sandy area and showing people inside the car.</t>
  </si>
  <si>
    <t>The camera leads into shots of people riding around on camels and leads into shots of people riding on the camels.</t>
  </si>
  <si>
    <t>v_mM6F8DppWcQ</t>
  </si>
  <si>
    <t>A person skateboard down to the ramp, a woman is shown in the phone's screen and then a man.</t>
  </si>
  <si>
    <t>A boy rollerskate down the white railings as two other men walked up to him to give him high five.</t>
  </si>
  <si>
    <t>A young man in blue top roller blades in the railing and give high fives to his peers.</t>
  </si>
  <si>
    <t>v_3w5xIOwFUXU</t>
  </si>
  <si>
    <t>A small group of people are seen standing around table speaking and laughing to one another.</t>
  </si>
  <si>
    <t>Two men then drink out of ice containers and lead into more people drinking out of the containers.</t>
  </si>
  <si>
    <t>One team finishes before the other and everyone celebrates.</t>
  </si>
  <si>
    <t>v_O1XzCrHZm34</t>
  </si>
  <si>
    <t>There are many women in a gym, wearing boxing gloves and athletic gear punching on hanging bags.</t>
  </si>
  <si>
    <t>The camera pans to show a wall and the words "iLoveKickboxing dot com" is on the wall along with a logo that includes a heart with wings and boxing gloves hanging from the bottom of the right wing.</t>
  </si>
  <si>
    <t>The room pans back to the rest of the room and continues to show many women still punching the hanging punching bags.</t>
  </si>
  <si>
    <t>v_RgeVltfPDXQ</t>
  </si>
  <si>
    <t>Children swings a broom handle at a pinata in a backyard.</t>
  </si>
  <si>
    <t>The boy breaks the pinata open and candy spills on the ground.</t>
  </si>
  <si>
    <t>A woman runs up and adjusts the pinata.</t>
  </si>
  <si>
    <t>A woman runs up to get the broom stick but dodges to not get hit by the blindfolded child.</t>
  </si>
  <si>
    <t>The woman guides the boy up who is blindfolded toward the tree.</t>
  </si>
  <si>
    <t>v_JvP1O8ZIL3A</t>
  </si>
  <si>
    <t>A woman is seen standing behind another woman sitting in a chair and begins styling her hair.</t>
  </si>
  <si>
    <t>The woman brushes and parts her hair ad begins braiding the hair and pinning it in several locations.</t>
  </si>
  <si>
    <t>The woman shows off her finished hair do while looking and smiling to the camera.</t>
  </si>
  <si>
    <t>v_jhiJUgDpwFw</t>
  </si>
  <si>
    <t>A young girl is at a park and grabbing and hanging on triangles that are hanging and makes her way going forward and across 7 triangles.</t>
  </si>
  <si>
    <t>As soon as she reaches the end she goes back 3 triangles without turning around and then turns herself around on the 4th triangle and continues back to where she started .</t>
  </si>
  <si>
    <t>The young girl jumps down on the platform, smiles and waves.</t>
  </si>
  <si>
    <t>v_dG8fhIBgx9k</t>
  </si>
  <si>
    <t>A girl with two braids going down her back is standing outside.</t>
  </si>
  <si>
    <t>She turns toward the camera, and her hair is now down.</t>
  </si>
  <si>
    <t>She lays in a stylist chair, showing how the style was done.</t>
  </si>
  <si>
    <t>v_ACki-MP9qdQ</t>
  </si>
  <si>
    <t>This woman is showing viewers how she makes a cheesecake shot.</t>
  </si>
  <si>
    <t>First she puts 3 quarters of an ounce of Baileys and the same amount of pineapple juice.</t>
  </si>
  <si>
    <t>Then she puts a quarter ounce of another liquid and she gets a 2 ounce shot glass and strains the drink from the ice in the shaker to put it into the glass.</t>
  </si>
  <si>
    <t>v_knHJztfWFrA</t>
  </si>
  <si>
    <t>Two men are shown standing in a recording studio playing instruments.</t>
  </si>
  <si>
    <t>One is playing the guitar while the other plays the flute together.</t>
  </si>
  <si>
    <t>They finish their song and one gives a hand gesture to the camera while the other smiles.</t>
  </si>
  <si>
    <t>v_SHZ9fsusMGc</t>
  </si>
  <si>
    <t>A man is holding a rubiks cube.</t>
  </si>
  <si>
    <t>He then starts to turn it.</t>
  </si>
  <si>
    <t>He stops and looks it over.</t>
  </si>
  <si>
    <t>Eventually he solves it and shows his time.</t>
  </si>
  <si>
    <t>v_xfNYfCAlkM4</t>
  </si>
  <si>
    <t>A boy shows up on the screen and gets a cup of water and gargles it.</t>
  </si>
  <si>
    <t>He smiles and walks off the screen for a moment.</t>
  </si>
  <si>
    <t>He returns and continues gragling and laughing.</t>
  </si>
  <si>
    <t>A man comes onto the screen and invites people to subscribe to his videos.</t>
  </si>
  <si>
    <t>v_IWHER8iS1B4</t>
  </si>
  <si>
    <t>woman is talking to the camera.</t>
  </si>
  <si>
    <t>kids are running in stage and jumping the rope.</t>
  </si>
  <si>
    <t>kids are siting on court watching the skipping rope competition.</t>
  </si>
  <si>
    <t>v_yqFdxxWgvh8</t>
  </si>
  <si>
    <t>A woman puts ice in a glass.</t>
  </si>
  <si>
    <t>She dumps a bottle into the glass and adds juice.</t>
  </si>
  <si>
    <t>She stirs the drink and sets it down on the counter.</t>
  </si>
  <si>
    <t>v_PAhJqXTzCOU</t>
  </si>
  <si>
    <t>A man wearing a green cap sits in a car holding a coffee cup talking.</t>
  </si>
  <si>
    <t>He sets the camera on his dashboard and continues talking.</t>
  </si>
  <si>
    <t>He holds the coffee and takes several sips.</t>
  </si>
  <si>
    <t>He continues talking while holding the cup in his hand.</t>
  </si>
  <si>
    <t>v_RP_PlV5Jzuc</t>
  </si>
  <si>
    <t>A close up of a horse is shown tied to a fence when a man walks in with a reef blower and pushing it towards the horses.</t>
  </si>
  <si>
    <t>He moves all around the animals flowing the air on their fur as the horses move around.</t>
  </si>
  <si>
    <t>v_toeGFZLoeHU</t>
  </si>
  <si>
    <t>A man, wearing a kilt and white t-shirt plays the bagpipes while standing outside of a shopping strip parking lot, as cars pass by.</t>
  </si>
  <si>
    <t>A man stands outside next to a yellow fire hydrant and plays the bagpipes as cars pass.</t>
  </si>
  <si>
    <t>The man moves closer to the cars or the edge of the sidewalk as he plays.</t>
  </si>
  <si>
    <t>The man continues to play bagpipes on the sidewalk until the scene fades to black.</t>
  </si>
  <si>
    <t>v_nypn_gYS8Ik</t>
  </si>
  <si>
    <t>A woman is combing her hair while looking into the camera.</t>
  </si>
  <si>
    <t>She then brushes her bangs straight.</t>
  </si>
  <si>
    <t>She continues brushing with the comb and her hand.</t>
  </si>
  <si>
    <t>v_PgS2F7NxNBg</t>
  </si>
  <si>
    <t>A man is standing outside of a wall with some sort of machine machine and begins talking.</t>
  </si>
  <si>
    <t>The man takes the hose and pressure washes the fence before caulking it.</t>
  </si>
  <si>
    <t>He then gets on his knees and adds spray paint to the machine and paints the wall.</t>
  </si>
  <si>
    <t>Finally,he goes back to the wall with his paint brush and fills in the missing spaces.</t>
  </si>
  <si>
    <t>v_8VPiqCCOPWg</t>
  </si>
  <si>
    <t>A woman is seen diving through colorful banners.</t>
  </si>
  <si>
    <t>The outside of a building is shown.</t>
  </si>
  <si>
    <t>We see a scoreboard, then women being prepped for swimming by their coaches.</t>
  </si>
  <si>
    <t>The women take turns diving off the high board, flipping as they go.</t>
  </si>
  <si>
    <t>The winner poses with a medal as everyone claps.</t>
  </si>
  <si>
    <t>v_Y_sVqGm8AyU</t>
  </si>
  <si>
    <t>A woman gets her belly button clamped with a white clamp.</t>
  </si>
  <si>
    <t>She then gets her belly button pierced.</t>
  </si>
  <si>
    <t>The person removes the clamp and wipes it with a towel.</t>
  </si>
  <si>
    <t>v_xJ3KAhVRr8c</t>
  </si>
  <si>
    <t>They are using steppers for exercising.</t>
  </si>
  <si>
    <t>They jumping and climb back and forth over the steppers.</t>
  </si>
  <si>
    <t>v_gvHcfC9snJA</t>
  </si>
  <si>
    <t>A woman in a white shirt is dancing.</t>
  </si>
  <si>
    <t>She holds a curling iron in her hair.</t>
  </si>
  <si>
    <t>She takes the curling iron out of her hair.</t>
  </si>
  <si>
    <t>v_sV4vBuWGJng</t>
  </si>
  <si>
    <t>The video shows a tutorial from Howcast on how to create volume in a haircut.</t>
  </si>
  <si>
    <t>A lady hair dresser wearing a green shirt and pants is demonstrating a haircut on a model wearing a black tank top.</t>
  </si>
  <si>
    <t>She shows how to section the lady's hair and cuts the hair in a slanting manner.</t>
  </si>
  <si>
    <t>She explains how this technique helps in creating extra volume in the crown of the head.</t>
  </si>
  <si>
    <t>v_cb5Xy7k7z1w</t>
  </si>
  <si>
    <t>A young girl and gymnast performs a gymnastic exercise on the balancing beam at a professional sports event in front of many photographers and an audience in the stands.</t>
  </si>
  <si>
    <t>A young gymnast in a blue outfit stands in front of a balance beam, jumps on it and begins to perform a routine involving flips.</t>
  </si>
  <si>
    <t>The girl performs several flips on the balance beam and high jumps using her arms to balance her stance before performing one final flip off of the beam and sticking the landing after which she walks hugs a coach before looking at the scoreboard and talking briefly with a man seated in a white chair.</t>
  </si>
  <si>
    <t>v_02WlEYafQ9Q</t>
  </si>
  <si>
    <t>Several people white water raft and kayak in large inflatable rafts and kayaks on a violent, narrow, body of water surrounded by large rocks.</t>
  </si>
  <si>
    <t>A group of people on a blue water raft paddle against a violent stream/body of water.</t>
  </si>
  <si>
    <t>Several lone people paddle in small kayaks against the same violent water.</t>
  </si>
  <si>
    <t>A person navigates the rocky waves in a large water raft.</t>
  </si>
  <si>
    <t>The rafters and kayakers continue to fight the force of the water as the scene face to a positivity mantra and then to black.</t>
  </si>
  <si>
    <t>v_OFn-c_XvIhU</t>
  </si>
  <si>
    <t>An suv full of friends drives out of a parking lot and onto a resort.</t>
  </si>
  <si>
    <t>A young girl who was in the car steps out of the car.</t>
  </si>
  <si>
    <t>The group of friends scuba dive among fishes in a large pool.</t>
  </si>
  <si>
    <t>They leave the pool excited and happy.</t>
  </si>
  <si>
    <t>One of the girls who was on the trip gives the trip a thumbs up.</t>
  </si>
  <si>
    <t>v_3j4OdbgaoAM</t>
  </si>
  <si>
    <t>A man is seen hosting a new segment that leads into a large group of people standing and marching around a field.</t>
  </si>
  <si>
    <t>People are then seen riding around on horses playing a game with one another.</t>
  </si>
  <si>
    <t>Players speak to the camera as well as the audience and ends with a team standing all together.</t>
  </si>
  <si>
    <t>v_k5wjc4OO1XM</t>
  </si>
  <si>
    <t>A man pours an egg into a small pan.</t>
  </si>
  <si>
    <t>He sets the pan onto a stove.</t>
  </si>
  <si>
    <t>He dumps the food out onto a plate.</t>
  </si>
  <si>
    <t>v_3osNjmYjTGg</t>
  </si>
  <si>
    <t>A man pole vaults over a rope on a track of a sporting field.</t>
  </si>
  <si>
    <t>The man just barely makes his body over the rope.</t>
  </si>
  <si>
    <t>v_rBGdFwbG118</t>
  </si>
  <si>
    <t>A man wearing glasses is talking in a parking lot.</t>
  </si>
  <si>
    <t>He walks into a car wash, where a green substance is being sprayed on the cars.</t>
  </si>
  <si>
    <t>The soap is then rinsed away with hoses.</t>
  </si>
  <si>
    <t>v_E7NTSqMgx44</t>
  </si>
  <si>
    <t>A large marching band is seen walking down a street with a large group of people standing around and watching.</t>
  </si>
  <si>
    <t>The people continue marching and the camera ends with a credit scene.</t>
  </si>
  <si>
    <t>v_uBT9n8wOKP4</t>
  </si>
  <si>
    <t>A young child is seen wearing ear pieces on his head and blowing around the grass.</t>
  </si>
  <si>
    <t>He is holding a large machine and is seen pushing it all around the yard.</t>
  </si>
  <si>
    <t>He pauses for a moment to play with the grass, followed by him working more.</t>
  </si>
  <si>
    <t>v_mnv-Qz4QDfU</t>
  </si>
  <si>
    <t>A group of girls are gathered in a room.</t>
  </si>
  <si>
    <t>They are shown in a series of images posing together.</t>
  </si>
  <si>
    <t>We also several several boys posing before playing a game of foosball.</t>
  </si>
  <si>
    <t>v_kk1Iqyox4c8</t>
  </si>
  <si>
    <t>A man walks up to a microphone while playing the sax.</t>
  </si>
  <si>
    <t>A group of baseball players wait on the field.</t>
  </si>
  <si>
    <t>The man continues to play the saxophone for the crowd.</t>
  </si>
  <si>
    <t>v_kUTDgJmoRE8</t>
  </si>
  <si>
    <t>There's a young main in a white tank top and beige shorts practicing dancing with a woman wearing a gray shirt and blue shorts.</t>
  </si>
  <si>
    <t>They are practicing dancing in their living room with a flat screen television hanging on the wall.</t>
  </si>
  <si>
    <t>They are holding hands as they twirl around and dance.</t>
  </si>
  <si>
    <t>v_2PBdNJcQcp4</t>
  </si>
  <si>
    <t>They are swinging their hips from side to side.</t>
  </si>
  <si>
    <t>The dance is supposed to be sexy.</t>
  </si>
  <si>
    <t>They form a line as they dance.</t>
  </si>
  <si>
    <t>They turn their backs to the audience and dance.</t>
  </si>
  <si>
    <t>The lights go down.</t>
  </si>
  <si>
    <t>The dance is over.</t>
  </si>
  <si>
    <t>v_Nh-RdjyfGNA</t>
  </si>
  <si>
    <t>People stand and talk at a tables.</t>
  </si>
  <si>
    <t>Teams of players play beach soccer.</t>
  </si>
  <si>
    <t>A player scores a goal with the soccer ball.</t>
  </si>
  <si>
    <t>v_YRp5nE0Hlsc</t>
  </si>
  <si>
    <t>The screen is black and we see a ballerina dance across the stage spilling feathers.</t>
  </si>
  <si>
    <t>The person moves it's head like a chicken.</t>
  </si>
  <si>
    <t>The person does a shuffle and dance then falls to the ground before getting up and dancing more.</t>
  </si>
  <si>
    <t>The person puts their hands in a prayer pose.</t>
  </si>
  <si>
    <t>The person picks up feathers off the ground and sprinkles them around then dances and falls to the ground and the scene ends.</t>
  </si>
  <si>
    <t>v_56McYSkE4uQ</t>
  </si>
  <si>
    <t>A person is seen sitting behind a table solving a rubix cube while a timer records her.</t>
  </si>
  <si>
    <t>Two men are seen standing around her and write things down when the girl eventually finishes.</t>
  </si>
  <si>
    <t>v_JJ0jtr07EGE</t>
  </si>
  <si>
    <t>People are sitting and driving in a bunch of bumper cards on a track.</t>
  </si>
  <si>
    <t>They slam and bump into each other, having fun.</t>
  </si>
  <si>
    <t>v_r8qq4rU0tPE</t>
  </si>
  <si>
    <t>A large mountain covered in snow with scarce trees is visible.</t>
  </si>
  <si>
    <t>Someone begins skiing and then a man in an orange snow suit begins talking.</t>
  </si>
  <si>
    <t>The person continues skiing and then two males appear talking to one another.</t>
  </si>
  <si>
    <t>The person skiing then goes from the top of the mountain to the bottom and then hides behind a boulder of ice.</t>
  </si>
  <si>
    <t>v_dTZZq23pYFY</t>
  </si>
  <si>
    <t>Two reporters report on a story about drinking too much coffee on a live news telecast.</t>
  </si>
  <si>
    <t>A dark haired woman reporter talks on camera before the camera cuts to a blonde haired reporter also talking on camera.</t>
  </si>
  <si>
    <t>The camera cuts to video of a coffee cup being filled with coffee while a written template explaining what the story is about appears beneath the cup.</t>
  </si>
  <si>
    <t>The camera then cuts to a four person news panel of people talking on camera.</t>
  </si>
  <si>
    <t>v_9eJgsiS3xH8</t>
  </si>
  <si>
    <t>sailboat is in open sea with some people standing on it.</t>
  </si>
  <si>
    <t>men are siting on te sailboat and are driving it and talking to each other.</t>
  </si>
  <si>
    <t>v_B7Q1egUKmZg</t>
  </si>
  <si>
    <t>A group of children play and practice basketball throws and techniques in an interior gym in front of coaches and other children.</t>
  </si>
  <si>
    <t>A group of children take turns throwing orange and white balls in the net and running up to the net as well.</t>
  </si>
  <si>
    <t>The coaches trail them as they play, at time, trying to block the throws using the hands.</t>
  </si>
  <si>
    <t>v_inbkDgHuRrY</t>
  </si>
  <si>
    <t>A man is seen speaking to the camera while it pans around the area and he climbs into a machine.</t>
  </si>
  <si>
    <t>He uses the machine to rip up the roof and ends with a close up of the machine.</t>
  </si>
  <si>
    <t>v_kFmOtf_Ew1w</t>
  </si>
  <si>
    <t>Several clips are shown of people swimming in the water leading into a woman looking at the camera and still moving around under the water.</t>
  </si>
  <si>
    <t>The woman continues floating in the water followed by grabbing a boogie board and performing various moves around the water.</t>
  </si>
  <si>
    <t>v_ZEgmWaMa9PU</t>
  </si>
  <si>
    <t>Several shots of landscapes are shown that pan back from people standing on a bridge.</t>
  </si>
  <si>
    <t>Shots are shown of people jumping off the side of the bridge while the camera captures more landscapes.</t>
  </si>
  <si>
    <t>Several more people are seen lined up watching that lead into more people jumping off the side.</t>
  </si>
  <si>
    <t>v_7aydawW3AfE</t>
  </si>
  <si>
    <t>A little girl is sitting on a bed with her eyes closed.</t>
  </si>
  <si>
    <t>A woman kneels down and puts eye liner on the girl.</t>
  </si>
  <si>
    <t>The girl opens her eye and smiles.</t>
  </si>
  <si>
    <t>v_tRgK4fFA8sE</t>
  </si>
  <si>
    <t>A person repairs a bike chain and installs the chain on a bike interspersed with an image of a woman talking.</t>
  </si>
  <si>
    <t>A woman looks into a camera and smiles while talking before the scene cuts away to a pair of hands working on a bike chain.</t>
  </si>
  <si>
    <t>A pair of hands work on a bike chain with tools and bolts.</t>
  </si>
  <si>
    <t>The hands install the chain on a blue bike on a dirt ground surface.</t>
  </si>
  <si>
    <t>v_Z0GbQKiufUE</t>
  </si>
  <si>
    <t>A woman holding towels talks to the camera.</t>
  </si>
  <si>
    <t>The woman wipes the window behind her with a towel.</t>
  </si>
  <si>
    <t>The woman sprays a liquid on the window.</t>
  </si>
  <si>
    <t>The woman resumes wiping the window.</t>
  </si>
  <si>
    <t>The woman returns to talking to the camera.</t>
  </si>
  <si>
    <t>v_bPw2rvCjXUE</t>
  </si>
  <si>
    <t>Two boys perform arm wrestling while people are watching, suddenly the boys free their hands.</t>
  </si>
  <si>
    <t>After, they continue competing, then the boy wearing purple t-shirt fold the hand of his rival.</t>
  </si>
  <si>
    <t>After, the continue performing arm wrestling and then free again the hands.</t>
  </si>
  <si>
    <t>v_XyZoiuga6vw</t>
  </si>
  <si>
    <t>A man in blue stands in an auditorium.</t>
  </si>
  <si>
    <t>He does gymnastics on some equipment.</t>
  </si>
  <si>
    <t>People are watching from the stands.</t>
  </si>
  <si>
    <t>He spins his body about.</t>
  </si>
  <si>
    <t>v_08afjR_3SwI</t>
  </si>
  <si>
    <t>Two people white water raft over a rocky, climactic, body of water in narrow canoes and with paddles.</t>
  </si>
  <si>
    <t>A person dressed in a red and black outfit stands in a red canoe and begins to put a piece of black equipment on.</t>
  </si>
  <si>
    <t>The person in the red and black outfit begins rafting in the red canoe over a tumultuous body of water filled with large rocks.</t>
  </si>
  <si>
    <t>The person in the red canoe approaches another canoe in the water, this one blue, the red canoe and blue canoe raft through the waters behind one another as the scene fades to black.</t>
  </si>
  <si>
    <t>v_YMbZ7RFRuYI</t>
  </si>
  <si>
    <t>People compete bike-cross on a bumpy road.</t>
  </si>
  <si>
    <t>A person sprays water on the bumpy road where the bikers pass.</t>
  </si>
  <si>
    <t>A group of bikers leave the start line to start the motocross competition, while other group start to run bike-cross.</t>
  </si>
  <si>
    <t>A person wearing white top take pictures to the bikers.</t>
  </si>
  <si>
    <t>New groups of bikers start to run on the bumpy road to compete bike-cross.</t>
  </si>
  <si>
    <t>v_3aQnQEL3USQ</t>
  </si>
  <si>
    <t>A boy wears jumping shoes to bounce in front a building and in a playground.</t>
  </si>
  <si>
    <t>Then, the boy gets up the steps of a building, and then take big steps and jump down high.</t>
  </si>
  <si>
    <t>A family of four wait the boy to pass the street.</t>
  </si>
  <si>
    <t>Then, the boy returns to the playground and jumps over a stone.</t>
  </si>
  <si>
    <t>After, the boy jumps high on the street until he arrives to a parking lot.</t>
  </si>
  <si>
    <t>v_R58R070r2GE</t>
  </si>
  <si>
    <t>She dismounts and lands on the mat with her arms up.</t>
  </si>
  <si>
    <t>v_afrMWrFkgDg</t>
  </si>
  <si>
    <t>We see a girl kick and sit down.</t>
  </si>
  <si>
    <t>A boy joins her and they eat ice cream.</t>
  </si>
  <si>
    <t>The boy puts his cone in front of the camera.</t>
  </si>
  <si>
    <t>The boy licks his ice cream wildly.</t>
  </si>
  <si>
    <t>A boy throws something at the boy with ice cream.</t>
  </si>
  <si>
    <t>v_K0e_DdvGP54</t>
  </si>
  <si>
    <t>A boy drinks something from a small cup in a bathroom.</t>
  </si>
  <si>
    <t>The boy runs into the room and jumps on the bed.</t>
  </si>
  <si>
    <t>The boy swallows the item in his mouth and covers his mouth with his hands.</t>
  </si>
  <si>
    <t>v_8-WiWyjqAv4</t>
  </si>
  <si>
    <t>A person is seen sitting along the water in a kayak holding a paddle.</t>
  </si>
  <si>
    <t>The person then begins moving along the water in the kayak.</t>
  </si>
  <si>
    <t>The person continues paddling and is then pulled back by a rope and his arms up cheering.</t>
  </si>
  <si>
    <t>v_USwMjvs45MU</t>
  </si>
  <si>
    <t>A large group of people are seen in various areas of a building while some are signing up for a race.</t>
  </si>
  <si>
    <t>People sit around a track and leads into small children performing several long jumps.</t>
  </si>
  <si>
    <t>An older man announces awards in the end and the winners stand by and get their ribbons.</t>
  </si>
  <si>
    <t>v_rSGgal9LtDk</t>
  </si>
  <si>
    <t>A white Breville toaster is sitting on a counter being plugged.</t>
  </si>
  <si>
    <t>In front of the toaster, a block of white cream and a banana is sitting on a white plate.</t>
  </si>
  <si>
    <t>Next,two slices of bread are in the toaster going up and down.</t>
  </si>
  <si>
    <t>Once the bread is finished,it is put on the plate and the spread is put on both slices of the brad then the banana is cut up and put on the bread is put on top of the bananas.</t>
  </si>
  <si>
    <t>Now,the sandwich is cut is half and the person begins to eating it.</t>
  </si>
  <si>
    <t>v_nPTq63WtemI</t>
  </si>
  <si>
    <t>An older man is seen kneeling in the middle of a gym with several people around him.</t>
  </si>
  <si>
    <t>The man pulls on a piece of exercise equipment working his upper arms back and fourth.</t>
  </si>
  <si>
    <t>v_gUFRtx51OJc</t>
  </si>
  <si>
    <t>A woman is seen sitting in a doctor's office with a doctor speaking to her and the camera.</t>
  </si>
  <si>
    <t>The doctor then holds an object up to the girl's lip.</t>
  </si>
  <si>
    <t>Finally the man pierces the girls lip and smiles down to her.</t>
  </si>
  <si>
    <t>v_1dFLeGRT0NQ</t>
  </si>
  <si>
    <t>A boy stands at a podium, talking into a microphone.</t>
  </si>
  <si>
    <t>A group of girls are on stage together.</t>
  </si>
  <si>
    <t>They start dancing while using hula hoops.</t>
  </si>
  <si>
    <t>When they finish, one girl gathers the hoops and the crowd claps as the curtain closes.</t>
  </si>
  <si>
    <t>v_AhsujXLZYWA</t>
  </si>
  <si>
    <t>A woman is seen sitting down on the floor while holding a cat and cutting it's claws.</t>
  </si>
  <si>
    <t>The woman continues to hold the cat cutting his claws and then gets up and runs away in the end.</t>
  </si>
  <si>
    <t>v_9Nj9WdaSQCs</t>
  </si>
  <si>
    <t>The words "Women's Artistic Gymnastics (WAG)" appear on a red screen.</t>
  </si>
  <si>
    <t>"Code of Points 2013-2016" appear briefly.</t>
  </si>
  <si>
    <t>Clips of Chellsie Memmel performing gymnastics olympic trials are shown.</t>
  </si>
  <si>
    <t>Various stats from her performance are shown on screen.</t>
  </si>
  <si>
    <t>v_E0dqgXVU6wA</t>
  </si>
  <si>
    <t>This woman is doing a nail tutorial of how to create nyan cat nails.</t>
  </si>
  <si>
    <t>First paint all of your nails blue and do a big white stripe across them and dot little stars.</t>
  </si>
  <si>
    <t>Then use a tiny paintbrush to put rainbow colors and then use a plastic sandwich bag to make nyan cat and she pushes it onto her nail.</t>
  </si>
  <si>
    <t>v_b8ftOk8tKxg</t>
  </si>
  <si>
    <t>A lady discusses and folds a towel.</t>
  </si>
  <si>
    <t>The lady washes her face with a powder from a box.</t>
  </si>
  <si>
    <t>The lady rinses her face and use a towel to dry up.</t>
  </si>
  <si>
    <t>v_9nE6C-efQdc</t>
  </si>
  <si>
    <t>A woman trying to instruct big bang theory's way of playing rock paper scissors lizard spock.</t>
  </si>
  <si>
    <t>It shows a quick clip of Sheldon from big bang theory actually doing it.</t>
  </si>
  <si>
    <t>Then, she tries to demonstrate it a few times for the viewers.</t>
  </si>
  <si>
    <t>At the end she smiles and ends it with another big bang theory picture.</t>
  </si>
  <si>
    <t>v_5n7NCViB5TU</t>
  </si>
  <si>
    <t>A man swings a metal object from hand to hand.</t>
  </si>
  <si>
    <t>The man spins and releases an object behind him, and the credits of the video are shown.</t>
  </si>
  <si>
    <t>v_JxN0fchWCNI</t>
  </si>
  <si>
    <t>A man and a woman are standing in a kitchen behind an island with fruits on them.</t>
  </si>
  <si>
    <t>Once the male finishes talking,the woman begins grating a vegetable and cutting an orange in half.</t>
  </si>
  <si>
    <t>She then squeezes the orange into a clear glass bowl and seasoning it and mixing it together with the previously cut up ingredients.</t>
  </si>
  <si>
    <t>v_uegTBtD59R0</t>
  </si>
  <si>
    <t>A person is seen looking to the camera in several shots as well as a close up of a dirt bike.</t>
  </si>
  <si>
    <t>People are then shown in several shots riding around a track and performing tricks.</t>
  </si>
  <si>
    <t>The men ride around wooded areas as well as tracks in many shots.</t>
  </si>
  <si>
    <t>v_uiCkFmebAZs</t>
  </si>
  <si>
    <t>There are many different people in the pool swimming and the words "speedo How to guide series How to 'breathe' during your open water swim" appear on the screen.</t>
  </si>
  <si>
    <t>A young lady in a bathing suit and a shower cap is sitting at the side of the pool talking while clips of her swimming are shown, and her name is Keri-anne Payne and is the 10km Open Water Silver Olympic Medalist.</t>
  </si>
  <si>
    <t>The outro appears and it's a black screen with a speedo logo and the word speedo.</t>
  </si>
  <si>
    <t>v_N88-LuWK_K0</t>
  </si>
  <si>
    <t>An intro leads into several clips of people riding in on horses throwing a rope and grabbing calf's in the middle of a pit.</t>
  </si>
  <si>
    <t>More clips are shown of people roping calf's in the pit and ending with pictures of people performing.</t>
  </si>
  <si>
    <t>v_D8dHEAYIawg</t>
  </si>
  <si>
    <t>A group of women and a man are playing volleyball in the sand on a beach.</t>
  </si>
  <si>
    <t>They lob the pink ball back and forth over the net.</t>
  </si>
  <si>
    <t>A woman goes behind a piece of equipment to grab the ball.</t>
  </si>
  <si>
    <t>v_RAQs7EkXLtE</t>
  </si>
  <si>
    <t>A large group of women are seen moving around a stage and begin with two women performing a belly dancing routine.</t>
  </si>
  <si>
    <t>The women continue dancing around the stage and end by holding a pose and bumping into one another.</t>
  </si>
  <si>
    <t>v_sYAAXumvtck</t>
  </si>
  <si>
    <t>Several bottles and nail tools sit on a table.</t>
  </si>
  <si>
    <t>A woman is filing her nails on the table with a white bar.</t>
  </si>
  <si>
    <t>She then paints her nails clear.</t>
  </si>
  <si>
    <t>She then places her finger nails into a white box that is lit up.</t>
  </si>
  <si>
    <t>The light turns off and she takes her hand out and lays it on the table.</t>
  </si>
  <si>
    <t>A nail polish bottle is shown on the screen.</t>
  </si>
  <si>
    <t>She paints her nails with that polish.</t>
  </si>
  <si>
    <t>She puts her hand back in the lit up box on the table.</t>
  </si>
  <si>
    <t>She does another coat of the nail polish.</t>
  </si>
  <si>
    <t>She puts her hand back in the lit up box.</t>
  </si>
  <si>
    <t>A bottle is shown on the table.</t>
  </si>
  <si>
    <t>She lays her hands flat on the table.</t>
  </si>
  <si>
    <t>v_MbCAiWBhAjo</t>
  </si>
  <si>
    <t>Lemons are thrown onto a counter and glasses of lemon-aid appear with ice in mason jars on the counter as well.</t>
  </si>
  <si>
    <t>Lemons are then rolled around against the counter back and forth evenly with the palm of a hand using firm pressure.</t>
  </si>
  <si>
    <t>The lemons are scraped back and forth against a metal food grater to get the zest off of them leaving the skin of the lemon in a bowl.</t>
  </si>
  <si>
    <t>Water is added into a saucepan along with sugar, and then the lemon zest that was extracted with the metal shredder is added to the water as well.</t>
  </si>
  <si>
    <t>The lemons are cut and juiced over a glass bowl and then the juice is poured through a strainer along with the sugar water with zest that was previously mixed in the saucepan.</t>
  </si>
  <si>
    <t>The mixture is stirred with added water and ice is then added.</t>
  </si>
  <si>
    <t>v_EHXpUlacN88</t>
  </si>
  <si>
    <t>A man is seen standing with one man in a bedroom.</t>
  </si>
  <si>
    <t>He bends down and begins picking up the other man.</t>
  </si>
  <si>
    <t>He finally throws the man down onto the bed.</t>
  </si>
  <si>
    <t>v_MNSzt39_UbE</t>
  </si>
  <si>
    <t>Two groups of boys compete tug of war rope, while a man supervise the game and other people watch.</t>
  </si>
  <si>
    <t>A person takes a picture.</t>
  </si>
  <si>
    <t>The team on the left wins the competition.</t>
  </si>
  <si>
    <t>v_w_wIOJrztdU</t>
  </si>
  <si>
    <t>The video leads into several shots of people standing on a beach as well as playing in the sand.</t>
  </si>
  <si>
    <t>Several more pictures are shown of people moving along the beach as well as helping others and shots of the scenery.</t>
  </si>
  <si>
    <t>v_gHhgZ0Bd4H4</t>
  </si>
  <si>
    <t>We see rolling credits rise up the screen.</t>
  </si>
  <si>
    <t>We see three people riding stationary bikes in a gym.</t>
  </si>
  <si>
    <t>The camera moves closer to the bikers.</t>
  </si>
  <si>
    <t>The lady stop and adjusts something on her bike.</t>
  </si>
  <si>
    <t>We wee the fourth rider in the scene.</t>
  </si>
  <si>
    <t>The lady is riding her bike slower.</t>
  </si>
  <si>
    <t>The lady is riding her bike slowly.</t>
  </si>
  <si>
    <t>We see the closing screen on a blue background.</t>
  </si>
  <si>
    <t>v_TmnVK-cYrzg</t>
  </si>
  <si>
    <t>There's a little boy sitting on a bed in the bedroom.</t>
  </si>
  <si>
    <t>There is a laundry basket and a lot of clothes on the bed.</t>
  </si>
  <si>
    <t>The mother of the boy who is filming the video shows a vacuum cleaner.</t>
  </si>
  <si>
    <t>Then she turns the vacuum cleaner on and begins vacuuming the bedroom floor.</t>
  </si>
  <si>
    <t>The boy watches his mom vacuum as he jumps on the bed.</t>
  </si>
  <si>
    <t>the boy then lays down on the bed as he sees his mother finish the job.</t>
  </si>
  <si>
    <t>Then the boy gets off the bed and jumps down to the ground to look under the bedside table.</t>
  </si>
  <si>
    <t>v_WwwfCw1dYlg</t>
  </si>
  <si>
    <t>A man is talking inside a pool gym.</t>
  </si>
  <si>
    <t>A view is shown under the water, then it cuts back to him talking.</t>
  </si>
  <si>
    <t>v_pElJ7U46XnQ</t>
  </si>
  <si>
    <t>A guy gets ready to lift weight.</t>
  </si>
  <si>
    <t>The guy lifts the weight.</t>
  </si>
  <si>
    <t>The guy dance around and then leaves the stage.</t>
  </si>
  <si>
    <t>A man carries a box into the stage.</t>
  </si>
  <si>
    <t>v_rxEQaswh_Uo</t>
  </si>
  <si>
    <t>A boy is smiling up at the man whose shoe he is shining.</t>
  </si>
  <si>
    <t>The man is looking down at the boy.</t>
  </si>
  <si>
    <t>The boy is shining the mans shoes.</t>
  </si>
  <si>
    <t>The boy is talking to passerbys and pointing.</t>
  </si>
  <si>
    <t>A small kid walks away from the wall.</t>
  </si>
  <si>
    <t>The boy is wiping the mans shoes with a towel.</t>
  </si>
  <si>
    <t>He has started to rub with block.</t>
  </si>
  <si>
    <t>The boy gives a peace sign and grins.</t>
  </si>
  <si>
    <t>v_MJpfymVwtGc</t>
  </si>
  <si>
    <t>A lady is lying down on a black bed, a woman in black sweater and wearing black gloves is rubbing a white cotton on the lady's belly button.</t>
  </si>
  <si>
    <t>Then the woman draw a dot on the belly button, piercing the navel with a thong, then the woman inserted a metal stick, then cleaned the pierce, then the woman inserted the belly button accessory, and tighten it then cleaned up the piercing.</t>
  </si>
  <si>
    <t>v_mTtBz5d83C4</t>
  </si>
  <si>
    <t>There are several people sledding down a snowy slope in round snow tubes.</t>
  </si>
  <si>
    <t>They are going down the steep snowy slope at high speed.</t>
  </si>
  <si>
    <t>One of the people going down the slope raises his hand to his friend as he goes downhill.</t>
  </si>
  <si>
    <t>v_g_65rfEiXPY</t>
  </si>
  <si>
    <t>A man cleans a large window using a long handle squeegee.</t>
  </si>
  <si>
    <t>Then, the man uses a long steel wiper to clean the window from right to left.</t>
  </si>
  <si>
    <t>After, the man takes a cloth and cleans the lower part of the window, then he continues cleaning the with a squeegee and a steel wipe.</t>
  </si>
  <si>
    <t>v_tA7cF5wA6ZU</t>
  </si>
  <si>
    <t>A bald man is leading an orchestra.</t>
  </si>
  <si>
    <t>Several female singers are singing while a choir of younger people sing backup.</t>
  </si>
  <si>
    <t>A young drummer and a man playing the piano are near each other as the young boy looks around.</t>
  </si>
  <si>
    <t>As the singers and musicians finish the song,the conductor waves his wand to end the music.</t>
  </si>
  <si>
    <t>v_NVtRGWuiEP4</t>
  </si>
  <si>
    <t>We see girls in a red costume gym performing a baton routine.</t>
  </si>
  <si>
    <t>Three girls walk past in the background.</t>
  </si>
  <si>
    <t>The girls next to them in pink perform their routine.</t>
  </si>
  <si>
    <t>The girls in the red uniforms finish and walk away.</t>
  </si>
  <si>
    <t>A team of girls in black and neon walk past behind the girls.</t>
  </si>
  <si>
    <t>The girls in pink finish their routine.</t>
  </si>
  <si>
    <t>v_KylUHdDXuCg</t>
  </si>
  <si>
    <t>An intro leads into several clips of people attempting to fight bulls from many generations.</t>
  </si>
  <si>
    <t>Several clips are shown of people interacting with the bulls as well as running around and people watching.</t>
  </si>
  <si>
    <t>v_eqm20MDaeRQ</t>
  </si>
  <si>
    <t>A woman is seen kneeling over a bucket on an old tv show.</t>
  </si>
  <si>
    <t>She is seen washing clothes in the bucket while looking off into the distance.</t>
  </si>
  <si>
    <t>She sighs to herself in exhaustion and continues washing the clothes when a shot of a washing machine is shown.</t>
  </si>
  <si>
    <t>v_KuyaO3brwBc</t>
  </si>
  <si>
    <t>A man stands behind a shoe counter and describes how to clean them.</t>
  </si>
  <si>
    <t>The man talks about the three step program and answers frequently asked questions.</t>
  </si>
  <si>
    <t>The man scrubs to shine the shoe and adds some polish then sprays them.</t>
  </si>
  <si>
    <t>v_AbzyaqyFI0Y</t>
  </si>
  <si>
    <t>A person is seen riding a kayak along a rough river and spinning himself around.</t>
  </si>
  <si>
    <t>More shots of him riding around shown and he continues to flip in the water.</t>
  </si>
  <si>
    <t>v_Hi4YiQO47EM</t>
  </si>
  <si>
    <t>A group of people are talking next to a table with red solo cups and beer cans.</t>
  </si>
  <si>
    <t>A woman puts a red solo cup under a man's nose.</t>
  </si>
  <si>
    <t>A man tosses a ping pong ball into a red solo cup.</t>
  </si>
  <si>
    <t>The floor is shown along with a person's foot.</t>
  </si>
  <si>
    <t>v_2mOQx0l1158</t>
  </si>
  <si>
    <t>A closeup of a bike is shown followed by a person unscrewing the handles on the bike and adjusting the sides.</t>
  </si>
  <si>
    <t>The person then screwed it a light in front of the handlebars and holds them in place.</t>
  </si>
  <si>
    <t>v_5-SbGVTPM1c</t>
  </si>
  <si>
    <t>Men run down a track and leap backwards over a bar.</t>
  </si>
  <si>
    <t>A man waves a white flag once the land.</t>
  </si>
  <si>
    <t>An audience is watching them jump.</t>
  </si>
  <si>
    <t>v_TrtuuE1K8pk</t>
  </si>
  <si>
    <t>A man put paint on the wall with a hose, while a person uses a flat mop to spread the paint.</t>
  </si>
  <si>
    <t>Then, the man puts paint around the window.</t>
  </si>
  <si>
    <t>v_Izr9-P7YIKw</t>
  </si>
  <si>
    <t>A woman removes a bolt from a tire.</t>
  </si>
  <si>
    <t>The woman removes a second bolt.</t>
  </si>
  <si>
    <t>The woman removes a third bolt.</t>
  </si>
  <si>
    <t>Lastly, the woman removes a fourth bolt.</t>
  </si>
  <si>
    <t>The woman takes the tire off the car.</t>
  </si>
  <si>
    <t>v_FiJi18WpPe8</t>
  </si>
  <si>
    <t>A girl in a blue and plaid school uniform stands in a school bathroom brushing her teeth and primping in the mirror.</t>
  </si>
  <si>
    <t>The girl begins facing the camera and brushing her teeth, leaning in to the camera at one point before leaning back to continue brushing teeth.</t>
  </si>
  <si>
    <t>The girl then turns towards the bathroom mirror and spits into the bathroom sink, then returns to brushing teeth and facing the camera again.</t>
  </si>
  <si>
    <t>The girl then moves to another sink that is further back in the bathroom, plays with her hair, primps in the mirror, all while another girl in a school uniform enters the bathroom and walks into a bathroom stall.</t>
  </si>
  <si>
    <t>v_WzSZJ-yJX48</t>
  </si>
  <si>
    <t>Two men talk heatedly until a man comes and separates them.</t>
  </si>
  <si>
    <t>Number 99 leaves then goes back to finish talking.</t>
  </si>
  <si>
    <t>Number 69 walks across the field.</t>
  </si>
  <si>
    <t>We see number 69 hit the ball.</t>
  </si>
  <si>
    <t>he then argues with the catcher.</t>
  </si>
  <si>
    <t>A pitcher begins to pitch.</t>
  </si>
  <si>
    <t>v_-fBTCykx4gM</t>
  </si>
  <si>
    <t>A little boy walk toward the sink.</t>
  </si>
  <si>
    <t>The boy stands on front the sink and puts toothpaste on the brush, and then brush the teeth.</t>
  </si>
  <si>
    <t>Then, the boy rinse his mouth and then show teeth and dry mouth.</t>
  </si>
  <si>
    <t>v_8PkoDfbK5Bc</t>
  </si>
  <si>
    <t>A person is doing flips on a stage in front of people.</t>
  </si>
  <si>
    <t>People are standing in the corner playing the drums.</t>
  </si>
  <si>
    <t>A man does a hand stand on the stage.</t>
  </si>
  <si>
    <t>v_6uhLrPgbpUA</t>
  </si>
  <si>
    <t>Several bicycle racers dressed in motocross suits and wearing helmets are lined up at the start line, waiting to race.</t>
  </si>
  <si>
    <t>The race begins, and all bikers race down a hill, toward a jump.</t>
  </si>
  <si>
    <t>The bikers jump off a hill, but one of the bikers, dressed in red and black, tumbles to the ground.</t>
  </si>
  <si>
    <t>The biker immediately behind him, dressed in red, white and blue, tries to avoid the fallen biker, and falls to the ground as well.</t>
  </si>
  <si>
    <t>The other bikers race off.</t>
  </si>
  <si>
    <t>The biker in black and red immediately trots off the track, while the biker in red, white and blue, is clearly injured and struggles to get to his knees.</t>
  </si>
  <si>
    <t>Three men dressed in black jackets come to the aid of the first biker.</t>
  </si>
  <si>
    <t>v_h-lKlgls9OI</t>
  </si>
  <si>
    <t>A recreation building is pictured and kids doing various activities ranging from basketball to swimming is shown.</t>
  </si>
  <si>
    <t>A set of young boys are picture din the water on their backs holding up a green ball and one throws it into the goal.</t>
  </si>
  <si>
    <t>The outside of the building is shown again and a flash of a car parked outside in the parking lot appears.</t>
  </si>
  <si>
    <t>v_mBHsAuDJmj4</t>
  </si>
  <si>
    <t>a man in overalls sits in front of a large wheel of metal.</t>
  </si>
  <si>
    <t>He picks up a torch, and begins welding.</t>
  </si>
  <si>
    <t>Sparks fly as he wears his mask, welding the equipment.</t>
  </si>
  <si>
    <t>v_sO7ZGxFwbm8</t>
  </si>
  <si>
    <t>The video leads into several shots of javelin athletes throwing poles down a large track.</t>
  </si>
  <si>
    <t>Many people are shown running down the track throwing the javelin and watching where their pole lands.</t>
  </si>
  <si>
    <t>v_ZLJJ5LxfE6o</t>
  </si>
  <si>
    <t>Men are doing karate moves in a gym.</t>
  </si>
  <si>
    <t>People are playing instruments next to them.</t>
  </si>
  <si>
    <t>A man in a white shirt is playing the drums in front of him.</t>
  </si>
  <si>
    <t>v_jqKK2KH6l4Q</t>
  </si>
  <si>
    <t>AN intro screen showing a man perform Brazilian martial arts appears on the screen.</t>
  </si>
  <si>
    <t>It then shows a man doing the same martial arts in slow motion on some grass in what looks like a park.</t>
  </si>
  <si>
    <t>The man spins and kicks continuously and is highly skilled.</t>
  </si>
  <si>
    <t>The video then shows another man indoors giving a thumbs up, before jumping to two other men performing on a stage.</t>
  </si>
  <si>
    <t>A bunch of other men are performing martial arts inside of a gymnasium and classroom, while another man speaks to the camera.</t>
  </si>
  <si>
    <t>v_gxuere-ofCU</t>
  </si>
  <si>
    <t>A man is seen sitting in front of a camera holding a harmonica in his hands.</t>
  </si>
  <si>
    <t>The man then begins playing several songs while pausing in between.</t>
  </si>
  <si>
    <t>He continues playing the instrument while looking off into the distance.</t>
  </si>
  <si>
    <t>v_CN0F45eLq1s</t>
  </si>
  <si>
    <t>A picture of a person jumping off of a boat into the water.</t>
  </si>
  <si>
    <t>A sail boat is in the water with people on it.</t>
  </si>
  <si>
    <t>People are sitting on the boat talking.</t>
  </si>
  <si>
    <t>A woman in a white bikini stands at the bow of the boat and a man stands behind her.</t>
  </si>
  <si>
    <t>People are sitting at the bow of the boat.</t>
  </si>
  <si>
    <t>A woman lies on her back wearing a bikini on the boat.</t>
  </si>
  <si>
    <t>People are walking in the sand in front of the camera.</t>
  </si>
  <si>
    <t>A view of the water and beach is shown.</t>
  </si>
  <si>
    <t>People are walking on the sand of the beach.</t>
  </si>
  <si>
    <t>A group of people are posing for a picture.</t>
  </si>
  <si>
    <t>People are taking pictures on the boat.</t>
  </si>
  <si>
    <t>v_8twDb4CdhE0</t>
  </si>
  <si>
    <t>A close up of a woman is shown speaking to the camera holding an ice cream in front of her face.</t>
  </si>
  <si>
    <t>She takes multiple bites of the ice cream while the camera pans around her body and several other people surround her.</t>
  </si>
  <si>
    <t>v_bscUMcCmyYw</t>
  </si>
  <si>
    <t>A girls hops across the pavement.</t>
  </si>
  <si>
    <t>A younger girl watches her.</t>
  </si>
  <si>
    <t>A mans arm is in the foreground.</t>
  </si>
  <si>
    <t>There is also a wooden deck.</t>
  </si>
  <si>
    <t>v_4L0AI0f-cMs</t>
  </si>
  <si>
    <t>White text says the video is about how to make a belly cake.</t>
  </si>
  <si>
    <t>Two pieces of wrapped chocolate cake are shown as a hand adjusts and touches them.</t>
  </si>
  <si>
    <t>Instructions appear at the bottom of the screen before fondant baby parts are shown being placed after the cake is frosted.</t>
  </si>
  <si>
    <t>The cake is complete as a woman's stomach with a baby foot protruding from her dress.</t>
  </si>
  <si>
    <t>v_ADy-2Y0jmXQ</t>
  </si>
  <si>
    <t>A woman is seen hosting a news segment that leads into several clips of people measuring themselves and speaking to the camera.</t>
  </si>
  <si>
    <t>Many shots are shown of people drinking coffee while holding up larger pants and showing off the weight they had lost.</t>
  </si>
  <si>
    <t>More people are seen speaking to the camera while more products are shown as well as food being presented and a woman showing off her closet.</t>
  </si>
  <si>
    <t>v_61iCOJ3Meus</t>
  </si>
  <si>
    <t>A boy in a white tshirt picks up his brother over head and body slams him onto the bed.</t>
  </si>
  <si>
    <t>The brother in army colored shirt gets up from bed.</t>
  </si>
  <si>
    <t>v_iJ6rHJf_Hgo</t>
  </si>
  <si>
    <t>We see a skateboarder walk with his board.</t>
  </si>
  <si>
    <t>the man then skateboards down a busy street.</t>
  </si>
  <si>
    <t>The boarder has his hand on the ground as he skates.</t>
  </si>
  <si>
    <t>The boarder takes a right turn.</t>
  </si>
  <si>
    <t>The cars drive by and the scene ends.</t>
  </si>
  <si>
    <t>v_Vq7Mm98I5Qs</t>
  </si>
  <si>
    <t>A motorbike race is shown on dirt.</t>
  </si>
  <si>
    <t>The preparations include scantily clad women.</t>
  </si>
  <si>
    <t>Motorbikes are then shown jumping and doing agility things.</t>
  </si>
  <si>
    <t>v_5FwNVOIGdVs</t>
  </si>
  <si>
    <t>A man gets on a red machine.</t>
  </si>
  <si>
    <t>He then backs up and begins to blow leaves with it.</t>
  </si>
  <si>
    <t>The leaves blow all over the driveway.</t>
  </si>
  <si>
    <t>Finally the driveway is cleared of the leaves.</t>
  </si>
  <si>
    <t>v_m8SFyH4vhik</t>
  </si>
  <si>
    <t>She dismounts and lands on the mat next to the beam.</t>
  </si>
  <si>
    <t>v_QlQrJ5WsWzo</t>
  </si>
  <si>
    <t>A man sits on top of a camel.</t>
  </si>
  <si>
    <t>The camel stands up and a man in front leads it.</t>
  </si>
  <si>
    <t>A red barn is seen behind them.</t>
  </si>
  <si>
    <t>The camel sits back down and the man gets off.</t>
  </si>
  <si>
    <t>v_hcRf6HmOAzo</t>
  </si>
  <si>
    <t>A woman is seen standing in front of buckets and speaking to the camera.</t>
  </si>
  <si>
    <t>She pours water into a bucket while dragging it over as well as mixing cleaning into it and beginning to dump clothes.</t>
  </si>
  <si>
    <t>The woman dips the clothes into the bucket and shows where she hangs them and waving to the camera.</t>
  </si>
  <si>
    <t>v_GcEutQTeAnA</t>
  </si>
  <si>
    <t>A man carefully washes the side of a car with a sponge.</t>
  </si>
  <si>
    <t>The man stands up and washes the windshield.</t>
  </si>
  <si>
    <t>He then moves along the back of the car washing the spoiler.</t>
  </si>
  <si>
    <t>v_fsSCNCY0iQY</t>
  </si>
  <si>
    <t>A standing Asian woman wearing makeup is talking to a bunch of sitting Asian women who have no make up on their faces.</t>
  </si>
  <si>
    <t>The Asian woman with the make up claps and then hits a clock that has a 10 second timer.</t>
  </si>
  <si>
    <t>The women with no makeup quickly begin to apply makeup before the time runs out.</t>
  </si>
  <si>
    <t>Two women quickly apply makeup to their faces, but when they are done they have upset looks on their faces.</t>
  </si>
  <si>
    <t>The third woman puts make up and fake eyelashes onto a tray in front of her and then slams her face into the tray and rolls it side to side.</t>
  </si>
  <si>
    <t>When she lifts her head up her makeup is perfect and at the same time she pulls her hair out of a ponytail and shakes her hair free.</t>
  </si>
  <si>
    <t>The outro video is a purple screen with white words that read "Beautiful and fast" and ends with a white screen that has purple words readings "Windows 8" and the microsoft logo.</t>
  </si>
  <si>
    <t>v_BbQ39yhaC54</t>
  </si>
  <si>
    <t>A man is talking in a racquetball court.</t>
  </si>
  <si>
    <t>He talks about how to pose and swing the racquet.</t>
  </si>
  <si>
    <t>He demonstrates by hitting the ball back and forth against the wall.</t>
  </si>
  <si>
    <t>v_ZkkTMR21XLc</t>
  </si>
  <si>
    <t>A man and woman biker are standing outside an event.</t>
  </si>
  <si>
    <t>They get into a raft and push it into a river.</t>
  </si>
  <si>
    <t>They ride the rapids, going over falls and paddling as they go.</t>
  </si>
  <si>
    <t>v_w5lQ5vNAksM</t>
  </si>
  <si>
    <t>man is standing in a room playing the flute.</t>
  </si>
  <si>
    <t>the man ends to play and laugh and thanks to the public.</t>
  </si>
  <si>
    <t>man is wearing a blue shirt and is sitting behind the man playing the flute.</t>
  </si>
  <si>
    <t>v_JouywOCeGHI</t>
  </si>
  <si>
    <t>A man talks to a camera from an outdoors scene by a slope.</t>
  </si>
  <si>
    <t>Several quick cuts are shown explaining the terms behind belaying in the context of climbing.</t>
  </si>
  <si>
    <t>More quick scenes are shown explaining the process behind belaying in the context of climbing.</t>
  </si>
  <si>
    <t>The man talks to the camera once more.</t>
  </si>
  <si>
    <t>v_p1_6T9d4ZuY</t>
  </si>
  <si>
    <t>The gymnast approaches the bar with a leap.</t>
  </si>
  <si>
    <t>She grasps the bar and begins to flip herself around the bar before leaping to the next bar and propelling herself up and over it repeatedly.</t>
  </si>
  <si>
    <t>She launches herself in the air and lands on the mat.</t>
  </si>
  <si>
    <t>v_4rvACiBclFI</t>
  </si>
  <si>
    <t>A bunch of cars are driving while tilted on one side.</t>
  </si>
  <si>
    <t>The tires are taken off one of the cars.</t>
  </si>
  <si>
    <t>v_bM5VpCdPOrw</t>
  </si>
  <si>
    <t>A man is seen speaking to he camera and leads into clip of his truck driving and people riding behind.</t>
  </si>
  <si>
    <t>A man speaks to the ground with a stick as they wander around a deserted area and showing off various plants and wildlife in the area.</t>
  </si>
  <si>
    <t>He puts white clothing all over his body and several others and leads into the people riding camels with others leading in front.</t>
  </si>
  <si>
    <t>v_yuxoNmlNcc8</t>
  </si>
  <si>
    <t>A flag is shown waving where it is stuck in the ground.</t>
  </si>
  <si>
    <t>A group of people are standing outside the building, some eating.</t>
  </si>
  <si>
    <t>A man shurgs at the camera as a game commences.</t>
  </si>
  <si>
    <t>v_Q_kqplOxytU</t>
  </si>
  <si>
    <t>A small boy is immersed into pool water as he looks around.</t>
  </si>
  <si>
    <t>He floats and swims with his mother's help.</t>
  </si>
  <si>
    <t>He blows bubbles, and she removes him from the water.</t>
  </si>
  <si>
    <t>v_hDf32SV0QN0</t>
  </si>
  <si>
    <t>A woman is sitting in front of a camera.</t>
  </si>
  <si>
    <t>She begins brushing her partially wet hair.</t>
  </si>
  <si>
    <t>She continues brushing, then stops and stares at the camera.</t>
  </si>
  <si>
    <t>v_Skz2tom_Ag0</t>
  </si>
  <si>
    <t>A man is seen standing on a tennis court on one side of the fence.</t>
  </si>
  <si>
    <t>Another person is seen standing on the other side and then hit a ball to one another.</t>
  </si>
  <si>
    <t>The person misses the birdie and walks over towards it.</t>
  </si>
  <si>
    <t>v_cMoy7UJtlyA</t>
  </si>
  <si>
    <t>A man stands on a dock wearing a green shirt.</t>
  </si>
  <si>
    <t>He then rides a boat with a sail.</t>
  </si>
  <si>
    <t>He steers it through the lake.</t>
  </si>
  <si>
    <t>He stands on the dock again at the end.</t>
  </si>
  <si>
    <t>v_W70Urhy8Yl4</t>
  </si>
  <si>
    <t>A couple are standing on a snowy hillside.</t>
  </si>
  <si>
    <t>A man walks over to a small red flag.</t>
  </si>
  <si>
    <t>He removes the flag, then pulls a line out of the ground.</t>
  </si>
  <si>
    <t>He pulls up a giant fish he caught.</t>
  </si>
  <si>
    <t>v_0T14tLwBafQ</t>
  </si>
  <si>
    <t>We see people playing volleyball in sand with a dog.</t>
  </si>
  <si>
    <t>We see a man laying in the sand.</t>
  </si>
  <si>
    <t>The dog runs for the ball.</t>
  </si>
  <si>
    <t>A person throws the ball back and the dog returns.</t>
  </si>
  <si>
    <t>The dog tries to get the ball.</t>
  </si>
  <si>
    <t>A man kicks sand at and shoos the dog.</t>
  </si>
  <si>
    <t>v_xIU6DO35R_c</t>
  </si>
  <si>
    <t>A man scuffs a shoe in the street while another person sits and watches.</t>
  </si>
  <si>
    <t>She talks to the man and moves her hands to follow his movement.</t>
  </si>
  <si>
    <t>v_Q3FkUH9kImU</t>
  </si>
  <si>
    <t>He is showing a shuffleboard.</t>
  </si>
  <si>
    <t>He walks to the end of the shuffleboard and another man is on the other side.</t>
  </si>
  <si>
    <t>He begins playing by throwing one down the board.</t>
  </si>
  <si>
    <t>v_oQ_gE5_0xyc</t>
  </si>
  <si>
    <t>We see a few opening screens.</t>
  </si>
  <si>
    <t>We see a lady performs a baton routine in a arena.</t>
  </si>
  <si>
    <t>The lady spins and catches her baton.</t>
  </si>
  <si>
    <t>The lady flips forwards and backwards and catches her baton.</t>
  </si>
  <si>
    <t>The lady spins and catches her baton again.</t>
  </si>
  <si>
    <t>The lady flips multiple times and catches her baton before posing.</t>
  </si>
  <si>
    <t>The crowd claps and the lady waves.</t>
  </si>
  <si>
    <t>v_S47vfJ9g3Mw</t>
  </si>
  <si>
    <t>The video begins with a title screen and an intro which shows various works of art.</t>
  </si>
  <si>
    <t>The topic is about Chinese paintings of waterfalls and rocks.</t>
  </si>
  <si>
    <t>An older Chinese man speaks to the camera.</t>
  </si>
  <si>
    <t>He then begins painting as the camera pans down to view how he does it.</t>
  </si>
  <si>
    <t>At one point, the camera focuses back to his face for a moment.</t>
  </si>
  <si>
    <t>The video ends with another title screen.</t>
  </si>
  <si>
    <t>v_GbvZWitR2_g</t>
  </si>
  <si>
    <t>A kite is flying above a beach.</t>
  </si>
  <si>
    <t>Several people sit on the beach.</t>
  </si>
  <si>
    <t>The kite soars through the sky.</t>
  </si>
  <si>
    <t>Several people are in the water.</t>
  </si>
  <si>
    <t>v_OHOi0ZSuDUg</t>
  </si>
  <si>
    <t>An old man plays the ukulele and a boy plays the tam-tams in the street.</t>
  </si>
  <si>
    <t>A person pass on front the players.</t>
  </si>
  <si>
    <t>v_5vk8OuKkttU</t>
  </si>
  <si>
    <t>A set of instructions are shown transitioning back and fourth between a man laying down carpet on a set of stairs.</t>
  </si>
  <si>
    <t>The text continues showing while the man lays out paper all down the stairs.</t>
  </si>
  <si>
    <t>v_JjRSGzdwtc0</t>
  </si>
  <si>
    <t>A woman is seen walking along a field and throwing a jump rope to another.</t>
  </si>
  <si>
    <t>Several clips are followed by people jump roping in various locations as well as with each other.</t>
  </si>
  <si>
    <t>The group continue dancing and jumping around public places and ends with a baby holding a rope.</t>
  </si>
  <si>
    <t>v_zpJ91CkCiyw</t>
  </si>
  <si>
    <t>We see two men on a city street and the title loads.</t>
  </si>
  <si>
    <t>A man takes off his hood and talks to the camera.</t>
  </si>
  <si>
    <t>We see men in roller blades fall then skate down a railing.</t>
  </si>
  <si>
    <t>A person flashes a light at the camera.</t>
  </si>
  <si>
    <t>A man falls on the railing.</t>
  </si>
  <si>
    <t>A person falls at the bottom of the stairs and then the light is flashing again.</t>
  </si>
  <si>
    <t>We see a man fall down the railing three times.</t>
  </si>
  <si>
    <t>We see the men talk and shake hands before seeing the end screen.</t>
  </si>
  <si>
    <t>v__5VJcnrEgbg</t>
  </si>
  <si>
    <t>A man hits a ball with a tennis racket.</t>
  </si>
  <si>
    <t>Another man joins him shortly after.</t>
  </si>
  <si>
    <t>Several different angles are shown as the group of four play before an audience, hitting the ball back and forth quickly.</t>
  </si>
  <si>
    <t>When they are done, the men walk away, patting each other on the backs.</t>
  </si>
  <si>
    <t>v_nStBfiFl6RU</t>
  </si>
  <si>
    <t>A group of women dance in an aerobic class in a group inside a gym studio.</t>
  </si>
  <si>
    <t>The women jump up and down on alternating feet.</t>
  </si>
  <si>
    <t>The woman walk one way taking a few steps then back the other way during the routine.</t>
  </si>
  <si>
    <t>v_FFCmoQp_xVA</t>
  </si>
  <si>
    <t>A man stands behind a bar talking to the camera.</t>
  </si>
  <si>
    <t>The man holds a drink up and puts it down.</t>
  </si>
  <si>
    <t>The man adds ice to a glass and two shots of a red liquor then another.</t>
  </si>
  <si>
    <t>The man puts a strainer on the glass and stirs the glass with a long metal stick.</t>
  </si>
  <si>
    <t>The man pours it into a martini glass.</t>
  </si>
  <si>
    <t>The man smiles and holds the drink in the air.</t>
  </si>
  <si>
    <t>v_9z_ylV5c9HA</t>
  </si>
  <si>
    <t>A girl demonstrates applying contact lenses to her eyes in an extreme close up video.</t>
  </si>
  <si>
    <t>A pink slide appears advising that the a person is not good at applying contact lenses.</t>
  </si>
  <si>
    <t>A girl with blonde hair and long pink nails proceeds to apply contact lenses to her eyes in a close up video which capture the lens and the eye before and after.</t>
  </si>
  <si>
    <t>v_6gZuc4umTPk</t>
  </si>
  <si>
    <t>Two young girls are seen speaking to the camera and playing with one another.</t>
  </si>
  <si>
    <t>One girl then pulls out a bottle of nail polish while the other waves to the camera.</t>
  </si>
  <si>
    <t>More clips are shown of one girl attempting to paint the nails of the other and ends by waving to the camera.</t>
  </si>
  <si>
    <t>v_cGtK7bs-TE8</t>
  </si>
  <si>
    <t>A fast motion video is shown of various people raking leaves around a yard.</t>
  </si>
  <si>
    <t>Two boys look around towards each other and continue raking the leaks until the yard is done.</t>
  </si>
  <si>
    <t>v_EoQgUlLb3U4</t>
  </si>
  <si>
    <t>A man turns his body around, preparing to throw his discus.</t>
  </si>
  <si>
    <t>The man throws the discus really hard.</t>
  </si>
  <si>
    <t>The man watches ahead after his discus.</t>
  </si>
  <si>
    <t>v_jsqD1NB63hk</t>
  </si>
  <si>
    <t>A young man is seen wearing goggles and speaking to the camera followed by him jumping into the pool.</t>
  </si>
  <si>
    <t>The boy gets out and is seen once again jumping into the pool and swimming to the side to present an object.</t>
  </si>
  <si>
    <t>v_p8h3G0Tblqc</t>
  </si>
  <si>
    <t>A man introduces the basketball concepts of the video to the camera.</t>
  </si>
  <si>
    <t>The player starts from one side of the court and runs up and lays up the basketball in the net.</t>
  </si>
  <si>
    <t>He repeats around the court from every angle.</t>
  </si>
  <si>
    <t>The man returns to go over the concepts again as the video closes.</t>
  </si>
  <si>
    <t>v_ySQBZ8hqBo4</t>
  </si>
  <si>
    <t>The athlete is balancing in the bean as the man took out the spring jumper.</t>
  </si>
  <si>
    <t>The athlete did cartwheel on the beam as the crowd applauded.</t>
  </si>
  <si>
    <t>When the female athlete finished her number, she jumped off the beam cartwheeling down the blue mat.</t>
  </si>
  <si>
    <t>v_T8wY9ZQv8vQ</t>
  </si>
  <si>
    <t>The video is showing clips of gymnastics players performing tricks along a padded area, while judges and spectators look on and cheer.</t>
  </si>
  <si>
    <t>The first player hits her head at the end of her performance.</t>
  </si>
  <si>
    <t>The video continues to show many other gymnasts competing, with the audience cheering after the completion of each performance.</t>
  </si>
  <si>
    <t>The video ends with a male performer.</t>
  </si>
  <si>
    <t>v_vDaDT1vUOfI</t>
  </si>
  <si>
    <t>A woman appears and disappears under the water as she swims in an olympic sized pool.</t>
  </si>
  <si>
    <t>She is seen swimming in a fishlike manner under the water.</t>
  </si>
  <si>
    <t>She displays several different swimming styles and moves.</t>
  </si>
  <si>
    <t>v_0e7-mNDgIXw</t>
  </si>
  <si>
    <t>A special effect intro that looks like a chalk board on wood appears and the words on it say SKI SCHOOL on the upper left, and the middle words say "Ski Tips: FOOT ROTATION" along with a website at the bottom and a blue circle icon on the upper right.</t>
  </si>
  <si>
    <t>A man skis into view and he's standing on a snowy mountain with a lot of trees and he's talking and looks like he's giving tips on how to ski as he physically demonstrates and continues to talk the whole time.</t>
  </si>
  <si>
    <t>The man is now back at his starting point where he was originally standing and he's talking again.</t>
  </si>
  <si>
    <t>The special affect screen appears with a wooden background and 4 different pictures on the screen with words under them.</t>
  </si>
  <si>
    <t>v_UwZbkuVsPno</t>
  </si>
  <si>
    <t>Two men are standing on a basketball goal.</t>
  </si>
  <si>
    <t>They start doing layups, then stand talking to the camera again.</t>
  </si>
  <si>
    <t>v_Xo4-GnduX8A</t>
  </si>
  <si>
    <t>Man talks to camera shooting video.</t>
  </si>
  <si>
    <t>Soccer players are shown practicing their moves.</t>
  </si>
  <si>
    <t>Soccer players take shots.</t>
  </si>
  <si>
    <t>Man is shoved off of the court.</t>
  </si>
  <si>
    <t>Man is congratulated for his goal.</t>
  </si>
  <si>
    <t>Man shakes his hand at the camera.</t>
  </si>
  <si>
    <t>v_q1jvfsKWY5c</t>
  </si>
  <si>
    <t>These people are playing tug of war against sumo wrestler who are more than 4 times their size and the small people win against them.</t>
  </si>
  <si>
    <t>In the end the people and sumo wrestlers take selfies and the sumo wrestlers open the fanta and throw it on each other.</t>
  </si>
  <si>
    <t>v_zOcXA1S_VPI</t>
  </si>
  <si>
    <t>A man wearing a black hat is talking.</t>
  </si>
  <si>
    <t>A man dribbles a basketball around some cones and shoots the ball.</t>
  </si>
  <si>
    <t>Two people are playing basketball.</t>
  </si>
  <si>
    <t>A man is dribbling a basketball on a court.</t>
  </si>
  <si>
    <t>v_mVC8DBsg1i0</t>
  </si>
  <si>
    <t>A man is sitting on a stool while the dog is in front of him, the dog is wearing a red leash.</t>
  </si>
  <si>
    <t>A white dog is hiding behind the wall.</t>
  </si>
  <si>
    <t>A man is brushing the dog's fur on his side first the at the back.</t>
  </si>
  <si>
    <t>The man started to shave the dog's front leg.</t>
  </si>
  <si>
    <t>A white dog is laying on the brown bed.</t>
  </si>
  <si>
    <t>The beige dog is laying on the rug while the man is shaving the beige.</t>
  </si>
  <si>
    <t>The white dog rubbing her face on the glass table, then the beige dog is standing on the glass sat then sat on the table, then the white dog is standing beside the beige dog.</t>
  </si>
  <si>
    <t>v_Qmo9D73hWXY</t>
  </si>
  <si>
    <t>We see a person in hockey gear skate onto the ice.</t>
  </si>
  <si>
    <t>Another person enters and we watch two people play hockey.</t>
  </si>
  <si>
    <t>We see the puck drop in front of the camera.</t>
  </si>
  <si>
    <t>The person knocks the goalie to the ground.</t>
  </si>
  <si>
    <t>The goalie skates up to the camera.</t>
  </si>
  <si>
    <t>v_TM_5fb15eXQ</t>
  </si>
  <si>
    <t>A guy is giving a lesson about snow boards he puts a big rub brand on the board to hold the foot placers in place.</t>
  </si>
  <si>
    <t>the guy shows the difference between snow boards and put them on a object to smoothing out the bottom of the board for better skiing.</t>
  </si>
  <si>
    <t>v_9tAyfaBGwyg</t>
  </si>
  <si>
    <t>A woman is drawing a hopscotch board on the ground in chalk.</t>
  </si>
  <si>
    <t>She stands up and walks to the front of the hopscotch board.</t>
  </si>
  <si>
    <t>She begins jumping on the board.</t>
  </si>
  <si>
    <t>v_SiBSwSu_REQ</t>
  </si>
  <si>
    <t>People are walking around the basketball court.</t>
  </si>
  <si>
    <t>A team of dancers walk onto the basketball court and stand at attention.</t>
  </si>
  <si>
    <t>As onlookers clap, the squad turns around in unison.</t>
  </si>
  <si>
    <t>The squad does their routine.</t>
  </si>
  <si>
    <t>The squad ends their routine and exits the floor.</t>
  </si>
  <si>
    <t>v_I6VBFfeBqF0</t>
  </si>
  <si>
    <t>A man props his leg on the side of a tub.</t>
  </si>
  <si>
    <t>He is shaving his leg with a razor, revealing a tattoo underneath.</t>
  </si>
  <si>
    <t>When he is done, he wipes off the hair and shows a tattoo of homer simpson as the grim reaper.</t>
  </si>
  <si>
    <t>v_tu6EkaMa9c8</t>
  </si>
  <si>
    <t>A tubing advertisement is on the screen.</t>
  </si>
  <si>
    <t>Tubers are going down the river.</t>
  </si>
  <si>
    <t>West Virginia advertisement is on the screen.</t>
  </si>
  <si>
    <t>A tuber goes under a plank with a dog on it.</t>
  </si>
  <si>
    <t>The camera is pointed towards the sky and trees.</t>
  </si>
  <si>
    <t>One tuber runs into branches, one stands up and falls over.</t>
  </si>
  <si>
    <t>the cameraman turns circles in his tube then has a snack.</t>
  </si>
  <si>
    <t>One guy gets his head tangled in branches.</t>
  </si>
  <si>
    <t>The video ends with advertisements.</t>
  </si>
  <si>
    <t>v_cGNkR-JvaJs</t>
  </si>
  <si>
    <t>A sports logo flashes on the screen.</t>
  </si>
  <si>
    <t>A woman talking into a microphone wearing a white shirt.</t>
  </si>
  <si>
    <t>A man is playing pool behind a blue pool table.</t>
  </si>
  <si>
    <t>The woman continues talking in front of the pool table.</t>
  </si>
  <si>
    <t>The woman and the man talk to each other.</t>
  </si>
  <si>
    <t>A trophy flashes on the screen.</t>
  </si>
  <si>
    <t>The man and the woman continue talking.</t>
  </si>
  <si>
    <t>The man plays pool again.</t>
  </si>
  <si>
    <t>The man and woman continue talking to each other.</t>
  </si>
  <si>
    <t>It flashes back to the pool table.</t>
  </si>
  <si>
    <t>The man and woman continue talking and the woman laughs at what the man is saying.</t>
  </si>
  <si>
    <t>The man is now teaching the woman how to shoot the pool ball while standing behind her.</t>
  </si>
  <si>
    <t>The woman makes the shot and they celebrate with a high five.</t>
  </si>
  <si>
    <t>The man is telling the woman how to make another shot.</t>
  </si>
  <si>
    <t>She attempts the shot and makes it and they high five again.</t>
  </si>
  <si>
    <t>They continue talking and laughing.</t>
  </si>
  <si>
    <t>The woman lays down on the pool table and he shoots a ball out of her mouth.</t>
  </si>
  <si>
    <t>The woman is sitting in a chair next to the pool table talking into the microphone.</t>
  </si>
  <si>
    <t>A Maxim logo flashes on the screen.</t>
  </si>
  <si>
    <t>v_S4GiCywMi38</t>
  </si>
  <si>
    <t>A man demonstrates how to apply make up to a face by applying make up to his own face in the camera.</t>
  </si>
  <si>
    <t>A man talks to the camera, close up, while standing in front of a mirror.</t>
  </si>
  <si>
    <t>The man begins to put on makeup blush using a brush and brushing across the apples of his cheeks.</t>
  </si>
  <si>
    <t>The man then runs a crayon like makeup tool across his cheeks before returning to apply blush to his cheeks and forehead.</t>
  </si>
  <si>
    <t>the man then uses a narrow and wide brush across his cheeks and then back to the regular brush for the same areas of his face.</t>
  </si>
  <si>
    <t>v_BKrUkWSo4Ig</t>
  </si>
  <si>
    <t>An intro leads into a man holding a violin and playing with his hands.</t>
  </si>
  <si>
    <t>The man continues to play and then pauses to speak to the camera while also demonstrating how to properly play.</t>
  </si>
  <si>
    <t>v_m_B1Jb6Wwn0</t>
  </si>
  <si>
    <t>A man is cleaning the soles of his sneakers with the thin, metal end of a hose.</t>
  </si>
  <si>
    <t>The man places the hose back and starts to leave.</t>
  </si>
  <si>
    <t>v_Z8xxgFpK-NM</t>
  </si>
  <si>
    <t>A man is dancing on a stage in white pants.</t>
  </si>
  <si>
    <t>Two people start dancing together on a stage.</t>
  </si>
  <si>
    <t>A man does several back flips on the stage.</t>
  </si>
  <si>
    <t>A person is playing a drum.</t>
  </si>
  <si>
    <t>v_wuHLveuf6PQ</t>
  </si>
  <si>
    <t>Several person are seen riding down a hill on roller blades while a person on a police bike rides in front.</t>
  </si>
  <si>
    <t>At one point several people fall and trip over one another but keep riding their blades on.</t>
  </si>
  <si>
    <t>v_KgGQ6dHKl8U</t>
  </si>
  <si>
    <t>A man mounted on a horse chases after a cow.</t>
  </si>
  <si>
    <t>He catches the cow with a rope.</t>
  </si>
  <si>
    <t>He mounts off the horse and hits the cow several times.</t>
  </si>
  <si>
    <t>v_PIJd7_6RGpY</t>
  </si>
  <si>
    <t>A man stands around a fire pit, talking.</t>
  </si>
  <si>
    <t>The man lights a torch.</t>
  </si>
  <si>
    <t>The man uses the torch to light the wood in the fire pit.</t>
  </si>
  <si>
    <t>The man sits by the fire pit, enjoying the warmth.</t>
  </si>
  <si>
    <t>v_Yb5b_xx1P9I</t>
  </si>
  <si>
    <t>A man in a black shirt is checking food in a sandwich shop.</t>
  </si>
  <si>
    <t>The man then moves fast to make a hoagie sandwich by adding ingredients from the bins.</t>
  </si>
  <si>
    <t>The man wraps the sandwich in paper and puts it in a plastic bag.</t>
  </si>
  <si>
    <t>We see on a phone the man made the sandwich in 41 seconds.</t>
  </si>
  <si>
    <t>The man then takes the sandwich apart in the back.</t>
  </si>
  <si>
    <t>v_0ysVELHeEyc</t>
  </si>
  <si>
    <t>The camera pans down the side of a fence.</t>
  </si>
  <si>
    <t>It stops at a broken section.</t>
  </si>
  <si>
    <t>It continues to pan down the fence.</t>
  </si>
  <si>
    <t>Nails are hammered into the fence.</t>
  </si>
  <si>
    <t>They continue down the fence and remove some dead plants.</t>
  </si>
  <si>
    <t>They show a product used to clean the fence.</t>
  </si>
  <si>
    <t>A man sprays the fence with the product.</t>
  </si>
  <si>
    <t>He drops it and gets some paint.</t>
  </si>
  <si>
    <t>A painted section of the fence is shown.</t>
  </si>
  <si>
    <t>v_IOmzDJjVUoQ</t>
  </si>
  <si>
    <t>A little in a pink shirt is going across the monkey bars.</t>
  </si>
  <si>
    <t>She hangs upside down from the bars.</t>
  </si>
  <si>
    <t>She smiles at the camera.</t>
  </si>
  <si>
    <t>v_bvBNoeCBDdg</t>
  </si>
  <si>
    <t>A title screen appears for a tutorial for hockey agility.</t>
  </si>
  <si>
    <t>A hockey player goes through several routines showing agility warm ups with a hockey stick and puck and drills with tires, small cones.</t>
  </si>
  <si>
    <t>Another title screen appear with a website just below it.</t>
  </si>
  <si>
    <t>v_IcDadC2tw5c</t>
  </si>
  <si>
    <t>A person watches another person using a leaf blower in a yard from an elevated window.</t>
  </si>
  <si>
    <t>A person in dark clothing blows leaves on a piece of property in front of two open garage doors.</t>
  </si>
  <si>
    <t>Another person moves with the camera as they watch from a window in an elevated room against a white window sill.</t>
  </si>
  <si>
    <t>The person blowing the leaves moves around the yard and continues to do lawn maintenance.</t>
  </si>
  <si>
    <t>v_pFh-8ICMTFY</t>
  </si>
  <si>
    <t>A woman talks while on a stair machine in a gym and shows proper footing.</t>
  </si>
  <si>
    <t>The woman walks on aerobic machine in the gym without the handles.</t>
  </si>
  <si>
    <t>The woman uses the arm bars while walking on the aerobic machine.</t>
  </si>
  <si>
    <t>The woman holds the arm grips to get off the machine.</t>
  </si>
  <si>
    <t>v_N_zbcVs419E</t>
  </si>
  <si>
    <t>A person's hand is seen holding a paint brush.</t>
  </si>
  <si>
    <t>The hand then puts drops of ink on paper.</t>
  </si>
  <si>
    <t>The person's hand is seen again with the paint brush.</t>
  </si>
  <si>
    <t>The hand returns with an ink dropper and creates pictures with ink.</t>
  </si>
  <si>
    <t>The hand gently touches the picture with a paper towel.</t>
  </si>
  <si>
    <t>v_G5ueYVLGtm8</t>
  </si>
  <si>
    <t>The woman in black shirt is bend over and hit the ball with mallet.</t>
  </si>
  <si>
    <t>The woman hit again the green ball causing it to hit the small pole.</t>
  </si>
  <si>
    <t>The woman in black cheered and began to walk.</t>
  </si>
  <si>
    <t>v_jfFnL_o8QS0</t>
  </si>
  <si>
    <t>A stopwatch is shown and a crowd gathers for a game of field hockey.</t>
  </si>
  <si>
    <t>The documentary features the voice of a former player as archival footage is shown in color.</t>
  </si>
  <si>
    <t>Photos and video in black and white depicts the history of the game.</t>
  </si>
  <si>
    <t>The documentary then focuses on a famous player.</t>
  </si>
  <si>
    <t>After that, a famous manager is highlighted and former players talk about him.</t>
  </si>
  <si>
    <t>v_p28XWij4U1c</t>
  </si>
  <si>
    <t>A woman talks to a camera and then demonstrates exercises that can be done from the playground using playground equipment including monkey bars.</t>
  </si>
  <si>
    <t>A woman in a red short sleeved shirt stands on the sand of a playground and talks facing the camera, while standing next to some monkey bars.</t>
  </si>
  <si>
    <t>The woman begins to use the monkey bars and pulls herself across the entire expanse of the bar without using feet for propulsion from bar to bar, using just upper arm and core strength to pull across the bars.</t>
  </si>
  <si>
    <t>The woman then climbs a wall and jumps off it in a gymnastic flip into the sand and begins to talk to the camera again.</t>
  </si>
  <si>
    <t>v_bJj66H_WsDA</t>
  </si>
  <si>
    <t>A man is seen sitting on the sidelines followed by a large group of people playing lacrosse.</t>
  </si>
  <si>
    <t>The players continue to move up and down the field past one another and many watching on the sides.</t>
  </si>
  <si>
    <t>The group continue to play and end by scoring a goal and the ref reacting.</t>
  </si>
  <si>
    <t>v_xT6ejzSmftg</t>
  </si>
  <si>
    <t>A marching group of cadets in dark clothing comes into view in what appears to be a downtown city square.</t>
  </si>
  <si>
    <t>A drum corp is heard drumming proudly as the cadets march down the street.</t>
  </si>
  <si>
    <t>The marchers begin waving to the crowd and greeting the onlookers.</t>
  </si>
  <si>
    <t>A long train whistle is heard as the cadets continue to wave to the crowd.</t>
  </si>
  <si>
    <t>Behind the cadets, a marching band comes into view, dressed in white.</t>
  </si>
  <si>
    <t>The band marches by while playing cadet songs.</t>
  </si>
  <si>
    <t>v_Er88I-NQkG4</t>
  </si>
  <si>
    <t>spanish letters are shown in the video.</t>
  </si>
  <si>
    <t>baby kid is dancing in the top of a table wearing a white diaper in the kitchen and a woman is filming it.</t>
  </si>
  <si>
    <t>v_vaqswUFfvMY</t>
  </si>
  <si>
    <t>A gymnast bend to rise weight above his head, while other men sit in the gym watch him.</t>
  </si>
  <si>
    <t>The gymnast drops the weight to the floor.</t>
  </si>
  <si>
    <t>v_72F30o9V8v0</t>
  </si>
  <si>
    <t>A man is shown sitting on a fence and talking to the camera while pointing out horses.</t>
  </si>
  <si>
    <t>A girl is shown riding a horse while three others hold onto the horse and help.</t>
  </si>
  <si>
    <t>These people help various people on and off the horses.</t>
  </si>
  <si>
    <t>The people also walk through obstacle courses with the horses and keep one hand on at all times.</t>
  </si>
  <si>
    <t>The man stands in the middle applauding the riders and giving the horses direction.</t>
  </si>
  <si>
    <t>A boy smiles when he gets off the horse and several people congratulate him.</t>
  </si>
  <si>
    <t>The man finishes by talking about his camp and why you should join.</t>
  </si>
  <si>
    <t>v_dKf46wUnn-s</t>
  </si>
  <si>
    <t>Two children are seen walking around a yard play crochet with one another and laughing on the side.</t>
  </si>
  <si>
    <t>the kids continue to play with each other while the camera pans all around their movements.</t>
  </si>
  <si>
    <t>v_AoyoL-921Ws</t>
  </si>
  <si>
    <t>A large yard is shown followed by a young child pushing a lawn mower around.</t>
  </si>
  <si>
    <t>The boy continues pushing the lawn mower around while the camera watches from the side.</t>
  </si>
  <si>
    <t>The boy moves the mower all along the yard.</t>
  </si>
  <si>
    <t>v_Tg3FU9Ro6KQ</t>
  </si>
  <si>
    <t>A woman is seen speaking to the camera and leads into her holding up various nail polishes and beginning to a set of fake nails.</t>
  </si>
  <si>
    <t>She continues painting on the nails use several different colors and presents the nail to the camera in the end.</t>
  </si>
  <si>
    <t>v_Hev5Vj0Jjuk</t>
  </si>
  <si>
    <t>A group of girls look up at an amusement park ride and wave there hands in fear and anticipation.</t>
  </si>
  <si>
    <t>The girls put on safety harnesses.</t>
  </si>
  <si>
    <t>The group climb up the stairs to the top of the platform.</t>
  </si>
  <si>
    <t>A girl stands on top of the platform with a rope and harness and prepares to jump.</t>
  </si>
  <si>
    <t>A pop band is seen singing a song and dancing.</t>
  </si>
  <si>
    <t>The girl jumps from the platform and bounces on the bungee cord in the air.</t>
  </si>
  <si>
    <t>The girl is met by the group members who congratulate her for the jump.</t>
  </si>
  <si>
    <t>v_ygmYkKbS-4U</t>
  </si>
  <si>
    <t>A man in a blue shirt is sweeping the floor in a gym.</t>
  </si>
  <si>
    <t>He flips the broom over and lays it flat on the floor.</t>
  </si>
  <si>
    <t>He starts vacuuming around the floor.</t>
  </si>
  <si>
    <t>He vacuums the bottom of the broom.</t>
  </si>
  <si>
    <t>v_sx5Q-JsaAAs</t>
  </si>
  <si>
    <t>Two men play ping pong on front a crowd.</t>
  </si>
  <si>
    <t>When the person with black jacket serves, the ball lands on net, also the young man fails to serve well and the ball lands outside the table.</t>
  </si>
  <si>
    <t>The young man wins and raise his hands, while his opponent hug him.</t>
  </si>
  <si>
    <t>People take picture to the men.</t>
  </si>
  <si>
    <t>v_sicaCRRCkiY</t>
  </si>
  <si>
    <t>A camera shows several different ingredients laid out on a table followed by someone mixing the ingredients together.</t>
  </si>
  <si>
    <t>They put the mixture on a pan to create cookies in the oven and show off the final results.</t>
  </si>
  <si>
    <t>v_BFrsZmuj4Ns</t>
  </si>
  <si>
    <t>Two men are seen running around a circle surrounded by people and performing martial arts moves.</t>
  </si>
  <si>
    <t>More people come in the circle and the people continue spinning around one another and fighting with each other.</t>
  </si>
  <si>
    <t>v_m1pNOYN-DoI</t>
  </si>
  <si>
    <t>Four guys are throwing golf balls across a table to hit plastic cups.</t>
  </si>
  <si>
    <t>Two guys high five after one guy gets the golf ball into the plastic cup.</t>
  </si>
  <si>
    <t>Guys point at the camera and laugh.</t>
  </si>
  <si>
    <t>A guy takes the golf ball out of the cup and attempts to drink the liquid.</t>
  </si>
  <si>
    <t>A guy throws a golf ball with his back toward the table, lands it inside the cup, and leaves the room.</t>
  </si>
  <si>
    <t>The guys celebrate and give high fives.</t>
  </si>
  <si>
    <t>v_UXX8k68S3_g</t>
  </si>
  <si>
    <t>A person is seen drawing on the side of a pumpkin and then leads into cutting out the outlines.</t>
  </si>
  <si>
    <t>The person then wipes a rag all over the pumpkin cleaning off its sides.</t>
  </si>
  <si>
    <t>v_DCyLmohIwkQ</t>
  </si>
  <si>
    <t>A man slowly walks over and takes some equipment off of the wall as some dramatic music plays.</t>
  </si>
  <si>
    <t>He sets up the bow and gets his arrows.</t>
  </si>
  <si>
    <t>Next we see him outdoors as he walks across some grass towards a target.</t>
  </si>
  <si>
    <t>He pulls out an arrow and and sets it in his bow.</t>
  </si>
  <si>
    <t>After a few tries he gets a bulls-eye.</t>
  </si>
  <si>
    <t>He sets his bow and his arrows down onto a wooden platform.</t>
  </si>
  <si>
    <t>v_Rx4gq8hrZ8s</t>
  </si>
  <si>
    <t>Four people plays soccer table indoors.</t>
  </si>
  <si>
    <t>A man shows a ball on a stick and demonstrates the movement of the ball on the soccer table.</t>
  </si>
  <si>
    <t>Then the mans shows the ball to the players, and one of them grab the ball and others play.</t>
  </si>
  <si>
    <t>v_ydRycaBjMVw</t>
  </si>
  <si>
    <t>A man is seen sitting on a bench with other wiping his ear down with cleaner.</t>
  </si>
  <si>
    <t>The man looks at his phone while the other then begins piercing his ears.</t>
  </si>
  <si>
    <t>The man puts an earring in each hole while still speaking to the man and shoving off his earring.</t>
  </si>
  <si>
    <t>v_jpGyplACWUg</t>
  </si>
  <si>
    <t>a man is celebrating with his arms in the air.</t>
  </si>
  <si>
    <t>He is shown spinning on a field.</t>
  </si>
  <si>
    <t>He then throws the ball far away and it is measured.</t>
  </si>
  <si>
    <t>v_-5h2E52tl4Q</t>
  </si>
  <si>
    <t>A middle aged female talks about a cleaning product.</t>
  </si>
  <si>
    <t>The female opens a container of cleaner and puts it on a rag.</t>
  </si>
  <si>
    <t>The female then uses the rag to rub the inside of the sink.</t>
  </si>
  <si>
    <t>The same female then uses a different rag to rub the sink surface.</t>
  </si>
  <si>
    <t>The female puts more cleaner on the rag and cleans the counter top.</t>
  </si>
  <si>
    <t>v_Anvhv9FFv1Q</t>
  </si>
  <si>
    <t>A man is seen speaking to the camera and leads into him presenting various objects and sharpening a knife on a board.</t>
  </si>
  <si>
    <t>The man demonstrates how to properly sharpen the knife using the tools and his hands while continuing to sharpen the knife on the board.</t>
  </si>
  <si>
    <t>v_KanNWuKvkxs</t>
  </si>
  <si>
    <t>A woman talks and shows a little bottle.</t>
  </si>
  <si>
    <t>Then, the woman put on her eyes white contact lenses and continues explaining.</t>
  </si>
  <si>
    <t>v_It-SVT1ICJM</t>
  </si>
  <si>
    <t>A couple of toys are wrestling on a table next to a stack of dvds.</t>
  </si>
  <si>
    <t>They kick and push each other down.</t>
  </si>
  <si>
    <t>A screen of stars in a black sky are shown.</t>
  </si>
  <si>
    <t>v_xKPF_SpZ1gQ</t>
  </si>
  <si>
    <t>A calf and horse run out of a gate.</t>
  </si>
  <si>
    <t>The man catches the calf and ties it up.</t>
  </si>
  <si>
    <t>v_5olJd75WWFw</t>
  </si>
  <si>
    <t>A man wearing a black shirt is demonstrating how to polish wood and other surfaces using liquid polish and a white soft cloth.</t>
  </si>
  <si>
    <t>He pours some of the polish from the bottle onto the cloth and uses it to gently scrub ad rub it over the furniture and tabletop.</t>
  </si>
  <si>
    <t>He uses it over various surfaces to clean and polish the surfaces of wood, vinyl and leather.</t>
  </si>
  <si>
    <t>v_y20J3BbydOk</t>
  </si>
  <si>
    <t>kids are gathered around a wooden table in a kitchen.</t>
  </si>
  <si>
    <t>woman is cutting oranges and showing it to kids and squeezing it in a glass in the table.</t>
  </si>
  <si>
    <t>v_AEQ9zIG9LqA</t>
  </si>
  <si>
    <t>A man does several back flips on a red mat.</t>
  </si>
  <si>
    <t>A woman in a black shirt watches him go by and claps.</t>
  </si>
  <si>
    <t>He stands up and walks away.</t>
  </si>
  <si>
    <t>v_1HWajOhmPVg</t>
  </si>
  <si>
    <t>Various text is shown across the screen that leads into a man hosting a news segment.</t>
  </si>
  <si>
    <t>An athlete is then seen spinning around in circles and throwing an object off into the distance.</t>
  </si>
  <si>
    <t>More text is shown across the screen.</t>
  </si>
  <si>
    <t>v_PyM_VG5KFa4</t>
  </si>
  <si>
    <t>A channel is displaying some cool and incredible videos.</t>
  </si>
  <si>
    <t>A young boy is sitting outdoors on a wooden bench and drumming on a drum set that is made out of steel plates, cans and pots.</t>
  </si>
  <si>
    <t>A man just walked past him while the boy was drumming loudly.</t>
  </si>
  <si>
    <t>He continues to drum on the handmade drum set rhythmically.</t>
  </si>
  <si>
    <t>He plays in a fast manner without stopping.</t>
  </si>
  <si>
    <t>The screen shows details of how to subscribe to the channel.</t>
  </si>
  <si>
    <t>v_O0nOzufJ_OM</t>
  </si>
  <si>
    <t>A compilation/tribute video for a Hungarian discus throwing Olympian begins with some pictures of him in action.</t>
  </si>
  <si>
    <t>An attempt with him twirling rapidly begins and the discus launches.</t>
  </si>
  <si>
    <t>More photos play, showing the competitor in different positions.</t>
  </si>
  <si>
    <t>Two straight attempts featuring a powerful spin result in the the discus flying far both times.</t>
  </si>
  <si>
    <t>This is followed by more photos.</t>
  </si>
  <si>
    <t>Another attempt plays, followed by another slate of photos.</t>
  </si>
  <si>
    <t>The next attempt occurs in front of a large green net, the discus is launched like a rocket and the thrower celebrates.</t>
  </si>
  <si>
    <t>Another set of photos close the montage.</t>
  </si>
  <si>
    <t>v_9o_SlEkq-L0</t>
  </si>
  <si>
    <t>A man is standing in a yard of green grass and is shown mowing the lawn and when he's done there is a short exchange of a hand handing his hand one dollar bill.</t>
  </si>
  <si>
    <t>The man is then shown moving the grass again and when he's done he's once again indoors and this time getting three one dollar bills handed to him.</t>
  </si>
  <si>
    <t>He is once again back in the yard but this time he has the container filled with cut grass and a special effect makes it look like the cut grass is jumping into his container.</t>
  </si>
  <si>
    <t>A special effect shows the man quickly in one place and then in another spot that varies a lot all throughout the yard.</t>
  </si>
  <si>
    <t>The man goes back to mowing the yard and then back indoors to get one more dollar handed to him.</t>
  </si>
  <si>
    <t>The man is very happy about this and he's back in the yard celebrating by jumping and mowing the yard a little more.</t>
  </si>
  <si>
    <t>The man is then back indoors and a special effect shows a bunch of money flying into the air and straight into his hands and ends with a the man holding a bunch of money in his hands as they move.</t>
  </si>
  <si>
    <t>v_PzeM5iOLQnk</t>
  </si>
  <si>
    <t>We see a man talking in a bike ship.</t>
  </si>
  <si>
    <t>the man points at a bike.</t>
  </si>
  <si>
    <t>The man takes off the handlebars on a bike and adjusts them.</t>
  </si>
  <si>
    <t>The man puts the handlebars back on.</t>
  </si>
  <si>
    <t>The man moves to the front of the bike to adjust the handlebars.</t>
  </si>
  <si>
    <t>The man then finishes tightening the bolt on the handlebar.</t>
  </si>
  <si>
    <t>The man steps back when finished.</t>
  </si>
  <si>
    <t>v_ozgrP6Znupc</t>
  </si>
  <si>
    <t>Two men talk to the camera, interspersed with action footage of them playing lacrosse.</t>
  </si>
  <si>
    <t>The man dressed in orange talks to the camera.</t>
  </si>
  <si>
    <t>The man in orange demonstrates passing the lacrosse ball against the wall.</t>
  </si>
  <si>
    <t>The man in orange talks to the camera again.</t>
  </si>
  <si>
    <t>Both men demonstrate passing the lacrosse ball against the wall.</t>
  </si>
  <si>
    <t>The man in orange talks to the camera a third time while demonstrating with his lacrosse stick.</t>
  </si>
  <si>
    <t>The man is briefly interrupted by a scene of him passing the ball against the wall.</t>
  </si>
  <si>
    <t>The two man practice passing the ball to each other with the wall.</t>
  </si>
  <si>
    <t>The man in orange talks to the camera a final time.</t>
  </si>
  <si>
    <t>v_uklYBuQDwIw</t>
  </si>
  <si>
    <t>A woman is seen sitting down on a string while others watch around her.</t>
  </si>
  <si>
    <t>A man is shown speaking to the camera while others take their turns balance on the rope.</t>
  </si>
  <si>
    <t>More shots are shown of the people walking along one another.</t>
  </si>
  <si>
    <t>v_zFUUBWJ58UA</t>
  </si>
  <si>
    <t>A woman is seen walking up to a door and smiling to the camera while hanging up her coat.</t>
  </si>
  <si>
    <t>She puts an apron on and pours paint into a bucket while speaking to the camera.</t>
  </si>
  <si>
    <t>She is shown painting various furniture as well as showing it off in the end.</t>
  </si>
  <si>
    <t>v_mEEovBtzwHc</t>
  </si>
  <si>
    <t>A woman is seen sitting in a chair while speaking to the camera and leads into a close up of a tree and the woman putting ornaments on.</t>
  </si>
  <si>
    <t>The woman ties string all along the tree while the camera pans around and ends with her showing off the end result and speaking to the camera.</t>
  </si>
  <si>
    <t>v_nlXavqvgf6A</t>
  </si>
  <si>
    <t>A boy is sitting on a ramp with the flaps up on his dirt bike waiting to go on the course.</t>
  </si>
  <si>
    <t>The boy then comes back and begins moving the pedals on the bicycle and then stands up on the bike.</t>
  </si>
  <si>
    <t>Another angle is shown and the ramps are let down and the boy begins riding down the pavement.</t>
  </si>
  <si>
    <t>v_W4tmb8RwzQM</t>
  </si>
  <si>
    <t>A teen sits in a chair talking.</t>
  </si>
  <si>
    <t>The boy stands and we see him bouncing on a slackline in various locations.</t>
  </si>
  <si>
    <t>There is a second boy on a different line who walks away.</t>
  </si>
  <si>
    <t>The boy almost falls and steadys himself.</t>
  </si>
  <si>
    <t>The boy gets off and walks away.</t>
  </si>
  <si>
    <t>The boy walks to the camera and gestures with his hands.</t>
  </si>
  <si>
    <t>v_nnWJGghixr0</t>
  </si>
  <si>
    <t>A black intro screen appears with white words and letters saying "Eric Bristow's unique TV 'Robin Hood' Darts shot 1983 vs J Wilson".</t>
  </si>
  <si>
    <t>An older looking video begins and two different men are throwing darts at a dartboard.</t>
  </si>
  <si>
    <t>When the men are done throwing darts, a dartboard is show and blue letters scroll up from the bottom to the top.</t>
  </si>
  <si>
    <t>v_xPyj6pmYyEk</t>
  </si>
  <si>
    <t>An introduction comes onto the screen for a video about how to make linguine with clam sauce.</t>
  </si>
  <si>
    <t>Water is brought to a boil in a pot and the pasta is added to the pot.</t>
  </si>
  <si>
    <t>Parsley is finely chopped along with some garlic, and the clams are drained into a bowl to separate them from the juice.</t>
  </si>
  <si>
    <t>Olive oil goes into the pan with the garlic, red pepper, parsley, white wine, basil, salt, and clam juice to simmer, and the clams are added to the mixture at the end.</t>
  </si>
  <si>
    <t>The pasta is drained and added into the pan with the sauce.</t>
  </si>
  <si>
    <t>The pasta is then served with shredded cheese on top.</t>
  </si>
  <si>
    <t>v_gWyBBQtsDhc</t>
  </si>
  <si>
    <t>A woman with long hair is seen speaking to the camera while moving her arms around and smiling while she speaks.</t>
  </si>
  <si>
    <t>She then begins brushing her long hair out and smiling back at the camera and waving.</t>
  </si>
  <si>
    <t>v_-od9zDziq9U</t>
  </si>
  <si>
    <t>A girl walks up the the center of the stage and messes with her feet and gets in position.</t>
  </si>
  <si>
    <t>She pauses in that position before she begins to dance around.</t>
  </si>
  <si>
    <t>She does a split and some poses all around.</t>
  </si>
  <si>
    <t>She does some cart wheels and more dancing all around the court and finally she finishes.</t>
  </si>
  <si>
    <t>v_MkouTZhtvEI</t>
  </si>
  <si>
    <t>A large group of people are shown walking in holding bows and arrows and one making a shot.</t>
  </si>
  <si>
    <t>Several more people are shown making shots with their bows and arrows and celebrating in the end and standing on a podium waving.</t>
  </si>
  <si>
    <t>v_AIxxMCcmIgM</t>
  </si>
  <si>
    <t>We see a man water skiing.</t>
  </si>
  <si>
    <t>We see the water spraying on the left.</t>
  </si>
  <si>
    <t>The man jumps over to the right.</t>
  </si>
  <si>
    <t>The man is bending down on the surfboard.</t>
  </si>
  <si>
    <t>The man performs a flip.</t>
  </si>
  <si>
    <t>v_BfsCKU69hHs</t>
  </si>
  <si>
    <t>A pair of female hands uses an iron on a piece of baby clothing.</t>
  </si>
  <si>
    <t>The woman sets the iron aside and flips the clothing.</t>
  </si>
  <si>
    <t>The woman uses the iron on the other side of the clothing.</t>
  </si>
  <si>
    <t>The woman sets the iron aside.</t>
  </si>
  <si>
    <t>v_MY6o5ZObFLE</t>
  </si>
  <si>
    <t>A man is sipping a drink on the beach.</t>
  </si>
  <si>
    <t>A girl is applying squirts of suntan lotion onto their bodies.</t>
  </si>
  <si>
    <t>Then then go into the water, swimming and walking in the surf.</t>
  </si>
  <si>
    <t>v_AjiCJiOIDtI</t>
  </si>
  <si>
    <t>A man is seen speaking to the camera while holding up a foam rubber mat.</t>
  </si>
  <si>
    <t>The camera pans around more mats laying out while the man still speaks to the camera.</t>
  </si>
  <si>
    <t>v_vtYbJD2J8Tw</t>
  </si>
  <si>
    <t>A woman begins talking to the camera smiling and leads into her coming another woman's hair.</t>
  </si>
  <si>
    <t>She parts the hair into sections and places rollers into the woman's hair and talking to the camera.</t>
  </si>
  <si>
    <t>v_GJz8FEFB70w</t>
  </si>
  <si>
    <t>Two people lift a large weight over their heads.</t>
  </si>
  <si>
    <t>They drop the weight to the ground.</t>
  </si>
  <si>
    <t>The weights are shown on each side.</t>
  </si>
  <si>
    <t>v__4oBeoCuU7M</t>
  </si>
  <si>
    <t>Two cars are seen parked outside of a garage as a man focuses his camera.</t>
  </si>
  <si>
    <t>Once the camera is sin position,a man is shown with a steel mask on as he beats a piece on a concrete.</t>
  </si>
  <si>
    <t>The piece is on the concrete and he puts the bottom of the mask on and begins burning the metal.</t>
  </si>
  <si>
    <t>v_USOc5S2-3zA</t>
  </si>
  <si>
    <t>A woman in a belly dancer outfit is on stage.</t>
  </si>
  <si>
    <t>She walks down the lane while dancing and singing.</t>
  </si>
  <si>
    <t>She gyrates her hips and arms as she performs.</t>
  </si>
  <si>
    <t>v_bNh4SQ2nR80</t>
  </si>
  <si>
    <t>A video is shown for how to do a frizz free blowout.</t>
  </si>
  <si>
    <t>After washing and conditioning, product is applied and blow dried.</t>
  </si>
  <si>
    <t>Then the rest of the procedure is completed.</t>
  </si>
  <si>
    <t>v_8kGiDHAnTqY</t>
  </si>
  <si>
    <t>A man is helping a little girl go down a slide.</t>
  </si>
  <si>
    <t>She goes down the slide on her belly.</t>
  </si>
  <si>
    <t>She climbs up the side of the playground and goes down the slide again.</t>
  </si>
  <si>
    <t>v_BWCMfPoKlMM</t>
  </si>
  <si>
    <t>A large group of athletes are seen standing around a track while some holding their arms up to clap.</t>
  </si>
  <si>
    <t>One runner makes his way down the track and jumps into a large sand pit and walks away.</t>
  </si>
  <si>
    <t>v_NyL7m4JV8vQ</t>
  </si>
  <si>
    <t>A man in red runs jumps and flips over an obstacle.</t>
  </si>
  <si>
    <t>It is done over and over in slow motion.</t>
  </si>
  <si>
    <t>He then does it again for one last time.</t>
  </si>
  <si>
    <t>Then finally, they begin a race on a field a man wearing black crosses the finish line first.</t>
  </si>
  <si>
    <t>v_tr1sNwRTMd8</t>
  </si>
  <si>
    <t>A woman wearing number 177 is standing in place, she crosses her heart and get prepared to run.</t>
  </si>
  <si>
    <t>She breathes in deeply and starts to run really fast down the field.</t>
  </si>
  <si>
    <t>She jumps up high and lands right in the sand on to her butt, they show mulitple replays of her performance.</t>
  </si>
  <si>
    <t>She bends over and fixes her uniform, dusting off her bottom as she walks away.</t>
  </si>
  <si>
    <t>v_2UJ4wqJt_Y8</t>
  </si>
  <si>
    <t>People are roller blading about in front of a building.</t>
  </si>
  <si>
    <t>A man roller blades fast.</t>
  </si>
  <si>
    <t>The man lifts his hands up in the air and starts to stop his roller blades.</t>
  </si>
  <si>
    <t>v_ycBFz2RdgoY</t>
  </si>
  <si>
    <t>People windsurf on a large body of water.</t>
  </si>
  <si>
    <t>A park sign that reads "Welcome to Kanaha Beach Park" is shown.</t>
  </si>
  <si>
    <t>More windsurfers are shown racing across the water.</t>
  </si>
  <si>
    <t>v_VkRjs03YEjE</t>
  </si>
  <si>
    <t>The man in the corner kicks the ball straight into the net.</t>
  </si>
  <si>
    <t>The team runs around the court celebrating.</t>
  </si>
  <si>
    <t>A man in the stands climbs over the railing and runs onto the court celebrating.</t>
  </si>
  <si>
    <t>The group is in a bunch celebrating on the court.</t>
  </si>
  <si>
    <t>One of the players kicks the ball into the stands and walks off with his head down.</t>
  </si>
  <si>
    <t>A few players are standing in the corner looking like they are arguing.</t>
  </si>
  <si>
    <t>A bunch of players and spectators run the court toward the melee.</t>
  </si>
  <si>
    <t>Men are running along the edge of the court.</t>
  </si>
  <si>
    <t>The small group is still arguing and holding back fights.</t>
  </si>
  <si>
    <t>A small group is having an animated discussion.</t>
  </si>
  <si>
    <t>The two men walk back on to the court as the group starts talking again around the court floor and edge.</t>
  </si>
  <si>
    <t>v_2tpwfPdSEVo</t>
  </si>
  <si>
    <t>A woman talks as she is seated on the ground.</t>
  </si>
  <si>
    <t>She shows off a pair of clipping scissors.</t>
  </si>
  <si>
    <t>She then uses them to gently but quickly trim a cat's nails while another woman assists her.</t>
  </si>
  <si>
    <t>v_NI-TZyAxJU0</t>
  </si>
  <si>
    <t>People raft down a narrow river between two mountains.</t>
  </si>
  <si>
    <t>People rafting passing troubled waters in the narrow river.</t>
  </si>
  <si>
    <t>People sail down the rocky river in an open space.</t>
  </si>
  <si>
    <t>v_5V47VQHzWHc</t>
  </si>
  <si>
    <t>A man is seated at the front of a church and plays a song on an accordion.</t>
  </si>
  <si>
    <t>The man goes all the way down the scale than back up at the end of the song.</t>
  </si>
  <si>
    <t>The man finishes the song and smiles.</t>
  </si>
  <si>
    <t>v_QgzpNg0Ponc</t>
  </si>
  <si>
    <t>A man is seen riding on a skateboard down a hill on his head.</t>
  </si>
  <si>
    <t>More shots are shown of people performing tricks on skateboards around an area.</t>
  </si>
  <si>
    <t>The people continue to perform tricks and ride around while other people watch on the side.</t>
  </si>
  <si>
    <t>v_ot4CuJqrN-Y</t>
  </si>
  <si>
    <t>A group of band mates are outside at a park.</t>
  </si>
  <si>
    <t>They are wearing revolutionary war era outfits.</t>
  </si>
  <si>
    <t>They play the drums in unison to a beat.</t>
  </si>
  <si>
    <t>v_mLijl36SjJU</t>
  </si>
  <si>
    <t>A man is seen kneeling onto a floor holding a bit of carpet and speaking to the camera.</t>
  </si>
  <si>
    <t>He peels off the layers and begins rubbing down the carpet.</t>
  </si>
  <si>
    <t>He pours liquid onto the carpet and pats it down with a paper towel.</t>
  </si>
  <si>
    <t>Finally the person vacuums up the carpet and is seen standing next to the vacuum.</t>
  </si>
  <si>
    <t>v_QeH6IOAjy-4</t>
  </si>
  <si>
    <t>Three people are in the gym,one of the males is kneeling down and jerking a bar while the other is giving a massage to a woman.</t>
  </si>
  <si>
    <t>The male with the bar lifts the weights,drops it and then jumps in joy that he has lifted the weight,drops his belt and walks off.</t>
  </si>
  <si>
    <t>v_CXSoih6nFME</t>
  </si>
  <si>
    <t>A young child is seen adjusting the camera and showing off her face.</t>
  </si>
  <si>
    <t>She grabs some makeup and begins putting it all over her face.</t>
  </si>
  <si>
    <t>She continues putting on more makeup and showing it off to the camera.</t>
  </si>
  <si>
    <t>v_uVHuVnv5XAk</t>
  </si>
  <si>
    <t>A man sprints down a track.</t>
  </si>
  <si>
    <t>The man jumps at the end of the track.</t>
  </si>
  <si>
    <t>The man's jump is shown from different angles an in slow motion.</t>
  </si>
  <si>
    <t>v_v-dxQNxdMrU</t>
  </si>
  <si>
    <t>A camera pans around large city buildings and leads into people riding motocross bikes.</t>
  </si>
  <si>
    <t>More clips are seen of people performing tricks on the bike while hundreds watch on the sidelines.</t>
  </si>
  <si>
    <t>More people are seen riding around and waving their hands up in the end.</t>
  </si>
  <si>
    <t>v_Nosx28FNB5E</t>
  </si>
  <si>
    <t>People start to play a game of pool.</t>
  </si>
  <si>
    <t>A man talks to the camera and laughs.</t>
  </si>
  <si>
    <t>v_x8yuq2i72eo</t>
  </si>
  <si>
    <t>Four people are doing situps on the ground.</t>
  </si>
  <si>
    <t>The third person is paused.</t>
  </si>
  <si>
    <t>The farthest person is barely visible.</t>
  </si>
  <si>
    <t>v_9hPFweZeIWs</t>
  </si>
  <si>
    <t>People are standing around an arena wearing cowboy hats.</t>
  </si>
  <si>
    <t>They release a calf from a box.</t>
  </si>
  <si>
    <t>A man on a horse runs after the calf.</t>
  </si>
  <si>
    <t>He ties the legs of the calf and gets up and walks away.</t>
  </si>
  <si>
    <t>v_dZSjgAYlpS0</t>
  </si>
  <si>
    <t>A man is standing over a sink and with his right hand he's holding a drill that has a potato attached to the end of it, and the right hand is holding the hand peeler as the drill moves the potato and the peeler peels it.</t>
  </si>
  <si>
    <t>The man temporarily stops the drill to pull off a small piece of potato and a long piece of metal is shown sticking out of the drill.</t>
  </si>
  <si>
    <t>The man then puts another potato onto the pointy metal piece and continues to peel the potato.</t>
  </si>
  <si>
    <t>Once again he stops and then cleans off his peeler and then returns back to peeling the rest of the potato.</t>
  </si>
  <si>
    <t>The man stops the drill for the last time,lets it go and cleans the peeler once more with both hands as he throws the contents into the sink and.</t>
  </si>
  <si>
    <t>v_eBITMlyTZhY</t>
  </si>
  <si>
    <t>A lady gets up from her seat and we see the orchestra playing music.</t>
  </si>
  <si>
    <t>The woman does a belly dancing routine on the stage.</t>
  </si>
  <si>
    <t>We see a camera enter the scene on the right.</t>
  </si>
  <si>
    <t>We see the back of the head of a man.</t>
  </si>
  <si>
    <t>We then see the woman next to the man.</t>
  </si>
  <si>
    <t>The woman finishes her dance and picks up her wrap.</t>
  </si>
  <si>
    <t>We see a somber lady holding a microphone.</t>
  </si>
  <si>
    <t>v_J98U-PGh1bQ</t>
  </si>
  <si>
    <t>A man is mopping a dirty public bathroom floor.</t>
  </si>
  <si>
    <t>He pushes the mop back and forth, making the floor clean and shiny.</t>
  </si>
  <si>
    <t>v_xVQkf_TrX7U</t>
  </si>
  <si>
    <t>A big man dressed as batman is running around doing weird nonsensical stuff.</t>
  </si>
  <si>
    <t>He runs inside of the house and begins to start giving instructions on how to make the perfect batman sandwich.</t>
  </si>
  <si>
    <t>He is cutting up cheese and adding ham to the sandwich.</t>
  </si>
  <si>
    <t>He even cuts the bread into a batman shape before finally doing being done.</t>
  </si>
  <si>
    <t>v_4VVIFV6XmKo</t>
  </si>
  <si>
    <t>Two men are in a small gym boxing and fighting one another.</t>
  </si>
  <si>
    <t>They continue fighting and hitting one another as a person stands in the corner showing them.</t>
  </si>
  <si>
    <t>After some time,they finish fighting and stand still across from one another in the gym.</t>
  </si>
  <si>
    <t>v_pOyP_kDaskY</t>
  </si>
  <si>
    <t>A man in a suit reads off of a paper.</t>
  </si>
  <si>
    <t>A woman then begins to report a news story.</t>
  </si>
  <si>
    <t>A young boy plays the harmonica on the street.</t>
  </si>
  <si>
    <t>He stands on a dock telling his story.</t>
  </si>
  <si>
    <t>v_ZFi592_m_NQ</t>
  </si>
  <si>
    <t>A man is shown on camera doing several moves with his arms and legs while smiling into the camera.</t>
  </si>
  <si>
    <t>He performs several more moves slowly and continues to speak and smile to the camera.</t>
  </si>
  <si>
    <t>v_v_Vg4a8igc0</t>
  </si>
  <si>
    <t>A woman is bathing a white and brown puppy dog in a bathtub.</t>
  </si>
  <si>
    <t>the woman is using a hand held shower to wash the dog.</t>
  </si>
  <si>
    <t>The woman is holding the dog with its two front legs.</t>
  </si>
  <si>
    <t>She continues to wash the dog with the shower.</t>
  </si>
  <si>
    <t>v_7knqgoHxuGE</t>
  </si>
  <si>
    <t>Several people are at a party.</t>
  </si>
  <si>
    <t>They are drinking and playing beer pong.</t>
  </si>
  <si>
    <t>There are people dancing and looking at their phones.</t>
  </si>
  <si>
    <t>v_tES39s-LJsQ</t>
  </si>
  <si>
    <t>The name Seppe Smits appears on screen followed by "Snow Boarding 2400 Hours A Day".</t>
  </si>
  <si>
    <t>Video of Smits starting his day is intermixed with shots of him snowboarding.</t>
  </si>
  <si>
    <t>Social media hashtags on are shown on screen.</t>
  </si>
  <si>
    <t>v_c3lo99rni-o</t>
  </si>
  <si>
    <t>woman is standing in a kitchen talking to the camera holding a bag of pasta.</t>
  </si>
  <si>
    <t>woman grab some pasta and put them in boiled water.</t>
  </si>
  <si>
    <t>woman grab one spaghetti and eats it to see if is cooked and explain how to know it.</t>
  </si>
  <si>
    <t>throw the water in the sink and grate cheese in pasta and a little oegano and serve it in a white plate.</t>
  </si>
  <si>
    <t>v_IGamNJ5yIh4</t>
  </si>
  <si>
    <t>A group of men are on a sandy beach playing soccer while a lot of people are looking on.</t>
  </si>
  <si>
    <t>A man kicks the ball very hard, makes it in the goal and he throws his two arms up in the air and gives a team mate a high five and they all run back to get into place for the next play.</t>
  </si>
  <si>
    <t>The replay of the goal that was kicked is replayed but in slow motion.</t>
  </si>
  <si>
    <t>v_YJxqF6aSs7s</t>
  </si>
  <si>
    <t>A man is holding a camera as he stands talking beside a lake.</t>
  </si>
  <si>
    <t>He goes through tunnels, walks along bridges, and stands over cliffs.</t>
  </si>
  <si>
    <t>He drives down a road and records rafting on a white water river.</t>
  </si>
  <si>
    <t>People are shown diving into deep waters off of cliffs before rafting again.</t>
  </si>
  <si>
    <t>v_jhuRtkqUSSI</t>
  </si>
  <si>
    <t>A camera pans out on a man's back followed by a man performing a flipping dive into a pool.</t>
  </si>
  <si>
    <t>He is shown twice more performing impressing dives off the diving board and into the pool.</t>
  </si>
  <si>
    <t>v_OhydQlKoSUw</t>
  </si>
  <si>
    <t>A person is seen getting out of a car and walking around to the trunk to grab a surf board.</t>
  </si>
  <si>
    <t>The person is then seen wearing a suit and running down a boardwalk followed by him surfing.</t>
  </si>
  <si>
    <t>The man glides along the water in slow motion and is then seen speaking to the camera.</t>
  </si>
  <si>
    <t>v_iJzt1rvGiOc</t>
  </si>
  <si>
    <t>A blond woman is sitting on a bed in a hotel room videotaping her self in a mirror with a white phone and talking to the camera.</t>
  </si>
  <si>
    <t>the woman stands up and points the camera to the door into the bathroom where a man is washing his sneakers in the sink with a brush.</t>
  </si>
  <si>
    <t>The blond woman walks back into the room and shows all the various pairs of sneakers the man has laying all over the hotel room.</t>
  </si>
  <si>
    <t>The blond woman walks back into the bathroom and video tapes the man holding the white sneakers.</t>
  </si>
  <si>
    <t>The man is now outside putting polish and plastic tape on the sneakers and he is detailing them with a toothbrush.</t>
  </si>
  <si>
    <t>There are various pictures of the end product of clean sneakers.</t>
  </si>
  <si>
    <t>v_GPl7nFwqSgk</t>
  </si>
  <si>
    <t>A large group of people are seen standing in a circle playing drums with one person in the middle instructing them.</t>
  </si>
  <si>
    <t>The camera pans around the group playing drums while people them on the side.</t>
  </si>
  <si>
    <t>v_zcDA0s8eWU4</t>
  </si>
  <si>
    <t>A woman chops wood on a block with an ax.</t>
  </si>
  <si>
    <t>She has a hard time getting the ax out of the wood.</t>
  </si>
  <si>
    <t>Someone else comes and tries to get it out but they can't.</t>
  </si>
  <si>
    <t>The first girl comes back and continues trying to pull the ax out of the wood.</t>
  </si>
  <si>
    <t>v_64oq7grVNVs</t>
  </si>
  <si>
    <t>A young man clips the hair of several older men in an outdoor barber chair.</t>
  </si>
  <si>
    <t>The man cutting hair is inside a barber shop talking.</t>
  </si>
  <si>
    <t>Some still shots of the man cutting hair are shown.</t>
  </si>
  <si>
    <t>The man is seen again cutting a mans hair in the outdoor barber chair.</t>
  </si>
  <si>
    <t>v_ntKbTDQUhDA</t>
  </si>
  <si>
    <t>A man is pouring shots of alcohol into a blender.</t>
  </si>
  <si>
    <t>He blends the drink together.</t>
  </si>
  <si>
    <t>He puts orange slices on two glasses.</t>
  </si>
  <si>
    <t>He pours the drink from the blender into the glasses and adds straws.</t>
  </si>
  <si>
    <t>v_TexMXN2yegk</t>
  </si>
  <si>
    <t>A man is carving a pumpkin.</t>
  </si>
  <si>
    <t>A man in a batman costume is shown.</t>
  </si>
  <si>
    <t>The man continues carving the pumpkin.</t>
  </si>
  <si>
    <t>A dog is chewing on a blue ball.</t>
  </si>
  <si>
    <t>v_RaYMOYWhba8</t>
  </si>
  <si>
    <t>A group of young boys are seen passing soccer balls to each along a large sandy beach.</t>
  </si>
  <si>
    <t>They continue running back and fourth on the sand and passing the ball to one another.</t>
  </si>
  <si>
    <t>v_9AqHhUuE9bE</t>
  </si>
  <si>
    <t>A man is sitting along side a road polishing a shoe.</t>
  </si>
  <si>
    <t>Some other people are seated nearby, and many individuals walk past him.</t>
  </si>
  <si>
    <t>A motorcycle drives by on the road.</t>
  </si>
  <si>
    <t>The man puts the shoe down and picks up another one to polish.</t>
  </si>
  <si>
    <t>v_yIIDIQDKVhI</t>
  </si>
  <si>
    <t>A man in a red polo shirt demonstrates the Kleva Sharp sharpener.</t>
  </si>
  <si>
    <t>He sharpens a dull butcher knife and cuts a tomato.</t>
  </si>
  <si>
    <t>The man in the red polo shirt then sharpens a dull steak knife and cuts a tomato into slices and then he cuts a cucumber into slices.</t>
  </si>
  <si>
    <t>The man demonstrating the Kleva Sharpener, he sharpens a garden clipper and slices a carrot.</t>
  </si>
  <si>
    <t>The demonstrator then sharpens a serated bread knife and slices a loaf of bread.</t>
  </si>
  <si>
    <t>A series of demonstrations of different knives cutting different foods.</t>
  </si>
  <si>
    <t>The Kleva Sharpener is dismounted from the table and stored in a cabinet drawer.</t>
  </si>
  <si>
    <t>The Kleva Sharpener is mounted on the refrigerator on a wall and on the table.</t>
  </si>
  <si>
    <t>He demonstrates the locking mechanism.</t>
  </si>
  <si>
    <t>v_eGLD-0b1LV0</t>
  </si>
  <si>
    <t>A woman is speaking while standing next to an elliptical trainer.</t>
  </si>
  <si>
    <t>The mechanics of the elliptical machine are shown.</t>
  </si>
  <si>
    <t>We then see the woman on the machine, demonstrating how it works.</t>
  </si>
  <si>
    <t>v_2mI7NL54yP8</t>
  </si>
  <si>
    <t>A man is shown on a bike riding across the snow.</t>
  </si>
  <si>
    <t>Then another group of people are riding in a cart through the snow.</t>
  </si>
  <si>
    <t>Three skiers are pictured on top of a mountain of a snow and they begin skiing.</t>
  </si>
  <si>
    <t>A skier is then panned up and down holding a set of skiis as well as people on mountain bikes and they begin racing.</t>
  </si>
  <si>
    <t>v_KTk1Rh8Lgdw</t>
  </si>
  <si>
    <t>A woman puts rollers to a young lady, combing a portion of the hair and then coil on a roller.</t>
  </si>
  <si>
    <t>The young lady raise her left hand to pass a roller to the woman while taking.</t>
  </si>
  <si>
    <t>The young lady put a towel on front her face.</t>
  </si>
  <si>
    <t>v_cC3dwwPPHKE</t>
  </si>
  <si>
    <t>Several views are shown of a machine from different angles.</t>
  </si>
  <si>
    <t>A woman uses an attachment to suck the wrinkles out of a shirt.</t>
  </si>
  <si>
    <t>She then hangs a pair of pants, and irons it smooth, creating a crease.</t>
  </si>
  <si>
    <t>v_b993qWuMRBA</t>
  </si>
  <si>
    <t>We see a man in the upper corner and out over the hood of a car while driving.</t>
  </si>
  <si>
    <t>The car stops at an intersection.</t>
  </si>
  <si>
    <t>The car makes a u-turn.</t>
  </si>
  <si>
    <t>The man drives into a car wash and gets out.</t>
  </si>
  <si>
    <t>The man pressure washes ice off his car and continues rinsing his car.</t>
  </si>
  <si>
    <t>The man shows his wet car.</t>
  </si>
  <si>
    <t>v_Zl6o69-R2DE</t>
  </si>
  <si>
    <t>man is talking to the camera is a snowy day outside a house.</t>
  </si>
  <si>
    <t>man is holding a shovel and cleaning the path from the snow.</t>
  </si>
  <si>
    <t>little kid is wearing red snow clothes and is standing nxt to a car.</t>
  </si>
  <si>
    <t>the man stops and is again talking to the camera with the shovel on his hands.</t>
  </si>
  <si>
    <t>v_9KNOOoIK0zw</t>
  </si>
  <si>
    <t>A lady in a black tank top gives instruction on how to blow dry a girl's hair wearing a blue t-shirt.</t>
  </si>
  <si>
    <t>The hair stylist first places a liquid in her hand and rubs it into the models hair and then brushes clients hair.</t>
  </si>
  <si>
    <t>The lady in the black tank top uses the blow drier while combing the hair with a brush.</t>
  </si>
  <si>
    <t>Scenes of the finished product showing side views and back vies of the models hair.</t>
  </si>
  <si>
    <t>v_M9og58TMAm0</t>
  </si>
  <si>
    <t>A woman is seen moving up and down on an exercise bar while several shots are shown of her exercising.</t>
  </si>
  <si>
    <t>She's shown again holding weights and doing exercises while standing on the beam as well as laying.</t>
  </si>
  <si>
    <t>v_WUdefl_j2-8</t>
  </si>
  <si>
    <t>man is sitting on a seat of the car watching by the window.</t>
  </si>
  <si>
    <t>man is snowboarding on snowy slope making high jumps.</t>
  </si>
  <si>
    <t>men are in a dark room with pots.</t>
  </si>
  <si>
    <t>v_BVhUKjJrEw8</t>
  </si>
  <si>
    <t>Guys play polo sport on a dirt arena.</t>
  </si>
  <si>
    <t>v_-c71seS8bWk</t>
  </si>
  <si>
    <t>An intro leads into a fox news segment with two anchors speaking.</t>
  </si>
  <si>
    <t>A woman is then interviewed followed by several pictures of mushrooms and people speaking with one another.</t>
  </si>
  <si>
    <t>A doctor examines a man and interviews the camera followed by people using household products and interviewing the reporter.</t>
  </si>
  <si>
    <t>v_or7N8oeI-SY</t>
  </si>
  <si>
    <t>We see a lady sitting on the floor with a shoe, bucket of water, brush and soap.</t>
  </si>
  <si>
    <t>The lady shows us the items one at a time.</t>
  </si>
  <si>
    <t>We see an illustration of a thermometer.</t>
  </si>
  <si>
    <t>We see an illustration of a washer.</t>
  </si>
  <si>
    <t>The lady puts her shoe in the bucket and scrubs it with a the brush.</t>
  </si>
  <si>
    <t>She shows us the already cleaned shoe.</t>
  </si>
  <si>
    <t>We see a radiator illustration.</t>
  </si>
  <si>
    <t>The lady picks up the soap and we see an illustration of a shelf.</t>
  </si>
  <si>
    <t>The ending title screen plays.</t>
  </si>
  <si>
    <t>v_zjAZ7m8TQ3E</t>
  </si>
  <si>
    <t>A woman and her child are outside of a cabin sitting on a wooden table talking to one another.</t>
  </si>
  <si>
    <t>The camera then pans the cabin and a large mountain of snow is shown.</t>
  </si>
  <si>
    <t>After,the woman and her daughter are seen on a flat standing ski lift with large donut tubes following behind them.</t>
  </si>
  <si>
    <t>Once they are at the top,they get into the tubes and race to the bottom along with several other people who are also at the place.</t>
  </si>
  <si>
    <t>v_HGk9BqOuxCE</t>
  </si>
  <si>
    <t>A man is seen standing in front of a chalk board holding a musical instrument and transitioning to the chalk board every now and then.</t>
  </si>
  <si>
    <t>A person's hand is seen using an ipod followed by more shots of the person talking and writing on a paper.</t>
  </si>
  <si>
    <t>The man then plays the instrument as the camera captures him from several angles while pausing to speak.</t>
  </si>
  <si>
    <t>v_EjRE-fbECtg</t>
  </si>
  <si>
    <t>A man in white shirt and gray shorts is standing at the center of the court, while young people in black tops and black shorts are standing behind him.</t>
  </si>
  <si>
    <t>The young people where standing in a triangle form, the young man at the center start to perform by having his arms up then jump and do it again and some of the girls followed what he is doing.</t>
  </si>
  <si>
    <t>v_1o-Fx2dGfpc</t>
  </si>
  <si>
    <t>A woman is sitting down holding a violin.</t>
  </si>
  <si>
    <t>She lifts the violin up and starts playing it.</t>
  </si>
  <si>
    <t>She finishes and lowers the violin.</t>
  </si>
  <si>
    <t>v_H_Spgfds1iY</t>
  </si>
  <si>
    <t>A large group of people are seen walking into an office and interviewing a man on television.</t>
  </si>
  <si>
    <t>Many people are watching the interview and one man speaks to a woman angrily.</t>
  </si>
  <si>
    <t>The woman strikes the man and more people are seen walking around and talking.</t>
  </si>
  <si>
    <t>The people walk into a bar and begin playing pool and speaking.</t>
  </si>
  <si>
    <t>v_GYkKMTl-0Os</t>
  </si>
  <si>
    <t>A small group of women are seen standing around a kitchen with one stirring ingredients into a large pot.</t>
  </si>
  <si>
    <t>Another woman walks into frame when one woman pours more into the bowl and mixing it around.</t>
  </si>
  <si>
    <t>She hands a spoonful for a girl to try and another takes the bowl away from the table.</t>
  </si>
  <si>
    <t>v_kee3-2cw7-E</t>
  </si>
  <si>
    <t>A man is seen blindfolded while holding a stick and two others around him.</t>
  </si>
  <si>
    <t>The man then swings violently at the pinata as someone moves it higher and then drops the pinata right above his head.</t>
  </si>
  <si>
    <t>v__dLbtK8_SHo</t>
  </si>
  <si>
    <t>The video is about a tennis tutorial and drill by Edgar Giffenig.</t>
  </si>
  <si>
    <t>There are two lady tennis players on a clay court who are demonstrating how to throw the ball up high to the partner.</t>
  </si>
  <si>
    <t>The player is shuffling behind the net and turning the racquet upside down in between the shots.</t>
  </si>
  <si>
    <t>Then the players demonstrate another drill as they shuffle on the tennis court in between shots and returning the balls.</t>
  </si>
  <si>
    <t>The player bounces the ball back with the tip of the racquet handle.</t>
  </si>
  <si>
    <t>They continue playing while demonstrating the tennis drill.</t>
  </si>
  <si>
    <t>v_h1d-jcsWap8</t>
  </si>
  <si>
    <t>A person is seen peeling off potatoes into a box with pausing for a bit to speak to the camera.</t>
  </si>
  <si>
    <t>The person peels several potatoes and shows of a bowl full of potatoes while peeling even more.</t>
  </si>
  <si>
    <t>v_QCcueK6xiZ4</t>
  </si>
  <si>
    <t>A man is crouching on the ground, cleaning something.</t>
  </si>
  <si>
    <t>Several cars are parked in a parking lot.</t>
  </si>
  <si>
    <t>People are seeing washing the cars with soap and water.</t>
  </si>
  <si>
    <t>v_pV1b0Fs6qW8</t>
  </si>
  <si>
    <t>Three people are seen flying a kite in a field and text appears on the screen.</t>
  </si>
  <si>
    <t>A scary girl appears then leads into pictures of kids flying kites.</t>
  </si>
  <si>
    <t>v_ZBZUrC4M5E8</t>
  </si>
  <si>
    <t>A buff man steps into a circle and puts the shot put on this shoulder.</t>
  </si>
  <si>
    <t>The man then spins around and throws the ball into the field.</t>
  </si>
  <si>
    <t>Once completed,he puts on a large neon shirt.</t>
  </si>
  <si>
    <t>Another man approaches the cirle and does the samething as someone comes to the field and measure how far the ball went.</t>
  </si>
  <si>
    <t>The contestants then come back and begin talking to each other before their scores are shown.</t>
  </si>
  <si>
    <t>An aerial view is then provided,then the camera pans the crowd.</t>
  </si>
  <si>
    <t>v_MKLwNTbEK4E</t>
  </si>
  <si>
    <t>A close up of a poker table is shown followed by the camera panning around to other tables in the area as well as people playing.</t>
  </si>
  <si>
    <t>Several clips are shown of people sitting at tables gambling as well as laughing to the camera.</t>
  </si>
  <si>
    <t>More pictures are shown of people at the casino as well as video of them wandering around the area.</t>
  </si>
  <si>
    <t>v_bWYIL4KG8kM</t>
  </si>
  <si>
    <t>This girl is shown zooming in on people's teeth, eyes and other things on their face.</t>
  </si>
  <si>
    <t>Then she shows us the game of dodge ball is going.</t>
  </si>
  <si>
    <t>v_soGmSXFO7wI</t>
  </si>
  <si>
    <t>A man walks onto a field before a crowd, holding a heavy ball into the air.</t>
  </si>
  <si>
    <t>He spins, then throws the ball as far as he can.</t>
  </si>
  <si>
    <t>A woman and several others follow, doing the same.</t>
  </si>
  <si>
    <t>The winners celebrate, holding up flags and hugging joyfully.</t>
  </si>
  <si>
    <t>v_fgBFlwM466w</t>
  </si>
  <si>
    <t>A man is seen swimming in a pool holding various objects in his hands and showing how to put them on.</t>
  </si>
  <si>
    <t>He then swims down the pool with a breast stroke to the end and works his way back.</t>
  </si>
  <si>
    <t>v_Y-CZasxVlx4</t>
  </si>
  <si>
    <t>A girl holding a guitar talks to the camera.</t>
  </si>
  <si>
    <t>The girl plays the guitar as she sits on the sofa.</t>
  </si>
  <si>
    <t>The girl stops playing and talks to the camera again while demonstrating.</t>
  </si>
  <si>
    <t>v_AG6Rpvxxetg</t>
  </si>
  <si>
    <t>The video takes place in a gymnastics arena.</t>
  </si>
  <si>
    <t>A man is performing gymnastics on a beam while several others are watching.</t>
  </si>
  <si>
    <t>The man begins on the beam upside down.</t>
  </si>
  <si>
    <t>He then does several flips.</t>
  </si>
  <si>
    <t>The video ends as he performs a final flip and hops off the beam.</t>
  </si>
  <si>
    <t>v_VHUC47iq1Wg</t>
  </si>
  <si>
    <t>Several clips of cricketers are shown.</t>
  </si>
  <si>
    <t>In them a someone throws a ball at a player.</t>
  </si>
  <si>
    <t>Another player hits the ball with his bat.</t>
  </si>
  <si>
    <t>Another player then catches the ball.</t>
  </si>
  <si>
    <t>v__JE5T2RKZvo</t>
  </si>
  <si>
    <t>A woman is seen speaking to the camera and leads into her sanding down a board in several locations.</t>
  </si>
  <si>
    <t>She then sands more objects and shows off a large selection of tools she has.</t>
  </si>
  <si>
    <t>She hammers down the sides of the board and ends with her painting the board.</t>
  </si>
  <si>
    <t>v_EVSuDXeNUYQ</t>
  </si>
  <si>
    <t>The cheer leading team walked towards the stage, while in the audience, their teammates, who are wearing red and white uniforms are cheering.</t>
  </si>
  <si>
    <t>The team started their cheer dance, where women are stood up on the the men's hands, they did pinwheels, jumped in the air, held some banners in the air, jumped high in the air and fell on their teammate's arms.</t>
  </si>
  <si>
    <t>v_W80KSM1I47Q</t>
  </si>
  <si>
    <t>Video from the 1980's is shown.</t>
  </si>
  <si>
    <t>Celebrities play a game of tug of war outdoors.</t>
  </si>
  <si>
    <t>The team with Lou Ferrigno playing on it wins the contest.</t>
  </si>
  <si>
    <t>Ferrigno and other celebrities are interviewed.</t>
  </si>
  <si>
    <t>v_Q9Fw56ZvXq4</t>
  </si>
  <si>
    <t>A group of girls are outside underneath a tent.</t>
  </si>
  <si>
    <t>A girl wipes off a yellow plate with a towel.</t>
  </si>
  <si>
    <t>Three girls are washing dishes in large tubs.</t>
  </si>
  <si>
    <t>v_uwQDvcWzBy0</t>
  </si>
  <si>
    <t>A woman is seen speaking to the camera and leads into her putting several ingredients inside a mason jar.</t>
  </si>
  <si>
    <t>The woman uses tongs to layer items into the jar and then puts a lid on top.</t>
  </si>
  <si>
    <t>The woman puts a ribbon around the side as well as a label and smiles to the camera.</t>
  </si>
  <si>
    <t>v_UBDcmeET6ys</t>
  </si>
  <si>
    <t>Individuals are exercising on various equipment.</t>
  </si>
  <si>
    <t>A male and a female move back and forth.</t>
  </si>
  <si>
    <t>v_gf3JIm2C59g</t>
  </si>
  <si>
    <t>There's a middle aged couple demonstrating how to do ball room dancing.</t>
  </si>
  <si>
    <t>They are in a room with large mirrors on a wall and hardwood floors.</t>
  </si>
  <si>
    <t>They are showing how to move the foot back and forth in rhythm while twirling their hips.</t>
  </si>
  <si>
    <t>v_Atdxx_Pxnd4</t>
  </si>
  <si>
    <t>A cowboy runs out of a gate on a horse.</t>
  </si>
  <si>
    <t>He uses a lasso to rope a calf.</t>
  </si>
  <si>
    <t>He tries to tie up the calf, losing his rope.</t>
  </si>
  <si>
    <t>v_yhWw7oJrUFo</t>
  </si>
  <si>
    <t>A girl wearing a black blouse describes how to bake in a kitchen.</t>
  </si>
  <si>
    <t>The baker pours flour into a clear bowl using a measuring cup.</t>
  </si>
  <si>
    <t>The baker then scoops out four level tablespoons from a yellow container of cornstarch and ads it to the bowl of flour.</t>
  </si>
  <si>
    <t>The baker pours the flour and cornstarch mixture into a sifter and begins sifting the ingredients three times.</t>
  </si>
  <si>
    <t>v_nbgE4MAR0pc</t>
  </si>
  <si>
    <t>A person is seen running down a long track while holding a pole.</t>
  </si>
  <si>
    <t>The person pole volts over the beam onto a mat and is shown again in slow motion.</t>
  </si>
  <si>
    <t>v_1Y1pKGFm-pQ</t>
  </si>
  <si>
    <t>A young man puts lipstick on his lips.</t>
  </si>
  <si>
    <t>Two reporters talk in a TV set with audience.</t>
  </si>
  <si>
    <t>Then, the young man brush his face, then people in the audience talk.</t>
  </si>
  <si>
    <t>After, the young men shows his face with make up.</t>
  </si>
  <si>
    <t>v_Xi68dag0iGo</t>
  </si>
  <si>
    <t>A man dressed in army fatigues is playing bagpipes while other people watch.</t>
  </si>
  <si>
    <t>A woman is shown in the background dancing around as he plays.</t>
  </si>
  <si>
    <t>When he is finished claim he laughs and jokes with the other people.</t>
  </si>
  <si>
    <t>v_W4LIBSfe6bc</t>
  </si>
  <si>
    <t>A man does a tattoo on the waist area of a woman using a needle.</t>
  </si>
  <si>
    <t>The man cleans the area of the tattoo with a tissue.</t>
  </si>
  <si>
    <t>The man continues doing the tattoo and cleaning.</t>
  </si>
  <si>
    <t>v_ZuuY0xffLYE</t>
  </si>
  <si>
    <t>The image and label of the presenter or stylist is shown.</t>
  </si>
  <si>
    <t>The presenter styles a female client's hair.</t>
  </si>
  <si>
    <t>The presenter speaks directly into the camera.</t>
  </si>
  <si>
    <t>The client spins slowly on a chair to present her hair.</t>
  </si>
  <si>
    <t>The stylist wets the client's hair.</t>
  </si>
  <si>
    <t>The stylist parts the clients hair.</t>
  </si>
  <si>
    <t>The stylist uses a brush and a blow dryer to add volume, texture and curl to the client's hair.</t>
  </si>
  <si>
    <t>The stylist sprays the clients hair.</t>
  </si>
  <si>
    <t>The stylist uses his hand to position the bangs.</t>
  </si>
  <si>
    <t>The stylist use his hand to add a gel product to the client hair.</t>
  </si>
  <si>
    <t>The client spins slowly on the chair to show of her hair style.</t>
  </si>
  <si>
    <t>The stylist name and credits are shown.</t>
  </si>
  <si>
    <t>v_yJezvcXU4YE</t>
  </si>
  <si>
    <t>A man in a black vest is standing in a room.</t>
  </si>
  <si>
    <t>He throws darts at a dart board on the wall.</t>
  </si>
  <si>
    <t>A woman stands next to him watching.</t>
  </si>
  <si>
    <t>A man walks up and pulls the dart out of the board.</t>
  </si>
  <si>
    <t>v_tl2hDYGBfqU</t>
  </si>
  <si>
    <t>A "Finale Coppa Italia" beach soccer title screen appears featuring Sambenedettese and Catania.</t>
  </si>
  <si>
    <t>Men play professional soccer on a beach near the water.</t>
  </si>
  <si>
    <t>Players on the field celebrate a victory and pose for a photo.</t>
  </si>
  <si>
    <t>v_1RYEOaCeV4k</t>
  </si>
  <si>
    <t>A lawn mower is shown on the ground.</t>
  </si>
  <si>
    <t>A man starts the lawn mower and begins mowing the lawn.</t>
  </si>
  <si>
    <t>They finish mowing the lawn and the lawn is shown.</t>
  </si>
  <si>
    <t>v_c1Gby2EHBzs</t>
  </si>
  <si>
    <t>A man is seen holding a stick in his hands and speaking to the camera.</t>
  </si>
  <si>
    <t>The man attempts several times to hit the ball followed by him picking it up and hitting it off into the distance.</t>
  </si>
  <si>
    <t>v_G5gvb71BB5I</t>
  </si>
  <si>
    <t>A group of males are standing in a room getting dressed.</t>
  </si>
  <si>
    <t>All of a sudden,plenty of women and beach activities including swimming,volleyball and drinking are shown.</t>
  </si>
  <si>
    <t>Next,the man reappears but he is joined by teammates playing a game of beach soccer in a stadium surrounded by people.</t>
  </si>
  <si>
    <t>One team wins and they are shown bringing home their trophy and cheering and then it goes back to showing the rest of the team competing.</t>
  </si>
  <si>
    <t>v_jml_hnhjltg</t>
  </si>
  <si>
    <t>A woman is seen carrying a snow blower and pushing it along a path.</t>
  </si>
  <si>
    <t>The woman continues pushing the snow blowing along the snow with the camera following her movements.</t>
  </si>
  <si>
    <t>She moves back and fourth while stopping to speak to the camera and continue moving.</t>
  </si>
  <si>
    <t>v_Bhz-WgJH8R0</t>
  </si>
  <si>
    <t>A group of skiers are riding down a hill.</t>
  </si>
  <si>
    <t>They split their line and create multiple lines.</t>
  </si>
  <si>
    <t>They split again to make 4 different lines.</t>
  </si>
  <si>
    <t>The all being and finish at the same time.</t>
  </si>
  <si>
    <t>v_DqHWMWY-r1o</t>
  </si>
  <si>
    <t>A person throw a heavy in an stadium full of people, then people measure where the ball landed.</t>
  </si>
  <si>
    <t>Then, the man walks while reporters and cameramen follow him on the field.</t>
  </si>
  <si>
    <t>After, the man puts on a long sleeve shirt while a cameraman film him.</t>
  </si>
  <si>
    <t>v_qHu0fz_anTQ</t>
  </si>
  <si>
    <t>A woman is standing at a table with a pile of scissors and supplies.</t>
  </si>
  <si>
    <t>She demonstrates how to cut cellophane and wrap it around a gift.</t>
  </si>
  <si>
    <t>She ties a string around the gift, showing off the final product.</t>
  </si>
  <si>
    <t>v_makIgB4X3q8</t>
  </si>
  <si>
    <t>A girl in a ponytail is speaking.</t>
  </si>
  <si>
    <t>The girl with her hair down is speaking in a bathroom and places her hand on the sink.</t>
  </si>
  <si>
    <t>The girl turns on the faucet to wet her toothbrush.</t>
  </si>
  <si>
    <t>The girl turns off the faucet, unscrews the toothpaste, and puts some toothpaste on her toothbrush.</t>
  </si>
  <si>
    <t>The girl brushes her teeth and spit in the sink.</t>
  </si>
  <si>
    <t>The girl rinse her toothbrush and places on the side of the sink.</t>
  </si>
  <si>
    <t>The credits of the video are shown on images of the video.</t>
  </si>
  <si>
    <t>v_I5QbY8vlR54</t>
  </si>
  <si>
    <t>People are surfing behind the giant wave.</t>
  </si>
  <si>
    <t>The surfer maintains his balance as he surfs and goes beneath a second wave.</t>
  </si>
  <si>
    <t>v_FNB1BMEtIvw</t>
  </si>
  <si>
    <t>We see the opening screen and we see landscapes and a sword.</t>
  </si>
  <si>
    <t>We see a lady talking, then a man.</t>
  </si>
  <si>
    <t>We see lots of people snowboarding.</t>
  </si>
  <si>
    <t>Two people shake hands on the landing.</t>
  </si>
  <si>
    <t>A man in a black room is interviewed then we see a man outside talking.</t>
  </si>
  <si>
    <t>People high five and we see a lady talking.</t>
  </si>
  <si>
    <t>A lady throws her arms in the air, people being sprayed, and a man with a sword.</t>
  </si>
  <si>
    <t>v_M7MDkkGdkas</t>
  </si>
  <si>
    <t>A woman is talking to a camera inside a kitchen.</t>
  </si>
  <si>
    <t>She turns on water, showing how to properly soap her hands.</t>
  </si>
  <si>
    <t>She then rinses and dries them.</t>
  </si>
  <si>
    <t>v_reEjJfSUGa8</t>
  </si>
  <si>
    <t>The biker is cycling and jumping over the big ramps.</t>
  </si>
  <si>
    <t>The biker jumps in the ramp with his bike in front up.</t>
  </si>
  <si>
    <t>Four bikers raced and jumped over the ramps, the biker in white is leading in the race.</t>
  </si>
  <si>
    <t>v_wvewX55VADs</t>
  </si>
  <si>
    <t>A man and a woman are standing in front of the camera and a woman shows how to properly perform the tango.</t>
  </si>
  <si>
    <t>She moves her feet in arms in a particular motion while the man does the same from a different angle.</t>
  </si>
  <si>
    <t>The man and woman finally piece together their instructions and perform the tango moves together.</t>
  </si>
  <si>
    <t>v_Lt6waJFJWI0</t>
  </si>
  <si>
    <t>The players are holding a flat bat and running towards the balls.</t>
  </si>
  <si>
    <t>The players bounced the balls on the bat, some of them picked up the balls from the ground using the bat.</t>
  </si>
  <si>
    <t>The girl in blue jacket bounced the ball on her bat and she walked forward, but the ball fall on the ground.</t>
  </si>
  <si>
    <t>A girl in the black vest is picking up the ball from the ground using her bat.</t>
  </si>
  <si>
    <t>Two girls walked normally without chasing the balls.</t>
  </si>
  <si>
    <t>A girl on the field is trying to pick up the ball.</t>
  </si>
  <si>
    <t>The players are lined up and ready to pick up the balls from the ground using their bats.</t>
  </si>
  <si>
    <t>The players started to bounce their balls on their bat while running forward, some of the balls fell down on the ground and the players have to pick them up using the bat.</t>
  </si>
  <si>
    <t>v_8CAvjawFn3w</t>
  </si>
  <si>
    <t>A man is on a galloping horse back riding for sport.</t>
  </si>
  <si>
    <t>Horse back riding is considered to be a sport, a fun one but still work.</t>
  </si>
  <si>
    <t>Like working with a team you have to work with a horse also, you have to communicate with a horse that doesn't speak.</t>
  </si>
  <si>
    <t>Make it know when you need to go faster, when it needs to jump and such.</t>
  </si>
  <si>
    <t>v_esZMkzlZiuY</t>
  </si>
  <si>
    <t>A small group of people are seen pushing a ball along the water and scoring into the goal.</t>
  </si>
  <si>
    <t>The people continue playing with the ball and swimming along the water.</t>
  </si>
  <si>
    <t>The ball is passed another to score a goal and then the game continues on.</t>
  </si>
  <si>
    <t>v_DOONG5zq1Yg</t>
  </si>
  <si>
    <t>A woman is seen kneeling down on a yoga mat while bending forward.</t>
  </si>
  <si>
    <t>The woman then moves her leg out in front of her and bends down further creating a stretch.</t>
  </si>
  <si>
    <t>v_pspJX3Lyys0</t>
  </si>
  <si>
    <t>An athlete is seen spinning around and throwing a discuss while men on the field run to track his score.</t>
  </si>
  <si>
    <t>The athlete walks away and another steps up and throws the discuss.</t>
  </si>
  <si>
    <t>Several more people step up to throw the object and ends with one athlete winning and walking away.</t>
  </si>
  <si>
    <t>v_A_Rh4tMM2xY</t>
  </si>
  <si>
    <t>There are two kids on the swing set while two old ladies standing beside them swinging them.</t>
  </si>
  <si>
    <t>The old lady in pink top went away, while the other old woman in purple continues to swing the boy.</t>
  </si>
  <si>
    <t>The old lady in pink shirt went back with a piece of paper to fan some air on her, while a little kid is walking towards the front of the bench.</t>
  </si>
  <si>
    <t>The old lady in purple continues to swing the boy, while the old lady in pink top stood and rest her back on the red bar of the swing.</t>
  </si>
  <si>
    <t>The lady in pink top came in front of the other boy with white shirt, and talked to him, started to push him on the swing, give him a kiss and continue to swing him from the side of the swing.</t>
  </si>
  <si>
    <t>The littler girl near the bench sat to pick up something from the blue ground.</t>
  </si>
  <si>
    <t>v_cjS2B52jBbU</t>
  </si>
  <si>
    <t>A man wearing glasses is on a stage.</t>
  </si>
  <si>
    <t>He throws darts at a board, trying to hit the target while the crowd claps.</t>
  </si>
  <si>
    <t>Another competitor appears, doing the same.</t>
  </si>
  <si>
    <t>The winner walks onto the stage as camera flash, celebrating.</t>
  </si>
  <si>
    <t>v_2wC0d2XUses</t>
  </si>
  <si>
    <t>Two kids are seen playing a game of shuffleboard on the side of a boat while the camera watches.</t>
  </si>
  <si>
    <t>The kids continue taking turns while running up and down the path on the boat.</t>
  </si>
  <si>
    <t>v_GkPmeXaNY0s</t>
  </si>
  <si>
    <t>A doctor is speaking while a nurse sits next to him in a medical office.</t>
  </si>
  <si>
    <t>He holds up a bottle of cleanser, and uses a rag to wipe it onto the woman's face, before wiping it clean again.</t>
  </si>
  <si>
    <t>It is also rubbed into her hands.</t>
  </si>
  <si>
    <t>v_9DIDpTlfBWs</t>
  </si>
  <si>
    <t>A chef is standing in front of a table and begins turning on a stove with a pan on it.</t>
  </si>
  <si>
    <t>The man then mixes various ingredients together and finally putting the ingredients on the stove top.</t>
  </si>
  <si>
    <t>He finishes the plate by making an omelette and serves it on a plate and cuts it up.</t>
  </si>
  <si>
    <t>v_InwY966XXBY</t>
  </si>
  <si>
    <t>people are in a camp with a lot of camels sitting on the floor.</t>
  </si>
  <si>
    <t>a men is riding a camel and starts walking in the dessert passing by the piramids while a man is leading them with a rope.</t>
  </si>
  <si>
    <t>the camels stops and a man is taking a picture.</t>
  </si>
  <si>
    <t>men are riding camels in the dessert.</t>
  </si>
  <si>
    <t>v_zJNYqTVWqyY</t>
  </si>
  <si>
    <t>We see a small dog in a bathtub with the title over the top.</t>
  </si>
  <si>
    <t>A person wets the dog and puts shampoo on it.</t>
  </si>
  <si>
    <t>The person washes the dog with their hands.</t>
  </si>
  <si>
    <t>They stand the dog up and wash him.</t>
  </si>
  <si>
    <t>They rinse the soap off the dog.</t>
  </si>
  <si>
    <t>We see the wet little dog from above.</t>
  </si>
  <si>
    <t>v_pi2AaadXnnI</t>
  </si>
  <si>
    <t>A woman is cleaning clothes on a table.</t>
  </si>
  <si>
    <t>She pours a bucket of water onto the clothing.</t>
  </si>
  <si>
    <t>She picks up a brush and scrubs the clothing.</t>
  </si>
  <si>
    <t>She pours more water onto the clothing.</t>
  </si>
  <si>
    <t>She picks up the clothing and sets it next to her.</t>
  </si>
  <si>
    <t>v_MinmayCk2Nk</t>
  </si>
  <si>
    <t>We see a male gymnast prepare to use the pommel horse.</t>
  </si>
  <si>
    <t>The man mounts the pommel horse and spins his legs around it.</t>
  </si>
  <si>
    <t>The man takes a bow and starts walking away.</t>
  </si>
  <si>
    <t>v_P06Slwn3JG0</t>
  </si>
  <si>
    <t>A girl stands in a yard holding a rake.</t>
  </si>
  <si>
    <t>The girl rakes the leaves in a pile.</t>
  </si>
  <si>
    <t>the girl walks to a trampoline and gets a different rake and rakes the leaves in a circle.</t>
  </si>
  <si>
    <t>the girl put the rake back on the trampoline and talks to the camera.</t>
  </si>
  <si>
    <t>the girl jumps in, rolls around and throws the leaves around before standing and talking to the camera.</t>
  </si>
  <si>
    <t>v_JB3h1trZ1cE</t>
  </si>
  <si>
    <t>A man in a suit is talking into a microphone.</t>
  </si>
  <si>
    <t>People are water skiing in the water.</t>
  </si>
  <si>
    <t>A man falls down and is dragged by the boat through the water.</t>
  </si>
  <si>
    <t>A man turns around while water skiing and holds the rope with his foot.</t>
  </si>
  <si>
    <t>He crashes and falls into the water.</t>
  </si>
  <si>
    <t>v_xootaiXcXZw</t>
  </si>
  <si>
    <t>Two men are doing Capoeira surrounded by a circle of people.</t>
  </si>
  <si>
    <t>The men take a break and being to perform for the people again.</t>
  </si>
  <si>
    <t>They shake hands and leave the circle allowing two other men to enter the circle.</t>
  </si>
  <si>
    <t>A man in blue and a man in grey greet each other in the middle of the circle.</t>
  </si>
  <si>
    <t>The other two men begin to perform Capoeira for the crowd.</t>
  </si>
  <si>
    <t>v_xwu60huH3ds</t>
  </si>
  <si>
    <t>We see people grooming various dogs.</t>
  </si>
  <si>
    <t>We see a man fluff the fur on a large dog.</t>
  </si>
  <si>
    <t>We see a man blow dry a dog.</t>
  </si>
  <si>
    <t>We see a large black dog being blow dried.</t>
  </si>
  <si>
    <t>A man combs a dogs hair straight up.</t>
  </si>
  <si>
    <t>We see two dark ending screens.</t>
  </si>
  <si>
    <t>v_2WKy0FvMtCM</t>
  </si>
  <si>
    <t>`A cookie is shown on a plate.</t>
  </si>
  <si>
    <t>Ingredients are being added to a glass bowl and being mixed together.</t>
  </si>
  <si>
    <t>Chocolate chips are added to the dough.</t>
  </si>
  <si>
    <t>The dough is flattened out onto a cookie sheet.</t>
  </si>
  <si>
    <t>Chocolate is drizzled over the top.</t>
  </si>
  <si>
    <t>Candies are placed on top of the cookie.</t>
  </si>
  <si>
    <t>The cookie is cut and placed on a plate.</t>
  </si>
  <si>
    <t>A fork is shown eating the cookie.</t>
  </si>
  <si>
    <t>v_wZZUcxhISyE</t>
  </si>
  <si>
    <t>A woman is sitting in a booth.</t>
  </si>
  <si>
    <t>Her little girl shoves a vanilla ice cream cone in her face and laughs.</t>
  </si>
  <si>
    <t>The girl continues doing it, and the woman has to wipes her mouth and nose several times.</t>
  </si>
  <si>
    <t>v_5rlLaok_U5M</t>
  </si>
  <si>
    <t>The player serves the birdie to start the match.</t>
  </si>
  <si>
    <t>Two teams compete in a badminton game in gymnasium.</t>
  </si>
  <si>
    <t>The teams have a long volley during the game.</t>
  </si>
  <si>
    <t>The player spikes the birdie down hard and scores a point.</t>
  </si>
  <si>
    <t>v_Z-UR8n33TWc</t>
  </si>
  <si>
    <t>A sumo warrior is shown holding a pager.</t>
  </si>
  <si>
    <t>A larger sumo warrior is shown holding another pager.</t>
  </si>
  <si>
    <t>The sumo warriors face off and the larger one sits on and makes the smaller one disappear.</t>
  </si>
  <si>
    <t>v_c7SweMMGQE8</t>
  </si>
  <si>
    <t>A camera pans around a picture of a horse followed by a person brushing and vacuuming hair off of a horse.</t>
  </si>
  <si>
    <t>The person continues brushing and vacuuming the hair and ending with the picture of the two together.</t>
  </si>
  <si>
    <t>v_vJkL_4niC4w</t>
  </si>
  <si>
    <t>a man and a woman are sitting in front of a piano playing it together.</t>
  </si>
  <si>
    <t>people are gathered around the piano watching the people sitting on the piano.</t>
  </si>
  <si>
    <t>people on the piano stands and change the position in fornt of the piano.</t>
  </si>
  <si>
    <t>v_6GIWY4-491k</t>
  </si>
  <si>
    <t>A man dressed in winter gear is sitting out in winter on a frozen lake.</t>
  </si>
  <si>
    <t>He is sitting there with fishing equipment fishing on the frozen lake.</t>
  </si>
  <si>
    <t>He uses a bait to fish and catches a mid size gray fish.</t>
  </si>
  <si>
    <t>He shows the two fish that he has caught.</t>
  </si>
  <si>
    <t>Then he puts his fishing net in a hole in the lake and continues fishing.</t>
  </si>
  <si>
    <t>He catches another dark gray fish and tosses it in his box.</t>
  </si>
  <si>
    <t>He continues fishing and catches more fish in that same hole.</t>
  </si>
  <si>
    <t>He collects the fish in a white bucket.</t>
  </si>
  <si>
    <t>v_BH9zsAu6OMQ</t>
  </si>
  <si>
    <t>A woman stands on a track.</t>
  </si>
  <si>
    <t>She bends over on the track.</t>
  </si>
  <si>
    <t>She then runs down the track.</t>
  </si>
  <si>
    <t>She jumps and lands in the sand.</t>
  </si>
  <si>
    <t>v_3oS_28utt2Y</t>
  </si>
  <si>
    <t>A man is sitting on a wave runner in the water.</t>
  </si>
  <si>
    <t>A person is surfing on a large wave in the water.</t>
  </si>
  <si>
    <t>The wave crashes over the surfer.</t>
  </si>
  <si>
    <t>v_HYYQ56oZSDM</t>
  </si>
  <si>
    <t>A woman and man dancing provocatively outside of a restaurant.</t>
  </si>
  <si>
    <t>She is wearing a very sexy short dress and kicking her legs up and down in heels.</t>
  </si>
  <si>
    <t>People are walking out od the restaurant.</t>
  </si>
  <si>
    <t>One of the workers is sitting on a stool smoking until they end their dance on the ground.</t>
  </si>
  <si>
    <t>v_5N-PfYLyCpI</t>
  </si>
  <si>
    <t>Several people are hitting an instrument with sticks.</t>
  </si>
  <si>
    <t>Two men do flips in front of each other.</t>
  </si>
  <si>
    <t>Several more groups of people appear to be doing some kind of martial arts dance.</t>
  </si>
  <si>
    <t>They are surronded by clapping onlookers.</t>
  </si>
  <si>
    <t>v_ZbfYwmb39H0</t>
  </si>
  <si>
    <t>A man is seen standing in front of a goal holding a stick and speaking to the camera.</t>
  </si>
  <si>
    <t>Several shots of him speaking are shown and he demonstrates how to properly be a goalie.</t>
  </si>
  <si>
    <t>He moves back and fourth a bit while moving the stick while still holding his arms up and speaking to the camera.</t>
  </si>
  <si>
    <t>v_oKdzcTnENks</t>
  </si>
  <si>
    <t>A little boy is playing hop scotch on the pavement.</t>
  </si>
  <si>
    <t>There is a truck behind him.</t>
  </si>
  <si>
    <t>He doesn't really play it right.</t>
  </si>
  <si>
    <t>He jumps on all of the numbers.</t>
  </si>
  <si>
    <t>He kind of runs through the game.</t>
  </si>
  <si>
    <t>v_opxLlaEPxqw</t>
  </si>
  <si>
    <t>An athlete is seen standing ready holding a javelin and throwing it off into the distance.</t>
  </si>
  <si>
    <t>Several more people are seen throwing a javelin with their throw being shown again afterwards.</t>
  </si>
  <si>
    <t>The camera pans around the woman in the end and shows off their score.</t>
  </si>
  <si>
    <t>v_VTbMcI6nw54</t>
  </si>
  <si>
    <t>A man talks about coaching gymnastics.</t>
  </si>
  <si>
    <t>A girl starts to do a routine on the uneven bars.</t>
  </si>
  <si>
    <t>v_Hs1fGDcU6Js</t>
  </si>
  <si>
    <t>A man is seen kneeling on the floor and speaking to the camera.</t>
  </si>
  <si>
    <t>The man then flips over and begins doing leg exercises.</t>
  </si>
  <si>
    <t>His moves his body all around demonstrating proper exercises while still looking over and speaking to the camera.</t>
  </si>
  <si>
    <t>v_xBGgX2PqAo8</t>
  </si>
  <si>
    <t>A man sets up a camera in a bar.</t>
  </si>
  <si>
    <t>The man then talks to the camera.</t>
  </si>
  <si>
    <t>The man shoots pool alone.</t>
  </si>
  <si>
    <t>The bearded man walks past the table.</t>
  </si>
  <si>
    <t>The man finishes and talks to the camera before turning it off.</t>
  </si>
  <si>
    <t>v_pvFviIF1VGc</t>
  </si>
  <si>
    <t>A person pours water to a cup.</t>
  </si>
  <si>
    <t>A woman talks in a bar showing liquor bottles.</t>
  </si>
  <si>
    <t>Then, the woman put ice in a glass, then she adds liquors from three bottles.</t>
  </si>
  <si>
    <t>After, the woman add soda and put a straw.</t>
  </si>
  <si>
    <t>v_OzAqwPQ-APY</t>
  </si>
  <si>
    <t>A diver is in the ocean in the keys of florida, he has a a pumpkin in his hand.</t>
  </si>
  <si>
    <t>He goes down with another diver and they begin carving the pumpkins underneath the water.</t>
  </si>
  <si>
    <t>They are craving about five or six of them making different faces.</t>
  </si>
  <si>
    <t>Then they line them up and put some light inside or something as fish swim around them casually.</t>
  </si>
  <si>
    <t>v_tjDOXnDswdA</t>
  </si>
  <si>
    <t>A person's hands are seen holding a rube and spinning it around.</t>
  </si>
  <si>
    <t>The person turns the cube all over it's sides while attempting to solve the puzzle.</t>
  </si>
  <si>
    <t>The man connects all the sides and shows it to the camera.</t>
  </si>
  <si>
    <t>v_pHq6Eb280uM</t>
  </si>
  <si>
    <t>A close up of a fooseball table is seen followed by people holding onto the sides.</t>
  </si>
  <si>
    <t>The people play the game back and fourth while the camera captures their movements.</t>
  </si>
  <si>
    <t>The men continue playing on the table and the video fades to white.</t>
  </si>
  <si>
    <t>v_l9XzNcLiMKc</t>
  </si>
  <si>
    <t>A man and a woman are standing at the counter of a kitchen.</t>
  </si>
  <si>
    <t>They pour ingredients into a large bowl and mix it together.</t>
  </si>
  <si>
    <t>They pour the mixture into two round pans.</t>
  </si>
  <si>
    <t>They then take the cakes and stack them together with frosting in between.</t>
  </si>
  <si>
    <t>They eat the cake at the end.</t>
  </si>
  <si>
    <t>v_JZ9mgVXPD-I</t>
  </si>
  <si>
    <t>A young man plays drums on a stage with lights dancing in the background.</t>
  </si>
  <si>
    <t>He finishes and stands up playing air drums.</t>
  </si>
  <si>
    <t>v_lSbbzsOjwno</t>
  </si>
  <si>
    <t>A young girl is seen scrubbing a small dog down with soap next to a tub full of water.</t>
  </si>
  <si>
    <t>She pours more soap onto the dog and drags him over and leads into pictures of the dog all cleaned.</t>
  </si>
  <si>
    <t>v_Vh8RINfopdk</t>
  </si>
  <si>
    <t>A person applies paint designs to a red fingernail on a plastic hand with a flexible black limb labeled "nail trainer".</t>
  </si>
  <si>
    <t>A brown plastic hand with a black plastic arm appears with white fingernail tips and red fingernails.</t>
  </si>
  <si>
    <t>A person's real hand appears and begins to apply white designs on one of the red fingernails on the plastic hand.</t>
  </si>
  <si>
    <t>The scene then fades to a closeup of one finished red fingernail with a complete white design from the plastic hand.</t>
  </si>
  <si>
    <t>v_vu65aIIJHtU</t>
  </si>
  <si>
    <t>Cars are driving on a road.</t>
  </si>
  <si>
    <t>People get back into their car and put the snowboard on top of the car.</t>
  </si>
  <si>
    <t>v_XuSWH1lfcvI</t>
  </si>
  <si>
    <t>A man is seen standing before a set of uneven bars with his arms up.</t>
  </si>
  <si>
    <t>He then jumps up on the beam and swings himself around.</t>
  </si>
  <si>
    <t>The man continues to swing around on the bars and ends by jumping off the side and walking away.</t>
  </si>
  <si>
    <t>v_nwpz-KGn46A</t>
  </si>
  <si>
    <t>She then is shown performing several different exercises as well as riding on a bicycle and leading a class.</t>
  </si>
  <si>
    <t>More shots of her are shown riding on the bike and wearing a headset to speak to others.</t>
  </si>
  <si>
    <t>v_a5WhYgyH_C0</t>
  </si>
  <si>
    <t>A man in a pink shirt is holding a cord in his hand.</t>
  </si>
  <si>
    <t>He starts vacuuming the carpet in front of him.</t>
  </si>
  <si>
    <t>v_y4Y8gD1mpTw</t>
  </si>
  <si>
    <t>A woman is doing a tutorial on how to do water marble nails using water.</t>
  </si>
  <si>
    <t>She uses a nail polish brush and dips it in water.</t>
  </si>
  <si>
    <t>She gives the instructions on how to start with a base coat of nail polish.</t>
  </si>
  <si>
    <t>Then she puts drops of different colored nail polish on the water surface.</t>
  </si>
  <si>
    <t>Then she dips her nail into that paint.</t>
  </si>
  <si>
    <t>She cleans off any excess nail polish that has smeared on the side of the nails with a paint brush and Q-tip.</t>
  </si>
  <si>
    <t>She finally shares information about herself and her social media accounts.</t>
  </si>
  <si>
    <t>v_ZoKode_Gexg</t>
  </si>
  <si>
    <t>A woman is in a kitchen, wearing a dress and pregnant.</t>
  </si>
  <si>
    <t>She is washing dishes in the sink and talking to the person with the camera.</t>
  </si>
  <si>
    <t>She smiles as the camera zooms in on her right eye.</t>
  </si>
  <si>
    <t>v_djQnCU5MNJg</t>
  </si>
  <si>
    <t>A woman swings on a swing set.</t>
  </si>
  <si>
    <t>A baby swings beside her.</t>
  </si>
  <si>
    <t>They are both wearing red.</t>
  </si>
  <si>
    <t>The woman looks happy to swing.</t>
  </si>
  <si>
    <t>v_xE43h7Kd9Oc</t>
  </si>
  <si>
    <t>Two boys are standing in a living room next to a tree and begin taking ornaments out of two plastic bins and decorating the tree.</t>
  </si>
  <si>
    <t>As the boys continue,the outside of the house is shown as rain comes thundering down.</t>
  </si>
  <si>
    <t>After,the boys receive help from a male and puts the tree topper on.</t>
  </si>
  <si>
    <t>Once that is finished,the young boys hug and kiss each other and the finish product of the tree is shown.</t>
  </si>
  <si>
    <t>v_wfc_R5VnoHU</t>
  </si>
  <si>
    <t>Several animated people are in the water.</t>
  </si>
  <si>
    <t>Two people in scuba gear stand on the ledge of a platform while two other people watch from a platform above.</t>
  </si>
  <si>
    <t>The two people in scuba gear jump in the water.</t>
  </si>
  <si>
    <t>One person in scuba gear holds on to the other person in scuba gear and does something to her tank.</t>
  </si>
  <si>
    <t>One person pushes the other one away.</t>
  </si>
  <si>
    <t>Several people in scuba gear gather with one person still in the background.</t>
  </si>
  <si>
    <t>The people in scuba gear struggle and one persons mask floats away.</t>
  </si>
  <si>
    <t>v_oEdRUyN6Kfo</t>
  </si>
  <si>
    <t>A large black dog and a little girl in a white blouse carries two hoolahoops in the living room.</t>
  </si>
  <si>
    <t>The little girl holds a hoola hoop in front of the dog and the dog walks through the hoolahoop.</t>
  </si>
  <si>
    <t>The little girl spins the other hoola hoop around her waste and spins it 10 or 12 times.</t>
  </si>
  <si>
    <t>The little girl walks up to the black dog and lets the dog lick her hand.</t>
  </si>
  <si>
    <t>v_SBJWn8AjK-4</t>
  </si>
  <si>
    <t>Five boys are shown walking in a playground.</t>
  </si>
  <si>
    <t>The boys get onto the swings and begin to show how to do tricks.</t>
  </si>
  <si>
    <t>For the finale, all five guys get onto the swings and perform a back flip.</t>
  </si>
  <si>
    <t>v_srSwfib_ogk</t>
  </si>
  <si>
    <t>A young woman gets in position to perform with a baton.</t>
  </si>
  <si>
    <t>She performs a gymnastics and twirling routine.</t>
  </si>
  <si>
    <t>She does cartwheels as part of her routine.</t>
  </si>
  <si>
    <t>She drops the baton, but picks it back up and continues with the routine.</t>
  </si>
  <si>
    <t>She loses her balance but is able to recover.</t>
  </si>
  <si>
    <t>v_mWj6lO9PZCs</t>
  </si>
  <si>
    <t>A woman is seen pushing a lawn mower across some grass while speaking to the camera.</t>
  </si>
  <si>
    <t>The camera zooms in on plants in the yard and continues to follow the woman around as she cuts the grass.</t>
  </si>
  <si>
    <t>The camera wanders through a bunch of plants and trees in the end.</t>
  </si>
  <si>
    <t>v_rVLkm3MLzns</t>
  </si>
  <si>
    <t>A man in ski gear is standing on a snowy hill.</t>
  </si>
  <si>
    <t>He and others begin skiing down the slopes, kicking up snow and traveling through tunnels.</t>
  </si>
  <si>
    <t>v_CvkyjR4yk60</t>
  </si>
  <si>
    <t>men are working in a tablein the background, a man in the center of the room start walking in circles and make break dance, a screen hanging is playing a rap video.</t>
  </si>
  <si>
    <t>the screen is playing a video and the credits are in the right side.</t>
  </si>
  <si>
    <t>v_0lYwrXV1R3A</t>
  </si>
  <si>
    <t>A hockey player is injured and is helped up from the ice by the coach.</t>
  </si>
  <si>
    <t>The hockey player is escorted from the ice by the coach.</t>
  </si>
  <si>
    <t>A replay shows the hockey player being hit in the face by the puck and he falls to the ice.</t>
  </si>
  <si>
    <t>The teams stand together around a circle and face off to start the match.</t>
  </si>
  <si>
    <t>Hockey player play a game and skate around the ice passing back and forth.</t>
  </si>
  <si>
    <t>v_P0A0rMgjXGQ</t>
  </si>
  <si>
    <t>We see water on an opening screen.</t>
  </si>
  <si>
    <t>A man is measuring and cutting carpet while kneeling.</t>
  </si>
  <si>
    <t>The man adds a strip and puts a tool in the seam.</t>
  </si>
  <si>
    <t>The man runs a black item over the seam repeatedly then stands.</t>
  </si>
  <si>
    <t>v_IYbnF7LM2II</t>
  </si>
  <si>
    <t>Two men are seen running around an enclosed room holding tennis rackets and hitting a ball around the room.</t>
  </si>
  <si>
    <t>The men continue hitting the ball around the room while the camera continues to follow their movements.</t>
  </si>
  <si>
    <t>v_pS-BoCsMcpQ</t>
  </si>
  <si>
    <t>Men are swimming more or less in sync with the volleyballs.</t>
  </si>
  <si>
    <t>They stop and get a in a circle in the pool and start throwing the ball between each other.</t>
  </si>
  <si>
    <t>After that they start to swim and throw for a little bit.</t>
  </si>
  <si>
    <t>After, they put it all together and every one joins in to play.</t>
  </si>
  <si>
    <t>v_ok6LTNirAPo</t>
  </si>
  <si>
    <t>A child sitting at restaurant table places his hands in a dessert.</t>
  </si>
  <si>
    <t>The child uses his hands to eat the food.</t>
  </si>
  <si>
    <t>The adult keeps the child from spilling the food on the floor and helps feed him.</t>
  </si>
  <si>
    <t>v_vWz90CichbM</t>
  </si>
  <si>
    <t>The video starts showing the company logo for a roofing company.</t>
  </si>
  <si>
    <t>A voice is heard reciting the steps to applying ridges on a roof.</t>
  </si>
  <si>
    <t>As the voice recites the steps, an older man is shown on video performing these steps to a roof.</t>
  </si>
  <si>
    <t>As the voice says the steps are complete, the final shot shows a close up of the completed ridges.</t>
  </si>
  <si>
    <t>The video ends with the company logo.</t>
  </si>
  <si>
    <t>v_UoX2xhYPD38</t>
  </si>
  <si>
    <t>A young man is washing clothes inside a bathroom sink as he talks to the camera.</t>
  </si>
  <si>
    <t>Initially he starts to wash the clothes with both hands.</t>
  </si>
  <si>
    <t>Afterwards he adds more soap using two different bottles to the sink.</t>
  </si>
  <si>
    <t>Subsequently he keeps washing the clothes as he talks to the camera.</t>
  </si>
  <si>
    <t>v_NKNgAE07TIQ</t>
  </si>
  <si>
    <t>A man wearing a black shirts with a graphic design is seated near a table with liquor bottles and a shaker.</t>
  </si>
  <si>
    <t>He is a demonstrating how to make a seasonal alcoholic drink.</t>
  </si>
  <si>
    <t>He picks up the liquor bottles that he will be using for the drinks.</t>
  </si>
  <si>
    <t>He uses the jigger to measure and then pour the necessary ingredients into the shaker.</t>
  </si>
  <si>
    <t>He then adds some cream to the mixture.</t>
  </si>
  <si>
    <t>He adds a few cubes of ice into the shaker.</t>
  </si>
  <si>
    <t>Then he shakes beverage vigorously and pours into a conical glass.</t>
  </si>
  <si>
    <t>He then tops the drink with whipped cream from a can and puts a cherry on the top.</t>
  </si>
  <si>
    <t>He gives information about his Facebook page and other details.</t>
  </si>
  <si>
    <t>v_3lla2AaJgNA</t>
  </si>
  <si>
    <t>A woman is using an iron on a board.</t>
  </si>
  <si>
    <t>She is showing how to iron baby clothes.</t>
  </si>
  <si>
    <t>She flips the clothing, buttoning it up as she goes.</t>
  </si>
  <si>
    <t>v_dsgQVrJi71g</t>
  </si>
  <si>
    <t>A man plugs a mowing machine, then he pushes the mower to cut the grass in a backyard.</t>
  </si>
  <si>
    <t>After, the man cuts the grass on the borders with garden scissors.</t>
  </si>
  <si>
    <t>v_lcwR7eA-VOY</t>
  </si>
  <si>
    <t>Two wrestlers are up on a ring arguing.</t>
  </si>
  <si>
    <t>The referee stands by, instructing them on what to do.</t>
  </si>
  <si>
    <t>They finally get to the arm wrestling.</t>
  </si>
  <si>
    <t>The crowd around them cheers on.</t>
  </si>
  <si>
    <t>A guy jumps onto the ring and begins to fight with one of the wrestlers.</t>
  </si>
  <si>
    <t>The man leaves the ring and the wrestler approaches the other wrestler and beats him to the ground.</t>
  </si>
  <si>
    <t>The wrestler celebrates his win.</t>
  </si>
  <si>
    <t>v_I2Ctmi7C56k</t>
  </si>
  <si>
    <t>Two little boys rake leaves in a backyard while a little girl watches and walks with them as they rake.</t>
  </si>
  <si>
    <t>The two little boys rake leaves with red handled rakes and a little girl watches them and hangs around while they rake.</t>
  </si>
  <si>
    <t>The two boys start raking to the right of the lawn and the little girl runs behind them.</t>
  </si>
  <si>
    <t>The boys then turn around and begin raking to the right side of the lawn.</t>
  </si>
  <si>
    <t>v_bz62JE0qMSk</t>
  </si>
  <si>
    <t>little kid is standing in a pool poining out a yellow bucket in the water and other peolpe is sitting in benches around the pool.</t>
  </si>
  <si>
    <t>woman is carrying the child on his back and then she is with a man and the kid riding bikes in the park.</t>
  </si>
  <si>
    <t>kid is running inside a roofed basket court.</t>
  </si>
  <si>
    <t>kid is laying with a tennis racket.</t>
  </si>
  <si>
    <t>v_lMYtmGRAn8k</t>
  </si>
  <si>
    <t>A boy is standing next to a playground jumping rope.</t>
  </si>
  <si>
    <t>A person is jumping rope on a white mat.</t>
  </si>
  <si>
    <t>A man is kneeling down on the ground in front of a red table.</t>
  </si>
  <si>
    <t>He gets up and starts jumping rope.</t>
  </si>
  <si>
    <t>v_i2e67kStfk4</t>
  </si>
  <si>
    <t>A child performs on the double uneven bars, while flipping around the bars.</t>
  </si>
  <si>
    <t>Then, the child flips and land stand on the floor, then walks.</t>
  </si>
  <si>
    <t>v_EBOT5e2xAoQ</t>
  </si>
  <si>
    <t>The video leads into several clips of track runners jumping over a bar with their jump being shown again in slow motion.</t>
  </si>
  <si>
    <t>Several more people are shown jumping over the bar with one hitting the bar and not jumping over.</t>
  </si>
  <si>
    <t>v_EkwX8Swnut8</t>
  </si>
  <si>
    <t>A boy sits behind the wheel of car, driving and talking to the other passengers in the car.</t>
  </si>
  <si>
    <t>The car travels down a winding highway as the camera pans between the people talking at the time.</t>
  </si>
  <si>
    <t>The people in the car eventually arrive at a snow covered slope where they don ski apparel and begin to ski on the slopesdoing flips, going down hills and jumping off of elevated platforms.</t>
  </si>
  <si>
    <t>At one point of the boys falls on the ground and huddles in the fetal position on the snow.</t>
  </si>
  <si>
    <t>The scene then cuts to the boys back at home in the kitchen peparing things with a final image of a boy standing in the snow covered woods talking to the camera.</t>
  </si>
  <si>
    <t>v_BfTjydFBQJU</t>
  </si>
  <si>
    <t>A small group of people are seen standing in a gym with a man leading in front.</t>
  </si>
  <si>
    <t>The man leads the group in an exercise class that involves a beam on the floor.</t>
  </si>
  <si>
    <t>The people move up and down the beam while the man claps and smiles at the group.</t>
  </si>
  <si>
    <t>v_Q159fj3M9NM</t>
  </si>
  <si>
    <t>A gymnast runs, then flips several times down an indoor track.</t>
  </si>
  <si>
    <t>Other girls follow suit, flipping quickly as they go.</t>
  </si>
  <si>
    <t>They dismount at the end, arms in the air.</t>
  </si>
  <si>
    <t>v_AZrI6X2XAUU</t>
  </si>
  <si>
    <t>a blond little kid with large hair sits in a table and holds a contact eye and put the contacts on his eyes.</t>
  </si>
  <si>
    <t>little kid is talking to the camera and is in a table wearnig a red uniform putting contact lenses on her eyes.</t>
  </si>
  <si>
    <t>v_GTV4XlxawgE</t>
  </si>
  <si>
    <t>man is running in a roofed gym and doing a high jump.</t>
  </si>
  <si>
    <t>man is doing a somersault in a roofed gym.</t>
  </si>
  <si>
    <t>two woman are standing in the gym by the jumping man.</t>
  </si>
  <si>
    <t>man is doing a somersault in a roofed gym in a racetrack.</t>
  </si>
  <si>
    <t>v_bRVazNYfpGE</t>
  </si>
  <si>
    <t>There's a girl gymnast dressed in purple leotards doing flips on a horse bar in a large indoor stadium filled with spectators.</t>
  </si>
  <si>
    <t>She continues doing front flips and twisting her body around on the horse bar.</t>
  </si>
  <si>
    <t>She walks the entire horse bar and then finally jumps off the horse bar to successfully end her round.</t>
  </si>
  <si>
    <t>As she jumps down and walks away, the crowd cheer and applaud loudly.</t>
  </si>
  <si>
    <t>v_WxefBZ7Iaow</t>
  </si>
  <si>
    <t>A blue raft is shown and a group of people are shown throwing them up in a pile.</t>
  </si>
  <si>
    <t>Finally,they are by the water and about eight of them are sitting on the raft traveling down the water.</t>
  </si>
  <si>
    <t>After a certain distance,they encounter a rock and a large wave and they all flip out of the raft.</t>
  </si>
  <si>
    <t>The rafting continues and eventually they are all shown standing outside in a field in a large circle talking and drinking about a job well done.</t>
  </si>
  <si>
    <t>v_lsIiSTG2pn4</t>
  </si>
  <si>
    <t>Ladies are playing volley ball outside.</t>
  </si>
  <si>
    <t>A female hits the ball twice.</t>
  </si>
  <si>
    <t>A lady touches a teammate's arm.</t>
  </si>
  <si>
    <t>v_js9SDSngI7A</t>
  </si>
  <si>
    <t>A coach align a group of teens in a basketball court, the teen on front holds a basketball ball.</t>
  </si>
  <si>
    <t>Three teens run and a boy throws the basketball to the basket, then the second teen grabs the ball and pass the ball to two teens disputing to have the ball.</t>
  </si>
  <si>
    <t>Then, three more boys run to practice the same steps.</t>
  </si>
  <si>
    <t>A young man wearing a yellow t-shirt practice basketball on the other basketball goal.</t>
  </si>
  <si>
    <t>After, a group of three boys runs to practice basketball shooting and blocking.</t>
  </si>
  <si>
    <t>v_YD7pb5-CZdI</t>
  </si>
  <si>
    <t>An athlete is standing on a field.</t>
  </si>
  <si>
    <t>He is holding a large steel ball.</t>
  </si>
  <si>
    <t>He spins and throws the ball, then walks around the track waiting for his next turn.</t>
  </si>
  <si>
    <t>v_UYUvjnlU9Ho</t>
  </si>
  <si>
    <t>There are some people playing croquet in their backyard that is covered with fall leaves.</t>
  </si>
  <si>
    <t>There's a teenage boy and a teenage girl playing croquet on some wooden boards.</t>
  </si>
  <si>
    <t>They use their wooden mallet to hit the ball down the wooden boards.</t>
  </si>
  <si>
    <t>Another group of young teenagers are also playing croquet in the yard.</t>
  </si>
  <si>
    <t>One of the teens wearing a yellow shirt pretends his mallet is a guitar and plays it.</t>
  </si>
  <si>
    <t>The teens continue playing croquet as they take turns to hit the ball with the mallet while another boy is playing with a black and white cat.</t>
  </si>
  <si>
    <t>The teens continue playing while the cat watches them.</t>
  </si>
  <si>
    <t>The teen in the yellow shirt plays with the black and white cat.</t>
  </si>
  <si>
    <t>One of the teen pose and aims to hit the ball with his mallet while the two other teens watch him.</t>
  </si>
  <si>
    <t>They continue playing croquet as they take turns to hit the balls one by one with the mallets.</t>
  </si>
  <si>
    <t>One of the teens then just drops his mallet down while the two other teens give each other high fives.</t>
  </si>
  <si>
    <t>v_Lh3dhueuKmQ</t>
  </si>
  <si>
    <t>A woman is putting wall paper on a wall.</t>
  </si>
  <si>
    <t>She smooths the wall paper with her hands.</t>
  </si>
  <si>
    <t>She is rolling the wall paper onto the wall.</t>
  </si>
  <si>
    <t>v_Wr69bnB86d0</t>
  </si>
  <si>
    <t>A man sits at a table and holds a screwdriver which he presses it against the tabletop.</t>
  </si>
  <si>
    <t>The man pretents to time himself and uses the screwdriver tool to pierce a hole in a full beer can that sprays some of its contents.</t>
  </si>
  <si>
    <t>The man holds up the can with the hole facing upwards.</t>
  </si>
  <si>
    <t>The man drinks the contents of the beer can from the hole after opening the top.</t>
  </si>
  <si>
    <t>v_aSFtL7YEbDE</t>
  </si>
  <si>
    <t>A group of people are on a neatly mown field.</t>
  </si>
  <si>
    <t>They are playing a game of croquette.</t>
  </si>
  <si>
    <t>They hit the balls through the hoops with mallets.</t>
  </si>
  <si>
    <t>v_bTlfN4vJkiY</t>
  </si>
  <si>
    <t>A young boy is wearing a bandana and mowing a large yard.</t>
  </si>
  <si>
    <t>He walks away from the camera as he pushes the mower.</t>
  </si>
  <si>
    <t>He then suddenly stops, chasing the person with the camera and knocking them over.</t>
  </si>
  <si>
    <t>v_2LzWCwYtUzs</t>
  </si>
  <si>
    <t>We see an animation on the opening title screen.</t>
  </si>
  <si>
    <t>A person washes and peels a potato.</t>
  </si>
  <si>
    <t>The person rinses the person rinses the peeled potato in a bowl.</t>
  </si>
  <si>
    <t>The person then dices the potato.</t>
  </si>
  <si>
    <t>v_T1T3UvwZcKU</t>
  </si>
  <si>
    <t>A young child is seen sitting a top of a slide with his tongue sticking out.</t>
  </si>
  <si>
    <t>He begins to go down the slide but falls off the side and is seen laying on the floor.</t>
  </si>
  <si>
    <t>v_4uitkT3dDIM</t>
  </si>
  <si>
    <t>General technique is shown for throwing javelins.</t>
  </si>
  <si>
    <t>He then shows how to do it with crossovers.</t>
  </si>
  <si>
    <t>v_ozkDsQ1UY1k</t>
  </si>
  <si>
    <t>A close up of a pool table is seen followed by a man hitting a ball.</t>
  </si>
  <si>
    <t>Another man steps up with the pool stick to aim his shot and hits the balls.</t>
  </si>
  <si>
    <t>The men take turns back and fourth playing pool until one wins and the camera pans to a man watching.</t>
  </si>
  <si>
    <t>v_F_-w_z4B3bg</t>
  </si>
  <si>
    <t>A young man is seen sitting before an instrument with another sitting on a drum set.</t>
  </si>
  <si>
    <t>The man moves sticks around while looking off into the distance and begins to play.</t>
  </si>
  <si>
    <t>Another boy walks in and out of frame and begins singing into a microphone.</t>
  </si>
  <si>
    <t>v_fGMZvLvAMK4</t>
  </si>
  <si>
    <t>A skier holds a ski stick in his left hand and a pole in his right hand.</t>
  </si>
  <si>
    <t>Then, the man ski down the hill covered with snow.</t>
  </si>
  <si>
    <t>The man stops in middle of the hill.</t>
  </si>
  <si>
    <t>Then, the man continues skiing until arrives to a city.</t>
  </si>
  <si>
    <t>v_OSndW3d2XxU</t>
  </si>
  <si>
    <t>a man is on a field in a circle.</t>
  </si>
  <si>
    <t>He starts spinning a ball around in circles.</t>
  </si>
  <si>
    <t>He then throws the ball as far as he can, but falls down.</t>
  </si>
  <si>
    <t>v_K8G5CBJtluY</t>
  </si>
  <si>
    <t>A young man lying prone on a tiled floor with this hands behind his head and his knees bent attempts to perform a sit-up in front of a few friends.</t>
  </si>
  <si>
    <t>As he brings his elbows towards his knees, a loud crack can be heard as the man laughs, "That hurt my ass.</t>
  </si>
  <si>
    <t>" He attempts a second sit-up and with another cracking sound, exclaims and grabs his buttocks.</t>
  </si>
  <si>
    <t>The man says, "one more" and attempts another time, after which he says, "that felt horrible.</t>
  </si>
  <si>
    <t>" The man struggles through nine more attempts before giving up to the amusement of his friends.</t>
  </si>
  <si>
    <t>v_I41kmlYZmt4</t>
  </si>
  <si>
    <t>A close up of a hedge is shown as well as a man using a tool to cut the hedge.</t>
  </si>
  <si>
    <t>The man speaks to the camera and continues using the tool on the hedge.</t>
  </si>
  <si>
    <t>Several shots are shown of his surroundings as well as other tools you can use and more grass being cut.</t>
  </si>
  <si>
    <t>v_7CeAzJF2z4o</t>
  </si>
  <si>
    <t>A intro leads to a young man wearing a backwards baseball cap playing the guitar on a bed.</t>
  </si>
  <si>
    <t>The man strokes his fingers up and down the neck of the guitar while strumming the string and looking down at the neck.</t>
  </si>
  <si>
    <t>v_erevt6avST0</t>
  </si>
  <si>
    <t>A man is standing at a counter.</t>
  </si>
  <si>
    <t>The store front is shown to the door.</t>
  </si>
  <si>
    <t>the man is still at the counter talking.</t>
  </si>
  <si>
    <t>A man is runnign around a course with a gun.</t>
  </si>
  <si>
    <t>The man is still talkign at the counter.</t>
  </si>
  <si>
    <t>A man in the course is aiming his gun.</t>
  </si>
  <si>
    <t>The man at the counter is showing a particular gun.</t>
  </si>
  <si>
    <t>A man at the course is running around aiming and shooting his gun.</t>
  </si>
  <si>
    <t>The man at the counter is still holding the gun talking.</t>
  </si>
  <si>
    <t>The man on the course runs around and shoots.</t>
  </si>
  <si>
    <t>The man at the counter continues to talk with the gun in his hand.</t>
  </si>
  <si>
    <t>The man at the course peers around a corner aiming his gun.</t>
  </si>
  <si>
    <t>The man at the counter is talking and motioning with the gun in his hand.</t>
  </si>
  <si>
    <t>v_-X7fBYN5fBc</t>
  </si>
  <si>
    <t>Men are standing against the fence, the gates are up and a rider is waiting to start.</t>
  </si>
  <si>
    <t>Once the gate opens a little cow comes running out and the horse chases after.</t>
  </si>
  <si>
    <t>The rider throws a rope at the cow trying to catch it and then jumps off the horse.</t>
  </si>
  <si>
    <t>After he jumps off the horse he starts to pin the cow down and tie the rope around its legs very roughly.</t>
  </si>
  <si>
    <t>v_0_IShglbOQ4</t>
  </si>
  <si>
    <t>A young boy is seen holding onto a lawn mower and pushing it along the yard.</t>
  </si>
  <si>
    <t>The boy continues to push the mower around while the camera captures his movements.</t>
  </si>
  <si>
    <t>He pushes the mower back where he started and looks back to the camera.</t>
  </si>
  <si>
    <t>v_I9_eKiGZPxc</t>
  </si>
  <si>
    <t>Vehicles are moving down a road.</t>
  </si>
  <si>
    <t>A lady stands and discusses.</t>
  </si>
  <si>
    <t>People are paddling down a rocky body of water.</t>
  </si>
  <si>
    <t>A person tries to lift an individual back into the inflated boat.</t>
  </si>
  <si>
    <t>A lady walks away from the inflated boat.</t>
  </si>
  <si>
    <t>The lady used her hands to over her face.</t>
  </si>
  <si>
    <t>People that are sitting on an inflated boat raise their paddles.</t>
  </si>
  <si>
    <t>An inflated boat flips over and the occupants falls overboard.</t>
  </si>
  <si>
    <t>The lady takes off her helmet.</t>
  </si>
  <si>
    <t>A guy gives the lady her white sandals.</t>
  </si>
  <si>
    <t>The lady blows a kiss.</t>
  </si>
  <si>
    <t>Guys are playing soccer outside.</t>
  </si>
  <si>
    <t>Two red team players chest bump.</t>
  </si>
  <si>
    <t>v_Z90-HZ_geSI</t>
  </si>
  <si>
    <t>An intro leads into shots outside a dog groomers and inside where several dogs are tied it.</t>
  </si>
  <si>
    <t>Many woman are shown brushing the dogs and trimming their fur while giving them head scratches in between.</t>
  </si>
  <si>
    <t>More dogs are seen sitting in crates and barking at the camera while the wind blows on them.</t>
  </si>
  <si>
    <t>v_kGxikShxkpQ</t>
  </si>
  <si>
    <t>Team mates are seen walking out onto a field surrounded by dozens of people and stand ready over a rope holding their arms up.</t>
  </si>
  <si>
    <t>The men then pull the rope against another team and end by falling down.</t>
  </si>
  <si>
    <t>v__MYAaRrTeMQ</t>
  </si>
  <si>
    <t>A man is seen holding an axe and looking back to smile at the camera.</t>
  </si>
  <si>
    <t>The man then swings the axe down and hits a log of wood still smiling at the camera.</t>
  </si>
  <si>
    <t>v_C7sabT8febk</t>
  </si>
  <si>
    <t>Paint is shown being mixed on a styrofoam plate.</t>
  </si>
  <si>
    <t>A hand draws on a piece of paper using a brush and the mixed paint.</t>
  </si>
  <si>
    <t>v_fZc3tkvUJe0</t>
  </si>
  <si>
    <t>A chef is seen speaking to a woman and leads into him holding knives and sharpening the sides.</t>
  </si>
  <si>
    <t>He then wipes the knife with a rag and continues sharpening the knives.</t>
  </si>
  <si>
    <t>v_S5kuckj4Ud4</t>
  </si>
  <si>
    <t>We see are driving down the street then we see the man in the car.</t>
  </si>
  <si>
    <t>The man gets out and grabs flat tire supplies.</t>
  </si>
  <si>
    <t>The man sits in the car and thinks about how to change a tire.</t>
  </si>
  <si>
    <t>The guy loosens bolts, jacks the car up and takes off the flat.</t>
  </si>
  <si>
    <t>The guy then puts the spare tire on the car.</t>
  </si>
  <si>
    <t>We see the bolts up close in a line.</t>
  </si>
  <si>
    <t>The man puts the spare tire in the car and gets in the car.</t>
  </si>
  <si>
    <t>He makes a call and turns on the radio.</t>
  </si>
  <si>
    <t>The man makes a u-turn and leaves.</t>
  </si>
  <si>
    <t>We see the ending title.</t>
  </si>
  <si>
    <t>v_IKTYMYu8FFs</t>
  </si>
  <si>
    <t>A container of hair styling cream is shown by a stylist.</t>
  </si>
  <si>
    <t>She applies it to a seated brunette's skin.</t>
  </si>
  <si>
    <t>She then demonstrates how it works.</t>
  </si>
  <si>
    <t>v_Iphl3YB-yYQ</t>
  </si>
  <si>
    <t>A man is seen speaking to the camera and pans over to a roof that is breaking apart.</t>
  </si>
  <si>
    <t>He points all over the roof and shows a man working on the roof while panning around again.</t>
  </si>
  <si>
    <t>v_feqYwvoENzk</t>
  </si>
  <si>
    <t>A woman is seen putting her hair up in a pony tail with a man watching her on the side.</t>
  </si>
  <si>
    <t>She then plays the piano while smiling and the man continuing to watch her.</t>
  </si>
  <si>
    <t>v_O8vPTn6Ho7w</t>
  </si>
  <si>
    <t>People are paddling in kayaks in a body of water.</t>
  </si>
  <si>
    <t>A man takes off in a green kayak.</t>
  </si>
  <si>
    <t>A man in a red jacket is talking to the camera.</t>
  </si>
  <si>
    <t>v_dyobp97TugE</t>
  </si>
  <si>
    <t>A woman and a dog are playing on the grass with a frisbee.</t>
  </si>
  <si>
    <t>The dog has the frisbee in its mouth.</t>
  </si>
  <si>
    <t>The woman and the dog are playing with a rope.</t>
  </si>
  <si>
    <t>v_qX7UMKN6ygM</t>
  </si>
  <si>
    <t>At the beach, a group of soccer balls lie next to a man who is kicking them at the goal, protected by a keeper.</t>
  </si>
  <si>
    <t>He boots them up and off his knee before shooting wide.</t>
  </si>
  <si>
    <t>He finally scores over the keeper.</t>
  </si>
  <si>
    <t>His final ball is saved once again by the keeper.</t>
  </si>
  <si>
    <t>v_r96PJ548pn8</t>
  </si>
  <si>
    <t>A woman wearing exercise equipment is shown talking to the camera and pointing to several areas on her body.</t>
  </si>
  <si>
    <t>She continues talking to the camera while performing several ab crunches to work your core.</t>
  </si>
  <si>
    <t>She then grabs a weight in both hands as well as a cat to use as a weight for the exercise.</t>
  </si>
  <si>
    <t>She bends forward and continues talking to the camera.</t>
  </si>
  <si>
    <t>v_N8otQdjR96s</t>
  </si>
  <si>
    <t>A man is sitting at a drum set.</t>
  </si>
  <si>
    <t>He is playing the drums and cymbals, and talking to the camera.</t>
  </si>
  <si>
    <t>He shows the mechanics of the pedals and the effects on the drums as he uses them.</t>
  </si>
  <si>
    <t>v_mTmcz5NWNQA</t>
  </si>
  <si>
    <t>A group of people riding bmx dirt bikes come down a path together.</t>
  </si>
  <si>
    <t>Then spin around, taking sharp turns and curves on the track.</t>
  </si>
  <si>
    <t>When the race is over, they walk around handing out medals and posing for photos.</t>
  </si>
  <si>
    <t>v_kF6tSW-ZOFg</t>
  </si>
  <si>
    <t>A lady stands at the end of a hopscotch court.</t>
  </si>
  <si>
    <t>The lady then jumps across the hopscotch court towards the right.</t>
  </si>
  <si>
    <t>The lady then hops back where she started.</t>
  </si>
  <si>
    <t>v_hP8wUI0qdaQ</t>
  </si>
  <si>
    <t>woman is talking to the camera in front of a large gym with a lot of estatic bikes in the background and people doing exercise.</t>
  </si>
  <si>
    <t>girl start doing exercise in the elliptical bike.</t>
  </si>
  <si>
    <t>v_2GSSuYAWFc8</t>
  </si>
  <si>
    <t>Several pieces of belly button jewelry are shown.</t>
  </si>
  <si>
    <t>This is followed by a man disinfecting a woman's belly button.</t>
  </si>
  <si>
    <t>He then inserts a piercing using a clamp and a rod.</t>
  </si>
  <si>
    <t>The woman watches as the final studs are in place.</t>
  </si>
  <si>
    <t>v_ufK2mbJI0to</t>
  </si>
  <si>
    <t>A large group of people are seen running around a soccer field playing a game of soccer.</t>
  </si>
  <si>
    <t>The kids continue to kick the ball around one another while others watch on the side.</t>
  </si>
  <si>
    <t>More shots are shown of the game as well as people playing with one another.</t>
  </si>
  <si>
    <t>v_jMQP5ePI4eQ</t>
  </si>
  <si>
    <t>A man in a white shirt is sitting down playing a guitar.</t>
  </si>
  <si>
    <t>Next to the man is a smaller screen of a black and white video of a man singing and a woman.</t>
  </si>
  <si>
    <t>v_LcmTBkWvV74</t>
  </si>
  <si>
    <t>A close up a girl smiling and pointing to her face is shown followed by a pair of pliers piercing her inner lip.</t>
  </si>
  <si>
    <t>The piercer pushes the scissor through her lip while she holds it up and presents the piercing in the end.</t>
  </si>
  <si>
    <t>v_BfnM0eyjB5Q</t>
  </si>
  <si>
    <t>A woman is giving instructions on how to install and adjust a saddle on a bike.</t>
  </si>
  <si>
    <t>She uses a Allen key wrench to loosen up the bolt.</t>
  </si>
  <si>
    <t>Then she demonstrates how she can move the saddle after she loosens it.</t>
  </si>
  <si>
    <t>She hits it with her hand to push the jammed saddle.</t>
  </si>
  <si>
    <t>Then she shows how to adjust the saddle by moving it back and forth.</t>
  </si>
  <si>
    <t>She later demonstrates how to remove the saddle off.</t>
  </si>
  <si>
    <t>She puts the new one on and then uses tools to tighten it back on.</t>
  </si>
  <si>
    <t>She uses a screwdriver to tighten the screws and adjust the level.</t>
  </si>
  <si>
    <t>She then shows another saddle and demonstrates how to tighten the bolts to adjust the level of the saddle.</t>
  </si>
  <si>
    <t>She shows how to tighten the bolt to make sure the saddle fits snugly.</t>
  </si>
  <si>
    <t>v_P1Ve5WrfTb8</t>
  </si>
  <si>
    <t>A boy in grey throws a ball at a a kid on the other side of the court.</t>
  </si>
  <si>
    <t>A boy in blue does an extraordinary flip in the air after catching the ball and lands.</t>
  </si>
  <si>
    <t>He throws the ball back at the other kid after landing.</t>
  </si>
  <si>
    <t>They are being watched by a group of kids standing behind them.</t>
  </si>
  <si>
    <t>v_Cj3W6CW3Zbc</t>
  </si>
  <si>
    <t>Four men are working on the roof of a house.</t>
  </si>
  <si>
    <t>They are scraping the shingles off with shovels, knocking debris to the ground as they work.</t>
  </si>
  <si>
    <t>v_pYYA4rARL1Y</t>
  </si>
  <si>
    <t>We then see men spinning on the pommel horse with title screens clipped in between.</t>
  </si>
  <si>
    <t>We see a man throwing his legs over the pommel horse.</t>
  </si>
  <si>
    <t>We see a man in red spinning himself around the pommel horse quickly.</t>
  </si>
  <si>
    <t>A man in red and yellow spins fast on the pommel.</t>
  </si>
  <si>
    <t>We see a man dismount the pommel and throw his arms in the air.</t>
  </si>
  <si>
    <t>We then see the closing scenes.</t>
  </si>
  <si>
    <t>v_ZO8ValsY3rE</t>
  </si>
  <si>
    <t>A woman holds a box with UV light to light the handle of the refrigerator, her hand, the microwave oven and utensils.</t>
  </si>
  <si>
    <t>Then, the woman wash and dry her hands and light a hand with the UV light.</t>
  </si>
  <si>
    <t>After, the woman takes off her ring and wash and wash her hands with soap and rinse with water.</t>
  </si>
  <si>
    <t>v_Yjkz62cLVdQ</t>
  </si>
  <si>
    <t>A man holds clips against a bracket placed on a wooden desk.</t>
  </si>
  <si>
    <t>He welds the metal bracket.</t>
  </si>
  <si>
    <t>The man finishes welding and picks up a stick from the wooden desk.</t>
  </si>
  <si>
    <t>v_YVbMt3qsB3o</t>
  </si>
  <si>
    <t>A chubby man is standing outside in a field and throws a yellow medicine ball demonstrating exercising to strengthen athletes for shot put.</t>
  </si>
  <si>
    <t>The man is then pictured in a gym doing reps with the bar and then begins throwing a ball up against the tree.</t>
  </si>
  <si>
    <t>Another boy then begins throwing a bag of sand before the previous man comes back and starts using elliptical machines.</t>
  </si>
  <si>
    <t>Once finished,he returns back to a field and begins pulling the chain across the field and throwing kettle balls.</t>
  </si>
  <si>
    <t>v_KiE-fFIz5ic</t>
  </si>
  <si>
    <t>A man in a hat is standing outside talking.</t>
  </si>
  <si>
    <t>People are practicing pole vaulting on a blue mat.</t>
  </si>
  <si>
    <t>A person is jumping over hurdles on a track.</t>
  </si>
  <si>
    <t>People are laying on a blue mat stretching.</t>
  </si>
  <si>
    <t>v_WJwLjPDvLrY</t>
  </si>
  <si>
    <t>A group is on the beach, playing volleyball.</t>
  </si>
  <si>
    <t>The crowd cheers them on as they continue the competition.</t>
  </si>
  <si>
    <t>v_PiDMuIRtgZo</t>
  </si>
  <si>
    <t>We see men playing hockey in an ice rink.</t>
  </si>
  <si>
    <t>A player in blue goes behind the goal close to the camera.</t>
  </si>
  <si>
    <t>The hockey puck slips past the goalie and into the goal net.</t>
  </si>
  <si>
    <t>The goalie gets up off the ground.</t>
  </si>
  <si>
    <t>v_-lJS58hyo1c</t>
  </si>
  <si>
    <t>A lady walks to a barbell.</t>
  </si>
  <si>
    <t>She bends down and grabs the pole.</t>
  </si>
  <si>
    <t>The lady stands and lifts the weight over her head.</t>
  </si>
  <si>
    <t>The lady drops the barbell and smiles.</t>
  </si>
  <si>
    <t>v_KpoH4pBp9fg</t>
  </si>
  <si>
    <t>a woman is standing inside a dark kitchen, talking.</t>
  </si>
  <si>
    <t>She shows a cake cooling on a metal rack.</t>
  </si>
  <si>
    <t>She demonstrates how to mix the ingredients in a mixer, then bake the cake.</t>
  </si>
  <si>
    <t>When it is done, she turns it onto the rack to cool.</t>
  </si>
  <si>
    <t>v_n04zQqQI3wQ</t>
  </si>
  <si>
    <t>woman is with two kids in snow in a open land and they are on a inflatable sliding down a mountain.</t>
  </si>
  <si>
    <t>kids walks with the inflatable on their hands through the field and run to the mountain again.</t>
  </si>
  <si>
    <t>v_ciS5DtShxA8</t>
  </si>
  <si>
    <t>A young boy has on a black and white soccer jersey and is sitting down on the floor next to a bed and begins putting on a long black soccer sock.</t>
  </si>
  <si>
    <t>The young boy then reaches for his shin guard and puts it over his right leg and then folds his sock down over it.</t>
  </si>
  <si>
    <t>Once that is finished,he reaches over for his other sock and begins to do the same thing on the left leg.</t>
  </si>
  <si>
    <t>Finally,he moves to his cleats and grabs a pair of orange Adidas soccer cleats and ties them up.</t>
  </si>
  <si>
    <t>Everything is completed and the child sits criss-cross and begins talking to the camera.</t>
  </si>
  <si>
    <t>v_BpiExjaNwvI</t>
  </si>
  <si>
    <t>A close up zooms in on a screen.</t>
  </si>
  <si>
    <t>Several adults and kids are outdoors.</t>
  </si>
  <si>
    <t>The kids are riding dirt bikes in a competition.</t>
  </si>
  <si>
    <t>They are shown racing around a course and over hills and taking sharp turns.</t>
  </si>
  <si>
    <t>A boy on a bike stops at the camera, looking intently.</t>
  </si>
  <si>
    <t>v_cHHVpBYfwdU</t>
  </si>
  <si>
    <t>A man leans over the camera he has placed on a dog.</t>
  </si>
  <si>
    <t>The dog runs through different rooms of the house, then to the door and outside.</t>
  </si>
  <si>
    <t>They go for a walk outside with the people and other dogs.</t>
  </si>
  <si>
    <t>He returns home, and looks in his water bowl.</t>
  </si>
  <si>
    <t>v_VN-BUL75x5Y</t>
  </si>
  <si>
    <t>A woman sitting on the floor talks to the camera while petting a dog.</t>
  </si>
  <si>
    <t>The woman holds up some sort of tool while talking to the camera.</t>
  </si>
  <si>
    <t>The woman uses the tool to brush the dog while talking.</t>
  </si>
  <si>
    <t>The woman sets down the tool and pets the dog while talking to the camera.</t>
  </si>
  <si>
    <t>The woman talks to the camera about the tool.</t>
  </si>
  <si>
    <t>The dog and women get up from the ground.</t>
  </si>
  <si>
    <t>A sped up process of drawing an owl emblem is shown.</t>
  </si>
  <si>
    <t>v_M1dEZrQWeRY</t>
  </si>
  <si>
    <t>A skier uses a wind drone to propel him across a flat slope.</t>
  </si>
  <si>
    <t>The skier uses the wind drone to do a few passes on a flat area of a ski resort.</t>
  </si>
  <si>
    <t>The camera pans across the ski area and views of the surrounding mountains.</t>
  </si>
  <si>
    <t>The skier does a pass by on a large flat area going very fast.</t>
  </si>
  <si>
    <t>v_qJfhu80Ldgo</t>
  </si>
  <si>
    <t>A man squats down and lifts a bar of weights in a gym.</t>
  </si>
  <si>
    <t>He throws the bar down and it crashes into the floor and takes a deep breath.</t>
  </si>
  <si>
    <t>v_5T7vTuJmYeQ</t>
  </si>
  <si>
    <t>A child swings on monkey bars.</t>
  </si>
  <si>
    <t>The child dismounts from the monkey bars.</t>
  </si>
  <si>
    <t>The child walks towards the camera.</t>
  </si>
  <si>
    <t>v_k3nRbFeancA</t>
  </si>
  <si>
    <t>The video shows various clips of sumo wrestlers fighting in a ring while a referee and audience looks on.</t>
  </si>
  <si>
    <t>In the first clip, a much bigger wrestler wrestles a smaller man who ends up winning.</t>
  </si>
  <si>
    <t>The video continues with several other clips of wrestlers and how each wrestler wins the round.</t>
  </si>
  <si>
    <t>The video ends with a comedy commercial where a smaller sumo wrestler crawls under another very large one, and ends up stuck in his sumo outfit.</t>
  </si>
  <si>
    <t>v_QsRW8dj-F7M</t>
  </si>
  <si>
    <t>A mascot is seen running around a field as the camera pans around a large audience.</t>
  </si>
  <si>
    <t>Several mascots are seen holing sticks on a field walking around one another and leads into them chasing a ball.</t>
  </si>
  <si>
    <t>The group continues running around the field as the mascots continue to chase the ball one after the other.</t>
  </si>
  <si>
    <t>v_W5cGKWhOTOU</t>
  </si>
  <si>
    <t>There are 3 people at a store in a shoe section and there are two people on the ground trying on boots.</t>
  </si>
  <si>
    <t>The man on the ground removes his pink boot, throws it on the side and stands up smiling.</t>
  </si>
  <si>
    <t>The girl grabs his pink boot, tries it on her right foot and sits there modeling it while talking to the people around her.</t>
  </si>
  <si>
    <t>The girl then grabs the left boot, removes the stuff in it, tries it on and stands up to model them.</t>
  </si>
  <si>
    <t>The girl stands next to the guy and they smile, she gives a thumbs up and he hugs her from behind.</t>
  </si>
  <si>
    <t>v_wLcpMJv83XY</t>
  </si>
  <si>
    <t>A still image of a man dressed in an Under Armour shirt and a pair of slacks is standing in one spot in a bowling alley.</t>
  </si>
  <si>
    <t>The man finally moves and throws the ball down the Alley.</t>
  </si>
  <si>
    <t>After,an instant replay is shown of the video being chopped and screwed with a circle highlighting the ball before it is thrown down the lane.</t>
  </si>
  <si>
    <t>v_-3Ss9jSRbKk</t>
  </si>
  <si>
    <t>A woman demonstrates how to do sit ups, in a gym room, using a woman who is simulating the exercise as an example.</t>
  </si>
  <si>
    <t>A woman kneels on the hardwood floors of a gym room and talks to the camera.</t>
  </si>
  <si>
    <t>The camera pans out and another woman is revealed lying on her back on a gym mat as the woman kneeling above her continues to talk.</t>
  </si>
  <si>
    <t>The woman lying down demonstrates how to do a sit up and the other woman continues to talk at times touching the other woman's stomach.</t>
  </si>
  <si>
    <t>v_iFwmJi-I5sg</t>
  </si>
  <si>
    <t>A person is seen standing in the middle of a circle throwing a discuss off into the distance.</t>
  </si>
  <si>
    <t>The man walks back several times and is shown continuing to throw the object.</t>
  </si>
  <si>
    <t>The man continues to spin around while throwing the object off into the distance.</t>
  </si>
  <si>
    <t>v_FayB7ZswnAw</t>
  </si>
  <si>
    <t>two men are standing in a court room playing squash.</t>
  </si>
  <si>
    <t>man is wearing white shirt standing in a court room.</t>
  </si>
  <si>
    <t>men are standing in a court room behind transparent doors.</t>
  </si>
  <si>
    <t>v_ZZImcxqa1_w</t>
  </si>
  <si>
    <t>A little boy is standing outside on the sidewalk he has his arms behind his back holding something.</t>
  </si>
  <si>
    <t>Then out of nowhere is starts to spin the thing in his hand, it looks really dangerous.</t>
  </si>
  <si>
    <t>He starts to turn along with it when he catches a lot of speed.</t>
  </si>
  <si>
    <t>Then he suddenly loses control of it and he ends up falling to the ground.</t>
  </si>
  <si>
    <t>v_bDkSq9T55RI</t>
  </si>
  <si>
    <t>A man wearing a red shirt is decorating a Christmas tree.</t>
  </si>
  <si>
    <t>He is using white lights to wrap the tree around to decorate it.</t>
  </si>
  <si>
    <t>He goes around the tree several times.</t>
  </si>
  <si>
    <t>Then he takes a gold colored garland and wraps the tree.</t>
  </si>
  <si>
    <t>Then he turns the lights on to light up the tree.</t>
  </si>
  <si>
    <t>He then stands besides the tree, pointing to it after the lights turn on.</t>
  </si>
  <si>
    <t>v_nXD-q814KjI</t>
  </si>
  <si>
    <t>A man uses a hose to spray something vertically on a wooden wall.</t>
  </si>
  <si>
    <t>The man changes to spraying horizontally on the wall.</t>
  </si>
  <si>
    <t>The man manipulates the tip of the spray nozzle.</t>
  </si>
  <si>
    <t>v_AA46-AbEGdk</t>
  </si>
  <si>
    <t>There's a girl gymnast dressed in shiny blue leotards performing gymnastics on a horse bar in front of many spectators in a large gymnasium.</t>
  </si>
  <si>
    <t>She gets on the horse bar and begins to do front flips and back flips.</t>
  </si>
  <si>
    <t>Then she does twisted backs flip while landing securely back on the horse bar.</t>
  </si>
  <si>
    <t>She continues her gymnastic moves and then securely jumps off the horse bar and lands on the ground.</t>
  </si>
  <si>
    <t>After she gets off the bar, she goes and hugs her coach.</t>
  </si>
  <si>
    <t>Slow motion actions of her gymnastic moves are replayed to show how she landed back on the ground from the horse bar.</t>
  </si>
  <si>
    <t>Then the gymnast walks past the where the panel of judges are seated.</t>
  </si>
  <si>
    <t>v_NVNUT5iwLtw</t>
  </si>
  <si>
    <t>A woman is seen sitting on a rock and grabbing laundry out of a bucket.</t>
  </si>
  <si>
    <t>She then rubs down the clothes with a rag while smiling to the camera.</t>
  </si>
  <si>
    <t>She continues cleaning the cloth by hitting it on cement and washing it down with water.</t>
  </si>
  <si>
    <t>v_p8tlnMtsTf8</t>
  </si>
  <si>
    <t>A helicopter is seen driving over an ocean where people are seen surfing.</t>
  </si>
  <si>
    <t>Several shots are shown of people riding along the water and others sitting.</t>
  </si>
  <si>
    <t>The people continue riding along the water while the helicopter rides around.</t>
  </si>
  <si>
    <t>v_M9uQCTr2-r0</t>
  </si>
  <si>
    <t>Young boys are shown playing ping pong with one another in a large gymnasium serving one after the other.</t>
  </si>
  <si>
    <t>Another boy walks up to the table and starts playing with the other boys, which then turns into a two versus two game of Ping Pong.</t>
  </si>
  <si>
    <t>The boys take turns serving back and forth scoring points at random.</t>
  </si>
  <si>
    <t>The boy that was first shown is playing a third game now that is being kept score of by an official and scores the first 4 points.</t>
  </si>
  <si>
    <t>The boy is playing yet another tournament with a different child in Ping Pong and seems to possibly be falling behind a little in points.</t>
  </si>
  <si>
    <t>v_aQQr1ad0v1I</t>
  </si>
  <si>
    <t>A man is showing off his motorbike.</t>
  </si>
  <si>
    <t>He gives a small talk about his bike first.</t>
  </si>
  <si>
    <t>Then he drives his bike on the track.</t>
  </si>
  <si>
    <t>He then does quick demonstrations on how his bike moves and how it sits.</t>
  </si>
  <si>
    <t>He then talks more about his bike while sitting on his bike.</t>
  </si>
  <si>
    <t>He then drives around a flat dirt track while cutting a few times to his talks describing his techniques.</t>
  </si>
  <si>
    <t>He ends by talking about his bike some more.</t>
  </si>
  <si>
    <t>v_Ye3u6ujLEl0</t>
  </si>
  <si>
    <t>A swimmer puts on a pair of goggles getting ready.</t>
  </si>
  <si>
    <t>The swimmer pulls a muscle in the pool and jumps up onto the pool deck and stretches out his leg.</t>
  </si>
  <si>
    <t>A swimmer dives off from a board into the water with a splash.</t>
  </si>
  <si>
    <t>The athlete swims in a lane and pulls himself along with the float line.</t>
  </si>
  <si>
    <t>The swimmer swims underwater and pushes off the pool floor.</t>
  </si>
  <si>
    <t>The swimmer does a butterfly stroke in the pool lane.</t>
  </si>
  <si>
    <t>v_V1ntLwOfkyE</t>
  </si>
  <si>
    <t>A gymnast jumps onto a pummel horse.</t>
  </si>
  <si>
    <t>The gymnast performs many spins around the horse as he holds onto the two bars on the pummel horse.</t>
  </si>
  <si>
    <t>A couple of judges look on.</t>
  </si>
  <si>
    <t>The gymnast jumps off the pummel horse.</t>
  </si>
  <si>
    <t>v_hkpYSfc5Ewc</t>
  </si>
  <si>
    <t>A gymnast is seen jumping onto a set of uneven bars and performs a gymnastics routine in front of a large crowd.</t>
  </si>
  <si>
    <t>The man flips around the beams and ends with him jumping down with his arms up and waving to the crowd.</t>
  </si>
  <si>
    <t>v_Xag8E74bkpw</t>
  </si>
  <si>
    <t>A woman wearing a hat is seen sitting behind a large set of bongo drums.</t>
  </si>
  <si>
    <t>The woman plays on the drums continuously.</t>
  </si>
  <si>
    <t>The woman continues hitting the drums and ends by pointing to the camera and standing up.</t>
  </si>
  <si>
    <t>v_UOkpGU7NAag</t>
  </si>
  <si>
    <t>A girl is going across a set of monkey bars.</t>
  </si>
  <si>
    <t>She gets to the end and stands on a wooden plank.</t>
  </si>
  <si>
    <t>She then goes back across the monkey bars in the other direction.</t>
  </si>
  <si>
    <t>She goes to another part of the playground and jumps up and down.</t>
  </si>
  <si>
    <t>v_b-ex8bAnl5U</t>
  </si>
  <si>
    <t>man is in front of an automaic cashier and take some money of it, and go talk with some men in a room full of people.</t>
  </si>
  <si>
    <t>men are sittig in a blackjack table and are gambling in a casino and talking to each other while people is looking the game and walking around the table.</t>
  </si>
  <si>
    <t>dealing is spreading the cards and men fire up a tobacco.</t>
  </si>
  <si>
    <t>v_Jb8YAhQ6EMk</t>
  </si>
  <si>
    <t>A woman washes a pot with soapy water while standing with her back to the camera at the kitchen sink.</t>
  </si>
  <si>
    <t>The woman turns and talks to the camera while washing the pot and smiles a bit as the camera shakily catches the activity.</t>
  </si>
  <si>
    <t>The woman rinses the pot off and then turns and holds it up in the air, dripping water, making a scary face, as if she is going to attack the camera man with it, but then turns away from the camera man and toward the sink counter.</t>
  </si>
  <si>
    <t>v_csxC5H5uDb4</t>
  </si>
  <si>
    <t>Two individuals are in room painting and doing redecorating.</t>
  </si>
  <si>
    <t>Two men alternate going up and down on a ladder putting paste on the wall for the wall paper.</t>
  </si>
  <si>
    <t>These actions continue to take place until the whole wall is covered in white wall paper with large blue flowers on them as a girl sits down behind a row of books.</t>
  </si>
  <si>
    <t>v_02yDi9BaDO8</t>
  </si>
  <si>
    <t>A woman in a red shirt is standing in a room.</t>
  </si>
  <si>
    <t>She starts working out on a blue mat.</t>
  </si>
  <si>
    <t>She stops and talks to the camera.</t>
  </si>
  <si>
    <t>v_wBv1tu74S2E</t>
  </si>
  <si>
    <t>A gymnast stretches out and climbs onto a set of parallel double bars.</t>
  </si>
  <si>
    <t>The gymnast does a routine in a competition on the double bars with flips and turns.</t>
  </si>
  <si>
    <t>The gymnast dismounts from the equipment and lands on the mat.</t>
  </si>
  <si>
    <t>v_hxQhQsl-N1k</t>
  </si>
  <si>
    <t>A guy is half kneeing on a gym floor.</t>
  </si>
  <si>
    <t>The guy starts pressing a weight in one hand.</t>
  </si>
  <si>
    <t>v_MYRsm8m9mk4</t>
  </si>
  <si>
    <t>There are several men playing tug of war on a sandy ground that is surrounded by mountains.</t>
  </si>
  <si>
    <t>They continue pulling the rope with force.</t>
  </si>
  <si>
    <t>Several spectators are watching them and cheering them as they continue to play.</t>
  </si>
  <si>
    <t>The players continue to pull the rope with concentration.</t>
  </si>
  <si>
    <t>Finally the victorious team raises their hands up and cheer and dance around in a circle.</t>
  </si>
  <si>
    <t>v_NdFbQ0l3R9k</t>
  </si>
  <si>
    <t>A young preteen female is standing in the corner of a room talking.</t>
  </si>
  <si>
    <t>The girl is then shown in a sparkly leotard inside of a gymnasium.</t>
  </si>
  <si>
    <t>After,she hops on the balance beam and begins to do tricks before she flips off of the balance beam.</t>
  </si>
  <si>
    <t>She then retreats back to the camera,says a few brief words and waves bye.</t>
  </si>
  <si>
    <t>v_mbGDPga031E</t>
  </si>
  <si>
    <t>People play shuffleboard indoors and outdoors.</t>
  </si>
  <si>
    <t>A person observes when people plays shuffleboard in the street.</t>
  </si>
  <si>
    <t>A couple of old people play outdoor.</t>
  </si>
  <si>
    <t>Other people play shuffleboard pushing the balls in the triangle.</t>
  </si>
  <si>
    <t>v_T-rV3KKFOgg</t>
  </si>
  <si>
    <t>A man demonstrates how to wash the underbody of a car.</t>
  </si>
  <si>
    <t>A car is shown going through a commercial wash.</t>
  </si>
  <si>
    <t>They advertise their expertise in washing cars.</t>
  </si>
  <si>
    <t>v_K-PpTJmmjhA</t>
  </si>
  <si>
    <t>An old woman talks in a costume shop.</t>
  </si>
  <si>
    <t>Then she puts a garment on the iron board, sprays water and iron the collar.</t>
  </si>
  <si>
    <t>After, the woman irons the sleeves of the garment and the body part.</t>
  </si>
  <si>
    <t>Next, the woman shows the ironed garment.</t>
  </si>
  <si>
    <t>v_I_6Ok72DnJA</t>
  </si>
  <si>
    <t>A man is hanging wallpaper on a wall.</t>
  </si>
  <si>
    <t>He peels the sticky side from the backing paper.</t>
  </si>
  <si>
    <t>He is now applying the sticky side of the paper to the wall.</t>
  </si>
  <si>
    <t>He repeats this several more times on different parts of the wall.</t>
  </si>
  <si>
    <t>v_GoVqtUSnshE</t>
  </si>
  <si>
    <t>A news woman is speaking from a news room.</t>
  </si>
  <si>
    <t>Then we see breaking news videos on the screen.</t>
  </si>
  <si>
    <t>A woman is shown drinking some kind of fluid on a dare, and the women take turns drinking the liquid.</t>
  </si>
  <si>
    <t>v_cHdZ_dBVgDE</t>
  </si>
  <si>
    <t>A man and a woman dressed in black and red stand in the middle of a room surrounded by a very large amount of people sitting and watching them.</t>
  </si>
  <si>
    <t>They dance and dance working very well together.</t>
  </si>
  <si>
    <t>They twist and turn and even do all kinds of nice moves together.</t>
  </si>
  <si>
    <t>The man bends down and swings the female across his back where she flips over and ends the dance.</t>
  </si>
  <si>
    <t>v_hGUUlFxygmw</t>
  </si>
  <si>
    <t>A girl is sitting talking the the camera.</t>
  </si>
  <si>
    <t>The girl points the camera to the ground.</t>
  </si>
  <si>
    <t>A half manicure hand of another girl is seen on the floor.</t>
  </si>
  <si>
    <t>The first girl proceeds to polish the second girl's fingernails.</t>
  </si>
  <si>
    <t>v_WvpiEwrWmWE</t>
  </si>
  <si>
    <t>A cheerleader perform graciously using a rod that spins in her right hand.</t>
  </si>
  <si>
    <t>Then, she takes another rod to perform and spins at the same time the rods.</t>
  </si>
  <si>
    <t>After, the cheerleader put one rod on the floor and continue performing only with one rod.</t>
  </si>
  <si>
    <t>v_Fk0z6MeCV0I</t>
  </si>
  <si>
    <t>A class of kids are at outside at school dressed in uniforms with their teacher standing next to them.</t>
  </si>
  <si>
    <t>As they are in line,one girl is in the middle of a game of hop scotch,turns around,finishes and gets back in line.</t>
  </si>
  <si>
    <t>Once she is finishes,all of the other kids takes their turn one by one.</t>
  </si>
  <si>
    <t>v_YmGXXV6ztUo</t>
  </si>
  <si>
    <t>An Asian man wearing glasses, a green shirt with yellow stripes is sitting down talking in a room.</t>
  </si>
  <si>
    <t>Still shot pictures of a book appear, and the man appears talking again, and then more black text on a white screen shows up.</t>
  </si>
  <si>
    <t>The man appears again but this time he's outdoors and he's holding a very large archery and is showing the right and the wrong way to draw his string back.</t>
  </si>
  <si>
    <t>The man then moves a plant and stands so that he's standing in between two of them on the ground and he begins holding his archery, and showing different ways to hold it.</t>
  </si>
  <si>
    <t>The man appears again back indoors and sitting down talking.</t>
  </si>
  <si>
    <t>v_8l7SuE4_lCk</t>
  </si>
  <si>
    <t>A young man is seen looking into the camera holding a toothbrush.</t>
  </si>
  <si>
    <t>The man then begins brushing his teeth in several shots.</t>
  </si>
  <si>
    <t>He continues brushing his teeth and showing off his mouth in the end.</t>
  </si>
  <si>
    <t>v_CYj2ltxPNDo</t>
  </si>
  <si>
    <t>An athlete stands eagerly awaiting his turn while the judges prepare for his routine.</t>
  </si>
  <si>
    <t>A foreign commentator comments on his routine while he flips himself through the air.</t>
  </si>
  <si>
    <t>The man continues twirling and flipping on the bars for his gymnastic routine while audience members cheer loudly.</t>
  </si>
  <si>
    <t>The video slows down and shows the highlights of the routine in slow motion.</t>
  </si>
  <si>
    <t>The athlete rests on the couch while the judges finish their critiques.</t>
  </si>
  <si>
    <t>Eventually the man hears his score and smiles pleasingly.</t>
  </si>
  <si>
    <t>v_E1b_DF716Q4</t>
  </si>
  <si>
    <t>A young girl is seen sitting in front of the camera with several objects being held in front of her face.</t>
  </si>
  <si>
    <t>Two hand pulls a tube through next to her and the woman then puts the tubes in the girl's hair.</t>
  </si>
  <si>
    <t>In the end the woman takes the tubes out and the girl continues to look at the camera.</t>
  </si>
  <si>
    <t>v_ucR3VztMyeE</t>
  </si>
  <si>
    <t>A girl starts to climb the monkey bars.</t>
  </si>
  <si>
    <t>She starts climbing forward to the end.</t>
  </si>
  <si>
    <t>She has difficulties in the middle of the bars.</t>
  </si>
  <si>
    <t>A woman appears looking to help.</t>
  </si>
  <si>
    <t>She finishes the climb very happy.</t>
  </si>
  <si>
    <t>v_7hRls13HJow</t>
  </si>
  <si>
    <t>A person is filming a house and a dog walking into frame.</t>
  </si>
  <si>
    <t>A small girl is washing the floor with a mop and talking to the camera man.</t>
  </si>
  <si>
    <t>The camera man talks to the girl about cleaning and why she likes it.</t>
  </si>
  <si>
    <t>The girl finishes washing the floor.</t>
  </si>
  <si>
    <t>v_Ax8GCogz6Yg</t>
  </si>
  <si>
    <t>An introduction comes onto the screen for a video about a jump rope competition.</t>
  </si>
  <si>
    <t>One person is shown doing a set of jump rope tricks.</t>
  </si>
  <si>
    <t>Two people are then shown doing more jump rope tricks.</t>
  </si>
  <si>
    <t>Next, four people are shown doing jump rope tricks in the gymnasium.</t>
  </si>
  <si>
    <t>Next a variety of tricks are being shown done by several different people on the floor in the gymnasium.</t>
  </si>
  <si>
    <t>The video then ends with the closing credits.</t>
  </si>
  <si>
    <t>v_ANuV_fDgI54</t>
  </si>
  <si>
    <t>We see a red opening screen.</t>
  </si>
  <si>
    <t>Men pole vault in an outdoor field.</t>
  </si>
  <si>
    <t>A mans's face on the left of the screen moves back and out of the shot.</t>
  </si>
  <si>
    <t>The camera angle changes and we continue to watch the men pole vault.</t>
  </si>
  <si>
    <t>v_dzsSiqXxfpw</t>
  </si>
  <si>
    <t>A man is seen lecturing a crowd while holding several green Frisbees in his hand.</t>
  </si>
  <si>
    <t>After talking to the crowd he calls out and a dog runs out on the stage to him.</t>
  </si>
  <si>
    <t>Initially he starts to play with the dog and the dog kept trying to grab the mans frisbees,than the man throws the Frisbees on the ground and starts to play fetch with the dog.</t>
  </si>
  <si>
    <t>At one point the dog starts to jump off the mans back as he chases after Frisbees.</t>
  </si>
  <si>
    <t>Also at another point the man grabs on to a Frisbee at one end and a dog at the other end and he starts to spin the dog around.</t>
  </si>
  <si>
    <t>In the end the man performs a trick with the dog and makes him do a back flip and grabs him and takes him off the stage .</t>
  </si>
  <si>
    <t>v_-uICMT1yOcM</t>
  </si>
  <si>
    <t>A baby is sitting in a high chair.</t>
  </si>
  <si>
    <t>An ice cream pop goes into her mouth, and she chews a bite from it.</t>
  </si>
  <si>
    <t>She sticks out her tongue after every bite, licking at the air.</t>
  </si>
  <si>
    <t>v_FI_1dsErIXE</t>
  </si>
  <si>
    <t>A man holds a yellow canister as he clears a wood board.</t>
  </si>
  <si>
    <t>He sprays the wood with the yellow canister.</t>
  </si>
  <si>
    <t>He takes a rag and cleans the wood.</t>
  </si>
  <si>
    <t>He speaks as he showcases the wood and presses his fingers on the board.</t>
  </si>
  <si>
    <t>v_c6Cbq-WNq9M</t>
  </si>
  <si>
    <t>The exterior of a building is shown, including a waving American flag near the front door.</t>
  </si>
  <si>
    <t>A man appears and talks about a tree near the front of the building.</t>
  </si>
  <si>
    <t>He then demonstrates how to trim the tree, picking off branches at eye level and using a tool for taller branches.</t>
  </si>
  <si>
    <t>The company hat is then shown on the step, surrounded by leaves.</t>
  </si>
  <si>
    <t>v_mb2fWzNSob0</t>
  </si>
  <si>
    <t>At the center of sandy field, has the cows fighting at the center, while the audience are watching on the sides, sitting on the ground.</t>
  </si>
  <si>
    <t>Three men are supervising the bullfighting, the bull push each other with their horns.</t>
  </si>
  <si>
    <t>A man got off from his truck, the other man pulled the bull off of his truck, the bull are tied on a poles.</t>
  </si>
  <si>
    <t>Two men are holding each end of the rope as the black bull stumped on the ground.</t>
  </si>
  <si>
    <t>The bulls are fighting at the center of the field, and the people are watching, one bull ran towards the audience.</t>
  </si>
  <si>
    <t>v_80spFFIdnC4</t>
  </si>
  <si>
    <t>A view of a wide ocean taken from a boat appears and various men are shown doing different things on the boat on both the inside and the outside and include steering the wheel up deck, or sitting at computers monitoring things.</t>
  </si>
  <si>
    <t>A man sitting on the deck of the boat is talking to the camera while a man behind him is standing and the man beside that standing man is controlling the steering wheel of the boat.</t>
  </si>
  <si>
    <t>The focus change to another man on the boat and he is talking to the camera as well.</t>
  </si>
  <si>
    <t>v_2OEc8kPVn_Y</t>
  </si>
  <si>
    <t>An Asian woman is standing outside in a large field wearing a pink loose linen like outfit.</t>
  </si>
  <si>
    <t>She then puts her legs and hands out and begins to move like a ninja throughout the field.</t>
  </si>
  <si>
    <t>After she has moved left and right across the field,she then comes back to the middle of the field and stands still to complete her routine.</t>
  </si>
  <si>
    <t>v_kRBqJhxfWHc</t>
  </si>
  <si>
    <t>A woman in an orange shirt is drinking a glass of beer.</t>
  </si>
  <si>
    <t>The beer is pouring down the front of her shirt.</t>
  </si>
  <si>
    <t>People behind her are dancing.</t>
  </si>
  <si>
    <t>She finishes the drink and sets it down.</t>
  </si>
  <si>
    <t>v_4ZyPBOe4P0U</t>
  </si>
  <si>
    <t>A man in a tan shirt is talking.</t>
  </si>
  <si>
    <t>He sets his tennis racket down on the ground.</t>
  </si>
  <si>
    <t>Another man runs around on a tennis court.</t>
  </si>
  <si>
    <t>v_bH7ORYDcI7A</t>
  </si>
  <si>
    <t>A black and white dog is standing near the main door of a house as he listens to the sound of helicopter.</t>
  </si>
  <si>
    <t>Then main door then opens and the dog steps back.</t>
  </si>
  <si>
    <t>There are two dog trainers in an enclosed room training a dog to jump and catch several Frisbee.</t>
  </si>
  <si>
    <t>the male trainer throws the Frisbee at the dog and the dog jumps and fetches it for him.</t>
  </si>
  <si>
    <t>The trainer continuously throws the Frisbee and dog jumps high up and grabs the Frisbee every time.</t>
  </si>
  <si>
    <t>There are several different trainers shown training and teaching their dogs tricks.</t>
  </si>
  <si>
    <t>v_rScqKu8Mwhk</t>
  </si>
  <si>
    <t>An introduction for a vacuum demo is shown on the screen.</t>
  </si>
  <si>
    <t>The video shows the vacuum being tested against several different challenges by a boy and his father.</t>
  </si>
  <si>
    <t>The video ends with a screen showing the logo for the vacuum company.</t>
  </si>
  <si>
    <t>v_7VbXyfF3kEw</t>
  </si>
  <si>
    <t>Two women wearing matching outfits are on their microphones and kind of half watching a boy play with a rubix cube.</t>
  </si>
  <si>
    <t>The boy is solving the cube pretty quickly the girl seems pretty shocked.</t>
  </si>
  <si>
    <t>Then a group of people start trying to a puzzle to see who is the fastest.</t>
  </si>
  <si>
    <t>Another boy in a blue shirt come up and starts to solve it and when he does the girls give hime a prize.</t>
  </si>
  <si>
    <t>v_7lwrP2ma2TU</t>
  </si>
  <si>
    <t>A person observes an old samurai temple.</t>
  </si>
  <si>
    <t>A man holds an arch and shoots arrows, while men sit on the road sorts arrows.</t>
  </si>
  <si>
    <t>Three small boards are fix on the ground, suddenly and arrow hits one board.</t>
  </si>
  <si>
    <t>People gather on a road, then a old man gives a white box to a man dressed in white clothes.</t>
  </si>
  <si>
    <t>v_gi0wjdtxaC4</t>
  </si>
  <si>
    <t>A boy does cartwheels and back hand springs on the grass as a friend watches and records.</t>
  </si>
  <si>
    <t>He stops for a moment and takes a break then continues to do more flips.</t>
  </si>
  <si>
    <t>Another guy comes onto the screen and attempts to do some flips on the grass.</t>
  </si>
  <si>
    <t>v_ru4NMIVZqrg</t>
  </si>
  <si>
    <t>A girl walks out of a room and down a hall.</t>
  </si>
  <si>
    <t>She puts down her duffel bag before lying down on a table.</t>
  </si>
  <si>
    <t>Someone hands her a cup and she drinks it, then they work on tattooing her tongue.</t>
  </si>
  <si>
    <t>A rod is inserted into her tonue and clipped, creating a piercing.</t>
  </si>
  <si>
    <t>She sticks out her tongue at the camera, showing off her piercing.</t>
  </si>
  <si>
    <t>v_r09mVf2dQnk</t>
  </si>
  <si>
    <t>A custodian sprays the counter of a sink with a spray bottle.</t>
  </si>
  <si>
    <t>The worker uses a brush to clean out the sink.</t>
  </si>
  <si>
    <t>The worker uses a hand towel to clean out the liquid in the sink.</t>
  </si>
  <si>
    <t>v_xww6n1FoJIM</t>
  </si>
  <si>
    <t>A man is talking about what is going on in the TV behind him as a news story.</t>
  </si>
  <si>
    <t>A group of people are in the field playing a game running all around.</t>
  </si>
  <si>
    <t>Many of the players are able to have a chance to speak about the team and stuff.</t>
  </si>
  <si>
    <t>They show the practice and the players and then they go back to the news anchors who continue to talk a little bit more about it.</t>
  </si>
  <si>
    <t>v_8TqqLqBb3sk</t>
  </si>
  <si>
    <t>A woman is standing in a kitchen while talking.</t>
  </si>
  <si>
    <t>She shows a bag, pushing on it with her fist.</t>
  </si>
  <si>
    <t>She closes it up, and shows how it stays in shape.</t>
  </si>
  <si>
    <t>v__cU5aISTDBo</t>
  </si>
  <si>
    <t>A man picks up a long pole and starts running down a track.</t>
  </si>
  <si>
    <t>He jumps over a high bar and lands on a mat.</t>
  </si>
  <si>
    <t>v_ij87GXkcdho</t>
  </si>
  <si>
    <t>Several people are seen riding on exercise equipment while speaking to the camera.</t>
  </si>
  <si>
    <t>A man is seen speaking to the camera while more shots of the equipment are shown.</t>
  </si>
  <si>
    <t>People move all around the machine and lead with the man speaking more and showing how to adjust the machine.</t>
  </si>
  <si>
    <t>v_3FUVKpQA6IY</t>
  </si>
  <si>
    <t>Some people are playing beer bong having a good time, the man throws fist and he makes it into the girls cup.</t>
  </si>
  <si>
    <t>She drinks her drink and then wets her ball in water before throwing her ball.</t>
  </si>
  <si>
    <t>Then, she takes a seat and the other guy takes his turn.</t>
  </si>
  <si>
    <t>Then it's the girl on the other teams turn, they keep taking their turns and drinking away, having a good time.</t>
  </si>
  <si>
    <t>v_IytPbGtfo14</t>
  </si>
  <si>
    <t>We see a lady behind a bar talking.</t>
  </si>
  <si>
    <t>The lady pours ice in glass.</t>
  </si>
  <si>
    <t>The lady pours three shots of liquor into a cup.</t>
  </si>
  <si>
    <t>The lady pours other stuff in and shakes it.</t>
  </si>
  <si>
    <t>The lady pours the pours the drink into a glass.</t>
  </si>
  <si>
    <t>The lady adds some red stuff.</t>
  </si>
  <si>
    <t>The lady holds the glass and smiles.</t>
  </si>
  <si>
    <t>v_hiz0rH1bO7k</t>
  </si>
  <si>
    <t>kids are playing hurling in a large green field.</t>
  </si>
  <si>
    <t>kids are sanding al in front of the goal to make a free shot.</t>
  </si>
  <si>
    <t>kids are posing for a picture in the green field.</t>
  </si>
  <si>
    <t>v_J7LhH4IKvnM</t>
  </si>
  <si>
    <t>A large dog is standing in a bath tub.</t>
  </si>
  <si>
    <t>A woman in a pink shirt is scrubbing the dog with soap.</t>
  </si>
  <si>
    <t>She then starts washing the dog with a hose.</t>
  </si>
  <si>
    <t>v_bW5HfDWUP3U</t>
  </si>
  <si>
    <t>A woman is sitting on the floor with her shoes off.</t>
  </si>
  <si>
    <t>The woman puts one shoe on.</t>
  </si>
  <si>
    <t>Something is thrown at the woman and she attempts to catch it.</t>
  </si>
  <si>
    <t>The camera briefly shifts right to show another individual.</t>
  </si>
  <si>
    <t>The camera returns to the woman still putting the shoe on.</t>
  </si>
  <si>
    <t>The camera shifts right to several individuals in the room, waiting for the woman to put her shoes on.</t>
  </si>
  <si>
    <t>The camera shifts back to the woman, still putting her shoe on.</t>
  </si>
  <si>
    <t>The woman begins putting the other shoe on.</t>
  </si>
  <si>
    <t>v_Z2b84JjYdtw</t>
  </si>
  <si>
    <t>A slide of pictures shows performing a marching band and girls moving around.</t>
  </si>
  <si>
    <t>Then, marching bands play and girls perform holding flags.</t>
  </si>
  <si>
    <t>v_uGVkH6PjXLs</t>
  </si>
  <si>
    <t>A young lady is standing in a field of dirt with an ax in her hand attempting to cut down a log.</t>
  </si>
  <si>
    <t>The girl is not successful in her first attempt so she picks the log back up and tries again.</t>
  </si>
  <si>
    <t>v_giN7cA0EmLs</t>
  </si>
  <si>
    <t>A group of people are seen riding around in tubes while pushing themselves down a diver.</t>
  </si>
  <si>
    <t>The people continue to ride in the tubes down the river while looking towards the camera as well as laughing and smiling.</t>
  </si>
  <si>
    <t>v_3LrLgh2rlAM</t>
  </si>
  <si>
    <t>A man wearing black is in a gym.</t>
  </si>
  <si>
    <t>He picks up some heavy barbells.</t>
  </si>
  <si>
    <t>He lifts the barbells over his head.</t>
  </si>
  <si>
    <t>He then drops the barbells onto the ground.</t>
  </si>
  <si>
    <t>v_iRp-pWnPoYw</t>
  </si>
  <si>
    <t>A man walks out of a building and starts skateboarding.</t>
  </si>
  <si>
    <t>He is skateboarding in between cars.</t>
  </si>
  <si>
    <t>He walks into a building and sits down at a computer.</t>
  </si>
  <si>
    <t>v_23-lat1nVJg</t>
  </si>
  <si>
    <t>We see a lady knitting and singing.</t>
  </si>
  <si>
    <t>We then see a ad for a beer.</t>
  </si>
  <si>
    <t>v_Vk-aKj0R65o</t>
  </si>
  <si>
    <t>Two people are in a room, wearing fencing equipment.</t>
  </si>
  <si>
    <t>They fight with swords, passing back and forth as they jab at each other.</t>
  </si>
  <si>
    <t>v_arfBwR8qgPw</t>
  </si>
  <si>
    <t>a camera shows a group of people sitting around a gymnasium floor with a few standing and one crossing his arms.</t>
  </si>
  <si>
    <t>Suddenly a student comes into frame and jumps over a pole into a mat.</t>
  </si>
  <si>
    <t>v_Cb_R59_-0zU</t>
  </si>
  <si>
    <t>A man starts doing different things such as sneezing,cooking,using the restroom,and washing his face indicating when to wash your hands.</t>
  </si>
  <si>
    <t>A female then comes along and walks to a sink in the kitchen and begins to lather her hands.</t>
  </si>
  <si>
    <t>She then turns on the faucet and rinses her hands,dries them,and puts the napkin in the trash can.</t>
  </si>
  <si>
    <t>v_jpSbO4LrEnc</t>
  </si>
  <si>
    <t>A person is seen wearing a back pack and riding away from the camera on roller blades.</t>
  </si>
  <si>
    <t>The person then rides back and hangs onto a sign swinging himself around then smiling at the camera.</t>
  </si>
  <si>
    <t>v_hhN1647pP88</t>
  </si>
  <si>
    <t>a man is wearing a safety vest.</t>
  </si>
  <si>
    <t>He is working with tools and sand.</t>
  </si>
  <si>
    <t>He uses the sand to spread evenly against the walls.</t>
  </si>
  <si>
    <t>v_FCYdwCXRNVI</t>
  </si>
  <si>
    <t>We see a person welding in the dark.</t>
  </si>
  <si>
    <t>The person pauses and adjusts his helmet.</t>
  </si>
  <si>
    <t>The man lifts his helmet briefly.</t>
  </si>
  <si>
    <t>The man lifts and lowers his helmet.</t>
  </si>
  <si>
    <t>the man looks out from under his helmet.</t>
  </si>
  <si>
    <t>The man finishes and lifts his helmet.</t>
  </si>
  <si>
    <t>v_QLVgy-1ydr0</t>
  </si>
  <si>
    <t>A male attaches a hollow stick on a bull whom chases him.</t>
  </si>
  <si>
    <t>A guy messes with a bull.</t>
  </si>
  <si>
    <t>A bull pushes a man down.</t>
  </si>
  <si>
    <t>The audience claps while standing.</t>
  </si>
  <si>
    <t>The bull is lured into a pen and the gates are close.</t>
  </si>
  <si>
    <t>The male gives a thumbs up and smiles.</t>
  </si>
  <si>
    <t>A male attaches two hollow sticks on a bull and runs off.</t>
  </si>
  <si>
    <t>The bull tackles the male.</t>
  </si>
  <si>
    <t>The male gets up and his face is bloody.</t>
  </si>
  <si>
    <t>People help the male and carry him away.</t>
  </si>
  <si>
    <t>The male leaves a black shoe behind.</t>
  </si>
  <si>
    <t>People discuss in a circle.</t>
  </si>
  <si>
    <t>The man nods his head.</t>
  </si>
  <si>
    <t>People walk off the rodeo dirt and the man covers his nose.</t>
  </si>
  <si>
    <t>v_fZ_CmvF-_No</t>
  </si>
  <si>
    <t>A team of competition cheerleaders come running out into the field and get into formation.</t>
  </si>
  <si>
    <t>The girls squat down and they begin to do their cheer which consists of several stunts,tricks,and jumps across the mat.</t>
  </si>
  <si>
    <t>Once they are finished,the girls end in a stunt and the stunt man runs out to the group.</t>
  </si>
  <si>
    <t>v_2cUJTeArPsI</t>
  </si>
  <si>
    <t>little kid is hanging from a pole in a playground.</t>
  </si>
  <si>
    <t>playground is shown in a dusty field in a big park.</t>
  </si>
  <si>
    <t>little kid is wearng pink shirt and is hanging from a side to side.</t>
  </si>
  <si>
    <t>v_0UcBldDI0RA</t>
  </si>
  <si>
    <t>Joe Morin from Titan alloy is talking about welding aluminum.</t>
  </si>
  <si>
    <t>He is doing a tutorial on how to fix aluminum.</t>
  </si>
  <si>
    <t>He shows a new product called Nova, which is an electrode for cleaning dirty aluminum.</t>
  </si>
  <si>
    <t>He shows two aluminum plates that are joined together for demonstration purposes.</t>
  </si>
  <si>
    <t>He takes the Nova rod and shows how he can weld the two pieces together.</t>
  </si>
  <si>
    <t>He begins welding the two plates of aluminum.</t>
  </si>
  <si>
    <t>Then he hits the plates with a hammer and scrubs off the dust.</t>
  </si>
  <si>
    <t>He shows the back side of the plates and how it is welded together.</t>
  </si>
  <si>
    <t>v_EzQL-i_MTdU</t>
  </si>
  <si>
    <t>A man at a professional sports event, lifts a large and heavy weight using knees, back and arm strength while a woman in a suit watches from the sidelines.</t>
  </si>
  <si>
    <t>A man wearing a "USA" shirt, or team uniform approaches a two sided weight as a woman watches from the side near a door.</t>
  </si>
  <si>
    <t>The man lifts the weight and the camera shows the process in slow motion.</t>
  </si>
  <si>
    <t>The man lifts the weight over his head and then drops it to mid body before letting it fall to the floor, at which he point he waives at an unseen audience, all while the woman on the sideline continues to observe.</t>
  </si>
  <si>
    <t>v_b1PAqOmflgI</t>
  </si>
  <si>
    <t>A boy in a blue t-shirt bounces two basketballs in a gym while blocking another basketball player and making a goal with the ball.</t>
  </si>
  <si>
    <t>A boy bounces two basketballs between his legs.</t>
  </si>
  <si>
    <t>Another basketball player approaches him and tries to take the ball from him.</t>
  </si>
  <si>
    <t>The player in the blue shirt blocks him and makes the goal, and then proceeds to do it again, twice.</t>
  </si>
  <si>
    <t>v_OLUOk4xfYWE</t>
  </si>
  <si>
    <t>man is playing piano with a lot of people gathered around him.</t>
  </si>
  <si>
    <t>man is holding a cellphone and is recording the man in the piano.</t>
  </si>
  <si>
    <t>v_HBJzxWj7CaY</t>
  </si>
  <si>
    <t>A man stands in front of the camera speaking and various trips of people and sites are shown.</t>
  </si>
  <si>
    <t>Another man is interviewed followed by several more shots of the area.</t>
  </si>
  <si>
    <t>A panel of people speak to one another and people get ready for a race.</t>
  </si>
  <si>
    <t>Dozens of people line up and begin swimming in the ocean to race.</t>
  </si>
  <si>
    <t>Many more people are interviewed while the race continues and many people watch and discuss the events.</t>
  </si>
  <si>
    <t>v_pf9u7M6vafU</t>
  </si>
  <si>
    <t>A young girl is seen sitting on a bed with two knitting needles and thread in her hands.</t>
  </si>
  <si>
    <t>The camera pans around her and watches her knit while she speaks and looks off into the distance.</t>
  </si>
  <si>
    <t>v_2U0vMYnC49c</t>
  </si>
  <si>
    <t>A boy in red jacket holds a window scraper tool and remove snow from a car windshield.</t>
  </si>
  <si>
    <t>The boy turns the tool and uses the edge corner edge briefly.</t>
  </si>
  <si>
    <t>The boy continues to scrape the windshield as before with the broad side of the tool.</t>
  </si>
  <si>
    <t>v_0GpNcvAVWVg</t>
  </si>
  <si>
    <t>We see the colorful title card.</t>
  </si>
  <si>
    <t>We see kids playing at the playground.</t>
  </si>
  <si>
    <t>The boy gets off the swing and we follow him to the slide.</t>
  </si>
  <si>
    <t>The boy finishes sliding and goes to a different part of the park and plays around.</t>
  </si>
  <si>
    <t>The boy slides and falls on the bridge before sliding down.</t>
  </si>
  <si>
    <t>He plays with the large swing with another kid.</t>
  </si>
  <si>
    <t>We see the end screen.</t>
  </si>
  <si>
    <t>v_hgpekgU915k</t>
  </si>
  <si>
    <t>A person is holding someone on their shoulders.</t>
  </si>
  <si>
    <t>They spin around several times and fall over onto the floor.</t>
  </si>
  <si>
    <t>The man gets up and sits on the bed.</t>
  </si>
  <si>
    <t>v_PvrozrgcGf0</t>
  </si>
  <si>
    <t>These girls are shown kneeling down on the floor and playing dress up One girl put's chap stick on her lips, cheeks, forehead, and under her eyes.</t>
  </si>
  <si>
    <t>Then another one puts a little makeup on the top of her eyes.</t>
  </si>
  <si>
    <t>v_e5XATG2IK6Q</t>
  </si>
  <si>
    <t>A young child is seen standing before a car holding a rag and looking at the camera.</t>
  </si>
  <si>
    <t>The boy uses the rag all over the car while the camera follows his movements.</t>
  </si>
  <si>
    <t>He continues moving around the car while another man sprays a hose and the boy wipes it down.</t>
  </si>
  <si>
    <t>v_JXucFXh58VE</t>
  </si>
  <si>
    <t>Several people are seen drilling holes into the ice while looking down and speaking to the camera.</t>
  </si>
  <si>
    <t>Many pictures are shown of the people fishing as well as pulling fish out of a hole.</t>
  </si>
  <si>
    <t>More people sit by the holes and continue to pull out fish.</t>
  </si>
  <si>
    <t>v_lV7tpgelpAY</t>
  </si>
  <si>
    <t>A group of people are on an obstacle course together.</t>
  </si>
  <si>
    <t>They are hiding behind the obstacles and shooting at each other with paint guns.</t>
  </si>
  <si>
    <t>They run around, then gather and hug when they are done.</t>
  </si>
  <si>
    <t>v_T8P52q1gCNA</t>
  </si>
  <si>
    <t>Ingredients are mixed together in a silver bowl.</t>
  </si>
  <si>
    <t>It is then placed on a cookie sheet.</t>
  </si>
  <si>
    <t>The cooked food is then shown and broken in half.</t>
  </si>
  <si>
    <t>v_kRVmpJILmjo</t>
  </si>
  <si>
    <t>A field is shown along with some mountains as a person begins driving down a road.</t>
  </si>
  <si>
    <t>After,men are shown and they get out and begin skateboarding down a road in the country.</t>
  </si>
  <si>
    <t>As the continue,a large hay stand is in the middle of the road and they all pass through it and they finish skating down the road.</t>
  </si>
  <si>
    <t>v_LihSTWbJZJo</t>
  </si>
  <si>
    <t>A pile of trees are shown blowing outside on a cobblestone path outside of a building.</t>
  </si>
  <si>
    <t>As the leaves continue to blow a young boy walks into the scene clearing the path with his leaf blower.</t>
  </si>
  <si>
    <t>v_LI3wIHFQkAk</t>
  </si>
  <si>
    <t>A man in a suit plays a flute on stage in front of a man playing a piano.</t>
  </si>
  <si>
    <t>They finish playing and the man playing the piano stands up.</t>
  </si>
  <si>
    <t>v_zc7_D9RiOY0</t>
  </si>
  <si>
    <t>A scuba diver is under the water wearing oxygen in he mouth.</t>
  </si>
  <si>
    <t>The diver is holding his eye mask, and put it on.</t>
  </si>
  <si>
    <t>Another scuba diver took off his eye masks, while behind him are other scuba divers swimming, then he put back is masked on and give an okay sign with his fingers.</t>
  </si>
  <si>
    <t>v_XgJ6iiK-gQo</t>
  </si>
  <si>
    <t>A man is hedging a bush in a yard.</t>
  </si>
  <si>
    <t>He cuts the thick brush up and down.</t>
  </si>
  <si>
    <t>He finishes the hedge, showing off his skills.</t>
  </si>
  <si>
    <t>v_LXH96dFBVYk</t>
  </si>
  <si>
    <t>A bulls runs in the street goring people and throwing them to the floor, while the bulls is attached to a rope.</t>
  </si>
  <si>
    <t>The bull enters a home, then the bull continues goring people in the street.</t>
  </si>
  <si>
    <t>The bull enters a corral and attack a person behind the fence, then the bull continues fiercely goring people in the street.</t>
  </si>
  <si>
    <t>A person pet the bull through a window, after the bull clash with another bull that falls on the ground.</t>
  </si>
  <si>
    <t>The bull attacks a dog sit on front a door.</t>
  </si>
  <si>
    <t>The bull gores people and also attacks people on the sidewalk.</t>
  </si>
  <si>
    <t>The bull continues goring people's behind.</t>
  </si>
  <si>
    <t>v__Ga4HoMl6yM</t>
  </si>
  <si>
    <t>First the man walks the blindfolded woman near the pinata and she starts swinging the broom to hit it.</t>
  </si>
  <si>
    <t>But she misses a few times because the pinata moves up and down in the air.</t>
  </si>
  <si>
    <t>After a while of trying, she hits the string the pinata is hanging from and knocks the pinata down, but has barely gotten any candy out.</t>
  </si>
  <si>
    <t>v_DHWmzuAWxLM</t>
  </si>
  <si>
    <t>A small group of people seen sitting in the water followed by one riding behind a helicopter on a board and a woman speaking to the camera.</t>
  </si>
  <si>
    <t>The man continues to ride and then is seen up in the air with the helicopter and the pilots waving.</t>
  </si>
  <si>
    <t>The man then lets go of the helicopter, riding down on a parachute and landing safely back into the water.</t>
  </si>
  <si>
    <t>The man then lays down while his shot is shown again and the woman speaks to him.</t>
  </si>
  <si>
    <t>v_5Vd6PEUWo64</t>
  </si>
  <si>
    <t>Two women are standing on a beach, wearing bikinis and holding a surf board.</t>
  </si>
  <si>
    <t>They are then shown walking onto the beach and posing for pictures in between surfing on the waves.</t>
  </si>
  <si>
    <t>They show how to do various surfing moves.</t>
  </si>
  <si>
    <t>They are then shown on the beach, sitting down as they talk.</t>
  </si>
  <si>
    <t>v_WVkOtMX9Gg8</t>
  </si>
  <si>
    <t>Several men are seen hosting a news segment that leads into clips of people playing a game together and arguing with one another.</t>
  </si>
  <si>
    <t>More shots of people playing are shown as well as people celebrating and walking away.</t>
  </si>
  <si>
    <t>More shots are shown of the hosts speaking to one another and people hitting the ball and walking away.</t>
  </si>
  <si>
    <t>v_2RxbcK90TeA</t>
  </si>
  <si>
    <t>A woman and one other person paddle in an orange canoe in a calm body of water surrounded by mountains, trees, and bushes.</t>
  </si>
  <si>
    <t>The woman is at the front of the canoe paddling and the other person, who is wearing a face covering hat, sits behind the woman.</t>
  </si>
  <si>
    <t>The two people paddle from the left and pass a line of bushes in front of a mountain.</t>
  </si>
  <si>
    <t>The two people then paddle further away from the mountain and closer to the middle of the body of water.</t>
  </si>
  <si>
    <t>v_vcE8e-fQBhs</t>
  </si>
  <si>
    <t>The video leads into several shots of people performing impressing jumps and flips off of a high dive.</t>
  </si>
  <si>
    <t>More and more people jump off the various heights of the dives and two are shown at the same time in the end.</t>
  </si>
  <si>
    <t>v_8O1cLqQrn4o</t>
  </si>
  <si>
    <t>A man is seen speaking to the camera while man people stand around behind him and practice.</t>
  </si>
  <si>
    <t>The men hit the badminton back and fourth while the older gentlemen continues to speak and point around the court.</t>
  </si>
  <si>
    <t>v_SmBEf-g82Ew</t>
  </si>
  <si>
    <t>A close up of tools and objects are shown laid out leading into several clips of a mean measuring a wall and laying plaster down on it.</t>
  </si>
  <si>
    <t>The man shows how to make plaster while transitioning with him making plaster and continues to show more clips of him laying it down.</t>
  </si>
  <si>
    <t>v_mTsEJFP3W1A</t>
  </si>
  <si>
    <t>A bicycle is shown in a room leaning up against a brown table.</t>
  </si>
  <si>
    <t>A person then walks into the room and starts to take pieces off of the bicycle.</t>
  </si>
  <si>
    <t>The pieces are then added back on the bike and tightened around the wheel.</t>
  </si>
  <si>
    <t>v_iHQ-Kg4Fms8</t>
  </si>
  <si>
    <t>A man stand in the porch of a house looks around and smile.</t>
  </si>
  <si>
    <t>Then, the man grabs a cup and drinks, after he leaves.</t>
  </si>
  <si>
    <t>v_i_Fs0Qrtu90</t>
  </si>
  <si>
    <t>A woman touched a black phone, and a screen of purple capsule like bacteria showed up.</t>
  </si>
  <si>
    <t>The person put back the phone, and started typing on the black keyboard.</t>
  </si>
  <si>
    <t>The bacteria shot is put in the scene.</t>
  </si>
  <si>
    <t>The woman put her hand on the mouse.</t>
  </si>
  <si>
    <t>She put her hand on the wooden desktop.</t>
  </si>
  <si>
    <t>The woman got up and walk towards the hallway.</t>
  </si>
  <si>
    <t>The woman saw a man and shake his hand.</t>
  </si>
  <si>
    <t>The woman went to the bathroom.</t>
  </si>
  <si>
    <t>The woman took off her ring, wash her hand, got home soap and rub it on her hand thoroughly and rinse it.</t>
  </si>
  <si>
    <t>The woman sneeze on her hand.</t>
  </si>
  <si>
    <t>She walks towards her office, put her hand on the desk and phone.</t>
  </si>
  <si>
    <t>v_qqLiKDMtps8</t>
  </si>
  <si>
    <t>These two people shown here are riding their bikes over snowy humps outside.</t>
  </si>
  <si>
    <t>They've rode over dirt humps.</t>
  </si>
  <si>
    <t>They've also rode over sand humps in the building and other humps in a race.</t>
  </si>
  <si>
    <t>v_V3Sz4WWJ2_M</t>
  </si>
  <si>
    <t>A man is seen holding up objects while speaking to a woman and rubbing the object along the wall.</t>
  </si>
  <si>
    <t>He then dips paper in water and begins hanging it up on the walls.</t>
  </si>
  <si>
    <t>He holds up a spray bottle to spray the walls while the others help.</t>
  </si>
  <si>
    <t>The people check the wall and take the paper off followed taking the actual wallpaper off and rubbing the wall.</t>
  </si>
  <si>
    <t>v_3I6LMFdA2lc</t>
  </si>
  <si>
    <t>A baby is shown laying in bed while a comb gently brushes it's hair.</t>
  </si>
  <si>
    <t>The baby eventually smiling while the hand continues to brush the baby's head.</t>
  </si>
  <si>
    <t>The baby gently closes it's eyes and yawns while the brush continues to comb.</t>
  </si>
  <si>
    <t>v_g4vyzwiJYWw</t>
  </si>
  <si>
    <t>A woman demonstrates how to wash the face by washing her face in sink.</t>
  </si>
  <si>
    <t>A woman stands over a sink and splashes water on her face.</t>
  </si>
  <si>
    <t>The woman then works up a lather with liquid soap she has poured onto her hands.</t>
  </si>
  <si>
    <t>The woman then washes her face in circular motions the woman then used a towel to dry her face.</t>
  </si>
  <si>
    <t>v_Ti14bsS3RtU</t>
  </si>
  <si>
    <t>A roofing commercial demonstrates how to fix a slate roof on a house.</t>
  </si>
  <si>
    <t>A man cuts parts on a folding table outside and then installs a slate on a roof using power tools and tools from his tool belt.</t>
  </si>
  <si>
    <t>The man installs copper pieces to the slate roof that protrude from the roof.</t>
  </si>
  <si>
    <t>The man then cuts a copper pipe and does some soldering to the edges of a hole in the copper pipe before the camera cuts again to the roof and then a marketing graphic.</t>
  </si>
  <si>
    <t>v_GBNj2k2OVGo</t>
  </si>
  <si>
    <t>A man with saxophone is playing at the center of the park while a woman is sitting by the fountain.</t>
  </si>
  <si>
    <t>The man is playing the saxophone.</t>
  </si>
  <si>
    <t>Behind him are people lining up at the atm.</t>
  </si>
  <si>
    <t>The camera came closer to the gold saxophone.</t>
  </si>
  <si>
    <t>The man continue playing while people walking past him.</t>
  </si>
  <si>
    <t>The man blow so hard on his saxophone.</t>
  </si>
  <si>
    <t>A white bird standing behind the man.</t>
  </si>
  <si>
    <t>v_7HKWppcWgeY</t>
  </si>
  <si>
    <t>A man is standing next to a bicycle.</t>
  </si>
  <si>
    <t>He is holding a new tube for a tire.</t>
  </si>
  <si>
    <t>He grabs an air pump and attaches it to the tire.</t>
  </si>
  <si>
    <t>He pumps the tire with air.</t>
  </si>
  <si>
    <t>He attaches the pump to the flat tire and pumps it up.</t>
  </si>
  <si>
    <t>v_OO3NO29L50U</t>
  </si>
  <si>
    <t>A person's hand is shown sticking a pen into some water followed by a bit of nail polish.</t>
  </si>
  <si>
    <t>The water changes colors as the various paints are shown and the person creates a swirling pattern into the water.</t>
  </si>
  <si>
    <t>v_RoHYo2x9gbc</t>
  </si>
  <si>
    <t>We see three men in a field cutting tall grass with a scythe.</t>
  </si>
  <si>
    <t>We see the man take a handful of grass and wipe the scythe head with it.</t>
  </si>
  <si>
    <t>The man pulls something from his pocket and rubs it on the scythe.</t>
  </si>
  <si>
    <t>The men then return to cutting the grass.</t>
  </si>
  <si>
    <t>v_1aNOjjLWjxc</t>
  </si>
  <si>
    <t>People are standing on a volleyball court.</t>
  </si>
  <si>
    <t>A man in a white hat is standing in the sand.</t>
  </si>
  <si>
    <t>A person in a black shirt serves the volleyball but it doesn't make it over the net.</t>
  </si>
  <si>
    <t>v_e4YsOfQR3sI</t>
  </si>
  <si>
    <t>A woman sits at a piano and plays in front of a small audience.</t>
  </si>
  <si>
    <t>The camera focuses on several men watching her.</t>
  </si>
  <si>
    <t>The woman sings with the piano.</t>
  </si>
  <si>
    <t>The camera captures the reaction of the members of the audience.</t>
  </si>
  <si>
    <t>The camera captures more reaction shots from the audience.</t>
  </si>
  <si>
    <t>v_QZi1yBFRZzc</t>
  </si>
  <si>
    <t>A pair of garden shears is shown.</t>
  </si>
  <si>
    <t>A woman is demonstrating how to use the garden shears in different situations.</t>
  </si>
  <si>
    <t>A younger girl demonstrates how to use the shears.</t>
  </si>
  <si>
    <t>An older man shows how he uses the shears.</t>
  </si>
  <si>
    <t>A young man is shown using the shears to reach something above his head.</t>
  </si>
  <si>
    <t>The original woman shown demonstrates using the shears on different plant types.</t>
  </si>
  <si>
    <t>The same woman shows how to use the telescoping handle of the shears and cutting plants that would be out of reach.</t>
  </si>
  <si>
    <t>The same woman walks down a path with the shears.</t>
  </si>
  <si>
    <t>The woman then shows how the shears work demonstrating on several other plants.</t>
  </si>
  <si>
    <t>A young woman is shown using the shears.</t>
  </si>
  <si>
    <t>An older man uses the shears.</t>
  </si>
  <si>
    <t>Another man is shown using the shears to reach tree limbs.</t>
  </si>
  <si>
    <t>The first woman shows additional features of the shears and the same examples of other people using the shears is shown again.</t>
  </si>
  <si>
    <t>The woman walks up a set of stairs with the shears.</t>
  </si>
  <si>
    <t>The same woman is shown in the store purchasing the shears.</t>
  </si>
  <si>
    <t>v_fFoYCI-Si6s</t>
  </si>
  <si>
    <t>Two men are inside a gym.</t>
  </si>
  <si>
    <t>One is in boxing gloves and the other is wearing arm guards.</t>
  </si>
  <si>
    <t>They show off the different moves in punching and kicking.</t>
  </si>
  <si>
    <t>v_6aHGUTy1iho</t>
  </si>
  <si>
    <t>A camera pans around an athletic field with various people warming up and holding sticks.</t>
  </si>
  <si>
    <t>A girl holding a stick is spoken to by an instructor and she runs through and throws the pole.</t>
  </si>
  <si>
    <t>She walks back while another grabs a rope to estimate her distance.</t>
  </si>
  <si>
    <t>v_n1JkJu0VjQk</t>
  </si>
  <si>
    <t>A young man in a white karate uniform practices some moves.</t>
  </si>
  <si>
    <t>He bows at the end and runs towards the camera.</t>
  </si>
  <si>
    <t>v_aDrjDISgmLU</t>
  </si>
  <si>
    <t>men are standing in a field playing throwing a small piece of food into another man's mouth.</t>
  </si>
  <si>
    <t>man is talking in front of the camera and the team is standing in a big green grassy field.</t>
  </si>
  <si>
    <t>man starts playing cricket in the field.</t>
  </si>
  <si>
    <t>woman is talking to the camera in news.</t>
  </si>
  <si>
    <t>v_xSpWBpHMxqY</t>
  </si>
  <si>
    <t>A girl is riding in the back seat of a car, playing lipstick to a baby girl in a car seat.</t>
  </si>
  <si>
    <t>The girl takes the wand, trying to put it on her own lips.</t>
  </si>
  <si>
    <t>She smiles broadly for the camera.</t>
  </si>
  <si>
    <t>v_bXJMw4gLmGM</t>
  </si>
  <si>
    <t>A man is talking inside a shop.</t>
  </si>
  <si>
    <t>He shows off an iron, then uses it to melt a piece of plastic.</t>
  </si>
  <si>
    <t>The man irons then brushes a long piece of metal.</t>
  </si>
  <si>
    <t>v_HXCLDIk4pgI</t>
  </si>
  <si>
    <t>A person is clearing snow with a red snow plow.</t>
  </si>
  <si>
    <t>They push the snow to the side in a pile.</t>
  </si>
  <si>
    <t>They finish plowing the driveway.</t>
  </si>
  <si>
    <t>v_B5Zi054Fa5k</t>
  </si>
  <si>
    <t>A man in a black sweater quickly performs a Rubik cube challenge as the timer ticks.</t>
  </si>
  <si>
    <t>A man sits next to him watching.</t>
  </si>
  <si>
    <t>The man in the black sweater finishes and jumps up in excitement.</t>
  </si>
  <si>
    <t>The man that was sitting next to him stands up and is joined by other young men.</t>
  </si>
  <si>
    <t>v_cXRWQa9tQLw</t>
  </si>
  <si>
    <t>A group of cheerleaders are posing on a stage.</t>
  </si>
  <si>
    <t>They break apart, going into an elaborate dance routine.</t>
  </si>
  <si>
    <t>They flip, toss, and throw each other, then jump up and down excitedly.</t>
  </si>
  <si>
    <t>v_A_g93uJD-_8</t>
  </si>
  <si>
    <t>Two men cook omelettes on long pans in the street.</t>
  </si>
  <si>
    <t>People pass on front the men.</t>
  </si>
  <si>
    <t>A man puts scrambles eggs in the hot pan using two stick to turn over the eggs.</t>
  </si>
  <si>
    <t>Then the man adds more scrambled eggs while turning the omelette to make it bigger.</t>
  </si>
  <si>
    <t>After, he man wraps the omelette.</t>
  </si>
  <si>
    <t>v_JKE9D1anR7I</t>
  </si>
  <si>
    <t>A man jumps onto parallel bars.</t>
  </si>
  <si>
    <t>He begins doing a gymnastic routine on the parallel bars.</t>
  </si>
  <si>
    <t>He does a jump off and lands on the mat.</t>
  </si>
  <si>
    <t>v_BLSycXOF3Ro</t>
  </si>
  <si>
    <t>A girl does hula hoop spinning a hula ring around her neck, body and hands.</t>
  </si>
  <si>
    <t>Then, a person gives a hula to the girl who spins simultaneously the two hula rings.</t>
  </si>
  <si>
    <t>After, a person gives another hula ring to the girl to do hula hooping with three rings.</t>
  </si>
  <si>
    <t>At the end the girl gives a hug to the person and a presenter talks.</t>
  </si>
  <si>
    <t>v_BR4dhPz42mQ</t>
  </si>
  <si>
    <t>A large crowd of people are seen standing in the middle of the street and lead into a dance performance as well as a music performance.</t>
  </si>
  <si>
    <t>The people continue moving around in the street and end with a finishing pose.</t>
  </si>
  <si>
    <t>v_CQtu83639js</t>
  </si>
  <si>
    <t>A camera pans outside of a building and looks into a dark room where a man is exercising and speaking to the camera.</t>
  </si>
  <si>
    <t>The man continues riding on the equipment while moving faster and slower and the camera pans around his movements.</t>
  </si>
  <si>
    <t>v_BnkUgUQBED0</t>
  </si>
  <si>
    <t>We see a chair with a pillow on it.</t>
  </si>
  <si>
    <t>A man holding a cat sits down on the chair.</t>
  </si>
  <si>
    <t>The man clips the cats fingernails.</t>
  </si>
  <si>
    <t>The man strokes the cat's head.</t>
  </si>
  <si>
    <t>The man plays with the cat rocking it back and forth.</t>
  </si>
  <si>
    <t>The man stops the camera.</t>
  </si>
  <si>
    <t>v_zHXpo62bCaQ</t>
  </si>
  <si>
    <t>A woman with blonde long hair is carrying a white hula hoops, the hula hoops has rainbow colored tape on parts of it.</t>
  </si>
  <si>
    <t>The girl walked towards the lake, she is walking barefoot on the grass.</t>
  </si>
  <si>
    <t>The camera turns towards her face, then she started swirling the hula hoops and put it on her.</t>
  </si>
  <si>
    <t>The girl started to do hula hoops tricks, first on her waist then up, then to her legs and arms.</t>
  </si>
  <si>
    <t>v_M3jMJB_t024</t>
  </si>
  <si>
    <t>A large group of people are seen standing around a foose ball table speaking to one another and leads into them playing the game.</t>
  </si>
  <si>
    <t>Many people continue to watch the game on the sidelines and look down at the game taking place.</t>
  </si>
  <si>
    <t>v_VssVjdgvHrQ</t>
  </si>
  <si>
    <t>A person is seen standing before a sink turning on the faucet and wetting their hands.</t>
  </si>
  <si>
    <t>They then put soap on their hands, scrub the soap in, and rinse their hands through the water.</t>
  </si>
  <si>
    <t>Finally they use paper towels to dry their hands and throw it into the trash.</t>
  </si>
  <si>
    <t>v_jLykQW_-IVw</t>
  </si>
  <si>
    <t>A woman is smoking a cigarette.</t>
  </si>
  <si>
    <t>She is sitting down and people are walking behind her.</t>
  </si>
  <si>
    <t>She continues to hold cigarette in one arm.</t>
  </si>
  <si>
    <t>People continue to walk behind her and in front.</t>
  </si>
  <si>
    <t>She continues to smoke and stare straight ahead.</t>
  </si>
  <si>
    <t>v_Koxtbgzexmw</t>
  </si>
  <si>
    <t>Two boys play ping pong across a large ping pong table outdoors while a third boy watches from the sidelines.</t>
  </si>
  <si>
    <t>A boy in a t shirt with a wing graphic on it hits the ball towards the other shirtless player.</t>
  </si>
  <si>
    <t>The shirtless player returns the serve and the boy with the t-shirt misses the ball and has to pick it up and throw it to the other player for a re-serve.</t>
  </si>
  <si>
    <t>The two begin playing again while the boy in the middle on the sidelines observes the game.</t>
  </si>
  <si>
    <t>v_F1MKU9-yXg0</t>
  </si>
  <si>
    <t>A young man in a green jacket is standing in front of a mound of dirt and is talking about his maintenance tasks.</t>
  </si>
  <si>
    <t>The man then comes in the back yard with a green wheelbarrow and dumps the dirt in the back yard.</t>
  </si>
  <si>
    <t>He then takes his rake and moves the dirt back and forth around the house evening it out.</t>
  </si>
  <si>
    <t>When complete,he disappears and a path of mulch is seen along the garage.</t>
  </si>
  <si>
    <t>v_lxtG6PbeaqY</t>
  </si>
  <si>
    <t>Two dodgeball teams play against each other in an interior gym surrounded by onlookers in bleachers.</t>
  </si>
  <si>
    <t>The game begins with a team of men against a team of women each taking turns throwing dodge balls at each other violently.</t>
  </si>
  <si>
    <t>The teams then change sides on the gym floor with the women on the left and the men on the right.</t>
  </si>
  <si>
    <t>The game ends and both teams meet in the middle of the floor and give each other high fives.</t>
  </si>
  <si>
    <t>v_sYPd_0tC318</t>
  </si>
  <si>
    <t>There's a woman skurfing where the woman is towed on a surf board behind a sailboat.</t>
  </si>
  <si>
    <t>The woman surfer jumps up high as the sailboat sails in the water.</t>
  </si>
  <si>
    <t>The woman twists and turns around while on the surf board.</t>
  </si>
  <si>
    <t>The sailboat continues to pull the woman and she balances perfectly on the surfs as she twists and turns and spins on the surfs.</t>
  </si>
  <si>
    <t>She goes in a zig zag pattern making foamy waves in the water as the boats speeds up.</t>
  </si>
  <si>
    <t>The same surfing is watched on television as a guy and a another woman put several medals around the surfer's neck.</t>
  </si>
  <si>
    <t>The surfer pretends to fall down with the sheer weight of the medals.</t>
  </si>
  <si>
    <t>v_6ZabZdqdLyA</t>
  </si>
  <si>
    <t>Two small children are playing on a swingset on a snow covered yard.</t>
  </si>
  <si>
    <t>One child runs over to a swingset, but decides to change over to a green swing.</t>
  </si>
  <si>
    <t>An adult helps the child onto the swing.</t>
  </si>
  <si>
    <t>The other child also wants to join the first child on the same swing, and holds the swing steady while the child climbs on.</t>
  </si>
  <si>
    <t>The child is able to climb on, and the two children enjoy swinging together as the adult pushes the swing forward.</t>
  </si>
  <si>
    <t>v_Kt1JpqwDvl8</t>
  </si>
  <si>
    <t>A person vacuum the inside of a car, while other men clean by hand the car with detergent and water.</t>
  </si>
  <si>
    <t>Then, a man dry the car with clothes.</t>
  </si>
  <si>
    <t>Other cars are washed in a automatic car machine.</t>
  </si>
  <si>
    <t>After, people cleans the car with cloths inside and outside by hand.</t>
  </si>
  <si>
    <t>v_YfWKbMPFmcU</t>
  </si>
  <si>
    <t>The outside of homes is shown by a woman in a pink shirt.</t>
  </si>
  <si>
    <t>She is painting one of the houses with blue paint.</t>
  </si>
  <si>
    <t>She is holding a bucket of paint.</t>
  </si>
  <si>
    <t>v_Eilil6FZhK8</t>
  </si>
  <si>
    <t>peolpe are running wearing stilts in an avenue.</t>
  </si>
  <si>
    <t>man is interviewing an old woman in the sreet.</t>
  </si>
  <si>
    <t>man is doing a high jump above a car in street.</t>
  </si>
  <si>
    <t>man is laying down in a wooden table and other man jumps above the table.</t>
  </si>
  <si>
    <t>men are jumping side to side wearing stilts.</t>
  </si>
  <si>
    <t>man is helping a woman wear the stilts and walks in a gym room playing basketball with oher players.</t>
  </si>
  <si>
    <t>people are in sreet wearing stilts and running and jumping .</t>
  </si>
  <si>
    <t>man are sitting around a bench in street outside a restaurant.</t>
  </si>
  <si>
    <t>team are jumping in stilts in the roofed gym.</t>
  </si>
  <si>
    <t>v_YfouQ4TJhmQ</t>
  </si>
  <si>
    <t>An old man in white shirt is brushing the the body of the brown horse.</t>
  </si>
  <si>
    <t>The girl in blue shirt standing beside the old man brushed the horse's fur, then the old man took over, brush the horse and the girl rub the horse's fur with her hands.</t>
  </si>
  <si>
    <t>v_kKxNVwk7Evc</t>
  </si>
  <si>
    <t>A marching band is walking down a track.</t>
  </si>
  <si>
    <t>People carrying flags follows behind them.</t>
  </si>
  <si>
    <t>The drummers at at the back playing their drums.</t>
  </si>
  <si>
    <t>v_7cpX1j9dwjA</t>
  </si>
  <si>
    <t>A colorful intro includes the white words that say "World's Most DANGEROUS SPORTS Events" and the green letters separately "SRP".</t>
  </si>
  <si>
    <t>Madrid Spain on a map appears and it quickly goes into various different clips of men in arenas holding red capes as they taunt angry bulls.</t>
  </si>
  <si>
    <t>Suddenly a bull doesn't go after the cape, and instead he goes after the man where the bull continues to attack him with his horns and throw him around on the dirt.</t>
  </si>
  <si>
    <t>People begin to run towards the bull and the man to help him and the injured man quickly gets carried and run out of the area of danger.</t>
  </si>
  <si>
    <t>The intro appears and it's a black screen with the green letters SRP, production credits along with the rights.</t>
  </si>
  <si>
    <t>v_AV8q7nnOtq4</t>
  </si>
  <si>
    <t>A young man is seen sitting in front of a drum kit and begins playing the set of drums for the camera.</t>
  </si>
  <si>
    <t>He continues playing the drums and finishes by hitting the cymbal one last time.</t>
  </si>
  <si>
    <t>v_701UoJ5pgeo</t>
  </si>
  <si>
    <t>A woman is in a kitchen talking.</t>
  </si>
  <si>
    <t>She pours cleaner in a sink and describes some cleaning tools.</t>
  </si>
  <si>
    <t>She puts a powder in the sink and squeezes a lemon over the powder.</t>
  </si>
  <si>
    <t>She pours a liquid over that and scrubs with a brush.</t>
  </si>
  <si>
    <t>She turns the water on for a second and then uses a stone on the sink before using the sprayer to rinse everything.</t>
  </si>
  <si>
    <t>v__K3Cpdks6NQ</t>
  </si>
  <si>
    <t>There is very large group of people outside on a basketball court after sunset.</t>
  </si>
  <si>
    <t>They are all jumping up and down on these new pogo stick things that you wear like shoes.</t>
  </si>
  <si>
    <t>There are many young kids just bouncing up and down on them enjoying the evening.</t>
  </si>
  <si>
    <t>There are even a few people standing by and watching.</t>
  </si>
  <si>
    <t>v_eksIn1NfWJg</t>
  </si>
  <si>
    <t>A person's eye is seen close up the camera holing a contact lens in their hands and holding their eye open.</t>
  </si>
  <si>
    <t>The person then puts the contact lens in their eye and rubs their eye while blinking multiple times.</t>
  </si>
  <si>
    <t>v_yCAsVc5Tb_0</t>
  </si>
  <si>
    <t>We see the title card over the screen.</t>
  </si>
  <si>
    <t>We see people standing on a blue stage.</t>
  </si>
  <si>
    <t>They then perform a cheer leading routine.</t>
  </si>
  <si>
    <t>The men lift the women who spin into their arms.</t>
  </si>
  <si>
    <t>They all flip backwards together.</t>
  </si>
  <si>
    <t>The men hold the women by one leg and almost drop a lady.</t>
  </si>
  <si>
    <t>A girl brings letters onto the field.</t>
  </si>
  <si>
    <t>They use the letter to spell a word while standing in the air.</t>
  </si>
  <si>
    <t>They have different cards with color names on them.</t>
  </si>
  <si>
    <t>The men yell out of horns.</t>
  </si>
  <si>
    <t>Two women flip out of a stance, and they end in the air.</t>
  </si>
  <si>
    <t>v_VufybWyvP98</t>
  </si>
  <si>
    <t>There are some swimmers playing water polo in an indoor swimming pool.</t>
  </si>
  <si>
    <t>One of the swimmers is underwater, trying to reach the ball.</t>
  </si>
  <si>
    <t>He throws the ball across to another swimmer who catches the ball.</t>
  </si>
  <si>
    <t>Two swimmers are under water trying to reach the ball.</t>
  </si>
  <si>
    <t>They pass the ball around as they swim through the water.</t>
  </si>
  <si>
    <t>Then the swimmers swim their way up and get out of the pool while some other swimmers are still inside the pool.</t>
  </si>
  <si>
    <t>One of the swimmers spits out water on the camera while still inside the pool.</t>
  </si>
  <si>
    <t>A few other swimmerd can be seen in the locker room drying themselves after the swim.</t>
  </si>
  <si>
    <t>v_67NwPB79MTo</t>
  </si>
  <si>
    <t>A small group of people are seen moving around a gym kicking a ball around.</t>
  </si>
  <si>
    <t>The boys yell to one another with their hands up and continue walking around the gym.</t>
  </si>
  <si>
    <t>v_kyMsxlpBjlY</t>
  </si>
  <si>
    <t>There's a person mowing the lawn in his yard with a lawn mower while carrying his child on his back.</t>
  </si>
  <si>
    <t>The man walks up and down, straight across the yard as he mows the lawn.</t>
  </si>
  <si>
    <t>The child watches calmly while resting on the man's back.</t>
  </si>
  <si>
    <t>The man continues to mow the lawn with his black lawn mower.</t>
  </si>
  <si>
    <t>v_zEdAxKm9SLA</t>
  </si>
  <si>
    <t>There's a person named Michael from the Wild flower Tool company who is doing a tutorial on telescopic head shears for gardening.</t>
  </si>
  <si>
    <t>He demonstrates the several features of the shears such as extendable handles.</t>
  </si>
  <si>
    <t>He is standing near a big hedge in a garden.</t>
  </si>
  <si>
    <t>He shows how to use the shears by cutting off some of the branches of the hedge.</t>
  </si>
  <si>
    <t>He then extends the handles of the shears to show how far he can reach hard to reach places on top of the hedge.</t>
  </si>
  <si>
    <t>v_qRFZMO_mTGU</t>
  </si>
  <si>
    <t>A woman walks forward talking to the camera and putting her hands on her hips.</t>
  </si>
  <si>
    <t>A girl is shown playing field hockey and presents various clips of herself doing moves.</t>
  </si>
  <si>
    <t>She later is talking to the camera about her experiences with the sport and who exactly she is and why other people love her.</t>
  </si>
  <si>
    <t>v_qwdavExYM_Y</t>
  </si>
  <si>
    <t>We see people walking with rafts up an escalator on a snowy field in a rafting park.</t>
  </si>
  <si>
    <t>A child almost falls on the left.</t>
  </si>
  <si>
    <t>We see the crowded escalator from a distance.</t>
  </si>
  <si>
    <t>We see a boy in a black coat running with his raft in tow.</t>
  </si>
  <si>
    <t>v_r9AepFEEfsQ</t>
  </si>
  <si>
    <t>A man with glasses playing an accordion and smiling.</t>
  </si>
  <si>
    <t>The camera zooms in on his fingers going up and down the neck of the instrument.</t>
  </si>
  <si>
    <t>The man continues to play his song and smiles to the camera while moving up and down.</t>
  </si>
  <si>
    <t>v_uuH0ieCzqkM</t>
  </si>
  <si>
    <t>A kid stands on a court as a group of judges watch him jump rope rapidly.</t>
  </si>
  <si>
    <t>Behind him, other competitors jump rope, too.</t>
  </si>
  <si>
    <t>v_qi5Oie047pQ</t>
  </si>
  <si>
    <t>A young boy is sitting up against the wall making a face as two people are standing in front of him.</t>
  </si>
  <si>
    <t>The girl on the left then takes a small tube of polish and begins to paints the boy's nail with red glitter.</t>
  </si>
  <si>
    <t>When she is finished,the boy is shown and he begins to laugh about the situation.</t>
  </si>
  <si>
    <t>v_twL4mmkCQ0s</t>
  </si>
  <si>
    <t>A backdrop screen with paws and dog bones appear and the words in red and black appear and read "TEG's CANINE CLIPPERY Dog &amp; Cat Grooming".</t>
  </si>
  <si>
    <t>Clips of different dogs are shown getting baths, haircuts, and brushed while still shots of pictures appear between clips and they all include company name, website and phone number.</t>
  </si>
  <si>
    <t>The very last screen is a picture of a dog with it's eyes closed and 2 pairs of hands blow drying it with a brush above it's head, the company name, website, phone number and address.</t>
  </si>
  <si>
    <t>v_TLJdzU44My4</t>
  </si>
  <si>
    <t>A young man is seen sitting in a chair holding a vacuum in his hands.</t>
  </si>
  <si>
    <t>The boy speaks to the camera while still pushing the vacuum back and fourth.</t>
  </si>
  <si>
    <t>The camera moves closer to the boy and zooms in on his face while vacuuming.</t>
  </si>
  <si>
    <t>v_InavXU3iWBE</t>
  </si>
  <si>
    <t>A man is standing on top of a truck.</t>
  </si>
  <si>
    <t>Two men jump onto a trampoline.</t>
  </si>
  <si>
    <t>One of the men lays down and the other man hits him.</t>
  </si>
  <si>
    <t>The man on the truck jumps onto the trampoline.</t>
  </si>
  <si>
    <t>v__wl0vFvb8Bc</t>
  </si>
  <si>
    <t>A person's foot is shown and then it moves up slowly to their face.</t>
  </si>
  <si>
    <t>The camera pans out and shows a silver car.</t>
  </si>
  <si>
    <t>The person is holding a stick in their hands.</t>
  </si>
  <si>
    <t>The person is holding a hose and washing the car.</t>
  </si>
  <si>
    <t>They dip the stick into a bucket of soapy water and continue washing the car.</t>
  </si>
  <si>
    <t>They hold the hose up and pour the water on their face.</t>
  </si>
  <si>
    <t>They take their sunglasses off at the end and wipe their face.</t>
  </si>
  <si>
    <t>v_7uhJ_0oKV6s</t>
  </si>
  <si>
    <t>Two people are standing in front of a street performance.</t>
  </si>
  <si>
    <t>We see a group of people as two use a jump rope.</t>
  </si>
  <si>
    <t>Several others jump in, jumping over the rope, flipping and doing stunts.</t>
  </si>
  <si>
    <t>v_qV8hycDJWto</t>
  </si>
  <si>
    <t>A man steps away from a desk.</t>
  </si>
  <si>
    <t>The man applies his glove to his left hand.</t>
  </si>
  <si>
    <t>The man taps a metal with a soldering iron.</t>
  </si>
  <si>
    <t>The man soldiers on the piece of metal.</t>
  </si>
  <si>
    <t>The man stops soldering the metal.</t>
  </si>
  <si>
    <t>The man removes his glove and blows smoke away from the metal piece.</t>
  </si>
  <si>
    <t>v_BNQPVf2Ia5Y</t>
  </si>
  <si>
    <t>A man wearing black pants, a plaid shirt and baseball cap trims a dark green hedge with an electric hedge trimmer.</t>
  </si>
  <si>
    <t>The man trims a smaller light green hedge with the trimmer.</t>
  </si>
  <si>
    <t>The man trims another hedge with trimmer.</t>
  </si>
  <si>
    <t>The scene is sped up and contains ambient noises.</t>
  </si>
  <si>
    <t>v_cDe2GlvMEQg</t>
  </si>
  <si>
    <t>A man is seen speaking to the camera indoors as well as outdoors.</t>
  </si>
  <si>
    <t>He points to several objects while leading into dirt being shown as well as plaster.</t>
  </si>
  <si>
    <t>People are seen putting plaster all over the walls while the man continues to speak.</t>
  </si>
  <si>
    <t>v_uokQq9Xrjf8</t>
  </si>
  <si>
    <t>There's a fitness trainer representing The FitCast fitness in a gym demonstrating how to do a tall kneeling palloff press.</t>
  </si>
  <si>
    <t>He is kneeling down on the floor in a black shirt and gray sweat pants.</t>
  </si>
  <si>
    <t>He is pulling the handles of the palloff press with both hands towards his chest while keeping his back and shoulders up straight.</t>
  </si>
  <si>
    <t>v_yOKDaH8Go0A</t>
  </si>
  <si>
    <t>A man in a garage stands over a plank of wood.</t>
  </si>
  <si>
    <t>The man takes some white paste out of a can, adds some coloring to it and mixes it.</t>
  </si>
  <si>
    <t>The man applies the brown colored paste to holes in the wood.</t>
  </si>
  <si>
    <t>v_9-U2WOLIqB8</t>
  </si>
  <si>
    <t>A shot of pins are shown sitting on a lane followed by a man walking into frame.</t>
  </si>
  <si>
    <t>The man spins a ball to go around the pins to hit more in the end.</t>
  </si>
  <si>
    <t>The person spins another ball that is followed shortly afterwards.</t>
  </si>
  <si>
    <t>v_M1_4oDuh2as</t>
  </si>
  <si>
    <t>A woman wearing an apron is talking and picks up a bucket with supplies in it.</t>
  </si>
  <si>
    <t>She grabs a brush and cleans a window.</t>
  </si>
  <si>
    <t>She grabs a squeegee and removes the excess water from the window.</t>
  </si>
  <si>
    <t>v_AFs_aK0DY7E</t>
  </si>
  <si>
    <t>He does a gymnastics routine on the beam.</t>
  </si>
  <si>
    <t>He does a hand stand before jumping off onto a mat.</t>
  </si>
  <si>
    <t>v__9e948mdwrs</t>
  </si>
  <si>
    <t>A man blows dead leaves of a backyard.</t>
  </si>
  <si>
    <t>A person makes a pile of dead leaves.</t>
  </si>
  <si>
    <t>v_AK34mhNU28s</t>
  </si>
  <si>
    <t>A man holds a huge kite in a big field.</t>
  </si>
  <si>
    <t>A dog chases the man as he runs and jumps.</t>
  </si>
  <si>
    <t>The man brings the kite to the ground.</t>
  </si>
  <si>
    <t>v_b1U1VmaZz7Y</t>
  </si>
  <si>
    <t>A man is pouring something onto a large camp fire.</t>
  </si>
  <si>
    <t>A dog walks around the camp site.</t>
  </si>
  <si>
    <t>A person in a yellow shirt holding a blanket walks around the fire.</t>
  </si>
  <si>
    <t>v_kxXoosv0iDg</t>
  </si>
  <si>
    <t>A girl in a sparkly outfit dances on a hardwood floor.</t>
  </si>
  <si>
    <t>She brings out batons and twirls them around while dancing.</t>
  </si>
  <si>
    <t>She sits on the ground after finishing her performance.</t>
  </si>
  <si>
    <t>v_6iSqTbL5WXY</t>
  </si>
  <si>
    <t>We see a man dunk a basketball wearing jump stilts.</t>
  </si>
  <si>
    <t>We see another man bounce the ball and the jump stilt man dunks again.</t>
  </si>
  <si>
    <t>We then see the opening screen for the closing.</t>
  </si>
  <si>
    <t>v_1AZxtWKkRlo</t>
  </si>
  <si>
    <t>A group of cheerleaders run onto a stage before a cheering audience.</t>
  </si>
  <si>
    <t>They get into formation, then begin dancing and flipping as male cheerleaders join them.</t>
  </si>
  <si>
    <t>They all continue dancing and flipping, doing hand springs.</t>
  </si>
  <si>
    <t>When they are finished, they jump up and down happily and walk off the stage, exhausted.</t>
  </si>
  <si>
    <t>v_sJK-NjgOB6g</t>
  </si>
  <si>
    <t>A man lifts a young girl up to reach the sink in a bathroom.</t>
  </si>
  <si>
    <t>Both the man and the girl reach for their toothbrush and add toothpaste at the same time.</t>
  </si>
  <si>
    <t>They look in the mirror together as the man shows the girl how to brush her teeth properly.</t>
  </si>
  <si>
    <t>They rinse and smile at their clean teeth in the mirror.</t>
  </si>
  <si>
    <t>The man then teaches the girl to floss.</t>
  </si>
  <si>
    <t>They put their toothbrushes away and the man helps the girl back to the floor.</t>
  </si>
  <si>
    <t>They walk away together and turn off the bathroom light.</t>
  </si>
  <si>
    <t>v_crxqFzslD0Y</t>
  </si>
  <si>
    <t>A man in a black shirt smiles at the camera.</t>
  </si>
  <si>
    <t>He pulls out a harmonica and begins to play it.</t>
  </si>
  <si>
    <t>He uses his hand to accentuate the notes.</t>
  </si>
  <si>
    <t>He finishes the song at the end.</t>
  </si>
  <si>
    <t>v_boRX-UKXzy8</t>
  </si>
  <si>
    <t>A bumper car arena is shown followed by people driving around and bumping into one another.</t>
  </si>
  <si>
    <t>Several shots are shown of people crashing into one another and a man speaking to the camera in the end.</t>
  </si>
  <si>
    <t>v_tvR1ovqyJZ8</t>
  </si>
  <si>
    <t>A person is riding inside a boat on the water.</t>
  </si>
  <si>
    <t>They are dragging a person on water skis.</t>
  </si>
  <si>
    <t>The person stays upright as they are pulled quickly through the water.</t>
  </si>
  <si>
    <t>v_uCdUm-lou7w</t>
  </si>
  <si>
    <t>A girl swings on monkey bars on an outdoor playground.</t>
  </si>
  <si>
    <t>The girl misses a monkey bar and then looses her grip and falls to the ground.</t>
  </si>
  <si>
    <t>v_WhhbKOSW7m0</t>
  </si>
  <si>
    <t>People are sitting in bleachers watching people.</t>
  </si>
  <si>
    <t>The people in the room are playing wall ball.</t>
  </si>
  <si>
    <t>A man in the stands puts his hands on his face.</t>
  </si>
  <si>
    <t>v_x0TiekqVMj0</t>
  </si>
  <si>
    <t>A woman is seen performing a belly dancing routine in a dark room with one single line shown on her.</t>
  </si>
  <si>
    <t>She continues dancing around the room and ends by the room going dark as she spins.</t>
  </si>
  <si>
    <t>v_uBCLX7hfZLQ</t>
  </si>
  <si>
    <t>A woman wearing a white shirt is sitting with her black and white cat on her lap.</t>
  </si>
  <si>
    <t>She is clipping the cats nails by holding the cat's paws in her hands.</t>
  </si>
  <si>
    <t>She continues clipping the cat's nails one by one.</t>
  </si>
  <si>
    <t>When she's done she kisses the cat.</t>
  </si>
  <si>
    <t>then she begins clipping a brown cat's nails.</t>
  </si>
  <si>
    <t>The cat sits calmly on her lap as she finishes clipping its nails.</t>
  </si>
  <si>
    <t>v_R4yz8nXO5hI</t>
  </si>
  <si>
    <t>A person paints flowers onto a white canvas with a fine brush.</t>
  </si>
  <si>
    <t>The person removes the painting from the table and shows the finished product.</t>
  </si>
  <si>
    <t>v_gGg-kio0dmU</t>
  </si>
  <si>
    <t>People are playing and swimming in a pool.</t>
  </si>
  <si>
    <t>a girl does a back flip off a board.</t>
  </si>
  <si>
    <t>v_WXaFTEWJThM</t>
  </si>
  <si>
    <t>A person is seen filling up a sink with water and holding a rag in the water.</t>
  </si>
  <si>
    <t>She scrubs down her face and washing it off with the rag and smiling into the mirror.</t>
  </si>
  <si>
    <t>v_QsfIM28uvHM</t>
  </si>
  <si>
    <t>A person hangs onto the handles of a kite flying overhead.</t>
  </si>
  <si>
    <t>The kite falls as the wind lessens.</t>
  </si>
  <si>
    <t>The kite blows hard in the air as the wind picks up again.</t>
  </si>
  <si>
    <t>v_FL9yhHtoc6c</t>
  </si>
  <si>
    <t>A man and a woman are dancing on a concrete ground at night under a street light.</t>
  </si>
  <si>
    <t>Both the man and the woman are wearing a black tank top and black shorts along with black shoes.</t>
  </si>
  <si>
    <t>They are dancing in a synchronized manner by following choreographed dance steps to a song.</t>
  </si>
  <si>
    <t>They move their hands as they lift their right leg up high while dancing.</t>
  </si>
  <si>
    <t>Then they shake their hips and their heads they lip sync to the song.</t>
  </si>
  <si>
    <t>when the music gets faster, they move their hands in a circular motion.</t>
  </si>
  <si>
    <t>They also lift their knees up high while shaking their bodies.</t>
  </si>
  <si>
    <t>They repeat the steps every time the chorus of the song plays.</t>
  </si>
  <si>
    <t>They lift their knees up high alternating between the two legs.</t>
  </si>
  <si>
    <t>They continue to dance as they hold up the palms of their hands straight up and move their hips.</t>
  </si>
  <si>
    <t>They repeat the steps as the chorus of the song repeats.</t>
  </si>
  <si>
    <t>Finally after the song ends, they both stand still with their hands on their hips.</t>
  </si>
  <si>
    <t>v_tVbrnWNOmFY</t>
  </si>
  <si>
    <t>A man takes a patch and put on a wheel while explaining and showing materials .</t>
  </si>
  <si>
    <t>Then, the man takes the wheel of a bike to fix the hole of the tube by applying a patch.</t>
  </si>
  <si>
    <t>After, the man put the tube on the wheel and pump air in the wheel.</t>
  </si>
  <si>
    <t>Then, the man put and fix the wheel in the bike.</t>
  </si>
  <si>
    <t>v_fLvPz8W00l4</t>
  </si>
  <si>
    <t>A man shows the proper way to lift a kettlebell.</t>
  </si>
  <si>
    <t>He shows with his hips how not to do it.</t>
  </si>
  <si>
    <t>v_W-pFUV2O1l0</t>
  </si>
  <si>
    <t>A man is cutting another mans hair.</t>
  </si>
  <si>
    <t>He is demonstrating the types of cuts.</t>
  </si>
  <si>
    <t>He combs and snips the front of the mans hair.</t>
  </si>
  <si>
    <t>He parts the hair and continues pulling and trimming the front flip.</t>
  </si>
  <si>
    <t>He then turns the mans head and works on the back.</t>
  </si>
  <si>
    <t>He finishes haircut on the man.</t>
  </si>
  <si>
    <t>v_rlH9RkelqHk</t>
  </si>
  <si>
    <t>A person's feet are show followed by a woman putting shoes over her socks and bending forward.</t>
  </si>
  <si>
    <t>She twirls around her feet and looking to the camera while showing her shoe completely on.</t>
  </si>
  <si>
    <t>v_N6HUPyM5m2o</t>
  </si>
  <si>
    <t>woman is wearing a purple shit lifting weight.</t>
  </si>
  <si>
    <t>woman is sitting in stairs tying the laces.</t>
  </si>
  <si>
    <t>two women are in a gym room doing exercise.</t>
  </si>
  <si>
    <t>v_CZveW9zX0s8</t>
  </si>
  <si>
    <t>A man is shown speaking to the camera and leads into a woman trimming the fur on a dog.</t>
  </si>
  <si>
    <t>The speaks more to the camera while other dogs are shown groomed and one woman walks away holding two excited dogs.</t>
  </si>
  <si>
    <t>More shots of dogs held are shown while the man speaks and the camera pans around the building.</t>
  </si>
  <si>
    <t>v_9fnmcyUz5jg</t>
  </si>
  <si>
    <t>A logo shows that this video is presented by Expert Village.</t>
  </si>
  <si>
    <t>A man in a small blue boat discusses the topic of hand surfing in a hole and gives hints on how to perform this activity.</t>
  </si>
  <si>
    <t>The man demonstrates tricks that can be done while performing this activity.</t>
  </si>
  <si>
    <t>v_ayDqRzRN8_M</t>
  </si>
  <si>
    <t>News hosts present a story seated at a desk in a news room.</t>
  </si>
  <si>
    <t>A news reporter interviews a man on an ice skating rink.</t>
  </si>
  <si>
    <t>An athlete glides a stone across the ice.</t>
  </si>
  <si>
    <t>The reporter and the man practice brushing the ice with brooms.</t>
  </si>
  <si>
    <t>A woman sits in a salon and has her hair curled.</t>
  </si>
  <si>
    <t>The curls are taken out of the woman's hair after the makeover.</t>
  </si>
  <si>
    <t>The news anchors close out the story.</t>
  </si>
  <si>
    <t>v_LHewj6shKGw</t>
  </si>
  <si>
    <t>A group of kids are on a track, and they practice jumping over a low beam.</t>
  </si>
  <si>
    <t>They perform the motion several times, portraying the act in slow motion.</t>
  </si>
  <si>
    <t>v_UxIXOCccW24</t>
  </si>
  <si>
    <t>Two people are seen speaking to the camera wearing costume when another person steps into frame.</t>
  </si>
  <si>
    <t>Two people then battle one another in the costumes and run into one another.</t>
  </si>
  <si>
    <t>One person knocks the other on the ground and shows off a wrestling move.</t>
  </si>
  <si>
    <t>v_1OmzECVyIww</t>
  </si>
  <si>
    <t>An athletic man is seen waving one arm up into the air and standing ready for a beam.</t>
  </si>
  <si>
    <t>The man then spins himself around the beam performing a gymnastics routine and ends with him jumping to the side and holding his arms up, smiling and waving to the crowd.</t>
  </si>
  <si>
    <t>v_-rwKyNnz89s</t>
  </si>
  <si>
    <t>A man is seen standing in a goal followed by a person kicking a boll.</t>
  </si>
  <si>
    <t>More clips are shown of people kicking a ball towards the goal while people watch on the sides.</t>
  </si>
  <si>
    <t>Several more people take their turn kicking a ball and end by running all together and cheering.</t>
  </si>
  <si>
    <t>v_gBTnWp9VLz4</t>
  </si>
  <si>
    <t>A car drives behind another while filming several snowy houses and trees shown.</t>
  </si>
  <si>
    <t>Eventually two snowboarding are shown doing jumps and tricks down a mountain.</t>
  </si>
  <si>
    <t>Another does several flips and tricks while another performs the same down the mountain.</t>
  </si>
  <si>
    <t>v_iMXdwkAGfM4</t>
  </si>
  <si>
    <t>A man sits in a chair while a standing man uses an electric razor on his beard.</t>
  </si>
  <si>
    <t>The man gently shaves the other man's beard until it is gone.</t>
  </si>
  <si>
    <t>The man sits in the chair, wiping himself off before standing up.</t>
  </si>
  <si>
    <t>v_yqzV0O139Yk</t>
  </si>
  <si>
    <t>Two people are seen standing on a field in front of ball when one bends over to balance on the ball.</t>
  </si>
  <si>
    <t>The woman then performs exercises on the ball with the man's assistance.</t>
  </si>
  <si>
    <t>v_leKf6Q87IYg</t>
  </si>
  <si>
    <t>Several pictures of seen of a man wakeboarding and leading into him speaking to the camera.</t>
  </si>
  <si>
    <t>He demonstrates how to properly perform moves while standing on the lawn.</t>
  </si>
  <si>
    <t>It follows into the man riding around on a wakeboard.</t>
  </si>
  <si>
    <t>v_PwbZimjxzps</t>
  </si>
  <si>
    <t>A man stands in front of a crowd pointing and speaking about the layout of a bullfighting ring.</t>
  </si>
  <si>
    <t>A demonstration of bullfighting is performed by a man with a pink cape and a man moving a fake bull object with a wheel.</t>
  </si>
  <si>
    <t>The bullfighter then demonstrates how to use his sword on the bull.</t>
  </si>
  <si>
    <t>Then the students wants to give it a try.</t>
  </si>
  <si>
    <t>v_J1LIG037WzE</t>
  </si>
  <si>
    <t>Two men are seen fighting back and fourth on a set of mats using boxing gloves and pads.</t>
  </si>
  <si>
    <t>The men continue punching and kicking back and fourth while the camera continues to follow them around.</t>
  </si>
  <si>
    <t>v_RrScnC2xQpw</t>
  </si>
  <si>
    <t>A girl is seen kneeling before the camera and leads into her walking around her house.</t>
  </si>
  <si>
    <t>She zooms in on an oven and is shown taking a pan out full of cookies.</t>
  </si>
  <si>
    <t>She lays out a plate to clean off follows by grabbing the cookies and laying them on the plate.</t>
  </si>
  <si>
    <t>v_ZeN0mrRQHg8</t>
  </si>
  <si>
    <t>A group of kids are riding in bumper cars.</t>
  </si>
  <si>
    <t>They spin and move, hitting each other.</t>
  </si>
  <si>
    <t>The kids smile and laugh at each other as they collide.</t>
  </si>
  <si>
    <t>v_3LyyqeVeYkI</t>
  </si>
  <si>
    <t>He lassos a young calf on the dirt.</t>
  </si>
  <si>
    <t>He jumps off his horse and ties the calf.</t>
  </si>
  <si>
    <t>v_UySzNwvkQKQ</t>
  </si>
  <si>
    <t>There are people standing in a large indoor court, on two different sides, with balls in the middle of the court.</t>
  </si>
  <si>
    <t>Suddenly people start running towards the balls and they begin to play dodge ball and pick them up and throw them at one another until one of the teams has only 1 person left standing.</t>
  </si>
  <si>
    <t>Only 1 guy remain standings and he attempts to hit someone else on the other team with a ball, and they in return do the same, they go back and forth doing this until a red ball finally hits the last guy standing on the team and he hits the floor.</t>
  </si>
  <si>
    <t>v_xzoquwJYEZw</t>
  </si>
  <si>
    <t>man is standing in a wooden court talking to the camera.</t>
  </si>
  <si>
    <t>men are playing squash in a room holding rackets on his hands.</t>
  </si>
  <si>
    <t>the man is holding a racket and is talking to the camera.</t>
  </si>
  <si>
    <t>v_v-xUwDARVb4</t>
  </si>
  <si>
    <t>A band is seen performing on stage while the camera pans around and captures them from several angles.</t>
  </si>
  <si>
    <t>The singer interacts with the band and continues playing while the audience cheers.</t>
  </si>
  <si>
    <t>v_YGBldj7DUq4</t>
  </si>
  <si>
    <t>A man is in a kayak in the water making turns with the help of an oar.</t>
  </si>
  <si>
    <t>Then, the man explains showing and moving the oar.</t>
  </si>
  <si>
    <t>After the man starts to row in the river and turning the kayak.</t>
  </si>
  <si>
    <t>v_wP0jr86MNOw</t>
  </si>
  <si>
    <t>man is standing nex to a van wearing stilts.</t>
  </si>
  <si>
    <t>another man is sitting on the back part of a van is putting the stilts on his feet.</t>
  </si>
  <si>
    <t>men wearing stilts are walking in a parking lot to street.</t>
  </si>
  <si>
    <t>men are kneeling on the street and start jumping going down the paved slope.</t>
  </si>
  <si>
    <t>v_X9CpU4ucYeg</t>
  </si>
  <si>
    <t>woman is standing in a kitchen talking to the camera and showing the lemons, jar and the bowl on the counter.</t>
  </si>
  <si>
    <t>woman is squeezing the lemon into a bowl and on the water.</t>
  </si>
  <si>
    <t>woman is ni front of the stove and pour sugar into water in a pan till boil.</t>
  </si>
  <si>
    <t>woman pour sugar in the jar with ice.</t>
  </si>
  <si>
    <t>v_rG-WlnAoc3M</t>
  </si>
  <si>
    <t>A person wet a car with water, then he puts detergent to the car using a long squeegee.</t>
  </si>
  <si>
    <t>The man rinses the car with water.</t>
  </si>
  <si>
    <t>Then, the man cleans again with soap and water the car for the second time.</t>
  </si>
  <si>
    <t>The man cleans with a cloth and rinse with water the rims of the car.</t>
  </si>
  <si>
    <t>After, the man dry the car manually with a cloth.</t>
  </si>
  <si>
    <t>Next, the man cleans inside the car, then drives the car.</t>
  </si>
  <si>
    <t>v_AA6nXQMyfhU</t>
  </si>
  <si>
    <t>A man sits at a table talking.</t>
  </si>
  <si>
    <t>The man, now standing, pours paint thinner n a rag and wipes the table with the rag.</t>
  </si>
  <si>
    <t>The man sits at the table again while talking.</t>
  </si>
  <si>
    <t>Now he is standing putting a polish on the table and shining it.</t>
  </si>
  <si>
    <t>He then cleans the table legs with a brush.</t>
  </si>
  <si>
    <t>He sits at the table talking for another moment.</t>
  </si>
  <si>
    <t>The scene changes and the man is seen standing in a garage.</t>
  </si>
  <si>
    <t>v_FAPMunnTNsE</t>
  </si>
  <si>
    <t>Two people are seen riding in a canoe pushing a paddle along the water and looking into the camera.</t>
  </si>
  <si>
    <t>More clips are shown of the scenery as well as the people riding around and meeting up with others.</t>
  </si>
  <si>
    <t>v_-5Yp-vToI2E</t>
  </si>
  <si>
    <t>A large group of people are seen standing around a ballet room and leads into four performing a dance.</t>
  </si>
  <si>
    <t>The four continuously move together while holding hands and doing the same moves.</t>
  </si>
  <si>
    <t>The girls laugh together and continue dancing and ending by holding a pose.</t>
  </si>
  <si>
    <t>v_zPl4spxrvg4</t>
  </si>
  <si>
    <t>A woman walks into frame speaking to the camera and pointing to a sign that leads into her speaking with a man in front of a bow and arrow.</t>
  </si>
  <si>
    <t>The man speaks to her and puts bowing equipment on the woman and holds out the bow for her.</t>
  </si>
  <si>
    <t>He teaches her how to properly hold the bow and the woman takes several turns shooting the bow and arrow.</t>
  </si>
  <si>
    <t>She cheers and continues shooting while the man speaks to her and shakes her hand as they walk away.</t>
  </si>
  <si>
    <t>v_svSM-UqjNWE</t>
  </si>
  <si>
    <t>A woman is seen sitting under an umbrella with a hookah stick in her mouth.</t>
  </si>
  <si>
    <t>She takes a couple puffs from the stick while blowing it into the camera and speaking to the camera.</t>
  </si>
  <si>
    <t>v_pu-2w-UxdYg</t>
  </si>
  <si>
    <t>The woman wipes down the furniture with acetone.</t>
  </si>
  <si>
    <t>Woman sprays silicone on table and wipes it off.</t>
  </si>
  <si>
    <t>Woman compares old section to cleaned section.</t>
  </si>
  <si>
    <t>v_f2LGG2ocbu8</t>
  </si>
  <si>
    <t>A large group of people are seen sitting around a pit with one man spinning around and throwing a ball off into the distance.</t>
  </si>
  <si>
    <t>People around him clap while more stand around and talk as well as watch the balls be thrown.</t>
  </si>
  <si>
    <t>The people grab the ball from the ground over and over again while occasionally looking over to the camera and panning back to the large crowd.</t>
  </si>
  <si>
    <t>v_NyNuB328oi0</t>
  </si>
  <si>
    <t>A ball is shown flying up in the sky while a large group of people stand around.</t>
  </si>
  <si>
    <t>A person is then seen grabbing the ball on the ground.</t>
  </si>
  <si>
    <t>The person catches the ball and the clip is shown again in slow motion.</t>
  </si>
  <si>
    <t>v_4avZ79LB5n4</t>
  </si>
  <si>
    <t>At an outdoor poor facility people are in the pool and others are outside standing by.</t>
  </si>
  <si>
    <t>There are two boys on the diving board preparing to jump down.</t>
  </si>
  <si>
    <t>They get in a unique position and then simultaneously dive in together.</t>
  </si>
  <si>
    <t>They make a huge splash as they land inside the water.</t>
  </si>
  <si>
    <t>v_InHt3sukfeg</t>
  </si>
  <si>
    <t>A picture of a patio set is shown followed by a woman scrubbing down the tables and chairs.</t>
  </si>
  <si>
    <t>She wipes them down with a rag and then shakes up a can and spray paints the furniture.</t>
  </si>
  <si>
    <t>More close ups are shown of the furniture while text instructions pan over the screen.</t>
  </si>
  <si>
    <t>v_5qh_gx81Bd8</t>
  </si>
  <si>
    <t>A man stands in a dance studio and shows how he sets up for different dance postures.</t>
  </si>
  <si>
    <t>The man in white tshirt does a spins while break dancing.</t>
  </si>
  <si>
    <t>v_Lk_Xe9yQ8Zc</t>
  </si>
  <si>
    <t>man is in stage in the news.</t>
  </si>
  <si>
    <t>people are in street jumping the rope and dancing while people gathered around them are watching them.</t>
  </si>
  <si>
    <t>an old chinese woman is being interviewed.</t>
  </si>
  <si>
    <t>old man is talking to the camera.</t>
  </si>
  <si>
    <t>woman is holding a microphone talking to the camera jumping the rope.</t>
  </si>
  <si>
    <t>woman is jumping the rope and doing somersaults.</t>
  </si>
  <si>
    <t>women are being interviewed and behind her people are jumping the rope.</t>
  </si>
  <si>
    <t>people are in stage in competition jumping the rope.</t>
  </si>
  <si>
    <t>women are in street being interviewed and people keep jumping the rope.</t>
  </si>
  <si>
    <t>v_of4bEaqQzOk</t>
  </si>
  <si>
    <t>The man in blue leotard raised the barbel, but he let go of the barbel and he fell on his back.</t>
  </si>
  <si>
    <t>The man in red leotard carried the barbel all the way up his head the crowd cheered.</t>
  </si>
  <si>
    <t>The athlete raised his barbel but wasn't able to go all the way up his head.</t>
  </si>
  <si>
    <t>The crowd is cheering while the athletes are able to raise the barbel all up his head.</t>
  </si>
  <si>
    <t>v_cC1nvRqyXWs</t>
  </si>
  <si>
    <t>A man in blue gym shorts iron his clothes on an ironing board at home.</t>
  </si>
  <si>
    <t>The man sits down on the floor and folds his clothes and stacks them up.</t>
  </si>
  <si>
    <t>The man leaves the room and the room goes dark.</t>
  </si>
  <si>
    <t>v_rbLCMaf3phk</t>
  </si>
  <si>
    <t>A man stands in a large arena.</t>
  </si>
  <si>
    <t>She throws a heavy ball really far.</t>
  </si>
  <si>
    <t>He does this again and again.</t>
  </si>
  <si>
    <t>He throws the balls really far.</t>
  </si>
  <si>
    <t>v_Pso333FAp2w</t>
  </si>
  <si>
    <t>Outside a dog is laying down on the pavement when a human picks up a frisbee and throws it.</t>
  </si>
  <si>
    <t>The dog excitedly runs after it and come running back with it, bringing it back to his human.</t>
  </si>
  <si>
    <t>He disappears for a little bit and then you see him excitedly get ready to run for it again.</t>
  </si>
  <si>
    <t>Once he see's the frisbee flying he starts to run for it and brings it back every time.</t>
  </si>
  <si>
    <t>v_t3Zg4mSksXk</t>
  </si>
  <si>
    <t>There are a few teenage boys skateboarding on a quiet streets in a neighborhood.</t>
  </si>
  <si>
    <t>They are going down the street, trying some stunts on the skateboard.</t>
  </si>
  <si>
    <t>There are a some leaves fallen on the curb.</t>
  </si>
  <si>
    <t>One of the boys bends down and skates in a seated position.</t>
  </si>
  <si>
    <t>The boys continue skateboarding through the streets, going past houses in the residential area.</t>
  </si>
  <si>
    <t>v_H6hb3SIqdL4</t>
  </si>
  <si>
    <t>A man in a striped shirt prepares to throw dart at a dart board.</t>
  </si>
  <si>
    <t>The man throws three darts at the dartboard.</t>
  </si>
  <si>
    <t>The camera man pans to the side of the dartboard and zooms in on the darts as the man in the striped shirt reaches for the dart board.</t>
  </si>
  <si>
    <t>v_S9QG5MAga68</t>
  </si>
  <si>
    <t>An ad for Vidal Sassoon appears.</t>
  </si>
  <si>
    <t>We then see their curling iron and hot roller set.</t>
  </si>
  <si>
    <t>A demonstration is shown for how to set and use the hot rollers and iron on a woman's hair.</t>
  </si>
  <si>
    <t>Her hair is shown in pretty curls all around her head.</t>
  </si>
  <si>
    <t>v_uRBE-ANigvs</t>
  </si>
  <si>
    <t>An intro shot of various athletes are shown.</t>
  </si>
  <si>
    <t>A man is then shown throwing a discus on a large field.</t>
  </si>
  <si>
    <t>Another man is also shown doing the same with a still shot of him afterwards showing his posture and his throw in slow motion.</t>
  </si>
  <si>
    <t>He is then shown walking away and feeling very confident about what he just accomplished.</t>
  </si>
  <si>
    <t>v_4kbtdUz2M3M</t>
  </si>
  <si>
    <t>Various people are seen wandering around a beach, followed by waves moving along the water and people sitting in the water.</t>
  </si>
  <si>
    <t>Several people surfing the waves while people on the sidelines watch the athletes move.</t>
  </si>
  <si>
    <t>v_00S8I27qDU4</t>
  </si>
  <si>
    <t>A lady holds a javelin on a track she puts it down.</t>
  </si>
  <si>
    <t>The scene starts over and we see a lady throw a javelin and walk away.</t>
  </si>
  <si>
    <t>We then see the throw measured and a man walks up as talks to the girl.</t>
  </si>
  <si>
    <t>v__8m1tlowwKM</t>
  </si>
  <si>
    <t>A man with long sideburns wearing a red colored robe is playing the piano.</t>
  </si>
  <si>
    <t>there's another man in a blue shirt standing near him, busy engaged in packing some bags.</t>
  </si>
  <si>
    <t>The main in red continues playing the piano as the other man carries two bags and leaves.</t>
  </si>
  <si>
    <t>The man stops playing the piano and waves to the other person as he gets up and leaves.</t>
  </si>
  <si>
    <t>v_TdZOfBHjU5g</t>
  </si>
  <si>
    <t>There's a person wearing blue latex gloves polishing a hexagonal wooden table to demonstrate French polishing technique.</t>
  </si>
  <si>
    <t>He is using a polishing sponge to polish the table top surface in circular motion.</t>
  </si>
  <si>
    <t>He then goes in up and down motion over the table surface to make it shiny.</t>
  </si>
  <si>
    <t>He meticulously goes over the entire surface making sure no part of the table is left untouched.</t>
  </si>
  <si>
    <t>He then starts polishing the surface of a dinning room buffet that has bamboo finish doors.</t>
  </si>
  <si>
    <t>He again polishes in circular motions on the top surface.</t>
  </si>
  <si>
    <t>v_cRpzDPS6zeY</t>
  </si>
  <si>
    <t>A man and a woman are performing a couple's dance routine while other couples dance around them.</t>
  </si>
  <si>
    <t>A group of onlookers watch the couples spin around and continue the dance routine.</t>
  </si>
  <si>
    <t>v_HGqaDftZe5s</t>
  </si>
  <si>
    <t>We see small kids ride BMX bikes on a dirt track in an arena.</t>
  </si>
  <si>
    <t>The kids ride past the camera.</t>
  </si>
  <si>
    <t>The kids start passing the finish line.</t>
  </si>
  <si>
    <t>v_p4MMyVArVc0</t>
  </si>
  <si>
    <t>A woman is balancing on a tight rope outdoors.</t>
  </si>
  <si>
    <t>The woman is showing various acrobatic moves.</t>
  </si>
  <si>
    <t>The woman is bouncing on the wire.</t>
  </si>
  <si>
    <t>An animal is in the field in the background.</t>
  </si>
  <si>
    <t>v_OT98MiVje0g</t>
  </si>
  <si>
    <t>A close up is seen of Christmas decorations.</t>
  </si>
  <si>
    <t>A man in Santa Claus costume plays a drum set in a home with a lit up Christmas tree.</t>
  </si>
  <si>
    <t>The man dressed up as Santa finishes playing the song on drums.</t>
  </si>
  <si>
    <t>v_DeHIqrMlsU8</t>
  </si>
  <si>
    <t>The video begins with several shots of a person riding down a hill on a skateboard and doing tricks.</t>
  </si>
  <si>
    <t>The boy continues to ride around on a skateboard doing flips and tricks and the camera capturing him from several angles.</t>
  </si>
  <si>
    <t>v_haUWdHvwpUo</t>
  </si>
  <si>
    <t>A man is giving instructions about playing the congo.</t>
  </si>
  <si>
    <t>He speaks with his hands and then he taps the top of the congo very lightly.</t>
  </si>
  <si>
    <t>He starts to tap lightly on the congo at a very slow tempo and after a little bit of doing that he stops to start talking again.</t>
  </si>
  <si>
    <t>Finally, he starts using both of his hands to build up an actual beat and talks some more about it.</t>
  </si>
  <si>
    <t>v_JQf_oSGY8q4</t>
  </si>
  <si>
    <t>There's a woman dressed in black playing billiards in front of some spectators.</t>
  </si>
  <si>
    <t>After she's done another lady takes her turn and hits a few shots.</t>
  </si>
  <si>
    <t>The second contestant aims and shoots the ball in the hole.</t>
  </si>
  <si>
    <t>She aims precisely and shoots the balls in the holes one by one, without missing a single shot.</t>
  </si>
  <si>
    <t>She continues to concentrate and shoots the balls till only one ball is left on the billiards table.</t>
  </si>
  <si>
    <t>v_cErtrZrWhiQ</t>
  </si>
  <si>
    <t>Two men dressed in suits are facing one another with a hand on each others back, and holding hands with the other one and they dance in one direction, then back in another and then laugh and separate.</t>
  </si>
  <si>
    <t>Right where the men separate from dancing there is an Asian woman that is now the focus as she plays on an accordion keyboard.</t>
  </si>
  <si>
    <t>The woman stops playing, laughs and looks and says something.</t>
  </si>
  <si>
    <t>v_gPjH9C9wdJw</t>
  </si>
  <si>
    <t>A man is holding a guitar and looks back and fourth between the camera and the guitar.</t>
  </si>
  <si>
    <t>He moves his hands up and down the neck of the guitar and sings softly to the camera.</t>
  </si>
  <si>
    <t>v_fBxpQxIqGN8</t>
  </si>
  <si>
    <t>A person in pink does tai chi.</t>
  </si>
  <si>
    <t>She moves around but is basically doing the same basic thing.</t>
  </si>
  <si>
    <t>She stops and is still at the end.</t>
  </si>
  <si>
    <t>v_IGXq7a7Jl7s</t>
  </si>
  <si>
    <t>Several athletes compete for the javelin world championships.</t>
  </si>
  <si>
    <t>The Russia Dimitri is 3rd bronze medal in the competition.</t>
  </si>
  <si>
    <t>the Japanese Jenki is silver medal.</t>
  </si>
  <si>
    <t>Till from Germany won the gold medal.</t>
  </si>
  <si>
    <t>v_nvFtFFJXxB0</t>
  </si>
  <si>
    <t>An intro leads into hands seen playing a musical instrument while pausing the point on the instrument.</t>
  </si>
  <si>
    <t>He continues moving his hands around to play and is then seen speaking to the camera.</t>
  </si>
  <si>
    <t>v_rZ8tVgFyY84</t>
  </si>
  <si>
    <t>A man wearing surgical clothes demonstrates the proper way to wash hands for surgical procedures and first removes jewelry.</t>
  </si>
  <si>
    <t>The surgeon then wets his hands and ads soap.</t>
  </si>
  <si>
    <t>The surgeon then rubs the palms together and builds a lather.</t>
  </si>
  <si>
    <t>He then rubs back of hand with palm.</t>
  </si>
  <si>
    <t>The surgeon then rubs the back of fingers with hands.</t>
  </si>
  <si>
    <t>He then rubs the thumbs with the palm clasping thumb.</t>
  </si>
  <si>
    <t>Then he rubs the tips of the fingers into palm.</t>
  </si>
  <si>
    <t>Then he rubs the wrists and rinses the hands in wter and fully dries his hands.</t>
  </si>
  <si>
    <t>v_VqeeqABnpQk</t>
  </si>
  <si>
    <t>A dancer stands up from a chair.</t>
  </si>
  <si>
    <t>He pushes the chair towards him female dance partner.</t>
  </si>
  <si>
    <t>She sits on the chair.</t>
  </si>
  <si>
    <t>He walks towards her, picking her up from the chair and they dance.</t>
  </si>
  <si>
    <t>People in the audience applaud.</t>
  </si>
  <si>
    <t>v_CAW0CEuyvZo</t>
  </si>
  <si>
    <t>A girl is in front of a camera.</t>
  </si>
  <si>
    <t>She applies light pink lip gloss to her lips.</t>
  </si>
  <si>
    <t>v_xS6elK6Khs4</t>
  </si>
  <si>
    <t>A man is seen sitting in front of a fence sitting on a skateboard and speaking to the camera.</t>
  </si>
  <si>
    <t>Several shots are then shown of him speaking to the camera and performing various skateboarding tricks around a park.</t>
  </si>
  <si>
    <t>v_QIkDYInr17A</t>
  </si>
  <si>
    <t>Two young children are seen standing behind a table with one peeling lemons and a boy watching on the side.</t>
  </si>
  <si>
    <t>Another child is seen squeezing lemons and zooms in on the kids working.</t>
  </si>
  <si>
    <t>The kids continue to squeeze the lemon while looking and waving to the camera and speaking on the side.</t>
  </si>
  <si>
    <t>v_IwViXKNNBEU</t>
  </si>
  <si>
    <t>A man prepares himself to throw a discus.</t>
  </si>
  <si>
    <t>Multiple people walk around and talk in the background.</t>
  </si>
  <si>
    <t>The man spins and throws the discus.</t>
  </si>
  <si>
    <t>v_vWULU8NttX8</t>
  </si>
  <si>
    <t>A group of bike riders are seen standing ready side by side with one another and speaking to a man in front.</t>
  </si>
  <si>
    <t>The camera continues to pan around the riders getting ready and finally jumping down and racing along the dirt path.</t>
  </si>
  <si>
    <t>v_cffsp2tCT5k</t>
  </si>
  <si>
    <t>A young girl is seen cutting a hole in the top of a pumpkin followed by her scooping out seeds and cutting out the sides.</t>
  </si>
  <si>
    <t>The girl wipes off the pumpkin and puts on the top and shows the pumpkin in the dark.</t>
  </si>
  <si>
    <t>v_APuN4vwgKJ4</t>
  </si>
  <si>
    <t>A woman standing at a counter speaking about making chocolate chip cookies.</t>
  </si>
  <si>
    <t>She combines and mixes the ingredients with a hand mixer.</t>
  </si>
  <si>
    <t>She then places flour into a bowl after she measures it along with baking soda.</t>
  </si>
  <si>
    <t>She adds it to the cookies dough and mixes it by hand then adds in the chocolate chips.</t>
  </si>
  <si>
    <t>She then measures out dough that is on a baking sheet for cooking.</t>
  </si>
  <si>
    <t>Placed in the oven and after they cool you have cookies.</t>
  </si>
  <si>
    <t>v_DXluU6_7OXQ</t>
  </si>
  <si>
    <t>A girl stands up from a table in a kitchen.</t>
  </si>
  <si>
    <t>She and another girl have glasses and spoons.</t>
  </si>
  <si>
    <t>They proceed to eat the substance as they sit on the floor.</t>
  </si>
  <si>
    <t>v_GldxuTsExZM</t>
  </si>
  <si>
    <t>A person holding a moose moves the puppet and leads into someone opening a box.</t>
  </si>
  <si>
    <t>The person pulls pumpkins out of the box and cuts a circle around the top.</t>
  </si>
  <si>
    <t>He scoops the seeds out of the pumpkin while using the moose and uses a marker to draw on its side.</t>
  </si>
  <si>
    <t>He cuts around the marker lines and puts a candle inside to make a jack o lantern.</t>
  </si>
  <si>
    <t>v_xBtydVn3MVI</t>
  </si>
  <si>
    <t>A man films himself standing in a bathroom while holding a razor close to his face.</t>
  </si>
  <si>
    <t>He begins gently shaving the sides of his face and moves down towards his beard.</t>
  </si>
  <si>
    <t>He continues shaving the beard from all angles and eventually leaves nothing but a five 0 lock shadow.</t>
  </si>
  <si>
    <t>v_YtFGG_7A_UU</t>
  </si>
  <si>
    <t>A middle aged white female is standing in a lobby of some sort next to a picture talking.</t>
  </si>
  <si>
    <t>She then reappears in another room of the same place and is talking in front of a mirror,vase,and plant.</t>
  </si>
  <si>
    <t>In her hand,she has a small circular container with shoe polish it and takes a rag and dips the rag in the container.</t>
  </si>
  <si>
    <t>The woman then proceeds to clean the male dress shoe with the cloth and polish.</t>
  </si>
  <si>
    <t>She then takes a brush and start going over the shoe with it and pauses briefly and begins talking.</t>
  </si>
  <si>
    <t>v_r5oPTDuHhoE</t>
  </si>
  <si>
    <t>A group of girls are shown standing around a field huddled up together.</t>
  </si>
  <si>
    <t>The next shots are of the girls running around the field passing the ball back and fourth.</t>
  </si>
  <si>
    <t>A girl shoots the ball into the goal and achieves a point.</t>
  </si>
  <si>
    <t>Another later tries to shoot a goal but is blocked by the goalie.</t>
  </si>
  <si>
    <t>v_A8q6beSMpEE</t>
  </si>
  <si>
    <t>A man is holding windex near his car door.</t>
  </si>
  <si>
    <t>The man then sprays the window with windex and wipes the window.</t>
  </si>
  <si>
    <t>The man rolls the window up.</t>
  </si>
  <si>
    <t>The man finishes and rolls the window down to wipe it some more.</t>
  </si>
  <si>
    <t>v_WX1TLuHXCd8</t>
  </si>
  <si>
    <t>Guys are playing lacrosse on a field.</t>
  </si>
  <si>
    <t>A guy pushes a male to the ground.</t>
  </si>
  <si>
    <t>v_FMtUqoxfR50</t>
  </si>
  <si>
    <t>A special effect intro screen appears, it's mainly red and contains words on it that say "How to Improve Your Volleyball Spike".</t>
  </si>
  <si>
    <t>In slow motion a man is on a volleyball court demonstrating moves as white text appears as he does certain movements.</t>
  </si>
  <si>
    <t>When he's done a red screen appears that include a website in white text that say's "AcuSpike dot com" and it includes a blue clip art going through it along with a white volleyball.</t>
  </si>
  <si>
    <t>v_SO67XxdevPw</t>
  </si>
  <si>
    <t>An African American male gymnast in a blue leotard steps under two bars and begins stretching.</t>
  </si>
  <si>
    <t>He grabs the bars and pulls himself up into a hand stand on the bars.</t>
  </si>
  <si>
    <t>He continues to do acrobatic flips and continuous flips.</t>
  </si>
  <si>
    <t>His next set of flips consists of splits over the bars,followed by hand stands.</t>
  </si>
  <si>
    <t>Finally, he flips off the bars and lands on the mat to complete his performance.</t>
  </si>
  <si>
    <t>v_hFtmkU7wdx4</t>
  </si>
  <si>
    <t>A sky with the sun is peeking through the clouds.</t>
  </si>
  <si>
    <t>A man is on a track in front of a crowd.</t>
  </si>
  <si>
    <t>He runs, doing a long jump in slow motion.</t>
  </si>
  <si>
    <t>He celebrates as he wins the medal.</t>
  </si>
  <si>
    <t>A man is shown talking about him.</t>
  </si>
  <si>
    <t>The credits appear at the end.</t>
  </si>
  <si>
    <t>v_t6vWMTMooDc</t>
  </si>
  <si>
    <t>A man and a woman are standing in a living room with large sumo costumes on.</t>
  </si>
  <si>
    <t>The girl jumps up and then the man tries it to see how heavy the uniform is.</t>
  </si>
  <si>
    <t>Next,the man holds up a bag of lemons and begin to talk before they put their head equipment on.</t>
  </si>
  <si>
    <t>Now,it is time for the match and they begin wrestling with one another.</t>
  </si>
  <si>
    <t>However,they've added a feature to the match and each person has to put lemons in the other's hat to gain points.</t>
  </si>
  <si>
    <t>After several attempts,the girl wins and the score is 4 to 0.</t>
  </si>
  <si>
    <t>Now begins round two and the outcome is the same as the girl cheats to win.</t>
  </si>
  <si>
    <t>v_FmugQfHQ4p0</t>
  </si>
  <si>
    <t>Two vacuums appear in a gray room.</t>
  </si>
  <si>
    <t>One of the vacuums disappears.</t>
  </si>
  <si>
    <t>A lady vacuums her house then empties the vacuum.</t>
  </si>
  <si>
    <t>The lady puts the vacuum in a closet.</t>
  </si>
  <si>
    <t>We see a room full of desks and engineers designing products.</t>
  </si>
  <si>
    <t>Three Dyson fans swivel toward the camera.</t>
  </si>
  <si>
    <t>v_pt6XC-p_CFE</t>
  </si>
  <si>
    <t>A woman is seen speaking to the camera and holding up a tin.</t>
  </si>
  <si>
    <t>She then folds a piece of paper into an airplane and rubs it along the pan.</t>
  </si>
  <si>
    <t>She then puts a container into the pan while speaking to the camera.</t>
  </si>
  <si>
    <t>v_0PyY_iHBZHk</t>
  </si>
  <si>
    <t>A man is seen speaking to the camera while showing shots of people playing water polo.</t>
  </si>
  <si>
    <t>More clips are shown of people hitting the ball as well as the host speaking to another man.</t>
  </si>
  <si>
    <t>More clips are shown of people playing in the pool and laughing with one another.</t>
  </si>
  <si>
    <t>v_J4FBxa5FWSo</t>
  </si>
  <si>
    <t>A man runs on a pair of stilts down an alley.</t>
  </si>
  <si>
    <t>He bounces over a bike as he runs.</t>
  </si>
  <si>
    <t>He then runs up the side trim of a building before disappearing around the corner.</t>
  </si>
  <si>
    <t>v_0O589B9zr84</t>
  </si>
  <si>
    <t>Cartoon buildings are shown, then a pair of angels.</t>
  </si>
  <si>
    <t>We see a bucket filled with laundry.</t>
  </si>
  <si>
    <t>The video explains how washing clothes should involve soaking and brushing, and hand washing.</t>
  </si>
  <si>
    <t>Then it talks about rinsing and hanging the clothing to dry.</t>
  </si>
  <si>
    <t>We finally see an empty dryer before an ad for Laundry Bin Heaven.</t>
  </si>
  <si>
    <t>v_smYAy6TYS3M</t>
  </si>
  <si>
    <t>A group of small children are on a playground.</t>
  </si>
  <si>
    <t>They take turns hopping across a game of hopscotch drawn on the sidewalk.</t>
  </si>
  <si>
    <t>They continue taking turns over and over.</t>
  </si>
  <si>
    <t>v_jE0XAclET5w</t>
  </si>
  <si>
    <t>A man is doing a rubiks cube behind a table.</t>
  </si>
  <si>
    <t>There is a timer on the table in front of him.</t>
  </si>
  <si>
    <t>He picks up another rubiks cube and starts completing it.</t>
  </si>
  <si>
    <t>v_drarkco9LfQ</t>
  </si>
  <si>
    <t>A man is about to do an arm wrestling match with an older gentlemen.</t>
  </si>
  <si>
    <t>The older man is struggling from the faces that he is making.</t>
  </si>
  <si>
    <t>The camera's are getting all in their faces basically.</t>
  </si>
  <si>
    <t>The older man wins the match and the referees and everyone start to talk.</t>
  </si>
  <si>
    <t>v_COeXmBZpLSE</t>
  </si>
  <si>
    <t>An intro to Dancing with the Stars shows followed by a man playing piano and a couple looking off into the distance.</t>
  </si>
  <si>
    <t>The woman begins playing the piano when the man standing plays and grabs her.</t>
  </si>
  <si>
    <t>They twirl around a large stage surrounded by hundreds of people watching them dance.</t>
  </si>
  <si>
    <t>The man picks her up and twirls her around the music and ends with audience clapping.</t>
  </si>
  <si>
    <t>v_800KXmqsK-w</t>
  </si>
  <si>
    <t>A group of people riding bumper cars.</t>
  </si>
  <si>
    <t>The attendant crosses the course dodging the bumper cars.</t>
  </si>
  <si>
    <t>The attendant hops onto a girls car and helps her maneuver the car.</t>
  </si>
  <si>
    <t>The attendant continues running across the course assisting drivers while the the other drivers continue to crash into each other.</t>
  </si>
  <si>
    <t>v_37siIMJNG9Y</t>
  </si>
  <si>
    <t>A young girl is sitting down in front of a screen and begins talking as she is holding a bottle of blue mouthwash.</t>
  </si>
  <si>
    <t>The girl then takes the mouthwash and starts to put it over head and playing with is while making funny faces.</t>
  </si>
  <si>
    <t>After taking about it,the girls takes a gulp of it and starts to gargle it and holds it in her mouth.</t>
  </si>
  <si>
    <t>Finally,she spits it out and takes a drink of water before the replay is shown.</t>
  </si>
  <si>
    <t>v_6uNhwOSZXco</t>
  </si>
  <si>
    <t>A man in a snow jacket is seated in a ski lift.</t>
  </si>
  <si>
    <t>A man in yellow jacket holds a rubber inter tube with a rope and a child in ski clothes sits down inside.</t>
  </si>
  <si>
    <t>The man pushes the child down a ski slope.</t>
  </si>
  <si>
    <t>The child goes down a set of hills on the intertube.</t>
  </si>
  <si>
    <t>A woman attempts to stop the child then retrieves his intertube.</t>
  </si>
  <si>
    <t>A group of young girls and boy pull intertubes up a hill.</t>
  </si>
  <si>
    <t>A child in green jacket gets into an intertube.</t>
  </si>
  <si>
    <t>The child is pushed down the ski slope and sleds to the bottom.</t>
  </si>
  <si>
    <t>A woman in grey sweatshirt retrieves the intertube at the bottom of the slope.</t>
  </si>
  <si>
    <t>A boy in green jacket is pushed down the ski slope.</t>
  </si>
  <si>
    <t>A woman an grey sweatshirt retrieves the intertube at the bottom of the slope.</t>
  </si>
  <si>
    <t>v_9vqOA8KVcME</t>
  </si>
  <si>
    <t>A lady talks to the camera.</t>
  </si>
  <si>
    <t>We see the lady hold up bottle of witch hazel and a cotton pad and talks.</t>
  </si>
  <si>
    <t>The lady holds up a bottle of lotion.</t>
  </si>
  <si>
    <t>We see the lady put lotion on her face and then hold a small bottle of serum she puts on her face.</t>
  </si>
  <si>
    <t>We see teh lady with makeup on talking to the camera.</t>
  </si>
  <si>
    <t>v_KYtV2vpwuVw</t>
  </si>
  <si>
    <t>1 A camera man watches men on bikes that are about to race.</t>
  </si>
  <si>
    <t>2 The race begins with the guys on bikes.</t>
  </si>
  <si>
    <t>3 One man wipes out.</t>
  </si>
  <si>
    <t>4 The race ends and the guys take their bikes.</t>
  </si>
  <si>
    <t>v_HRbBaePTCR8</t>
  </si>
  <si>
    <t>A man is driving a boat, then two men are sitting on the side of the boat, the man in black life vest is on the side of the boat then let go off the boat then start to wakeboard while he is holding on to the harness.</t>
  </si>
  <si>
    <t>The man continue to wake board, he flipped over and then wake board on the water.</t>
  </si>
  <si>
    <t>v_QjoEYtjPa3w</t>
  </si>
  <si>
    <t>We see an opening instruction screen.</t>
  </si>
  <si>
    <t>We see a person holding a contact lens.</t>
  </si>
  <si>
    <t>We see another instruction screen and see the person inserts the lens on the left.</t>
  </si>
  <si>
    <t>Another screen of instructions and the person inserts the right lens.</t>
  </si>
  <si>
    <t>Two sets of Instructions appear an the person removes the left and right lens.</t>
  </si>
  <si>
    <t>the person waves bye to the camera.</t>
  </si>
  <si>
    <t>v_5z6q_Ix3kWI</t>
  </si>
  <si>
    <t>A man is skiing very fast down a hillside and hops one for fun.</t>
  </si>
  <si>
    <t>He is now walking back up the mountain with difficulty.</t>
  </si>
  <si>
    <t>He skiis and walks up various hills.</t>
  </si>
  <si>
    <t>Skiis down a rather large hillside or mountain.</t>
  </si>
  <si>
    <t>He jumps off a hill and tries to do a 360 but falls.</t>
  </si>
  <si>
    <t>He skiis between some trees and on a path.</t>
  </si>
  <si>
    <t>v_32EWNGHBctI</t>
  </si>
  <si>
    <t>A professional tennis match is played during a tournament.</t>
  </si>
  <si>
    <t>The players talk on headsets during the match.</t>
  </si>
  <si>
    <t>A man prepares to serve the ball to start the match.</t>
  </si>
  <si>
    <t>The man serves the ball and scores a point.</t>
  </si>
  <si>
    <t>The opposing team has a turn to serve the ball.</t>
  </si>
  <si>
    <t>v_9SEc3QVBCo4</t>
  </si>
  <si>
    <t>A man is working outside a house.</t>
  </si>
  <si>
    <t>He uses a hammer and clamp on the shingles.</t>
  </si>
  <si>
    <t>He knocks each shingle off the house with the hammer.</t>
  </si>
  <si>
    <t>v_g5BPyMdlurg</t>
  </si>
  <si>
    <t>First this girl does a back bend and then another girl does a back walkover.</t>
  </si>
  <si>
    <t>Then someone else does a cartwheel and that same person does a round off.</t>
  </si>
  <si>
    <t>next someone does a front walkover and another girl does a standing back handspring along with other people who are doing gymnastic moves.</t>
  </si>
  <si>
    <t>v_bSBmunE-1KQ</t>
  </si>
  <si>
    <t>A man wearing a bag is seen speaking to the camera and leads into a group of people riding in a raft.</t>
  </si>
  <si>
    <t>One person paddles around and turns the ground around, leading back into the man speaking to the camera.</t>
  </si>
  <si>
    <t>v_gCuRcP4txc0</t>
  </si>
  <si>
    <t>A group of drummers dressed in all white outfits perform a song.</t>
  </si>
  <si>
    <t>An instructor stands in front of the group giving instructions.</t>
  </si>
  <si>
    <t>v_oBZ_oAUGO0E</t>
  </si>
  <si>
    <t>man is sitting in an ofice talking to the camera.</t>
  </si>
  <si>
    <t>a tattoo is shown in a back of a man and the man is tattoing him.</t>
  </si>
  <si>
    <t>man is standing laying no a stand getting a tatto on his back.</t>
  </si>
  <si>
    <t>v_eElKkhIJXCs</t>
  </si>
  <si>
    <t>A group of kids are playing on a field.</t>
  </si>
  <si>
    <t>The coaches talk to them as they run.</t>
  </si>
  <si>
    <t>They engage in a game of lacrosse together.</t>
  </si>
  <si>
    <t>v_oWaqaK58Tds</t>
  </si>
  <si>
    <t>A large group of people are seen standing on ice followed by various shots of curling tools and people playing the sport.</t>
  </si>
  <si>
    <t>A man is seen putting shoes on, walking along the ice while another helps him walk.</t>
  </si>
  <si>
    <t>The men continue to teach him how to glide along the ice and and use the brush to move the puck.</t>
  </si>
  <si>
    <t>v_tzbJ_CETeG8</t>
  </si>
  <si>
    <t>A group of men are in a sandy desert.</t>
  </si>
  <si>
    <t>They climb on top of camels and ride them.</t>
  </si>
  <si>
    <t>They ride the camels toward a set of pyramids.</t>
  </si>
  <si>
    <t>v_pwoy7UXdnAE</t>
  </si>
  <si>
    <t>We see a title screen fade in and out.</t>
  </si>
  <si>
    <t>A man and a dog walk in a training room.</t>
  </si>
  <si>
    <t>The man throws Frisbees for the dog to catch.</t>
  </si>
  <si>
    <t>The dog stands to catch the Frisbee the leans on the man.</t>
  </si>
  <si>
    <t>The dog jumps into the man's arms.</t>
  </si>
  <si>
    <t>v_L9dtiopWGe4</t>
  </si>
  <si>
    <t>A table of various cut fruits appear on screen with the title "Making Drinks".</t>
  </si>
  <si>
    <t>A person cuts and squeezes lemons followed by the title "Making Lemonade Is Easy and Fun".</t>
  </si>
  <si>
    <t>Different items needed to make lemonade are shown and titled followed by interviews.</t>
  </si>
  <si>
    <t>Each step of making lemonade is shown and titled.</t>
  </si>
  <si>
    <t>People are interviewed drinking the lemonade.</t>
  </si>
  <si>
    <t>A "Citrus Saturday" logo appears with various supporting organization logos beneath.</t>
  </si>
  <si>
    <t>v_wideKBXF-60</t>
  </si>
  <si>
    <t>An intro appears showing empty glasses, a card that say's "Audi Polo Challenge 2014", an Audi flag blowing in the wind, close up shots of a white horse, people with drinks, cars driving, polo riders getting on their horses, and a large group of people near and in a tent both standing and sitting.</t>
  </si>
  <si>
    <t>The polo match begins and the men are riding on hroses that are going very fast as they all attempt to hit the ball with their sticks.</t>
  </si>
  <si>
    <t>There are a lot of celebrities and even royalty at this polo event and every now and then they are shown, and sometimes they are also interviewed.</t>
  </si>
  <si>
    <t>Between matches the people all go out into the grass and put the patches of grass back into the holes that are missing them, and the polo game continues for another round.</t>
  </si>
  <si>
    <t>The polo match ends and Prince Harry and Prince William are seen separately receiving a white box from a man, while they talk and shake hands as people clap and take pictures.</t>
  </si>
  <si>
    <t>v_q3NOVbRyFfw</t>
  </si>
  <si>
    <t>People are seen walking in the forest carrying tubes and lead into them sitting in the water.</t>
  </si>
  <si>
    <t>More people climb into the water and sit on top of their tubes.</t>
  </si>
  <si>
    <t>Several close ups are seen of the people riding on the tubes as well as swimming in the water.</t>
  </si>
  <si>
    <t>v_uv7COBs24D8</t>
  </si>
  <si>
    <t>written instructions about how to makea hand lay down are in the screen.</t>
  </si>
  <si>
    <t>man is standing in a basket court dribbling the ball and doing shos to the basket.</t>
  </si>
  <si>
    <t>three basket players are doing shots and showing how to do a two steps technique.</t>
  </si>
  <si>
    <t>v_UaZcqOngDzo</t>
  </si>
  <si>
    <t>Two kids are seen riding in a truck moving down a road as well as shots of landscapes and the kids sitting on bikes.</t>
  </si>
  <si>
    <t>Several shots are shown of the kids riding around a dirt track with one another while the camera captures them all over.</t>
  </si>
  <si>
    <t>v_Taw5ILRt9hI</t>
  </si>
  <si>
    <t>There's a woman with red colored hair wearing a black tank top and printed black tights skating on roller blades through the streets of a city.</t>
  </si>
  <si>
    <t>The streets don't have any cars but people are riding bikes or skateboarding.</t>
  </si>
  <si>
    <t>The woman swiftly skates through the crowded streets as she passes by several tourists walking leisurely.</t>
  </si>
  <si>
    <t>v_8d7FyPzxzjg</t>
  </si>
  <si>
    <t>A man flies in the air with on a motorcycle.</t>
  </si>
  <si>
    <t>A man makes a motocross circuit using a heavy machine.</t>
  </si>
  <si>
    <t>People runs motocross on an bumpy road.</t>
  </si>
  <si>
    <t>people ride a motorcycle on ramps, and then flies and spin in the air.</t>
  </si>
  <si>
    <t>v_8ZPV7ySIcbM</t>
  </si>
  <si>
    <t>men are walking to a bike shop and talks with the man inside.</t>
  </si>
  <si>
    <t>they are assembling different pieces of the bike.</t>
  </si>
  <si>
    <t>man says goodbye and leaves the shop and get home where man carry the bike and put it in a living room.</t>
  </si>
  <si>
    <t>man is wriing on white papers and is fixing the bike on the garage.</t>
  </si>
  <si>
    <t>v_U0p4tW1LoPg</t>
  </si>
  <si>
    <t>A group of people wearing swim caps move around a pool and toss a ball around with a man on the sides waving a flag.</t>
  </si>
  <si>
    <t>They play a game of water polo and throw the ball around to each other.</t>
  </si>
  <si>
    <t>One throws the ball into the net and causes the people on the side to jump and cheer.</t>
  </si>
  <si>
    <t>A video of the event shows in slow motion followed by men on the sidelines watching.</t>
  </si>
  <si>
    <t>v_tJLm2D4J3X0</t>
  </si>
  <si>
    <t>People are running down a track and jumping into a sand pit.</t>
  </si>
  <si>
    <t>People are standing on the side of the track watching them.</t>
  </si>
  <si>
    <t>The man is posing in front of a sign.</t>
  </si>
  <si>
    <t>v_qxQWNu_MN94</t>
  </si>
  <si>
    <t>He jumps off into the pool below him.</t>
  </si>
  <si>
    <t>Another person steps onto the diving board.</t>
  </si>
  <si>
    <t>v_f-uRpjoKGLQ</t>
  </si>
  <si>
    <t>Two people are seen riding along on skis while speaking to one another and leads into them riding down a snowy hill.</t>
  </si>
  <si>
    <t>The people continuously push themselves quickly down a hill moving past several people and ending by stopping at the end.</t>
  </si>
  <si>
    <t>v_4pSWTD4vAz0</t>
  </si>
  <si>
    <t>A dog rides on a boat with his owners.</t>
  </si>
  <si>
    <t>A crab is seen crawling on the bottom of a lake.</t>
  </si>
  <si>
    <t>People water ski behind a boat on a calm lake.</t>
  </si>
  <si>
    <t>The person lets go of the tug rope and glides towards the shore of the lake.</t>
  </si>
  <si>
    <t>The group prepare a chair on a sled with a rope on shore.</t>
  </si>
  <si>
    <t>A man is pulled on a sled from the shore then on the lake.</t>
  </si>
  <si>
    <t>The group removes the sled from the water and lifts it to drain the water.</t>
  </si>
  <si>
    <t>v_rWHm1-o_zL0</t>
  </si>
  <si>
    <t>A shiny mopped floor is shown.</t>
  </si>
  <si>
    <t>A janitor is shown rolling rugs, scraping gum, putting out signs, and mopping floors.</t>
  </si>
  <si>
    <t>He goes into a closet and picks out the cleaner he uses while he talks about it.</t>
  </si>
  <si>
    <t>He sprays water and the cleaning solution into his mop cart.</t>
  </si>
  <si>
    <t>He is then shown mopping the floor with the solution.</t>
  </si>
  <si>
    <t>He takes everything apart and puts it away before washing his hands for the day.</t>
  </si>
  <si>
    <t>v_beASFdYJFUU</t>
  </si>
  <si>
    <t>Women are playing indoor hockey and competing.</t>
  </si>
  <si>
    <t>They begin fighting over the inflatable pucks.</t>
  </si>
  <si>
    <t>They are shown talking to the camera about the game.</t>
  </si>
  <si>
    <t>The women are again shown playing hockey in a competition with one another.</t>
  </si>
  <si>
    <t>A close up is shown of the puck.</t>
  </si>
  <si>
    <t>v_Vckc3ZOollk</t>
  </si>
  <si>
    <t>Several outside views of a casino are shown.</t>
  </si>
  <si>
    <t>Card players and the dealer at a table are shown engaging in a game inside the casino.</t>
  </si>
  <si>
    <t>The dealer deals cards to each player.</t>
  </si>
  <si>
    <t>The dealer reveals the dealer's hand.</t>
  </si>
  <si>
    <t>One man talks to the camera while another man stands nearby.</t>
  </si>
  <si>
    <t>v_ZC65qkYMy9Q</t>
  </si>
  <si>
    <t>Several people are seen standing around an arena while others stand to play shuffleboard.</t>
  </si>
  <si>
    <t>A man pushes a puck along several times while others do the same behind him.</t>
  </si>
  <si>
    <t>The people continue playing and end with a man speaking to the camera in the end.</t>
  </si>
  <si>
    <t>v_U_ZW0tTvf0k</t>
  </si>
  <si>
    <t>A girl is seen laying on a table with a man piercing her belly button below her.</t>
  </si>
  <si>
    <t>The girl screams in pain and the man finishes her piercing while she looks to the camera.</t>
  </si>
  <si>
    <t>v_95L-8JtlwRU</t>
  </si>
  <si>
    <t>A pair of white and red nike shoes are shown.</t>
  </si>
  <si>
    <t>A man is using inserts to prepare the shoes.</t>
  </si>
  <si>
    <t>He then uses a brush and cleaning solution to wash the shoes.</t>
  </si>
  <si>
    <t>v_bBXbFpJMveI</t>
  </si>
  <si>
    <t>We see men skateboarding near a parking lot.</t>
  </si>
  <si>
    <t>We see two men talking to each other.</t>
  </si>
  <si>
    <t>We see the man in khakis stumble and fail repeatedly.</t>
  </si>
  <si>
    <t>We see a man holding a cell phone and talking to the skater.</t>
  </si>
  <si>
    <t>The men shake hands and the cameraman points at the skater.</t>
  </si>
  <si>
    <t>We see the subscribe screen.</t>
  </si>
  <si>
    <t>We see people riding and see a man ride a red toy kids skateboard and the cameraman kicks it across the lot.</t>
  </si>
  <si>
    <t>v_99Mk5a8Tvyk</t>
  </si>
  <si>
    <t>There's a man wearing a red hat and a black shirt training and playing with his dog in a dog park.</t>
  </si>
  <si>
    <t>There are several other people in that park with their dogs, sitting under canopies.</t>
  </si>
  <si>
    <t>The man is throwing a Frisbee for the dog to fetch.</t>
  </si>
  <si>
    <t>The dog is running around and fetching the Frisbee for its owner.</t>
  </si>
  <si>
    <t>The dog jumps up high to catch the Frisbee.</t>
  </si>
  <si>
    <t>The man also throws a ball to the dog for him to fetch.</t>
  </si>
  <si>
    <t>The man lifts the dog up and walks away with it.</t>
  </si>
  <si>
    <t>v_fYIr-1aIHmA</t>
  </si>
  <si>
    <t>We see a black screen and the title.</t>
  </si>
  <si>
    <t>We see a boy holding onto to a pole being pulled by a boat.</t>
  </si>
  <si>
    <t>He gets on his feet and skis.</t>
  </si>
  <si>
    <t>The boy loses his balance and fall off the pole entirely.</t>
  </si>
  <si>
    <t>A girl is next to hold onto the bar of the boat.</t>
  </si>
  <si>
    <t>The girls looks at the camera before she looses her footing and falls off the bar.</t>
  </si>
  <si>
    <t>v_n9Fqjdwh-L8</t>
  </si>
  <si>
    <t>A woman in an orange shirt is doing various karate moves.</t>
  </si>
  <si>
    <t>She does a back flip on the mat.</t>
  </si>
  <si>
    <t>v_E0U3v4WLuEA</t>
  </si>
  <si>
    <t>A man demonstrates how to install some grips onto bicycle handles.</t>
  </si>
  <si>
    <t>First he installs some rings onto the grips themselves.</t>
  </si>
  <si>
    <t>Next he screws on some screws to have them ready.</t>
  </si>
  <si>
    <t>He then slides on the grips onto the handles of the bike.</t>
  </si>
  <si>
    <t>He completes the tightening of the grips with an Alan wrench.</t>
  </si>
  <si>
    <t>Last he inserts plugs into the end of the grips and the handle bars.</t>
  </si>
  <si>
    <t>v_1SdH6HFnOZA</t>
  </si>
  <si>
    <t>men are playing beach football in a empty court.</t>
  </si>
  <si>
    <t>man kick another player on the head and he holds his head.</t>
  </si>
  <si>
    <t>v_jPLJAYnjsBw</t>
  </si>
  <si>
    <t>Two woman are riding in a car.</t>
  </si>
  <si>
    <t>The passenger is talking to the camera.</t>
  </si>
  <si>
    <t>They are demonstrating dance moves.</t>
  </si>
  <si>
    <t>The driver is talking to the camera.</t>
  </si>
  <si>
    <t>The passenger is now talking to the camera.</t>
  </si>
  <si>
    <t>The driver is looking at the camera and smiling while driving.</t>
  </si>
  <si>
    <t>A girl is looking in a mirror holding a tattoo pattern on her shoulder.</t>
  </si>
  <si>
    <t>Another girl is lying on a bed while another girl gives her a tattoo.</t>
  </si>
  <si>
    <t>The other girl is sitting on a stool while a man gives her a tattoo her shoulder.</t>
  </si>
  <si>
    <t>A hand reaches out from behind the camera.</t>
  </si>
  <si>
    <t>A girl is talking to the camera with her hand on her shoulder.</t>
  </si>
  <si>
    <t>Another girl is talking to the camera and making hand gestures.</t>
  </si>
  <si>
    <t>Both girls are talking to the camera.</t>
  </si>
  <si>
    <t>v_lp_Rwbp8S1k</t>
  </si>
  <si>
    <t>A man in a black coat is shoveling snow with a shovel.</t>
  </si>
  <si>
    <t>He picks up a large shovel full of snow and tosses it next to him.</t>
  </si>
  <si>
    <t>He continues shoveling the driveway.</t>
  </si>
  <si>
    <t>v_1tRTSOnylOs</t>
  </si>
  <si>
    <t>A man is in an arena fighting a bull.</t>
  </si>
  <si>
    <t>He swings the cape and runs near other men, teasing the bull into chasing him.</t>
  </si>
  <si>
    <t>The bull slams into the side of a horse being ridden by a man before running back towards the man with the cape.</t>
  </si>
  <si>
    <t>The man on the horse rides away to the side.</t>
  </si>
  <si>
    <t>v_iL__89eDRzg</t>
  </si>
  <si>
    <t>An intro comes onto the screen introducing the video clip.</t>
  </si>
  <si>
    <t>Two people are shown frolicking around in the lake.</t>
  </si>
  <si>
    <t>After that, they take off in motion in the water connected by a cord to a speed boat.</t>
  </si>
  <si>
    <t>The video ends when they both fall int the water.</t>
  </si>
  <si>
    <t>v_THtDZ6g9csA</t>
  </si>
  <si>
    <t>A lady paints her fingernails a plum color.</t>
  </si>
  <si>
    <t>She then puts streaks and dots of black and silver on the nails to create a design.</t>
  </si>
  <si>
    <t>She finishes and shows her painted nails.</t>
  </si>
  <si>
    <t>v_lR4vyq1WbyU</t>
  </si>
  <si>
    <t>A man is seen speaking to others off in the distance and begins pushing a man around a room.</t>
  </si>
  <si>
    <t>He continues pushing the man while many watch on the side.</t>
  </si>
  <si>
    <t>The man stands up and looks surprised as he's continuously pushed down.</t>
  </si>
  <si>
    <t>v_RZpbFG3j-Bo</t>
  </si>
  <si>
    <t>A lady stands outside and talks.</t>
  </si>
  <si>
    <t>The lady is let in an office where she undergoes an eye exam.</t>
  </si>
  <si>
    <t>A eye contact is examined using a tool and a human hand.</t>
  </si>
  <si>
    <t>Several items associated with contacts lenses wear are displayed.</t>
  </si>
  <si>
    <t>A man washes his hand.</t>
  </si>
  <si>
    <t>A lady picks up a contact lens.</t>
  </si>
  <si>
    <t>A man writes the letter l on a paper.</t>
  </si>
  <si>
    <t>A hand bends a contact lens.</t>
  </si>
  <si>
    <t>A man puts a contact lens in.</t>
  </si>
  <si>
    <t>A lady puts each contact lens in.</t>
  </si>
  <si>
    <t>The lady shakes the man's hand.</t>
  </si>
  <si>
    <t>v_hPIHCG5n7RI</t>
  </si>
  <si>
    <t>A small group of people are seen playing a game of lacrosse on a field with a man walking towards them.</t>
  </si>
  <si>
    <t>The man yells to the players as they run up and down the field and continues to watch them as they play.</t>
  </si>
  <si>
    <t>v_Fpivz0Yie_Q</t>
  </si>
  <si>
    <t>A van towing a car drives by view of blue road signs are shown and in white letters they read "WALTON", "Ontario's West Coast" and "MOTORCROSS TOWN".</t>
  </si>
  <si>
    <t>A lot of people are now shown walking or riding bikes at a large gathering as other people are hanging out under tents.</t>
  </si>
  <si>
    <t>A group of men are at a starting line of a large motor cross track and they begin to go around and around while people watch on.</t>
  </si>
  <si>
    <t>When they are done going around the track various clips of people doing different things are shown again.</t>
  </si>
  <si>
    <t>v_iaqFvTpoceI</t>
  </si>
  <si>
    <t>Cheerleaders are standing on a blue mat.</t>
  </si>
  <si>
    <t>They start doing a routine on the mat.</t>
  </si>
  <si>
    <t>They hold up signs in the air.</t>
  </si>
  <si>
    <t>They finish their routine and wave at the audience.</t>
  </si>
  <si>
    <t>v_rYumFn7S1YA</t>
  </si>
  <si>
    <t>A woman is holding an athlete's ankle while sh is on the beam.</t>
  </si>
  <si>
    <t>The woman is making the athlete raiser her ankle a and walk to the beam, she guide the athlete as she walks.</t>
  </si>
  <si>
    <t>The athlete walked backwards with her ankle's up, then the woman guided her as she turns around.</t>
  </si>
  <si>
    <t>v_qK2iRSxxRQU</t>
  </si>
  <si>
    <t>A bellydancer in green begins her routine, smiling for the audience.</t>
  </si>
  <si>
    <t>She is joined by two more dancers who are in red and each does their own moves before coming together.</t>
  </si>
  <si>
    <t>They again break for solo performances, each dancer getting a moment to show off.</t>
  </si>
  <si>
    <t>They return to dancing together and the performance ends.</t>
  </si>
  <si>
    <t>v_RkBHHWFh2rk</t>
  </si>
  <si>
    <t>The video leads into several shots of people riding skateboards as well as riding on a tire and walking next to each other.</t>
  </si>
  <si>
    <t>They're seen looking and laughing to the camera while more shots of people riding down on skateboards are shown.</t>
  </si>
  <si>
    <t>v_u1upxlAgsqM</t>
  </si>
  <si>
    <t>Three people do a basketball drill of driving to the hoop.</t>
  </si>
  <si>
    <t>They take turns playing different positions and doing a layup.</t>
  </si>
  <si>
    <t>v_arTumJHoLB0</t>
  </si>
  <si>
    <t>A young man is seen looking off into the distance with lotion on his face.</t>
  </si>
  <si>
    <t>He continues rubbing the lotion in while looking away from the camera.</t>
  </si>
  <si>
    <t>He finishes putting in the sunscreen and looking away from the camera.</t>
  </si>
  <si>
    <t>v_bMDyOXygNPM</t>
  </si>
  <si>
    <t>Several men are seen standing around an indoor court kicking a ball around.</t>
  </si>
  <si>
    <t>People watch the game on the sidelines as the players continue to run up and down the field.</t>
  </si>
  <si>
    <t>Different games are shown in between and the group continues to play.</t>
  </si>
  <si>
    <t>v_GfSGZZSGH6g</t>
  </si>
  <si>
    <t>There are two roofers standing top of a building roof removing working on old roof removal.</t>
  </si>
  <si>
    <t>They are using roofing shovel to remove the shingles and tarp.</t>
  </si>
  <si>
    <t>One of the roofers is peeling off the tarp from the rooftop as he digs in the shovel underneath the tarp.</t>
  </si>
  <si>
    <t>The other roofer is helping him roll up the tarp as he peels it off.</t>
  </si>
  <si>
    <t>v_1p_HYu0EZAk</t>
  </si>
  <si>
    <t>A camera pans over a sink full of dishes followed by a woman jogging over.</t>
  </si>
  <si>
    <t>She dances with the dishes and looks into the camera while she does them.</t>
  </si>
  <si>
    <t>A timer counts down how many dishes she's washed and she smiles to the camera.</t>
  </si>
  <si>
    <t>v__N9LhaKnZv4</t>
  </si>
  <si>
    <t>A man talks in the woods holding a can and key chain.</t>
  </si>
  <si>
    <t>Then, the man takes the key chain and points the lower part of the can.</t>
  </si>
  <si>
    <t>After, the man pocks the lower part of the can and intermediately opens the can and drinks from the hole of the can.</t>
  </si>
  <si>
    <t>v_a2vaM_aRHv4</t>
  </si>
  <si>
    <t>A list of ingredients is shown written in a list.</t>
  </si>
  <si>
    <t>Glass bowls are set on a counter with various ingredients for a dish.</t>
  </si>
  <si>
    <t>A person measures and cuts parchment paper using a cooking tin as a guide.</t>
  </si>
  <si>
    <t>The person measures ingredients in a glass bowl then adds them to an electric mixer to blend.</t>
  </si>
  <si>
    <t>The person brushes on oil to the parchment paper then sets it into a cooking tin.</t>
  </si>
  <si>
    <t>The tins are added to an oven to cook.</t>
  </si>
  <si>
    <t>The tins are shown fully cooked and then flipped over to empty cake onto table.</t>
  </si>
  <si>
    <t>The parchment paper is peeled off the cake.</t>
  </si>
  <si>
    <t>The cake is sliced into loaves with a serrated knife.</t>
  </si>
  <si>
    <t>The cake is seen on plates for serving.</t>
  </si>
  <si>
    <t>v_6FPoGGaox4g</t>
  </si>
  <si>
    <t>A woman is helping a little boy slide down a slide.</t>
  </si>
  <si>
    <t>A woman is at the top of a slide helping a little boy slide down into the arms of another person in a red vest.</t>
  </si>
  <si>
    <t>A woman is helping the boy down a slide and the same person in the red vest catches them.</t>
  </si>
  <si>
    <t>The person in the red vest then kissed the child.</t>
  </si>
  <si>
    <t>v_KaicDn9WDUo</t>
  </si>
  <si>
    <t>They all come onto the stage and pose at the end.</t>
  </si>
  <si>
    <t>They bow and walk off the stage.</t>
  </si>
  <si>
    <t>v_srXhWAGzd-s</t>
  </si>
  <si>
    <t>A person is shown cleaning off the outside of a car.</t>
  </si>
  <si>
    <t>The car is then driven inside of a shop.</t>
  </si>
  <si>
    <t>Inside a man starts detailing the car once again and cleaning off the outside.</t>
  </si>
  <si>
    <t>He spray paints parts of the car.</t>
  </si>
  <si>
    <t>He sprays cleaner on the inside and outside of the car.</t>
  </si>
  <si>
    <t>He wipes down all surfaces from inside and outside the car.</t>
  </si>
  <si>
    <t>v_wott7JRSkOk</t>
  </si>
  <si>
    <t>Two men plays soccer table moving the players on the rods.</t>
  </si>
  <si>
    <t>A man wearing yellow shirt stroke the rod strong to hit the white ball.</t>
  </si>
  <si>
    <t>A person stands on front the soccer table.</t>
  </si>
  <si>
    <t>v_kO_4QDNExkY</t>
  </si>
  <si>
    <t>A hand is shown flipping a switch.</t>
  </si>
  <si>
    <t>A the hose of a leaf blower is shown.</t>
  </si>
  <si>
    <t>The hose begins forcefully blowing leaves away from the camera.</t>
  </si>
  <si>
    <t>The person holding the leaf blower repeatedly swings the hose left to ring blowing leaves into a pile.</t>
  </si>
  <si>
    <t>v_RTS4mOH3cFY</t>
  </si>
  <si>
    <t>A residential security video is playing and shows an empty yard and road.</t>
  </si>
  <si>
    <t>A man walking two dogs show up walking on the side closer to the camera, and he quickly notices another dog from the other side of the road suddenly coming his way so he tries to tighten up his dogs leash to gain control of them, but the other dog begins running towards them and starts attacking the man's dogs.</t>
  </si>
  <si>
    <t>The man kicks the attack dog away and tries to regain control of his two dogs while the man and the other dog is on the other side of the road.</t>
  </si>
  <si>
    <t>The man picks up one of his dogs and they resume walking.</t>
  </si>
  <si>
    <t>v_n6A8YtBAJX0</t>
  </si>
  <si>
    <t>We see a man and a boy playing by sliding a plastic thing around table.</t>
  </si>
  <si>
    <t>The camera shifts and we see more of the room.</t>
  </si>
  <si>
    <t>The camera angle changes and we see them playing the game from behind.</t>
  </si>
  <si>
    <t>A persons hand on the left enters the screen.</t>
  </si>
  <si>
    <t>The camera angle changes again and we are in front of the players.</t>
  </si>
  <si>
    <t>We see a boy in a sweater moving a chair to sit and join the game.</t>
  </si>
  <si>
    <t>v_V-Yz865cbn4</t>
  </si>
  <si>
    <t>A young child is seen smiling to the camera and then begins dancing around.</t>
  </si>
  <si>
    <t>The boy continues dancing while the camera captures him moving up and down.</t>
  </si>
  <si>
    <t>v_Hlc6FXX5kGs</t>
  </si>
  <si>
    <t>A baby girl is holding a compact, wiping the makeup pad against her cheek.</t>
  </si>
  <si>
    <t>She sits on the floor, continuing to play with the makeup, opening and closing the case, and wiping it onto her face.</t>
  </si>
  <si>
    <t>v_mdwbRGlPn3A</t>
  </si>
  <si>
    <t>Three men are walking with the stilts.</t>
  </si>
  <si>
    <t>One of the men with stilts splits at the center.</t>
  </si>
  <si>
    <t>One of the men jumped so high several time with his stilts.</t>
  </si>
  <si>
    <t>v_xwSeXFkTNlE</t>
  </si>
  <si>
    <t>A gymnast is patiently waiting to start his performance.</t>
  </si>
  <si>
    <t>He jumps on to the board and starts spinning really fast before he jumps off and walks around.</t>
  </si>
  <si>
    <t>He take a breath and the audience claps for him before he jumps back on it and starts spinning again.</t>
  </si>
  <si>
    <t>When he is done he walks down and shakes hands with all the team mates, before he gets on one last time.</t>
  </si>
  <si>
    <t>v_bbDWLOPnWOY</t>
  </si>
  <si>
    <t>A man in a blue shirt moves to take his shot.</t>
  </si>
  <si>
    <t>He then talks to the other men.</t>
  </si>
  <si>
    <t>The man in black moves out of the shot.</t>
  </si>
  <si>
    <t>The man in black and blue throw their hands in the air.</t>
  </si>
  <si>
    <t>All of the men break out and react wildly to the last shot.</t>
  </si>
  <si>
    <t>v_GnbyHdd-BjQ</t>
  </si>
  <si>
    <t>They are sitting down drinking coffee.</t>
  </si>
  <si>
    <t>They are standing next to a body of water.</t>
  </si>
  <si>
    <t>They are snowboarding down a hill again.</t>
  </si>
  <si>
    <t>A girl is laying down sleeping.</t>
  </si>
  <si>
    <t>They are eating dinner around a table.</t>
  </si>
  <si>
    <t>They leave their snowboards and walk into a cabin.</t>
  </si>
  <si>
    <t>v_mcDVNexy6Ps</t>
  </si>
  <si>
    <t>A woman is standing in front of a christmas tree, applying a wreath.</t>
  </si>
  <si>
    <t>She then hangs lights and ornaments.</t>
  </si>
  <si>
    <t>At the end, she adjusts the ornaments and adds a star to the top of the tree.</t>
  </si>
  <si>
    <t>v_FJnCSFPoWVU</t>
  </si>
  <si>
    <t>A man is sitting on the rock, then people are climbing the big rocks without harness.</t>
  </si>
  <si>
    <t>People are walking in a rope attached to two trees.</t>
  </si>
  <si>
    <t>v_MkL-tApJgXc</t>
  </si>
  <si>
    <t>Text appears on the screen with regards to coffee possibly being bad for your health.</t>
  </si>
  <si>
    <t>It is then mention with text on the screen that it can lead to high blood pressure It is then mentioned that it can hurt your hair growth and that it doesn't have any vital nutrients in it.</t>
  </si>
  <si>
    <t>It is then shown that there are benefits and that one should moderate their intake to keep a balance.</t>
  </si>
  <si>
    <t>A website is then shown to get more information on this topic.</t>
  </si>
  <si>
    <t>v_fxqzU9KGOsQ</t>
  </si>
  <si>
    <t>Several young kids are in a gym playing dodge wall with medium sized red balls.</t>
  </si>
  <si>
    <t>As they throw the balls,a little girl tries to join in on the action and begins following them and running from one side of the court to the other to chase the balls.</t>
  </si>
  <si>
    <t>v_0McanL-Gob8</t>
  </si>
  <si>
    <t>A woman is lying down, showing off a tattoo on her side.</t>
  </si>
  <si>
    <t>A man in a surgical mask is preparing her as he continues his work on the tattoo.</t>
  </si>
  <si>
    <t>He cleans and wipes down the tattoo.</t>
  </si>
  <si>
    <t>She is finished, showing off the final product.</t>
  </si>
  <si>
    <t>v_Oyi0X-rwUg8</t>
  </si>
  <si>
    <t>A man is holding another man on his shoulders in a wrestling ring as the crowd cheers and watches.</t>
  </si>
  <si>
    <t>the man throws the man on his shoulder to the ground.</t>
  </si>
  <si>
    <t>Both men lay on the ground int he ring.</t>
  </si>
  <si>
    <t>v_snUWwTH8eQg</t>
  </si>
  <si>
    <t>teams are playing fusal in a small court running side to side of the court.</t>
  </si>
  <si>
    <t>a lot of people are celebrating the vicory and hugging.</t>
  </si>
  <si>
    <t>v_ObOkhXGu7oY</t>
  </si>
  <si>
    <t>A person is seen walking into frame with a bar in her hands.</t>
  </si>
  <si>
    <t>She puts the bar down and begins exercising in a humerus way while speaking to the audience.</t>
  </si>
  <si>
    <t>The audience laughs at her movements while she continues to move and dance around the stage.</t>
  </si>
  <si>
    <t>v_hi07Rdf1r4Y</t>
  </si>
  <si>
    <t>A balded man is seen talking to the camera while another man stands above him and cuts his hair.</t>
  </si>
  <si>
    <t>The man sitting rubs his hand and holds his face into his hands.</t>
  </si>
  <si>
    <t>v_adUapXmi-xA</t>
  </si>
  <si>
    <t>A person is seen sitting behind a table with one holding a piece of paper around him.</t>
  </si>
  <si>
    <t>The man then attempts to solve a rubix cube while a timer catches his score.</t>
  </si>
  <si>
    <t>The man writes down his score and the man attempts to solve the cube several more times while the boy helps.</t>
  </si>
  <si>
    <t>v_dc9m-G9CKmQ</t>
  </si>
  <si>
    <t>A man speaking about how he will be sharpening knives today.</t>
  </si>
  <si>
    <t>He shows the tool that he will be using that is called chefs choice.</t>
  </si>
  <si>
    <t>He shows how to use it and how you can use it with either hand.</t>
  </si>
  <si>
    <t>Then he begins to sharpen one of his knives.</t>
  </si>
  <si>
    <t>After he is done sharpening it he demonstrates with a tomato how helpful it is.</t>
  </si>
  <si>
    <t>v_-ypKYhjrlXw</t>
  </si>
  <si>
    <t>A medical worker is sitting at a table with a woman and talking to the camera.</t>
  </si>
  <si>
    <t>He moves a can and touches two other cans.</t>
  </si>
  <si>
    <t>He picks up a can and sprays it on the woman's arm and rubs it.</t>
  </si>
  <si>
    <t>He picks up another can and talks about it then sprays her arm again and rubs the cream in.</t>
  </si>
  <si>
    <t>He picks up a third container and puts it on her arm and rubs it in as well.</t>
  </si>
  <si>
    <t>He picks up a fourth tube and puts the cream on her hand and rubs it in.</t>
  </si>
  <si>
    <t>He does this again with a fifth cream.</t>
  </si>
  <si>
    <t>He then takes a compact of brown powder, presents it to the camera and puts it back down.</t>
  </si>
  <si>
    <t>v_f-4PjtdFbP4</t>
  </si>
  <si>
    <t>A little girl is blowing leaves in fall outside of a house.</t>
  </si>
  <si>
    <t>She pauses for a moment to get a better grasp of the leaf blower.</t>
  </si>
  <si>
    <t>She walks by a little boy and continues to blow the leaves.</t>
  </si>
  <si>
    <t>v_JN1mex2vCjI</t>
  </si>
  <si>
    <t>A man with a pony tail is seen walking along a rope with another man watching him and smiling in the background.</t>
  </si>
  <si>
    <t>The man turns around, loses his balance, and falls off the rope.</t>
  </si>
  <si>
    <t>The man watches attempts to walk and falls off as well in the end.</t>
  </si>
  <si>
    <t>v_0IFJNGqjsUQ</t>
  </si>
  <si>
    <t>A man talks to the camera while holding a leash type of object with a bag in his hand.</t>
  </si>
  <si>
    <t>The scene transitions to the leash being use on a dog.</t>
  </si>
  <si>
    <t>The scene transitions to a closeup of the man disassembling and reassembling the leash.</t>
  </si>
  <si>
    <t>The scene transitions to the leash being used on a dog again.</t>
  </si>
  <si>
    <t>The man is shown in a closeup interacting with and petting the dog.</t>
  </si>
  <si>
    <t>v_b0LY869JBrE</t>
  </si>
  <si>
    <t>A woman is showing her fingernails.</t>
  </si>
  <si>
    <t>A bottle of acetone is shown.</t>
  </si>
  <si>
    <t>The acetone is being poured into a small glass.</t>
  </si>
  <si>
    <t>A woman is now holding a napkin.</t>
  </si>
  <si>
    <t>A makeup brush is being held.</t>
  </si>
  <si>
    <t>A bottle of nail polish is shown.</t>
  </si>
  <si>
    <t>A person starts painting their fingernails.</t>
  </si>
  <si>
    <t>Another bottle of nail polish is shown.</t>
  </si>
  <si>
    <t>The person continues painting their nails.</t>
  </si>
  <si>
    <t>They use the makeup brush and dip it in the acetone.</t>
  </si>
  <si>
    <t>They rub the brush on their fingernail.</t>
  </si>
  <si>
    <t>They use a wooden stick to clean the side of their nails.</t>
  </si>
  <si>
    <t>A clear bottle of nail polish is shown.</t>
  </si>
  <si>
    <t>She then paints that over her nails.</t>
  </si>
  <si>
    <t>v_6HyNydVIji4</t>
  </si>
  <si>
    <t>We see a lady holding a flute.</t>
  </si>
  <si>
    <t>We see the song title.</t>
  </si>
  <si>
    <t>We see a lady performing a song on a flute.</t>
  </si>
  <si>
    <t>The girl pauses and plays again.</t>
  </si>
  <si>
    <t>The girl finishes playing and smiles at the camera.</t>
  </si>
  <si>
    <t>v_QyTiHhG9qf0</t>
  </si>
  <si>
    <t>Teens drive electric bumper cars in an oval circuit while people watch behind the fence.</t>
  </si>
  <si>
    <t>Two girls in a yellow car get stuck,but then they continue driving.</t>
  </si>
  <si>
    <t>All the cars are stuck on the track, then one car gets out and the others get free to continue driving.</t>
  </si>
  <si>
    <t>Then, all cars stop and the teen get out the cars.</t>
  </si>
  <si>
    <t>v_A_4yI6vh03I</t>
  </si>
  <si>
    <t>Instructions of how to pole vault is presented.</t>
  </si>
  <si>
    <t>A person holds a elongated, hollow stick.</t>
  </si>
  <si>
    <t>A guy runs with a elongated stick and uses it to elevate himself over a heighten hurdle.</t>
  </si>
  <si>
    <t>The top of the hurdle falls apart.</t>
  </si>
  <si>
    <t>A man uses an elongated stick to elevate himself over a heighten hurdle.</t>
  </si>
  <si>
    <t>v_F53s94562zc</t>
  </si>
  <si>
    <t>There are two boys playing rock, paper, scissors.</t>
  </si>
  <si>
    <t>First they play one game and the boy who's shirtless loses and gets slapped.</t>
  </si>
  <si>
    <t>Next they play two more games, one person wins and the shirtless boy loses.</t>
  </si>
  <si>
    <t>Then the boy who's wearing a sweater loses and the other boy slaps him.</t>
  </si>
  <si>
    <t>v_uh-H5Gmt4PI</t>
  </si>
  <si>
    <t>A bald man is standing in an industrial building with a lot of glass on the ceiling.</t>
  </si>
  <si>
    <t>The male's friend then grabs a bar and begins lifting weights and jerking.</t>
  </si>
  <si>
    <t>All of the actions continue but with different people as various people step up to grab the bar.</t>
  </si>
  <si>
    <t>v_Bg-0ibLZrgg</t>
  </si>
  <si>
    <t>People surf in the ocean and a man pass under a huge wave.</t>
  </si>
  <si>
    <t>A man surfs in a small wave along the beach.</t>
  </si>
  <si>
    <t>Then, the man get out the water, after he takes surfboard and return to surf in a high wave.</t>
  </si>
  <si>
    <t>People swim in the beach.</t>
  </si>
  <si>
    <t>v_nlkmPF8TBdQ</t>
  </si>
  <si>
    <t>People gather in a restaurant, then a cooker shows pasta and ingredients while talking.</t>
  </si>
  <si>
    <t>The cooker cuts and fries squid in a pot, then he adds salt and vinegar.</t>
  </si>
  <si>
    <t>Then, the cooker cut tomatoes and add to the squid, also adds garlic, pepper and green vegetables.</t>
  </si>
  <si>
    <t>After, the cooker adds water and covers the pot with aluminum paper.</t>
  </si>
  <si>
    <t>Next, the cooker add the pasta to the squid and mix, then he and serves in a dish while talking.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</si>
</sst>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theme="1"/>
      <name val="Calibri"/>
    </font>
    <font>
      <sz val="11.0"/>
      <color theme="1"/>
      <name val="Calibri"/>
    </font>
    <font>
      <color theme="1"/>
      <name val="Arial"/>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horizontal="center" vertical="top"/>
    </xf>
    <xf borderId="2" fillId="0" fontId="1" numFmtId="0" xfId="0" applyAlignment="1" applyBorder="1" applyFont="1">
      <alignment horizontal="center" readingOrder="0" vertical="top"/>
    </xf>
    <xf borderId="0" fillId="0" fontId="2" numFmtId="0" xfId="0" applyAlignment="1" applyFont="1">
      <alignment vertical="bottom"/>
    </xf>
    <xf borderId="0" fillId="0" fontId="3" numFmtId="0" xfId="0" applyFont="1"/>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70.5"/>
    <col customWidth="1" min="3" max="3" width="62.63"/>
  </cols>
  <sheetData>
    <row r="1">
      <c r="A1" s="1" t="s">
        <v>0</v>
      </c>
      <c r="B1" s="2" t="s">
        <v>1</v>
      </c>
      <c r="C1" s="3" t="s">
        <v>2</v>
      </c>
    </row>
    <row r="2">
      <c r="A2" s="4" t="s">
        <v>3</v>
      </c>
      <c r="B2" s="4" t="s">
        <v>4</v>
      </c>
      <c r="C2" s="5" t="str">
        <f>IFERROR(__xludf.DUMMYFUNCTION("GOOGLETRANSLATE(B2,""en"",""it"")"),"Una giovane donna è vista in una stanza e conduce alla sua danza.")</f>
        <v>Una giovane donna è vista in una stanza e conduce alla sua danza.</v>
      </c>
    </row>
    <row r="3">
      <c r="A3" s="4" t="s">
        <v>3</v>
      </c>
      <c r="B3" s="4" t="s">
        <v>5</v>
      </c>
      <c r="C3" s="5" t="str">
        <f>IFERROR(__xludf.DUMMYFUNCTION("GOOGLETRANSLATE(B3,""en"",""it"")"),"La ragazza balla intorno alla stanza mentre la telecamera cattura i suoi movimenti.")</f>
        <v>La ragazza balla intorno alla stanza mentre la telecamera cattura i suoi movimenti.</v>
      </c>
    </row>
    <row r="4">
      <c r="A4" s="4" t="s">
        <v>3</v>
      </c>
      <c r="B4" s="4" t="s">
        <v>6</v>
      </c>
      <c r="C4" s="5" t="str">
        <f>IFERROR(__xludf.DUMMYFUNCTION("GOOGLETRANSLATE(B4,""en"",""it"")"),"Continua a ballare per la stanza e termina stendendo sul pavimento.")</f>
        <v>Continua a ballare per la stanza e termina stendendo sul pavimento.</v>
      </c>
    </row>
    <row r="5">
      <c r="A5" s="4" t="s">
        <v>7</v>
      </c>
      <c r="B5" s="4" t="s">
        <v>8</v>
      </c>
      <c r="C5" s="5" t="str">
        <f>IFERROR(__xludf.DUMMYFUNCTION("GOOGLETRANSLATE(B5,""en"",""it"")"),"Il video inizia con una sequenza del logo del titolo.")</f>
        <v>Il video inizia con una sequenza del logo del titolo.</v>
      </c>
    </row>
    <row r="6">
      <c r="A6" s="4" t="s">
        <v>7</v>
      </c>
      <c r="B6" s="4" t="s">
        <v>9</v>
      </c>
      <c r="C6" s="5" t="str">
        <f>IFERROR(__xludf.DUMMYFUNCTION("GOOGLETRANSLATE(B6,""en"",""it"")"),"Un uomo e una donna sono in un soggiorno che dimostrano esercizi.")</f>
        <v>Un uomo e una donna sono in un soggiorno che dimostrano esercizi.</v>
      </c>
    </row>
    <row r="7">
      <c r="A7" s="4" t="s">
        <v>7</v>
      </c>
      <c r="B7" s="4" t="s">
        <v>10</v>
      </c>
      <c r="C7" s="5" t="str">
        <f>IFERROR(__xludf.DUMMYFUNCTION("GOOGLETRANSLATE(B7,""en"",""it"")"),"La donna giace a terra.")</f>
        <v>La donna giace a terra.</v>
      </c>
    </row>
    <row r="8">
      <c r="A8" s="4" t="s">
        <v>7</v>
      </c>
      <c r="B8" s="4" t="s">
        <v>11</v>
      </c>
      <c r="C8" s="5" t="str">
        <f>IFERROR(__xludf.DUMMYFUNCTION("GOOGLETRANSLATE(B8,""en"",""it"")"),"L'uomo inizia a indicare diverse aree del corpo della donna mentre fa un esercizio.")</f>
        <v>L'uomo inizia a indicare diverse aree del corpo della donna mentre fa un esercizio.</v>
      </c>
    </row>
    <row r="9">
      <c r="A9" s="4" t="s">
        <v>7</v>
      </c>
      <c r="B9" s="4" t="s">
        <v>12</v>
      </c>
      <c r="C9" s="5" t="str">
        <f>IFERROR(__xludf.DUMMYFUNCTION("GOOGLETRANSLATE(B9,""en"",""it"")"),"La donna inizia a fare piccoli sit up.")</f>
        <v>La donna inizia a fare piccoli sit up.</v>
      </c>
    </row>
    <row r="10">
      <c r="A10" s="4" t="s">
        <v>7</v>
      </c>
      <c r="B10" s="4" t="s">
        <v>13</v>
      </c>
      <c r="C10" s="5" t="str">
        <f>IFERROR(__xludf.DUMMYFUNCTION("GOOGLETRANSLATE(B10,""en"",""it"")"),"La donna termina con una sequenza del logo del titolo finale.")</f>
        <v>La donna termina con una sequenza del logo del titolo finale.</v>
      </c>
    </row>
    <row r="11">
      <c r="A11" s="4" t="s">
        <v>14</v>
      </c>
      <c r="B11" s="4" t="s">
        <v>15</v>
      </c>
      <c r="C11" s="5" t="str">
        <f>IFERROR(__xludf.DUMMYFUNCTION("GOOGLETRANSLATE(B11,""en"",""it"")"),"Due persone si vedono muoversi in una cucina svolgendo rapidamente vari compiti e sedersi.")</f>
        <v>Due persone si vedono muoversi in una cucina svolgendo rapidamente vari compiti e sedersi.</v>
      </c>
    </row>
    <row r="12">
      <c r="A12" s="4" t="s">
        <v>14</v>
      </c>
      <c r="B12" s="4" t="s">
        <v>16</v>
      </c>
      <c r="C12" s="5" t="str">
        <f>IFERROR(__xludf.DUMMYFUNCTION("GOOGLETRANSLATE(B12,""en"",""it"")"),"Quindi si innadano a uno sci in cucina mentre continuano a muoversi.")</f>
        <v>Quindi si innadano a uno sci in cucina mentre continuano a muoversi.</v>
      </c>
    </row>
    <row r="13">
      <c r="A13" s="4" t="s">
        <v>17</v>
      </c>
      <c r="B13" s="4" t="s">
        <v>18</v>
      </c>
      <c r="C13" s="5" t="str">
        <f>IFERROR(__xludf.DUMMYFUNCTION("GOOGLETRANSLATE(B13,""en"",""it"")"),"Vediamo un corridoio con un pavimento in legno.")</f>
        <v>Vediamo un corridoio con un pavimento in legno.</v>
      </c>
    </row>
    <row r="14">
      <c r="A14" s="4" t="s">
        <v>17</v>
      </c>
      <c r="B14" s="4" t="s">
        <v>19</v>
      </c>
      <c r="C14" s="5" t="str">
        <f>IFERROR(__xludf.DUMMYFUNCTION("GOOGLETRANSLATE(B14,""en"",""it"")"),"Un cane in calzini cammina lentamente sul pavimento mentre una signora lo filma.")</f>
        <v>Un cane in calzini cammina lentamente sul pavimento mentre una signora lo filma.</v>
      </c>
    </row>
    <row r="15">
      <c r="A15" s="4" t="s">
        <v>17</v>
      </c>
      <c r="B15" s="4" t="s">
        <v>20</v>
      </c>
      <c r="C15" s="5" t="str">
        <f>IFERROR(__xludf.DUMMYFUNCTION("GOOGLETRANSLATE(B15,""en"",""it"")"),"Il cane si gira e torna nell'altra stanza.")</f>
        <v>Il cane si gira e torna nell'altra stanza.</v>
      </c>
    </row>
    <row r="16">
      <c r="A16" s="4" t="s">
        <v>21</v>
      </c>
      <c r="B16" s="4" t="s">
        <v>22</v>
      </c>
      <c r="C16" s="5" t="str">
        <f>IFERROR(__xludf.DUMMYFUNCTION("GOOGLETRANSLATE(B16,""en"",""it"")"),"Una donna e un uomo sono seduti sul marciapiede suonando musica.")</f>
        <v>Una donna e un uomo sono seduti sul marciapiede suonando musica.</v>
      </c>
    </row>
    <row r="17">
      <c r="A17" s="4" t="s">
        <v>21</v>
      </c>
      <c r="B17" s="4" t="s">
        <v>23</v>
      </c>
      <c r="C17" s="5" t="str">
        <f>IFERROR(__xludf.DUMMYFUNCTION("GOOGLETRANSLATE(B17,""en"",""it"")"),"Le persone si trovano accanto a loro e li guardano giocare.")</f>
        <v>Le persone si trovano accanto a loro e li guardano giocare.</v>
      </c>
    </row>
    <row r="18">
      <c r="A18" s="4" t="s">
        <v>21</v>
      </c>
      <c r="B18" s="4" t="s">
        <v>24</v>
      </c>
      <c r="C18" s="5" t="str">
        <f>IFERROR(__xludf.DUMMYFUNCTION("GOOGLETRANSLATE(B18,""en"",""it"")"),"Un ragazzino che tiene una palla gialla cammina.")</f>
        <v>Un ragazzino che tiene una palla gialla cammina.</v>
      </c>
    </row>
    <row r="19">
      <c r="A19" s="4" t="s">
        <v>21</v>
      </c>
      <c r="B19" s="4" t="s">
        <v>25</v>
      </c>
      <c r="C19" s="5" t="str">
        <f>IFERROR(__xludf.DUMMYFUNCTION("GOOGLETRANSLATE(B19,""en"",""it"")"),"Un uomo posa per una foto di fronte a loro.")</f>
        <v>Un uomo posa per una foto di fronte a loro.</v>
      </c>
    </row>
    <row r="20">
      <c r="A20" s="4" t="s">
        <v>26</v>
      </c>
      <c r="B20" s="4" t="s">
        <v>27</v>
      </c>
      <c r="C20" s="5" t="str">
        <f>IFERROR(__xludf.DUMMYFUNCTION("GOOGLETRANSLATE(B20,""en"",""it"")"),"Una ragazza è vista seduta su una sedia con una persona in piedi accanto a lei.")</f>
        <v>Una ragazza è vista seduta su una sedia con una persona in piedi accanto a lei.</v>
      </c>
    </row>
    <row r="21">
      <c r="A21" s="4" t="s">
        <v>26</v>
      </c>
      <c r="B21" s="4" t="s">
        <v>28</v>
      </c>
      <c r="C21" s="5" t="str">
        <f>IFERROR(__xludf.DUMMYFUNCTION("GOOGLETRANSLATE(B21,""en"",""it"")"),"La persona accanto a lei, quindi perforare un orecchio seguito dall'altro.")</f>
        <v>La persona accanto a lei, quindi perforare un orecchio seguito dall'altro.</v>
      </c>
    </row>
    <row r="22">
      <c r="A22" s="4" t="s">
        <v>26</v>
      </c>
      <c r="B22" s="4" t="s">
        <v>29</v>
      </c>
      <c r="C22" s="5" t="str">
        <f>IFERROR(__xludf.DUMMYFUNCTION("GOOGLETRANSLATE(B22,""en"",""it"")"),"La persona strofina la lozione sui piercing in seguito.")</f>
        <v>La persona strofina la lozione sui piercing in seguito.</v>
      </c>
    </row>
    <row r="23">
      <c r="A23" s="4" t="s">
        <v>30</v>
      </c>
      <c r="B23" s="4" t="s">
        <v>31</v>
      </c>
      <c r="C23" s="5" t="str">
        <f>IFERROR(__xludf.DUMMYFUNCTION("GOOGLETRANSLATE(B23,""en"",""it"")"),"Una donna viene mostrata cavalcando un cammello oltre le piramidi in Egitto.")</f>
        <v>Una donna viene mostrata cavalcando un cammello oltre le piramidi in Egitto.</v>
      </c>
    </row>
    <row r="24">
      <c r="A24" s="4" t="s">
        <v>30</v>
      </c>
      <c r="B24" s="4" t="s">
        <v>32</v>
      </c>
      <c r="C24" s="5" t="str">
        <f>IFERROR(__xludf.DUMMYFUNCTION("GOOGLETRANSLATE(B24,""en"",""it"")"),"Il cammello cammina mentre la donna si sporge in avanti.")</f>
        <v>Il cammello cammina mentre la donna si sporge in avanti.</v>
      </c>
    </row>
    <row r="25">
      <c r="A25" s="4" t="s">
        <v>30</v>
      </c>
      <c r="B25" s="4" t="s">
        <v>33</v>
      </c>
      <c r="C25" s="5" t="str">
        <f>IFERROR(__xludf.DUMMYFUNCTION("GOOGLETRANSLATE(B25,""en"",""it"")"),"E la mano copre l'obiettivo quando viene mostrato l'imbracatura.")</f>
        <v>E la mano copre l'obiettivo quando viene mostrato l'imbracatura.</v>
      </c>
    </row>
    <row r="26">
      <c r="A26" s="4" t="s">
        <v>34</v>
      </c>
      <c r="B26" s="4" t="s">
        <v>35</v>
      </c>
      <c r="C26" s="5" t="str">
        <f>IFERROR(__xludf.DUMMYFUNCTION("GOOGLETRANSLATE(B26,""en"",""it"")"),"Un bambino muove il pavimento di un corridoio in una casa.")</f>
        <v>Un bambino muove il pavimento di un corridoio in una casa.</v>
      </c>
    </row>
    <row r="27">
      <c r="A27" s="4" t="s">
        <v>34</v>
      </c>
      <c r="B27" s="4" t="s">
        <v>36</v>
      </c>
      <c r="C27" s="5" t="str">
        <f>IFERROR(__xludf.DUMMYFUNCTION("GOOGLETRANSLATE(B27,""en"",""it"")"),"Il bambino mette giù la scopa e gioca con il suo familiare.")</f>
        <v>Il bambino mette giù la scopa e gioca con il suo familiare.</v>
      </c>
    </row>
    <row r="28">
      <c r="A28" s="4" t="s">
        <v>34</v>
      </c>
      <c r="B28" s="4" t="s">
        <v>37</v>
      </c>
      <c r="C28" s="5" t="str">
        <f>IFERROR(__xludf.DUMMYFUNCTION("GOOGLETRANSLATE(B28,""en"",""it"")"),"Il bambino entra nell'area della camera da letto e continua a pulire il pavimento.")</f>
        <v>Il bambino entra nell'area della camera da letto e continua a pulire il pavimento.</v>
      </c>
    </row>
    <row r="29">
      <c r="A29" s="4" t="s">
        <v>38</v>
      </c>
      <c r="B29" s="4" t="s">
        <v>39</v>
      </c>
      <c r="C29" s="5" t="str">
        <f>IFERROR(__xludf.DUMMYFUNCTION("GOOGLETRANSLATE(B29,""en"",""it"")"),"Un uomo viene visto in ginocchio sul pavimento parlando alla telecamera.")</f>
        <v>Un uomo viene visto in ginocchio sul pavimento parlando alla telecamera.</v>
      </c>
    </row>
    <row r="30">
      <c r="A30" s="4" t="s">
        <v>38</v>
      </c>
      <c r="B30" s="4" t="s">
        <v>40</v>
      </c>
      <c r="C30" s="5" t="str">
        <f>IFERROR(__xludf.DUMMYFUNCTION("GOOGLETRANSLATE(B30,""en"",""it"")"),"L'uomo mescola vari ingredienti e inizia a posare un gesso sul pavimento.")</f>
        <v>L'uomo mescola vari ingredienti e inizia a posare un gesso sul pavimento.</v>
      </c>
    </row>
    <row r="31">
      <c r="A31" s="4" t="s">
        <v>38</v>
      </c>
      <c r="B31" s="4" t="s">
        <v>41</v>
      </c>
      <c r="C31" s="5" t="str">
        <f>IFERROR(__xludf.DUMMYFUNCTION("GOOGLETRANSLATE(B31,""en"",""it"")"),"Misura il pavimento e le piastrelle e taglia un pezzo di piastrelle per sdraiarsi sul pavimento.")</f>
        <v>Misura il pavimento e le piastrelle e taglia un pezzo di piastrelle per sdraiarsi sul pavimento.</v>
      </c>
    </row>
    <row r="32">
      <c r="A32" s="4" t="s">
        <v>38</v>
      </c>
      <c r="B32" s="4" t="s">
        <v>42</v>
      </c>
      <c r="C32" s="5" t="str">
        <f>IFERROR(__xludf.DUMMYFUNCTION("GOOGLETRANSLATE(B32,""en"",""it"")"),"Continua a posare piastrelle sul pavimento mentre guarda indietro per parlare con la telecamera.")</f>
        <v>Continua a posare piastrelle sul pavimento mentre guarda indietro per parlare con la telecamera.</v>
      </c>
    </row>
    <row r="33">
      <c r="A33" s="4" t="s">
        <v>43</v>
      </c>
      <c r="B33" s="4" t="s">
        <v>44</v>
      </c>
      <c r="C33" s="5" t="str">
        <f>IFERROR(__xludf.DUMMYFUNCTION("GOOGLETRANSLATE(B33,""en"",""it"")"),"Due linee di giovani stanno camminando fianco a fianco lungo una strada.")</f>
        <v>Due linee di giovani stanno camminando fianco a fianco lungo una strada.</v>
      </c>
    </row>
    <row r="34">
      <c r="A34" s="4" t="s">
        <v>43</v>
      </c>
      <c r="B34" s="4" t="s">
        <v>45</v>
      </c>
      <c r="C34" s="5" t="str">
        <f>IFERROR(__xludf.DUMMYFUNCTION("GOOGLETRANSLATE(B34,""en"",""it"")"),"Quindi un uomo si trova in un campo con in mano un oggetto di legno e inizia a torcere.")</f>
        <v>Quindi un uomo si trova in un campo con in mano un oggetto di legno e inizia a torcere.</v>
      </c>
    </row>
    <row r="35">
      <c r="A35" s="4" t="s">
        <v>43</v>
      </c>
      <c r="B35" s="4" t="s">
        <v>46</v>
      </c>
      <c r="C35" s="5" t="str">
        <f>IFERROR(__xludf.DUMMYFUNCTION("GOOGLETRANSLATE(B35,""en"",""it"")"),"Quindi si china e afferra una palla.")</f>
        <v>Quindi si china e afferra una palla.</v>
      </c>
    </row>
    <row r="36">
      <c r="A36" s="4" t="s">
        <v>43</v>
      </c>
      <c r="B36" s="4" t="s">
        <v>47</v>
      </c>
      <c r="C36" s="5" t="str">
        <f>IFERROR(__xludf.DUMMYFUNCTION("GOOGLETRANSLATE(B36,""en"",""it"")"),"Dopo, la palla viene posizionata a terra e la raccoglie e la colpisce come se stesse giocando a baseball.")</f>
        <v>Dopo, la palla viene posizionata a terra e la raccoglie e la colpisce come se stesse giocando a baseball.</v>
      </c>
    </row>
    <row r="37">
      <c r="A37" s="4" t="s">
        <v>43</v>
      </c>
      <c r="B37" s="4" t="s">
        <v>48</v>
      </c>
      <c r="C37" s="5" t="str">
        <f>IFERROR(__xludf.DUMMYFUNCTION("GOOGLETRANSLATE(B37,""en"",""it"")"),"La palla viene gettata indietro ed è di nuovo.")</f>
        <v>La palla viene gettata indietro ed è di nuovo.</v>
      </c>
    </row>
    <row r="38">
      <c r="A38" s="4" t="s">
        <v>43</v>
      </c>
      <c r="B38" s="4" t="s">
        <v>49</v>
      </c>
      <c r="C38" s="5" t="str">
        <f>IFERROR(__xludf.DUMMYFUNCTION("GOOGLETRANSLATE(B38,""en"",""it"")"),"Poco dopo, viene mostrato un campo di uomini e iniziano a giocare l'uno contro l'altro.")</f>
        <v>Poco dopo, viene mostrato un campo di uomini e iniziano a giocare l'uno contro l'altro.</v>
      </c>
    </row>
    <row r="39">
      <c r="A39" s="4" t="s">
        <v>43</v>
      </c>
      <c r="B39" s="4" t="s">
        <v>50</v>
      </c>
      <c r="C39" s="5" t="str">
        <f>IFERROR(__xludf.DUMMYFUNCTION("GOOGLETRANSLATE(B39,""en"",""it"")"),"C'è stato un rigore e un giocatore tenta di colpire la palla in porta da un lato.")</f>
        <v>C'è stato un rigore e un giocatore tenta di colpire la palla in porta da un lato.</v>
      </c>
    </row>
    <row r="40">
      <c r="A40" s="4" t="s">
        <v>43</v>
      </c>
      <c r="B40" s="6" t="s">
        <v>51</v>
      </c>
      <c r="C40" s="5" t="str">
        <f>IFERROR(__xludf.DUMMYFUNCTION("GOOGLETRANSLATE(B40,""en"",""it"")"),"Dopo, tutti sono raffigurati sdraiati a terra come se fossero morti, ma una persona inizia a sedersi ma viene colpita alla testa dalla palla e si sdraia di nuovo.")</f>
        <v>Dopo, tutti sono raffigurati sdraiati a terra come se fossero morti, ma una persona inizia a sedersi ma viene colpita alla testa dalla palla e si sdraia di nuovo.</v>
      </c>
    </row>
    <row r="41">
      <c r="A41" s="4" t="s">
        <v>43</v>
      </c>
      <c r="B41" s="4" t="s">
        <v>52</v>
      </c>
      <c r="C41" s="5" t="str">
        <f>IFERROR(__xludf.DUMMYFUNCTION("GOOGLETRANSLATE(B41,""en"",""it"")"),"Infine, lo schermo lampeggia a uno schermo nero e vengono mostrate le parole che l'estremità.")</f>
        <v>Infine, lo schermo lampeggia a uno schermo nero e vengono mostrate le parole che l'estremità.</v>
      </c>
    </row>
    <row r="42">
      <c r="A42" s="4" t="s">
        <v>53</v>
      </c>
      <c r="B42" s="4" t="s">
        <v>54</v>
      </c>
      <c r="C42" s="5" t="str">
        <f>IFERROR(__xludf.DUMMYFUNCTION("GOOGLETRANSLATE(B42,""en"",""it"")"),"Lo schermo mostra il titolo di preparazione di un piatto di insalata di Hulte cilena.")</f>
        <v>Lo schermo mostra il titolo di preparazione di un piatto di insalata di Hulte cilena.</v>
      </c>
    </row>
    <row r="43">
      <c r="A43" s="4" t="s">
        <v>53</v>
      </c>
      <c r="B43" s="4" t="s">
        <v>55</v>
      </c>
      <c r="C43" s="5" t="str">
        <f>IFERROR(__xludf.DUMMYFUNCTION("GOOGLETRANSLATE(B43,""en"",""it"")"),"Una persona sta mescolando ingredienti insalate in una ciotola capiente.")</f>
        <v>Una persona sta mescolando ingredienti insalate in una ciotola capiente.</v>
      </c>
    </row>
    <row r="44">
      <c r="A44" s="4" t="s">
        <v>53</v>
      </c>
      <c r="B44" s="4" t="s">
        <v>56</v>
      </c>
      <c r="C44" s="5" t="str">
        <f>IFERROR(__xludf.DUMMYFUNCTION("GOOGLETRANSLATE(B44,""en"",""it"")"),"Ci sono informazioni mostrate sul Dr.")</f>
        <v>Ci sono informazioni mostrate sul Dr.</v>
      </c>
    </row>
    <row r="45">
      <c r="A45" s="4" t="s">
        <v>53</v>
      </c>
      <c r="B45" s="4" t="s">
        <v>57</v>
      </c>
      <c r="C45" s="5" t="str">
        <f>IFERROR(__xludf.DUMMYFUNCTION("GOOGLETRANSLATE(B45,""en"",""it"")"),"Il viaggio di Rachel Collin in Cile.")</f>
        <v>Il viaggio di Rachel Collin in Cile.</v>
      </c>
    </row>
    <row r="46">
      <c r="A46" s="4" t="s">
        <v>53</v>
      </c>
      <c r="B46" s="4" t="s">
        <v>58</v>
      </c>
      <c r="C46" s="5" t="str">
        <f>IFERROR(__xludf.DUMMYFUNCTION("GOOGLETRANSLATE(B46,""en"",""it"")"),"Ci sono diverse persone in piedi sotto un baldacchino in un mercato alimentare.")</f>
        <v>Ci sono diverse persone in piedi sotto un baldacchino in un mercato alimentare.</v>
      </c>
    </row>
    <row r="47">
      <c r="A47" s="4" t="s">
        <v>53</v>
      </c>
      <c r="B47" s="4" t="s">
        <v>59</v>
      </c>
      <c r="C47" s="5" t="str">
        <f>IFERROR(__xludf.DUMMYFUNCTION("GOOGLETRANSLATE(B47,""en"",""it"")"),"Due clienti effettuano un acquisto e danno denaro al venditore e danno alla telecamera un pollice in su.")</f>
        <v>Due clienti effettuano un acquisto e danno denaro al venditore e danno alla telecamera un pollice in su.</v>
      </c>
    </row>
    <row r="48">
      <c r="A48" s="4" t="s">
        <v>53</v>
      </c>
      <c r="B48" s="4" t="s">
        <v>60</v>
      </c>
      <c r="C48" s="5" t="str">
        <f>IFERROR(__xludf.DUMMYFUNCTION("GOOGLETRANSLATE(B48,""en"",""it"")"),"Lo chef mostra Hulte posizionato su un bancone della cucina.")</f>
        <v>Lo chef mostra Hulte posizionato su un bancone della cucina.</v>
      </c>
    </row>
    <row r="49">
      <c r="A49" s="4" t="s">
        <v>53</v>
      </c>
      <c r="B49" s="4" t="s">
        <v>61</v>
      </c>
      <c r="C49" s="5" t="str">
        <f>IFERROR(__xludf.DUMMYFUNCTION("GOOGLETRANSLATE(B49,""en"",""it"")"),"Lo chef sta tagliando l'Hulte in pezzi circolari di dimensioni del morso.")</f>
        <v>Lo chef sta tagliando l'Hulte in pezzi circolari di dimensioni del morso.</v>
      </c>
    </row>
    <row r="50">
      <c r="A50" s="4" t="s">
        <v>53</v>
      </c>
      <c r="B50" s="4" t="s">
        <v>62</v>
      </c>
      <c r="C50" s="5" t="str">
        <f>IFERROR(__xludf.DUMMYFUNCTION("GOOGLETRANSLATE(B50,""en"",""it"")"),"Una donna mangia i pezzi tagliati di Hulte.")</f>
        <v>Una donna mangia i pezzi tagliati di Hulte.</v>
      </c>
    </row>
    <row r="51">
      <c r="A51" s="4" t="s">
        <v>53</v>
      </c>
      <c r="B51" s="4" t="s">
        <v>63</v>
      </c>
      <c r="C51" s="5" t="str">
        <f>IFERROR(__xludf.DUMMYFUNCTION("GOOGLETRANSLATE(B51,""en"",""it"")"),"Lo chef taglia un po 'di coriandolo sul bancone della cucina.")</f>
        <v>Lo chef taglia un po 'di coriandolo sul bancone della cucina.</v>
      </c>
    </row>
    <row r="52">
      <c r="A52" s="4" t="s">
        <v>53</v>
      </c>
      <c r="B52" s="4" t="s">
        <v>64</v>
      </c>
      <c r="C52" s="5" t="str">
        <f>IFERROR(__xludf.DUMMYFUNCTION("GOOGLETRANSLATE(B52,""en"",""it"")"),"Quindi lo chef colloca gli ingredienti in un'insalata.")</f>
        <v>Quindi lo chef colloca gli ingredienti in un'insalata.</v>
      </c>
    </row>
    <row r="53">
      <c r="A53" s="4" t="s">
        <v>53</v>
      </c>
      <c r="B53" s="6" t="s">
        <v>65</v>
      </c>
      <c r="C53" s="5" t="str">
        <f>IFERROR(__xludf.DUMMYFUNCTION("GOOGLETRANSLATE(B53,""en"",""it"")"),"Il prodotto finito è mostrato sullo schermo, seguito da un gruppo di persone sedute insieme e si godono l'insalata.")</f>
        <v>Il prodotto finito è mostrato sullo schermo, seguito da un gruppo di persone sedute insieme e si godono l'insalata.</v>
      </c>
    </row>
    <row r="54">
      <c r="A54" s="4" t="s">
        <v>53</v>
      </c>
      <c r="B54" s="4" t="s">
        <v>66</v>
      </c>
      <c r="C54" s="5" t="str">
        <f>IFERROR(__xludf.DUMMYFUNCTION("GOOGLETRANSLATE(B54,""en"",""it"")"),"I crediti finali sono visualizzati sullo schermo.")</f>
        <v>I crediti finali sono visualizzati sullo schermo.</v>
      </c>
    </row>
    <row r="55">
      <c r="A55" s="4" t="s">
        <v>67</v>
      </c>
      <c r="B55" s="4" t="s">
        <v>68</v>
      </c>
      <c r="C55" s="5" t="str">
        <f>IFERROR(__xludf.DUMMYFUNCTION("GOOGLETRANSLATE(B55,""en"",""it"")"),"Un uomo in abito è seduto dietro una scrivania.")</f>
        <v>Un uomo in abito è seduto dietro una scrivania.</v>
      </c>
    </row>
    <row r="56">
      <c r="A56" s="4" t="s">
        <v>67</v>
      </c>
      <c r="B56" s="4" t="s">
        <v>69</v>
      </c>
      <c r="C56" s="5" t="str">
        <f>IFERROR(__xludf.DUMMYFUNCTION("GOOGLETRANSLATE(B56,""en"",""it"")"),"Le persone giocano a lacrosse su un campo d'erba.")</f>
        <v>Le persone giocano a lacrosse su un campo d'erba.</v>
      </c>
    </row>
    <row r="57">
      <c r="A57" s="4" t="s">
        <v>67</v>
      </c>
      <c r="B57" s="4" t="s">
        <v>70</v>
      </c>
      <c r="C57" s="5" t="str">
        <f>IFERROR(__xludf.DUMMYFUNCTION("GOOGLETRANSLATE(B57,""en"",""it"")"),"Una persona in uniforme gialla è in piedi davanti a una palline di blocco della rete.")</f>
        <v>Una persona in uniforme gialla è in piedi davanti a una palline di blocco della rete.</v>
      </c>
    </row>
    <row r="58">
      <c r="A58" s="4" t="s">
        <v>71</v>
      </c>
      <c r="B58" s="4" t="s">
        <v>72</v>
      </c>
      <c r="C58" s="5" t="str">
        <f>IFERROR(__xludf.DUMMYFUNCTION("GOOGLETRANSLATE(B58,""en"",""it"")"),"Una ragazza viene vista arrampicarsi su una serie di barre di scimmia seguite da lei salutando la telecamera.")</f>
        <v>Una ragazza viene vista arrampicarsi su una serie di barre di scimmia seguite da lei salutando la telecamera.</v>
      </c>
    </row>
    <row r="59">
      <c r="A59" s="4" t="s">
        <v>71</v>
      </c>
      <c r="B59" s="4" t="s">
        <v>73</v>
      </c>
      <c r="C59" s="5" t="str">
        <f>IFERROR(__xludf.DUMMYFUNCTION("GOOGLETRANSLATE(B59,""en"",""it"")"),"Si arrampica sui bar e salta a metà strada.")</f>
        <v>Si arrampica sui bar e salta a metà strada.</v>
      </c>
    </row>
    <row r="60">
      <c r="A60" s="4" t="s">
        <v>74</v>
      </c>
      <c r="B60" s="6" t="s">
        <v>75</v>
      </c>
      <c r="C60" s="5" t="str">
        <f>IFERROR(__xludf.DUMMYFUNCTION("GOOGLETRANSLATE(B60,""en"",""it"")"),"Una telecamera si panoramica su una zona nevosa e conduce in un uomo in piedi su uno snowboard e cavalcando una montagna.")</f>
        <v>Una telecamera si panoramica su una zona nevosa e conduce in un uomo in piedi su uno snowboard e cavalcando una montagna.</v>
      </c>
    </row>
    <row r="61">
      <c r="A61" s="4" t="s">
        <v>74</v>
      </c>
      <c r="B61" s="4" t="s">
        <v>76</v>
      </c>
      <c r="C61" s="5" t="str">
        <f>IFERROR(__xludf.DUMMYFUNCTION("GOOGLETRANSLATE(B61,""en"",""it"")"),"L'uomo si ingrandisce su se stesso cavalcando giù per la collina e finisce con lui che spegne la telecamera.")</f>
        <v>L'uomo si ingrandisce su se stesso cavalcando giù per la collina e finisce con lui che spegne la telecamera.</v>
      </c>
    </row>
    <row r="62">
      <c r="A62" s="4" t="s">
        <v>77</v>
      </c>
      <c r="B62" s="4" t="s">
        <v>78</v>
      </c>
      <c r="C62" s="5" t="str">
        <f>IFERROR(__xludf.DUMMYFUNCTION("GOOGLETRANSLATE(B62,""en"",""it"")"),"Una sala giochi è seguita da un ragazzo che scivola giù per una scivolata e risale di nuovo.")</f>
        <v>Una sala giochi è seguita da un ragazzo che scivola giù per una scivolata e risale di nuovo.</v>
      </c>
    </row>
    <row r="63">
      <c r="A63" s="4" t="s">
        <v>77</v>
      </c>
      <c r="B63" s="6" t="s">
        <v>79</v>
      </c>
      <c r="C63" s="5" t="str">
        <f>IFERROR(__xludf.DUMMYFUNCTION("GOOGLETRANSLATE(B63,""en"",""it"")"),"Scivola di nuovo, questa volta atterrando sulla schiena e continua a scivolare più volte.")</f>
        <v>Scivola di nuovo, questa volta atterrando sulla schiena e continua a scivolare più volte.</v>
      </c>
    </row>
    <row r="64">
      <c r="A64" s="4" t="s">
        <v>80</v>
      </c>
      <c r="B64" s="6" t="s">
        <v>81</v>
      </c>
      <c r="C64" s="5" t="str">
        <f>IFERROR(__xludf.DUMMYFUNCTION("GOOGLETRANSLATE(B64,""en"",""it"")"),"Un uomo e una donna sono seduti su divani rossi con maglie sportive appese al muro e uno schermo blu sul muro dietro di loro nel mezzo di loro.")</f>
        <v>Un uomo e una donna sono seduti su divani rossi con maglie sportive appese al muro e uno schermo blu sul muro dietro di loro nel mezzo di loro.</v>
      </c>
    </row>
    <row r="65">
      <c r="A65" s="4" t="s">
        <v>80</v>
      </c>
      <c r="B65" s="6" t="s">
        <v>82</v>
      </c>
      <c r="C65" s="5" t="str">
        <f>IFERROR(__xludf.DUMMYFUNCTION("GOOGLETRANSLATE(B65,""en"",""it"")"),"La donna raccoglie uno appuntante accanto a lei e leviga le carte che sono sopra di esso sorridendo, incrocia le gambe e si siede.")</f>
        <v>La donna raccoglie uno appuntante accanto a lei e leviga le carte che sono sopra di esso sorridendo, incrocia le gambe e si siede.</v>
      </c>
    </row>
    <row r="66">
      <c r="A66" s="4" t="s">
        <v>80</v>
      </c>
      <c r="B66" s="6" t="s">
        <v>83</v>
      </c>
      <c r="C66" s="5" t="str">
        <f>IFERROR(__xludf.DUMMYFUNCTION("GOOGLETRANSLATE(B66,""en"",""it"")"),"L'uomo sta parlando per tutto questo tempo mentre la donna si sente a proprio agio sul divano e la donna parla brevemente.")</f>
        <v>L'uomo sta parlando per tutto questo tempo mentre la donna si sente a proprio agio sul divano e la donna parla brevemente.</v>
      </c>
    </row>
    <row r="67">
      <c r="A67" s="4" t="s">
        <v>80</v>
      </c>
      <c r="B67" s="6" t="s">
        <v>84</v>
      </c>
      <c r="C67" s="5" t="str">
        <f>IFERROR(__xludf.DUMMYFUNCTION("GOOGLETRANSLATE(B67,""en"",""it"")"),"Varie clip iniziano a giocare e mostra brevemente parti di una città, quindi la maggior parte è di uomini all'aperto e gioca a calcio sulla sabbia in un mezzo della città, e occasionalmente si aprono parole blu sullo schermo quando sono realizzate alcuni "&amp;"giochi nel gioco .")</f>
        <v>Varie clip iniziano a giocare e mostra brevemente parti di una città, quindi la maggior parte è di uomini all'aperto e gioca a calcio sulla sabbia in un mezzo della città, e occasionalmente si aprono parole blu sullo schermo quando sono realizzate alcuni giochi nel gioco .</v>
      </c>
    </row>
    <row r="68">
      <c r="A68" s="4" t="s">
        <v>80</v>
      </c>
      <c r="B68" s="6" t="s">
        <v>85</v>
      </c>
      <c r="C68" s="5" t="str">
        <f>IFERROR(__xludf.DUMMYFUNCTION("GOOGLETRANSLATE(B68,""en"",""it"")"),"Quando le clip terminano l'uomo e la donna sul divano iniziano a parlare e mette giù gli appunti.")</f>
        <v>Quando le clip terminano l'uomo e la donna sul divano iniziano a parlare e mette giù gli appunti.</v>
      </c>
    </row>
    <row r="69">
      <c r="A69" s="4" t="s">
        <v>86</v>
      </c>
      <c r="B69" s="6" t="s">
        <v>87</v>
      </c>
      <c r="C69" s="5" t="str">
        <f>IFERROR(__xludf.DUMMYFUNCTION("GOOGLETRANSLATE(B69,""en"",""it"")"),"L'ex presidente è visto camminare in un grande campo accanto a una donna e circondato da una grande folla.")</f>
        <v>L'ex presidente è visto camminare in un grande campo accanto a una donna e circondato da una grande folla.</v>
      </c>
    </row>
    <row r="70">
      <c r="A70" s="4" t="s">
        <v>86</v>
      </c>
      <c r="B70" s="4" t="s">
        <v>88</v>
      </c>
      <c r="C70" s="5" t="str">
        <f>IFERROR(__xludf.DUMMYFUNCTION("GOOGLETRANSLATE(B70,""en"",""it"")"),"L'uomo tiene un discorso mentre le persone tifano e stringe la mano agli altri.")</f>
        <v>L'uomo tiene un discorso mentre le persone tifano e stringe la mano agli altri.</v>
      </c>
    </row>
    <row r="71">
      <c r="A71" s="4" t="s">
        <v>86</v>
      </c>
      <c r="B71" s="4" t="s">
        <v>89</v>
      </c>
      <c r="C71" s="5" t="str">
        <f>IFERROR(__xludf.DUMMYFUNCTION("GOOGLETRANSLATE(B71,""en"",""it"")"),"L'uomo quindi condivide una birra con altre persone intorno a lui.")</f>
        <v>L'uomo quindi condivide una birra con altre persone intorno a lui.</v>
      </c>
    </row>
    <row r="72">
      <c r="A72" s="4" t="s">
        <v>90</v>
      </c>
      <c r="B72" s="6" t="s">
        <v>91</v>
      </c>
      <c r="C72" s="5" t="str">
        <f>IFERROR(__xludf.DUMMYFUNCTION("GOOGLETRANSLATE(B72,""en"",""it"")"),"Quattro bambini sono fuori in spiaggia giocando nella sabbia, due ragazzi a sinistra e due ragazze sulla destra.")</f>
        <v>Quattro bambini sono fuori in spiaggia giocando nella sabbia, due ragazzi a sinistra e due ragazze sulla destra.</v>
      </c>
    </row>
    <row r="73">
      <c r="A73" s="4" t="s">
        <v>90</v>
      </c>
      <c r="B73" s="4" t="s">
        <v>92</v>
      </c>
      <c r="C73" s="5" t="str">
        <f>IFERROR(__xludf.DUMMYFUNCTION("GOOGLETRANSLATE(B73,""en"",""it"")"),"Le ragazze hanno circa sei castelli di sabbia e un grande cerchio che lo circonda pieno d'acqua.")</f>
        <v>Le ragazze hanno circa sei castelli di sabbia e un grande cerchio che lo circonda pieno d'acqua.</v>
      </c>
    </row>
    <row r="74">
      <c r="A74" s="4" t="s">
        <v>90</v>
      </c>
      <c r="B74" s="6" t="s">
        <v>93</v>
      </c>
      <c r="C74" s="5" t="str">
        <f>IFERROR(__xludf.DUMMYFUNCTION("GOOGLETRANSLATE(B74,""en"",""it"")"),"Si dedicano quindi a correre in spiaggia per prendere più acqua mentre il ragazzo arriva e guarda il loro lavoro.")</f>
        <v>Si dedicano quindi a correre in spiaggia per prendere più acqua mentre il ragazzo arriva e guarda il loro lavoro.</v>
      </c>
    </row>
    <row r="75">
      <c r="A75" s="4" t="s">
        <v>90</v>
      </c>
      <c r="B75" s="6" t="s">
        <v>94</v>
      </c>
      <c r="C75" s="5" t="str">
        <f>IFERROR(__xludf.DUMMYFUNCTION("GOOGLETRANSLATE(B75,""en"",""it"")"),"Una volta che hanno finito, entrambe le ragazze si tolgono correndo in acqua ma poi si fermano a metà strada per tornare e ottenere i loro galleggianti.")</f>
        <v>Una volta che hanno finito, entrambe le ragazze si tolgono correndo in acqua ma poi si fermano a metà strada per tornare e ottenere i loro galleggianti.</v>
      </c>
    </row>
    <row r="76">
      <c r="A76" s="4" t="s">
        <v>95</v>
      </c>
      <c r="B76" s="4" t="s">
        <v>96</v>
      </c>
      <c r="C76" s="5" t="str">
        <f>IFERROR(__xludf.DUMMYFUNCTION("GOOGLETRANSLATE(B76,""en"",""it"")"),"Una grande pila di foglie si vede in giro con colpi di un soffiatore.")</f>
        <v>Una grande pila di foglie si vede in giro con colpi di un soffiatore.</v>
      </c>
    </row>
    <row r="77">
      <c r="A77" s="4" t="s">
        <v>95</v>
      </c>
      <c r="B77" s="4" t="s">
        <v>97</v>
      </c>
      <c r="C77" s="5" t="str">
        <f>IFERROR(__xludf.DUMMYFUNCTION("GOOGLETRANSLATE(B77,""en"",""it"")"),"Le foglie continuano a essere mostrate che soffiano e una macchina seduta in lontananza.")</f>
        <v>Le foglie continuano a essere mostrate che soffiano e una macchina seduta in lontananza.</v>
      </c>
    </row>
    <row r="78">
      <c r="A78" s="4" t="s">
        <v>98</v>
      </c>
      <c r="B78" s="6" t="s">
        <v>99</v>
      </c>
      <c r="C78" s="5" t="str">
        <f>IFERROR(__xludf.DUMMYFUNCTION("GOOGLETRANSLATE(B78,""en"",""it"")"),"Un giocatore di basket viene visto dribblare una palla in vari colpi per la telecamera e conduce più e più volte a fare cestini.")</f>
        <v>Un giocatore di basket viene visto dribblare una palla in vari colpi per la telecamera e conduce più e più volte a fare cestini.</v>
      </c>
    </row>
    <row r="79">
      <c r="A79" s="4" t="s">
        <v>98</v>
      </c>
      <c r="B79" s="6" t="s">
        <v>100</v>
      </c>
      <c r="C79" s="5" t="str">
        <f>IFERROR(__xludf.DUMMYFUNCTION("GOOGLETRANSLATE(B79,""en"",""it"")"),"L'uomo viene quindi visto parlare alla telecamera e passa a lui segnando molti altri cestini.")</f>
        <v>L'uomo viene quindi visto parlare alla telecamera e passa a lui segnando molti altri cestini.</v>
      </c>
    </row>
    <row r="80">
      <c r="A80" s="4" t="s">
        <v>101</v>
      </c>
      <c r="B80" s="4" t="s">
        <v>102</v>
      </c>
      <c r="C80" s="5" t="str">
        <f>IFERROR(__xludf.DUMMYFUNCTION("GOOGLETRANSLATE(B80,""en"",""it"")"),"Le persone si trovano in una stanza allenando.")</f>
        <v>Le persone si trovano in una stanza allenando.</v>
      </c>
    </row>
    <row r="81">
      <c r="A81" s="4" t="s">
        <v>101</v>
      </c>
      <c r="B81" s="4" t="s">
        <v>103</v>
      </c>
      <c r="C81" s="5" t="str">
        <f>IFERROR(__xludf.DUMMYFUNCTION("GOOGLETRANSLATE(B81,""en"",""it"")"),"Stanno facendo un passo su e giù su piccoli sgabelli a passo.")</f>
        <v>Stanno facendo un passo su e giù su piccoli sgabelli a passo.</v>
      </c>
    </row>
    <row r="82">
      <c r="A82" s="4" t="s">
        <v>101</v>
      </c>
      <c r="B82" s="4" t="s">
        <v>104</v>
      </c>
      <c r="C82" s="5" t="str">
        <f>IFERROR(__xludf.DUMMYFUNCTION("GOOGLETRANSLATE(B82,""en"",""it"")"),"Continuano ad allenarsi nella stanza.")</f>
        <v>Continuano ad allenarsi nella stanza.</v>
      </c>
    </row>
    <row r="83">
      <c r="A83" s="4" t="s">
        <v>105</v>
      </c>
      <c r="B83" s="4" t="s">
        <v>106</v>
      </c>
      <c r="C83" s="5" t="str">
        <f>IFERROR(__xludf.DUMMYFUNCTION("GOOGLETRANSLATE(B83,""en"",""it"")"),"Un video in bianco e nero viene riprodotto di persone che giocano a lacrosse su un campo.")</f>
        <v>Un video in bianco e nero viene riprodotto di persone che giocano a lacrosse su un campo.</v>
      </c>
    </row>
    <row r="84">
      <c r="A84" s="4" t="s">
        <v>105</v>
      </c>
      <c r="B84" s="4" t="s">
        <v>107</v>
      </c>
      <c r="C84" s="5" t="str">
        <f>IFERROR(__xludf.DUMMYFUNCTION("GOOGLETRANSLATE(B84,""en"",""it"")"),"Si gira quindi di nuovo in colore e si divide in più fotogrammi e velocità.")</f>
        <v>Si gira quindi di nuovo in colore e si divide in più fotogrammi e velocità.</v>
      </c>
    </row>
    <row r="85">
      <c r="A85" s="4" t="s">
        <v>105</v>
      </c>
      <c r="B85" s="6" t="s">
        <v>108</v>
      </c>
      <c r="C85" s="5" t="str">
        <f>IFERROR(__xludf.DUMMYFUNCTION("GOOGLETRANSLATE(B85,""en"",""it"")"),"Il video include numerosi clip di giocatori nelle partite di lacrosse, colpendo la palla verso goal avversari.")</f>
        <v>Il video include numerosi clip di giocatori nelle partite di lacrosse, colpendo la palla verso goal avversari.</v>
      </c>
    </row>
    <row r="86">
      <c r="A86" s="4" t="s">
        <v>109</v>
      </c>
      <c r="B86" s="4" t="s">
        <v>110</v>
      </c>
      <c r="C86" s="5" t="str">
        <f>IFERROR(__xludf.DUMMYFUNCTION("GOOGLETRANSLATE(B86,""en"",""it"")"),"Un uomo sta giocando le cornamuse di fronte alle persone.")</f>
        <v>Un uomo sta giocando le cornamuse di fronte alle persone.</v>
      </c>
    </row>
    <row r="87">
      <c r="A87" s="4" t="s">
        <v>109</v>
      </c>
      <c r="B87" s="4" t="s">
        <v>111</v>
      </c>
      <c r="C87" s="5" t="str">
        <f>IFERROR(__xludf.DUMMYFUNCTION("GOOGLETRANSLATE(B87,""en"",""it"")"),"Le persone sul divano di fronte a lui iniziano a ridere.")</f>
        <v>Le persone sul divano di fronte a lui iniziano a ridere.</v>
      </c>
    </row>
    <row r="88">
      <c r="A88" s="4" t="s">
        <v>112</v>
      </c>
      <c r="B88" s="6" t="s">
        <v>113</v>
      </c>
      <c r="C88" s="5" t="str">
        <f>IFERROR(__xludf.DUMMYFUNCTION("GOOGLETRANSLATE(B88,""en"",""it"")"),"Un uomo viene visto imbottire una canoa lungo l'acqua mentre la telecamera lo cattura da diversi angoli.")</f>
        <v>Un uomo viene visto imbottire una canoa lungo l'acqua mentre la telecamera lo cattura da diversi angoli.</v>
      </c>
    </row>
    <row r="89">
      <c r="A89" s="4" t="s">
        <v>112</v>
      </c>
      <c r="B89" s="4" t="s">
        <v>114</v>
      </c>
      <c r="C89" s="5" t="str">
        <f>IFERROR(__xludf.DUMMYFUNCTION("GOOGLETRANSLATE(B89,""en"",""it"")"),"L'uomo continua a correre seguiti dall'esecuzione di diversi modi per girare la canoa.")</f>
        <v>L'uomo continua a correre seguiti dall'esecuzione di diversi modi per girare la canoa.</v>
      </c>
    </row>
    <row r="90">
      <c r="A90" s="4" t="s">
        <v>115</v>
      </c>
      <c r="B90" s="4" t="s">
        <v>116</v>
      </c>
      <c r="C90" s="5" t="str">
        <f>IFERROR(__xludf.DUMMYFUNCTION("GOOGLETRANSLATE(B90,""en"",""it"")"),"Un uomo è in piedi sul ghiaccio con il suo palo in piedi dritto accanto a lui.")</f>
        <v>Un uomo è in piedi sul ghiaccio con il suo palo in piedi dritto accanto a lui.</v>
      </c>
    </row>
    <row r="91">
      <c r="A91" s="4" t="s">
        <v>115</v>
      </c>
      <c r="B91" s="4" t="s">
        <v>117</v>
      </c>
      <c r="C91" s="5" t="str">
        <f>IFERROR(__xludf.DUMMYFUNCTION("GOOGLETRANSLATE(B91,""en"",""it"")"),"L'uomo afferra la sua canna da pesca e inizia a pescare nel buco nel ghiaccio.")</f>
        <v>L'uomo afferra la sua canna da pesca e inizia a pescare nel buco nel ghiaccio.</v>
      </c>
    </row>
    <row r="92">
      <c r="A92" s="4" t="s">
        <v>115</v>
      </c>
      <c r="B92" s="4" t="s">
        <v>118</v>
      </c>
      <c r="C92" s="5" t="str">
        <f>IFERROR(__xludf.DUMMYFUNCTION("GOOGLETRANSLATE(B92,""en"",""it"")"),"L'uomo sembra aver preso qualcosa e si inginocchia per tirare a mano la sua lenza.")</f>
        <v>L'uomo sembra aver preso qualcosa e si inginocchia per tirare a mano la sua lenza.</v>
      </c>
    </row>
    <row r="93">
      <c r="A93" s="4" t="s">
        <v>115</v>
      </c>
      <c r="B93" s="4" t="s">
        <v>119</v>
      </c>
      <c r="C93" s="5" t="str">
        <f>IFERROR(__xludf.DUMMYFUNCTION("GOOGLETRANSLATE(B93,""en"",""it"")"),"L'uomo tira fuori un pesce dall'acqua e pone con esso.")</f>
        <v>L'uomo tira fuori un pesce dall'acqua e pone con esso.</v>
      </c>
    </row>
    <row r="94">
      <c r="A94" s="4" t="s">
        <v>115</v>
      </c>
      <c r="B94" s="4" t="s">
        <v>120</v>
      </c>
      <c r="C94" s="5" t="str">
        <f>IFERROR(__xludf.DUMMYFUNCTION("GOOGLETRANSLATE(B94,""en"",""it"")"),"L'uomo sgancia il gancio dalla bocca del pesce.")</f>
        <v>L'uomo sgancia il gancio dalla bocca del pesce.</v>
      </c>
    </row>
    <row r="95">
      <c r="A95" s="4" t="s">
        <v>115</v>
      </c>
      <c r="B95" s="4" t="s">
        <v>121</v>
      </c>
      <c r="C95" s="5" t="str">
        <f>IFERROR(__xludf.DUMMYFUNCTION("GOOGLETRANSLATE(B95,""en"",""it"")"),"L'uomo bacia il pesce e lo rilascia nel buco.")</f>
        <v>L'uomo bacia il pesce e lo rilascia nel buco.</v>
      </c>
    </row>
    <row r="96">
      <c r="A96" s="4" t="s">
        <v>122</v>
      </c>
      <c r="B96" s="4" t="s">
        <v>123</v>
      </c>
      <c r="C96" s="5" t="str">
        <f>IFERROR(__xludf.DUMMYFUNCTION("GOOGLETRANSLATE(B96,""en"",""it"")"),"Un uomo era seduto all'interno di una stanza.")</f>
        <v>Un uomo era seduto all'interno di una stanza.</v>
      </c>
    </row>
    <row r="97">
      <c r="A97" s="4" t="s">
        <v>122</v>
      </c>
      <c r="B97" s="4" t="s">
        <v>124</v>
      </c>
      <c r="C97" s="5" t="str">
        <f>IFERROR(__xludf.DUMMYFUNCTION("GOOGLETRANSLATE(B97,""en"",""it"")"),"Tiene una ciotola di noodles e brodo.")</f>
        <v>Tiene una ciotola di noodles e brodo.</v>
      </c>
    </row>
    <row r="98">
      <c r="A98" s="4" t="s">
        <v>122</v>
      </c>
      <c r="B98" s="4" t="s">
        <v>125</v>
      </c>
      <c r="C98" s="5" t="str">
        <f>IFERROR(__xludf.DUMMYFUNCTION("GOOGLETRANSLATE(B98,""en"",""it"")"),"Sta bevendo il brodo da una ciotola.")</f>
        <v>Sta bevendo il brodo da una ciotola.</v>
      </c>
    </row>
    <row r="99">
      <c r="A99" s="4" t="s">
        <v>126</v>
      </c>
      <c r="B99" s="4" t="s">
        <v>127</v>
      </c>
      <c r="C99" s="5" t="str">
        <f>IFERROR(__xludf.DUMMYFUNCTION("GOOGLETRANSLATE(B99,""en"",""it"")"),"Un bambino sta sdraiando su una palla da esercizio.")</f>
        <v>Un bambino sta sdraiando su una palla da esercizio.</v>
      </c>
    </row>
    <row r="100">
      <c r="A100" s="4" t="s">
        <v>126</v>
      </c>
      <c r="B100" s="4" t="s">
        <v>128</v>
      </c>
      <c r="C100" s="5" t="str">
        <f>IFERROR(__xludf.DUMMYFUNCTION("GOOGLETRANSLATE(B100,""en"",""it"")"),"Il ragazzo cade e torna sulla palla prima che cada di nuovo.")</f>
        <v>Il ragazzo cade e torna sulla palla prima che cada di nuovo.</v>
      </c>
    </row>
    <row r="101">
      <c r="A101" s="4" t="s">
        <v>126</v>
      </c>
      <c r="B101" s="4" t="s">
        <v>129</v>
      </c>
      <c r="C101" s="5" t="str">
        <f>IFERROR(__xludf.DUMMYFUNCTION("GOOGLETRANSLATE(B101,""en"",""it"")"),"Cerca di sedersi sulla palla ma la palla rotola via.")</f>
        <v>Cerca di sedersi sulla palla ma la palla rotola via.</v>
      </c>
    </row>
    <row r="102">
      <c r="A102" s="4" t="s">
        <v>126</v>
      </c>
      <c r="B102" s="4" t="s">
        <v>130</v>
      </c>
      <c r="C102" s="5" t="str">
        <f>IFERROR(__xludf.DUMMYFUNCTION("GOOGLETRANSLATE(B102,""en"",""it"")"),"Lo recupera e continua a sedersi e cadere dalla palla.")</f>
        <v>Lo recupera e continua a sedersi e cadere dalla palla.</v>
      </c>
    </row>
    <row r="103">
      <c r="A103" s="4" t="s">
        <v>131</v>
      </c>
      <c r="B103" s="4" t="s">
        <v>132</v>
      </c>
      <c r="C103" s="5" t="str">
        <f>IFERROR(__xludf.DUMMYFUNCTION("GOOGLETRANSLATE(B103,""en"",""it"")"),"Una donna mette un paio di scarpe mentre era seduta su una sedia da ufficio.")</f>
        <v>Una donna mette un paio di scarpe mentre era seduta su una sedia da ufficio.</v>
      </c>
    </row>
    <row r="104">
      <c r="A104" s="4" t="s">
        <v>131</v>
      </c>
      <c r="B104" s="4" t="s">
        <v>133</v>
      </c>
      <c r="C104" s="5" t="str">
        <f>IFERROR(__xludf.DUMMYFUNCTION("GOOGLETRANSLATE(B104,""en"",""it"")"),"La donna si piega le scarpe.")</f>
        <v>La donna si piega le scarpe.</v>
      </c>
    </row>
    <row r="105">
      <c r="A105" s="4" t="s">
        <v>134</v>
      </c>
      <c r="B105" s="4" t="s">
        <v>135</v>
      </c>
      <c r="C105" s="5" t="str">
        <f>IFERROR(__xludf.DUMMYFUNCTION("GOOGLETRANSLATE(B105,""en"",""it"")"),"Si vede un primo piano di una bici che conduce le mani di una persona che spingono sulla gomma.")</f>
        <v>Si vede un primo piano di una bici che conduce le mani di una persona che spingono sulla gomma.</v>
      </c>
    </row>
    <row r="106">
      <c r="A106" s="4" t="s">
        <v>134</v>
      </c>
      <c r="B106" s="4" t="s">
        <v>136</v>
      </c>
      <c r="C106" s="5" t="str">
        <f>IFERROR(__xludf.DUMMYFUNCTION("GOOGLETRANSLATE(B106,""en"",""it"")"),"La persona utilizza uno strumento lungo il pneumatico per aiutarlo a spostarlo.")</f>
        <v>La persona utilizza uno strumento lungo il pneumatico per aiutarlo a spostarlo.</v>
      </c>
    </row>
    <row r="107">
      <c r="A107" s="4" t="s">
        <v>134</v>
      </c>
      <c r="B107" s="4" t="s">
        <v>137</v>
      </c>
      <c r="C107" s="5" t="str">
        <f>IFERROR(__xludf.DUMMYFUNCTION("GOOGLETRANSLATE(B107,""en"",""it"")"),"La persona infine spinge la gomma lungo i fianchi.")</f>
        <v>La persona infine spinge la gomma lungo i fianchi.</v>
      </c>
    </row>
    <row r="108">
      <c r="A108" s="4" t="s">
        <v>138</v>
      </c>
      <c r="B108" s="4" t="s">
        <v>139</v>
      </c>
      <c r="C108" s="5" t="str">
        <f>IFERROR(__xludf.DUMMYFUNCTION("GOOGLETRANSLATE(B108,""en"",""it"")"),"Una donna viene vista in ginocchio sul pavimento e tira su un pezzo di attrezzatura da esercizio.")</f>
        <v>Una donna viene vista in ginocchio sul pavimento e tira su un pezzo di attrezzatura da esercizio.</v>
      </c>
    </row>
    <row r="109">
      <c r="A109" s="4" t="s">
        <v>138</v>
      </c>
      <c r="B109" s="4" t="s">
        <v>140</v>
      </c>
      <c r="C109" s="5" t="str">
        <f>IFERROR(__xludf.DUMMYFUNCTION("GOOGLETRANSLATE(B109,""en"",""it"")"),"La donna inizia a girare il corpo con l'attrezzatura mentre parla alla telecamera.")</f>
        <v>La donna inizia a girare il corpo con l'attrezzatura mentre parla alla telecamera.</v>
      </c>
    </row>
    <row r="110">
      <c r="A110" s="4" t="s">
        <v>138</v>
      </c>
      <c r="B110" s="4" t="s">
        <v>141</v>
      </c>
      <c r="C110" s="5" t="str">
        <f>IFERROR(__xludf.DUMMYFUNCTION("GOOGLETRANSLATE(B110,""en"",""it"")"),"Continua a tirare sulla leva mentre guarda indietro alla telecamera.")</f>
        <v>Continua a tirare sulla leva mentre guarda indietro alla telecamera.</v>
      </c>
    </row>
    <row r="111">
      <c r="A111" s="4" t="s">
        <v>142</v>
      </c>
      <c r="B111" s="4" t="s">
        <v>143</v>
      </c>
      <c r="C111" s="5" t="str">
        <f>IFERROR(__xludf.DUMMYFUNCTION("GOOGLETRANSLATE(B111,""en"",""it"")"),"Tre persone sono all'angolo di un edificio.")</f>
        <v>Tre persone sono all'angolo di un edificio.</v>
      </c>
    </row>
    <row r="112">
      <c r="A112" s="4" t="s">
        <v>142</v>
      </c>
      <c r="B112" s="4" t="s">
        <v>144</v>
      </c>
      <c r="C112" s="5" t="str">
        <f>IFERROR(__xludf.DUMMYFUNCTION("GOOGLETRANSLATE(B112,""en"",""it"")"),"Una delle persone, un ragazzo, prende un inchino.")</f>
        <v>Una delle persone, un ragazzo, prende un inchino.</v>
      </c>
    </row>
    <row r="113">
      <c r="A113" s="4" t="s">
        <v>142</v>
      </c>
      <c r="B113" s="4" t="s">
        <v>145</v>
      </c>
      <c r="C113" s="5" t="str">
        <f>IFERROR(__xludf.DUMMYFUNCTION("GOOGLETRANSLATE(B113,""en"",""it"")"),"Una folla di persone lo guarda.")</f>
        <v>Una folla di persone lo guarda.</v>
      </c>
    </row>
    <row r="114">
      <c r="A114" s="4" t="s">
        <v>142</v>
      </c>
      <c r="B114" s="4" t="s">
        <v>146</v>
      </c>
      <c r="C114" s="5" t="str">
        <f>IFERROR(__xludf.DUMMYFUNCTION("GOOGLETRANSLATE(B114,""en"",""it"")"),"Procede a eseguire varie mosse di karate, come arco, cartwheel e lancia.")</f>
        <v>Procede a eseguire varie mosse di karate, come arco, cartwheel e lancia.</v>
      </c>
    </row>
    <row r="115">
      <c r="A115" s="4" t="s">
        <v>147</v>
      </c>
      <c r="B115" s="4" t="s">
        <v>148</v>
      </c>
      <c r="C115" s="5" t="str">
        <f>IFERROR(__xludf.DUMMYFUNCTION("GOOGLETRANSLATE(B115,""en"",""it"")"),"Una persona tiene un flauto.")</f>
        <v>Una persona tiene un flauto.</v>
      </c>
    </row>
    <row r="116">
      <c r="A116" s="4" t="s">
        <v>147</v>
      </c>
      <c r="B116" s="4" t="s">
        <v>149</v>
      </c>
      <c r="C116" s="5" t="str">
        <f>IFERROR(__xludf.DUMMYFUNCTION("GOOGLETRANSLATE(B116,""en"",""it"")"),"La persona mostra una diteggiatura per la seconda ottava della nota.")</f>
        <v>La persona mostra una diteggiatura per la seconda ottava della nota.</v>
      </c>
    </row>
    <row r="117">
      <c r="A117" s="4" t="s">
        <v>147</v>
      </c>
      <c r="B117" s="4" t="s">
        <v>150</v>
      </c>
      <c r="C117" s="5" t="str">
        <f>IFERROR(__xludf.DUMMYFUNCTION("GOOGLETRANSLATE(B117,""en"",""it"")"),"La persona mostra la diteggiatura sulla terza ottava.")</f>
        <v>La persona mostra la diteggiatura sulla terza ottava.</v>
      </c>
    </row>
    <row r="118">
      <c r="A118" s="4" t="s">
        <v>147</v>
      </c>
      <c r="B118" s="4" t="s">
        <v>151</v>
      </c>
      <c r="C118" s="5" t="str">
        <f>IFERROR(__xludf.DUMMYFUNCTION("GOOGLETRANSLATE(B118,""en"",""it"")"),"La donna parla direttamente alla telecamera.")</f>
        <v>La donna parla direttamente alla telecamera.</v>
      </c>
    </row>
    <row r="119">
      <c r="A119" s="4" t="s">
        <v>152</v>
      </c>
      <c r="B119" s="6" t="s">
        <v>153</v>
      </c>
      <c r="C119" s="5" t="str">
        <f>IFERROR(__xludf.DUMMYFUNCTION("GOOGLETRANSLATE(B119,""en"",""it"")"),"Un'introduzione conduce in diverse foto di un tennista e leader nelle riprese video del giocatore che gioca partite.")</f>
        <v>Un'introduzione conduce in diverse foto di un tennista e leader nelle riprese video del giocatore che gioca partite.</v>
      </c>
    </row>
    <row r="120">
      <c r="A120" s="4" t="s">
        <v>152</v>
      </c>
      <c r="B120" s="6" t="s">
        <v>154</v>
      </c>
      <c r="C120" s="5" t="str">
        <f>IFERROR(__xludf.DUMMYFUNCTION("GOOGLETRANSLATE(B120,""en"",""it"")"),"Il tennista viene mostrato in diversi colpi di giochi che eseguono acrobazie incredibili e stringe i pugni per festeggiare alla fine.")</f>
        <v>Il tennista viene mostrato in diversi colpi di giochi che eseguono acrobazie incredibili e stringe i pugni per festeggiare alla fine.</v>
      </c>
    </row>
    <row r="121">
      <c r="A121" s="4" t="s">
        <v>155</v>
      </c>
      <c r="B121" s="4" t="s">
        <v>156</v>
      </c>
      <c r="C121" s="5" t="str">
        <f>IFERROR(__xludf.DUMMYFUNCTION("GOOGLETRANSLATE(B121,""en"",""it"")"),"I ballerini hiphop si esibiscono di fronte a una folla.")</f>
        <v>I ballerini hiphop si esibiscono di fronte a una folla.</v>
      </c>
    </row>
    <row r="122">
      <c r="A122" s="4" t="s">
        <v>155</v>
      </c>
      <c r="B122" s="4" t="s">
        <v>157</v>
      </c>
      <c r="C122" s="5" t="str">
        <f>IFERROR(__xludf.DUMMYFUNCTION("GOOGLETRANSLATE(B122,""en"",""it"")"),"Stanno tutti facendo la stessa danza di base e le foto di loro.")</f>
        <v>Stanno tutti facendo la stessa danza di base e le foto di loro.</v>
      </c>
    </row>
    <row r="123">
      <c r="A123" s="4" t="s">
        <v>158</v>
      </c>
      <c r="B123" s="4" t="s">
        <v>159</v>
      </c>
      <c r="C123" s="5" t="str">
        <f>IFERROR(__xludf.DUMMYFUNCTION("GOOGLETRANSLATE(B123,""en"",""it"")"),"Un fiume oscuro viene mostrato accanto a una fila di alberi.")</f>
        <v>Un fiume oscuro viene mostrato accanto a una fila di alberi.</v>
      </c>
    </row>
    <row r="124">
      <c r="A124" s="4" t="s">
        <v>158</v>
      </c>
      <c r="B124" s="4" t="s">
        <v>160</v>
      </c>
      <c r="C124" s="5" t="str">
        <f>IFERROR(__xludf.DUMMYFUNCTION("GOOGLETRANSLATE(B124,""en"",""it"")"),"Un mucchio di persone sugli intertorubi vanno lentamente.")</f>
        <v>Un mucchio di persone sugli intertorubi vanno lentamente.</v>
      </c>
    </row>
    <row r="125">
      <c r="A125" s="4" t="s">
        <v>158</v>
      </c>
      <c r="B125" s="4" t="s">
        <v>161</v>
      </c>
      <c r="C125" s="5" t="str">
        <f>IFERROR(__xludf.DUMMYFUNCTION("GOOGLETRANSLATE(B125,""en"",""it"")"),"Quindi vediamo acque rapide mentre i tuberi superano piccole cadute.")</f>
        <v>Quindi vediamo acque rapide mentre i tuberi superano piccole cadute.</v>
      </c>
    </row>
    <row r="126">
      <c r="A126" s="4" t="s">
        <v>162</v>
      </c>
      <c r="B126" s="4" t="s">
        <v>163</v>
      </c>
      <c r="C126" s="5" t="str">
        <f>IFERROR(__xludf.DUMMYFUNCTION("GOOGLETRANSLATE(B126,""en"",""it"")"),"Tre ragazze sono in spiaggia a parlare.")</f>
        <v>Tre ragazze sono in spiaggia a parlare.</v>
      </c>
    </row>
    <row r="127">
      <c r="A127" s="4" t="s">
        <v>162</v>
      </c>
      <c r="B127" s="4" t="s">
        <v>164</v>
      </c>
      <c r="C127" s="5" t="str">
        <f>IFERROR(__xludf.DUMMYFUNCTION("GOOGLETRANSLATE(B127,""en"",""it"")"),"Fanno diversi giri sulla spiaggia.")</f>
        <v>Fanno diversi giri sulla spiaggia.</v>
      </c>
    </row>
    <row r="128">
      <c r="A128" s="4" t="s">
        <v>162</v>
      </c>
      <c r="B128" s="4" t="s">
        <v>165</v>
      </c>
      <c r="C128" s="5" t="str">
        <f>IFERROR(__xludf.DUMMYFUNCTION("GOOGLETRANSLATE(B128,""en"",""it"")"),"Sollevano una delle ragazze per una acrobazia.")</f>
        <v>Sollevano una delle ragazze per una acrobazia.</v>
      </c>
    </row>
    <row r="129">
      <c r="A129" s="4" t="s">
        <v>166</v>
      </c>
      <c r="B129" s="4" t="s">
        <v>167</v>
      </c>
      <c r="C129" s="5" t="str">
        <f>IFERROR(__xludf.DUMMYFUNCTION("GOOGLETRANSLATE(B129,""en"",""it"")"),"La telecamera piovana sopra il terreno lussureggiante e verde su quella che sembra una catena montuosa.")</f>
        <v>La telecamera piovana sopra il terreno lussureggiante e verde su quella che sembra una catena montuosa.</v>
      </c>
    </row>
    <row r="130">
      <c r="A130" s="4" t="s">
        <v>166</v>
      </c>
      <c r="B130" s="6" t="s">
        <v>168</v>
      </c>
      <c r="C130" s="5" t="str">
        <f>IFERROR(__xludf.DUMMYFUNCTION("GOOGLETRANSLATE(B130,""en"",""it"")"),"Un uomo viene mostrato coperto di sudore e quindi saltando su varie colline eseguendo acrobazie su una bici da terra.")</f>
        <v>Un uomo viene mostrato coperto di sudore e quindi saltando su varie colline eseguendo acrobazie su una bici da terra.</v>
      </c>
    </row>
    <row r="131">
      <c r="A131" s="4" t="s">
        <v>166</v>
      </c>
      <c r="B131" s="4" t="s">
        <v>169</v>
      </c>
      <c r="C131" s="5" t="str">
        <f>IFERROR(__xludf.DUMMYFUNCTION("GOOGLETRANSLATE(B131,""en"",""it"")"),"Ruota e lancia ed esegue tutti i tipi di acrobazie.")</f>
        <v>Ruota e lancia ed esegue tutti i tipi di acrobazie.</v>
      </c>
    </row>
    <row r="132">
      <c r="A132" s="4" t="s">
        <v>166</v>
      </c>
      <c r="B132" s="4" t="s">
        <v>170</v>
      </c>
      <c r="C132" s="5" t="str">
        <f>IFERROR(__xludf.DUMMYFUNCTION("GOOGLETRANSLATE(B132,""en"",""it"")"),"È altamente abile e salta su tutto.")</f>
        <v>È altamente abile e salta su tutto.</v>
      </c>
    </row>
    <row r="133">
      <c r="A133" s="4" t="s">
        <v>166</v>
      </c>
      <c r="B133" s="6" t="s">
        <v>171</v>
      </c>
      <c r="C133" s="5" t="str">
        <f>IFERROR(__xludf.DUMMYFUNCTION("GOOGLETRANSLATE(B133,""en"",""it"")"),"Il video mostra quindi più uomini su bici sporche che saltano in vari luoghi e mostra l'azione da una varietà di angoli.")</f>
        <v>Il video mostra quindi più uomini su bici sporche che saltano in vari luoghi e mostra l'azione da una varietà di angoli.</v>
      </c>
    </row>
    <row r="134">
      <c r="A134" s="4" t="s">
        <v>166</v>
      </c>
      <c r="B134" s="4" t="s">
        <v>172</v>
      </c>
      <c r="C134" s="5" t="str">
        <f>IFERROR(__xludf.DUMMYFUNCTION("GOOGLETRANSLATE(B134,""en"",""it"")"),"Gli uomini continuano a eseguire i loro stordimenti in vari altri paesaggi.")</f>
        <v>Gli uomini continuano a eseguire i loro stordimenti in vari altri paesaggi.</v>
      </c>
    </row>
    <row r="135">
      <c r="A135" s="4" t="s">
        <v>173</v>
      </c>
      <c r="B135" s="4" t="s">
        <v>174</v>
      </c>
      <c r="C135" s="5" t="str">
        <f>IFERROR(__xludf.DUMMYFUNCTION("GOOGLETRANSLATE(B135,""en"",""it"")"),"Una donna sta camminando lungo una pista.")</f>
        <v>Una donna sta camminando lungo una pista.</v>
      </c>
    </row>
    <row r="136">
      <c r="A136" s="4" t="s">
        <v>173</v>
      </c>
      <c r="B136" s="4" t="s">
        <v>175</v>
      </c>
      <c r="C136" s="5" t="str">
        <f>IFERROR(__xludf.DUMMYFUNCTION("GOOGLETRANSLATE(B136,""en"",""it"")"),"Si decolla a una corsa veloce.")</f>
        <v>Si decolla a una corsa veloce.</v>
      </c>
    </row>
    <row r="137">
      <c r="A137" s="4" t="s">
        <v>173</v>
      </c>
      <c r="B137" s="4" t="s">
        <v>176</v>
      </c>
      <c r="C137" s="5" t="str">
        <f>IFERROR(__xludf.DUMMYFUNCTION("GOOGLETRANSLATE(B137,""en"",""it"")"),"Salta su un bar e su un tappetino.")</f>
        <v>Salta su un bar e su un tappetino.</v>
      </c>
    </row>
    <row r="138">
      <c r="A138" s="4" t="s">
        <v>177</v>
      </c>
      <c r="B138" s="4" t="s">
        <v>178</v>
      </c>
      <c r="C138" s="5" t="str">
        <f>IFERROR(__xludf.DUMMYFUNCTION("GOOGLETRANSLATE(B138,""en"",""it"")"),"Una persona sta tagliando le lime su una tavola.")</f>
        <v>Una persona sta tagliando le lime su una tavola.</v>
      </c>
    </row>
    <row r="139">
      <c r="A139" s="4" t="s">
        <v>177</v>
      </c>
      <c r="B139" s="4" t="s">
        <v>179</v>
      </c>
      <c r="C139" s="5" t="str">
        <f>IFERROR(__xludf.DUMMYFUNCTION("GOOGLETRANSLATE(B139,""en"",""it"")"),"Mettono i lime e lo zucchero in un frullatore.")</f>
        <v>Mettono i lime e lo zucchero in un frullatore.</v>
      </c>
    </row>
    <row r="140">
      <c r="A140" s="4" t="s">
        <v>177</v>
      </c>
      <c r="B140" s="4" t="s">
        <v>180</v>
      </c>
      <c r="C140" s="5" t="str">
        <f>IFERROR(__xludf.DUMMYFUNCTION("GOOGLETRANSLATE(B140,""en"",""it"")"),"Filtrano il succo e lo versano in un barattolo.")</f>
        <v>Filtrano il succo e lo versano in un barattolo.</v>
      </c>
    </row>
    <row r="141">
      <c r="A141" s="4" t="s">
        <v>177</v>
      </c>
      <c r="B141" s="4" t="s">
        <v>181</v>
      </c>
      <c r="C141" s="5" t="str">
        <f>IFERROR(__xludf.DUMMYFUNCTION("GOOGLETRANSLATE(B141,""en"",""it"")"),"Mettono una cannuccia e un cuneo lime sul bordo del vetro.")</f>
        <v>Mettono una cannuccia e un cuneo lime sul bordo del vetro.</v>
      </c>
    </row>
    <row r="142">
      <c r="A142" s="4" t="s">
        <v>182</v>
      </c>
      <c r="B142" s="4" t="s">
        <v>183</v>
      </c>
      <c r="C142" s="5" t="str">
        <f>IFERROR(__xludf.DUMMYFUNCTION("GOOGLETRANSLATE(B142,""en"",""it"")"),"Un bambino strofina il lavello della cucina usando un pennello.")</f>
        <v>Un bambino strofina il lavello della cucina usando un pennello.</v>
      </c>
    </row>
    <row r="143">
      <c r="A143" s="4" t="s">
        <v>182</v>
      </c>
      <c r="B143" s="4" t="s">
        <v>184</v>
      </c>
      <c r="C143" s="5" t="str">
        <f>IFERROR(__xludf.DUMMYFUNCTION("GOOGLETRANSLATE(B143,""en"",""it"")"),"Il ragazzo accende il rubinetto del lavandino.")</f>
        <v>Il ragazzo accende il rubinetto del lavandino.</v>
      </c>
    </row>
    <row r="144">
      <c r="A144" s="4" t="s">
        <v>182</v>
      </c>
      <c r="B144" s="4" t="s">
        <v>185</v>
      </c>
      <c r="C144" s="5" t="str">
        <f>IFERROR(__xludf.DUMMYFUNCTION("GOOGLETRANSLATE(B144,""en"",""it"")"),"Il bambino usa l'ugello del rubinetto per sciacquare il lavandino.")</f>
        <v>Il bambino usa l'ugello del rubinetto per sciacquare il lavandino.</v>
      </c>
    </row>
    <row r="145">
      <c r="A145" s="4" t="s">
        <v>182</v>
      </c>
      <c r="B145" s="4" t="s">
        <v>186</v>
      </c>
      <c r="C145" s="5" t="str">
        <f>IFERROR(__xludf.DUMMYFUNCTION("GOOGLETRANSLATE(B145,""en"",""it"")"),"Il ragazzo restituisce l'ugello del lavandino al rubinetto e spegne l'acqua.")</f>
        <v>Il ragazzo restituisce l'ugello del lavandino al rubinetto e spegne l'acqua.</v>
      </c>
    </row>
    <row r="146">
      <c r="A146" s="4" t="s">
        <v>187</v>
      </c>
      <c r="B146" s="4" t="s">
        <v>188</v>
      </c>
      <c r="C146" s="5" t="str">
        <f>IFERROR(__xludf.DUMMYFUNCTION("GOOGLETRANSLATE(B146,""en"",""it"")"),"Un uomo in uno studio nudo mette in mostra una serie di arti marziali da solo da solo davanti a una macchina fotografica.")</f>
        <v>Un uomo in uno studio nudo mette in mostra una serie di arti marziali da solo da solo davanti a una macchina fotografica.</v>
      </c>
    </row>
    <row r="147">
      <c r="A147" s="4" t="s">
        <v>187</v>
      </c>
      <c r="B147" s="6" t="s">
        <v>189</v>
      </c>
      <c r="C147" s="5" t="str">
        <f>IFERROR(__xludf.DUMMYFUNCTION("GOOGLETRANSLATE(B147,""en"",""it"")"),"Un uomo appare in una maglietta bianca e pantaloni neri, a piedi nudi e inizia a mostrare le mosse di arti marziali.")</f>
        <v>Un uomo appare in una maglietta bianca e pantaloni neri, a piedi nudi e inizia a mostrare le mosse di arti marziali.</v>
      </c>
    </row>
    <row r="148">
      <c r="A148" s="4" t="s">
        <v>187</v>
      </c>
      <c r="B148" s="4" t="s">
        <v>190</v>
      </c>
      <c r="C148" s="5" t="str">
        <f>IFERROR(__xludf.DUMMYFUNCTION("GOOGLETRANSLATE(B148,""en"",""it"")"),"L'uomo inizia a usare mosse che mostrano il lavoro del pavimento e la luce cade insieme a una testa.")</f>
        <v>L'uomo inizia a usare mosse che mostrano il lavoro del pavimento e la luce cade insieme a una testa.</v>
      </c>
    </row>
    <row r="149">
      <c r="A149" s="4" t="s">
        <v>187</v>
      </c>
      <c r="B149" s="4" t="s">
        <v>191</v>
      </c>
      <c r="C149" s="5" t="str">
        <f>IFERROR(__xludf.DUMMYFUNCTION("GOOGLETRANSLATE(B149,""en"",""it"")"),"L'uomo avanza in capriole controllate e lavori da lato all'altro insieme a calci alti.")</f>
        <v>L'uomo avanza in capriole controllate e lavori da lato all'altro insieme a calci alti.</v>
      </c>
    </row>
    <row r="150">
      <c r="A150" s="4" t="s">
        <v>192</v>
      </c>
      <c r="B150" s="4" t="s">
        <v>193</v>
      </c>
      <c r="C150" s="5" t="str">
        <f>IFERROR(__xludf.DUMMYFUNCTION("GOOGLETRANSLATE(B150,""en"",""it"")"),"Un rivenditore viene mostrato che stabilisce le carte su un tavolo mentre le mani di altre persone sono mostrate sul lato.")</f>
        <v>Un rivenditore viene mostrato che stabilisce le carte su un tavolo mentre le mani di altre persone sono mostrate sul lato.</v>
      </c>
    </row>
    <row r="151">
      <c r="A151" s="4" t="s">
        <v>192</v>
      </c>
      <c r="B151" s="4" t="s">
        <v>194</v>
      </c>
      <c r="C151" s="5" t="str">
        <f>IFERROR(__xludf.DUMMYFUNCTION("GOOGLETRANSLATE(B151,""en"",""it"")"),"La persona espone quindi le carte mentre un'altra persona espone le sue patatine.")</f>
        <v>La persona espone quindi le carte mentre un'altra persona espone le sue patatine.</v>
      </c>
    </row>
    <row r="152">
      <c r="A152" s="4" t="s">
        <v>195</v>
      </c>
      <c r="B152" s="6" t="s">
        <v>196</v>
      </c>
      <c r="C152" s="5" t="str">
        <f>IFERROR(__xludf.DUMMYFUNCTION("GOOGLETRANSLATE(B152,""en"",""it"")"),"Diverse persone sono fuori con attrezzature di corsa e numeri appuntati a loro che si facevano a un ritmo lento a ciò che le cuciture sono una maratona o una 5K.")</f>
        <v>Diverse persone sono fuori con attrezzature di corsa e numeri appuntati a loro che si facevano a un ritmo lento a ciò che le cuciture sono una maratona o una 5K.</v>
      </c>
    </row>
    <row r="153">
      <c r="A153" s="4" t="s">
        <v>195</v>
      </c>
      <c r="B153" s="6" t="s">
        <v>197</v>
      </c>
      <c r="C153" s="5" t="str">
        <f>IFERROR(__xludf.DUMMYFUNCTION("GOOGLETRANSLATE(B153,""en"",""it"")"),"Una signora vestita di tutto nero, tuttavia, sembra essere il punto focale in tutto il video e sta camminando a un ritmo estremamente lento per tutto il tempo.")</f>
        <v>Una signora vestita di tutto nero, tuttavia, sembra essere il punto focale in tutto il video e sta camminando a un ritmo estremamente lento per tutto il tempo.</v>
      </c>
    </row>
    <row r="154">
      <c r="A154" s="4" t="s">
        <v>195</v>
      </c>
      <c r="B154" s="6" t="s">
        <v>198</v>
      </c>
      <c r="C154" s="5" t="str">
        <f>IFERROR(__xludf.DUMMYFUNCTION("GOOGLETRANSLATE(B154,""en"",""it"")"),"Dopo che la folla è stata mostrata e più persone vengono viste che attraversano la città o addirittura partecipano a una sedia a rotelle mentre le persone sul lato le incoraggiano.")</f>
        <v>Dopo che la folla è stata mostrata e più persone vengono viste che attraversano la città o addirittura partecipano a una sedia a rotelle mentre le persone sul lato le incoraggiano.</v>
      </c>
    </row>
    <row r="155">
      <c r="A155" s="4" t="s">
        <v>199</v>
      </c>
      <c r="B155" s="6" t="s">
        <v>200</v>
      </c>
      <c r="C155" s="5" t="str">
        <f>IFERROR(__xludf.DUMMYFUNCTION("GOOGLETRANSLATE(B155,""en"",""it"")"),"Un uomo viene mostrato in piedi davanti a uno sfondo blu come vengono mostrate molte armoniche e inizia a suonarle.")</f>
        <v>Un uomo viene mostrato in piedi davanti a uno sfondo blu come vengono mostrate molte armoniche e inizia a suonarle.</v>
      </c>
    </row>
    <row r="156">
      <c r="A156" s="4" t="s">
        <v>199</v>
      </c>
      <c r="B156" s="6" t="s">
        <v>201</v>
      </c>
      <c r="C156" s="5" t="str">
        <f>IFERROR(__xludf.DUMMYFUNCTION("GOOGLETRANSLATE(B156,""en"",""it"")"),"Viene quindi mostrato parlare nella fotocamera e entrare nei dettagli per quanto riguarda le caratteristiche dei prodotti.")</f>
        <v>Viene quindi mostrato parlare nella fotocamera e entrare nei dettagli per quanto riguarda le caratteristiche dei prodotti.</v>
      </c>
    </row>
    <row r="157">
      <c r="A157" s="4" t="s">
        <v>199</v>
      </c>
      <c r="B157" s="4" t="s">
        <v>202</v>
      </c>
      <c r="C157" s="5" t="str">
        <f>IFERROR(__xludf.DUMMYFUNCTION("GOOGLETRANSLATE(B157,""en"",""it"")"),"Mostra quanti ha nel suo cappotto e continua a parlare.")</f>
        <v>Mostra quanti ha nel suo cappotto e continua a parlare.</v>
      </c>
    </row>
    <row r="158">
      <c r="A158" s="4" t="s">
        <v>199</v>
      </c>
      <c r="B158" s="4" t="s">
        <v>203</v>
      </c>
      <c r="C158" s="5" t="str">
        <f>IFERROR(__xludf.DUMMYFUNCTION("GOOGLETRANSLATE(B158,""en"",""it"")"),"Viene quindi mostrato interpretare un'altra armonica mentre ci dà istruzioni.")</f>
        <v>Viene quindi mostrato interpretare un'altra armonica mentre ci dà istruzioni.</v>
      </c>
    </row>
    <row r="159">
      <c r="A159" s="4" t="s">
        <v>199</v>
      </c>
      <c r="B159" s="6" t="s">
        <v>204</v>
      </c>
      <c r="C159" s="5" t="str">
        <f>IFERROR(__xludf.DUMMYFUNCTION("GOOGLETRANSLATE(B159,""en"",""it"")"),"Parla un po 'di più e mostra di nuovo la sua armonica mentre il video va alla schermata del titolo finale che legge Howcast originale "".")</f>
        <v>Parla un po 'di più e mostra di nuovo la sua armonica mentre il video va alla schermata del titolo finale che legge Howcast originale ".</v>
      </c>
    </row>
    <row r="160">
      <c r="A160" s="4" t="s">
        <v>205</v>
      </c>
      <c r="B160" s="4" t="s">
        <v>206</v>
      </c>
      <c r="C160" s="5" t="str">
        <f>IFERROR(__xludf.DUMMYFUNCTION("GOOGLETRANSLATE(B160,""en"",""it"")"),"Un ragazzo che indossa pantaloncini bianchi è in piedi in una stanza.")</f>
        <v>Un ragazzo che indossa pantaloncini bianchi è in piedi in una stanza.</v>
      </c>
    </row>
    <row r="161">
      <c r="A161" s="4" t="s">
        <v>205</v>
      </c>
      <c r="B161" s="4" t="s">
        <v>207</v>
      </c>
      <c r="C161" s="5" t="str">
        <f>IFERROR(__xludf.DUMMYFUNCTION("GOOGLETRANSLATE(B161,""en"",""it"")"),"Gli mette qualcosa in bocca.")</f>
        <v>Gli mette qualcosa in bocca.</v>
      </c>
    </row>
    <row r="162">
      <c r="A162" s="4" t="s">
        <v>205</v>
      </c>
      <c r="B162" s="4" t="s">
        <v>208</v>
      </c>
      <c r="C162" s="5" t="str">
        <f>IFERROR(__xludf.DUMMYFUNCTION("GOOGLETRANSLATE(B162,""en"",""it"")"),"Si alza le gambe di lato.")</f>
        <v>Si alza le gambe di lato.</v>
      </c>
    </row>
    <row r="163">
      <c r="A163" s="4" t="s">
        <v>205</v>
      </c>
      <c r="B163" s="4" t="s">
        <v>209</v>
      </c>
      <c r="C163" s="5" t="str">
        <f>IFERROR(__xludf.DUMMYFUNCTION("GOOGLETRANSLATE(B163,""en"",""it"")"),"Le ginocchia sul terreno.")</f>
        <v>Le ginocchia sul terreno.</v>
      </c>
    </row>
    <row r="164">
      <c r="A164" s="4" t="s">
        <v>210</v>
      </c>
      <c r="B164" s="4" t="s">
        <v>211</v>
      </c>
      <c r="C164" s="5" t="str">
        <f>IFERROR(__xludf.DUMMYFUNCTION("GOOGLETRANSLATE(B164,""en"",""it"")"),"Un piccolo gruppo di persone è visto seduto sul lato e conduce a due persone che ballano insieme.")</f>
        <v>Un piccolo gruppo di persone è visto seduto sul lato e conduce a due persone che ballano insieme.</v>
      </c>
    </row>
    <row r="165">
      <c r="A165" s="4" t="s">
        <v>210</v>
      </c>
      <c r="B165" s="4" t="s">
        <v>212</v>
      </c>
      <c r="C165" s="5" t="str">
        <f>IFERROR(__xludf.DUMMYFUNCTION("GOOGLETRANSLATE(B165,""en"",""it"")"),"Le persone continuano a ballare lungo il pavimento e alla fine battendo con la band.")</f>
        <v>Le persone continuano a ballare lungo il pavimento e alla fine battendo con la band.</v>
      </c>
    </row>
    <row r="166">
      <c r="A166" s="4" t="s">
        <v>213</v>
      </c>
      <c r="B166" s="4" t="s">
        <v>214</v>
      </c>
      <c r="C166" s="5" t="str">
        <f>IFERROR(__xludf.DUMMYFUNCTION("GOOGLETRANSLATE(B166,""en"",""it"")"),"Un corridore mette alla prova una gamba protesica a lunga distanza.")</f>
        <v>Un corridore mette alla prova una gamba protesica a lunga distanza.</v>
      </c>
    </row>
    <row r="167">
      <c r="A167" s="4" t="s">
        <v>213</v>
      </c>
      <c r="B167" s="4" t="s">
        <v>215</v>
      </c>
      <c r="C167" s="5" t="str">
        <f>IFERROR(__xludf.DUMMYFUNCTION("GOOGLETRANSLATE(B167,""en"",""it"")"),"Corre dentro e poi corre fuori.")</f>
        <v>Corre dentro e poi corre fuori.</v>
      </c>
    </row>
    <row r="168">
      <c r="A168" s="4" t="s">
        <v>216</v>
      </c>
      <c r="B168" s="4" t="s">
        <v>217</v>
      </c>
      <c r="C168" s="5" t="str">
        <f>IFERROR(__xludf.DUMMYFUNCTION("GOOGLETRANSLATE(B168,""en"",""it"")"),"Un piccolo gruppo di persone viene visto vagare per un campo da tennis che colpisce una palla sopra la rete.")</f>
        <v>Un piccolo gruppo di persone viene visto vagare per un campo da tennis che colpisce una palla sopra la rete.</v>
      </c>
    </row>
    <row r="169">
      <c r="A169" s="4" t="s">
        <v>216</v>
      </c>
      <c r="B169" s="4" t="s">
        <v>218</v>
      </c>
      <c r="C169" s="5" t="str">
        <f>IFERROR(__xludf.DUMMYFUNCTION("GOOGLETRANSLATE(B169,""en"",""it"")"),"La gente ha colpito la palla indietro e quarto mentre altri guardano sul lato.")</f>
        <v>La gente ha colpito la palla indietro e quarto mentre altri guardano sul lato.</v>
      </c>
    </row>
    <row r="170">
      <c r="A170" s="4" t="s">
        <v>216</v>
      </c>
      <c r="B170" s="4" t="s">
        <v>219</v>
      </c>
      <c r="C170" s="5" t="str">
        <f>IFERROR(__xludf.DUMMYFUNCTION("GOOGLETRANSLATE(B170,""en"",""it"")"),"Continuano a giocare e ad altri.")</f>
        <v>Continuano a giocare e ad altri.</v>
      </c>
    </row>
    <row r="171">
      <c r="A171" s="4" t="s">
        <v>220</v>
      </c>
      <c r="B171" s="6" t="s">
        <v>221</v>
      </c>
      <c r="C171" s="5" t="str">
        <f>IFERROR(__xludf.DUMMYFUNCTION("GOOGLETRANSLATE(B171,""en"",""it"")"),"Un giovane che indossa una camicia bianca e un casco e pantaloni neri tiene in mano uno skateboard mentre cammina.")</f>
        <v>Un giovane che indossa una camicia bianca e un casco e pantaloni neri tiene in mano uno skateboard mentre cammina.</v>
      </c>
    </row>
    <row r="172">
      <c r="A172" s="4" t="s">
        <v>220</v>
      </c>
      <c r="B172" s="4" t="s">
        <v>222</v>
      </c>
      <c r="C172" s="5" t="str">
        <f>IFERROR(__xludf.DUMMYFUNCTION("GOOGLETRANSLATE(B172,""en"",""it"")"),"Mette giù lo skateboard e inizia a pattinare su una strada asfaltata.")</f>
        <v>Mette giù lo skateboard e inizia a pattinare su una strada asfaltata.</v>
      </c>
    </row>
    <row r="173">
      <c r="A173" s="4" t="s">
        <v>220</v>
      </c>
      <c r="B173" s="4" t="s">
        <v>223</v>
      </c>
      <c r="C173" s="5" t="str">
        <f>IFERROR(__xludf.DUMMYFUNCTION("GOOGLETRANSLATE(B173,""en"",""it"")"),"Rivolge più volte allo skateboard e va in tondo.")</f>
        <v>Rivolge più volte allo skateboard e va in tondo.</v>
      </c>
    </row>
    <row r="174">
      <c r="A174" s="4" t="s">
        <v>220</v>
      </c>
      <c r="B174" s="4" t="s">
        <v>224</v>
      </c>
      <c r="C174" s="5" t="str">
        <f>IFERROR(__xludf.DUMMYFUNCTION("GOOGLETRANSLATE(B174,""en"",""it"")"),"Due persone lo superano mentre continua a skateboard.")</f>
        <v>Due persone lo superano mentre continua a skateboard.</v>
      </c>
    </row>
    <row r="175">
      <c r="A175" s="4" t="s">
        <v>220</v>
      </c>
      <c r="B175" s="4" t="s">
        <v>225</v>
      </c>
      <c r="C175" s="5" t="str">
        <f>IFERROR(__xludf.DUMMYFUNCTION("GOOGLETRANSLATE(B175,""en"",""it"")"),"L'uomo inizia ad accelerare sul suo skateboard mentre scende lungo la strada.")</f>
        <v>L'uomo inizia ad accelerare sul suo skateboard mentre scende lungo la strada.</v>
      </c>
    </row>
    <row r="176">
      <c r="A176" s="4" t="s">
        <v>220</v>
      </c>
      <c r="B176" s="4" t="s">
        <v>226</v>
      </c>
      <c r="C176" s="5" t="str">
        <f>IFERROR(__xludf.DUMMYFUNCTION("GOOGLETRANSLATE(B176,""en"",""it"")"),"Passa anche oltre un lago su una strada lunga e tortuosa.")</f>
        <v>Passa anche oltre un lago su una strada lunga e tortuosa.</v>
      </c>
    </row>
    <row r="177">
      <c r="A177" s="4" t="s">
        <v>220</v>
      </c>
      <c r="B177" s="4" t="s">
        <v>227</v>
      </c>
      <c r="C177" s="5" t="str">
        <f>IFERROR(__xludf.DUMMYFUNCTION("GOOGLETRANSLATE(B177,""en"",""it"")"),"Passa oltre un campo e montagne piene di vegetazione.")</f>
        <v>Passa oltre un campo e montagne piene di vegetazione.</v>
      </c>
    </row>
    <row r="178">
      <c r="A178" s="4" t="s">
        <v>220</v>
      </c>
      <c r="B178" s="4" t="s">
        <v>228</v>
      </c>
      <c r="C178" s="5" t="str">
        <f>IFERROR(__xludf.DUMMYFUNCTION("GOOGLETRANSLATE(B178,""en"",""it"")"),"Prova varie acrobazie e trucchi sul suo skateboard.")</f>
        <v>Prova varie acrobazie e trucchi sul suo skateboard.</v>
      </c>
    </row>
    <row r="179">
      <c r="A179" s="4" t="s">
        <v>220</v>
      </c>
      <c r="B179" s="4" t="s">
        <v>229</v>
      </c>
      <c r="C179" s="5" t="str">
        <f>IFERROR(__xludf.DUMMYFUNCTION("GOOGLETRANSLATE(B179,""en"",""it"")"),"Continua a skateboard attraverso le strade.")</f>
        <v>Continua a skateboard attraverso le strade.</v>
      </c>
    </row>
    <row r="180">
      <c r="A180" s="4" t="s">
        <v>220</v>
      </c>
      <c r="B180" s="4" t="s">
        <v>230</v>
      </c>
      <c r="C180" s="5" t="str">
        <f>IFERROR(__xludf.DUMMYFUNCTION("GOOGLETRANSLATE(B180,""en"",""it"")"),"Cade dallo skateboard sul lato della strada, ma ci torna subito e pattina via.")</f>
        <v>Cade dallo skateboard sul lato della strada, ma ci torna subito e pattina via.</v>
      </c>
    </row>
    <row r="181">
      <c r="A181" s="4" t="s">
        <v>231</v>
      </c>
      <c r="B181" s="4" t="s">
        <v>232</v>
      </c>
      <c r="C181" s="5" t="str">
        <f>IFERROR(__xludf.DUMMYFUNCTION("GOOGLETRANSLATE(B181,""en"",""it"")"),"Gli atleti lanciano un giavellotto durante una competizione.")</f>
        <v>Gli atleti lanciano un giavellotto durante una competizione.</v>
      </c>
    </row>
    <row r="182">
      <c r="A182" s="4" t="s">
        <v>231</v>
      </c>
      <c r="B182" s="4" t="s">
        <v>233</v>
      </c>
      <c r="C182" s="5" t="str">
        <f>IFERROR(__xludf.DUMMYFUNCTION("GOOGLETRANSLATE(B182,""en"",""it"")"),"Un uomo pratica la sua posizione di lancio che cammina e fa a metà senza giavello.")</f>
        <v>Un uomo pratica la sua posizione di lancio che cammina e fa a metà senza giavello.</v>
      </c>
    </row>
    <row r="183">
      <c r="A183" s="4" t="s">
        <v>231</v>
      </c>
      <c r="B183" s="4" t="s">
        <v>234</v>
      </c>
      <c r="C183" s="5" t="str">
        <f>IFERROR(__xludf.DUMMYFUNCTION("GOOGLETRANSLATE(B183,""en"",""it"")"),"Un uomo pratica la sua posizione di lancio che cammina e facendo mezze tiri con un giavello.")</f>
        <v>Un uomo pratica la sua posizione di lancio che cammina e facendo mezze tiri con un giavello.</v>
      </c>
    </row>
    <row r="184">
      <c r="A184" s="4" t="s">
        <v>231</v>
      </c>
      <c r="B184" s="4" t="s">
        <v>235</v>
      </c>
      <c r="C184" s="5" t="str">
        <f>IFERROR(__xludf.DUMMYFUNCTION("GOOGLETRANSLATE(B184,""en"",""it"")"),"L'uomo fa oscillare un martello.")</f>
        <v>L'uomo fa oscillare un martello.</v>
      </c>
    </row>
    <row r="185">
      <c r="A185" s="4" t="s">
        <v>231</v>
      </c>
      <c r="B185" s="4" t="s">
        <v>236</v>
      </c>
      <c r="C185" s="5" t="str">
        <f>IFERROR(__xludf.DUMMYFUNCTION("GOOGLETRANSLATE(B185,""en"",""it"")"),"L'uomo lancia una palla ponderata.")</f>
        <v>L'uomo lancia una palla ponderata.</v>
      </c>
    </row>
    <row r="186">
      <c r="A186" s="4" t="s">
        <v>231</v>
      </c>
      <c r="B186" s="4" t="s">
        <v>237</v>
      </c>
      <c r="C186" s="5" t="str">
        <f>IFERROR(__xludf.DUMMYFUNCTION("GOOGLETRANSLATE(B186,""en"",""it"")"),"Gli atleti si allenano in palestra facendo movimenti di lancio su macchine via cavo ponderate.")</f>
        <v>Gli atleti si allenano in palestra facendo movimenti di lancio su macchine via cavo ponderate.</v>
      </c>
    </row>
    <row r="187">
      <c r="A187" s="4" t="s">
        <v>238</v>
      </c>
      <c r="B187" s="4" t="s">
        <v>239</v>
      </c>
      <c r="C187" s="5" t="str">
        <f>IFERROR(__xludf.DUMMYFUNCTION("GOOGLETRANSLATE(B187,""en"",""it"")"),"Vediamo una persona affinare un coltello su un disco di levigatura.")</f>
        <v>Vediamo una persona affinare un coltello su un disco di levigatura.</v>
      </c>
    </row>
    <row r="188">
      <c r="A188" s="4" t="s">
        <v>238</v>
      </c>
      <c r="B188" s="4" t="s">
        <v>240</v>
      </c>
      <c r="C188" s="5" t="str">
        <f>IFERROR(__xludf.DUMMYFUNCTION("GOOGLETRANSLATE(B188,""en"",""it"")"),"La persona lo tocca e lo spegne.")</f>
        <v>La persona lo tocca e lo spegne.</v>
      </c>
    </row>
    <row r="189">
      <c r="A189" s="4" t="s">
        <v>238</v>
      </c>
      <c r="B189" s="4" t="s">
        <v>241</v>
      </c>
      <c r="C189" s="5" t="str">
        <f>IFERROR(__xludf.DUMMYFUNCTION("GOOGLETRANSLATE(B189,""en"",""it"")"),"La persona lo accende e poi fuori.")</f>
        <v>La persona lo accende e poi fuori.</v>
      </c>
    </row>
    <row r="190">
      <c r="A190" s="4" t="s">
        <v>238</v>
      </c>
      <c r="B190" s="4" t="s">
        <v>242</v>
      </c>
      <c r="C190" s="5" t="str">
        <f>IFERROR(__xludf.DUMMYFUNCTION("GOOGLETRANSLATE(B190,""en"",""it"")"),"Vediamo l'uomo parlare con la telecamera.")</f>
        <v>Vediamo l'uomo parlare con la telecamera.</v>
      </c>
    </row>
    <row r="191">
      <c r="A191" s="4" t="s">
        <v>243</v>
      </c>
      <c r="B191" s="4" t="s">
        <v>244</v>
      </c>
      <c r="C191" s="5" t="str">
        <f>IFERROR(__xludf.DUMMYFUNCTION("GOOGLETRANSLATE(B191,""en"",""it"")"),"Il testo è mostrato dai Centri per il controllo delle malattie per quanto riguarda il corretto lavaggio delle mani.")</f>
        <v>Il testo è mostrato dai Centri per il controllo delle malattie per quanto riguarda il corretto lavaggio delle mani.</v>
      </c>
    </row>
    <row r="192">
      <c r="A192" s="4" t="s">
        <v>243</v>
      </c>
      <c r="B192" s="4" t="s">
        <v>245</v>
      </c>
      <c r="C192" s="5" t="str">
        <f>IFERROR(__xludf.DUMMYFUNCTION("GOOGLETRANSLATE(B192,""en"",""it"")"),"A una donna viene mostrata inasplando le mani mentre l'acqua corre in un lavandino.")</f>
        <v>A una donna viene mostrata inasplando le mani mentre l'acqua corre in un lavandino.</v>
      </c>
    </row>
    <row r="193">
      <c r="A193" s="4" t="s">
        <v>243</v>
      </c>
      <c r="B193" s="4" t="s">
        <v>246</v>
      </c>
      <c r="C193" s="5" t="str">
        <f>IFERROR(__xludf.DUMMYFUNCTION("GOOGLETRANSLATE(B193,""en"",""it"")"),"Prende un asciugamano e poi gira il rubinetto con una mano.")</f>
        <v>Prende un asciugamano e poi gira il rubinetto con una mano.</v>
      </c>
    </row>
    <row r="194">
      <c r="A194" s="4" t="s">
        <v>243</v>
      </c>
      <c r="B194" s="6" t="s">
        <v>247</v>
      </c>
      <c r="C194" s="5" t="str">
        <f>IFERROR(__xludf.DUMMYFUNCTION("GOOGLETRANSLATE(B194,""en"",""it"")"),"Si inzuppa le mani, poi si sciacqua con l'acqua prima di afferrare un altro asciugamano per spegnere il rubinetto e scartare l'asciugamano.")</f>
        <v>Si inzuppa le mani, poi si sciacqua con l'acqua prima di afferrare un altro asciugamano per spegnere il rubinetto e scartare l'asciugamano.</v>
      </c>
    </row>
    <row r="195">
      <c r="A195" s="4" t="s">
        <v>248</v>
      </c>
      <c r="B195" s="4" t="s">
        <v>249</v>
      </c>
      <c r="C195" s="5" t="str">
        <f>IFERROR(__xludf.DUMMYFUNCTION("GOOGLETRANSLATE(B195,""en"",""it"")"),"Le persone si esercitano su macchine per il fitness mentre le persone si siedono davanti e guardano.")</f>
        <v>Le persone si esercitano su macchine per il fitness mentre le persone si siedono davanti e guardano.</v>
      </c>
    </row>
    <row r="196">
      <c r="A196" s="4" t="s">
        <v>248</v>
      </c>
      <c r="B196" s="4" t="s">
        <v>250</v>
      </c>
      <c r="C196" s="5" t="str">
        <f>IFERROR(__xludf.DUMMYFUNCTION("GOOGLETRANSLATE(B196,""en"",""it"")"),"Un uomo passa davanti tenendo una giacca e si trova in una TV.")</f>
        <v>Un uomo passa davanti tenendo una giacca e si trova in una TV.</v>
      </c>
    </row>
    <row r="197">
      <c r="A197" s="4" t="s">
        <v>248</v>
      </c>
      <c r="B197" s="4" t="s">
        <v>251</v>
      </c>
      <c r="C197" s="5" t="str">
        <f>IFERROR(__xludf.DUMMYFUNCTION("GOOGLETRANSLATE(B197,""en"",""it"")"),"Un gruppo di donne cammina sul fronte che si esercitano.")</f>
        <v>Un gruppo di donne cammina sul fronte che si esercitano.</v>
      </c>
    </row>
    <row r="198">
      <c r="A198" s="4" t="s">
        <v>252</v>
      </c>
      <c r="B198" s="6" t="s">
        <v>253</v>
      </c>
      <c r="C198" s="5" t="str">
        <f>IFERROR(__xludf.DUMMYFUNCTION("GOOGLETRANSLATE(B198,""en"",""it"")"),"Un uomo sta giocando le cornamuse nella parte inferiore delle scale nel soggiorno di una casa, indossando un abbottonato e pantaloni, insieme a calzini.")</f>
        <v>Un uomo sta giocando le cornamuse nella parte inferiore delle scale nel soggiorno di una casa, indossando un abbottonato e pantaloni, insieme a calzini.</v>
      </c>
    </row>
    <row r="199">
      <c r="A199" s="4" t="s">
        <v>252</v>
      </c>
      <c r="B199" s="6" t="s">
        <v>254</v>
      </c>
      <c r="C199" s="5" t="str">
        <f>IFERROR(__xludf.DUMMYFUNCTION("GOOGLETRANSLATE(B199,""en"",""it"")"),"Comincia a toccare il piede insieme al ritmo della sua melodia, inizia a toccare il piede sinistro in un ritmo avanti e indietro con il piede destro.")</f>
        <v>Comincia a toccare il piede insieme al ritmo della sua melodia, inizia a toccare il piede sinistro in un ritmo avanti e indietro con il piede destro.</v>
      </c>
    </row>
    <row r="200">
      <c r="A200" s="4" t="s">
        <v>252</v>
      </c>
      <c r="B200" s="4" t="s">
        <v>255</v>
      </c>
      <c r="C200" s="5" t="str">
        <f>IFERROR(__xludf.DUMMYFUNCTION("GOOGLETRANSLATE(B200,""en"",""it"")"),"Finisce e sorride alla telecamera.")</f>
        <v>Finisce e sorride alla telecamera.</v>
      </c>
    </row>
    <row r="201">
      <c r="A201" s="4" t="s">
        <v>256</v>
      </c>
      <c r="B201" s="4" t="s">
        <v>257</v>
      </c>
      <c r="C201" s="5" t="str">
        <f>IFERROR(__xludf.DUMMYFUNCTION("GOOGLETRANSLATE(B201,""en"",""it"")"),"Le persone lavorano in un negozio di biciclette fissando una bici.")</f>
        <v>Le persone lavorano in un negozio di biciclette fissando una bici.</v>
      </c>
    </row>
    <row r="202">
      <c r="A202" s="4" t="s">
        <v>256</v>
      </c>
      <c r="B202" s="4" t="s">
        <v>258</v>
      </c>
      <c r="C202" s="5" t="str">
        <f>IFERROR(__xludf.DUMMYFUNCTION("GOOGLETRANSLATE(B202,""en"",""it"")"),"Hanno rimesso le ruote sulla bici.")</f>
        <v>Hanno rimesso le ruote sulla bici.</v>
      </c>
    </row>
    <row r="203">
      <c r="A203" s="4" t="s">
        <v>256</v>
      </c>
      <c r="B203" s="4" t="s">
        <v>259</v>
      </c>
      <c r="C203" s="5" t="str">
        <f>IFERROR(__xludf.DUMMYFUNCTION("GOOGLETRANSLATE(B203,""en"",""it"")"),"Metti il ​​sedile sulla bici.")</f>
        <v>Metti il ​​sedile sulla bici.</v>
      </c>
    </row>
    <row r="204">
      <c r="A204" s="4" t="s">
        <v>256</v>
      </c>
      <c r="B204" s="4" t="s">
        <v>260</v>
      </c>
      <c r="C204" s="5" t="str">
        <f>IFERROR(__xludf.DUMMYFUNCTION("GOOGLETRANSLATE(B204,""en"",""it"")"),"La bici è messa insieme sul pavimento.")</f>
        <v>La bici è messa insieme sul pavimento.</v>
      </c>
    </row>
    <row r="205">
      <c r="A205" s="4" t="s">
        <v>261</v>
      </c>
      <c r="B205" s="6" t="s">
        <v>262</v>
      </c>
      <c r="C205" s="5" t="str">
        <f>IFERROR(__xludf.DUMMYFUNCTION("GOOGLETRANSLATE(B205,""en"",""it"")"),"Un uomo sta dando consigli sulle attività all'aperto, in particolare il fungo e il primo piano vengono mostrati e l'uomo ne parla.")</f>
        <v>Un uomo sta dando consigli sulle attività all'aperto, in particolare il fungo e il primo piano vengono mostrati e l'uomo ne parla.</v>
      </c>
    </row>
    <row r="206">
      <c r="A206" s="4" t="s">
        <v>261</v>
      </c>
      <c r="B206" s="4" t="s">
        <v>263</v>
      </c>
      <c r="C206" s="5" t="str">
        <f>IFERROR(__xludf.DUMMYFUNCTION("GOOGLETRANSLATE(B206,""en"",""it"")"),"L'uomo si aprirà uno e poi lo taglia a metà.")</f>
        <v>L'uomo si aprirà uno e poi lo taglia a metà.</v>
      </c>
    </row>
    <row r="207">
      <c r="A207" s="4" t="s">
        <v>261</v>
      </c>
      <c r="B207" s="4" t="s">
        <v>264</v>
      </c>
      <c r="C207" s="5" t="str">
        <f>IFERROR(__xludf.DUMMYFUNCTION("GOOGLETRANSLATE(B207,""en"",""it"")"),"Un altro uomo parla dell'esperienza.")</f>
        <v>Un altro uomo parla dell'esperienza.</v>
      </c>
    </row>
    <row r="208">
      <c r="A208" s="4" t="s">
        <v>265</v>
      </c>
      <c r="B208" s="4" t="s">
        <v>266</v>
      </c>
      <c r="C208" s="5" t="str">
        <f>IFERROR(__xludf.DUMMYFUNCTION("GOOGLETRANSLATE(B208,""en"",""it"")"),"Un giovane che indossa un cappello si vede parlare alla telecamera e sollevare un grafico.")</f>
        <v>Un giovane che indossa un cappello si vede parlare alla telecamera e sollevare un grafico.</v>
      </c>
    </row>
    <row r="209">
      <c r="A209" s="4" t="s">
        <v>265</v>
      </c>
      <c r="B209" s="4" t="s">
        <v>267</v>
      </c>
      <c r="C209" s="5" t="str">
        <f>IFERROR(__xludf.DUMMYFUNCTION("GOOGLETRANSLATE(B209,""en"",""it"")"),"Continua a parlare e inizia a suonare un'armonica.")</f>
        <v>Continua a parlare e inizia a suonare un'armonica.</v>
      </c>
    </row>
    <row r="210">
      <c r="A210" s="4" t="s">
        <v>265</v>
      </c>
      <c r="B210" s="4" t="s">
        <v>268</v>
      </c>
      <c r="C210" s="5" t="str">
        <f>IFERROR(__xludf.DUMMYFUNCTION("GOOGLETRANSLATE(B210,""en"",""it"")"),"Solleva di più il cartello mentre continua a giocare e parlare con la telecamera.")</f>
        <v>Solleva di più il cartello mentre continua a giocare e parlare con la telecamera.</v>
      </c>
    </row>
    <row r="211">
      <c r="A211" s="4" t="s">
        <v>269</v>
      </c>
      <c r="B211" s="6" t="s">
        <v>270</v>
      </c>
      <c r="C211" s="5" t="str">
        <f>IFERROR(__xludf.DUMMYFUNCTION("GOOGLETRANSLATE(B211,""en"",""it"")"),"Una persona cammina sul tetto di un'attrezzatura da arrampicata, poi scende dal muro e raggiunge il pavimento e cammina in avanti.")</f>
        <v>Una persona cammina sul tetto di un'attrezzatura da arrampicata, poi scende dal muro e raggiunge il pavimento e cammina in avanti.</v>
      </c>
    </row>
    <row r="212">
      <c r="A212" s="4" t="s">
        <v>269</v>
      </c>
      <c r="B212" s="6" t="s">
        <v>271</v>
      </c>
      <c r="C212" s="5" t="str">
        <f>IFERROR(__xludf.DUMMYFUNCTION("GOOGLETRANSLATE(B212,""en"",""it"")"),"L'uomo sta con le mani sul confine sull'attrezzatura e scende lungo la passeggiata con le mani, poi cammina sulle mani verso il lato.")</f>
        <v>L'uomo sta con le mani sul confine sull'attrezzatura e scende lungo la passeggiata con le mani, poi cammina sulle mani verso il lato.</v>
      </c>
    </row>
    <row r="213">
      <c r="A213" s="4" t="s">
        <v>272</v>
      </c>
      <c r="B213" s="4" t="s">
        <v>273</v>
      </c>
      <c r="C213" s="5" t="str">
        <f>IFERROR(__xludf.DUMMYFUNCTION("GOOGLETRANSLATE(B213,""en"",""it"")"),"Viene vista una donna che tiene due cani al guinzaglio e procede a sganciare e lasciarli andare.")</f>
        <v>Viene vista una donna che tiene due cani al guinzaglio e procede a sganciare e lasciarli andare.</v>
      </c>
    </row>
    <row r="214">
      <c r="A214" s="4" t="s">
        <v>272</v>
      </c>
      <c r="B214" s="4" t="s">
        <v>274</v>
      </c>
      <c r="C214" s="5" t="str">
        <f>IFERROR(__xludf.DUMMYFUNCTION("GOOGLETRANSLATE(B214,""en"",""it"")"),"Uno giù, poi fa la sua attività in una borsa legata a lui e scappa dietro le bici.")</f>
        <v>Uno giù, poi fa la sua attività in una borsa legata a lui e scappa dietro le bici.</v>
      </c>
    </row>
    <row r="215">
      <c r="A215" s="4" t="s">
        <v>275</v>
      </c>
      <c r="B215" s="4" t="s">
        <v>276</v>
      </c>
      <c r="C215" s="5" t="str">
        <f>IFERROR(__xludf.DUMMYFUNCTION("GOOGLETRANSLATE(B215,""en"",""it"")"),"Una ragazza è in piedi su un campo con una corda da salto.")</f>
        <v>Una ragazza è in piedi su un campo con una corda da salto.</v>
      </c>
    </row>
    <row r="216">
      <c r="A216" s="4" t="s">
        <v>275</v>
      </c>
      <c r="B216" s="4" t="s">
        <v>277</v>
      </c>
      <c r="C216" s="5" t="str">
        <f>IFERROR(__xludf.DUMMYFUNCTION("GOOGLETRANSLATE(B216,""en"",""it"")"),"Comincia a saltare di fronte a un tavolo di giudici.")</f>
        <v>Comincia a saltare di fronte a un tavolo di giudici.</v>
      </c>
    </row>
    <row r="217">
      <c r="A217" s="4" t="s">
        <v>275</v>
      </c>
      <c r="B217" s="4" t="s">
        <v>278</v>
      </c>
      <c r="C217" s="5" t="str">
        <f>IFERROR(__xludf.DUMMYFUNCTION("GOOGLETRANSLATE(B217,""en"",""it"")"),"Salta, gira e gira con la corda.")</f>
        <v>Salta, gira e gira con la corda.</v>
      </c>
    </row>
    <row r="218">
      <c r="A218" s="4" t="s">
        <v>279</v>
      </c>
      <c r="B218" s="6" t="s">
        <v>280</v>
      </c>
      <c r="C218" s="5" t="str">
        <f>IFERROR(__xludf.DUMMYFUNCTION("GOOGLETRANSLATE(B218,""en"",""it"")"),"Due uomini in abiti da allenamento si oppongono al muro e iniziano a parlare di allenarsi.")</f>
        <v>Due uomini in abiti da allenamento si oppongono al muro e iniziano a parlare di allenarsi.</v>
      </c>
    </row>
    <row r="219">
      <c r="A219" s="4" t="s">
        <v>279</v>
      </c>
      <c r="B219" s="6" t="s">
        <v>281</v>
      </c>
      <c r="C219" s="5" t="str">
        <f>IFERROR(__xludf.DUMMYFUNCTION("GOOGLETRANSLATE(B219,""en"",""it"")"),"Viene quindi mostrato un uomo e si china e mostra il modo corretto per sollevare la barra con peso.")</f>
        <v>Viene quindi mostrato un uomo e si china e mostra il modo corretto per sollevare la barra con peso.</v>
      </c>
    </row>
    <row r="220">
      <c r="A220" s="4" t="s">
        <v>279</v>
      </c>
      <c r="B220" s="6" t="s">
        <v>282</v>
      </c>
      <c r="C220" s="5" t="str">
        <f>IFERROR(__xludf.DUMMYFUNCTION("GOOGLETRANSLATE(B220,""en"",""it"")"),"Viene quindi mostrato un replay e il ragazzo si piega dalle ginocchia e poi si gira il polso e se lo porta sopra la spalla mentre scende in una posizione accovacciata.")</f>
        <v>Viene quindi mostrato un replay e il ragazzo si piega dalle ginocchia e poi si gira il polso e se lo porta sopra la spalla mentre scende in una posizione accovacciata.</v>
      </c>
    </row>
    <row r="221">
      <c r="A221" s="4" t="s">
        <v>283</v>
      </c>
      <c r="B221" s="4" t="s">
        <v>284</v>
      </c>
      <c r="C221" s="5" t="str">
        <f>IFERROR(__xludf.DUMMYFUNCTION("GOOGLETRANSLATE(B221,""en"",""it"")"),"Un uomo viene visto in ginocchio in palestra.")</f>
        <v>Un uomo viene visto in ginocchio in palestra.</v>
      </c>
    </row>
    <row r="222">
      <c r="A222" s="4" t="s">
        <v>283</v>
      </c>
      <c r="B222" s="4" t="s">
        <v>285</v>
      </c>
      <c r="C222" s="5" t="str">
        <f>IFERROR(__xludf.DUMMYFUNCTION("GOOGLETRANSLATE(B222,""en"",""it"")"),"Si sporge più volte.")</f>
        <v>Si sporge più volte.</v>
      </c>
    </row>
    <row r="223">
      <c r="A223" s="4" t="s">
        <v>283</v>
      </c>
      <c r="B223" s="4" t="s">
        <v>286</v>
      </c>
      <c r="C223" s="5" t="str">
        <f>IFERROR(__xludf.DUMMYFUNCTION("GOOGLETRANSLATE(B223,""en"",""it"")"),"Sta eseguendo mosse di allungamento lente.")</f>
        <v>Sta eseguendo mosse di allungamento lente.</v>
      </c>
    </row>
    <row r="224">
      <c r="A224" s="4" t="s">
        <v>287</v>
      </c>
      <c r="B224" s="4" t="s">
        <v>288</v>
      </c>
      <c r="C224" s="5" t="str">
        <f>IFERROR(__xludf.DUMMYFUNCTION("GOOGLETRANSLATE(B224,""en"",""it"")"),"Una persona sta usando un soffiatore di foglie per soffiare le foglie in una pila.")</f>
        <v>Una persona sta usando un soffiatore di foglie per soffiare le foglie in una pila.</v>
      </c>
    </row>
    <row r="225">
      <c r="A225" s="4" t="s">
        <v>287</v>
      </c>
      <c r="B225" s="4" t="s">
        <v>289</v>
      </c>
      <c r="C225" s="5" t="str">
        <f>IFERROR(__xludf.DUMMYFUNCTION("GOOGLETRANSLATE(B225,""en"",""it"")"),"Le foglie facevano saltare su una siepe.")</f>
        <v>Le foglie facevano saltare su una siepe.</v>
      </c>
    </row>
    <row r="226">
      <c r="A226" s="4" t="s">
        <v>287</v>
      </c>
      <c r="B226" s="4" t="s">
        <v>290</v>
      </c>
      <c r="C226" s="5" t="str">
        <f>IFERROR(__xludf.DUMMYFUNCTION("GOOGLETRANSLATE(B226,""en"",""it"")"),"Camminano davanti a un albero.")</f>
        <v>Camminano davanti a un albero.</v>
      </c>
    </row>
    <row r="227">
      <c r="A227" s="4" t="s">
        <v>291</v>
      </c>
      <c r="B227" s="4" t="s">
        <v>292</v>
      </c>
      <c r="C227" s="5" t="str">
        <f>IFERROR(__xludf.DUMMYFUNCTION("GOOGLETRANSLATE(B227,""en"",""it"")"),"Un gruppo di persone è seduto nella parte superiore di uno scivolo di neve in un tubo.")</f>
        <v>Un gruppo di persone è seduto nella parte superiore di uno scivolo di neve in un tubo.</v>
      </c>
    </row>
    <row r="228">
      <c r="A228" s="4" t="s">
        <v>291</v>
      </c>
      <c r="B228" s="4" t="s">
        <v>293</v>
      </c>
      <c r="C228" s="5" t="str">
        <f>IFERROR(__xludf.DUMMYFUNCTION("GOOGLETRANSLATE(B228,""en"",""it"")"),"La persona che tiene la telecamera inizia il suo viaggio ed è fuori dalle piste della neve.")</f>
        <v>La persona che tiene la telecamera inizia il suo viaggio ed è fuori dalle piste della neve.</v>
      </c>
    </row>
    <row r="229">
      <c r="A229" s="4" t="s">
        <v>291</v>
      </c>
      <c r="B229" s="4" t="s">
        <v>294</v>
      </c>
      <c r="C229" s="5" t="str">
        <f>IFERROR(__xludf.DUMMYFUNCTION("GOOGLETRANSLATE(B229,""en"",""it"")"),"Mentre raggiunge il fondo, diversi tappetini neri vengono posizionati davanti a lui per aiutarlo a rallentarlo.")</f>
        <v>Mentre raggiunge il fondo, diversi tappetini neri vengono posizionati davanti a lui per aiutarlo a rallentarlo.</v>
      </c>
    </row>
    <row r="230">
      <c r="A230" s="4" t="s">
        <v>295</v>
      </c>
      <c r="B230" s="4" t="s">
        <v>296</v>
      </c>
      <c r="C230" s="5" t="str">
        <f>IFERROR(__xludf.DUMMYFUNCTION("GOOGLETRANSLATE(B230,""en"",""it"")"),"Vengono mostrati vari scatti di una città seguiti da una ragazza che gioca a violino e molti altri che guardano.")</f>
        <v>Vengono mostrati vari scatti di una città seguiti da una ragazza che gioca a violino e molti altri che guardano.</v>
      </c>
    </row>
    <row r="231">
      <c r="A231" s="4" t="s">
        <v>295</v>
      </c>
      <c r="B231" s="4" t="s">
        <v>297</v>
      </c>
      <c r="C231" s="5" t="str">
        <f>IFERROR(__xludf.DUMMYFUNCTION("GOOGLETRANSLATE(B231,""en"",""it"")"),"Un'altra ragazza entra e si unisce a lei cantando e molti altri si uniscono anche per cantare.")</f>
        <v>Un'altra ragazza entra e si unisce a lei cantando e molti altri si uniscono anche per cantare.</v>
      </c>
    </row>
    <row r="232">
      <c r="A232" s="4" t="s">
        <v>295</v>
      </c>
      <c r="B232" s="6" t="s">
        <v>298</v>
      </c>
      <c r="C232" s="5" t="str">
        <f>IFERROR(__xludf.DUMMYFUNCTION("GOOGLETRANSLATE(B232,""en"",""it"")"),"Un mimo entra con i fuochi d'artificio mentre il gruppo canta ancora e molti in giro sono visti ridere e sorridere.")</f>
        <v>Un mimo entra con i fuochi d'artificio mentre il gruppo canta ancora e molti in giro sono visti ridere e sorridere.</v>
      </c>
    </row>
    <row r="233">
      <c r="A233" s="4" t="s">
        <v>299</v>
      </c>
      <c r="B233" s="6" t="s">
        <v>300</v>
      </c>
      <c r="C233" s="5" t="str">
        <f>IFERROR(__xludf.DUMMYFUNCTION("GOOGLETRANSLATE(B233,""en"",""it"")"),"Due uomini si esercitano in una palestra, poi un uomo salta la corda incrociando le braccia e anche la corda che si muove sul davanti.")</f>
        <v>Due uomini si esercitano in una palestra, poi un uomo salta la corda incrociando le braccia e anche la corda che si muove sul davanti.</v>
      </c>
    </row>
    <row r="234">
      <c r="A234" s="4" t="s">
        <v>299</v>
      </c>
      <c r="B234" s="4" t="s">
        <v>301</v>
      </c>
      <c r="C234" s="5" t="str">
        <f>IFERROR(__xludf.DUMMYFUNCTION("GOOGLETRANSLATE(B234,""en"",""it"")"),"L'uomo muove la corda con la mano destra, quindi muove entrambe le mani mentre salta.")</f>
        <v>L'uomo muove la corda con la mano destra, quindi muove entrambe le mani mentre salta.</v>
      </c>
    </row>
    <row r="235">
      <c r="A235" s="4" t="s">
        <v>299</v>
      </c>
      <c r="B235" s="4" t="s">
        <v>302</v>
      </c>
      <c r="C235" s="5" t="str">
        <f>IFERROR(__xludf.DUMMYFUNCTION("GOOGLETRANSLATE(B235,""en"",""it"")"),"Quindi, l'uomo salta attraversando le braccia, dopo aver saltato normale per molto tempo.")</f>
        <v>Quindi, l'uomo salta attraversando le braccia, dopo aver saltato normale per molto tempo.</v>
      </c>
    </row>
    <row r="236">
      <c r="A236" s="4" t="s">
        <v>299</v>
      </c>
      <c r="B236" s="4" t="s">
        <v>303</v>
      </c>
      <c r="C236" s="5" t="str">
        <f>IFERROR(__xludf.DUMMYFUNCTION("GOOGLETRANSLATE(B236,""en"",""it"")"),"Successivamente, il giovane salta la corda alzando i piedi alti, poi attraversa le braccia saltando.")</f>
        <v>Successivamente, il giovane salta la corda alzando i piedi alti, poi attraversa le braccia saltando.</v>
      </c>
    </row>
    <row r="237">
      <c r="A237" s="4" t="s">
        <v>299</v>
      </c>
      <c r="B237" s="6" t="s">
        <v>304</v>
      </c>
      <c r="C237" s="5" t="str">
        <f>IFERROR(__xludf.DUMMYFUNCTION("GOOGLETRANSLATE(B237,""en"",""it"")"),"Dopo, il giovane muove la corda con la mano destra, quindi la muove con entrambe le mani e muove anche la corda sul davanti.")</f>
        <v>Dopo, il giovane muove la corda con la mano destra, quindi la muove con entrambe le mani e muove anche la corda sul davanti.</v>
      </c>
    </row>
    <row r="238">
      <c r="A238" s="4" t="s">
        <v>299</v>
      </c>
      <c r="B238" s="4" t="s">
        <v>305</v>
      </c>
      <c r="C238" s="5" t="str">
        <f>IFERROR(__xludf.DUMMYFUNCTION("GOOGLETRANSLATE(B238,""en"",""it"")"),"Dopo, il giovane salta alternandosi attraversando le braccia, saltando e muovendo la corda sul davanti.")</f>
        <v>Dopo, il giovane salta alternandosi attraversando le braccia, saltando e muovendo la corda sul davanti.</v>
      </c>
    </row>
    <row r="239">
      <c r="A239" s="4" t="s">
        <v>306</v>
      </c>
      <c r="B239" s="4" t="s">
        <v>307</v>
      </c>
      <c r="C239" s="5" t="str">
        <f>IFERROR(__xludf.DUMMYFUNCTION("GOOGLETRANSLATE(B239,""en"",""it"")"),"Un uomo è seduto in cima a un cavallo.")</f>
        <v>Un uomo è seduto in cima a un cavallo.</v>
      </c>
    </row>
    <row r="240">
      <c r="A240" s="4" t="s">
        <v>306</v>
      </c>
      <c r="B240" s="4" t="s">
        <v>308</v>
      </c>
      <c r="C240" s="5" t="str">
        <f>IFERROR(__xludf.DUMMYFUNCTION("GOOGLETRANSLATE(B240,""en"",""it"")"),"Comincia a essere inseguito nell'arena da un uomo che spinge una carriola.")</f>
        <v>Comincia a essere inseguito nell'arena da un uomo che spinge una carriola.</v>
      </c>
    </row>
    <row r="241">
      <c r="A241" s="4" t="s">
        <v>306</v>
      </c>
      <c r="B241" s="4" t="s">
        <v>309</v>
      </c>
      <c r="C241" s="5" t="str">
        <f>IFERROR(__xludf.DUMMYFUNCTION("GOOGLETRANSLATE(B241,""en"",""it"")"),"Il cavallo corre dal toro nella penna.")</f>
        <v>Il cavallo corre dal toro nella penna.</v>
      </c>
    </row>
    <row r="242">
      <c r="A242" s="4" t="s">
        <v>310</v>
      </c>
      <c r="B242" s="4" t="s">
        <v>311</v>
      </c>
      <c r="C242" s="5" t="str">
        <f>IFERROR(__xludf.DUMMYFUNCTION("GOOGLETRANSLATE(B242,""en"",""it"")"),"Un faro viene mostrato sulla spiaggia prima di vedere un uomo che corre con una tavola da surf.")</f>
        <v>Un faro viene mostrato sulla spiaggia prima di vedere un uomo che corre con una tavola da surf.</v>
      </c>
    </row>
    <row r="243">
      <c r="A243" s="4" t="s">
        <v>310</v>
      </c>
      <c r="B243" s="4" t="s">
        <v>312</v>
      </c>
      <c r="C243" s="5" t="str">
        <f>IFERROR(__xludf.DUMMYFUNCTION("GOOGLETRANSLATE(B243,""en"",""it"")"),"L'uomo cavalca un'onda, poi attraverso di essa.")</f>
        <v>L'uomo cavalca un'onda, poi attraverso di essa.</v>
      </c>
    </row>
    <row r="244">
      <c r="A244" s="4" t="s">
        <v>310</v>
      </c>
      <c r="B244" s="4" t="s">
        <v>313</v>
      </c>
      <c r="C244" s="5" t="str">
        <f>IFERROR(__xludf.DUMMYFUNCTION("GOOGLETRANSLATE(B244,""en"",""it"")"),"Completa diverse acrobazie prima di camminare sulla spiaggia con la tavola sotto il braccio.")</f>
        <v>Completa diverse acrobazie prima di camminare sulla spiaggia con la tavola sotto il braccio.</v>
      </c>
    </row>
    <row r="245">
      <c r="A245" s="4" t="s">
        <v>314</v>
      </c>
      <c r="B245" s="4" t="s">
        <v>315</v>
      </c>
      <c r="C245" s="5" t="str">
        <f>IFERROR(__xludf.DUMMYFUNCTION("GOOGLETRANSLATE(B245,""en"",""it"")"),"Un uomo viene mostrato lanciando un violino tra le mani, suonando una canzone popolare sul violino.")</f>
        <v>Un uomo viene mostrato lanciando un violino tra le mani, suonando una canzone popolare sul violino.</v>
      </c>
    </row>
    <row r="246">
      <c r="A246" s="4" t="s">
        <v>314</v>
      </c>
      <c r="B246" s="6" t="s">
        <v>316</v>
      </c>
      <c r="C246" s="5" t="str">
        <f>IFERROR(__xludf.DUMMYFUNCTION("GOOGLETRANSLATE(B246,""en"",""it"")"),"La fotocamera mostra il violinista di vari angoli che suona la canzone popolare e non si rompe la concentrazione.")</f>
        <v>La fotocamera mostra il violinista di vari angoli che suona la canzone popolare e non si rompe la concentrazione.</v>
      </c>
    </row>
    <row r="247">
      <c r="A247" s="4" t="s">
        <v>314</v>
      </c>
      <c r="B247" s="4" t="s">
        <v>317</v>
      </c>
      <c r="C247" s="5" t="str">
        <f>IFERROR(__xludf.DUMMYFUNCTION("GOOGLETRANSLATE(B247,""en"",""it"")"),"La telecamera si panoramica in tutto il giocatore e lo mostra suonare la canzone completa.")</f>
        <v>La telecamera si panoramica in tutto il giocatore e lo mostra suonare la canzone completa.</v>
      </c>
    </row>
    <row r="248">
      <c r="A248" s="4" t="s">
        <v>318</v>
      </c>
      <c r="B248" s="4" t="s">
        <v>319</v>
      </c>
      <c r="C248" s="5" t="str">
        <f>IFERROR(__xludf.DUMMYFUNCTION("GOOGLETRANSLATE(B248,""en"",""it"")"),"Una fotocamera si ingrandisce su una persona che cavalca in un tubo.")</f>
        <v>Una fotocamera si ingrandisce su una persona che cavalca in un tubo.</v>
      </c>
    </row>
    <row r="249">
      <c r="A249" s="4" t="s">
        <v>318</v>
      </c>
      <c r="B249" s="4" t="s">
        <v>320</v>
      </c>
      <c r="C249" s="5" t="str">
        <f>IFERROR(__xludf.DUMMYFUNCTION("GOOGLETRANSLATE(B249,""en"",""it"")"),"Più persone sono viste cavalcare nei tubi dietro l'uomo.")</f>
        <v>Più persone sono viste cavalcare nei tubi dietro l'uomo.</v>
      </c>
    </row>
    <row r="250">
      <c r="A250" s="4" t="s">
        <v>318</v>
      </c>
      <c r="B250" s="4" t="s">
        <v>321</v>
      </c>
      <c r="C250" s="5" t="str">
        <f>IFERROR(__xludf.DUMMYFUNCTION("GOOGLETRANSLATE(B250,""en"",""it"")"),"La gente continua a cavalcare la zona lungo il fiume.")</f>
        <v>La gente continua a cavalcare la zona lungo il fiume.</v>
      </c>
    </row>
    <row r="251">
      <c r="A251" s="4" t="s">
        <v>322</v>
      </c>
      <c r="B251" s="4" t="s">
        <v>323</v>
      </c>
      <c r="C251" s="5" t="str">
        <f>IFERROR(__xludf.DUMMYFUNCTION("GOOGLETRANSLATE(B251,""en"",""it"")"),"Un uomo addestra un box da ragazzo mentre due uomini guardano seduti nella stanza.")</f>
        <v>Un uomo addestra un box da ragazzo mentre due uomini guardano seduti nella stanza.</v>
      </c>
    </row>
    <row r="252">
      <c r="A252" s="4" t="s">
        <v>322</v>
      </c>
      <c r="B252" s="4" t="s">
        <v>324</v>
      </c>
      <c r="C252" s="5" t="str">
        <f>IFERROR(__xludf.DUMMYFUNCTION("GOOGLETRANSLATE(B252,""en"",""it"")"),"Quindi, l'uomo si alza e calcia il ragazzo che si gira poi si inginocchia.")</f>
        <v>Quindi, l'uomo si alza e calcia il ragazzo che si gira poi si inginocchia.</v>
      </c>
    </row>
    <row r="253">
      <c r="A253" s="4" t="s">
        <v>322</v>
      </c>
      <c r="B253" s="4" t="s">
        <v>325</v>
      </c>
      <c r="C253" s="5" t="str">
        <f>IFERROR(__xludf.DUMMYFUNCTION("GOOGLETRANSLATE(B253,""en"",""it"")"),"Dopo, l'uomo allena un altro bambino mentre mostra movimenti.")</f>
        <v>Dopo, l'uomo allena un altro bambino mentre mostra movimenti.</v>
      </c>
    </row>
    <row r="254">
      <c r="A254" s="4" t="s">
        <v>322</v>
      </c>
      <c r="B254" s="6" t="s">
        <v>326</v>
      </c>
      <c r="C254" s="5" t="str">
        <f>IFERROR(__xludf.DUMMYFUNCTION("GOOGLETRANSLATE(B254,""en"",""it"")"),"Dopo, l'uomo sta per praticare calci, poi l'uomo lie e abbraccia il bambino che continua a praticare Kick Box.")</f>
        <v>Dopo, l'uomo sta per praticare calci, poi l'uomo lie e abbraccia il bambino che continua a praticare Kick Box.</v>
      </c>
    </row>
    <row r="255">
      <c r="A255" s="4" t="s">
        <v>327</v>
      </c>
      <c r="B255" s="4" t="s">
        <v>328</v>
      </c>
      <c r="C255" s="5" t="str">
        <f>IFERROR(__xludf.DUMMYFUNCTION("GOOGLETRANSLATE(B255,""en"",""it"")"),"Le persone vengono mostrate a camminare lungo una spiaggia.")</f>
        <v>Le persone vengono mostrate a camminare lungo una spiaggia.</v>
      </c>
    </row>
    <row r="256">
      <c r="A256" s="4" t="s">
        <v>327</v>
      </c>
      <c r="B256" s="4" t="s">
        <v>329</v>
      </c>
      <c r="C256" s="5" t="str">
        <f>IFERROR(__xludf.DUMMYFUNCTION("GOOGLETRANSLATE(B256,""en"",""it"")"),"Diverse persone in attrezzatura da paintball attraversano un percorso ad ostacoli.")</f>
        <v>Diverse persone in attrezzatura da paintball attraversano un percorso ad ostacoli.</v>
      </c>
    </row>
    <row r="257">
      <c r="A257" s="4" t="s">
        <v>327</v>
      </c>
      <c r="B257" s="4" t="s">
        <v>330</v>
      </c>
      <c r="C257" s="5" t="str">
        <f>IFERROR(__xludf.DUMMYFUNCTION("GOOGLETRANSLATE(B257,""en"",""it"")"),"Le persone si sparano l'un l'altro, nascondendosi dietro gli ostacoli.")</f>
        <v>Le persone si sparano l'un l'altro, nascondendosi dietro gli ostacoli.</v>
      </c>
    </row>
    <row r="258">
      <c r="A258" s="4" t="s">
        <v>327</v>
      </c>
      <c r="B258" s="4" t="s">
        <v>331</v>
      </c>
      <c r="C258" s="5" t="str">
        <f>IFERROR(__xludf.DUMMYFUNCTION("GOOGLETRANSLATE(B258,""en"",""it"")"),"Il vincitore balla e attraversa il campo.")</f>
        <v>Il vincitore balla e attraversa il campo.</v>
      </c>
    </row>
    <row r="259">
      <c r="A259" s="4" t="s">
        <v>332</v>
      </c>
      <c r="B259" s="4" t="s">
        <v>333</v>
      </c>
      <c r="C259" s="5" t="str">
        <f>IFERROR(__xludf.DUMMYFUNCTION("GOOGLETRANSLATE(B259,""en"",""it"")"),"Un bambino è visto seduto dietro un tamburo suonare la batteria.")</f>
        <v>Un bambino è visto seduto dietro un tamburo suonare la batteria.</v>
      </c>
    </row>
    <row r="260">
      <c r="A260" s="4" t="s">
        <v>332</v>
      </c>
      <c r="B260" s="4" t="s">
        <v>334</v>
      </c>
      <c r="C260" s="5" t="str">
        <f>IFERROR(__xludf.DUMMYFUNCTION("GOOGLETRANSLATE(B260,""en"",""it"")"),"Il ragazzo continua a suonare lo strumento mentre la telecamera si ingrandisce su di lui suonando.")</f>
        <v>Il ragazzo continua a suonare lo strumento mentre la telecamera si ingrandisce su di lui suonando.</v>
      </c>
    </row>
    <row r="261">
      <c r="A261" s="4" t="s">
        <v>335</v>
      </c>
      <c r="B261" s="6" t="s">
        <v>336</v>
      </c>
      <c r="C261" s="5" t="str">
        <f>IFERROR(__xludf.DUMMYFUNCTION("GOOGLETRANSLATE(B261,""en"",""it"")"),"Una famiglia ha un picnic e va a tubi su zattere gonfiabili in uno stretto specchio d'acqua circondato da alberi, in una giornata piovosa.")</f>
        <v>Una famiglia ha un picnic e va a tubi su zattere gonfiabili in uno stretto specchio d'acqua circondato da alberi, in una giornata piovosa.</v>
      </c>
    </row>
    <row r="262">
      <c r="A262" s="4" t="s">
        <v>335</v>
      </c>
      <c r="B262" s="4" t="s">
        <v>337</v>
      </c>
      <c r="C262" s="5" t="str">
        <f>IFERROR(__xludf.DUMMYFUNCTION("GOOGLETRANSLATE(B262,""en"",""it"")"),"Una famiglia di persone si siede a un tavolo da picnic di legno all'aperto, mangiando, rinunciando alla telecamera.")</f>
        <v>Una famiglia di persone si siede a un tavolo da picnic di legno all'aperto, mangiando, rinunciando alla telecamera.</v>
      </c>
    </row>
    <row r="263">
      <c r="A263" s="4" t="s">
        <v>335</v>
      </c>
      <c r="B263" s="6" t="s">
        <v>338</v>
      </c>
      <c r="C263" s="5" t="str">
        <f>IFERROR(__xludf.DUMMYFUNCTION("GOOGLETRANSLATE(B263,""en"",""it"")"),"La famiglia guarda il tempo all'aperto mentre inizia a piovere e una bambina si esaurisce la pioggia e ci balla.")</f>
        <v>La famiglia guarda il tempo all'aperto mentre inizia a piovere e una bambina si esaurisce la pioggia e ci balla.</v>
      </c>
    </row>
    <row r="264">
      <c r="A264" s="4" t="s">
        <v>335</v>
      </c>
      <c r="B264" s="6" t="s">
        <v>339</v>
      </c>
      <c r="C264" s="5" t="str">
        <f>IFERROR(__xludf.DUMMYFUNCTION("GOOGLETRANSLATE(B264,""en"",""it"")"),"Quindi la famiglia appare, galleggia, parlando e sorridendo su tubi gonfiabili su uno stretto specchio d'acqua.")</f>
        <v>Quindi la famiglia appare, galleggia, parlando e sorridendo su tubi gonfiabili su uno stretto specchio d'acqua.</v>
      </c>
    </row>
    <row r="265">
      <c r="A265" s="4" t="s">
        <v>335</v>
      </c>
      <c r="B265" s="4" t="s">
        <v>340</v>
      </c>
      <c r="C265" s="5" t="str">
        <f>IFERROR(__xludf.DUMMYFUNCTION("GOOGLETRANSLATE(B265,""en"",""it"")"),"L'evento termina e la famiglia lascia un'area delimitata da una recinzione di legno.")</f>
        <v>L'evento termina e la famiglia lascia un'area delimitata da una recinzione di legno.</v>
      </c>
    </row>
    <row r="266">
      <c r="A266" s="4" t="s">
        <v>341</v>
      </c>
      <c r="B266" s="4" t="s">
        <v>342</v>
      </c>
      <c r="C266" s="5" t="str">
        <f>IFERROR(__xludf.DUMMYFUNCTION("GOOGLETRANSLATE(B266,""en"",""it"")"),"Un uomo suona la chitarra e l'armonica allo stesso tempo.")</f>
        <v>Un uomo suona la chitarra e l'armonica allo stesso tempo.</v>
      </c>
    </row>
    <row r="267">
      <c r="A267" s="4" t="s">
        <v>341</v>
      </c>
      <c r="B267" s="4" t="s">
        <v>343</v>
      </c>
      <c r="C267" s="5" t="str">
        <f>IFERROR(__xludf.DUMMYFUNCTION("GOOGLETRANSLATE(B267,""en"",""it"")"),"Quindi, l'uomo canta mentre suona la chitarra.")</f>
        <v>Quindi, l'uomo canta mentre suona la chitarra.</v>
      </c>
    </row>
    <row r="268">
      <c r="A268" s="4" t="s">
        <v>341</v>
      </c>
      <c r="B268" s="4" t="s">
        <v>344</v>
      </c>
      <c r="C268" s="5" t="str">
        <f>IFERROR(__xludf.DUMMYFUNCTION("GOOGLETRANSLATE(B268,""en"",""it"")"),"Dopo, l'uomo continua a suonare sia la chitarra che l'armonica, quindi cantare.")</f>
        <v>Dopo, l'uomo continua a suonare sia la chitarra che l'armonica, quindi cantare.</v>
      </c>
    </row>
    <row r="269">
      <c r="A269" s="4" t="s">
        <v>341</v>
      </c>
      <c r="B269" s="4" t="s">
        <v>345</v>
      </c>
      <c r="C269" s="5" t="str">
        <f>IFERROR(__xludf.DUMMYFUNCTION("GOOGLETRANSLATE(B269,""en"",""it"")"),"Successivamente, l'uomo suona insieme l'armonica e la chitarra.")</f>
        <v>Successivamente, l'uomo suona insieme l'armonica e la chitarra.</v>
      </c>
    </row>
    <row r="270">
      <c r="A270" s="4" t="s">
        <v>346</v>
      </c>
      <c r="B270" s="4" t="s">
        <v>347</v>
      </c>
      <c r="C270" s="5" t="str">
        <f>IFERROR(__xludf.DUMMYFUNCTION("GOOGLETRANSLATE(B270,""en"",""it"")"),"Il video parla del sistema di rimozione di Wallwik e dello sfondo.")</f>
        <v>Il video parla del sistema di rimozione di Wallwik e dello sfondo.</v>
      </c>
    </row>
    <row r="271">
      <c r="A271" s="4" t="s">
        <v>346</v>
      </c>
      <c r="B271" s="4" t="s">
        <v>348</v>
      </c>
      <c r="C271" s="5" t="str">
        <f>IFERROR(__xludf.DUMMYFUNCTION("GOOGLETRANSLATE(B271,""en"",""it"")"),"Mostra una donna che rimuove lo sfondo dal muro in modo comodo e facile.")</f>
        <v>Mostra una donna che rimuove lo sfondo dal muro in modo comodo e facile.</v>
      </c>
    </row>
    <row r="272">
      <c r="A272" s="4" t="s">
        <v>346</v>
      </c>
      <c r="B272" s="4" t="s">
        <v>349</v>
      </c>
      <c r="C272" s="5" t="str">
        <f>IFERROR(__xludf.DUMMYFUNCTION("GOOGLETRANSLATE(B272,""en"",""it"")"),"Sta usando uno strumento di foro per graffiare lo sfondo dal muro.")</f>
        <v>Sta usando uno strumento di foro per graffiare lo sfondo dal muro.</v>
      </c>
    </row>
    <row r="273">
      <c r="A273" s="4" t="s">
        <v>346</v>
      </c>
      <c r="B273" s="4" t="s">
        <v>350</v>
      </c>
      <c r="C273" s="5" t="str">
        <f>IFERROR(__xludf.DUMMYFUNCTION("GOOGLETRANSLATE(B273,""en"",""it"")"),"Quindi usa una soluzione di sapone e immerge il foglio nella soluzione.")</f>
        <v>Quindi usa una soluzione di sapone e immerge il foglio nella soluzione.</v>
      </c>
    </row>
    <row r="274">
      <c r="A274" s="4" t="s">
        <v>346</v>
      </c>
      <c r="B274" s="4" t="s">
        <v>351</v>
      </c>
      <c r="C274" s="5" t="str">
        <f>IFERROR(__xludf.DUMMYFUNCTION("GOOGLETRANSLATE(B274,""en"",""it"")"),"C'è un uomo che pende le lenzuola bagnate sul muro.")</f>
        <v>C'è un uomo che pende le lenzuola bagnate sul muro.</v>
      </c>
    </row>
    <row r="275">
      <c r="A275" s="4" t="s">
        <v>346</v>
      </c>
      <c r="B275" s="4" t="s">
        <v>352</v>
      </c>
      <c r="C275" s="5" t="str">
        <f>IFERROR(__xludf.DUMMYFUNCTION("GOOGLETRANSLATE(B275,""en"",""it"")"),"Una donna usa uno spruzzatore sulle lenzuola umida e lo spruzza.")</f>
        <v>Una donna usa uno spruzzatore sulle lenzuola umida e lo spruzza.</v>
      </c>
    </row>
    <row r="276">
      <c r="A276" s="4" t="s">
        <v>346</v>
      </c>
      <c r="B276" s="4" t="s">
        <v>353</v>
      </c>
      <c r="C276" s="5" t="str">
        <f>IFERROR(__xludf.DUMMYFUNCTION("GOOGLETRANSLATE(B276,""en"",""it"")"),"Quindi un uomo e una donna iniziano a staccare la vecchia carta da parati dal muro.")</f>
        <v>Quindi un uomo e una donna iniziano a staccare la vecchia carta da parati dal muro.</v>
      </c>
    </row>
    <row r="277">
      <c r="A277" s="4" t="s">
        <v>346</v>
      </c>
      <c r="B277" s="4" t="s">
        <v>354</v>
      </c>
      <c r="C277" s="5" t="str">
        <f>IFERROR(__xludf.DUMMYFUNCTION("GOOGLETRANSLATE(B277,""en"",""it"")"),"Il video mostra istruzioni su come utilizzare i prodotti Wallwik.")</f>
        <v>Il video mostra istruzioni su come utilizzare i prodotti Wallwik.</v>
      </c>
    </row>
    <row r="278">
      <c r="A278" s="4" t="s">
        <v>355</v>
      </c>
      <c r="B278" s="4" t="s">
        <v>356</v>
      </c>
      <c r="C278" s="5" t="str">
        <f>IFERROR(__xludf.DUMMYFUNCTION("GOOGLETRANSLATE(B278,""en"",""it"")"),"Il video inizia con una sequenza del titolo.")</f>
        <v>Il video inizia con una sequenza del titolo.</v>
      </c>
    </row>
    <row r="279">
      <c r="A279" s="4" t="s">
        <v>355</v>
      </c>
      <c r="B279" s="6" t="s">
        <v>357</v>
      </c>
      <c r="C279" s="5" t="str">
        <f>IFERROR(__xludf.DUMMYFUNCTION("GOOGLETRANSLATE(B279,""en"",""it"")"),"Un giovane viene mostrato in palestra che esegue trucchi con una corda da salto mentre la musica suona in sottofondo.")</f>
        <v>Un giovane viene mostrato in palestra che esegue trucchi con una corda da salto mentre la musica suona in sottofondo.</v>
      </c>
    </row>
    <row r="280">
      <c r="A280" s="4" t="s">
        <v>355</v>
      </c>
      <c r="B280" s="4" t="s">
        <v>358</v>
      </c>
      <c r="C280" s="5" t="str">
        <f>IFERROR(__xludf.DUMMYFUNCTION("GOOGLETRANSLATE(B280,""en"",""it"")"),"Quindi si sdraia e inizia a fare trucchi sul pavimento.")</f>
        <v>Quindi si sdraia e inizia a fare trucchi sul pavimento.</v>
      </c>
    </row>
    <row r="281">
      <c r="A281" s="4" t="s">
        <v>355</v>
      </c>
      <c r="B281" s="4" t="s">
        <v>359</v>
      </c>
      <c r="C281" s="5" t="str">
        <f>IFERROR(__xludf.DUMMYFUNCTION("GOOGLETRANSLATE(B281,""en"",""it"")"),"Il giovane si alza di nuovo e fa più trucchi mentre si trova in piedi.")</f>
        <v>Il giovane si alza di nuovo e fa più trucchi mentre si trova in piedi.</v>
      </c>
    </row>
    <row r="282">
      <c r="A282" s="4" t="s">
        <v>355</v>
      </c>
      <c r="B282" s="4" t="s">
        <v>360</v>
      </c>
      <c r="C282" s="5" t="str">
        <f>IFERROR(__xludf.DUMMYFUNCTION("GOOGLETRANSLATE(B282,""en"",""it"")"),"Ad un certo punto, i suoi amici aiutano i trucchi per la corda del salto.")</f>
        <v>Ad un certo punto, i suoi amici aiutano i trucchi per la corda del salto.</v>
      </c>
    </row>
    <row r="283">
      <c r="A283" s="4" t="s">
        <v>355</v>
      </c>
      <c r="B283" s="6" t="s">
        <v>361</v>
      </c>
      <c r="C283" s="5" t="str">
        <f>IFERROR(__xludf.DUMMYFUNCTION("GOOGLETRANSLATE(B283,""en"",""it"")"),"Il video termina con crediti che mostrano il nome del giovane, insieme ai nomi di coloro che lo hanno aiutato.")</f>
        <v>Il video termina con crediti che mostrano il nome del giovane, insieme ai nomi di coloro che lo hanno aiutato.</v>
      </c>
    </row>
    <row r="284">
      <c r="A284" s="4" t="s">
        <v>362</v>
      </c>
      <c r="B284" s="4" t="s">
        <v>363</v>
      </c>
      <c r="C284" s="5" t="str">
        <f>IFERROR(__xludf.DUMMYFUNCTION("GOOGLETRANSLATE(B284,""en"",""it"")"),"Una signora viene vista mettere la cera sulle scarpe da uomo.")</f>
        <v>Una signora viene vista mettere la cera sulle scarpe da uomo.</v>
      </c>
    </row>
    <row r="285">
      <c r="A285" s="4" t="s">
        <v>362</v>
      </c>
      <c r="B285" s="4" t="s">
        <v>364</v>
      </c>
      <c r="C285" s="5" t="str">
        <f>IFERROR(__xludf.DUMMYFUNCTION("GOOGLETRANSLATE(B285,""en"",""it"")"),"Vediamo il stoffa appesa al muro.")</f>
        <v>Vediamo il stoffa appesa al muro.</v>
      </c>
    </row>
    <row r="286">
      <c r="A286" s="4" t="s">
        <v>362</v>
      </c>
      <c r="B286" s="4" t="s">
        <v>365</v>
      </c>
      <c r="C286" s="5" t="str">
        <f>IFERROR(__xludf.DUMMYFUNCTION("GOOGLETRANSLATE(B286,""en"",""it"")"),"Vediamo le impronte sulla piattaforma.")</f>
        <v>Vediamo le impronte sulla piattaforma.</v>
      </c>
    </row>
    <row r="287">
      <c r="A287" s="4" t="s">
        <v>362</v>
      </c>
      <c r="B287" s="4" t="s">
        <v>366</v>
      </c>
      <c r="C287" s="5" t="str">
        <f>IFERROR(__xludf.DUMMYFUNCTION("GOOGLETRANSLATE(B287,""en"",""it"")"),"La donna strofina le scarpe da uomo con un panno.")</f>
        <v>La donna strofina le scarpe da uomo con un panno.</v>
      </c>
    </row>
    <row r="288">
      <c r="A288" s="4" t="s">
        <v>362</v>
      </c>
      <c r="B288" s="4" t="s">
        <v>367</v>
      </c>
      <c r="C288" s="5" t="str">
        <f>IFERROR(__xludf.DUMMYFUNCTION("GOOGLETRANSLATE(B288,""en"",""it"")"),"Vediamo il panno sul muro, quindi le linee di stoffa vicino al cartello delle scarpe.")</f>
        <v>Vediamo il panno sul muro, quindi le linee di stoffa vicino al cartello delle scarpe.</v>
      </c>
    </row>
    <row r="289">
      <c r="A289" s="4" t="s">
        <v>362</v>
      </c>
      <c r="B289" s="4" t="s">
        <v>368</v>
      </c>
      <c r="C289" s="5" t="str">
        <f>IFERROR(__xludf.DUMMYFUNCTION("GOOGLETRANSLATE(B289,""en"",""it"")"),"Un uomo è in piedi su una piattaforma.")</f>
        <v>Un uomo è in piedi su una piattaforma.</v>
      </c>
    </row>
    <row r="290">
      <c r="A290" s="4" t="s">
        <v>362</v>
      </c>
      <c r="B290" s="4" t="s">
        <v>369</v>
      </c>
      <c r="C290" s="5" t="str">
        <f>IFERROR(__xludf.DUMMYFUNCTION("GOOGLETRANSLATE(B290,""en"",""it"")"),"Vediamo l'uomo olografico sul muro con la carta.")</f>
        <v>Vediamo l'uomo olografico sul muro con la carta.</v>
      </c>
    </row>
    <row r="291">
      <c r="A291" s="4" t="s">
        <v>370</v>
      </c>
      <c r="B291" s="4" t="s">
        <v>371</v>
      </c>
      <c r="C291" s="5" t="str">
        <f>IFERROR(__xludf.DUMMYFUNCTION("GOOGLETRANSLATE(B291,""en"",""it"")"),"Viene mostrata una Audi A3 a due porte nera e quindi la fotocamera si ingrandisce sulle gomme.")</f>
        <v>Viene mostrata una Audi A3 a due porte nera e quindi la fotocamera si ingrandisce sulle gomme.</v>
      </c>
    </row>
    <row r="292">
      <c r="A292" s="4" t="s">
        <v>370</v>
      </c>
      <c r="B292" s="4" t="s">
        <v>372</v>
      </c>
      <c r="C292" s="5" t="str">
        <f>IFERROR(__xludf.DUMMYFUNCTION("GOOGLETRANSLATE(B292,""en"",""it"")"),"Un dito tocca quindi la luce di emergenza e le luci sull'auto iniziano a lampeggiare.")</f>
        <v>Un dito tocca quindi la luce di emergenza e le luci sull'auto iniziano a lampeggiare.</v>
      </c>
    </row>
    <row r="293">
      <c r="A293" s="4" t="s">
        <v>370</v>
      </c>
      <c r="B293" s="4" t="s">
        <v>373</v>
      </c>
      <c r="C293" s="5" t="str">
        <f>IFERROR(__xludf.DUMMYFUNCTION("GOOGLETRANSLATE(B293,""en"",""it"")"),"Successivamente, il camion viene aperto e la persona rimuove la ruota di scorta e il jack.")</f>
        <v>Successivamente, il camion viene aperto e la persona rimuove la ruota di scorta e il jack.</v>
      </c>
    </row>
    <row r="294">
      <c r="A294" s="4" t="s">
        <v>370</v>
      </c>
      <c r="B294" s="4" t="s">
        <v>374</v>
      </c>
      <c r="C294" s="5" t="str">
        <f>IFERROR(__xludf.DUMMYFUNCTION("GOOGLETRANSLATE(B294,""en"",""it"")"),"Quindi solleva l'auto e continua ad allentare i bulloni sul volante dell'auto.")</f>
        <v>Quindi solleva l'auto e continua ad allentare i bulloni sul volante dell'auto.</v>
      </c>
    </row>
    <row r="295">
      <c r="A295" s="4" t="s">
        <v>370</v>
      </c>
      <c r="B295" s="6" t="s">
        <v>375</v>
      </c>
      <c r="C295" s="5" t="str">
        <f>IFERROR(__xludf.DUMMYFUNCTION("GOOGLETRANSLATE(B295,""en"",""it"")"),"Una volta libera, la ruota viene rimossa e il ricambio viene messo e le stesse azioni vengono eseguite al contrario.")</f>
        <v>Una volta libera, la ruota viene rimossa e il ricambio viene messo e le stesse azioni vengono eseguite al contrario.</v>
      </c>
    </row>
    <row r="296">
      <c r="A296" s="4" t="s">
        <v>376</v>
      </c>
      <c r="B296" s="4" t="s">
        <v>377</v>
      </c>
      <c r="C296" s="5" t="str">
        <f>IFERROR(__xludf.DUMMYFUNCTION("GOOGLETRANSLATE(B296,""en"",""it"")"),"Una donna mescola oggetti insieme in una ciotola.")</f>
        <v>Una donna mescola oggetti insieme in una ciotola.</v>
      </c>
    </row>
    <row r="297">
      <c r="A297" s="4" t="s">
        <v>376</v>
      </c>
      <c r="B297" s="4" t="s">
        <v>378</v>
      </c>
      <c r="C297" s="5" t="str">
        <f>IFERROR(__xludf.DUMMYFUNCTION("GOOGLETRANSLATE(B297,""en"",""it"")"),"Lo strofina su un tavolo di legno.")</f>
        <v>Lo strofina su un tavolo di legno.</v>
      </c>
    </row>
    <row r="298">
      <c r="A298" s="4" t="s">
        <v>376</v>
      </c>
      <c r="B298" s="4" t="s">
        <v>379</v>
      </c>
      <c r="C298" s="5" t="str">
        <f>IFERROR(__xludf.DUMMYFUNCTION("GOOGLETRANSLATE(B298,""en"",""it"")"),"Ride e mette le mani in aria.")</f>
        <v>Ride e mette le mani in aria.</v>
      </c>
    </row>
    <row r="299">
      <c r="A299" s="4" t="s">
        <v>380</v>
      </c>
      <c r="B299" s="4" t="s">
        <v>381</v>
      </c>
      <c r="C299" s="5" t="str">
        <f>IFERROR(__xludf.DUMMYFUNCTION("GOOGLETRANSLATE(B299,""en"",""it"")"),"Due ragazze si trovano tra una ragazza in uno sgabello per capelli e iniziano a spazzolarla e separando i capelli.")</f>
        <v>Due ragazze si trovano tra una ragazza in uno sgabello per capelli e iniziano a spazzolarla e separando i capelli.</v>
      </c>
    </row>
    <row r="300">
      <c r="A300" s="4" t="s">
        <v>380</v>
      </c>
      <c r="B300" s="4" t="s">
        <v>382</v>
      </c>
      <c r="C300" s="5" t="str">
        <f>IFERROR(__xludf.DUMMYFUNCTION("GOOGLETRANSLATE(B300,""en"",""it"")"),"Una donna intreccia i capelli continuamente per creare una treccia francese.")</f>
        <v>Una donna intreccia i capelli continuamente per creare una treccia francese.</v>
      </c>
    </row>
    <row r="301">
      <c r="A301" s="4" t="s">
        <v>380</v>
      </c>
      <c r="B301" s="4" t="s">
        <v>383</v>
      </c>
      <c r="C301" s="5" t="str">
        <f>IFERROR(__xludf.DUMMYFUNCTION("GOOGLETRANSLATE(B301,""en"",""it"")"),"Entrambe le donne stanno parlando alla telecamera mentre presentano la treccia appena fatta.")</f>
        <v>Entrambe le donne stanno parlando alla telecamera mentre presentano la treccia appena fatta.</v>
      </c>
    </row>
    <row r="302">
      <c r="A302" s="4" t="s">
        <v>384</v>
      </c>
      <c r="B302" s="4" t="s">
        <v>385</v>
      </c>
      <c r="C302" s="5" t="str">
        <f>IFERROR(__xludf.DUMMYFUNCTION("GOOGLETRANSLATE(B302,""en"",""it"")"),"Vediamo una scena di apertura colorata.")</f>
        <v>Vediamo una scena di apertura colorata.</v>
      </c>
    </row>
    <row r="303">
      <c r="A303" s="4" t="s">
        <v>384</v>
      </c>
      <c r="B303" s="4" t="s">
        <v>386</v>
      </c>
      <c r="C303" s="5" t="str">
        <f>IFERROR(__xludf.DUMMYFUNCTION("GOOGLETRANSLATE(B303,""en"",""it"")"),"I bambini in abiti colorati camminano su un palco e mettono a posto.")</f>
        <v>I bambini in abiti colorati camminano su un palco e mettono a posto.</v>
      </c>
    </row>
    <row r="304">
      <c r="A304" s="4" t="s">
        <v>384</v>
      </c>
      <c r="B304" s="4" t="s">
        <v>387</v>
      </c>
      <c r="C304" s="5" t="str">
        <f>IFERROR(__xludf.DUMMYFUNCTION("GOOGLETRANSLATE(B304,""en"",""it"")"),"I bambini eseguono Zumba su un palco.")</f>
        <v>I bambini eseguono Zumba su un palco.</v>
      </c>
    </row>
    <row r="305">
      <c r="A305" s="4" t="s">
        <v>384</v>
      </c>
      <c r="B305" s="4" t="s">
        <v>388</v>
      </c>
      <c r="C305" s="5" t="str">
        <f>IFERROR(__xludf.DUMMYFUNCTION("GOOGLETRANSLATE(B305,""en"",""it"")"),"La ragazza seconda da sinistra va nella direzione sbagliata e quasi si imbatte in un'altra ragazza.")</f>
        <v>La ragazza seconda da sinistra va nella direzione sbagliata e quasi si imbatte in un'altra ragazza.</v>
      </c>
    </row>
    <row r="306">
      <c r="A306" s="4" t="s">
        <v>384</v>
      </c>
      <c r="B306" s="4" t="s">
        <v>389</v>
      </c>
      <c r="C306" s="5" t="str">
        <f>IFERROR(__xludf.DUMMYFUNCTION("GOOGLETRANSLATE(B306,""en"",""it"")"),"Vediamo uno schermo finale.")</f>
        <v>Vediamo uno schermo finale.</v>
      </c>
    </row>
    <row r="307">
      <c r="A307" s="4" t="s">
        <v>390</v>
      </c>
      <c r="B307" s="4" t="s">
        <v>391</v>
      </c>
      <c r="C307" s="5" t="str">
        <f>IFERROR(__xludf.DUMMYFUNCTION("GOOGLETRANSLATE(B307,""en"",""it"")"),"Un uomo che indossa una camicia a strisce balla con una ragazza in una camicetta marrone in un festival di strada.")</f>
        <v>Un uomo che indossa una camicia a strisce balla con una ragazza in una camicetta marrone in un festival di strada.</v>
      </c>
    </row>
    <row r="308">
      <c r="A308" s="4" t="s">
        <v>390</v>
      </c>
      <c r="B308" s="4" t="s">
        <v>392</v>
      </c>
      <c r="C308" s="5" t="str">
        <f>IFERROR(__xludf.DUMMYFUNCTION("GOOGLETRANSLATE(B308,""en"",""it"")"),"Altra coppia si uniscono e balla in un festival di strada mentre gli artisti suonano su un palco.")</f>
        <v>Altra coppia si uniscono e balla in un festival di strada mentre gli artisti suonano su un palco.</v>
      </c>
    </row>
    <row r="309">
      <c r="A309" s="4" t="s">
        <v>390</v>
      </c>
      <c r="B309" s="4" t="s">
        <v>393</v>
      </c>
      <c r="C309" s="5" t="str">
        <f>IFERROR(__xludf.DUMMYFUNCTION("GOOGLETRANSLATE(B309,""en"",""it"")"),"Gli spettatori passano mentre il gruppo continua a ballare.")</f>
        <v>Gli spettatori passano mentre il gruppo continua a ballare.</v>
      </c>
    </row>
    <row r="310">
      <c r="A310" s="4" t="s">
        <v>394</v>
      </c>
      <c r="B310" s="4" t="s">
        <v>395</v>
      </c>
      <c r="C310" s="5" t="str">
        <f>IFERROR(__xludf.DUMMYFUNCTION("GOOGLETRANSLATE(B310,""en"",""it"")"),"L'uomo sta strimpellando un tamburo.")</f>
        <v>L'uomo sta strimpellando un tamburo.</v>
      </c>
    </row>
    <row r="311">
      <c r="A311" s="4" t="s">
        <v>394</v>
      </c>
      <c r="B311" s="4" t="s">
        <v>396</v>
      </c>
      <c r="C311" s="5" t="str">
        <f>IFERROR(__xludf.DUMMYFUNCTION("GOOGLETRANSLATE(B311,""en"",""it"")"),"L'uomo stringe l'altro tamburo mentre si muove la gamba.")</f>
        <v>L'uomo stringe l'altro tamburo mentre si muove la gamba.</v>
      </c>
    </row>
    <row r="312">
      <c r="A312" s="4" t="s">
        <v>394</v>
      </c>
      <c r="B312" s="4" t="s">
        <v>397</v>
      </c>
      <c r="C312" s="5" t="str">
        <f>IFERROR(__xludf.DUMMYFUNCTION("GOOGLETRANSLATE(B312,""en"",""it"")"),"L'uomo suona due tamburi contemporaneamente.")</f>
        <v>L'uomo suona due tamburi contemporaneamente.</v>
      </c>
    </row>
    <row r="313">
      <c r="A313" s="4" t="s">
        <v>398</v>
      </c>
      <c r="B313" s="4" t="s">
        <v>399</v>
      </c>
      <c r="C313" s="5" t="str">
        <f>IFERROR(__xludf.DUMMYFUNCTION("GOOGLETRANSLATE(B313,""en"",""it"")"),"La donna è seduta accanto al camino con in mano un violino.")</f>
        <v>La donna è seduta accanto al camino con in mano un violino.</v>
      </c>
    </row>
    <row r="314">
      <c r="A314" s="4" t="s">
        <v>398</v>
      </c>
      <c r="B314" s="6" t="s">
        <v>400</v>
      </c>
      <c r="C314" s="5" t="str">
        <f>IFERROR(__xludf.DUMMYFUNCTION("GOOGLETRANSLATE(B314,""en"",""it"")"),"La donna mise il violino tra il collo e la spalla e iniziò a strimpellare il violino con il bastone.")</f>
        <v>La donna mise il violino tra il collo e la spalla e iniziò a strimpellare il violino con il bastone.</v>
      </c>
    </row>
    <row r="315">
      <c r="A315" s="4" t="s">
        <v>398</v>
      </c>
      <c r="B315" s="4" t="s">
        <v>401</v>
      </c>
      <c r="C315" s="5" t="str">
        <f>IFERROR(__xludf.DUMMYFUNCTION("GOOGLETRANSLATE(B315,""en"",""it"")"),"La signora ha messo il violino in grembo e ha parlato.")</f>
        <v>La signora ha messo il violino in grembo e ha parlato.</v>
      </c>
    </row>
    <row r="316">
      <c r="A316" s="4" t="s">
        <v>402</v>
      </c>
      <c r="B316" s="4" t="s">
        <v>403</v>
      </c>
      <c r="C316" s="5" t="str">
        <f>IFERROR(__xludf.DUMMYFUNCTION("GOOGLETRANSLATE(B316,""en"",""it"")"),"Un uomo si siede su una sedia mentre si taglia i capelli.")</f>
        <v>Un uomo si siede su una sedia mentre si taglia i capelli.</v>
      </c>
    </row>
    <row r="317">
      <c r="A317" s="4" t="s">
        <v>402</v>
      </c>
      <c r="B317" s="4" t="s">
        <v>404</v>
      </c>
      <c r="C317" s="5" t="str">
        <f>IFERROR(__xludf.DUMMYFUNCTION("GOOGLETRANSLATE(B317,""en"",""it"")"),"Un uomo con una camicia nera si muove una luce.")</f>
        <v>Un uomo con una camicia nera si muove una luce.</v>
      </c>
    </row>
    <row r="318">
      <c r="A318" s="4" t="s">
        <v>402</v>
      </c>
      <c r="B318" s="4" t="s">
        <v>405</v>
      </c>
      <c r="C318" s="5" t="str">
        <f>IFERROR(__xludf.DUMMYFUNCTION("GOOGLETRANSLATE(B318,""en"",""it"")"),"Le persone si arrampicano dietro lo stilista di capelli.")</f>
        <v>Le persone si arrampicano dietro lo stilista di capelli.</v>
      </c>
    </row>
    <row r="319">
      <c r="A319" s="4" t="s">
        <v>402</v>
      </c>
      <c r="B319" s="4" t="s">
        <v>406</v>
      </c>
      <c r="C319" s="5" t="str">
        <f>IFERROR(__xludf.DUMMYFUNCTION("GOOGLETRANSLATE(B319,""en"",""it"")"),"Un parrucchiere si compromette continuamente e taglia i capelli dell'uomo.")</f>
        <v>Un parrucchiere si compromette continuamente e taglia i capelli dell'uomo.</v>
      </c>
    </row>
    <row r="320">
      <c r="A320" s="4" t="s">
        <v>402</v>
      </c>
      <c r="B320" s="4" t="s">
        <v>407</v>
      </c>
      <c r="C320" s="5" t="str">
        <f>IFERROR(__xludf.DUMMYFUNCTION("GOOGLETRANSLATE(B320,""en"",""it"")"),"Gli stilisti di capelli si strofina un po 'di pomata sui capelli dell'uomo.")</f>
        <v>Gli stilisti di capelli si strofina un po 'di pomata sui capelli dell'uomo.</v>
      </c>
    </row>
    <row r="321">
      <c r="A321" s="4" t="s">
        <v>402</v>
      </c>
      <c r="B321" s="4" t="s">
        <v>408</v>
      </c>
      <c r="C321" s="5" t="str">
        <f>IFERROR(__xludf.DUMMYFUNCTION("GOOGLETRANSLATE(B321,""en"",""it"")"),"L'uomo è visto in posa.")</f>
        <v>L'uomo è visto in posa.</v>
      </c>
    </row>
    <row r="322">
      <c r="A322" s="4" t="s">
        <v>409</v>
      </c>
      <c r="B322" s="4" t="s">
        <v>410</v>
      </c>
      <c r="C322" s="5" t="str">
        <f>IFERROR(__xludf.DUMMYFUNCTION("GOOGLETRANSLATE(B322,""en"",""it"")"),"Una squadra di allegria per allegria adolescente cammina su un tappetino e si mette in formazione.")</f>
        <v>Una squadra di allegria per allegria adolescente cammina su un tappetino e si mette in formazione.</v>
      </c>
    </row>
    <row r="323">
      <c r="A323" s="4" t="s">
        <v>409</v>
      </c>
      <c r="B323" s="4" t="s">
        <v>411</v>
      </c>
      <c r="C323" s="5" t="str">
        <f>IFERROR(__xludf.DUMMYFUNCTION("GOOGLETRANSLATE(B323,""en"",""it"")"),"La routine inizia in una sfida di Manikin e iniziano tutti a fare un giro.")</f>
        <v>La routine inizia in una sfida di Manikin e iniziano tutti a fare un giro.</v>
      </c>
    </row>
    <row r="324">
      <c r="A324" s="4" t="s">
        <v>409</v>
      </c>
      <c r="B324" s="4" t="s">
        <v>412</v>
      </c>
      <c r="C324" s="5" t="str">
        <f>IFERROR(__xludf.DUMMYFUNCTION("GOOGLETRANSLATE(B324,""en"",""it"")"),"Dopo, fanno diversi salti a cavalci e iniziano a vomitare in stand.")</f>
        <v>Dopo, fanno diversi salti a cavalci e iniziano a vomitare in stand.</v>
      </c>
    </row>
    <row r="325">
      <c r="A325" s="4" t="s">
        <v>409</v>
      </c>
      <c r="B325" s="6" t="s">
        <v>413</v>
      </c>
      <c r="C325" s="5" t="str">
        <f>IFERROR(__xludf.DUMMYFUNCTION("GOOGLETRANSLATE(B325,""en"",""it"")"),"Una volta che le acrobazie sono finite, la metà della squadra inizia a fare ruote di carrelli e si incontrano tutti nel mezzo per fare acrobazie in aria.")</f>
        <v>Una volta che le acrobazie sono finite, la metà della squadra inizia a fare ruote di carrelli e si incontrano tutti nel mezzo per fare acrobazie in aria.</v>
      </c>
    </row>
    <row r="326">
      <c r="A326" s="4" t="s">
        <v>409</v>
      </c>
      <c r="B326" s="6" t="s">
        <v>414</v>
      </c>
      <c r="C326" s="5" t="str">
        <f>IFERROR(__xludf.DUMMYFUNCTION("GOOGLETRANSLATE(B326,""en"",""it"")"),"Altre acrobazie vengono fatte e le ragazze finiscono atterrando in una divisione, poi si alzano e si abbracciano nel mezzo del tappeto.")</f>
        <v>Altre acrobazie vengono fatte e le ragazze finiscono atterrando in una divisione, poi si alzano e si abbracciano nel mezzo del tappeto.</v>
      </c>
    </row>
    <row r="327">
      <c r="A327" s="4" t="s">
        <v>415</v>
      </c>
      <c r="B327" s="4" t="s">
        <v>416</v>
      </c>
      <c r="C327" s="5" t="str">
        <f>IFERROR(__xludf.DUMMYFUNCTION("GOOGLETRANSLATE(B327,""en"",""it"")"),"Una donna che indossa un cappuccio e gli occhiali parla.")</f>
        <v>Una donna che indossa un cappuccio e gli occhiali parla.</v>
      </c>
    </row>
    <row r="328">
      <c r="A328" s="4" t="s">
        <v>415</v>
      </c>
      <c r="B328" s="4" t="s">
        <v>417</v>
      </c>
      <c r="C328" s="5" t="str">
        <f>IFERROR(__xludf.DUMMYFUNCTION("GOOGLETRANSLATE(B328,""en"",""it"")"),"Tiene in mano un testimone e lo faceva roteare tra le mani.")</f>
        <v>Tiene in mano un testimone e lo faceva roteare tra le mani.</v>
      </c>
    </row>
    <row r="329">
      <c r="A329" s="4" t="s">
        <v>418</v>
      </c>
      <c r="B329" s="4" t="s">
        <v>419</v>
      </c>
      <c r="C329" s="5" t="str">
        <f>IFERROR(__xludf.DUMMYFUNCTION("GOOGLETRANSLATE(B329,""en"",""it"")"),"Una donna viene vista in piedi dietro un lavandino e lavare i piatti mentre parla alla telecamera.")</f>
        <v>Una donna viene vista in piedi dietro un lavandino e lavare i piatti mentre parla alla telecamera.</v>
      </c>
    </row>
    <row r="330">
      <c r="A330" s="4" t="s">
        <v>418</v>
      </c>
      <c r="B330" s="4" t="s">
        <v>420</v>
      </c>
      <c r="C330" s="5" t="str">
        <f>IFERROR(__xludf.DUMMYFUNCTION("GOOGLETRANSLATE(B330,""en"",""it"")"),"La donna continua a lavare l'argenteria mentre guarda la telecamera e sorride.")</f>
        <v>La donna continua a lavare l'argenteria mentre guarda la telecamera e sorride.</v>
      </c>
    </row>
    <row r="331">
      <c r="A331" s="4" t="s">
        <v>421</v>
      </c>
      <c r="B331" s="4" t="s">
        <v>422</v>
      </c>
      <c r="C331" s="5" t="str">
        <f>IFERROR(__xludf.DUMMYFUNCTION("GOOGLETRANSLATE(B331,""en"",""it"")"),"Un uomo con un cappello nero sta colpendo una palla sull'erba con una squadra.")</f>
        <v>Un uomo con un cappello nero sta colpendo una palla sull'erba con una squadra.</v>
      </c>
    </row>
    <row r="332">
      <c r="A332" s="4" t="s">
        <v>421</v>
      </c>
      <c r="B332" s="4" t="s">
        <v>423</v>
      </c>
      <c r="C332" s="5" t="str">
        <f>IFERROR(__xludf.DUMMYFUNCTION("GOOGLETRANSLATE(B332,""en"",""it"")"),"Continua a parlare con la telecamera.")</f>
        <v>Continua a parlare con la telecamera.</v>
      </c>
    </row>
    <row r="333">
      <c r="A333" s="4" t="s">
        <v>421</v>
      </c>
      <c r="B333" s="4" t="s">
        <v>424</v>
      </c>
      <c r="C333" s="5" t="str">
        <f>IFERROR(__xludf.DUMMYFUNCTION("GOOGLETRANSLATE(B333,""en"",""it"")"),"Solleva un piccolo trofeo.")</f>
        <v>Solleva un piccolo trofeo.</v>
      </c>
    </row>
    <row r="334">
      <c r="A334" s="4" t="s">
        <v>425</v>
      </c>
      <c r="B334" s="4" t="s">
        <v>426</v>
      </c>
      <c r="C334" s="5" t="str">
        <f>IFERROR(__xludf.DUMMYFUNCTION("GOOGLETRANSLATE(B334,""en"",""it"")"),"Un gruppo di persone è su un campo.")</f>
        <v>Un gruppo di persone è su un campo.</v>
      </c>
    </row>
    <row r="335">
      <c r="A335" s="4" t="s">
        <v>425</v>
      </c>
      <c r="B335" s="4" t="s">
        <v>427</v>
      </c>
      <c r="C335" s="5" t="str">
        <f>IFERROR(__xludf.DUMMYFUNCTION("GOOGLETRANSLATE(B335,""en"",""it"")"),"Collegano una fotocamera a una delle teste del giocatore.")</f>
        <v>Collegano una fotocamera a una delle teste del giocatore.</v>
      </c>
    </row>
    <row r="336">
      <c r="A336" s="4" t="s">
        <v>425</v>
      </c>
      <c r="B336" s="6" t="s">
        <v>428</v>
      </c>
      <c r="C336" s="5" t="str">
        <f>IFERROR(__xludf.DUMMYFUNCTION("GOOGLETRANSLATE(B336,""en"",""it"")"),"Si alzano a vicenda in testa in acrobazie che possono essere viste dalla vista della telecamera.")</f>
        <v>Si alzano a vicenda in testa in acrobazie che possono essere viste dalla vista della telecamera.</v>
      </c>
    </row>
    <row r="337">
      <c r="A337" s="4" t="s">
        <v>425</v>
      </c>
      <c r="B337" s="4" t="s">
        <v>429</v>
      </c>
      <c r="C337" s="5" t="str">
        <f>IFERROR(__xludf.DUMMYFUNCTION("GOOGLETRANSLATE(B337,""en"",""it"")"),"Sorridono e ridono mentre continuano a eseguire acrobazie.")</f>
        <v>Sorridono e ridono mentre continuano a eseguire acrobazie.</v>
      </c>
    </row>
    <row r="338">
      <c r="A338" s="4" t="s">
        <v>430</v>
      </c>
      <c r="B338" s="6" t="s">
        <v>431</v>
      </c>
      <c r="C338" s="5" t="str">
        <f>IFERROR(__xludf.DUMMYFUNCTION("GOOGLETRANSLATE(B338,""en"",""it"")"),"Un folto gruppo di persone si vede in piedi quando vengono mostrate diverse clip di un uomo che tenta di saltare su una barra.")</f>
        <v>Un folto gruppo di persone si vede in piedi quando vengono mostrate diverse clip di un uomo che tenta di saltare su una barra.</v>
      </c>
    </row>
    <row r="339">
      <c r="A339" s="4" t="s">
        <v>430</v>
      </c>
      <c r="B339" s="4" t="s">
        <v>432</v>
      </c>
      <c r="C339" s="5" t="str">
        <f>IFERROR(__xludf.DUMMYFUNCTION("GOOGLETRANSLATE(B339,""en"",""it"")"),"L'uomo completa il salto dopo che una coppia prova e viene mostrato di nuovo al rallentatore.")</f>
        <v>L'uomo completa il salto dopo che una coppia prova e viene mostrato di nuovo al rallentatore.</v>
      </c>
    </row>
    <row r="340">
      <c r="A340" s="4" t="s">
        <v>430</v>
      </c>
      <c r="B340" s="6" t="s">
        <v>433</v>
      </c>
      <c r="C340" s="5" t="str">
        <f>IFERROR(__xludf.DUMMYFUNCTION("GOOGLETRANSLATE(B340,""en"",""it"")"),"L'uomo tenta di saltare più volte più volte e finisce per abbattere la barra ogni volta.")</f>
        <v>L'uomo tenta di saltare più volte più volte e finisce per abbattere la barra ogni volta.</v>
      </c>
    </row>
    <row r="341">
      <c r="A341" s="4" t="s">
        <v>434</v>
      </c>
      <c r="B341" s="4" t="s">
        <v>435</v>
      </c>
      <c r="C341" s="5" t="str">
        <f>IFERROR(__xludf.DUMMYFUNCTION("GOOGLETRANSLATE(B341,""en"",""it"")"),"Una donna sta ridendo mentre salta la corda in una palestra.")</f>
        <v>Una donna sta ridendo mentre salta la corda in una palestra.</v>
      </c>
    </row>
    <row r="342">
      <c r="A342" s="4" t="s">
        <v>434</v>
      </c>
      <c r="B342" s="6" t="s">
        <v>436</v>
      </c>
      <c r="C342" s="5" t="str">
        <f>IFERROR(__xludf.DUMMYFUNCTION("GOOGLETRANSLATE(B342,""en"",""it"")"),"Continua a saltare per un lungo periodo di tempo, accelerando e cambiando posizioni mentre gli uomini con telecamere la registrano.")</f>
        <v>Continua a saltare per un lungo periodo di tempo, accelerando e cambiando posizioni mentre gli uomini con telecamere la registrano.</v>
      </c>
    </row>
    <row r="343">
      <c r="A343" s="4" t="s">
        <v>437</v>
      </c>
      <c r="B343" s="6" t="s">
        <v>438</v>
      </c>
      <c r="C343" s="5" t="str">
        <f>IFERROR(__xludf.DUMMYFUNCTION("GOOGLETRANSLATE(B343,""en"",""it"")"),"Una donna che indossa una camicia stampata leopardata e una giacca di jeans sta facendo un tutorial su unghie finte e su come usarle.")</f>
        <v>Una donna che indossa una camicia stampata leopardata e una giacca di jeans sta facendo un tutorial su unghie finte e su come usarle.</v>
      </c>
    </row>
    <row r="344">
      <c r="A344" s="4" t="s">
        <v>437</v>
      </c>
      <c r="B344" s="4" t="s">
        <v>439</v>
      </c>
      <c r="C344" s="5" t="str">
        <f>IFERROR(__xludf.DUMMYFUNCTION("GOOGLETRANSLATE(B344,""en"",""it"")"),"Tiene in mano un pacchetto di unghie finte mentre spiega il processo.")</f>
        <v>Tiene in mano un pacchetto di unghie finte mentre spiega il processo.</v>
      </c>
    </row>
    <row r="345">
      <c r="A345" s="4" t="s">
        <v>437</v>
      </c>
      <c r="B345" s="4" t="s">
        <v>440</v>
      </c>
      <c r="C345" s="5" t="str">
        <f>IFERROR(__xludf.DUMMYFUNCTION("GOOGLETRANSLATE(B345,""en"",""it"")"),"Quindi dimostra come posizionare le unghie finte sopra le sue unghie.")</f>
        <v>Quindi dimostra come posizionare le unghie finte sopra le sue unghie.</v>
      </c>
    </row>
    <row r="346">
      <c r="A346" s="4" t="s">
        <v>437</v>
      </c>
      <c r="B346" s="4" t="s">
        <v>441</v>
      </c>
      <c r="C346" s="5" t="str">
        <f>IFERROR(__xludf.DUMMYFUNCTION("GOOGLETRANSLATE(B346,""en"",""it"")"),"Quindi prende una lima per unghie e archivia le estremità delle unghie per appianare.")</f>
        <v>Quindi prende una lima per unghie e archivia le estremità delle unghie per appianare.</v>
      </c>
    </row>
    <row r="347">
      <c r="A347" s="4" t="s">
        <v>437</v>
      </c>
      <c r="B347" s="4" t="s">
        <v>442</v>
      </c>
      <c r="C347" s="5" t="str">
        <f>IFERROR(__xludf.DUMMYFUNCTION("GOOGLETRANSLATE(B347,""en"",""it"")"),"Quindi usa un po 'di colla per incollare le unghie sulle unghie.")</f>
        <v>Quindi usa un po 'di colla per incollare le unghie sulle unghie.</v>
      </c>
    </row>
    <row r="348">
      <c r="A348" s="4" t="s">
        <v>437</v>
      </c>
      <c r="B348" s="4" t="s">
        <v>443</v>
      </c>
      <c r="C348" s="5" t="str">
        <f>IFERROR(__xludf.DUMMYFUNCTION("GOOGLETRANSLATE(B348,""en"",""it"")"),"Quindi si aggancia all'eccesso per accorciare le unghie, seguita dall'archiviazione delle unghie.")</f>
        <v>Quindi si aggancia all'eccesso per accorciare le unghie, seguita dall'archiviazione delle unghie.</v>
      </c>
    </row>
    <row r="349">
      <c r="A349" s="4" t="s">
        <v>437</v>
      </c>
      <c r="B349" s="6" t="s">
        <v>444</v>
      </c>
      <c r="C349" s="5" t="str">
        <f>IFERROR(__xludf.DUMMYFUNCTION("GOOGLETRANSLATE(B349,""en"",""it"")"),"Usa anche un po 'di smalto verde lime e dipinge le unghie per finire il processo e renderle lucenti.")</f>
        <v>Usa anche un po 'di smalto verde lime e dipinge le unghie per finire il processo e renderle lucenti.</v>
      </c>
    </row>
    <row r="350">
      <c r="A350" s="4" t="s">
        <v>445</v>
      </c>
      <c r="B350" s="4" t="s">
        <v>446</v>
      </c>
      <c r="C350" s="5" t="str">
        <f>IFERROR(__xludf.DUMMYFUNCTION("GOOGLETRANSLATE(B350,""en"",""it"")"),"Un cuoco è in piedi davanti a una grande stufa.")</f>
        <v>Un cuoco è in piedi davanti a una grande stufa.</v>
      </c>
    </row>
    <row r="351">
      <c r="A351" s="4" t="s">
        <v>445</v>
      </c>
      <c r="B351" s="4" t="s">
        <v>447</v>
      </c>
      <c r="C351" s="5" t="str">
        <f>IFERROR(__xludf.DUMMYFUNCTION("GOOGLETRANSLATE(B351,""en"",""it"")"),"È coperto da ingredienti e padelle su bruciatori.")</f>
        <v>È coperto da ingredienti e padelle su bruciatori.</v>
      </c>
    </row>
    <row r="352">
      <c r="A352" s="4" t="s">
        <v>445</v>
      </c>
      <c r="B352" s="4" t="s">
        <v>448</v>
      </c>
      <c r="C352" s="5" t="str">
        <f>IFERROR(__xludf.DUMMYFUNCTION("GOOGLETRANSLATE(B352,""en"",""it"")"),"L'uomo crea una frittata gigante, finalmente lanciandola su un piatto e consegnandola a un mecenate.")</f>
        <v>L'uomo crea una frittata gigante, finalmente lanciandola su un piatto e consegnandola a un mecenate.</v>
      </c>
    </row>
    <row r="353">
      <c r="A353" s="4" t="s">
        <v>449</v>
      </c>
      <c r="B353" s="6" t="s">
        <v>450</v>
      </c>
      <c r="C353" s="5" t="str">
        <f>IFERROR(__xludf.DUMMYFUNCTION("GOOGLETRANSLATE(B353,""en"",""it"")"),"Un vecchio con i capelli grigi, che indossa una camicia rossa e pantaloni neri dribbla la palla in un campo da interno, ha dribblato la palla fianco a fianco, tra le gambe.")</f>
        <v>Un vecchio con i capelli grigi, che indossa una camicia rossa e pantaloni neri dribbla la palla in un campo da interno, ha dribblato la palla fianco a fianco, tra le gambe.</v>
      </c>
    </row>
    <row r="354">
      <c r="A354" s="4" t="s">
        <v>449</v>
      </c>
      <c r="B354" s="6" t="s">
        <v>451</v>
      </c>
      <c r="C354" s="5" t="str">
        <f>IFERROR(__xludf.DUMMYFUNCTION("GOOGLETRANSLATE(B354,""en"",""it"")"),"Spara la palla sul ring, quindi ricomincia a dribbling da un lato all'altro e tra le gambe e spara alla palla sul ring.")</f>
        <v>Spara la palla sul ring, quindi ricomincia a dribbling da un lato all'altro e tra le gambe e spara alla palla sul ring.</v>
      </c>
    </row>
    <row r="355">
      <c r="A355" s="4" t="s">
        <v>452</v>
      </c>
      <c r="B355" s="6" t="s">
        <v>453</v>
      </c>
      <c r="C355" s="5" t="str">
        <f>IFERROR(__xludf.DUMMYFUNCTION("GOOGLETRANSLATE(B355,""en"",""it"")"),"Un gruppo di cheerleader viene dal palco laterale e inizia a sorridere e ad agitarsi alla folla prima di stabilirsi nella loro formazione.")</f>
        <v>Un gruppo di cheerleader viene dal palco laterale e inizia a sorridere e ad agitarsi alla folla prima di stabilirsi nella loro formazione.</v>
      </c>
    </row>
    <row r="356">
      <c r="A356" s="4" t="s">
        <v>452</v>
      </c>
      <c r="B356" s="6" t="s">
        <v>454</v>
      </c>
      <c r="C356" s="5" t="str">
        <f>IFERROR(__xludf.DUMMYFUNCTION("GOOGLETRANSLATE(B356,""en"",""it"")"),"La routine inizia e iniziano a fare i freni, gettandosi in aria e tenendosi l'un l'altro.")</f>
        <v>La routine inizia e iniziano a fare i freni, gettandosi in aria e tenendosi l'un l'altro.</v>
      </c>
    </row>
    <row r="357">
      <c r="A357" s="4" t="s">
        <v>452</v>
      </c>
      <c r="B357" s="6" t="s">
        <v>455</v>
      </c>
      <c r="C357" s="5" t="str">
        <f>IFERROR(__xludf.DUMMYFUNCTION("GOOGLETRANSLATE(B357,""en"",""it"")"),"Facendo il centro della routine, metà delle ragazze si siede dietro il resto delle cheerleader mentre fanno parte della routine.")</f>
        <v>Facendo il centro della routine, metà delle ragazze si siede dietro il resto delle cheerleader mentre fanno parte della routine.</v>
      </c>
    </row>
    <row r="358">
      <c r="A358" s="4" t="s">
        <v>452</v>
      </c>
      <c r="B358" s="4" t="s">
        <v>456</v>
      </c>
      <c r="C358" s="5" t="str">
        <f>IFERROR(__xludf.DUMMYFUNCTION("GOOGLETRANSLATE(B358,""en"",""it"")"),"La routine termina e si imbattono tutti sul palco con le dita spirituali prima di lasciare il palco.")</f>
        <v>La routine termina e si imbattono tutti sul palco con le dita spirituali prima di lasciare il palco.</v>
      </c>
    </row>
    <row r="359">
      <c r="A359" s="4" t="s">
        <v>457</v>
      </c>
      <c r="B359" s="4" t="s">
        <v>458</v>
      </c>
      <c r="C359" s="5" t="str">
        <f>IFERROR(__xludf.DUMMYFUNCTION("GOOGLETRANSLATE(B359,""en"",""it"")"),"La musica suona mentre i surfisti cavalcano le onde.")</f>
        <v>La musica suona mentre i surfisti cavalcano le onde.</v>
      </c>
    </row>
    <row r="360">
      <c r="A360" s="4" t="s">
        <v>457</v>
      </c>
      <c r="B360" s="4" t="s">
        <v>459</v>
      </c>
      <c r="C360" s="5" t="str">
        <f>IFERROR(__xludf.DUMMYFUNCTION("GOOGLETRANSLATE(B360,""en"",""it"")"),"Alcuni uomini vengono mostrati prepararsi a navigare, preparare la loro tavola e vestirsi.")</f>
        <v>Alcuni uomini vengono mostrati prepararsi a navigare, preparare la loro tavola e vestirsi.</v>
      </c>
    </row>
    <row r="361">
      <c r="A361" s="4" t="s">
        <v>457</v>
      </c>
      <c r="B361" s="4" t="s">
        <v>460</v>
      </c>
      <c r="C361" s="5" t="str">
        <f>IFERROR(__xludf.DUMMYFUNCTION("GOOGLETRANSLATE(B361,""en"",""it"")"),"Un elicottero cavalca sul litorale in cui i surfisti stanno cavalcando.")</f>
        <v>Un elicottero cavalca sul litorale in cui i surfisti stanno cavalcando.</v>
      </c>
    </row>
    <row r="362">
      <c r="A362" s="4" t="s">
        <v>457</v>
      </c>
      <c r="B362" s="4" t="s">
        <v>461</v>
      </c>
      <c r="C362" s="5" t="str">
        <f>IFERROR(__xludf.DUMMYFUNCTION("GOOGLETRANSLATE(B362,""en"",""it"")"),"Un paio di ride insieme sulla spiaggia in una tenda in attesa di più surf.")</f>
        <v>Un paio di ride insieme sulla spiaggia in una tenda in attesa di più surf.</v>
      </c>
    </row>
    <row r="363">
      <c r="A363" s="4" t="s">
        <v>457</v>
      </c>
      <c r="B363" s="4" t="s">
        <v>462</v>
      </c>
      <c r="C363" s="5" t="str">
        <f>IFERROR(__xludf.DUMMYFUNCTION("GOOGLETRANSLATE(B363,""en"",""it"")"),"Un uomo viene quindi mostrato preparare la sua tavola con la cera di surf.")</f>
        <v>Un uomo viene quindi mostrato preparare la sua tavola con la cera di surf.</v>
      </c>
    </row>
    <row r="364">
      <c r="A364" s="4" t="s">
        <v>457</v>
      </c>
      <c r="B364" s="4" t="s">
        <v>463</v>
      </c>
      <c r="C364" s="5" t="str">
        <f>IFERROR(__xludf.DUMMYFUNCTION("GOOGLETRANSLATE(B364,""en"",""it"")"),"La folla osserva gli altri che cavalcano le onde.")</f>
        <v>La folla osserva gli altri che cavalcano le onde.</v>
      </c>
    </row>
    <row r="365">
      <c r="A365" s="4" t="s">
        <v>457</v>
      </c>
      <c r="B365" s="4" t="s">
        <v>464</v>
      </c>
      <c r="C365" s="5" t="str">
        <f>IFERROR(__xludf.DUMMYFUNCTION("GOOGLETRANSLATE(B365,""en"",""it"")"),"La folla applauisce i multipli surfing.")</f>
        <v>La folla applauisce i multipli surfing.</v>
      </c>
    </row>
    <row r="366">
      <c r="A366" s="4" t="s">
        <v>457</v>
      </c>
      <c r="B366" s="4" t="s">
        <v>465</v>
      </c>
      <c r="C366" s="5" t="str">
        <f>IFERROR(__xludf.DUMMYFUNCTION("GOOGLETRANSLATE(B366,""en"",""it"")"),"Kelly Slater è presente in una corsa di successo, seguita da più clip che cavalcano le onde.")</f>
        <v>Kelly Slater è presente in una corsa di successo, seguita da più clip che cavalcano le onde.</v>
      </c>
    </row>
    <row r="367">
      <c r="A367" s="4" t="s">
        <v>457</v>
      </c>
      <c r="B367" s="4" t="s">
        <v>466</v>
      </c>
      <c r="C367" s="5" t="str">
        <f>IFERROR(__xludf.DUMMYFUNCTION("GOOGLETRANSLATE(B367,""en"",""it"")"),"Kelly Slater è in pausa a metà onda per concludere la trama.")</f>
        <v>Kelly Slater è in pausa a metà onda per concludere la trama.</v>
      </c>
    </row>
    <row r="368">
      <c r="A368" s="4" t="s">
        <v>457</v>
      </c>
      <c r="B368" s="4" t="s">
        <v>467</v>
      </c>
      <c r="C368" s="5" t="str">
        <f>IFERROR(__xludf.DUMMYFUNCTION("GOOGLETRANSLATE(B368,""en"",""it"")"),"Vengono quindi mostrati crediti di musica e produttore.")</f>
        <v>Vengono quindi mostrati crediti di musica e produttore.</v>
      </c>
    </row>
    <row r="369">
      <c r="A369" s="4" t="s">
        <v>468</v>
      </c>
      <c r="B369" s="4" t="s">
        <v>469</v>
      </c>
      <c r="C369" s="5" t="str">
        <f>IFERROR(__xludf.DUMMYFUNCTION("GOOGLETRANSLATE(B369,""en"",""it"")"),"Vediamo un titolo d'oro su uno schermo nero.")</f>
        <v>Vediamo un titolo d'oro su uno schermo nero.</v>
      </c>
    </row>
    <row r="370">
      <c r="A370" s="4" t="s">
        <v>468</v>
      </c>
      <c r="B370" s="4" t="s">
        <v>470</v>
      </c>
      <c r="C370" s="5" t="str">
        <f>IFERROR(__xludf.DUMMYFUNCTION("GOOGLETRANSLATE(B370,""en"",""it"")"),"Un uomo sta suonando un'armonica mentre le frecce indicano numeri sopra di lui.")</f>
        <v>Un uomo sta suonando un'armonica mentre le frecce indicano numeri sopra di lui.</v>
      </c>
    </row>
    <row r="371">
      <c r="A371" s="4" t="s">
        <v>468</v>
      </c>
      <c r="B371" s="4" t="s">
        <v>471</v>
      </c>
      <c r="C371" s="5" t="str">
        <f>IFERROR(__xludf.DUMMYFUNCTION("GOOGLETRANSLATE(B371,""en"",""it"")"),"Vediamo un'altra schermata del titolo e altre frecce sui numeri.")</f>
        <v>Vediamo un'altra schermata del titolo e altre frecce sui numeri.</v>
      </c>
    </row>
    <row r="372">
      <c r="A372" s="4" t="s">
        <v>468</v>
      </c>
      <c r="B372" s="4" t="s">
        <v>472</v>
      </c>
      <c r="C372" s="5" t="str">
        <f>IFERROR(__xludf.DUMMYFUNCTION("GOOGLETRANSLATE(B372,""en"",""it"")"),"La schermata del titolo ritorna e l'uomo suona di nuovo con le frecce sopra di lui.")</f>
        <v>La schermata del titolo ritorna e l'uomo suona di nuovo con le frecce sopra di lui.</v>
      </c>
    </row>
    <row r="373">
      <c r="A373" s="4" t="s">
        <v>468</v>
      </c>
      <c r="B373" s="4" t="s">
        <v>473</v>
      </c>
      <c r="C373" s="5" t="str">
        <f>IFERROR(__xludf.DUMMYFUNCTION("GOOGLETRANSLATE(B373,""en"",""it"")"),"Il quarto titolo schermo e l'uomo suona con le frecce sopra.")</f>
        <v>Il quarto titolo schermo e l'uomo suona con le frecce sopra.</v>
      </c>
    </row>
    <row r="374">
      <c r="A374" s="4" t="s">
        <v>468</v>
      </c>
      <c r="B374" s="4" t="s">
        <v>474</v>
      </c>
      <c r="C374" s="5" t="str">
        <f>IFERROR(__xludf.DUMMYFUNCTION("GOOGLETRANSLATE(B374,""en"",""it"")"),"Il nome viene visualizzato e il video finisce.")</f>
        <v>Il nome viene visualizzato e il video finisce.</v>
      </c>
    </row>
    <row r="375">
      <c r="A375" s="4" t="s">
        <v>475</v>
      </c>
      <c r="B375" s="4" t="s">
        <v>476</v>
      </c>
      <c r="C375" s="5" t="str">
        <f>IFERROR(__xludf.DUMMYFUNCTION("GOOGLETRANSLATE(B375,""en"",""it"")"),"Un uomo mette un casco con una fotocamera montata su di esso.")</f>
        <v>Un uomo mette un casco con una fotocamera montata su di esso.</v>
      </c>
    </row>
    <row r="376">
      <c r="A376" s="4" t="s">
        <v>475</v>
      </c>
      <c r="B376" s="4" t="s">
        <v>477</v>
      </c>
      <c r="C376" s="5" t="str">
        <f>IFERROR(__xludf.DUMMYFUNCTION("GOOGLETRANSLATE(B376,""en"",""it"")"),"L'uomo partecipa a una partita di lacrosse con la registrazione della fotocamera in prima persona.")</f>
        <v>L'uomo partecipa a una partita di lacrosse con la registrazione della fotocamera in prima persona.</v>
      </c>
    </row>
    <row r="377">
      <c r="A377" s="4" t="s">
        <v>475</v>
      </c>
      <c r="B377" s="4" t="s">
        <v>478</v>
      </c>
      <c r="C377" s="5" t="str">
        <f>IFERROR(__xludf.DUMMYFUNCTION("GOOGLETRANSLATE(B377,""en"",""it"")"),"L'uomo fa un tiro di successo in porta e ha un grande compagno di squadra.")</f>
        <v>L'uomo fa un tiro di successo in porta e ha un grande compagno di squadra.</v>
      </c>
    </row>
    <row r="378">
      <c r="A378" s="4" t="s">
        <v>475</v>
      </c>
      <c r="B378" s="4" t="s">
        <v>479</v>
      </c>
      <c r="C378" s="5" t="str">
        <f>IFERROR(__xludf.DUMMYFUNCTION("GOOGLETRANSLATE(B378,""en"",""it"")"),"Le due squadre si stringono la mano dopo la partita.")</f>
        <v>Le due squadre si stringono la mano dopo la partita.</v>
      </c>
    </row>
    <row r="379">
      <c r="A379" s="4" t="s">
        <v>475</v>
      </c>
      <c r="B379" s="4" t="s">
        <v>480</v>
      </c>
      <c r="C379" s="5" t="str">
        <f>IFERROR(__xludf.DUMMYFUNCTION("GOOGLETRANSLATE(B379,""en"",""it"")"),"L'uomo cammina verso un gruppo di persone vestite di nero.")</f>
        <v>L'uomo cammina verso un gruppo di persone vestite di nero.</v>
      </c>
    </row>
    <row r="380">
      <c r="A380" s="4" t="s">
        <v>481</v>
      </c>
      <c r="B380" s="4" t="s">
        <v>482</v>
      </c>
      <c r="C380" s="5" t="str">
        <f>IFERROR(__xludf.DUMMYFUNCTION("GOOGLETRANSLATE(B380,""en"",""it"")"),"Viene visto un bambino piccolo arrampicarsi su un cammello e una donna di fronte a lui.")</f>
        <v>Viene visto un bambino piccolo arrampicarsi su un cammello e una donna di fronte a lui.</v>
      </c>
    </row>
    <row r="381">
      <c r="A381" s="4" t="s">
        <v>481</v>
      </c>
      <c r="B381" s="4" t="s">
        <v>483</v>
      </c>
      <c r="C381" s="5" t="str">
        <f>IFERROR(__xludf.DUMMYFUNCTION("GOOGLETRANSLATE(B381,""en"",""it"")"),"Un uomo alza il cammello sulle sue gambe e cammina per la zona.")</f>
        <v>Un uomo alza il cammello sulle sue gambe e cammina per la zona.</v>
      </c>
    </row>
    <row r="382">
      <c r="A382" s="4" t="s">
        <v>481</v>
      </c>
      <c r="B382" s="4" t="s">
        <v>484</v>
      </c>
      <c r="C382" s="5" t="str">
        <f>IFERROR(__xludf.DUMMYFUNCTION("GOOGLETRANSLATE(B382,""en"",""it"")"),"L'uomo continua a camminare con i cammelli mentre la telecamera si muove ai loro movimenti.")</f>
        <v>L'uomo continua a camminare con i cammelli mentre la telecamera si muove ai loro movimenti.</v>
      </c>
    </row>
    <row r="383">
      <c r="A383" s="4" t="s">
        <v>485</v>
      </c>
      <c r="B383" s="4" t="s">
        <v>486</v>
      </c>
      <c r="C383" s="5" t="str">
        <f>IFERROR(__xludf.DUMMYFUNCTION("GOOGLETRANSLATE(B383,""en"",""it"")"),"Un'introduzione conduce a un uomo in donne sedute accanto a una piscina e parla.")</f>
        <v>Un'introduzione conduce a un uomo in donne sedute accanto a una piscina e parla.</v>
      </c>
    </row>
    <row r="384">
      <c r="A384" s="4" t="s">
        <v>485</v>
      </c>
      <c r="B384" s="6" t="s">
        <v>487</v>
      </c>
      <c r="C384" s="5" t="str">
        <f>IFERROR(__xludf.DUMMYFUNCTION("GOOGLETRANSLATE(B384,""en"",""it"")"),"La gente viene quindi mostrata sott'acqua che indossa attrezzatura subacquee e si insegna a vicenda segnali mentre l'uomo parla alla telecamera sopra la superficie.")</f>
        <v>La gente viene quindi mostrata sott'acqua che indossa attrezzatura subacquee e si insegna a vicenda segnali mentre l'uomo parla alla telecamera sopra la superficie.</v>
      </c>
    </row>
    <row r="385">
      <c r="A385" s="4" t="s">
        <v>488</v>
      </c>
      <c r="B385" s="4" t="s">
        <v>489</v>
      </c>
      <c r="C385" s="5" t="str">
        <f>IFERROR(__xludf.DUMMYFUNCTION("GOOGLETRANSLATE(B385,""en"",""it"")"),"Una persona è vista in vari colpi in giro su una canoa e sorride in lontananza.")</f>
        <v>Una persona è vista in vari colpi in giro su una canoa e sorride in lontananza.</v>
      </c>
    </row>
    <row r="386">
      <c r="A386" s="4" t="s">
        <v>488</v>
      </c>
      <c r="B386" s="4" t="s">
        <v>490</v>
      </c>
      <c r="C386" s="5" t="str">
        <f>IFERROR(__xludf.DUMMYFUNCTION("GOOGLETRANSLATE(B386,""en"",""it"")"),"Un'altra persona viene vista seduta su una canoa e dimostra come girarsi correttamente.")</f>
        <v>Un'altra persona viene vista seduta su una canoa e dimostra come girarsi correttamente.</v>
      </c>
    </row>
    <row r="387">
      <c r="A387" s="4" t="s">
        <v>488</v>
      </c>
      <c r="B387" s="6" t="s">
        <v>491</v>
      </c>
      <c r="C387" s="5" t="str">
        <f>IFERROR(__xludf.DUMMYFUNCTION("GOOGLETRANSLATE(B387,""en"",""it"")"),"L'uomo continua a muoversi lungo l'acqua muovendosi la pagaia mentre la telecamera cattura i suoi movimenti.")</f>
        <v>L'uomo continua a muoversi lungo l'acqua muovendosi la pagaia mentre la telecamera cattura i suoi movimenti.</v>
      </c>
    </row>
    <row r="388">
      <c r="A388" s="4" t="s">
        <v>492</v>
      </c>
      <c r="B388" s="4" t="s">
        <v>493</v>
      </c>
      <c r="C388" s="5" t="str">
        <f>IFERROR(__xludf.DUMMYFUNCTION("GOOGLETRANSLATE(B388,""en"",""it"")"),"Un gruppo di uomini sta cavalcando i cavalli mentre portano grandi bastoncini e li tengono in aria.")</f>
        <v>Un gruppo di uomini sta cavalcando i cavalli mentre portano grandi bastoncini e li tengono in aria.</v>
      </c>
    </row>
    <row r="389">
      <c r="A389" s="4" t="s">
        <v>492</v>
      </c>
      <c r="B389" s="4" t="s">
        <v>494</v>
      </c>
      <c r="C389" s="5" t="str">
        <f>IFERROR(__xludf.DUMMYFUNCTION("GOOGLETRANSLATE(B389,""en"",""it"")"),"Un uomo si avvicina all'uomo della telecamera e vicino alla folla per alcuni istanti.")</f>
        <v>Un uomo si avvicina all'uomo della telecamera e vicino alla folla per alcuni istanti.</v>
      </c>
    </row>
    <row r="390">
      <c r="A390" s="4" t="s">
        <v>492</v>
      </c>
      <c r="B390" s="6" t="s">
        <v>495</v>
      </c>
      <c r="C390" s="5" t="str">
        <f>IFERROR(__xludf.DUMMYFUNCTION("GOOGLETRANSLATE(B390,""en"",""it"")"),"L'uomo sui cavalli torna alla stalla per attendere il loro ritorno e alla fine torna sul ring.")</f>
        <v>L'uomo sui cavalli torna alla stalla per attendere il loro ritorno e alla fine torna sul ring.</v>
      </c>
    </row>
    <row r="391">
      <c r="A391" s="4" t="s">
        <v>496</v>
      </c>
      <c r="B391" s="4" t="s">
        <v>497</v>
      </c>
      <c r="C391" s="5" t="str">
        <f>IFERROR(__xludf.DUMMYFUNCTION("GOOGLETRANSLATE(B391,""en"",""it"")"),"Un uomo si avvicina di lato a un prato e inizia a muovere le braccia e le gambe intorno.")</f>
        <v>Un uomo si avvicina di lato a un prato e inizia a muovere le braccia e le gambe intorno.</v>
      </c>
    </row>
    <row r="392">
      <c r="A392" s="4" t="s">
        <v>496</v>
      </c>
      <c r="B392" s="4" t="s">
        <v>498</v>
      </c>
      <c r="C392" s="5" t="str">
        <f>IFERROR(__xludf.DUMMYFUNCTION("GOOGLETRANSLATE(B392,""en"",""it"")"),"Muove lentamente le braccia su vari movimenti mentre si sposta da un lato all'altro.")</f>
        <v>Muove lentamente le braccia su vari movimenti mentre si sposta da un lato all'altro.</v>
      </c>
    </row>
    <row r="393">
      <c r="A393" s="4" t="s">
        <v>496</v>
      </c>
      <c r="B393" s="4" t="s">
        <v>499</v>
      </c>
      <c r="C393" s="5" t="str">
        <f>IFERROR(__xludf.DUMMYFUNCTION("GOOGLETRANSLATE(B393,""en"",""it"")"),"Solleva le gambe e le braccia continuano a seguire fino a quando non finisce la performance.")</f>
        <v>Solleva le gambe e le braccia continuano a seguire fino a quando non finisce la performance.</v>
      </c>
    </row>
    <row r="394">
      <c r="A394" s="4" t="s">
        <v>500</v>
      </c>
      <c r="B394" s="4" t="s">
        <v>501</v>
      </c>
      <c r="C394" s="5" t="str">
        <f>IFERROR(__xludf.DUMMYFUNCTION("GOOGLETRANSLATE(B394,""en"",""it"")"),"La persona in camicia nera suona la batteria.")</f>
        <v>La persona in camicia nera suona la batteria.</v>
      </c>
    </row>
    <row r="395">
      <c r="A395" s="4" t="s">
        <v>500</v>
      </c>
      <c r="B395" s="4" t="s">
        <v>502</v>
      </c>
      <c r="C395" s="5" t="str">
        <f>IFERROR(__xludf.DUMMYFUNCTION("GOOGLETRANSLATE(B395,""en"",""it"")"),"La fotocamera si è ingrandita alla batteria mentre la persona continua a giocare.")</f>
        <v>La fotocamera si è ingrandita alla batteria mentre la persona continua a giocare.</v>
      </c>
    </row>
    <row r="396">
      <c r="A396" s="4" t="s">
        <v>500</v>
      </c>
      <c r="B396" s="4" t="s">
        <v>503</v>
      </c>
      <c r="C396" s="5" t="str">
        <f>IFERROR(__xludf.DUMMYFUNCTION("GOOGLETRANSLATE(B396,""en"",""it"")"),"La fotocamera si è spostata sulla vista guardando in basso i tamburi.")</f>
        <v>La fotocamera si è spostata sulla vista guardando in basso i tamburi.</v>
      </c>
    </row>
    <row r="397">
      <c r="A397" s="4" t="s">
        <v>504</v>
      </c>
      <c r="B397" s="6" t="s">
        <v>505</v>
      </c>
      <c r="C397" s="5" t="str">
        <f>IFERROR(__xludf.DUMMYFUNCTION("GOOGLETRANSLATE(B397,""en"",""it"")"),"Una persona lancia un disco con un bastone, il disco arriva a un triangolo sul pavimento dove si trovano due persone.")</f>
        <v>Una persona lancia un disco con un bastone, il disco arriva a un triangolo sul pavimento dove si trovano due persone.</v>
      </c>
    </row>
    <row r="398">
      <c r="A398" s="4" t="s">
        <v>504</v>
      </c>
      <c r="B398" s="4" t="s">
        <v>506</v>
      </c>
      <c r="C398" s="5" t="str">
        <f>IFERROR(__xludf.DUMMYFUNCTION("GOOGLETRANSLATE(B398,""en"",""it"")"),"Quindi, un altro disco scivola sul pavimento per fermarsi all'interno del triangolo.")</f>
        <v>Quindi, un altro disco scivola sul pavimento per fermarsi all'interno del triangolo.</v>
      </c>
    </row>
    <row r="399">
      <c r="A399" s="4" t="s">
        <v>504</v>
      </c>
      <c r="B399" s="4" t="s">
        <v>507</v>
      </c>
      <c r="C399" s="5" t="str">
        <f>IFERROR(__xludf.DUMMYFUNCTION("GOOGLETRANSLATE(B399,""en"",""it"")"),"Dopo, la persona lancia un altro disco che si ferma all'interno del triangolo.")</f>
        <v>Dopo, la persona lancia un altro disco che si ferma all'interno del triangolo.</v>
      </c>
    </row>
    <row r="400">
      <c r="A400" s="4" t="s">
        <v>504</v>
      </c>
      <c r="B400" s="4" t="s">
        <v>508</v>
      </c>
      <c r="C400" s="5" t="str">
        <f>IFERROR(__xludf.DUMMYFUNCTION("GOOGLETRANSLATE(B400,""en"",""it"")"),"Le regole oh il gioco Shuffleboard viene visualizzato in una tavola.")</f>
        <v>Le regole oh il gioco Shuffleboard viene visualizzato in una tavola.</v>
      </c>
    </row>
    <row r="401">
      <c r="A401" s="4" t="s">
        <v>509</v>
      </c>
      <c r="B401" s="4" t="s">
        <v>510</v>
      </c>
      <c r="C401" s="5" t="str">
        <f>IFERROR(__xludf.DUMMYFUNCTION("GOOGLETRANSLATE(B401,""en"",""it"")"),"I paintball volano contro gli uomini di fronte a una tenda.")</f>
        <v>I paintball volano contro gli uomini di fronte a una tenda.</v>
      </c>
    </row>
    <row r="402">
      <c r="A402" s="4" t="s">
        <v>509</v>
      </c>
      <c r="B402" s="4" t="s">
        <v>511</v>
      </c>
      <c r="C402" s="5" t="str">
        <f>IFERROR(__xludf.DUMMYFUNCTION("GOOGLETRANSLATE(B402,""en"",""it"")"),"Gli uomini tornano nella tenda.")</f>
        <v>Gli uomini tornano nella tenda.</v>
      </c>
    </row>
    <row r="403">
      <c r="A403" s="4" t="s">
        <v>509</v>
      </c>
      <c r="B403" s="4" t="s">
        <v>512</v>
      </c>
      <c r="C403" s="5" t="str">
        <f>IFERROR(__xludf.DUMMYFUNCTION("GOOGLETRANSLATE(B403,""en"",""it"")"),"Le persone si stanno preparando per la competizione di paintball.")</f>
        <v>Le persone si stanno preparando per la competizione di paintball.</v>
      </c>
    </row>
    <row r="404">
      <c r="A404" s="4" t="s">
        <v>509</v>
      </c>
      <c r="B404" s="4" t="s">
        <v>513</v>
      </c>
      <c r="C404" s="5" t="str">
        <f>IFERROR(__xludf.DUMMYFUNCTION("GOOGLETRANSLATE(B404,""en"",""it"")"),"I paintball escono dalla bocca di un uomo.")</f>
        <v>I paintball escono dalla bocca di un uomo.</v>
      </c>
    </row>
    <row r="405">
      <c r="A405" s="4" t="s">
        <v>509</v>
      </c>
      <c r="B405" s="4" t="s">
        <v>514</v>
      </c>
      <c r="C405" s="5" t="str">
        <f>IFERROR(__xludf.DUMMYFUNCTION("GOOGLETRANSLATE(B405,""en"",""it"")"),"Il sole sta tramontando.")</f>
        <v>Il sole sta tramontando.</v>
      </c>
    </row>
    <row r="406">
      <c r="A406" s="4" t="s">
        <v>515</v>
      </c>
      <c r="B406" s="6" t="s">
        <v>516</v>
      </c>
      <c r="C406" s="5" t="str">
        <f>IFERROR(__xludf.DUMMYFUNCTION("GOOGLETRANSLATE(B406,""en"",""it"")"),"Un'introduzione conduce in diverse clip di una persona che solleva pesi pesanti sulle spalle e le braccia tutt'intorno.")</f>
        <v>Un'introduzione conduce in diverse clip di una persona che solleva pesi pesanti sulle spalle e le braccia tutt'intorno.</v>
      </c>
    </row>
    <row r="407">
      <c r="A407" s="4" t="s">
        <v>515</v>
      </c>
      <c r="B407" s="6" t="s">
        <v>517</v>
      </c>
      <c r="C407" s="5" t="str">
        <f>IFERROR(__xludf.DUMMYFUNCTION("GOOGLETRANSLATE(B407,""en"",""it"")"),"Altri scatti sono mostrati di atleti che eseguono acrobazie impressionanti mentre guardano in lontananza e le persone che misurano i loro tiri.")</f>
        <v>Altri scatti sono mostrati di atleti che eseguono acrobazie impressionanti mentre guardano in lontananza e le persone che misurano i loro tiri.</v>
      </c>
    </row>
    <row r="408">
      <c r="A408" s="4" t="s">
        <v>518</v>
      </c>
      <c r="B408" s="4" t="s">
        <v>519</v>
      </c>
      <c r="C408" s="5" t="str">
        <f>IFERROR(__xludf.DUMMYFUNCTION("GOOGLETRANSLATE(B408,""en"",""it"")"),"Un uomo suona i piatti sotto una luce intensa su un palco.")</f>
        <v>Un uomo suona i piatti sotto una luce intensa su un palco.</v>
      </c>
    </row>
    <row r="409">
      <c r="A409" s="4" t="s">
        <v>518</v>
      </c>
      <c r="B409" s="4" t="s">
        <v>520</v>
      </c>
      <c r="C409" s="5" t="str">
        <f>IFERROR(__xludf.DUMMYFUNCTION("GOOGLETRANSLATE(B409,""en"",""it"")"),"È affiancato da una donna su un tamburo di basso.")</f>
        <v>È affiancato da una donna su un tamburo di basso.</v>
      </c>
    </row>
    <row r="410">
      <c r="A410" s="4" t="s">
        <v>518</v>
      </c>
      <c r="B410" s="4" t="s">
        <v>521</v>
      </c>
      <c r="C410" s="5" t="str">
        <f>IFERROR(__xludf.DUMMYFUNCTION("GOOGLETRANSLATE(B410,""en"",""it"")"),"Quindi sono uniti da altri batteristi e un uomo su un enorme set sullo sfondo.")</f>
        <v>Quindi sono uniti da altri batteristi e un uomo su un enorme set sullo sfondo.</v>
      </c>
    </row>
    <row r="411">
      <c r="A411" s="4" t="s">
        <v>518</v>
      </c>
      <c r="B411" s="4" t="s">
        <v>522</v>
      </c>
      <c r="C411" s="5" t="str">
        <f>IFERROR(__xludf.DUMMYFUNCTION("GOOGLETRANSLATE(B411,""en"",""it"")"),"Le luci lampeggiano mentre si esibiscono all'unisono.")</f>
        <v>Le luci lampeggiano mentre si esibiscono all'unisono.</v>
      </c>
    </row>
    <row r="412">
      <c r="A412" s="4" t="s">
        <v>523</v>
      </c>
      <c r="B412" s="4" t="s">
        <v>524</v>
      </c>
      <c r="C412" s="5" t="str">
        <f>IFERROR(__xludf.DUMMYFUNCTION("GOOGLETRANSLATE(B412,""en"",""it"")"),"Viene mostrato un montaggio di corrida.")</f>
        <v>Viene mostrato un montaggio di corrida.</v>
      </c>
    </row>
    <row r="413">
      <c r="A413" s="4" t="s">
        <v>523</v>
      </c>
      <c r="B413" s="4" t="s">
        <v>525</v>
      </c>
      <c r="C413" s="5" t="str">
        <f>IFERROR(__xludf.DUMMYFUNCTION("GOOGLETRANSLATE(B413,""en"",""it"")"),"Il matador viene colpito dal toro, mentre altri matadors cercano di distrarre il toro.")</f>
        <v>Il matador viene colpito dal toro, mentre altri matadors cercano di distrarre il toro.</v>
      </c>
    </row>
    <row r="414">
      <c r="A414" s="4" t="s">
        <v>526</v>
      </c>
      <c r="B414" s="4" t="s">
        <v>527</v>
      </c>
      <c r="C414" s="5" t="str">
        <f>IFERROR(__xludf.DUMMYFUNCTION("GOOGLETRANSLATE(B414,""en"",""it"")"),"Una donna bendata in un cortile e oscillava a una pinata che si muoveva.")</f>
        <v>Una donna bendata in un cortile e oscillava a una pinata che si muoveva.</v>
      </c>
    </row>
    <row r="415">
      <c r="A415" s="4" t="s">
        <v>526</v>
      </c>
      <c r="B415" s="4" t="s">
        <v>528</v>
      </c>
      <c r="C415" s="5" t="str">
        <f>IFERROR(__xludf.DUMMYFUNCTION("GOOGLETRANSLATE(B415,""en"",""it"")"),"Diverse persone intorno a lei sono orologi e non possono fare a meno di ridere.")</f>
        <v>Diverse persone intorno a lei sono orologi e non possono fare a meno di ridere.</v>
      </c>
    </row>
    <row r="416">
      <c r="A416" s="4" t="s">
        <v>526</v>
      </c>
      <c r="B416" s="4" t="s">
        <v>529</v>
      </c>
      <c r="C416" s="5" t="str">
        <f>IFERROR(__xludf.DUMMYFUNCTION("GOOGLETRANSLATE(B416,""en"",""it"")"),"Anche la donna sta ridendo e alla fine colpisce la Pinata per i bambini da afferrare.")</f>
        <v>Anche la donna sta ridendo e alla fine colpisce la Pinata per i bambini da afferrare.</v>
      </c>
    </row>
    <row r="417">
      <c r="A417" s="4" t="s">
        <v>530</v>
      </c>
      <c r="B417" s="4" t="s">
        <v>531</v>
      </c>
      <c r="C417" s="5" t="str">
        <f>IFERROR(__xludf.DUMMYFUNCTION("GOOGLETRANSLATE(B417,""en"",""it"")"),"Un uomo sta parlando con la telecamera da un parcheggio.")</f>
        <v>Un uomo sta parlando con la telecamera da un parcheggio.</v>
      </c>
    </row>
    <row r="418">
      <c r="A418" s="4" t="s">
        <v>530</v>
      </c>
      <c r="B418" s="4" t="s">
        <v>532</v>
      </c>
      <c r="C418" s="5" t="str">
        <f>IFERROR(__xludf.DUMMYFUNCTION("GOOGLETRANSLATE(B418,""en"",""it"")"),"Corre lungo la strada mentre continua a parlare.")</f>
        <v>Corre lungo la strada mentre continua a parlare.</v>
      </c>
    </row>
    <row r="419">
      <c r="A419" s="4" t="s">
        <v>530</v>
      </c>
      <c r="B419" s="4" t="s">
        <v>533</v>
      </c>
      <c r="C419" s="5" t="str">
        <f>IFERROR(__xludf.DUMMYFUNCTION("GOOGLETRANSLATE(B419,""en"",""it"")"),"Corre in diverse strade della città, non fermandosi.")</f>
        <v>Corre in diverse strade della città, non fermandosi.</v>
      </c>
    </row>
    <row r="420">
      <c r="A420" s="4" t="s">
        <v>534</v>
      </c>
      <c r="B420" s="4" t="s">
        <v>535</v>
      </c>
      <c r="C420" s="5" t="str">
        <f>IFERROR(__xludf.DUMMYFUNCTION("GOOGLETRANSLATE(B420,""en"",""it"")"),"Un uomo è in piedi fuori dal marciapiede che riduce una serie di siepi.")</f>
        <v>Un uomo è in piedi fuori dal marciapiede che riduce una serie di siepi.</v>
      </c>
    </row>
    <row r="421">
      <c r="A421" s="4" t="s">
        <v>534</v>
      </c>
      <c r="B421" s="4" t="s">
        <v>536</v>
      </c>
      <c r="C421" s="5" t="str">
        <f>IFERROR(__xludf.DUMMYFUNCTION("GOOGLETRANSLATE(B421,""en"",""it"")"),"Mentre finisce il lato, si sposta nella parte anteriore della pianta e continua a ridurre la pianta.")</f>
        <v>Mentre finisce il lato, si sposta nella parte anteriore della pianta e continua a ridurre la pianta.</v>
      </c>
    </row>
    <row r="422">
      <c r="A422" s="4" t="s">
        <v>534</v>
      </c>
      <c r="B422" s="4" t="s">
        <v>537</v>
      </c>
      <c r="C422" s="5" t="str">
        <f>IFERROR(__xludf.DUMMYFUNCTION("GOOGLETRANSLATE(B422,""en"",""it"")"),"Una volta mostrata una piccola porzione, guarda la pianta e poi taglia l'oggetto in mano.")</f>
        <v>Una volta mostrata una piccola porzione, guarda la pianta e poi taglia l'oggetto in mano.</v>
      </c>
    </row>
    <row r="423">
      <c r="A423" s="4" t="s">
        <v>538</v>
      </c>
      <c r="B423" s="4" t="s">
        <v>539</v>
      </c>
      <c r="C423" s="5" t="str">
        <f>IFERROR(__xludf.DUMMYFUNCTION("GOOGLETRANSLATE(B423,""en"",""it"")"),"Un uomo sta parlando con la telecamera.")</f>
        <v>Un uomo sta parlando con la telecamera.</v>
      </c>
    </row>
    <row r="424">
      <c r="A424" s="4" t="s">
        <v>538</v>
      </c>
      <c r="B424" s="4" t="s">
        <v>540</v>
      </c>
      <c r="C424" s="5" t="str">
        <f>IFERROR(__xludf.DUMMYFUNCTION("GOOGLETRANSLATE(B424,""en"",""it"")"),"Un campo olimpico è mostrato con molte persone che lo camminano.")</f>
        <v>Un campo olimpico è mostrato con molte persone che lo camminano.</v>
      </c>
    </row>
    <row r="425">
      <c r="A425" s="4" t="s">
        <v>538</v>
      </c>
      <c r="B425" s="4" t="s">
        <v>541</v>
      </c>
      <c r="C425" s="5" t="str">
        <f>IFERROR(__xludf.DUMMYFUNCTION("GOOGLETRANSLATE(B425,""en"",""it"")"),"L'uomo corre lungo una striscia di pista e salta in un mucchio di sabbia.")</f>
        <v>L'uomo corre lungo una striscia di pista e salta in un mucchio di sabbia.</v>
      </c>
    </row>
    <row r="426">
      <c r="A426" s="4" t="s">
        <v>538</v>
      </c>
      <c r="B426" s="4" t="s">
        <v>542</v>
      </c>
      <c r="C426" s="5" t="str">
        <f>IFERROR(__xludf.DUMMYFUNCTION("GOOGLETRANSLATE(B426,""en"",""it"")"),"Ha una bandiera avvolta attorno a lui e onde al pubblico.")</f>
        <v>Ha una bandiera avvolta attorno a lui e onde al pubblico.</v>
      </c>
    </row>
    <row r="427">
      <c r="A427" s="4" t="s">
        <v>543</v>
      </c>
      <c r="B427" s="4" t="s">
        <v>544</v>
      </c>
      <c r="C427" s="5" t="str">
        <f>IFERROR(__xludf.DUMMYFUNCTION("GOOGLETRANSLATE(B427,""en"",""it"")"),"Le persone sono in piscina giocando ad acqua.")</f>
        <v>Le persone sono in piscina giocando ad acqua.</v>
      </c>
    </row>
    <row r="428">
      <c r="A428" s="4" t="s">
        <v>543</v>
      </c>
      <c r="B428" s="4" t="s">
        <v>545</v>
      </c>
      <c r="C428" s="5" t="str">
        <f>IFERROR(__xludf.DUMMYFUNCTION("GOOGLETRANSLATE(B428,""en"",""it"")"),"Un uomo in una camicia bianca cammina lungo la piscina.")</f>
        <v>Un uomo in una camicia bianca cammina lungo la piscina.</v>
      </c>
    </row>
    <row r="429">
      <c r="A429" s="4" t="s">
        <v>543</v>
      </c>
      <c r="B429" s="4" t="s">
        <v>546</v>
      </c>
      <c r="C429" s="5" t="str">
        <f>IFERROR(__xludf.DUMMYFUNCTION("GOOGLETRANSLATE(B429,""en"",""it"")"),"Una donna che tiene un cane è in piedi su un molo.")</f>
        <v>Una donna che tiene un cane è in piedi su un molo.</v>
      </c>
    </row>
    <row r="430">
      <c r="A430" s="4" t="s">
        <v>547</v>
      </c>
      <c r="B430" s="6" t="s">
        <v>548</v>
      </c>
      <c r="C430" s="5" t="str">
        <f>IFERROR(__xludf.DUMMYFUNCTION("GOOGLETRANSLATE(B430,""en"",""it"")"),"Viene vista una ragazza parlare con la telecamera con la mano sul fianco e la conduce a reggere vari ingredienti.")</f>
        <v>Viene vista una ragazza parlare con la telecamera con la mano sul fianco e la conduce a reggere vari ingredienti.</v>
      </c>
    </row>
    <row r="431">
      <c r="A431" s="4" t="s">
        <v>547</v>
      </c>
      <c r="B431" s="6" t="s">
        <v>549</v>
      </c>
      <c r="C431" s="5" t="str">
        <f>IFERROR(__xludf.DUMMYFUNCTION("GOOGLETRANSLATE(B431,""en"",""it"")"),"Quindi mescola gli ingredienti insieme su una fetta di pane e crea un sandwich mentre versa patatine sul lato.")</f>
        <v>Quindi mescola gli ingredienti insieme su una fetta di pane e crea un sandwich mentre versa patatine sul lato.</v>
      </c>
    </row>
    <row r="432">
      <c r="A432" s="4" t="s">
        <v>547</v>
      </c>
      <c r="B432" s="4" t="s">
        <v>550</v>
      </c>
      <c r="C432" s="5" t="str">
        <f>IFERROR(__xludf.DUMMYFUNCTION("GOOGLETRANSLATE(B432,""en"",""it"")"),"Quindi presenta la piastra mentre parla alla telecamera e alza vari liquidi.")</f>
        <v>Quindi presenta la piastra mentre parla alla telecamera e alza vari liquidi.</v>
      </c>
    </row>
    <row r="433">
      <c r="A433" s="4" t="s">
        <v>551</v>
      </c>
      <c r="B433" s="4" t="s">
        <v>552</v>
      </c>
      <c r="C433" s="5" t="str">
        <f>IFERROR(__xludf.DUMMYFUNCTION("GOOGLETRANSLATE(B433,""en"",""it"")"),"Vediamo due uomini che camminano e saltano su passi da salto.")</f>
        <v>Vediamo due uomini che camminano e saltano su passi da salto.</v>
      </c>
    </row>
    <row r="434">
      <c r="A434" s="4" t="s">
        <v>551</v>
      </c>
      <c r="B434" s="4" t="s">
        <v>553</v>
      </c>
      <c r="C434" s="5" t="str">
        <f>IFERROR(__xludf.DUMMYFUNCTION("GOOGLETRANSLATE(B434,""en"",""it"")"),"Un uomo salta lungo la strada, l'altro mentre un uomo li fotografa.")</f>
        <v>Un uomo salta lungo la strada, l'altro mentre un uomo li fotografa.</v>
      </c>
    </row>
    <row r="435">
      <c r="A435" s="4" t="s">
        <v>551</v>
      </c>
      <c r="B435" s="4" t="s">
        <v>554</v>
      </c>
      <c r="C435" s="5" t="str">
        <f>IFERROR(__xludf.DUMMYFUNCTION("GOOGLETRANSLATE(B435,""en"",""it"")"),"Un uomo in bicicletta supera gli uomini.")</f>
        <v>Un uomo in bicicletta supera gli uomini.</v>
      </c>
    </row>
    <row r="436">
      <c r="A436" s="4" t="s">
        <v>551</v>
      </c>
      <c r="B436" s="4" t="s">
        <v>555</v>
      </c>
      <c r="C436" s="5" t="str">
        <f>IFERROR(__xludf.DUMMYFUNCTION("GOOGLETRANSLATE(B436,""en"",""it"")"),"Quattro biciclette passano oltre gli uomini.")</f>
        <v>Quattro biciclette passano oltre gli uomini.</v>
      </c>
    </row>
    <row r="437">
      <c r="A437" s="4" t="s">
        <v>556</v>
      </c>
      <c r="B437" s="4" t="s">
        <v>557</v>
      </c>
      <c r="C437" s="5" t="str">
        <f>IFERROR(__xludf.DUMMYFUNCTION("GOOGLETRANSLATE(B437,""en"",""it"")"),"Un ragazzo salta su un trampolino mentre cattura una bambola ripiena sulle spalle in aria.")</f>
        <v>Un ragazzo salta su un trampolino mentre cattura una bambola ripiena sulle spalle in aria.</v>
      </c>
    </row>
    <row r="438">
      <c r="A438" s="4" t="s">
        <v>556</v>
      </c>
      <c r="B438" s="4" t="s">
        <v>558</v>
      </c>
      <c r="C438" s="5" t="str">
        <f>IFERROR(__xludf.DUMMYFUNCTION("GOOGLETRANSLATE(B438,""en"",""it"")"),"Il ragazzo cade indietro e atterra sulla schiena sul trampolino.")</f>
        <v>Il ragazzo cade indietro e atterra sulla schiena sul trampolino.</v>
      </c>
    </row>
    <row r="439">
      <c r="A439" s="4" t="s">
        <v>556</v>
      </c>
      <c r="B439" s="4" t="s">
        <v>559</v>
      </c>
      <c r="C439" s="5" t="str">
        <f>IFERROR(__xludf.DUMMYFUNCTION("GOOGLETRANSLATE(B439,""en"",""it"")"),"Il ragazzo salta e cattura la bambola e la sbatte tra le gambe sul trampolino.")</f>
        <v>Il ragazzo salta e cattura la bambola e la sbatte tra le gambe sul trampolino.</v>
      </c>
    </row>
    <row r="440">
      <c r="A440" s="4" t="s">
        <v>556</v>
      </c>
      <c r="B440" s="4" t="s">
        <v>560</v>
      </c>
      <c r="C440" s="5" t="str">
        <f>IFERROR(__xludf.DUMMYFUNCTION("GOOGLETRANSLATE(B440,""en"",""it"")"),"Al ragazzo manca provare a catturare la bambola e cade sul trampolino.")</f>
        <v>Al ragazzo manca provare a catturare la bambola e cade sul trampolino.</v>
      </c>
    </row>
    <row r="441">
      <c r="A441" s="4" t="s">
        <v>561</v>
      </c>
      <c r="B441" s="6" t="s">
        <v>562</v>
      </c>
      <c r="C441" s="5" t="str">
        <f>IFERROR(__xludf.DUMMYFUNCTION("GOOGLETRANSLATE(B441,""en"",""it"")"),"Due persone si vedono parlare tra loro mentre si trovano sul molo e parlano alla telecamera.")</f>
        <v>Due persone si vedono parlare tra loro mentre si trovano sul molo e parlano alla telecamera.</v>
      </c>
    </row>
    <row r="442">
      <c r="A442" s="4" t="s">
        <v>561</v>
      </c>
      <c r="B442" s="6" t="s">
        <v>563</v>
      </c>
      <c r="C442" s="5" t="str">
        <f>IFERROR(__xludf.DUMMYFUNCTION("GOOGLETRANSLATE(B442,""en"",""it"")"),"Le persone si divertono intorno a Si tagliano i capelli, mangiando cibo e l'uomo che prepara una barca.")</f>
        <v>Le persone si divertono intorno a Si tagliano i capelli, mangiando cibo e l'uomo che prepara una barca.</v>
      </c>
    </row>
    <row r="443">
      <c r="A443" s="4" t="s">
        <v>561</v>
      </c>
      <c r="B443" s="6" t="s">
        <v>564</v>
      </c>
      <c r="C443" s="5" t="str">
        <f>IFERROR(__xludf.DUMMYFUNCTION("GOOGLETRANSLATE(B443,""en"",""it"")"),"Vengono mostrati diversi scatti in cucina e persone che cavalcano sulla barca e continuano a parlare con la telecamera.")</f>
        <v>Vengono mostrati diversi scatti in cucina e persone che cavalcano sulla barca e continuano a parlare con la telecamera.</v>
      </c>
    </row>
    <row r="444">
      <c r="A444" s="4" t="s">
        <v>565</v>
      </c>
      <c r="B444" s="4" t="s">
        <v>566</v>
      </c>
      <c r="C444" s="5" t="str">
        <f>IFERROR(__xludf.DUMMYFUNCTION("GOOGLETRANSLATE(B444,""en"",""it"")"),"Viene mostrato il nome dell'azienda.")</f>
        <v>Viene mostrato il nome dell'azienda.</v>
      </c>
    </row>
    <row r="445">
      <c r="A445" s="4" t="s">
        <v>565</v>
      </c>
      <c r="B445" s="4" t="s">
        <v>567</v>
      </c>
      <c r="C445" s="5" t="str">
        <f>IFERROR(__xludf.DUMMYFUNCTION("GOOGLETRANSLATE(B445,""en"",""it"")"),"Una persona intreccia i capelli di un cliente.")</f>
        <v>Una persona intreccia i capelli di un cliente.</v>
      </c>
    </row>
    <row r="446">
      <c r="A446" s="4" t="s">
        <v>565</v>
      </c>
      <c r="B446" s="4" t="s">
        <v>568</v>
      </c>
      <c r="C446" s="5" t="str">
        <f>IFERROR(__xludf.DUMMYFUNCTION("GOOGLETRANSLATE(B446,""en"",""it"")"),"Una persona sta correndo una forbice attraverso una treccia.")</f>
        <v>Una persona sta correndo una forbice attraverso una treccia.</v>
      </c>
    </row>
    <row r="447">
      <c r="A447" s="4" t="s">
        <v>565</v>
      </c>
      <c r="B447" s="4" t="s">
        <v>569</v>
      </c>
      <c r="C447" s="5" t="str">
        <f>IFERROR(__xludf.DUMMYFUNCTION("GOOGLETRANSLATE(B447,""en"",""it"")"),"Una persona sta applicando le aste alle trecce.")</f>
        <v>Una persona sta applicando le aste alle trecce.</v>
      </c>
    </row>
    <row r="448">
      <c r="A448" s="4" t="s">
        <v>565</v>
      </c>
      <c r="B448" s="4" t="s">
        <v>570</v>
      </c>
      <c r="C448" s="5" t="str">
        <f>IFERROR(__xludf.DUMMYFUNCTION("GOOGLETRANSLATE(B448,""en"",""it"")"),"Una persona sta mettendo le trecce con le aste in acqua.")</f>
        <v>Una persona sta mettendo le trecce con le aste in acqua.</v>
      </c>
    </row>
    <row r="449">
      <c r="A449" s="4" t="s">
        <v>565</v>
      </c>
      <c r="B449" s="4" t="s">
        <v>571</v>
      </c>
      <c r="C449" s="5" t="str">
        <f>IFERROR(__xludf.DUMMYFUNCTION("GOOGLETRANSLATE(B449,""en"",""it"")"),"Parla un cliente con gli occhiali da lettura.")</f>
        <v>Parla un cliente con gli occhiali da lettura.</v>
      </c>
    </row>
    <row r="450">
      <c r="A450" s="4" t="s">
        <v>565</v>
      </c>
      <c r="B450" s="4" t="s">
        <v>572</v>
      </c>
      <c r="C450" s="5" t="str">
        <f>IFERROR(__xludf.DUMMYFUNCTION("GOOGLETRANSLATE(B450,""en"",""it"")"),"Un cliente sta partendo dopo che le trecce sono state eseguite.")</f>
        <v>Un cliente sta partendo dopo che le trecce sono state eseguite.</v>
      </c>
    </row>
    <row r="451">
      <c r="A451" s="4" t="s">
        <v>565</v>
      </c>
      <c r="B451" s="4" t="s">
        <v>573</v>
      </c>
      <c r="C451" s="5" t="str">
        <f>IFERROR(__xludf.DUMMYFUNCTION("GOOGLETRANSLATE(B451,""en"",""it"")"),"Vengono visualizzati i crediti del video.")</f>
        <v>Vengono visualizzati i crediti del video.</v>
      </c>
    </row>
    <row r="452">
      <c r="A452" s="4" t="s">
        <v>574</v>
      </c>
      <c r="B452" s="4" t="s">
        <v>575</v>
      </c>
      <c r="C452" s="5" t="str">
        <f>IFERROR(__xludf.DUMMYFUNCTION("GOOGLETRANSLATE(B452,""en"",""it"")"),"Una donna sta con una giacca atletica in un cortile coperto e boscoso.")</f>
        <v>Una donna sta con una giacca atletica in un cortile coperto e boscoso.</v>
      </c>
    </row>
    <row r="453">
      <c r="A453" s="4" t="s">
        <v>574</v>
      </c>
      <c r="B453" s="4" t="s">
        <v>576</v>
      </c>
      <c r="C453" s="5" t="str">
        <f>IFERROR(__xludf.DUMMYFUNCTION("GOOGLETRANSLATE(B453,""en"",""it"")"),"La donna entra in un'area aperta.")</f>
        <v>La donna entra in un'area aperta.</v>
      </c>
    </row>
    <row r="454">
      <c r="A454" s="4" t="s">
        <v>574</v>
      </c>
      <c r="B454" s="4" t="s">
        <v>577</v>
      </c>
      <c r="C454" s="5" t="str">
        <f>IFERROR(__xludf.DUMMYFUNCTION("GOOGLETRANSLATE(B454,""en"",""it"")"),"I tronchi sono impilati in posizione verticale su un blocco tacchino.")</f>
        <v>I tronchi sono impilati in posizione verticale su un blocco tacchino.</v>
      </c>
    </row>
    <row r="455">
      <c r="A455" s="4" t="s">
        <v>574</v>
      </c>
      <c r="B455" s="4" t="s">
        <v>578</v>
      </c>
      <c r="C455" s="5" t="str">
        <f>IFERROR(__xludf.DUMMYFUNCTION("GOOGLETRANSLATE(B455,""en"",""it"")"),"La donna usa un'ascia per dividere i tronchi a metà.")</f>
        <v>La donna usa un'ascia per dividere i tronchi a metà.</v>
      </c>
    </row>
    <row r="456">
      <c r="A456" s="4" t="s">
        <v>579</v>
      </c>
      <c r="B456" s="4" t="s">
        <v>580</v>
      </c>
      <c r="C456" s="5" t="str">
        <f>IFERROR(__xludf.DUMMYFUNCTION("GOOGLETRANSLATE(B456,""en"",""it"")"),"Le auto stanno guidando lungo l'autostrada abbastanza rapidamente.")</f>
        <v>Le auto stanno guidando lungo l'autostrada abbastanza rapidamente.</v>
      </c>
    </row>
    <row r="457">
      <c r="A457" s="4" t="s">
        <v>579</v>
      </c>
      <c r="B457" s="4" t="s">
        <v>581</v>
      </c>
      <c r="C457" s="5" t="str">
        <f>IFERROR(__xludf.DUMMYFUNCTION("GOOGLETRANSLATE(B457,""en"",""it"")"),"Si fermano, un uomo esce e aiuta due donne a uscire.")</f>
        <v>Si fermano, un uomo esce e aiuta due donne a uscire.</v>
      </c>
    </row>
    <row r="458">
      <c r="A458" s="4" t="s">
        <v>579</v>
      </c>
      <c r="B458" s="4" t="s">
        <v>582</v>
      </c>
      <c r="C458" s="5" t="str">
        <f>IFERROR(__xludf.DUMMYFUNCTION("GOOGLETRANSLATE(B458,""en"",""it"")"),"Entrano in un bar e lanciano una palla in una bevanda per ragazze che iniziano una guerra di birra.")</f>
        <v>Entrano in un bar e lanciano una palla in una bevanda per ragazze che iniziano una guerra di birra.</v>
      </c>
    </row>
    <row r="459">
      <c r="A459" s="4" t="s">
        <v>579</v>
      </c>
      <c r="B459" s="4" t="s">
        <v>583</v>
      </c>
      <c r="C459" s="5" t="str">
        <f>IFERROR(__xludf.DUMMYFUNCTION("GOOGLETRANSLATE(B459,""en"",""it"")"),"Si sveglia nel suo dormitorio e poi fa clic sul suo iPad per iniziare un campionato di birra.")</f>
        <v>Si sveglia nel suo dormitorio e poi fa clic sul suo iPad per iniziare un campionato di birra.</v>
      </c>
    </row>
    <row r="460">
      <c r="A460" s="4" t="s">
        <v>584</v>
      </c>
      <c r="B460" s="4" t="s">
        <v>585</v>
      </c>
      <c r="C460" s="5" t="str">
        <f>IFERROR(__xludf.DUMMYFUNCTION("GOOGLETRANSLATE(B460,""en"",""it"")"),"Una giovane donna con una giacca grigia è in piedi davanti a un lavandino che si schiarirà le mani.")</f>
        <v>Una giovane donna con una giacca grigia è in piedi davanti a un lavandino che si schiarirà le mani.</v>
      </c>
    </row>
    <row r="461">
      <c r="A461" s="4" t="s">
        <v>584</v>
      </c>
      <c r="B461" s="6" t="s">
        <v>586</v>
      </c>
      <c r="C461" s="5" t="str">
        <f>IFERROR(__xludf.DUMMYFUNCTION("GOOGLETRANSLATE(B461,""en"",""it"")"),"Quindi accende l'acqua e inizia a sciacquare le mani e flettere le dita per assicurarsi che tutto il sapone sia spento.")</f>
        <v>Quindi accende l'acqua e inizia a sciacquare le mani e flettere le dita per assicurarsi che tutto il sapone sia spento.</v>
      </c>
    </row>
    <row r="462">
      <c r="A462" s="4" t="s">
        <v>584</v>
      </c>
      <c r="B462" s="4" t="s">
        <v>587</v>
      </c>
      <c r="C462" s="5" t="str">
        <f>IFERROR(__xludf.DUMMYFUNCTION("GOOGLETRANSLATE(B462,""en"",""it"")"),"Dopo ciò, afferra un asciugamano bianco, si asciuga le mani e si asciuga la bocca.")</f>
        <v>Dopo ciò, afferra un asciugamano bianco, si asciuga le mani e si asciuga la bocca.</v>
      </c>
    </row>
    <row r="463">
      <c r="A463" s="4" t="s">
        <v>588</v>
      </c>
      <c r="B463" s="4" t="s">
        <v>589</v>
      </c>
      <c r="C463" s="5" t="str">
        <f>IFERROR(__xludf.DUMMYFUNCTION("GOOGLETRANSLATE(B463,""en"",""it"")"),"Diversi percussionisti si trovano su un campo.")</f>
        <v>Diversi percussionisti si trovano su un campo.</v>
      </c>
    </row>
    <row r="464">
      <c r="A464" s="4" t="s">
        <v>588</v>
      </c>
      <c r="B464" s="4" t="s">
        <v>590</v>
      </c>
      <c r="C464" s="5" t="str">
        <f>IFERROR(__xludf.DUMMYFUNCTION("GOOGLETRANSLATE(B464,""en"",""it"")"),"Marciano sul posto sul campo.")</f>
        <v>Marciano sul posto sul campo.</v>
      </c>
    </row>
    <row r="465">
      <c r="A465" s="4" t="s">
        <v>588</v>
      </c>
      <c r="B465" s="4" t="s">
        <v>591</v>
      </c>
      <c r="C465" s="5" t="str">
        <f>IFERROR(__xludf.DUMMYFUNCTION("GOOGLETRANSLATE(B465,""en"",""it"")"),"Stanno battendo in sincronizzazione.")</f>
        <v>Stanno battendo in sincronizzazione.</v>
      </c>
    </row>
    <row r="466">
      <c r="A466" s="4" t="s">
        <v>588</v>
      </c>
      <c r="B466" s="4" t="s">
        <v>592</v>
      </c>
      <c r="C466" s="5" t="str">
        <f>IFERROR(__xludf.DUMMYFUNCTION("GOOGLETRANSLATE(B466,""en"",""it"")"),"Una donna cammina con una videocamera.")</f>
        <v>Una donna cammina con una videocamera.</v>
      </c>
    </row>
    <row r="467">
      <c r="A467" s="4" t="s">
        <v>593</v>
      </c>
      <c r="B467" s="6" t="s">
        <v>594</v>
      </c>
      <c r="C467" s="5" t="str">
        <f>IFERROR(__xludf.DUMMYFUNCTION("GOOGLETRANSLATE(B467,""en"",""it"")"),"Una ragazza con diversi perforazioni del viso la sua lozione di sfregamento su tutto il viso e in polvere le guance e il viso.")</f>
        <v>Una ragazza con diversi perforazioni del viso la sua lozione di sfregamento su tutto il viso e in polvere le guance e il viso.</v>
      </c>
    </row>
    <row r="468">
      <c r="A468" s="4" t="s">
        <v>593</v>
      </c>
      <c r="B468" s="4" t="s">
        <v>595</v>
      </c>
      <c r="C468" s="5" t="str">
        <f>IFERROR(__xludf.DUMMYFUNCTION("GOOGLETRANSLATE(B468,""en"",""it"")"),"Quindi mette l'eyeliner seguito da mascara e fodera per labbra.")</f>
        <v>Quindi mette l'eyeliner seguito da mascara e fodera per labbra.</v>
      </c>
    </row>
    <row r="469">
      <c r="A469" s="4" t="s">
        <v>593</v>
      </c>
      <c r="B469" s="6" t="s">
        <v>596</v>
      </c>
      <c r="C469" s="5" t="str">
        <f>IFERROR(__xludf.DUMMYFUNCTION("GOOGLETRANSLATE(B469,""en"",""it"")"),"Si colora nelle sopracciglia e mette le ciglia finte, quindi strofinando un po 'di nero e più mascara.")</f>
        <v>Si colora nelle sopracciglia e mette le ciglia finte, quindi strofinando un po 'di nero e più mascara.</v>
      </c>
    </row>
    <row r="470">
      <c r="A470" s="4" t="s">
        <v>593</v>
      </c>
      <c r="B470" s="4" t="s">
        <v>597</v>
      </c>
      <c r="C470" s="5" t="str">
        <f>IFERROR(__xludf.DUMMYFUNCTION("GOOGLETRANSLATE(B470,""en"",""it"")"),"Mette un po 'di arrossire nelle guance e poi sorride e onde alla telecamera.")</f>
        <v>Mette un po 'di arrossire nelle guance e poi sorride e onde alla telecamera.</v>
      </c>
    </row>
    <row r="471">
      <c r="A471" s="4" t="s">
        <v>598</v>
      </c>
      <c r="B471" s="4" t="s">
        <v>599</v>
      </c>
      <c r="C471" s="5" t="str">
        <f>IFERROR(__xludf.DUMMYFUNCTION("GOOGLETRANSLATE(B471,""en"",""it"")"),"L'uomo guarda la telecamera e poi torna a guardare altrove e parlare.")</f>
        <v>L'uomo guarda la telecamera e poi torna a guardare altrove e parlare.</v>
      </c>
    </row>
    <row r="472">
      <c r="A472" s="4" t="s">
        <v>598</v>
      </c>
      <c r="B472" s="6" t="s">
        <v>600</v>
      </c>
      <c r="C472" s="5" t="str">
        <f>IFERROR(__xludf.DUMMYFUNCTION("GOOGLETRANSLATE(B472,""en"",""it"")"),"Quindi le tazze che tengono entrambe che hanno un liquido blu viene quindi messo in bocca ed entrambi gargano fino a quando non hanno molte bolle formate in bocca.")</f>
        <v>Quindi le tazze che tengono entrambe che hanno un liquido blu viene quindi messo in bocca ed entrambi gargano fino a quando non hanno molte bolle formate in bocca.</v>
      </c>
    </row>
    <row r="473">
      <c r="A473" s="4" t="s">
        <v>601</v>
      </c>
      <c r="B473" s="4" t="s">
        <v>602</v>
      </c>
      <c r="C473" s="5" t="str">
        <f>IFERROR(__xludf.DUMMYFUNCTION("GOOGLETRANSLATE(B473,""en"",""it"")"),"Persone Skateboard in una competizione sulla strada mentre si piega e trattengo le braccia.")</f>
        <v>Persone Skateboard in una competizione sulla strada mentre si piega e trattengo le braccia.</v>
      </c>
    </row>
    <row r="474">
      <c r="A474" s="4" t="s">
        <v>601</v>
      </c>
      <c r="B474" s="4" t="s">
        <v>603</v>
      </c>
      <c r="C474" s="5" t="str">
        <f>IFERROR(__xludf.DUMMYFUNCTION("GOOGLETRANSLATE(B474,""en"",""it"")"),"Quindi, uno skateboarder apre le braccia e segnala gli altri di avanzare.")</f>
        <v>Quindi, uno skateboarder apre le braccia e segnala gli altri di avanzare.</v>
      </c>
    </row>
    <row r="475">
      <c r="A475" s="4" t="s">
        <v>601</v>
      </c>
      <c r="B475" s="4" t="s">
        <v>604</v>
      </c>
      <c r="C475" s="5" t="str">
        <f>IFERROR(__xludf.DUMMYFUNCTION("GOOGLETRANSLATE(B475,""en"",""it"")"),"Quindi, gli skateboarder passano sugli spettatori anteriori che guardano sul lato della strada.")</f>
        <v>Quindi, gli skateboarder passano sugli spettatori anteriori che guardano sul lato della strada.</v>
      </c>
    </row>
    <row r="476">
      <c r="A476" s="4" t="s">
        <v>601</v>
      </c>
      <c r="B476" s="4" t="s">
        <v>605</v>
      </c>
      <c r="C476" s="5" t="str">
        <f>IFERROR(__xludf.DUMMYFUNCTION("GOOGLETRANSLATE(B476,""en"",""it"")"),"Le persone scattano foto agli skateboarder.")</f>
        <v>Le persone scattano foto agli skateboarder.</v>
      </c>
    </row>
    <row r="477">
      <c r="A477" s="4" t="s">
        <v>601</v>
      </c>
      <c r="B477" s="4" t="s">
        <v>606</v>
      </c>
      <c r="C477" s="5" t="str">
        <f>IFERROR(__xludf.DUMMYFUNCTION("GOOGLETRANSLATE(B477,""en"",""it"")"),"Uno skateboarder cade sulla strada.")</f>
        <v>Uno skateboarder cade sulla strada.</v>
      </c>
    </row>
    <row r="478">
      <c r="A478" s="4" t="s">
        <v>601</v>
      </c>
      <c r="B478" s="4" t="s">
        <v>607</v>
      </c>
      <c r="C478" s="5" t="str">
        <f>IFERROR(__xludf.DUMMYFUNCTION("GOOGLETRANSLATE(B478,""en"",""it"")"),"La gente continua lo skateboard sulla strada.")</f>
        <v>La gente continua lo skateboard sulla strada.</v>
      </c>
    </row>
    <row r="479">
      <c r="A479" s="4" t="s">
        <v>608</v>
      </c>
      <c r="B479" s="4" t="s">
        <v>609</v>
      </c>
      <c r="C479" s="5" t="str">
        <f>IFERROR(__xludf.DUMMYFUNCTION("GOOGLETRANSLATE(B479,""en"",""it"")"),"Un gruppo cavalca i cavalli giocando una partita di polo su un campo.")</f>
        <v>Un gruppo cavalca i cavalli giocando una partita di polo su un campo.</v>
      </c>
    </row>
    <row r="480">
      <c r="A480" s="4" t="s">
        <v>608</v>
      </c>
      <c r="B480" s="4" t="s">
        <v>610</v>
      </c>
      <c r="C480" s="5" t="str">
        <f>IFERROR(__xludf.DUMMYFUNCTION("GOOGLETRANSLATE(B480,""en"",""it"")"),"Il gruppo combatte sopra la palla e cavalca in una formazione stretta.")</f>
        <v>Il gruppo combatte sopra la palla e cavalca in una formazione stretta.</v>
      </c>
    </row>
    <row r="481">
      <c r="A481" s="4" t="s">
        <v>608</v>
      </c>
      <c r="B481" s="4" t="s">
        <v>611</v>
      </c>
      <c r="C481" s="5" t="str">
        <f>IFERROR(__xludf.DUMMYFUNCTION("GOOGLETRANSLATE(B481,""en"",""it"")"),"Un membro della squadra si stacca e si snoda verso il goal sul suo cavallo.")</f>
        <v>Un membro della squadra si stacca e si snoda verso il goal sul suo cavallo.</v>
      </c>
    </row>
    <row r="482">
      <c r="A482" s="4" t="s">
        <v>612</v>
      </c>
      <c r="B482" s="4" t="s">
        <v>613</v>
      </c>
      <c r="C482" s="5" t="str">
        <f>IFERROR(__xludf.DUMMYFUNCTION("GOOGLETRANSLATE(B482,""en"",""it"")"),"Un giovane sta dando il via al fianco di una scogliera.")</f>
        <v>Un giovane sta dando il via al fianco di una scogliera.</v>
      </c>
    </row>
    <row r="483">
      <c r="A483" s="4" t="s">
        <v>612</v>
      </c>
      <c r="B483" s="4" t="s">
        <v>614</v>
      </c>
      <c r="C483" s="5" t="str">
        <f>IFERROR(__xludf.DUMMYFUNCTION("GOOGLETRANSLATE(B483,""en"",""it"")"),"Un altro uomo guarda e aiuta dal basso.")</f>
        <v>Un altro uomo guarda e aiuta dal basso.</v>
      </c>
    </row>
    <row r="484">
      <c r="A484" s="4" t="s">
        <v>612</v>
      </c>
      <c r="B484" s="4" t="s">
        <v>615</v>
      </c>
      <c r="C484" s="5" t="str">
        <f>IFERROR(__xludf.DUMMYFUNCTION("GOOGLETRANSLATE(B484,""en"",""it"")"),"L'uomo continua a arrampicarsi fino a raggiungere la cima.")</f>
        <v>L'uomo continua a arrampicarsi fino a raggiungere la cima.</v>
      </c>
    </row>
    <row r="485">
      <c r="A485" s="4" t="s">
        <v>616</v>
      </c>
      <c r="B485" s="4" t="s">
        <v>617</v>
      </c>
      <c r="C485" s="5" t="str">
        <f>IFERROR(__xludf.DUMMYFUNCTION("GOOGLETRANSLATE(B485,""en"",""it"")"),"Le persone giocano a cricket insieme fuori.")</f>
        <v>Le persone giocano a cricket insieme fuori.</v>
      </c>
    </row>
    <row r="486">
      <c r="A486" s="4" t="s">
        <v>616</v>
      </c>
      <c r="B486" s="4" t="s">
        <v>618</v>
      </c>
      <c r="C486" s="5" t="str">
        <f>IFERROR(__xludf.DUMMYFUNCTION("GOOGLETRANSLATE(B486,""en"",""it"")"),"Un gruppo di persone regge un trofeo.")</f>
        <v>Un gruppo di persone regge un trofeo.</v>
      </c>
    </row>
    <row r="487">
      <c r="A487" s="4" t="s">
        <v>616</v>
      </c>
      <c r="B487" s="4" t="s">
        <v>619</v>
      </c>
      <c r="C487" s="5" t="str">
        <f>IFERROR(__xludf.DUMMYFUNCTION("GOOGLETRANSLATE(B487,""en"",""it"")"),"Le persone stanno camminando fuori giocando a cricket.")</f>
        <v>Le persone stanno camminando fuori giocando a cricket.</v>
      </c>
    </row>
    <row r="488">
      <c r="A488" s="4" t="s">
        <v>620</v>
      </c>
      <c r="B488" s="4" t="s">
        <v>621</v>
      </c>
      <c r="C488" s="5" t="str">
        <f>IFERROR(__xludf.DUMMYFUNCTION("GOOGLETRANSLATE(B488,""en"",""it"")"),"Una donna è in piedi accanto a un bagno in bikini.")</f>
        <v>Una donna è in piedi accanto a un bagno in bikini.</v>
      </c>
    </row>
    <row r="489">
      <c r="A489" s="4" t="s">
        <v>620</v>
      </c>
      <c r="B489" s="4" t="s">
        <v>622</v>
      </c>
      <c r="C489" s="5" t="str">
        <f>IFERROR(__xludf.DUMMYFUNCTION("GOOGLETRANSLATE(B489,""en"",""it"")"),"Un uomo si sta strofinando la protezione solare sulle gambe.")</f>
        <v>Un uomo si sta strofinando la protezione solare sulle gambe.</v>
      </c>
    </row>
    <row r="490">
      <c r="A490" s="4" t="s">
        <v>620</v>
      </c>
      <c r="B490" s="4" t="s">
        <v>623</v>
      </c>
      <c r="C490" s="5" t="str">
        <f>IFERROR(__xludf.DUMMYFUNCTION("GOOGLETRANSLATE(B490,""en"",""it"")"),"Comincia a strofinarsi una gamba.")</f>
        <v>Comincia a strofinarsi una gamba.</v>
      </c>
    </row>
    <row r="491">
      <c r="A491" s="4" t="s">
        <v>624</v>
      </c>
      <c r="B491" s="4" t="s">
        <v>625</v>
      </c>
      <c r="C491" s="5" t="str">
        <f>IFERROR(__xludf.DUMMYFUNCTION("GOOGLETRANSLATE(B491,""en"",""it"")"),"Una donna viene vista parlare alla telecamera mentre tiene in mano vari oggetti.")</f>
        <v>Una donna viene vista parlare alla telecamera mentre tiene in mano vari oggetti.</v>
      </c>
    </row>
    <row r="492">
      <c r="A492" s="4" t="s">
        <v>624</v>
      </c>
      <c r="B492" s="4" t="s">
        <v>626</v>
      </c>
      <c r="C492" s="5" t="str">
        <f>IFERROR(__xludf.DUMMYFUNCTION("GOOGLETRANSLATE(B492,""en"",""it"")"),"Il nastro mette sull'occhio e inizia a mettere l'eyeliner sopra il suo occhio.")</f>
        <v>Il nastro mette sull'occhio e inizia a mettere l'eyeliner sopra il suo occhio.</v>
      </c>
    </row>
    <row r="493">
      <c r="A493" s="4" t="s">
        <v>624</v>
      </c>
      <c r="B493" s="6" t="s">
        <v>627</v>
      </c>
      <c r="C493" s="5" t="str">
        <f>IFERROR(__xludf.DUMMYFUNCTION("GOOGLETRANSLATE(B493,""en"",""it"")"),"Continua a truccarsi mentre parla alla telecamera e alla fine si toglie il nastro.")</f>
        <v>Continua a truccarsi mentre parla alla telecamera e alla fine si toglie il nastro.</v>
      </c>
    </row>
    <row r="494">
      <c r="A494" s="4" t="s">
        <v>628</v>
      </c>
      <c r="B494" s="4" t="s">
        <v>629</v>
      </c>
      <c r="C494" s="5" t="str">
        <f>IFERROR(__xludf.DUMMYFUNCTION("GOOGLETRANSLATE(B494,""en"",""it"")"),"L'uomo che indossa una camicia viola tiene in mano un tubo a gas.")</f>
        <v>L'uomo che indossa una camicia viola tiene in mano un tubo a gas.</v>
      </c>
    </row>
    <row r="495">
      <c r="A495" s="4" t="s">
        <v>628</v>
      </c>
      <c r="B495" s="4" t="s">
        <v>630</v>
      </c>
      <c r="C495" s="5" t="str">
        <f>IFERROR(__xludf.DUMMYFUNCTION("GOOGLETRANSLATE(B495,""en"",""it"")"),"L'uomo sta usando il tubo per illuminare il fuoco di legno.")</f>
        <v>L'uomo sta usando il tubo per illuminare il fuoco di legno.</v>
      </c>
    </row>
    <row r="496">
      <c r="A496" s="4" t="s">
        <v>628</v>
      </c>
      <c r="B496" s="4" t="s">
        <v>631</v>
      </c>
      <c r="C496" s="5" t="str">
        <f>IFERROR(__xludf.DUMMYFUNCTION("GOOGLETRANSLATE(B496,""en"",""it"")"),"L'uomo è in piedi fuori da una casa che illumina un fuoco in legno.")</f>
        <v>L'uomo è in piedi fuori da una casa che illumina un fuoco in legno.</v>
      </c>
    </row>
    <row r="497">
      <c r="A497" s="4" t="s">
        <v>632</v>
      </c>
      <c r="B497" s="4" t="s">
        <v>633</v>
      </c>
      <c r="C497" s="5" t="str">
        <f>IFERROR(__xludf.DUMMYFUNCTION("GOOGLETRANSLATE(B497,""en"",""it"")"),"Un uomo viene visto in piedi in un campo con un cane mentre si tiene su giocattoli.")</f>
        <v>Un uomo viene visto in piedi in un campo con un cane mentre si tiene su giocattoli.</v>
      </c>
    </row>
    <row r="498">
      <c r="A498" s="4" t="s">
        <v>632</v>
      </c>
      <c r="B498" s="4" t="s">
        <v>634</v>
      </c>
      <c r="C498" s="5" t="str">
        <f>IFERROR(__xludf.DUMMYFUNCTION("GOOGLETRANSLATE(B498,""en"",""it"")"),"L'uomo inizia quindi a lanciare i giocattoli mentre il cane lo insegue.")</f>
        <v>L'uomo inizia quindi a lanciare i giocattoli mentre il cane lo insegue.</v>
      </c>
    </row>
    <row r="499">
      <c r="A499" s="4" t="s">
        <v>632</v>
      </c>
      <c r="B499" s="4" t="s">
        <v>635</v>
      </c>
      <c r="C499" s="5" t="str">
        <f>IFERROR(__xludf.DUMMYFUNCTION("GOOGLETRANSLATE(B499,""en"",""it"")"),"Gli uomini continuano a fare trucchi con il cane e finiscono con una foto.")</f>
        <v>Gli uomini continuano a fare trucchi con il cane e finiscono con una foto.</v>
      </c>
    </row>
    <row r="500">
      <c r="A500" s="4" t="s">
        <v>636</v>
      </c>
      <c r="B500" s="4" t="s">
        <v>637</v>
      </c>
      <c r="C500" s="5" t="str">
        <f>IFERROR(__xludf.DUMMYFUNCTION("GOOGLETRANSLATE(B500,""en"",""it"")"),"Una bionda più anziana sta leggendo una storia.")</f>
        <v>Una bionda più anziana sta leggendo una storia.</v>
      </c>
    </row>
    <row r="501">
      <c r="A501" s="4" t="s">
        <v>636</v>
      </c>
      <c r="B501" s="4" t="s">
        <v>638</v>
      </c>
      <c r="C501" s="5" t="str">
        <f>IFERROR(__xludf.DUMMYFUNCTION("GOOGLETRANSLATE(B501,""en"",""it"")"),"Varie immagini sono mostrate sulla storia di Shuffleboard.")</f>
        <v>Varie immagini sono mostrate sulla storia di Shuffleboard.</v>
      </c>
    </row>
    <row r="502">
      <c r="A502" s="4" t="s">
        <v>636</v>
      </c>
      <c r="B502" s="4" t="s">
        <v>639</v>
      </c>
      <c r="C502" s="5" t="str">
        <f>IFERROR(__xludf.DUMMYFUNCTION("GOOGLETRANSLATE(B502,""en"",""it"")"),"Un uomo più anziano viene intervistato per la telecamera.")</f>
        <v>Un uomo più anziano viene intervistato per la telecamera.</v>
      </c>
    </row>
    <row r="503">
      <c r="A503" s="4" t="s">
        <v>636</v>
      </c>
      <c r="B503" s="4" t="s">
        <v>640</v>
      </c>
      <c r="C503" s="5" t="str">
        <f>IFERROR(__xludf.DUMMYFUNCTION("GOOGLETRANSLATE(B503,""en"",""it"")"),"Vengono mostrate varie clip di persone che giocano a shuffleboard.")</f>
        <v>Vengono mostrate varie clip di persone che giocano a shuffleboard.</v>
      </c>
    </row>
    <row r="504">
      <c r="A504" s="4" t="s">
        <v>636</v>
      </c>
      <c r="B504" s="4" t="s">
        <v>641</v>
      </c>
      <c r="C504" s="5" t="str">
        <f>IFERROR(__xludf.DUMMYFUNCTION("GOOGLETRANSLATE(B504,""en"",""it"")"),"Il più vecchio reporter biondo termina la notizia.")</f>
        <v>Il più vecchio reporter biondo termina la notizia.</v>
      </c>
    </row>
    <row r="505">
      <c r="A505" s="4" t="s">
        <v>642</v>
      </c>
      <c r="B505" s="4" t="s">
        <v>643</v>
      </c>
      <c r="C505" s="5" t="str">
        <f>IFERROR(__xludf.DUMMYFUNCTION("GOOGLETRANSLATE(B505,""en"",""it"")"),"Vengono mostrati diversi scatti di lottatori.")</f>
        <v>Vengono mostrati diversi scatti di lottatori.</v>
      </c>
    </row>
    <row r="506">
      <c r="A506" s="4" t="s">
        <v>642</v>
      </c>
      <c r="B506" s="4" t="s">
        <v>644</v>
      </c>
      <c r="C506" s="5" t="str">
        <f>IFERROR(__xludf.DUMMYFUNCTION("GOOGLETRANSLATE(B506,""en"",""it"")"),"Stanno tutti facendo girare dall'angolo.")</f>
        <v>Stanno tutti facendo girare dall'angolo.</v>
      </c>
    </row>
    <row r="507">
      <c r="A507" s="4" t="s">
        <v>642</v>
      </c>
      <c r="B507" s="4" t="s">
        <v>645</v>
      </c>
      <c r="C507" s="5" t="str">
        <f>IFERROR(__xludf.DUMMYFUNCTION("GOOGLETRANSLATE(B507,""en"",""it"")"),"La terra sul loro avversario.")</f>
        <v>La terra sul loro avversario.</v>
      </c>
    </row>
    <row r="508">
      <c r="A508" s="4" t="s">
        <v>642</v>
      </c>
      <c r="B508" s="4" t="s">
        <v>646</v>
      </c>
      <c r="C508" s="5" t="str">
        <f>IFERROR(__xludf.DUMMYFUNCTION("GOOGLETRANSLATE(B508,""en"",""it"")"),"Li abbattono sul pavimento.")</f>
        <v>Li abbattono sul pavimento.</v>
      </c>
    </row>
    <row r="509">
      <c r="A509" s="4" t="s">
        <v>647</v>
      </c>
      <c r="B509" s="6" t="s">
        <v>648</v>
      </c>
      <c r="C509" s="5" t="str">
        <f>IFERROR(__xludf.DUMMYFUNCTION("GOOGLETRANSLATE(B509,""en"",""it"")"),"Una persona invisibile dimostra come rimuovere e installare una valvola di pneumatici su un pneumatico utilizzando uno strumento speciale.")</f>
        <v>Una persona invisibile dimostra come rimuovere e installare una valvola di pneumatici su un pneumatico utilizzando uno strumento speciale.</v>
      </c>
    </row>
    <row r="510">
      <c r="A510" s="4" t="s">
        <v>647</v>
      </c>
      <c r="B510" s="4" t="s">
        <v>649</v>
      </c>
      <c r="C510" s="5" t="str">
        <f>IFERROR(__xludf.DUMMYFUNCTION("GOOGLETRANSLATE(B510,""en"",""it"")"),"Si vede un paio di mani che produce uno strumento di metallo su una gomma parete gialla che giace su una superficie piana.")</f>
        <v>Si vede un paio di mani che produce uno strumento di metallo su una gomma parete gialla che giace su una superficie piana.</v>
      </c>
    </row>
    <row r="511">
      <c r="A511" s="4" t="s">
        <v>647</v>
      </c>
      <c r="B511" s="4" t="s">
        <v>650</v>
      </c>
      <c r="C511" s="5" t="str">
        <f>IFERROR(__xludf.DUMMYFUNCTION("GOOGLETRANSLATE(B511,""en"",""it"")"),"La mano utilizza lo strumento curvo in metallo per strappare la vecchia valvola di pneumatici dal suo foro.")</f>
        <v>La mano utilizza lo strumento curvo in metallo per strappare la vecchia valvola di pneumatici dal suo foro.</v>
      </c>
    </row>
    <row r="512">
      <c r="A512" s="4" t="s">
        <v>647</v>
      </c>
      <c r="B512" s="4" t="s">
        <v>651</v>
      </c>
      <c r="C512" s="5" t="str">
        <f>IFERROR(__xludf.DUMMYFUNCTION("GOOGLETRANSLATE(B512,""en"",""it"")"),"La mano quindi utilizza uno strumento in metallo, nero, per inserire una nuova valvola nel pneumatico.")</f>
        <v>La mano quindi utilizza uno strumento in metallo, nero, per inserire una nuova valvola nel pneumatico.</v>
      </c>
    </row>
    <row r="513">
      <c r="A513" s="4" t="s">
        <v>652</v>
      </c>
      <c r="B513" s="6" t="s">
        <v>653</v>
      </c>
      <c r="C513" s="5" t="str">
        <f>IFERROR(__xludf.DUMMYFUNCTION("GOOGLETRANSLATE(B513,""en"",""it"")"),"Le mani di una persona vengono viste muoversi attorno a un gatto e tagliare gli artigli mentre il gatto si sdraia e si guarda intorno.")</f>
        <v>Le mani di una persona vengono viste muoversi attorno a un gatto e tagliare gli artigli mentre il gatto si sdraia e si guarda intorno.</v>
      </c>
    </row>
    <row r="514">
      <c r="A514" s="4" t="s">
        <v>652</v>
      </c>
      <c r="B514" s="4" t="s">
        <v>654</v>
      </c>
      <c r="C514" s="5" t="str">
        <f>IFERROR(__xludf.DUMMYFUNCTION("GOOGLETRANSLATE(B514,""en"",""it"")"),"La persona quindi presenta le unghie del gatto e alla fine si zoom sulla pancia del gatto.")</f>
        <v>La persona quindi presenta le unghie del gatto e alla fine si zoom sulla pancia del gatto.</v>
      </c>
    </row>
    <row r="515">
      <c r="A515" s="4" t="s">
        <v>655</v>
      </c>
      <c r="B515" s="4" t="s">
        <v>656</v>
      </c>
      <c r="C515" s="5" t="str">
        <f>IFERROR(__xludf.DUMMYFUNCTION("GOOGLETRANSLATE(B515,""en"",""it"")"),"Un uomo è seduto su un tappetino nero in palestra.")</f>
        <v>Un uomo è seduto su un tappetino nero in palestra.</v>
      </c>
    </row>
    <row r="516">
      <c r="A516" s="4" t="s">
        <v>655</v>
      </c>
      <c r="B516" s="4" t="s">
        <v>657</v>
      </c>
      <c r="C516" s="5" t="str">
        <f>IFERROR(__xludf.DUMMYFUNCTION("GOOGLETRANSLATE(B516,""en"",""it"")"),"Si sdraia e fa scricchiolio sul tappeto.")</f>
        <v>Si sdraia e fa scricchiolio sul tappeto.</v>
      </c>
    </row>
    <row r="517">
      <c r="A517" s="4" t="s">
        <v>655</v>
      </c>
      <c r="B517" s="4" t="s">
        <v>658</v>
      </c>
      <c r="C517" s="5" t="str">
        <f>IFERROR(__xludf.DUMMYFUNCTION("GOOGLETRANSLATE(B517,""en"",""it"")"),"Si siede e continua a parlare.")</f>
        <v>Si siede e continua a parlare.</v>
      </c>
    </row>
    <row r="518">
      <c r="A518" s="4" t="s">
        <v>659</v>
      </c>
      <c r="B518" s="6" t="s">
        <v>660</v>
      </c>
      <c r="C518" s="5" t="str">
        <f>IFERROR(__xludf.DUMMYFUNCTION("GOOGLETRANSLATE(B518,""en"",""it"")"),"Una telecamera si piova attorno a un uomo senza camicia seduto nella neve, seguito dall'uomo che snowboard e uomini che cavalcano una collina.")</f>
        <v>Una telecamera si piova attorno a un uomo senza camicia seduto nella neve, seguito dall'uomo che snowboard e uomini che cavalcano una collina.</v>
      </c>
    </row>
    <row r="519">
      <c r="A519" s="4" t="s">
        <v>659</v>
      </c>
      <c r="B519" s="6" t="s">
        <v>661</v>
      </c>
      <c r="C519" s="5" t="str">
        <f>IFERROR(__xludf.DUMMYFUNCTION("GOOGLETRANSLATE(B519,""en"",""it"")"),"Vengono mostrati diversi scatti di persone che cavalcano la collina innevata e fanno trucchi davanti alla telecamera.")</f>
        <v>Vengono mostrati diversi scatti di persone che cavalcano la collina innevata e fanno trucchi davanti alla telecamera.</v>
      </c>
    </row>
    <row r="520">
      <c r="A520" s="4" t="s">
        <v>662</v>
      </c>
      <c r="B520" s="4" t="s">
        <v>663</v>
      </c>
      <c r="C520" s="5" t="str">
        <f>IFERROR(__xludf.DUMMYFUNCTION("GOOGLETRANSLATE(B520,""en"",""it"")"),"Un cavernico viene visto camminare su una roccia viola.")</f>
        <v>Un cavernico viene visto camminare su una roccia viola.</v>
      </c>
    </row>
    <row r="521">
      <c r="A521" s="4" t="s">
        <v>662</v>
      </c>
      <c r="B521" s="4" t="s">
        <v>664</v>
      </c>
      <c r="C521" s="5" t="str">
        <f>IFERROR(__xludf.DUMMYFUNCTION("GOOGLETRANSLATE(B521,""en"",""it"")"),"Si imbatte in un grosso cane e il cane mangia il cavernico.")</f>
        <v>Si imbatte in un grosso cane e il cane mangia il cavernico.</v>
      </c>
    </row>
    <row r="522">
      <c r="A522" s="4" t="s">
        <v>662</v>
      </c>
      <c r="B522" s="4" t="s">
        <v>665</v>
      </c>
      <c r="C522" s="5" t="str">
        <f>IFERROR(__xludf.DUMMYFUNCTION("GOOGLETRANSLATE(B522,""en"",""it"")"),"Un dio cammina un barboncino.")</f>
        <v>Un dio cammina un barboncino.</v>
      </c>
    </row>
    <row r="523">
      <c r="A523" s="4" t="s">
        <v>662</v>
      </c>
      <c r="B523" s="4" t="s">
        <v>666</v>
      </c>
      <c r="C523" s="5" t="str">
        <f>IFERROR(__xludf.DUMMYFUNCTION("GOOGLETRANSLATE(B523,""en"",""it"")"),"Un cowboy accompagna il suo cane e viene sparato fuori da un salone.")</f>
        <v>Un cowboy accompagna il suo cane e viene sparato fuori da un salone.</v>
      </c>
    </row>
    <row r="524">
      <c r="A524" s="4" t="s">
        <v>662</v>
      </c>
      <c r="B524" s="4" t="s">
        <v>667</v>
      </c>
      <c r="C524" s="5" t="str">
        <f>IFERROR(__xludf.DUMMYFUNCTION("GOOGLETRANSLATE(B524,""en"",""it"")"),"Chaplin si vede sparare al suo cane.")</f>
        <v>Chaplin si vede sparare al suo cane.</v>
      </c>
    </row>
    <row r="525">
      <c r="A525" s="4" t="s">
        <v>662</v>
      </c>
      <c r="B525" s="4" t="s">
        <v>668</v>
      </c>
      <c r="C525" s="5" t="str">
        <f>IFERROR(__xludf.DUMMYFUNCTION("GOOGLETRANSLATE(B525,""en"",""it"")"),"Un cane hippie si sdraia sul pavimento e sembra essere allucinante.")</f>
        <v>Un cane hippie si sdraia sul pavimento e sembra essere allucinante.</v>
      </c>
    </row>
    <row r="526">
      <c r="A526" s="4" t="s">
        <v>662</v>
      </c>
      <c r="B526" s="4" t="s">
        <v>669</v>
      </c>
      <c r="C526" s="5" t="str">
        <f>IFERROR(__xludf.DUMMYFUNCTION("GOOGLETRANSLATE(B526,""en"",""it"")"),"Cani e veicoli spaziali sono visti esplorare lo spazio.")</f>
        <v>Cani e veicoli spaziali sono visti esplorare lo spazio.</v>
      </c>
    </row>
    <row r="527">
      <c r="A527" s="4" t="s">
        <v>670</v>
      </c>
      <c r="B527" s="4" t="s">
        <v>671</v>
      </c>
      <c r="C527" s="5" t="str">
        <f>IFERROR(__xludf.DUMMYFUNCTION("GOOGLETRANSLATE(B527,""en"",""it"")"),"Un uomo che indossa abiti neri sta affilando il coltello su una pietra.")</f>
        <v>Un uomo che indossa abiti neri sta affilando il coltello su una pietra.</v>
      </c>
    </row>
    <row r="528">
      <c r="A528" s="4" t="s">
        <v>670</v>
      </c>
      <c r="B528" s="4" t="s">
        <v>672</v>
      </c>
      <c r="C528" s="5" t="str">
        <f>IFERROR(__xludf.DUMMYFUNCTION("GOOGLETRANSLATE(B528,""en"",""it"")"),"L'uomo accanto a lui su maniche lunghe blu disegnando qualcosa sul tavolo con il dito.")</f>
        <v>L'uomo accanto a lui su maniche lunghe blu disegnando qualcosa sul tavolo con il dito.</v>
      </c>
    </row>
    <row r="529">
      <c r="A529" s="4" t="s">
        <v>670</v>
      </c>
      <c r="B529" s="4" t="s">
        <v>673</v>
      </c>
      <c r="C529" s="5" t="str">
        <f>IFERROR(__xludf.DUMMYFUNCTION("GOOGLETRANSLATE(B529,""en"",""it"")"),"L'uomo gira il coltello per affinare l'altro lato e poi pulirlo con un tovagliolo di carta.")</f>
        <v>L'uomo gira il coltello per affinare l'altro lato e poi pulirlo con un tovagliolo di carta.</v>
      </c>
    </row>
    <row r="530">
      <c r="A530" s="4" t="s">
        <v>670</v>
      </c>
      <c r="B530" s="6" t="s">
        <v>674</v>
      </c>
      <c r="C530" s="5" t="str">
        <f>IFERROR(__xludf.DUMMYFUNCTION("GOOGLETRANSLATE(B530,""en"",""it"")"),"L'uomo nella camicia blu blu scuro punta al coltello mentre l'uomo che affila il coltello cerca di affilarlo una mano.")</f>
        <v>L'uomo nella camicia blu blu scuro punta al coltello mentre l'uomo che affila il coltello cerca di affilarlo una mano.</v>
      </c>
    </row>
    <row r="531">
      <c r="A531" s="4" t="s">
        <v>670</v>
      </c>
      <c r="B531" s="6" t="s">
        <v>675</v>
      </c>
      <c r="C531" s="5" t="str">
        <f>IFERROR(__xludf.DUMMYFUNCTION("GOOGLETRANSLATE(B531,""en"",""it"")"),"Continua a affilare il coltello, giralo di nuovo per affinare ulteriormente l'altro lato e pulirlo di nuovo con un tovagliolo di carta.")</f>
        <v>Continua a affilare il coltello, giralo di nuovo per affinare ulteriormente l'altro lato e pulirlo di nuovo con un tovagliolo di carta.</v>
      </c>
    </row>
    <row r="532">
      <c r="A532" s="4" t="s">
        <v>670</v>
      </c>
      <c r="B532" s="4" t="s">
        <v>676</v>
      </c>
      <c r="C532" s="5" t="str">
        <f>IFERROR(__xludf.DUMMYFUNCTION("GOOGLETRANSLATE(B532,""en"",""it"")"),"Getta il vecchia e sporca asciugamano di carta e raggiungi il rotolo di asciugamano di carta e pulisci il coltello.")</f>
        <v>Getta il vecchia e sporca asciugamano di carta e raggiungi il rotolo di asciugamano di carta e pulisci il coltello.</v>
      </c>
    </row>
    <row r="533">
      <c r="A533" s="4" t="s">
        <v>677</v>
      </c>
      <c r="B533" s="4" t="s">
        <v>678</v>
      </c>
      <c r="C533" s="5" t="str">
        <f>IFERROR(__xludf.DUMMYFUNCTION("GOOGLETRANSLATE(B533,""en"",""it"")"),"Una telecamera si lancia attorno a un'area nevosa e passa in diverse persone a tubi giù per una collina.")</f>
        <v>Una telecamera si lancia attorno a un'area nevosa e passa in diverse persone a tubi giù per una collina.</v>
      </c>
    </row>
    <row r="534">
      <c r="A534" s="4" t="s">
        <v>677</v>
      </c>
      <c r="B534" s="6" t="s">
        <v>679</v>
      </c>
      <c r="C534" s="5" t="str">
        <f>IFERROR(__xludf.DUMMYFUNCTION("GOOGLETRANSLATE(B534,""en"",""it"")"),"La gente ride mentre cavalca giù per la collina quando una persona cade e la telecamera si muove intorno alla gente.")</f>
        <v>La gente ride mentre cavalca giù per la collina quando una persona cade e la telecamera si muove intorno alla gente.</v>
      </c>
    </row>
    <row r="535">
      <c r="A535" s="4" t="s">
        <v>677</v>
      </c>
      <c r="B535" s="4" t="s">
        <v>680</v>
      </c>
      <c r="C535" s="5" t="str">
        <f>IFERROR(__xludf.DUMMYFUNCTION("GOOGLETRANSLATE(B535,""en"",""it"")"),"La fotocamera mostra un altro colpo delle persone che cavalcano tutti lungo la lunga collina insieme.")</f>
        <v>La fotocamera mostra un altro colpo delle persone che cavalcano tutti lungo la lunga collina insieme.</v>
      </c>
    </row>
    <row r="536">
      <c r="A536" s="4" t="s">
        <v>681</v>
      </c>
      <c r="B536" s="4" t="s">
        <v>682</v>
      </c>
      <c r="C536" s="5" t="str">
        <f>IFERROR(__xludf.DUMMYFUNCTION("GOOGLETRANSLATE(B536,""en"",""it"")"),"Un uomo è seduto su un lago congelato, pesca attraverso un buco e circondato da attrezzatura da pesca.")</f>
        <v>Un uomo è seduto su un lago congelato, pesca attraverso un buco e circondato da attrezzatura da pesca.</v>
      </c>
    </row>
    <row r="537">
      <c r="A537" s="4" t="s">
        <v>681</v>
      </c>
      <c r="B537" s="4" t="s">
        <v>683</v>
      </c>
      <c r="C537" s="5" t="str">
        <f>IFERROR(__xludf.DUMMYFUNCTION("GOOGLETRANSLATE(B537,""en"",""it"")"),"Si allontana dalle sue cose e un pesce tira il suo palo in acqua, scomparendo con essa.")</f>
        <v>Si allontana dalle sue cose e un pesce tira il suo palo in acqua, scomparendo con essa.</v>
      </c>
    </row>
    <row r="538">
      <c r="A538" s="4" t="s">
        <v>681</v>
      </c>
      <c r="B538" s="4" t="s">
        <v>684</v>
      </c>
      <c r="C538" s="5" t="str">
        <f>IFERROR(__xludf.DUMMYFUNCTION("GOOGLETRANSLATE(B538,""en"",""it"")"),"Sta rabbiosamente con le mani sui fianchi, quindi ottiene un altro palo per cercare di riprenderlo.")</f>
        <v>Sta rabbiosamente con le mani sui fianchi, quindi ottiene un altro palo per cercare di riprenderlo.</v>
      </c>
    </row>
    <row r="539">
      <c r="A539" s="4" t="s">
        <v>685</v>
      </c>
      <c r="B539" s="4" t="s">
        <v>686</v>
      </c>
      <c r="C539" s="5" t="str">
        <f>IFERROR(__xludf.DUMMYFUNCTION("GOOGLETRANSLATE(B539,""en"",""it"")"),"Un uomo è in piedi su un palco eseguendo mosse diverse.")</f>
        <v>Un uomo è in piedi su un palco eseguendo mosse diverse.</v>
      </c>
    </row>
    <row r="540">
      <c r="A540" s="4" t="s">
        <v>685</v>
      </c>
      <c r="B540" s="4" t="s">
        <v>687</v>
      </c>
      <c r="C540" s="5" t="str">
        <f>IFERROR(__xludf.DUMMYFUNCTION("GOOGLETRANSLATE(B540,""en"",""it"")"),"Cammina dal palco e qualcun altro cammina sul palco.")</f>
        <v>Cammina dal palco e qualcun altro cammina sul palco.</v>
      </c>
    </row>
    <row r="541">
      <c r="A541" s="4" t="s">
        <v>688</v>
      </c>
      <c r="B541" s="4" t="s">
        <v>689</v>
      </c>
      <c r="C541" s="5" t="str">
        <f>IFERROR(__xludf.DUMMYFUNCTION("GOOGLETRANSLATE(B541,""en"",""it"")"),"Questa donna sta mostrando ai suoi spettatori come fare un Chambord Royale.")</f>
        <v>Questa donna sta mostrando ai suoi spettatori come fare un Chambord Royale.</v>
      </c>
    </row>
    <row r="542">
      <c r="A542" s="4" t="s">
        <v>688</v>
      </c>
      <c r="B542" s="6" t="s">
        <v>690</v>
      </c>
      <c r="C542" s="5" t="str">
        <f>IFERROR(__xludf.DUMMYFUNCTION("GOOGLETRANSLATE(B542,""en"",""it"")"),"Prima riempie il suo shaker a metà strada di ghiaccio e poi aggiunge vodka e Chambord e mette un'oncia di entrambi e poi aggiunge un po 'di succo di ananas e succo di mirtillo.")</f>
        <v>Prima riempie il suo shaker a metà strada di ghiaccio e poi aggiunge vodka e Chambord e mette un'oncia di entrambi e poi aggiunge un po 'di succo di ananas e succo di mirtillo.</v>
      </c>
    </row>
    <row r="543">
      <c r="A543" s="4" t="s">
        <v>688</v>
      </c>
      <c r="B543" s="4" t="s">
        <v>691</v>
      </c>
      <c r="C543" s="5" t="str">
        <f>IFERROR(__xludf.DUMMYFUNCTION("GOOGLETRANSLATE(B543,""en"",""it"")"),"Successivamente scuote tutto e mette in giro la bevanda nella tazza di cocktail.")</f>
        <v>Successivamente scuote tutto e mette in giro la bevanda nella tazza di cocktail.</v>
      </c>
    </row>
    <row r="544">
      <c r="A544" s="4" t="s">
        <v>692</v>
      </c>
      <c r="B544" s="4" t="s">
        <v>693</v>
      </c>
      <c r="C544" s="5" t="str">
        <f>IFERROR(__xludf.DUMMYFUNCTION("GOOGLETRANSLATE(B544,""en"",""it"")"),"Questo perosn viene mostrato preparare un panino che include carne per il pranzo, formaggio svizzero e maionese.")</f>
        <v>Questo perosn viene mostrato preparare un panino che include carne per il pranzo, formaggio svizzero e maionese.</v>
      </c>
    </row>
    <row r="545">
      <c r="A545" s="4" t="s">
        <v>692</v>
      </c>
      <c r="B545" s="4" t="s">
        <v>694</v>
      </c>
      <c r="C545" s="5" t="str">
        <f>IFERROR(__xludf.DUMMYFUNCTION("GOOGLETRANSLATE(B545,""en"",""it"")"),"Quindi mescola un uovo e un latte insieme e mette il sandwich nel mix.")</f>
        <v>Quindi mescola un uovo e un latte insieme e mette il sandwich nel mix.</v>
      </c>
    </row>
    <row r="546">
      <c r="A546" s="4" t="s">
        <v>692</v>
      </c>
      <c r="B546" s="6" t="s">
        <v>695</v>
      </c>
      <c r="C546" s="5" t="str">
        <f>IFERROR(__xludf.DUMMYFUNCTION("GOOGLETRANSLATE(B546,""en"",""it"")"),"Mette il panino in una padella che è sul fornello per un po ', e poi mette il sandwich su un piatto a forma di piazza bianca, che immagino che abbia mangiato.")</f>
        <v>Mette il panino in una padella che è sul fornello per un po ', e poi mette il sandwich su un piatto a forma di piazza bianca, che immagino che abbia mangiato.</v>
      </c>
    </row>
    <row r="547">
      <c r="A547" s="4" t="s">
        <v>696</v>
      </c>
      <c r="B547" s="6" t="s">
        <v>697</v>
      </c>
      <c r="C547" s="5" t="str">
        <f>IFERROR(__xludf.DUMMYFUNCTION("GOOGLETRANSLATE(B547,""en"",""it"")"),"Un uomo molto grande e muscoloso viene mostrato in palestra con una barra di peso mentre la musica per pianoforte suona in sottofondo.")</f>
        <v>Un uomo molto grande e muscoloso viene mostrato in palestra con una barra di peso mentre la musica per pianoforte suona in sottofondo.</v>
      </c>
    </row>
    <row r="548">
      <c r="A548" s="4" t="s">
        <v>696</v>
      </c>
      <c r="B548" s="4" t="s">
        <v>698</v>
      </c>
      <c r="C548" s="5" t="str">
        <f>IFERROR(__xludf.DUMMYFUNCTION("GOOGLETRANSLATE(B548,""en"",""it"")"),"Il video inizia con il peso sul pavimento e l'uomo si prepara a sollevarlo.")</f>
        <v>Il video inizia con il peso sul pavimento e l'uomo si prepara a sollevarlo.</v>
      </c>
    </row>
    <row r="549">
      <c r="A549" s="4" t="s">
        <v>696</v>
      </c>
      <c r="B549" s="4" t="s">
        <v>699</v>
      </c>
      <c r="C549" s="5" t="str">
        <f>IFERROR(__xludf.DUMMYFUNCTION("GOOGLETRANSLATE(B549,""en"",""it"")"),"Solleva il peso e prima lo porta parallelo alle spalle.")</f>
        <v>Solleva il peso e prima lo porta parallelo alle spalle.</v>
      </c>
    </row>
    <row r="550">
      <c r="A550" s="4" t="s">
        <v>696</v>
      </c>
      <c r="B550" s="4" t="s">
        <v>700</v>
      </c>
      <c r="C550" s="5" t="str">
        <f>IFERROR(__xludf.DUMMYFUNCTION("GOOGLETRANSLATE(B550,""en"",""it"")"),"Quindi lo solleva completamente sopra la testa con le braccia estese.")</f>
        <v>Quindi lo solleva completamente sopra la testa con le braccia estese.</v>
      </c>
    </row>
    <row r="551">
      <c r="A551" s="4" t="s">
        <v>696</v>
      </c>
      <c r="B551" s="4" t="s">
        <v>701</v>
      </c>
      <c r="C551" s="5" t="str">
        <f>IFERROR(__xludf.DUMMYFUNCTION("GOOGLETRANSLATE(B551,""en"",""it"")"),"Dopo aver lasciato le braccia per diversi secondi, permette al peso di cadere a terra.")</f>
        <v>Dopo aver lasciato le braccia per diversi secondi, permette al peso di cadere a terra.</v>
      </c>
    </row>
    <row r="552">
      <c r="A552" s="4" t="s">
        <v>702</v>
      </c>
      <c r="B552" s="4" t="s">
        <v>703</v>
      </c>
      <c r="C552" s="5" t="str">
        <f>IFERROR(__xludf.DUMMYFUNCTION("GOOGLETRANSLATE(B552,""en"",""it"")"),"Un'introduzione conduce in una donna che tira fuori un secchio e mette insieme un scoppio.")</f>
        <v>Un'introduzione conduce in una donna che tira fuori un secchio e mette insieme un scoppio.</v>
      </c>
    </row>
    <row r="553">
      <c r="A553" s="4" t="s">
        <v>702</v>
      </c>
      <c r="B553" s="6" t="s">
        <v>704</v>
      </c>
      <c r="C553" s="5" t="str">
        <f>IFERROR(__xludf.DUMMYFUNCTION("GOOGLETRANSLATE(B553,""en"",""it"")"),"La fotocamera si lancia attorno al secchio e la donna continua a usare la scopa all'interno del secchio e muovendosi attorno all'oggetto.")</f>
        <v>La fotocamera si lancia attorno al secchio e la donna continua a usare la scopa all'interno del secchio e muovendosi attorno all'oggetto.</v>
      </c>
    </row>
    <row r="554">
      <c r="A554" s="4" t="s">
        <v>705</v>
      </c>
      <c r="B554" s="4" t="s">
        <v>706</v>
      </c>
      <c r="C554" s="5" t="str">
        <f>IFERROR(__xludf.DUMMYFUNCTION("GOOGLETRANSLATE(B554,""en"",""it"")"),"Un uomo con una camicia rossa è seduto a una bici da ginnastica.")</f>
        <v>Un uomo con una camicia rossa è seduto a una bici da ginnastica.</v>
      </c>
    </row>
    <row r="555">
      <c r="A555" s="4" t="s">
        <v>705</v>
      </c>
      <c r="B555" s="4" t="s">
        <v>707</v>
      </c>
      <c r="C555" s="5" t="str">
        <f>IFERROR(__xludf.DUMMYFUNCTION("GOOGLETRANSLATE(B555,""en"",""it"")"),"Sta muovendo le gambe sui pedali.")</f>
        <v>Sta muovendo le gambe sui pedali.</v>
      </c>
    </row>
    <row r="556">
      <c r="A556" s="4" t="s">
        <v>705</v>
      </c>
      <c r="B556" s="4" t="s">
        <v>708</v>
      </c>
      <c r="C556" s="5" t="str">
        <f>IFERROR(__xludf.DUMMYFUNCTION("GOOGLETRANSLATE(B556,""en"",""it"")"),"Ci sono altre bici accanto a lui.")</f>
        <v>Ci sono altre bici accanto a lui.</v>
      </c>
    </row>
    <row r="557">
      <c r="A557" s="4" t="s">
        <v>709</v>
      </c>
      <c r="B557" s="4" t="s">
        <v>710</v>
      </c>
      <c r="C557" s="5" t="str">
        <f>IFERROR(__xludf.DUMMYFUNCTION("GOOGLETRANSLATE(B557,""en"",""it"")"),"Un uomo viene visto in ginocchio sul pavimento che oscilla le braccia indietro e quarto.")</f>
        <v>Un uomo viene visto in ginocchio sul pavimento che oscilla le braccia indietro e quarto.</v>
      </c>
    </row>
    <row r="558">
      <c r="A558" s="4" t="s">
        <v>709</v>
      </c>
      <c r="B558" s="4" t="s">
        <v>711</v>
      </c>
      <c r="C558" s="5" t="str">
        <f>IFERROR(__xludf.DUMMYFUNCTION("GOOGLETRANSLATE(B558,""en"",""it"")"),"Il testo si muove sul suo viso mentre fa oscillare le braccia.")</f>
        <v>Il testo si muove sul suo viso mentre fa oscillare le braccia.</v>
      </c>
    </row>
    <row r="559">
      <c r="A559" s="4" t="s">
        <v>709</v>
      </c>
      <c r="B559" s="4" t="s">
        <v>712</v>
      </c>
      <c r="C559" s="5" t="str">
        <f>IFERROR(__xludf.DUMMYFUNCTION("GOOGLETRANSLATE(B559,""en"",""it"")"),"L'uomo continua a oscillare le braccia e termina con i crediti che rotolano.")</f>
        <v>L'uomo continua a oscillare le braccia e termina con i crediti che rotolano.</v>
      </c>
    </row>
    <row r="560">
      <c r="A560" s="4" t="s">
        <v>713</v>
      </c>
      <c r="B560" s="4" t="s">
        <v>714</v>
      </c>
      <c r="C560" s="5" t="str">
        <f>IFERROR(__xludf.DUMMYFUNCTION("GOOGLETRANSLATE(B560,""en"",""it"")"),"Un primo piano di una panca di legno è visto seguito da una persona che mescola ingredienti insieme.")</f>
        <v>Un primo piano di una panca di legno è visto seguito da una persona che mescola ingredienti insieme.</v>
      </c>
    </row>
    <row r="561">
      <c r="A561" s="4" t="s">
        <v>713</v>
      </c>
      <c r="B561" s="4" t="s">
        <v>715</v>
      </c>
      <c r="C561" s="5" t="str">
        <f>IFERROR(__xludf.DUMMYFUNCTION("GOOGLETRANSLATE(B561,""en"",""it"")"),"Viene quindi vista una persona con in mano uno straccio e pulire la panchina.")</f>
        <v>Viene quindi vista una persona con in mano uno straccio e pulire la panchina.</v>
      </c>
    </row>
    <row r="562">
      <c r="A562" s="4" t="s">
        <v>713</v>
      </c>
      <c r="B562" s="4" t="s">
        <v>716</v>
      </c>
      <c r="C562" s="5" t="str">
        <f>IFERROR(__xludf.DUMMYFUNCTION("GOOGLETRANSLATE(B562,""en"",""it"")"),"Più ingredienti vengono mescolati in seguito che portano a più asciugare con lo straccio.")</f>
        <v>Più ingredienti vengono mescolati in seguito che portano a più asciugare con lo straccio.</v>
      </c>
    </row>
    <row r="563">
      <c r="A563" s="4" t="s">
        <v>717</v>
      </c>
      <c r="B563" s="4" t="s">
        <v>718</v>
      </c>
      <c r="C563" s="5" t="str">
        <f>IFERROR(__xludf.DUMMYFUNCTION("GOOGLETRANSLATE(B563,""en"",""it"")"),"Una ragazza sta spingendo due ragazzini su uno swing nel cortile.")</f>
        <v>Una ragazza sta spingendo due ragazzini su uno swing nel cortile.</v>
      </c>
    </row>
    <row r="564">
      <c r="A564" s="4" t="s">
        <v>717</v>
      </c>
      <c r="B564" s="4" t="s">
        <v>719</v>
      </c>
      <c r="C564" s="5" t="str">
        <f>IFERROR(__xludf.DUMMYFUNCTION("GOOGLETRANSLATE(B564,""en"",""it"")"),"Sorride la telecamera mentre spinge i ragazzi avanti e indietro.")</f>
        <v>Sorride la telecamera mentre spinge i ragazzi avanti e indietro.</v>
      </c>
    </row>
    <row r="565">
      <c r="A565" s="4" t="s">
        <v>720</v>
      </c>
      <c r="B565" s="6" t="s">
        <v>721</v>
      </c>
      <c r="C565" s="5" t="str">
        <f>IFERROR(__xludf.DUMMYFUNCTION("GOOGLETRANSLATE(B565,""en"",""it"")"),"Una band è vista seduta sul palco con un uomo che suona la batteria e una donna che lo intervista.")</f>
        <v>Una band è vista seduta sul palco con un uomo che suona la batteria e una donna che lo intervista.</v>
      </c>
    </row>
    <row r="566">
      <c r="A566" s="4" t="s">
        <v>720</v>
      </c>
      <c r="B566" s="4" t="s">
        <v>722</v>
      </c>
      <c r="C566" s="5" t="str">
        <f>IFERROR(__xludf.DUMMYFUNCTION("GOOGLETRANSLATE(B566,""en"",""it"")"),"L'uomo continua a suonare mentre le donne parlano alla folla e canta mentre giocano.")</f>
        <v>L'uomo continua a suonare mentre le donne parlano alla folla e canta mentre giocano.</v>
      </c>
    </row>
    <row r="567">
      <c r="A567" s="4" t="s">
        <v>723</v>
      </c>
      <c r="B567" s="4" t="s">
        <v>724</v>
      </c>
      <c r="C567" s="5" t="str">
        <f>IFERROR(__xludf.DUMMYFUNCTION("GOOGLETRANSLATE(B567,""en"",""it"")"),"Vengono mostrati vari colpi di selle di cavalli e varie persone che cavalcano queste selle sui cavalli.")</f>
        <v>Vengono mostrati vari colpi di selle di cavalli e varie persone che cavalcano queste selle sui cavalli.</v>
      </c>
    </row>
    <row r="568">
      <c r="A568" s="4" t="s">
        <v>723</v>
      </c>
      <c r="B568" s="4" t="s">
        <v>725</v>
      </c>
      <c r="C568" s="5" t="str">
        <f>IFERROR(__xludf.DUMMYFUNCTION("GOOGLETRANSLATE(B568,""en"",""it"")"),"Una ragazza avvolge la corda attorno alla sua sella mentre altri si esercitano su selle piazzate.")</f>
        <v>Una ragazza avvolge la corda attorno alla sua sella mentre altri si esercitano su selle piazzate.</v>
      </c>
    </row>
    <row r="569">
      <c r="A569" s="4" t="s">
        <v>723</v>
      </c>
      <c r="B569" s="4" t="s">
        <v>726</v>
      </c>
      <c r="C569" s="5" t="str">
        <f>IFERROR(__xludf.DUMMYFUNCTION("GOOGLETRANSLATE(B569,""en"",""it"")"),"Le persone cavalcano le selle e mostrano vari caddy e come cavalcarli.")</f>
        <v>Le persone cavalcano le selle e mostrano vari caddy e come cavalcarli.</v>
      </c>
    </row>
    <row r="570">
      <c r="A570" s="4" t="s">
        <v>723</v>
      </c>
      <c r="B570" s="6" t="s">
        <v>727</v>
      </c>
      <c r="C570" s="5" t="str">
        <f>IFERROR(__xludf.DUMMYFUNCTION("GOOGLETRANSLATE(B570,""en"",""it"")"),"Un turista viene intervistato sull'esperienza di guida, ma ha visto altre cavalcate e si è sentita sicura.")</f>
        <v>Un turista viene intervistato sull'esperienza di guida, ma ha visto altre cavalcate e si è sentita sicura.</v>
      </c>
    </row>
    <row r="571">
      <c r="A571" s="4" t="s">
        <v>723</v>
      </c>
      <c r="B571" s="4" t="s">
        <v>728</v>
      </c>
      <c r="C571" s="5" t="str">
        <f>IFERROR(__xludf.DUMMYFUNCTION("GOOGLETRANSLATE(B571,""en"",""it"")"),"Vengono mostrati un uomo che parlano sulla sua esperienza e vari scatti dei cavalli e della fauna selvatica.")</f>
        <v>Vengono mostrati un uomo che parlano sulla sua esperienza e vari scatti dei cavalli e della fauna selvatica.</v>
      </c>
    </row>
    <row r="572">
      <c r="A572" s="4" t="s">
        <v>729</v>
      </c>
      <c r="B572" s="4" t="s">
        <v>730</v>
      </c>
      <c r="C572" s="5" t="str">
        <f>IFERROR(__xludf.DUMMYFUNCTION("GOOGLETRANSLATE(B572,""en"",""it"")"),"Un uomo fa oscillare la gamba in aria creando lettere e vediamo uno schermo di apertura.")</f>
        <v>Un uomo fa oscillare la gamba in aria creando lettere e vediamo uno schermo di apertura.</v>
      </c>
    </row>
    <row r="573">
      <c r="A573" s="4" t="s">
        <v>729</v>
      </c>
      <c r="B573" s="4" t="s">
        <v>731</v>
      </c>
      <c r="C573" s="5" t="str">
        <f>IFERROR(__xludf.DUMMYFUNCTION("GOOGLETRANSLATE(B573,""en"",""it"")"),"Due uomini si trovano in due diverse stanze che eseguono mosse Capoeira.")</f>
        <v>Due uomini si trovano in due diverse stanze che eseguono mosse Capoeira.</v>
      </c>
    </row>
    <row r="574">
      <c r="A574" s="4" t="s">
        <v>729</v>
      </c>
      <c r="B574" s="4" t="s">
        <v>732</v>
      </c>
      <c r="C574" s="5" t="str">
        <f>IFERROR(__xludf.DUMMYFUNCTION("GOOGLETRANSLATE(B574,""en"",""it"")"),"Un uomo fa una mossa in verticale.")</f>
        <v>Un uomo fa una mossa in verticale.</v>
      </c>
    </row>
    <row r="575">
      <c r="A575" s="4" t="s">
        <v>729</v>
      </c>
      <c r="B575" s="4" t="s">
        <v>733</v>
      </c>
      <c r="C575" s="5" t="str">
        <f>IFERROR(__xludf.DUMMYFUNCTION("GOOGLETRANSLATE(B575,""en"",""it"")"),"L'uomo fa un verticale e fa una pausa.")</f>
        <v>L'uomo fa un verticale e fa una pausa.</v>
      </c>
    </row>
    <row r="576">
      <c r="A576" s="4" t="s">
        <v>729</v>
      </c>
      <c r="B576" s="4" t="s">
        <v>734</v>
      </c>
      <c r="C576" s="5" t="str">
        <f>IFERROR(__xludf.DUMMYFUNCTION("GOOGLETRANSLATE(B576,""en"",""it"")"),"Vediamo il sito Web su uno schermo nero.")</f>
        <v>Vediamo il sito Web su uno schermo nero.</v>
      </c>
    </row>
    <row r="577">
      <c r="A577" s="4" t="s">
        <v>729</v>
      </c>
      <c r="B577" s="4" t="s">
        <v>735</v>
      </c>
      <c r="C577" s="5" t="str">
        <f>IFERROR(__xludf.DUMMYFUNCTION("GOOGLETRANSLATE(B577,""en"",""it"")"),"Vediamo quattro schermi con immagini di uomini che fanno Capoeira.")</f>
        <v>Vediamo quattro schermi con immagini di uomini che fanno Capoeira.</v>
      </c>
    </row>
    <row r="578">
      <c r="A578" s="4" t="s">
        <v>736</v>
      </c>
      <c r="B578" s="4" t="s">
        <v>737</v>
      </c>
      <c r="C578" s="5" t="str">
        <f>IFERROR(__xludf.DUMMYFUNCTION("GOOGLETRANSLATE(B578,""en"",""it"")"),"Qualcuno si sta lavando i denti con uno spazzolino elettrico.")</f>
        <v>Qualcuno si sta lavando i denti con uno spazzolino elettrico.</v>
      </c>
    </row>
    <row r="579">
      <c r="A579" s="4" t="s">
        <v>736</v>
      </c>
      <c r="B579" s="4" t="s">
        <v>738</v>
      </c>
      <c r="C579" s="5" t="str">
        <f>IFERROR(__xludf.DUMMYFUNCTION("GOOGLETRANSLATE(B579,""en"",""it"")"),"Indossano le parentesi graffe in modo da assicurarsi di strofinare molto bene.")</f>
        <v>Indossano le parentesi graffe in modo da assicurarsi di strofinare molto bene.</v>
      </c>
    </row>
    <row r="580">
      <c r="A580" s="4" t="s">
        <v>736</v>
      </c>
      <c r="B580" s="4" t="s">
        <v>739</v>
      </c>
      <c r="C580" s="5" t="str">
        <f>IFERROR(__xludf.DUMMYFUNCTION("GOOGLETRANSLATE(B580,""en"",""it"")"),"Puoi vedere la lingua che si muove mai più a proprio agio all'interno della bocca.")</f>
        <v>Puoi vedere la lingua che si muove mai più a proprio agio all'interno della bocca.</v>
      </c>
    </row>
    <row r="581">
      <c r="A581" s="4" t="s">
        <v>736</v>
      </c>
      <c r="B581" s="4" t="s">
        <v>740</v>
      </c>
      <c r="C581" s="5" t="str">
        <f>IFERROR(__xludf.DUMMYFUNCTION("GOOGLETRANSLATE(B581,""en"",""it"")"),"L'uomo continua a spazzolare, il dentifricio gli vomita un po 'le labbra.")</f>
        <v>L'uomo continua a spazzolare, il dentifricio gli vomita un po 'le labbra.</v>
      </c>
    </row>
    <row r="582">
      <c r="A582" s="4" t="s">
        <v>741</v>
      </c>
      <c r="B582" s="4" t="s">
        <v>742</v>
      </c>
      <c r="C582" s="5" t="str">
        <f>IFERROR(__xludf.DUMMYFUNCTION("GOOGLETRANSLATE(B582,""en"",""it"")"),"Una persona spruzza un lavandino e lo asciuga con un asciugamano.")</f>
        <v>Una persona spruzza un lavandino e lo asciuga con un asciugamano.</v>
      </c>
    </row>
    <row r="583">
      <c r="A583" s="4" t="s">
        <v>741</v>
      </c>
      <c r="B583" s="4" t="s">
        <v>743</v>
      </c>
      <c r="C583" s="5" t="str">
        <f>IFERROR(__xludf.DUMMYFUNCTION("GOOGLETRANSLATE(B583,""en"",""it"")"),"Spruzzano una vasca da bagno e la asciuga con un asciugamano.")</f>
        <v>Spruzzano una vasca da bagno e la asciuga con un asciugamano.</v>
      </c>
    </row>
    <row r="584">
      <c r="A584" s="4" t="s">
        <v>741</v>
      </c>
      <c r="B584" s="4" t="s">
        <v>744</v>
      </c>
      <c r="C584" s="5" t="str">
        <f>IFERROR(__xludf.DUMMYFUNCTION("GOOGLETRANSLATE(B584,""en"",""it"")"),"Spruzzano un gabinetto e lo asciugano con un bagno.")</f>
        <v>Spruzzano un gabinetto e lo asciugano con un bagno.</v>
      </c>
    </row>
    <row r="585">
      <c r="A585" s="4" t="s">
        <v>745</v>
      </c>
      <c r="B585" s="4" t="s">
        <v>746</v>
      </c>
      <c r="C585" s="5" t="str">
        <f>IFERROR(__xludf.DUMMYFUNCTION("GOOGLETRANSLATE(B585,""en"",""it"")"),"Ci sono diverse persone riunite in un parco di pattinaggio con skateboard.")</f>
        <v>Ci sono diverse persone riunite in un parco di pattinaggio con skateboard.</v>
      </c>
    </row>
    <row r="586">
      <c r="A586" s="4" t="s">
        <v>745</v>
      </c>
      <c r="B586" s="6" t="s">
        <v>747</v>
      </c>
      <c r="C586" s="5" t="str">
        <f>IFERROR(__xludf.DUMMYFUNCTION("GOOGLETRANSLATE(B586,""en"",""it"")"),"Lì un giovane che indossa un cappello rosso che parla di un evento di skateboard al Red Bull Skate Arcade.")</f>
        <v>Lì un giovane che indossa un cappello rosso che parla di un evento di skateboard al Red Bull Skate Arcade.</v>
      </c>
    </row>
    <row r="587">
      <c r="A587" s="4" t="s">
        <v>745</v>
      </c>
      <c r="B587" s="4" t="s">
        <v>748</v>
      </c>
      <c r="C587" s="5" t="str">
        <f>IFERROR(__xludf.DUMMYFUNCTION("GOOGLETRANSLATE(B587,""en"",""it"")"),"Diversi spettatori sono raccolti nel portico insieme a una giuria.")</f>
        <v>Diversi spettatori sono raccolti nel portico insieme a una giuria.</v>
      </c>
    </row>
    <row r="588">
      <c r="A588" s="4" t="s">
        <v>745</v>
      </c>
      <c r="B588" s="4" t="s">
        <v>749</v>
      </c>
      <c r="C588" s="5" t="str">
        <f>IFERROR(__xludf.DUMMYFUNCTION("GOOGLETRANSLATE(B588,""en"",""it"")"),"Alcuni partecipanti stanno battendo il calore schizzando acqua su se stessi.")</f>
        <v>Alcuni partecipanti stanno battendo il calore schizzando acqua su se stessi.</v>
      </c>
    </row>
    <row r="589">
      <c r="A589" s="4" t="s">
        <v>745</v>
      </c>
      <c r="B589" s="4" t="s">
        <v>750</v>
      </c>
      <c r="C589" s="5" t="str">
        <f>IFERROR(__xludf.DUMMYFUNCTION("GOOGLETRANSLATE(B589,""en"",""it"")"),"I partecipanti iniziano le loro acrobazie sugli skateboard mentre superano rampe e pendii ripidi.")</f>
        <v>I partecipanti iniziano le loro acrobazie sugli skateboard mentre superano rampe e pendii ripidi.</v>
      </c>
    </row>
    <row r="590">
      <c r="A590" s="4" t="s">
        <v>745</v>
      </c>
      <c r="B590" s="4" t="s">
        <v>751</v>
      </c>
      <c r="C590" s="5" t="str">
        <f>IFERROR(__xludf.DUMMYFUNCTION("GOOGLETRANSLATE(B590,""en"",""it"")"),"Diversi partecipanti stanno sfoggiando le loro acrobazie mentre gli spettatori applaudino e applaudono per loro.")</f>
        <v>Diversi partecipanti stanno sfoggiando le loro acrobazie mentre gli spettatori applaudino e applaudono per loro.</v>
      </c>
    </row>
    <row r="591">
      <c r="A591" s="4" t="s">
        <v>745</v>
      </c>
      <c r="B591" s="6" t="s">
        <v>752</v>
      </c>
      <c r="C591" s="5" t="str">
        <f>IFERROR(__xludf.DUMMYFUNCTION("GOOGLETRANSLATE(B591,""en"",""it"")"),"Mostrano le loro acrobazie spaventose ma impressionanti mentre le pareti di salita e le ripide rampe senza cadere.")</f>
        <v>Mostrano le loro acrobazie spaventose ma impressionanti mentre le pareti di salita e le ripide rampe senza cadere.</v>
      </c>
    </row>
    <row r="592">
      <c r="A592" s="4" t="s">
        <v>745</v>
      </c>
      <c r="B592" s="4" t="s">
        <v>753</v>
      </c>
      <c r="C592" s="5" t="str">
        <f>IFERROR(__xludf.DUMMYFUNCTION("GOOGLETRANSLATE(B592,""en"",""it"")"),"Le folle tifano per loro e le applaudono.")</f>
        <v>Le folle tifano per loro e le applaudono.</v>
      </c>
    </row>
    <row r="593">
      <c r="A593" s="4" t="s">
        <v>745</v>
      </c>
      <c r="B593" s="4" t="s">
        <v>754</v>
      </c>
      <c r="C593" s="5" t="str">
        <f>IFERROR(__xludf.DUMMYFUNCTION("GOOGLETRANSLATE(B593,""en"",""it"")"),"Ai vincitori vengono assegnati certificati e premi per la vittoria.")</f>
        <v>Ai vincitori vengono assegnati certificati e premi per la vittoria.</v>
      </c>
    </row>
    <row r="594">
      <c r="A594" s="4" t="s">
        <v>755</v>
      </c>
      <c r="B594" s="4" t="s">
        <v>756</v>
      </c>
      <c r="C594" s="5" t="str">
        <f>IFERROR(__xludf.DUMMYFUNCTION("GOOGLETRANSLATE(B594,""en"",""it"")"),"Una persona lancia un frisbee per il suo cane per un cane da recuperare durante un evento su un campo sportivo.")</f>
        <v>Una persona lancia un frisbee per il suo cane per un cane da recuperare durante un evento su un campo sportivo.</v>
      </c>
    </row>
    <row r="595">
      <c r="A595" s="4" t="s">
        <v>755</v>
      </c>
      <c r="B595" s="4" t="s">
        <v>757</v>
      </c>
      <c r="C595" s="5" t="str">
        <f>IFERROR(__xludf.DUMMYFUNCTION("GOOGLETRANSLATE(B595,""en"",""it"")"),"Il cane cattura il frisbee e lo riporta all'allenatore.")</f>
        <v>Il cane cattura il frisbee e lo riporta all'allenatore.</v>
      </c>
    </row>
    <row r="596">
      <c r="A596" s="4" t="s">
        <v>758</v>
      </c>
      <c r="B596" s="4" t="s">
        <v>759</v>
      </c>
      <c r="C596" s="5" t="str">
        <f>IFERROR(__xludf.DUMMYFUNCTION("GOOGLETRANSLATE(B596,""en"",""it"")"),"C'è una donna che rappresenta la Giamaica che partecipa a un evento di salto in lungo.")</f>
        <v>C'è una donna che rappresenta la Giamaica che partecipa a un evento di salto in lungo.</v>
      </c>
    </row>
    <row r="597">
      <c r="A597" s="4" t="s">
        <v>758</v>
      </c>
      <c r="B597" s="4" t="s">
        <v>760</v>
      </c>
      <c r="C597" s="5" t="str">
        <f>IFERROR(__xludf.DUMMYFUNCTION("GOOGLETRANSLATE(B597,""en"",""it"")"),"C'è un'altra donna che fa un salto lungo da un altro paese.")</f>
        <v>C'è un'altra donna che fa un salto lungo da un altro paese.</v>
      </c>
    </row>
    <row r="598">
      <c r="A598" s="4" t="s">
        <v>758</v>
      </c>
      <c r="B598" s="4" t="s">
        <v>761</v>
      </c>
      <c r="C598" s="5" t="str">
        <f>IFERROR(__xludf.DUMMYFUNCTION("GOOGLETRANSLATE(B598,""en"",""it"")"),"Diversi altri concorrenti stanno partecipando alla stessa competizione di salto in lungo.")</f>
        <v>Diversi altri concorrenti stanno partecipando alla stessa competizione di salto in lungo.</v>
      </c>
    </row>
    <row r="599">
      <c r="A599" s="4" t="s">
        <v>758</v>
      </c>
      <c r="B599" s="4" t="s">
        <v>762</v>
      </c>
      <c r="C599" s="5" t="str">
        <f>IFERROR(__xludf.DUMMYFUNCTION("GOOGLETRANSLATE(B599,""en"",""it"")"),"Ci sono spettatori che li guardano mentre competono l'uno contro l'altro.")</f>
        <v>Ci sono spettatori che li guardano mentre competono l'uno contro l'altro.</v>
      </c>
    </row>
    <row r="600">
      <c r="A600" s="4" t="s">
        <v>758</v>
      </c>
      <c r="B600" s="4" t="s">
        <v>763</v>
      </c>
      <c r="C600" s="5" t="str">
        <f>IFERROR(__xludf.DUMMYFUNCTION("GOOGLETRANSLATE(B600,""en"",""it"")"),"Il concorrente di Istanbul fa un salto molto lungo nella buca della sabbia.")</f>
        <v>Il concorrente di Istanbul fa un salto molto lungo nella buca della sabbia.</v>
      </c>
    </row>
    <row r="601">
      <c r="A601" s="4" t="s">
        <v>758</v>
      </c>
      <c r="B601" s="4" t="s">
        <v>764</v>
      </c>
      <c r="C601" s="5" t="str">
        <f>IFERROR(__xludf.DUMMYFUNCTION("GOOGLETRANSLATE(B601,""en"",""it"")"),"I concorrenti continuano a competere nell'evento sportivo.")</f>
        <v>I concorrenti continuano a competere nell'evento sportivo.</v>
      </c>
    </row>
    <row r="602">
      <c r="A602" s="4" t="s">
        <v>765</v>
      </c>
      <c r="B602" s="4" t="s">
        <v>766</v>
      </c>
      <c r="C602" s="5" t="str">
        <f>IFERROR(__xludf.DUMMYFUNCTION("GOOGLETRANSLATE(B602,""en"",""it"")"),"Un uomo è visto seduto su un equipaggiamento da esercizio con un allenatore in piedi di fronte a lui.")</f>
        <v>Un uomo è visto seduto su un equipaggiamento da esercizio con un allenatore in piedi di fronte a lui.</v>
      </c>
    </row>
    <row r="603">
      <c r="A603" s="4" t="s">
        <v>765</v>
      </c>
      <c r="B603" s="4" t="s">
        <v>767</v>
      </c>
      <c r="C603" s="5" t="str">
        <f>IFERROR(__xludf.DUMMYFUNCTION("GOOGLETRANSLATE(B603,""en"",""it"")"),"L'uomo si sposta quindi indietro e quarto sulla macchina mentre l'altro uomo aiuta.")</f>
        <v>L'uomo si sposta quindi indietro e quarto sulla macchina mentre l'altro uomo aiuta.</v>
      </c>
    </row>
    <row r="604">
      <c r="A604" s="4" t="s">
        <v>765</v>
      </c>
      <c r="B604" s="4" t="s">
        <v>768</v>
      </c>
      <c r="C604" s="5" t="str">
        <f>IFERROR(__xludf.DUMMYFUNCTION("GOOGLETRANSLATE(B604,""en"",""it"")"),"Viene mostrato di nuovo in un altro clip che si muove e il trainer che aiuta.")</f>
        <v>Viene mostrato di nuovo in un altro clip che si muove e il trainer che aiuta.</v>
      </c>
    </row>
    <row r="605">
      <c r="A605" s="4" t="s">
        <v>769</v>
      </c>
      <c r="B605" s="4" t="s">
        <v>770</v>
      </c>
      <c r="C605" s="5" t="str">
        <f>IFERROR(__xludf.DUMMYFUNCTION("GOOGLETRANSLATE(B605,""en"",""it"")"),"Vediamo gli schermi del titolo e delle presentazioni.")</f>
        <v>Vediamo gli schermi del titolo e delle presentazioni.</v>
      </c>
    </row>
    <row r="606">
      <c r="A606" s="4" t="s">
        <v>769</v>
      </c>
      <c r="B606" s="4" t="s">
        <v>771</v>
      </c>
      <c r="C606" s="5" t="str">
        <f>IFERROR(__xludf.DUMMYFUNCTION("GOOGLETRANSLATE(B606,""en"",""it"")"),"Vediamo una barca con un uomo sopra.")</f>
        <v>Vediamo una barca con un uomo sopra.</v>
      </c>
    </row>
    <row r="607">
      <c r="A607" s="4" t="s">
        <v>769</v>
      </c>
      <c r="B607" s="4" t="s">
        <v>772</v>
      </c>
      <c r="C607" s="5" t="str">
        <f>IFERROR(__xludf.DUMMYFUNCTION("GOOGLETRANSLATE(B607,""en"",""it"")"),"Vediamo le persone e l'interno della barca.")</f>
        <v>Vediamo le persone e l'interno della barca.</v>
      </c>
    </row>
    <row r="608">
      <c r="A608" s="4" t="s">
        <v>769</v>
      </c>
      <c r="B608" s="4" t="s">
        <v>773</v>
      </c>
      <c r="C608" s="5" t="str">
        <f>IFERROR(__xludf.DUMMYFUNCTION("GOOGLETRANSLATE(B608,""en"",""it"")"),"L'uomo si sveglia intorno a un lago.")</f>
        <v>L'uomo si sveglia intorno a un lago.</v>
      </c>
    </row>
    <row r="609">
      <c r="A609" s="4" t="s">
        <v>769</v>
      </c>
      <c r="B609" s="4" t="s">
        <v>774</v>
      </c>
      <c r="C609" s="5" t="str">
        <f>IFERROR(__xludf.DUMMYFUNCTION("GOOGLETRANSLATE(B609,""en"",""it"")"),"Vediamo la barca con persone dentro.")</f>
        <v>Vediamo la barca con persone dentro.</v>
      </c>
    </row>
    <row r="610">
      <c r="A610" s="4" t="s">
        <v>769</v>
      </c>
      <c r="B610" s="6" t="s">
        <v>775</v>
      </c>
      <c r="C610" s="5" t="str">
        <f>IFERROR(__xludf.DUMMYFUNCTION("GOOGLETRANSLATE(B610,""en"",""it"")"),"L'uomo tira fuori la scala e si arrampica sulla barca, poi vediamo una barca decollare e in una sala da spettacolo.")</f>
        <v>L'uomo tira fuori la scala e si arrampica sulla barca, poi vediamo una barca decollare e in una sala da spettacolo.</v>
      </c>
    </row>
    <row r="611">
      <c r="A611" s="4" t="s">
        <v>769</v>
      </c>
      <c r="B611" s="4" t="s">
        <v>776</v>
      </c>
      <c r="C611" s="5" t="str">
        <f>IFERROR(__xludf.DUMMYFUNCTION("GOOGLETRANSLATE(B611,""en"",""it"")"),"L'uomo cade dal wakeboard 2 volte.")</f>
        <v>L'uomo cade dal wakeboard 2 volte.</v>
      </c>
    </row>
    <row r="612">
      <c r="A612" s="4" t="s">
        <v>769</v>
      </c>
      <c r="B612" s="4" t="s">
        <v>777</v>
      </c>
      <c r="C612" s="5" t="str">
        <f>IFERROR(__xludf.DUMMYFUNCTION("GOOGLETRANSLATE(B612,""en"",""it"")"),"Vediamo la schermata del titolo finale.")</f>
        <v>Vediamo la schermata del titolo finale.</v>
      </c>
    </row>
    <row r="613">
      <c r="A613" s="4" t="s">
        <v>778</v>
      </c>
      <c r="B613" s="4" t="s">
        <v>779</v>
      </c>
      <c r="C613" s="5" t="str">
        <f>IFERROR(__xludf.DUMMYFUNCTION("GOOGLETRANSLATE(B613,""en"",""it"")"),"All'inizio l'uomo viene mostrato ingannando il toro.")</f>
        <v>All'inizio l'uomo viene mostrato ingannando il toro.</v>
      </c>
    </row>
    <row r="614">
      <c r="A614" s="4" t="s">
        <v>778</v>
      </c>
      <c r="B614" s="4" t="s">
        <v>780</v>
      </c>
      <c r="C614" s="5" t="str">
        <f>IFERROR(__xludf.DUMMYFUNCTION("GOOGLETRANSLATE(B614,""en"",""it"")"),"A molti altri uomini sono stati mostrati tori davanti a grandi folle.")</f>
        <v>A molti altri uomini sono stati mostrati tori davanti a grandi folle.</v>
      </c>
    </row>
    <row r="615">
      <c r="A615" s="4" t="s">
        <v>781</v>
      </c>
      <c r="B615" s="4" t="s">
        <v>782</v>
      </c>
      <c r="C615" s="5" t="str">
        <f>IFERROR(__xludf.DUMMYFUNCTION("GOOGLETRANSLATE(B615,""en"",""it"")"),"Una giovane ginnasta maschile è un'arena in piedi su un tappetino che si prepara a fare la sua routine.")</f>
        <v>Una giovane ginnasta maschile è un'arena in piedi su un tappetino che si prepara a fare la sua routine.</v>
      </c>
    </row>
    <row r="616">
      <c r="A616" s="4" t="s">
        <v>781</v>
      </c>
      <c r="B616" s="4" t="s">
        <v>783</v>
      </c>
      <c r="C616" s="5" t="str">
        <f>IFERROR(__xludf.DUMMYFUNCTION("GOOGLETRANSLATE(B616,""en"",""it"")"),"Il ragazzo si avvicinò quindi alle barre e fa una serie di oscillazioni e si stavano in aria.")</f>
        <v>Il ragazzo si avvicinò quindi alle barre e fa una serie di oscillazioni e si stavano in aria.</v>
      </c>
    </row>
    <row r="617">
      <c r="A617" s="4" t="s">
        <v>781</v>
      </c>
      <c r="B617" s="6" t="s">
        <v>784</v>
      </c>
      <c r="C617" s="5" t="str">
        <f>IFERROR(__xludf.DUMMYFUNCTION("GOOGLETRANSLATE(B617,""en"",""it"")"),"Mentre si esibisce, aggiunge diversi lanci e rotola nella sua esibizione prima di saltare finalmente dalle barre.")</f>
        <v>Mentre si esibisce, aggiunge diversi lanci e rotola nella sua esibizione prima di saltare finalmente dalle barre.</v>
      </c>
    </row>
    <row r="618">
      <c r="A618" s="4" t="s">
        <v>785</v>
      </c>
      <c r="B618" s="4" t="s">
        <v>786</v>
      </c>
      <c r="C618" s="5" t="str">
        <f>IFERROR(__xludf.DUMMYFUNCTION("GOOGLETRANSLATE(B618,""en"",""it"")"),"Gli uomini giocano a badminton nella sabbia.")</f>
        <v>Gli uomini giocano a badminton nella sabbia.</v>
      </c>
    </row>
    <row r="619">
      <c r="A619" s="4" t="s">
        <v>785</v>
      </c>
      <c r="B619" s="4" t="s">
        <v>787</v>
      </c>
      <c r="C619" s="5" t="str">
        <f>IFERROR(__xludf.DUMMYFUNCTION("GOOGLETRANSLATE(B619,""en"",""it"")"),"Un uomo a sinistra serve l'uccello entrambi gli uomini sulla destra.")</f>
        <v>Un uomo a sinistra serve l'uccello entrambi gli uomini sulla destra.</v>
      </c>
    </row>
    <row r="620">
      <c r="A620" s="4" t="s">
        <v>785</v>
      </c>
      <c r="B620" s="4" t="s">
        <v>788</v>
      </c>
      <c r="C620" s="5" t="str">
        <f>IFERROR(__xludf.DUMMYFUNCTION("GOOGLETRANSLATE(B620,""en"",""it"")"),"L'uomo a destra serve e l'uomo a sinistra lo colpisce indietro ma colpisce la rete.")</f>
        <v>L'uomo a destra serve e l'uomo a sinistra lo colpisce indietro ma colpisce la rete.</v>
      </c>
    </row>
    <row r="621">
      <c r="A621" s="4" t="s">
        <v>785</v>
      </c>
      <c r="B621" s="4" t="s">
        <v>789</v>
      </c>
      <c r="C621" s="5" t="str">
        <f>IFERROR(__xludf.DUMMYFUNCTION("GOOGLETRANSLATE(B621,""en"",""it"")"),"Un uomo si trova a sinistra.")</f>
        <v>Un uomo si trova a sinistra.</v>
      </c>
    </row>
    <row r="622">
      <c r="A622" s="4" t="s">
        <v>790</v>
      </c>
      <c r="B622" s="4" t="s">
        <v>791</v>
      </c>
      <c r="C622" s="5" t="str">
        <f>IFERROR(__xludf.DUMMYFUNCTION("GOOGLETRANSLATE(B622,""en"",""it"")"),"Un uomo mette l'intonaco su una base.")</f>
        <v>Un uomo mette l'intonaco su una base.</v>
      </c>
    </row>
    <row r="623">
      <c r="A623" s="4" t="s">
        <v>790</v>
      </c>
      <c r="B623" s="4" t="s">
        <v>792</v>
      </c>
      <c r="C623" s="5" t="str">
        <f>IFERROR(__xludf.DUMMYFUNCTION("GOOGLETRANSLATE(B623,""en"",""it"")"),"L'uomo si avvicina e lo strofina sul soffitto.")</f>
        <v>L'uomo si avvicina e lo strofina sul soffitto.</v>
      </c>
    </row>
    <row r="624">
      <c r="A624" s="4" t="s">
        <v>790</v>
      </c>
      <c r="B624" s="4" t="s">
        <v>793</v>
      </c>
      <c r="C624" s="5" t="str">
        <f>IFERROR(__xludf.DUMMYFUNCTION("GOOGLETRANSLATE(B624,""en"",""it"")"),"Vediamo i passi da gigante su cui sta camminando.")</f>
        <v>Vediamo i passi da gigante su cui sta camminando.</v>
      </c>
    </row>
    <row r="625">
      <c r="A625" s="4" t="s">
        <v>790</v>
      </c>
      <c r="B625" s="4" t="s">
        <v>794</v>
      </c>
      <c r="C625" s="5" t="str">
        <f>IFERROR(__xludf.DUMMYFUNCTION("GOOGLETRANSLATE(B625,""en"",""it"")"),"La fotocamera diventa traballante e sfocata.")</f>
        <v>La fotocamera diventa traballante e sfocata.</v>
      </c>
    </row>
    <row r="626">
      <c r="A626" s="4" t="s">
        <v>790</v>
      </c>
      <c r="B626" s="4" t="s">
        <v>795</v>
      </c>
      <c r="C626" s="5" t="str">
        <f>IFERROR(__xludf.DUMMYFUNCTION("GOOGLETRANSLATE(B626,""en"",""it"")"),"L'uomo si china per afferrare più intonaco.")</f>
        <v>L'uomo si china per afferrare più intonaco.</v>
      </c>
    </row>
    <row r="627">
      <c r="A627" s="4" t="s">
        <v>790</v>
      </c>
      <c r="B627" s="4" t="s">
        <v>796</v>
      </c>
      <c r="C627" s="5" t="str">
        <f>IFERROR(__xludf.DUMMYFUNCTION("GOOGLETRANSLATE(B627,""en"",""it"")"),"L'uomo sorride e il video finisce.")</f>
        <v>L'uomo sorride e il video finisce.</v>
      </c>
    </row>
    <row r="628">
      <c r="A628" s="4" t="s">
        <v>797</v>
      </c>
      <c r="B628" s="4" t="s">
        <v>798</v>
      </c>
      <c r="C628" s="5" t="str">
        <f>IFERROR(__xludf.DUMMYFUNCTION("GOOGLETRANSLATE(B628,""en"",""it"")"),"C'è un uomo che annuisce nel primo fotogramma.")</f>
        <v>C'è un uomo che annuisce nel primo fotogramma.</v>
      </c>
    </row>
    <row r="629">
      <c r="A629" s="4" t="s">
        <v>797</v>
      </c>
      <c r="B629" s="6" t="s">
        <v>799</v>
      </c>
      <c r="C629" s="5" t="str">
        <f>IFERROR(__xludf.DUMMYFUNCTION("GOOGLETRANSLATE(B629,""en"",""it"")"),"I video film per l'uomo che mettono la carta da muro misurandolo prima, allineando il modello e mettendolo sul muro.")</f>
        <v>I video film per l'uomo che mettono la carta da muro misurandolo prima, allineando il modello e mettendolo sul muro.</v>
      </c>
    </row>
    <row r="630">
      <c r="A630" s="4" t="s">
        <v>797</v>
      </c>
      <c r="B630" s="6" t="s">
        <v>800</v>
      </c>
      <c r="C630" s="5" t="str">
        <f>IFERROR(__xludf.DUMMYFUNCTION("GOOGLETRANSLATE(B630,""en"",""it"")"),"Quindi svita un interruttore della luce e lo tira fuori un po ', facendo delle fessure nel tessuto o nella carta, quindi rimettendo l'interruttore della luce sulla nuova carta da toeletta.")</f>
        <v>Quindi svita un interruttore della luce e lo tira fuori un po ', facendo delle fessure nel tessuto o nella carta, quindi rimettendo l'interruttore della luce sulla nuova carta da toeletta.</v>
      </c>
    </row>
    <row r="631">
      <c r="A631" s="4" t="s">
        <v>797</v>
      </c>
      <c r="B631" s="6" t="s">
        <v>801</v>
      </c>
      <c r="C631" s="5" t="str">
        <f>IFERROR(__xludf.DUMMYFUNCTION("GOOGLETRANSLATE(B631,""en"",""it"")"),"La fotocamera mostra carta da muro in una stanza finita, che attraversa diverse stanze con diverse carte da parete.")</f>
        <v>La fotocamera mostra carta da muro in una stanza finita, che attraversa diverse stanze con diverse carte da parete.</v>
      </c>
    </row>
    <row r="632">
      <c r="A632" s="4" t="s">
        <v>797</v>
      </c>
      <c r="B632" s="6" t="s">
        <v>802</v>
      </c>
      <c r="C632" s="5" t="str">
        <f>IFERROR(__xludf.DUMMYFUNCTION("GOOGLETRANSLATE(B632,""en"",""it"")"),"L'uomo viene successivamente visto misurare e contrassegnare il muro, lanciare più carta da muro e metterlo sul muro.")</f>
        <v>L'uomo viene successivamente visto misurare e contrassegnare il muro, lanciare più carta da muro e metterlo sul muro.</v>
      </c>
    </row>
    <row r="633">
      <c r="A633" s="4" t="s">
        <v>797</v>
      </c>
      <c r="B633" s="4" t="s">
        <v>803</v>
      </c>
      <c r="C633" s="5" t="str">
        <f>IFERROR(__xludf.DUMMYFUNCTION("GOOGLETRANSLATE(B633,""en"",""it"")"),"Quindi mostra due tavoli che sembrano essere stati anche cartacei.")</f>
        <v>Quindi mostra due tavoli che sembrano essere stati anche cartacei.</v>
      </c>
    </row>
    <row r="634">
      <c r="A634" s="4" t="s">
        <v>804</v>
      </c>
      <c r="B634" s="4" t="s">
        <v>805</v>
      </c>
      <c r="C634" s="5" t="str">
        <f>IFERROR(__xludf.DUMMYFUNCTION("GOOGLETRANSLATE(B634,""en"",""it"")"),"Un'introduzione al testo conduce in una foto di un cane e lo stesso cane che corre lungo il cortile.")</f>
        <v>Un'introduzione al testo conduce in una foto di un cane e lo stesso cane che corre lungo il cortile.</v>
      </c>
    </row>
    <row r="635">
      <c r="A635" s="4" t="s">
        <v>804</v>
      </c>
      <c r="B635" s="4" t="s">
        <v>806</v>
      </c>
      <c r="C635" s="5" t="str">
        <f>IFERROR(__xludf.DUMMYFUNCTION("GOOGLETRANSLATE(B635,""en"",""it"")"),"Il cane è visto in diverse clip che inseguono un frisbee.")</f>
        <v>Il cane è visto in diverse clip che inseguono un frisbee.</v>
      </c>
    </row>
    <row r="636">
      <c r="A636" s="4" t="s">
        <v>804</v>
      </c>
      <c r="B636" s="4" t="s">
        <v>807</v>
      </c>
      <c r="C636" s="5" t="str">
        <f>IFERROR(__xludf.DUMMYFUNCTION("GOOGLETRANSLATE(B636,""en"",""it"")"),"Un uomo getta il frisbee al cane nel cortile che continua a inseguirlo.")</f>
        <v>Un uomo getta il frisbee al cane nel cortile che continua a inseguirlo.</v>
      </c>
    </row>
    <row r="637">
      <c r="A637" s="4" t="s">
        <v>808</v>
      </c>
      <c r="B637" s="4" t="s">
        <v>809</v>
      </c>
      <c r="C637" s="5" t="str">
        <f>IFERROR(__xludf.DUMMYFUNCTION("GOOGLETRANSLATE(B637,""en"",""it"")"),"Gli individui corrono con un bastone allungato e lo usano per elevare i loro corpi su un ostacolo intensificato.")</f>
        <v>Gli individui corrono con un bastone allungato e lo usano per elevare i loro corpi su un ostacolo intensificato.</v>
      </c>
    </row>
    <row r="638">
      <c r="A638" s="4" t="s">
        <v>808</v>
      </c>
      <c r="B638" s="4" t="s">
        <v>810</v>
      </c>
      <c r="C638" s="5" t="str">
        <f>IFERROR(__xludf.DUMMYFUNCTION("GOOGLETRANSLATE(B638,""en"",""it"")"),"Un ragazzo tocca la parte posteriore dell'individuo mentre solleva il suo corpo.")</f>
        <v>Un ragazzo tocca la parte posteriore dell'individuo mentre solleva il suo corpo.</v>
      </c>
    </row>
    <row r="639">
      <c r="A639" s="4" t="s">
        <v>808</v>
      </c>
      <c r="B639" s="4" t="s">
        <v>811</v>
      </c>
      <c r="C639" s="5" t="str">
        <f>IFERROR(__xludf.DUMMYFUNCTION("GOOGLETRANSLATE(B639,""en"",""it"")"),"Il ragazzo sembra cadere indietro mentre cerca di sollevare il corpo perché la clip è invertita.")</f>
        <v>Il ragazzo sembra cadere indietro mentre cerca di sollevare il corpo perché la clip è invertita.</v>
      </c>
    </row>
    <row r="640">
      <c r="A640" s="4" t="s">
        <v>808</v>
      </c>
      <c r="B640" s="4" t="s">
        <v>573</v>
      </c>
      <c r="C640" s="5" t="str">
        <f>IFERROR(__xludf.DUMMYFUNCTION("GOOGLETRANSLATE(B640,""en"",""it"")"),"Vengono visualizzati i crediti del video.")</f>
        <v>Vengono visualizzati i crediti del video.</v>
      </c>
    </row>
    <row r="641">
      <c r="A641" s="4" t="s">
        <v>812</v>
      </c>
      <c r="B641" s="4" t="s">
        <v>813</v>
      </c>
      <c r="C641" s="5" t="str">
        <f>IFERROR(__xludf.DUMMYFUNCTION("GOOGLETRANSLATE(B641,""en"",""it"")"),"Una telecamera si avvicina a una persona in piedi in cucina e poi balla sul pavimento.")</f>
        <v>Una telecamera si avvicina a una persona in piedi in cucina e poi balla sul pavimento.</v>
      </c>
    </row>
    <row r="642">
      <c r="A642" s="4" t="s">
        <v>812</v>
      </c>
      <c r="B642" s="4" t="s">
        <v>814</v>
      </c>
      <c r="C642" s="5" t="str">
        <f>IFERROR(__xludf.DUMMYFUNCTION("GOOGLETRANSLATE(B642,""en"",""it"")"),"L'uomo continua a ballare mentre guarda alla telecamera e canta.")</f>
        <v>L'uomo continua a ballare mentre guarda alla telecamera e canta.</v>
      </c>
    </row>
    <row r="643">
      <c r="A643" s="4" t="s">
        <v>815</v>
      </c>
      <c r="B643" s="6" t="s">
        <v>816</v>
      </c>
      <c r="C643" s="5" t="str">
        <f>IFERROR(__xludf.DUMMYFUNCTION("GOOGLETRANSLATE(B643,""en"",""it"")"),"Un folto gruppo di cheerleader si vede che si imbattono in un'arena incoraggiando e iniziano a eseguire una routine tra loro.")</f>
        <v>Un folto gruppo di cheerleader si vede che si imbattono in un'arena incoraggiando e iniziano a eseguire una routine tra loro.</v>
      </c>
    </row>
    <row r="644">
      <c r="A644" s="4" t="s">
        <v>815</v>
      </c>
      <c r="B644" s="6" t="s">
        <v>817</v>
      </c>
      <c r="C644" s="5" t="str">
        <f>IFERROR(__xludf.DUMMYFUNCTION("GOOGLETRANSLATE(B644,""en"",""it"")"),"Le ragazze continuano a fare il tifo sul palco mentre si sollevano e eseguendo trucchi e padelle al pubblico alla fine.")</f>
        <v>Le ragazze continuano a fare il tifo sul palco mentre si sollevano e eseguendo trucchi e padelle al pubblico alla fine.</v>
      </c>
    </row>
    <row r="645">
      <c r="A645" s="4" t="s">
        <v>818</v>
      </c>
      <c r="B645" s="4" t="s">
        <v>819</v>
      </c>
      <c r="C645" s="5" t="str">
        <f>IFERROR(__xludf.DUMMYFUNCTION("GOOGLETRANSLATE(B645,""en"",""it"")"),"Una donna è seduta su una sedia in una sala da pranzo.")</f>
        <v>Una donna è seduta su una sedia in una sala da pranzo.</v>
      </c>
    </row>
    <row r="646">
      <c r="A646" s="4" t="s">
        <v>818</v>
      </c>
      <c r="B646" s="4" t="s">
        <v>820</v>
      </c>
      <c r="C646" s="5" t="str">
        <f>IFERROR(__xludf.DUMMYFUNCTION("GOOGLETRANSLATE(B646,""en"",""it"")"),"Lei mostra i suoi piedi nudi e la loro forma.")</f>
        <v>Lei mostra i suoi piedi nudi e la loro forma.</v>
      </c>
    </row>
    <row r="647">
      <c r="A647" s="4" t="s">
        <v>818</v>
      </c>
      <c r="B647" s="4" t="s">
        <v>821</v>
      </c>
      <c r="C647" s="5" t="str">
        <f>IFERROR(__xludf.DUMMYFUNCTION("GOOGLETRANSLATE(B647,""en"",""it"")"),"Poi si mette e cerca di allacciarsi le scarpe attorno ai piedi gonfi.")</f>
        <v>Poi si mette e cerca di allacciarsi le scarpe attorno ai piedi gonfi.</v>
      </c>
    </row>
    <row r="648">
      <c r="A648" s="4" t="s">
        <v>822</v>
      </c>
      <c r="B648" s="4" t="s">
        <v>823</v>
      </c>
      <c r="C648" s="5" t="str">
        <f>IFERROR(__xludf.DUMMYFUNCTION("GOOGLETRANSLATE(B648,""en"",""it"")"),"Due bambini stanno arrampicando una parete di roccia.")</f>
        <v>Due bambini stanno arrampicando una parete di roccia.</v>
      </c>
    </row>
    <row r="649">
      <c r="A649" s="4" t="s">
        <v>822</v>
      </c>
      <c r="B649" s="4" t="s">
        <v>824</v>
      </c>
      <c r="C649" s="5" t="str">
        <f>IFERROR(__xludf.DUMMYFUNCTION("GOOGLETRANSLATE(B649,""en"",""it"")"),"Gli adulti stanno guidando le linee.")</f>
        <v>Gli adulti stanno guidando le linee.</v>
      </c>
    </row>
    <row r="650">
      <c r="A650" s="4" t="s">
        <v>822</v>
      </c>
      <c r="B650" s="4" t="s">
        <v>825</v>
      </c>
      <c r="C650" s="5" t="str">
        <f>IFERROR(__xludf.DUMMYFUNCTION("GOOGLETRANSLATE(B650,""en"",""it"")"),"I bambini continuano a salire.")</f>
        <v>I bambini continuano a salire.</v>
      </c>
    </row>
    <row r="651">
      <c r="A651" s="4" t="s">
        <v>822</v>
      </c>
      <c r="B651" s="4" t="s">
        <v>826</v>
      </c>
      <c r="C651" s="5" t="str">
        <f>IFERROR(__xludf.DUMMYFUNCTION("GOOGLETRANSLATE(B651,""en"",""it"")"),"Quello a destra arriverà prima in cima.")</f>
        <v>Quello a destra arriverà prima in cima.</v>
      </c>
    </row>
    <row r="652">
      <c r="A652" s="4" t="s">
        <v>822</v>
      </c>
      <c r="B652" s="4" t="s">
        <v>827</v>
      </c>
      <c r="C652" s="5" t="str">
        <f>IFERROR(__xludf.DUMMYFUNCTION("GOOGLETRANSLATE(B652,""en"",""it"")"),"Quello a sinistra non è arrivato in cima, entrambi saltano giù dal muro.")</f>
        <v>Quello a sinistra non è arrivato in cima, entrambi saltano giù dal muro.</v>
      </c>
    </row>
    <row r="653">
      <c r="A653" s="4" t="s">
        <v>828</v>
      </c>
      <c r="B653" s="4" t="s">
        <v>829</v>
      </c>
      <c r="C653" s="5" t="str">
        <f>IFERROR(__xludf.DUMMYFUNCTION("GOOGLETRANSLATE(B653,""en"",""it"")"),"Una donna e un uomo si allenano seduti su una macchina cardio.")</f>
        <v>Una donna e un uomo si allenano seduti su una macchina cardio.</v>
      </c>
    </row>
    <row r="654">
      <c r="A654" s="4" t="s">
        <v>828</v>
      </c>
      <c r="B654" s="4" t="s">
        <v>830</v>
      </c>
      <c r="C654" s="5" t="str">
        <f>IFERROR(__xludf.DUMMYFUNCTION("GOOGLETRANSLATE(B654,""en"",""it"")"),"Una donna si trova seduta su una macchina cardio.")</f>
        <v>Una donna si trova seduta su una macchina cardio.</v>
      </c>
    </row>
    <row r="655">
      <c r="A655" s="4" t="s">
        <v>828</v>
      </c>
      <c r="B655" s="4" t="s">
        <v>831</v>
      </c>
      <c r="C655" s="5" t="str">
        <f>IFERROR(__xludf.DUMMYFUNCTION("GOOGLETRANSLATE(B655,""en"",""it"")"),"Un uomo si trova dopo una donna che esegue allenamenti cardio.")</f>
        <v>Un uomo si trova dopo una donna che esegue allenamenti cardio.</v>
      </c>
    </row>
    <row r="656">
      <c r="A656" s="4" t="s">
        <v>832</v>
      </c>
      <c r="B656" s="4" t="s">
        <v>833</v>
      </c>
      <c r="C656" s="5" t="str">
        <f>IFERROR(__xludf.DUMMYFUNCTION("GOOGLETRANSLATE(B656,""en"",""it"")"),"Una ragazza sta giocando a Hopscotch su un marciapiede.")</f>
        <v>Una ragazza sta giocando a Hopscotch su un marciapiede.</v>
      </c>
    </row>
    <row r="657">
      <c r="A657" s="4" t="s">
        <v>832</v>
      </c>
      <c r="B657" s="4" t="s">
        <v>834</v>
      </c>
      <c r="C657" s="5" t="str">
        <f>IFERROR(__xludf.DUMMYFUNCTION("GOOGLETRANSLATE(B657,""en"",""it"")"),"Arriva alla fine e si gira per tornare indietro.")</f>
        <v>Arriva alla fine e si gira per tornare indietro.</v>
      </c>
    </row>
    <row r="658">
      <c r="A658" s="4" t="s">
        <v>832</v>
      </c>
      <c r="B658" s="4" t="s">
        <v>835</v>
      </c>
      <c r="C658" s="5" t="str">
        <f>IFERROR(__xludf.DUMMYFUNCTION("GOOGLETRANSLATE(B658,""en"",""it"")"),"Un'altra ragazza getta un disco sul marciapiede e inizia a giocare a hopscotch.")</f>
        <v>Un'altra ragazza getta un disco sul marciapiede e inizia a giocare a hopscotch.</v>
      </c>
    </row>
    <row r="659">
      <c r="A659" s="4" t="s">
        <v>836</v>
      </c>
      <c r="B659" s="4" t="s">
        <v>837</v>
      </c>
      <c r="C659" s="5" t="str">
        <f>IFERROR(__xludf.DUMMYFUNCTION("GOOGLETRANSLATE(B659,""en"",""it"")"),"Una persona risolve un puzzle di cubo che lancia i pezzi.")</f>
        <v>Una persona risolve un puzzle di cubo che lancia i pezzi.</v>
      </c>
    </row>
    <row r="660">
      <c r="A660" s="4" t="s">
        <v>836</v>
      </c>
      <c r="B660" s="4" t="s">
        <v>838</v>
      </c>
      <c r="C660" s="5" t="str">
        <f>IFERROR(__xludf.DUMMYFUNCTION("GOOGLETRANSLATE(B660,""en"",""it"")"),"La persona risolve il puzzle e mostra un cronometro.")</f>
        <v>La persona risolve il puzzle e mostra un cronometro.</v>
      </c>
    </row>
    <row r="661">
      <c r="A661" s="4" t="s">
        <v>839</v>
      </c>
      <c r="B661" s="6" t="s">
        <v>840</v>
      </c>
      <c r="C661" s="5" t="str">
        <f>IFERROR(__xludf.DUMMYFUNCTION("GOOGLETRANSLATE(B661,""en"",""it"")"),"Due bambini piccoli vengono visti cavalcare su un cammello oltre un gruppo di persone e un uomo che li conduce.")</f>
        <v>Due bambini piccoli vengono visti cavalcare su un cammello oltre un gruppo di persone e un uomo che li conduce.</v>
      </c>
    </row>
    <row r="662">
      <c r="A662" s="4" t="s">
        <v>839</v>
      </c>
      <c r="B662" s="6" t="s">
        <v>841</v>
      </c>
      <c r="C662" s="5" t="str">
        <f>IFERROR(__xludf.DUMMYFUNCTION("GOOGLETRANSLATE(B662,""en"",""it"")"),"L'uomo continua a condurre il cammello in giro con i bambini in cima e finisce con loro che si arrampicano e altri si avvicinano.")</f>
        <v>L'uomo continua a condurre il cammello in giro con i bambini in cima e finisce con loro che si arrampicano e altri si avvicinano.</v>
      </c>
    </row>
    <row r="663">
      <c r="A663" s="4" t="s">
        <v>842</v>
      </c>
      <c r="B663" s="6" t="s">
        <v>843</v>
      </c>
      <c r="C663" s="5" t="str">
        <f>IFERROR(__xludf.DUMMYFUNCTION("GOOGLETRANSLATE(B663,""en"",""it"")"),"I bambini piccoli vengono visti saltare su un tappetino e quarto mentre due donne anziane li guardano sul lato.")</f>
        <v>I bambini piccoli vengono visti saltare su un tappetino e quarto mentre due donne anziane li guardano sul lato.</v>
      </c>
    </row>
    <row r="664">
      <c r="A664" s="4" t="s">
        <v>842</v>
      </c>
      <c r="B664" s="4" t="s">
        <v>844</v>
      </c>
      <c r="C664" s="5" t="str">
        <f>IFERROR(__xludf.DUMMYFUNCTION("GOOGLETRANSLATE(B664,""en"",""it"")"),"Il ragazzo quindi fa un grande salto e la ragazza sta di fronte a lui.")</f>
        <v>Il ragazzo quindi fa un grande salto e la ragazza sta di fronte a lui.</v>
      </c>
    </row>
    <row r="665">
      <c r="A665" s="4" t="s">
        <v>845</v>
      </c>
      <c r="B665" s="4" t="s">
        <v>846</v>
      </c>
      <c r="C665" s="5" t="str">
        <f>IFERROR(__xludf.DUMMYFUNCTION("GOOGLETRANSLATE(B665,""en"",""it"")"),"Un uomo si avvicina a uno scoop di neve.")</f>
        <v>Un uomo si avvicina a uno scoop di neve.</v>
      </c>
    </row>
    <row r="666">
      <c r="A666" s="4" t="s">
        <v>845</v>
      </c>
      <c r="B666" s="4" t="s">
        <v>847</v>
      </c>
      <c r="C666" s="5" t="str">
        <f>IFERROR(__xludf.DUMMYFUNCTION("GOOGLETRANSLATE(B666,""en"",""it"")"),"L'uomo spala la neve su un tetto mentre il cameraman parla.")</f>
        <v>L'uomo spala la neve su un tetto mentre il cameraman parla.</v>
      </c>
    </row>
    <row r="667">
      <c r="A667" s="4" t="s">
        <v>845</v>
      </c>
      <c r="B667" s="4" t="s">
        <v>848</v>
      </c>
      <c r="C667" s="5" t="str">
        <f>IFERROR(__xludf.DUMMYFUNCTION("GOOGLETRANSLATE(B667,""en"",""it"")"),"L'uomo smette di raccogliere la neve.")</f>
        <v>L'uomo smette di raccogliere la neve.</v>
      </c>
    </row>
    <row r="668">
      <c r="A668" s="4" t="s">
        <v>849</v>
      </c>
      <c r="B668" s="6" t="s">
        <v>850</v>
      </c>
      <c r="C668" s="5" t="str">
        <f>IFERROR(__xludf.DUMMYFUNCTION("GOOGLETRANSLATE(B668,""en"",""it"")"),"Un uomo seduto in un ventilatore a foglia inizia la macchina e soffia una grande pila di foglie nel pennello vicino.")</f>
        <v>Un uomo seduto in un ventilatore a foglia inizia la macchina e soffia una grande pila di foglie nel pennello vicino.</v>
      </c>
    </row>
    <row r="669">
      <c r="A669" s="4" t="s">
        <v>849</v>
      </c>
      <c r="B669" s="4" t="s">
        <v>851</v>
      </c>
      <c r="C669" s="5" t="str">
        <f>IFERROR(__xludf.DUMMYFUNCTION("GOOGLETRANSLATE(B669,""en"",""it"")"),"Vediamo il veicolo indietro e andiamo avanti e indietro soffiando le foglie.")</f>
        <v>Vediamo il veicolo indietro e andiamo avanti e indietro soffiando le foglie.</v>
      </c>
    </row>
    <row r="670">
      <c r="A670" s="4" t="s">
        <v>849</v>
      </c>
      <c r="B670" s="4" t="s">
        <v>852</v>
      </c>
      <c r="C670" s="5" t="str">
        <f>IFERROR(__xludf.DUMMYFUNCTION("GOOGLETRANSLATE(B670,""en"",""it"")"),"Il cameraman interrompe il veicolo ed esce.")</f>
        <v>Il cameraman interrompe il veicolo ed esce.</v>
      </c>
    </row>
    <row r="671">
      <c r="A671" s="4" t="s">
        <v>849</v>
      </c>
      <c r="B671" s="4" t="s">
        <v>853</v>
      </c>
      <c r="C671" s="5" t="str">
        <f>IFERROR(__xludf.DUMMYFUNCTION("GOOGLETRANSLATE(B671,""en"",""it"")"),"Vediamo il veicolo completo dalla parte anteriore e vediamo il campo.")</f>
        <v>Vediamo il veicolo completo dalla parte anteriore e vediamo il campo.</v>
      </c>
    </row>
    <row r="672">
      <c r="A672" s="4" t="s">
        <v>854</v>
      </c>
      <c r="B672" s="4" t="s">
        <v>855</v>
      </c>
      <c r="C672" s="5" t="str">
        <f>IFERROR(__xludf.DUMMYFUNCTION("GOOGLETRANSLATE(B672,""en"",""it"")"),"Vediamo un uomo sollevare le braccia e prepararci a montare il cavallo.")</f>
        <v>Vediamo un uomo sollevare le braccia e prepararci a montare il cavallo.</v>
      </c>
    </row>
    <row r="673">
      <c r="A673" s="4" t="s">
        <v>854</v>
      </c>
      <c r="B673" s="4" t="s">
        <v>856</v>
      </c>
      <c r="C673" s="5" t="str">
        <f>IFERROR(__xludf.DUMMYFUNCTION("GOOGLETRANSLATE(B673,""en"",""it"")"),"L'uomo monta il cavallo da pomolo.")</f>
        <v>L'uomo monta il cavallo da pomolo.</v>
      </c>
    </row>
    <row r="674">
      <c r="A674" s="4" t="s">
        <v>854</v>
      </c>
      <c r="B674" s="4" t="s">
        <v>857</v>
      </c>
      <c r="C674" s="5" t="str">
        <f>IFERROR(__xludf.DUMMYFUNCTION("GOOGLETRANSLATE(B674,""en"",""it"")"),"L'uomo fa un verticale e lancia le gambe aperte sul pomo.")</f>
        <v>L'uomo fa un verticale e lancia le gambe aperte sul pomo.</v>
      </c>
    </row>
    <row r="675">
      <c r="A675" s="4" t="s">
        <v>854</v>
      </c>
      <c r="B675" s="4" t="s">
        <v>858</v>
      </c>
      <c r="C675" s="5" t="str">
        <f>IFERROR(__xludf.DUMMYFUNCTION("GOOGLETRANSLATE(B675,""en"",""it"")"),"L'uomo si gira sul cavallo del pomo.")</f>
        <v>L'uomo si gira sul cavallo del pomo.</v>
      </c>
    </row>
    <row r="676">
      <c r="A676" s="4" t="s">
        <v>854</v>
      </c>
      <c r="B676" s="4" t="s">
        <v>859</v>
      </c>
      <c r="C676" s="5" t="str">
        <f>IFERROR(__xludf.DUMMYFUNCTION("GOOGLETRANSLATE(B676,""en"",""it"")"),"L'uomo fa un verticale e smontare.")</f>
        <v>L'uomo fa un verticale e smontare.</v>
      </c>
    </row>
    <row r="677">
      <c r="A677" s="4" t="s">
        <v>854</v>
      </c>
      <c r="B677" s="4" t="s">
        <v>860</v>
      </c>
      <c r="C677" s="5" t="str">
        <f>IFERROR(__xludf.DUMMYFUNCTION("GOOGLETRANSLATE(B677,""en"",""it"")"),"L'uomo alza le braccia e se ne va.")</f>
        <v>L'uomo alza le braccia e se ne va.</v>
      </c>
    </row>
    <row r="678">
      <c r="A678" s="4" t="s">
        <v>854</v>
      </c>
      <c r="B678" s="4" t="s">
        <v>861</v>
      </c>
      <c r="C678" s="5" t="str">
        <f>IFERROR(__xludf.DUMMYFUNCTION("GOOGLETRANSLATE(B678,""en"",""it"")"),"L'uomo scuote la mano di un altro uomo.")</f>
        <v>L'uomo scuote la mano di un altro uomo.</v>
      </c>
    </row>
    <row r="679">
      <c r="A679" s="4" t="s">
        <v>862</v>
      </c>
      <c r="B679" s="4" t="s">
        <v>863</v>
      </c>
      <c r="C679" s="5" t="str">
        <f>IFERROR(__xludf.DUMMYFUNCTION("GOOGLETRANSLATE(B679,""en"",""it"")"),"Diverse persone giocano in una piscina pubblica.")</f>
        <v>Diverse persone giocano in una piscina pubblica.</v>
      </c>
    </row>
    <row r="680">
      <c r="A680" s="4" t="s">
        <v>862</v>
      </c>
      <c r="B680" s="4" t="s">
        <v>864</v>
      </c>
      <c r="C680" s="5" t="str">
        <f>IFERROR(__xludf.DUMMYFUNCTION("GOOGLETRANSLATE(B680,""en"",""it"")"),"Nuotano in acqua, giocando con una palla.")</f>
        <v>Nuotano in acqua, giocando con una palla.</v>
      </c>
    </row>
    <row r="681">
      <c r="A681" s="4" t="s">
        <v>862</v>
      </c>
      <c r="B681" s="4" t="s">
        <v>865</v>
      </c>
      <c r="C681" s="5" t="str">
        <f>IFERROR(__xludf.DUMMYFUNCTION("GOOGLETRANSLATE(B681,""en"",""it"")"),"Hanno colpito la palla avanti e indietro, cercando di tenerla l'uno dall'altro.")</f>
        <v>Hanno colpito la palla avanti e indietro, cercando di tenerla l'uno dall'altro.</v>
      </c>
    </row>
    <row r="682">
      <c r="A682" s="4" t="s">
        <v>866</v>
      </c>
      <c r="B682" s="4" t="s">
        <v>867</v>
      </c>
      <c r="C682" s="5" t="str">
        <f>IFERROR(__xludf.DUMMYFUNCTION("GOOGLETRANSLATE(B682,""en"",""it"")"),"Una donna viene vista parlare con la telecamera e presentare vari liquidi alla telecamera.")</f>
        <v>Una donna viene vista parlare con la telecamera e presentare vari liquidi alla telecamera.</v>
      </c>
    </row>
    <row r="683">
      <c r="A683" s="4" t="s">
        <v>866</v>
      </c>
      <c r="B683" s="4" t="s">
        <v>868</v>
      </c>
      <c r="C683" s="5" t="str">
        <f>IFERROR(__xludf.DUMMYFUNCTION("GOOGLETRANSLATE(B683,""en"",""it"")"),"Prepara la punta di un bicchiere e immerge il bicchiere nello zucchero su un piatto.")</f>
        <v>Prepara la punta di un bicchiere e immerge il bicchiere nello zucchero su un piatto.</v>
      </c>
    </row>
    <row r="684">
      <c r="A684" s="4" t="s">
        <v>866</v>
      </c>
      <c r="B684" s="4" t="s">
        <v>869</v>
      </c>
      <c r="C684" s="5" t="str">
        <f>IFERROR(__xludf.DUMMYFUNCTION("GOOGLETRANSLATE(B684,""en"",""it"")"),"Versa vari liquidi in un miscelatore e scuote tutti insieme la miscela.")</f>
        <v>Versa vari liquidi in un miscelatore e scuote tutti insieme la miscela.</v>
      </c>
    </row>
    <row r="685">
      <c r="A685" s="4" t="s">
        <v>866</v>
      </c>
      <c r="B685" s="4" t="s">
        <v>870</v>
      </c>
      <c r="C685" s="5" t="str">
        <f>IFERROR(__xludf.DUMMYFUNCTION("GOOGLETRANSLATE(B685,""en"",""it"")"),"Versa la bevanda nel bicchiere mentre parla ancora alla telecamera.")</f>
        <v>Versa la bevanda nel bicchiere mentre parla ancora alla telecamera.</v>
      </c>
    </row>
    <row r="686">
      <c r="A686" s="4" t="s">
        <v>871</v>
      </c>
      <c r="B686" s="4" t="s">
        <v>872</v>
      </c>
      <c r="C686" s="5" t="str">
        <f>IFERROR(__xludf.DUMMYFUNCTION("GOOGLETRANSLATE(B686,""en"",""it"")"),"Un gruppo di persone è visto in piedi su un campo sabbioso con uno che lancia un pallone da calcio a un altro.")</f>
        <v>Un gruppo di persone è visto in piedi su un campo sabbioso con uno che lancia un pallone da calcio a un altro.</v>
      </c>
    </row>
    <row r="687">
      <c r="A687" s="4" t="s">
        <v>871</v>
      </c>
      <c r="B687" s="4" t="s">
        <v>873</v>
      </c>
      <c r="C687" s="5" t="str">
        <f>IFERROR(__xludf.DUMMYFUNCTION("GOOGLETRANSLATE(B687,""en"",""it"")"),"L'altra persona segna un goal e altri giocatori saltano su di lui e si congratulano con lui.")</f>
        <v>L'altra persona segna un goal e altri giocatori saltano su di lui e si congratulano con lui.</v>
      </c>
    </row>
    <row r="688">
      <c r="A688" s="4" t="s">
        <v>871</v>
      </c>
      <c r="B688" s="4" t="s">
        <v>874</v>
      </c>
      <c r="C688" s="5" t="str">
        <f>IFERROR(__xludf.DUMMYFUNCTION("GOOGLETRANSLATE(B688,""en"",""it"")"),"Lo stesso obiettivo è mostrato più volte da angoli diversi.")</f>
        <v>Lo stesso obiettivo è mostrato più volte da angoli diversi.</v>
      </c>
    </row>
    <row r="689">
      <c r="A689" s="4" t="s">
        <v>875</v>
      </c>
      <c r="B689" s="4" t="s">
        <v>876</v>
      </c>
      <c r="C689" s="5" t="str">
        <f>IFERROR(__xludf.DUMMYFUNCTION("GOOGLETRANSLATE(B689,""en"",""it"")"),"L'uomo è in piedi davanti a una moto e mette un coperchio del gabinetto nel sedile nero.")</f>
        <v>L'uomo è in piedi davanti a una moto e mette un coperchio del gabinetto nel sedile nero.</v>
      </c>
    </row>
    <row r="690">
      <c r="A690" s="4" t="s">
        <v>875</v>
      </c>
      <c r="B690" s="4" t="s">
        <v>877</v>
      </c>
      <c r="C690" s="5" t="str">
        <f>IFERROR(__xludf.DUMMYFUNCTION("GOOGLETRANSLATE(B690,""en"",""it"")"),"L'uomo sta guidando la moto Thorugh per la strada e un cane corre accanto a lui.")</f>
        <v>L'uomo sta guidando la moto Thorugh per la strada e un cane corre accanto a lui.</v>
      </c>
    </row>
    <row r="691">
      <c r="A691" s="4" t="s">
        <v>875</v>
      </c>
      <c r="B691" s="4" t="s">
        <v>878</v>
      </c>
      <c r="C691" s="5" t="str">
        <f>IFERROR(__xludf.DUMMYFUNCTION("GOOGLETRANSLATE(B691,""en"",""it"")"),"L'uomo apre il tronco di moto e lo chiude.")</f>
        <v>L'uomo apre il tronco di moto e lo chiude.</v>
      </c>
    </row>
    <row r="692">
      <c r="A692" s="4" t="s">
        <v>879</v>
      </c>
      <c r="B692" s="4" t="s">
        <v>880</v>
      </c>
      <c r="C692" s="5" t="str">
        <f>IFERROR(__xludf.DUMMYFUNCTION("GOOGLETRANSLATE(B692,""en"",""it"")"),"Un folto gruppo di persone viene visto nuotare in una piscina mentre un allenatore urla sui lati.")</f>
        <v>Un folto gruppo di persone viene visto nuotare in una piscina mentre un allenatore urla sui lati.</v>
      </c>
    </row>
    <row r="693">
      <c r="A693" s="4" t="s">
        <v>879</v>
      </c>
      <c r="B693" s="4" t="s">
        <v>881</v>
      </c>
      <c r="C693" s="5" t="str">
        <f>IFERROR(__xludf.DUMMYFUNCTION("GOOGLETRANSLATE(B693,""en"",""it"")"),"I colpi di persone che giocano vengono mostrati quando uno colpisce l'altro.")</f>
        <v>I colpi di persone che giocano vengono mostrati quando uno colpisce l'altro.</v>
      </c>
    </row>
    <row r="694">
      <c r="A694" s="4" t="s">
        <v>879</v>
      </c>
      <c r="B694" s="4" t="s">
        <v>882</v>
      </c>
      <c r="C694" s="5" t="str">
        <f>IFERROR(__xludf.DUMMYFUNCTION("GOOGLETRANSLATE(B694,""en"",""it"")"),"Gli allenatori si urlano l'un l'altro mentre le persone giocano ancora.")</f>
        <v>Gli allenatori si urlano l'un l'altro mentre le persone giocano ancora.</v>
      </c>
    </row>
    <row r="695">
      <c r="A695" s="4" t="s">
        <v>883</v>
      </c>
      <c r="B695" s="4" t="s">
        <v>884</v>
      </c>
      <c r="C695" s="5" t="str">
        <f>IFERROR(__xludf.DUMMYFUNCTION("GOOGLETRANSLATE(B695,""en"",""it"")"),"Un ragazzino sta mangiando gelato.")</f>
        <v>Un ragazzino sta mangiando gelato.</v>
      </c>
    </row>
    <row r="696">
      <c r="A696" s="4" t="s">
        <v>883</v>
      </c>
      <c r="B696" s="4" t="s">
        <v>885</v>
      </c>
      <c r="C696" s="5" t="str">
        <f>IFERROR(__xludf.DUMMYFUNCTION("GOOGLETRANSLATE(B696,""en"",""it"")"),"C'è un cane sul pavimento dietro di lui.")</f>
        <v>C'è un cane sul pavimento dietro di lui.</v>
      </c>
    </row>
    <row r="697">
      <c r="A697" s="4" t="s">
        <v>883</v>
      </c>
      <c r="B697" s="4" t="s">
        <v>886</v>
      </c>
      <c r="C697" s="5" t="str">
        <f>IFERROR(__xludf.DUMMYFUNCTION("GOOGLETRANSLATE(B697,""en"",""it"")"),"Ride e si gira.")</f>
        <v>Ride e si gira.</v>
      </c>
    </row>
    <row r="698">
      <c r="A698" s="4" t="s">
        <v>887</v>
      </c>
      <c r="B698" s="4" t="s">
        <v>888</v>
      </c>
      <c r="C698" s="5" t="str">
        <f>IFERROR(__xludf.DUMMYFUNCTION("GOOGLETRANSLATE(B698,""en"",""it"")"),"Una ragazza è seduta su una grande sedia con due ragazze accanto a lei e un uomo che le tatua il piede.")</f>
        <v>Una ragazza è seduta su una grande sedia con due ragazze accanto a lei e un uomo che le tatua il piede.</v>
      </c>
    </row>
    <row r="699">
      <c r="A699" s="4" t="s">
        <v>887</v>
      </c>
      <c r="B699" s="4" t="s">
        <v>889</v>
      </c>
      <c r="C699" s="5" t="str">
        <f>IFERROR(__xludf.DUMMYFUNCTION("GOOGLETRANSLATE(B699,""en"",""it"")"),"Un altro uomo entra nella cornice e le ragazze continuano a parlarsi mentre l'artista.")</f>
        <v>Un altro uomo entra nella cornice e le ragazze continuano a parlarsi mentre l'artista.</v>
      </c>
    </row>
    <row r="700">
      <c r="A700" s="4" t="s">
        <v>890</v>
      </c>
      <c r="B700" s="4" t="s">
        <v>891</v>
      </c>
      <c r="C700" s="5" t="str">
        <f>IFERROR(__xludf.DUMMYFUNCTION("GOOGLETRANSLATE(B700,""en"",""it"")"),"Una donna dietro un bar sta mostrando come preparare una bevanda mista.")</f>
        <v>Una donna dietro un bar sta mostrando come preparare una bevanda mista.</v>
      </c>
    </row>
    <row r="701">
      <c r="A701" s="4" t="s">
        <v>890</v>
      </c>
      <c r="B701" s="6" t="s">
        <v>892</v>
      </c>
      <c r="C701" s="5" t="str">
        <f>IFERROR(__xludf.DUMMYFUNCTION("GOOGLETRANSLATE(B701,""en"",""it"")"),"Una serie di scatti appaiono con una persona che riversa alcol in un bicchiere di martini e poi lo schermo si attenua nello schermo del titolo video che mostra un nome del sito Web, il nome della bevanda che stanno facendo e la persona che lo farà.")</f>
        <v>Una serie di scatti appaiono con una persona che riversa alcol in un bicchiere di martini e poi lo schermo si attenua nello schermo del titolo video che mostra un nome del sito Web, il nome della bevanda che stanno facendo e la persona che lo farà.</v>
      </c>
    </row>
    <row r="702">
      <c r="A702" s="4" t="s">
        <v>890</v>
      </c>
      <c r="B702" s="4" t="s">
        <v>893</v>
      </c>
      <c r="C702" s="5" t="str">
        <f>IFERROR(__xludf.DUMMYFUNCTION("GOOGLETRANSLATE(B702,""en"",""it"")"),"Un indirizzo del sito Web è mostrato nella parte inferiore dello schermo.")</f>
        <v>Un indirizzo del sito Web è mostrato nella parte inferiore dello schermo.</v>
      </c>
    </row>
    <row r="703">
      <c r="A703" s="4" t="s">
        <v>890</v>
      </c>
      <c r="B703" s="6" t="s">
        <v>894</v>
      </c>
      <c r="C703" s="5" t="str">
        <f>IFERROR(__xludf.DUMMYFUNCTION("GOOGLETRANSLATE(B703,""en"",""it"")"),"Una ragazza in piedi dietro il bar spiega quali ingredienti sta usando per la bevanda, le quantità che sta usando e li mescola tutti insieme in un bicchiere e presenta la bevanda.")</f>
        <v>Una ragazza in piedi dietro il bar spiega quali ingredienti sta usando per la bevanda, le quantità che sta usando e li mescola tutti insieme in un bicchiere e presenta la bevanda.</v>
      </c>
    </row>
    <row r="704">
      <c r="A704" s="4" t="s">
        <v>890</v>
      </c>
      <c r="B704" s="4" t="s">
        <v>895</v>
      </c>
      <c r="C704" s="5" t="str">
        <f>IFERROR(__xludf.DUMMYFUNCTION("GOOGLETRANSLATE(B704,""en"",""it"")"),"La fotocamera ingrandisce la bevanda e si attenua al nero per terminare il video.")</f>
        <v>La fotocamera ingrandisce la bevanda e si attenua al nero per terminare il video.</v>
      </c>
    </row>
    <row r="705">
      <c r="A705" s="4" t="s">
        <v>896</v>
      </c>
      <c r="B705" s="4" t="s">
        <v>897</v>
      </c>
      <c r="C705" s="5" t="str">
        <f>IFERROR(__xludf.DUMMYFUNCTION("GOOGLETRANSLATE(B705,""en"",""it"")"),"Una donna in piedi fuori vicino a un campo da tennis che parla di cose.")</f>
        <v>Una donna in piedi fuori vicino a un campo da tennis che parla di cose.</v>
      </c>
    </row>
    <row r="706">
      <c r="A706" s="4" t="s">
        <v>896</v>
      </c>
      <c r="B706" s="4" t="s">
        <v>898</v>
      </c>
      <c r="C706" s="5" t="str">
        <f>IFERROR(__xludf.DUMMYFUNCTION("GOOGLETRANSLATE(B706,""en"",""it"")"),"Una ragazza in tutto nero con un testimone che pratica le sue mosse e balla all'interno dello studio.")</f>
        <v>Una ragazza in tutto nero con un testimone che pratica le sue mosse e balla all'interno dello studio.</v>
      </c>
    </row>
    <row r="707">
      <c r="A707" s="4" t="s">
        <v>896</v>
      </c>
      <c r="B707" s="4" t="s">
        <v>899</v>
      </c>
      <c r="C707" s="5" t="str">
        <f>IFERROR(__xludf.DUMMYFUNCTION("GOOGLETRANSLATE(B707,""en"",""it"")"),"Il suo allenatore fa un'intervista mentre si sedeva con le mani tenute insieme.")</f>
        <v>Il suo allenatore fa un'intervista mentre si sedeva con le mani tenute insieme.</v>
      </c>
    </row>
    <row r="708">
      <c r="A708" s="4" t="s">
        <v>896</v>
      </c>
      <c r="B708" s="4" t="s">
        <v>900</v>
      </c>
      <c r="C708" s="5" t="str">
        <f>IFERROR(__xludf.DUMMYFUNCTION("GOOGLETRANSLATE(B708,""en"",""it"")"),"La ragazza continua a esercitarsi da sola in studio.")</f>
        <v>La ragazza continua a esercitarsi da sola in studio.</v>
      </c>
    </row>
    <row r="709">
      <c r="A709" s="4" t="s">
        <v>901</v>
      </c>
      <c r="B709" s="4" t="s">
        <v>902</v>
      </c>
      <c r="C709" s="5" t="str">
        <f>IFERROR(__xludf.DUMMYFUNCTION("GOOGLETRANSLATE(B709,""en"",""it"")"),"Una ragazza introduce il video e spiega cosa farà a Wood.")</f>
        <v>Una ragazza introduce il video e spiega cosa farà a Wood.</v>
      </c>
    </row>
    <row r="710">
      <c r="A710" s="4" t="s">
        <v>901</v>
      </c>
      <c r="B710" s="4" t="s">
        <v>903</v>
      </c>
      <c r="C710" s="5" t="str">
        <f>IFERROR(__xludf.DUMMYFUNCTION("GOOGLETRANSLATE(B710,""en"",""it"")"),"Mette un pezzo di bubblewrap e si assicura che copra circa la metà del legno.")</f>
        <v>Mette un pezzo di bubblewrap e si assicura che copra circa la metà del legno.</v>
      </c>
    </row>
    <row r="711">
      <c r="A711" s="4" t="s">
        <v>901</v>
      </c>
      <c r="B711" s="4" t="s">
        <v>904</v>
      </c>
      <c r="C711" s="5" t="str">
        <f>IFERROR(__xludf.DUMMYFUNCTION("GOOGLETRANSLATE(B711,""en"",""it"")"),"Quindi copre il resto del legno e lo attraversa come una tavola.")</f>
        <v>Quindi copre il resto del legno e lo attraversa come una tavola.</v>
      </c>
    </row>
    <row r="712">
      <c r="A712" s="4" t="s">
        <v>905</v>
      </c>
      <c r="B712" s="4" t="s">
        <v>906</v>
      </c>
      <c r="C712" s="5" t="str">
        <f>IFERROR(__xludf.DUMMYFUNCTION("GOOGLETRANSLATE(B712,""en"",""it"")"),"Le persone si esibiscono in acrobazie ginnastiche davanti a un pubblico.")</f>
        <v>Le persone si esibiscono in acrobazie ginnastiche davanti a un pubblico.</v>
      </c>
    </row>
    <row r="713">
      <c r="A713" s="4" t="s">
        <v>905</v>
      </c>
      <c r="B713" s="4" t="s">
        <v>907</v>
      </c>
      <c r="C713" s="5" t="str">
        <f>IFERROR(__xludf.DUMMYFUNCTION("GOOGLETRANSLATE(B713,""en"",""it"")"),"Un ragazzo chiude le braccia attorno alle sbarre sopra la sua testa.")</f>
        <v>Un ragazzo chiude le braccia attorno alle sbarre sopra la sua testa.</v>
      </c>
    </row>
    <row r="714">
      <c r="A714" s="4" t="s">
        <v>905</v>
      </c>
      <c r="B714" s="4" t="s">
        <v>908</v>
      </c>
      <c r="C714" s="5" t="str">
        <f>IFERROR(__xludf.DUMMYFUNCTION("GOOGLETRANSLATE(B714,""en"",""it"")"),"Il ragazzo fa oscillare il suo corpo mentre si aggrappa ai bar.")</f>
        <v>Il ragazzo fa oscillare il suo corpo mentre si aggrappa ai bar.</v>
      </c>
    </row>
    <row r="715">
      <c r="A715" s="4" t="s">
        <v>905</v>
      </c>
      <c r="B715" s="4" t="s">
        <v>909</v>
      </c>
      <c r="C715" s="5" t="str">
        <f>IFERROR(__xludf.DUMMYFUNCTION("GOOGLETRANSLATE(B715,""en"",""it"")"),"Il ragazzo gira dalle sbarre e atterra in piedi, applaude e inizia a partire.")</f>
        <v>Il ragazzo gira dalle sbarre e atterra in piedi, applaude e inizia a partire.</v>
      </c>
    </row>
    <row r="716">
      <c r="A716" s="4" t="s">
        <v>905</v>
      </c>
      <c r="B716" s="4" t="s">
        <v>910</v>
      </c>
      <c r="C716" s="5" t="str">
        <f>IFERROR(__xludf.DUMMYFUNCTION("GOOGLETRANSLATE(B716,""en"",""it"")"),"Un uomo si avvicina al ragazzo che batte.")</f>
        <v>Un uomo si avvicina al ragazzo che batte.</v>
      </c>
    </row>
    <row r="717">
      <c r="A717" s="4" t="s">
        <v>911</v>
      </c>
      <c r="B717" s="4" t="s">
        <v>912</v>
      </c>
      <c r="C717" s="5" t="str">
        <f>IFERROR(__xludf.DUMMYFUNCTION("GOOGLETRANSLATE(B717,""en"",""it"")"),"Due ginchi si esibiscono davanti a una folla.")</f>
        <v>Due ginchi si esibiscono davanti a una folla.</v>
      </c>
    </row>
    <row r="718">
      <c r="A718" s="4" t="s">
        <v>911</v>
      </c>
      <c r="B718" s="4" t="s">
        <v>913</v>
      </c>
      <c r="C718" s="5" t="str">
        <f>IFERROR(__xludf.DUMMYFUNCTION("GOOGLETRANSLATE(B718,""en"",""it"")"),"Uno sta girando costantemente su una trave.")</f>
        <v>Uno sta girando costantemente su una trave.</v>
      </c>
    </row>
    <row r="719">
      <c r="A719" s="4" t="s">
        <v>911</v>
      </c>
      <c r="B719" s="4" t="s">
        <v>914</v>
      </c>
      <c r="C719" s="5" t="str">
        <f>IFERROR(__xludf.DUMMYFUNCTION("GOOGLETRANSLATE(B719,""en"",""it"")"),"L'uomo in rosso si monta e inizia a girare, eseguendo diversi trucchi.")</f>
        <v>L'uomo in rosso si monta e inizia a girare, eseguendo diversi trucchi.</v>
      </c>
    </row>
    <row r="720">
      <c r="A720" s="4" t="s">
        <v>911</v>
      </c>
      <c r="B720" s="4" t="s">
        <v>915</v>
      </c>
      <c r="C720" s="5" t="str">
        <f>IFERROR(__xludf.DUMMYFUNCTION("GOOGLETRANSLATE(B720,""en"",""it"")"),"L'uomo smonde e mette in aria un braccio vittorioso.")</f>
        <v>L'uomo smonde e mette in aria un braccio vittorioso.</v>
      </c>
    </row>
    <row r="721">
      <c r="A721" s="4" t="s">
        <v>916</v>
      </c>
      <c r="B721" s="4" t="s">
        <v>917</v>
      </c>
      <c r="C721" s="5" t="str">
        <f>IFERROR(__xludf.DUMMYFUNCTION("GOOGLETRANSLATE(B721,""en"",""it"")"),"Un ragazzo tira una serie di una macchina per il fitness per la casa mentre parla.")</f>
        <v>Un ragazzo tira una serie di una macchina per il fitness per la casa mentre parla.</v>
      </c>
    </row>
    <row r="722">
      <c r="A722" s="4" t="s">
        <v>916</v>
      </c>
      <c r="B722" s="4" t="s">
        <v>918</v>
      </c>
      <c r="C722" s="5" t="str">
        <f>IFERROR(__xludf.DUMMYFUNCTION("GOOGLETRANSLATE(B722,""en"",""it"")"),"Quindi, il ragazzo cade lungo il pavimento.")</f>
        <v>Quindi, il ragazzo cade lungo il pavimento.</v>
      </c>
    </row>
    <row r="723">
      <c r="A723" s="4" t="s">
        <v>919</v>
      </c>
      <c r="B723" s="4" t="s">
        <v>920</v>
      </c>
      <c r="C723" s="5" t="str">
        <f>IFERROR(__xludf.DUMMYFUNCTION("GOOGLETRANSLATE(B723,""en"",""it"")"),"C'è una grande squadra di partecipanti che si preparano a svolgere un'attività di tubo d'acqua.")</f>
        <v>C'è una grande squadra di partecipanti che si preparano a svolgere un'attività di tubo d'acqua.</v>
      </c>
    </row>
    <row r="724">
      <c r="A724" s="4" t="s">
        <v>919</v>
      </c>
      <c r="B724" s="4" t="s">
        <v>921</v>
      </c>
      <c r="C724" s="5" t="str">
        <f>IFERROR(__xludf.DUMMYFUNCTION("GOOGLETRANSLATE(B724,""en"",""it"")"),"Camminano lungo un terreno collinare fino al fiume.")</f>
        <v>Camminano lungo un terreno collinare fino al fiume.</v>
      </c>
    </row>
    <row r="725">
      <c r="A725" s="4" t="s">
        <v>919</v>
      </c>
      <c r="B725" s="4" t="s">
        <v>922</v>
      </c>
      <c r="C725" s="5" t="str">
        <f>IFERROR(__xludf.DUMMYFUNCTION("GOOGLETRANSLATE(B725,""en"",""it"")"),"Entrano sui loro tubi e iniziano a scendere le rapide.")</f>
        <v>Entrano sui loro tubi e iniziano a scendere le rapide.</v>
      </c>
    </row>
    <row r="726">
      <c r="A726" s="4" t="s">
        <v>919</v>
      </c>
      <c r="B726" s="4" t="s">
        <v>923</v>
      </c>
      <c r="C726" s="5" t="str">
        <f>IFERROR(__xludf.DUMMYFUNCTION("GOOGLETRANSLATE(B726,""en"",""it"")"),"I partecipanti sembrano molto calmi e felici mentre salutano la telecamera.")</f>
        <v>I partecipanti sembrano molto calmi e felici mentre salutano la telecamera.</v>
      </c>
    </row>
    <row r="727">
      <c r="A727" s="4" t="s">
        <v>919</v>
      </c>
      <c r="B727" s="4" t="s">
        <v>924</v>
      </c>
      <c r="C727" s="5" t="str">
        <f>IFERROR(__xludf.DUMMYFUNCTION("GOOGLETRANSLATE(B727,""en"",""it"")"),"Tutti iniziano il loro viaggio lungo le rapide mentre l'acqua inizia a diventare più turbolenta.")</f>
        <v>Tutti iniziano il loro viaggio lungo le rapide mentre l'acqua inizia a diventare più turbolenta.</v>
      </c>
    </row>
    <row r="728">
      <c r="A728" s="4" t="s">
        <v>919</v>
      </c>
      <c r="B728" s="4" t="s">
        <v>925</v>
      </c>
      <c r="C728" s="5" t="str">
        <f>IFERROR(__xludf.DUMMYFUNCTION("GOOGLETRANSLATE(B728,""en"",""it"")"),"Continuano ad andare lungo la corrente d'acqua mentre scorrono costantemente attraverso l'acqua.")</f>
        <v>Continuano ad andare lungo la corrente d'acqua mentre scorrono costantemente attraverso l'acqua.</v>
      </c>
    </row>
    <row r="729">
      <c r="A729" s="4" t="s">
        <v>919</v>
      </c>
      <c r="B729" s="4" t="s">
        <v>926</v>
      </c>
      <c r="C729" s="5" t="str">
        <f>IFERROR(__xludf.DUMMYFUNCTION("GOOGLETRANSLATE(B729,""en"",""it"")"),"Quindi arrivano tutti alle rive del fiume dove l'acqua è calma e fluente costante.")</f>
        <v>Quindi arrivano tutti alle rive del fiume dove l'acqua è calma e fluente costante.</v>
      </c>
    </row>
    <row r="730">
      <c r="A730" s="4" t="s">
        <v>927</v>
      </c>
      <c r="B730" s="6" t="s">
        <v>928</v>
      </c>
      <c r="C730" s="5" t="str">
        <f>IFERROR(__xludf.DUMMYFUNCTION("GOOGLETRANSLATE(B730,""en"",""it"")"),"Il video è rappresentato da North Face e Cliff Bar dove mostrano gli scalatori al Yosemite National Park.")</f>
        <v>Il video è rappresentato da North Face e Cliff Bar dove mostrano gli scalatori al Yosemite National Park.</v>
      </c>
    </row>
    <row r="731">
      <c r="A731" s="4" t="s">
        <v>927</v>
      </c>
      <c r="B731" s="4" t="s">
        <v>929</v>
      </c>
      <c r="C731" s="5" t="str">
        <f>IFERROR(__xludf.DUMMYFUNCTION("GOOGLETRANSLATE(B731,""en"",""it"")"),"Ci sono diverse persone che parlano del fascino dell'arrampicata in montagna.")</f>
        <v>Ci sono diverse persone che parlano del fascino dell'arrampicata in montagna.</v>
      </c>
    </row>
    <row r="732">
      <c r="A732" s="4" t="s">
        <v>927</v>
      </c>
      <c r="B732" s="4" t="s">
        <v>930</v>
      </c>
      <c r="C732" s="5" t="str">
        <f>IFERROR(__xludf.DUMMYFUNCTION("GOOGLETRANSLATE(B732,""en"",""it"")"),"Ci sono foto di persone che indossano bandane mostrate sedute sulle cime delle montagne.")</f>
        <v>Ci sono foto di persone che indossano bandane mostrate sedute sulle cime delle montagne.</v>
      </c>
    </row>
    <row r="733">
      <c r="A733" s="4" t="s">
        <v>927</v>
      </c>
      <c r="B733" s="4" t="s">
        <v>931</v>
      </c>
      <c r="C733" s="5" t="str">
        <f>IFERROR(__xludf.DUMMYFUNCTION("GOOGLETRANSLATE(B733,""en"",""it"")"),"C'è un uomo che si arrampica in montagna su un ripido pendio.")</f>
        <v>C'è un uomo che si arrampica in montagna su un ripido pendio.</v>
      </c>
    </row>
    <row r="734">
      <c r="A734" s="4" t="s">
        <v>927</v>
      </c>
      <c r="B734" s="6" t="s">
        <v>932</v>
      </c>
      <c r="C734" s="5" t="str">
        <f>IFERROR(__xludf.DUMMYFUNCTION("GOOGLETRANSLATE(B734,""en"",""it"")"),"Un altro uomo fa un salto dalla cima della montagna nel tentativo di saltare Bungee da quell'altezza.")</f>
        <v>Un altro uomo fa un salto dalla cima della montagna nel tentativo di saltare Bungee da quell'altezza.</v>
      </c>
    </row>
    <row r="735">
      <c r="A735" s="4" t="s">
        <v>933</v>
      </c>
      <c r="B735" s="4" t="s">
        <v>934</v>
      </c>
      <c r="C735" s="5" t="str">
        <f>IFERROR(__xludf.DUMMYFUNCTION("GOOGLETRANSLATE(B735,""en"",""it"")"),"Un gruppo di giovani ragazzi si trova all'interno di un campo da basket.")</f>
        <v>Un gruppo di giovani ragazzi si trova all'interno di un campo da basket.</v>
      </c>
    </row>
    <row r="736">
      <c r="A736" s="4" t="s">
        <v>933</v>
      </c>
      <c r="B736" s="4" t="s">
        <v>935</v>
      </c>
      <c r="C736" s="5" t="str">
        <f>IFERROR(__xludf.DUMMYFUNCTION("GOOGLETRANSLATE(B736,""en"",""it"")"),"Giocano una partita mentre l'allenatore li rallegra e li istruisce.")</f>
        <v>Giocano una partita mentre l'allenatore li rallegra e li istruisce.</v>
      </c>
    </row>
    <row r="737">
      <c r="A737" s="4" t="s">
        <v>933</v>
      </c>
      <c r="B737" s="4" t="s">
        <v>936</v>
      </c>
      <c r="C737" s="5" t="str">
        <f>IFERROR(__xludf.DUMMYFUNCTION("GOOGLETRANSLATE(B737,""en"",""it"")"),"Alcuni ragazzi guardano da bordo campo, in attesa del loro turno.")</f>
        <v>Alcuni ragazzi guardano da bordo campo, in attesa del loro turno.</v>
      </c>
    </row>
    <row r="738">
      <c r="A738" s="4" t="s">
        <v>937</v>
      </c>
      <c r="B738" s="4" t="s">
        <v>938</v>
      </c>
      <c r="C738" s="5" t="str">
        <f>IFERROR(__xludf.DUMMYFUNCTION("GOOGLETRANSLATE(B738,""en"",""it"")"),"Vengono mostrate scene invernali con veicoli e neve pesante.")</f>
        <v>Vengono mostrate scene invernali con veicoli e neve pesante.</v>
      </c>
    </row>
    <row r="739">
      <c r="A739" s="4" t="s">
        <v>937</v>
      </c>
      <c r="B739" s="4" t="s">
        <v>939</v>
      </c>
      <c r="C739" s="5" t="str">
        <f>IFERROR(__xludf.DUMMYFUNCTION("GOOGLETRANSLATE(B739,""en"",""it"")"),"Vengono mostrate scene dall'interno di un aeroporto, con persone che camminano o in attesa.")</f>
        <v>Vengono mostrate scene dall'interno di un aeroporto, con persone che camminano o in attesa.</v>
      </c>
    </row>
    <row r="740">
      <c r="A740" s="4" t="s">
        <v>937</v>
      </c>
      <c r="B740" s="4" t="s">
        <v>940</v>
      </c>
      <c r="C740" s="5" t="str">
        <f>IFERROR(__xludf.DUMMYFUNCTION("GOOGLETRANSLATE(B740,""en"",""it"")"),"Una donna parla alla telecamera.")</f>
        <v>Una donna parla alla telecamera.</v>
      </c>
    </row>
    <row r="741">
      <c r="A741" s="4" t="s">
        <v>937</v>
      </c>
      <c r="B741" s="4" t="s">
        <v>941</v>
      </c>
      <c r="C741" s="5" t="str">
        <f>IFERROR(__xludf.DUMMYFUNCTION("GOOGLETRANSLATE(B741,""en"",""it"")"),"Un uomo pulisce la neve da un'auto.")</f>
        <v>Un uomo pulisce la neve da un'auto.</v>
      </c>
    </row>
    <row r="742">
      <c r="A742" s="4" t="s">
        <v>937</v>
      </c>
      <c r="B742" s="4" t="s">
        <v>942</v>
      </c>
      <c r="C742" s="5" t="str">
        <f>IFERROR(__xludf.DUMMYFUNCTION("GOOGLETRANSLATE(B742,""en"",""it"")"),"Vengono mostrate altre scene di una tempesta invernale.")</f>
        <v>Vengono mostrate altre scene di una tempesta invernale.</v>
      </c>
    </row>
    <row r="743">
      <c r="A743" s="4" t="s">
        <v>937</v>
      </c>
      <c r="B743" s="4" t="s">
        <v>943</v>
      </c>
      <c r="C743" s="5" t="str">
        <f>IFERROR(__xludf.DUMMYFUNCTION("GOOGLETRANSLATE(B743,""en"",""it"")"),"Vengono mostrate scene di persone che puliscono la neve dai loro veicoli.")</f>
        <v>Vengono mostrate scene di persone che puliscono la neve dai loro veicoli.</v>
      </c>
    </row>
    <row r="744">
      <c r="A744" s="4" t="s">
        <v>937</v>
      </c>
      <c r="B744" s="4" t="s">
        <v>944</v>
      </c>
      <c r="C744" s="5" t="str">
        <f>IFERROR(__xludf.DUMMYFUNCTION("GOOGLETRANSLATE(B744,""en"",""it"")"),"Una donna diversa parla alla telecamera.")</f>
        <v>Una donna diversa parla alla telecamera.</v>
      </c>
    </row>
    <row r="745">
      <c r="A745" s="4" t="s">
        <v>937</v>
      </c>
      <c r="B745" s="4" t="s">
        <v>945</v>
      </c>
      <c r="C745" s="5" t="str">
        <f>IFERROR(__xludf.DUMMYFUNCTION("GOOGLETRANSLATE(B745,""en"",""it"")"),"Un'auto si allontana dalla telecamera.")</f>
        <v>Un'auto si allontana dalla telecamera.</v>
      </c>
    </row>
    <row r="746">
      <c r="A746" s="4" t="s">
        <v>937</v>
      </c>
      <c r="B746" s="4" t="s">
        <v>946</v>
      </c>
      <c r="C746" s="5" t="str">
        <f>IFERROR(__xludf.DUMMYFUNCTION("GOOGLETRANSLATE(B746,""en"",""it"")"),"Due persone parlano con la telecamera.")</f>
        <v>Due persone parlano con la telecamera.</v>
      </c>
    </row>
    <row r="747">
      <c r="A747" s="4" t="s">
        <v>937</v>
      </c>
      <c r="B747" s="4" t="s">
        <v>947</v>
      </c>
      <c r="C747" s="5" t="str">
        <f>IFERROR(__xludf.DUMMYFUNCTION("GOOGLETRANSLATE(B747,""en"",""it"")"),"Un camion si allontana dalla telecamera.")</f>
        <v>Un camion si allontana dalla telecamera.</v>
      </c>
    </row>
    <row r="748">
      <c r="A748" s="4" t="s">
        <v>948</v>
      </c>
      <c r="B748" s="4" t="s">
        <v>949</v>
      </c>
      <c r="C748" s="5" t="str">
        <f>IFERROR(__xludf.DUMMYFUNCTION("GOOGLETRANSLATE(B748,""en"",""it"")"),"Una donna è mostrata con un pennello e un pezzo di tela.")</f>
        <v>Una donna è mostrata con un pennello e un pezzo di tela.</v>
      </c>
    </row>
    <row r="749">
      <c r="A749" s="4" t="s">
        <v>948</v>
      </c>
      <c r="B749" s="4" t="s">
        <v>950</v>
      </c>
      <c r="C749" s="5" t="str">
        <f>IFERROR(__xludf.DUMMYFUNCTION("GOOGLETRANSLATE(B749,""en"",""it"")"),"Usa la vernice verde per riempire un disegno di una pianta.")</f>
        <v>Usa la vernice verde per riempire un disegno di una pianta.</v>
      </c>
    </row>
    <row r="750">
      <c r="A750" s="4" t="s">
        <v>948</v>
      </c>
      <c r="B750" s="4" t="s">
        <v>951</v>
      </c>
      <c r="C750" s="5" t="str">
        <f>IFERROR(__xludf.DUMMYFUNCTION("GOOGLETRANSLATE(B750,""en"",""it"")"),"Va in giro in cerchio, dipingendo l'immagine.")</f>
        <v>Va in giro in cerchio, dipingendo l'immagine.</v>
      </c>
    </row>
    <row r="751">
      <c r="A751" s="4" t="s">
        <v>952</v>
      </c>
      <c r="B751" s="6" t="s">
        <v>953</v>
      </c>
      <c r="C751" s="5" t="str">
        <f>IFERROR(__xludf.DUMMYFUNCTION("GOOGLETRANSLATE(B751,""en"",""it"")"),"Un maschio bianco è vestito fuori in un'uniforme scozzese in piedi fuori nel mezzo di un cimitero.")</f>
        <v>Un maschio bianco è vestito fuori in un'uniforme scozzese in piedi fuori nel mezzo di un cimitero.</v>
      </c>
    </row>
    <row r="752">
      <c r="A752" s="4" t="s">
        <v>952</v>
      </c>
      <c r="B752" s="4" t="s">
        <v>954</v>
      </c>
      <c r="C752" s="5" t="str">
        <f>IFERROR(__xludf.DUMMYFUNCTION("GOOGLETRANSLATE(B752,""en"",""it"")"),"Mentre è in piedi, suona i tubi della borsa con la bandiera americana che pende da loro.")</f>
        <v>Mentre è in piedi, suona i tubi della borsa con la bandiera americana che pende da loro.</v>
      </c>
    </row>
    <row r="753">
      <c r="A753" s="4" t="s">
        <v>952</v>
      </c>
      <c r="B753" s="6" t="s">
        <v>955</v>
      </c>
      <c r="C753" s="5" t="str">
        <f>IFERROR(__xludf.DUMMYFUNCTION("GOOGLETRANSLATE(B753,""en"",""it"")"),"Quando ha finito, inizia a guardare alla sua destra, scuote la testa, riprende il respiro e continua a giocare.")</f>
        <v>Quando ha finito, inizia a guardare alla sua destra, scuote la testa, riprende il respiro e continua a giocare.</v>
      </c>
    </row>
    <row r="754">
      <c r="A754" s="4" t="s">
        <v>956</v>
      </c>
      <c r="B754" s="4" t="s">
        <v>957</v>
      </c>
      <c r="C754" s="5" t="str">
        <f>IFERROR(__xludf.DUMMYFUNCTION("GOOGLETRANSLATE(B754,""en"",""it"")"),"Viene visto un primo piano di un cartello seguito da una giovane coppia che guarda alla telecamera.")</f>
        <v>Viene visto un primo piano di un cartello seguito da una giovane coppia che guarda alla telecamera.</v>
      </c>
    </row>
    <row r="755">
      <c r="A755" s="4" t="s">
        <v>956</v>
      </c>
      <c r="B755" s="4" t="s">
        <v>958</v>
      </c>
      <c r="C755" s="5" t="str">
        <f>IFERROR(__xludf.DUMMYFUNCTION("GOOGLETRANSLATE(B755,""en"",""it"")"),"Altre persone sono viste in piedi sul lato e guardano gli altri due.")</f>
        <v>Altre persone sono viste in piedi sul lato e guardano gli altri due.</v>
      </c>
    </row>
    <row r="756">
      <c r="A756" s="4" t="s">
        <v>956</v>
      </c>
      <c r="B756" s="4" t="s">
        <v>959</v>
      </c>
      <c r="C756" s="5" t="str">
        <f>IFERROR(__xludf.DUMMYFUNCTION("GOOGLETRANSLATE(B756,""en"",""it"")"),"La coupé si aggrappa e poi salta di lato mentre gli altri stanno e guardano.")</f>
        <v>La coupé si aggrappa e poi salta di lato mentre gli altri stanno e guardano.</v>
      </c>
    </row>
    <row r="757">
      <c r="A757" s="4" t="s">
        <v>960</v>
      </c>
      <c r="B757" s="6" t="s">
        <v>961</v>
      </c>
      <c r="C757" s="5" t="str">
        <f>IFERROR(__xludf.DUMMYFUNCTION("GOOGLETRANSLATE(B757,""en"",""it"")"),"Una persona viene vista eseguire vari lanci e trucchi davanti al pubblico e conduce a un ragazzo in piedi nel mezzo.")</f>
        <v>Una persona viene vista eseguire vari lanci e trucchi davanti al pubblico e conduce a un ragazzo in piedi nel mezzo.</v>
      </c>
    </row>
    <row r="758">
      <c r="A758" s="4" t="s">
        <v>960</v>
      </c>
      <c r="B758" s="6" t="s">
        <v>962</v>
      </c>
      <c r="C758" s="5" t="str">
        <f>IFERROR(__xludf.DUMMYFUNCTION("GOOGLETRANSLATE(B758,""en"",""it"")"),"Il ragazzo e l'uomo si combattono l'uno contro l'altro facendo diversi trucchi e finiscono con il braccio del ragazzo.")</f>
        <v>Il ragazzo e l'uomo si combattono l'uno contro l'altro facendo diversi trucchi e finiscono con il braccio del ragazzo.</v>
      </c>
    </row>
    <row r="759">
      <c r="A759" s="4" t="s">
        <v>960</v>
      </c>
      <c r="B759" s="4" t="s">
        <v>963</v>
      </c>
      <c r="C759" s="5" t="str">
        <f>IFERROR(__xludf.DUMMYFUNCTION("GOOGLETRANSLATE(B759,""en"",""it"")"),"Quindi applaude al ragazzo e diverse persone sul clap laterale.")</f>
        <v>Quindi applaude al ragazzo e diverse persone sul clap laterale.</v>
      </c>
    </row>
    <row r="760">
      <c r="A760" s="4" t="s">
        <v>964</v>
      </c>
      <c r="B760" s="4" t="s">
        <v>965</v>
      </c>
      <c r="C760" s="5" t="str">
        <f>IFERROR(__xludf.DUMMYFUNCTION("GOOGLETRANSLATE(B760,""en"",""it"")"),"Un bambino che fa karate sta urlando comandi.")</f>
        <v>Un bambino che fa karate sta urlando comandi.</v>
      </c>
    </row>
    <row r="761">
      <c r="A761" s="4" t="s">
        <v>964</v>
      </c>
      <c r="B761" s="4" t="s">
        <v>966</v>
      </c>
      <c r="C761" s="5" t="str">
        <f>IFERROR(__xludf.DUMMYFUNCTION("GOOGLETRANSLATE(B761,""en"",""it"")"),"Comincia a fare alcune delle sue mosse di karate, muovendosi in tutto il campo.")</f>
        <v>Comincia a fare alcune delle sue mosse di karate, muovendosi in tutto il campo.</v>
      </c>
    </row>
    <row r="762">
      <c r="A762" s="4" t="s">
        <v>964</v>
      </c>
      <c r="B762" s="4" t="s">
        <v>967</v>
      </c>
      <c r="C762" s="5" t="str">
        <f>IFERROR(__xludf.DUMMYFUNCTION("GOOGLETRANSLATE(B762,""en"",""it"")"),"È una cintura blu che viene giudicata per le sue abilità.")</f>
        <v>È una cintura blu che viene giudicata per le sue abilità.</v>
      </c>
    </row>
    <row r="763">
      <c r="A763" s="4" t="s">
        <v>964</v>
      </c>
      <c r="B763" s="4" t="s">
        <v>968</v>
      </c>
      <c r="C763" s="5" t="str">
        <f>IFERROR(__xludf.DUMMYFUNCTION("GOOGLETRANSLATE(B763,""en"",""it"")"),"Si inchina con grazia prima di camminare e i giudici vomitano le loro bandiere.")</f>
        <v>Si inchina con grazia prima di camminare e i giudici vomitano le loro bandiere.</v>
      </c>
    </row>
    <row r="764">
      <c r="A764" s="4" t="s">
        <v>969</v>
      </c>
      <c r="B764" s="6" t="s">
        <v>970</v>
      </c>
      <c r="C764" s="5" t="str">
        <f>IFERROR(__xludf.DUMMYFUNCTION("GOOGLETRANSLATE(B764,""en"",""it"")"),"Un gruppo di uomini è in piedi su una tavola da immersione e prendono i termini saltando giù dal tabellone.")</f>
        <v>Un gruppo di uomini è in piedi su una tavola da immersione e prendono i termini saltando giù dal tabellone.</v>
      </c>
    </row>
    <row r="765">
      <c r="A765" s="4" t="s">
        <v>969</v>
      </c>
      <c r="B765" s="4" t="s">
        <v>971</v>
      </c>
      <c r="C765" s="5" t="str">
        <f>IFERROR(__xludf.DUMMYFUNCTION("GOOGLETRANSLATE(B765,""en"",""it"")"),"Mentre l'ultima persona salta giù dal tabellone, un gruppo di uomini viene mostrato che cammina attraverso la piscina.")</f>
        <v>Mentre l'ultima persona salta giù dal tabellone, un gruppo di uomini viene mostrato che cammina attraverso la piscina.</v>
      </c>
    </row>
    <row r="766">
      <c r="A766" s="4" t="s">
        <v>972</v>
      </c>
      <c r="B766" s="4" t="s">
        <v>973</v>
      </c>
      <c r="C766" s="5" t="str">
        <f>IFERROR(__xludf.DUMMYFUNCTION("GOOGLETRANSLATE(B766,""en"",""it"")"),"Una donna con i capelli biondi, una giacca viola e guanti neri si trova vicino a una chiacchierata stabile.")</f>
        <v>Una donna con i capelli biondi, una giacca viola e guanti neri si trova vicino a una chiacchierata stabile.</v>
      </c>
    </row>
    <row r="767">
      <c r="A767" s="4" t="s">
        <v>972</v>
      </c>
      <c r="B767" s="4" t="s">
        <v>974</v>
      </c>
      <c r="C767" s="5" t="str">
        <f>IFERROR(__xludf.DUMMYFUNCTION("GOOGLETRANSLATE(B767,""en"",""it"")"),"Mentre continua a parlare, viene mostrata la sua sella e inizia a parlarne.")</f>
        <v>Mentre continua a parlare, viene mostrata la sua sella e inizia a parlarne.</v>
      </c>
    </row>
    <row r="768">
      <c r="A768" s="4" t="s">
        <v>972</v>
      </c>
      <c r="B768" s="4" t="s">
        <v>975</v>
      </c>
      <c r="C768" s="5" t="str">
        <f>IFERROR(__xludf.DUMMYFUNCTION("GOOGLETRANSLATE(B768,""en"",""it"")"),"La signora lo mette quindi sul cavallo e inizia a strofinandosi alcune parti per assicurarsi che sia sicuro.")</f>
        <v>La signora lo mette quindi sul cavallo e inizia a strofinandosi alcune parti per assicurarsi che sia sicuro.</v>
      </c>
    </row>
    <row r="769">
      <c r="A769" s="4" t="s">
        <v>976</v>
      </c>
      <c r="B769" s="4" t="s">
        <v>977</v>
      </c>
      <c r="C769" s="5" t="str">
        <f>IFERROR(__xludf.DUMMYFUNCTION("GOOGLETRANSLATE(B769,""en"",""it"")"),"Un primo piano di un globo viene mostrato con una persona che punta un narghilè.")</f>
        <v>Un primo piano di un globo viene mostrato con una persona che punta un narghilè.</v>
      </c>
    </row>
    <row r="770">
      <c r="A770" s="4" t="s">
        <v>976</v>
      </c>
      <c r="B770" s="4" t="s">
        <v>978</v>
      </c>
      <c r="C770" s="5" t="str">
        <f>IFERROR(__xludf.DUMMYFUNCTION("GOOGLETRANSLATE(B770,""en"",""it"")"),"L'uomo viene quindi visto guardare da vicino alla telecamera.")</f>
        <v>L'uomo viene quindi visto guardare da vicino alla telecamera.</v>
      </c>
    </row>
    <row r="771">
      <c r="A771" s="4" t="s">
        <v>976</v>
      </c>
      <c r="B771" s="4" t="s">
        <v>979</v>
      </c>
      <c r="C771" s="5" t="str">
        <f>IFERROR(__xludf.DUMMYFUNCTION("GOOGLETRANSLATE(B771,""en"",""it"")"),"Alla fine soffia anelli di fumo dalla bocca.")</f>
        <v>Alla fine soffia anelli di fumo dalla bocca.</v>
      </c>
    </row>
    <row r="772">
      <c r="A772" s="4" t="s">
        <v>980</v>
      </c>
      <c r="B772" s="4" t="s">
        <v>981</v>
      </c>
      <c r="C772" s="5" t="str">
        <f>IFERROR(__xludf.DUMMYFUNCTION("GOOGLETRANSLATE(B772,""en"",""it"")"),"La parola curling appare sullo schermo numerose volte.")</f>
        <v>La parola curling appare sullo schermo numerose volte.</v>
      </c>
    </row>
    <row r="773">
      <c r="A773" s="4" t="s">
        <v>980</v>
      </c>
      <c r="B773" s="4" t="s">
        <v>982</v>
      </c>
      <c r="C773" s="5" t="str">
        <f>IFERROR(__xludf.DUMMYFUNCTION("GOOGLETRANSLATE(B773,""en"",""it"")"),"Una donna viene mostrata che i suoi capelli si asciugano, spazzolati e arricciati da uno specialista.")</f>
        <v>Una donna viene mostrata che i suoi capelli si asciugano, spazzolati e arricciati da uno specialista.</v>
      </c>
    </row>
    <row r="774">
      <c r="A774" s="4" t="s">
        <v>980</v>
      </c>
      <c r="B774" s="4" t="s">
        <v>983</v>
      </c>
      <c r="C774" s="5" t="str">
        <f>IFERROR(__xludf.DUMMYFUNCTION("GOOGLETRANSLATE(B774,""en"",""it"")"),"Posa i suoi capelli sono rulli, poi li abbatte e li modella.")</f>
        <v>Posa i suoi capelli sono rulli, poi li abbatte e li modella.</v>
      </c>
    </row>
    <row r="775">
      <c r="A775" s="4" t="s">
        <v>980</v>
      </c>
      <c r="B775" s="4" t="s">
        <v>984</v>
      </c>
      <c r="C775" s="5" t="str">
        <f>IFERROR(__xludf.DUMMYFUNCTION("GOOGLETRANSLATE(B775,""en"",""it"")"),"Quindi posa con il suo nuovo stile di capelli.")</f>
        <v>Quindi posa con il suo nuovo stile di capelli.</v>
      </c>
    </row>
    <row r="776">
      <c r="A776" s="4" t="s">
        <v>985</v>
      </c>
      <c r="B776" s="4" t="s">
        <v>986</v>
      </c>
      <c r="C776" s="5" t="str">
        <f>IFERROR(__xludf.DUMMYFUNCTION("GOOGLETRANSLATE(B776,""en"",""it"")"),"Vengono mostrati diversi scatti di un edificio e un lago circondato da alberi.")</f>
        <v>Vengono mostrati diversi scatti di un edificio e un lago circondato da alberi.</v>
      </c>
    </row>
    <row r="777">
      <c r="A777" s="4" t="s">
        <v>985</v>
      </c>
      <c r="B777" s="4" t="s">
        <v>987</v>
      </c>
      <c r="C777" s="5" t="str">
        <f>IFERROR(__xludf.DUMMYFUNCTION("GOOGLETRANSLATE(B777,""en"",""it"")"),"Molte persone vengono viste in sella alle canoe e vengono mostrati i piedi e le gambe di una persona.")</f>
        <v>Molte persone vengono viste in sella alle canoe e vengono mostrati i piedi e le gambe di una persona.</v>
      </c>
    </row>
    <row r="778">
      <c r="A778" s="4" t="s">
        <v>985</v>
      </c>
      <c r="B778" s="4" t="s">
        <v>988</v>
      </c>
      <c r="C778" s="5" t="str">
        <f>IFERROR(__xludf.DUMMYFUNCTION("GOOGLETRANSLATE(B778,""en"",""it"")"),"Le persone cavalcano lungo il fiume mentre la telecamera si muove in più paesaggi e alberi.")</f>
        <v>Le persone cavalcano lungo il fiume mentre la telecamera si muove in più paesaggi e alberi.</v>
      </c>
    </row>
    <row r="779">
      <c r="A779" s="4" t="s">
        <v>989</v>
      </c>
      <c r="B779" s="4" t="s">
        <v>990</v>
      </c>
      <c r="C779" s="5" t="str">
        <f>IFERROR(__xludf.DUMMYFUNCTION("GOOGLETRANSLATE(B779,""en"",""it"")"),"Vediamo un ragazzo accovacciato nella terra.")</f>
        <v>Vediamo un ragazzo accovacciato nella terra.</v>
      </c>
    </row>
    <row r="780">
      <c r="A780" s="4" t="s">
        <v>989</v>
      </c>
      <c r="B780" s="4" t="s">
        <v>991</v>
      </c>
      <c r="C780" s="5" t="str">
        <f>IFERROR(__xludf.DUMMYFUNCTION("GOOGLETRANSLATE(B780,""en"",""it"")"),"Vediamo quindi la schermata del titolo.")</f>
        <v>Vediamo quindi la schermata del titolo.</v>
      </c>
    </row>
    <row r="781">
      <c r="A781" s="4" t="s">
        <v>989</v>
      </c>
      <c r="B781" s="4" t="s">
        <v>992</v>
      </c>
      <c r="C781" s="5" t="str">
        <f>IFERROR(__xludf.DUMMYFUNCTION("GOOGLETRANSLATE(B781,""en"",""it"")"),"Il ragazzino tenta di fare un falò usando una selce.")</f>
        <v>Il ragazzino tenta di fare un falò usando una selce.</v>
      </c>
    </row>
    <row r="782">
      <c r="A782" s="4" t="s">
        <v>989</v>
      </c>
      <c r="B782" s="4" t="s">
        <v>993</v>
      </c>
      <c r="C782" s="5" t="str">
        <f>IFERROR(__xludf.DUMMYFUNCTION("GOOGLETRANSLATE(B782,""en"",""it"")"),"Piccole fiamme iniziano e crescono.")</f>
        <v>Piccole fiamme iniziano e crescono.</v>
      </c>
    </row>
    <row r="783">
      <c r="A783" s="4" t="s">
        <v>989</v>
      </c>
      <c r="B783" s="4" t="s">
        <v>994</v>
      </c>
      <c r="C783" s="5" t="str">
        <f>IFERROR(__xludf.DUMMYFUNCTION("GOOGLETRANSLATE(B783,""en"",""it"")"),"Il ragazzo si alza accanto al suo fuoco.")</f>
        <v>Il ragazzo si alza accanto al suo fuoco.</v>
      </c>
    </row>
    <row r="784">
      <c r="A784" s="4" t="s">
        <v>989</v>
      </c>
      <c r="B784" s="6" t="s">
        <v>995</v>
      </c>
      <c r="C784" s="5" t="str">
        <f>IFERROR(__xludf.DUMMYFUNCTION("GOOGLETRANSLATE(B784,""en"",""it"")"),"Vediamo 2 schede di titolo sull'inizio degli incendi per la sopravvivenza e il sito Web è mostrato prima degli schermi finali.")</f>
        <v>Vediamo 2 schede di titolo sull'inizio degli incendi per la sopravvivenza e il sito Web è mostrato prima degli schermi finali.</v>
      </c>
    </row>
    <row r="785">
      <c r="A785" s="4" t="s">
        <v>996</v>
      </c>
      <c r="B785" s="4" t="s">
        <v>997</v>
      </c>
      <c r="C785" s="5" t="str">
        <f>IFERROR(__xludf.DUMMYFUNCTION("GOOGLETRANSLATE(B785,""en"",""it"")"),"Un gruppo di persone è in piedi in un parcheggio.")</f>
        <v>Un gruppo di persone è in piedi in un parcheggio.</v>
      </c>
    </row>
    <row r="786">
      <c r="A786" s="4" t="s">
        <v>996</v>
      </c>
      <c r="B786" s="4" t="s">
        <v>998</v>
      </c>
      <c r="C786" s="5" t="str">
        <f>IFERROR(__xludf.DUMMYFUNCTION("GOOGLETRANSLATE(B786,""en"",""it"")"),"Le persone si muovono in diverse tecniche di arti marziali.")</f>
        <v>Le persone si muovono in diverse tecniche di arti marziali.</v>
      </c>
    </row>
    <row r="787">
      <c r="A787" s="4" t="s">
        <v>996</v>
      </c>
      <c r="B787" s="4" t="s">
        <v>999</v>
      </c>
      <c r="C787" s="5" t="str">
        <f>IFERROR(__xludf.DUMMYFUNCTION("GOOGLETRANSLATE(B787,""en"",""it"")"),"Calci e danno un pugno avanti e indietro.")</f>
        <v>Calci e danno un pugno avanti e indietro.</v>
      </c>
    </row>
    <row r="788">
      <c r="A788" s="4" t="s">
        <v>1000</v>
      </c>
      <c r="B788" s="4" t="s">
        <v>1001</v>
      </c>
      <c r="C788" s="5" t="str">
        <f>IFERROR(__xludf.DUMMYFUNCTION("GOOGLETRANSLATE(B788,""en"",""it"")"),"Vediamo una gomma a terra su un'auto.")</f>
        <v>Vediamo una gomma a terra su un'auto.</v>
      </c>
    </row>
    <row r="789">
      <c r="A789" s="4" t="s">
        <v>1000</v>
      </c>
      <c r="B789" s="4" t="s">
        <v>1002</v>
      </c>
      <c r="C789" s="5" t="str">
        <f>IFERROR(__xludf.DUMMYFUNCTION("GOOGLETRANSLATE(B789,""en"",""it"")"),"Il proprietario elimina la ruota di scorta e gli strumenti.")</f>
        <v>Il proprietario elimina la ruota di scorta e gli strumenti.</v>
      </c>
    </row>
    <row r="790">
      <c r="A790" s="4" t="s">
        <v>1000</v>
      </c>
      <c r="B790" s="4" t="s">
        <v>1003</v>
      </c>
      <c r="C790" s="5" t="str">
        <f>IFERROR(__xludf.DUMMYFUNCTION("GOOGLETRANSLATE(B790,""en"",""it"")"),"La persona solleva la macchina.")</f>
        <v>La persona solleva la macchina.</v>
      </c>
    </row>
    <row r="791">
      <c r="A791" s="4" t="s">
        <v>1000</v>
      </c>
      <c r="B791" s="4" t="s">
        <v>1004</v>
      </c>
      <c r="C791" s="5" t="str">
        <f>IFERROR(__xludf.DUMMYFUNCTION("GOOGLETRANSLATE(B791,""en"",""it"")"),"La persona mette la mano sotto la gomma rialzata.")</f>
        <v>La persona mette la mano sotto la gomma rialzata.</v>
      </c>
    </row>
    <row r="792">
      <c r="A792" s="4" t="s">
        <v>1000</v>
      </c>
      <c r="B792" s="4" t="s">
        <v>1005</v>
      </c>
      <c r="C792" s="5" t="str">
        <f>IFERROR(__xludf.DUMMYFUNCTION("GOOGLETRANSLATE(B792,""en"",""it"")"),"L'uomo toglie la gomma cattiva.")</f>
        <v>L'uomo toglie la gomma cattiva.</v>
      </c>
    </row>
    <row r="793">
      <c r="A793" s="4" t="s">
        <v>1000</v>
      </c>
      <c r="B793" s="4" t="s">
        <v>1006</v>
      </c>
      <c r="C793" s="5" t="str">
        <f>IFERROR(__xludf.DUMMYFUNCTION("GOOGLETRANSLATE(B793,""en"",""it"")"),"L'uomo mostra una vite nella sua gomma.")</f>
        <v>L'uomo mostra una vite nella sua gomma.</v>
      </c>
    </row>
    <row r="794">
      <c r="A794" s="4" t="s">
        <v>1000</v>
      </c>
      <c r="B794" s="4" t="s">
        <v>1007</v>
      </c>
      <c r="C794" s="5" t="str">
        <f>IFERROR(__xludf.DUMMYFUNCTION("GOOGLETRANSLATE(B794,""en"",""it"")"),"L'uomo mette la ruota di scorta.")</f>
        <v>L'uomo mette la ruota di scorta.</v>
      </c>
    </row>
    <row r="795">
      <c r="A795" s="4" t="s">
        <v>1000</v>
      </c>
      <c r="B795" s="4" t="s">
        <v>1008</v>
      </c>
      <c r="C795" s="5" t="str">
        <f>IFERROR(__xludf.DUMMYFUNCTION("GOOGLETRANSLATE(B795,""en"",""it"")"),"L'uomo abbassa l'auto sul ricambio.")</f>
        <v>L'uomo abbassa l'auto sul ricambio.</v>
      </c>
    </row>
    <row r="796">
      <c r="A796" s="4" t="s">
        <v>1009</v>
      </c>
      <c r="B796" s="6" t="s">
        <v>1010</v>
      </c>
      <c r="C796" s="5" t="str">
        <f>IFERROR(__xludf.DUMMYFUNCTION("GOOGLETRANSLATE(B796,""en"",""it"")"),"Un uomo in canoa parla e pagaie in un lago circondato da grandi rocce, alberi, fogliame, kayak randagi e altre persone in canoa.")</f>
        <v>Un uomo in canoa parla e pagaie in un lago circondato da grandi rocce, alberi, fogliame, kayak randagi e altre persone in canoa.</v>
      </c>
    </row>
    <row r="797">
      <c r="A797" s="4" t="s">
        <v>1009</v>
      </c>
      <c r="B797" s="6" t="s">
        <v>1011</v>
      </c>
      <c r="C797" s="5" t="str">
        <f>IFERROR(__xludf.DUMMYFUNCTION("GOOGLETRANSLATE(B797,""en"",""it"")"),"L'uomo inizia a una vista del profilo con in mano una pagaia mentre era seduto su una canoa e parla con una macchina fotografica di tanto in tanto che punta a una costa vicina con la pagaia.")</f>
        <v>L'uomo inizia a una vista del profilo con in mano una pagaia mentre era seduto su una canoa e parla con una macchina fotografica di tanto in tanto che punta a una costa vicina con la pagaia.</v>
      </c>
    </row>
    <row r="798">
      <c r="A798" s="4" t="s">
        <v>1009</v>
      </c>
      <c r="B798" s="4" t="s">
        <v>1012</v>
      </c>
      <c r="C798" s="5" t="str">
        <f>IFERROR(__xludf.DUMMYFUNCTION("GOOGLETRANSLATE(B798,""en"",""it"")"),"L'uomo quindi usa la pagaia nell'acqua per spingere la canoa più in profondità nell'acqua.")</f>
        <v>L'uomo quindi usa la pagaia nell'acqua per spingere la canoa più in profondità nell'acqua.</v>
      </c>
    </row>
    <row r="799">
      <c r="A799" s="4" t="s">
        <v>1009</v>
      </c>
      <c r="B799" s="6" t="s">
        <v>1013</v>
      </c>
      <c r="C799" s="5" t="str">
        <f>IFERROR(__xludf.DUMMYFUNCTION("GOOGLETRANSLATE(B799,""en"",""it"")"),"L'uomo inizia a remare liberamente nell'acqua, passando lungo la strada, un gruppo di persone su una canoa e diverse canoe e kayak vaganti in acqua, prima di affrontare di nuovo la telecamera in un primo piano e parlare.")</f>
        <v>L'uomo inizia a remare liberamente nell'acqua, passando lungo la strada, un gruppo di persone su una canoa e diverse canoe e kayak vaganti in acqua, prima di affrontare di nuovo la telecamera in un primo piano e parlare.</v>
      </c>
    </row>
    <row r="800">
      <c r="A800" s="4" t="s">
        <v>1014</v>
      </c>
      <c r="B800" s="6" t="s">
        <v>1015</v>
      </c>
      <c r="C800" s="5" t="str">
        <f>IFERROR(__xludf.DUMMYFUNCTION("GOOGLETRANSLATE(B800,""en"",""it"")"),"Le parole bianche appaiono sullo schermo e dicono ""The American Dream"" e un uomo che indossa un casco salta sul sentiero sterrato e continua a scendere, afferra il suo skateboard e inizia a pattinare sulla strada alla fine della collina di una scenica m"&amp;"olto panoramica la zona.")</f>
        <v>Le parole bianche appaiono sullo schermo e dicono "The American Dream" e un uomo che indossa un casco salta sul sentiero sterrato e continua a scendere, afferra il suo skateboard e inizia a pattinare sulla strada alla fine della collina di una scenica molto panoramica la zona.</v>
      </c>
    </row>
    <row r="801">
      <c r="A801" s="4" t="s">
        <v>1014</v>
      </c>
      <c r="B801" s="6" t="s">
        <v>1016</v>
      </c>
      <c r="C801" s="5" t="str">
        <f>IFERROR(__xludf.DUMMYFUNCTION("GOOGLETRANSLATE(B801,""en"",""it"")"),"L'uomo sta pattinando in una strada in una zona residenziale dove passa molte case con auto parcheggiate sulle strade.")</f>
        <v>L'uomo sta pattinando in una strada in una zona residenziale dove passa molte case con auto parcheggiate sulle strade.</v>
      </c>
    </row>
    <row r="802">
      <c r="A802" s="4" t="s">
        <v>1014</v>
      </c>
      <c r="B802" s="6" t="s">
        <v>1017</v>
      </c>
      <c r="C802" s="5" t="str">
        <f>IFERROR(__xludf.DUMMYFUNCTION("GOOGLETRANSLATE(B802,""en"",""it"")"),"L'uomo continua a pattinare attraverso aree residenziali, bordi dell'acqua lungo parchi, porti, città ed eccetera.")</f>
        <v>L'uomo continua a pattinare attraverso aree residenziali, bordi dell'acqua lungo parchi, porti, città ed eccetera.</v>
      </c>
    </row>
    <row r="803">
      <c r="A803" s="4" t="s">
        <v>1014</v>
      </c>
      <c r="B803" s="4" t="s">
        <v>1018</v>
      </c>
      <c r="C803" s="5" t="str">
        <f>IFERROR(__xludf.DUMMYFUNCTION("GOOGLETRANSLATE(B803,""en"",""it"")"),"L'uomo termina con una passeggiata lungo una spiaggia rocciosa e porta lo skateboard sulla spalla destra.")</f>
        <v>L'uomo termina con una passeggiata lungo una spiaggia rocciosa e porta lo skateboard sulla spalla destra.</v>
      </c>
    </row>
    <row r="804">
      <c r="A804" s="4" t="s">
        <v>1019</v>
      </c>
      <c r="B804" s="4" t="s">
        <v>1020</v>
      </c>
      <c r="C804" s="5" t="str">
        <f>IFERROR(__xludf.DUMMYFUNCTION("GOOGLETRANSLATE(B804,""en"",""it"")"),"Una donna tiene un microfono in piedi fuori da una stanza.")</f>
        <v>Una donna tiene un microfono in piedi fuori da una stanza.</v>
      </c>
    </row>
    <row r="805">
      <c r="A805" s="4" t="s">
        <v>1019</v>
      </c>
      <c r="B805" s="4" t="s">
        <v>1021</v>
      </c>
      <c r="C805" s="5" t="str">
        <f>IFERROR(__xludf.DUMMYFUNCTION("GOOGLETRANSLATE(B805,""en"",""it"")"),"Le persone giocano a palla da parete nella stanza.")</f>
        <v>Le persone giocano a palla da parete nella stanza.</v>
      </c>
    </row>
    <row r="806">
      <c r="A806" s="4" t="s">
        <v>1019</v>
      </c>
      <c r="B806" s="4" t="s">
        <v>1022</v>
      </c>
      <c r="C806" s="5" t="str">
        <f>IFERROR(__xludf.DUMMYFUNCTION("GOOGLETRANSLATE(B806,""en"",""it"")"),"La donna tiene in mano un pezzo di carta.")</f>
        <v>La donna tiene in mano un pezzo di carta.</v>
      </c>
    </row>
    <row r="807">
      <c r="A807" s="4" t="s">
        <v>1023</v>
      </c>
      <c r="B807" s="4" t="s">
        <v>1024</v>
      </c>
      <c r="C807" s="5" t="str">
        <f>IFERROR(__xludf.DUMMYFUNCTION("GOOGLETRANSLATE(B807,""en"",""it"")"),"Il logo ""Llumar"" appare sullo schermo.")</f>
        <v>Il logo "Llumar" appare sullo schermo.</v>
      </c>
    </row>
    <row r="808">
      <c r="A808" s="4" t="s">
        <v>1023</v>
      </c>
      <c r="B808" s="4" t="s">
        <v>1025</v>
      </c>
      <c r="C808" s="5" t="str">
        <f>IFERROR(__xludf.DUMMYFUNCTION("GOOGLETRANSLATE(B808,""en"",""it"")"),"Una ragazza con una piscina cammina verso un tavolo da biliardo, la telecamera si concentra sul suo top a basso taglio.")</f>
        <v>Una ragazza con una piscina cammina verso un tavolo da biliardo, la telecamera si concentra sul suo top a basso taglio.</v>
      </c>
    </row>
    <row r="809">
      <c r="A809" s="4" t="s">
        <v>1023</v>
      </c>
      <c r="B809" s="4" t="s">
        <v>1026</v>
      </c>
      <c r="C809" s="5" t="str">
        <f>IFERROR(__xludf.DUMMYFUNCTION("GOOGLETRANSLATE(B809,""en"",""it"")"),"Diverse donne giocano a piscina al tavolo in abbigliamento rivelatrice.")</f>
        <v>Diverse donne giocano a piscina al tavolo in abbigliamento rivelatrice.</v>
      </c>
    </row>
    <row r="810">
      <c r="A810" s="4" t="s">
        <v>1023</v>
      </c>
      <c r="B810" s="4" t="s">
        <v>1027</v>
      </c>
      <c r="C810" s="5" t="str">
        <f>IFERROR(__xludf.DUMMYFUNCTION("GOOGLETRANSLATE(B810,""en"",""it"")"),"Il logo ""Llumar"" riappare sullo schermo.")</f>
        <v>Il logo "Llumar" riappare sullo schermo.</v>
      </c>
    </row>
    <row r="811">
      <c r="A811" s="4" t="s">
        <v>1028</v>
      </c>
      <c r="B811" s="4" t="s">
        <v>1029</v>
      </c>
      <c r="C811" s="5" t="str">
        <f>IFERROR(__xludf.DUMMYFUNCTION("GOOGLETRANSLATE(B811,""en"",""it"")"),"Una ragazza è vista in piedi su un campo da tennis con una racchetta.")</f>
        <v>Una ragazza è vista in piedi su un campo da tennis con una racchetta.</v>
      </c>
    </row>
    <row r="812">
      <c r="A812" s="4" t="s">
        <v>1028</v>
      </c>
      <c r="B812" s="4" t="s">
        <v>1030</v>
      </c>
      <c r="C812" s="5" t="str">
        <f>IFERROR(__xludf.DUMMYFUNCTION("GOOGLETRANSLATE(B812,""en"",""it"")"),"La donna inizia a oscillare la racchetta mentre un altro ragazzo sta accanto a lei.")</f>
        <v>La donna inizia a oscillare la racchetta mentre un altro ragazzo sta accanto a lei.</v>
      </c>
    </row>
    <row r="813">
      <c r="A813" s="4" t="s">
        <v>1028</v>
      </c>
      <c r="B813" s="4" t="s">
        <v>1031</v>
      </c>
      <c r="C813" s="5" t="str">
        <f>IFERROR(__xludf.DUMMYFUNCTION("GOOGLETRANSLATE(B813,""en"",""it"")"),"La donna continua a oscillare e torna al ragazzo.")</f>
        <v>La donna continua a oscillare e torna al ragazzo.</v>
      </c>
    </row>
    <row r="814">
      <c r="A814" s="4" t="s">
        <v>1032</v>
      </c>
      <c r="B814" s="4" t="s">
        <v>1033</v>
      </c>
      <c r="C814" s="5" t="str">
        <f>IFERROR(__xludf.DUMMYFUNCTION("GOOGLETRANSLATE(B814,""en"",""it"")"),"Diversi uomini giocano a calcio in palestra.")</f>
        <v>Diversi uomini giocano a calcio in palestra.</v>
      </c>
    </row>
    <row r="815">
      <c r="A815" s="4" t="s">
        <v>1032</v>
      </c>
      <c r="B815" s="4" t="s">
        <v>1034</v>
      </c>
      <c r="C815" s="5" t="str">
        <f>IFERROR(__xludf.DUMMYFUNCTION("GOOGLETRANSLATE(B815,""en"",""it"")"),"Ci sono alcuni spettatori in background.")</f>
        <v>Ci sono alcuni spettatori in background.</v>
      </c>
    </row>
    <row r="816">
      <c r="A816" s="4" t="s">
        <v>1032</v>
      </c>
      <c r="B816" s="4" t="s">
        <v>1035</v>
      </c>
      <c r="C816" s="5" t="str">
        <f>IFERROR(__xludf.DUMMYFUNCTION("GOOGLETRANSLATE(B816,""en"",""it"")"),"Un altro gruppo di uomini sta giocando a calcio.")</f>
        <v>Un altro gruppo di uomini sta giocando a calcio.</v>
      </c>
    </row>
    <row r="817">
      <c r="A817" s="4" t="s">
        <v>1032</v>
      </c>
      <c r="B817" s="4" t="s">
        <v>1036</v>
      </c>
      <c r="C817" s="5" t="str">
        <f>IFERROR(__xludf.DUMMYFUNCTION("GOOGLETRANSLATE(B817,""en"",""it"")"),"Ci sono spettatori in background.")</f>
        <v>Ci sono spettatori in background.</v>
      </c>
    </row>
    <row r="818">
      <c r="A818" s="4" t="s">
        <v>1032</v>
      </c>
      <c r="B818" s="4" t="s">
        <v>1037</v>
      </c>
      <c r="C818" s="5" t="str">
        <f>IFERROR(__xludf.DUMMYFUNCTION("GOOGLETRANSLATE(B818,""en"",""it"")"),"Varie scene di partite di calcio sono mostrate con gli spettatori.")</f>
        <v>Varie scene di partite di calcio sono mostrate con gli spettatori.</v>
      </c>
    </row>
    <row r="819">
      <c r="A819" s="4" t="s">
        <v>1038</v>
      </c>
      <c r="B819" s="4" t="s">
        <v>1039</v>
      </c>
      <c r="C819" s="5" t="str">
        <f>IFERROR(__xludf.DUMMYFUNCTION("GOOGLETRANSLATE(B819,""en"",""it"")"),"Un paio di ragazze vengono viste cavalcare in un lungo scivolo nel mezzo di un parco.")</f>
        <v>Un paio di ragazze vengono viste cavalcare in un lungo scivolo nel mezzo di un parco.</v>
      </c>
    </row>
    <row r="820">
      <c r="A820" s="4" t="s">
        <v>1038</v>
      </c>
      <c r="B820" s="4" t="s">
        <v>1040</v>
      </c>
      <c r="C820" s="5" t="str">
        <f>IFERROR(__xludf.DUMMYFUNCTION("GOOGLETRANSLATE(B820,""en"",""it"")"),"Più bambini cavalcano la diapositiva mentre una madre aiuta i bambini in alto.")</f>
        <v>Più bambini cavalcano la diapositiva mentre una madre aiuta i bambini in alto.</v>
      </c>
    </row>
    <row r="821">
      <c r="A821" s="4" t="s">
        <v>1041</v>
      </c>
      <c r="B821" s="4" t="s">
        <v>1042</v>
      </c>
      <c r="C821" s="5" t="str">
        <f>IFERROR(__xludf.DUMMYFUNCTION("GOOGLETRANSLATE(B821,""en"",""it"")"),"Una donna viene vista seduta tenendo in mano un gelato mentre guarda la telecamera.")</f>
        <v>Una donna viene vista seduta tenendo in mano un gelato mentre guarda la telecamera.</v>
      </c>
    </row>
    <row r="822">
      <c r="A822" s="4" t="s">
        <v>1041</v>
      </c>
      <c r="B822" s="4" t="s">
        <v>1043</v>
      </c>
      <c r="C822" s="5" t="str">
        <f>IFERROR(__xludf.DUMMYFUNCTION("GOOGLETRANSLATE(B822,""en"",""it"")"),"Continua a mangiare il gelato mentre la telecamera si muove intorno a lei e la guarda mangiare.")</f>
        <v>Continua a mangiare il gelato mentre la telecamera si muove intorno a lei e la guarda mangiare.</v>
      </c>
    </row>
    <row r="823">
      <c r="A823" s="4" t="s">
        <v>1044</v>
      </c>
      <c r="B823" s="4" t="s">
        <v>1045</v>
      </c>
      <c r="C823" s="5" t="str">
        <f>IFERROR(__xludf.DUMMYFUNCTION("GOOGLETRANSLATE(B823,""en"",""it"")"),"Viene visto un uomo suonare una serie di cornamuse mentre le persone dietro di lui spingono le biciclette.")</f>
        <v>Viene visto un uomo suonare una serie di cornamuse mentre le persone dietro di lui spingono le biciclette.</v>
      </c>
    </row>
    <row r="824">
      <c r="A824" s="4" t="s">
        <v>1044</v>
      </c>
      <c r="B824" s="4" t="s">
        <v>1046</v>
      </c>
      <c r="C824" s="5" t="str">
        <f>IFERROR(__xludf.DUMMYFUNCTION("GOOGLETRANSLATE(B824,""en"",""it"")"),"Viene visto giocare di nuovo mentre più persone entrano e fuori dalla cornice con bambini e cani.")</f>
        <v>Viene visto giocare di nuovo mentre più persone entrano e fuori dalla cornice con bambini e cani.</v>
      </c>
    </row>
    <row r="825">
      <c r="A825" s="4" t="s">
        <v>1044</v>
      </c>
      <c r="B825" s="4" t="s">
        <v>1047</v>
      </c>
      <c r="C825" s="5" t="str">
        <f>IFERROR(__xludf.DUMMYFUNCTION("GOOGLETRANSLATE(B825,""en"",""it"")"),"Alcune persone si fermano a sentirlo giocare e si ferma a guardare la telecamera.")</f>
        <v>Alcune persone si fermano a sentirlo giocare e si ferma a guardare la telecamera.</v>
      </c>
    </row>
    <row r="826">
      <c r="A826" s="4" t="s">
        <v>1048</v>
      </c>
      <c r="B826" s="4" t="s">
        <v>1049</v>
      </c>
      <c r="C826" s="5" t="str">
        <f>IFERROR(__xludf.DUMMYFUNCTION("GOOGLETRANSLATE(B826,""en"",""it"")"),"Una ballerina di pancia vestita di rosso e nero sta dimostrando come i cerchi alla moda e la luccicante.")</f>
        <v>Una ballerina di pancia vestita di rosso e nero sta dimostrando come i cerchi alla moda e la luccicante.</v>
      </c>
    </row>
    <row r="827">
      <c r="A827" s="4" t="s">
        <v>1048</v>
      </c>
      <c r="B827" s="4" t="s">
        <v>1050</v>
      </c>
      <c r="C827" s="5" t="str">
        <f>IFERROR(__xludf.DUMMYFUNCTION("GOOGLETRANSLATE(B827,""en"",""it"")"),"Sta in piedi con la larghezza dell'anca dei piedi.")</f>
        <v>Sta in piedi con la larghezza dell'anca dei piedi.</v>
      </c>
    </row>
    <row r="828">
      <c r="A828" s="4" t="s">
        <v>1048</v>
      </c>
      <c r="B828" s="4" t="s">
        <v>1051</v>
      </c>
      <c r="C828" s="5" t="str">
        <f>IFERROR(__xludf.DUMMYFUNCTION("GOOGLETRANSLATE(B828,""en"",""it"")"),"Quindi mostra come fare il lavoro del piede mentre muove i fianchi in cerchio.")</f>
        <v>Quindi mostra come fare il lavoro del piede mentre muove i fianchi in cerchio.</v>
      </c>
    </row>
    <row r="829">
      <c r="A829" s="4" t="s">
        <v>1048</v>
      </c>
      <c r="B829" s="4" t="s">
        <v>1052</v>
      </c>
      <c r="C829" s="5" t="str">
        <f>IFERROR(__xludf.DUMMYFUNCTION("GOOGLETRANSLATE(B829,""en"",""it"")"),"Si muove contemporaneamente i fianchi e mentre si muove di lato.")</f>
        <v>Si muove contemporaneamente i fianchi e mentre si muove di lato.</v>
      </c>
    </row>
    <row r="830">
      <c r="A830" s="4" t="s">
        <v>1048</v>
      </c>
      <c r="B830" s="4" t="s">
        <v>1053</v>
      </c>
      <c r="C830" s="5" t="str">
        <f>IFERROR(__xludf.DUMMYFUNCTION("GOOGLETRANSLATE(B830,""en"",""it"")"),"Quindi estende le mani e su da un lato mentre continua a muoversi lateralmente.")</f>
        <v>Quindi estende le mani e su da un lato mentre continua a muoversi lateralmente.</v>
      </c>
    </row>
    <row r="831">
      <c r="A831" s="4" t="s">
        <v>1048</v>
      </c>
      <c r="B831" s="4" t="s">
        <v>1054</v>
      </c>
      <c r="C831" s="5" t="str">
        <f>IFERROR(__xludf.DUMMYFUNCTION("GOOGLETRANSLATE(B831,""en"",""it"")"),"Ripete i gradini che vanno avanti e indietro mentre fa roteare i fianchi.")</f>
        <v>Ripete i gradini che vanno avanti e indietro mentre fa roteare i fianchi.</v>
      </c>
    </row>
    <row r="832">
      <c r="A832" s="4" t="s">
        <v>1055</v>
      </c>
      <c r="B832" s="4" t="s">
        <v>1056</v>
      </c>
      <c r="C832" s="5" t="str">
        <f>IFERROR(__xludf.DUMMYFUNCTION("GOOGLETRANSLATE(B832,""en"",""it"")"),"Un costruttore di body femminile solleva lentamente un gigantesco bilanciere di pesi in aria.")</f>
        <v>Un costruttore di body femminile solleva lentamente un gigantesco bilanciere di pesi in aria.</v>
      </c>
    </row>
    <row r="833">
      <c r="A833" s="4" t="s">
        <v>1055</v>
      </c>
      <c r="B833" s="4" t="s">
        <v>1057</v>
      </c>
      <c r="C833" s="5" t="str">
        <f>IFERROR(__xludf.DUMMYFUNCTION("GOOGLETRANSLATE(B833,""en"",""it"")"),"Lo solleva sul petto, poi sopra la sua testa prima di congelare in posizione.")</f>
        <v>Lo solleva sul petto, poi sopra la sua testa prima di congelare in posizione.</v>
      </c>
    </row>
    <row r="834">
      <c r="A834" s="4" t="s">
        <v>1058</v>
      </c>
      <c r="B834" s="4" t="s">
        <v>1059</v>
      </c>
      <c r="C834" s="5" t="str">
        <f>IFERROR(__xludf.DUMMYFUNCTION("GOOGLETRANSLATE(B834,""en"",""it"")"),"Una squadra di cheerleader si esibisce su un tappetino blu.")</f>
        <v>Una squadra di cheerleader si esibisce su un tappetino blu.</v>
      </c>
    </row>
    <row r="835">
      <c r="A835" s="4" t="s">
        <v>1058</v>
      </c>
      <c r="B835" s="4" t="s">
        <v>1060</v>
      </c>
      <c r="C835" s="5" t="str">
        <f>IFERROR(__xludf.DUMMYFUNCTION("GOOGLETRANSLATE(B835,""en"",""it"")"),"Ballano e cadono durante la loro routine.")</f>
        <v>Ballano e cadono durante la loro routine.</v>
      </c>
    </row>
    <row r="836">
      <c r="A836" s="4" t="s">
        <v>1061</v>
      </c>
      <c r="B836" s="6" t="s">
        <v>1062</v>
      </c>
      <c r="C836" s="5" t="str">
        <f>IFERROR(__xludf.DUMMYFUNCTION("GOOGLETRANSLATE(B836,""en"",""it"")"),"Chimica della torta che spiega come fare un esperimento a casa, danno tutti gli ingredienti necessari e iniziano a spiegare cosa faranno.")</f>
        <v>Chimica della torta che spiega come fare un esperimento a casa, danno tutti gli ingredienti necessari e iniziano a spiegare cosa faranno.</v>
      </c>
    </row>
    <row r="837">
      <c r="A837" s="4" t="s">
        <v>1061</v>
      </c>
      <c r="B837" s="4" t="s">
        <v>1063</v>
      </c>
      <c r="C837" s="5" t="str">
        <f>IFERROR(__xludf.DUMMYFUNCTION("GOOGLETRANSLATE(B837,""en"",""it"")"),"L'inizio di dare istruzioni passo passo su come mescolare gli ingredienti insieme.")</f>
        <v>L'inizio di dare istruzioni passo passo su come mescolare gli ingredienti insieme.</v>
      </c>
    </row>
    <row r="838">
      <c r="A838" s="4" t="s">
        <v>1061</v>
      </c>
      <c r="B838" s="4" t="s">
        <v>1064</v>
      </c>
      <c r="C838" s="5" t="str">
        <f>IFERROR(__xludf.DUMMYFUNCTION("GOOGLETRANSLATE(B838,""en"",""it"")"),"Forniscono informazioni molto dettagliate su cosa fare prima di metterli nel forno.")</f>
        <v>Forniscono informazioni molto dettagliate su cosa fare prima di metterli nel forno.</v>
      </c>
    </row>
    <row r="839">
      <c r="A839" s="4" t="s">
        <v>1061</v>
      </c>
      <c r="B839" s="6" t="s">
        <v>1065</v>
      </c>
      <c r="C839" s="5" t="str">
        <f>IFERROR(__xludf.DUMMYFUNCTION("GOOGLETRANSLATE(B839,""en"",""it"")"),"Una volta, escono dal forno, spiegano la differenza tra tutte le torte e i diversi ingredienti che non hanno messo in ciascuno per capire perché i risultati fossero diversi.")</f>
        <v>Una volta, escono dal forno, spiegano la differenza tra tutte le torte e i diversi ingredienti che non hanno messo in ciascuno per capire perché i risultati fossero diversi.</v>
      </c>
    </row>
    <row r="840">
      <c r="A840" s="4" t="s">
        <v>1066</v>
      </c>
      <c r="B840" s="4" t="s">
        <v>1067</v>
      </c>
      <c r="C840" s="5" t="str">
        <f>IFERROR(__xludf.DUMMYFUNCTION("GOOGLETRANSLATE(B840,""en"",""it"")"),"Un uomo guida una macchina per falciare per tagliare l'erba di un cortile.")</f>
        <v>Un uomo guida una macchina per falciare per tagliare l'erba di un cortile.</v>
      </c>
    </row>
    <row r="841">
      <c r="A841" s="4" t="s">
        <v>1066</v>
      </c>
      <c r="B841" s="4" t="s">
        <v>1068</v>
      </c>
      <c r="C841" s="5" t="str">
        <f>IFERROR(__xludf.DUMMYFUNCTION("GOOGLETRANSLATE(B841,""en"",""it"")"),"L'uomo passa davanti alla casa per continuare a falciare le altre parti del cortile.")</f>
        <v>L'uomo passa davanti alla casa per continuare a falciare le altre parti del cortile.</v>
      </c>
    </row>
    <row r="842">
      <c r="A842" s="4" t="s">
        <v>1069</v>
      </c>
      <c r="B842" s="6" t="s">
        <v>1070</v>
      </c>
      <c r="C842" s="5" t="str">
        <f>IFERROR(__xludf.DUMMYFUNCTION("GOOGLETRANSLATE(B842,""en"",""it"")"),"Due persone sono viste eseguire varie arti marziali l'una con l'altra mentre un folto gruppo di persone guardano sui lati.")</f>
        <v>Due persone sono viste eseguire varie arti marziali l'una con l'altra mentre un folto gruppo di persone guardano sui lati.</v>
      </c>
    </row>
    <row r="843">
      <c r="A843" s="4" t="s">
        <v>1069</v>
      </c>
      <c r="B843" s="6" t="s">
        <v>1071</v>
      </c>
      <c r="C843" s="5" t="str">
        <f>IFERROR(__xludf.DUMMYFUNCTION("GOOGLETRANSLATE(B843,""en"",""it"")"),"Più persone si trovano nel mezzo e si esibiscono tra loro e finiscono con le persone che si muovono e si afferrano a vicenda.")</f>
        <v>Più persone si trovano nel mezzo e si esibiscono tra loro e finiscono con le persone che si muovono e si afferrano a vicenda.</v>
      </c>
    </row>
    <row r="844">
      <c r="A844" s="4" t="s">
        <v>1072</v>
      </c>
      <c r="B844" s="4" t="s">
        <v>1073</v>
      </c>
      <c r="C844" s="5" t="str">
        <f>IFERROR(__xludf.DUMMYFUNCTION("GOOGLETRANSLATE(B844,""en"",""it"")"),"Due giovani sono in piedi all'interno, parlano con la telecamera.")</f>
        <v>Due giovani sono in piedi all'interno, parlano con la telecamera.</v>
      </c>
    </row>
    <row r="845">
      <c r="A845" s="4" t="s">
        <v>1072</v>
      </c>
      <c r="B845" s="4" t="s">
        <v>1074</v>
      </c>
      <c r="C845" s="5" t="str">
        <f>IFERROR(__xludf.DUMMYFUNCTION("GOOGLETRANSLATE(B845,""en"",""it"")"),"Dimostrano come corrono su una pista e fanno un salto a lungo nella sabbia.")</f>
        <v>Dimostrano come corrono su una pista e fanno un salto a lungo nella sabbia.</v>
      </c>
    </row>
    <row r="846">
      <c r="A846" s="4" t="s">
        <v>1075</v>
      </c>
      <c r="B846" s="4" t="s">
        <v>1076</v>
      </c>
      <c r="C846" s="5" t="str">
        <f>IFERROR(__xludf.DUMMYFUNCTION("GOOGLETRANSLATE(B846,""en"",""it"")"),"Viene mostrata una recinzione di fronte a una casa.")</f>
        <v>Viene mostrata una recinzione di fronte a una casa.</v>
      </c>
    </row>
    <row r="847">
      <c r="A847" s="4" t="s">
        <v>1075</v>
      </c>
      <c r="B847" s="4" t="s">
        <v>1077</v>
      </c>
      <c r="C847" s="5" t="str">
        <f>IFERROR(__xludf.DUMMYFUNCTION("GOOGLETRANSLATE(B847,""en"",""it"")"),"Un uomo che indossa il bianco inizia a dipingere la recinzione.")</f>
        <v>Un uomo che indossa il bianco inizia a dipingere la recinzione.</v>
      </c>
    </row>
    <row r="848">
      <c r="A848" s="4" t="s">
        <v>1078</v>
      </c>
      <c r="B848" s="4" t="s">
        <v>1079</v>
      </c>
      <c r="C848" s="5" t="str">
        <f>IFERROR(__xludf.DUMMYFUNCTION("GOOGLETRANSLATE(B848,""en"",""it"")"),"Una persona con pantaloni blu sta rastrellando alcune foglie cadute da terra.")</f>
        <v>Una persona con pantaloni blu sta rastrellando alcune foglie cadute da terra.</v>
      </c>
    </row>
    <row r="849">
      <c r="A849" s="4" t="s">
        <v>1078</v>
      </c>
      <c r="B849" s="4" t="s">
        <v>1080</v>
      </c>
      <c r="C849" s="5" t="str">
        <f>IFERROR(__xludf.DUMMYFUNCTION("GOOGLETRANSLATE(B849,""en"",""it"")"),"C'è un cane nero e un cane bianco che salta attorno alla persona che racchiude le foglie.")</f>
        <v>C'è un cane nero e un cane bianco che salta attorno alla persona che racchiude le foglie.</v>
      </c>
    </row>
    <row r="850">
      <c r="A850" s="4" t="s">
        <v>1078</v>
      </c>
      <c r="B850" s="4" t="s">
        <v>1081</v>
      </c>
      <c r="C850" s="5" t="str">
        <f>IFERROR(__xludf.DUMMYFUNCTION("GOOGLETRANSLATE(B850,""en"",""it"")"),"Il cane bianco sta cercando di mordere il rastrello.")</f>
        <v>Il cane bianco sta cercando di mordere il rastrello.</v>
      </c>
    </row>
    <row r="851">
      <c r="A851" s="4" t="s">
        <v>1078</v>
      </c>
      <c r="B851" s="4" t="s">
        <v>1082</v>
      </c>
      <c r="C851" s="5" t="str">
        <f>IFERROR(__xludf.DUMMYFUNCTION("GOOGLETRANSLATE(B851,""en"",""it"")"),"Entrambi i cani stanno giocando intorno all'uomo che rastrella le foglie, cercando di mordere il rastrello.")</f>
        <v>Entrambi i cani stanno giocando intorno all'uomo che rastrella le foglie, cercando di mordere il rastrello.</v>
      </c>
    </row>
    <row r="852">
      <c r="A852" s="4" t="s">
        <v>1078</v>
      </c>
      <c r="B852" s="4" t="s">
        <v>1083</v>
      </c>
      <c r="C852" s="5" t="str">
        <f>IFERROR(__xludf.DUMMYFUNCTION("GOOGLETRANSLATE(B852,""en"",""it"")"),"La persona sta muovendo il rastrello in cerchio mentre i cani saltano intorno a lui.")</f>
        <v>La persona sta muovendo il rastrello in cerchio mentre i cani saltano intorno a lui.</v>
      </c>
    </row>
    <row r="853">
      <c r="A853" s="4" t="s">
        <v>1084</v>
      </c>
      <c r="B853" s="4" t="s">
        <v>1085</v>
      </c>
      <c r="C853" s="5" t="str">
        <f>IFERROR(__xludf.DUMMYFUNCTION("GOOGLETRANSLATE(B853,""en"",""it"")"),"Una farfalla sta volando sullo schermo con parole su diapositive.")</f>
        <v>Una farfalla sta volando sullo schermo con parole su diapositive.</v>
      </c>
    </row>
    <row r="854">
      <c r="A854" s="4" t="s">
        <v>1084</v>
      </c>
      <c r="B854" s="4" t="s">
        <v>1086</v>
      </c>
      <c r="C854" s="5" t="str">
        <f>IFERROR(__xludf.DUMMYFUNCTION("GOOGLETRANSLATE(B854,""en"",""it"")"),"Una persona sta mescolando ingredienti in una ciotola.")</f>
        <v>Una persona sta mescolando ingredienti in una ciotola.</v>
      </c>
    </row>
    <row r="855">
      <c r="A855" s="4" t="s">
        <v>1084</v>
      </c>
      <c r="B855" s="4" t="s">
        <v>1087</v>
      </c>
      <c r="C855" s="5" t="str">
        <f>IFERROR(__xludf.DUMMYFUNCTION("GOOGLETRANSLATE(B855,""en"",""it"")"),"Spotonano l'impasto su un foglio di biscotti.")</f>
        <v>Spotonano l'impasto su un foglio di biscotti.</v>
      </c>
    </row>
    <row r="856">
      <c r="A856" s="4" t="s">
        <v>1084</v>
      </c>
      <c r="B856" s="4" t="s">
        <v>1088</v>
      </c>
      <c r="C856" s="5" t="str">
        <f>IFERROR(__xludf.DUMMYFUNCTION("GOOGLETRANSLATE(B856,""en"",""it"")"),"I biscotti in forno sono mostrati impilati su un piatto.")</f>
        <v>I biscotti in forno sono mostrati impilati su un piatto.</v>
      </c>
    </row>
    <row r="857">
      <c r="A857" s="4" t="s">
        <v>1089</v>
      </c>
      <c r="B857" s="4" t="s">
        <v>1090</v>
      </c>
      <c r="C857" s="5" t="str">
        <f>IFERROR(__xludf.DUMMYFUNCTION("GOOGLETRANSLATE(B857,""en"",""it"")"),"Una persona è vista seduta su una sedia e porta a staccare una patata con un coltello.")</f>
        <v>Una persona è vista seduta su una sedia e porta a staccare una patata con un coltello.</v>
      </c>
    </row>
    <row r="858">
      <c r="A858" s="4" t="s">
        <v>1089</v>
      </c>
      <c r="B858" s="4" t="s">
        <v>1091</v>
      </c>
      <c r="C858" s="5" t="str">
        <f>IFERROR(__xludf.DUMMYFUNCTION("GOOGLETRANSLATE(B858,""en"",""it"")"),"La persona finisce quindi di sbucciare le patate e metterlo giù.")</f>
        <v>La persona finisce quindi di sbucciare le patate e metterlo giù.</v>
      </c>
    </row>
    <row r="859">
      <c r="A859" s="4" t="s">
        <v>1092</v>
      </c>
      <c r="B859" s="4" t="s">
        <v>1093</v>
      </c>
      <c r="C859" s="5" t="str">
        <f>IFERROR(__xludf.DUMMYFUNCTION("GOOGLETRANSLATE(B859,""en"",""it"")"),"Una persona viene vista tagliare vari frutti mentre viene visto parlare con la telecamera.")</f>
        <v>Una persona viene vista tagliare vari frutti mentre viene visto parlare con la telecamera.</v>
      </c>
    </row>
    <row r="860">
      <c r="A860" s="4" t="s">
        <v>1092</v>
      </c>
      <c r="B860" s="4" t="s">
        <v>1094</v>
      </c>
      <c r="C860" s="5" t="str">
        <f>IFERROR(__xludf.DUMMYFUNCTION("GOOGLETRANSLATE(B860,""en"",""it"")"),"La persona mescola vari ingredienti in un contenitore d'acqua.")</f>
        <v>La persona mescola vari ingredienti in un contenitore d'acqua.</v>
      </c>
    </row>
    <row r="861">
      <c r="A861" s="4" t="s">
        <v>1092</v>
      </c>
      <c r="B861" s="4" t="s">
        <v>1095</v>
      </c>
      <c r="C861" s="5" t="str">
        <f>IFERROR(__xludf.DUMMYFUNCTION("GOOGLETRANSLATE(B861,""en"",""it"")"),"La persona gira intorno al contenitore alla fine.")</f>
        <v>La persona gira intorno al contenitore alla fine.</v>
      </c>
    </row>
    <row r="862">
      <c r="A862" s="4" t="s">
        <v>1096</v>
      </c>
      <c r="B862" s="4" t="s">
        <v>1097</v>
      </c>
      <c r="C862" s="5" t="str">
        <f>IFERROR(__xludf.DUMMYFUNCTION("GOOGLETRANSLATE(B862,""en"",""it"")"),"La mano di una persona lava un gatto grigio in una vasca d'acqua bianca.")</f>
        <v>La mano di una persona lava un gatto grigio in una vasca d'acqua bianca.</v>
      </c>
    </row>
    <row r="863">
      <c r="A863" s="4" t="s">
        <v>1096</v>
      </c>
      <c r="B863" s="4" t="s">
        <v>1098</v>
      </c>
      <c r="C863" s="5" t="str">
        <f>IFERROR(__xludf.DUMMYFUNCTION("GOOGLETRANSLATE(B863,""en"",""it"")"),"Un gatto grigio è seduto in una vasca bianca di acqua limpida, inzuppata in acqua.")</f>
        <v>Un gatto grigio è seduto in una vasca bianca di acqua limpida, inzuppata in acqua.</v>
      </c>
    </row>
    <row r="864">
      <c r="A864" s="4" t="s">
        <v>1096</v>
      </c>
      <c r="B864" s="4" t="s">
        <v>1099</v>
      </c>
      <c r="C864" s="5" t="str">
        <f>IFERROR(__xludf.DUMMYFUNCTION("GOOGLETRANSLATE(B864,""en"",""it"")"),"Appare una mano con un tatuaggio e asciuga la schiena del gatto con un panno rosso.")</f>
        <v>Appare una mano con un tatuaggio e asciuga la schiena del gatto con un panno rosso.</v>
      </c>
    </row>
    <row r="865">
      <c r="A865" s="4" t="s">
        <v>1096</v>
      </c>
      <c r="B865" s="4" t="s">
        <v>1100</v>
      </c>
      <c r="C865" s="5" t="str">
        <f>IFERROR(__xludf.DUMMYFUNCTION("GOOGLETRANSLATE(B865,""en"",""it"")"),"La mano quindi asciuga il collo del gatto e la parte posteriore della testa con il panno rosso.")</f>
        <v>La mano quindi asciuga il collo del gatto e la parte posteriore della testa con il panno rosso.</v>
      </c>
    </row>
    <row r="866">
      <c r="A866" s="4" t="s">
        <v>1096</v>
      </c>
      <c r="B866" s="4" t="s">
        <v>1101</v>
      </c>
      <c r="C866" s="5" t="str">
        <f>IFERROR(__xludf.DUMMYFUNCTION("GOOGLETRANSLATE(B866,""en"",""it"")"),"La mano, infine, lascia cadere il panno rosso nell'acqua mentre la mano si tiene al naso del gatto.")</f>
        <v>La mano, infine, lascia cadere il panno rosso nell'acqua mentre la mano si tiene al naso del gatto.</v>
      </c>
    </row>
    <row r="867">
      <c r="A867" s="4" t="s">
        <v>1102</v>
      </c>
      <c r="B867" s="4" t="s">
        <v>1103</v>
      </c>
      <c r="C867" s="5" t="str">
        <f>IFERROR(__xludf.DUMMYFUNCTION("GOOGLETRANSLATE(B867,""en"",""it"")"),"Una ragazza è in piedi con la schiena girata in campo.")</f>
        <v>Una ragazza è in piedi con la schiena girata in campo.</v>
      </c>
    </row>
    <row r="868">
      <c r="A868" s="4" t="s">
        <v>1102</v>
      </c>
      <c r="B868" s="4" t="s">
        <v>1104</v>
      </c>
      <c r="C868" s="5" t="str">
        <f>IFERROR(__xludf.DUMMYFUNCTION("GOOGLETRANSLATE(B868,""en"",""it"")"),"Si gira, lasciando accidentalmente cadere una corda.")</f>
        <v>Si gira, lasciando accidentalmente cadere una corda.</v>
      </c>
    </row>
    <row r="869">
      <c r="A869" s="4" t="s">
        <v>1102</v>
      </c>
      <c r="B869" s="4" t="s">
        <v>1105</v>
      </c>
      <c r="C869" s="5" t="str">
        <f>IFERROR(__xludf.DUMMYFUNCTION("GOOGLETRANSLATE(B869,""en"",""it"")"),"Quindi si esibisce, girando e saltando con la corda.")</f>
        <v>Quindi si esibisce, girando e saltando con la corda.</v>
      </c>
    </row>
    <row r="870">
      <c r="A870" s="4" t="s">
        <v>1106</v>
      </c>
      <c r="B870" s="4" t="s">
        <v>1107</v>
      </c>
      <c r="C870" s="5" t="str">
        <f>IFERROR(__xludf.DUMMYFUNCTION("GOOGLETRANSLATE(B870,""en"",""it"")"),"Una persona viene vista spalare un po 'di neve con la telecamera posato in testa.")</f>
        <v>Una persona viene vista spalare un po 'di neve con la telecamera posato in testa.</v>
      </c>
    </row>
    <row r="871">
      <c r="A871" s="4" t="s">
        <v>1106</v>
      </c>
      <c r="B871" s="6" t="s">
        <v>1108</v>
      </c>
      <c r="C871" s="5" t="str">
        <f>IFERROR(__xludf.DUMMYFUNCTION("GOOGLETRANSLATE(B871,""en"",""it"")"),"Mostra diversi colpi di lui che spala la neve, un primo piano del viso e una panoramica per la zona.")</f>
        <v>Mostra diversi colpi di lui che spala la neve, un primo piano del viso e una panoramica per la zona.</v>
      </c>
    </row>
    <row r="872">
      <c r="A872" s="4" t="s">
        <v>1109</v>
      </c>
      <c r="B872" s="4" t="s">
        <v>1110</v>
      </c>
      <c r="C872" s="5" t="str">
        <f>IFERROR(__xludf.DUMMYFUNCTION("GOOGLETRANSLATE(B872,""en"",""it"")"),"Uno chef mostra tutti gli ingredienti per fare la pasta.")</f>
        <v>Uno chef mostra tutti gli ingredienti per fare la pasta.</v>
      </c>
    </row>
    <row r="873">
      <c r="A873" s="4" t="s">
        <v>1109</v>
      </c>
      <c r="B873" s="4" t="s">
        <v>1111</v>
      </c>
      <c r="C873" s="5" t="str">
        <f>IFERROR(__xludf.DUMMYFUNCTION("GOOGLETRANSLATE(B873,""en"",""it"")"),"Quindi, lo chef mette la pasta in acqua calda, quindi versa olio in una padella.")</f>
        <v>Quindi, lo chef mette la pasta in acqua calda, quindi versa olio in una padella.</v>
      </c>
    </row>
    <row r="874">
      <c r="A874" s="4" t="s">
        <v>1109</v>
      </c>
      <c r="B874" s="6" t="s">
        <v>1112</v>
      </c>
      <c r="C874" s="5" t="str">
        <f>IFERROR(__xludf.DUMMYFUNCTION("GOOGLETRANSLATE(B874,""en"",""it"")"),"Successivamente, lo chef aggiunge alla padella l'aglio, i pomodori, il basilico, il sale, il pepe e la pasta cotta e mescolare.")</f>
        <v>Successivamente, lo chef aggiunge alla padella l'aglio, i pomodori, il basilico, il sale, il pepe e la pasta cotta e mescolare.</v>
      </c>
    </row>
    <row r="875">
      <c r="A875" s="4" t="s">
        <v>1109</v>
      </c>
      <c r="B875" s="4" t="s">
        <v>1113</v>
      </c>
      <c r="C875" s="5" t="str">
        <f>IFERROR(__xludf.DUMMYFUNCTION("GOOGLETRANSLATE(B875,""en"",""it"")"),"Dopo, lo chef aggiunge il parmigiano in cima alla pasta e serve in un piatto.")</f>
        <v>Dopo, lo chef aggiunge il parmigiano in cima alla pasta e serve in un piatto.</v>
      </c>
    </row>
    <row r="876">
      <c r="A876" s="4" t="s">
        <v>1109</v>
      </c>
      <c r="B876" s="4" t="s">
        <v>1114</v>
      </c>
      <c r="C876" s="5" t="str">
        <f>IFERROR(__xludf.DUMMYFUNCTION("GOOGLETRANSLATE(B876,""en"",""it"")"),"Lo chef ha messo formaggio e due foglie verdi sopra la pasta nel piatto.")</f>
        <v>Lo chef ha messo formaggio e due foglie verdi sopra la pasta nel piatto.</v>
      </c>
    </row>
    <row r="877">
      <c r="A877" s="4" t="s">
        <v>1115</v>
      </c>
      <c r="B877" s="4" t="s">
        <v>1116</v>
      </c>
      <c r="C877" s="5" t="str">
        <f>IFERROR(__xludf.DUMMYFUNCTION("GOOGLETRANSLATE(B877,""en"",""it"")"),"Una persona installa un tappeto usando una macchina.")</f>
        <v>Una persona installa un tappeto usando una macchina.</v>
      </c>
    </row>
    <row r="878">
      <c r="A878" s="4" t="s">
        <v>1115</v>
      </c>
      <c r="B878" s="4" t="s">
        <v>1117</v>
      </c>
      <c r="C878" s="5" t="str">
        <f>IFERROR(__xludf.DUMMYFUNCTION("GOOGLETRANSLATE(B878,""en"",""it"")"),"La persona taglia un pezzo di tappeto colorato.")</f>
        <v>La persona taglia un pezzo di tappeto colorato.</v>
      </c>
    </row>
    <row r="879">
      <c r="A879" s="4" t="s">
        <v>1115</v>
      </c>
      <c r="B879" s="4" t="s">
        <v>1118</v>
      </c>
      <c r="C879" s="5" t="str">
        <f>IFERROR(__xludf.DUMMYFUNCTION("GOOGLETRANSLATE(B879,""en"",""it"")"),"Quindi, la persona si sostituisce con un nuovo pezzo e cespuglio.")</f>
        <v>Quindi, la persona si sostituisce con un nuovo pezzo e cespuglio.</v>
      </c>
    </row>
    <row r="880">
      <c r="A880" s="4" t="s">
        <v>1119</v>
      </c>
      <c r="B880" s="6" t="s">
        <v>1120</v>
      </c>
      <c r="C880" s="5" t="str">
        <f>IFERROR(__xludf.DUMMYFUNCTION("GOOGLETRANSLATE(B880,""en"",""it"")"),"L'uomo corre in pista e fa un salto in lungo mentre le persone in stand lo sta guardando un applaudito.")</f>
        <v>L'uomo corre in pista e fa un salto in lungo mentre le persone in stand lo sta guardando un applaudito.</v>
      </c>
    </row>
    <row r="881">
      <c r="A881" s="4" t="s">
        <v>1119</v>
      </c>
      <c r="B881" s="4" t="s">
        <v>1121</v>
      </c>
      <c r="C881" s="5" t="str">
        <f>IFERROR(__xludf.DUMMYFUNCTION("GOOGLETRANSLATE(B881,""en"",""it"")"),"Le persone sul lato della pista sono sedute da un lato.")</f>
        <v>Le persone sul lato della pista sono sedute da un lato.</v>
      </c>
    </row>
    <row r="882">
      <c r="A882" s="4" t="s">
        <v>1122</v>
      </c>
      <c r="B882" s="6" t="s">
        <v>1123</v>
      </c>
      <c r="C882" s="5" t="str">
        <f>IFERROR(__xludf.DUMMYFUNCTION("GOOGLETRANSLATE(B882,""en"",""it"")"),"Una donna è vista seduta dietro un set di tamburi di bongo e gioca insieme mentre parla alla telecamera.")</f>
        <v>Una donna è vista seduta dietro un set di tamburi di bongo e gioca insieme mentre parla alla telecamera.</v>
      </c>
    </row>
    <row r="883">
      <c r="A883" s="4" t="s">
        <v>1122</v>
      </c>
      <c r="B883" s="4" t="s">
        <v>1124</v>
      </c>
      <c r="C883" s="5" t="str">
        <f>IFERROR(__xludf.DUMMYFUNCTION("GOOGLETRANSLATE(B883,""en"",""it"")"),"La donna continua a colpire la batteria mentre parla alla telecamera e canta insieme.")</f>
        <v>La donna continua a colpire la batteria mentre parla alla telecamera e canta insieme.</v>
      </c>
    </row>
    <row r="884">
      <c r="A884" s="4" t="s">
        <v>1125</v>
      </c>
      <c r="B884" s="4" t="s">
        <v>1126</v>
      </c>
      <c r="C884" s="5" t="str">
        <f>IFERROR(__xludf.DUMMYFUNCTION("GOOGLETRANSLATE(B884,""en"",""it"")"),"Una donna è sdraiata su un letto con i capelli sparsi.")</f>
        <v>Una donna è sdraiata su un letto con i capelli sparsi.</v>
      </c>
    </row>
    <row r="885">
      <c r="A885" s="4" t="s">
        <v>1125</v>
      </c>
      <c r="B885" s="4" t="s">
        <v>1127</v>
      </c>
      <c r="C885" s="5" t="str">
        <f>IFERROR(__xludf.DUMMYFUNCTION("GOOGLETRANSLATE(B885,""en"",""it"")"),"Ci sono diverse immagini di lei da dietro con capelli molto lunghi.")</f>
        <v>Ci sono diverse immagini di lei da dietro con capelli molto lunghi.</v>
      </c>
    </row>
    <row r="886">
      <c r="A886" s="4" t="s">
        <v>1125</v>
      </c>
      <c r="B886" s="4" t="s">
        <v>1128</v>
      </c>
      <c r="C886" s="5" t="str">
        <f>IFERROR(__xludf.DUMMYFUNCTION("GOOGLETRANSLATE(B886,""en"",""it"")"),"Quindi vediamo numerose immagini di lei con i suoi capelli tagliati a lunghezza della spalla.")</f>
        <v>Quindi vediamo numerose immagini di lei con i suoi capelli tagliati a lunghezza della spalla.</v>
      </c>
    </row>
    <row r="887">
      <c r="A887" s="4" t="s">
        <v>1129</v>
      </c>
      <c r="B887" s="4" t="s">
        <v>1130</v>
      </c>
      <c r="C887" s="5" t="str">
        <f>IFERROR(__xludf.DUMMYFUNCTION("GOOGLETRANSLATE(B887,""en"",""it"")"),"Un uomo in un cappotto rosso è fuori su uno snowboard.")</f>
        <v>Un uomo in un cappotto rosso è fuori su uno snowboard.</v>
      </c>
    </row>
    <row r="888">
      <c r="A888" s="4" t="s">
        <v>1129</v>
      </c>
      <c r="B888" s="4" t="s">
        <v>1131</v>
      </c>
      <c r="C888" s="5" t="str">
        <f>IFERROR(__xludf.DUMMYFUNCTION("GOOGLETRANSLATE(B888,""en"",""it"")"),"Comincia a scendere un percorso e fa qualche trucco davvero interessante mentre si muove.")</f>
        <v>Comincia a scendere un percorso e fa qualche trucco davvero interessante mentre si muove.</v>
      </c>
    </row>
    <row r="889">
      <c r="A889" s="4" t="s">
        <v>1129</v>
      </c>
      <c r="B889" s="6" t="s">
        <v>1132</v>
      </c>
      <c r="C889" s="5" t="str">
        <f>IFERROR(__xludf.DUMMYFUNCTION("GOOGLETRANSLATE(B889,""en"",""it"")"),"Alcuni uomini si stanno strofinando le loro tavole e altri si mettono sul campo e inizia a fare alcuni giri e cose a mezz'aria.")</f>
        <v>Alcuni uomini si stanno strofinando le loro tavole e altri si mettono sul campo e inizia a fare alcuni giri e cose a mezz'aria.</v>
      </c>
    </row>
    <row r="890">
      <c r="A890" s="4" t="s">
        <v>1129</v>
      </c>
      <c r="B890" s="6" t="s">
        <v>1133</v>
      </c>
      <c r="C890" s="5" t="str">
        <f>IFERROR(__xludf.DUMMYFUNCTION("GOOGLETRANSLATE(B890,""en"",""it"")"),"Queste sono tutte persone piuttosto esperte nei tabelloni, si stanno persino imbarcando attraverso l'acqua e si divertono.")</f>
        <v>Queste sono tutte persone piuttosto esperte nei tabelloni, si stanno persino imbarcando attraverso l'acqua e si divertono.</v>
      </c>
    </row>
    <row r="891">
      <c r="A891" s="4" t="s">
        <v>1134</v>
      </c>
      <c r="B891" s="6" t="s">
        <v>1135</v>
      </c>
      <c r="C891" s="5" t="str">
        <f>IFERROR(__xludf.DUMMYFUNCTION("GOOGLETRANSLATE(B891,""en"",""it"")"),"La donna è in piedi a parlare con la telecamera con un microfono e intervista giocatori di Voleyball.")</f>
        <v>La donna è in piedi a parlare con la telecamera con un microfono e intervista giocatori di Voleyball.</v>
      </c>
    </row>
    <row r="892">
      <c r="A892" s="4" t="s">
        <v>1134</v>
      </c>
      <c r="B892" s="4" t="s">
        <v>1136</v>
      </c>
      <c r="C892" s="5" t="str">
        <f>IFERROR(__xludf.DUMMYFUNCTION("GOOGLETRANSLATE(B892,""en"",""it"")"),"Gli uomini sono in piedi in un campo sabbioso intervistato.")</f>
        <v>Gli uomini sono in piedi in un campo sabbioso intervistato.</v>
      </c>
    </row>
    <row r="893">
      <c r="A893" s="4" t="s">
        <v>1134</v>
      </c>
      <c r="B893" s="4" t="s">
        <v>1137</v>
      </c>
      <c r="C893" s="5" t="str">
        <f>IFERROR(__xludf.DUMMYFUNCTION("GOOGLETRANSLATE(B893,""en"",""it"")"),"Gli uomini sono in campo sabbioso che mostrano alla ragazza come giocare a spiaggia.")</f>
        <v>Gli uomini sono in campo sabbioso che mostrano alla ragazza come giocare a spiaggia.</v>
      </c>
    </row>
    <row r="894">
      <c r="A894" s="4" t="s">
        <v>1134</v>
      </c>
      <c r="B894" s="4" t="s">
        <v>1138</v>
      </c>
      <c r="C894" s="5" t="str">
        <f>IFERROR(__xludf.DUMMYFUNCTION("GOOGLETRANSLATE(B894,""en"",""it"")"),"La donna è un peccato davanti alla rete che parla alla telecamera.")</f>
        <v>La donna è un peccato davanti alla rete che parla alla telecamera.</v>
      </c>
    </row>
    <row r="895">
      <c r="A895" s="4" t="s">
        <v>1139</v>
      </c>
      <c r="B895" s="4" t="s">
        <v>1140</v>
      </c>
      <c r="C895" s="5" t="str">
        <f>IFERROR(__xludf.DUMMYFUNCTION("GOOGLETRANSLATE(B895,""en"",""it"")"),"Un uomo viene pompato per fare un salto in lungo, quindi lo fa.")</f>
        <v>Un uomo viene pompato per fare un salto in lungo, quindi lo fa.</v>
      </c>
    </row>
    <row r="896">
      <c r="A896" s="4" t="s">
        <v>1139</v>
      </c>
      <c r="B896" s="4" t="s">
        <v>1141</v>
      </c>
      <c r="C896" s="5" t="str">
        <f>IFERROR(__xludf.DUMMYFUNCTION("GOOGLETRANSLATE(B896,""en"",""it"")"),"Altri vanno dopo e cercano di far pompare la folla per i rispettivi salti lunghi.")</f>
        <v>Altri vanno dopo e cercano di far pompare la folla per i rispettivi salti lunghi.</v>
      </c>
    </row>
    <row r="897">
      <c r="A897" s="4" t="s">
        <v>1142</v>
      </c>
      <c r="B897" s="4" t="s">
        <v>1143</v>
      </c>
      <c r="C897" s="5" t="str">
        <f>IFERROR(__xludf.DUMMYFUNCTION("GOOGLETRANSLATE(B897,""en"",""it"")"),"Una femmina nera sta parlando allo schermo con lunghi capelli ricci biondi e un maglione nero.")</f>
        <v>Una femmina nera sta parlando allo schermo con lunghi capelli ricci biondi e un maglione nero.</v>
      </c>
    </row>
    <row r="898">
      <c r="A898" s="4" t="s">
        <v>1142</v>
      </c>
      <c r="B898" s="4" t="s">
        <v>1144</v>
      </c>
      <c r="C898" s="5" t="str">
        <f>IFERROR(__xludf.DUMMYFUNCTION("GOOGLETRANSLATE(B898,""en"",""it"")"),"Viene mostrato un asciugacapelli e la signora inizia quindi ad asciugare i capelli di una ragazza.")</f>
        <v>Viene mostrato un asciugacapelli e la signora inizia quindi ad asciugare i capelli di una ragazza.</v>
      </c>
    </row>
    <row r="899">
      <c r="A899" s="4" t="s">
        <v>1142</v>
      </c>
      <c r="B899" s="4" t="s">
        <v>1145</v>
      </c>
      <c r="C899" s="5" t="str">
        <f>IFERROR(__xludf.DUMMYFUNCTION("GOOGLETRANSLATE(B899,""en"",""it"")"),"I capelli delle ragazze vengono quindi mostrati estremamente ricci e la ragazza ha difficoltà ad asciugare i capelli.")</f>
        <v>I capelli delle ragazze vengono quindi mostrati estremamente ricci e la ragazza ha difficoltà ad asciugare i capelli.</v>
      </c>
    </row>
    <row r="900">
      <c r="A900" s="4" t="s">
        <v>1142</v>
      </c>
      <c r="B900" s="4" t="s">
        <v>1146</v>
      </c>
      <c r="C900" s="5" t="str">
        <f>IFERROR(__xludf.DUMMYFUNCTION("GOOGLETRANSLATE(B900,""en"",""it"")"),"Viene mostrato di nuovo l'asciugacapelli di Red by Kiss e la signora continua ad asciugare i capelli della giovane donna.")</f>
        <v>Viene mostrato di nuovo l'asciugacapelli di Red by Kiss e la signora continua ad asciugare i capelli della giovane donna.</v>
      </c>
    </row>
    <row r="901">
      <c r="A901" s="4" t="s">
        <v>1147</v>
      </c>
      <c r="B901" s="4" t="s">
        <v>1148</v>
      </c>
      <c r="C901" s="5" t="str">
        <f>IFERROR(__xludf.DUMMYFUNCTION("GOOGLETRANSLATE(B901,""en"",""it"")"),"L'uomo sta mettendo gli ascensori su un palo.")</f>
        <v>L'uomo sta mettendo gli ascensori su un palo.</v>
      </c>
    </row>
    <row r="902">
      <c r="A902" s="4" t="s">
        <v>1147</v>
      </c>
      <c r="B902" s="4" t="s">
        <v>1149</v>
      </c>
      <c r="C902" s="5" t="str">
        <f>IFERROR(__xludf.DUMMYFUNCTION("GOOGLETRANSLATE(B902,""en"",""it"")"),"L'uomo è in piedi nel mezzo di una stanza in una palestra che solleva il peso.")</f>
        <v>L'uomo è in piedi nel mezzo di una stanza in una palestra che solleva il peso.</v>
      </c>
    </row>
    <row r="903">
      <c r="A903" s="4" t="s">
        <v>1147</v>
      </c>
      <c r="B903" s="4" t="s">
        <v>1150</v>
      </c>
      <c r="C903" s="5" t="str">
        <f>IFERROR(__xludf.DUMMYFUNCTION("GOOGLETRANSLATE(B903,""en"",""it"")"),"Molti ascensori diversi sono impilati in palestra.")</f>
        <v>Molti ascensori diversi sono impilati in palestra.</v>
      </c>
    </row>
    <row r="904">
      <c r="A904" s="4" t="s">
        <v>1151</v>
      </c>
      <c r="B904" s="4" t="s">
        <v>1152</v>
      </c>
      <c r="C904" s="5" t="str">
        <f>IFERROR(__xludf.DUMMYFUNCTION("GOOGLETRANSLATE(B904,""en"",""it"")"),"Una persona viene vista correre lungo la strada indossando attrezzature e parlare alla telecamera.")</f>
        <v>Una persona viene vista correre lungo la strada indossando attrezzature e parlare alla telecamera.</v>
      </c>
    </row>
    <row r="905">
      <c r="A905" s="4" t="s">
        <v>1151</v>
      </c>
      <c r="B905" s="4" t="s">
        <v>1153</v>
      </c>
      <c r="C905" s="5" t="str">
        <f>IFERROR(__xludf.DUMMYFUNCTION("GOOGLETRANSLATE(B905,""en"",""it"")"),"L'uomo corre in giro usando stringhe e parlando alla fotocamera.")</f>
        <v>L'uomo corre in giro usando stringhe e parlando alla fotocamera.</v>
      </c>
    </row>
    <row r="906">
      <c r="A906" s="4" t="s">
        <v>1151</v>
      </c>
      <c r="B906" s="4" t="s">
        <v>1154</v>
      </c>
      <c r="C906" s="5" t="str">
        <f>IFERROR(__xludf.DUMMYFUNCTION("GOOGLETRANSLATE(B906,""en"",""it"")"),"L'uomo continua a parlare mentre vengono mostrati più colpi di lui che corre.")</f>
        <v>L'uomo continua a parlare mentre vengono mostrati più colpi di lui che corre.</v>
      </c>
    </row>
    <row r="907">
      <c r="A907" s="4" t="s">
        <v>1155</v>
      </c>
      <c r="B907" s="4" t="s">
        <v>1156</v>
      </c>
      <c r="C907" s="5" t="str">
        <f>IFERROR(__xludf.DUMMYFUNCTION("GOOGLETRANSLATE(B907,""en"",""it"")"),"Le persone sono sedute in stand a guardare le persone.")</f>
        <v>Le persone sono sedute in stand a guardare le persone.</v>
      </c>
    </row>
    <row r="908">
      <c r="A908" s="4" t="s">
        <v>1155</v>
      </c>
      <c r="B908" s="4" t="s">
        <v>1157</v>
      </c>
      <c r="C908" s="5" t="str">
        <f>IFERROR(__xludf.DUMMYFUNCTION("GOOGLETRANSLATE(B908,""en"",""it"")"),"Le persone sono in abiti.")</f>
        <v>Le persone sono in abiti.</v>
      </c>
    </row>
    <row r="909">
      <c r="A909" s="4" t="s">
        <v>1155</v>
      </c>
      <c r="B909" s="4" t="s">
        <v>1158</v>
      </c>
      <c r="C909" s="5" t="str">
        <f>IFERROR(__xludf.DUMMYFUNCTION("GOOGLETRANSLATE(B909,""en"",""it"")"),"Stanno facendo mosse di karate sul pavimento.")</f>
        <v>Stanno facendo mosse di karate sul pavimento.</v>
      </c>
    </row>
    <row r="910">
      <c r="A910" s="4" t="s">
        <v>1159</v>
      </c>
      <c r="B910" s="4" t="s">
        <v>1160</v>
      </c>
      <c r="C910" s="5" t="str">
        <f>IFERROR(__xludf.DUMMYFUNCTION("GOOGLETRANSLATE(B910,""en"",""it"")"),"Un uomo parla di un arco che sta usando di fronte a un campo aperto.")</f>
        <v>Un uomo parla di un arco che sta usando di fronte a un campo aperto.</v>
      </c>
    </row>
    <row r="911">
      <c r="A911" s="4" t="s">
        <v>1159</v>
      </c>
      <c r="B911" s="4" t="s">
        <v>1161</v>
      </c>
      <c r="C911" s="5" t="str">
        <f>IFERROR(__xludf.DUMMYFUNCTION("GOOGLETRANSLATE(B911,""en"",""it"")"),"L'uomo mostra come usare l'arco colpendo un bersaglio sul campo.")</f>
        <v>L'uomo mostra come usare l'arco colpendo un bersaglio sul campo.</v>
      </c>
    </row>
    <row r="912">
      <c r="A912" s="4" t="s">
        <v>1159</v>
      </c>
      <c r="B912" s="4" t="s">
        <v>1162</v>
      </c>
      <c r="C912" s="5" t="str">
        <f>IFERROR(__xludf.DUMMYFUNCTION("GOOGLETRANSLATE(B912,""en"",""it"")"),"Diversi veicoli guidano lungo una strada dietro il campo.")</f>
        <v>Diversi veicoli guidano lungo una strada dietro il campo.</v>
      </c>
    </row>
    <row r="913">
      <c r="A913" s="4" t="s">
        <v>1159</v>
      </c>
      <c r="B913" s="4" t="s">
        <v>1163</v>
      </c>
      <c r="C913" s="5" t="str">
        <f>IFERROR(__xludf.DUMMYFUNCTION("GOOGLETRANSLATE(B913,""en"",""it"")"),"Le mucche pascolano dietro la strada.")</f>
        <v>Le mucche pascolano dietro la strada.</v>
      </c>
    </row>
    <row r="914">
      <c r="A914" s="4" t="s">
        <v>1159</v>
      </c>
      <c r="B914" s="4" t="s">
        <v>1164</v>
      </c>
      <c r="C914" s="5" t="str">
        <f>IFERROR(__xludf.DUMMYFUNCTION("GOOGLETRANSLATE(B914,""en"",""it"")"),"L'uomo colpisce il suo ultimo bersaglio e se ne va.")</f>
        <v>L'uomo colpisce il suo ultimo bersaglio e se ne va.</v>
      </c>
    </row>
    <row r="915">
      <c r="A915" s="4" t="s">
        <v>1165</v>
      </c>
      <c r="B915" s="4" t="s">
        <v>1166</v>
      </c>
      <c r="C915" s="5" t="str">
        <f>IFERROR(__xludf.DUMMYFUNCTION("GOOGLETRANSLATE(B915,""en"",""it"")"),"Un barista maschio si trova dietro un bar davanti a bevande e miscelando tazze.")</f>
        <v>Un barista maschio si trova dietro un bar davanti a bevande e miscelando tazze.</v>
      </c>
    </row>
    <row r="916">
      <c r="A916" s="4" t="s">
        <v>1165</v>
      </c>
      <c r="B916" s="4" t="s">
        <v>1167</v>
      </c>
      <c r="C916" s="5" t="str">
        <f>IFERROR(__xludf.DUMMYFUNCTION("GOOGLETRANSLATE(B916,""en"",""it"")"),"L'uomo raccoglie un SUP in acciaio e versa il suo contenuto di ghiaccio in un bicchiere che tiene nella mano opposta.")</f>
        <v>L'uomo raccoglie un SUP in acciaio e versa il suo contenuto di ghiaccio in un bicchiere che tiene nella mano opposta.</v>
      </c>
    </row>
    <row r="917">
      <c r="A917" s="4" t="s">
        <v>1165</v>
      </c>
      <c r="B917" s="4" t="s">
        <v>1168</v>
      </c>
      <c r="C917" s="5" t="str">
        <f>IFERROR(__xludf.DUMMYFUNCTION("GOOGLETRANSLATE(B917,""en"",""it"")"),"L'uomo quindi raccoglie un piccolo bicchiere di tiro in acciaio e lo riempie di liquido.")</f>
        <v>L'uomo quindi raccoglie un piccolo bicchiere di tiro in acciaio e lo riempie di liquido.</v>
      </c>
    </row>
    <row r="918">
      <c r="A918" s="4" t="s">
        <v>1165</v>
      </c>
      <c r="B918" s="4" t="s">
        <v>1169</v>
      </c>
      <c r="C918" s="5" t="str">
        <f>IFERROR(__xludf.DUMMYFUNCTION("GOOGLETRANSLATE(B918,""en"",""it"")"),"L'uomo quindi versa il liquido dal vetro di tiro nella tazza di vetro con ghiaccio.")</f>
        <v>L'uomo quindi versa il liquido dal vetro di tiro nella tazza di vetro con ghiaccio.</v>
      </c>
    </row>
    <row r="919">
      <c r="A919" s="4" t="s">
        <v>1165</v>
      </c>
      <c r="B919" s="6" t="s">
        <v>1170</v>
      </c>
      <c r="C919" s="5" t="str">
        <f>IFERROR(__xludf.DUMMYFUNCTION("GOOGLETRANSLATE(B919,""en"",""it"")"),"L'uomo raccoglie un altro bicchiere con succo rosso all'interno e lo versa nel bicchiere con ghiaccio prima di ripristinare.")</f>
        <v>L'uomo raccoglie un altro bicchiere con succo rosso all'interno e lo versa nel bicchiere con ghiaccio prima di ripristinare.</v>
      </c>
    </row>
    <row r="920">
      <c r="A920" s="4" t="s">
        <v>1165</v>
      </c>
      <c r="B920" s="6" t="s">
        <v>1171</v>
      </c>
      <c r="C920" s="5" t="str">
        <f>IFERROR(__xludf.DUMMYFUNCTION("GOOGLETRANSLATE(B920,""en"",""it"")"),"L'uomo versa la tazza con tutti i liquidi in una tazza di miscelazione, quindi la usa per tappo e scuotere il miscelatore.")</f>
        <v>L'uomo versa la tazza con tutti i liquidi in una tazza di miscelazione, quindi la usa per tappo e scuotere il miscelatore.</v>
      </c>
    </row>
    <row r="921">
      <c r="A921" s="4" t="s">
        <v>1165</v>
      </c>
      <c r="B921" s="4" t="s">
        <v>1172</v>
      </c>
      <c r="C921" s="5" t="str">
        <f>IFERROR(__xludf.DUMMYFUNCTION("GOOGLETRANSLATE(B921,""en"",""it"")"),"L'uomo smette di scuotere e separa le due tazze, riposandole sul bancone.")</f>
        <v>L'uomo smette di scuotere e separa le due tazze, riposandole sul bancone.</v>
      </c>
    </row>
    <row r="922">
      <c r="A922" s="4" t="s">
        <v>1165</v>
      </c>
      <c r="B922" s="4" t="s">
        <v>1173</v>
      </c>
      <c r="C922" s="5" t="str">
        <f>IFERROR(__xludf.DUMMYFUNCTION("GOOGLETRANSLATE(B922,""en"",""it"")"),"L'uomo afferra un terzo vetro vuoto e lo sposta sul lato opposto del bancone.")</f>
        <v>L'uomo afferra un terzo vetro vuoto e lo sposta sul lato opposto del bancone.</v>
      </c>
    </row>
    <row r="923">
      <c r="A923" s="4" t="s">
        <v>1165</v>
      </c>
      <c r="B923" s="6" t="s">
        <v>1174</v>
      </c>
      <c r="C923" s="5" t="str">
        <f>IFERROR(__xludf.DUMMYFUNCTION("GOOGLETRANSLATE(B923,""en"",""it"")"),"L'uomo raccoglie il mixer e versa il suo contenuto nel vetro vuoto prima di ripristinarlo.")</f>
        <v>L'uomo raccoglie il mixer e versa il suo contenuto nel vetro vuoto prima di ripristinarlo.</v>
      </c>
    </row>
    <row r="924">
      <c r="A924" s="4" t="s">
        <v>1165</v>
      </c>
      <c r="B924" s="6" t="s">
        <v>1175</v>
      </c>
      <c r="C924" s="5" t="str">
        <f>IFERROR(__xludf.DUMMYFUNCTION("GOOGLETRANSLATE(B924,""en"",""it"")"),"L'uomo aggiunge quindi un ombrello in staw e in miniatura nella bevanda per la decorazione prima di tenere il bicchiere.")</f>
        <v>L'uomo aggiunge quindi un ombrello in staw e in miniatura nella bevanda per la decorazione prima di tenere il bicchiere.</v>
      </c>
    </row>
    <row r="925">
      <c r="A925" s="4" t="s">
        <v>1176</v>
      </c>
      <c r="B925" s="4" t="s">
        <v>1177</v>
      </c>
      <c r="C925" s="5" t="str">
        <f>IFERROR(__xludf.DUMMYFUNCTION("GOOGLETRANSLATE(B925,""en"",""it"")"),"Una donna solleva un gatto dal tavolo e si siede con esso in grembo.")</f>
        <v>Una donna solleva un gatto dal tavolo e si siede con esso in grembo.</v>
      </c>
    </row>
    <row r="926">
      <c r="A926" s="4" t="s">
        <v>1176</v>
      </c>
      <c r="B926" s="4" t="s">
        <v>1178</v>
      </c>
      <c r="C926" s="5" t="str">
        <f>IFERROR(__xludf.DUMMYFUNCTION("GOOGLETRANSLATE(B926,""en"",""it"")"),"La donna usa le forbici da taglio per tagliare gli artigli dei gatti.")</f>
        <v>La donna usa le forbici da taglio per tagliare gli artigli dei gatti.</v>
      </c>
    </row>
    <row r="927">
      <c r="A927" s="4" t="s">
        <v>1179</v>
      </c>
      <c r="B927" s="4" t="s">
        <v>1180</v>
      </c>
      <c r="C927" s="5" t="str">
        <f>IFERROR(__xludf.DUMMYFUNCTION("GOOGLETRANSLATE(B927,""en"",""it"")"),"Una persona invisibile naviga in diverse pagine Amazon Dot su attrezzature per l'esercizio.")</f>
        <v>Una persona invisibile naviga in diverse pagine Amazon Dot su attrezzature per l'esercizio.</v>
      </c>
    </row>
    <row r="928">
      <c r="A928" s="4" t="s">
        <v>1179</v>
      </c>
      <c r="B928" s="6" t="s">
        <v>1181</v>
      </c>
      <c r="C928" s="5" t="str">
        <f>IFERROR(__xludf.DUMMYFUNCTION("GOOGLETRANSLATE(B928,""en"",""it"")"),"Viene mostrata una pagina di Amazon che mostra una sola macchina da esercizio, seguita da un'altra immagine di una pagina Amazon che mostra una donna che utilizza una macchina da esercizio insieme a un prezzo e informazioni sull'apparecchiatura.")</f>
        <v>Viene mostrata una pagina di Amazon che mostra una sola macchina da esercizio, seguita da un'altra immagine di una pagina Amazon che mostra una donna che utilizza una macchina da esercizio insieme a un prezzo e informazioni sull'apparecchiatura.</v>
      </c>
    </row>
    <row r="929">
      <c r="A929" s="4" t="s">
        <v>1179</v>
      </c>
      <c r="B929" s="6" t="s">
        <v>1182</v>
      </c>
      <c r="C929" s="5" t="str">
        <f>IFERROR(__xludf.DUMMYFUNCTION("GOOGLETRANSLATE(B929,""en"",""it"")"),"Un'altra pagina che mostra un trainer elittico viene mostrata in cui viene mostrato un mouse attivo per computer navigando per l'elemento a quel punto viene mostrato un altro modello di trainer ellittico su un'altra pagina.")</f>
        <v>Un'altra pagina che mostra un trainer elittico viene mostrata in cui viene mostrato un mouse attivo per computer navigando per l'elemento a quel punto viene mostrato un altro modello di trainer ellittico su un'altra pagina.</v>
      </c>
    </row>
    <row r="930">
      <c r="A930" s="4" t="s">
        <v>1183</v>
      </c>
      <c r="B930" s="4" t="s">
        <v>1184</v>
      </c>
      <c r="C930" s="5" t="str">
        <f>IFERROR(__xludf.DUMMYFUNCTION("GOOGLETRANSLATE(B930,""en"",""it"")"),"Una donna sta diffondendo la crema da barba sulle gambe di un'altra donna.")</f>
        <v>Una donna sta diffondendo la crema da barba sulle gambe di un'altra donna.</v>
      </c>
    </row>
    <row r="931">
      <c r="A931" s="4" t="s">
        <v>1183</v>
      </c>
      <c r="B931" s="4" t="s">
        <v>1185</v>
      </c>
      <c r="C931" s="5" t="str">
        <f>IFERROR(__xludf.DUMMYFUNCTION("GOOGLETRANSLATE(B931,""en"",""it"")"),"Mette le mani sott'acqua e inizia a radersi le gambe della donna per lei.")</f>
        <v>Mette le mani sott'acqua e inizia a radersi le gambe della donna per lei.</v>
      </c>
    </row>
    <row r="932">
      <c r="A932" s="4" t="s">
        <v>1183</v>
      </c>
      <c r="B932" s="4" t="s">
        <v>1186</v>
      </c>
      <c r="C932" s="5" t="str">
        <f>IFERROR(__xludf.DUMMYFUNCTION("GOOGLETRANSLATE(B932,""en"",""it"")"),"Comincia dal fondo alla parte superiore della gamba e continua quel movimento.")</f>
        <v>Comincia dal fondo alla parte superiore della gamba e continua quel movimento.</v>
      </c>
    </row>
    <row r="933">
      <c r="A933" s="4" t="s">
        <v>1183</v>
      </c>
      <c r="B933" s="4" t="s">
        <v>1187</v>
      </c>
      <c r="C933" s="5" t="str">
        <f>IFERROR(__xludf.DUMMYFUNCTION("GOOGLETRANSLATE(B933,""en"",""it"")"),"Il video è molto instabile, ma la donna continua a radere la gamba delle sue amiche.")</f>
        <v>Il video è molto instabile, ma la donna continua a radere la gamba delle sue amiche.</v>
      </c>
    </row>
    <row r="934">
      <c r="A934" s="4" t="s">
        <v>1188</v>
      </c>
      <c r="B934" s="4" t="s">
        <v>1189</v>
      </c>
      <c r="C934" s="5" t="str">
        <f>IFERROR(__xludf.DUMMYFUNCTION("GOOGLETRANSLATE(B934,""en"",""it"")"),"Una Pinata pende da un albero, mentre un gruppo di ragazze lo sta di fronte.")</f>
        <v>Una Pinata pende da un albero, mentre un gruppo di ragazze lo sta di fronte.</v>
      </c>
    </row>
    <row r="935">
      <c r="A935" s="4" t="s">
        <v>1188</v>
      </c>
      <c r="B935" s="4" t="s">
        <v>1190</v>
      </c>
      <c r="C935" s="5" t="str">
        <f>IFERROR(__xludf.DUMMYFUNCTION("GOOGLETRANSLATE(B935,""en"",""it"")"),"Uno ha un bastone ed è bendato.")</f>
        <v>Uno ha un bastone ed è bendato.</v>
      </c>
    </row>
    <row r="936">
      <c r="A936" s="4" t="s">
        <v>1188</v>
      </c>
      <c r="B936" s="4" t="s">
        <v>1191</v>
      </c>
      <c r="C936" s="5" t="str">
        <f>IFERROR(__xludf.DUMMYFUNCTION("GOOGLETRANSLATE(B936,""en"",""it"")"),"Colpisce la Pinata, poi se ne va.")</f>
        <v>Colpisce la Pinata, poi se ne va.</v>
      </c>
    </row>
    <row r="937">
      <c r="A937" s="4" t="s">
        <v>1192</v>
      </c>
      <c r="B937" s="4" t="s">
        <v>1193</v>
      </c>
      <c r="C937" s="5" t="str">
        <f>IFERROR(__xludf.DUMMYFUNCTION("GOOGLETRANSLATE(B937,""en"",""it"")"),"Una donna con una camicia rosa sta andando in bicicletta.")</f>
        <v>Una donna con una camicia rosa sta andando in bicicletta.</v>
      </c>
    </row>
    <row r="938">
      <c r="A938" s="4" t="s">
        <v>1192</v>
      </c>
      <c r="B938" s="4" t="s">
        <v>1194</v>
      </c>
      <c r="C938" s="5" t="str">
        <f>IFERROR(__xludf.DUMMYFUNCTION("GOOGLETRANSLATE(B938,""en"",""it"")"),"Sta quindi facendo push up a terra.")</f>
        <v>Sta quindi facendo push up a terra.</v>
      </c>
    </row>
    <row r="939">
      <c r="A939" s="4" t="s">
        <v>1192</v>
      </c>
      <c r="B939" s="4" t="s">
        <v>1195</v>
      </c>
      <c r="C939" s="5" t="str">
        <f>IFERROR(__xludf.DUMMYFUNCTION("GOOGLETRANSLATE(B939,""en"",""it"")"),"Si siede per terra.")</f>
        <v>Si siede per terra.</v>
      </c>
    </row>
    <row r="940">
      <c r="A940" s="4" t="s">
        <v>1196</v>
      </c>
      <c r="B940" s="4" t="s">
        <v>1197</v>
      </c>
      <c r="C940" s="5" t="str">
        <f>IFERROR(__xludf.DUMMYFUNCTION("GOOGLETRANSLATE(B940,""en"",""it"")"),"Un uomo è seduto, parlando con un conduttore di talk show.")</f>
        <v>Un uomo è seduto, parlando con un conduttore di talk show.</v>
      </c>
    </row>
    <row r="941">
      <c r="A941" s="4" t="s">
        <v>1196</v>
      </c>
      <c r="B941" s="4" t="s">
        <v>1198</v>
      </c>
      <c r="C941" s="5" t="str">
        <f>IFERROR(__xludf.DUMMYFUNCTION("GOOGLETRANSLATE(B941,""en"",""it"")"),"Sono animati mentre parlano tra loro.")</f>
        <v>Sono animati mentre parlano tra loro.</v>
      </c>
    </row>
    <row r="942">
      <c r="A942" s="4" t="s">
        <v>1196</v>
      </c>
      <c r="B942" s="4" t="s">
        <v>1199</v>
      </c>
      <c r="C942" s="5" t="str">
        <f>IFERROR(__xludf.DUMMYFUNCTION("GOOGLETRANSLATE(B942,""en"",""it"")"),"Continuano a parlare, quindi l'ospite presenta l'uomo con un regalo.")</f>
        <v>Continuano a parlare, quindi l'ospite presenta l'uomo con un regalo.</v>
      </c>
    </row>
    <row r="943">
      <c r="A943" s="4" t="s">
        <v>1200</v>
      </c>
      <c r="B943" s="4" t="s">
        <v>1201</v>
      </c>
      <c r="C943" s="5" t="str">
        <f>IFERROR(__xludf.DUMMYFUNCTION("GOOGLETRANSLATE(B943,""en"",""it"")"),"Un uomo è seduto all'interno su una sedia che inspirà da una pipa che sembrava un oboe.")</f>
        <v>Un uomo è seduto all'interno su una sedia che inspirà da una pipa che sembrava un oboe.</v>
      </c>
    </row>
    <row r="944">
      <c r="A944" s="4" t="s">
        <v>1200</v>
      </c>
      <c r="B944" s="4" t="s">
        <v>1202</v>
      </c>
      <c r="C944" s="5" t="str">
        <f>IFERROR(__xludf.DUMMYFUNCTION("GOOGLETRANSLATE(B944,""en"",""it"")"),"Si toglie il tubo dalla bocca e inizia a espirare formando O in aria.")</f>
        <v>Si toglie il tubo dalla bocca e inizia a espirare formando O in aria.</v>
      </c>
    </row>
    <row r="945">
      <c r="A945" s="4" t="s">
        <v>1200</v>
      </c>
      <c r="B945" s="6" t="s">
        <v>1203</v>
      </c>
      <c r="C945" s="5" t="str">
        <f>IFERROR(__xludf.DUMMYFUNCTION("GOOGLETRANSLATE(B945,""en"",""it"")"),"Comincia a soffiare il fumo in un contenitore e rende alcuni circoli davvero fantastici che non ho mai visto nulla di simile.")</f>
        <v>Comincia a soffiare il fumo in un contenitore e rende alcuni circoli davvero fantastici che non ho mai visto nulla di simile.</v>
      </c>
    </row>
    <row r="946">
      <c r="A946" s="4" t="s">
        <v>1200</v>
      </c>
      <c r="B946" s="4" t="s">
        <v>1204</v>
      </c>
      <c r="C946" s="5" t="str">
        <f>IFERROR(__xludf.DUMMYFUNCTION("GOOGLETRANSLATE(B946,""en"",""it"")"),"È abbastanza bello come sta formando le O, rilassandosi e goditi il ​​semplice divertimento.")</f>
        <v>È abbastanza bello come sta formando le O, rilassandosi e goditi il ​​semplice divertimento.</v>
      </c>
    </row>
    <row r="947">
      <c r="A947" s="4" t="s">
        <v>1205</v>
      </c>
      <c r="B947" s="4" t="s">
        <v>1206</v>
      </c>
      <c r="C947" s="5" t="str">
        <f>IFERROR(__xludf.DUMMYFUNCTION("GOOGLETRANSLATE(B947,""en"",""it"")"),"Un uomo si trova davanti al suo minivan e lo mostra.")</f>
        <v>Un uomo si trova davanti al suo minivan e lo mostra.</v>
      </c>
    </row>
    <row r="948">
      <c r="A948" s="4" t="s">
        <v>1205</v>
      </c>
      <c r="B948" s="4" t="s">
        <v>1207</v>
      </c>
      <c r="C948" s="5" t="str">
        <f>IFERROR(__xludf.DUMMYFUNCTION("GOOGLETRANSLATE(B948,""en"",""it"")"),"L'uomo si appoggia al portellone del suo furgone e mostra le caratteristiche di carico di stoccaggio all'interno.")</f>
        <v>L'uomo si appoggia al portellone del suo furgone e mostra le caratteristiche di carico di stoccaggio all'interno.</v>
      </c>
    </row>
    <row r="949">
      <c r="A949" s="4" t="s">
        <v>1205</v>
      </c>
      <c r="B949" s="4" t="s">
        <v>1208</v>
      </c>
      <c r="C949" s="5" t="str">
        <f>IFERROR(__xludf.DUMMYFUNCTION("GOOGLETRANSLATE(B949,""en"",""it"")"),"L'uomo riunisce i poli.")</f>
        <v>L'uomo riunisce i poli.</v>
      </c>
    </row>
    <row r="950">
      <c r="A950" s="4" t="s">
        <v>1205</v>
      </c>
      <c r="B950" s="6" t="s">
        <v>1209</v>
      </c>
      <c r="C950" s="5" t="str">
        <f>IFERROR(__xludf.DUMMYFUNCTION("GOOGLETRANSLATE(B950,""en"",""it"")"),"L'uomo si siede sul sedile dei conducenti del furgone e posiziona il telaio dell'asta in una presa e lo strappa.")</f>
        <v>L'uomo si siede sul sedile dei conducenti del furgone e posiziona il telaio dell'asta in una presa e lo strappa.</v>
      </c>
    </row>
    <row r="951">
      <c r="A951" s="4" t="s">
        <v>1205</v>
      </c>
      <c r="B951" s="4" t="s">
        <v>1210</v>
      </c>
      <c r="C951" s="5" t="str">
        <f>IFERROR(__xludf.DUMMYFUNCTION("GOOGLETRANSLATE(B951,""en"",""it"")"),"L'uomo regola l'asta e raggiunge sotto il furgone per rimuovere una ruota di scorta.")</f>
        <v>L'uomo regola l'asta e raggiunge sotto il furgone per rimuovere una ruota di scorta.</v>
      </c>
    </row>
    <row r="952">
      <c r="A952" s="4" t="s">
        <v>1205</v>
      </c>
      <c r="B952" s="4" t="s">
        <v>1211</v>
      </c>
      <c r="C952" s="5" t="str">
        <f>IFERROR(__xludf.DUMMYFUNCTION("GOOGLETRANSLATE(B952,""en"",""it"")"),"L'uomo rimuove la ruota di scorta dal suo recinto.")</f>
        <v>L'uomo rimuove la ruota di scorta dal suo recinto.</v>
      </c>
    </row>
    <row r="953">
      <c r="A953" s="4" t="s">
        <v>1205</v>
      </c>
      <c r="B953" s="4" t="s">
        <v>1212</v>
      </c>
      <c r="C953" s="5" t="str">
        <f>IFERROR(__xludf.DUMMYFUNCTION("GOOGLETRANSLATE(B953,""en"",""it"")"),"L'uomo lavora sull'installazione del nuovo pneumatico.")</f>
        <v>L'uomo lavora sull'installazione del nuovo pneumatico.</v>
      </c>
    </row>
    <row r="954">
      <c r="A954" s="4" t="s">
        <v>1213</v>
      </c>
      <c r="B954" s="4" t="s">
        <v>1214</v>
      </c>
      <c r="C954" s="5" t="str">
        <f>IFERROR(__xludf.DUMMYFUNCTION("GOOGLETRANSLATE(B954,""en"",""it"")"),"Una giovane donna è vista seduta in un kayak che guarda alla telecamera.")</f>
        <v>Una giovane donna è vista seduta in un kayak che guarda alla telecamera.</v>
      </c>
    </row>
    <row r="955">
      <c r="A955" s="4" t="s">
        <v>1213</v>
      </c>
      <c r="B955" s="4" t="s">
        <v>1215</v>
      </c>
      <c r="C955" s="5" t="str">
        <f>IFERROR(__xludf.DUMMYFUNCTION("GOOGLETRANSLATE(B955,""en"",""it"")"),"La ragazza inizia quindi a spostare la pagaia e quarta.")</f>
        <v>La ragazza inizia quindi a spostare la pagaia e quarta.</v>
      </c>
    </row>
    <row r="956">
      <c r="A956" s="4" t="s">
        <v>1213</v>
      </c>
      <c r="B956" s="4" t="s">
        <v>1216</v>
      </c>
      <c r="C956" s="5" t="str">
        <f>IFERROR(__xludf.DUMMYFUNCTION("GOOGLETRANSLATE(B956,""en"",""it"")"),"Lei si fa una paidosa per ridere in lontananza.")</f>
        <v>Lei si fa una paidosa per ridere in lontananza.</v>
      </c>
    </row>
    <row r="957">
      <c r="A957" s="4" t="s">
        <v>1217</v>
      </c>
      <c r="B957" s="4" t="s">
        <v>1218</v>
      </c>
      <c r="C957" s="5" t="str">
        <f>IFERROR(__xludf.DUMMYFUNCTION("GOOGLETRANSLATE(B957,""en"",""it"")"),"Ci sono due adolescenti che giocano e risolvono il cubo di Rubic.")</f>
        <v>Ci sono due adolescenti che giocano e risolvono il cubo di Rubic.</v>
      </c>
    </row>
    <row r="958">
      <c r="A958" s="4" t="s">
        <v>1217</v>
      </c>
      <c r="B958" s="4" t="s">
        <v>1219</v>
      </c>
      <c r="C958" s="5" t="str">
        <f>IFERROR(__xludf.DUMMYFUNCTION("GOOGLETRANSLATE(B958,""en"",""it"")"),"Un altro ragazzino entra e dà un'occhiata alla telecamera.")</f>
        <v>Un altro ragazzino entra e dà un'occhiata alla telecamera.</v>
      </c>
    </row>
    <row r="959">
      <c r="A959" s="4" t="s">
        <v>1217</v>
      </c>
      <c r="B959" s="4" t="s">
        <v>1220</v>
      </c>
      <c r="C959" s="5" t="str">
        <f>IFERROR(__xludf.DUMMYFUNCTION("GOOGLETRANSLATE(B959,""en"",""it"")"),"Gli adolescenti sono in competizione l'uno contro l'altro per risolvere il cubo.")</f>
        <v>Gli adolescenti sono in competizione l'uno contro l'altro per risolvere il cubo.</v>
      </c>
    </row>
    <row r="960">
      <c r="A960" s="4" t="s">
        <v>1217</v>
      </c>
      <c r="B960" s="4" t="s">
        <v>1221</v>
      </c>
      <c r="C960" s="5" t="str">
        <f>IFERROR(__xludf.DUMMYFUNCTION("GOOGLETRANSLATE(B960,""en"",""it"")"),"Entrambi finiscono quasi allo stesso tempo e risolvono il cubo di Rubic.")</f>
        <v>Entrambi finiscono quasi allo stesso tempo e risolvono il cubo di Rubic.</v>
      </c>
    </row>
    <row r="961">
      <c r="A961" s="4" t="s">
        <v>1217</v>
      </c>
      <c r="B961" s="4" t="s">
        <v>1222</v>
      </c>
      <c r="C961" s="5" t="str">
        <f>IFERROR(__xludf.DUMMYFUNCTION("GOOGLETRANSLATE(B961,""en"",""it"")"),"Mostrano orgogliosamente le loro abilità nella telecamera.")</f>
        <v>Mostrano orgogliosamente le loro abilità nella telecamera.</v>
      </c>
    </row>
    <row r="962">
      <c r="A962" s="4" t="s">
        <v>1223</v>
      </c>
      <c r="B962" s="6" t="s">
        <v>1224</v>
      </c>
      <c r="C962" s="5" t="str">
        <f>IFERROR(__xludf.DUMMYFUNCTION("GOOGLETRANSLATE(B962,""en"",""it"")"),"L'atleta maschio è in piedi accanto ai due poli, alzato le braccia, poi saltò sui pali con le braccia, mentre sotto di lui, un uomo tira fuori un raggio rosso.")</f>
        <v>L'atleta maschio è in piedi accanto ai due poli, alzato le braccia, poi saltò sui pali con le braccia, mentre sotto di lui, un uomo tira fuori un raggio rosso.</v>
      </c>
    </row>
    <row r="963">
      <c r="A963" s="4" t="s">
        <v>1223</v>
      </c>
      <c r="B963" s="6" t="s">
        <v>1225</v>
      </c>
      <c r="C963" s="5" t="str">
        <f>IFERROR(__xludf.DUMMYFUNCTION("GOOGLETRANSLATE(B963,""en"",""it"")"),"L'atleta esegue la sua mostra sui pali, si alza sulle braccia mentre i suoi piedi e le gambe sono estesi dritti in aria, si gira, turbina, saltò e si girava e poi saltò sul tappeto, in piedi dritto.")</f>
        <v>L'atleta esegue la sua mostra sui pali, si alza sulle braccia mentre i suoi piedi e le gambe sono estesi dritti in aria, si gira, turbina, saltò e si girava e poi saltò sul tappeto, in piedi dritto.</v>
      </c>
    </row>
    <row r="964">
      <c r="A964" s="4" t="s">
        <v>1226</v>
      </c>
      <c r="B964" s="4" t="s">
        <v>1227</v>
      </c>
      <c r="C964" s="5" t="str">
        <f>IFERROR(__xludf.DUMMYFUNCTION("GOOGLETRANSLATE(B964,""en"",""it"")"),"Maria sta dimostrando come preparare una bevanda da cocktail di Nyquil.")</f>
        <v>Maria sta dimostrando come preparare una bevanda da cocktail di Nyquil.</v>
      </c>
    </row>
    <row r="965">
      <c r="A965" s="4" t="s">
        <v>1226</v>
      </c>
      <c r="B965" s="4" t="s">
        <v>1228</v>
      </c>
      <c r="C965" s="5" t="str">
        <f>IFERROR(__xludf.DUMMYFUNCTION("GOOGLETRANSLATE(B965,""en"",""it"")"),"Mostra gli ingredienti richiesti per la bevanda.")</f>
        <v>Mostra gli ingredienti richiesti per la bevanda.</v>
      </c>
    </row>
    <row r="966">
      <c r="A966" s="4" t="s">
        <v>1226</v>
      </c>
      <c r="B966" s="4" t="s">
        <v>1229</v>
      </c>
      <c r="C966" s="5" t="str">
        <f>IFERROR(__xludf.DUMMYFUNCTION("GOOGLETRANSLATE(B966,""en"",""it"")"),"Indica la vodka, Jagermeister e il colorante alimentare.")</f>
        <v>Indica la vodka, Jagermeister e il colorante alimentare.</v>
      </c>
    </row>
    <row r="967">
      <c r="A967" s="4" t="s">
        <v>1226</v>
      </c>
      <c r="B967" s="4" t="s">
        <v>1230</v>
      </c>
      <c r="C967" s="5" t="str">
        <f>IFERROR(__xludf.DUMMYFUNCTION("GOOGLETRANSLATE(B967,""en"",""it"")"),"Quindi prende uno shaker e versa e vodka e il Jagermeister.")</f>
        <v>Quindi prende uno shaker e versa e vodka e il Jagermeister.</v>
      </c>
    </row>
    <row r="968">
      <c r="A968" s="4" t="s">
        <v>1226</v>
      </c>
      <c r="B968" s="4" t="s">
        <v>1231</v>
      </c>
      <c r="C968" s="5" t="str">
        <f>IFERROR(__xludf.DUMMYFUNCTION("GOOGLETRANSLATE(B968,""en"",""it"")"),"Quindi aggiunge un po 'di ghiaccio e lo scuote.")</f>
        <v>Quindi aggiunge un po 'di ghiaccio e lo scuote.</v>
      </c>
    </row>
    <row r="969">
      <c r="A969" s="4" t="s">
        <v>1226</v>
      </c>
      <c r="B969" s="4" t="s">
        <v>1232</v>
      </c>
      <c r="C969" s="5" t="str">
        <f>IFERROR(__xludf.DUMMYFUNCTION("GOOGLETRANSLATE(B969,""en"",""it"")"),"Usa un filtro per filtrare la bevanda in un bicchiere da cocktail e posiziona il bicchiere sul tavolo.")</f>
        <v>Usa un filtro per filtrare la bevanda in un bicchiere da cocktail e posiziona il bicchiere sul tavolo.</v>
      </c>
    </row>
    <row r="970">
      <c r="A970" s="4" t="s">
        <v>1233</v>
      </c>
      <c r="B970" s="4" t="s">
        <v>1234</v>
      </c>
      <c r="C970" s="5" t="str">
        <f>IFERROR(__xludf.DUMMYFUNCTION("GOOGLETRANSLATE(B970,""en"",""it"")"),"Ci sono alcuni uomini che si rasano con il gel da barba gillette.")</f>
        <v>Ci sono alcuni uomini che si rasano con il gel da barba gillette.</v>
      </c>
    </row>
    <row r="971">
      <c r="A971" s="4" t="s">
        <v>1233</v>
      </c>
      <c r="B971" s="6" t="s">
        <v>1235</v>
      </c>
      <c r="C971" s="5" t="str">
        <f>IFERROR(__xludf.DUMMYFUNCTION("GOOGLETRANSLATE(B971,""en"",""it"")"),"C'è una modella il cui viso è completamente insapido di gel rasatura e sta usando un rasoio blu per radersi il viso.")</f>
        <v>C'è una modella il cui viso è completamente insapido di gel rasatura e sta usando un rasoio blu per radersi il viso.</v>
      </c>
    </row>
    <row r="972">
      <c r="A972" s="4" t="s">
        <v>1233</v>
      </c>
      <c r="B972" s="4" t="s">
        <v>1236</v>
      </c>
      <c r="C972" s="5" t="str">
        <f>IFERROR(__xludf.DUMMYFUNCTION("GOOGLETRANSLATE(B972,""en"",""it"")"),"Un altro modello maschile ha anche tutto il suo viso insaponato di gel da barba.")</f>
        <v>Un altro modello maschile ha anche tutto il suo viso insaponato di gel da barba.</v>
      </c>
    </row>
    <row r="973">
      <c r="A973" s="4" t="s">
        <v>1233</v>
      </c>
      <c r="B973" s="4" t="s">
        <v>1237</v>
      </c>
      <c r="C973" s="5" t="str">
        <f>IFERROR(__xludf.DUMMYFUNCTION("GOOGLETRANSLATE(B973,""en"",""it"")"),"Si sta anche randing il viso con un rasoio blu.")</f>
        <v>Si sta anche randing il viso con un rasoio blu.</v>
      </c>
    </row>
    <row r="974">
      <c r="A974" s="4" t="s">
        <v>1233</v>
      </c>
      <c r="B974" s="4" t="s">
        <v>1238</v>
      </c>
      <c r="C974" s="5" t="str">
        <f>IFERROR(__xludf.DUMMYFUNCTION("GOOGLETRANSLATE(B974,""en"",""it"")"),"Si rade le guance e l'area dei baffi.")</f>
        <v>Si rade le guance e l'area dei baffi.</v>
      </c>
    </row>
    <row r="975">
      <c r="A975" s="4" t="s">
        <v>1233</v>
      </c>
      <c r="B975" s="4" t="s">
        <v>1239</v>
      </c>
      <c r="C975" s="5" t="str">
        <f>IFERROR(__xludf.DUMMYFUNCTION("GOOGLETRANSLATE(B975,""en"",""it"")"),"Pompa un gel di piccole quantità sulle sue mani.")</f>
        <v>Pompa un gel di piccole quantità sulle sue mani.</v>
      </c>
    </row>
    <row r="976">
      <c r="A976" s="4" t="s">
        <v>1233</v>
      </c>
      <c r="B976" s="6" t="s">
        <v>1240</v>
      </c>
      <c r="C976" s="5" t="str">
        <f>IFERROR(__xludf.DUMMYFUNCTION("GOOGLETRANSLATE(B976,""en"",""it"")"),"Quindi mostra la differenza tra la normale crema in schiuma e la crema da barba in gel e continua ad avere.")</f>
        <v>Quindi mostra la differenza tra la normale crema in schiuma e la crema da barba in gel e continua ad avere.</v>
      </c>
    </row>
    <row r="977">
      <c r="A977" s="4" t="s">
        <v>1233</v>
      </c>
      <c r="B977" s="4" t="s">
        <v>1241</v>
      </c>
      <c r="C977" s="5" t="str">
        <f>IFERROR(__xludf.DUMMYFUNCTION("GOOGLETRANSLATE(B977,""en"",""it"")"),"Quindi posa con una modella che si tocca il viso per sentire la sua pelle liscia.")</f>
        <v>Quindi posa con una modella che si tocca il viso per sentire la sua pelle liscia.</v>
      </c>
    </row>
    <row r="978">
      <c r="A978" s="4" t="s">
        <v>1233</v>
      </c>
      <c r="B978" s="4" t="s">
        <v>1242</v>
      </c>
      <c r="C978" s="5" t="str">
        <f>IFERROR(__xludf.DUMMYFUNCTION("GOOGLETRANSLATE(B978,""en"",""it"")"),"Viene mostrato l'intero set di rasatura di gillette.")</f>
        <v>Viene mostrato l'intero set di rasatura di gillette.</v>
      </c>
    </row>
    <row r="979">
      <c r="A979" s="4" t="s">
        <v>1243</v>
      </c>
      <c r="B979" s="4" t="s">
        <v>1244</v>
      </c>
      <c r="C979" s="5" t="str">
        <f>IFERROR(__xludf.DUMMYFUNCTION("GOOGLETRANSLATE(B979,""en"",""it"")"),"Un'introduzione per un marchio sportivo in canoa appare sullo schermo.")</f>
        <v>Un'introduzione per un marchio sportivo in canoa appare sullo schermo.</v>
      </c>
    </row>
    <row r="980">
      <c r="A980" s="4" t="s">
        <v>1243</v>
      </c>
      <c r="B980" s="4" t="s">
        <v>1245</v>
      </c>
      <c r="C980" s="5" t="str">
        <f>IFERROR(__xludf.DUMMYFUNCTION("GOOGLETRANSLATE(B980,""en"",""it"")"),"Diverse persone vengono mostrate prepararsi a portare le loro canoe in acqua in una giornata nevosa.")</f>
        <v>Diverse persone vengono mostrate prepararsi a portare le loro canoe in acqua in una giornata nevosa.</v>
      </c>
    </row>
    <row r="981">
      <c r="A981" s="4" t="s">
        <v>1243</v>
      </c>
      <c r="B981" s="4" t="s">
        <v>1246</v>
      </c>
      <c r="C981" s="5" t="str">
        <f>IFERROR(__xludf.DUMMYFUNCTION("GOOGLETRANSLATE(B981,""en"",""it"")"),"Diverse altre persone scendono da un autobus e si dirigono verso l'acqua.")</f>
        <v>Diverse altre persone scendono da un autobus e si dirigono verso l'acqua.</v>
      </c>
    </row>
    <row r="982">
      <c r="A982" s="4" t="s">
        <v>1243</v>
      </c>
      <c r="B982" s="4" t="s">
        <v>1247</v>
      </c>
      <c r="C982" s="5" t="str">
        <f>IFERROR(__xludf.DUMMYFUNCTION("GOOGLETRANSLATE(B982,""en"",""it"")"),"Le persone vengono quindi mostrate facendo diversi esercizi di allenamento da sci.")</f>
        <v>Le persone vengono quindi mostrate facendo diversi esercizi di allenamento da sci.</v>
      </c>
    </row>
    <row r="983">
      <c r="A983" s="4" t="s">
        <v>1243</v>
      </c>
      <c r="B983" s="4" t="s">
        <v>1248</v>
      </c>
      <c r="C983" s="5" t="str">
        <f>IFERROR(__xludf.DUMMYFUNCTION("GOOGLETRANSLATE(B983,""en"",""it"")"),"Quindi, nell'acqua, le persone vengono mostrate in canoa e si divertono.")</f>
        <v>Quindi, nell'acqua, le persone vengono mostrate in canoa e si divertono.</v>
      </c>
    </row>
    <row r="984">
      <c r="A984" s="4" t="s">
        <v>1243</v>
      </c>
      <c r="B984" s="4" t="s">
        <v>1249</v>
      </c>
      <c r="C984" s="5" t="str">
        <f>IFERROR(__xludf.DUMMYFUNCTION("GOOGLETRANSLATE(B984,""en"",""it"")"),"Il video termina con il sito Web Canoesport visualizzato.")</f>
        <v>Il video termina con il sito Web Canoesport visualizzato.</v>
      </c>
    </row>
    <row r="985">
      <c r="A985" s="4" t="s">
        <v>1250</v>
      </c>
      <c r="B985" s="4" t="s">
        <v>1251</v>
      </c>
      <c r="C985" s="5" t="str">
        <f>IFERROR(__xludf.DUMMYFUNCTION("GOOGLETRANSLATE(B985,""en"",""it"")"),"Vengono visualizzati i crediti della clip.")</f>
        <v>Vengono visualizzati i crediti della clip.</v>
      </c>
    </row>
    <row r="986">
      <c r="A986" s="4" t="s">
        <v>1250</v>
      </c>
      <c r="B986" s="4" t="s">
        <v>1252</v>
      </c>
      <c r="C986" s="5" t="str">
        <f>IFERROR(__xludf.DUMMYFUNCTION("GOOGLETRANSLATE(B986,""en"",""it"")"),"Una persona appoggia le mani sulla cima della batteria.")</f>
        <v>Una persona appoggia le mani sulla cima della batteria.</v>
      </c>
    </row>
    <row r="987">
      <c r="A987" s="4" t="s">
        <v>1250</v>
      </c>
      <c r="B987" s="4" t="s">
        <v>1253</v>
      </c>
      <c r="C987" s="5" t="str">
        <f>IFERROR(__xludf.DUMMYFUNCTION("GOOGLETRANSLATE(B987,""en"",""it"")"),"La persona sta suonando la batteria.")</f>
        <v>La persona sta suonando la batteria.</v>
      </c>
    </row>
    <row r="988">
      <c r="A988" s="4" t="s">
        <v>1250</v>
      </c>
      <c r="B988" s="4" t="s">
        <v>1254</v>
      </c>
      <c r="C988" s="5" t="str">
        <f>IFERROR(__xludf.DUMMYFUNCTION("GOOGLETRANSLATE(B988,""en"",""it"")"),"La persona batte le mani.")</f>
        <v>La persona batte le mani.</v>
      </c>
    </row>
    <row r="989">
      <c r="A989" s="4" t="s">
        <v>1250</v>
      </c>
      <c r="B989" s="4" t="s">
        <v>1255</v>
      </c>
      <c r="C989" s="5" t="str">
        <f>IFERROR(__xludf.DUMMYFUNCTION("GOOGLETRANSLATE(B989,""en"",""it"")"),"La persona mette insieme le dita.")</f>
        <v>La persona mette insieme le dita.</v>
      </c>
    </row>
    <row r="990">
      <c r="A990" s="4" t="s">
        <v>1250</v>
      </c>
      <c r="B990" s="4" t="s">
        <v>1251</v>
      </c>
      <c r="C990" s="5" t="str">
        <f>IFERROR(__xludf.DUMMYFUNCTION("GOOGLETRANSLATE(B990,""en"",""it"")"),"Vengono visualizzati i crediti della clip.")</f>
        <v>Vengono visualizzati i crediti della clip.</v>
      </c>
    </row>
    <row r="991">
      <c r="A991" s="4" t="s">
        <v>1256</v>
      </c>
      <c r="B991" s="4" t="s">
        <v>1257</v>
      </c>
      <c r="C991" s="5" t="str">
        <f>IFERROR(__xludf.DUMMYFUNCTION("GOOGLETRANSLATE(B991,""en"",""it"")"),"Una donna tiene una palla gialla dietro il collo.")</f>
        <v>Una donna tiene una palla gialla dietro il collo.</v>
      </c>
    </row>
    <row r="992">
      <c r="A992" s="4" t="s">
        <v>1256</v>
      </c>
      <c r="B992" s="4" t="s">
        <v>1258</v>
      </c>
      <c r="C992" s="5" t="str">
        <f>IFERROR(__xludf.DUMMYFUNCTION("GOOGLETRANSLATE(B992,""en"",""it"")"),"Si gira e lancia la palla su un campo.")</f>
        <v>Si gira e lancia la palla su un campo.</v>
      </c>
    </row>
    <row r="993">
      <c r="A993" s="4" t="s">
        <v>1256</v>
      </c>
      <c r="B993" s="4" t="s">
        <v>1259</v>
      </c>
      <c r="C993" s="5" t="str">
        <f>IFERROR(__xludf.DUMMYFUNCTION("GOOGLETRANSLATE(B993,""en"",""it"")"),"Le persone corrono per misurare la distanza.")</f>
        <v>Le persone corrono per misurare la distanza.</v>
      </c>
    </row>
    <row r="994">
      <c r="A994" s="4" t="s">
        <v>1256</v>
      </c>
      <c r="B994" s="4" t="s">
        <v>1260</v>
      </c>
      <c r="C994" s="5" t="str">
        <f>IFERROR(__xludf.DUMMYFUNCTION("GOOGLETRANSLATE(B994,""en"",""it"")"),"Un uomo con una camicia rossa tiene una palla dietro il collo.")</f>
        <v>Un uomo con una camicia rossa tiene una palla dietro il collo.</v>
      </c>
    </row>
    <row r="995">
      <c r="A995" s="4" t="s">
        <v>1256</v>
      </c>
      <c r="B995" s="4" t="s">
        <v>1261</v>
      </c>
      <c r="C995" s="5" t="str">
        <f>IFERROR(__xludf.DUMMYFUNCTION("GOOGLETRANSLATE(B995,""en"",""it"")"),"Si gira e lancia la palla sul campo.")</f>
        <v>Si gira e lancia la palla sul campo.</v>
      </c>
    </row>
    <row r="996">
      <c r="A996" s="4" t="s">
        <v>1256</v>
      </c>
      <c r="B996" s="4" t="s">
        <v>1262</v>
      </c>
      <c r="C996" s="5" t="str">
        <f>IFERROR(__xludf.DUMMYFUNCTION("GOOGLETRANSLATE(B996,""en"",""it"")"),"Le persone corrono per misurare la distanza.")</f>
        <v>Le persone corrono per misurare la distanza.</v>
      </c>
    </row>
    <row r="997">
      <c r="A997" s="4" t="s">
        <v>1256</v>
      </c>
      <c r="B997" s="4" t="s">
        <v>1263</v>
      </c>
      <c r="C997" s="5" t="str">
        <f>IFERROR(__xludf.DUMMYFUNCTION("GOOGLETRANSLATE(B997,""en"",""it"")"),"Un'altra donna tiene una palla dietro il collo.")</f>
        <v>Un'altra donna tiene una palla dietro il collo.</v>
      </c>
    </row>
    <row r="998">
      <c r="A998" s="4" t="s">
        <v>1256</v>
      </c>
      <c r="B998" s="4" t="s">
        <v>1264</v>
      </c>
      <c r="C998" s="5" t="str">
        <f>IFERROR(__xludf.DUMMYFUNCTION("GOOGLETRANSLATE(B998,""en"",""it"")"),"Si gira anche e lancia la palla sul campo.")</f>
        <v>Si gira anche e lancia la palla sul campo.</v>
      </c>
    </row>
    <row r="999">
      <c r="A999" s="4" t="s">
        <v>1256</v>
      </c>
      <c r="B999" s="4" t="s">
        <v>1265</v>
      </c>
      <c r="C999" s="5" t="str">
        <f>IFERROR(__xludf.DUMMYFUNCTION("GOOGLETRANSLATE(B999,""en"",""it"")"),"Le persone quindi corrono per misurare la distanza.")</f>
        <v>Le persone quindi corrono per misurare la distanza.</v>
      </c>
    </row>
    <row r="1000">
      <c r="A1000" s="4" t="s">
        <v>1256</v>
      </c>
      <c r="B1000" s="4" t="s">
        <v>1266</v>
      </c>
      <c r="C1000" s="5" t="str">
        <f>IFERROR(__xludf.DUMMYFUNCTION("GOOGLETRANSLATE(B1000,""en"",""it"")"),"Lei saluta la folla.")</f>
        <v>Lei saluta la folla.</v>
      </c>
    </row>
    <row r="1001">
      <c r="A1001" s="4" t="s">
        <v>1256</v>
      </c>
      <c r="B1001" s="4" t="s">
        <v>1267</v>
      </c>
      <c r="C1001" s="5" t="str">
        <f>IFERROR(__xludf.DUMMYFUNCTION("GOOGLETRANSLATE(B1001,""en"",""it"")"),"Quindi lancia di nuovo la palla.")</f>
        <v>Quindi lancia di nuovo la palla.</v>
      </c>
    </row>
    <row r="1002">
      <c r="A1002" s="4" t="s">
        <v>1256</v>
      </c>
      <c r="B1002" s="4" t="s">
        <v>1268</v>
      </c>
      <c r="C1002" s="5" t="str">
        <f>IFERROR(__xludf.DUMMYFUNCTION("GOOGLETRANSLATE(B1002,""en"",""it"")"),"I risultati vengono quindi lampeggianti sullo schermo.")</f>
        <v>I risultati vengono quindi lampeggianti sullo schermo.</v>
      </c>
    </row>
    <row r="1003">
      <c r="A1003" s="4" t="s">
        <v>1269</v>
      </c>
      <c r="B1003" s="4" t="s">
        <v>1270</v>
      </c>
      <c r="C1003" s="5" t="str">
        <f>IFERROR(__xludf.DUMMYFUNCTION("GOOGLETRANSLATE(B1003,""en"",""it"")"),"Un'introduzione inizia e inizia a mostrare un gruppo di persone.")</f>
        <v>Un'introduzione inizia e inizia a mostrare un gruppo di persone.</v>
      </c>
    </row>
    <row r="1004">
      <c r="A1004" s="4" t="s">
        <v>1269</v>
      </c>
      <c r="B1004" s="4" t="s">
        <v>1271</v>
      </c>
      <c r="C1004" s="5" t="str">
        <f>IFERROR(__xludf.DUMMYFUNCTION("GOOGLETRANSLATE(B1004,""en"",""it"")"),"Varie persone eseguono una routine di danza insieme a un istruttore che esegue davanti e al centro.")</f>
        <v>Varie persone eseguono una routine di danza insieme a un istruttore che esegue davanti e al centro.</v>
      </c>
    </row>
    <row r="1005">
      <c r="A1005" s="4" t="s">
        <v>1269</v>
      </c>
      <c r="B1005" s="6" t="s">
        <v>1272</v>
      </c>
      <c r="C1005" s="5" t="str">
        <f>IFERROR(__xludf.DUMMYFUNCTION("GOOGLETRANSLATE(B1005,""en"",""it"")"),"La routine continua con le persone e l'istruttore che si muovono con le braccia e le gambe che fanno vari movimenti alla musica.")</f>
        <v>La routine continua con le persone e l'istruttore che si muovono con le braccia e le gambe che fanno vari movimenti alla musica.</v>
      </c>
    </row>
    <row r="1006">
      <c r="A1006" s="4" t="s">
        <v>1273</v>
      </c>
      <c r="B1006" s="4" t="s">
        <v>1274</v>
      </c>
      <c r="C1006" s="5" t="str">
        <f>IFERROR(__xludf.DUMMYFUNCTION("GOOGLETRANSLATE(B1006,""en"",""it"")"),"Un ragazzo e una ragazza sono seduti dietro un tavolo.")</f>
        <v>Un ragazzo e una ragazza sono seduti dietro un tavolo.</v>
      </c>
    </row>
    <row r="1007">
      <c r="A1007" s="4" t="s">
        <v>1273</v>
      </c>
      <c r="B1007" s="4" t="s">
        <v>1275</v>
      </c>
      <c r="C1007" s="5" t="str">
        <f>IFERROR(__xludf.DUMMYFUNCTION("GOOGLETRANSLATE(B1007,""en"",""it"")"),"Cominciano a armare lotta sul tavolo.")</f>
        <v>Cominciano a armare lotta sul tavolo.</v>
      </c>
    </row>
    <row r="1008">
      <c r="A1008" s="4" t="s">
        <v>1273</v>
      </c>
      <c r="B1008" s="4" t="s">
        <v>1276</v>
      </c>
      <c r="C1008" s="5" t="str">
        <f>IFERROR(__xludf.DUMMYFUNCTION("GOOGLETRANSLATE(B1008,""en"",""it"")"),"L'uomo vince e sorride.")</f>
        <v>L'uomo vince e sorride.</v>
      </c>
    </row>
    <row r="1009">
      <c r="A1009" s="4" t="s">
        <v>1277</v>
      </c>
      <c r="B1009" s="4" t="s">
        <v>1278</v>
      </c>
      <c r="C1009" s="5" t="str">
        <f>IFERROR(__xludf.DUMMYFUNCTION("GOOGLETRANSLATE(B1009,""en"",""it"")"),"Vediamo un paio di schermi del titolo di apertura.")</f>
        <v>Vediamo un paio di schermi del titolo di apertura.</v>
      </c>
    </row>
    <row r="1010">
      <c r="A1010" s="4" t="s">
        <v>1277</v>
      </c>
      <c r="B1010" s="4" t="s">
        <v>1279</v>
      </c>
      <c r="C1010" s="5" t="str">
        <f>IFERROR(__xludf.DUMMYFUNCTION("GOOGLETRANSLATE(B1010,""en"",""it"")"),"Un uomo si sta rasando con un rasoio dritto.")</f>
        <v>Un uomo si sta rasando con un rasoio dritto.</v>
      </c>
    </row>
    <row r="1011">
      <c r="A1011" s="4" t="s">
        <v>1277</v>
      </c>
      <c r="B1011" s="4" t="s">
        <v>1280</v>
      </c>
      <c r="C1011" s="5" t="str">
        <f>IFERROR(__xludf.DUMMYFUNCTION("GOOGLETRANSLATE(B1011,""en"",""it"")"),"Vediamo l'uomo dietro di lui e gli uomini si abbracciano e parlano.")</f>
        <v>Vediamo l'uomo dietro di lui e gli uomini si abbracciano e parlano.</v>
      </c>
    </row>
    <row r="1012">
      <c r="A1012" s="4" t="s">
        <v>1277</v>
      </c>
      <c r="B1012" s="4" t="s">
        <v>1281</v>
      </c>
      <c r="C1012" s="5" t="str">
        <f>IFERROR(__xludf.DUMMYFUNCTION("GOOGLETRANSLATE(B1012,""en"",""it"")"),"L'uomo torna a radersi il viso.")</f>
        <v>L'uomo torna a radersi il viso.</v>
      </c>
    </row>
    <row r="1013">
      <c r="A1013" s="4" t="s">
        <v>1277</v>
      </c>
      <c r="B1013" s="4" t="s">
        <v>1282</v>
      </c>
      <c r="C1013" s="5" t="str">
        <f>IFERROR(__xludf.DUMMYFUNCTION("GOOGLETRANSLATE(B1013,""en"",""it"")"),"Vediamo di nuovo l'uomo nella parte posteriore.")</f>
        <v>Vediamo di nuovo l'uomo nella parte posteriore.</v>
      </c>
    </row>
    <row r="1014">
      <c r="A1014" s="4" t="s">
        <v>1277</v>
      </c>
      <c r="B1014" s="4" t="s">
        <v>1283</v>
      </c>
      <c r="C1014" s="5" t="str">
        <f>IFERROR(__xludf.DUMMYFUNCTION("GOOGLETRANSLATE(B1014,""en"",""it"")"),"L'uomo rasatura parla e vediamo gli schermi del titolo finale.")</f>
        <v>L'uomo rasatura parla e vediamo gli schermi del titolo finale.</v>
      </c>
    </row>
    <row r="1015">
      <c r="A1015" s="4" t="s">
        <v>1284</v>
      </c>
      <c r="B1015" s="4" t="s">
        <v>1285</v>
      </c>
      <c r="C1015" s="5" t="str">
        <f>IFERROR(__xludf.DUMMYFUNCTION("GOOGLETRANSLATE(B1015,""en"",""it"")"),"Un primo piano di prodotti è mostrato da una donna aprire il pacchetto davanti a uno specchio.")</f>
        <v>Un primo piano di prodotti è mostrato da una donna aprire il pacchetto davanti a uno specchio.</v>
      </c>
    </row>
    <row r="1016">
      <c r="A1016" s="4" t="s">
        <v>1284</v>
      </c>
      <c r="B1016" s="4" t="s">
        <v>1286</v>
      </c>
      <c r="C1016" s="5" t="str">
        <f>IFERROR(__xludf.DUMMYFUNCTION("GOOGLETRANSLATE(B1016,""en"",""it"")"),"La donna si mette in bocca il pacco, lo fa scorrere, poi lo sputa.")</f>
        <v>La donna si mette in bocca il pacco, lo fa scorrere, poi lo sputa.</v>
      </c>
    </row>
    <row r="1017">
      <c r="A1017" s="4" t="s">
        <v>1287</v>
      </c>
      <c r="B1017" s="4" t="s">
        <v>1288</v>
      </c>
      <c r="C1017" s="5" t="str">
        <f>IFERROR(__xludf.DUMMYFUNCTION("GOOGLETRANSLATE(B1017,""en"",""it"")"),"Un uomo è visto in piedi sul palco con in mano uno strumento.")</f>
        <v>Un uomo è visto in piedi sul palco con in mano uno strumento.</v>
      </c>
    </row>
    <row r="1018">
      <c r="A1018" s="4" t="s">
        <v>1287</v>
      </c>
      <c r="B1018" s="4" t="s">
        <v>1289</v>
      </c>
      <c r="C1018" s="5" t="str">
        <f>IFERROR(__xludf.DUMMYFUNCTION("GOOGLETRANSLATE(B1018,""en"",""it"")"),"Quindi raccoglie lo strumento e inizia a suonare sul palco.")</f>
        <v>Quindi raccoglie lo strumento e inizia a suonare sul palco.</v>
      </c>
    </row>
    <row r="1019">
      <c r="A1019" s="4" t="s">
        <v>1287</v>
      </c>
      <c r="B1019" s="4" t="s">
        <v>1290</v>
      </c>
      <c r="C1019" s="5" t="str">
        <f>IFERROR(__xludf.DUMMYFUNCTION("GOOGLETRANSLATE(B1019,""en"",""it"")"),"L'uomo continua a giocare e finisce di distogliere lo sguardo.")</f>
        <v>L'uomo continua a giocare e finisce di distogliere lo sguardo.</v>
      </c>
    </row>
    <row r="1020">
      <c r="A1020" s="4" t="s">
        <v>1291</v>
      </c>
      <c r="B1020" s="6" t="s">
        <v>1292</v>
      </c>
      <c r="C1020" s="5" t="str">
        <f>IFERROR(__xludf.DUMMYFUNCTION("GOOGLETRANSLATE(B1020,""en"",""it"")"),"Il video inizia con uno sfondo di un'area innevata e introduce i nomi delle persone nel video e che è il ""Wisp Snowboard Trip 2014.")</f>
        <v>Il video inizia con uno sfondo di un'area innevata e introduce i nomi delle persone nel video e che è il "Wisp Snowboard Trip 2014.</v>
      </c>
    </row>
    <row r="1021">
      <c r="A1021" s="4" t="s">
        <v>1291</v>
      </c>
      <c r="B1021" s="6" t="s">
        <v>1293</v>
      </c>
      <c r="C1021" s="5" t="str">
        <f>IFERROR(__xludf.DUMMYFUNCTION("GOOGLETRANSLATE(B1021,""en"",""it"")"),"Il video diventa quindi in numerosi diversi segmenti di un mucchio di persone diverse snowboard mentre fanno trucchi durante il giorno o la notte e in varie località diverse.")</f>
        <v>Il video diventa quindi in numerosi diversi segmenti di un mucchio di persone diverse snowboard mentre fanno trucchi durante il giorno o la notte e in varie località diverse.</v>
      </c>
    </row>
    <row r="1022">
      <c r="A1022" s="4" t="s">
        <v>1291</v>
      </c>
      <c r="B1022" s="4" t="s">
        <v>1294</v>
      </c>
      <c r="C1022" s="5" t="str">
        <f>IFERROR(__xludf.DUMMYFUNCTION("GOOGLETRANSLATE(B1022,""en"",""it"")"),"L'outro va al grigio e poi svanirà in nero.")</f>
        <v>L'outro va al grigio e poi svanirà in nero.</v>
      </c>
    </row>
    <row r="1023">
      <c r="A1023" s="4" t="s">
        <v>1295</v>
      </c>
      <c r="B1023" s="4" t="s">
        <v>1296</v>
      </c>
      <c r="C1023" s="5" t="str">
        <f>IFERROR(__xludf.DUMMYFUNCTION("GOOGLETRANSLATE(B1023,""en"",""it"")"),"Un grande intertubo è mostrato sullo schermo.")</f>
        <v>Un grande intertubo è mostrato sullo schermo.</v>
      </c>
    </row>
    <row r="1024">
      <c r="A1024" s="4" t="s">
        <v>1295</v>
      </c>
      <c r="B1024" s="4" t="s">
        <v>1297</v>
      </c>
      <c r="C1024" s="5" t="str">
        <f>IFERROR(__xludf.DUMMYFUNCTION("GOOGLETRANSLATE(B1024,""en"",""it"")"),"Un mucchio di slitte si mette sui tubi.")</f>
        <v>Un mucchio di slitte si mette sui tubi.</v>
      </c>
    </row>
    <row r="1025">
      <c r="A1025" s="4" t="s">
        <v>1295</v>
      </c>
      <c r="B1025" s="4" t="s">
        <v>1298</v>
      </c>
      <c r="C1025" s="5" t="str">
        <f>IFERROR(__xludf.DUMMYFUNCTION("GOOGLETRANSLATE(B1025,""en"",""it"")"),"Li guidano lungo una ripida collina insieme.")</f>
        <v>Li guidano lungo una ripida collina insieme.</v>
      </c>
    </row>
    <row r="1026">
      <c r="A1026" s="4" t="s">
        <v>1299</v>
      </c>
      <c r="B1026" s="4" t="s">
        <v>1300</v>
      </c>
      <c r="C1026" s="5" t="str">
        <f>IFERROR(__xludf.DUMMYFUNCTION("GOOGLETRANSLATE(B1026,""en"",""it"")"),"Un'ancora di notizie femminili introduce una storia.")</f>
        <v>Un'ancora di notizie femminili introduce una storia.</v>
      </c>
    </row>
    <row r="1027">
      <c r="A1027" s="4" t="s">
        <v>1299</v>
      </c>
      <c r="B1027" s="6" t="s">
        <v>1301</v>
      </c>
      <c r="C1027" s="5" t="str">
        <f>IFERROR(__xludf.DUMMYFUNCTION("GOOGLETRANSLATE(B1027,""en"",""it"")"),"Una giornalista femminile parla di un istruttore di fitness all'interno di una palestra, dove i ciclisti stanno andando in bici da fitness.")</f>
        <v>Una giornalista femminile parla di un istruttore di fitness all'interno di una palestra, dove i ciclisti stanno andando in bici da fitness.</v>
      </c>
    </row>
    <row r="1028">
      <c r="A1028" s="4" t="s">
        <v>1299</v>
      </c>
      <c r="B1028" s="4" t="s">
        <v>1302</v>
      </c>
      <c r="C1028" s="5" t="str">
        <f>IFERROR(__xludf.DUMMYFUNCTION("GOOGLETRANSLATE(B1028,""en"",""it"")"),"Esercizi come yoga e bicicletta sono dimostrati da quelli in palestra.")</f>
        <v>Esercizi come yoga e bicicletta sono dimostrati da quelli in palestra.</v>
      </c>
    </row>
    <row r="1029">
      <c r="A1029" s="4" t="s">
        <v>1299</v>
      </c>
      <c r="B1029" s="4" t="s">
        <v>1303</v>
      </c>
      <c r="C1029" s="5" t="str">
        <f>IFERROR(__xludf.DUMMYFUNCTION("GOOGLETRANSLATE(B1029,""en"",""it"")"),"La giornalista femminile continua a parlare con l'istruttore di fitness.")</f>
        <v>La giornalista femminile continua a parlare con l'istruttore di fitness.</v>
      </c>
    </row>
    <row r="1030">
      <c r="A1030" s="4" t="s">
        <v>1299</v>
      </c>
      <c r="B1030" s="4" t="s">
        <v>1304</v>
      </c>
      <c r="C1030" s="5" t="str">
        <f>IFERROR(__xludf.DUMMYFUNCTION("GOOGLETRANSLATE(B1030,""en"",""it"")"),"Parla all'ancora in studio.")</f>
        <v>Parla all'ancora in studio.</v>
      </c>
    </row>
    <row r="1031">
      <c r="A1031" s="4" t="s">
        <v>1305</v>
      </c>
      <c r="B1031" s="4" t="s">
        <v>1306</v>
      </c>
      <c r="C1031" s="5" t="str">
        <f>IFERROR(__xludf.DUMMYFUNCTION("GOOGLETRANSLATE(B1031,""en"",""it"")"),"Una bici si trova su una strada accidentata non asfaltata.")</f>
        <v>Una bici si trova su una strada accidentata non asfaltata.</v>
      </c>
    </row>
    <row r="1032">
      <c r="A1032" s="4" t="s">
        <v>1305</v>
      </c>
      <c r="B1032" s="6" t="s">
        <v>1307</v>
      </c>
      <c r="C1032" s="5" t="str">
        <f>IFERROR(__xludf.DUMMYFUNCTION("GOOGLETRANSLATE(B1032,""en"",""it"")"),"La gente va in bici molto velocemente sulla strada e dà salti alti quando si passa la parte accidentata della strada.")</f>
        <v>La gente va in bici molto velocemente sulla strada e dà salti alti quando si passa la parte accidentata della strada.</v>
      </c>
    </row>
    <row r="1033">
      <c r="A1033" s="4" t="s">
        <v>1305</v>
      </c>
      <c r="B1033" s="4" t="s">
        <v>1308</v>
      </c>
      <c r="C1033" s="5" t="str">
        <f>IFERROR(__xludf.DUMMYFUNCTION("GOOGLETRANSLATE(B1033,""en"",""it"")"),"Le ombre di un motociclista fuso sulla strada irregolare.")</f>
        <v>Le ombre di un motociclista fuso sulla strada irregolare.</v>
      </c>
    </row>
    <row r="1034">
      <c r="A1034" s="4" t="s">
        <v>1309</v>
      </c>
      <c r="B1034" s="4" t="s">
        <v>1310</v>
      </c>
      <c r="C1034" s="5" t="str">
        <f>IFERROR(__xludf.DUMMYFUNCTION("GOOGLETRANSLATE(B1034,""en"",""it"")"),"Un bambino viene visto consegnare su una serie di barre di scimmia mentre i bambini che corrono in giro.")</f>
        <v>Un bambino viene visto consegnare su una serie di barre di scimmia mentre i bambini che corrono in giro.</v>
      </c>
    </row>
    <row r="1035">
      <c r="A1035" s="4" t="s">
        <v>1309</v>
      </c>
      <c r="B1035" s="4" t="s">
        <v>1311</v>
      </c>
      <c r="C1035" s="5" t="str">
        <f>IFERROR(__xludf.DUMMYFUNCTION("GOOGLETRANSLATE(B1035,""en"",""it"")"),"La ragazza inizia quindi a arrampicarsi sul set di barrette di scimmia.")</f>
        <v>La ragazza inizia quindi a arrampicarsi sul set di barrette di scimmia.</v>
      </c>
    </row>
    <row r="1036">
      <c r="A1036" s="4" t="s">
        <v>1309</v>
      </c>
      <c r="B1036" s="4" t="s">
        <v>1312</v>
      </c>
      <c r="C1036" s="5" t="str">
        <f>IFERROR(__xludf.DUMMYFUNCTION("GOOGLETRANSLATE(B1036,""en"",""it"")"),"Si arrampica fino alla fine e salta di lato.")</f>
        <v>Si arrampica fino alla fine e salta di lato.</v>
      </c>
    </row>
    <row r="1037">
      <c r="A1037" s="4" t="s">
        <v>1313</v>
      </c>
      <c r="B1037" s="4" t="s">
        <v>1314</v>
      </c>
      <c r="C1037" s="5" t="str">
        <f>IFERROR(__xludf.DUMMYFUNCTION("GOOGLETRANSLATE(B1037,""en"",""it"")"),"Un primo piano di un albero di marcia viene visto seguendo qualcuno che apre un bagagliaio e tira fuori una gomma.")</f>
        <v>Un primo piano di un albero di marcia viene visto seguendo qualcuno che apre un bagagliaio e tira fuori una gomma.</v>
      </c>
    </row>
    <row r="1038">
      <c r="A1038" s="4" t="s">
        <v>1313</v>
      </c>
      <c r="B1038" s="4" t="s">
        <v>1315</v>
      </c>
      <c r="C1038" s="5" t="str">
        <f>IFERROR(__xludf.DUMMYFUNCTION("GOOGLETRANSLATE(B1038,""en"",""it"")"),"La persona mette un martine sotto la macchina e inizia a svitare la gomma e toglierlo.")</f>
        <v>La persona mette un martine sotto la macchina e inizia a svitare la gomma e toglierlo.</v>
      </c>
    </row>
    <row r="1039">
      <c r="A1039" s="4" t="s">
        <v>1313</v>
      </c>
      <c r="B1039" s="6" t="s">
        <v>1316</v>
      </c>
      <c r="C1039" s="5" t="str">
        <f>IFERROR(__xludf.DUMMYFUNCTION("GOOGLETRANSLATE(B1039,""en"",""it"")"),"La persona mette un nuovo pneumatico e lo avvita in posizione mentre toglie il martinetto e rimettendo il coprimoto.")</f>
        <v>La persona mette un nuovo pneumatico e lo avvita in posizione mentre toglie il martinetto e rimettendo il coprimoto.</v>
      </c>
    </row>
    <row r="1040">
      <c r="A1040" s="4" t="s">
        <v>1317</v>
      </c>
      <c r="B1040" s="4" t="s">
        <v>1318</v>
      </c>
      <c r="C1040" s="5" t="str">
        <f>IFERROR(__xludf.DUMMYFUNCTION("GOOGLETRANSLATE(B1040,""en"",""it"")"),"I crediti di apertura sono mostrati per un video sul bowling.")</f>
        <v>I crediti di apertura sono mostrati per un video sul bowling.</v>
      </c>
    </row>
    <row r="1041">
      <c r="A1041" s="4" t="s">
        <v>1317</v>
      </c>
      <c r="B1041" s="4" t="s">
        <v>1319</v>
      </c>
      <c r="C1041" s="5" t="str">
        <f>IFERROR(__xludf.DUMMYFUNCTION("GOOGLETRANSLATE(B1041,""en"",""it"")"),"Il video mostra quindi diversi giocatori di bowling che fanno trucchi da bowling in una pista da bowling.")</f>
        <v>Il video mostra quindi diversi giocatori di bowling che fanno trucchi da bowling in una pista da bowling.</v>
      </c>
    </row>
    <row r="1042">
      <c r="A1042" s="4" t="s">
        <v>1317</v>
      </c>
      <c r="B1042" s="4" t="s">
        <v>1320</v>
      </c>
      <c r="C1042" s="5" t="str">
        <f>IFERROR(__xludf.DUMMYFUNCTION("GOOGLETRANSLATE(B1042,""en"",""it"")"),"Un credito arriva sullo schermo che introduce il trucco del finale di laurea.")</f>
        <v>Un credito arriva sullo schermo che introduce il trucco del finale di laurea.</v>
      </c>
    </row>
    <row r="1043">
      <c r="A1043" s="4" t="s">
        <v>1317</v>
      </c>
      <c r="B1043" s="4" t="s">
        <v>1321</v>
      </c>
      <c r="C1043" s="5" t="str">
        <f>IFERROR(__xludf.DUMMYFUNCTION("GOOGLETRANSLATE(B1043,""en"",""it"")"),"Un uomo lancia la palla e contemporaneamente si getta anche il vicolo.")</f>
        <v>Un uomo lancia la palla e contemporaneamente si getta anche il vicolo.</v>
      </c>
    </row>
    <row r="1044">
      <c r="A1044" s="4" t="s">
        <v>1317</v>
      </c>
      <c r="B1044" s="4" t="s">
        <v>1322</v>
      </c>
      <c r="C1044" s="5" t="str">
        <f>IFERROR(__xludf.DUMMYFUNCTION("GOOGLETRANSLATE(B1044,""en"",""it"")"),"I crediti di chiusura sono quindi sullo schermo per terminare il video.")</f>
        <v>I crediti di chiusura sono quindi sullo schermo per terminare il video.</v>
      </c>
    </row>
    <row r="1045">
      <c r="A1045" s="4" t="s">
        <v>1323</v>
      </c>
      <c r="B1045" s="4" t="s">
        <v>1324</v>
      </c>
      <c r="C1045" s="5" t="str">
        <f>IFERROR(__xludf.DUMMYFUNCTION("GOOGLETRANSLATE(B1045,""en"",""it"")"),"Un bambino piccolo dipinge le unghie di un altro individuo.")</f>
        <v>Un bambino piccolo dipinge le unghie di un altro individuo.</v>
      </c>
    </row>
    <row r="1046">
      <c r="A1046" s="4" t="s">
        <v>1323</v>
      </c>
      <c r="B1046" s="4" t="s">
        <v>1325</v>
      </c>
      <c r="C1046" s="5" t="str">
        <f>IFERROR(__xludf.DUMMYFUNCTION("GOOGLETRANSLATE(B1046,""en"",""it"")"),"L'altro individuo esamina le unghie.")</f>
        <v>L'altro individuo esamina le unghie.</v>
      </c>
    </row>
    <row r="1047">
      <c r="A1047" s="4" t="s">
        <v>1326</v>
      </c>
      <c r="B1047" s="4" t="s">
        <v>1327</v>
      </c>
      <c r="C1047" s="5" t="str">
        <f>IFERROR(__xludf.DUMMYFUNCTION("GOOGLETRANSLATE(B1047,""en"",""it"")"),"Un uomo monta un raggio davanti a una folla.")</f>
        <v>Un uomo monta un raggio davanti a una folla.</v>
      </c>
    </row>
    <row r="1048">
      <c r="A1048" s="4" t="s">
        <v>1326</v>
      </c>
      <c r="B1048" s="4" t="s">
        <v>1328</v>
      </c>
      <c r="C1048" s="5" t="str">
        <f>IFERROR(__xludf.DUMMYFUNCTION("GOOGLETRANSLATE(B1048,""en"",""it"")"),"La ginnasta inizia a cadere, sollevare, tenere e girare in cerchio sulle travi grandi per la folla.")</f>
        <v>La ginnasta inizia a cadere, sollevare, tenere e girare in cerchio sulle travi grandi per la folla.</v>
      </c>
    </row>
    <row r="1049">
      <c r="A1049" s="4" t="s">
        <v>1326</v>
      </c>
      <c r="B1049" s="4" t="s">
        <v>1329</v>
      </c>
      <c r="C1049" s="5" t="str">
        <f>IFERROR(__xludf.DUMMYFUNCTION("GOOGLETRANSLATE(B1049,""en"",""it"")"),"Smonde con grazia, alzando le braccia alla folla prima di andarsene.")</f>
        <v>Smonde con grazia, alzando le braccia alla folla prima di andarsene.</v>
      </c>
    </row>
    <row r="1050">
      <c r="A1050" s="4" t="s">
        <v>1330</v>
      </c>
      <c r="B1050" s="6" t="s">
        <v>1331</v>
      </c>
      <c r="C1050" s="5" t="str">
        <f>IFERROR(__xludf.DUMMYFUNCTION("GOOGLETRANSLATE(B1050,""en"",""it"")"),"Diversi giovani, parlano e ridono mentre si trovano attorno a un tavolo coperto di lattine di birra e bicchieri di plastica blu.")</f>
        <v>Diversi giovani, parlano e ridono mentre si trovano attorno a un tavolo coperto di lattine di birra e bicchieri di plastica blu.</v>
      </c>
    </row>
    <row r="1051">
      <c r="A1051" s="4" t="s">
        <v>1330</v>
      </c>
      <c r="B1051" s="6" t="s">
        <v>1332</v>
      </c>
      <c r="C1051" s="5" t="str">
        <f>IFERROR(__xludf.DUMMYFUNCTION("GOOGLETRANSLATE(B1051,""en"",""it"")"),"Un giovane si trova intorno a un tavolo in una stanza parlando con due donne e altri uomini, a volte ridendo e sorridendo.")</f>
        <v>Un giovane si trova intorno a un tavolo in una stanza parlando con due donne e altri uomini, a volte ridendo e sorridendo.</v>
      </c>
    </row>
    <row r="1052">
      <c r="A1052" s="4" t="s">
        <v>1330</v>
      </c>
      <c r="B1052" s="6" t="s">
        <v>1333</v>
      </c>
      <c r="C1052" s="5" t="str">
        <f>IFERROR(__xludf.DUMMYFUNCTION("GOOGLETRANSLATE(B1052,""en"",""it"")"),"Una palline bianche viene lanciata attraverso il tavolo mentre la gente tenta di lanciare le palle nelle tazze blu da oltre il tavolo.")</f>
        <v>Una palline bianche viene lanciata attraverso il tavolo mentre la gente tenta di lanciare le palle nelle tazze blu da oltre il tavolo.</v>
      </c>
    </row>
    <row r="1053">
      <c r="A1053" s="4" t="s">
        <v>1330</v>
      </c>
      <c r="B1053" s="6" t="s">
        <v>1334</v>
      </c>
      <c r="C1053" s="5" t="str">
        <f>IFERROR(__xludf.DUMMYFUNCTION("GOOGLETRANSLATE(B1053,""en"",""it"")"),"Negli ultimi momenti della clip una palla vola sul tavolo e gli uomini reagiscono in modo trionfante gettando le braccia in aria per celebrare.")</f>
        <v>Negli ultimi momenti della clip una palla vola sul tavolo e gli uomini reagiscono in modo trionfante gettando le braccia in aria per celebrare.</v>
      </c>
    </row>
    <row r="1054">
      <c r="A1054" s="4" t="s">
        <v>1335</v>
      </c>
      <c r="B1054" s="4" t="s">
        <v>1336</v>
      </c>
      <c r="C1054" s="5" t="str">
        <f>IFERROR(__xludf.DUMMYFUNCTION("GOOGLETRANSLATE(B1054,""en"",""it"")"),"Un gruppo di giovani si pone e si imbatte davanti a un tavolo pieno di tazze rosse.")</f>
        <v>Un gruppo di giovani si pone e si imbatte davanti a un tavolo pieno di tazze rosse.</v>
      </c>
    </row>
    <row r="1055">
      <c r="A1055" s="4" t="s">
        <v>1335</v>
      </c>
      <c r="B1055" s="4" t="s">
        <v>1337</v>
      </c>
      <c r="C1055" s="5" t="str">
        <f>IFERROR(__xludf.DUMMYFUNCTION("GOOGLETRANSLATE(B1055,""en"",""it"")"),"Un giovane in nero mette due occhiali da tiro sul tavolo.")</f>
        <v>Un giovane in nero mette due occhiali da tiro sul tavolo.</v>
      </c>
    </row>
    <row r="1056">
      <c r="A1056" s="4" t="s">
        <v>1335</v>
      </c>
      <c r="B1056" s="4" t="s">
        <v>1338</v>
      </c>
      <c r="C1056" s="5" t="str">
        <f>IFERROR(__xludf.DUMMYFUNCTION("GOOGLETRANSLATE(B1056,""en"",""it"")"),"Un altro gruppo di giovani si siede sulle sedie fuori.")</f>
        <v>Un altro gruppo di giovani si siede sulle sedie fuori.</v>
      </c>
    </row>
    <row r="1057">
      <c r="A1057" s="4" t="s">
        <v>1335</v>
      </c>
      <c r="B1057" s="6" t="s">
        <v>1339</v>
      </c>
      <c r="C1057" s="5" t="str">
        <f>IFERROR(__xludf.DUMMYFUNCTION("GOOGLETRANSLATE(B1057,""en"",""it"")"),"Un giovane in grigio rimbalza una palla sul tavolo e in una delle tazze e festeggia con il giovane accanto a lui.")</f>
        <v>Un giovane in grigio rimbalza una palla sul tavolo e in una delle tazze e festeggia con il giovane accanto a lui.</v>
      </c>
    </row>
    <row r="1058">
      <c r="A1058" s="4" t="s">
        <v>1335</v>
      </c>
      <c r="B1058" s="4" t="s">
        <v>1340</v>
      </c>
      <c r="C1058" s="5" t="str">
        <f>IFERROR(__xludf.DUMMYFUNCTION("GOOGLETRANSLATE(B1058,""en"",""it"")"),"Un giovane in nero rimbalza una palla verso le tazze ma manca.")</f>
        <v>Un giovane in nero rimbalza una palla verso le tazze ma manca.</v>
      </c>
    </row>
    <row r="1059">
      <c r="A1059" s="4" t="s">
        <v>1335</v>
      </c>
      <c r="B1059" s="4" t="s">
        <v>1341</v>
      </c>
      <c r="C1059" s="5" t="str">
        <f>IFERROR(__xludf.DUMMYFUNCTION("GOOGLETRANSLATE(B1059,""en"",""it"")"),"Un altro uomo alza la mano accanto alle tazze.")</f>
        <v>Un altro uomo alza la mano accanto alle tazze.</v>
      </c>
    </row>
    <row r="1060">
      <c r="A1060" s="4" t="s">
        <v>1335</v>
      </c>
      <c r="B1060" s="6" t="s">
        <v>1342</v>
      </c>
      <c r="C1060" s="5" t="str">
        <f>IFERROR(__xludf.DUMMYFUNCTION("GOOGLETRANSLATE(B1060,""en"",""it"")"),"I due uomini che rimbalzarono le palle alle tazze stringi insieme gli occhiali da tiro e poi bevono il tiro.")</f>
        <v>I due uomini che rimbalzarono le palle alle tazze stringi insieme gli occhiali da tiro e poi bevono il tiro.</v>
      </c>
    </row>
    <row r="1061">
      <c r="A1061" s="4" t="s">
        <v>1335</v>
      </c>
      <c r="B1061" s="4" t="s">
        <v>1343</v>
      </c>
      <c r="C1061" s="5" t="str">
        <f>IFERROR(__xludf.DUMMYFUNCTION("GOOGLETRANSLATE(B1061,""en"",""it"")"),"Un giovane in nero picchia la parte posteriore del giovane in grigio.")</f>
        <v>Un giovane in nero picchia la parte posteriore del giovane in grigio.</v>
      </c>
    </row>
    <row r="1062">
      <c r="A1062" s="4" t="s">
        <v>1335</v>
      </c>
      <c r="B1062" s="6" t="s">
        <v>1344</v>
      </c>
      <c r="C1062" s="5" t="str">
        <f>IFERROR(__xludf.DUMMYFUNCTION("GOOGLETRANSLATE(B1062,""en"",""it"")"),"Il giovane con bevande grigie da una delle tazze rosse sul tavolo mentre il giovane in nero finge di dargli un pugno.")</f>
        <v>Il giovane con bevande grigie da una delle tazze rosse sul tavolo mentre il giovane in nero finge di dargli un pugno.</v>
      </c>
    </row>
    <row r="1063">
      <c r="A1063" s="4" t="s">
        <v>1335</v>
      </c>
      <c r="B1063" s="4" t="s">
        <v>1345</v>
      </c>
      <c r="C1063" s="5" t="str">
        <f>IFERROR(__xludf.DUMMYFUNCTION("GOOGLETRANSLATE(B1063,""en"",""it"")"),"Un altro giovane riorganizza le tazze rimanenti sul tavolo.")</f>
        <v>Un altro giovane riorganizza le tazze rimanenti sul tavolo.</v>
      </c>
    </row>
    <row r="1064">
      <c r="A1064" s="4" t="s">
        <v>1335</v>
      </c>
      <c r="B1064" s="4" t="s">
        <v>1346</v>
      </c>
      <c r="C1064" s="5" t="str">
        <f>IFERROR(__xludf.DUMMYFUNCTION("GOOGLETRANSLATE(B1064,""en"",""it"")"),"Il giovane in grigio e il giovane con il pugno nero.")</f>
        <v>Il giovane in grigio e il giovane con il pugno nero.</v>
      </c>
    </row>
    <row r="1065">
      <c r="A1065" s="4" t="s">
        <v>1347</v>
      </c>
      <c r="B1065" s="4" t="s">
        <v>1348</v>
      </c>
      <c r="C1065" s="5" t="str">
        <f>IFERROR(__xludf.DUMMYFUNCTION("GOOGLETRANSLATE(B1065,""en"",""it"")"),"Una partita di pallavolo viene giocata tra la squadra blu e gialla.")</f>
        <v>Una partita di pallavolo viene giocata tra la squadra blu e gialla.</v>
      </c>
    </row>
    <row r="1066">
      <c r="A1066" s="4" t="s">
        <v>1347</v>
      </c>
      <c r="B1066" s="6" t="s">
        <v>1349</v>
      </c>
      <c r="C1066" s="5" t="str">
        <f>IFERROR(__xludf.DUMMYFUNCTION("GOOGLETRANSLATE(B1066,""en"",""it"")"),"La squadra gialla serve la palla e viene colpita continuamente avanti e indietro fino a quando la squadra gialla non segna un punto.")</f>
        <v>La squadra gialla serve la palla e viene colpita continuamente avanti e indietro fino a quando la squadra gialla non segna un punto.</v>
      </c>
    </row>
    <row r="1067">
      <c r="A1067" s="4" t="s">
        <v>1347</v>
      </c>
      <c r="B1067" s="4" t="s">
        <v>1350</v>
      </c>
      <c r="C1067" s="5" t="str">
        <f>IFERROR(__xludf.DUMMYFUNCTION("GOOGLETRANSLATE(B1067,""en"",""it"")"),"Un giocatore della squadra gialla cade e i giocatori di ogni squadra la aiutano.")</f>
        <v>Un giocatore della squadra gialla cade e i giocatori di ogni squadra la aiutano.</v>
      </c>
    </row>
    <row r="1068">
      <c r="A1068" s="4" t="s">
        <v>1347</v>
      </c>
      <c r="B1068" s="4" t="s">
        <v>1351</v>
      </c>
      <c r="C1068" s="5" t="str">
        <f>IFERROR(__xludf.DUMMYFUNCTION("GOOGLETRANSLATE(B1068,""en"",""it"")"),"Si tolgono la scarpa e la calza e massaggiano la gamba.")</f>
        <v>Si tolgono la scarpa e la calza e massaggiano la gamba.</v>
      </c>
    </row>
    <row r="1069">
      <c r="A1069" s="4" t="s">
        <v>1347</v>
      </c>
      <c r="B1069" s="6" t="s">
        <v>1352</v>
      </c>
      <c r="C1069" s="5" t="str">
        <f>IFERROR(__xludf.DUMMYFUNCTION("GOOGLETRANSLATE(B1069,""en"",""it"")"),"Due persone procedono a prenderla con l'aiuto di un terzo e portarla fuori dal campo e la stenderla di lato per continuare a cura.")</f>
        <v>Due persone procedono a prenderla con l'aiuto di un terzo e portarla fuori dal campo e la stenderla di lato per continuare a cura.</v>
      </c>
    </row>
    <row r="1070">
      <c r="A1070" s="4" t="s">
        <v>1353</v>
      </c>
      <c r="B1070" s="4" t="s">
        <v>1354</v>
      </c>
      <c r="C1070" s="5" t="str">
        <f>IFERROR(__xludf.DUMMYFUNCTION("GOOGLETRANSLATE(B1070,""en"",""it"")"),"Un uomo in una camicia rossa sta elaborando una macchina da esercizio.")</f>
        <v>Un uomo in una camicia rossa sta elaborando una macchina da esercizio.</v>
      </c>
    </row>
    <row r="1071">
      <c r="A1071" s="4" t="s">
        <v>1353</v>
      </c>
      <c r="B1071" s="4" t="s">
        <v>1355</v>
      </c>
      <c r="C1071" s="5" t="str">
        <f>IFERROR(__xludf.DUMMYFUNCTION("GOOGLETRANSLATE(B1071,""en"",""it"")"),"Una donna con una camicia viola cammina dietro di lui.")</f>
        <v>Una donna con una camicia viola cammina dietro di lui.</v>
      </c>
    </row>
    <row r="1072">
      <c r="A1072" s="4" t="s">
        <v>1353</v>
      </c>
      <c r="B1072" s="4" t="s">
        <v>1356</v>
      </c>
      <c r="C1072" s="5" t="str">
        <f>IFERROR(__xludf.DUMMYFUNCTION("GOOGLETRANSLATE(B1072,""en"",""it"")"),"Due persone si parlano dietro di lui.")</f>
        <v>Due persone si parlano dietro di lui.</v>
      </c>
    </row>
    <row r="1073">
      <c r="A1073" s="4" t="s">
        <v>1357</v>
      </c>
      <c r="B1073" s="6" t="s">
        <v>1358</v>
      </c>
      <c r="C1073" s="5" t="str">
        <f>IFERROR(__xludf.DUMMYFUNCTION("GOOGLETRANSLATE(B1073,""en"",""it"")"),"Un folto gruppo di persone è visto che solleva bandiere e camminano in cerchio mentre molti altri guardano sui lati.")</f>
        <v>Un folto gruppo di persone è visto che solleva bandiere e camminano in cerchio mentre molti altri guardano sui lati.</v>
      </c>
    </row>
    <row r="1074">
      <c r="A1074" s="4" t="s">
        <v>1357</v>
      </c>
      <c r="B1074" s="6" t="s">
        <v>1359</v>
      </c>
      <c r="C1074" s="5" t="str">
        <f>IFERROR(__xludf.DUMMYFUNCTION("GOOGLETRANSLATE(B1074,""en"",""it"")"),"Due persone vengono quindi viste che si avvicinano al cerchio e portano in una partita di wrestling tra i due.")</f>
        <v>Due persone vengono quindi viste che si avvicinano al cerchio e portano in una partita di wrestling tra i due.</v>
      </c>
    </row>
    <row r="1075">
      <c r="A1075" s="4" t="s">
        <v>1357</v>
      </c>
      <c r="B1075" s="4" t="s">
        <v>1360</v>
      </c>
      <c r="C1075" s="5" t="str">
        <f>IFERROR(__xludf.DUMMYFUNCTION("GOOGLETRANSLATE(B1075,""en"",""it"")"),"Un uomo si inchina all'altro e il vincitore si allontana dal palco.")</f>
        <v>Un uomo si inchina all'altro e il vincitore si allontana dal palco.</v>
      </c>
    </row>
    <row r="1076">
      <c r="A1076" s="4" t="s">
        <v>1361</v>
      </c>
      <c r="B1076" s="4" t="s">
        <v>1362</v>
      </c>
      <c r="C1076" s="5" t="str">
        <f>IFERROR(__xludf.DUMMYFUNCTION("GOOGLETRANSLATE(B1076,""en"",""it"")"),"C'è un uomo seduto su una strada trafficata nella città che indossa un turbante e fuma una sigaretta.")</f>
        <v>C'è un uomo seduto su una strada trafficata nella città che indossa un turbante e fuma una sigaretta.</v>
      </c>
    </row>
    <row r="1077">
      <c r="A1077" s="4" t="s">
        <v>1361</v>
      </c>
      <c r="B1077" s="4" t="s">
        <v>1363</v>
      </c>
      <c r="C1077" s="5" t="str">
        <f>IFERROR(__xludf.DUMMYFUNCTION("GOOGLETRANSLATE(B1077,""en"",""it"")"),"Ci sono diverse persone che lo passano davanti.")</f>
        <v>Ci sono diverse persone che lo passano davanti.</v>
      </c>
    </row>
    <row r="1078">
      <c r="A1078" s="4" t="s">
        <v>1361</v>
      </c>
      <c r="B1078" s="4" t="s">
        <v>1364</v>
      </c>
      <c r="C1078" s="5" t="str">
        <f>IFERROR(__xludf.DUMMYFUNCTION("GOOGLETRANSLATE(B1078,""en"",""it"")"),"Continua a fumare la sigaretta mentre inala ed espira il fumo.")</f>
        <v>Continua a fumare la sigaretta mentre inala ed espira il fumo.</v>
      </c>
    </row>
    <row r="1079">
      <c r="A1079" s="4" t="s">
        <v>1361</v>
      </c>
      <c r="B1079" s="4" t="s">
        <v>1365</v>
      </c>
      <c r="C1079" s="5" t="str">
        <f>IFERROR(__xludf.DUMMYFUNCTION("GOOGLETRANSLATE(B1079,""en"",""it"")"),"C'è molto traffico per strada e molte persone che camminano per strada.")</f>
        <v>C'è molto traffico per strada e molte persone che camminano per strada.</v>
      </c>
    </row>
    <row r="1080">
      <c r="A1080" s="4" t="s">
        <v>1366</v>
      </c>
      <c r="B1080" s="4" t="s">
        <v>1367</v>
      </c>
      <c r="C1080" s="5" t="str">
        <f>IFERROR(__xludf.DUMMYFUNCTION("GOOGLETRANSLATE(B1080,""en"",""it"")"),"A due persone vengono mostrate parasailing insieme attraverso l'acqua oceanica.")</f>
        <v>A due persone vengono mostrate parasailing insieme attraverso l'acqua oceanica.</v>
      </c>
    </row>
    <row r="1081">
      <c r="A1081" s="4" t="s">
        <v>1366</v>
      </c>
      <c r="B1081" s="4" t="s">
        <v>1368</v>
      </c>
      <c r="C1081" s="5" t="str">
        <f>IFERROR(__xludf.DUMMYFUNCTION("GOOGLETRANSLATE(B1081,""en"",""it"")"),"Muovono le vele mentre vanno.")</f>
        <v>Muovono le vele mentre vanno.</v>
      </c>
    </row>
    <row r="1082">
      <c r="A1082" s="4" t="s">
        <v>1369</v>
      </c>
      <c r="B1082" s="6" t="s">
        <v>1370</v>
      </c>
      <c r="C1082" s="5" t="str">
        <f>IFERROR(__xludf.DUMMYFUNCTION("GOOGLETRANSLATE(B1082,""en"",""it"")"),"Due persone sono viste cavalcare sugli sci dietro una barca con una persona che ha un figlio sulle spalle.")</f>
        <v>Due persone sono viste cavalcare sugli sci dietro una barca con una persona che ha un figlio sulle spalle.</v>
      </c>
    </row>
    <row r="1083">
      <c r="A1083" s="4" t="s">
        <v>1369</v>
      </c>
      <c r="B1083" s="6" t="s">
        <v>1371</v>
      </c>
      <c r="C1083" s="5" t="str">
        <f>IFERROR(__xludf.DUMMYFUNCTION("GOOGLETRANSLATE(B1083,""en"",""it"")"),"Le persone si appendono tutte l'una sull'altra mentre il bambino si arrampica su di loro e cade alla fine.")</f>
        <v>Le persone si appendono tutte l'una sull'altra mentre il bambino si arrampica su di loro e cade alla fine.</v>
      </c>
    </row>
    <row r="1084">
      <c r="A1084" s="4" t="s">
        <v>1372</v>
      </c>
      <c r="B1084" s="4" t="s">
        <v>1373</v>
      </c>
      <c r="C1084" s="5" t="str">
        <f>IFERROR(__xludf.DUMMYFUNCTION("GOOGLETRANSLATE(B1084,""en"",""it"")"),"Vediamo uno schermo di apertura e un uomo corre e fa un salto in alto a quindici piedi.")</f>
        <v>Vediamo uno schermo di apertura e un uomo corre e fa un salto in alto a quindici piedi.</v>
      </c>
    </row>
    <row r="1085">
      <c r="A1085" s="4" t="s">
        <v>1372</v>
      </c>
      <c r="B1085" s="4" t="s">
        <v>1374</v>
      </c>
      <c r="C1085" s="5" t="str">
        <f>IFERROR(__xludf.DUMMYFUNCTION("GOOGLETRANSLATE(B1085,""en"",""it"")"),"Vediamo un uomo saltare il salto in alto su una pista a varie altezza con molte scene tagliate.")</f>
        <v>Vediamo un uomo saltare il salto in alto su una pista a varie altezza con molte scene tagliate.</v>
      </c>
    </row>
    <row r="1086">
      <c r="A1086" s="4" t="s">
        <v>1372</v>
      </c>
      <c r="B1086" s="4" t="s">
        <v>1375</v>
      </c>
      <c r="C1086" s="5" t="str">
        <f>IFERROR(__xludf.DUMMYFUNCTION("GOOGLETRANSLATE(B1086,""en"",""it"")"),"Vediamo diciassette e un fermo dell'uomo.")</f>
        <v>Vediamo diciassette e un fermo dell'uomo.</v>
      </c>
    </row>
    <row r="1087">
      <c r="A1087" s="4" t="s">
        <v>1372</v>
      </c>
      <c r="B1087" s="4" t="s">
        <v>1376</v>
      </c>
      <c r="C1087" s="5" t="str">
        <f>IFERROR(__xludf.DUMMYFUNCTION("GOOGLETRANSLATE(B1087,""en"",""it"")"),"Vediamo quindici nove scorrimento sullo schermo.")</f>
        <v>Vediamo quindici nove scorrimento sullo schermo.</v>
      </c>
    </row>
    <row r="1088">
      <c r="A1088" s="4" t="s">
        <v>1372</v>
      </c>
      <c r="B1088" s="4" t="s">
        <v>1377</v>
      </c>
      <c r="C1088" s="5" t="str">
        <f>IFERROR(__xludf.DUMMYFUNCTION("GOOGLETRANSLATE(B1088,""en"",""it"")"),"Vediamo una serie di Still of the Man e sedici sei.")</f>
        <v>Vediamo una serie di Still of the Man e sedici sei.</v>
      </c>
    </row>
    <row r="1089">
      <c r="A1089" s="4" t="s">
        <v>1372</v>
      </c>
      <c r="B1089" s="4" t="s">
        <v>1378</v>
      </c>
      <c r="C1089" s="5" t="str">
        <f>IFERROR(__xludf.DUMMYFUNCTION("GOOGLETRANSLATE(B1089,""en"",""it"")"),"Diciassette due pergamene sullo schermo.")</f>
        <v>Diciassette due pergamene sullo schermo.</v>
      </c>
    </row>
    <row r="1090">
      <c r="A1090" s="4" t="s">
        <v>1372</v>
      </c>
      <c r="B1090" s="4" t="s">
        <v>1379</v>
      </c>
      <c r="C1090" s="5" t="str">
        <f>IFERROR(__xludf.DUMMYFUNCTION("GOOGLETRANSLATE(B1090,""en"",""it"")"),"Vediamo diciassette nove scorrimento sullo schermo.")</f>
        <v>Vediamo diciassette nove scorrimento sullo schermo.</v>
      </c>
    </row>
    <row r="1091">
      <c r="A1091" s="4" t="s">
        <v>1372</v>
      </c>
      <c r="B1091" s="4" t="s">
        <v>1380</v>
      </c>
      <c r="C1091" s="5" t="str">
        <f>IFERROR(__xludf.DUMMYFUNCTION("GOOGLETRANSLATE(B1091,""en"",""it"")"),"Vediamo quindi i titoli di coda.")</f>
        <v>Vediamo quindi i titoli di coda.</v>
      </c>
    </row>
    <row r="1092">
      <c r="A1092" s="4" t="s">
        <v>1381</v>
      </c>
      <c r="B1092" s="4" t="s">
        <v>1382</v>
      </c>
      <c r="C1092" s="5" t="str">
        <f>IFERROR(__xludf.DUMMYFUNCTION("GOOGLETRANSLATE(B1092,""en"",""it"")"),"Un uomo in una toga pattina su rolleblades in un parcheggio.")</f>
        <v>Un uomo in una toga pattina su rolleblades in un parcheggio.</v>
      </c>
    </row>
    <row r="1093">
      <c r="A1093" s="4" t="s">
        <v>1381</v>
      </c>
      <c r="B1093" s="4" t="s">
        <v>1383</v>
      </c>
      <c r="C1093" s="5" t="str">
        <f>IFERROR(__xludf.DUMMYFUNCTION("GOOGLETRANSLATE(B1093,""en"",""it"")"),"Una persona che tiene una macchina fotografica è in piedi di lato guardando l'uomo su rollerdes.")</f>
        <v>Una persona che tiene una macchina fotografica è in piedi di lato guardando l'uomo su rollerdes.</v>
      </c>
    </row>
    <row r="1094">
      <c r="A1094" s="4" t="s">
        <v>1384</v>
      </c>
      <c r="B1094" s="4" t="s">
        <v>1385</v>
      </c>
      <c r="C1094" s="5" t="str">
        <f>IFERROR(__xludf.DUMMYFUNCTION("GOOGLETRANSLATE(B1094,""en"",""it"")"),"Un bambino piccolo viene visto guardare la fotocamera con una tazza di caffè.")</f>
        <v>Un bambino piccolo viene visto guardare la fotocamera con una tazza di caffè.</v>
      </c>
    </row>
    <row r="1095">
      <c r="A1095" s="4" t="s">
        <v>1384</v>
      </c>
      <c r="B1095" s="4" t="s">
        <v>1386</v>
      </c>
      <c r="C1095" s="5" t="str">
        <f>IFERROR(__xludf.DUMMYFUNCTION("GOOGLETRANSLATE(B1095,""en"",""it"")"),"La ragazza prende un drink dalla tazza e la mette giù.")</f>
        <v>La ragazza prende un drink dalla tazza e la mette giù.</v>
      </c>
    </row>
    <row r="1096">
      <c r="A1096" s="4" t="s">
        <v>1384</v>
      </c>
      <c r="B1096" s="4" t="s">
        <v>1387</v>
      </c>
      <c r="C1096" s="5" t="str">
        <f>IFERROR(__xludf.DUMMYFUNCTION("GOOGLETRANSLATE(B1096,""en"",""it"")"),"Continua a bere dal contenitore e alza lo sguardo alla telecamera.")</f>
        <v>Continua a bere dal contenitore e alza lo sguardo alla telecamera.</v>
      </c>
    </row>
    <row r="1097">
      <c r="A1097" s="4" t="s">
        <v>1388</v>
      </c>
      <c r="B1097" s="4" t="s">
        <v>1389</v>
      </c>
      <c r="C1097" s="5" t="str">
        <f>IFERROR(__xludf.DUMMYFUNCTION("GOOGLETRANSLATE(B1097,""en"",""it"")"),"Due uomini sono visti in piedi davanti a una partita di freccette e iniziano a lanciare freccette sul tabellone.")</f>
        <v>Due uomini sono visti in piedi davanti a una partita di freccette e iniziano a lanciare freccette sul tabellone.</v>
      </c>
    </row>
    <row r="1098">
      <c r="A1098" s="4" t="s">
        <v>1388</v>
      </c>
      <c r="B1098" s="4" t="s">
        <v>1390</v>
      </c>
      <c r="C1098" s="5" t="str">
        <f>IFERROR(__xludf.DUMMYFUNCTION("GOOGLETRANSLATE(B1098,""en"",""it"")"),"Gli uomini si guardano indietro e ridono l'uno con l'altro mentre giocano ancora.")</f>
        <v>Gli uomini si guardano indietro e ridono l'uno con l'altro mentre giocano ancora.</v>
      </c>
    </row>
    <row r="1099">
      <c r="A1099" s="4" t="s">
        <v>1388</v>
      </c>
      <c r="B1099" s="4" t="s">
        <v>1391</v>
      </c>
      <c r="C1099" s="5" t="str">
        <f>IFERROR(__xludf.DUMMYFUNCTION("GOOGLETRANSLATE(B1099,""en"",""it"")"),"Continuano a giocare con gli altri intorno a loro e finiscono stringendoti con un altro.")</f>
        <v>Continuano a giocare con gli altri intorno a loro e finiscono stringendoti con un altro.</v>
      </c>
    </row>
    <row r="1100">
      <c r="A1100" s="4" t="s">
        <v>1392</v>
      </c>
      <c r="B1100" s="4" t="s">
        <v>1393</v>
      </c>
      <c r="C1100" s="5" t="str">
        <f>IFERROR(__xludf.DUMMYFUNCTION("GOOGLETRANSLATE(B1100,""en"",""it"")"),"La donna in uniforme nera lanciò la palla giavellotto.")</f>
        <v>La donna in uniforme nera lanciò la palla giavellotto.</v>
      </c>
    </row>
    <row r="1101">
      <c r="A1101" s="4" t="s">
        <v>1392</v>
      </c>
      <c r="B1101" s="4" t="s">
        <v>1394</v>
      </c>
      <c r="C1101" s="5" t="str">
        <f>IFERROR(__xludf.DUMMYFUNCTION("GOOGLETRANSLATE(B1101,""en"",""it"")"),"La piccola donna con camicia gialla e maniche nere ha gettato la palla.")</f>
        <v>La piccola donna con camicia gialla e maniche nere ha gettato la palla.</v>
      </c>
    </row>
    <row r="1102">
      <c r="A1102" s="4" t="s">
        <v>1392</v>
      </c>
      <c r="B1102" s="4" t="s">
        <v>1395</v>
      </c>
      <c r="C1102" s="5" t="str">
        <f>IFERROR(__xludf.DUMMYFUNCTION("GOOGLETRANSLATE(B1102,""en"",""it"")"),"La donna con camicia bianca e pantaloni neri si estendeva per un po 'e poi lanciò la palla.")</f>
        <v>La donna con camicia bianca e pantaloni neri si estendeva per un po 'e poi lanciò la palla.</v>
      </c>
    </row>
    <row r="1103">
      <c r="A1103" s="4" t="s">
        <v>1392</v>
      </c>
      <c r="B1103" s="6" t="s">
        <v>1396</v>
      </c>
      <c r="C1103" s="5" t="str">
        <f>IFERROR(__xludf.DUMMYFUNCTION("GOOGLETRANSLATE(B1103,""en"",""it"")"),"Gli atleti uno ad uno hanno lanciato la palla giavellotto mentre sui lati sono persone che misurano quanto è stato lanciato.")</f>
        <v>Gli atleti uno ad uno hanno lanciato la palla giavellotto mentre sui lati sono persone che misurano quanto è stato lanciato.</v>
      </c>
    </row>
    <row r="1104">
      <c r="A1104" s="4" t="s">
        <v>1397</v>
      </c>
      <c r="B1104" s="4" t="s">
        <v>1398</v>
      </c>
      <c r="C1104" s="5" t="str">
        <f>IFERROR(__xludf.DUMMYFUNCTION("GOOGLETRANSLATE(B1104,""en"",""it"")"),"C'è un uomo che esce dal suo garage con un soffiatore di foglie elettriche.")</f>
        <v>C'è un uomo che esce dal suo garage con un soffiatore di foglie elettriche.</v>
      </c>
    </row>
    <row r="1105">
      <c r="A1105" s="4" t="s">
        <v>1397</v>
      </c>
      <c r="B1105" s="4" t="s">
        <v>1399</v>
      </c>
      <c r="C1105" s="5" t="str">
        <f>IFERROR(__xludf.DUMMYFUNCTION("GOOGLETRANSLATE(B1105,""en"",""it"")"),"Comincia a soffiare le foglie dal suo cortile per la pulizia di caduta.")</f>
        <v>Comincia a soffiare le foglie dal suo cortile per la pulizia di caduta.</v>
      </c>
    </row>
    <row r="1106">
      <c r="A1106" s="4" t="s">
        <v>1397</v>
      </c>
      <c r="B1106" s="4" t="s">
        <v>1400</v>
      </c>
      <c r="C1106" s="5" t="str">
        <f>IFERROR(__xludf.DUMMYFUNCTION("GOOGLETRANSLATE(B1106,""en"",""it"")"),"Cammina per il suo cortile con il soffiatore mentre pulisce le foglie.")</f>
        <v>Cammina per il suo cortile con il soffiatore mentre pulisce le foglie.</v>
      </c>
    </row>
    <row r="1107">
      <c r="A1107" s="4" t="s">
        <v>1401</v>
      </c>
      <c r="B1107" s="4" t="s">
        <v>1402</v>
      </c>
      <c r="C1107" s="5" t="str">
        <f>IFERROR(__xludf.DUMMYFUNCTION("GOOGLETRANSLATE(B1107,""en"",""it"")"),"Un subacqueo si tiene su una roccia mentre lancia un cartello di pace in aria.")</f>
        <v>Un subacqueo si tiene su una roccia mentre lancia un cartello di pace in aria.</v>
      </c>
    </row>
    <row r="1108">
      <c r="A1108" s="4" t="s">
        <v>1401</v>
      </c>
      <c r="B1108" s="4" t="s">
        <v>1403</v>
      </c>
      <c r="C1108" s="5" t="str">
        <f>IFERROR(__xludf.DUMMYFUNCTION("GOOGLETRANSLATE(B1108,""en"",""it"")"),"L'uomo lascia andare la roccia e mette in aria due segni di pace.")</f>
        <v>L'uomo lascia andare la roccia e mette in aria due segni di pace.</v>
      </c>
    </row>
    <row r="1109">
      <c r="A1109" s="4" t="s">
        <v>1401</v>
      </c>
      <c r="B1109" s="4" t="s">
        <v>1404</v>
      </c>
      <c r="C1109" s="5" t="str">
        <f>IFERROR(__xludf.DUMMYFUNCTION("GOOGLETRANSLATE(B1109,""en"",""it"")"),"L'uomo fissa il suo snorkeling e gli occhiali.")</f>
        <v>L'uomo fissa il suo snorkeling e gli occhiali.</v>
      </c>
    </row>
    <row r="1110">
      <c r="A1110" s="4" t="s">
        <v>1405</v>
      </c>
      <c r="B1110" s="4" t="s">
        <v>1406</v>
      </c>
      <c r="C1110" s="5" t="str">
        <f>IFERROR(__xludf.DUMMYFUNCTION("GOOGLETRANSLATE(B1110,""en"",""it"")"),"Le luci blu si illuminano un palco.")</f>
        <v>Le luci blu si illuminano un palco.</v>
      </c>
    </row>
    <row r="1111">
      <c r="A1111" s="4" t="s">
        <v>1405</v>
      </c>
      <c r="B1111" s="4" t="s">
        <v>1407</v>
      </c>
      <c r="C1111" s="5" t="str">
        <f>IFERROR(__xludf.DUMMYFUNCTION("GOOGLETRANSLATE(B1111,""en"",""it"")"),"La silhouette di un uomo è visibile e vediamo l'arena in luce blu.")</f>
        <v>La silhouette di un uomo è visibile e vediamo l'arena in luce blu.</v>
      </c>
    </row>
    <row r="1112">
      <c r="A1112" s="4" t="s">
        <v>1405</v>
      </c>
      <c r="B1112" s="4" t="s">
        <v>1408</v>
      </c>
      <c r="C1112" s="5" t="str">
        <f>IFERROR(__xludf.DUMMYFUNCTION("GOOGLETRANSLATE(B1112,""en"",""it"")"),"L'uomo sul palco suona illuminato in una luce rossa.")</f>
        <v>L'uomo sul palco suona illuminato in una luce rossa.</v>
      </c>
    </row>
    <row r="1113">
      <c r="A1113" s="4" t="s">
        <v>1405</v>
      </c>
      <c r="B1113" s="4" t="s">
        <v>1409</v>
      </c>
      <c r="C1113" s="5" t="str">
        <f>IFERROR(__xludf.DUMMYFUNCTION("GOOGLETRANSLATE(B1113,""en"",""it"")"),"Vediamo l'arena in blu e il sax giocatore in rosso.")</f>
        <v>Vediamo l'arena in blu e il sax giocatore in rosso.</v>
      </c>
    </row>
    <row r="1114">
      <c r="A1114" s="4" t="s">
        <v>1405</v>
      </c>
      <c r="B1114" s="4" t="s">
        <v>1410</v>
      </c>
      <c r="C1114" s="5" t="str">
        <f>IFERROR(__xludf.DUMMYFUNCTION("GOOGLETRANSLATE(B1114,""en"",""it"")"),"Vediamo un altro membro della band.")</f>
        <v>Vediamo un altro membro della band.</v>
      </c>
    </row>
    <row r="1115">
      <c r="A1115" s="4" t="s">
        <v>1405</v>
      </c>
      <c r="B1115" s="4" t="s">
        <v>1411</v>
      </c>
      <c r="C1115" s="5" t="str">
        <f>IFERROR(__xludf.DUMMYFUNCTION("GOOGLETRANSLATE(B1115,""en"",""it"")"),"Vediamo l'uomo sul sassofono giocare vicino e lontano.")</f>
        <v>Vediamo l'uomo sul sassofono giocare vicino e lontano.</v>
      </c>
    </row>
    <row r="1116">
      <c r="A1116" s="4" t="s">
        <v>1405</v>
      </c>
      <c r="B1116" s="4" t="s">
        <v>1412</v>
      </c>
      <c r="C1116" s="5" t="str">
        <f>IFERROR(__xludf.DUMMYFUNCTION("GOOGLETRANSLATE(B1116,""en"",""it"")"),"Vediamo l'intera arena e l'uomo che gioca da vicino.")</f>
        <v>Vediamo l'intera arena e l'uomo che gioca da vicino.</v>
      </c>
    </row>
    <row r="1117">
      <c r="A1117" s="4" t="s">
        <v>1405</v>
      </c>
      <c r="B1117" s="4" t="s">
        <v>1413</v>
      </c>
      <c r="C1117" s="5" t="str">
        <f>IFERROR(__xludf.DUMMYFUNCTION("GOOGLETRANSLATE(B1117,""en"",""it"")"),"Siamo in giro dall'uomo al pubblico.")</f>
        <v>Siamo in giro dall'uomo al pubblico.</v>
      </c>
    </row>
    <row r="1118">
      <c r="A1118" s="4" t="s">
        <v>1414</v>
      </c>
      <c r="B1118" s="4" t="s">
        <v>1415</v>
      </c>
      <c r="C1118" s="5" t="str">
        <f>IFERROR(__xludf.DUMMYFUNCTION("GOOGLETRANSLATE(B1118,""en"",""it"")"),"Una persona viene vista nuotare le profondità di un pavimento della piscina.")</f>
        <v>Una persona viene vista nuotare le profondità di un pavimento della piscina.</v>
      </c>
    </row>
    <row r="1119">
      <c r="A1119" s="4" t="s">
        <v>1414</v>
      </c>
      <c r="B1119" s="4" t="s">
        <v>1416</v>
      </c>
      <c r="C1119" s="5" t="str">
        <f>IFERROR(__xludf.DUMMYFUNCTION("GOOGLETRANSLATE(B1119,""en"",""it"")"),"L'uomo si alza davanti alla telecamera, mostra il viso.")</f>
        <v>L'uomo si alza davanti alla telecamera, mostra il viso.</v>
      </c>
    </row>
    <row r="1120">
      <c r="A1120" s="4" t="s">
        <v>1414</v>
      </c>
      <c r="B1120" s="4" t="s">
        <v>1417</v>
      </c>
      <c r="C1120" s="5" t="str">
        <f>IFERROR(__xludf.DUMMYFUNCTION("GOOGLETRANSLATE(B1120,""en"",""it"")"),"Quindi nuota lentamente verso la superficie.")</f>
        <v>Quindi nuota lentamente verso la superficie.</v>
      </c>
    </row>
    <row r="1121">
      <c r="A1121" s="4" t="s">
        <v>1418</v>
      </c>
      <c r="B1121" s="4" t="s">
        <v>1419</v>
      </c>
      <c r="C1121" s="5" t="str">
        <f>IFERROR(__xludf.DUMMYFUNCTION("GOOGLETRANSLATE(B1121,""en"",""it"")"),"Una serie di istruzioni si vede con i diagrammi.")</f>
        <v>Una serie di istruzioni si vede con i diagrammi.</v>
      </c>
    </row>
    <row r="1122">
      <c r="A1122" s="4" t="s">
        <v>1418</v>
      </c>
      <c r="B1122" s="4" t="s">
        <v>1420</v>
      </c>
      <c r="C1122" s="5" t="str">
        <f>IFERROR(__xludf.DUMMYFUNCTION("GOOGLETRANSLATE(B1122,""en"",""it"")"),"Un uomo utilizza uno strumento per riparare i singoli collegamenti di una catena di biciclette.")</f>
        <v>Un uomo utilizza uno strumento per riparare i singoli collegamenti di una catena di biciclette.</v>
      </c>
    </row>
    <row r="1123">
      <c r="A1123" s="4" t="s">
        <v>1418</v>
      </c>
      <c r="B1123" s="4" t="s">
        <v>1421</v>
      </c>
      <c r="C1123" s="5" t="str">
        <f>IFERROR(__xludf.DUMMYFUNCTION("GOOGLETRANSLATE(B1123,""en"",""it"")"),"La catena di biciclette è fissata insieme sugli ingranaggi per bici usando uno strumento specializzato.")</f>
        <v>La catena di biciclette è fissata insieme sugli ingranaggi per bici usando uno strumento specializzato.</v>
      </c>
    </row>
    <row r="1124">
      <c r="A1124" s="4" t="s">
        <v>1418</v>
      </c>
      <c r="B1124" s="4" t="s">
        <v>1422</v>
      </c>
      <c r="C1124" s="5" t="str">
        <f>IFERROR(__xludf.DUMMYFUNCTION("GOOGLETRANSLATE(B1124,""en"",""it"")"),"La persona ispeziona a mano la catena appena sostituita.")</f>
        <v>La persona ispeziona a mano la catena appena sostituita.</v>
      </c>
    </row>
    <row r="1125">
      <c r="A1125" s="4" t="s">
        <v>1418</v>
      </c>
      <c r="B1125" s="6" t="s">
        <v>1423</v>
      </c>
      <c r="C1125" s="5" t="str">
        <f>IFERROR(__xludf.DUMMYFUNCTION("GOOGLETRANSLATE(B1125,""en"",""it"")"),"La persona indica diverse aree sulla bici ingranaggi con la bici sul rack dopo il completamento del lavoro.")</f>
        <v>La persona indica diverse aree sulla bici ingranaggi con la bici sul rack dopo il completamento del lavoro.</v>
      </c>
    </row>
    <row r="1126">
      <c r="A1126" s="4" t="s">
        <v>1424</v>
      </c>
      <c r="B1126" s="4" t="s">
        <v>1425</v>
      </c>
      <c r="C1126" s="5" t="str">
        <f>IFERROR(__xludf.DUMMYFUNCTION("GOOGLETRANSLATE(B1126,""en"",""it"")"),"Si vede uno chef che parla con la fotocamera che regge un coltello e un temperamatite.")</f>
        <v>Si vede uno chef che parla con la fotocamera che regge un coltello e un temperamatite.</v>
      </c>
    </row>
    <row r="1127">
      <c r="A1127" s="4" t="s">
        <v>1424</v>
      </c>
      <c r="B1127" s="4" t="s">
        <v>1426</v>
      </c>
      <c r="C1127" s="5" t="str">
        <f>IFERROR(__xludf.DUMMYFUNCTION("GOOGLETRANSLATE(B1127,""en"",""it"")"),"L'uomo quindi affila il coltello su una tavola sul tavolo e sulla temperama.")</f>
        <v>L'uomo quindi affila il coltello su una tavola sul tavolo e sulla temperama.</v>
      </c>
    </row>
    <row r="1128">
      <c r="A1128" s="4" t="s">
        <v>1427</v>
      </c>
      <c r="B1128" s="6" t="s">
        <v>1428</v>
      </c>
      <c r="C1128" s="5" t="str">
        <f>IFERROR(__xludf.DUMMYFUNCTION("GOOGLETRANSLATE(B1128,""en"",""it"")"),"Una giovane donna bendata fa oscillare un bastone mentre un uomo tiene una piñata più alta sopra la sua testa su una corda a una festa di compleanno.")</f>
        <v>Una giovane donna bendata fa oscillare un bastone mentre un uomo tiene una piñata più alta sopra la sua testa su una corda a una festa di compleanno.</v>
      </c>
    </row>
    <row r="1129">
      <c r="A1129" s="4" t="s">
        <v>1427</v>
      </c>
      <c r="B1129" s="6" t="s">
        <v>1429</v>
      </c>
      <c r="C1129" s="5" t="str">
        <f>IFERROR(__xludf.DUMMYFUNCTION("GOOGLETRANSLATE(B1129,""en"",""it"")"),"Quindi la donna oscilla ancora qualche volta mentre l'uomo porta la piñata su e giù con la corda attaccata e mentre fa questo fa cadere un pezzo di Piñata e alcuni bambini si radunano attorno a lei per vedere se qualche caramella cadeva.")</f>
        <v>Quindi la donna oscilla ancora qualche volta mentre l'uomo porta la piñata su e giù con la corda attaccata e mentre fa questo fa cadere un pezzo di Piñata e alcuni bambini si radunano attorno a lei per vedere se qualche caramella cadeva.</v>
      </c>
    </row>
    <row r="1130">
      <c r="A1130" s="4" t="s">
        <v>1427</v>
      </c>
      <c r="B1130" s="6" t="s">
        <v>1430</v>
      </c>
      <c r="C1130" s="5" t="str">
        <f>IFERROR(__xludf.DUMMYFUNCTION("GOOGLETRANSLATE(B1130,""en"",""it"")"),"La donna si sente per la Piñata alcune volte con il bastone, ma non oscilla quando i bambini continuano a guardare lo sguardo con stupore.")</f>
        <v>La donna si sente per la Piñata alcune volte con il bastone, ma non oscilla quando i bambini continuano a guardare lo sguardo con stupore.</v>
      </c>
    </row>
    <row r="1131">
      <c r="A1131" s="4" t="s">
        <v>1431</v>
      </c>
      <c r="B1131" s="6" t="s">
        <v>1432</v>
      </c>
      <c r="C1131" s="5" t="str">
        <f>IFERROR(__xludf.DUMMYFUNCTION("GOOGLETRANSLATE(B1131,""en"",""it"")"),"Vengono mostrati vari scatti di donne che mettono la lozione su una spiaggia mentre la telecamera si muove da diversi lati.")</f>
        <v>Vengono mostrati vari scatti di donne che mettono la lozione su una spiaggia mentre la telecamera si muove da diversi lati.</v>
      </c>
    </row>
    <row r="1132">
      <c r="A1132" s="4" t="s">
        <v>1431</v>
      </c>
      <c r="B1132" s="6" t="s">
        <v>1433</v>
      </c>
      <c r="C1132" s="5" t="str">
        <f>IFERROR(__xludf.DUMMYFUNCTION("GOOGLETRANSLATE(B1132,""en"",""it"")"),"Vengono mostrati più colpi di donne in vari angoli che sfregano la lozione su tutto il corpo e si guardano in lontananza in modo seducente.")</f>
        <v>Vengono mostrati più colpi di donne in vari angoli che sfregano la lozione su tutto il corpo e si guardano in lontananza in modo seducente.</v>
      </c>
    </row>
    <row r="1133">
      <c r="A1133" s="4" t="s">
        <v>1434</v>
      </c>
      <c r="B1133" s="4" t="s">
        <v>1435</v>
      </c>
      <c r="C1133" s="5" t="str">
        <f>IFERROR(__xludf.DUMMYFUNCTION("GOOGLETRANSLATE(B1133,""en"",""it"")"),"Una squadra di allegria inizia a sostenere i poster mentre la loro mascotte corre dietro di loro.")</f>
        <v>Una squadra di allegria inizia a sostenere i poster mentre la loro mascotte corre dietro di loro.</v>
      </c>
    </row>
    <row r="1134">
      <c r="A1134" s="4" t="s">
        <v>1434</v>
      </c>
      <c r="B1134" s="6" t="s">
        <v>1436</v>
      </c>
      <c r="C1134" s="5" t="str">
        <f>IFERROR(__xludf.DUMMYFUNCTION("GOOGLETRANSLATE(B1134,""en"",""it"")"),"Quindi iniziano a fare una routine e alcune ragazze corrono con gli stelle filanti mentre il resto di loro regge le ragazze per la loro acrobazia.")</f>
        <v>Quindi iniziano a fare una routine e alcune ragazze corrono con gli stelle filanti mentre il resto di loro regge le ragazze per la loro acrobazia.</v>
      </c>
    </row>
    <row r="1135">
      <c r="A1135" s="4" t="s">
        <v>1434</v>
      </c>
      <c r="B1135" s="6" t="s">
        <v>1437</v>
      </c>
      <c r="C1135" s="5" t="str">
        <f>IFERROR(__xludf.DUMMYFUNCTION("GOOGLETRANSLATE(B1135,""en"",""it"")"),"La acrobazia è finita e il ritiro di nuovo nella loro posizione originale e inizia a fare cartwheels e altri trucchi e acrobazie insieme alla loro mascotte.")</f>
        <v>La acrobazia è finita e il ritiro di nuovo nella loro posizione originale e inizia a fare cartwheels e altri trucchi e acrobazie insieme alla loro mascotte.</v>
      </c>
    </row>
    <row r="1136">
      <c r="A1136" s="4" t="s">
        <v>1434</v>
      </c>
      <c r="B1136" s="6" t="s">
        <v>1438</v>
      </c>
      <c r="C1136" s="5" t="str">
        <f>IFERROR(__xludf.DUMMYFUNCTION("GOOGLETRANSLATE(B1136,""en"",""it"")"),"Mentre la routine continua, vengono eseguite più acrobazie e la mascotte Tiger continua a tifare con le ragazze.")</f>
        <v>Mentre la routine continua, vengono eseguite più acrobazie e la mascotte Tiger continua a tifare con le ragazze.</v>
      </c>
    </row>
    <row r="1137">
      <c r="A1137" s="4" t="s">
        <v>1439</v>
      </c>
      <c r="B1137" s="4" t="s">
        <v>1440</v>
      </c>
      <c r="C1137" s="5" t="str">
        <f>IFERROR(__xludf.DUMMYFUNCTION("GOOGLETRANSLATE(B1137,""en"",""it"")"),"Un ragazzo e un uomo a turno giocano a biliardo mentre una folla guarda.")</f>
        <v>Un ragazzo e un uomo a turno giocano a biliardo mentre una folla guarda.</v>
      </c>
    </row>
    <row r="1138">
      <c r="A1138" s="4" t="s">
        <v>1439</v>
      </c>
      <c r="B1138" s="4" t="s">
        <v>1441</v>
      </c>
      <c r="C1138" s="5" t="str">
        <f>IFERROR(__xludf.DUMMYFUNCTION("GOOGLETRANSLATE(B1138,""en"",""it"")"),"L'uomo si asciuga il viso con un asciugamano.")</f>
        <v>L'uomo si asciuga il viso con un asciugamano.</v>
      </c>
    </row>
    <row r="1139">
      <c r="A1139" s="4" t="s">
        <v>1439</v>
      </c>
      <c r="B1139" s="4" t="s">
        <v>1442</v>
      </c>
      <c r="C1139" s="5" t="str">
        <f>IFERROR(__xludf.DUMMYFUNCTION("GOOGLETRANSLATE(B1139,""en"",""it"")"),"Il ragazzo vince e la folla applaude.")</f>
        <v>Il ragazzo vince e la folla applaude.</v>
      </c>
    </row>
    <row r="1140">
      <c r="A1140" s="4" t="s">
        <v>1439</v>
      </c>
      <c r="B1140" s="4" t="s">
        <v>1443</v>
      </c>
      <c r="C1140" s="5" t="str">
        <f>IFERROR(__xludf.DUMMYFUNCTION("GOOGLETRANSLATE(B1140,""en"",""it"")"),"Diversi uomini raccolgono il ragazzo per festeggiare.")</f>
        <v>Diversi uomini raccolgono il ragazzo per festeggiare.</v>
      </c>
    </row>
    <row r="1141">
      <c r="A1141" s="4" t="s">
        <v>1439</v>
      </c>
      <c r="B1141" s="4" t="s">
        <v>1444</v>
      </c>
      <c r="C1141" s="5" t="str">
        <f>IFERROR(__xludf.DUMMYFUNCTION("GOOGLETRANSLATE(B1141,""en"",""it"")"),"Il tiro vincente viene riprodotto al rallentatore.")</f>
        <v>Il tiro vincente viene riprodotto al rallentatore.</v>
      </c>
    </row>
    <row r="1142">
      <c r="A1142" s="4" t="s">
        <v>1445</v>
      </c>
      <c r="B1142" s="6" t="s">
        <v>1446</v>
      </c>
      <c r="C1142" s="5" t="str">
        <f>IFERROR(__xludf.DUMMYFUNCTION("GOOGLETRANSLATE(B1142,""en"",""it"")"),"Una donna viene vista con in mano un filo di corda e inizia a lavorare a maglia la corda con le mani.")</f>
        <v>Una donna viene vista con in mano un filo di corda e inizia a lavorare a maglia la corda con le mani.</v>
      </c>
    </row>
    <row r="1143">
      <c r="A1143" s="4" t="s">
        <v>1445</v>
      </c>
      <c r="B1143" s="4" t="s">
        <v>1447</v>
      </c>
      <c r="C1143" s="5" t="str">
        <f>IFERROR(__xludf.DUMMYFUNCTION("GOOGLETRANSLATE(B1143,""en"",""it"")"),"Continua a infilare la corda con le mani e termina tenendo il filo per mostrare.")</f>
        <v>Continua a infilare la corda con le mani e termina tenendo il filo per mostrare.</v>
      </c>
    </row>
    <row r="1144">
      <c r="A1144" s="4" t="s">
        <v>1448</v>
      </c>
      <c r="B1144" s="4" t="s">
        <v>1449</v>
      </c>
      <c r="C1144" s="5" t="str">
        <f>IFERROR(__xludf.DUMMYFUNCTION("GOOGLETRANSLATE(B1144,""en"",""it"")"),"Un uomo seduto in una zattera in acqua parla alla telecamera.")</f>
        <v>Un uomo seduto in una zattera in acqua parla alla telecamera.</v>
      </c>
    </row>
    <row r="1145">
      <c r="A1145" s="4" t="s">
        <v>1448</v>
      </c>
      <c r="B1145" s="4" t="s">
        <v>1450</v>
      </c>
      <c r="C1145" s="5" t="str">
        <f>IFERROR(__xludf.DUMMYFUNCTION("GOOGLETRANSLATE(B1145,""en"",""it"")"),"L'uomo dimostra tecniche mentre parla alla telecamera.")</f>
        <v>L'uomo dimostra tecniche mentre parla alla telecamera.</v>
      </c>
    </row>
    <row r="1146">
      <c r="A1146" s="4" t="s">
        <v>1448</v>
      </c>
      <c r="B1146" s="4" t="s">
        <v>1451</v>
      </c>
      <c r="C1146" s="5" t="str">
        <f>IFERROR(__xludf.DUMMYFUNCTION("GOOGLETRANSLATE(B1146,""en"",""it"")"),"L'uomo si affretta a valle durante la remella.")</f>
        <v>L'uomo si affretta a valle durante la remella.</v>
      </c>
    </row>
    <row r="1147">
      <c r="A1147" s="4" t="s">
        <v>1452</v>
      </c>
      <c r="B1147" s="6" t="s">
        <v>1453</v>
      </c>
      <c r="C1147" s="5" t="str">
        <f>IFERROR(__xludf.DUMMYFUNCTION("GOOGLETRANSLATE(B1147,""en"",""it"")"),"Alexandra Raisman del Massachusetts è visto indossare body viola, preparando a fare ginnastica sul bar del cavallo.")</f>
        <v>Alexandra Raisman del Massachusetts è visto indossare body viola, preparando a fare ginnastica sul bar del cavallo.</v>
      </c>
    </row>
    <row r="1148">
      <c r="A1148" s="4" t="s">
        <v>1452</v>
      </c>
      <c r="B1148" s="4" t="s">
        <v>1454</v>
      </c>
      <c r="C1148" s="5" t="str">
        <f>IFERROR(__xludf.DUMMYFUNCTION("GOOGLETRANSLATE(B1148,""en"",""it"")"),"Salta a destra sulla barra del cavallo e fa un po 'di fronte e posteriore.")</f>
        <v>Salta a destra sulla barra del cavallo e fa un po 'di fronte e posteriore.</v>
      </c>
    </row>
    <row r="1149">
      <c r="A1149" s="4" t="s">
        <v>1452</v>
      </c>
      <c r="B1149" s="4" t="s">
        <v>1455</v>
      </c>
      <c r="C1149" s="5" t="str">
        <f>IFERROR(__xludf.DUMMYFUNCTION("GOOGLETRANSLATE(B1149,""en"",""it"")"),"Quindi fa un po 'di spalle a mano sul bar del cavallo.")</f>
        <v>Quindi fa un po 'di spalle a mano sul bar del cavallo.</v>
      </c>
    </row>
    <row r="1150">
      <c r="A1150" s="4" t="s">
        <v>1452</v>
      </c>
      <c r="B1150" s="4" t="s">
        <v>1456</v>
      </c>
      <c r="C1150" s="5" t="str">
        <f>IFERROR(__xludf.DUMMYFUNCTION("GOOGLETRANSLATE(B1150,""en"",""it"")"),"Salta rapidamente sulla barra del cavallo mantenendo il controllo completo sul corpo e sull'equilibrio.")</f>
        <v>Salta rapidamente sulla barra del cavallo mantenendo il controllo completo sul corpo e sull'equilibrio.</v>
      </c>
    </row>
    <row r="1151">
      <c r="A1151" s="4" t="s">
        <v>1452</v>
      </c>
      <c r="B1151" s="4" t="s">
        <v>1457</v>
      </c>
      <c r="C1151" s="5" t="str">
        <f>IFERROR(__xludf.DUMMYFUNCTION("GOOGLETRANSLATE(B1151,""en"",""it"")"),"Fa un capofamiglia finale e un lancio anteriore e poi scende dalla barra del cavallo.")</f>
        <v>Fa un capofamiglia finale e un lancio anteriore e poi scende dalla barra del cavallo.</v>
      </c>
    </row>
    <row r="1152">
      <c r="A1152" s="4" t="s">
        <v>1452</v>
      </c>
      <c r="B1152" s="4" t="s">
        <v>1458</v>
      </c>
      <c r="C1152" s="5" t="str">
        <f>IFERROR(__xludf.DUMMYFUNCTION("GOOGLETRANSLATE(B1152,""en"",""it"")"),"Gli spettatori tifinano per lei mentre se ne va.")</f>
        <v>Gli spettatori tifinano per lei mentre se ne va.</v>
      </c>
    </row>
    <row r="1153">
      <c r="A1153" s="4" t="s">
        <v>1459</v>
      </c>
      <c r="B1153" s="4" t="s">
        <v>1460</v>
      </c>
      <c r="C1153" s="5" t="str">
        <f>IFERROR(__xludf.DUMMYFUNCTION("GOOGLETRANSLATE(B1153,""en"",""it"")"),"Un uomo viene visto piegarsi per un botto nel mezzo dei batteristi.")</f>
        <v>Un uomo viene visto piegarsi per un botto nel mezzo dei batteristi.</v>
      </c>
    </row>
    <row r="1154">
      <c r="A1154" s="4" t="s">
        <v>1459</v>
      </c>
      <c r="B1154" s="4" t="s">
        <v>1461</v>
      </c>
      <c r="C1154" s="5" t="str">
        <f>IFERROR(__xludf.DUMMYFUNCTION("GOOGLETRANSLATE(B1154,""en"",""it"")"),"La gente colpisce continuamente la batteria mentre la telecamera si muove.")</f>
        <v>La gente colpisce continuamente la batteria mentre la telecamera si muove.</v>
      </c>
    </row>
    <row r="1155">
      <c r="A1155" s="4" t="s">
        <v>1459</v>
      </c>
      <c r="B1155" s="4" t="s">
        <v>1462</v>
      </c>
      <c r="C1155" s="5" t="str">
        <f>IFERROR(__xludf.DUMMYFUNCTION("GOOGLETRANSLATE(B1155,""en"",""it"")"),"Gli uomini tamburino mentre la telecamera si muove intorno a loro.")</f>
        <v>Gli uomini tamburino mentre la telecamera si muove intorno a loro.</v>
      </c>
    </row>
    <row r="1156">
      <c r="A1156" s="4" t="s">
        <v>1463</v>
      </c>
      <c r="B1156" s="4" t="s">
        <v>1464</v>
      </c>
      <c r="C1156" s="5" t="str">
        <f>IFERROR(__xludf.DUMMYFUNCTION("GOOGLETRANSLATE(B1156,""en"",""it"")"),"Un uomo di notizie sta parlando di fronte a un gruppo di persone.")</f>
        <v>Un uomo di notizie sta parlando di fronte a un gruppo di persone.</v>
      </c>
    </row>
    <row r="1157">
      <c r="A1157" s="4" t="s">
        <v>1463</v>
      </c>
      <c r="B1157" s="4" t="s">
        <v>1465</v>
      </c>
      <c r="C1157" s="5" t="str">
        <f>IFERROR(__xludf.DUMMYFUNCTION("GOOGLETRANSLATE(B1157,""en"",""it"")"),"Un uomo viene mostrato su una tavola da immersione in cima a una scogliera.")</f>
        <v>Un uomo viene mostrato su una tavola da immersione in cima a una scogliera.</v>
      </c>
    </row>
    <row r="1158">
      <c r="A1158" s="4" t="s">
        <v>1463</v>
      </c>
      <c r="B1158" s="4" t="s">
        <v>1466</v>
      </c>
      <c r="C1158" s="5" t="str">
        <f>IFERROR(__xludf.DUMMYFUNCTION("GOOGLETRANSLATE(B1158,""en"",""it"")"),"Si tuffa, saltando nelle acque poco profonde sottostanti.")</f>
        <v>Si tuffa, saltando nelle acque poco profonde sottostanti.</v>
      </c>
    </row>
    <row r="1159">
      <c r="A1159" s="4" t="s">
        <v>1467</v>
      </c>
      <c r="B1159" s="4" t="s">
        <v>1468</v>
      </c>
      <c r="C1159" s="5" t="str">
        <f>IFERROR(__xludf.DUMMYFUNCTION("GOOGLETRANSLATE(B1159,""en"",""it"")"),"L'uomo sta intonacato il muro.")</f>
        <v>L'uomo sta intonacato il muro.</v>
      </c>
    </row>
    <row r="1160">
      <c r="A1160" s="4" t="s">
        <v>1467</v>
      </c>
      <c r="B1160" s="4" t="s">
        <v>1469</v>
      </c>
      <c r="C1160" s="5" t="str">
        <f>IFERROR(__xludf.DUMMYFUNCTION("GOOGLETRANSLATE(B1160,""en"",""it"")"),"L'uomo si piega quindi continua a intonacare il muro.")</f>
        <v>L'uomo si piega quindi continua a intonacare il muro.</v>
      </c>
    </row>
    <row r="1161">
      <c r="A1161" s="4" t="s">
        <v>1467</v>
      </c>
      <c r="B1161" s="4" t="s">
        <v>1470</v>
      </c>
      <c r="C1161" s="5" t="str">
        <f>IFERROR(__xludf.DUMMYFUNCTION("GOOGLETRANSLATE(B1161,""en"",""it"")"),"L'uomo copre il muro con intonaco rosa fino a quando l'intera parete è coperta.")</f>
        <v>L'uomo copre il muro con intonaco rosa fino a quando l'intera parete è coperta.</v>
      </c>
    </row>
    <row r="1162">
      <c r="A1162" s="4" t="s">
        <v>1471</v>
      </c>
      <c r="B1162" s="4" t="s">
        <v>1472</v>
      </c>
      <c r="C1162" s="5" t="str">
        <f>IFERROR(__xludf.DUMMYFUNCTION("GOOGLETRANSLATE(B1162,""en"",""it"")"),"Viene mostrato un uomo con una camicia arancione e guanti blu che gestiscono una macchina per la torcia.")</f>
        <v>Viene mostrato un uomo con una camicia arancione e guanti blu che gestiscono una macchina per la torcia.</v>
      </c>
    </row>
    <row r="1163">
      <c r="A1163" s="4" t="s">
        <v>1471</v>
      </c>
      <c r="B1163" s="4" t="s">
        <v>1473</v>
      </c>
      <c r="C1163" s="5" t="str">
        <f>IFERROR(__xludf.DUMMYFUNCTION("GOOGLETRANSLATE(B1163,""en"",""it"")"),"Vengono mostrate altre due persone e un primo piano è raffigurato.")</f>
        <v>Vengono mostrate altre due persone e un primo piano è raffigurato.</v>
      </c>
    </row>
    <row r="1164">
      <c r="A1164" s="4" t="s">
        <v>1471</v>
      </c>
      <c r="B1164" s="4" t="s">
        <v>1474</v>
      </c>
      <c r="C1164" s="5" t="str">
        <f>IFERROR(__xludf.DUMMYFUNCTION("GOOGLETRANSLATE(B1164,""en"",""it"")"),"Infine, la telecamera si muove su un uomo in piedi che si allontana da una macchina.")</f>
        <v>Infine, la telecamera si muove su un uomo in piedi che si allontana da una macchina.</v>
      </c>
    </row>
    <row r="1165">
      <c r="A1165" s="4" t="s">
        <v>1475</v>
      </c>
      <c r="B1165" s="4" t="s">
        <v>1476</v>
      </c>
      <c r="C1165" s="5" t="str">
        <f>IFERROR(__xludf.DUMMYFUNCTION("GOOGLETRANSLATE(B1165,""en"",""it"")"),"Si vede un primo piano di mano che si muove a un uomo che mette i guanti.")</f>
        <v>Si vede un primo piano di mano che si muove a un uomo che mette i guanti.</v>
      </c>
    </row>
    <row r="1166">
      <c r="A1166" s="4" t="s">
        <v>1475</v>
      </c>
      <c r="B1166" s="4" t="s">
        <v>1477</v>
      </c>
      <c r="C1166" s="5" t="str">
        <f>IFERROR(__xludf.DUMMYFUNCTION("GOOGLETRANSLATE(B1166,""en"",""it"")"),"L'uomo quindi assembla una torcia e inizia a bruciare un pezzo di metallo di fronte a lui.")</f>
        <v>L'uomo quindi assembla una torcia e inizia a bruciare un pezzo di metallo di fronte a lui.</v>
      </c>
    </row>
    <row r="1167">
      <c r="A1167" s="4" t="s">
        <v>1475</v>
      </c>
      <c r="B1167" s="4" t="s">
        <v>1478</v>
      </c>
      <c r="C1167" s="5" t="str">
        <f>IFERROR(__xludf.DUMMYFUNCTION("GOOGLETRANSLATE(B1167,""en"",""it"")"),"L'uomo continua a funzionare e martellare gli oggetti, nonché carteggiarlo sul lato.")</f>
        <v>L'uomo continua a funzionare e martellare gli oggetti, nonché carteggiarlo sul lato.</v>
      </c>
    </row>
    <row r="1168">
      <c r="A1168" s="4" t="s">
        <v>1479</v>
      </c>
      <c r="B1168" s="4" t="s">
        <v>1480</v>
      </c>
      <c r="C1168" s="5" t="str">
        <f>IFERROR(__xludf.DUMMYFUNCTION("GOOGLETRANSLATE(B1168,""en"",""it"")"),"Due uomini sono in piedi dalla parte del campo con il basket.")</f>
        <v>Due uomini sono in piedi dalla parte del campo con il basket.</v>
      </c>
    </row>
    <row r="1169">
      <c r="A1169" s="4" t="s">
        <v>1479</v>
      </c>
      <c r="B1169" s="6" t="s">
        <v>1481</v>
      </c>
      <c r="C1169" s="5" t="str">
        <f>IFERROR(__xludf.DUMMYFUNCTION("GOOGLETRANSLATE(B1169,""en"",""it"")"),"Gli uomini stanno dando un colloquio, parlando con la telecamera, mentre un uomo sta parlando dell'altro uomo sta ascoltando, quindi viceversa.")</f>
        <v>Gli uomini stanno dando un colloquio, parlando con la telecamera, mentre un uomo sta parlando dell'altro uomo sta ascoltando, quindi viceversa.</v>
      </c>
    </row>
    <row r="1170">
      <c r="A1170" s="4" t="s">
        <v>1479</v>
      </c>
      <c r="B1170" s="4" t="s">
        <v>1482</v>
      </c>
      <c r="C1170" s="5" t="str">
        <f>IFERROR(__xludf.DUMMYFUNCTION("GOOGLETRANSLATE(B1170,""en"",""it"")"),"L'uomo andò al cestino dribble fino alla palla, gli uomini corsero verso il cestino e spararono la palla.")</f>
        <v>L'uomo andò al cestino dribble fino alla palla, gli uomini corsero verso il cestino e spararono la palla.</v>
      </c>
    </row>
    <row r="1171">
      <c r="A1171" s="4" t="s">
        <v>1483</v>
      </c>
      <c r="B1171" s="6" t="s">
        <v>1484</v>
      </c>
      <c r="C1171" s="5" t="str">
        <f>IFERROR(__xludf.DUMMYFUNCTION("GOOGLETRANSLATE(B1171,""en"",""it"")"),"Un uomo con camicia grigia e cappuccio è seduto accanto a un motore della barca, mentre dietro di lui c'è una donna che cavalca una tavola da surf e che tiene un cablaggio attaccato alla barca.")</f>
        <v>Un uomo con camicia grigia e cappuccio è seduto accanto a un motore della barca, mentre dietro di lui c'è una donna che cavalca una tavola da surf e che tiene un cablaggio attaccato alla barca.</v>
      </c>
    </row>
    <row r="1172">
      <c r="A1172" s="4" t="s">
        <v>1483</v>
      </c>
      <c r="B1172" s="6" t="s">
        <v>1485</v>
      </c>
      <c r="C1172" s="5" t="str">
        <f>IFERROR(__xludf.DUMMYFUNCTION("GOOGLETRANSLATE(B1172,""en"",""it"")"),"Mentre la donna che muoveva i delfini iniziarono a nuotare con lei, le pinne dei delfini sono visibili mentre nuotano su e giù.")</f>
        <v>Mentre la donna che muoveva i delfini iniziarono a nuotare con lei, le pinne dei delfini sono visibili mentre nuotano su e giù.</v>
      </c>
    </row>
    <row r="1173">
      <c r="A1173" s="4" t="s">
        <v>1486</v>
      </c>
      <c r="B1173" s="4" t="s">
        <v>1487</v>
      </c>
      <c r="C1173" s="5" t="str">
        <f>IFERROR(__xludf.DUMMYFUNCTION("GOOGLETRANSLATE(B1173,""en"",""it"")"),"Vediamo una schermata del titolo di apertura.")</f>
        <v>Vediamo una schermata del titolo di apertura.</v>
      </c>
    </row>
    <row r="1174">
      <c r="A1174" s="4" t="s">
        <v>1486</v>
      </c>
      <c r="B1174" s="4" t="s">
        <v>1488</v>
      </c>
      <c r="C1174" s="5" t="str">
        <f>IFERROR(__xludf.DUMMYFUNCTION("GOOGLETRANSLATE(B1174,""en"",""it"")"),"Vediamo una signora che mette la protezione solare in un bagno e sulla spiaggia.")</f>
        <v>Vediamo una signora che mette la protezione solare in un bagno e sulla spiaggia.</v>
      </c>
    </row>
    <row r="1175">
      <c r="A1175" s="4" t="s">
        <v>1486</v>
      </c>
      <c r="B1175" s="4" t="s">
        <v>1489</v>
      </c>
      <c r="C1175" s="5" t="str">
        <f>IFERROR(__xludf.DUMMYFUNCTION("GOOGLETRANSLATE(B1175,""en"",""it"")"),"Vediamo uno schermo del titolo e vediamo la signora comprare la sua protezione solare e un altro schermo del titolo.")</f>
        <v>Vediamo uno schermo del titolo e vediamo la signora comprare la sua protezione solare e un altro schermo del titolo.</v>
      </c>
    </row>
    <row r="1176">
      <c r="A1176" s="4" t="s">
        <v>1486</v>
      </c>
      <c r="B1176" s="6" t="s">
        <v>1490</v>
      </c>
      <c r="C1176" s="5" t="str">
        <f>IFERROR(__xludf.DUMMYFUNCTION("GOOGLETRANSLATE(B1176,""en"",""it"")"),"La signora lancia una bottiglia e guarda il suo telefono prima di andare in bagno e mettere la protezione solare.")</f>
        <v>La signora lancia una bottiglia e guarda il suo telefono prima di andare in bagno e mettere la protezione solare.</v>
      </c>
    </row>
    <row r="1177">
      <c r="A1177" s="4" t="s">
        <v>1486</v>
      </c>
      <c r="B1177" s="4" t="s">
        <v>1491</v>
      </c>
      <c r="C1177" s="5" t="str">
        <f>IFERROR(__xludf.DUMMYFUNCTION("GOOGLETRANSLATE(B1177,""en"",""it"")"),"Vediamo uno schermo del titolo e la signora applica la protezione solare e un amico le mette sulla schiena.")</f>
        <v>Vediamo uno schermo del titolo e la signora applica la protezione solare e un amico le mette sulla schiena.</v>
      </c>
    </row>
    <row r="1178">
      <c r="A1178" s="4" t="s">
        <v>1486</v>
      </c>
      <c r="B1178" s="4" t="s">
        <v>1492</v>
      </c>
      <c r="C1178" s="5" t="str">
        <f>IFERROR(__xludf.DUMMYFUNCTION("GOOGLETRANSLATE(B1178,""en"",""it"")"),"La signora mette la protezione solare sulla spiaggia e la sua amica corre sulla spiaggia.")</f>
        <v>La signora mette la protezione solare sulla spiaggia e la sua amica corre sulla spiaggia.</v>
      </c>
    </row>
    <row r="1179">
      <c r="A1179" s="4" t="s">
        <v>1486</v>
      </c>
      <c r="B1179" s="4" t="s">
        <v>1493</v>
      </c>
      <c r="C1179" s="5" t="str">
        <f>IFERROR(__xludf.DUMMYFUNCTION("GOOGLETRANSLATE(B1179,""en"",""it"")"),"Vediamo una schermata del titolo e la schermata finale.")</f>
        <v>Vediamo una schermata del titolo e la schermata finale.</v>
      </c>
    </row>
    <row r="1180">
      <c r="A1180" s="4" t="s">
        <v>1494</v>
      </c>
      <c r="B1180" s="4" t="s">
        <v>1495</v>
      </c>
      <c r="C1180" s="5" t="str">
        <f>IFERROR(__xludf.DUMMYFUNCTION("GOOGLETRANSLATE(B1180,""en"",""it"")"),"Un gruppo di bambini è all'interno di un edificio.")</f>
        <v>Un gruppo di bambini è all'interno di un edificio.</v>
      </c>
    </row>
    <row r="1181">
      <c r="A1181" s="4" t="s">
        <v>1494</v>
      </c>
      <c r="B1181" s="4" t="s">
        <v>1496</v>
      </c>
      <c r="C1181" s="5" t="str">
        <f>IFERROR(__xludf.DUMMYFUNCTION("GOOGLETRANSLATE(B1181,""en"",""it"")"),"Stanno tutti cavalcando macchine per paraurti attorno a una pista.")</f>
        <v>Stanno tutti cavalcando macchine per paraurti attorno a una pista.</v>
      </c>
    </row>
    <row r="1182">
      <c r="A1182" s="4" t="s">
        <v>1494</v>
      </c>
      <c r="B1182" s="4" t="s">
        <v>1497</v>
      </c>
      <c r="C1182" s="5" t="str">
        <f>IFERROR(__xludf.DUMMYFUNCTION("GOOGLETRANSLATE(B1182,""en"",""it"")"),"Si urtano e si sbattono l'un l'altro.")</f>
        <v>Si urtano e si sbattono l'un l'altro.</v>
      </c>
    </row>
    <row r="1183">
      <c r="A1183" s="4" t="s">
        <v>1498</v>
      </c>
      <c r="B1183" s="4" t="s">
        <v>1499</v>
      </c>
      <c r="C1183" s="5" t="str">
        <f>IFERROR(__xludf.DUMMYFUNCTION("GOOGLETRANSLATE(B1183,""en"",""it"")"),"Una persona sta risolvendo un puzzle di cubo che gira i pezzi per abbinare i colori.")</f>
        <v>Una persona sta risolvendo un puzzle di cubo che gira i pezzi per abbinare i colori.</v>
      </c>
    </row>
    <row r="1184">
      <c r="A1184" s="4" t="s">
        <v>1498</v>
      </c>
      <c r="B1184" s="4" t="s">
        <v>1500</v>
      </c>
      <c r="C1184" s="5" t="str">
        <f>IFERROR(__xludf.DUMMYFUNCTION("GOOGLETRANSLATE(B1184,""en"",""it"")"),"Quando la persona corrisponde a tutto il colore, punta il tavolo e ci mette il puzzle.")</f>
        <v>Quando la persona corrisponde a tutto il colore, punta il tavolo e ci mette il puzzle.</v>
      </c>
    </row>
    <row r="1185">
      <c r="A1185" s="4" t="s">
        <v>1501</v>
      </c>
      <c r="B1185" s="4" t="s">
        <v>1502</v>
      </c>
      <c r="C1185" s="5" t="str">
        <f>IFERROR(__xludf.DUMMYFUNCTION("GOOGLETRANSLATE(B1185,""en"",""it"")"),"Vediamo una schermata di apertura GoPro.")</f>
        <v>Vediamo una schermata di apertura GoPro.</v>
      </c>
    </row>
    <row r="1186">
      <c r="A1186" s="4" t="s">
        <v>1501</v>
      </c>
      <c r="B1186" s="4" t="s">
        <v>1503</v>
      </c>
      <c r="C1186" s="5" t="str">
        <f>IFERROR(__xludf.DUMMYFUNCTION("GOOGLETRANSLATE(B1186,""en"",""it"")"),"Vediamo una signora che cammina con una zattera in un fiume.")</f>
        <v>Vediamo una signora che cammina con una zattera in un fiume.</v>
      </c>
    </row>
    <row r="1187">
      <c r="A1187" s="4" t="s">
        <v>1501</v>
      </c>
      <c r="B1187" s="4" t="s">
        <v>1504</v>
      </c>
      <c r="C1187" s="5" t="str">
        <f>IFERROR(__xludf.DUMMYFUNCTION("GOOGLETRANSLATE(B1187,""en"",""it"")"),"Vediamo persone che cavalcano zattere nel fiume.")</f>
        <v>Vediamo persone che cavalcano zattere nel fiume.</v>
      </c>
    </row>
    <row r="1188">
      <c r="A1188" s="4" t="s">
        <v>1501</v>
      </c>
      <c r="B1188" s="4" t="s">
        <v>1505</v>
      </c>
      <c r="C1188" s="5" t="str">
        <f>IFERROR(__xludf.DUMMYFUNCTION("GOOGLETRANSLATE(B1188,""en"",""it"")"),"Vediamo le gambe di un uomo e la signora passa.")</f>
        <v>Vediamo le gambe di un uomo e la signora passa.</v>
      </c>
    </row>
    <row r="1189">
      <c r="A1189" s="4" t="s">
        <v>1501</v>
      </c>
      <c r="B1189" s="4" t="s">
        <v>1506</v>
      </c>
      <c r="C1189" s="5" t="str">
        <f>IFERROR(__xludf.DUMMYFUNCTION("GOOGLETRANSLATE(B1189,""en"",""it"")"),"Vediamo la signora che consegna una bevanda in lattina al cameraman.")</f>
        <v>Vediamo la signora che consegna una bevanda in lattina al cameraman.</v>
      </c>
    </row>
    <row r="1190">
      <c r="A1190" s="4" t="s">
        <v>1501</v>
      </c>
      <c r="B1190" s="4" t="s">
        <v>1507</v>
      </c>
      <c r="C1190" s="5" t="str">
        <f>IFERROR(__xludf.DUMMYFUNCTION("GOOGLETRANSLATE(B1190,""en"",""it"")"),"Il cameraman va sotto un ramo che si trova attraverso l'acqua.")</f>
        <v>Il cameraman va sotto un ramo che si trova attraverso l'acqua.</v>
      </c>
    </row>
    <row r="1191">
      <c r="A1191" s="4" t="s">
        <v>1501</v>
      </c>
      <c r="B1191" s="4" t="s">
        <v>1508</v>
      </c>
      <c r="C1191" s="5" t="str">
        <f>IFERROR(__xludf.DUMMYFUNCTION("GOOGLETRANSLATE(B1191,""en"",""it"")"),"Vediamo quindi la scena finale della GoPro.")</f>
        <v>Vediamo quindi la scena finale della GoPro.</v>
      </c>
    </row>
    <row r="1192">
      <c r="A1192" s="4" t="s">
        <v>1509</v>
      </c>
      <c r="B1192" s="6" t="s">
        <v>1510</v>
      </c>
      <c r="C1192" s="5" t="str">
        <f>IFERROR(__xludf.DUMMYFUNCTION("GOOGLETRANSLATE(B1192,""en"",""it"")"),"Diverse persone vengono viste correre lungo la strada attorno a un toro con alcuni bastoncini trattenuti.")</f>
        <v>Diverse persone vengono viste correre lungo la strada attorno a un toro con alcuni bastoncini trattenuti.</v>
      </c>
    </row>
    <row r="1193">
      <c r="A1193" s="4" t="s">
        <v>1509</v>
      </c>
      <c r="B1193" s="4" t="s">
        <v>1511</v>
      </c>
      <c r="C1193" s="5" t="str">
        <f>IFERROR(__xludf.DUMMYFUNCTION("GOOGLETRANSLATE(B1193,""en"",""it"")"),"Le persone si affollano attorno al toro che salutano i bastoncini e seguono il toro intorno mentre si arrabbia.")</f>
        <v>Le persone si affollano attorno al toro che salutano i bastoncini e seguono il toro intorno mentre si arrabbia.</v>
      </c>
    </row>
    <row r="1194">
      <c r="A1194" s="4" t="s">
        <v>1509</v>
      </c>
      <c r="B1194" s="4" t="s">
        <v>1512</v>
      </c>
      <c r="C1194" s="5" t="str">
        <f>IFERROR(__xludf.DUMMYFUNCTION("GOOGLETRANSLATE(B1194,""en"",""it"")"),"Viene mostrato un altro toro e i due combattono mentre le persone si fermano e tifano sui lati.")</f>
        <v>Viene mostrato un altro toro e i due combattono mentre le persone si fermano e tifano sui lati.</v>
      </c>
    </row>
    <row r="1195">
      <c r="A1195" s="4" t="s">
        <v>1513</v>
      </c>
      <c r="B1195" s="4" t="s">
        <v>1514</v>
      </c>
      <c r="C1195" s="5" t="str">
        <f>IFERROR(__xludf.DUMMYFUNCTION("GOOGLETRANSLATE(B1195,""en"",""it"")"),"Le persone sono sedute in barche a remi in acqua.")</f>
        <v>Le persone sono sedute in barche a remi in acqua.</v>
      </c>
    </row>
    <row r="1196">
      <c r="A1196" s="4" t="s">
        <v>1513</v>
      </c>
      <c r="B1196" s="4" t="s">
        <v>1515</v>
      </c>
      <c r="C1196" s="5" t="str">
        <f>IFERROR(__xludf.DUMMYFUNCTION("GOOGLETRANSLATE(B1196,""en"",""it"")"),"Un uomo è in piedi su una barca a fila rossa.")</f>
        <v>Un uomo è in piedi su una barca a fila rossa.</v>
      </c>
    </row>
    <row r="1197">
      <c r="A1197" s="4" t="s">
        <v>1513</v>
      </c>
      <c r="B1197" s="4" t="s">
        <v>1516</v>
      </c>
      <c r="C1197" s="5" t="str">
        <f>IFERROR(__xludf.DUMMYFUNCTION("GOOGLETRANSLATE(B1197,""en"",""it"")"),"Una barca si gira e la telecamera va in acqua.")</f>
        <v>Una barca si gira e la telecamera va in acqua.</v>
      </c>
    </row>
    <row r="1198">
      <c r="A1198" s="4" t="s">
        <v>1513</v>
      </c>
      <c r="B1198" s="4" t="s">
        <v>1517</v>
      </c>
      <c r="C1198" s="5" t="str">
        <f>IFERROR(__xludf.DUMMYFUNCTION("GOOGLETRANSLATE(B1198,""en"",""it"")"),"Due persone in piedi su un molo sollevano la barca fuori dall'acqua.")</f>
        <v>Due persone in piedi su un molo sollevano la barca fuori dall'acqua.</v>
      </c>
    </row>
    <row r="1199">
      <c r="A1199" s="4" t="s">
        <v>1518</v>
      </c>
      <c r="B1199" s="4" t="s">
        <v>1519</v>
      </c>
      <c r="C1199" s="5" t="str">
        <f>IFERROR(__xludf.DUMMYFUNCTION("GOOGLETRANSLATE(B1199,""en"",""it"")"),"Un pittore applica l'intonaco a un muro usando un ampio strumento a bordo piatto.")</f>
        <v>Un pittore applica l'intonaco a un muro usando un ampio strumento a bordo piatto.</v>
      </c>
    </row>
    <row r="1200">
      <c r="A1200" s="4" t="s">
        <v>1518</v>
      </c>
      <c r="B1200" s="4" t="s">
        <v>1520</v>
      </c>
      <c r="C1200" s="5" t="str">
        <f>IFERROR(__xludf.DUMMYFUNCTION("GOOGLETRANSLATE(B1200,""en"",""it"")"),"L'uomo muove il filo elettrico che si trasforma su come intonacarsi attorno a esso.")</f>
        <v>L'uomo muove il filo elettrico che si trasforma su come intonacarsi attorno a esso.</v>
      </c>
    </row>
    <row r="1201">
      <c r="A1201" s="4" t="s">
        <v>1518</v>
      </c>
      <c r="B1201" s="4" t="s">
        <v>1521</v>
      </c>
      <c r="C1201" s="5" t="str">
        <f>IFERROR(__xludf.DUMMYFUNCTION("GOOGLETRANSLATE(B1201,""en"",""it"")"),"Altre stanze della casa sono viste in diverse fasi di completezza.")</f>
        <v>Altre stanze della casa sono viste in diverse fasi di completezza.</v>
      </c>
    </row>
    <row r="1202">
      <c r="A1202" s="4" t="s">
        <v>1522</v>
      </c>
      <c r="B1202" s="6" t="s">
        <v>1523</v>
      </c>
      <c r="C1202" s="5" t="str">
        <f>IFERROR(__xludf.DUMMYFUNCTION("GOOGLETRANSLATE(B1202,""en"",""it"")"),"Un uomo salta su un camion firmato con linee bianche, quando arriva alla terza linea salta in alto e atterra nella sabbia.")</f>
        <v>Un uomo salta su un camion firmato con linee bianche, quando arriva alla terza linea salta in alto e atterra nella sabbia.</v>
      </c>
    </row>
    <row r="1203">
      <c r="A1203" s="4" t="s">
        <v>1522</v>
      </c>
      <c r="B1203" s="4" t="s">
        <v>1524</v>
      </c>
      <c r="C1203" s="5" t="str">
        <f>IFERROR(__xludf.DUMMYFUNCTION("GOOGLETRANSLATE(B1203,""en"",""it"")"),"La riproduzione di un uomo che esegue un salto in lungo è mostrato più volte.")</f>
        <v>La riproduzione di un uomo che esegue un salto in lungo è mostrato più volte.</v>
      </c>
    </row>
    <row r="1204">
      <c r="A1204" s="4" t="s">
        <v>1525</v>
      </c>
      <c r="B1204" s="4" t="s">
        <v>1526</v>
      </c>
      <c r="C1204" s="5" t="str">
        <f>IFERROR(__xludf.DUMMYFUNCTION("GOOGLETRANSLATE(B1204,""en"",""it"")"),"Una ragazza cheerleader si trova nell'erba.")</f>
        <v>Una ragazza cheerleader si trova nell'erba.</v>
      </c>
    </row>
    <row r="1205">
      <c r="A1205" s="4" t="s">
        <v>1525</v>
      </c>
      <c r="B1205" s="4" t="s">
        <v>1527</v>
      </c>
      <c r="C1205" s="5" t="str">
        <f>IFERROR(__xludf.DUMMYFUNCTION("GOOGLETRANSLATE(B1205,""en"",""it"")"),"Un giovane che indossa il cappello da baseball la grande con una torta e scherza con lei.")</f>
        <v>Un giovane che indossa il cappello da baseball la grande con una torta e scherza con lei.</v>
      </c>
    </row>
    <row r="1206">
      <c r="A1206" s="4" t="s">
        <v>1525</v>
      </c>
      <c r="B1206" s="4" t="s">
        <v>1528</v>
      </c>
      <c r="C1206" s="5" t="str">
        <f>IFERROR(__xludf.DUMMYFUNCTION("GOOGLETRANSLATE(B1206,""en"",""it"")"),"L'uomo spinge una torta nella faccia delle ragazze come uno scherzo che la fa molto disordinata.")</f>
        <v>L'uomo spinge una torta nella faccia delle ragazze come uno scherzo che la fa molto disordinata.</v>
      </c>
    </row>
    <row r="1207">
      <c r="A1207" s="4" t="s">
        <v>1525</v>
      </c>
      <c r="B1207" s="4" t="s">
        <v>1529</v>
      </c>
      <c r="C1207" s="5" t="str">
        <f>IFERROR(__xludf.DUMMYFUNCTION("GOOGLETRANSLATE(B1207,""en"",""it"")"),"Una ragazza in classe di ginnastica fa cadere un tappetino rosso con la squadra che guarda.")</f>
        <v>Una ragazza in classe di ginnastica fa cadere un tappetino rosso con la squadra che guarda.</v>
      </c>
    </row>
    <row r="1208">
      <c r="A1208" s="4" t="s">
        <v>1525</v>
      </c>
      <c r="B1208" s="4" t="s">
        <v>1530</v>
      </c>
      <c r="C1208" s="5" t="str">
        <f>IFERROR(__xludf.DUMMYFUNCTION("GOOGLETRANSLATE(B1208,""en"",""it"")"),"Una donna cheerleader scatola con una mascotte durante una partita di calcio.")</f>
        <v>Una donna cheerleader scatola con una mascotte durante una partita di calcio.</v>
      </c>
    </row>
    <row r="1209">
      <c r="A1209" s="4" t="s">
        <v>1525</v>
      </c>
      <c r="B1209" s="4" t="s">
        <v>1531</v>
      </c>
      <c r="C1209" s="5" t="str">
        <f>IFERROR(__xludf.DUMMYFUNCTION("GOOGLETRANSLATE(B1209,""en"",""it"")"),"La mascotte avvolge la ragazza e la tira nella sua uniforme.")</f>
        <v>La mascotte avvolge la ragazza e la tira nella sua uniforme.</v>
      </c>
    </row>
    <row r="1210">
      <c r="A1210" s="4" t="s">
        <v>1525</v>
      </c>
      <c r="B1210" s="6" t="s">
        <v>1532</v>
      </c>
      <c r="C1210" s="5" t="str">
        <f>IFERROR(__xludf.DUMMYFUNCTION("GOOGLETRANSLATE(B1210,""en"",""it"")"),"Un gruppo leader di allegria si riunisce in un cerchio che si tiene per mano e ribalta i membri del team quando si cade a terra.")</f>
        <v>Un gruppo leader di allegria si riunisce in un cerchio che si tiene per mano e ribalta i membri del team quando si cade a terra.</v>
      </c>
    </row>
    <row r="1211">
      <c r="A1211" s="4" t="s">
        <v>1525</v>
      </c>
      <c r="B1211" s="4" t="s">
        <v>1533</v>
      </c>
      <c r="C1211" s="5" t="str">
        <f>IFERROR(__xludf.DUMMYFUNCTION("GOOGLETRANSLATE(B1211,""en"",""it"")"),"Un gruppo di cheerleader in Black to Back si lancia su una pista del campo di calcio.")</f>
        <v>Un gruppo di cheerleader in Black to Back si lancia su una pista del campo di calcio.</v>
      </c>
    </row>
    <row r="1212">
      <c r="A1212" s="4" t="s">
        <v>1525</v>
      </c>
      <c r="B1212" s="4" t="s">
        <v>1534</v>
      </c>
      <c r="C1212" s="5" t="str">
        <f>IFERROR(__xludf.DUMMYFUNCTION("GOOGLETRANSLATE(B1212,""en"",""it"")"),"Un gruppo di ragazze sollevati [un compagno di squadra per fare una piramide umana.")</f>
        <v>Un gruppo di ragazze sollevati [un compagno di squadra per fare una piramide umana.</v>
      </c>
    </row>
    <row r="1213">
      <c r="A1213" s="4" t="s">
        <v>1525</v>
      </c>
      <c r="B1213" s="4" t="s">
        <v>1535</v>
      </c>
      <c r="C1213" s="5" t="str">
        <f>IFERROR(__xludf.DUMMYFUNCTION("GOOGLETRANSLATE(B1213,""en"",""it"")"),"Il compagno di squadra cade a terra e atterra sopra gli altri.")</f>
        <v>Il compagno di squadra cade a terra e atterra sopra gli altri.</v>
      </c>
    </row>
    <row r="1214">
      <c r="A1214" s="4" t="s">
        <v>1525</v>
      </c>
      <c r="B1214" s="4" t="s">
        <v>1536</v>
      </c>
      <c r="C1214" s="5" t="str">
        <f>IFERROR(__xludf.DUMMYFUNCTION("GOOGLETRANSLATE(B1214,""en"",""it"")"),"Un uomo in camicia hawaiana crea un trampolino durante una competizione di basket.")</f>
        <v>Un uomo in camicia hawaiana crea un trampolino durante una competizione di basket.</v>
      </c>
    </row>
    <row r="1215">
      <c r="A1215" s="4" t="s">
        <v>1525</v>
      </c>
      <c r="B1215" s="4" t="s">
        <v>1537</v>
      </c>
      <c r="C1215" s="5" t="str">
        <f>IFERROR(__xludf.DUMMYFUNCTION("GOOGLETRANSLATE(B1215,""en"",""it"")"),"Un gruppo di cheerleader solleva una donna insieme di fronte al trampolino.")</f>
        <v>Un gruppo di cheerleader solleva una donna insieme di fronte al trampolino.</v>
      </c>
    </row>
    <row r="1216">
      <c r="A1216" s="4" t="s">
        <v>1525</v>
      </c>
      <c r="B1216" s="6" t="s">
        <v>1538</v>
      </c>
      <c r="C1216" s="5" t="str">
        <f>IFERROR(__xludf.DUMMYFUNCTION("GOOGLETRANSLATE(B1216,""en"",""it"")"),"L'uomo torna a correre e salta sul trampolino ma fa cadere la ragazza mentre esegue la sua acrobazia.")</f>
        <v>L'uomo torna a correre e salta sul trampolino ma fa cadere la ragazza mentre esegue la sua acrobazia.</v>
      </c>
    </row>
    <row r="1217">
      <c r="A1217" s="4" t="s">
        <v>1525</v>
      </c>
      <c r="B1217" s="4" t="s">
        <v>1539</v>
      </c>
      <c r="C1217" s="5" t="str">
        <f>IFERROR(__xludf.DUMMYFUNCTION("GOOGLETRANSLATE(B1217,""en"",""it"")"),"Un gruppo di cheerleader in rosso fa Somersault sul campo quando uno cade.")</f>
        <v>Un gruppo di cheerleader in rosso fa Somersault sul campo quando uno cade.</v>
      </c>
    </row>
    <row r="1218">
      <c r="A1218" s="4" t="s">
        <v>1525</v>
      </c>
      <c r="B1218" s="4" t="s">
        <v>1540</v>
      </c>
      <c r="C1218" s="5" t="str">
        <f>IFERROR(__xludf.DUMMYFUNCTION("GOOGLETRANSLATE(B1218,""en"",""it"")"),"Una ragazza cheerleader in nero fa una molla posteriore e cade a terra.")</f>
        <v>Una ragazza cheerleader in nero fa una molla posteriore e cade a terra.</v>
      </c>
    </row>
    <row r="1219">
      <c r="A1219" s="4" t="s">
        <v>1525</v>
      </c>
      <c r="B1219" s="4" t="s">
        <v>1541</v>
      </c>
      <c r="C1219" s="5" t="str">
        <f>IFERROR(__xludf.DUMMYFUNCTION("GOOGLETRANSLATE(B1219,""en"",""it"")"),"Un gruppo di cheerleader balla insieme a pom pon.")</f>
        <v>Un gruppo di cheerleader balla insieme a pom pon.</v>
      </c>
    </row>
    <row r="1220">
      <c r="A1220" s="4" t="s">
        <v>1525</v>
      </c>
      <c r="B1220" s="4" t="s">
        <v>1542</v>
      </c>
      <c r="C1220" s="5" t="str">
        <f>IFERROR(__xludf.DUMMYFUNCTION("GOOGLETRANSLATE(B1220,""en"",""it"")"),"Un altro gruppo di cheerleader in background solleva i compagni di squadra quando uno cade.")</f>
        <v>Un altro gruppo di cheerleader in background solleva i compagni di squadra quando uno cade.</v>
      </c>
    </row>
    <row r="1221">
      <c r="A1221" s="4" t="s">
        <v>1525</v>
      </c>
      <c r="B1221" s="4" t="s">
        <v>1543</v>
      </c>
      <c r="C1221" s="5" t="str">
        <f>IFERROR(__xludf.DUMMYFUNCTION("GOOGLETRANSLATE(B1221,""en"",""it"")"),"Un gruppo di cheerleader in blue solleva i compagni di squadra in competizione quando uno cade a terra.")</f>
        <v>Un gruppo di cheerleader in blue solleva i compagni di squadra in competizione quando uno cade a terra.</v>
      </c>
    </row>
    <row r="1222">
      <c r="A1222" s="4" t="s">
        <v>1525</v>
      </c>
      <c r="B1222" s="4" t="s">
        <v>1544</v>
      </c>
      <c r="C1222" s="5" t="str">
        <f>IFERROR(__xludf.DUMMYFUNCTION("GOOGLETRANSLATE(B1222,""en"",""it"")"),"Una ragazza con camicia bianca parla alla telecamera.")</f>
        <v>Una ragazza con camicia bianca parla alla telecamera.</v>
      </c>
    </row>
    <row r="1223">
      <c r="A1223" s="4" t="s">
        <v>1525</v>
      </c>
      <c r="B1223" s="4" t="s">
        <v>1545</v>
      </c>
      <c r="C1223" s="5" t="str">
        <f>IFERROR(__xludf.DUMMYFUNCTION("GOOGLETRANSLATE(B1223,""en"",""it"")"),"La ragazza fa un estate ma cade a terra.")</f>
        <v>La ragazza fa un estate ma cade a terra.</v>
      </c>
    </row>
    <row r="1224">
      <c r="A1224" s="4" t="s">
        <v>1525</v>
      </c>
      <c r="B1224" s="4" t="s">
        <v>1546</v>
      </c>
      <c r="C1224" s="5" t="str">
        <f>IFERROR(__xludf.DUMMYFUNCTION("GOOGLETRANSLATE(B1224,""en"",""it"")"),"Una ragazza con camicia verde con gli amici fa un calcio alto su un campo ma cade a terra.")</f>
        <v>Una ragazza con camicia verde con gli amici fa un calcio alto su un campo ma cade a terra.</v>
      </c>
    </row>
    <row r="1225">
      <c r="A1225" s="4" t="s">
        <v>1525</v>
      </c>
      <c r="B1225" s="4" t="s">
        <v>1547</v>
      </c>
      <c r="C1225" s="5" t="str">
        <f>IFERROR(__xludf.DUMMYFUNCTION("GOOGLETRANSLATE(B1225,""en"",""it"")"),"Una cheerleader cade a terra mentre balla con il gruppo.")</f>
        <v>Una cheerleader cade a terra mentre balla con il gruppo.</v>
      </c>
    </row>
    <row r="1226">
      <c r="A1226" s="4" t="s">
        <v>1525</v>
      </c>
      <c r="B1226" s="4" t="s">
        <v>1548</v>
      </c>
      <c r="C1226" s="5" t="str">
        <f>IFERROR(__xludf.DUMMYFUNCTION("GOOGLETRANSLATE(B1226,""en"",""it"")"),"Una cheerleader viene sollevata nelle mani della squadra quando cade a terra.")</f>
        <v>Una cheerleader viene sollevata nelle mani della squadra quando cade a terra.</v>
      </c>
    </row>
    <row r="1227">
      <c r="A1227" s="4" t="s">
        <v>1525</v>
      </c>
      <c r="B1227" s="4" t="s">
        <v>1549</v>
      </c>
      <c r="C1227" s="5" t="str">
        <f>IFERROR(__xludf.DUMMYFUNCTION("GOOGLETRANSLATE(B1227,""en"",""it"")"),"Un gruppo di cheerleader in giallo ascensore in una piramide ma la lascia cadere.")</f>
        <v>Un gruppo di cheerleader in giallo ascensore in una piramide ma la lascia cadere.</v>
      </c>
    </row>
    <row r="1228">
      <c r="A1228" s="4" t="s">
        <v>1525</v>
      </c>
      <c r="B1228" s="4" t="s">
        <v>1550</v>
      </c>
      <c r="C1228" s="5" t="str">
        <f>IFERROR(__xludf.DUMMYFUNCTION("GOOGLETRANSLATE(B1228,""en"",""it"")"),"Un gruppo di donne salta da un trampolino e fanno schiacciate durante la competizione di basket.")</f>
        <v>Un gruppo di donne salta da un trampolino e fanno schiacciate durante la competizione di basket.</v>
      </c>
    </row>
    <row r="1229">
      <c r="A1229" s="4" t="s">
        <v>1525</v>
      </c>
      <c r="B1229" s="4" t="s">
        <v>1551</v>
      </c>
      <c r="C1229" s="5" t="str">
        <f>IFERROR(__xludf.DUMMYFUNCTION("GOOGLETRANSLATE(B1229,""en"",""it"")"),"Una ragazza manca il trampolino e si imbatte nel tappeto.")</f>
        <v>Una ragazza manca il trampolino e si imbatte nel tappeto.</v>
      </c>
    </row>
    <row r="1230">
      <c r="A1230" s="4" t="s">
        <v>1525</v>
      </c>
      <c r="B1230" s="4" t="s">
        <v>1552</v>
      </c>
      <c r="C1230" s="5" t="str">
        <f>IFERROR(__xludf.DUMMYFUNCTION("GOOGLETRANSLATE(B1230,""en"",""it"")"),"Gli uomini della squadra di basket si precipitano a controllarla.")</f>
        <v>Gli uomini della squadra di basket si precipitano a controllarla.</v>
      </c>
    </row>
    <row r="1231">
      <c r="A1231" s="4" t="s">
        <v>1553</v>
      </c>
      <c r="B1231" s="4" t="s">
        <v>1554</v>
      </c>
      <c r="C1231" s="5" t="str">
        <f>IFERROR(__xludf.DUMMYFUNCTION("GOOGLETRANSLATE(B1231,""en"",""it"")"),"Un gruppo di uomini nelle maschere è raccolto attorno agli obiettivi.")</f>
        <v>Un gruppo di uomini nelle maschere è raccolto attorno agli obiettivi.</v>
      </c>
    </row>
    <row r="1232">
      <c r="A1232" s="4" t="s">
        <v>1553</v>
      </c>
      <c r="B1232" s="4" t="s">
        <v>1555</v>
      </c>
      <c r="C1232" s="5" t="str">
        <f>IFERROR(__xludf.DUMMYFUNCTION("GOOGLETRANSLATE(B1232,""en"",""it"")"),"Stanno tenendo pistole di vernice mentre attraversano il campo.")</f>
        <v>Stanno tenendo pistole di vernice mentre attraversano il campo.</v>
      </c>
    </row>
    <row r="1233">
      <c r="A1233" s="4" t="s">
        <v>1553</v>
      </c>
      <c r="B1233" s="4" t="s">
        <v>1556</v>
      </c>
      <c r="C1233" s="5" t="str">
        <f>IFERROR(__xludf.DUMMYFUNCTION("GOOGLETRANSLATE(B1233,""en"",""it"")"),"Si nascondono dietro gli ostacoli, sparando l'un l'altro.")</f>
        <v>Si nascondono dietro gli ostacoli, sparando l'un l'altro.</v>
      </c>
    </row>
    <row r="1234">
      <c r="A1234" s="4" t="s">
        <v>1557</v>
      </c>
      <c r="B1234" s="4" t="s">
        <v>1558</v>
      </c>
      <c r="C1234" s="5" t="str">
        <f>IFERROR(__xludf.DUMMYFUNCTION("GOOGLETRANSLATE(B1234,""en"",""it"")"),"Un uomo viene visto correre lungo la strada con in mano una scatola e parlare con un altro.")</f>
        <v>Un uomo viene visto correre lungo la strada con in mano una scatola e parlare con un altro.</v>
      </c>
    </row>
    <row r="1235">
      <c r="A1235" s="4" t="s">
        <v>1557</v>
      </c>
      <c r="B1235" s="4" t="s">
        <v>1559</v>
      </c>
      <c r="C1235" s="5" t="str">
        <f>IFERROR(__xludf.DUMMYFUNCTION("GOOGLETRANSLATE(B1235,""en"",""it"")"),"L'uomo quindi gioca una partita con una piccola ragazza e si inchina dopo ogni partita.")</f>
        <v>L'uomo quindi gioca una partita con una piccola ragazza e si inchina dopo ogni partita.</v>
      </c>
    </row>
    <row r="1236">
      <c r="A1236" s="4" t="s">
        <v>1557</v>
      </c>
      <c r="B1236" s="6" t="s">
        <v>1560</v>
      </c>
      <c r="C1236" s="5" t="str">
        <f>IFERROR(__xludf.DUMMYFUNCTION("GOOGLETRANSLATE(B1236,""en"",""it"")"),"I due continuano a giocare con l'uomo che ride alla telecamera e alla fine le dà un bacio.")</f>
        <v>I due continuano a giocare con l'uomo che ride alla telecamera e alla fine le dà un bacio.</v>
      </c>
    </row>
    <row r="1237">
      <c r="A1237" s="4" t="s">
        <v>1561</v>
      </c>
      <c r="B1237" s="4" t="s">
        <v>1562</v>
      </c>
      <c r="C1237" s="5" t="str">
        <f>IFERROR(__xludf.DUMMYFUNCTION("GOOGLETRANSLATE(B1237,""en"",""it"")"),"Un uomo raccoglie una palla e se la mette dietro il collo e la getta sul campo.")</f>
        <v>Un uomo raccoglie una palla e se la mette dietro il collo e la getta sul campo.</v>
      </c>
    </row>
    <row r="1238">
      <c r="A1238" s="4" t="s">
        <v>1561</v>
      </c>
      <c r="B1238" s="4" t="s">
        <v>1563</v>
      </c>
      <c r="C1238" s="5" t="str">
        <f>IFERROR(__xludf.DUMMYFUNCTION("GOOGLETRANSLATE(B1238,""en"",""it"")"),"Un altro uomo con una camicia blu prende una palla e se la mette dietro l'orecchio e la getta sul campo.")</f>
        <v>Un altro uomo con una camicia blu prende una palla e se la mette dietro l'orecchio e la getta sul campo.</v>
      </c>
    </row>
    <row r="1239">
      <c r="A1239" s="4" t="s">
        <v>1561</v>
      </c>
      <c r="B1239" s="4" t="s">
        <v>1564</v>
      </c>
      <c r="C1239" s="5" t="str">
        <f>IFERROR(__xludf.DUMMYFUNCTION("GOOGLETRANSLATE(B1239,""en"",""it"")"),"Le persone misurano la distanza sul campo.")</f>
        <v>Le persone misurano la distanza sul campo.</v>
      </c>
    </row>
    <row r="1240">
      <c r="A1240" s="4" t="s">
        <v>1561</v>
      </c>
      <c r="B1240" s="4" t="s">
        <v>1565</v>
      </c>
      <c r="C1240" s="5" t="str">
        <f>IFERROR(__xludf.DUMMYFUNCTION("GOOGLETRANSLATE(B1240,""en"",""it"")"),"L'uomo mette una maglietta bianca e mette le braccia in aria.")</f>
        <v>L'uomo mette una maglietta bianca e mette le braccia in aria.</v>
      </c>
    </row>
    <row r="1241">
      <c r="A1241" s="4" t="s">
        <v>1561</v>
      </c>
      <c r="B1241" s="4" t="s">
        <v>1566</v>
      </c>
      <c r="C1241" s="5" t="str">
        <f>IFERROR(__xludf.DUMMYFUNCTION("GOOGLETRANSLATE(B1241,""en"",""it"")"),"Un altro uomo lancia una palla sul campo.")</f>
        <v>Un altro uomo lancia una palla sul campo.</v>
      </c>
    </row>
    <row r="1242">
      <c r="A1242" s="4" t="s">
        <v>1567</v>
      </c>
      <c r="B1242" s="4" t="s">
        <v>1568</v>
      </c>
      <c r="C1242" s="5" t="str">
        <f>IFERROR(__xludf.DUMMYFUNCTION("GOOGLETRANSLATE(B1242,""en"",""it"")"),"Una donna tiene la sezione posteriore di una ragazza mentre si prepara a modellarlo.")</f>
        <v>Una donna tiene la sezione posteriore di una ragazza mentre si prepara a modellarlo.</v>
      </c>
    </row>
    <row r="1243">
      <c r="A1243" s="4" t="s">
        <v>1567</v>
      </c>
      <c r="B1243" s="4" t="s">
        <v>1569</v>
      </c>
      <c r="C1243" s="5" t="str">
        <f>IFERROR(__xludf.DUMMYFUNCTION("GOOGLETRANSLATE(B1243,""en"",""it"")"),"La donna usa un pettine a singolo pick per separare le ciocche di capelli.")</f>
        <v>La donna usa un pettine a singolo pick per separare le ciocche di capelli.</v>
      </c>
    </row>
    <row r="1244">
      <c r="A1244" s="4" t="s">
        <v>1567</v>
      </c>
      <c r="B1244" s="4" t="s">
        <v>1570</v>
      </c>
      <c r="C1244" s="5" t="str">
        <f>IFERROR(__xludf.DUMMYFUNCTION("GOOGLETRANSLATE(B1244,""en"",""it"")"),"La donna si aggancia a sezioni di capelli.")</f>
        <v>La donna si aggancia a sezioni di capelli.</v>
      </c>
    </row>
    <row r="1245">
      <c r="A1245" s="4" t="s">
        <v>1567</v>
      </c>
      <c r="B1245" s="4" t="s">
        <v>1571</v>
      </c>
      <c r="C1245" s="5" t="str">
        <f>IFERROR(__xludf.DUMMYFUNCTION("GOOGLETRANSLATE(B1245,""en"",""it"")"),"La donna tira suoni di peli per farli raddrizzare.")</f>
        <v>La donna tira suoni di peli per farli raddrizzare.</v>
      </c>
    </row>
    <row r="1246">
      <c r="A1246" s="4" t="s">
        <v>1567</v>
      </c>
      <c r="B1246" s="4" t="s">
        <v>1572</v>
      </c>
      <c r="C1246" s="5" t="str">
        <f>IFERROR(__xludf.DUMMYFUNCTION("GOOGLETRANSLATE(B1246,""en"",""it"")"),"La donna li intreccia insieme i capelli.")</f>
        <v>La donna li intreccia insieme i capelli.</v>
      </c>
    </row>
    <row r="1247">
      <c r="A1247" s="4" t="s">
        <v>1573</v>
      </c>
      <c r="B1247" s="4" t="s">
        <v>1574</v>
      </c>
      <c r="C1247" s="5" t="str">
        <f>IFERROR(__xludf.DUMMYFUNCTION("GOOGLETRANSLATE(B1247,""en"",""it"")"),"Viene mostrata un'immagine di un uomo in posa con trofei e flettendo i suoi bicipiti.")</f>
        <v>Viene mostrata un'immagine di un uomo in posa con trofei e flettendo i suoi bicipiti.</v>
      </c>
    </row>
    <row r="1248">
      <c r="A1248" s="4" t="s">
        <v>1573</v>
      </c>
      <c r="B1248" s="4" t="s">
        <v>1575</v>
      </c>
      <c r="C1248" s="5" t="str">
        <f>IFERROR(__xludf.DUMMYFUNCTION("GOOGLETRANSLATE(B1248,""en"",""it"")"),"Le immagini tagliate ai video, mentre vince più partite e trofei di wrestling del braccio.")</f>
        <v>Le immagini tagliate ai video, mentre vince più partite e trofei di wrestling del braccio.</v>
      </c>
    </row>
    <row r="1249">
      <c r="A1249" s="4" t="s">
        <v>1573</v>
      </c>
      <c r="B1249" s="4" t="s">
        <v>1576</v>
      </c>
      <c r="C1249" s="5" t="str">
        <f>IFERROR(__xludf.DUMMYFUNCTION("GOOGLETRANSLATE(B1249,""en"",""it"")"),"Nelle scene finali, un vasto pubblico parla mentre lo guardano vincere di nuovo.")</f>
        <v>Nelle scene finali, un vasto pubblico parla mentre lo guardano vincere di nuovo.</v>
      </c>
    </row>
    <row r="1250">
      <c r="A1250" s="4" t="s">
        <v>1577</v>
      </c>
      <c r="B1250" s="4" t="s">
        <v>1578</v>
      </c>
      <c r="C1250" s="5" t="str">
        <f>IFERROR(__xludf.DUMMYFUNCTION("GOOGLETRANSLATE(B1250,""en"",""it"")"),"L'uomo è in piedi in una pista di pattinaggio che pratica l'hockey.")</f>
        <v>L'uomo è in piedi in una pista di pattinaggio che pratica l'hockey.</v>
      </c>
    </row>
    <row r="1251">
      <c r="A1251" s="4" t="s">
        <v>1577</v>
      </c>
      <c r="B1251" s="4" t="s">
        <v>1579</v>
      </c>
      <c r="C1251" s="5" t="str">
        <f>IFERROR(__xludf.DUMMYFUNCTION("GOOGLETRANSLATE(B1251,""en"",""it"")"),"L'uomo sta mettendo l'uniforme da hockey.")</f>
        <v>L'uomo sta mettendo l'uniforme da hockey.</v>
      </c>
    </row>
    <row r="1252">
      <c r="A1252" s="4" t="s">
        <v>1580</v>
      </c>
      <c r="B1252" s="4" t="s">
        <v>1581</v>
      </c>
      <c r="C1252" s="5" t="str">
        <f>IFERROR(__xludf.DUMMYFUNCTION("GOOGLETRANSLATE(B1252,""en"",""it"")"),"Ci sono diverse persone riunite sulla strada in cui la musica dal vivo suona.")</f>
        <v>Ci sono diverse persone riunite sulla strada in cui la musica dal vivo suona.</v>
      </c>
    </row>
    <row r="1253">
      <c r="A1253" s="4" t="s">
        <v>1580</v>
      </c>
      <c r="B1253" s="4" t="s">
        <v>1582</v>
      </c>
      <c r="C1253" s="5" t="str">
        <f>IFERROR(__xludf.DUMMYFUNCTION("GOOGLETRANSLATE(B1253,""en"",""it"")"),"Ci sono coppie che ballano insieme alla musica che fa lo stile di danza salsa.")</f>
        <v>Ci sono coppie che ballano insieme alla musica che fa lo stile di danza salsa.</v>
      </c>
    </row>
    <row r="1254">
      <c r="A1254" s="4" t="s">
        <v>1580</v>
      </c>
      <c r="B1254" s="6" t="s">
        <v>1583</v>
      </c>
      <c r="C1254" s="5" t="str">
        <f>IFERROR(__xludf.DUMMYFUNCTION("GOOGLETRANSLATE(B1254,""en"",""it"")"),"Ci sono molti ristoranti e negozi in quella piazza in cui le persone vengono riunite per vedere le coppie ballare.")</f>
        <v>Ci sono molti ristoranti e negozi in quella piazza in cui le persone vengono riunite per vedere le coppie ballare.</v>
      </c>
    </row>
    <row r="1255">
      <c r="A1255" s="4" t="s">
        <v>1580</v>
      </c>
      <c r="B1255" s="4" t="s">
        <v>1584</v>
      </c>
      <c r="C1255" s="5" t="str">
        <f>IFERROR(__xludf.DUMMYFUNCTION("GOOGLETRANSLATE(B1255,""en"",""it"")"),"Alcuni degli astanti sono video che registrano i ballerini.")</f>
        <v>Alcuni degli astanti sono video che registrano i ballerini.</v>
      </c>
    </row>
    <row r="1256">
      <c r="A1256" s="4" t="s">
        <v>1580</v>
      </c>
      <c r="B1256" s="4" t="s">
        <v>1585</v>
      </c>
      <c r="C1256" s="5" t="str">
        <f>IFERROR(__xludf.DUMMYFUNCTION("GOOGLETRANSLATE(B1256,""en"",""it"")"),"Le coppie continuano a ballare fino alla fine della musica.")</f>
        <v>Le coppie continuano a ballare fino alla fine della musica.</v>
      </c>
    </row>
    <row r="1257">
      <c r="A1257" s="4" t="s">
        <v>1580</v>
      </c>
      <c r="B1257" s="4" t="s">
        <v>1586</v>
      </c>
      <c r="C1257" s="5" t="str">
        <f>IFERROR(__xludf.DUMMYFUNCTION("GOOGLETRANSLATE(B1257,""en"",""it"")"),"Un ragazzo bacia la sua ragazza sulla guancia dopo che la danza è finita.")</f>
        <v>Un ragazzo bacia la sua ragazza sulla guancia dopo che la danza è finita.</v>
      </c>
    </row>
    <row r="1258">
      <c r="A1258" s="4" t="s">
        <v>1587</v>
      </c>
      <c r="B1258" s="4" t="s">
        <v>1588</v>
      </c>
      <c r="C1258" s="5" t="str">
        <f>IFERROR(__xludf.DUMMYFUNCTION("GOOGLETRANSLATE(B1258,""en"",""it"")"),"Un uomo viene visto tenere un bastone e conduce in clip di uomini che giocano a hockey in campo.")</f>
        <v>Un uomo viene visto tenere un bastone e conduce in clip di uomini che giocano a hockey in campo.</v>
      </c>
    </row>
    <row r="1259">
      <c r="A1259" s="4" t="s">
        <v>1587</v>
      </c>
      <c r="B1259" s="4" t="s">
        <v>1589</v>
      </c>
      <c r="C1259" s="5" t="str">
        <f>IFERROR(__xludf.DUMMYFUNCTION("GOOGLETRANSLATE(B1259,""en"",""it"")"),"Gli uomini sono visti correre su e giù per un campo che inseguono una palla e segnando un goal.")</f>
        <v>Gli uomini sono visti correre su e giù per un campo che inseguono una palla e segnando un goal.</v>
      </c>
    </row>
    <row r="1260">
      <c r="A1260" s="4" t="s">
        <v>1587</v>
      </c>
      <c r="B1260" s="4" t="s">
        <v>1590</v>
      </c>
      <c r="C1260" s="5" t="str">
        <f>IFERROR(__xludf.DUMMYFUNCTION("GOOGLETRANSLATE(B1260,""en"",""it"")"),"Vengono mostrate diverse clip di persone che giocano a questo gioco e festeggiano con i compagni di squadra.")</f>
        <v>Vengono mostrate diverse clip di persone che giocano a questo gioco e festeggiano con i compagni di squadra.</v>
      </c>
    </row>
    <row r="1261">
      <c r="A1261" s="4" t="s">
        <v>1591</v>
      </c>
      <c r="B1261" s="6" t="s">
        <v>1592</v>
      </c>
      <c r="C1261" s="5" t="str">
        <f>IFERROR(__xludf.DUMMYFUNCTION("GOOGLETRANSLATE(B1261,""en"",""it"")"),"Un'introduzione conduce in una fotocamera che segue attorno a una partita di lacrosse e fa una pausa per mostrare i movimenti dei giocatori.")</f>
        <v>Un'introduzione conduce in una fotocamera che segue attorno a una partita di lacrosse e fa una pausa per mostrare i movimenti dei giocatori.</v>
      </c>
    </row>
    <row r="1262">
      <c r="A1262" s="4" t="s">
        <v>1591</v>
      </c>
      <c r="B1262" s="4" t="s">
        <v>1593</v>
      </c>
      <c r="C1262" s="5" t="str">
        <f>IFERROR(__xludf.DUMMYFUNCTION("GOOGLETRANSLATE(B1262,""en"",""it"")"),"Il gioco continua mentre le persone giocano e corrono a inseguire una palla.")</f>
        <v>Il gioco continua mentre le persone giocano e corrono a inseguire una palla.</v>
      </c>
    </row>
    <row r="1263">
      <c r="A1263" s="4" t="s">
        <v>1594</v>
      </c>
      <c r="B1263" s="4" t="s">
        <v>1595</v>
      </c>
      <c r="C1263" s="5" t="str">
        <f>IFERROR(__xludf.DUMMYFUNCTION("GOOGLETRANSLATE(B1263,""en"",""it"")"),"La camicia di Man in Stripes corse verso lo stretto sentiero e saltò e saltò sul terreno sabbioso.")</f>
        <v>La camicia di Man in Stripes corse verso lo stretto sentiero e saltò e saltò sul terreno sabbioso.</v>
      </c>
    </row>
    <row r="1264">
      <c r="A1264" s="4" t="s">
        <v>1594</v>
      </c>
      <c r="B1264" s="6" t="s">
        <v>1596</v>
      </c>
      <c r="C1264" s="5" t="str">
        <f>IFERROR(__xludf.DUMMYFUNCTION("GOOGLETRANSLATE(B1264,""en"",""it"")"),"Gli uomini sono saltati uno per uno sul terreno sabbioso mentre un uomo e una donna tengono un rastrello e si appianano il terreno.")</f>
        <v>Gli uomini sono saltati uno per uno sul terreno sabbioso mentre un uomo e una donna tengono un rastrello e si appianano il terreno.</v>
      </c>
    </row>
    <row r="1265">
      <c r="A1265" s="4" t="s">
        <v>1594</v>
      </c>
      <c r="B1265" s="4" t="s">
        <v>1597</v>
      </c>
      <c r="C1265" s="5" t="str">
        <f>IFERROR(__xludf.DUMMYFUNCTION("GOOGLETRANSLATE(B1265,""en"",""it"")"),"Due persone hanno un metro a nastro e misurano il salto.")</f>
        <v>Due persone hanno un metro a nastro e misurano il salto.</v>
      </c>
    </row>
    <row r="1266">
      <c r="A1266" s="4" t="s">
        <v>1598</v>
      </c>
      <c r="B1266" s="4" t="s">
        <v>1599</v>
      </c>
      <c r="C1266" s="5" t="str">
        <f>IFERROR(__xludf.DUMMYFUNCTION("GOOGLETRANSLATE(B1266,""en"",""it"")"),"Le parole sono mostrate sullo schermo.")</f>
        <v>Le parole sono mostrate sullo schermo.</v>
      </c>
    </row>
    <row r="1267">
      <c r="A1267" s="4" t="s">
        <v>1598</v>
      </c>
      <c r="B1267" s="4" t="s">
        <v>1600</v>
      </c>
      <c r="C1267" s="5" t="str">
        <f>IFERROR(__xludf.DUMMYFUNCTION("GOOGLETRANSLATE(B1267,""en"",""it"")"),"Un uomo sta parlando mentre si trova fuori davanti a una collina.")</f>
        <v>Un uomo sta parlando mentre si trova fuori davanti a una collina.</v>
      </c>
    </row>
    <row r="1268">
      <c r="A1268" s="4" t="s">
        <v>1598</v>
      </c>
      <c r="B1268" s="4" t="s">
        <v>1601</v>
      </c>
      <c r="C1268" s="5" t="str">
        <f>IFERROR(__xludf.DUMMYFUNCTION("GOOGLETRANSLATE(B1268,""en"",""it"")"),"L'uomo tiene una pala in piedi davanti a un piccolo albero.")</f>
        <v>L'uomo tiene una pala in piedi davanti a un piccolo albero.</v>
      </c>
    </row>
    <row r="1269">
      <c r="A1269" s="4" t="s">
        <v>1598</v>
      </c>
      <c r="B1269" s="4" t="s">
        <v>1602</v>
      </c>
      <c r="C1269" s="5" t="str">
        <f>IFERROR(__xludf.DUMMYFUNCTION("GOOGLETRANSLATE(B1269,""en"",""it"")"),"L'uomo continua a parlare e poi spala alcune erbacce e sporco intorno all'albero.")</f>
        <v>L'uomo continua a parlare e poi spala alcune erbacce e sporco intorno all'albero.</v>
      </c>
    </row>
    <row r="1270">
      <c r="A1270" s="4" t="s">
        <v>1598</v>
      </c>
      <c r="B1270" s="4" t="s">
        <v>1603</v>
      </c>
      <c r="C1270" s="5" t="str">
        <f>IFERROR(__xludf.DUMMYFUNCTION("GOOGLETRANSLATE(B1270,""en"",""it"")"),"Raccoglie rocce da intorno all'albero.")</f>
        <v>Raccoglie rocce da intorno all'albero.</v>
      </c>
    </row>
    <row r="1271">
      <c r="A1271" s="4" t="s">
        <v>1598</v>
      </c>
      <c r="B1271" s="4" t="s">
        <v>1604</v>
      </c>
      <c r="C1271" s="5" t="str">
        <f>IFERROR(__xludf.DUMMYFUNCTION("GOOGLETRANSLATE(B1271,""en"",""it"")"),"C'è un secchio bianco davanti a lui di corteccia che mette intorno all'albero.")</f>
        <v>C'è un secchio bianco davanti a lui di corteccia che mette intorno all'albero.</v>
      </c>
    </row>
    <row r="1272">
      <c r="A1272" s="4" t="s">
        <v>1605</v>
      </c>
      <c r="B1272" s="4" t="s">
        <v>1606</v>
      </c>
      <c r="C1272" s="5" t="str">
        <f>IFERROR(__xludf.DUMMYFUNCTION("GOOGLETRANSLATE(B1272,""en"",""it"")"),"Due ragazze sono sedute sulla veranda di una casa mentre si raderno le gambe.")</f>
        <v>Due ragazze sono sedute sulla veranda di una casa mentre si raderno le gambe.</v>
      </c>
    </row>
    <row r="1273">
      <c r="A1273" s="4" t="s">
        <v>1605</v>
      </c>
      <c r="B1273" s="4" t="s">
        <v>1607</v>
      </c>
      <c r="C1273" s="5" t="str">
        <f>IFERROR(__xludf.DUMMYFUNCTION("GOOGLETRANSLATE(B1273,""en"",""it"")"),"Un ragazzo esce e guarda prima di andarsene.")</f>
        <v>Un ragazzo esce e guarda prima di andarsene.</v>
      </c>
    </row>
    <row r="1274">
      <c r="A1274" s="4" t="s">
        <v>1605</v>
      </c>
      <c r="B1274" s="4" t="s">
        <v>1608</v>
      </c>
      <c r="C1274" s="5" t="str">
        <f>IFERROR(__xludf.DUMMYFUNCTION("GOOGLETRANSLATE(B1274,""en"",""it"")"),"Le ragazze continuano a saper e radersi.")</f>
        <v>Le ragazze continuano a saper e radersi.</v>
      </c>
    </row>
    <row r="1275">
      <c r="A1275" s="4" t="s">
        <v>1609</v>
      </c>
      <c r="B1275" s="6" t="s">
        <v>1610</v>
      </c>
      <c r="C1275" s="5" t="str">
        <f>IFERROR(__xludf.DUMMYFUNCTION("GOOGLETRANSLATE(B1275,""en"",""it"")"),"Un uomo usa un martello per fare il ghiaccio da una macchina mentre nevica fuori e un uomo lo video da dietro.")</f>
        <v>Un uomo usa un martello per fare il ghiaccio da una macchina mentre nevica fuori e un uomo lo video da dietro.</v>
      </c>
    </row>
    <row r="1276">
      <c r="A1276" s="4" t="s">
        <v>1609</v>
      </c>
      <c r="B1276" s="6" t="s">
        <v>1611</v>
      </c>
      <c r="C1276" s="5" t="str">
        <f>IFERROR(__xludf.DUMMYFUNCTION("GOOGLETRANSLATE(B1276,""en"",""it"")"),"Un uomo con un cappotto invernale nero e i guanti usa una martella per scheggiare il ghiaccio da un'auto coperta di ghiaccio nella neve.")</f>
        <v>Un uomo con un cappotto invernale nero e i guanti usa una martella per scheggiare il ghiaccio da un'auto coperta di ghiaccio nella neve.</v>
      </c>
    </row>
    <row r="1277">
      <c r="A1277" s="4" t="s">
        <v>1609</v>
      </c>
      <c r="B1277" s="6" t="s">
        <v>1612</v>
      </c>
      <c r="C1277" s="5" t="str">
        <f>IFERROR(__xludf.DUMMYFUNCTION("GOOGLETRANSLATE(B1277,""en"",""it"")"),"L'uomo quindi prende le chiavi della sua auto e cerca di aprire il bagagliaio che è congelato e richiede che il tiro si apra.")</f>
        <v>L'uomo quindi prende le chiavi della sua auto e cerca di aprire il bagagliaio che è congelato e richiede che il tiro si apra.</v>
      </c>
    </row>
    <row r="1278">
      <c r="A1278" s="4" t="s">
        <v>1609</v>
      </c>
      <c r="B1278" s="4" t="s">
        <v>1613</v>
      </c>
      <c r="C1278" s="5" t="str">
        <f>IFERROR(__xludf.DUMMYFUNCTION("GOOGLETRANSLATE(B1278,""en"",""it"")"),"L'uomo continua a sbattere contro il ghiaccio sulla macchina con il martello mentre il ghiaccio si chiude in pezzi.")</f>
        <v>L'uomo continua a sbattere contro il ghiaccio sulla macchina con il martello mentre il ghiaccio si chiude in pezzi.</v>
      </c>
    </row>
    <row r="1279">
      <c r="A1279" s="4" t="s">
        <v>1609</v>
      </c>
      <c r="B1279" s="6" t="s">
        <v>1614</v>
      </c>
      <c r="C1279" s="5" t="str">
        <f>IFERROR(__xludf.DUMMYFUNCTION("GOOGLETRANSLATE(B1279,""en"",""it"")"),"L'uomo cerca di aprire di nuovo il tronco, questa volta l'apertura è più facile e l'uomo si arrampica nel tronco della macchina nella parte anteriore della macchina per aprire la porta del conducente dal sedile dei conducenti interni.")</f>
        <v>L'uomo cerca di aprire di nuovo il tronco, questa volta l'apertura è più facile e l'uomo si arrampica nel tronco della macchina nella parte anteriore della macchina per aprire la porta del conducente dal sedile dei conducenti interni.</v>
      </c>
    </row>
    <row r="1280">
      <c r="A1280" s="4" t="s">
        <v>1615</v>
      </c>
      <c r="B1280" s="4" t="s">
        <v>1616</v>
      </c>
      <c r="C1280" s="5" t="str">
        <f>IFERROR(__xludf.DUMMYFUNCTION("GOOGLETRANSLATE(B1280,""en"",""it"")"),"Un grande tappetino si vede con un bar in cima e due persone che guardano sui lati.")</f>
        <v>Un grande tappetino si vede con un bar in cima e due persone che guardano sui lati.</v>
      </c>
    </row>
    <row r="1281">
      <c r="A1281" s="4" t="s">
        <v>1615</v>
      </c>
      <c r="B1281" s="4" t="s">
        <v>1617</v>
      </c>
      <c r="C1281" s="5" t="str">
        <f>IFERROR(__xludf.DUMMYFUNCTION("GOOGLETRANSLATE(B1281,""en"",""it"")"),"Viene quindi visto un uomo correre da un lato.")</f>
        <v>Viene quindi visto un uomo correre da un lato.</v>
      </c>
    </row>
    <row r="1282">
      <c r="A1282" s="4" t="s">
        <v>1615</v>
      </c>
      <c r="B1282" s="4" t="s">
        <v>1618</v>
      </c>
      <c r="C1282" s="5" t="str">
        <f>IFERROR(__xludf.DUMMYFUNCTION("GOOGLETRANSLATE(B1282,""en"",""it"")"),"L'uomo salta oltre il raggio e si alza sul tappeto.")</f>
        <v>L'uomo salta oltre il raggio e si alza sul tappeto.</v>
      </c>
    </row>
    <row r="1283">
      <c r="A1283" s="4" t="s">
        <v>1619</v>
      </c>
      <c r="B1283" s="4" t="s">
        <v>1620</v>
      </c>
      <c r="C1283" s="5" t="str">
        <f>IFERROR(__xludf.DUMMYFUNCTION("GOOGLETRANSLATE(B1283,""en"",""it"")"),"Una persona viene mostrata fuori a spazzolare la neve da un'auto con luci accese.")</f>
        <v>Una persona viene mostrata fuori a spazzolare la neve da un'auto con luci accese.</v>
      </c>
    </row>
    <row r="1284">
      <c r="A1284" s="4" t="s">
        <v>1619</v>
      </c>
      <c r="B1284" s="4" t="s">
        <v>1621</v>
      </c>
      <c r="C1284" s="5" t="str">
        <f>IFERROR(__xludf.DUMMYFUNCTION("GOOGLETRANSLATE(B1284,""en"",""it"")"),"L'uomo cammina attorno all'auto spingendo più la neve e chiudendo la porta.")</f>
        <v>L'uomo cammina attorno all'auto spingendo più la neve e chiudendo la porta.</v>
      </c>
    </row>
    <row r="1285">
      <c r="A1285" s="4" t="s">
        <v>1622</v>
      </c>
      <c r="B1285" s="4" t="s">
        <v>1623</v>
      </c>
      <c r="C1285" s="5" t="str">
        <f>IFERROR(__xludf.DUMMYFUNCTION("GOOGLETRANSLATE(B1285,""en"",""it"")"),"Viene visualizzato uno schermo nero con un titolo bianco.")</f>
        <v>Viene visualizzato uno schermo nero con un titolo bianco.</v>
      </c>
    </row>
    <row r="1286">
      <c r="A1286" s="4" t="s">
        <v>1622</v>
      </c>
      <c r="B1286" s="6" t="s">
        <v>1624</v>
      </c>
      <c r="C1286" s="5" t="str">
        <f>IFERROR(__xludf.DUMMYFUNCTION("GOOGLETRANSLATE(B1286,""en"",""it"")"),"Un cuoco è di fronte a una stufa professionale che mette il condimento in una padella di metallo e riscalda una padella su una fiamma blu illuminata a gas.")</f>
        <v>Un cuoco è di fronte a una stufa professionale che mette il condimento in una padella di metallo e riscalda una padella su una fiamma blu illuminata a gas.</v>
      </c>
    </row>
    <row r="1287">
      <c r="A1287" s="4" t="s">
        <v>1622</v>
      </c>
      <c r="B1287" s="6" t="s">
        <v>1625</v>
      </c>
      <c r="C1287" s="5" t="str">
        <f>IFERROR(__xludf.DUMMYFUNCTION("GOOGLETRANSLATE(B1287,""en"",""it"")"),"Il cuoco ora raccoglie una grande porzione di uovo misto da una grande pentola di metallo nella piccola padella di metallo.")</f>
        <v>Il cuoco ora raccoglie una grande porzione di uovo misto da una grande pentola di metallo nella piccola padella di metallo.</v>
      </c>
    </row>
    <row r="1288">
      <c r="A1288" s="4" t="s">
        <v>1622</v>
      </c>
      <c r="B1288" s="4" t="s">
        <v>1626</v>
      </c>
      <c r="C1288" s="5" t="str">
        <f>IFERROR(__xludf.DUMMYFUNCTION("GOOGLETRANSLATE(B1288,""en"",""it"")"),"Comincia a sbattere la miscela di uova con due bastoncini di legno, tenendo la padella sopra il bruciatore.")</f>
        <v>Comincia a sbattere la miscela di uova con due bastoncini di legno, tenendo la padella sopra il bruciatore.</v>
      </c>
    </row>
    <row r="1289">
      <c r="A1289" s="4" t="s">
        <v>1622</v>
      </c>
      <c r="B1289" s="6" t="s">
        <v>1627</v>
      </c>
      <c r="C1289" s="5" t="str">
        <f>IFERROR(__xludf.DUMMYFUNCTION("GOOGLETRANSLATE(B1289,""en"",""it"")"),"Quando l'uovo è quasi completamente cotto, l'uomo inizia a modellare l'uovo all'interno della padella con i bastoncini di legno a forma di frittata.")</f>
        <v>Quando l'uovo è quasi completamente cotto, l'uomo inizia a modellare l'uovo all'interno della padella con i bastoncini di legno a forma di frittata.</v>
      </c>
    </row>
    <row r="1290">
      <c r="A1290" s="4" t="s">
        <v>1622</v>
      </c>
      <c r="B1290" s="4" t="s">
        <v>1628</v>
      </c>
      <c r="C1290" s="5" t="str">
        <f>IFERROR(__xludf.DUMMYFUNCTION("GOOGLETRANSLATE(B1290,""en"",""it"")"),"Rotola la frittata avanti e indietro nella padella.")</f>
        <v>Rotola la frittata avanti e indietro nella padella.</v>
      </c>
    </row>
    <row r="1291">
      <c r="A1291" s="4" t="s">
        <v>1622</v>
      </c>
      <c r="B1291" s="4" t="s">
        <v>1629</v>
      </c>
      <c r="C1291" s="5" t="str">
        <f>IFERROR(__xludf.DUMMYFUNCTION("GOOGLETRANSLATE(B1291,""en"",""it"")"),"Termina lo schermo nero e una parola blu.")</f>
        <v>Termina lo schermo nero e una parola blu.</v>
      </c>
    </row>
    <row r="1292">
      <c r="A1292" s="4" t="s">
        <v>1630</v>
      </c>
      <c r="B1292" s="6" t="s">
        <v>1631</v>
      </c>
      <c r="C1292" s="5" t="str">
        <f>IFERROR(__xludf.DUMMYFUNCTION("GOOGLETRANSLATE(B1292,""en"",""it"")"),"Viene mostrato un primo piano di scarpe da balletto, seguito da una donna che li mette e si muove in una camera da letto.")</f>
        <v>Viene mostrato un primo piano di scarpe da balletto, seguito da una donna che li mette e si muove in una camera da letto.</v>
      </c>
    </row>
    <row r="1293">
      <c r="A1293" s="4" t="s">
        <v>1630</v>
      </c>
      <c r="B1293" s="4" t="s">
        <v>1632</v>
      </c>
      <c r="C1293" s="5" t="str">
        <f>IFERROR(__xludf.DUMMYFUNCTION("GOOGLETRANSLATE(B1293,""en"",""it"")"),"Muove le braccia e i piedi nelle scarpe puntuali e si muove i capelli in tutta la stanza.")</f>
        <v>Muove le braccia e i piedi nelle scarpe puntuali e si muove i capelli in tutta la stanza.</v>
      </c>
    </row>
    <row r="1294">
      <c r="A1294" s="4" t="s">
        <v>1633</v>
      </c>
      <c r="B1294" s="6" t="s">
        <v>1634</v>
      </c>
      <c r="C1294" s="5" t="str">
        <f>IFERROR(__xludf.DUMMYFUNCTION("GOOGLETRANSLATE(B1294,""en"",""it"")"),"Una persona viene vista mescolare vari ingredienti in un frullatore e rotolare ruvido in una palla e parlare con la telecamera.")</f>
        <v>Una persona viene vista mescolare vari ingredienti in un frullatore e rotolare ruvido in una palla e parlare con la telecamera.</v>
      </c>
    </row>
    <row r="1295">
      <c r="A1295" s="4" t="s">
        <v>1633</v>
      </c>
      <c r="B1295" s="4" t="s">
        <v>1635</v>
      </c>
      <c r="C1295" s="5" t="str">
        <f>IFERROR(__xludf.DUMMYFUNCTION("GOOGLETRANSLATE(B1295,""en"",""it"")"),"L'uomo parla con altri chef e li istruisce su come rotolare una palla di ruvida.")</f>
        <v>L'uomo parla con altri chef e li istruisce su come rotolare una palla di ruvida.</v>
      </c>
    </row>
    <row r="1296">
      <c r="A1296" s="4" t="s">
        <v>1633</v>
      </c>
      <c r="B1296" s="4" t="s">
        <v>1636</v>
      </c>
      <c r="C1296" s="5" t="str">
        <f>IFERROR(__xludf.DUMMYFUNCTION("GOOGLETRANSLATE(B1296,""en"",""it"")"),"Quindi mette l'impasto in una macchina per fare spaghetti e poi li mette in un piatto da presentare.")</f>
        <v>Quindi mette l'impasto in una macchina per fare spaghetti e poi li mette in un piatto da presentare.</v>
      </c>
    </row>
    <row r="1297">
      <c r="A1297" s="4" t="s">
        <v>1637</v>
      </c>
      <c r="B1297" s="6" t="s">
        <v>1638</v>
      </c>
      <c r="C1297" s="5" t="str">
        <f>IFERROR(__xludf.DUMMYFUNCTION("GOOGLETRANSLATE(B1297,""en"",""it"")"),"Una persona viene vista piegarsi in avanti su un raggio di ginnastica mentre si muove le mani per mantenere l'equilibrio.")</f>
        <v>Una persona viene vista piegarsi in avanti su un raggio di ginnastica mentre si muove le mani per mantenere l'equilibrio.</v>
      </c>
    </row>
    <row r="1298">
      <c r="A1298" s="4" t="s">
        <v>1637</v>
      </c>
      <c r="B1298" s="6" t="s">
        <v>1639</v>
      </c>
      <c r="C1298" s="5" t="str">
        <f>IFERROR(__xludf.DUMMYFUNCTION("GOOGLETRANSLATE(B1298,""en"",""it"")"),"L'uomo tenta quindi un capovolgimento ma atterra sullo stomaco e cade, allontanandosi per il dolore e il suo salto mostrato di nuovo al rallentatore.")</f>
        <v>L'uomo tenta quindi un capovolgimento ma atterra sullo stomaco e cade, allontanandosi per il dolore e il suo salto mostrato di nuovo al rallentatore.</v>
      </c>
    </row>
    <row r="1299">
      <c r="A1299" s="4" t="s">
        <v>1640</v>
      </c>
      <c r="B1299" s="4" t="s">
        <v>1641</v>
      </c>
      <c r="C1299" s="5" t="str">
        <f>IFERROR(__xludf.DUMMYFUNCTION("GOOGLETRANSLATE(B1299,""en"",""it"")"),"Quattro persone giocano a palla di biliardo a un tavolo di biliardo.")</f>
        <v>Quattro persone giocano a palla di biliardo a un tavolo di biliardo.</v>
      </c>
    </row>
    <row r="1300">
      <c r="A1300" s="4" t="s">
        <v>1640</v>
      </c>
      <c r="B1300" s="4" t="s">
        <v>1642</v>
      </c>
      <c r="C1300" s="5" t="str">
        <f>IFERROR(__xludf.DUMMYFUNCTION("GOOGLETRANSLATE(B1300,""en"",""it"")"),"Una delle ragazze che giocano tira un braccio fuori posto sul tavolo.")</f>
        <v>Una delle ragazze che giocano tira un braccio fuori posto sul tavolo.</v>
      </c>
    </row>
    <row r="1301">
      <c r="A1301" s="4" t="s">
        <v>1640</v>
      </c>
      <c r="B1301" s="4" t="s">
        <v>1643</v>
      </c>
      <c r="C1301" s="5" t="str">
        <f>IFERROR(__xludf.DUMMYFUNCTION("GOOGLETRANSLATE(B1301,""en"",""it"")"),"La stessa ragazza arriva attraverso il tavolo per controllare un braccio dall'altra parte.")</f>
        <v>La stessa ragazza arriva attraverso il tavolo per controllare un braccio dall'altra parte.</v>
      </c>
    </row>
    <row r="1302">
      <c r="A1302" s="4" t="s">
        <v>1640</v>
      </c>
      <c r="B1302" s="4" t="s">
        <v>1644</v>
      </c>
      <c r="C1302" s="5" t="str">
        <f>IFERROR(__xludf.DUMMYFUNCTION("GOOGLETRANSLATE(B1302,""en"",""it"")"),"La ragazza dall'altra parte cerca di fermarla.")</f>
        <v>La ragazza dall'altra parte cerca di fermarla.</v>
      </c>
    </row>
    <row r="1303">
      <c r="A1303" s="4" t="s">
        <v>1640</v>
      </c>
      <c r="B1303" s="4" t="s">
        <v>1645</v>
      </c>
      <c r="C1303" s="5" t="str">
        <f>IFERROR(__xludf.DUMMYFUNCTION("GOOGLETRANSLATE(B1303,""en"",""it"")"),"Una quinta persona si siede su una sedia a guardare.")</f>
        <v>Una quinta persona si siede su una sedia a guardare.</v>
      </c>
    </row>
    <row r="1304">
      <c r="A1304" s="4" t="s">
        <v>1646</v>
      </c>
      <c r="B1304" s="4" t="s">
        <v>1647</v>
      </c>
      <c r="C1304" s="5" t="str">
        <f>IFERROR(__xludf.DUMMYFUNCTION("GOOGLETRANSLATE(B1304,""en"",""it"")"),"Una ginnasta maschile che indossa un body blu sta facendo ginnastica in un bar di cavalli.")</f>
        <v>Una ginnasta maschile che indossa un body blu sta facendo ginnastica in un bar di cavalli.</v>
      </c>
    </row>
    <row r="1305">
      <c r="A1305" s="4" t="s">
        <v>1646</v>
      </c>
      <c r="B1305" s="4" t="s">
        <v>1648</v>
      </c>
      <c r="C1305" s="5" t="str">
        <f>IFERROR(__xludf.DUMMYFUNCTION("GOOGLETRANSLATE(B1305,""en"",""it"")"),"Si esibisce in uno stadio indoor pieno di spettatori.")</f>
        <v>Si esibisce in uno stadio indoor pieno di spettatori.</v>
      </c>
    </row>
    <row r="1306">
      <c r="A1306" s="4" t="s">
        <v>1646</v>
      </c>
      <c r="B1306" s="4" t="s">
        <v>1649</v>
      </c>
      <c r="C1306" s="5" t="str">
        <f>IFERROR(__xludf.DUMMYFUNCTION("GOOGLETRANSLATE(B1306,""en"",""it"")"),"Continua a eccellere nel fare costantemente le sue mosse sul bar del cavallo.")</f>
        <v>Continua a eccellere nel fare costantemente le sue mosse sul bar del cavallo.</v>
      </c>
    </row>
    <row r="1307">
      <c r="A1307" s="4" t="s">
        <v>1646</v>
      </c>
      <c r="B1307" s="4" t="s">
        <v>1650</v>
      </c>
      <c r="C1307" s="5" t="str">
        <f>IFERROR(__xludf.DUMMYFUNCTION("GOOGLETRANSLATE(B1307,""en"",""it"")"),"Dopo aver finito, scende dal bar e uno degli allenatori lo abbraccia mentre la folla applaude per lui.")</f>
        <v>Dopo aver finito, scende dal bar e uno degli allenatori lo abbraccia mentre la folla applaude per lui.</v>
      </c>
    </row>
    <row r="1308">
      <c r="A1308" s="4" t="s">
        <v>1651</v>
      </c>
      <c r="B1308" s="4" t="s">
        <v>1652</v>
      </c>
      <c r="C1308" s="5" t="str">
        <f>IFERROR(__xludf.DUMMYFUNCTION("GOOGLETRANSLATE(B1308,""en"",""it"")"),"Una ballerina viene mostrata in classe che si scalda i piedi e si allontanava piangendo.")</f>
        <v>Una ballerina viene mostrata in classe che si scalda i piedi e si allontanava piangendo.</v>
      </c>
    </row>
    <row r="1309">
      <c r="A1309" s="4" t="s">
        <v>1651</v>
      </c>
      <c r="B1309" s="4" t="s">
        <v>1653</v>
      </c>
      <c r="C1309" s="5" t="str">
        <f>IFERROR(__xludf.DUMMYFUNCTION("GOOGLETRANSLATE(B1309,""en"",""it"")"),"Vari attori parlano alla telecamera delle riprese di un film sul balletto e sulle mosse che hanno imparato.")</f>
        <v>Vari attori parlano alla telecamera delle riprese di un film sul balletto e sulle mosse che hanno imparato.</v>
      </c>
    </row>
    <row r="1310">
      <c r="A1310" s="4" t="s">
        <v>1651</v>
      </c>
      <c r="B1310" s="4" t="s">
        <v>1654</v>
      </c>
      <c r="C1310" s="5" t="str">
        <f>IFERROR(__xludf.DUMMYFUNCTION("GOOGLETRANSLATE(B1310,""en"",""it"")"),"Le ballerine si stanno muovendo attorno al set mentre la fotocamera è girata.")</f>
        <v>Le ballerine si stanno muovendo attorno al set mentre la fotocamera è girata.</v>
      </c>
    </row>
    <row r="1311">
      <c r="A1311" s="4" t="s">
        <v>1651</v>
      </c>
      <c r="B1311" s="4" t="s">
        <v>1655</v>
      </c>
      <c r="C1311" s="5" t="str">
        <f>IFERROR(__xludf.DUMMYFUNCTION("GOOGLETRANSLATE(B1311,""en"",""it"")"),"Gli attori continuano a parlare di trucchi e di ciò che hanno imparato.")</f>
        <v>Gli attori continuano a parlare di trucchi e di ciò che hanno imparato.</v>
      </c>
    </row>
    <row r="1312">
      <c r="A1312" s="4" t="s">
        <v>1651</v>
      </c>
      <c r="B1312" s="4" t="s">
        <v>1656</v>
      </c>
      <c r="C1312" s="5" t="str">
        <f>IFERROR(__xludf.DUMMYFUNCTION("GOOGLETRANSLATE(B1312,""en"",""it"")"),"Un uomo suona il violino mentre viene girata la scena finale e tutti ballano.")</f>
        <v>Un uomo suona il violino mentre viene girata la scena finale e tutti ballano.</v>
      </c>
    </row>
    <row r="1313">
      <c r="A1313" s="4" t="s">
        <v>1657</v>
      </c>
      <c r="B1313" s="6" t="s">
        <v>1658</v>
      </c>
      <c r="C1313" s="5" t="str">
        <f>IFERROR(__xludf.DUMMYFUNCTION("GOOGLETRANSLATE(B1313,""en"",""it"")"),"Vari articoli sono mostrati su un pavimento e conducono in una donna che regge i prodotti e parla alla telecamera.")</f>
        <v>Vari articoli sono mostrati su un pavimento e conducono in una donna che regge i prodotti e parla alla telecamera.</v>
      </c>
    </row>
    <row r="1314">
      <c r="A1314" s="4" t="s">
        <v>1657</v>
      </c>
      <c r="B1314" s="4" t="s">
        <v>1659</v>
      </c>
      <c r="C1314" s="5" t="str">
        <f>IFERROR(__xludf.DUMMYFUNCTION("GOOGLETRANSLATE(B1314,""en"",""it"")"),"Alza la scarpa e le luci si abbinano al lucido.")</f>
        <v>Alza la scarpa e le luci si abbinano al lucido.</v>
      </c>
    </row>
    <row r="1315">
      <c r="A1315" s="4" t="s">
        <v>1657</v>
      </c>
      <c r="B1315" s="4" t="s">
        <v>1660</v>
      </c>
      <c r="C1315" s="5" t="str">
        <f>IFERROR(__xludf.DUMMYFUNCTION("GOOGLETRANSLATE(B1315,""en"",""it"")"),"Quindi prende uno straccio e corre sopra lo stivale con lo smalto in piccoli cerchi.")</f>
        <v>Quindi prende uno straccio e corre sopra lo stivale con lo smalto in piccoli cerchi.</v>
      </c>
    </row>
    <row r="1316">
      <c r="A1316" s="4" t="s">
        <v>1661</v>
      </c>
      <c r="B1316" s="4" t="s">
        <v>1662</v>
      </c>
      <c r="C1316" s="5" t="str">
        <f>IFERROR(__xludf.DUMMYFUNCTION("GOOGLETRANSLATE(B1316,""en"",""it"")"),"Viene visualizzata una foto ancora della schiena di un individuo.")</f>
        <v>Viene visualizzata una foto ancora della schiena di un individuo.</v>
      </c>
    </row>
    <row r="1317">
      <c r="A1317" s="4" t="s">
        <v>1661</v>
      </c>
      <c r="B1317" s="4" t="s">
        <v>1663</v>
      </c>
      <c r="C1317" s="5" t="str">
        <f>IFERROR(__xludf.DUMMYFUNCTION("GOOGLETRANSLATE(B1317,""en"",""it"")"),"Una sorta di articolo viene mostrata in primo piano.")</f>
        <v>Una sorta di articolo viene mostrata in primo piano.</v>
      </c>
    </row>
    <row r="1318">
      <c r="A1318" s="4" t="s">
        <v>1661</v>
      </c>
      <c r="B1318" s="4" t="s">
        <v>1664</v>
      </c>
      <c r="C1318" s="5" t="str">
        <f>IFERROR(__xludf.DUMMYFUNCTION("GOOGLETRANSLATE(B1318,""en"",""it"")"),"Un uomo e una donna parlano con la telecamera in un telegiornale.")</f>
        <v>Un uomo e una donna parlano con la telecamera in un telegiornale.</v>
      </c>
    </row>
    <row r="1319">
      <c r="A1319" s="4" t="s">
        <v>1661</v>
      </c>
      <c r="B1319" s="4" t="s">
        <v>1665</v>
      </c>
      <c r="C1319" s="5" t="str">
        <f>IFERROR(__xludf.DUMMYFUNCTION("GOOGLETRANSLATE(B1319,""en"",""it"")"),"Le scene dei partecipanti alla spiaggia estiva sono mostrate in un contesto di notizie.")</f>
        <v>Le scene dei partecipanti alla spiaggia estiva sono mostrate in un contesto di notizie.</v>
      </c>
    </row>
    <row r="1320">
      <c r="A1320" s="4" t="s">
        <v>1661</v>
      </c>
      <c r="B1320" s="4" t="s">
        <v>1666</v>
      </c>
      <c r="C1320" s="5" t="str">
        <f>IFERROR(__xludf.DUMMYFUNCTION("GOOGLETRANSLATE(B1320,""en"",""it"")"),"Viene mostrato un uomo che cammina vicino a una barca con cani.")</f>
        <v>Viene mostrato un uomo che cammina vicino a una barca con cani.</v>
      </c>
    </row>
    <row r="1321">
      <c r="A1321" s="4" t="s">
        <v>1661</v>
      </c>
      <c r="B1321" s="4" t="s">
        <v>1667</v>
      </c>
      <c r="C1321" s="5" t="str">
        <f>IFERROR(__xludf.DUMMYFUNCTION("GOOGLETRANSLATE(B1321,""en"",""it"")"),"L'uomo è mostrato vicino a una griglia.")</f>
        <v>L'uomo è mostrato vicino a una griglia.</v>
      </c>
    </row>
    <row r="1322">
      <c r="A1322" s="4" t="s">
        <v>1661</v>
      </c>
      <c r="B1322" s="4" t="s">
        <v>1668</v>
      </c>
      <c r="C1322" s="5" t="str">
        <f>IFERROR(__xludf.DUMMYFUNCTION("GOOGLETRANSLATE(B1322,""en"",""it"")"),"Un rapido taglio di un oggetto da prima viene mostrato da vicino.")</f>
        <v>Un rapido taglio di un oggetto da prima viene mostrato da vicino.</v>
      </c>
    </row>
    <row r="1323">
      <c r="A1323" s="4" t="s">
        <v>1661</v>
      </c>
      <c r="B1323" s="4" t="s">
        <v>1669</v>
      </c>
      <c r="C1323" s="5" t="str">
        <f>IFERROR(__xludf.DUMMYFUNCTION("GOOGLETRANSLATE(B1323,""en"",""it"")"),"L'uomo viene intervistato mentre era seduto, con un rapido taglio di lui che cammina.")</f>
        <v>L'uomo viene intervistato mentre era seduto, con un rapido taglio di lui che cammina.</v>
      </c>
    </row>
    <row r="1324">
      <c r="A1324" s="4" t="s">
        <v>1661</v>
      </c>
      <c r="B1324" s="4" t="s">
        <v>1670</v>
      </c>
      <c r="C1324" s="5" t="str">
        <f>IFERROR(__xludf.DUMMYFUNCTION("GOOGLETRANSLATE(B1324,""en"",""it"")"),"L'uomo si rimuove la camicia.")</f>
        <v>L'uomo si rimuove la camicia.</v>
      </c>
    </row>
    <row r="1325">
      <c r="A1325" s="4" t="s">
        <v>1661</v>
      </c>
      <c r="B1325" s="4" t="s">
        <v>1671</v>
      </c>
      <c r="C1325" s="5" t="str">
        <f>IFERROR(__xludf.DUMMYFUNCTION("GOOGLETRANSLATE(B1325,""en"",""it"")"),"Vengono visualizzate più scene ravvicinate dell'articolo.")</f>
        <v>Vengono visualizzate più scene ravvicinate dell'articolo.</v>
      </c>
    </row>
    <row r="1326">
      <c r="A1326" s="4" t="s">
        <v>1661</v>
      </c>
      <c r="B1326" s="4" t="s">
        <v>1672</v>
      </c>
      <c r="C1326" s="5" t="str">
        <f>IFERROR(__xludf.DUMMYFUNCTION("GOOGLETRANSLATE(B1326,""en"",""it"")"),"Vengono visualizzate immagini e video di danni alla pelle.")</f>
        <v>Vengono visualizzate immagini e video di danni alla pelle.</v>
      </c>
    </row>
    <row r="1327">
      <c r="A1327" s="4" t="s">
        <v>1661</v>
      </c>
      <c r="B1327" s="4" t="s">
        <v>1673</v>
      </c>
      <c r="C1327" s="5" t="str">
        <f>IFERROR(__xludf.DUMMYFUNCTION("GOOGLETRANSLATE(B1327,""en"",""it"")"),"L'uomo parla in un ambiente interno.")</f>
        <v>L'uomo parla in un ambiente interno.</v>
      </c>
    </row>
    <row r="1328">
      <c r="A1328" s="4" t="s">
        <v>1661</v>
      </c>
      <c r="B1328" s="4" t="s">
        <v>1674</v>
      </c>
      <c r="C1328" s="5" t="str">
        <f>IFERROR(__xludf.DUMMYFUNCTION("GOOGLETRANSLATE(B1328,""en"",""it"")"),"Viene mostrata un'altra immagine ancora dell'articolo.")</f>
        <v>Viene mostrata un'altra immagine ancora dell'articolo.</v>
      </c>
    </row>
    <row r="1329">
      <c r="A1329" s="4" t="s">
        <v>1661</v>
      </c>
      <c r="B1329" s="4" t="s">
        <v>1675</v>
      </c>
      <c r="C1329" s="5" t="str">
        <f>IFERROR(__xludf.DUMMYFUNCTION("GOOGLETRANSLATE(B1329,""en"",""it"")"),"L'uomo viene intervistato di nuovo seduto.")</f>
        <v>L'uomo viene intervistato di nuovo seduto.</v>
      </c>
    </row>
    <row r="1330">
      <c r="A1330" s="4" t="s">
        <v>1661</v>
      </c>
      <c r="B1330" s="4" t="s">
        <v>1676</v>
      </c>
      <c r="C1330" s="5" t="str">
        <f>IFERROR(__xludf.DUMMYFUNCTION("GOOGLETRANSLATE(B1330,""en"",""it"")"),"Viene mostrato uno schermo fisso di testo.")</f>
        <v>Viene mostrato uno schermo fisso di testo.</v>
      </c>
    </row>
    <row r="1331">
      <c r="A1331" s="4" t="s">
        <v>1661</v>
      </c>
      <c r="B1331" s="4" t="s">
        <v>1677</v>
      </c>
      <c r="C1331" s="5" t="str">
        <f>IFERROR(__xludf.DUMMYFUNCTION("GOOGLETRANSLATE(B1331,""en"",""it"")"),"Un uomo diverso parla con la telecamera mentre un logo viene mostrato accanto a lui.")</f>
        <v>Un uomo diverso parla con la telecamera mentre un logo viene mostrato accanto a lui.</v>
      </c>
    </row>
    <row r="1332">
      <c r="A1332" s="4" t="s">
        <v>1661</v>
      </c>
      <c r="B1332" s="4" t="s">
        <v>1678</v>
      </c>
      <c r="C1332" s="5" t="str">
        <f>IFERROR(__xludf.DUMMYFUNCTION("GOOGLETRANSLATE(B1332,""en"",""it"")"),"Viene mostrata una pagina web sul primo uomo.")</f>
        <v>Viene mostrata una pagina web sul primo uomo.</v>
      </c>
    </row>
    <row r="1333">
      <c r="A1333" s="4" t="s">
        <v>1679</v>
      </c>
      <c r="B1333" s="4" t="s">
        <v>1680</v>
      </c>
      <c r="C1333" s="5" t="str">
        <f>IFERROR(__xludf.DUMMYFUNCTION("GOOGLETRANSLATE(B1333,""en"",""it"")"),"Un uomo balla su un palco con una camicia gialla.")</f>
        <v>Un uomo balla su un palco con una camicia gialla.</v>
      </c>
    </row>
    <row r="1334">
      <c r="A1334" s="4" t="s">
        <v>1679</v>
      </c>
      <c r="B1334" s="4" t="s">
        <v>1681</v>
      </c>
      <c r="C1334" s="5" t="str">
        <f>IFERROR(__xludf.DUMMYFUNCTION("GOOGLETRANSLATE(B1334,""en"",""it"")"),"Le persone tra il pubblico che lo guardano ballano con lui.")</f>
        <v>Le persone tra il pubblico che lo guardano ballano con lui.</v>
      </c>
    </row>
    <row r="1335">
      <c r="A1335" s="4" t="s">
        <v>1679</v>
      </c>
      <c r="B1335" s="4" t="s">
        <v>1682</v>
      </c>
      <c r="C1335" s="5" t="str">
        <f>IFERROR(__xludf.DUMMYFUNCTION("GOOGLETRANSLATE(B1335,""en"",""it"")"),"Un uomo cammina davanti alla folla.")</f>
        <v>Un uomo cammina davanti alla folla.</v>
      </c>
    </row>
    <row r="1336">
      <c r="A1336" s="4" t="s">
        <v>1683</v>
      </c>
      <c r="B1336" s="4" t="s">
        <v>1684</v>
      </c>
      <c r="C1336" s="5" t="str">
        <f>IFERROR(__xludf.DUMMYFUNCTION("GOOGLETRANSLATE(B1336,""en"",""it"")"),"Un cavallo prende a calci un uomo con una camicia rossa.")</f>
        <v>Un cavallo prende a calci un uomo con una camicia rossa.</v>
      </c>
    </row>
    <row r="1337">
      <c r="A1337" s="4" t="s">
        <v>1683</v>
      </c>
      <c r="B1337" s="4" t="s">
        <v>1685</v>
      </c>
      <c r="C1337" s="5" t="str">
        <f>IFERROR(__xludf.DUMMYFUNCTION("GOOGLETRANSLATE(B1337,""en"",""it"")"),"Una ragazza con una camicia grigia viene gettata da un cavallo.")</f>
        <v>Una ragazza con una camicia grigia viene gettata da un cavallo.</v>
      </c>
    </row>
    <row r="1338">
      <c r="A1338" s="4" t="s">
        <v>1683</v>
      </c>
      <c r="B1338" s="4" t="s">
        <v>1686</v>
      </c>
      <c r="C1338" s="5" t="str">
        <f>IFERROR(__xludf.DUMMYFUNCTION("GOOGLETRANSLATE(B1338,""en"",""it"")"),"Un uomo che cavalca un cavallo viene buttato via.")</f>
        <v>Un uomo che cavalca un cavallo viene buttato via.</v>
      </c>
    </row>
    <row r="1339">
      <c r="A1339" s="4" t="s">
        <v>1683</v>
      </c>
      <c r="B1339" s="4" t="s">
        <v>1687</v>
      </c>
      <c r="C1339" s="5" t="str">
        <f>IFERROR(__xludf.DUMMYFUNCTION("GOOGLETRANSLATE(B1339,""en"",""it"")"),"Un cavallo si rivolge all'indietro con una persona sopra.")</f>
        <v>Un cavallo si rivolge all'indietro con una persona sopra.</v>
      </c>
    </row>
    <row r="1340">
      <c r="A1340" s="4" t="s">
        <v>1683</v>
      </c>
      <c r="B1340" s="4" t="s">
        <v>1688</v>
      </c>
      <c r="C1340" s="5" t="str">
        <f>IFERROR(__xludf.DUMMYFUNCTION("GOOGLETRANSLATE(B1340,""en"",""it"")"),"Un uomo sta cavalcando un cavallo e vola via.")</f>
        <v>Un uomo sta cavalcando un cavallo e vola via.</v>
      </c>
    </row>
    <row r="1341">
      <c r="A1341" s="4" t="s">
        <v>1683</v>
      </c>
      <c r="B1341" s="4" t="s">
        <v>1689</v>
      </c>
      <c r="C1341" s="5" t="str">
        <f>IFERROR(__xludf.DUMMYFUNCTION("GOOGLETRANSLATE(B1341,""en"",""it"")"),"Un cavallo bianco manca un salto e la persona cade.")</f>
        <v>Un cavallo bianco manca un salto e la persona cade.</v>
      </c>
    </row>
    <row r="1342">
      <c r="A1342" s="4" t="s">
        <v>1683</v>
      </c>
      <c r="B1342" s="4" t="s">
        <v>1690</v>
      </c>
      <c r="C1342" s="5" t="str">
        <f>IFERROR(__xludf.DUMMYFUNCTION("GOOGLETRANSLATE(B1342,""en"",""it"")"),"Un uomo viene colpito da una corda mentre insegue un vitello.")</f>
        <v>Un uomo viene colpito da una corda mentre insegue un vitello.</v>
      </c>
    </row>
    <row r="1343">
      <c r="A1343" s="4" t="s">
        <v>1683</v>
      </c>
      <c r="B1343" s="4" t="s">
        <v>1691</v>
      </c>
      <c r="C1343" s="5" t="str">
        <f>IFERROR(__xludf.DUMMYFUNCTION("GOOGLETRANSLATE(B1343,""en"",""it"")"),"Un cavallo si blocca la testa in un bidone della spazzatura.")</f>
        <v>Un cavallo si blocca la testa in un bidone della spazzatura.</v>
      </c>
    </row>
    <row r="1344">
      <c r="A1344" s="4" t="s">
        <v>1692</v>
      </c>
      <c r="B1344" s="4" t="s">
        <v>1693</v>
      </c>
      <c r="C1344" s="5" t="str">
        <f>IFERROR(__xludf.DUMMYFUNCTION("GOOGLETRANSLATE(B1344,""en"",""it"")"),"Le parole ""Come pilotare un aquilone senza vento"" compaiono su uno schermo nero.")</f>
        <v>Le parole "Come pilotare un aquilone senza vento" compaiono su uno schermo nero.</v>
      </c>
    </row>
    <row r="1345">
      <c r="A1345" s="4" t="s">
        <v>1692</v>
      </c>
      <c r="B1345" s="4" t="s">
        <v>1694</v>
      </c>
      <c r="C1345" s="5" t="str">
        <f>IFERROR(__xludf.DUMMYFUNCTION("GOOGLETRANSLATE(B1345,""en"",""it"")"),"L'uomo che indossa una maglietta gialla appare in un grande campo suburbano.")</f>
        <v>L'uomo che indossa una maglietta gialla appare in un grande campo suburbano.</v>
      </c>
    </row>
    <row r="1346">
      <c r="A1346" s="4" t="s">
        <v>1692</v>
      </c>
      <c r="B1346" s="4" t="s">
        <v>1695</v>
      </c>
      <c r="C1346" s="5" t="str">
        <f>IFERROR(__xludf.DUMMYFUNCTION("GOOGLETRANSLATE(B1346,""en"",""it"")"),"L'uomo mette insieme un aquilone color arcobaleno con lunghe code gialle.")</f>
        <v>L'uomo mette insieme un aquilone color arcobaleno con lunghe code gialle.</v>
      </c>
    </row>
    <row r="1347">
      <c r="A1347" s="4" t="s">
        <v>1692</v>
      </c>
      <c r="B1347" s="4" t="s">
        <v>1696</v>
      </c>
      <c r="C1347" s="5" t="str">
        <f>IFERROR(__xludf.DUMMYFUNCTION("GOOGLETRANSLATE(B1347,""en"",""it"")"),"L'uomo guida un piccolo trattore di falciatura verde mentre tiene la corda dell'aquilone mentre vola sopra.")</f>
        <v>L'uomo guida un piccolo trattore di falciatura verde mentre tiene la corda dell'aquilone mentre vola sopra.</v>
      </c>
    </row>
    <row r="1348">
      <c r="A1348" s="4" t="s">
        <v>1692</v>
      </c>
      <c r="B1348" s="4" t="s">
        <v>1697</v>
      </c>
      <c r="C1348" s="5" t="str">
        <f>IFERROR(__xludf.DUMMYFUNCTION("GOOGLETRANSLATE(B1348,""en"",""it"")"),"Una giovane donna parla sullo schermo e poi guida il trattore mentre tiene l'aquilone volante.")</f>
        <v>Una giovane donna parla sullo schermo e poi guida il trattore mentre tiene l'aquilone volante.</v>
      </c>
    </row>
    <row r="1349">
      <c r="A1349" s="4" t="s">
        <v>1698</v>
      </c>
      <c r="B1349" s="6" t="s">
        <v>1699</v>
      </c>
      <c r="C1349" s="5" t="str">
        <f>IFERROR(__xludf.DUMMYFUNCTION("GOOGLETRANSLATE(B1349,""en"",""it"")"),"Una bambina viene mostrata giocando a tennis da tavolo, colpendo la palla molto rapidamente avanti e indietro sopra la rete.")</f>
        <v>Una bambina viene mostrata giocando a tennis da tavolo, colpendo la palla molto rapidamente avanti e indietro sopra la rete.</v>
      </c>
    </row>
    <row r="1350">
      <c r="A1350" s="4" t="s">
        <v>1698</v>
      </c>
      <c r="B1350" s="4" t="s">
        <v>1700</v>
      </c>
      <c r="C1350" s="5" t="str">
        <f>IFERROR(__xludf.DUMMYFUNCTION("GOOGLETRANSLATE(B1350,""en"",""it"")"),"Alcune palle le volano oltre, ma continua a colpire nuove palle senza fare una pausa.")</f>
        <v>Alcune palle le volano oltre, ma continua a colpire nuove palle senza fare una pausa.</v>
      </c>
    </row>
    <row r="1351">
      <c r="A1351" s="4" t="s">
        <v>1701</v>
      </c>
      <c r="B1351" s="4" t="s">
        <v>1702</v>
      </c>
      <c r="C1351" s="5" t="str">
        <f>IFERROR(__xludf.DUMMYFUNCTION("GOOGLETRANSLATE(B1351,""en"",""it"")"),"Un uomo si avvicina e alza le mani.")</f>
        <v>Un uomo si avvicina e alza le mani.</v>
      </c>
    </row>
    <row r="1352">
      <c r="A1352" s="4" t="s">
        <v>1701</v>
      </c>
      <c r="B1352" s="4" t="s">
        <v>1703</v>
      </c>
      <c r="C1352" s="5" t="str">
        <f>IFERROR(__xludf.DUMMYFUNCTION("GOOGLETRANSLATE(B1352,""en"",""it"")"),"L'uomo cammina per le sbarre, si estende e si trova lì.")</f>
        <v>L'uomo cammina per le sbarre, si estende e si trova lì.</v>
      </c>
    </row>
    <row r="1353">
      <c r="A1353" s="4" t="s">
        <v>1701</v>
      </c>
      <c r="B1353" s="4" t="s">
        <v>1704</v>
      </c>
      <c r="C1353" s="5" t="str">
        <f>IFERROR(__xludf.DUMMYFUNCTION("GOOGLETRANSLATE(B1353,""en"",""it"")"),"L'uomo monta le barre e inizia a girare.")</f>
        <v>L'uomo monta le barre e inizia a girare.</v>
      </c>
    </row>
    <row r="1354">
      <c r="A1354" s="4" t="s">
        <v>1701</v>
      </c>
      <c r="B1354" s="4" t="s">
        <v>1705</v>
      </c>
      <c r="C1354" s="5" t="str">
        <f>IFERROR(__xludf.DUMMYFUNCTION("GOOGLETRANSLATE(B1354,""en"",""it"")"),"L'uomo capovolge e smontato.")</f>
        <v>L'uomo capovolge e smontato.</v>
      </c>
    </row>
    <row r="1355">
      <c r="A1355" s="4" t="s">
        <v>1701</v>
      </c>
      <c r="B1355" s="4" t="s">
        <v>1706</v>
      </c>
      <c r="C1355" s="5" t="str">
        <f>IFERROR(__xludf.DUMMYFUNCTION("GOOGLETRANSLATE(B1355,""en"",""it"")"),"L'uomo si allontana dai bar.")</f>
        <v>L'uomo si allontana dai bar.</v>
      </c>
    </row>
    <row r="1356">
      <c r="A1356" s="4" t="s">
        <v>1707</v>
      </c>
      <c r="B1356" s="4" t="s">
        <v>1708</v>
      </c>
      <c r="C1356" s="5" t="str">
        <f>IFERROR(__xludf.DUMMYFUNCTION("GOOGLETRANSLATE(B1356,""en"",""it"")"),"Una donna parla, poi tiene il tubo di un vuoto e punta l'ugello.")</f>
        <v>Una donna parla, poi tiene il tubo di un vuoto e punta l'ugello.</v>
      </c>
    </row>
    <row r="1357">
      <c r="A1357" s="4" t="s">
        <v>1707</v>
      </c>
      <c r="B1357" s="4" t="s">
        <v>1709</v>
      </c>
      <c r="C1357" s="5" t="str">
        <f>IFERROR(__xludf.DUMMYFUNCTION("GOOGLETRANSLATE(B1357,""en"",""it"")"),"La donna aspirano lo sporco su un tappeto, quindi estende il tubo mentre spiega.")</f>
        <v>La donna aspirano lo sporco su un tappeto, quindi estende il tubo mentre spiega.</v>
      </c>
    </row>
    <row r="1358">
      <c r="A1358" s="4" t="s">
        <v>1707</v>
      </c>
      <c r="B1358" s="6" t="s">
        <v>1710</v>
      </c>
      <c r="C1358" s="5" t="str">
        <f>IFERROR(__xludf.DUMMYFUNCTION("GOOGLETRANSLATE(B1358,""en"",""it"")"),"Quindi, la donna mette un piccolo ugello e aspira un divano, quindi spiega come rimuovere il contenitore della polvere.")</f>
        <v>Quindi, la donna mette un piccolo ugello e aspira un divano, quindi spiega come rimuovere il contenitore della polvere.</v>
      </c>
    </row>
    <row r="1359">
      <c r="A1359" s="4" t="s">
        <v>1707</v>
      </c>
      <c r="B1359" s="4" t="s">
        <v>1711</v>
      </c>
      <c r="C1359" s="5" t="str">
        <f>IFERROR(__xludf.DUMMYFUNCTION("GOOGLETRANSLATE(B1359,""en"",""it"")"),"La donna continua a spiegare accanto al vuoto.")</f>
        <v>La donna continua a spiegare accanto al vuoto.</v>
      </c>
    </row>
    <row r="1360">
      <c r="A1360" s="4" t="s">
        <v>1712</v>
      </c>
      <c r="B1360" s="4" t="s">
        <v>1713</v>
      </c>
      <c r="C1360" s="5" t="str">
        <f>IFERROR(__xludf.DUMMYFUNCTION("GOOGLETRANSLATE(B1360,""en"",""it"")"),"Due uomini stanno cavalcando cavalli in un campo polveroso in montagna.")</f>
        <v>Due uomini stanno cavalcando cavalli in un campo polveroso in montagna.</v>
      </c>
    </row>
    <row r="1361">
      <c r="A1361" s="4" t="s">
        <v>1712</v>
      </c>
      <c r="B1361" s="4" t="s">
        <v>1714</v>
      </c>
      <c r="C1361" s="5" t="str">
        <f>IFERROR(__xludf.DUMMYFUNCTION("GOOGLETRANSLATE(B1361,""en"",""it"")"),"Gli uomini e una donna che indossano kufiyyas in testa sono in piedi sul dessert accanto ai cavalli.")</f>
        <v>Gli uomini e una donna che indossano kufiyyas in testa sono in piedi sul dessert accanto ai cavalli.</v>
      </c>
    </row>
    <row r="1362">
      <c r="A1362" s="4" t="s">
        <v>1712</v>
      </c>
      <c r="B1362" s="6" t="s">
        <v>1715</v>
      </c>
      <c r="C1362" s="5" t="str">
        <f>IFERROR(__xludf.DUMMYFUNCTION("GOOGLETRANSLATE(B1362,""en"",""it"")"),"Viene mostrato dessert con montagne in lontananza e gli uomini sono in piedi accanto a un bambino cavalcano i cavalli e stanno andando nel deserto.")</f>
        <v>Viene mostrato dessert con montagne in lontananza e gli uomini sono in piedi accanto a un bambino cavalcano i cavalli e stanno andando nel deserto.</v>
      </c>
    </row>
    <row r="1363">
      <c r="A1363" s="4" t="s">
        <v>1716</v>
      </c>
      <c r="B1363" s="4" t="s">
        <v>1717</v>
      </c>
      <c r="C1363" s="5" t="str">
        <f>IFERROR(__xludf.DUMMYFUNCTION("GOOGLETRANSLATE(B1363,""en"",""it"")"),"Un uomo e una donna sono in piedi in un bar.")</f>
        <v>Un uomo e una donna sono in piedi in un bar.</v>
      </c>
    </row>
    <row r="1364">
      <c r="A1364" s="4" t="s">
        <v>1716</v>
      </c>
      <c r="B1364" s="4" t="s">
        <v>1718</v>
      </c>
      <c r="C1364" s="5" t="str">
        <f>IFERROR(__xludf.DUMMYFUNCTION("GOOGLETRANSLATE(B1364,""en"",""it"")"),"Vediamo l'uomo e una donna ballroom ballare.")</f>
        <v>Vediamo l'uomo e una donna ballroom ballare.</v>
      </c>
    </row>
    <row r="1365">
      <c r="A1365" s="4" t="s">
        <v>1716</v>
      </c>
      <c r="B1365" s="4" t="s">
        <v>1719</v>
      </c>
      <c r="C1365" s="5" t="str">
        <f>IFERROR(__xludf.DUMMYFUNCTION("GOOGLETRANSLATE(B1365,""en"",""it"")"),"La signora le prende la gamba dietro e di fronte a lei.")</f>
        <v>La signora le prende la gamba dietro e di fronte a lei.</v>
      </c>
    </row>
    <row r="1366">
      <c r="A1366" s="4" t="s">
        <v>1716</v>
      </c>
      <c r="B1366" s="4" t="s">
        <v>1720</v>
      </c>
      <c r="C1366" s="5" t="str">
        <f>IFERROR(__xludf.DUMMYFUNCTION("GOOGLETRANSLATE(B1366,""en"",""it"")"),"Ingrandiamo le gambe dei ballerini.")</f>
        <v>Ingrandiamo le gambe dei ballerini.</v>
      </c>
    </row>
    <row r="1367">
      <c r="A1367" s="4" t="s">
        <v>1716</v>
      </c>
      <c r="B1367" s="4" t="s">
        <v>1721</v>
      </c>
      <c r="C1367" s="5" t="str">
        <f>IFERROR(__xludf.DUMMYFUNCTION("GOOGLETRANSLATE(B1367,""en"",""it"")"),"La fotocamera si sfocava e la scena termina.")</f>
        <v>La fotocamera si sfocava e la scena termina.</v>
      </c>
    </row>
    <row r="1368">
      <c r="A1368" s="4" t="s">
        <v>1722</v>
      </c>
      <c r="B1368" s="4" t="s">
        <v>1723</v>
      </c>
      <c r="C1368" s="5" t="str">
        <f>IFERROR(__xludf.DUMMYFUNCTION("GOOGLETRANSLATE(B1368,""en"",""it"")"),"Un mucchio di femmine viene mostrato giocando una partita di polo in una piscina interna.")</f>
        <v>Un mucchio di femmine viene mostrato giocando una partita di polo in una piscina interna.</v>
      </c>
    </row>
    <row r="1369">
      <c r="A1369" s="4" t="s">
        <v>1722</v>
      </c>
      <c r="B1369" s="4" t="s">
        <v>1724</v>
      </c>
      <c r="C1369" s="5" t="str">
        <f>IFERROR(__xludf.DUMMYFUNCTION("GOOGLETRANSLATE(B1369,""en"",""it"")"),"Sembra essere un torneo in quanto sono altamente competitivi e vanno fuori.")</f>
        <v>Sembra essere un torneo in quanto sono altamente competitivi e vanno fuori.</v>
      </c>
    </row>
    <row r="1370">
      <c r="A1370" s="4" t="s">
        <v>1722</v>
      </c>
      <c r="B1370" s="4" t="s">
        <v>1725</v>
      </c>
      <c r="C1370" s="5" t="str">
        <f>IFERROR(__xludf.DUMMYFUNCTION("GOOGLETRANSLATE(B1370,""en"",""it"")"),"Vari scatti dell'azione sono mostrati in movimento normale e al rallentatore.")</f>
        <v>Vari scatti dell'azione sono mostrati in movimento normale e al rallentatore.</v>
      </c>
    </row>
    <row r="1371">
      <c r="A1371" s="4" t="s">
        <v>1722</v>
      </c>
      <c r="B1371" s="6" t="s">
        <v>1726</v>
      </c>
      <c r="C1371" s="5" t="str">
        <f>IFERROR(__xludf.DUMMYFUNCTION("GOOGLETRANSLATE(B1371,""en"",""it"")"),"La partita sembra diventare molto tesa poiché entrambe le squadre stanno facendo del loro meglio per segnare ed entrambi i portieri hanno messo in grande difesa.")</f>
        <v>La partita sembra diventare molto tesa poiché entrambe le squadre stanno facendo del loro meglio per segnare ed entrambi i portieri hanno messo in grande difesa.</v>
      </c>
    </row>
    <row r="1372">
      <c r="A1372" s="4" t="s">
        <v>1722</v>
      </c>
      <c r="B1372" s="4" t="s">
        <v>1727</v>
      </c>
      <c r="C1372" s="5" t="str">
        <f>IFERROR(__xludf.DUMMYFUNCTION("GOOGLETRANSLATE(B1372,""en"",""it"")"),"Una ragazza che ha giocato nella partita viene quindi mostrata con tutta la sua famiglia mentre scattano una foto.")</f>
        <v>Una ragazza che ha giocato nella partita viene quindi mostrata con tutta la sua famiglia mentre scattano una foto.</v>
      </c>
    </row>
    <row r="1373">
      <c r="A1373" s="4" t="s">
        <v>1728</v>
      </c>
      <c r="B1373" s="4" t="s">
        <v>1729</v>
      </c>
      <c r="C1373" s="5" t="str">
        <f>IFERROR(__xludf.DUMMYFUNCTION("GOOGLETRANSLATE(B1373,""en"",""it"")"),"Un uomo si avvicina a un tronco in piedi vicino a un po 'di sporcizia.")</f>
        <v>Un uomo si avvicina a un tronco in piedi vicino a un po 'di sporcizia.</v>
      </c>
    </row>
    <row r="1374">
      <c r="A1374" s="4" t="s">
        <v>1728</v>
      </c>
      <c r="B1374" s="4" t="s">
        <v>1730</v>
      </c>
      <c r="C1374" s="5" t="str">
        <f>IFERROR(__xludf.DUMMYFUNCTION("GOOGLETRANSLATE(B1374,""en"",""it"")"),"Afferra un'ascia seduta sulla terra.")</f>
        <v>Afferra un'ascia seduta sulla terra.</v>
      </c>
    </row>
    <row r="1375">
      <c r="A1375" s="4" t="s">
        <v>1728</v>
      </c>
      <c r="B1375" s="4" t="s">
        <v>1731</v>
      </c>
      <c r="C1375" s="5" t="str">
        <f>IFERROR(__xludf.DUMMYFUNCTION("GOOGLETRANSLATE(B1375,""en"",""it"")"),"Prende l'ascia e taglia il bagagliaio a metà.")</f>
        <v>Prende l'ascia e taglia il bagagliaio a metà.</v>
      </c>
    </row>
    <row r="1376">
      <c r="A1376" s="4" t="s">
        <v>1728</v>
      </c>
      <c r="B1376" s="4" t="s">
        <v>1732</v>
      </c>
      <c r="C1376" s="5" t="str">
        <f>IFERROR(__xludf.DUMMYFUNCTION("GOOGLETRANSLATE(B1376,""en"",""it"")"),"Il bagagliaio cade e raccoglie una delle metà.")</f>
        <v>Il bagagliaio cade e raccoglie una delle metà.</v>
      </c>
    </row>
    <row r="1377">
      <c r="A1377" s="4" t="s">
        <v>1728</v>
      </c>
      <c r="B1377" s="4" t="s">
        <v>1733</v>
      </c>
      <c r="C1377" s="5" t="str">
        <f>IFERROR(__xludf.DUMMYFUNCTION("GOOGLETRANSLATE(B1377,""en"",""it"")"),"Porta l'ascia al tronco e la taglia a metà.")</f>
        <v>Porta l'ascia al tronco e la taglia a metà.</v>
      </c>
    </row>
    <row r="1378">
      <c r="A1378" s="4" t="s">
        <v>1728</v>
      </c>
      <c r="B1378" s="4" t="s">
        <v>1734</v>
      </c>
      <c r="C1378" s="5" t="str">
        <f>IFERROR(__xludf.DUMMYFUNCTION("GOOGLETRANSLATE(B1378,""en"",""it"")"),"Strada l'altro tronco e lo taglia a metà.")</f>
        <v>Strada l'altro tronco e lo taglia a metà.</v>
      </c>
    </row>
    <row r="1379">
      <c r="A1379" s="4" t="s">
        <v>1735</v>
      </c>
      <c r="B1379" s="4" t="s">
        <v>1736</v>
      </c>
      <c r="C1379" s="5" t="str">
        <f>IFERROR(__xludf.DUMMYFUNCTION("GOOGLETRANSLATE(B1379,""en"",""it"")"),"Due uomini sono in piedi al tavolo in posizione di wrestling del braccio.")</f>
        <v>Due uomini sono in piedi al tavolo in posizione di wrestling del braccio.</v>
      </c>
    </row>
    <row r="1380">
      <c r="A1380" s="4" t="s">
        <v>1735</v>
      </c>
      <c r="B1380" s="4" t="s">
        <v>1737</v>
      </c>
      <c r="C1380" s="5" t="str">
        <f>IFERROR(__xludf.DUMMYFUNCTION("GOOGLETRANSLATE(B1380,""en"",""it"")"),"Una donna sta posizionando gli uomini, tenendo le mani.")</f>
        <v>Una donna sta posizionando gli uomini, tenendo le mani.</v>
      </c>
    </row>
    <row r="1381">
      <c r="A1381" s="4" t="s">
        <v>1735</v>
      </c>
      <c r="B1381" s="4" t="s">
        <v>1738</v>
      </c>
      <c r="C1381" s="5" t="str">
        <f>IFERROR(__xludf.DUMMYFUNCTION("GOOGLETRANSLATE(B1381,""en"",""it"")"),"Un uomo senza occhiali si piega sul lato con il suo peso.")</f>
        <v>Un uomo senza occhiali si piega sul lato con il suo peso.</v>
      </c>
    </row>
    <row r="1382">
      <c r="A1382" s="4" t="s">
        <v>1735</v>
      </c>
      <c r="B1382" s="4" t="s">
        <v>1739</v>
      </c>
      <c r="C1382" s="5" t="str">
        <f>IFERROR(__xludf.DUMMYFUNCTION("GOOGLETRANSLATE(B1382,""en"",""it"")"),"L'uomo con il vetro posò la mano dell'altro uomo e vinse.")</f>
        <v>L'uomo con il vetro posò la mano dell'altro uomo e vinse.</v>
      </c>
    </row>
    <row r="1383">
      <c r="A1383" s="4" t="s">
        <v>1740</v>
      </c>
      <c r="B1383" s="4" t="s">
        <v>1741</v>
      </c>
      <c r="C1383" s="5" t="str">
        <f>IFERROR(__xludf.DUMMYFUNCTION("GOOGLETRANSLATE(B1383,""en"",""it"")"),"Le donne sono in piedi in una sala di allenamento.")</f>
        <v>Le donne sono in piedi in una sala di allenamento.</v>
      </c>
    </row>
    <row r="1384">
      <c r="A1384" s="4" t="s">
        <v>1740</v>
      </c>
      <c r="B1384" s="4" t="s">
        <v>1742</v>
      </c>
      <c r="C1384" s="5" t="str">
        <f>IFERROR(__xludf.DUMMYFUNCTION("GOOGLETRANSLATE(B1384,""en"",""it"")"),"Le donne stanno ballando la pancia.")</f>
        <v>Le donne stanno ballando la pancia.</v>
      </c>
    </row>
    <row r="1385">
      <c r="A1385" s="4" t="s">
        <v>1740</v>
      </c>
      <c r="B1385" s="4" t="s">
        <v>1743</v>
      </c>
      <c r="C1385" s="5" t="str">
        <f>IFERROR(__xludf.DUMMYFUNCTION("GOOGLETRANSLATE(B1385,""en"",""it"")"),"Le donne si immergono e gettano i capelli all'indietro.")</f>
        <v>Le donne si immergono e gettano i capelli all'indietro.</v>
      </c>
    </row>
    <row r="1386">
      <c r="A1386" s="4" t="s">
        <v>1740</v>
      </c>
      <c r="B1386" s="4" t="s">
        <v>1744</v>
      </c>
      <c r="C1386" s="5" t="str">
        <f>IFERROR(__xludf.DUMMYFUNCTION("GOOGLETRANSLATE(B1386,""en"",""it"")"),"Organificano i loro corpi immersi.")</f>
        <v>Organificano i loro corpi immersi.</v>
      </c>
    </row>
    <row r="1387">
      <c r="A1387" s="4" t="s">
        <v>1740</v>
      </c>
      <c r="B1387" s="4" t="s">
        <v>1745</v>
      </c>
      <c r="C1387" s="5" t="str">
        <f>IFERROR(__xludf.DUMMYFUNCTION("GOOGLETRANSLATE(B1387,""en"",""it"")"),"Le donne si immergono e si piegano all'indietro.")</f>
        <v>Le donne si immergono e si piegano all'indietro.</v>
      </c>
    </row>
    <row r="1388">
      <c r="A1388" s="4" t="s">
        <v>1740</v>
      </c>
      <c r="B1388" s="4" t="s">
        <v>1746</v>
      </c>
      <c r="C1388" s="5" t="str">
        <f>IFERROR(__xludf.DUMMYFUNCTION("GOOGLETRANSLATE(B1388,""en"",""it"")"),"Le donne si gettano avanti e indietro.")</f>
        <v>Le donne si gettano avanti e indietro.</v>
      </c>
    </row>
    <row r="1389">
      <c r="A1389" s="4" t="s">
        <v>1740</v>
      </c>
      <c r="B1389" s="4" t="s">
        <v>1747</v>
      </c>
      <c r="C1389" s="5" t="str">
        <f>IFERROR(__xludf.DUMMYFUNCTION("GOOGLETRANSLATE(B1389,""en"",""it"")"),"2:43 Un uomo è nella stanza nella parte posteriore e si piega.")</f>
        <v>2:43 Un uomo è nella stanza nella parte posteriore e si piega.</v>
      </c>
    </row>
    <row r="1390">
      <c r="A1390" s="4" t="s">
        <v>1740</v>
      </c>
      <c r="B1390" s="4" t="s">
        <v>1748</v>
      </c>
      <c r="C1390" s="5" t="str">
        <f>IFERROR(__xludf.DUMMYFUNCTION("GOOGLETRANSLATE(B1390,""en"",""it"")"),"Le donne finiscono di ballare e fare un inchino.")</f>
        <v>Le donne finiscono di ballare e fare un inchino.</v>
      </c>
    </row>
    <row r="1391">
      <c r="A1391" s="4" t="s">
        <v>1749</v>
      </c>
      <c r="B1391" s="4" t="s">
        <v>1750</v>
      </c>
      <c r="C1391" s="5" t="str">
        <f>IFERROR(__xludf.DUMMYFUNCTION("GOOGLETRANSLATE(B1391,""en"",""it"")"),"È una notte fuori in un ranch di cavalli e molte persone sono in piedi.")</f>
        <v>È una notte fuori in un ranch di cavalli e molte persone sono in piedi.</v>
      </c>
    </row>
    <row r="1392">
      <c r="A1392" s="4" t="s">
        <v>1749</v>
      </c>
      <c r="B1392" s="6" t="s">
        <v>1751</v>
      </c>
      <c r="C1392" s="5" t="str">
        <f>IFERROR(__xludf.DUMMYFUNCTION("GOOGLETRANSLATE(B1392,""en"",""it"")"),"All'improvviso un cavallo con un uomo che cavalcò su di lui inizia rapidamente a correre e c'è un vitello che corri al cavallo che corre di fronte a loro.")</f>
        <v>All'improvviso un cavallo con un uomo che cavalcò su di lui inizia rapidamente a correre e c'è un vitello che corri al cavallo che corre di fronte a loro.</v>
      </c>
    </row>
    <row r="1393">
      <c r="A1393" s="4" t="s">
        <v>1749</v>
      </c>
      <c r="B1393" s="4" t="s">
        <v>1752</v>
      </c>
      <c r="C1393" s="5" t="str">
        <f>IFERROR(__xludf.DUMMYFUNCTION("GOOGLETRANSLATE(B1393,""en"",""it"")"),"L'uomo Lassos il polpaccio, salta giù dal cavallo, getta il polpaccio su un fianco e lo lega rapidamente.")</f>
        <v>L'uomo Lassos il polpaccio, salta giù dal cavallo, getta il polpaccio su un fianco e lo lega rapidamente.</v>
      </c>
    </row>
    <row r="1394">
      <c r="A1394" s="4" t="s">
        <v>1749</v>
      </c>
      <c r="B1394" s="6" t="s">
        <v>1753</v>
      </c>
      <c r="C1394" s="5" t="str">
        <f>IFERROR(__xludf.DUMMYFUNCTION("GOOGLETRANSLATE(B1394,""en"",""it"")"),"L'uomo si alza, torna a cavallo, salta indietro e il cavallo inizia lentamente a camminare mentre il vitello sta cercando di alzarsi.")</f>
        <v>L'uomo si alza, torna a cavallo, salta indietro e il cavallo inizia lentamente a camminare mentre il vitello sta cercando di alzarsi.</v>
      </c>
    </row>
    <row r="1395">
      <c r="A1395" s="4" t="s">
        <v>1754</v>
      </c>
      <c r="B1395" s="4" t="s">
        <v>1755</v>
      </c>
      <c r="C1395" s="5" t="str">
        <f>IFERROR(__xludf.DUMMYFUNCTION("GOOGLETRANSLATE(B1395,""en"",""it"")"),"Vediamo uno schermo di apertura con una luna.")</f>
        <v>Vediamo uno schermo di apertura con una luna.</v>
      </c>
    </row>
    <row r="1396">
      <c r="A1396" s="4" t="s">
        <v>1754</v>
      </c>
      <c r="B1396" s="4" t="s">
        <v>1756</v>
      </c>
      <c r="C1396" s="5" t="str">
        <f>IFERROR(__xludf.DUMMYFUNCTION("GOOGLETRANSLATE(B1396,""en"",""it"")"),"Una signora sembra con in mano una zucca.")</f>
        <v>Una signora sembra con in mano una zucca.</v>
      </c>
    </row>
    <row r="1397">
      <c r="A1397" s="4" t="s">
        <v>1754</v>
      </c>
      <c r="B1397" s="4" t="s">
        <v>1757</v>
      </c>
      <c r="C1397" s="5" t="str">
        <f>IFERROR(__xludf.DUMMYFUNCTION("GOOGLETRANSLATE(B1397,""en"",""it"")"),"Vediamo la signora in basso a sinistra dello schermo parlare.")</f>
        <v>Vediamo la signora in basso a sinistra dello schermo parlare.</v>
      </c>
    </row>
    <row r="1398">
      <c r="A1398" s="4" t="s">
        <v>1754</v>
      </c>
      <c r="B1398" s="4" t="s">
        <v>1758</v>
      </c>
      <c r="C1398" s="5" t="str">
        <f>IFERROR(__xludf.DUMMYFUNCTION("GOOGLETRANSLATE(B1398,""en"",""it"")"),"Vediamo una persona aperta e pulire una zucca.")</f>
        <v>Vediamo una persona aperta e pulire una zucca.</v>
      </c>
    </row>
    <row r="1399">
      <c r="A1399" s="4" t="s">
        <v>1754</v>
      </c>
      <c r="B1399" s="4" t="s">
        <v>1759</v>
      </c>
      <c r="C1399" s="5" t="str">
        <f>IFERROR(__xludf.DUMMYFUNCTION("GOOGLETRANSLATE(B1399,""en"",""it"")"),"Vediamo la persona intagliare un disegno su una zucca.")</f>
        <v>Vediamo la persona intagliare un disegno su una zucca.</v>
      </c>
    </row>
    <row r="1400">
      <c r="A1400" s="4" t="s">
        <v>1754</v>
      </c>
      <c r="B1400" s="4" t="s">
        <v>1760</v>
      </c>
      <c r="C1400" s="5" t="str">
        <f>IFERROR(__xludf.DUMMYFUNCTION("GOOGLETRANSLATE(B1400,""en"",""it"")"),"Vediamo una persona disegnare sulla zucca con un pennarello nero.")</f>
        <v>Vediamo una persona disegnare sulla zucca con un pennarello nero.</v>
      </c>
    </row>
    <row r="1401">
      <c r="A1401" s="4" t="s">
        <v>1754</v>
      </c>
      <c r="B1401" s="4" t="s">
        <v>1761</v>
      </c>
      <c r="C1401" s="5" t="str">
        <f>IFERROR(__xludf.DUMMYFUNCTION("GOOGLETRANSLATE(B1401,""en"",""it"")"),"Vediamo la lanterna di Jack O Finita con una candela.")</f>
        <v>Vediamo la lanterna di Jack O Finita con una candela.</v>
      </c>
    </row>
    <row r="1402">
      <c r="A1402" s="4" t="s">
        <v>1762</v>
      </c>
      <c r="B1402" s="4" t="s">
        <v>1763</v>
      </c>
      <c r="C1402" s="5" t="str">
        <f>IFERROR(__xludf.DUMMYFUNCTION("GOOGLETRANSLATE(B1402,""en"",""it"")"),"Una ragazza ginnastica sta eseguendo un raggio di equilibrio.")</f>
        <v>Una ragazza ginnastica sta eseguendo un raggio di equilibrio.</v>
      </c>
    </row>
    <row r="1403">
      <c r="A1403" s="4" t="s">
        <v>1762</v>
      </c>
      <c r="B1403" s="4" t="s">
        <v>1764</v>
      </c>
      <c r="C1403" s="5" t="str">
        <f>IFERROR(__xludf.DUMMYFUNCTION("GOOGLETRANSLATE(B1403,""en"",""it"")"),"La ragazza si sta preparando per salire sul raggio da un salto.")</f>
        <v>La ragazza si sta preparando per salire sul raggio da un salto.</v>
      </c>
    </row>
    <row r="1404">
      <c r="A1404" s="4" t="s">
        <v>1762</v>
      </c>
      <c r="B1404" s="4" t="s">
        <v>1765</v>
      </c>
      <c r="C1404" s="5" t="str">
        <f>IFERROR(__xludf.DUMMYFUNCTION("GOOGLETRANSLATE(B1404,""en"",""it"")"),"La ragazza si esibisce perfettamente sul raggio.")</f>
        <v>La ragazza si esibisce perfettamente sul raggio.</v>
      </c>
    </row>
    <row r="1405">
      <c r="A1405" s="4" t="s">
        <v>1762</v>
      </c>
      <c r="B1405" s="4" t="s">
        <v>1766</v>
      </c>
      <c r="C1405" s="5" t="str">
        <f>IFERROR(__xludf.DUMMYFUNCTION("GOOGLETRANSLATE(B1405,""en"",""it"")"),"La ragazza atterra sul pavimento perfettamente con un grande sorriso.")</f>
        <v>La ragazza atterra sul pavimento perfettamente con un grande sorriso.</v>
      </c>
    </row>
    <row r="1406">
      <c r="A1406" s="4" t="s">
        <v>1767</v>
      </c>
      <c r="B1406" s="6" t="s">
        <v>1768</v>
      </c>
      <c r="C1406" s="5" t="str">
        <f>IFERROR(__xludf.DUMMYFUNCTION("GOOGLETRANSLATE(B1406,""en"",""it"")"),"Un uomo viene visto usare una macchina attraverso un lungo tratto di foglie mentre si muove su e giù per il prato.")</f>
        <v>Un uomo viene visto usare una macchina attraverso un lungo tratto di foglie mentre si muove su e giù per il prato.</v>
      </c>
    </row>
    <row r="1407">
      <c r="A1407" s="4" t="s">
        <v>1767</v>
      </c>
      <c r="B1407" s="4" t="s">
        <v>1769</v>
      </c>
      <c r="C1407" s="5" t="str">
        <f>IFERROR(__xludf.DUMMYFUNCTION("GOOGLETRANSLATE(B1407,""en"",""it"")"),"Continua a spingere le foglie intorno all'area e spostandosi su e giù per il prato.")</f>
        <v>Continua a spingere le foglie intorno all'area e spostandosi su e giù per il prato.</v>
      </c>
    </row>
    <row r="1408">
      <c r="A1408" s="4" t="s">
        <v>1770</v>
      </c>
      <c r="B1408" s="4" t="s">
        <v>1771</v>
      </c>
      <c r="C1408" s="5" t="str">
        <f>IFERROR(__xludf.DUMMYFUNCTION("GOOGLETRANSLATE(B1408,""en"",""it"")"),"Un uomo introduce l'argomento del video, che è come fare uno scatto in badminton.")</f>
        <v>Un uomo introduce l'argomento del video, che è come fare uno scatto in badminton.</v>
      </c>
    </row>
    <row r="1409">
      <c r="A1409" s="4" t="s">
        <v>1770</v>
      </c>
      <c r="B1409" s="4" t="s">
        <v>1772</v>
      </c>
      <c r="C1409" s="5" t="str">
        <f>IFERROR(__xludf.DUMMYFUNCTION("GOOGLETRANSLATE(B1409,""en"",""it"")"),"Dimostra lentamente l'approccio e la forma necessari del tiro.")</f>
        <v>Dimostra lentamente l'approccio e la forma necessari del tiro.</v>
      </c>
    </row>
    <row r="1410">
      <c r="A1410" s="4" t="s">
        <v>1770</v>
      </c>
      <c r="B1410" s="4" t="s">
        <v>1773</v>
      </c>
      <c r="C1410" s="5" t="str">
        <f>IFERROR(__xludf.DUMMYFUNCTION("GOOGLETRANSLATE(B1410,""en"",""it"")"),"Vediamo quindi un giocatore eseguire il tiro più volte mentre un'altra persona lo prepara.")</f>
        <v>Vediamo quindi un giocatore eseguire il tiro più volte mentre un'altra persona lo prepara.</v>
      </c>
    </row>
    <row r="1411">
      <c r="A1411" s="4" t="s">
        <v>1774</v>
      </c>
      <c r="B1411" s="4" t="s">
        <v>1775</v>
      </c>
      <c r="C1411" s="5" t="str">
        <f>IFERROR(__xludf.DUMMYFUNCTION("GOOGLETRANSLATE(B1411,""en"",""it"")"),"Una ginnasta maschile in un vestito blu applica la polvere di gesso per le mani.")</f>
        <v>Una ginnasta maschile in un vestito blu applica la polvere di gesso per le mani.</v>
      </c>
    </row>
    <row r="1412">
      <c r="A1412" s="4" t="s">
        <v>1774</v>
      </c>
      <c r="B1412" s="4" t="s">
        <v>1776</v>
      </c>
      <c r="C1412" s="5" t="str">
        <f>IFERROR(__xludf.DUMMYFUNCTION("GOOGLETRANSLATE(B1412,""en"",""it"")"),"Appare un'infografica, mostrando che il suo nome è Danell Leyva dagli Stati Uniti.")</f>
        <v>Appare un'infografica, mostrando che il suo nome è Danell Leyva dagli Stati Uniti.</v>
      </c>
    </row>
    <row r="1413">
      <c r="A1413" s="4" t="s">
        <v>1774</v>
      </c>
      <c r="B1413" s="4" t="s">
        <v>1777</v>
      </c>
      <c r="C1413" s="5" t="str">
        <f>IFERROR(__xludf.DUMMYFUNCTION("GOOGLETRANSLATE(B1413,""en"",""it"")"),"Si avvicina a barre e onde parallele.")</f>
        <v>Si avvicina a barre e onde parallele.</v>
      </c>
    </row>
    <row r="1414">
      <c r="A1414" s="4" t="s">
        <v>1774</v>
      </c>
      <c r="B1414" s="4" t="s">
        <v>1778</v>
      </c>
      <c r="C1414" s="5" t="str">
        <f>IFERROR(__xludf.DUMMYFUNCTION("GOOGLETRANSLATE(B1414,""en"",""it"")"),"Esegue la sua routine, eseguendo molti lanci e vermi.")</f>
        <v>Esegue la sua routine, eseguendo molti lanci e vermi.</v>
      </c>
    </row>
    <row r="1415">
      <c r="A1415" s="4" t="s">
        <v>1774</v>
      </c>
      <c r="B1415" s="4" t="s">
        <v>1779</v>
      </c>
      <c r="C1415" s="5" t="str">
        <f>IFERROR(__xludf.DUMMYFUNCTION("GOOGLETRANSLATE(B1415,""en"",""it"")"),"Smonta male, cadendo e atterrando sulla schiena accanto al tappeto.")</f>
        <v>Smonta male, cadendo e atterrando sulla schiena accanto al tappeto.</v>
      </c>
    </row>
    <row r="1416">
      <c r="A1416" s="4" t="s">
        <v>1774</v>
      </c>
      <c r="B1416" s="4" t="s">
        <v>1780</v>
      </c>
      <c r="C1416" s="5" t="str">
        <f>IFERROR(__xludf.DUMMYFUNCTION("GOOGLETRANSLATE(B1416,""en"",""it"")"),"Fa un passo indietro sul tappeto e alza brevemente le braccia.")</f>
        <v>Fa un passo indietro sul tappeto e alza brevemente le braccia.</v>
      </c>
    </row>
    <row r="1417">
      <c r="A1417" s="4" t="s">
        <v>1781</v>
      </c>
      <c r="B1417" s="4" t="s">
        <v>1782</v>
      </c>
      <c r="C1417" s="5" t="str">
        <f>IFERROR(__xludf.DUMMYFUNCTION("GOOGLETRANSLATE(B1417,""en"",""it"")"),"I giocatori di hockey escono sul ghiaccio, salutandosi.")</f>
        <v>I giocatori di hockey escono sul ghiaccio, salutandosi.</v>
      </c>
    </row>
    <row r="1418">
      <c r="A1418" s="4" t="s">
        <v>1781</v>
      </c>
      <c r="B1418" s="4" t="s">
        <v>1783</v>
      </c>
      <c r="C1418" s="5" t="str">
        <f>IFERROR(__xludf.DUMMYFUNCTION("GOOGLETRANSLATE(B1418,""en"",""it"")"),"Giocano il gioco, cercando di portare il disco oltre i loro avversari in porta.")</f>
        <v>Giocano il gioco, cercando di portare il disco oltre i loro avversari in porta.</v>
      </c>
    </row>
    <row r="1419">
      <c r="A1419" s="4" t="s">
        <v>1781</v>
      </c>
      <c r="B1419" s="4" t="s">
        <v>1784</v>
      </c>
      <c r="C1419" s="5" t="str">
        <f>IFERROR(__xludf.DUMMYFUNCTION("GOOGLETRANSLATE(B1419,""en"",""it"")"),"Rotolano lentamente sul ghiaccio.")</f>
        <v>Rotolano lentamente sul ghiaccio.</v>
      </c>
    </row>
    <row r="1420">
      <c r="A1420" s="4" t="s">
        <v>1785</v>
      </c>
      <c r="B1420" s="4" t="s">
        <v>1786</v>
      </c>
      <c r="C1420" s="5" t="str">
        <f>IFERROR(__xludf.DUMMYFUNCTION("GOOGLETRANSLATE(B1420,""en"",""it"")"),"Una donna atletica si sta allungando con una palla e fa oscillare le gambe indietro e quarto.")</f>
        <v>Una donna atletica si sta allungando con una palla e fa oscillare le gambe indietro e quarto.</v>
      </c>
    </row>
    <row r="1421">
      <c r="A1421" s="4" t="s">
        <v>1785</v>
      </c>
      <c r="B1421" s="4" t="s">
        <v>1787</v>
      </c>
      <c r="C1421" s="5" t="str">
        <f>IFERROR(__xludf.DUMMYFUNCTION("GOOGLETRANSLATE(B1421,""en"",""it"")"),"Lancia la palla e di nuovo si prepara per un altro tiro.")</f>
        <v>Lancia la palla e di nuovo si prepara per un altro tiro.</v>
      </c>
    </row>
    <row r="1422">
      <c r="A1422" s="4" t="s">
        <v>1785</v>
      </c>
      <c r="B1422" s="4" t="s">
        <v>1788</v>
      </c>
      <c r="C1422" s="5" t="str">
        <f>IFERROR(__xludf.DUMMYFUNCTION("GOOGLETRANSLATE(B1422,""en"",""it"")"),"Si gira a lanciare la palla di nuovo con un terzo tiro seguito poco dopo.")</f>
        <v>Si gira a lanciare la palla di nuovo con un terzo tiro seguito poco dopo.</v>
      </c>
    </row>
    <row r="1423">
      <c r="A1423" s="4" t="s">
        <v>1785</v>
      </c>
      <c r="B1423" s="4" t="s">
        <v>1789</v>
      </c>
      <c r="C1423" s="5" t="str">
        <f>IFERROR(__xludf.DUMMYFUNCTION("GOOGLETRANSLATE(B1423,""en"",""it"")"),"Si esibisce un ultimo tiro e si gira di nuovo in giro.")</f>
        <v>Si esibisce un ultimo tiro e si gira di nuovo in giro.</v>
      </c>
    </row>
    <row r="1424">
      <c r="A1424" s="4" t="s">
        <v>1790</v>
      </c>
      <c r="B1424" s="4" t="s">
        <v>1791</v>
      </c>
      <c r="C1424" s="5" t="str">
        <f>IFERROR(__xludf.DUMMYFUNCTION("GOOGLETRANSLATE(B1424,""en"",""it"")"),"I batuffoli di cotone vengono danno fuoco e messi in vari modi.")</f>
        <v>I batuffoli di cotone vengono danno fuoco e messi in vari modi.</v>
      </c>
    </row>
    <row r="1425">
      <c r="A1425" s="4" t="s">
        <v>1790</v>
      </c>
      <c r="B1425" s="4" t="s">
        <v>1792</v>
      </c>
      <c r="C1425" s="5" t="str">
        <f>IFERROR(__xludf.DUMMYFUNCTION("GOOGLETRANSLATE(B1425,""en"",""it"")"),"Un'ascia viene utilizzata per spegnere il fuoco.")</f>
        <v>Un'ascia viene utilizzata per spegnere il fuoco.</v>
      </c>
    </row>
    <row r="1426">
      <c r="A1426" s="4" t="s">
        <v>1790</v>
      </c>
      <c r="B1426" s="4" t="s">
        <v>1793</v>
      </c>
      <c r="C1426" s="5" t="str">
        <f>IFERROR(__xludf.DUMMYFUNCTION("GOOGLETRANSLATE(B1426,""en"",""it"")"),"Un pezzo di legno viene usato per spegnere il fuoco.")</f>
        <v>Un pezzo di legno viene usato per spegnere il fuoco.</v>
      </c>
    </row>
    <row r="1427">
      <c r="A1427" s="4" t="s">
        <v>1794</v>
      </c>
      <c r="B1427" s="6" t="s">
        <v>1795</v>
      </c>
      <c r="C1427" s="5" t="str">
        <f>IFERROR(__xludf.DUMMYFUNCTION("GOOGLETRANSLATE(B1427,""en"",""it"")"),"Una donna lava la testa di un uomo e si taglia i capelli, poi la donna sta succedendo due un uomo a toccare la testa del giovane.")</f>
        <v>Una donna lava la testa di un uomo e si taglia i capelli, poi la donna sta succedendo due un uomo a toccare la testa del giovane.</v>
      </c>
    </row>
    <row r="1428">
      <c r="A1428" s="4" t="s">
        <v>1794</v>
      </c>
      <c r="B1428" s="4" t="s">
        <v>1796</v>
      </c>
      <c r="C1428" s="5" t="str">
        <f>IFERROR(__xludf.DUMMYFUNCTION("GOOGLETRANSLATE(B1428,""en"",""it"")"),"La donna taglia i capelli di un giovane usando prima una macchina e poi un pettine e forbici.")</f>
        <v>La donna taglia i capelli di un giovane usando prima una macchina e poi un pettine e forbici.</v>
      </c>
    </row>
    <row r="1429">
      <c r="A1429" s="4" t="s">
        <v>1794</v>
      </c>
      <c r="B1429" s="4" t="s">
        <v>1797</v>
      </c>
      <c r="C1429" s="5" t="str">
        <f>IFERROR(__xludf.DUMMYFUNCTION("GOOGLETRANSLATE(B1429,""en"",""it"")"),"Quindi, la donna asciuga i capelli con un essiccatore e spazzola la testa.")</f>
        <v>Quindi, la donna asciuga i capelli con un essiccatore e spazzola la testa.</v>
      </c>
    </row>
    <row r="1430">
      <c r="A1430" s="4" t="s">
        <v>1794</v>
      </c>
      <c r="B1430" s="6" t="s">
        <v>1798</v>
      </c>
      <c r="C1430" s="5" t="str">
        <f>IFERROR(__xludf.DUMMYFUNCTION("GOOGLETRANSLATE(B1430,""en"",""it"")"),"Dopo, la donna prende la crema sulle mani e pettina la testa dell'uomo con le dita per dare forma ai capelli.")</f>
        <v>Dopo, la donna prende la crema sulle mani e pettina la testa dell'uomo con le dita per dare forma ai capelli.</v>
      </c>
    </row>
    <row r="1431">
      <c r="A1431" s="4" t="s">
        <v>1794</v>
      </c>
      <c r="B1431" s="4" t="s">
        <v>1799</v>
      </c>
      <c r="C1431" s="5" t="str">
        <f>IFERROR(__xludf.DUMMYFUNCTION("GOOGLETRANSLATE(B1431,""en"",""it"")"),"Successivamente, la donna spiega l'acconciatura.")</f>
        <v>Successivamente, la donna spiega l'acconciatura.</v>
      </c>
    </row>
    <row r="1432">
      <c r="A1432" s="4" t="s">
        <v>1800</v>
      </c>
      <c r="B1432" s="6" t="s">
        <v>1801</v>
      </c>
      <c r="C1432" s="5" t="str">
        <f>IFERROR(__xludf.DUMMYFUNCTION("GOOGLETRANSLATE(B1432,""en"",""it"")"),"La gente cammina nei corridoi di un ospedale, quindi un medico esamina la gamba ferita di un uomo che lascia brillanti verde sulla gamba e una macchina.")</f>
        <v>La gente cammina nei corridoi di un ospedale, quindi un medico esamina la gamba ferita di un uomo che lascia brillanti verde sulla gamba e una macchina.</v>
      </c>
    </row>
    <row r="1433">
      <c r="A1433" s="4" t="s">
        <v>1800</v>
      </c>
      <c r="B1433" s="6" t="s">
        <v>1802</v>
      </c>
      <c r="C1433" s="5" t="str">
        <f>IFERROR(__xludf.DUMMYFUNCTION("GOOGLETRANSLATE(B1433,""en"",""it"")"),"Quindi, l'uomo fa una chiamata e lascia scintille verdi al telefono che passa alla mano di un'infermiera che afferra il telefono.")</f>
        <v>Quindi, l'uomo fa una chiamata e lascia scintille verdi al telefono che passa alla mano di un'infermiera che afferra il telefono.</v>
      </c>
    </row>
    <row r="1434">
      <c r="A1434" s="4" t="s">
        <v>1800</v>
      </c>
      <c r="B1434" s="6" t="s">
        <v>1803</v>
      </c>
      <c r="C1434" s="5" t="str">
        <f>IFERROR(__xludf.DUMMYFUNCTION("GOOGLETRANSLATE(B1434,""en"",""it"")"),"Dopo che l'infermiera è entrata a visitare un uomo malato anche due medici che portano scintille verdi sulle mani che lasciano il malato.")</f>
        <v>Dopo che l'infermiera è entrata a visitare un uomo malato anche due medici che portano scintille verdi sulle mani che lasciano il malato.</v>
      </c>
    </row>
    <row r="1435">
      <c r="A1435" s="4" t="s">
        <v>1800</v>
      </c>
      <c r="B1435" s="4" t="s">
        <v>1804</v>
      </c>
      <c r="C1435" s="5" t="str">
        <f>IFERROR(__xludf.DUMMYFUNCTION("GOOGLETRANSLATE(B1435,""en"",""it"")"),"Una persona che lava, usa le mani sanitarie e pulisce uno stetoscopio per sbarazzarsi dei microbi.")</f>
        <v>Una persona che lava, usa le mani sanitarie e pulisce uno stetoscopio per sbarazzarsi dei microbi.</v>
      </c>
    </row>
    <row r="1436">
      <c r="A1436" s="4" t="s">
        <v>1805</v>
      </c>
      <c r="B1436" s="6" t="s">
        <v>1806</v>
      </c>
      <c r="C1436" s="5" t="str">
        <f>IFERROR(__xludf.DUMMYFUNCTION("GOOGLETRANSLATE(B1436,""en"",""it"")"),"Un atleta si prepara a eseguire un salto in lungo in uno stadio pieno di persone, quindi un maschio bianco corre e salta in alto per atterrare nella sabbia.")</f>
        <v>Un atleta si prepara a eseguire un salto in lungo in uno stadio pieno di persone, quindi un maschio bianco corre e salta in alto per atterrare nella sabbia.</v>
      </c>
    </row>
    <row r="1437">
      <c r="A1437" s="4" t="s">
        <v>1805</v>
      </c>
      <c r="B1437" s="4" t="s">
        <v>1807</v>
      </c>
      <c r="C1437" s="5" t="str">
        <f>IFERROR(__xludf.DUMMYFUNCTION("GOOGLETRANSLATE(B1437,""en"",""it"")"),"Inoltre, tre maschi neri corrono velocemente e saltano in alto per eseguire il salto in lungo.")</f>
        <v>Inoltre, tre maschi neri corrono velocemente e saltano in alto per eseguire il salto in lungo.</v>
      </c>
    </row>
    <row r="1438">
      <c r="A1438" s="4" t="s">
        <v>1805</v>
      </c>
      <c r="B1438" s="4" t="s">
        <v>1808</v>
      </c>
      <c r="C1438" s="5" t="str">
        <f>IFERROR(__xludf.DUMMYFUNCTION("GOOGLETRANSLATE(B1438,""en"",""it"")"),"Inoltre, un maschio bianco eseguono un salto in lungo, così come due uomini neri fanno salti lunghi.")</f>
        <v>Inoltre, un maschio bianco eseguono un salto in lungo, così come due uomini neri fanno salti lunghi.</v>
      </c>
    </row>
    <row r="1439">
      <c r="A1439" s="4" t="s">
        <v>1805</v>
      </c>
      <c r="B1439" s="4" t="s">
        <v>1809</v>
      </c>
      <c r="C1439" s="5" t="str">
        <f>IFERROR(__xludf.DUMMYFUNCTION("GOOGLETRANSLATE(B1439,""en"",""it"")"),"Un tabellone di punteggio si mostra e un punteggio, mentre una persona si trova a piedi e si toglie il suo dolce maglione.")</f>
        <v>Un tabellone di punteggio si mostra e un punteggio, mentre una persona si trova a piedi e si toglie il suo dolce maglione.</v>
      </c>
    </row>
    <row r="1440">
      <c r="A1440" s="4" t="s">
        <v>1805</v>
      </c>
      <c r="B1440" s="4" t="s">
        <v>1810</v>
      </c>
      <c r="C1440" s="5" t="str">
        <f>IFERROR(__xludf.DUMMYFUNCTION("GOOGLETRANSLATE(B1440,""en"",""it"")"),"Un maschio nero salta in alto felice a corse che celebrano il suo trionfo.")</f>
        <v>Un maschio nero salta in alto felice a corse che celebrano il suo trionfo.</v>
      </c>
    </row>
    <row r="1441">
      <c r="A1441" s="4" t="s">
        <v>1811</v>
      </c>
      <c r="B1441" s="4" t="s">
        <v>1812</v>
      </c>
      <c r="C1441" s="5" t="str">
        <f>IFERROR(__xludf.DUMMYFUNCTION("GOOGLETRANSLATE(B1441,""en"",""it"")"),"Viene visualizzata una schermata con le istruzioni su come allegare un trailer del collo del collo.")</f>
        <v>Viene visualizzata una schermata con le istruzioni su come allegare un trailer del collo del collo.</v>
      </c>
    </row>
    <row r="1442">
      <c r="A1442" s="4" t="s">
        <v>1811</v>
      </c>
      <c r="B1442" s="4" t="s">
        <v>1813</v>
      </c>
      <c r="C1442" s="5" t="str">
        <f>IFERROR(__xludf.DUMMYFUNCTION("GOOGLETRANSLATE(B1442,""en"",""it"")"),"Un uomo sta mostrando come attaccare un rimorchio per bike di tornatore sulla ruota posteriore di una bici.")</f>
        <v>Un uomo sta mostrando come attaccare un rimorchio per bike di tornatore sulla ruota posteriore di una bici.</v>
      </c>
    </row>
    <row r="1443">
      <c r="A1443" s="4" t="s">
        <v>1811</v>
      </c>
      <c r="B1443" s="4" t="s">
        <v>1814</v>
      </c>
      <c r="C1443" s="5" t="str">
        <f>IFERROR(__xludf.DUMMYFUNCTION("GOOGLETRANSLATE(B1443,""en"",""it"")"),"Quindi, l'uomo continua a spiegare il processo seduto nella sala da pranzo.")</f>
        <v>Quindi, l'uomo continua a spiegare il processo seduto nella sala da pranzo.</v>
      </c>
    </row>
    <row r="1444">
      <c r="A1444" s="4" t="s">
        <v>1811</v>
      </c>
      <c r="B1444" s="4" t="s">
        <v>1815</v>
      </c>
      <c r="C1444" s="5" t="str">
        <f>IFERROR(__xludf.DUMMYFUNCTION("GOOGLETRANSLATE(B1444,""en"",""it"")"),"Due bambini sono seduti in un rimorchio per biciclette, mentre l'uomo attacca le cinture di sicurezza.")</f>
        <v>Due bambini sono seduti in un rimorchio per biciclette, mentre l'uomo attacca le cinture di sicurezza.</v>
      </c>
    </row>
    <row r="1445">
      <c r="A1445" s="4" t="s">
        <v>1816</v>
      </c>
      <c r="B1445" s="4" t="s">
        <v>1817</v>
      </c>
      <c r="C1445" s="5" t="str">
        <f>IFERROR(__xludf.DUMMYFUNCTION("GOOGLETRANSLATE(B1445,""en"",""it"")"),"Un filtro in bianco e nero si lancia su una partita di calcio in corso in un campo interno.")</f>
        <v>Un filtro in bianco e nero si lancia su una partita di calcio in corso in un campo interno.</v>
      </c>
    </row>
    <row r="1446">
      <c r="A1446" s="4" t="s">
        <v>1816</v>
      </c>
      <c r="B1446" s="4" t="s">
        <v>1818</v>
      </c>
      <c r="C1446" s="5" t="str">
        <f>IFERROR(__xludf.DUMMYFUNCTION("GOOGLETRANSLATE(B1446,""en"",""it"")"),"Il colore viene quindi mostrato mentre più persone giocano indietro e quarto mostrato in diversi colpi.")</f>
        <v>Il colore viene quindi mostrato mentre più persone giocano indietro e quarto mostrato in diversi colpi.</v>
      </c>
    </row>
    <row r="1447">
      <c r="A1447" s="4" t="s">
        <v>1819</v>
      </c>
      <c r="B1447" s="4" t="s">
        <v>1820</v>
      </c>
      <c r="C1447" s="5" t="str">
        <f>IFERROR(__xludf.DUMMYFUNCTION("GOOGLETRANSLATE(B1447,""en"",""it"")"),"Un folto gruppo di persone viene visto correre in un campo giocando a lacrosse mentre altri guardano.")</f>
        <v>Un folto gruppo di persone viene visto correre in un campo giocando a lacrosse mentre altri guardano.</v>
      </c>
    </row>
    <row r="1448">
      <c r="A1448" s="4" t="s">
        <v>1819</v>
      </c>
      <c r="B1448" s="4" t="s">
        <v>1821</v>
      </c>
      <c r="C1448" s="5" t="str">
        <f>IFERROR(__xludf.DUMMYFUNCTION("GOOGLETRANSLATE(B1448,""en"",""it"")"),"Il gioco continua mentre le persone li guardano ancora ai lati.")</f>
        <v>Il gioco continua mentre le persone li guardano ancora ai lati.</v>
      </c>
    </row>
    <row r="1449">
      <c r="A1449" s="4" t="s">
        <v>1819</v>
      </c>
      <c r="B1449" s="4" t="s">
        <v>1822</v>
      </c>
      <c r="C1449" s="5" t="str">
        <f>IFERROR(__xludf.DUMMYFUNCTION("GOOGLETRANSLATE(B1449,""en"",""it"")"),"Si fermano varie volte a parlarsi e continuano a giocare.")</f>
        <v>Si fermano varie volte a parlarsi e continuano a giocare.</v>
      </c>
    </row>
    <row r="1450">
      <c r="A1450" s="4" t="s">
        <v>1823</v>
      </c>
      <c r="B1450" s="4" t="s">
        <v>1824</v>
      </c>
      <c r="C1450" s="5" t="str">
        <f>IFERROR(__xludf.DUMMYFUNCTION("GOOGLETRANSLATE(B1450,""en"",""it"")"),"Una persona viene vista cavalcare onde sull'acqua e persone che festeggiano in una casa.")</f>
        <v>Una persona viene vista cavalcare onde sull'acqua e persone che festeggiano in una casa.</v>
      </c>
    </row>
    <row r="1451">
      <c r="A1451" s="4" t="s">
        <v>1823</v>
      </c>
      <c r="B1451" s="4" t="s">
        <v>1825</v>
      </c>
      <c r="C1451" s="5" t="str">
        <f>IFERROR(__xludf.DUMMYFUNCTION("GOOGLETRANSLATE(B1451,""en"",""it"")"),"Un DJ viene mostrato suonare musica e persone che ballano in giro e surfisti navigano.")</f>
        <v>Un DJ viene mostrato suonare musica e persone che ballano in giro e surfisti navigano.</v>
      </c>
    </row>
    <row r="1452">
      <c r="A1452" s="4" t="s">
        <v>1823</v>
      </c>
      <c r="B1452" s="4" t="s">
        <v>1826</v>
      </c>
      <c r="C1452" s="5" t="str">
        <f>IFERROR(__xludf.DUMMYFUNCTION("GOOGLETRANSLATE(B1452,""en"",""it"")"),"Vengono mostrati più colpi di persone che navigano e si divertono a casa.")</f>
        <v>Vengono mostrati più colpi di persone che navigano e si divertono a casa.</v>
      </c>
    </row>
    <row r="1453">
      <c r="A1453" s="4" t="s">
        <v>1827</v>
      </c>
      <c r="B1453" s="4" t="s">
        <v>1828</v>
      </c>
      <c r="C1453" s="5" t="str">
        <f>IFERROR(__xludf.DUMMYFUNCTION("GOOGLETRANSLATE(B1453,""en"",""it"")"),"Vediamo uno schermo di apertura su bianco.")</f>
        <v>Vediamo uno schermo di apertura su bianco.</v>
      </c>
    </row>
    <row r="1454">
      <c r="A1454" s="4" t="s">
        <v>1827</v>
      </c>
      <c r="B1454" s="4" t="s">
        <v>1829</v>
      </c>
      <c r="C1454" s="5" t="str">
        <f>IFERROR(__xludf.DUMMYFUNCTION("GOOGLETRANSLATE(B1454,""en"",""it"")"),"Vediamo quindi persone sul tubo giocare in un fiume.")</f>
        <v>Vediamo quindi persone sul tubo giocare in un fiume.</v>
      </c>
    </row>
    <row r="1455">
      <c r="A1455" s="4" t="s">
        <v>1827</v>
      </c>
      <c r="B1455" s="4" t="s">
        <v>1830</v>
      </c>
      <c r="C1455" s="5" t="str">
        <f>IFERROR(__xludf.DUMMYFUNCTION("GOOGLETRANSLATE(B1455,""en"",""it"")"),"Un ragazzo con gli occhiali da sole galleggia oltre la telecamera.")</f>
        <v>Un ragazzo con gli occhiali da sole galleggia oltre la telecamera.</v>
      </c>
    </row>
    <row r="1456">
      <c r="A1456" s="4" t="s">
        <v>1827</v>
      </c>
      <c r="B1456" s="4" t="s">
        <v>1831</v>
      </c>
      <c r="C1456" s="5" t="str">
        <f>IFERROR(__xludf.DUMMYFUNCTION("GOOGLETRANSLATE(B1456,""en"",""it"")"),"Un ragazzo lancia un cartello di pace alla telecamera.")</f>
        <v>Un ragazzo lancia un cartello di pace alla telecamera.</v>
      </c>
    </row>
    <row r="1457">
      <c r="A1457" s="4" t="s">
        <v>1827</v>
      </c>
      <c r="B1457" s="4" t="s">
        <v>1832</v>
      </c>
      <c r="C1457" s="5" t="str">
        <f>IFERROR(__xludf.DUMMYFUNCTION("GOOGLETRANSLATE(B1457,""en"",""it"")"),"Le persone vanno oltre una cascata nelle loro zattere.")</f>
        <v>Le persone vanno oltre una cascata nelle loro zattere.</v>
      </c>
    </row>
    <row r="1458">
      <c r="A1458" s="4" t="s">
        <v>1827</v>
      </c>
      <c r="B1458" s="4" t="s">
        <v>1833</v>
      </c>
      <c r="C1458" s="5" t="str">
        <f>IFERROR(__xludf.DUMMYFUNCTION("GOOGLETRANSLATE(B1458,""en"",""it"")"),"Vediamo un sacco di persone saltare in acqua.")</f>
        <v>Vediamo un sacco di persone saltare in acqua.</v>
      </c>
    </row>
    <row r="1459">
      <c r="A1459" s="4" t="s">
        <v>1834</v>
      </c>
      <c r="B1459" s="4" t="s">
        <v>1835</v>
      </c>
      <c r="C1459" s="5" t="str">
        <f>IFERROR(__xludf.DUMMYFUNCTION("GOOGLETRANSLATE(B1459,""en"",""it"")"),"Un bambino gioca un flauto cromato all'interno di casa.")</f>
        <v>Un bambino gioca un flauto cromato all'interno di casa.</v>
      </c>
    </row>
    <row r="1460">
      <c r="A1460" s="4" t="s">
        <v>1834</v>
      </c>
      <c r="B1460" s="4" t="s">
        <v>1836</v>
      </c>
      <c r="C1460" s="5" t="str">
        <f>IFERROR(__xludf.DUMMYFUNCTION("GOOGLETRANSLATE(B1460,""en"",""it"")"),"La ragazza finisce la canzone e abbassa il flauto.")</f>
        <v>La ragazza finisce la canzone e abbassa il flauto.</v>
      </c>
    </row>
    <row r="1461">
      <c r="A1461" s="4" t="s">
        <v>1837</v>
      </c>
      <c r="B1461" s="4" t="s">
        <v>1838</v>
      </c>
      <c r="C1461" s="5" t="str">
        <f>IFERROR(__xludf.DUMMYFUNCTION("GOOGLETRANSLATE(B1461,""en"",""it"")"),"Due uomini giocano a palla di biliardo in un'arena con due arbitri in piedi vicino a guardare la fama.")</f>
        <v>Due uomini giocano a palla di biliardo in un'arena con due arbitri in piedi vicino a guardare la fama.</v>
      </c>
    </row>
    <row r="1462">
      <c r="A1462" s="4" t="s">
        <v>1837</v>
      </c>
      <c r="B1462" s="4" t="s">
        <v>1839</v>
      </c>
      <c r="C1462" s="5" t="str">
        <f>IFERROR(__xludf.DUMMYFUNCTION("GOOGLETRANSLATE(B1462,""en"",""it"")"),"Vediamo la gradinata e gli spettatori.")</f>
        <v>Vediamo la gradinata e gli spettatori.</v>
      </c>
    </row>
    <row r="1463">
      <c r="A1463" s="4" t="s">
        <v>1837</v>
      </c>
      <c r="B1463" s="4" t="s">
        <v>1840</v>
      </c>
      <c r="C1463" s="5" t="str">
        <f>IFERROR(__xludf.DUMMYFUNCTION("GOOGLETRANSLATE(B1463,""en"",""it"")"),"Un punto viene segnato e vede le persone che applaudono e un replay e una schermata del titolo.")</f>
        <v>Un punto viene segnato e vede le persone che applaudono e un replay e una schermata del titolo.</v>
      </c>
    </row>
    <row r="1464">
      <c r="A1464" s="4" t="s">
        <v>1837</v>
      </c>
      <c r="B1464" s="4" t="s">
        <v>1841</v>
      </c>
      <c r="C1464" s="5" t="str">
        <f>IFERROR(__xludf.DUMMYFUNCTION("GOOGLETRANSLATE(B1464,""en"",""it"")"),"L'uomo in grigio fa il backup e si asciuga il sudore.")</f>
        <v>L'uomo in grigio fa il backup e si asciuga il sudore.</v>
      </c>
    </row>
    <row r="1465">
      <c r="A1465" s="4" t="s">
        <v>1837</v>
      </c>
      <c r="B1465" s="6" t="s">
        <v>1842</v>
      </c>
      <c r="C1465" s="5" t="str">
        <f>IFERROR(__xludf.DUMMYFUNCTION("GOOGLETRANSLATE(B1465,""en"",""it"")"),"Vediamo l'uomo in nero parlare con le persone dietro di lui prima che gli uomini tornino al gioco.")</f>
        <v>Vediamo l'uomo in nero parlare con le persone dietro di lui prima che gli uomini tornino al gioco.</v>
      </c>
    </row>
    <row r="1466">
      <c r="A1466" s="4" t="s">
        <v>1837</v>
      </c>
      <c r="B1466" s="4" t="s">
        <v>777</v>
      </c>
      <c r="C1466" s="5" t="str">
        <f>IFERROR(__xludf.DUMMYFUNCTION("GOOGLETRANSLATE(B1466,""en"",""it"")"),"Vediamo la schermata del titolo finale.")</f>
        <v>Vediamo la schermata del titolo finale.</v>
      </c>
    </row>
    <row r="1467">
      <c r="A1467" s="4" t="s">
        <v>1843</v>
      </c>
      <c r="B1467" s="6" t="s">
        <v>1844</v>
      </c>
      <c r="C1467" s="5" t="str">
        <f>IFERROR(__xludf.DUMMYFUNCTION("GOOGLETRANSLATE(B1467,""en"",""it"")"),"Due persone scalano una parete di arrampicata su roccia di notte davanti a una stretta pozza d'acqua che circonda da una folla di curiosi.")</f>
        <v>Due persone scalano una parete di arrampicata su roccia di notte davanti a una stretta pozza d'acqua che circonda da una folla di curiosi.</v>
      </c>
    </row>
    <row r="1468">
      <c r="A1468" s="4" t="s">
        <v>1843</v>
      </c>
      <c r="B1468" s="6" t="s">
        <v>1845</v>
      </c>
      <c r="C1468" s="5" t="str">
        <f>IFERROR(__xludf.DUMMYFUNCTION("GOOGLETRANSLATE(B1468,""en"",""it"")"),"Le due persone si arrampicano lentamente sul muro, quando a metà strada verso l'alto, la persona a sinistra cade dal muro e nell'acqua sottostante.")</f>
        <v>Le due persone si arrampicano lentamente sul muro, quando a metà strada verso l'alto, la persona a sinistra cade dal muro e nell'acqua sottostante.</v>
      </c>
    </row>
    <row r="1469">
      <c r="A1469" s="4" t="s">
        <v>1843</v>
      </c>
      <c r="B1469" s="6" t="s">
        <v>1846</v>
      </c>
      <c r="C1469" s="5" t="str">
        <f>IFERROR(__xludf.DUMMYFUNCTION("GOOGLETRANSLATE(B1469,""en"",""it"")"),"Un'altra corsa sul muro inizia in cui la persona a destra cade e la persona sulla sinistra sale sulla cima del muro e poi salta giù dal muro nell'acqua.")</f>
        <v>Un'altra corsa sul muro inizia in cui la persona a destra cade e la persona sulla sinistra sale sulla cima del muro e poi salta giù dal muro nell'acqua.</v>
      </c>
    </row>
    <row r="1470">
      <c r="A1470" s="4" t="s">
        <v>1843</v>
      </c>
      <c r="B1470" s="6" t="s">
        <v>1847</v>
      </c>
      <c r="C1470" s="5" t="str">
        <f>IFERROR(__xludf.DUMMYFUNCTION("GOOGLETRANSLATE(B1470,""en"",""it"")"),"Nella stessa cornice, ma ora durante il giorno, una persona solitaria che indossa catapulte di sci in aria oltre il muro di arrampicata sulla roccia e atterra nell'acqua sottostante.")</f>
        <v>Nella stessa cornice, ma ora durante il giorno, una persona solitaria che indossa catapulte di sci in aria oltre il muro di arrampicata sulla roccia e atterra nell'acqua sottostante.</v>
      </c>
    </row>
    <row r="1471">
      <c r="A1471" s="4" t="s">
        <v>1848</v>
      </c>
      <c r="B1471" s="4" t="s">
        <v>1849</v>
      </c>
      <c r="C1471" s="5" t="str">
        <f>IFERROR(__xludf.DUMMYFUNCTION("GOOGLETRANSLATE(B1471,""en"",""it"")"),"Un pubblico che guarda le faccende in una pista di grandi dimensioni e gli atleti che corrono in una fossa.")</f>
        <v>Un pubblico che guarda le faccende in una pista di grandi dimensioni e gli atleti che corrono in una fossa.</v>
      </c>
    </row>
    <row r="1472">
      <c r="A1472" s="4" t="s">
        <v>1848</v>
      </c>
      <c r="B1472" s="6" t="s">
        <v>1850</v>
      </c>
      <c r="C1472" s="5" t="str">
        <f>IFERROR(__xludf.DUMMYFUNCTION("GOOGLETRANSLATE(B1472,""en"",""it"")"),"Diverse persone vengono mostrate correre lungo la pista mentre il pubblico applaude e le persone parlano alla telecamera.")</f>
        <v>Diverse persone vengono mostrate correre lungo la pista mentre il pubblico applaude e le persone parlano alla telecamera.</v>
      </c>
    </row>
    <row r="1473">
      <c r="A1473" s="4" t="s">
        <v>1851</v>
      </c>
      <c r="B1473" s="4" t="s">
        <v>1852</v>
      </c>
      <c r="C1473" s="5" t="str">
        <f>IFERROR(__xludf.DUMMYFUNCTION("GOOGLETRANSLATE(B1473,""en"",""it"")"),"Un giovane tira fuori una ruota e mostra la struttura adeguata di una ruota.")</f>
        <v>Un giovane tira fuori una ruota e mostra la struttura adeguata di una ruota.</v>
      </c>
    </row>
    <row r="1474">
      <c r="A1474" s="4" t="s">
        <v>1851</v>
      </c>
      <c r="B1474" s="4" t="s">
        <v>1853</v>
      </c>
      <c r="C1474" s="5" t="str">
        <f>IFERROR(__xludf.DUMMYFUNCTION("GOOGLETRANSLATE(B1474,""en"",""it"")"),"Controlla la pressione corrente per il pneumatico e inizia a pompare aria nel pneumatico.")</f>
        <v>Controlla la pressione corrente per il pneumatico e inizia a pompare aria nel pneumatico.</v>
      </c>
    </row>
    <row r="1475">
      <c r="A1475" s="4" t="s">
        <v>1851</v>
      </c>
      <c r="B1475" s="6" t="s">
        <v>1854</v>
      </c>
      <c r="C1475" s="5" t="str">
        <f>IFERROR(__xludf.DUMMYFUNCTION("GOOGLETRANSLATE(B1475,""en"",""it"")"),"Mostra la differenza tra un buon battistrada e un cattivo battistrada e quando sapere quando sostituire i pneumatici.")</f>
        <v>Mostra la differenza tra un buon battistrada e un cattivo battistrada e quando sapere quando sostituire i pneumatici.</v>
      </c>
    </row>
    <row r="1476">
      <c r="A1476" s="4" t="s">
        <v>1855</v>
      </c>
      <c r="B1476" s="4" t="s">
        <v>1856</v>
      </c>
      <c r="C1476" s="5" t="str">
        <f>IFERROR(__xludf.DUMMYFUNCTION("GOOGLETRANSLATE(B1476,""en"",""it"")"),"Viene mostrato un primo piano di un lavandino seguito da una persona che lo sfrega con uno straccio da vari angoli.")</f>
        <v>Viene mostrato un primo piano di un lavandino seguito da una persona che lo sfrega con uno straccio da vari angoli.</v>
      </c>
    </row>
    <row r="1477">
      <c r="A1477" s="4" t="s">
        <v>1855</v>
      </c>
      <c r="B1477" s="4" t="s">
        <v>1857</v>
      </c>
      <c r="C1477" s="5" t="str">
        <f>IFERROR(__xludf.DUMMYFUNCTION("GOOGLETRANSLATE(B1477,""en"",""it"")"),"Il lavandino viene nuovamente mostrato da solo seguito da acqua che gocciola.")</f>
        <v>Il lavandino viene nuovamente mostrato da solo seguito da acqua che gocciola.</v>
      </c>
    </row>
    <row r="1478">
      <c r="A1478" s="4" t="s">
        <v>1858</v>
      </c>
      <c r="B1478" s="4" t="s">
        <v>1859</v>
      </c>
      <c r="C1478" s="5" t="str">
        <f>IFERROR(__xludf.DUMMYFUNCTION("GOOGLETRANSLATE(B1478,""en"",""it"")"),"Vediamo una signora che si prende una stanza e si tocca i capelli.")</f>
        <v>Vediamo una signora che si prende una stanza e si tocca i capelli.</v>
      </c>
    </row>
    <row r="1479">
      <c r="A1479" s="4" t="s">
        <v>1858</v>
      </c>
      <c r="B1479" s="4" t="s">
        <v>1860</v>
      </c>
      <c r="C1479" s="5" t="str">
        <f>IFERROR(__xludf.DUMMYFUNCTION("GOOGLETRANSLATE(B1479,""en"",""it"")"),"C'è una schermata del titolo.")</f>
        <v>C'è una schermata del titolo.</v>
      </c>
    </row>
    <row r="1480">
      <c r="A1480" s="4" t="s">
        <v>1858</v>
      </c>
      <c r="B1480" s="4" t="s">
        <v>1861</v>
      </c>
      <c r="C1480" s="5" t="str">
        <f>IFERROR(__xludf.DUMMYFUNCTION("GOOGLETRANSLATE(B1480,""en"",""it"")"),"La signora ci mostra i prodotti e gli strumenti che usa sui suoi capelli.")</f>
        <v>La signora ci mostra i prodotti e gli strumenti che usa sui suoi capelli.</v>
      </c>
    </row>
    <row r="1481">
      <c r="A1481" s="4" t="s">
        <v>1858</v>
      </c>
      <c r="B1481" s="4" t="s">
        <v>1862</v>
      </c>
      <c r="C1481" s="5" t="str">
        <f>IFERROR(__xludf.DUMMYFUNCTION("GOOGLETRANSLATE(B1481,""en"",""it"")"),"Vediamo la signora che si fa i capelli.")</f>
        <v>Vediamo la signora che si fa i capelli.</v>
      </c>
    </row>
    <row r="1482">
      <c r="A1482" s="4" t="s">
        <v>1858</v>
      </c>
      <c r="B1482" s="4" t="s">
        <v>1863</v>
      </c>
      <c r="C1482" s="5" t="str">
        <f>IFERROR(__xludf.DUMMYFUNCTION("GOOGLETRANSLATE(B1482,""en"",""it"")"),"La signora sezioni i suoi capelli e aggiunge il prodotto.")</f>
        <v>La signora sezioni i suoi capelli e aggiunge il prodotto.</v>
      </c>
    </row>
    <row r="1483">
      <c r="A1483" s="4" t="s">
        <v>1858</v>
      </c>
      <c r="B1483" s="4" t="s">
        <v>1864</v>
      </c>
      <c r="C1483" s="5" t="str">
        <f>IFERROR(__xludf.DUMMYFUNCTION("GOOGLETRANSLATE(B1483,""en"",""it"")"),"La signora si gira i capelli attorno al dito.")</f>
        <v>La signora si gira i capelli attorno al dito.</v>
      </c>
    </row>
    <row r="1484">
      <c r="A1484" s="4" t="s">
        <v>1858</v>
      </c>
      <c r="B1484" s="4" t="s">
        <v>1865</v>
      </c>
      <c r="C1484" s="5" t="str">
        <f>IFERROR(__xludf.DUMMYFUNCTION("GOOGLETRANSLATE(B1484,""en"",""it"")"),"La signora inizia a soffiare i capelli.")</f>
        <v>La signora inizia a soffiare i capelli.</v>
      </c>
    </row>
    <row r="1485">
      <c r="A1485" s="4" t="s">
        <v>1858</v>
      </c>
      <c r="B1485" s="4" t="s">
        <v>1866</v>
      </c>
      <c r="C1485" s="5" t="str">
        <f>IFERROR(__xludf.DUMMYFUNCTION("GOOGLETRANSLATE(B1485,""en"",""it"")"),"Vediamo le immagini dei capelli finiti da donna.")</f>
        <v>Vediamo le immagini dei capelli finiti da donna.</v>
      </c>
    </row>
    <row r="1486">
      <c r="A1486" s="4" t="s">
        <v>1867</v>
      </c>
      <c r="B1486" s="4" t="s">
        <v>1868</v>
      </c>
      <c r="C1486" s="5" t="str">
        <f>IFERROR(__xludf.DUMMYFUNCTION("GOOGLETRANSLATE(B1486,""en"",""it"")"),"Viene mostrato un corpo d'acqua.")</f>
        <v>Viene mostrato un corpo d'acqua.</v>
      </c>
    </row>
    <row r="1487">
      <c r="A1487" s="4" t="s">
        <v>1867</v>
      </c>
      <c r="B1487" s="4" t="s">
        <v>1869</v>
      </c>
      <c r="C1487" s="5" t="str">
        <f>IFERROR(__xludf.DUMMYFUNCTION("GOOGLETRANSLATE(B1487,""en"",""it"")"),"Una persona toglie un coperchio da una pentola.")</f>
        <v>Una persona toglie un coperchio da una pentola.</v>
      </c>
    </row>
    <row r="1488">
      <c r="A1488" s="4" t="s">
        <v>1867</v>
      </c>
      <c r="B1488" s="4" t="s">
        <v>1870</v>
      </c>
      <c r="C1488" s="5" t="str">
        <f>IFERROR(__xludf.DUMMYFUNCTION("GOOGLETRANSLATE(B1488,""en"",""it"")"),"Mostrano un campeggio con una tenda.")</f>
        <v>Mostrano un campeggio con una tenda.</v>
      </c>
    </row>
    <row r="1489">
      <c r="A1489" s="4" t="s">
        <v>1867</v>
      </c>
      <c r="B1489" s="4" t="s">
        <v>1871</v>
      </c>
      <c r="C1489" s="5" t="str">
        <f>IFERROR(__xludf.DUMMYFUNCTION("GOOGLETRANSLATE(B1489,""en"",""it"")"),"Mettono un panno nel secchio.")</f>
        <v>Mettono un panno nel secchio.</v>
      </c>
    </row>
    <row r="1490">
      <c r="A1490" s="4" t="s">
        <v>1872</v>
      </c>
      <c r="B1490" s="4" t="s">
        <v>1873</v>
      </c>
      <c r="C1490" s="5" t="str">
        <f>IFERROR(__xludf.DUMMYFUNCTION("GOOGLETRANSLATE(B1490,""en"",""it"")"),"Ci sono due uomini che giocano a tennis da tavolo in uno stadio indoor.")</f>
        <v>Ci sono due uomini che giocano a tennis da tavolo in uno stadio indoor.</v>
      </c>
    </row>
    <row r="1491">
      <c r="A1491" s="4" t="s">
        <v>1872</v>
      </c>
      <c r="B1491" s="4" t="s">
        <v>1874</v>
      </c>
      <c r="C1491" s="5" t="str">
        <f>IFERROR(__xludf.DUMMYFUNCTION("GOOGLETRANSLATE(B1491,""en"",""it"")"),"Uno dei giocatori indossa il blu e l'altro giocatore è in una camicia rossa.")</f>
        <v>Uno dei giocatori indossa il blu e l'altro giocatore è in una camicia rossa.</v>
      </c>
    </row>
    <row r="1492">
      <c r="A1492" s="4" t="s">
        <v>1872</v>
      </c>
      <c r="B1492" s="4" t="s">
        <v>1875</v>
      </c>
      <c r="C1492" s="5" t="str">
        <f>IFERROR(__xludf.DUMMYFUNCTION("GOOGLETRANSLATE(B1492,""en"",""it"")"),"C'è una persona vestita con una camicia nera seduta vicino ai giocatori.")</f>
        <v>C'è una persona vestita con una camicia nera seduta vicino ai giocatori.</v>
      </c>
    </row>
    <row r="1493">
      <c r="A1493" s="4" t="s">
        <v>1872</v>
      </c>
      <c r="B1493" s="4" t="s">
        <v>1876</v>
      </c>
      <c r="C1493" s="5" t="str">
        <f>IFERROR(__xludf.DUMMYFUNCTION("GOOGLETRANSLATE(B1493,""en"",""it"")"),"Ci sono diversi spettatori seduti nello stadio.")</f>
        <v>Ci sono diversi spettatori seduti nello stadio.</v>
      </c>
    </row>
    <row r="1494">
      <c r="A1494" s="4" t="s">
        <v>1872</v>
      </c>
      <c r="B1494" s="4" t="s">
        <v>1877</v>
      </c>
      <c r="C1494" s="5" t="str">
        <f>IFERROR(__xludf.DUMMYFUNCTION("GOOGLETRANSLATE(B1494,""en"",""it"")"),"Continuano a giocare una manifestazione per un po 'di tempo.")</f>
        <v>Continuano a giocare una manifestazione per un po 'di tempo.</v>
      </c>
    </row>
    <row r="1495">
      <c r="A1495" s="4" t="s">
        <v>1872</v>
      </c>
      <c r="B1495" s="4" t="s">
        <v>1878</v>
      </c>
      <c r="C1495" s="5" t="str">
        <f>IFERROR(__xludf.DUMMYFUNCTION("GOOGLETRANSLATE(B1495,""en"",""it"")"),"Il giocatore con la maglietta rossa manca la palla e dà al suo avversario un punto vincente.")</f>
        <v>Il giocatore con la maglietta rossa manca la palla e dà al suo avversario un punto vincente.</v>
      </c>
    </row>
    <row r="1496">
      <c r="A1496" s="4" t="s">
        <v>1872</v>
      </c>
      <c r="B1496" s="4" t="s">
        <v>1879</v>
      </c>
      <c r="C1496" s="5" t="str">
        <f>IFERROR(__xludf.DUMMYFUNCTION("GOOGLETRANSLATE(B1496,""en"",""it"")"),"Il giocatore in blu applaude forte dopo il suo punto vincente e si rompe in una danza.")</f>
        <v>Il giocatore in blu applaude forte dopo il suo punto vincente e si rompe in una danza.</v>
      </c>
    </row>
    <row r="1497">
      <c r="A1497" s="4" t="s">
        <v>1872</v>
      </c>
      <c r="B1497" s="4" t="s">
        <v>1880</v>
      </c>
      <c r="C1497" s="5" t="str">
        <f>IFERROR(__xludf.DUMMYFUNCTION("GOOGLETRANSLATE(B1497,""en"",""it"")"),"Continua a ballare e si reca verso il suo avversario per deriderlo.")</f>
        <v>Continua a ballare e si reca verso il suo avversario per deriderlo.</v>
      </c>
    </row>
    <row r="1498">
      <c r="A1498" s="4" t="s">
        <v>1872</v>
      </c>
      <c r="B1498" s="4" t="s">
        <v>1881</v>
      </c>
      <c r="C1498" s="5" t="str">
        <f>IFERROR(__xludf.DUMMYFUNCTION("GOOGLETRANSLATE(B1498,""en"",""it"")"),"Quindi torna al tavolo del ping -pong.")</f>
        <v>Quindi torna al tavolo del ping -pong.</v>
      </c>
    </row>
    <row r="1499">
      <c r="A1499" s="4" t="s">
        <v>1872</v>
      </c>
      <c r="B1499" s="4" t="s">
        <v>1882</v>
      </c>
      <c r="C1499" s="5" t="str">
        <f>IFERROR(__xludf.DUMMYFUNCTION("GOOGLETRANSLATE(B1499,""en"",""it"")"),"L'uomo vestito di nero mostra il punteggio.")</f>
        <v>L'uomo vestito di nero mostra il punteggio.</v>
      </c>
    </row>
    <row r="1500">
      <c r="A1500" s="4" t="s">
        <v>1883</v>
      </c>
      <c r="B1500" s="4" t="s">
        <v>1884</v>
      </c>
      <c r="C1500" s="5" t="str">
        <f>IFERROR(__xludf.DUMMYFUNCTION("GOOGLETRANSLATE(B1500,""en"",""it"")"),"Un primo piano di opuscoli viene mostrato con una persona che li lancia e la lettura.")</f>
        <v>Un primo piano di opuscoli viene mostrato con una persona che li lancia e la lettura.</v>
      </c>
    </row>
    <row r="1501">
      <c r="A1501" s="4" t="s">
        <v>1883</v>
      </c>
      <c r="B1501" s="4" t="s">
        <v>1885</v>
      </c>
      <c r="C1501" s="5" t="str">
        <f>IFERROR(__xludf.DUMMYFUNCTION("GOOGLETRANSLATE(B1501,""en"",""it"")"),"La donna segna un nome e lo stacca per indossare una calza.")</f>
        <v>La donna segna un nome e lo stacca per indossare una calza.</v>
      </c>
    </row>
    <row r="1502">
      <c r="A1502" s="4" t="s">
        <v>1883</v>
      </c>
      <c r="B1502" s="6" t="s">
        <v>1886</v>
      </c>
      <c r="C1502" s="5" t="str">
        <f>IFERROR(__xludf.DUMMYFUNCTION("GOOGLETRANSLATE(B1502,""en"",""it"")"),"La donna pone quindi un ferro sul nome e si stacca dalla carta per mostrare come etichettare correttamente un regalo.")</f>
        <v>La donna pone quindi un ferro sul nome e si stacca dalla carta per mostrare come etichettare correttamente un regalo.</v>
      </c>
    </row>
    <row r="1503">
      <c r="A1503" s="4" t="s">
        <v>1887</v>
      </c>
      <c r="B1503" s="4" t="s">
        <v>1888</v>
      </c>
      <c r="C1503" s="5" t="str">
        <f>IFERROR(__xludf.DUMMYFUNCTION("GOOGLETRANSLATE(B1503,""en"",""it"")"),"Un lifter di pesi femminile solleva un bilanciere con le gambe.")</f>
        <v>Un lifter di pesi femminile solleva un bilanciere con le gambe.</v>
      </c>
    </row>
    <row r="1504">
      <c r="A1504" s="4" t="s">
        <v>1887</v>
      </c>
      <c r="B1504" s="4" t="s">
        <v>1889</v>
      </c>
      <c r="C1504" s="5" t="str">
        <f>IFERROR(__xludf.DUMMYFUNCTION("GOOGLETRANSLATE(B1504,""en"",""it"")"),"Lo mette allo stomaco, poi tira.")</f>
        <v>Lo mette allo stomaco, poi tira.</v>
      </c>
    </row>
    <row r="1505">
      <c r="A1505" s="4" t="s">
        <v>1887</v>
      </c>
      <c r="B1505" s="4" t="s">
        <v>1890</v>
      </c>
      <c r="C1505" s="5" t="str">
        <f>IFERROR(__xludf.DUMMYFUNCTION("GOOGLETRANSLATE(B1505,""en"",""it"")"),"Va su e giù, lavorando i suoi addominali.")</f>
        <v>Va su e giù, lavorando i suoi addominali.</v>
      </c>
    </row>
    <row r="1506">
      <c r="A1506" s="4" t="s">
        <v>1891</v>
      </c>
      <c r="B1506" s="4" t="s">
        <v>1892</v>
      </c>
      <c r="C1506" s="5" t="str">
        <f>IFERROR(__xludf.DUMMYFUNCTION("GOOGLETRANSLATE(B1506,""en"",""it"")"),"Informazioni sul sito Blackjack fornito.")</f>
        <v>Informazioni sul sito Blackjack fornito.</v>
      </c>
    </row>
    <row r="1507">
      <c r="A1507" s="4" t="s">
        <v>1891</v>
      </c>
      <c r="B1507" s="4" t="s">
        <v>1893</v>
      </c>
      <c r="C1507" s="5" t="str">
        <f>IFERROR(__xludf.DUMMYFUNCTION("GOOGLETRANSLATE(B1507,""en"",""it"")"),"Ci sono due persone mostrate suonando in un casinò.")</f>
        <v>Ci sono due persone mostrate suonando in un casinò.</v>
      </c>
    </row>
    <row r="1508">
      <c r="A1508" s="4" t="s">
        <v>1891</v>
      </c>
      <c r="B1508" s="4" t="s">
        <v>1894</v>
      </c>
      <c r="C1508" s="5" t="str">
        <f>IFERROR(__xludf.DUMMYFUNCTION("GOOGLETRANSLATE(B1508,""en"",""it"")"),"Un rappresentante di Blackjack sta mostrando un gioco da gioco da parte del casinò.")</f>
        <v>Un rappresentante di Blackjack sta mostrando un gioco da gioco da parte del casinò.</v>
      </c>
    </row>
    <row r="1509">
      <c r="A1509" s="4" t="s">
        <v>1891</v>
      </c>
      <c r="B1509" s="4" t="s">
        <v>1895</v>
      </c>
      <c r="C1509" s="5" t="str">
        <f>IFERROR(__xludf.DUMMYFUNCTION("GOOGLETRANSLATE(B1509,""en"",""it"")"),"Mette le carte da gioco sul tavolo contro i token.")</f>
        <v>Mette le carte da gioco sul tavolo contro i token.</v>
      </c>
    </row>
    <row r="1510">
      <c r="A1510" s="4" t="s">
        <v>1891</v>
      </c>
      <c r="B1510" s="4" t="s">
        <v>1896</v>
      </c>
      <c r="C1510" s="5" t="str">
        <f>IFERROR(__xludf.DUMMYFUNCTION("GOOGLETRANSLATE(B1510,""en"",""it"")"),"Ci sono diversi token impilati sul tavolo.")</f>
        <v>Ci sono diversi token impilati sul tavolo.</v>
      </c>
    </row>
    <row r="1511">
      <c r="A1511" s="4" t="s">
        <v>1891</v>
      </c>
      <c r="B1511" s="4" t="s">
        <v>1897</v>
      </c>
      <c r="C1511" s="5" t="str">
        <f>IFERROR(__xludf.DUMMYFUNCTION("GOOGLETRANSLATE(B1511,""en"",""it"")"),"Sta spiegando come giocare al gioco d'azzardo per massimizzare i propri soldi.")</f>
        <v>Sta spiegando come giocare al gioco d'azzardo per massimizzare i propri soldi.</v>
      </c>
    </row>
    <row r="1512">
      <c r="A1512" s="4" t="s">
        <v>1891</v>
      </c>
      <c r="B1512" s="4" t="s">
        <v>1898</v>
      </c>
      <c r="C1512" s="5" t="str">
        <f>IFERROR(__xludf.DUMMYFUNCTION("GOOGLETRANSLATE(B1512,""en"",""it"")"),"Mette più carte sul tavolo e prende una mano per guadagnare più token.")</f>
        <v>Mette più carte sul tavolo e prende una mano per guadagnare più token.</v>
      </c>
    </row>
    <row r="1513">
      <c r="A1513" s="4" t="s">
        <v>1891</v>
      </c>
      <c r="B1513" s="4" t="s">
        <v>1899</v>
      </c>
      <c r="C1513" s="5" t="str">
        <f>IFERROR(__xludf.DUMMYFUNCTION("GOOGLETRANSLATE(B1513,""en"",""it"")"),"Le informazioni su come scaricare l'app sono fornite sullo schermo.")</f>
        <v>Le informazioni su come scaricare l'app sono fornite sullo schermo.</v>
      </c>
    </row>
    <row r="1514">
      <c r="A1514" s="4" t="s">
        <v>1900</v>
      </c>
      <c r="B1514" s="6" t="s">
        <v>1901</v>
      </c>
      <c r="C1514" s="5" t="str">
        <f>IFERROR(__xludf.DUMMYFUNCTION("GOOGLETRANSLATE(B1514,""en"",""it"")"),"Mentre la telecamera cammina, mostrava le siepi ben mantenute, al centro di due siepi c'è un percorso stretto che conduce a un campo più ampio circondato da più siepi.")</f>
        <v>Mentre la telecamera cammina, mostrava le siepi ben mantenute, al centro di due siepi c'è un percorso stretto che conduce a un campo più ampio circondato da più siepi.</v>
      </c>
    </row>
    <row r="1515">
      <c r="A1515" s="4" t="s">
        <v>1900</v>
      </c>
      <c r="B1515" s="6" t="s">
        <v>1902</v>
      </c>
      <c r="C1515" s="5" t="str">
        <f>IFERROR(__xludf.DUMMYFUNCTION("GOOGLETRANSLATE(B1515,""en"",""it"")"),"Da un lato della siepe c'è un uomo con camicia nera, è in piedi su una scala, sta tagliando le siepi.")</f>
        <v>Da un lato della siepe c'è un uomo con camicia nera, è in piedi su una scala, sta tagliando le siepi.</v>
      </c>
    </row>
    <row r="1516">
      <c r="A1516" s="4" t="s">
        <v>1900</v>
      </c>
      <c r="B1516" s="4" t="s">
        <v>1903</v>
      </c>
      <c r="C1516" s="5" t="str">
        <f>IFERROR(__xludf.DUMMYFUNCTION("GOOGLETRANSLATE(B1516,""en"",""it"")"),"Vicino all'uomo c'è una panchina vuota, sul lato ci sono più siepi tagliate.")</f>
        <v>Vicino all'uomo c'è una panchina vuota, sul lato ci sono più siepi tagliate.</v>
      </c>
    </row>
    <row r="1517">
      <c r="A1517" s="4" t="s">
        <v>1904</v>
      </c>
      <c r="B1517" s="4" t="s">
        <v>1905</v>
      </c>
      <c r="C1517" s="5" t="str">
        <f>IFERROR(__xludf.DUMMYFUNCTION("GOOGLETRANSLATE(B1517,""en"",""it"")"),"Viene visto un uomo parlare alla fotocamera mentre tiene in mano una scatola per mostrare uno strumento all'interno.")</f>
        <v>Viene visto un uomo parlare alla fotocamera mentre tiene in mano una scatola per mostrare uno strumento all'interno.</v>
      </c>
    </row>
    <row r="1518">
      <c r="A1518" s="4" t="s">
        <v>1904</v>
      </c>
      <c r="B1518" s="4" t="s">
        <v>1906</v>
      </c>
      <c r="C1518" s="5" t="str">
        <f>IFERROR(__xludf.DUMMYFUNCTION("GOOGLETRANSLATE(B1518,""en"",""it"")"),"L'uomo tira fuori l'armonica e continua a mostrarlo alla telecamera.")</f>
        <v>L'uomo tira fuori l'armonica e continua a mostrarlo alla telecamera.</v>
      </c>
    </row>
    <row r="1519">
      <c r="A1519" s="4" t="s">
        <v>1904</v>
      </c>
      <c r="B1519" s="4" t="s">
        <v>1907</v>
      </c>
      <c r="C1519" s="5" t="str">
        <f>IFERROR(__xludf.DUMMYFUNCTION("GOOGLETRANSLATE(B1519,""en"",""it"")"),"L'uomo suona l'armonica e fa una pausa per trattenerlo sullo schermo e un'immagine.")</f>
        <v>L'uomo suona l'armonica e fa una pausa per trattenerlo sullo schermo e un'immagine.</v>
      </c>
    </row>
    <row r="1520">
      <c r="A1520" s="4" t="s">
        <v>1908</v>
      </c>
      <c r="B1520" s="4" t="s">
        <v>1909</v>
      </c>
      <c r="C1520" s="5" t="str">
        <f>IFERROR(__xludf.DUMMYFUNCTION("GOOGLETRANSLATE(B1520,""en"",""it"")"),"C'è una donna che mangia gelato da una vasca e che parla con l'uomo della telecamera.")</f>
        <v>C'è una donna che mangia gelato da una vasca e che parla con l'uomo della telecamera.</v>
      </c>
    </row>
    <row r="1521">
      <c r="A1521" s="4" t="s">
        <v>1908</v>
      </c>
      <c r="B1521" s="4" t="s">
        <v>1910</v>
      </c>
      <c r="C1521" s="5" t="str">
        <f>IFERROR(__xludf.DUMMYFUNCTION("GOOGLETRANSLATE(B1521,""en"",""it"")"),"E cerca di guardare nella vasca, ma lei la tira via.")</f>
        <v>E cerca di guardare nella vasca, ma lei la tira via.</v>
      </c>
    </row>
    <row r="1522">
      <c r="A1522" s="4" t="s">
        <v>1908</v>
      </c>
      <c r="B1522" s="4" t="s">
        <v>1911</v>
      </c>
      <c r="C1522" s="5" t="str">
        <f>IFERROR(__xludf.DUMMYFUNCTION("GOOGLETRANSLATE(B1522,""en"",""it"")"),"La persona della telecamera si siede per continuare a parlare con la donna.")</f>
        <v>La persona della telecamera si siede per continuare a parlare con la donna.</v>
      </c>
    </row>
    <row r="1523">
      <c r="A1523" s="4" t="s">
        <v>1908</v>
      </c>
      <c r="B1523" s="4" t="s">
        <v>1912</v>
      </c>
      <c r="C1523" s="5" t="str">
        <f>IFERROR(__xludf.DUMMYFUNCTION("GOOGLETRANSLATE(B1523,""en"",""it"")"),"Si alza e lui la segue attraverso la casa mentre entra in cucina.")</f>
        <v>Si alza e lui la segue attraverso la casa mentre entra in cucina.</v>
      </c>
    </row>
    <row r="1524">
      <c r="A1524" s="4" t="s">
        <v>1908</v>
      </c>
      <c r="B1524" s="4" t="s">
        <v>1913</v>
      </c>
      <c r="C1524" s="5" t="str">
        <f>IFERROR(__xludf.DUMMYFUNCTION("GOOGLETRANSLATE(B1524,""en"",""it"")"),"Mette il resto del gelato nel congelatore e sciacqua il cucchiaio.")</f>
        <v>Mette il resto del gelato nel congelatore e sciacqua il cucchiaio.</v>
      </c>
    </row>
    <row r="1525">
      <c r="A1525" s="4" t="s">
        <v>1914</v>
      </c>
      <c r="B1525" s="4" t="s">
        <v>1915</v>
      </c>
      <c r="C1525" s="5" t="str">
        <f>IFERROR(__xludf.DUMMYFUNCTION("GOOGLETRANSLATE(B1525,""en"",""it"")"),"Un uomo atletico viene visto salire in cerchio e gettare una discussione in lontananza.")</f>
        <v>Un uomo atletico viene visto salire in cerchio e gettare una discussione in lontananza.</v>
      </c>
    </row>
    <row r="1526">
      <c r="A1526" s="4" t="s">
        <v>1914</v>
      </c>
      <c r="B1526" s="4" t="s">
        <v>1916</v>
      </c>
      <c r="C1526" s="5" t="str">
        <f>IFERROR(__xludf.DUMMYFUNCTION("GOOGLETRANSLATE(B1526,""en"",""it"")"),"Quindi corre eccitato mentre le telecamere lo seguono e mostrano altri atleti che girano il disco.")</f>
        <v>Quindi corre eccitato mentre le telecamere lo seguono e mostrano altri atleti che girano il disco.</v>
      </c>
    </row>
    <row r="1527">
      <c r="A1527" s="4" t="s">
        <v>1914</v>
      </c>
      <c r="B1527" s="4" t="s">
        <v>1917</v>
      </c>
      <c r="C1527" s="5" t="str">
        <f>IFERROR(__xludf.DUMMYFUNCTION("GOOGLETRANSLATE(B1527,""en"",""it"")"),"Vengono mostrati più colpi di persone che celebrano e l'atleta si imbatte in spalti.")</f>
        <v>Vengono mostrati più colpi di persone che celebrano e l'atleta si imbatte in spalti.</v>
      </c>
    </row>
    <row r="1528">
      <c r="A1528" s="4" t="s">
        <v>1918</v>
      </c>
      <c r="B1528" s="6" t="s">
        <v>1919</v>
      </c>
      <c r="C1528" s="5" t="str">
        <f>IFERROR(__xludf.DUMMYFUNCTION("GOOGLETRANSLATE(B1528,""en"",""it"")"),"Una donna è seduta a un tavolo usando un narghilè mentre un'altra donna fa facce sciocche e gesti dietro di lei.")</f>
        <v>Una donna è seduta a un tavolo usando un narghilè mentre un'altra donna fa facce sciocche e gesti dietro di lei.</v>
      </c>
    </row>
    <row r="1529">
      <c r="A1529" s="4" t="s">
        <v>1918</v>
      </c>
      <c r="B1529" s="4" t="s">
        <v>1920</v>
      </c>
      <c r="C1529" s="5" t="str">
        <f>IFERROR(__xludf.DUMMYFUNCTION("GOOGLETRANSLATE(B1529,""en"",""it"")"),"Parlano animatamente con la persona dietro la telecamera.")</f>
        <v>Parlano animatamente con la persona dietro la telecamera.</v>
      </c>
    </row>
    <row r="1530">
      <c r="A1530" s="4" t="s">
        <v>1918</v>
      </c>
      <c r="B1530" s="4" t="s">
        <v>1921</v>
      </c>
      <c r="C1530" s="5" t="str">
        <f>IFERROR(__xludf.DUMMYFUNCTION("GOOGLETRANSLATE(B1530,""en"",""it"")"),"C'è un primo piano degli elementi sul tavolo di fronte a loro.")</f>
        <v>C'è un primo piano degli elementi sul tavolo di fronte a loro.</v>
      </c>
    </row>
    <row r="1531">
      <c r="A1531" s="4" t="s">
        <v>1918</v>
      </c>
      <c r="B1531" s="6" t="s">
        <v>1922</v>
      </c>
      <c r="C1531" s="5" t="str">
        <f>IFERROR(__xludf.DUMMYFUNCTION("GOOGLETRANSLATE(B1531,""en"",""it"")"),"La donna con la telecamera la rivolge ad affrontarla prima di puntarlo verso le altre donne.")</f>
        <v>La donna con la telecamera la rivolge ad affrontarla prima di puntarlo verso le altre donne.</v>
      </c>
    </row>
    <row r="1532">
      <c r="A1532" s="4" t="s">
        <v>1918</v>
      </c>
      <c r="B1532" s="4" t="s">
        <v>1923</v>
      </c>
      <c r="C1532" s="5" t="str">
        <f>IFERROR(__xludf.DUMMYFUNCTION("GOOGLETRANSLATE(B1532,""en"",""it"")"),"Una delle donne tossisce come una nuvola di fumo la colpisce in faccia.")</f>
        <v>Una delle donne tossisce come una nuvola di fumo la colpisce in faccia.</v>
      </c>
    </row>
    <row r="1533">
      <c r="A1533" s="4" t="s">
        <v>1924</v>
      </c>
      <c r="B1533" s="4" t="s">
        <v>1925</v>
      </c>
      <c r="C1533" s="5" t="str">
        <f>IFERROR(__xludf.DUMMYFUNCTION("GOOGLETRANSLATE(B1533,""en"",""it"")"),"L'uomo sta saltando indossando palafitte su un marciapiede.")</f>
        <v>L'uomo sta saltando indossando palafitte su un marciapiede.</v>
      </c>
    </row>
    <row r="1534">
      <c r="A1534" s="4" t="s">
        <v>1924</v>
      </c>
      <c r="B1534" s="4" t="s">
        <v>1926</v>
      </c>
      <c r="C1534" s="5" t="str">
        <f>IFERROR(__xludf.DUMMYFUNCTION("GOOGLETRANSLATE(B1534,""en"",""it"")"),"Un campo erboso verde calmo è dietro l'uomo che indossa trampoli.")</f>
        <v>Un campo erboso verde calmo è dietro l'uomo che indossa trampoli.</v>
      </c>
    </row>
    <row r="1535">
      <c r="A1535" s="4" t="s">
        <v>1924</v>
      </c>
      <c r="B1535" s="4" t="s">
        <v>1927</v>
      </c>
      <c r="C1535" s="5" t="str">
        <f>IFERROR(__xludf.DUMMYFUNCTION("GOOGLETRANSLATE(B1535,""en"",""it"")"),"L'uomo indossa un maglione bianco e passioni ed è in un parco erboso verde.")</f>
        <v>L'uomo indossa un maglione bianco e passioni ed è in un parco erboso verde.</v>
      </c>
    </row>
    <row r="1536">
      <c r="A1536" s="4" t="s">
        <v>1928</v>
      </c>
      <c r="B1536" s="6" t="s">
        <v>1929</v>
      </c>
      <c r="C1536" s="5" t="str">
        <f>IFERROR(__xludf.DUMMYFUNCTION("GOOGLETRANSLATE(B1536,""en"",""it"")"),"Viene visto un host parlare alla telecamera e conduce a un allenatore che parla con gli altri che si esercitano dietro di lei.")</f>
        <v>Viene visto un host parlare alla telecamera e conduce a un allenatore che parla con gli altri che si esercitano dietro di lei.</v>
      </c>
    </row>
    <row r="1537">
      <c r="A1537" s="4" t="s">
        <v>1928</v>
      </c>
      <c r="B1537" s="6" t="s">
        <v>1930</v>
      </c>
      <c r="C1537" s="5" t="str">
        <f>IFERROR(__xludf.DUMMYFUNCTION("GOOGLETRANSLATE(B1537,""en"",""it"")"),"Vengono mostrati altri scatti di persone che si esercitano in bici e finiscono con l'allenatore che attraversa e parla.")</f>
        <v>Vengono mostrati altri scatti di persone che si esercitano in bici e finiscono con l'allenatore che attraversa e parla.</v>
      </c>
    </row>
    <row r="1538">
      <c r="A1538" s="4" t="s">
        <v>1931</v>
      </c>
      <c r="B1538" s="4" t="s">
        <v>1932</v>
      </c>
      <c r="C1538" s="5" t="str">
        <f>IFERROR(__xludf.DUMMYFUNCTION("GOOGLETRANSLATE(B1538,""en"",""it"")"),"Una donna è in piedi su un campo da tennis a parlare.")</f>
        <v>Una donna è in piedi su un campo da tennis a parlare.</v>
      </c>
    </row>
    <row r="1539">
      <c r="A1539" s="4" t="s">
        <v>1931</v>
      </c>
      <c r="B1539" s="4" t="s">
        <v>1933</v>
      </c>
      <c r="C1539" s="5" t="str">
        <f>IFERROR(__xludf.DUMMYFUNCTION("GOOGLETRANSLATE(B1539,""en"",""it"")"),"Comincia a giocare a tennis in campo.")</f>
        <v>Comincia a giocare a tennis in campo.</v>
      </c>
    </row>
    <row r="1540">
      <c r="A1540" s="4" t="s">
        <v>1931</v>
      </c>
      <c r="B1540" s="4" t="s">
        <v>1934</v>
      </c>
      <c r="C1540" s="5" t="str">
        <f>IFERROR(__xludf.DUMMYFUNCTION("GOOGLETRANSLATE(B1540,""en"",""it"")"),"Serve più volte una palla da tennis attraverso il campo.")</f>
        <v>Serve più volte una palla da tennis attraverso il campo.</v>
      </c>
    </row>
    <row r="1541">
      <c r="A1541" s="4" t="s">
        <v>1935</v>
      </c>
      <c r="B1541" s="4" t="s">
        <v>1936</v>
      </c>
      <c r="C1541" s="5" t="str">
        <f>IFERROR(__xludf.DUMMYFUNCTION("GOOGLETRANSLATE(B1541,""en"",""it"")"),"Diverse persone sono fuori in una stazione sciistica seduta sui tubi.")</f>
        <v>Diverse persone sono fuori in una stazione sciistica seduta sui tubi.</v>
      </c>
    </row>
    <row r="1542">
      <c r="A1542" s="4" t="s">
        <v>1935</v>
      </c>
      <c r="B1542" s="4" t="s">
        <v>1937</v>
      </c>
      <c r="C1542" s="5" t="str">
        <f>IFERROR(__xludf.DUMMYFUNCTION("GOOGLETRANSLATE(B1542,""en"",""it"")"),"Dopo, le tre persone nella parte anteriore, vengono tirate giù per il pendio e iniziano a scivolare verso il basso.")</f>
        <v>Dopo, le tre persone nella parte anteriore, vengono tirate giù per il pendio e iniziano a scivolare verso il basso.</v>
      </c>
    </row>
    <row r="1543">
      <c r="A1543" s="4" t="s">
        <v>1935</v>
      </c>
      <c r="B1543" s="4" t="s">
        <v>1938</v>
      </c>
      <c r="C1543" s="5" t="str">
        <f>IFERROR(__xludf.DUMMYFUNCTION("GOOGLETRANSLATE(B1543,""en"",""it"")"),"Una volta fuori, l'uomo che lo ha spinto giù per le camminate e più persone iniziano a scendere.")</f>
        <v>Una volta fuori, l'uomo che lo ha spinto giù per le camminate e più persone iniziano a scendere.</v>
      </c>
    </row>
    <row r="1544">
      <c r="A1544" s="4" t="s">
        <v>1939</v>
      </c>
      <c r="B1544" s="6" t="s">
        <v>1940</v>
      </c>
      <c r="C1544" s="5" t="str">
        <f>IFERROR(__xludf.DUMMYFUNCTION("GOOGLETRANSLATE(B1544,""en"",""it"")"),"Viene visto un uomo con in mano un bicchiere mentre parla alla telecamera quando un altro uomo entra e inizia a dipingere il muro.")</f>
        <v>Viene visto un uomo con in mano un bicchiere mentre parla alla telecamera quando un altro uomo entra e inizia a dipingere il muro.</v>
      </c>
    </row>
    <row r="1545">
      <c r="A1545" s="4" t="s">
        <v>1939</v>
      </c>
      <c r="B1545" s="6" t="s">
        <v>1941</v>
      </c>
      <c r="C1545" s="5" t="str">
        <f>IFERROR(__xludf.DUMMYFUNCTION("GOOGLETRANSLATE(B1545,""en"",""it"")"),"L'uomo continua a dipingere su e giù per il muro mentre la telecamera cattura lui e l'altro uomo se ne va.")</f>
        <v>L'uomo continua a dipingere su e giù per il muro mentre la telecamera cattura lui e l'altro uomo se ne va.</v>
      </c>
    </row>
    <row r="1546">
      <c r="A1546" s="4" t="s">
        <v>1942</v>
      </c>
      <c r="B1546" s="4" t="s">
        <v>1943</v>
      </c>
      <c r="C1546" s="5" t="str">
        <f>IFERROR(__xludf.DUMMYFUNCTION("GOOGLETRANSLATE(B1546,""en"",""it"")"),"Un'animazione che dimostra la lunghezza dell'arco di uno strumento di tipo saldatura che emette calore.")</f>
        <v>Un'animazione che dimostra la lunghezza dell'arco di uno strumento di tipo saldatura che emette calore.</v>
      </c>
    </row>
    <row r="1547">
      <c r="A1547" s="4" t="s">
        <v>1942</v>
      </c>
      <c r="B1547" s="4" t="s">
        <v>1944</v>
      </c>
      <c r="C1547" s="5" t="str">
        <f>IFERROR(__xludf.DUMMYFUNCTION("GOOGLETRANSLATE(B1547,""en"",""it"")"),"Una dimostrazione dello strumento che emette il calore in tempo reale.")</f>
        <v>Una dimostrazione dello strumento che emette il calore in tempo reale.</v>
      </c>
    </row>
    <row r="1548">
      <c r="A1548" s="4" t="s">
        <v>1942</v>
      </c>
      <c r="B1548" s="4" t="s">
        <v>1945</v>
      </c>
      <c r="C1548" s="5" t="str">
        <f>IFERROR(__xludf.DUMMYFUNCTION("GOOGLETRANSLATE(B1548,""en"",""it"")"),"Un grafico che illustra il lungo arco della tensione di documentazione e amperaggio dello strumento.")</f>
        <v>Un grafico che illustra il lungo arco della tensione di documentazione e amperaggio dello strumento.</v>
      </c>
    </row>
    <row r="1549">
      <c r="A1549" s="4" t="s">
        <v>1942</v>
      </c>
      <c r="B1549" s="4" t="s">
        <v>1946</v>
      </c>
      <c r="C1549" s="5" t="str">
        <f>IFERROR(__xludf.DUMMYFUNCTION("GOOGLETRANSLATE(B1549,""en"",""it"")"),"Lo strumento è mostrato in tempo reale emettendo calore con una foto di un materiale saldato.")</f>
        <v>Lo strumento è mostrato in tempo reale emettendo calore con una foto di un materiale saldato.</v>
      </c>
    </row>
    <row r="1550">
      <c r="A1550" s="4" t="s">
        <v>1942</v>
      </c>
      <c r="B1550" s="4" t="s">
        <v>1947</v>
      </c>
      <c r="C1550" s="5" t="str">
        <f>IFERROR(__xludf.DUMMYFUNCTION("GOOGLETRANSLATE(B1550,""en"",""it"")"),"Un grafico illustra l'arco breve con la tensione e l'amperaggio documentati.")</f>
        <v>Un grafico illustra l'arco breve con la tensione e l'amperaggio documentati.</v>
      </c>
    </row>
    <row r="1551">
      <c r="A1551" s="4" t="s">
        <v>1942</v>
      </c>
      <c r="B1551" s="4" t="s">
        <v>1948</v>
      </c>
      <c r="C1551" s="5" t="str">
        <f>IFERROR(__xludf.DUMMYFUNCTION("GOOGLETRANSLATE(B1551,""en"",""it"")"),"Un uomo in un cappotto blu e guanti arancioni utilizza lo strumento ARC.")</f>
        <v>Un uomo in un cappotto blu e guanti arancioni utilizza lo strumento ARC.</v>
      </c>
    </row>
    <row r="1552">
      <c r="A1552" s="4" t="s">
        <v>1949</v>
      </c>
      <c r="B1552" s="4" t="s">
        <v>1950</v>
      </c>
      <c r="C1552" s="5" t="str">
        <f>IFERROR(__xludf.DUMMYFUNCTION("GOOGLETRANSLATE(B1552,""en"",""it"")"),"Un uomo sta mettendo piastrelle sul pavimento.")</f>
        <v>Un uomo sta mettendo piastrelle sul pavimento.</v>
      </c>
    </row>
    <row r="1553">
      <c r="A1553" s="4" t="s">
        <v>1949</v>
      </c>
      <c r="B1553" s="4" t="s">
        <v>1951</v>
      </c>
      <c r="C1553" s="5" t="str">
        <f>IFERROR(__xludf.DUMMYFUNCTION("GOOGLETRANSLATE(B1553,""en"",""it"")"),"Appare una donna, rimuovendo le piastrelle da una scatola e ne parla.")</f>
        <v>Appare una donna, rimuovendo le piastrelle da una scatola e ne parla.</v>
      </c>
    </row>
    <row r="1554">
      <c r="A1554" s="4" t="s">
        <v>1949</v>
      </c>
      <c r="B1554" s="4" t="s">
        <v>1952</v>
      </c>
      <c r="C1554" s="5" t="str">
        <f>IFERROR(__xludf.DUMMYFUNCTION("GOOGLETRANSLATE(B1554,""en"",""it"")"),"La donna si inginocchia a terra, tagliando e applicando piastrelle.")</f>
        <v>La donna si inginocchia a terra, tagliando e applicando piastrelle.</v>
      </c>
    </row>
    <row r="1555">
      <c r="A1555" s="4" t="s">
        <v>1949</v>
      </c>
      <c r="B1555" s="6" t="s">
        <v>1953</v>
      </c>
      <c r="C1555" s="5" t="str">
        <f>IFERROR(__xludf.DUMMYFUNCTION("GOOGLETRANSLATE(B1555,""en"",""it"")"),"Un uomo rotola un rullo a pressione sul pavimento finito prima che la donna torni, parlando del prodotto finito.")</f>
        <v>Un uomo rotola un rullo a pressione sul pavimento finito prima che la donna torni, parlando del prodotto finito.</v>
      </c>
    </row>
    <row r="1556">
      <c r="A1556" s="4" t="s">
        <v>1954</v>
      </c>
      <c r="B1556" s="4" t="s">
        <v>1955</v>
      </c>
      <c r="C1556" s="5" t="str">
        <f>IFERROR(__xludf.DUMMYFUNCTION("GOOGLETRANSLATE(B1556,""en"",""it"")"),"Una ragazza sta facendo un bagno a un cagnolino.")</f>
        <v>Una ragazza sta facendo un bagno a un cagnolino.</v>
      </c>
    </row>
    <row r="1557">
      <c r="A1557" s="4" t="s">
        <v>1954</v>
      </c>
      <c r="B1557" s="4" t="s">
        <v>1956</v>
      </c>
      <c r="C1557" s="5" t="str">
        <f>IFERROR(__xludf.DUMMYFUNCTION("GOOGLETRANSLATE(B1557,""en"",""it"")"),"Ha una bottiglia arancione in mano.")</f>
        <v>Ha una bottiglia arancione in mano.</v>
      </c>
    </row>
    <row r="1558">
      <c r="A1558" s="4" t="s">
        <v>1957</v>
      </c>
      <c r="B1558" s="6" t="s">
        <v>1958</v>
      </c>
      <c r="C1558" s="5" t="str">
        <f>IFERROR(__xludf.DUMMYFUNCTION("GOOGLETRANSLATE(B1558,""en"",""it"")"),"Uno schermo introduttivo bianco appare con un turbinio artistico rosso, bianco e nero sul lato sinistro delle parole rosse e nere sulla destra che dicono ""Inghilterra squash &amp; racketball"" e il sito Web in nero in fondo.")</f>
        <v>Uno schermo introduttivo bianco appare con un turbinio artistico rosso, bianco e nero sul lato sinistro delle parole rosse e nere sulla destra che dicono "Inghilterra squash &amp; racketball" e il sito Web in nero in fondo.</v>
      </c>
    </row>
    <row r="1559">
      <c r="A1559" s="4" t="s">
        <v>1957</v>
      </c>
      <c r="B1559" s="6" t="s">
        <v>1959</v>
      </c>
      <c r="C1559" s="5" t="str">
        <f>IFERROR(__xludf.DUMMYFUNCTION("GOOGLETRANSLATE(B1559,""en"",""it"")"),"Un uomo appare con una racchetta e sta parlando con la telecamera mentre colpisce una palla da raccapiglia, quindi vari piccoli clip giocano in seguito che lo includono colpire il racketball e anche varie altre persone che giocano.")</f>
        <v>Un uomo appare con una racchetta e sta parlando con la telecamera mentre colpisce una palla da raccapiglia, quindi vari piccoli clip giocano in seguito che lo includono colpire il racketball e anche varie altre persone che giocano.</v>
      </c>
    </row>
    <row r="1560">
      <c r="A1560" s="4" t="s">
        <v>1957</v>
      </c>
      <c r="B1560" s="4" t="s">
        <v>1960</v>
      </c>
      <c r="C1560" s="5" t="str">
        <f>IFERROR(__xludf.DUMMYFUNCTION("GOOGLETRANSLATE(B1560,""en"",""it"")"),"Viene visualizzato la schermata Outro ed è esattamente come lo schermo introduttivo bianco.")</f>
        <v>Viene visualizzato la schermata Outro ed è esattamente come lo schermo introduttivo bianco.</v>
      </c>
    </row>
    <row r="1561">
      <c r="A1561" s="4" t="s">
        <v>1961</v>
      </c>
      <c r="B1561" s="4" t="s">
        <v>1962</v>
      </c>
      <c r="C1561" s="5" t="str">
        <f>IFERROR(__xludf.DUMMYFUNCTION("GOOGLETRANSLATE(B1561,""en"",""it"")"),"Ci sono persone che lanciano palle l'una contro l'altra in piscina.")</f>
        <v>Ci sono persone che lanciano palle l'una contro l'altra in piscina.</v>
      </c>
    </row>
    <row r="1562">
      <c r="A1562" s="4" t="s">
        <v>1961</v>
      </c>
      <c r="B1562" s="4" t="s">
        <v>1963</v>
      </c>
      <c r="C1562" s="5" t="str">
        <f>IFERROR(__xludf.DUMMYFUNCTION("GOOGLETRANSLATE(B1562,""en"",""it"")"),"Ci sono persone che nuotano dall'altra parte della piscina.")</f>
        <v>Ci sono persone che nuotano dall'altra parte della piscina.</v>
      </c>
    </row>
    <row r="1563">
      <c r="A1563" s="4" t="s">
        <v>1964</v>
      </c>
      <c r="B1563" s="4" t="s">
        <v>1965</v>
      </c>
      <c r="C1563" s="5" t="str">
        <f>IFERROR(__xludf.DUMMYFUNCTION("GOOGLETRANSLATE(B1563,""en"",""it"")"),"La donna sta camminando indossando un bikini e mangiare un cioccolato è una giornata nevosa.")</f>
        <v>La donna sta camminando indossando un bikini e mangiare un cioccolato è una giornata nevosa.</v>
      </c>
    </row>
    <row r="1564">
      <c r="A1564" s="4" t="s">
        <v>1964</v>
      </c>
      <c r="B1564" s="4" t="s">
        <v>1966</v>
      </c>
      <c r="C1564" s="5" t="str">
        <f>IFERROR(__xludf.DUMMYFUNCTION("GOOGLETRANSLATE(B1564,""en"",""it"")"),"Le persone sono sul marciapiede a guardare la ragazza che cammina.")</f>
        <v>Le persone sono sul marciapiede a guardare la ragazza che cammina.</v>
      </c>
    </row>
    <row r="1565">
      <c r="A1565" s="4" t="s">
        <v>1964</v>
      </c>
      <c r="B1565" s="4" t="s">
        <v>1967</v>
      </c>
      <c r="C1565" s="5" t="str">
        <f>IFERROR(__xludf.DUMMYFUNCTION("GOOGLETRANSLATE(B1565,""en"",""it"")"),"La donna è in un ristorante che indossa un bikini e due Aiter la guardano.")</f>
        <v>La donna è in un ristorante che indossa un bikini e due Aiter la guardano.</v>
      </c>
    </row>
    <row r="1566">
      <c r="A1566" s="4" t="s">
        <v>1964</v>
      </c>
      <c r="B1566" s="4" t="s">
        <v>1968</v>
      </c>
      <c r="C1566" s="5" t="str">
        <f>IFERROR(__xludf.DUMMYFUNCTION("GOOGLETRANSLATE(B1566,""en"",""it"")"),"La donna cammina in un aeroporto mangiando un ristorante.")</f>
        <v>La donna cammina in un aeroporto mangiando un ristorante.</v>
      </c>
    </row>
    <row r="1567">
      <c r="A1567" s="4" t="s">
        <v>1969</v>
      </c>
      <c r="B1567" s="4" t="s">
        <v>1970</v>
      </c>
      <c r="C1567" s="5" t="str">
        <f>IFERROR(__xludf.DUMMYFUNCTION("GOOGLETRANSLATE(B1567,""en"",""it"")"),"Una bambina si sta truccando sul viso.")</f>
        <v>Una bambina si sta truccando sul viso.</v>
      </c>
    </row>
    <row r="1568">
      <c r="A1568" s="4" t="s">
        <v>1969</v>
      </c>
      <c r="B1568" s="4" t="s">
        <v>1971</v>
      </c>
      <c r="C1568" s="5" t="str">
        <f>IFERROR(__xludf.DUMMYFUNCTION("GOOGLETRANSLATE(B1568,""en"",""it"")"),"Mette il rossetto sulle labbra.")</f>
        <v>Mette il rossetto sulle labbra.</v>
      </c>
    </row>
    <row r="1569">
      <c r="A1569" s="4" t="s">
        <v>1969</v>
      </c>
      <c r="B1569" s="4" t="s">
        <v>1972</v>
      </c>
      <c r="C1569" s="5" t="str">
        <f>IFERROR(__xludf.DUMMYFUNCTION("GOOGLETRANSLATE(B1569,""en"",""it"")"),"Mette il mascara sulle ciglia.")</f>
        <v>Mette il mascara sulle ciglia.</v>
      </c>
    </row>
    <row r="1570">
      <c r="A1570" s="4" t="s">
        <v>1969</v>
      </c>
      <c r="B1570" s="4" t="s">
        <v>1973</v>
      </c>
      <c r="C1570" s="5" t="str">
        <f>IFERROR(__xludf.DUMMYFUNCTION("GOOGLETRANSLATE(B1570,""en"",""it"")"),"Spray spray sul corpo sulla camicia.")</f>
        <v>Spray spray sul corpo sulla camicia.</v>
      </c>
    </row>
    <row r="1571">
      <c r="A1571" s="4" t="s">
        <v>1969</v>
      </c>
      <c r="B1571" s="4" t="s">
        <v>1974</v>
      </c>
      <c r="C1571" s="5" t="str">
        <f>IFERROR(__xludf.DUMMYFUNCTION("GOOGLETRANSLATE(B1571,""en"",""it"")"),"Si mette a ombretto sugli occhi.")</f>
        <v>Si mette a ombretto sugli occhi.</v>
      </c>
    </row>
    <row r="1572">
      <c r="A1572" s="4" t="s">
        <v>1975</v>
      </c>
      <c r="B1572" s="4" t="s">
        <v>1976</v>
      </c>
      <c r="C1572" s="5" t="str">
        <f>IFERROR(__xludf.DUMMYFUNCTION("GOOGLETRANSLATE(B1572,""en"",""it"")"),"Una ginnasta viene vista in piedi davanti a una trave e poi saltare per eseguire una routine.")</f>
        <v>Una ginnasta viene vista in piedi davanti a una trave e poi saltare per eseguire una routine.</v>
      </c>
    </row>
    <row r="1573">
      <c r="A1573" s="4" t="s">
        <v>1975</v>
      </c>
      <c r="B1573" s="6" t="s">
        <v>1977</v>
      </c>
      <c r="C1573" s="5" t="str">
        <f>IFERROR(__xludf.DUMMYFUNCTION("GOOGLETRANSLATE(B1573,""en"",""it"")"),"La ragazza quindi esegue diversi lanci e trucchi sul raggio, finendo con lei che saltava di lato con le gambe insieme e tiene le braccia in alto.")</f>
        <v>La ragazza quindi esegue diversi lanci e trucchi sul raggio, finendo con lei che saltava di lato con le gambe insieme e tiene le braccia in alto.</v>
      </c>
    </row>
    <row r="1574">
      <c r="A1574" s="4" t="s">
        <v>1978</v>
      </c>
      <c r="B1574" s="4" t="s">
        <v>1979</v>
      </c>
      <c r="C1574" s="5" t="str">
        <f>IFERROR(__xludf.DUMMYFUNCTION("GOOGLETRANSLATE(B1574,""en"",""it"")"),"Una ragazza si siede davanti a un tavolo, suonando un fisarten.")</f>
        <v>Una ragazza si siede davanti a un tavolo, suonando un fisarten.</v>
      </c>
    </row>
    <row r="1575">
      <c r="A1575" s="4" t="s">
        <v>1978</v>
      </c>
      <c r="B1575" s="4" t="s">
        <v>1980</v>
      </c>
      <c r="C1575" s="5" t="str">
        <f>IFERROR(__xludf.DUMMYFUNCTION("GOOGLETRANSLATE(B1575,""en"",""it"")"),"Guarda la telecamera mentre suona la tastiera e tira dentro e fuori l'Amelobard.")</f>
        <v>Guarda la telecamera mentre suona la tastiera e tira dentro e fuori l'Amelobard.</v>
      </c>
    </row>
    <row r="1576">
      <c r="A1576" s="4" t="s">
        <v>1981</v>
      </c>
      <c r="B1576" s="4" t="s">
        <v>1982</v>
      </c>
      <c r="C1576" s="5" t="str">
        <f>IFERROR(__xludf.DUMMYFUNCTION("GOOGLETRANSLATE(B1576,""en"",""it"")"),"Una signora tira e fissa il suo vestito.")</f>
        <v>Una signora tira e fissa il suo vestito.</v>
      </c>
    </row>
    <row r="1577">
      <c r="A1577" s="4" t="s">
        <v>1981</v>
      </c>
      <c r="B1577" s="4" t="s">
        <v>1983</v>
      </c>
      <c r="C1577" s="5" t="str">
        <f>IFERROR(__xludf.DUMMYFUNCTION("GOOGLETRANSLATE(B1577,""en"",""it"")"),"La signora si scherza con i capelli.")</f>
        <v>La signora si scherza con i capelli.</v>
      </c>
    </row>
    <row r="1578">
      <c r="A1578" s="4" t="s">
        <v>1981</v>
      </c>
      <c r="B1578" s="4" t="s">
        <v>1984</v>
      </c>
      <c r="C1578" s="5" t="str">
        <f>IFERROR(__xludf.DUMMYFUNCTION("GOOGLETRANSLATE(B1578,""en"",""it"")"),"La signora prova le scarpe mentre si trova in piedi e seduta.")</f>
        <v>La signora prova le scarpe mentre si trova in piedi e seduta.</v>
      </c>
    </row>
    <row r="1579">
      <c r="A1579" s="4" t="s">
        <v>1985</v>
      </c>
      <c r="B1579" s="4" t="s">
        <v>1986</v>
      </c>
      <c r="C1579" s="5" t="str">
        <f>IFERROR(__xludf.DUMMYFUNCTION("GOOGLETRANSLATE(B1579,""en"",""it"")"),"Un'introduzione è mostrata da mappe e una casa da vicino.")</f>
        <v>Un'introduzione è mostrata da mappe e una casa da vicino.</v>
      </c>
    </row>
    <row r="1580">
      <c r="A1580" s="4" t="s">
        <v>1985</v>
      </c>
      <c r="B1580" s="4" t="s">
        <v>1987</v>
      </c>
      <c r="C1580" s="5" t="str">
        <f>IFERROR(__xludf.DUMMYFUNCTION("GOOGLETRANSLATE(B1580,""en"",""it"")"),"Successivamente viene mostrato un primo piano di un tetto e loghi.")</f>
        <v>Successivamente viene mostrato un primo piano di un tetto e loghi.</v>
      </c>
    </row>
    <row r="1581">
      <c r="A1581" s="4" t="s">
        <v>1985</v>
      </c>
      <c r="B1581" s="4" t="s">
        <v>1988</v>
      </c>
      <c r="C1581" s="5" t="str">
        <f>IFERROR(__xludf.DUMMYFUNCTION("GOOGLETRANSLATE(B1581,""en"",""it"")"),"Altre immagini sono mostrate da camion parcheggiati e loghi.")</f>
        <v>Altre immagini sono mostrate da camion parcheggiati e loghi.</v>
      </c>
    </row>
    <row r="1582">
      <c r="A1582" s="4" t="s">
        <v>1989</v>
      </c>
      <c r="B1582" s="4" t="s">
        <v>1990</v>
      </c>
      <c r="C1582" s="5" t="str">
        <f>IFERROR(__xludf.DUMMYFUNCTION("GOOGLETRANSLATE(B1582,""en"",""it"")"),"Pole Vault Greats è sullo schermo.")</f>
        <v>Pole Vault Greats è sullo schermo.</v>
      </c>
    </row>
    <row r="1583">
      <c r="A1583" s="4" t="s">
        <v>1989</v>
      </c>
      <c r="B1583" s="4" t="s">
        <v>1991</v>
      </c>
      <c r="C1583" s="5" t="str">
        <f>IFERROR(__xludf.DUMMYFUNCTION("GOOGLETRANSLATE(B1583,""en"",""it"")"),"Esistono diverse scene di fucili da uomo e donne.")</f>
        <v>Esistono diverse scene di fucili da uomo e donne.</v>
      </c>
    </row>
    <row r="1584">
      <c r="A1584" s="4" t="s">
        <v>1992</v>
      </c>
      <c r="B1584" s="4" t="s">
        <v>1487</v>
      </c>
      <c r="C1584" s="5" t="str">
        <f>IFERROR(__xludf.DUMMYFUNCTION("GOOGLETRANSLATE(B1584,""en"",""it"")"),"Vediamo una schermata del titolo di apertura.")</f>
        <v>Vediamo una schermata del titolo di apertura.</v>
      </c>
    </row>
    <row r="1585">
      <c r="A1585" s="4" t="s">
        <v>1992</v>
      </c>
      <c r="B1585" s="4" t="s">
        <v>1993</v>
      </c>
      <c r="C1585" s="5" t="str">
        <f>IFERROR(__xludf.DUMMYFUNCTION("GOOGLETRANSLATE(B1585,""en"",""it"")"),"Gli strumenti siedono su un tavolo e vediamo una persona decomprimere una bici e assemblarla.")</f>
        <v>Gli strumenti siedono su un tavolo e vediamo una persona decomprimere una bici e assemblarla.</v>
      </c>
    </row>
    <row r="1586">
      <c r="A1586" s="4" t="s">
        <v>1992</v>
      </c>
      <c r="B1586" s="4" t="s">
        <v>1994</v>
      </c>
      <c r="C1586" s="5" t="str">
        <f>IFERROR(__xludf.DUMMYFUNCTION("GOOGLETRANSLATE(B1586,""en"",""it"")"),"Vediamo l'uomo mettere una gomma sulla bici.")</f>
        <v>Vediamo l'uomo mettere una gomma sulla bici.</v>
      </c>
    </row>
    <row r="1587">
      <c r="A1587" s="4" t="s">
        <v>1992</v>
      </c>
      <c r="B1587" s="4" t="s">
        <v>1995</v>
      </c>
      <c r="C1587" s="5" t="str">
        <f>IFERROR(__xludf.DUMMYFUNCTION("GOOGLETRANSLATE(B1587,""en"",""it"")"),"Una persona stringe le prese sul manubrio.")</f>
        <v>Una persona stringe le prese sul manubrio.</v>
      </c>
    </row>
    <row r="1588">
      <c r="A1588" s="4" t="s">
        <v>1992</v>
      </c>
      <c r="B1588" s="4" t="s">
        <v>1996</v>
      </c>
      <c r="C1588" s="5" t="str">
        <f>IFERROR(__xludf.DUMMYFUNCTION("GOOGLETRANSLATE(B1588,""en"",""it"")"),"L'uomo mette grasso sulle palette e le installa prima di trasmettere le gomme.")</f>
        <v>L'uomo mette grasso sulle palette e le installa prima di trasmettere le gomme.</v>
      </c>
    </row>
    <row r="1589">
      <c r="A1589" s="4" t="s">
        <v>1992</v>
      </c>
      <c r="B1589" s="4" t="s">
        <v>1997</v>
      </c>
      <c r="C1589" s="5" t="str">
        <f>IFERROR(__xludf.DUMMYFUNCTION("GOOGLETRANSLATE(B1589,""en"",""it"")"),"Vediamo quindi la bici finita.")</f>
        <v>Vediamo quindi la bici finita.</v>
      </c>
    </row>
    <row r="1590">
      <c r="A1590" s="4" t="s">
        <v>1992</v>
      </c>
      <c r="B1590" s="4" t="s">
        <v>1998</v>
      </c>
      <c r="C1590" s="5" t="str">
        <f>IFERROR(__xludf.DUMMYFUNCTION("GOOGLETRANSLATE(B1590,""en"",""it"")"),"Viene mostrata la schermata del titolo finale.")</f>
        <v>Viene mostrata la schermata del titolo finale.</v>
      </c>
    </row>
    <row r="1591">
      <c r="A1591" s="4" t="s">
        <v>1999</v>
      </c>
      <c r="B1591" s="4" t="s">
        <v>2000</v>
      </c>
      <c r="C1591" s="5" t="str">
        <f>IFERROR(__xludf.DUMMYFUNCTION("GOOGLETRANSLATE(B1591,""en"",""it"")"),"Viene visto un uomo che tirava le tonalità da una finestra e rimuove le barre intorno ai lati.")</f>
        <v>Viene visto un uomo che tirava le tonalità da una finestra e rimuove le barre intorno ai lati.</v>
      </c>
    </row>
    <row r="1592">
      <c r="A1592" s="4" t="s">
        <v>1999</v>
      </c>
      <c r="B1592" s="6" t="s">
        <v>2001</v>
      </c>
      <c r="C1592" s="5" t="str">
        <f>IFERROR(__xludf.DUMMYFUNCTION("GOOGLETRANSLATE(B1592,""en"",""it"")"),"Un altro uomo lo aiuta mettendo le barre più recenti nella finestra e tagliando le assi in modo che si adattino.")</f>
        <v>Un altro uomo lo aiuta mettendo le barre più recenti nella finestra e tagliando le assi in modo che si adattino.</v>
      </c>
    </row>
    <row r="1593">
      <c r="A1593" s="4" t="s">
        <v>1999</v>
      </c>
      <c r="B1593" s="4" t="s">
        <v>2002</v>
      </c>
      <c r="C1593" s="5" t="str">
        <f>IFERROR(__xludf.DUMMYFUNCTION("GOOGLETRANSLATE(B1593,""en"",""it"")"),"Alla fine la fotocamera si muove attorno al nuovo tetto che mostra i suoi ottimi risultati.")</f>
        <v>Alla fine la fotocamera si muove attorno al nuovo tetto che mostra i suoi ottimi risultati.</v>
      </c>
    </row>
    <row r="1594">
      <c r="A1594" s="4" t="s">
        <v>2003</v>
      </c>
      <c r="B1594" s="4" t="s">
        <v>2004</v>
      </c>
      <c r="C1594" s="5" t="str">
        <f>IFERROR(__xludf.DUMMYFUNCTION("GOOGLETRANSLATE(B1594,""en"",""it"")"),"La gente gestisce il motocross su una strada accidentata nel bosco.")</f>
        <v>La gente gestisce il motocross su una strada accidentata nel bosco.</v>
      </c>
    </row>
    <row r="1595">
      <c r="A1595" s="4" t="s">
        <v>2003</v>
      </c>
      <c r="B1595" s="4" t="s">
        <v>2005</v>
      </c>
      <c r="C1595" s="5" t="str">
        <f>IFERROR(__xludf.DUMMYFUNCTION("GOOGLETRANSLATE(B1595,""en"",""it"")"),"Una persona si arrampica su un bernoccolo con una motocicletta.")</f>
        <v>Una persona si arrampica su un bernoccolo con una motocicletta.</v>
      </c>
    </row>
    <row r="1596">
      <c r="A1596" s="4" t="s">
        <v>2003</v>
      </c>
      <c r="B1596" s="4" t="s">
        <v>2006</v>
      </c>
      <c r="C1596" s="5" t="str">
        <f>IFERROR(__xludf.DUMMYFUNCTION("GOOGLETRANSLATE(B1596,""en"",""it"")"),"Anche le persone cavalcano motociclette su una superficie piana non asfaltata.")</f>
        <v>Anche le persone cavalcano motociclette su una superficie piana non asfaltata.</v>
      </c>
    </row>
    <row r="1597">
      <c r="A1597" s="4" t="s">
        <v>2007</v>
      </c>
      <c r="B1597" s="4" t="s">
        <v>2008</v>
      </c>
      <c r="C1597" s="5" t="str">
        <f>IFERROR(__xludf.DUMMYFUNCTION("GOOGLETRANSLATE(B1597,""en"",""it"")"),"Una bambina si trova su una tavola da immersione.")</f>
        <v>Una bambina si trova su una tavola da immersione.</v>
      </c>
    </row>
    <row r="1598">
      <c r="A1598" s="4" t="s">
        <v>2007</v>
      </c>
      <c r="B1598" s="4" t="s">
        <v>2009</v>
      </c>
      <c r="C1598" s="5" t="str">
        <f>IFERROR(__xludf.DUMMYFUNCTION("GOOGLETRANSLATE(B1598,""en"",""it"")"),"Quindi la bambina salta, capovolge e si tuffa in piscina.")</f>
        <v>Quindi la bambina salta, capovolge e si tuffa in piscina.</v>
      </c>
    </row>
    <row r="1599">
      <c r="A1599" s="4" t="s">
        <v>2007</v>
      </c>
      <c r="B1599" s="4" t="s">
        <v>2010</v>
      </c>
      <c r="C1599" s="5" t="str">
        <f>IFERROR(__xludf.DUMMYFUNCTION("GOOGLETRANSLATE(B1599,""en"",""it"")"),"Le persone sono in piscina.")</f>
        <v>Le persone sono in piscina.</v>
      </c>
    </row>
    <row r="1600">
      <c r="A1600" s="4" t="s">
        <v>2011</v>
      </c>
      <c r="B1600" s="4" t="s">
        <v>2012</v>
      </c>
      <c r="C1600" s="5" t="str">
        <f>IFERROR(__xludf.DUMMYFUNCTION("GOOGLETRANSLATE(B1600,""en"",""it"")"),"Kid sta oscillando in un parco giochi.")</f>
        <v>Kid sta oscillando in un parco giochi.</v>
      </c>
    </row>
    <row r="1601">
      <c r="A1601" s="4" t="s">
        <v>2011</v>
      </c>
      <c r="B1601" s="4" t="s">
        <v>2013</v>
      </c>
      <c r="C1601" s="5" t="str">
        <f>IFERROR(__xludf.DUMMYFUNCTION("GOOGLETRANSLATE(B1601,""en"",""it"")"),"La donna corre alle altalene e si siede.")</f>
        <v>La donna corre alle altalene e si siede.</v>
      </c>
    </row>
    <row r="1602">
      <c r="A1602" s="4" t="s">
        <v>2011</v>
      </c>
      <c r="B1602" s="4" t="s">
        <v>2014</v>
      </c>
      <c r="C1602" s="5" t="str">
        <f>IFERROR(__xludf.DUMMYFUNCTION("GOOGLETRANSLATE(B1602,""en"",""it"")"),"La donna si alza e piede.")</f>
        <v>La donna si alza e piede.</v>
      </c>
    </row>
    <row r="1603">
      <c r="A1603" s="4" t="s">
        <v>2015</v>
      </c>
      <c r="B1603" s="4" t="s">
        <v>2016</v>
      </c>
      <c r="C1603" s="5" t="str">
        <f>IFERROR(__xludf.DUMMYFUNCTION("GOOGLETRANSLATE(B1603,""en"",""it"")"),"Un uomo è seduto sulle scale che gioca un'armonica.")</f>
        <v>Un uomo è seduto sulle scale che gioca un'armonica.</v>
      </c>
    </row>
    <row r="1604">
      <c r="A1604" s="4" t="s">
        <v>2015</v>
      </c>
      <c r="B1604" s="4" t="s">
        <v>2017</v>
      </c>
      <c r="C1604" s="5" t="str">
        <f>IFERROR(__xludf.DUMMYFUNCTION("GOOGLETRANSLATE(B1604,""en"",""it"")"),"Si alza e continua a giocarci.")</f>
        <v>Si alza e continua a giocarci.</v>
      </c>
    </row>
    <row r="1605">
      <c r="A1605" s="4" t="s">
        <v>2015</v>
      </c>
      <c r="B1605" s="4" t="s">
        <v>2018</v>
      </c>
      <c r="C1605" s="5" t="str">
        <f>IFERROR(__xludf.DUMMYFUNCTION("GOOGLETRANSLATE(B1605,""en"",""it"")"),"Le parole si alzano sullo schermo.")</f>
        <v>Le parole si alzano sullo schermo.</v>
      </c>
    </row>
    <row r="1606">
      <c r="A1606" s="4" t="s">
        <v>2019</v>
      </c>
      <c r="B1606" s="4" t="s">
        <v>2020</v>
      </c>
      <c r="C1606" s="5" t="str">
        <f>IFERROR(__xludf.DUMMYFUNCTION("GOOGLETRANSLATE(B1606,""en"",""it"")"),"Viene mostrato un primo piano di un sacchetto di miscela di cemento.")</f>
        <v>Viene mostrato un primo piano di un sacchetto di miscela di cemento.</v>
      </c>
    </row>
    <row r="1607">
      <c r="A1607" s="4" t="s">
        <v>2019</v>
      </c>
      <c r="B1607" s="4" t="s">
        <v>2021</v>
      </c>
      <c r="C1607" s="5" t="str">
        <f>IFERROR(__xludf.DUMMYFUNCTION("GOOGLETRANSLATE(B1607,""en"",""it"")"),"Un uomo aggiunge acqua in un contenitore mentre un altro guarda.")</f>
        <v>Un uomo aggiunge acqua in un contenitore mentre un altro guarda.</v>
      </c>
    </row>
    <row r="1608">
      <c r="A1608" s="4" t="s">
        <v>2019</v>
      </c>
      <c r="B1608" s="4" t="s">
        <v>2022</v>
      </c>
      <c r="C1608" s="5" t="str">
        <f>IFERROR(__xludf.DUMMYFUNCTION("GOOGLETRANSLATE(B1608,""en"",""it"")"),"Il primo uomo versa il mix di cemento nel contenitore.")</f>
        <v>Il primo uomo versa il mix di cemento nel contenitore.</v>
      </c>
    </row>
    <row r="1609">
      <c r="A1609" s="4" t="s">
        <v>2019</v>
      </c>
      <c r="B1609" s="4" t="s">
        <v>2023</v>
      </c>
      <c r="C1609" s="5" t="str">
        <f>IFERROR(__xludf.DUMMYFUNCTION("GOOGLETRANSLATE(B1609,""en"",""it"")"),"Il secondo uomo usa un mixer sul contenitore.")</f>
        <v>Il secondo uomo usa un mixer sul contenitore.</v>
      </c>
    </row>
    <row r="1610">
      <c r="A1610" s="4" t="s">
        <v>2019</v>
      </c>
      <c r="B1610" s="4" t="s">
        <v>2024</v>
      </c>
      <c r="C1610" s="5" t="str">
        <f>IFERROR(__xludf.DUMMYFUNCTION("GOOGLETRANSLATE(B1610,""en"",""it"")"),"Uno degli uomini applica la miscela a un muro.")</f>
        <v>Uno degli uomini applica la miscela a un muro.</v>
      </c>
    </row>
    <row r="1611">
      <c r="A1611" s="4" t="s">
        <v>2025</v>
      </c>
      <c r="B1611" s="4" t="s">
        <v>2026</v>
      </c>
      <c r="C1611" s="5" t="str">
        <f>IFERROR(__xludf.DUMMYFUNCTION("GOOGLETRANSLATE(B1611,""en"",""it"")"),"I crediti di apertura mostrano la descrizione del video.")</f>
        <v>I crediti di apertura mostrano la descrizione del video.</v>
      </c>
    </row>
    <row r="1612">
      <c r="A1612" s="4" t="s">
        <v>2025</v>
      </c>
      <c r="B1612" s="4" t="s">
        <v>2027</v>
      </c>
      <c r="C1612" s="5" t="str">
        <f>IFERROR(__xludf.DUMMYFUNCTION("GOOGLETRANSLATE(B1612,""en"",""it"")"),"Una donna agita la mano e riconosce i suoi capelli e il viso mentre continua a parlare.")</f>
        <v>Una donna agita la mano e riconosce i suoi capelli e il viso mentre continua a parlare.</v>
      </c>
    </row>
    <row r="1613">
      <c r="A1613" s="4" t="s">
        <v>2025</v>
      </c>
      <c r="B1613" s="4" t="s">
        <v>2028</v>
      </c>
      <c r="C1613" s="5" t="str">
        <f>IFERROR(__xludf.DUMMYFUNCTION("GOOGLETRANSLATE(B1613,""en"",""it"")"),"La donna ha i capelli e inizia a acconciarsi i capelli.")</f>
        <v>La donna ha i capelli e inizia a acconciarsi i capelli.</v>
      </c>
    </row>
    <row r="1614">
      <c r="A1614" s="4" t="s">
        <v>2025</v>
      </c>
      <c r="B1614" s="4" t="s">
        <v>2029</v>
      </c>
      <c r="C1614" s="5" t="str">
        <f>IFERROR(__xludf.DUMMYFUNCTION("GOOGLETRANSLATE(B1614,""en"",""it"")"),"Completa lo stile dei capelli e continua a parlare.")</f>
        <v>Completa lo stile dei capelli e continua a parlare.</v>
      </c>
    </row>
    <row r="1615">
      <c r="A1615" s="4" t="s">
        <v>2030</v>
      </c>
      <c r="B1615" s="6" t="s">
        <v>2031</v>
      </c>
      <c r="C1615" s="5" t="str">
        <f>IFERROR(__xludf.DUMMYFUNCTION("GOOGLETRANSLATE(B1615,""en"",""it"")"),"C'è un uomo in una camicia bianca in piedi in un campo aperto facendo un tutorial per esperti villaggi su come giocare a lacrosse.")</f>
        <v>C'è un uomo in una camicia bianca in piedi in un campo aperto facendo un tutorial per esperti villaggi su come giocare a lacrosse.</v>
      </c>
    </row>
    <row r="1616">
      <c r="A1616" s="4" t="s">
        <v>2030</v>
      </c>
      <c r="B1616" s="4" t="s">
        <v>2032</v>
      </c>
      <c r="C1616" s="5" t="str">
        <f>IFERROR(__xludf.DUMMYFUNCTION("GOOGLETRANSLATE(B1616,""en"",""it"")"),"Tiene in mano un bastoncino di lacrosse mentre spiega le tecniche del gioco.")</f>
        <v>Tiene in mano un bastoncino di lacrosse mentre spiega le tecniche del gioco.</v>
      </c>
    </row>
    <row r="1617">
      <c r="A1617" s="4" t="s">
        <v>2030</v>
      </c>
      <c r="B1617" s="6" t="s">
        <v>2033</v>
      </c>
      <c r="C1617" s="5" t="str">
        <f>IFERROR(__xludf.DUMMYFUNCTION("GOOGLETRANSLATE(B1617,""en"",""it"")"),"Fa gesti delle mani per dimostrare il metodo corretto per tenere il bastoncino di lacrosse per una tecnica di gioco efficace.")</f>
        <v>Fa gesti delle mani per dimostrare il metodo corretto per tenere il bastoncino di lacrosse per una tecnica di gioco efficace.</v>
      </c>
    </row>
    <row r="1618">
      <c r="A1618" s="4" t="s">
        <v>2034</v>
      </c>
      <c r="B1618" s="6" t="s">
        <v>2035</v>
      </c>
      <c r="C1618" s="5" t="str">
        <f>IFERROR(__xludf.DUMMYFUNCTION("GOOGLETRANSLATE(B1618,""en"",""it"")"),"Un folto gruppo di persone è in un carnevale che gioca nelle proprie macchine per paraurti e alcune si imbattono nell'altra e si fermano.")</f>
        <v>Un folto gruppo di persone è in un carnevale che gioca nelle proprie macchine per paraurti e alcune si imbattono nell'altra e si fermano.</v>
      </c>
    </row>
    <row r="1619">
      <c r="A1619" s="4" t="s">
        <v>2034</v>
      </c>
      <c r="B1619" s="4" t="s">
        <v>2036</v>
      </c>
      <c r="C1619" s="5" t="str">
        <f>IFERROR(__xludf.DUMMYFUNCTION("GOOGLETRANSLATE(B1619,""en"",""it"")"),"Ridono e iniziano a allontanarsi le macchine per paraurti l'una dall'altra.")</f>
        <v>Ridono e iniziano a allontanarsi le macchine per paraurti l'una dall'altra.</v>
      </c>
    </row>
    <row r="1620">
      <c r="A1620" s="4" t="s">
        <v>2034</v>
      </c>
      <c r="B1620" s="6" t="s">
        <v>2037</v>
      </c>
      <c r="C1620" s="5" t="str">
        <f>IFERROR(__xludf.DUMMYFUNCTION("GOOGLETRANSLATE(B1620,""en"",""it"")"),"Le persone iniziano a guidare di nuovo dove continuano a imbattersi o semplicemente guidare.")</f>
        <v>Le persone iniziano a guidare di nuovo dove continuano a imbattersi o semplicemente guidare.</v>
      </c>
    </row>
    <row r="1621">
      <c r="A1621" s="4" t="s">
        <v>2034</v>
      </c>
      <c r="B1621" s="4" t="s">
        <v>2038</v>
      </c>
      <c r="C1621" s="5" t="str">
        <f>IFERROR(__xludf.DUMMYFUNCTION("GOOGLETRANSLATE(B1621,""en"",""it"")"),"Alla fine tutte le auto del paraurti si fermano e la corsa è finita.")</f>
        <v>Alla fine tutte le auto del paraurti si fermano e la corsa è finita.</v>
      </c>
    </row>
    <row r="1622">
      <c r="A1622" s="4" t="s">
        <v>2039</v>
      </c>
      <c r="B1622" s="4" t="s">
        <v>2040</v>
      </c>
      <c r="C1622" s="5" t="str">
        <f>IFERROR(__xludf.DUMMYFUNCTION("GOOGLETRANSLATE(B1622,""en"",""it"")"),"Gli ingredienti sono seduti su un blocco di legno.")</f>
        <v>Gli ingredienti sono seduti su un blocco di legno.</v>
      </c>
    </row>
    <row r="1623">
      <c r="A1623" s="4" t="s">
        <v>2039</v>
      </c>
      <c r="B1623" s="4" t="s">
        <v>2041</v>
      </c>
      <c r="C1623" s="5" t="str">
        <f>IFERROR(__xludf.DUMMYFUNCTION("GOOGLETRANSLATE(B1623,""en"",""it"")"),"Una persona inizia a mescolare insieme gli ingredienti.")</f>
        <v>Una persona inizia a mescolare insieme gli ingredienti.</v>
      </c>
    </row>
    <row r="1624">
      <c r="A1624" s="4" t="s">
        <v>2039</v>
      </c>
      <c r="B1624" s="4" t="s">
        <v>2042</v>
      </c>
      <c r="C1624" s="5" t="str">
        <f>IFERROR(__xludf.DUMMYFUNCTION("GOOGLETRANSLATE(B1624,""en"",""it"")"),"Le parole arrivano sullo schermo alla fine.")</f>
        <v>Le parole arrivano sullo schermo alla fine.</v>
      </c>
    </row>
    <row r="1625">
      <c r="A1625" s="4" t="s">
        <v>2043</v>
      </c>
      <c r="B1625" s="4" t="s">
        <v>2044</v>
      </c>
      <c r="C1625" s="5" t="str">
        <f>IFERROR(__xludf.DUMMYFUNCTION("GOOGLETRANSLATE(B1625,""en"",""it"")"),"Viene visto un logo con pistoni del motore e viene mostrato un disclaimer.")</f>
        <v>Viene visto un logo con pistoni del motore e viene mostrato un disclaimer.</v>
      </c>
    </row>
    <row r="1626">
      <c r="A1626" s="4" t="s">
        <v>2043</v>
      </c>
      <c r="B1626" s="4" t="s">
        <v>2045</v>
      </c>
      <c r="C1626" s="5" t="str">
        <f>IFERROR(__xludf.DUMMYFUNCTION("GOOGLETRANSLATE(B1626,""en"",""it"")"),"Due donne in palestra pantaloni di allenamento vanno insieme in bici fisse in palestra.")</f>
        <v>Due donne in palestra pantaloni di allenamento vanno insieme in bici fisse in palestra.</v>
      </c>
    </row>
    <row r="1627">
      <c r="A1627" s="4" t="s">
        <v>2046</v>
      </c>
      <c r="B1627" s="4" t="s">
        <v>2047</v>
      </c>
      <c r="C1627" s="5" t="str">
        <f>IFERROR(__xludf.DUMMYFUNCTION("GOOGLETRANSLATE(B1627,""en"",""it"")"),"Viene vista una donna parlare alla telecamera e conduce alle notizie che intervistano un uomo.")</f>
        <v>Viene vista una donna parlare alla telecamera e conduce alle notizie che intervistano un uomo.</v>
      </c>
    </row>
    <row r="1628">
      <c r="A1628" s="4" t="s">
        <v>2046</v>
      </c>
      <c r="B1628" s="6" t="s">
        <v>2048</v>
      </c>
      <c r="C1628" s="5" t="str">
        <f>IFERROR(__xludf.DUMMYFUNCTION("GOOGLETRANSLATE(B1628,""en"",""it"")"),"Vengono quindi mostrati diversi scatti di due tori che combattono altri mentre altri guardano e parlano alla telecamera.")</f>
        <v>Vengono quindi mostrati diversi scatti di due tori che combattono altri mentre altri guardano e parlano alla telecamera.</v>
      </c>
    </row>
    <row r="1629">
      <c r="A1629" s="4" t="s">
        <v>2049</v>
      </c>
      <c r="B1629" s="4" t="s">
        <v>2050</v>
      </c>
      <c r="C1629" s="5" t="str">
        <f>IFERROR(__xludf.DUMMYFUNCTION("GOOGLETRANSLATE(B1629,""en"",""it"")"),"Viene vista una persona che indossa pantofole e tiene in mano un bastone.")</f>
        <v>Viene vista una persona che indossa pantofole e tiene in mano un bastone.</v>
      </c>
    </row>
    <row r="1630">
      <c r="A1630" s="4" t="s">
        <v>2049</v>
      </c>
      <c r="B1630" s="4" t="s">
        <v>2051</v>
      </c>
      <c r="C1630" s="5" t="str">
        <f>IFERROR(__xludf.DUMMYFUNCTION("GOOGLETRANSLATE(B1630,""en"",""it"")"),"La persona inizia quindi a passeggiare per una stanza spingendo la palla con il bastone.")</f>
        <v>La persona inizia quindi a passeggiare per una stanza spingendo la palla con il bastone.</v>
      </c>
    </row>
    <row r="1631">
      <c r="A1631" s="4" t="s">
        <v>2049</v>
      </c>
      <c r="B1631" s="4" t="s">
        <v>2052</v>
      </c>
      <c r="C1631" s="5" t="str">
        <f>IFERROR(__xludf.DUMMYFUNCTION("GOOGLETRANSLATE(B1631,""en"",""it"")"),"La persona continua a colpire la palla mentre cammina per la stanza.")</f>
        <v>La persona continua a colpire la palla mentre cammina per la stanza.</v>
      </c>
    </row>
    <row r="1632">
      <c r="A1632" s="4" t="s">
        <v>2053</v>
      </c>
      <c r="B1632" s="4" t="s">
        <v>2054</v>
      </c>
      <c r="C1632" s="5" t="str">
        <f>IFERROR(__xludf.DUMMYFUNCTION("GOOGLETRANSLATE(B1632,""en"",""it"")"),"Un bambino piccolo viene visto cavalcare uno skateboard lungo una strada seguendo un gruppo di ragazzi più grandi.")</f>
        <v>Un bambino piccolo viene visto cavalcare uno skateboard lungo una strada seguendo un gruppo di ragazzi più grandi.</v>
      </c>
    </row>
    <row r="1633">
      <c r="A1633" s="4" t="s">
        <v>2053</v>
      </c>
      <c r="B1633" s="4" t="s">
        <v>2055</v>
      </c>
      <c r="C1633" s="5" t="str">
        <f>IFERROR(__xludf.DUMMYFUNCTION("GOOGLETRANSLATE(B1633,""en"",""it"")"),"Vengono mostrati diversi colpi di lui in giro, così come lui che fallisce e cavalca di più.")</f>
        <v>Vengono mostrati diversi colpi di lui in giro, così come lui che fallisce e cavalca di più.</v>
      </c>
    </row>
    <row r="1634">
      <c r="A1634" s="4" t="s">
        <v>2053</v>
      </c>
      <c r="B1634" s="4" t="s">
        <v>2056</v>
      </c>
      <c r="C1634" s="5" t="str">
        <f>IFERROR(__xludf.DUMMYFUNCTION("GOOGLETRANSLATE(B1634,""en"",""it"")"),"Purna colpisce l'uomo della telecamera e vengono mostrati altri scatti in giro.")</f>
        <v>Purna colpisce l'uomo della telecamera e vengono mostrati altri scatti in giro.</v>
      </c>
    </row>
    <row r="1635">
      <c r="A1635" s="4" t="s">
        <v>2057</v>
      </c>
      <c r="B1635" s="4" t="s">
        <v>2058</v>
      </c>
      <c r="C1635" s="5" t="str">
        <f>IFERROR(__xludf.DUMMYFUNCTION("GOOGLETRANSLATE(B1635,""en"",""it"")"),"Una ragazza è seduta sul fondo delle scale mentre cerca di indossare le scarpe.")</f>
        <v>Una ragazza è seduta sul fondo delle scale mentre cerca di indossare le scarpe.</v>
      </c>
    </row>
    <row r="1636">
      <c r="A1636" s="4" t="s">
        <v>2057</v>
      </c>
      <c r="B1636" s="4" t="s">
        <v>2059</v>
      </c>
      <c r="C1636" s="5" t="str">
        <f>IFERROR(__xludf.DUMMYFUNCTION("GOOGLETRANSLATE(B1636,""en"",""it"")"),"Si guarda in lontananza in un maniero disgustato, che sembra abbastanza distratto.")</f>
        <v>Si guarda in lontananza in un maniero disgustato, che sembra abbastanza distratto.</v>
      </c>
    </row>
    <row r="1637">
      <c r="A1637" s="4" t="s">
        <v>2057</v>
      </c>
      <c r="B1637" s="4" t="s">
        <v>2060</v>
      </c>
      <c r="C1637" s="5" t="str">
        <f>IFERROR(__xludf.DUMMYFUNCTION("GOOGLETRANSLATE(B1637,""en"",""it"")"),"Finisce legandosi i lacci delle scarpe e ridendo tra se stessa e la persona che la filma.")</f>
        <v>Finisce legandosi i lacci delle scarpe e ridendo tra se stessa e la persona che la filma.</v>
      </c>
    </row>
    <row r="1638">
      <c r="A1638" s="4" t="s">
        <v>2061</v>
      </c>
      <c r="B1638" s="4" t="s">
        <v>2062</v>
      </c>
      <c r="C1638" s="5" t="str">
        <f>IFERROR(__xludf.DUMMYFUNCTION("GOOGLETRANSLATE(B1638,""en"",""it"")"),"Una donna vestita in palestra sta facendo un tutorial per girare in palestra.")</f>
        <v>Una donna vestita in palestra sta facendo un tutorial per girare in palestra.</v>
      </c>
    </row>
    <row r="1639">
      <c r="A1639" s="4" t="s">
        <v>2061</v>
      </c>
      <c r="B1639" s="4" t="s">
        <v>2063</v>
      </c>
      <c r="C1639" s="5" t="str">
        <f>IFERROR(__xludf.DUMMYFUNCTION("GOOGLETRANSLATE(B1639,""en"",""it"")"),"Sta dimostrando i manubri che userà.")</f>
        <v>Sta dimostrando i manubri che userà.</v>
      </c>
    </row>
    <row r="1640">
      <c r="A1640" s="4" t="s">
        <v>2061</v>
      </c>
      <c r="B1640" s="6" t="s">
        <v>2064</v>
      </c>
      <c r="C1640" s="5" t="str">
        <f>IFERROR(__xludf.DUMMYFUNCTION("GOOGLETRANSLATE(B1640,""en"",""it"")"),"Quindi dimostra la bici da ginnastica e continua a andare in bici insieme ad altre donne in palestra.")</f>
        <v>Quindi dimostra la bici da ginnastica e continua a andare in bici insieme ad altre donne in palestra.</v>
      </c>
    </row>
    <row r="1641">
      <c r="A1641" s="4" t="s">
        <v>2061</v>
      </c>
      <c r="B1641" s="4" t="s">
        <v>2065</v>
      </c>
      <c r="C1641" s="5" t="str">
        <f>IFERROR(__xludf.DUMMYFUNCTION("GOOGLETRANSLATE(B1641,""en"",""it"")"),"Spiega come fare un esercizio rigoroso sulla bici.")</f>
        <v>Spiega come fare un esercizio rigoroso sulla bici.</v>
      </c>
    </row>
    <row r="1642">
      <c r="A1642" s="4" t="s">
        <v>2061</v>
      </c>
      <c r="B1642" s="4" t="s">
        <v>2066</v>
      </c>
      <c r="C1642" s="5" t="str">
        <f>IFERROR(__xludf.DUMMYFUNCTION("GOOGLETRANSLATE(B1642,""en"",""it"")"),"Ci sono molte altre donne che vanno anche in bicicletta sulla bici da esercizio con lei.")</f>
        <v>Ci sono molte altre donne che vanno anche in bicicletta sulla bici da esercizio con lei.</v>
      </c>
    </row>
    <row r="1643">
      <c r="A1643" s="4" t="s">
        <v>2067</v>
      </c>
      <c r="B1643" s="4" t="s">
        <v>2068</v>
      </c>
      <c r="C1643" s="5" t="str">
        <f>IFERROR(__xludf.DUMMYFUNCTION("GOOGLETRANSLATE(B1643,""en"",""it"")"),"Vediamo una bambina d'acqua.")</f>
        <v>Vediamo una bambina d'acqua.</v>
      </c>
    </row>
    <row r="1644">
      <c r="A1644" s="4" t="s">
        <v>2067</v>
      </c>
      <c r="B1644" s="4" t="s">
        <v>2069</v>
      </c>
      <c r="C1644" s="5" t="str">
        <f>IFERROR(__xludf.DUMMYFUNCTION("GOOGLETRANSLATE(B1644,""en"",""it"")"),"Vediamo un uomo che tiene uno sci d'acqua minorile.")</f>
        <v>Vediamo un uomo che tiene uno sci d'acqua minorile.</v>
      </c>
    </row>
    <row r="1645">
      <c r="A1645" s="4" t="s">
        <v>2067</v>
      </c>
      <c r="B1645" s="4" t="s">
        <v>2070</v>
      </c>
      <c r="C1645" s="5" t="str">
        <f>IFERROR(__xludf.DUMMYFUNCTION("GOOGLETRANSLATE(B1645,""en"",""it"")"),"L'uomo lascia andare e afferra di nuovo la giacca.")</f>
        <v>L'uomo lascia andare e afferra di nuovo la giacca.</v>
      </c>
    </row>
    <row r="1646">
      <c r="A1646" s="4" t="s">
        <v>2067</v>
      </c>
      <c r="B1646" s="4" t="s">
        <v>2071</v>
      </c>
      <c r="C1646" s="5" t="str">
        <f>IFERROR(__xludf.DUMMYFUNCTION("GOOGLETRANSLATE(B1646,""en"",""it"")"),"L'uomo indica gli sci.")</f>
        <v>L'uomo indica gli sci.</v>
      </c>
    </row>
    <row r="1647">
      <c r="A1647" s="4" t="s">
        <v>2067</v>
      </c>
      <c r="B1647" s="4" t="s">
        <v>2072</v>
      </c>
      <c r="C1647" s="5" t="str">
        <f>IFERROR(__xludf.DUMMYFUNCTION("GOOGLETRANSLATE(B1647,""en"",""it"")"),"L'uomo lasciato va e afferra di nuovo la giacca.")</f>
        <v>L'uomo lasciato va e afferra di nuovo la giacca.</v>
      </c>
    </row>
    <row r="1648">
      <c r="A1648" s="4" t="s">
        <v>2073</v>
      </c>
      <c r="B1648" s="4" t="s">
        <v>2074</v>
      </c>
      <c r="C1648" s="5" t="str">
        <f>IFERROR(__xludf.DUMMYFUNCTION("GOOGLETRANSLATE(B1648,""en"",""it"")"),"Un uomo sorride alla telecamera.")</f>
        <v>Un uomo sorride alla telecamera.</v>
      </c>
    </row>
    <row r="1649">
      <c r="A1649" s="4" t="s">
        <v>2073</v>
      </c>
      <c r="B1649" s="4" t="s">
        <v>2075</v>
      </c>
      <c r="C1649" s="5" t="str">
        <f>IFERROR(__xludf.DUMMYFUNCTION("GOOGLETRANSLATE(B1649,""en"",""it"")"),"Sta stirando i vestiti su una tavola da stiro.")</f>
        <v>Sta stirando i vestiti su una tavola da stiro.</v>
      </c>
    </row>
    <row r="1650">
      <c r="A1650" s="4" t="s">
        <v>2073</v>
      </c>
      <c r="B1650" s="4" t="s">
        <v>2076</v>
      </c>
      <c r="C1650" s="5" t="str">
        <f>IFERROR(__xludf.DUMMYFUNCTION("GOOGLETRANSLATE(B1650,""en"",""it"")"),"Ribalta i vestiti e irra dall'altra parte.")</f>
        <v>Ribalta i vestiti e irra dall'altra parte.</v>
      </c>
    </row>
    <row r="1651">
      <c r="A1651" s="4" t="s">
        <v>2077</v>
      </c>
      <c r="B1651" s="4" t="s">
        <v>2078</v>
      </c>
      <c r="C1651" s="5" t="str">
        <f>IFERROR(__xludf.DUMMYFUNCTION("GOOGLETRANSLATE(B1651,""en"",""it"")"),"Un ragazzo con una camicia arancione è in piedi in una stanza.")</f>
        <v>Un ragazzo con una camicia arancione è in piedi in una stanza.</v>
      </c>
    </row>
    <row r="1652">
      <c r="A1652" s="4" t="s">
        <v>2077</v>
      </c>
      <c r="B1652" s="4" t="s">
        <v>2079</v>
      </c>
      <c r="C1652" s="5" t="str">
        <f>IFERROR(__xludf.DUMMYFUNCTION("GOOGLETRANSLATE(B1652,""en"",""it"")"),"Comincia a prendere a pugni un sacco da boxe.")</f>
        <v>Comincia a prendere a pugni un sacco da boxe.</v>
      </c>
    </row>
    <row r="1653">
      <c r="A1653" s="4" t="s">
        <v>2077</v>
      </c>
      <c r="B1653" s="4" t="s">
        <v>2080</v>
      </c>
      <c r="C1653" s="5" t="str">
        <f>IFERROR(__xludf.DUMMYFUNCTION("GOOGLETRANSLATE(B1653,""en"",""it"")"),"Il sacco da punzonatrice si muove in aria.")</f>
        <v>Il sacco da punzonatrice si muove in aria.</v>
      </c>
    </row>
    <row r="1654">
      <c r="A1654" s="4" t="s">
        <v>2081</v>
      </c>
      <c r="B1654" s="4" t="s">
        <v>1251</v>
      </c>
      <c r="C1654" s="5" t="str">
        <f>IFERROR(__xludf.DUMMYFUNCTION("GOOGLETRANSLATE(B1654,""en"",""it"")"),"Vengono visualizzati i crediti della clip.")</f>
        <v>Vengono visualizzati i crediti della clip.</v>
      </c>
    </row>
    <row r="1655">
      <c r="A1655" s="4" t="s">
        <v>2081</v>
      </c>
      <c r="B1655" s="4" t="s">
        <v>2082</v>
      </c>
      <c r="C1655" s="5" t="str">
        <f>IFERROR(__xludf.DUMMYFUNCTION("GOOGLETRANSLATE(B1655,""en"",""it"")"),"Un ragazzo paga una barca.")</f>
        <v>Un ragazzo paga una barca.</v>
      </c>
    </row>
    <row r="1656">
      <c r="A1656" s="4" t="s">
        <v>2081</v>
      </c>
      <c r="B1656" s="4" t="s">
        <v>573</v>
      </c>
      <c r="C1656" s="5" t="str">
        <f>IFERROR(__xludf.DUMMYFUNCTION("GOOGLETRANSLATE(B1656,""en"",""it"")"),"Vengono visualizzati i crediti del video.")</f>
        <v>Vengono visualizzati i crediti del video.</v>
      </c>
    </row>
    <row r="1657">
      <c r="A1657" s="4" t="s">
        <v>2083</v>
      </c>
      <c r="B1657" s="4" t="s">
        <v>2084</v>
      </c>
      <c r="C1657" s="5" t="str">
        <f>IFERROR(__xludf.DUMMYFUNCTION("GOOGLETRANSLATE(B1657,""en"",""it"")"),"Un uomo viene visto fuori ballare da solo mentre si asciuga uno straccio sulla macchina.")</f>
        <v>Un uomo viene visto fuori ballare da solo mentre si asciuga uno straccio sulla macchina.</v>
      </c>
    </row>
    <row r="1658">
      <c r="A1658" s="4" t="s">
        <v>2083</v>
      </c>
      <c r="B1658" s="4" t="s">
        <v>2085</v>
      </c>
      <c r="C1658" s="5" t="str">
        <f>IFERROR(__xludf.DUMMYFUNCTION("GOOGLETRANSLATE(B1658,""en"",""it"")"),"Il tempo piove e l'uomo continua a ballare attorno all'auto con uno straccio.")</f>
        <v>Il tempo piove e l'uomo continua a ballare attorno all'auto con uno straccio.</v>
      </c>
    </row>
    <row r="1659">
      <c r="A1659" s="4" t="s">
        <v>2083</v>
      </c>
      <c r="B1659" s="4" t="s">
        <v>2086</v>
      </c>
      <c r="C1659" s="5" t="str">
        <f>IFERROR(__xludf.DUMMYFUNCTION("GOOGLETRANSLATE(B1659,""en"",""it"")"),"L'uomo si sposta sulla parte anteriore della macchina seguita da togliersi la camicia e agitando la telecamera.")</f>
        <v>L'uomo si sposta sulla parte anteriore della macchina seguita da togliersi la camicia e agitando la telecamera.</v>
      </c>
    </row>
    <row r="1660">
      <c r="A1660" s="4" t="s">
        <v>2087</v>
      </c>
      <c r="B1660" s="4" t="s">
        <v>2088</v>
      </c>
      <c r="C1660" s="5" t="str">
        <f>IFERROR(__xludf.DUMMYFUNCTION("GOOGLETRANSLATE(B1660,""en"",""it"")"),"C'è una grande folla mostrata applausi e due host che parlano all'inizio.")</f>
        <v>C'è una grande folla mostrata applausi e due host che parlano all'inizio.</v>
      </c>
    </row>
    <row r="1661">
      <c r="A1661" s="4" t="s">
        <v>2087</v>
      </c>
      <c r="B1661" s="4" t="s">
        <v>2089</v>
      </c>
      <c r="C1661" s="5" t="str">
        <f>IFERROR(__xludf.DUMMYFUNCTION("GOOGLETRANSLATE(B1661,""en"",""it"")"),"Una linea di uomini viene quindi mostrata indossando abiti di wrestling sumo.")</f>
        <v>Una linea di uomini viene quindi mostrata indossando abiti di wrestling sumo.</v>
      </c>
    </row>
    <row r="1662">
      <c r="A1662" s="4" t="s">
        <v>2087</v>
      </c>
      <c r="B1662" s="4" t="s">
        <v>2090</v>
      </c>
      <c r="C1662" s="5" t="str">
        <f>IFERROR(__xludf.DUMMYFUNCTION("GOOGLETRANSLATE(B1662,""en"",""it"")"),"Due persone entrano nel ring e iniziano a combattere.")</f>
        <v>Due persone entrano nel ring e iniziano a combattere.</v>
      </c>
    </row>
    <row r="1663">
      <c r="A1663" s="4" t="s">
        <v>2087</v>
      </c>
      <c r="B1663" s="4" t="s">
        <v>2091</v>
      </c>
      <c r="C1663" s="5" t="str">
        <f>IFERROR(__xludf.DUMMYFUNCTION("GOOGLETRANSLATE(B1663,""en"",""it"")"),"Le due persone si afferrano a vicenda e cercano di abbattere il loro avversario a terra.")</f>
        <v>Le due persone si afferrano a vicenda e cercano di abbattere il loro avversario a terra.</v>
      </c>
    </row>
    <row r="1664">
      <c r="A1664" s="4" t="s">
        <v>2092</v>
      </c>
      <c r="B1664" s="6" t="s">
        <v>2093</v>
      </c>
      <c r="C1664" s="5" t="str">
        <f>IFERROR(__xludf.DUMMYFUNCTION("GOOGLETRANSLATE(B1664,""en"",""it"")"),"La telecamera cattura un primo piano di una donna più anziana che si trucca e schiaccia le labbra alla telecamera.")</f>
        <v>La telecamera cattura un primo piano di una donna più anziana che si trucca e schiaccia le labbra alla telecamera.</v>
      </c>
    </row>
    <row r="1665">
      <c r="A1665" s="4" t="s">
        <v>2092</v>
      </c>
      <c r="B1665" s="4" t="s">
        <v>2094</v>
      </c>
      <c r="C1665" s="5" t="str">
        <f>IFERROR(__xludf.DUMMYFUNCTION("GOOGLETRANSLATE(B1665,""en"",""it"")"),"Quindi mette il mascara così come più rossetto e annuisce indietro e il quarto sorridente.")</f>
        <v>Quindi mette il mascara così come più rossetto e annuisce indietro e il quarto sorridente.</v>
      </c>
    </row>
    <row r="1666">
      <c r="A1666" s="4" t="s">
        <v>2095</v>
      </c>
      <c r="B1666" s="4" t="s">
        <v>2096</v>
      </c>
      <c r="C1666" s="5" t="str">
        <f>IFERROR(__xludf.DUMMYFUNCTION("GOOGLETRANSLATE(B1666,""en"",""it"")"),"Un uomo che indossa un cappello bianco sta dimostrando come preparare una bevanda caraibica.")</f>
        <v>Un uomo che indossa un cappello bianco sta dimostrando come preparare una bevanda caraibica.</v>
      </c>
    </row>
    <row r="1667">
      <c r="A1667" s="4" t="s">
        <v>2095</v>
      </c>
      <c r="B1667" s="4" t="s">
        <v>2097</v>
      </c>
      <c r="C1667" s="5" t="str">
        <f>IFERROR(__xludf.DUMMYFUNCTION("GOOGLETRANSLATE(B1667,""en"",""it"")"),"Mostra una ciotola piena di agrumi.")</f>
        <v>Mostra una ciotola piena di agrumi.</v>
      </c>
    </row>
    <row r="1668">
      <c r="A1668" s="4" t="s">
        <v>2095</v>
      </c>
      <c r="B1668" s="4" t="s">
        <v>2098</v>
      </c>
      <c r="C1668" s="5" t="str">
        <f>IFERROR(__xludf.DUMMYFUNCTION("GOOGLETRANSLATE(B1668,""en"",""it"")"),"Prende uno spremiagrumi di limone e alcuni limoni, lime e arance.")</f>
        <v>Prende uno spremiagrumi di limone e alcuni limoni, lime e arance.</v>
      </c>
    </row>
    <row r="1669">
      <c r="A1669" s="4" t="s">
        <v>2095</v>
      </c>
      <c r="B1669" s="4" t="s">
        <v>2099</v>
      </c>
      <c r="C1669" s="5" t="str">
        <f>IFERROR(__xludf.DUMMYFUNCTION("GOOGLETRANSLATE(B1669,""en"",""it"")"),"Quindi succhia le arance e il limone sullo spremiagrumi.")</f>
        <v>Quindi succhia le arance e il limone sullo spremiagrumi.</v>
      </c>
    </row>
    <row r="1670">
      <c r="A1670" s="4" t="s">
        <v>2095</v>
      </c>
      <c r="B1670" s="4" t="s">
        <v>2100</v>
      </c>
      <c r="C1670" s="5" t="str">
        <f>IFERROR(__xludf.DUMMYFUNCTION("GOOGLETRANSLATE(B1670,""en"",""it"")"),"Quindi svuota il succo di un grande ciotola da cocktail.")</f>
        <v>Quindi svuota il succo di un grande ciotola da cocktail.</v>
      </c>
    </row>
    <row r="1671">
      <c r="A1671" s="4" t="s">
        <v>2095</v>
      </c>
      <c r="B1671" s="4" t="s">
        <v>2101</v>
      </c>
      <c r="C1671" s="5" t="str">
        <f>IFERROR(__xludf.DUMMYFUNCTION("GOOGLETRANSLATE(B1671,""en"",""it"")"),"Aggiunge rum al succo insieme ad un estratto di vaniglia.")</f>
        <v>Aggiunge rum al succo insieme ad un estratto di vaniglia.</v>
      </c>
    </row>
    <row r="1672">
      <c r="A1672" s="4" t="s">
        <v>2095</v>
      </c>
      <c r="B1672" s="4" t="s">
        <v>2102</v>
      </c>
      <c r="C1672" s="5" t="str">
        <f>IFERROR(__xludf.DUMMYFUNCTION("GOOGLETRANSLATE(B1672,""en"",""it"")"),"Si mescola anche in zucchero e rum e sbora la bevanda.")</f>
        <v>Si mescola anche in zucchero e rum e sbora la bevanda.</v>
      </c>
    </row>
    <row r="1673">
      <c r="A1673" s="4" t="s">
        <v>2095</v>
      </c>
      <c r="B1673" s="4" t="s">
        <v>2103</v>
      </c>
      <c r="C1673" s="5" t="str">
        <f>IFERROR(__xludf.DUMMYFUNCTION("GOOGLETRANSLATE(B1673,""en"",""it"")"),"Alla fine aggiunge una ciotola piena d'acqua e la mescola bene.")</f>
        <v>Alla fine aggiunge una ciotola piena d'acqua e la mescola bene.</v>
      </c>
    </row>
    <row r="1674">
      <c r="A1674" s="4" t="s">
        <v>2095</v>
      </c>
      <c r="B1674" s="4" t="s">
        <v>2104</v>
      </c>
      <c r="C1674" s="5" t="str">
        <f>IFERROR(__xludf.DUMMYFUNCTION("GOOGLETRANSLATE(B1674,""en"",""it"")"),"Versa la bevanda in bicchieri da cocktail e la mette sul bancone della cucina.")</f>
        <v>Versa la bevanda in bicchieri da cocktail e la mette sul bancone della cucina.</v>
      </c>
    </row>
    <row r="1675">
      <c r="A1675" s="4" t="s">
        <v>2105</v>
      </c>
      <c r="B1675" s="4" t="s">
        <v>2106</v>
      </c>
      <c r="C1675" s="5" t="str">
        <f>IFERROR(__xludf.DUMMYFUNCTION("GOOGLETRANSLATE(B1675,""en"",""it"")"),"Una grande barca viene mostrata navigando attraverso l'acqua dell'oceano.")</f>
        <v>Una grande barca viene mostrata navigando attraverso l'acqua dell'oceano.</v>
      </c>
    </row>
    <row r="1676">
      <c r="A1676" s="4" t="s">
        <v>2105</v>
      </c>
      <c r="B1676" s="4" t="s">
        <v>2107</v>
      </c>
      <c r="C1676" s="5" t="str">
        <f>IFERROR(__xludf.DUMMYFUNCTION("GOOGLETRANSLATE(B1676,""en"",""it"")"),"Un uomo in ingranaggio subacqueo si arrampica sul lato.")</f>
        <v>Un uomo in ingranaggio subacqueo si arrampica sul lato.</v>
      </c>
    </row>
    <row r="1677">
      <c r="A1677" s="4" t="s">
        <v>2105</v>
      </c>
      <c r="B1677" s="4" t="s">
        <v>2108</v>
      </c>
      <c r="C1677" s="5" t="str">
        <f>IFERROR(__xludf.DUMMYFUNCTION("GOOGLETRANSLATE(B1677,""en"",""it"")"),"Lavora per tirare una grande borsa nella barca, cercando di non capovolgersi.")</f>
        <v>Lavora per tirare una grande borsa nella barca, cercando di non capovolgersi.</v>
      </c>
    </row>
    <row r="1678">
      <c r="A1678" s="4" t="s">
        <v>2109</v>
      </c>
      <c r="B1678" s="6" t="s">
        <v>2110</v>
      </c>
      <c r="C1678" s="5" t="str">
        <f>IFERROR(__xludf.DUMMYFUNCTION("GOOGLETRANSLATE(B1678,""en"",""it"")"),"Un uomo vestito con attrezzatura da neve è in piedi su un corpo d'acqua congelato e si piega mentre guarda in un buco di pesce in cui si trova il suo palo da pesca.")</f>
        <v>Un uomo vestito con attrezzatura da neve è in piedi su un corpo d'acqua congelato e si piega mentre guarda in un buco di pesce in cui si trova il suo palo da pesca.</v>
      </c>
    </row>
    <row r="1679">
      <c r="A1679" s="4" t="s">
        <v>2109</v>
      </c>
      <c r="B1679" s="6" t="s">
        <v>2111</v>
      </c>
      <c r="C1679" s="5" t="str">
        <f>IFERROR(__xludf.DUMMYFUNCTION("GOOGLETRANSLATE(B1679,""en"",""it"")"),"L'uomo si tira sulla canna da pesca, si inginocchia e continua a sollevare lentamente il palo da pesca e l'uomo della telecamera che aveva già abbassato la telecamera si piega e afferra il pesce e la mette sul ghiaccio.")</f>
        <v>L'uomo si tira sulla canna da pesca, si inginocchia e continua a sollevare lentamente il palo da pesca e l'uomo della telecamera che aveva già abbassato la telecamera si piega e afferra il pesce e la mette sul ghiaccio.</v>
      </c>
    </row>
    <row r="1680">
      <c r="A1680" s="4" t="s">
        <v>2109</v>
      </c>
      <c r="B1680" s="6" t="s">
        <v>2112</v>
      </c>
      <c r="C1680" s="5" t="str">
        <f>IFERROR(__xludf.DUMMYFUNCTION("GOOGLETRANSLATE(B1680,""en"",""it"")"),"L'uomo raccoglie la telecamera e angola la telecamera verso il pesce sul ghiaccio e l'uomo che stava pescando sta sorridendo, sgancia il pesce e poi lo tiene in aria.")</f>
        <v>L'uomo raccoglie la telecamera e angola la telecamera verso il pesce sul ghiaccio e l'uomo che stava pescando sta sorridendo, sgancia il pesce e poi lo tiene in aria.</v>
      </c>
    </row>
    <row r="1681">
      <c r="A1681" s="4" t="s">
        <v>2113</v>
      </c>
      <c r="B1681" s="4" t="s">
        <v>2114</v>
      </c>
      <c r="C1681" s="5" t="str">
        <f>IFERROR(__xludf.DUMMYFUNCTION("GOOGLETRANSLATE(B1681,""en"",""it"")"),"La gente gestisce i tori in un anello di rodeo, un uomo viene lanciato in aria da un toro.")</f>
        <v>La gente gestisce i tori in un anello di rodeo, un uomo viene lanciato in aria da un toro.</v>
      </c>
    </row>
    <row r="1682">
      <c r="A1682" s="4" t="s">
        <v>2113</v>
      </c>
      <c r="B1682" s="6" t="s">
        <v>2115</v>
      </c>
      <c r="C1682" s="5" t="str">
        <f>IFERROR(__xludf.DUMMYFUNCTION("GOOGLETRANSLATE(B1682,""en"",""it"")"),"Le persone vengono lanciate a terra a terra mentre saltano e calciano con le gambe posteriori mentre le persone guardano il rodeo.")</f>
        <v>Le persone vengono lanciate a terra a terra mentre saltano e calciano con le gambe posteriori mentre le persone guardano il rodeo.</v>
      </c>
    </row>
    <row r="1683">
      <c r="A1683" s="4" t="s">
        <v>2113</v>
      </c>
      <c r="B1683" s="6" t="s">
        <v>2116</v>
      </c>
      <c r="C1683" s="5" t="str">
        <f>IFERROR(__xludf.DUMMYFUNCTION("GOOGLETRANSLATE(B1683,""en"",""it"")"),"Diverse persone che cavalcano tori vengono lanciate a terra mentre altre persone distraggono i tori che saltano e calciano.")</f>
        <v>Diverse persone che cavalcano tori vengono lanciate a terra mentre altre persone distraggono i tori che saltano e calciano.</v>
      </c>
    </row>
    <row r="1684">
      <c r="A1684" s="4" t="s">
        <v>2117</v>
      </c>
      <c r="B1684" s="6" t="s">
        <v>2118</v>
      </c>
      <c r="C1684" s="5" t="str">
        <f>IFERROR(__xludf.DUMMYFUNCTION("GOOGLETRANSLATE(B1684,""en"",""it"")"),"Due sumos molto grandi si trovano in un cerchio elevato che fa riscaldamento delle gambe e accovacciati mentre un altro uomo in mezzo vestito con arbitri di abiti giapponesi.")</f>
        <v>Due sumos molto grandi si trovano in un cerchio elevato che fa riscaldamento delle gambe e accovacciati mentre un altro uomo in mezzo vestito con arbitri di abiti giapponesi.</v>
      </c>
    </row>
    <row r="1685">
      <c r="A1685" s="4" t="s">
        <v>2117</v>
      </c>
      <c r="B1685" s="6" t="s">
        <v>2119</v>
      </c>
      <c r="C1685" s="5" t="str">
        <f>IFERROR(__xludf.DUMMYFUNCTION("GOOGLETRANSLATE(B1685,""en"",""it"")"),"L'arbitro fa sapere loro quando iniziare e il sumos lotta mentre l'arbitro cammina attorno al ring e li monitora.")</f>
        <v>L'arbitro fa sapere loro quando iniziare e il sumos lotta mentre l'arbitro cammina attorno al ring e li monitora.</v>
      </c>
    </row>
    <row r="1686">
      <c r="A1686" s="4" t="s">
        <v>2117</v>
      </c>
      <c r="B1686" s="6" t="s">
        <v>2120</v>
      </c>
      <c r="C1686" s="5" t="str">
        <f>IFERROR(__xludf.DUMMYFUNCTION("GOOGLETRANSLATE(B1686,""en"",""it"")"),"Alla fine uno degli uomini è in grado di spingere un altro uomo fuori dal ring, smettono di lottare, il perdente cammina fino alla fine e si inchinano l'uno all'altro ed entrambi lasciano l'anello.")</f>
        <v>Alla fine uno degli uomini è in grado di spingere un altro uomo fuori dal ring, smettono di lottare, il perdente cammina fino alla fine e si inchinano l'uno all'altro ed entrambi lasciano l'anello.</v>
      </c>
    </row>
    <row r="1687">
      <c r="A1687" s="4" t="s">
        <v>2121</v>
      </c>
      <c r="B1687" s="4" t="s">
        <v>2122</v>
      </c>
      <c r="C1687" s="5" t="str">
        <f>IFERROR(__xludf.DUMMYFUNCTION("GOOGLETRANSLATE(B1687,""en"",""it"")"),"Una ragazza sta riversando qualcosa in un lavandino.")</f>
        <v>Una ragazza sta riversando qualcosa in un lavandino.</v>
      </c>
    </row>
    <row r="1688">
      <c r="A1688" s="4" t="s">
        <v>2121</v>
      </c>
      <c r="B1688" s="4" t="s">
        <v>2123</v>
      </c>
      <c r="C1688" s="5" t="str">
        <f>IFERROR(__xludf.DUMMYFUNCTION("GOOGLETRANSLATE(B1688,""en"",""it"")"),"Si allontana e si asciuga le mani su un asciugamano.")</f>
        <v>Si allontana e si asciuga le mani su un asciugamano.</v>
      </c>
    </row>
    <row r="1689">
      <c r="A1689" s="4" t="s">
        <v>2121</v>
      </c>
      <c r="B1689" s="4" t="s">
        <v>2124</v>
      </c>
      <c r="C1689" s="5" t="str">
        <f>IFERROR(__xludf.DUMMYFUNCTION("GOOGLETRANSLATE(B1689,""en"",""it"")"),"Versa la ciotola in un secchio a terra.")</f>
        <v>Versa la ciotola in un secchio a terra.</v>
      </c>
    </row>
    <row r="1690">
      <c r="A1690" s="4" t="s">
        <v>2121</v>
      </c>
      <c r="B1690" s="4" t="s">
        <v>2125</v>
      </c>
      <c r="C1690" s="5" t="str">
        <f>IFERROR(__xludf.DUMMYFUNCTION("GOOGLETRANSLATE(B1690,""en"",""it"")"),"Comincia a pulire il pavimento con un asciugamano.")</f>
        <v>Comincia a pulire il pavimento con un asciugamano.</v>
      </c>
    </row>
    <row r="1691">
      <c r="A1691" s="4" t="s">
        <v>2121</v>
      </c>
      <c r="B1691" s="4" t="s">
        <v>2126</v>
      </c>
      <c r="C1691" s="5" t="str">
        <f>IFERROR(__xludf.DUMMYFUNCTION("GOOGLETRANSLATE(B1691,""en"",""it"")"),"Spara il secchio fino alla parte anteriore della classe e lo scarica.")</f>
        <v>Spara il secchio fino alla parte anteriore della classe e lo scarica.</v>
      </c>
    </row>
    <row r="1692">
      <c r="A1692" s="4" t="s">
        <v>2127</v>
      </c>
      <c r="B1692" s="4" t="s">
        <v>2128</v>
      </c>
      <c r="C1692" s="5" t="str">
        <f>IFERROR(__xludf.DUMMYFUNCTION("GOOGLETRANSLATE(B1692,""en"",""it"")"),"Vediamo la schermata del titolo per il video.")</f>
        <v>Vediamo la schermata del titolo per il video.</v>
      </c>
    </row>
    <row r="1693">
      <c r="A1693" s="4" t="s">
        <v>2127</v>
      </c>
      <c r="B1693" s="4" t="s">
        <v>2129</v>
      </c>
      <c r="C1693" s="5" t="str">
        <f>IFERROR(__xludf.DUMMYFUNCTION("GOOGLETRANSLATE(B1693,""en"",""it"")"),"Passiamo a una donna che mette i suoi vestiti per il freddo.")</f>
        <v>Passiamo a una donna che mette i suoi vestiti per il freddo.</v>
      </c>
    </row>
    <row r="1694">
      <c r="A1694" s="4" t="s">
        <v>2127</v>
      </c>
      <c r="B1694" s="4" t="s">
        <v>2130</v>
      </c>
      <c r="C1694" s="5" t="str">
        <f>IFERROR(__xludf.DUMMYFUNCTION("GOOGLETRANSLATE(B1694,""en"",""it"")"),"Afferra una pala e se ne va.")</f>
        <v>Afferra una pala e se ne va.</v>
      </c>
    </row>
    <row r="1695">
      <c r="A1695" s="4" t="s">
        <v>2127</v>
      </c>
      <c r="B1695" s="4" t="s">
        <v>2131</v>
      </c>
      <c r="C1695" s="5" t="str">
        <f>IFERROR(__xludf.DUMMYFUNCTION("GOOGLETRANSLATE(B1695,""en"",""it"")"),"Vediamo la signora seduta e sdraiata su una sedia e leggere.")</f>
        <v>Vediamo la signora seduta e sdraiata su una sedia e leggere.</v>
      </c>
    </row>
    <row r="1696">
      <c r="A1696" s="4" t="s">
        <v>2127</v>
      </c>
      <c r="B1696" s="4" t="s">
        <v>2132</v>
      </c>
      <c r="C1696" s="5" t="str">
        <f>IFERROR(__xludf.DUMMYFUNCTION("GOOGLETRANSLATE(B1696,""en"",""it"")"),"La signora è fuori a spalare la neve e parlare.")</f>
        <v>La signora è fuori a spalare la neve e parlare.</v>
      </c>
    </row>
    <row r="1697">
      <c r="A1697" s="4" t="s">
        <v>2127</v>
      </c>
      <c r="B1697" s="4" t="s">
        <v>2133</v>
      </c>
      <c r="C1697" s="5" t="str">
        <f>IFERROR(__xludf.DUMMYFUNCTION("GOOGLETRANSLATE(B1697,""en"",""it"")"),"Vediamo articoli online sullo scalare.")</f>
        <v>Vediamo articoli online sullo scalare.</v>
      </c>
    </row>
    <row r="1698">
      <c r="A1698" s="4" t="s">
        <v>2127</v>
      </c>
      <c r="B1698" s="4" t="s">
        <v>2134</v>
      </c>
      <c r="C1698" s="5" t="str">
        <f>IFERROR(__xludf.DUMMYFUNCTION("GOOGLETRANSLATE(B1698,""en"",""it"")"),"La signora sta saltando e riscaldate.")</f>
        <v>La signora sta saltando e riscaldate.</v>
      </c>
    </row>
    <row r="1699">
      <c r="A1699" s="4" t="s">
        <v>2127</v>
      </c>
      <c r="B1699" s="4" t="s">
        <v>2135</v>
      </c>
      <c r="C1699" s="5" t="str">
        <f>IFERROR(__xludf.DUMMYFUNCTION("GOOGLETRANSLATE(B1699,""en"",""it"")"),"Vediamo una città nevosa e poi la gente spala la neve.")</f>
        <v>Vediamo una città nevosa e poi la gente spala la neve.</v>
      </c>
    </row>
    <row r="1700">
      <c r="A1700" s="4" t="s">
        <v>2136</v>
      </c>
      <c r="B1700" s="4" t="s">
        <v>2137</v>
      </c>
      <c r="C1700" s="5" t="str">
        <f>IFERROR(__xludf.DUMMYFUNCTION("GOOGLETRANSLATE(B1700,""en"",""it"")"),"Una persona è vista in piedi su un campo con in mano una racchetta da tennis.")</f>
        <v>Una persona è vista in piedi su un campo con in mano una racchetta da tennis.</v>
      </c>
    </row>
    <row r="1701">
      <c r="A1701" s="4" t="s">
        <v>2136</v>
      </c>
      <c r="B1701" s="4" t="s">
        <v>2138</v>
      </c>
      <c r="C1701" s="5" t="str">
        <f>IFERROR(__xludf.DUMMYFUNCTION("GOOGLETRANSLATE(B1701,""en"",""it"")"),"L'uomo dimostra quindi diverse mosse con la racchetta da tennis e colpendo la palla a un'altra.")</f>
        <v>L'uomo dimostra quindi diverse mosse con la racchetta da tennis e colpendo la palla a un'altra.</v>
      </c>
    </row>
    <row r="1702">
      <c r="A1702" s="4" t="s">
        <v>2136</v>
      </c>
      <c r="B1702" s="4" t="s">
        <v>2139</v>
      </c>
      <c r="C1702" s="5" t="str">
        <f>IFERROR(__xludf.DUMMYFUNCTION("GOOGLETRANSLATE(B1702,""en"",""it"")"),"I due colpivano continuamente la palla e il quarto tra loro.")</f>
        <v>I due colpivano continuamente la palla e il quarto tra loro.</v>
      </c>
    </row>
    <row r="1703">
      <c r="A1703" s="4" t="s">
        <v>2140</v>
      </c>
      <c r="B1703" s="4" t="s">
        <v>2141</v>
      </c>
      <c r="C1703" s="5" t="str">
        <f>IFERROR(__xludf.DUMMYFUNCTION("GOOGLETRANSLATE(B1703,""en"",""it"")"),"Una donna è seduta indossando occhiali da sole verdi.")</f>
        <v>Una donna è seduta indossando occhiali da sole verdi.</v>
      </c>
    </row>
    <row r="1704">
      <c r="A1704" s="4" t="s">
        <v>2140</v>
      </c>
      <c r="B1704" s="4" t="s">
        <v>2142</v>
      </c>
      <c r="C1704" s="5" t="str">
        <f>IFERROR(__xludf.DUMMYFUNCTION("GOOGLETRANSLATE(B1704,""en"",""it"")"),"Sta parlando al cellulare.")</f>
        <v>Sta parlando al cellulare.</v>
      </c>
    </row>
    <row r="1705">
      <c r="A1705" s="4" t="s">
        <v>2140</v>
      </c>
      <c r="B1705" s="4" t="s">
        <v>2143</v>
      </c>
      <c r="C1705" s="5" t="str">
        <f>IFERROR(__xludf.DUMMYFUNCTION("GOOGLETRANSLATE(B1705,""en"",""it"")"),"Sta guidando in macchina.")</f>
        <v>Sta guidando in macchina.</v>
      </c>
    </row>
    <row r="1706">
      <c r="A1706" s="4" t="s">
        <v>2140</v>
      </c>
      <c r="B1706" s="4" t="s">
        <v>2144</v>
      </c>
      <c r="C1706" s="5" t="str">
        <f>IFERROR(__xludf.DUMMYFUNCTION("GOOGLETRANSLATE(B1706,""en"",""it"")"),"Sta sdraiata su una sedia facendo tatuare il piede.")</f>
        <v>Sta sdraiata su una sedia facendo tatuare il piede.</v>
      </c>
    </row>
    <row r="1707">
      <c r="A1707" s="4" t="s">
        <v>2140</v>
      </c>
      <c r="B1707" s="4" t="s">
        <v>2145</v>
      </c>
      <c r="C1707" s="5" t="str">
        <f>IFERROR(__xludf.DUMMYFUNCTION("GOOGLETRANSLATE(B1707,""en"",""it"")"),"Sta mostrando il suo tatuaggio al piede.")</f>
        <v>Sta mostrando il suo tatuaggio al piede.</v>
      </c>
    </row>
    <row r="1708">
      <c r="A1708" s="4" t="s">
        <v>2140</v>
      </c>
      <c r="B1708" s="4" t="s">
        <v>2146</v>
      </c>
      <c r="C1708" s="5" t="str">
        <f>IFERROR(__xludf.DUMMYFUNCTION("GOOGLETRANSLATE(B1708,""en"",""it"")"),"È seduta fuori a parlare di nuovo.")</f>
        <v>È seduta fuori a parlare di nuovo.</v>
      </c>
    </row>
    <row r="1709">
      <c r="A1709" s="4" t="s">
        <v>2147</v>
      </c>
      <c r="B1709" s="4" t="s">
        <v>2148</v>
      </c>
      <c r="C1709" s="5" t="str">
        <f>IFERROR(__xludf.DUMMYFUNCTION("GOOGLETRANSLATE(B1709,""en"",""it"")"),"Una donna viene vista stringere la lozione da una bottiglia sulla pelle e strofinandosi tra le braccia.")</f>
        <v>Una donna viene vista stringere la lozione da una bottiglia sulla pelle e strofinandosi tra le braccia.</v>
      </c>
    </row>
    <row r="1710">
      <c r="A1710" s="4" t="s">
        <v>2147</v>
      </c>
      <c r="B1710" s="6" t="s">
        <v>2149</v>
      </c>
      <c r="C1710" s="5" t="str">
        <f>IFERROR(__xludf.DUMMYFUNCTION("GOOGLETRANSLATE(B1710,""en"",""it"")"),"Altre immagini sono mostrate sullo schermo di persone e lozioni, nonché passi su come usarlo correttamente.")</f>
        <v>Altre immagini sono mostrate sullo schermo di persone e lozioni, nonché passi su come usarlo correttamente.</v>
      </c>
    </row>
    <row r="1711">
      <c r="A1711" s="4" t="s">
        <v>2150</v>
      </c>
      <c r="B1711" s="4" t="s">
        <v>2151</v>
      </c>
      <c r="C1711" s="5" t="str">
        <f>IFERROR(__xludf.DUMMYFUNCTION("GOOGLETRANSLATE(B1711,""en"",""it"")"),"Gli uomini tirano una corda in una partita di tiro alla fune.")</f>
        <v>Gli uomini tirano una corda in una partita di tiro alla fune.</v>
      </c>
    </row>
    <row r="1712">
      <c r="A1712" s="4" t="s">
        <v>2150</v>
      </c>
      <c r="B1712" s="4" t="s">
        <v>2152</v>
      </c>
      <c r="C1712" s="5" t="str">
        <f>IFERROR(__xludf.DUMMYFUNCTION("GOOGLETRANSLATE(B1712,""en"",""it"")"),"Una signora si china per scattare una foto e una signora cammina e filma la pari.")</f>
        <v>Una signora si china per scattare una foto e una signora cammina e filma la pari.</v>
      </c>
    </row>
    <row r="1713">
      <c r="A1713" s="4" t="s">
        <v>2150</v>
      </c>
      <c r="B1713" s="4" t="s">
        <v>2153</v>
      </c>
      <c r="C1713" s="5" t="str">
        <f>IFERROR(__xludf.DUMMYFUNCTION("GOOGLETRANSLATE(B1713,""en"",""it"")"),"Vediamo una torre sul campo.")</f>
        <v>Vediamo una torre sul campo.</v>
      </c>
    </row>
    <row r="1714">
      <c r="A1714" s="4" t="s">
        <v>2150</v>
      </c>
      <c r="B1714" s="4" t="s">
        <v>2154</v>
      </c>
      <c r="C1714" s="5" t="str">
        <f>IFERROR(__xludf.DUMMYFUNCTION("GOOGLETRANSLATE(B1714,""en"",""it"")"),"Gli uomini lasciano andare la corda, un uomo cade e si applaude.")</f>
        <v>Gli uomini lasciano andare la corda, un uomo cade e si applaude.</v>
      </c>
    </row>
    <row r="1715">
      <c r="A1715" s="4" t="s">
        <v>2150</v>
      </c>
      <c r="B1715" s="4" t="s">
        <v>2155</v>
      </c>
      <c r="C1715" s="5" t="str">
        <f>IFERROR(__xludf.DUMMYFUNCTION("GOOGLETRANSLATE(B1715,""en"",""it"")"),"Un uomo sorride e dà un pollice alla fotocamera.")</f>
        <v>Un uomo sorride e dà un pollice alla fotocamera.</v>
      </c>
    </row>
    <row r="1716">
      <c r="A1716" s="4" t="s">
        <v>2156</v>
      </c>
      <c r="B1716" s="4" t="s">
        <v>2157</v>
      </c>
      <c r="C1716" s="5" t="str">
        <f>IFERROR(__xludf.DUMMYFUNCTION("GOOGLETRANSLATE(B1716,""en"",""it"")"),"Le persone stanno giocando in un campo.")</f>
        <v>Le persone stanno giocando in un campo.</v>
      </c>
    </row>
    <row r="1717">
      <c r="A1717" s="4" t="s">
        <v>2156</v>
      </c>
      <c r="B1717" s="4" t="s">
        <v>2158</v>
      </c>
      <c r="C1717" s="5" t="str">
        <f>IFERROR(__xludf.DUMMYFUNCTION("GOOGLETRANSLATE(B1717,""en"",""it"")"),"L'uomo con il martello e l'uomo con il cappello rosso corre avanti e indietro.")</f>
        <v>L'uomo con il martello e l'uomo con il cappello rosso corre avanti e indietro.</v>
      </c>
    </row>
    <row r="1718">
      <c r="A1718" s="4" t="s">
        <v>2156</v>
      </c>
      <c r="B1718" s="4" t="s">
        <v>2159</v>
      </c>
      <c r="C1718" s="5" t="str">
        <f>IFERROR(__xludf.DUMMYFUNCTION("GOOGLETRANSLATE(B1718,""en"",""it"")"),"Un uomo con una camicia blu corre verso il piatto di casa.")</f>
        <v>Un uomo con una camicia blu corre verso il piatto di casa.</v>
      </c>
    </row>
    <row r="1719">
      <c r="A1719" s="4" t="s">
        <v>2156</v>
      </c>
      <c r="B1719" s="4" t="s">
        <v>2160</v>
      </c>
      <c r="C1719" s="5" t="str">
        <f>IFERROR(__xludf.DUMMYFUNCTION("GOOGLETRANSLATE(B1719,""en"",""it"")"),"L'uomo con il martello viene mostrato che viene colpito al rallentatore.")</f>
        <v>L'uomo con il martello viene mostrato che viene colpito al rallentatore.</v>
      </c>
    </row>
    <row r="1720">
      <c r="A1720" s="4" t="s">
        <v>2156</v>
      </c>
      <c r="B1720" s="4" t="s">
        <v>2161</v>
      </c>
      <c r="C1720" s="5" t="str">
        <f>IFERROR(__xludf.DUMMYFUNCTION("GOOGLETRANSLATE(B1720,""en"",""it"")"),"Una donna è all'altezza della pipistrello e viene mostrata dopo aver avuto un colpo.")</f>
        <v>Una donna è all'altezza della pipistrello e viene mostrata dopo aver avuto un colpo.</v>
      </c>
    </row>
    <row r="1721">
      <c r="A1721" s="4" t="s">
        <v>2162</v>
      </c>
      <c r="B1721" s="4" t="s">
        <v>2163</v>
      </c>
      <c r="C1721" s="5" t="str">
        <f>IFERROR(__xludf.DUMMYFUNCTION("GOOGLETRANSLATE(B1721,""en"",""it"")"),"Un uomo è paralizzante sull'oceano.")</f>
        <v>Un uomo è paralizzante sull'oceano.</v>
      </c>
    </row>
    <row r="1722">
      <c r="A1722" s="4" t="s">
        <v>2162</v>
      </c>
      <c r="B1722" s="4" t="s">
        <v>2164</v>
      </c>
      <c r="C1722" s="5" t="str">
        <f>IFERROR(__xludf.DUMMYFUNCTION("GOOGLETRANSLATE(B1722,""en"",""it"")"),"Anche altre persone iniziano a navigare in acqua, alcune cadendo.")</f>
        <v>Anche altre persone iniziano a navigare in acqua, alcune cadendo.</v>
      </c>
    </row>
    <row r="1723">
      <c r="A1723" s="4" t="s">
        <v>2165</v>
      </c>
      <c r="B1723" s="4" t="s">
        <v>2166</v>
      </c>
      <c r="C1723" s="5" t="str">
        <f>IFERROR(__xludf.DUMMYFUNCTION("GOOGLETRANSLATE(B1723,""en"",""it"")"),"Vediamo un uomo che decora un albero di Natale.")</f>
        <v>Vediamo un uomo che decora un albero di Natale.</v>
      </c>
    </row>
    <row r="1724">
      <c r="A1724" s="4" t="s">
        <v>2165</v>
      </c>
      <c r="B1724" s="4" t="s">
        <v>2167</v>
      </c>
      <c r="C1724" s="5" t="str">
        <f>IFERROR(__xludf.DUMMYFUNCTION("GOOGLETRANSLATE(B1724,""en"",""it"")"),"L'uomo aggiunge una serie di luci.")</f>
        <v>L'uomo aggiunge una serie di luci.</v>
      </c>
    </row>
    <row r="1725">
      <c r="A1725" s="4" t="s">
        <v>2165</v>
      </c>
      <c r="B1725" s="4" t="s">
        <v>2168</v>
      </c>
      <c r="C1725" s="5" t="str">
        <f>IFERROR(__xludf.DUMMYFUNCTION("GOOGLETRANSLATE(B1725,""en"",""it"")"),"Una bambina annuncia i bulbi all'albero.")</f>
        <v>Una bambina annuncia i bulbi all'albero.</v>
      </c>
    </row>
    <row r="1726">
      <c r="A1726" s="4" t="s">
        <v>2165</v>
      </c>
      <c r="B1726" s="4" t="s">
        <v>2169</v>
      </c>
      <c r="C1726" s="5" t="str">
        <f>IFERROR(__xludf.DUMMYFUNCTION("GOOGLETRANSLATE(B1726,""en"",""it"")"),"L'uomo accese le luci.")</f>
        <v>L'uomo accese le luci.</v>
      </c>
    </row>
    <row r="1727">
      <c r="A1727" s="4" t="s">
        <v>2165</v>
      </c>
      <c r="B1727" s="4" t="s">
        <v>2170</v>
      </c>
      <c r="C1727" s="5" t="str">
        <f>IFERROR(__xludf.DUMMYFUNCTION("GOOGLETRANSLATE(B1727,""en"",""it"")"),"L'uomo e la ragazza aggiungono lampadine all'albero.")</f>
        <v>L'uomo e la ragazza aggiungono lampadine all'albero.</v>
      </c>
    </row>
    <row r="1728">
      <c r="A1728" s="4" t="s">
        <v>2165</v>
      </c>
      <c r="B1728" s="4" t="s">
        <v>2171</v>
      </c>
      <c r="C1728" s="5" t="str">
        <f>IFERROR(__xludf.DUMMYFUNCTION("GOOGLETRANSLATE(B1728,""en"",""it"")"),"La signora sale e possiede le scale.")</f>
        <v>La signora sale e possiede le scale.</v>
      </c>
    </row>
    <row r="1729">
      <c r="A1729" s="4" t="s">
        <v>2165</v>
      </c>
      <c r="B1729" s="4" t="s">
        <v>2172</v>
      </c>
      <c r="C1729" s="5" t="str">
        <f>IFERROR(__xludf.DUMMYFUNCTION("GOOGLETRANSLATE(B1729,""en"",""it"")"),"La signora aggiunge ornamenti all'albero.")</f>
        <v>La signora aggiunge ornamenti all'albero.</v>
      </c>
    </row>
    <row r="1730">
      <c r="A1730" s="4" t="s">
        <v>2165</v>
      </c>
      <c r="B1730" s="4" t="s">
        <v>2173</v>
      </c>
      <c r="C1730" s="5" t="str">
        <f>IFERROR(__xludf.DUMMYFUNCTION("GOOGLETRANSLATE(B1730,""en"",""it"")"),"L'uomo si trova su una scala e aggiunge ornamenti.")</f>
        <v>L'uomo si trova su una scala e aggiunge ornamenti.</v>
      </c>
    </row>
    <row r="1731">
      <c r="A1731" s="4" t="s">
        <v>2165</v>
      </c>
      <c r="B1731" s="4" t="s">
        <v>2174</v>
      </c>
      <c r="C1731" s="5" t="str">
        <f>IFERROR(__xludf.DUMMYFUNCTION("GOOGLETRANSLATE(B1731,""en"",""it"")"),"La signora spegne le luci e la famiglia guarda l'albero insieme.")</f>
        <v>La signora spegne le luci e la famiglia guarda l'albero insieme.</v>
      </c>
    </row>
    <row r="1732">
      <c r="A1732" s="4" t="s">
        <v>2165</v>
      </c>
      <c r="B1732" s="4" t="s">
        <v>2175</v>
      </c>
      <c r="C1732" s="5" t="str">
        <f>IFERROR(__xludf.DUMMYFUNCTION("GOOGLETRANSLATE(B1732,""en"",""it"")"),"L'uomo e la donna si baciano.")</f>
        <v>L'uomo e la donna si baciano.</v>
      </c>
    </row>
    <row r="1733">
      <c r="A1733" s="4" t="s">
        <v>2176</v>
      </c>
      <c r="B1733" s="4" t="s">
        <v>2177</v>
      </c>
      <c r="C1733" s="5" t="str">
        <f>IFERROR(__xludf.DUMMYFUNCTION("GOOGLETRANSLATE(B1733,""en"",""it"")"),"Due uomini sono in piedi su un campo dietro una fila di case.")</f>
        <v>Due uomini sono in piedi su un campo dietro una fila di case.</v>
      </c>
    </row>
    <row r="1734">
      <c r="A1734" s="4" t="s">
        <v>2176</v>
      </c>
      <c r="B1734" s="4" t="s">
        <v>2178</v>
      </c>
      <c r="C1734" s="5" t="str">
        <f>IFERROR(__xludf.DUMMYFUNCTION("GOOGLETRANSLATE(B1734,""en"",""it"")"),"Uno oscilla una mazza e corre sul campo, inseguendo una palla.")</f>
        <v>Uno oscilla una mazza e corre sul campo, inseguendo una palla.</v>
      </c>
    </row>
    <row r="1735">
      <c r="A1735" s="4" t="s">
        <v>2176</v>
      </c>
      <c r="B1735" s="4" t="s">
        <v>2179</v>
      </c>
      <c r="C1735" s="5" t="str">
        <f>IFERROR(__xludf.DUMMYFUNCTION("GOOGLETRANSLATE(B1735,""en"",""it"")"),"La palla viene gettata indietro al battitore e continua la partita di cricket con i suoi compagni di squadra.")</f>
        <v>La palla viene gettata indietro al battitore e continua la partita di cricket con i suoi compagni di squadra.</v>
      </c>
    </row>
    <row r="1736">
      <c r="A1736" s="4" t="s">
        <v>2180</v>
      </c>
      <c r="B1736" s="6" t="s">
        <v>2181</v>
      </c>
      <c r="C1736" s="5" t="str">
        <f>IFERROR(__xludf.DUMMYFUNCTION("GOOGLETRANSLATE(B1736,""en"",""it"")"),"Un uomo viene visto in piedi in un campo grande e conduce in lui muovendo le braccia e le gambe intorno all'area.")</f>
        <v>Un uomo viene visto in piedi in un campo grande e conduce in lui muovendo le braccia e le gambe intorno all'area.</v>
      </c>
    </row>
    <row r="1737">
      <c r="A1737" s="4" t="s">
        <v>2180</v>
      </c>
      <c r="B1737" s="6" t="s">
        <v>2182</v>
      </c>
      <c r="C1737" s="5" t="str">
        <f>IFERROR(__xludf.DUMMYFUNCTION("GOOGLETRANSLATE(B1737,""en"",""it"")"),"L'uomo continua a muoversi nell'area muovendo le mani su e giù e guardando in lontananza.")</f>
        <v>L'uomo continua a muoversi nell'area muovendo le mani su e giù e guardando in lontananza.</v>
      </c>
    </row>
    <row r="1738">
      <c r="A1738" s="4" t="s">
        <v>2183</v>
      </c>
      <c r="B1738" s="6" t="s">
        <v>2184</v>
      </c>
      <c r="C1738" s="5" t="str">
        <f>IFERROR(__xludf.DUMMYFUNCTION("GOOGLETRANSLATE(B1738,""en"",""it"")"),"Due persone sono viste fare una danza di balletto sul palco seguito da una donna che fa una danza mentre altri guardano sul lato.")</f>
        <v>Due persone sono viste fare una danza di balletto sul palco seguito da una donna che fa una danza mentre altri guardano sul lato.</v>
      </c>
    </row>
    <row r="1739">
      <c r="A1739" s="4" t="s">
        <v>2183</v>
      </c>
      <c r="B1739" s="6" t="s">
        <v>2185</v>
      </c>
      <c r="C1739" s="5" t="str">
        <f>IFERROR(__xludf.DUMMYFUNCTION("GOOGLETRANSLATE(B1739,""en"",""it"")"),"La donna continua a girare con l'uomo che cammina dentro e fuori dalla cornice e finisce con il suo inchinarsi al pubblico.")</f>
        <v>La donna continua a girare con l'uomo che cammina dentro e fuori dalla cornice e finisce con il suo inchinarsi al pubblico.</v>
      </c>
    </row>
    <row r="1740">
      <c r="A1740" s="4" t="s">
        <v>2186</v>
      </c>
      <c r="B1740" s="4" t="s">
        <v>2187</v>
      </c>
      <c r="C1740" s="5" t="str">
        <f>IFERROR(__xludf.DUMMYFUNCTION("GOOGLETRANSLATE(B1740,""en"",""it"")"),"Un cane nero cammina su un prato.")</f>
        <v>Un cane nero cammina su un prato.</v>
      </c>
    </row>
    <row r="1741">
      <c r="A1741" s="4" t="s">
        <v>2186</v>
      </c>
      <c r="B1741" s="4" t="s">
        <v>2188</v>
      </c>
      <c r="C1741" s="5" t="str">
        <f>IFERROR(__xludf.DUMMYFUNCTION("GOOGLETRANSLATE(B1741,""en"",""it"")"),"Una signora rastrella parte dal prato sul marciapiede del marciapiede.")</f>
        <v>Una signora rastrella parte dal prato sul marciapiede del marciapiede.</v>
      </c>
    </row>
    <row r="1742">
      <c r="A1742" s="4" t="s">
        <v>2186</v>
      </c>
      <c r="B1742" s="4" t="s">
        <v>2189</v>
      </c>
      <c r="C1742" s="5" t="str">
        <f>IFERROR(__xludf.DUMMYFUNCTION("GOOGLETRANSLATE(B1742,""en"",""it"")"),"La signora smette di rastrellare, si gira e parla più gesti.")</f>
        <v>La signora smette di rastrellare, si gira e parla più gesti.</v>
      </c>
    </row>
    <row r="1743">
      <c r="A1743" s="4" t="s">
        <v>2186</v>
      </c>
      <c r="B1743" s="4" t="s">
        <v>2190</v>
      </c>
      <c r="C1743" s="5" t="str">
        <f>IFERROR(__xludf.DUMMYFUNCTION("GOOGLETRANSLATE(B1743,""en"",""it"")"),"Una palla bianca rotola su un'auto parcheggiata.")</f>
        <v>Una palla bianca rotola su un'auto parcheggiata.</v>
      </c>
    </row>
    <row r="1744">
      <c r="A1744" s="4" t="s">
        <v>2191</v>
      </c>
      <c r="B1744" s="4" t="s">
        <v>2192</v>
      </c>
      <c r="C1744" s="5" t="str">
        <f>IFERROR(__xludf.DUMMYFUNCTION("GOOGLETRANSLATE(B1744,""en"",""it"")"),"Una donna viene vista in ginocchio nella cornice accanto a un patio.")</f>
        <v>Una donna viene vista in ginocchio nella cornice accanto a un patio.</v>
      </c>
    </row>
    <row r="1745">
      <c r="A1745" s="4" t="s">
        <v>2191</v>
      </c>
      <c r="B1745" s="4" t="s">
        <v>2193</v>
      </c>
      <c r="C1745" s="5" t="str">
        <f>IFERROR(__xludf.DUMMYFUNCTION("GOOGLETRANSLATE(B1745,""en"",""it"")"),"Quindi mostra vari strumenti di pulizia e li strofina lungo una sedia.")</f>
        <v>Quindi mostra vari strumenti di pulizia e li strofina lungo una sedia.</v>
      </c>
    </row>
    <row r="1746">
      <c r="A1746" s="4" t="s">
        <v>2191</v>
      </c>
      <c r="B1746" s="4" t="s">
        <v>2194</v>
      </c>
      <c r="C1746" s="5" t="str">
        <f>IFERROR(__xludf.DUMMYFUNCTION("GOOGLETRANSLATE(B1746,""en"",""it"")"),"Porta la sedia dentro e versa la vernice in un secchio e dipinge lungo il lato.")</f>
        <v>Porta la sedia dentro e versa la vernice in un secchio e dipinge lungo il lato.</v>
      </c>
    </row>
    <row r="1747">
      <c r="A1747" s="4" t="s">
        <v>2191</v>
      </c>
      <c r="B1747" s="4" t="s">
        <v>2195</v>
      </c>
      <c r="C1747" s="5" t="str">
        <f>IFERROR(__xludf.DUMMYFUNCTION("GOOGLETRANSLATE(B1747,""en"",""it"")"),"Mostra di nuovo la sedia fuori mentre parla alla telecamera.")</f>
        <v>Mostra di nuovo la sedia fuori mentre parla alla telecamera.</v>
      </c>
    </row>
    <row r="1748">
      <c r="A1748" s="4" t="s">
        <v>2196</v>
      </c>
      <c r="B1748" s="6" t="s">
        <v>2197</v>
      </c>
      <c r="C1748" s="5" t="str">
        <f>IFERROR(__xludf.DUMMYFUNCTION("GOOGLETRANSLATE(B1748,""en"",""it"")"),"Un giornalista di Brunette Woman indossa una camicia bianca e il Royal Blue Blazer su di esso e sta parlando nella telecamera.")</f>
        <v>Un giornalista di Brunette Woman indossa una camicia bianca e il Royal Blue Blazer su di esso e sta parlando nella telecamera.</v>
      </c>
    </row>
    <row r="1749">
      <c r="A1749" s="4" t="s">
        <v>2196</v>
      </c>
      <c r="B1749" s="6" t="s">
        <v>2198</v>
      </c>
      <c r="C1749" s="5" t="str">
        <f>IFERROR(__xludf.DUMMYFUNCTION("GOOGLETRANSLATE(B1749,""en"",""it"")"),"Inizia una clip e presenta persone che corrono e le parole sullo schermo dicono che sono novizi che si stanno allenando per gestire una maratona a Tel Aviv, in Israele.")</f>
        <v>Inizia una clip e presenta persone che corrono e le parole sullo schermo dicono che sono novizi che si stanno allenando per gestire una maratona a Tel Aviv, in Israele.</v>
      </c>
    </row>
    <row r="1750">
      <c r="A1750" s="4" t="s">
        <v>2196</v>
      </c>
      <c r="B1750" s="6" t="s">
        <v>2199</v>
      </c>
      <c r="C1750" s="5" t="str">
        <f>IFERROR(__xludf.DUMMYFUNCTION("GOOGLETRANSLATE(B1750,""en"",""it"")"),"Un uomo sembra addestrare loro e diversi maratoneti durante l'allenamento si alternano mentre continuano a passare avanti e indietro a tutti coloro che attraversano l'allenamento.")</f>
        <v>Un uomo sembra addestrare loro e diversi maratoneti durante l'allenamento si alternano mentre continuano a passare avanti e indietro a tutti coloro che attraversano l'allenamento.</v>
      </c>
    </row>
    <row r="1751">
      <c r="A1751" s="4" t="s">
        <v>2196</v>
      </c>
      <c r="B1751" s="6" t="s">
        <v>2200</v>
      </c>
      <c r="C1751" s="5" t="str">
        <f>IFERROR(__xludf.DUMMYFUNCTION("GOOGLETRANSLATE(B1751,""en"",""it"")"),"L'ultima clip è la vista dall'inizio di una maratona e centinaia di persone iniziano a correre mentre lasciano la linea di partenza.")</f>
        <v>L'ultima clip è la vista dall'inizio di una maratona e centinaia di persone iniziano a correre mentre lasciano la linea di partenza.</v>
      </c>
    </row>
    <row r="1752">
      <c r="A1752" s="4" t="s">
        <v>2201</v>
      </c>
      <c r="B1752" s="4" t="s">
        <v>2202</v>
      </c>
      <c r="C1752" s="5" t="str">
        <f>IFERROR(__xludf.DUMMYFUNCTION("GOOGLETRANSLATE(B1752,""en"",""it"")"),"C'è una ragazza in piedi nel suo bagno facendo un tutorial su come applicare il rossetto.")</f>
        <v>C'è una ragazza in piedi nel suo bagno facendo un tutorial su come applicare il rossetto.</v>
      </c>
    </row>
    <row r="1753">
      <c r="A1753" s="4" t="s">
        <v>2201</v>
      </c>
      <c r="B1753" s="4" t="s">
        <v>2203</v>
      </c>
      <c r="C1753" s="5" t="str">
        <f>IFERROR(__xludf.DUMMYFUNCTION("GOOGLETRANSLATE(B1753,""en"",""it"")"),"Apre il suo gabinetto a specchio e si toglie il rossetto.")</f>
        <v>Apre il suo gabinetto a specchio e si toglie il rossetto.</v>
      </c>
    </row>
    <row r="1754">
      <c r="A1754" s="4" t="s">
        <v>2201</v>
      </c>
      <c r="B1754" s="4" t="s">
        <v>2204</v>
      </c>
      <c r="C1754" s="5" t="str">
        <f>IFERROR(__xludf.DUMMYFUNCTION("GOOGLETRANSLATE(B1754,""en"",""it"")"),"Comincia ad applicare il rossetto sulle labbra.")</f>
        <v>Comincia ad applicare il rossetto sulle labbra.</v>
      </c>
    </row>
    <row r="1755">
      <c r="A1755" s="4" t="s">
        <v>2201</v>
      </c>
      <c r="B1755" s="4" t="s">
        <v>2205</v>
      </c>
      <c r="C1755" s="5" t="str">
        <f>IFERROR(__xludf.DUMMYFUNCTION("GOOGLETRANSLATE(B1755,""en"",""it"")"),"Quindi usa lo stesso rossetto e lo tampona sulle guance.")</f>
        <v>Quindi usa lo stesso rossetto e lo tampona sulle guance.</v>
      </c>
    </row>
    <row r="1756">
      <c r="A1756" s="4" t="s">
        <v>2201</v>
      </c>
      <c r="B1756" s="4" t="s">
        <v>2206</v>
      </c>
      <c r="C1756" s="5" t="str">
        <f>IFERROR(__xludf.DUMMYFUNCTION("GOOGLETRANSLATE(B1756,""en"",""it"")"),"Usa le dita per imbrattare uniformemente il rossetto sulle ossa della guancia.")</f>
        <v>Usa le dita per imbrattare uniformemente il rossetto sulle ossa della guancia.</v>
      </c>
    </row>
    <row r="1757">
      <c r="A1757" s="4" t="s">
        <v>2201</v>
      </c>
      <c r="B1757" s="4" t="s">
        <v>2207</v>
      </c>
      <c r="C1757" s="5" t="str">
        <f>IFERROR(__xludf.DUMMYFUNCTION("GOOGLETRANSLATE(B1757,""en"",""it"")"),"Quindi fa il broncio e sorride per la telecamera, colpendo una posa.")</f>
        <v>Quindi fa il broncio e sorride per la telecamera, colpendo una posa.</v>
      </c>
    </row>
    <row r="1758">
      <c r="A1758" s="4" t="s">
        <v>2208</v>
      </c>
      <c r="B1758" s="4" t="s">
        <v>2209</v>
      </c>
      <c r="C1758" s="5" t="str">
        <f>IFERROR(__xludf.DUMMYFUNCTION("GOOGLETRANSLATE(B1758,""en"",""it"")"),"Un bambino tiene in mano un soffiatore di foglie.")</f>
        <v>Un bambino tiene in mano un soffiatore di foglie.</v>
      </c>
    </row>
    <row r="1759">
      <c r="A1759" s="4" t="s">
        <v>2208</v>
      </c>
      <c r="B1759" s="4" t="s">
        <v>2210</v>
      </c>
      <c r="C1759" s="5" t="str">
        <f>IFERROR(__xludf.DUMMYFUNCTION("GOOGLETRANSLATE(B1759,""en"",""it"")"),"Un adolescente sta rastrellando il prato.")</f>
        <v>Un adolescente sta rastrellando il prato.</v>
      </c>
    </row>
    <row r="1760">
      <c r="A1760" s="4" t="s">
        <v>2208</v>
      </c>
      <c r="B1760" s="4" t="s">
        <v>2211</v>
      </c>
      <c r="C1760" s="5" t="str">
        <f>IFERROR(__xludf.DUMMYFUNCTION("GOOGLETRANSLATE(B1760,""en"",""it"")"),"Un adolescente lancia un rastrello pieno di foglie al bambino.")</f>
        <v>Un adolescente lancia un rastrello pieno di foglie al bambino.</v>
      </c>
    </row>
    <row r="1761">
      <c r="A1761" s="4" t="s">
        <v>2212</v>
      </c>
      <c r="B1761" s="6" t="s">
        <v>2213</v>
      </c>
      <c r="C1761" s="5" t="str">
        <f>IFERROR(__xludf.DUMMYFUNCTION("GOOGLETRANSLATE(B1761,""en"",""it"")"),"Appare un'immagine ancora scattata di un uomo mentre molte parole bianche vanno a scorrere dal basso verso la parte superiore.")</f>
        <v>Appare un'immagine ancora scattata di un uomo mentre molte parole bianche vanno a scorrere dal basso verso la parte superiore.</v>
      </c>
    </row>
    <row r="1762">
      <c r="A1762" s="4" t="s">
        <v>2212</v>
      </c>
      <c r="B1762" s="6" t="s">
        <v>2214</v>
      </c>
      <c r="C1762" s="5" t="str">
        <f>IFERROR(__xludf.DUMMYFUNCTION("GOOGLETRANSLATE(B1762,""en"",""it"")"),"L'uomo si trova ora in una piccola area di campo da racchetta e sta attraversando i movimenti di colpire una palla con la sua racchetta con le parole ""non consigliate"" nell'angolo in alto a sinistra.")</f>
        <v>L'uomo si trova ora in una piccola area di campo da racchetta e sta attraversando i movimenti di colpire una palla con la sua racchetta con le parole "non consigliate" nell'angolo in alto a sinistra.</v>
      </c>
    </row>
    <row r="1763">
      <c r="A1763" s="4" t="s">
        <v>2212</v>
      </c>
      <c r="B1763" s="6" t="s">
        <v>2215</v>
      </c>
      <c r="C1763" s="5" t="str">
        <f>IFERROR(__xludf.DUMMYFUNCTION("GOOGLETRANSLATE(B1763,""en"",""it"")"),"Viene visualizzato rapidamente uno schermo e ha un testo bianco che dice ""Iscriviti a questo canale YouTube"".")</f>
        <v>Viene visualizzato rapidamente uno schermo e ha un testo bianco che dice "Iscriviti a questo canale YouTube".</v>
      </c>
    </row>
    <row r="1764">
      <c r="A1764" s="4" t="s">
        <v>2212</v>
      </c>
      <c r="B1764" s="6" t="s">
        <v>2216</v>
      </c>
      <c r="C1764" s="5" t="str">
        <f>IFERROR(__xludf.DUMMYFUNCTION("GOOGLETRANSLATE(B1764,""en"",""it"")"),"L'uomo viene quindi mostrato di nuovo giocando a Racquetball sul campo fino a quando non appare lo schermo del raggio e include un sacco di formulazione bianca che scorre dal basso verso la parte superiore.")</f>
        <v>L'uomo viene quindi mostrato di nuovo giocando a Racquetball sul campo fino a quando non appare lo schermo del raggio e include un sacco di formulazione bianca che scorre dal basso verso la parte superiore.</v>
      </c>
    </row>
    <row r="1765">
      <c r="A1765" s="4" t="s">
        <v>2217</v>
      </c>
      <c r="B1765" s="4" t="s">
        <v>2218</v>
      </c>
      <c r="C1765" s="5" t="str">
        <f>IFERROR(__xludf.DUMMYFUNCTION("GOOGLETRANSLATE(B1765,""en"",""it"")"),"Alcuni bambini sono visti in piedi su un palco seguito dai bambini che spingono un disco lungo il ghiaccio.")</f>
        <v>Alcuni bambini sono visti in piedi su un palco seguito dai bambini che spingono un disco lungo il ghiaccio.</v>
      </c>
    </row>
    <row r="1766">
      <c r="A1766" s="4" t="s">
        <v>2217</v>
      </c>
      <c r="B1766" s="6" t="s">
        <v>2219</v>
      </c>
      <c r="C1766" s="5" t="str">
        <f>IFERROR(__xludf.DUMMYFUNCTION("GOOGLETRANSLATE(B1766,""en"",""it"")"),"Diverse persone vengono mostrate giocando intorno a loro e si panoramiche al pubblico che reagiscono e persone in piedi sui lati.")</f>
        <v>Diverse persone vengono mostrate giocando intorno a loro e si panoramiche al pubblico che reagiscono e persone in piedi sui lati.</v>
      </c>
    </row>
    <row r="1767">
      <c r="A1767" s="4" t="s">
        <v>2220</v>
      </c>
      <c r="B1767" s="4" t="s">
        <v>2221</v>
      </c>
      <c r="C1767" s="5" t="str">
        <f>IFERROR(__xludf.DUMMYFUNCTION("GOOGLETRANSLATE(B1767,""en"",""it"")"),"Un uomo esce da un cancello su un cavallo.")</f>
        <v>Un uomo esce da un cancello su un cavallo.</v>
      </c>
    </row>
    <row r="1768">
      <c r="A1768" s="4" t="s">
        <v>2220</v>
      </c>
      <c r="B1768" s="4" t="s">
        <v>2222</v>
      </c>
      <c r="C1768" s="5" t="str">
        <f>IFERROR(__xludf.DUMMYFUNCTION("GOOGLETRANSLATE(B1768,""en"",""it"")"),"Lassos e corrà un vitello.")</f>
        <v>Lassos e corrà un vitello.</v>
      </c>
    </row>
    <row r="1769">
      <c r="A1769" s="4" t="s">
        <v>2220</v>
      </c>
      <c r="B1769" s="4" t="s">
        <v>2223</v>
      </c>
      <c r="C1769" s="5" t="str">
        <f>IFERROR(__xludf.DUMMYFUNCTION("GOOGLETRANSLATE(B1769,""en"",""it"")"),"Quindi salta giù e lega il vitello.")</f>
        <v>Quindi salta giù e lega il vitello.</v>
      </c>
    </row>
    <row r="1770">
      <c r="A1770" s="4" t="s">
        <v>2224</v>
      </c>
      <c r="B1770" s="4" t="s">
        <v>2225</v>
      </c>
      <c r="C1770" s="5" t="str">
        <f>IFERROR(__xludf.DUMMYFUNCTION("GOOGLETRANSLATE(B1770,""en"",""it"")"),"Una persona suona un violino di fronte a una grande folla di persone.")</f>
        <v>Una persona suona un violino di fronte a una grande folla di persone.</v>
      </c>
    </row>
    <row r="1771">
      <c r="A1771" s="4" t="s">
        <v>2224</v>
      </c>
      <c r="B1771" s="4" t="s">
        <v>2226</v>
      </c>
      <c r="C1771" s="5" t="str">
        <f>IFERROR(__xludf.DUMMYFUNCTION("GOOGLETRANSLATE(B1771,""en"",""it"")"),"La gente gli dà una standing ovation alla fine.")</f>
        <v>La gente gli dà una standing ovation alla fine.</v>
      </c>
    </row>
    <row r="1772">
      <c r="A1772" s="4" t="s">
        <v>2227</v>
      </c>
      <c r="B1772" s="4" t="s">
        <v>2228</v>
      </c>
      <c r="C1772" s="5" t="str">
        <f>IFERROR(__xludf.DUMMYFUNCTION("GOOGLETRANSLATE(B1772,""en"",""it"")"),"Un uomo su una tavola da immersione cammina fino alla fine.")</f>
        <v>Un uomo su una tavola da immersione cammina fino alla fine.</v>
      </c>
    </row>
    <row r="1773">
      <c r="A1773" s="4" t="s">
        <v>2227</v>
      </c>
      <c r="B1773" s="4" t="s">
        <v>2229</v>
      </c>
      <c r="C1773" s="5" t="str">
        <f>IFERROR(__xludf.DUMMYFUNCTION("GOOGLETRANSLATE(B1773,""en"",""it"")"),"L'uomo rimbalza sul tabellone due volte, quindi si tuffa nell'acqua.")</f>
        <v>L'uomo rimbalza sul tabellone due volte, quindi si tuffa nell'acqua.</v>
      </c>
    </row>
    <row r="1774">
      <c r="A1774" s="4" t="s">
        <v>2227</v>
      </c>
      <c r="B1774" s="4" t="s">
        <v>2230</v>
      </c>
      <c r="C1774" s="5" t="str">
        <f>IFERROR(__xludf.DUMMYFUNCTION("GOOGLETRANSLATE(B1774,""en"",""it"")"),"L'uomo emerge e nuota verso il bordo della piscina.")</f>
        <v>L'uomo emerge e nuota verso il bordo della piscina.</v>
      </c>
    </row>
    <row r="1775">
      <c r="A1775" s="4" t="s">
        <v>2231</v>
      </c>
      <c r="B1775" s="4" t="s">
        <v>2232</v>
      </c>
      <c r="C1775" s="5" t="str">
        <f>IFERROR(__xludf.DUMMYFUNCTION("GOOGLETRANSLATE(B1775,""en"",""it"")"),"Una donna con i capelli rosa si posa per la telecamera.")</f>
        <v>Una donna con i capelli rosa si posa per la telecamera.</v>
      </c>
    </row>
    <row r="1776">
      <c r="A1776" s="4" t="s">
        <v>2231</v>
      </c>
      <c r="B1776" s="4" t="s">
        <v>2233</v>
      </c>
      <c r="C1776" s="5" t="str">
        <f>IFERROR(__xludf.DUMMYFUNCTION("GOOGLETRANSLATE(B1776,""en"",""it"")"),"Si sfiora i capelli con le mani prima di separarli in sezioni.")</f>
        <v>Si sfiora i capelli con le mani prima di separarli in sezioni.</v>
      </c>
    </row>
    <row r="1777">
      <c r="A1777" s="4" t="s">
        <v>2231</v>
      </c>
      <c r="B1777" s="4" t="s">
        <v>2234</v>
      </c>
      <c r="C1777" s="5" t="str">
        <f>IFERROR(__xludf.DUMMYFUNCTION("GOOGLETRANSLATE(B1777,""en"",""it"")"),"Quindi intreccia i capelli sul lato della testa.")</f>
        <v>Quindi intreccia i capelli sul lato della testa.</v>
      </c>
    </row>
    <row r="1778">
      <c r="A1778" s="4" t="s">
        <v>2235</v>
      </c>
      <c r="B1778" s="4" t="s">
        <v>2236</v>
      </c>
      <c r="C1778" s="5" t="str">
        <f>IFERROR(__xludf.DUMMYFUNCTION("GOOGLETRANSLATE(B1778,""en"",""it"")"),"Un ragazzino corre attraverso un hopscotch a terra.")</f>
        <v>Un ragazzino corre attraverso un hopscotch a terra.</v>
      </c>
    </row>
    <row r="1779">
      <c r="A1779" s="4" t="s">
        <v>2235</v>
      </c>
      <c r="B1779" s="4" t="s">
        <v>2237</v>
      </c>
      <c r="C1779" s="5" t="str">
        <f>IFERROR(__xludf.DUMMYFUNCTION("GOOGLETRANSLATE(B1779,""en"",""it"")"),"Ritorna all'inizio e cerca di saltare.")</f>
        <v>Ritorna all'inizio e cerca di saltare.</v>
      </c>
    </row>
    <row r="1780">
      <c r="A1780" s="4" t="s">
        <v>2235</v>
      </c>
      <c r="B1780" s="4" t="s">
        <v>2238</v>
      </c>
      <c r="C1780" s="5" t="str">
        <f>IFERROR(__xludf.DUMMYFUNCTION("GOOGLETRANSLATE(B1780,""en"",""it"")"),"Salta fino alla fine.")</f>
        <v>Salta fino alla fine.</v>
      </c>
    </row>
    <row r="1781">
      <c r="A1781" s="4" t="s">
        <v>2239</v>
      </c>
      <c r="B1781" s="4" t="s">
        <v>2240</v>
      </c>
      <c r="C1781" s="5" t="str">
        <f>IFERROR(__xludf.DUMMYFUNCTION("GOOGLETRANSLATE(B1781,""en"",""it"")"),"Un uomo viene visto in piedi in un campo grande dietro un pezzo di macchinari pesanti.")</f>
        <v>Un uomo viene visto in piedi in un campo grande dietro un pezzo di macchinari pesanti.</v>
      </c>
    </row>
    <row r="1782">
      <c r="A1782" s="4" t="s">
        <v>2239</v>
      </c>
      <c r="B1782" s="4" t="s">
        <v>2241</v>
      </c>
      <c r="C1782" s="5" t="str">
        <f>IFERROR(__xludf.DUMMYFUNCTION("GOOGLETRANSLATE(B1782,""en"",""it"")"),"L'uomo spinge la macchina lungo un po 'di erba alta mentre la telecamera segue i suoi movimenti.")</f>
        <v>L'uomo spinge la macchina lungo un po 'di erba alta mentre la telecamera segue i suoi movimenti.</v>
      </c>
    </row>
    <row r="1783">
      <c r="A1783" s="4" t="s">
        <v>2239</v>
      </c>
      <c r="B1783" s="4" t="s">
        <v>2242</v>
      </c>
      <c r="C1783" s="5" t="str">
        <f>IFERROR(__xludf.DUMMYFUNCTION("GOOGLETRANSLATE(B1783,""en"",""it"")"),"L'uomo continua a spingere lungo l'erba alta.")</f>
        <v>L'uomo continua a spingere lungo l'erba alta.</v>
      </c>
    </row>
    <row r="1784">
      <c r="A1784" s="4" t="s">
        <v>2243</v>
      </c>
      <c r="B1784" s="4" t="s">
        <v>2244</v>
      </c>
      <c r="C1784" s="5" t="str">
        <f>IFERROR(__xludf.DUMMYFUNCTION("GOOGLETRANSLATE(B1784,""en"",""it"")"),"Il coniglio bianco è nella gabbia.")</f>
        <v>Il coniglio bianco è nella gabbia.</v>
      </c>
    </row>
    <row r="1785">
      <c r="A1785" s="4" t="s">
        <v>2243</v>
      </c>
      <c r="B1785" s="4" t="s">
        <v>2245</v>
      </c>
      <c r="C1785" s="5" t="str">
        <f>IFERROR(__xludf.DUMMYFUNCTION("GOOGLETRANSLATE(B1785,""en"",""it"")"),"Il coniglio sta pulendo le mani leccandolo.")</f>
        <v>Il coniglio sta pulendo le mani leccandolo.</v>
      </c>
    </row>
    <row r="1786">
      <c r="A1786" s="4" t="s">
        <v>2243</v>
      </c>
      <c r="B1786" s="4" t="s">
        <v>2246</v>
      </c>
      <c r="C1786" s="5" t="str">
        <f>IFERROR(__xludf.DUMMYFUNCTION("GOOGLETRANSLATE(B1786,""en"",""it"")"),"Il coniglio gli pulitò la schiena e poi scendeva al primo piano della sua gabbia.")</f>
        <v>Il coniglio gli pulitò la schiena e poi scendeva al primo piano della sua gabbia.</v>
      </c>
    </row>
    <row r="1787">
      <c r="A1787" s="4" t="s">
        <v>2247</v>
      </c>
      <c r="B1787" s="4" t="s">
        <v>2248</v>
      </c>
      <c r="C1787" s="5" t="str">
        <f>IFERROR(__xludf.DUMMYFUNCTION("GOOGLETRANSLATE(B1787,""en"",""it"")"),"Due squadre che giocano a lanciare palle per colpire un avversario.")</f>
        <v>Due squadre che giocano a lanciare palle per colpire un avversario.</v>
      </c>
    </row>
    <row r="1788">
      <c r="A1788" s="4" t="s">
        <v>2247</v>
      </c>
      <c r="B1788" s="4" t="s">
        <v>2249</v>
      </c>
      <c r="C1788" s="5" t="str">
        <f>IFERROR(__xludf.DUMMYFUNCTION("GOOGLETRANSLATE(B1788,""en"",""it"")"),"I giocatori tengono due palle e si gettano l'un l'altro per colpire e avversario.")</f>
        <v>I giocatori tengono due palle e si gettano l'un l'altro per colpire e avversario.</v>
      </c>
    </row>
    <row r="1789">
      <c r="A1789" s="4" t="s">
        <v>2247</v>
      </c>
      <c r="B1789" s="4" t="s">
        <v>2250</v>
      </c>
      <c r="C1789" s="5" t="str">
        <f>IFERROR(__xludf.DUMMYFUNCTION("GOOGLETRANSLATE(B1789,""en"",""it"")"),"Un ragazzo che tiene una palla a un altro giocatore e gli avversari lancia anche la palla.")</f>
        <v>Un ragazzo che tiene una palla a un altro giocatore e gli avversari lancia anche la palla.</v>
      </c>
    </row>
    <row r="1790">
      <c r="A1790" s="4" t="s">
        <v>2251</v>
      </c>
      <c r="B1790" s="6" t="s">
        <v>2252</v>
      </c>
      <c r="C1790" s="5" t="str">
        <f>IFERROR(__xludf.DUMMYFUNCTION("GOOGLETRANSLATE(B1790,""en"",""it"")"),"Una donna inizia a camminare lungo un marciapiede in pietra di ciottoli con stivali marroni e poi viene vista girare un telaio di hula.")</f>
        <v>Una donna inizia a camminare lungo un marciapiede in pietra di ciottoli con stivali marroni e poi viene vista girare un telaio di hula.</v>
      </c>
    </row>
    <row r="1791">
      <c r="A1791" s="4" t="s">
        <v>2251</v>
      </c>
      <c r="B1791" s="4" t="s">
        <v>2253</v>
      </c>
      <c r="C1791" s="5" t="str">
        <f>IFERROR(__xludf.DUMMYFUNCTION("GOOGLETRANSLATE(B1791,""en"",""it"")"),"Con il cerchio di hula, la ragazza inizia a lanciarsi e ballando con esso tra le gambe.")</f>
        <v>Con il cerchio di hula, la ragazza inizia a lanciarsi e ballando con esso tra le gambe.</v>
      </c>
    </row>
    <row r="1792">
      <c r="A1792" s="4" t="s">
        <v>2251</v>
      </c>
      <c r="B1792" s="4" t="s">
        <v>2254</v>
      </c>
      <c r="C1792" s="5" t="str">
        <f>IFERROR(__xludf.DUMMYFUNCTION("GOOGLETRANSLATE(B1792,""en"",""it"")"),"Progretta e aggiunge un altro anca di Hula ed entrambi continuano allo stesso tempo.")</f>
        <v>Progretta e aggiunge un altro anca di Hula ed entrambi continuano allo stesso tempo.</v>
      </c>
    </row>
    <row r="1793">
      <c r="A1793" s="4" t="s">
        <v>2251</v>
      </c>
      <c r="B1793" s="4" t="s">
        <v>2255</v>
      </c>
      <c r="C1793" s="5" t="str">
        <f>IFERROR(__xludf.DUMMYFUNCTION("GOOGLETRANSLATE(B1793,""en"",""it"")"),"Nella sua prossima cornice, ha circa cinque intorno al suo corpo e continua a ballare.")</f>
        <v>Nella sua prossima cornice, ha circa cinque intorno al suo corpo e continua a ballare.</v>
      </c>
    </row>
    <row r="1794">
      <c r="A1794" s="4" t="s">
        <v>2251</v>
      </c>
      <c r="B1794" s="6" t="s">
        <v>2256</v>
      </c>
      <c r="C1794" s="5" t="str">
        <f>IFERROR(__xludf.DUMMYFUNCTION("GOOGLETRANSLATE(B1794,""en"",""it"")"),"Continua a fare la stessa cosa con quantità diverse e con altre parti del corpo mentre le persone vengono e scattano foto di lei mostrando il suo talento.")</f>
        <v>Continua a fare la stessa cosa con quantità diverse e con altre parti del corpo mentre le persone vengono e scattano foto di lei mostrando il suo talento.</v>
      </c>
    </row>
    <row r="1795">
      <c r="A1795" s="4" t="s">
        <v>2251</v>
      </c>
      <c r="B1795" s="6" t="s">
        <v>2257</v>
      </c>
      <c r="C1795" s="5" t="str">
        <f>IFERROR(__xludf.DUMMYFUNCTION("GOOGLETRANSLATE(B1795,""en"",""it"")"),"Infine, appare un altro piccolo video che mostra pubblicità per la pagina YouTube Sisters di salto.")</f>
        <v>Infine, appare un altro piccolo video che mostra pubblicità per la pagina YouTube Sisters di salto.</v>
      </c>
    </row>
    <row r="1796">
      <c r="A1796" s="4" t="s">
        <v>2258</v>
      </c>
      <c r="B1796" s="6" t="s">
        <v>2259</v>
      </c>
      <c r="C1796" s="5" t="str">
        <f>IFERROR(__xludf.DUMMYFUNCTION("GOOGLETRANSLATE(B1796,""en"",""it"")"),"Due squadre giocano a calcio in un campo da calcio indoor, la squadra che indossa una maglietta bianca vince la competizione.")</f>
        <v>Due squadre giocano a calcio in un campo da calcio indoor, la squadra che indossa una maglietta bianca vince la competizione.</v>
      </c>
    </row>
    <row r="1797">
      <c r="A1797" s="4" t="s">
        <v>2258</v>
      </c>
      <c r="B1797" s="4" t="s">
        <v>2260</v>
      </c>
      <c r="C1797" s="5" t="str">
        <f>IFERROR(__xludf.DUMMYFUNCTION("GOOGLETRANSLATE(B1797,""en"",""it"")"),"Il giocatore segna e festeggia con un compagno di squadra.")</f>
        <v>Il giocatore segna e festeggia con un compagno di squadra.</v>
      </c>
    </row>
    <row r="1798">
      <c r="A1798" s="4" t="s">
        <v>2258</v>
      </c>
      <c r="B1798" s="4" t="s">
        <v>2261</v>
      </c>
      <c r="C1798" s="5" t="str">
        <f>IFERROR(__xludf.DUMMYFUNCTION("GOOGLETRANSLATE(B1798,""en"",""it"")"),"Altre squadre giocano a calcio, un giocatore con uniforme bianca riceve una palla e un punteggio.")</f>
        <v>Altre squadre giocano a calcio, un giocatore con uniforme bianca riceve una palla e un punteggio.</v>
      </c>
    </row>
    <row r="1799">
      <c r="A1799" s="4" t="s">
        <v>2258</v>
      </c>
      <c r="B1799" s="4" t="s">
        <v>2262</v>
      </c>
      <c r="C1799" s="5" t="str">
        <f>IFERROR(__xludf.DUMMYFUNCTION("GOOGLETRANSLATE(B1799,""en"",""it"")"),"Due squadre giocano a calcio e il giocatore con i punteggi dell'uniforme gialla.")</f>
        <v>Due squadre giocano a calcio e il giocatore con i punteggi dell'uniforme gialla.</v>
      </c>
    </row>
    <row r="1800">
      <c r="A1800" s="4" t="s">
        <v>2258</v>
      </c>
      <c r="B1800" s="4" t="s">
        <v>2263</v>
      </c>
      <c r="C1800" s="5" t="str">
        <f>IFERROR(__xludf.DUMMYFUNCTION("GOOGLETRANSLATE(B1800,""en"",""it"")"),"Due squadre di ragazze competono, una ragazza con punteggi uniformi rossi e la squadra vince.")</f>
        <v>Due squadre di ragazze competono, una ragazza con punteggi uniformi rossi e la squadra vince.</v>
      </c>
    </row>
    <row r="1801">
      <c r="A1801" s="4" t="s">
        <v>2258</v>
      </c>
      <c r="B1801" s="4" t="s">
        <v>2264</v>
      </c>
      <c r="C1801" s="5" t="str">
        <f>IFERROR(__xludf.DUMMYFUNCTION("GOOGLETRANSLATE(B1801,""en"",""it"")"),"Quindi, un giocatore con una divisa bianca segna con un movimento spettacolare.")</f>
        <v>Quindi, un giocatore con una divisa bianca segna con un movimento spettacolare.</v>
      </c>
    </row>
    <row r="1802">
      <c r="A1802" s="4" t="s">
        <v>2265</v>
      </c>
      <c r="B1802" s="6" t="s">
        <v>2266</v>
      </c>
      <c r="C1802" s="5" t="str">
        <f>IFERROR(__xludf.DUMMYFUNCTION("GOOGLETRANSLATE(B1802,""en"",""it"")"),"Viene visualizzata un'introduzione a effetto speciale e una parola blu appare al centro dello schermo e ""howcast"" di Say.")</f>
        <v>Viene visualizzata un'introduzione a effetto speciale e una parola blu appare al centro dello schermo e "howcast" di Say.</v>
      </c>
    </row>
    <row r="1803">
      <c r="A1803" s="4" t="s">
        <v>2265</v>
      </c>
      <c r="B1803" s="6" t="s">
        <v>2267</v>
      </c>
      <c r="C1803" s="5" t="str">
        <f>IFERROR(__xludf.DUMMYFUNCTION("GOOGLETRANSLATE(B1803,""en"",""it"")"),"Una donna è sdraiata su un letto in un'azienda con un uomo seduto accanto a lei e un elenco di cose che compaiono sullo schermo sotto le parole ""Avrai bisogno"" appaiono sullo schermo.")</f>
        <v>Una donna è sdraiata su un letto in un'azienda con un uomo seduto accanto a lei e un elenco di cose che compaiono sullo schermo sotto le parole "Avrai bisogno" appaiono sullo schermo.</v>
      </c>
    </row>
    <row r="1804">
      <c r="A1804" s="4" t="s">
        <v>2265</v>
      </c>
      <c r="B1804" s="6" t="s">
        <v>2268</v>
      </c>
      <c r="C1804" s="5" t="str">
        <f>IFERROR(__xludf.DUMMYFUNCTION("GOOGLETRANSLATE(B1804,""en"",""it"")"),"La donna viene mostrata facendo varie cose mentre i passaggi si presentano sotto ogni azione che fa, e persino i suggerimenti appaiono sullo schermo che portano alla donna sdraiata sul letto mentre un uomo la tatua.")</f>
        <v>La donna viene mostrata facendo varie cose mentre i passaggi si presentano sotto ogni azione che fa, e persino i suggerimenti appaiono sullo schermo che portano alla donna sdraiata sul letto mentre un uomo la tatua.</v>
      </c>
    </row>
    <row r="1805">
      <c r="A1805" s="4" t="s">
        <v>2265</v>
      </c>
      <c r="B1805" s="6" t="s">
        <v>2269</v>
      </c>
      <c r="C1805" s="5" t="str">
        <f>IFERROR(__xludf.DUMMYFUNCTION("GOOGLETRANSLATE(B1805,""en"",""it"")"),"Quando la fa tatuare, tiene in mano una bottiglia bianca con un berretto verde e le parla mentre lo mostra e le parole bianche appaiono sullo schermo dando un avvertimento che ""applicare troppo anestetico topico e quindi coprire il tatuaggio può causare "&amp;"convulsioni"".")</f>
        <v>Quando la fa tatuare, tiene in mano una bottiglia bianca con un berretto verde e le parla mentre lo mostra e le parole bianche appaiono sullo schermo dando un avvertimento che "applicare troppo anestetico topico e quindi coprire il tatuaggio può causare convulsioni".</v>
      </c>
    </row>
    <row r="1806">
      <c r="A1806" s="4" t="s">
        <v>2265</v>
      </c>
      <c r="B1806" s="6" t="s">
        <v>2270</v>
      </c>
      <c r="C1806" s="5" t="str">
        <f>IFERROR(__xludf.DUMMYFUNCTION("GOOGLETRANSLATE(B1806,""en"",""it"")"),"La donna si alza per mostrare il suo tatuaggio e la donna viene brevemente mostrata il sole con il tatuaggio coperto.")</f>
        <v>La donna si alza per mostrare il suo tatuaggio e la donna viene brevemente mostrata il sole con il tatuaggio coperto.</v>
      </c>
    </row>
    <row r="1807">
      <c r="A1807" s="4" t="s">
        <v>2265</v>
      </c>
      <c r="B1807" s="6" t="s">
        <v>2271</v>
      </c>
      <c r="C1807" s="5" t="str">
        <f>IFERROR(__xludf.DUMMYFUNCTION("GOOGLETRANSLATE(B1807,""en"",""it"")"),"Viene mostrato un primo piano del suo tatuaggio e le parole appaiono su di esso che ""i democratici di Say hanno maggiori probabilità di avere tatuaggi"", quindi appare uno schermo bianco con le parole blu nel mezzo che dicono ""Howcast"".")</f>
        <v>Viene mostrato un primo piano del suo tatuaggio e le parole appaiono su di esso che "i democratici di Say hanno maggiori probabilità di avere tatuaggi", quindi appare uno schermo bianco con le parole blu nel mezzo che dicono "Howcast".</v>
      </c>
    </row>
    <row r="1808">
      <c r="A1808" s="4" t="s">
        <v>2272</v>
      </c>
      <c r="B1808" s="4" t="s">
        <v>2273</v>
      </c>
      <c r="C1808" s="5" t="str">
        <f>IFERROR(__xludf.DUMMYFUNCTION("GOOGLETRANSLATE(B1808,""en"",""it"")"),"Un uomo è seduto mentre qualcuno avvolge le scarpe.")</f>
        <v>Un uomo è seduto mentre qualcuno avvolge le scarpe.</v>
      </c>
    </row>
    <row r="1809">
      <c r="A1809" s="4" t="s">
        <v>2272</v>
      </c>
      <c r="B1809" s="4" t="s">
        <v>2274</v>
      </c>
      <c r="C1809" s="5" t="str">
        <f>IFERROR(__xludf.DUMMYFUNCTION("GOOGLETRANSLATE(B1809,""en"",""it"")"),"La persona usa un pennello per pulire le sue scarpe.")</f>
        <v>La persona usa un pennello per pulire le sue scarpe.</v>
      </c>
    </row>
    <row r="1810">
      <c r="A1810" s="4" t="s">
        <v>2272</v>
      </c>
      <c r="B1810" s="4" t="s">
        <v>2275</v>
      </c>
      <c r="C1810" s="5" t="str">
        <f>IFERROR(__xludf.DUMMYFUNCTION("GOOGLETRANSLATE(B1810,""en"",""it"")"),"Quindi usano lo smalto per brivido.")</f>
        <v>Quindi usano lo smalto per brivido.</v>
      </c>
    </row>
    <row r="1811">
      <c r="A1811" s="4" t="s">
        <v>2276</v>
      </c>
      <c r="B1811" s="4" t="s">
        <v>2277</v>
      </c>
      <c r="C1811" s="5" t="str">
        <f>IFERROR(__xludf.DUMMYFUNCTION("GOOGLETRANSLATE(B1811,""en"",""it"")"),"Una ragazza viene vista camminare fino alla fine di una tavola da immersione con molte altre persone intorno a lei.")</f>
        <v>Una ragazza viene vista camminare fino alla fine di una tavola da immersione con molte altre persone intorno a lei.</v>
      </c>
    </row>
    <row r="1812">
      <c r="A1812" s="4" t="s">
        <v>2276</v>
      </c>
      <c r="B1812" s="4" t="s">
        <v>2278</v>
      </c>
      <c r="C1812" s="5" t="str">
        <f>IFERROR(__xludf.DUMMYFUNCTION("GOOGLETRANSLATE(B1812,""en"",""it"")"),"La ragazza alza le braccia e poi si tuffa in piscina.")</f>
        <v>La ragazza alza le braccia e poi si tuffa in piscina.</v>
      </c>
    </row>
    <row r="1813">
      <c r="A1813" s="4" t="s">
        <v>2276</v>
      </c>
      <c r="B1813" s="4" t="s">
        <v>2279</v>
      </c>
      <c r="C1813" s="5" t="str">
        <f>IFERROR(__xludf.DUMMYFUNCTION("GOOGLETRANSLATE(B1813,""en"",""it"")"),"Ha visto di nuovo venire in superficie in piscina e nuotare fino al bordo.")</f>
        <v>Ha visto di nuovo venire in superficie in piscina e nuotare fino al bordo.</v>
      </c>
    </row>
    <row r="1814">
      <c r="A1814" s="4" t="s">
        <v>2280</v>
      </c>
      <c r="B1814" s="6" t="s">
        <v>2281</v>
      </c>
      <c r="C1814" s="5" t="str">
        <f>IFERROR(__xludf.DUMMYFUNCTION("GOOGLETRANSLATE(B1814,""en"",""it"")"),"Una ginnasta femminile sta girando e saltando su un paio di travi grandi mentre il suo allenatore orologio, pronto a catturarla.")</f>
        <v>Una ginnasta femminile sta girando e saltando su un paio di travi grandi mentre il suo allenatore orologio, pronto a catturarla.</v>
      </c>
    </row>
    <row r="1815">
      <c r="A1815" s="4" t="s">
        <v>2280</v>
      </c>
      <c r="B1815" s="4" t="s">
        <v>2282</v>
      </c>
      <c r="C1815" s="5" t="str">
        <f>IFERROR(__xludf.DUMMYFUNCTION("GOOGLETRANSLATE(B1815,""en"",""it"")"),"Si avvicina al raggio mentre sconta, le braccia in aria.")</f>
        <v>Si avvicina al raggio mentre sconta, le braccia in aria.</v>
      </c>
    </row>
    <row r="1816">
      <c r="A1816" s="4" t="s">
        <v>2283</v>
      </c>
      <c r="B1816" s="4" t="s">
        <v>2284</v>
      </c>
      <c r="C1816" s="5" t="str">
        <f>IFERROR(__xludf.DUMMYFUNCTION("GOOGLETRANSLATE(B1816,""en"",""it"")"),"Due uomini fanno manovre su una canoa che ruota la canoa aiutando con i canoisti.")</f>
        <v>Due uomini fanno manovre su una canoa che ruota la canoa aiutando con i canoisti.</v>
      </c>
    </row>
    <row r="1817">
      <c r="A1817" s="4" t="s">
        <v>2283</v>
      </c>
      <c r="B1817" s="4" t="s">
        <v>2285</v>
      </c>
      <c r="C1817" s="5" t="str">
        <f>IFERROR(__xludf.DUMMYFUNCTION("GOOGLETRANSLATE(B1817,""en"",""it"")"),"Quindi, gli uomini ruotano la canoa lontano dai canoisti di prua mentre pagavano rapidamente i remi.")</f>
        <v>Quindi, gli uomini ruotano la canoa lontano dai canoisti di prua mentre pagavano rapidamente i remi.</v>
      </c>
    </row>
    <row r="1818">
      <c r="A1818" s="4" t="s">
        <v>2283</v>
      </c>
      <c r="B1818" s="4" t="s">
        <v>2286</v>
      </c>
      <c r="C1818" s="5" t="str">
        <f>IFERROR(__xludf.DUMMYFUNCTION("GOOGLETRANSLATE(B1818,""en"",""it"")"),"Dopo, gli uomini fa scorrere la canoa in avanti usando i remi per avanzare.")</f>
        <v>Dopo, gli uomini fa scorrere la canoa in avanti usando i remi per avanzare.</v>
      </c>
    </row>
    <row r="1819">
      <c r="A1819" s="4" t="s">
        <v>2283</v>
      </c>
      <c r="B1819" s="4" t="s">
        <v>2287</v>
      </c>
      <c r="C1819" s="5" t="str">
        <f>IFERROR(__xludf.DUMMYFUNCTION("GOOGLETRANSLATE(B1819,""en"",""it"")"),"Successivamente, gli uomini navigano sul fiume fino all'arrivo alla riva del fiume.")</f>
        <v>Successivamente, gli uomini navigano sul fiume fino all'arrivo alla riva del fiume.</v>
      </c>
    </row>
    <row r="1820">
      <c r="A1820" s="4" t="s">
        <v>2288</v>
      </c>
      <c r="B1820" s="4" t="s">
        <v>2289</v>
      </c>
      <c r="C1820" s="5" t="str">
        <f>IFERROR(__xludf.DUMMYFUNCTION("GOOGLETRANSLATE(B1820,""en"",""it"")"),"Vediamo parlare un uomo in BMX Bike Arena.")</f>
        <v>Vediamo parlare un uomo in BMX Bike Arena.</v>
      </c>
    </row>
    <row r="1821">
      <c r="A1821" s="4" t="s">
        <v>2288</v>
      </c>
      <c r="B1821" s="4" t="s">
        <v>2290</v>
      </c>
      <c r="C1821" s="5" t="str">
        <f>IFERROR(__xludf.DUMMYFUNCTION("GOOGLETRANSLATE(B1821,""en"",""it"")"),"Vediamo le persone portare le bici su una rampa.")</f>
        <v>Vediamo le persone portare le bici su una rampa.</v>
      </c>
    </row>
    <row r="1822">
      <c r="A1822" s="4" t="s">
        <v>2288</v>
      </c>
      <c r="B1822" s="4" t="s">
        <v>2291</v>
      </c>
      <c r="C1822" s="5" t="str">
        <f>IFERROR(__xludf.DUMMYFUNCTION("GOOGLETRANSLATE(B1822,""en"",""it"")"),"Vediamo le persone iniziare quando si apre il cancello.")</f>
        <v>Vediamo le persone iniziare quando si apre il cancello.</v>
      </c>
    </row>
    <row r="1823">
      <c r="A1823" s="4" t="s">
        <v>2288</v>
      </c>
      <c r="B1823" s="4" t="s">
        <v>2292</v>
      </c>
      <c r="C1823" s="5" t="str">
        <f>IFERROR(__xludf.DUMMYFUNCTION("GOOGLETRANSLATE(B1823,""en"",""it"")"),"Vediamo quindi le persone in bicicletta.")</f>
        <v>Vediamo quindi le persone in bicicletta.</v>
      </c>
    </row>
    <row r="1824">
      <c r="A1824" s="4" t="s">
        <v>2288</v>
      </c>
      <c r="B1824" s="4" t="s">
        <v>2293</v>
      </c>
      <c r="C1824" s="5" t="str">
        <f>IFERROR(__xludf.DUMMYFUNCTION("GOOGLETRANSLATE(B1824,""en"",""it"")"),"Vediamo un uomo pulire lo sporco dai suoi capelli e spegnere la telecamera.")</f>
        <v>Vediamo un uomo pulire lo sporco dai suoi capelli e spegnere la telecamera.</v>
      </c>
    </row>
    <row r="1825">
      <c r="A1825" s="4" t="s">
        <v>2294</v>
      </c>
      <c r="B1825" s="4" t="s">
        <v>2295</v>
      </c>
      <c r="C1825" s="5" t="str">
        <f>IFERROR(__xludf.DUMMYFUNCTION("GOOGLETRANSLATE(B1825,""en"",""it"")"),"Viene visto un uomo che si aggrappa a una macchina per la vernice e lo spruzza attorno a tutti i mobili.")</f>
        <v>Viene visto un uomo che si aggrappa a una macchina per la vernice e lo spruzza attorno a tutti i mobili.</v>
      </c>
    </row>
    <row r="1826">
      <c r="A1826" s="4" t="s">
        <v>2294</v>
      </c>
      <c r="B1826" s="4" t="s">
        <v>2296</v>
      </c>
      <c r="C1826" s="5" t="str">
        <f>IFERROR(__xludf.DUMMYFUNCTION("GOOGLETRANSLATE(B1826,""en"",""it"")"),"Continua a dipingere intorno all'area mentre la telecamera si muove attorno ai suoi movimenti.")</f>
        <v>Continua a dipingere intorno all'area mentre la telecamera si muove attorno ai suoi movimenti.</v>
      </c>
    </row>
    <row r="1827">
      <c r="A1827" s="4" t="s">
        <v>2294</v>
      </c>
      <c r="B1827" s="4" t="s">
        <v>2297</v>
      </c>
      <c r="C1827" s="5" t="str">
        <f>IFERROR(__xludf.DUMMYFUNCTION("GOOGLETRANSLATE(B1827,""en"",""it"")"),"Termina il dipinto e la fotocamera piova intorno ai mobili.")</f>
        <v>Termina il dipinto e la fotocamera piova intorno ai mobili.</v>
      </c>
    </row>
    <row r="1828">
      <c r="A1828" s="4" t="s">
        <v>2298</v>
      </c>
      <c r="B1828" s="4" t="s">
        <v>2299</v>
      </c>
      <c r="C1828" s="5" t="str">
        <f>IFERROR(__xludf.DUMMYFUNCTION("GOOGLETRANSLATE(B1828,""en"",""it"")"),"Viene vista una donna parlare alla telecamera mentre era seduta su una sedia.")</f>
        <v>Viene vista una donna parlare alla telecamera mentre era seduta su una sedia.</v>
      </c>
    </row>
    <row r="1829">
      <c r="A1829" s="4" t="s">
        <v>2298</v>
      </c>
      <c r="B1829" s="4" t="s">
        <v>2300</v>
      </c>
      <c r="C1829" s="5" t="str">
        <f>IFERROR(__xludf.DUMMYFUNCTION("GOOGLETRANSLATE(B1829,""en"",""it"")"),"Quindi tiene in mano una lente a contatto e le mette negli occhi.")</f>
        <v>Quindi tiene in mano una lente a contatto e le mette negli occhi.</v>
      </c>
    </row>
    <row r="1830">
      <c r="A1830" s="4" t="s">
        <v>2298</v>
      </c>
      <c r="B1830" s="4" t="s">
        <v>2301</v>
      </c>
      <c r="C1830" s="5" t="str">
        <f>IFERROR(__xludf.DUMMYFUNCTION("GOOGLETRANSLATE(B1830,""en"",""it"")"),"Lei un altro contatto negli occhi e sorride alla telecamera.")</f>
        <v>Lei un altro contatto negli occhi e sorride alla telecamera.</v>
      </c>
    </row>
    <row r="1831">
      <c r="A1831" s="4" t="s">
        <v>2302</v>
      </c>
      <c r="B1831" s="6" t="s">
        <v>2303</v>
      </c>
      <c r="C1831" s="5" t="str">
        <f>IFERROR(__xludf.DUMMYFUNCTION("GOOGLETRANSLATE(B1831,""en"",""it"")"),"Un folto gruppo di persone viene visto giocare in una palestra lanciando palle l'una contro l'altra e rimbalzando.")</f>
        <v>Un folto gruppo di persone viene visto giocare in una palestra lanciando palle l'una contro l'altra e rimbalzando.</v>
      </c>
    </row>
    <row r="1832">
      <c r="A1832" s="4" t="s">
        <v>2302</v>
      </c>
      <c r="B1832" s="4" t="s">
        <v>2304</v>
      </c>
      <c r="C1832" s="5" t="str">
        <f>IFERROR(__xludf.DUMMYFUNCTION("GOOGLETRANSLATE(B1832,""en"",""it"")"),"Le persone continuano a lanciare palle quando si colpiscono la fotocamera e mostra una faccia di persone.")</f>
        <v>Le persone continuano a lanciare palle quando si colpiscono la fotocamera e mostra una faccia di persone.</v>
      </c>
    </row>
    <row r="1833">
      <c r="A1833" s="4" t="s">
        <v>2302</v>
      </c>
      <c r="B1833" s="4" t="s">
        <v>2305</v>
      </c>
      <c r="C1833" s="5" t="str">
        <f>IFERROR(__xludf.DUMMYFUNCTION("GOOGLETRANSLATE(B1833,""en"",""it"")"),"Il gioco continua con le persone che lanciano palle e persone che guardano sui lati.")</f>
        <v>Il gioco continua con le persone che lanciano palle e persone che guardano sui lati.</v>
      </c>
    </row>
    <row r="1834">
      <c r="A1834" s="4" t="s">
        <v>2306</v>
      </c>
      <c r="B1834" s="4" t="s">
        <v>2307</v>
      </c>
      <c r="C1834" s="5" t="str">
        <f>IFERROR(__xludf.DUMMYFUNCTION("GOOGLETRANSLATE(B1834,""en"",""it"")"),"Un gruppo di persone è sotto una copertura.")</f>
        <v>Un gruppo di persone è sotto una copertura.</v>
      </c>
    </row>
    <row r="1835">
      <c r="A1835" s="4" t="s">
        <v>2306</v>
      </c>
      <c r="B1835" s="4" t="s">
        <v>2308</v>
      </c>
      <c r="C1835" s="5" t="str">
        <f>IFERROR(__xludf.DUMMYFUNCTION("GOOGLETRANSLATE(B1835,""en"",""it"")"),"Stanno andando in giro in una serie di auto paraurti.")</f>
        <v>Stanno andando in giro in una serie di auto paraurti.</v>
      </c>
    </row>
    <row r="1836">
      <c r="A1836" s="4" t="s">
        <v>2306</v>
      </c>
      <c r="B1836" s="4" t="s">
        <v>2309</v>
      </c>
      <c r="C1836" s="5" t="str">
        <f>IFERROR(__xludf.DUMMYFUNCTION("GOOGLETRANSLATE(B1836,""en"",""it"")"),"Le macchine si imbattono nell'altra mentre guidano.")</f>
        <v>Le macchine si imbattono nell'altra mentre guidano.</v>
      </c>
    </row>
    <row r="1837">
      <c r="A1837" s="4" t="s">
        <v>2310</v>
      </c>
      <c r="B1837" s="4" t="s">
        <v>2311</v>
      </c>
      <c r="C1837" s="5" t="str">
        <f>IFERROR(__xludf.DUMMYFUNCTION("GOOGLETRANSLATE(B1837,""en"",""it"")"),"Sullo schermo viene mostrato un sacchetto di assorbimento master di fuoriuscita.")</f>
        <v>Sullo schermo viene mostrato un sacchetto di assorbimento master di fuoriuscita.</v>
      </c>
    </row>
    <row r="1838">
      <c r="A1838" s="4" t="s">
        <v>2310</v>
      </c>
      <c r="B1838" s="4" t="s">
        <v>2312</v>
      </c>
      <c r="C1838" s="5" t="str">
        <f>IFERROR(__xludf.DUMMYFUNCTION("GOOGLETRANSLATE(B1838,""en"",""it"")"),"Un uomo si trova in un magazzino a parlare con la telecamera e versa un po 'di liquido per terra.")</f>
        <v>Un uomo si trova in un magazzino a parlare con la telecamera e versa un po 'di liquido per terra.</v>
      </c>
    </row>
    <row r="1839">
      <c r="A1839" s="4" t="s">
        <v>2310</v>
      </c>
      <c r="B1839" s="4" t="s">
        <v>2313</v>
      </c>
      <c r="C1839" s="5" t="str">
        <f>IFERROR(__xludf.DUMMYFUNCTION("GOOGLETRANSLATE(B1839,""en"",""it"")"),"Prende una ciotola di materiale e lo ha spruzzato sopra le fuoriuscite.")</f>
        <v>Prende una ciotola di materiale e lo ha spruzzato sopra le fuoriuscite.</v>
      </c>
    </row>
    <row r="1840">
      <c r="A1840" s="4" t="s">
        <v>2310</v>
      </c>
      <c r="B1840" s="4" t="s">
        <v>2314</v>
      </c>
      <c r="C1840" s="5" t="str">
        <f>IFERROR(__xludf.DUMMYFUNCTION("GOOGLETRANSLATE(B1840,""en"",""it"")"),"Quindi spazza il materiale con una scopa e una padella.")</f>
        <v>Quindi spazza il materiale con una scopa e una padella.</v>
      </c>
    </row>
    <row r="1841">
      <c r="A1841" s="4" t="s">
        <v>2315</v>
      </c>
      <c r="B1841" s="4" t="s">
        <v>2316</v>
      </c>
      <c r="C1841" s="5" t="str">
        <f>IFERROR(__xludf.DUMMYFUNCTION("GOOGLETRANSLATE(B1841,""en"",""it"")"),"Una donna sta registrando alcuni uomini in un soggiorno che fa giacche.")</f>
        <v>Una donna sta registrando alcuni uomini in un soggiorno che fa giacche.</v>
      </c>
    </row>
    <row r="1842">
      <c r="A1842" s="4" t="s">
        <v>2315</v>
      </c>
      <c r="B1842" s="6" t="s">
        <v>2317</v>
      </c>
      <c r="C1842" s="5" t="str">
        <f>IFERROR(__xludf.DUMMYFUNCTION("GOOGLETRANSLATE(B1842,""en"",""it"")"),"Uno degli uomini movide la persona della telecamera a seguirlo mentre afferra una scopa e cammina lungo un corridoio e fuori da una porta a un parcheggio innevato.")</f>
        <v>Uno degli uomini movide la persona della telecamera a seguirlo mentre afferra una scopa e cammina lungo un corridoio e fuori da una porta a un parcheggio innevato.</v>
      </c>
    </row>
    <row r="1843">
      <c r="A1843" s="4" t="s">
        <v>2315</v>
      </c>
      <c r="B1843" s="4" t="s">
        <v>2318</v>
      </c>
      <c r="C1843" s="5" t="str">
        <f>IFERROR(__xludf.DUMMYFUNCTION("GOOGLETRANSLATE(B1843,""en"",""it"")"),"Uscono nel parcheggio mentre un altro uomo esce.")</f>
        <v>Uscono nel parcheggio mentre un altro uomo esce.</v>
      </c>
    </row>
    <row r="1844">
      <c r="A1844" s="4" t="s">
        <v>2315</v>
      </c>
      <c r="B1844" s="6" t="s">
        <v>2319</v>
      </c>
      <c r="C1844" s="5" t="str">
        <f>IFERROR(__xludf.DUMMYFUNCTION("GOOGLETRANSLATE(B1844,""en"",""it"")"),"L'uomo con la scopa spazza la neve da un SUV mentre un altro uomo fa lo stesso in un'auto accanto a lui.")</f>
        <v>L'uomo con la scopa spazza la neve da un SUV mentre un altro uomo fa lo stesso in un'auto accanto a lui.</v>
      </c>
    </row>
    <row r="1845">
      <c r="A1845" s="4" t="s">
        <v>2320</v>
      </c>
      <c r="B1845" s="4" t="s">
        <v>2321</v>
      </c>
      <c r="C1845" s="5" t="str">
        <f>IFERROR(__xludf.DUMMYFUNCTION("GOOGLETRANSLATE(B1845,""en"",""it"")"),"Una ragazza regge un pennello e si avvicina al cavallo.")</f>
        <v>Una ragazza regge un pennello e si avvicina al cavallo.</v>
      </c>
    </row>
    <row r="1846">
      <c r="A1846" s="4" t="s">
        <v>2320</v>
      </c>
      <c r="B1846" s="4" t="s">
        <v>2322</v>
      </c>
      <c r="C1846" s="5" t="str">
        <f>IFERROR(__xludf.DUMMYFUNCTION("GOOGLETRANSLATE(B1846,""en"",""it"")"),"La ragazza spazzola la mano del cavallo in una stalla.")</f>
        <v>La ragazza spazzola la mano del cavallo in una stalla.</v>
      </c>
    </row>
    <row r="1847">
      <c r="A1847" s="4" t="s">
        <v>2320</v>
      </c>
      <c r="B1847" s="4" t="s">
        <v>2323</v>
      </c>
      <c r="C1847" s="5" t="str">
        <f>IFERROR(__xludf.DUMMYFUNCTION("GOOGLETRANSLATE(B1847,""en"",""it"")"),"La ragazza rimuove le parenti della caviglia dal cavallo.")</f>
        <v>La ragazza rimuove le parenti della caviglia dal cavallo.</v>
      </c>
    </row>
    <row r="1848">
      <c r="A1848" s="4" t="s">
        <v>2320</v>
      </c>
      <c r="B1848" s="4" t="s">
        <v>2324</v>
      </c>
      <c r="C1848" s="5" t="str">
        <f>IFERROR(__xludf.DUMMYFUNCTION("GOOGLETRANSLATE(B1848,""en"",""it"")"),"La ragazza avvolge le parentesi graffe e le mette via.")</f>
        <v>La ragazza avvolge le parentesi graffe e le mette via.</v>
      </c>
    </row>
    <row r="1849">
      <c r="A1849" s="4" t="s">
        <v>2320</v>
      </c>
      <c r="B1849" s="4" t="s">
        <v>2325</v>
      </c>
      <c r="C1849" s="5" t="str">
        <f>IFERROR(__xludf.DUMMYFUNCTION("GOOGLETRANSLATE(B1849,""en"",""it"")"),"Un cavallo tira fuori la testa da una stalla e un uomo guarda.")</f>
        <v>Un cavallo tira fuori la testa da una stalla e un uomo guarda.</v>
      </c>
    </row>
    <row r="1850">
      <c r="A1850" s="4" t="s">
        <v>2326</v>
      </c>
      <c r="B1850" s="4" t="s">
        <v>2327</v>
      </c>
      <c r="C1850" s="5" t="str">
        <f>IFERROR(__xludf.DUMMYFUNCTION("GOOGLETRANSLATE(B1850,""en"",""it"")"),"Vengono dimostrati diversi tipi di tiri colpiti e terminologia.")</f>
        <v>Vengono dimostrati diversi tipi di tiri colpiti e terminologia.</v>
      </c>
    </row>
    <row r="1851">
      <c r="A1851" s="4" t="s">
        <v>2326</v>
      </c>
      <c r="B1851" s="4" t="s">
        <v>2328</v>
      </c>
      <c r="C1851" s="5" t="str">
        <f>IFERROR(__xludf.DUMMYFUNCTION("GOOGLETRANSLATE(B1851,""en"",""it"")"),"I diversi tiri mostrano diversi tipi di blocco.")</f>
        <v>I diversi tiri mostrano diversi tipi di blocco.</v>
      </c>
    </row>
    <row r="1852">
      <c r="A1852" s="4" t="s">
        <v>2326</v>
      </c>
      <c r="B1852" s="4" t="s">
        <v>2329</v>
      </c>
      <c r="C1852" s="5" t="str">
        <f>IFERROR(__xludf.DUMMYFUNCTION("GOOGLETRANSLATE(B1852,""en"",""it"")"),"Questi sono usati in vari tipi di imbracatura.")</f>
        <v>Questi sono usati in vari tipi di imbracatura.</v>
      </c>
    </row>
    <row r="1853">
      <c r="A1853" s="4" t="s">
        <v>2326</v>
      </c>
      <c r="B1853" s="4" t="s">
        <v>2330</v>
      </c>
      <c r="C1853" s="5" t="str">
        <f>IFERROR(__xludf.DUMMYFUNCTION("GOOGLETRANSLATE(B1853,""en"",""it"")"),"Alcuni nomi di alcuni tiri sono il colpo di planata, lo spin scatto e il lancio dello stand.")</f>
        <v>Alcuni nomi di alcuni tiri sono il colpo di planata, lo spin scatto e il lancio dello stand.</v>
      </c>
    </row>
    <row r="1854">
      <c r="A1854" s="4" t="s">
        <v>2331</v>
      </c>
      <c r="B1854" s="6" t="s">
        <v>2332</v>
      </c>
      <c r="C1854" s="5" t="str">
        <f>IFERROR(__xludf.DUMMYFUNCTION("GOOGLETRANSLATE(B1854,""en"",""it"")"),"Viene visto un cagnolino indossare un vestito e camminare su due gambe mentre le persone lo stanno intorno e guardano.")</f>
        <v>Viene visto un cagnolino indossare un vestito e camminare su due gambe mentre le persone lo stanno intorno e guardano.</v>
      </c>
    </row>
    <row r="1855">
      <c r="A1855" s="4" t="s">
        <v>2331</v>
      </c>
      <c r="B1855" s="4" t="s">
        <v>2333</v>
      </c>
      <c r="C1855" s="5" t="str">
        <f>IFERROR(__xludf.DUMMYFUNCTION("GOOGLETRANSLATE(B1855,""en"",""it"")"),"Il cane continua a camminare e guardarsi intorno mentre le persone guardano.")</f>
        <v>Il cane continua a camminare e guardarsi intorno mentre le persone guardano.</v>
      </c>
    </row>
    <row r="1856">
      <c r="A1856" s="4" t="s">
        <v>2334</v>
      </c>
      <c r="B1856" s="4" t="s">
        <v>2335</v>
      </c>
      <c r="C1856" s="5" t="str">
        <f>IFERROR(__xludf.DUMMYFUNCTION("GOOGLETRANSLATE(B1856,""en"",""it"")"),"Appare una montagna piena di neve e un uomo inizia a sciare lungo le piste.")</f>
        <v>Appare una montagna piena di neve e un uomo inizia a sciare lungo le piste.</v>
      </c>
    </row>
    <row r="1857">
      <c r="A1857" s="4" t="s">
        <v>2334</v>
      </c>
      <c r="B1857" s="4" t="s">
        <v>2336</v>
      </c>
      <c r="C1857" s="5" t="str">
        <f>IFERROR(__xludf.DUMMYFUNCTION("GOOGLETRANSLATE(B1857,""en"",""it"")"),"Mentre gli sci, appaiono più uomini prima di riappare da solo.")</f>
        <v>Mentre gli sci, appaiono più uomini prima di riappare da solo.</v>
      </c>
    </row>
    <row r="1858">
      <c r="A1858" s="4" t="s">
        <v>2334</v>
      </c>
      <c r="B1858" s="4" t="s">
        <v>2337</v>
      </c>
      <c r="C1858" s="5" t="str">
        <f>IFERROR(__xludf.DUMMYFUNCTION("GOOGLETRANSLATE(B1858,""en"",""it"")"),"Una volta solo, l'uomo sci giù rapidamente lungo le piste e fa giri e ginocchia mentre gli sci.")</f>
        <v>Una volta solo, l'uomo sci giù rapidamente lungo le piste e fa giri e ginocchia mentre gli sci.</v>
      </c>
    </row>
    <row r="1859">
      <c r="A1859" s="4" t="s">
        <v>2334</v>
      </c>
      <c r="B1859" s="4" t="s">
        <v>2338</v>
      </c>
      <c r="C1859" s="5" t="str">
        <f>IFERROR(__xludf.DUMMYFUNCTION("GOOGLETRANSLATE(B1859,""en"",""it"")"),"Alla fine, va a digiuno e finisce per girare in un mucchio di neve.")</f>
        <v>Alla fine, va a digiuno e finisce per girare in un mucchio di neve.</v>
      </c>
    </row>
    <row r="1860">
      <c r="A1860" s="4" t="s">
        <v>2339</v>
      </c>
      <c r="B1860" s="6" t="s">
        <v>2340</v>
      </c>
      <c r="C1860" s="5" t="str">
        <f>IFERROR(__xludf.DUMMYFUNCTION("GOOGLETRANSLATE(B1860,""en"",""it"")"),"Un uomo e una donna sono seduti in due ciambelle galleggianti separate, l'uomo in blu, la donna nel verde, ed entrambi sorridono, poi l'uomo alza il braccio sinistro per salutare.")</f>
        <v>Un uomo e una donna sono seduti in due ciambelle galleggianti separate, l'uomo in blu, la donna nel verde, ed entrambi sorridono, poi l'uomo alza il braccio sinistro per salutare.</v>
      </c>
    </row>
    <row r="1861">
      <c r="A1861" s="4" t="s">
        <v>2339</v>
      </c>
      <c r="B1861" s="6" t="s">
        <v>2341</v>
      </c>
      <c r="C1861" s="5" t="str">
        <f>IFERROR(__xludf.DUMMYFUNCTION("GOOGLETRANSLATE(B1861,""en"",""it"")"),"Un gruppo di persone è anche su ciambelle galleggianti di colore diverso, giocando, cadendo in acqua e divertiti.")</f>
        <v>Un gruppo di persone è anche su ciambelle galleggianti di colore diverso, giocando, cadendo in acqua e divertiti.</v>
      </c>
    </row>
    <row r="1862">
      <c r="A1862" s="4" t="s">
        <v>2339</v>
      </c>
      <c r="B1862" s="6" t="s">
        <v>2342</v>
      </c>
      <c r="C1862" s="5" t="str">
        <f>IFERROR(__xludf.DUMMYFUNCTION("GOOGLETRANSLATE(B1862,""en"",""it"")"),"Una donna dai capelli marroni in piedi in un mucchio di ciambelle galleggianti sta tenendo un microfono e parla, e altre clip iniziano a suonare che includono scenari del lago, intervistando varie persone e entrambi i sessi, persone che camminano con le l"&amp;"oro ciambelle galleggianti, segni contro il Lago, persone che si divertono ed eccetera.")</f>
        <v>Una donna dai capelli marroni in piedi in un mucchio di ciambelle galleggianti sta tenendo un microfono e parla, e altre clip iniziano a suonare che includono scenari del lago, intervistando varie persone e entrambi i sessi, persone che camminano con le loro ciambelle galleggianti, segni contro il Lago, persone che si divertono ed eccetera.</v>
      </c>
    </row>
    <row r="1863">
      <c r="A1863" s="4" t="s">
        <v>2339</v>
      </c>
      <c r="B1863" s="4" t="s">
        <v>2343</v>
      </c>
      <c r="C1863" s="5" t="str">
        <f>IFERROR(__xludf.DUMMYFUNCTION("GOOGLETRANSLATE(B1863,""en"",""it"")"),"La donna è ora seduta in una ciambella galleggiante verde, tiene ancora il microfono e continua a parlare.")</f>
        <v>La donna è ora seduta in una ciambella galleggiante verde, tiene ancora il microfono e continua a parlare.</v>
      </c>
    </row>
    <row r="1864">
      <c r="A1864" s="4" t="s">
        <v>2339</v>
      </c>
      <c r="B1864" s="6" t="s">
        <v>2344</v>
      </c>
      <c r="C1864" s="5" t="str">
        <f>IFERROR(__xludf.DUMMYFUNCTION("GOOGLETRANSLATE(B1864,""en"",""it"")"),"Viene visualizzato uno schermo bianco con un logo marrone e bianco, quindi cambia in un altro schermo bianco che ha un sito Web blu nel mezzo.")</f>
        <v>Viene visualizzato uno schermo bianco con un logo marrone e bianco, quindi cambia in un altro schermo bianco che ha un sito Web blu nel mezzo.</v>
      </c>
    </row>
    <row r="1865">
      <c r="A1865" s="4" t="s">
        <v>2345</v>
      </c>
      <c r="B1865" s="4" t="s">
        <v>2346</v>
      </c>
      <c r="C1865" s="5" t="str">
        <f>IFERROR(__xludf.DUMMYFUNCTION("GOOGLETRANSLATE(B1865,""en"",""it"")"),"Gli uomini viaggiano su un aereo e arriva in cima a una montagna.")</f>
        <v>Gli uomini viaggiano su un aereo e arriva in cima a una montagna.</v>
      </c>
    </row>
    <row r="1866">
      <c r="A1866" s="4" t="s">
        <v>2345</v>
      </c>
      <c r="B1866" s="4" t="s">
        <v>2347</v>
      </c>
      <c r="C1866" s="5" t="str">
        <f>IFERROR(__xludf.DUMMYFUNCTION("GOOGLETRANSLATE(B1866,""en"",""it"")"),"Quindi, gli uomini scendono dall'aereo e sciano giù per la collina.")</f>
        <v>Quindi, gli uomini scendono dall'aereo e sciano giù per la collina.</v>
      </c>
    </row>
    <row r="1867">
      <c r="A1867" s="4" t="s">
        <v>2345</v>
      </c>
      <c r="B1867" s="4" t="s">
        <v>2348</v>
      </c>
      <c r="C1867" s="5" t="str">
        <f>IFERROR(__xludf.DUMMYFUNCTION("GOOGLETRANSLATE(B1867,""en"",""it"")"),"Una persona sciare dietro un uomo lungo il pendio della montagna.")</f>
        <v>Una persona sciare dietro un uomo lungo il pendio della montagna.</v>
      </c>
    </row>
    <row r="1868">
      <c r="A1868" s="4" t="s">
        <v>2345</v>
      </c>
      <c r="B1868" s="4" t="s">
        <v>2349</v>
      </c>
      <c r="C1868" s="5" t="str">
        <f>IFERROR(__xludf.DUMMYFUNCTION("GOOGLETRANSLATE(B1868,""en"",""it"")"),"Una rimozione della neve elimina la neve della strada.")</f>
        <v>Una rimozione della neve elimina la neve della strada.</v>
      </c>
    </row>
    <row r="1869">
      <c r="A1869" s="4" t="s">
        <v>2345</v>
      </c>
      <c r="B1869" s="4" t="s">
        <v>2350</v>
      </c>
      <c r="C1869" s="5" t="str">
        <f>IFERROR(__xludf.DUMMYFUNCTION("GOOGLETRANSLATE(B1869,""en"",""it"")"),"Dopo, gli uomini sciano giù per la collina nel mezzo degli alberi.")</f>
        <v>Dopo, gli uomini sciano giù per la collina nel mezzo degli alberi.</v>
      </c>
    </row>
    <row r="1870">
      <c r="A1870" s="4" t="s">
        <v>2345</v>
      </c>
      <c r="B1870" s="4" t="s">
        <v>2351</v>
      </c>
      <c r="C1870" s="5" t="str">
        <f>IFERROR(__xludf.DUMMYFUNCTION("GOOGLETRANSLATE(B1870,""en"",""it"")"),"Gli uomini sciano in una zona di legno che è irregolare.")</f>
        <v>Gli uomini sciano in una zona di legno che è irregolare.</v>
      </c>
    </row>
    <row r="1871">
      <c r="A1871" s="4" t="s">
        <v>2352</v>
      </c>
      <c r="B1871" s="6" t="s">
        <v>2353</v>
      </c>
      <c r="C1871" s="5" t="str">
        <f>IFERROR(__xludf.DUMMYFUNCTION("GOOGLETRANSLATE(B1871,""en"",""it"")"),"Una ginnasta che indossa un climi di outfit blu sul raggio di equilibrio e esegue un supporto a mano con una divisione in una competizione di fronte a un'enorme bandiera americana.")</f>
        <v>Una ginnasta che indossa un climi di outfit blu sul raggio di equilibrio e esegue un supporto a mano con una divisione in una competizione di fronte a un'enorme bandiera americana.</v>
      </c>
    </row>
    <row r="1872">
      <c r="A1872" s="4" t="s">
        <v>2352</v>
      </c>
      <c r="B1872" s="6" t="s">
        <v>2354</v>
      </c>
      <c r="C1872" s="5" t="str">
        <f>IFERROR(__xludf.DUMMYFUNCTION("GOOGLETRANSLATE(B1872,""en"",""it"")"),"La ginnasta procede sul raggio di bilanciamento e esegue una capriola anteriore e poi tre capriole consecutive all'indietro di seguito.")</f>
        <v>La ginnasta procede sul raggio di bilanciamento e esegue una capriola anteriore e poi tre capriole consecutive all'indietro di seguito.</v>
      </c>
    </row>
    <row r="1873">
      <c r="A1873" s="4" t="s">
        <v>2352</v>
      </c>
      <c r="B1873" s="6" t="s">
        <v>2355</v>
      </c>
      <c r="C1873" s="5" t="str">
        <f>IFERROR(__xludf.DUMMYFUNCTION("GOOGLETRANSLATE(B1873,""en"",""it"")"),"La ginnasta continua con la sua esibizione sul bar parallelo con mosse di spin, mosse di salto e mosse di danza.")</f>
        <v>La ginnasta continua con la sua esibizione sul bar parallelo con mosse di spin, mosse di salto e mosse di danza.</v>
      </c>
    </row>
    <row r="1874">
      <c r="A1874" s="4" t="s">
        <v>2352</v>
      </c>
      <c r="B1874" s="6" t="s">
        <v>2356</v>
      </c>
      <c r="C1874" s="5" t="str">
        <f>IFERROR(__xludf.DUMMYFUNCTION("GOOGLETRANSLATE(B1874,""en"",""it"")"),"La ginnasta si prepara per lo smontaggio a un'estremità del bar parallelo fa una Somersault in avanti nella barra parallela e una capriola con una rotazione e atterra perfettamente lo smontaggio.")</f>
        <v>La ginnasta si prepara per lo smontaggio a un'estremità del bar parallelo fa una Somersault in avanti nella barra parallela e una capriola con una rotazione e atterra perfettamente lo smontaggio.</v>
      </c>
    </row>
    <row r="1875">
      <c r="A1875" s="4" t="s">
        <v>2357</v>
      </c>
      <c r="B1875" s="4" t="s">
        <v>2358</v>
      </c>
      <c r="C1875" s="5" t="str">
        <f>IFERROR(__xludf.DUMMYFUNCTION("GOOGLETRANSLATE(B1875,""en"",""it"")"),"Un gruppo di uomini è raccolto in un cerchio in una stanza.")</f>
        <v>Un gruppo di uomini è raccolto in un cerchio in una stanza.</v>
      </c>
    </row>
    <row r="1876">
      <c r="A1876" s="4" t="s">
        <v>2357</v>
      </c>
      <c r="B1876" s="4" t="s">
        <v>2359</v>
      </c>
      <c r="C1876" s="5" t="str">
        <f>IFERROR(__xludf.DUMMYFUNCTION("GOOGLETRANSLATE(B1876,""en"",""it"")"),"Si stringono le mani l'un l'altro, quindi iniziano a combattere sul ring delle persone.")</f>
        <v>Si stringono le mani l'un l'altro, quindi iniziano a combattere sul ring delle persone.</v>
      </c>
    </row>
    <row r="1877">
      <c r="A1877" s="4" t="s">
        <v>2357</v>
      </c>
      <c r="B1877" s="4" t="s">
        <v>2360</v>
      </c>
      <c r="C1877" s="5" t="str">
        <f>IFERROR(__xludf.DUMMYFUNCTION("GOOGLETRANSLATE(B1877,""en"",""it"")"),"Girano e calciano, non si colpiscono mai a vicenda.")</f>
        <v>Girano e calciano, non si colpiscono mai a vicenda.</v>
      </c>
    </row>
    <row r="1878">
      <c r="A1878" s="4" t="s">
        <v>2357</v>
      </c>
      <c r="B1878" s="4" t="s">
        <v>2361</v>
      </c>
      <c r="C1878" s="5" t="str">
        <f>IFERROR(__xludf.DUMMYFUNCTION("GOOGLETRANSLATE(B1878,""en"",""it"")"),"Quando finiscono, il gruppo si riunisce, applaudendo come gruppo.")</f>
        <v>Quando finiscono, il gruppo si riunisce, applaudendo come gruppo.</v>
      </c>
    </row>
    <row r="1879">
      <c r="A1879" s="4" t="s">
        <v>2362</v>
      </c>
      <c r="B1879" s="4" t="s">
        <v>2363</v>
      </c>
      <c r="C1879" s="5" t="str">
        <f>IFERROR(__xludf.DUMMYFUNCTION("GOOGLETRANSLATE(B1879,""en"",""it"")"),"Una persona mette materiale di tenuta attorno a assi d'acciaio e un tetto.")</f>
        <v>Una persona mette materiale di tenuta attorno a assi d'acciaio e un tetto.</v>
      </c>
    </row>
    <row r="1880">
      <c r="A1880" s="4" t="s">
        <v>2362</v>
      </c>
      <c r="B1880" s="4" t="s">
        <v>2364</v>
      </c>
      <c r="C1880" s="5" t="str">
        <f>IFERROR(__xludf.DUMMYFUNCTION("GOOGLETRANSLATE(B1880,""en"",""it"")"),"Quindi, l'uomo dipinge un tetto con vernice nera.")</f>
        <v>Quindi, l'uomo dipinge un tetto con vernice nera.</v>
      </c>
    </row>
    <row r="1881">
      <c r="A1881" s="4" t="s">
        <v>2365</v>
      </c>
      <c r="B1881" s="4" t="s">
        <v>2366</v>
      </c>
      <c r="C1881" s="5" t="str">
        <f>IFERROR(__xludf.DUMMYFUNCTION("GOOGLETRANSLATE(B1881,""en"",""it"")"),"Un ragazzo sta su un tabellone da immersione in piscina in una competizione olimpica.")</f>
        <v>Un ragazzo sta su un tabellone da immersione in piscina in una competizione olimpica.</v>
      </c>
    </row>
    <row r="1882">
      <c r="A1882" s="4" t="s">
        <v>2365</v>
      </c>
      <c r="B1882" s="4" t="s">
        <v>2367</v>
      </c>
      <c r="C1882" s="5" t="str">
        <f>IFERROR(__xludf.DUMMYFUNCTION("GOOGLETRANSLATE(B1882,""en"",""it"")"),"Quindi, il ragazzo salta e fa quattro lancia in aria e cade in acqua.")</f>
        <v>Quindi, il ragazzo salta e fa quattro lancia in aria e cade in acqua.</v>
      </c>
    </row>
    <row r="1883">
      <c r="A1883" s="4" t="s">
        <v>2365</v>
      </c>
      <c r="B1883" s="4" t="s">
        <v>2368</v>
      </c>
      <c r="C1883" s="5" t="str">
        <f>IFERROR(__xludf.DUMMYFUNCTION("GOOGLETRANSLATE(B1883,""en"",""it"")"),"La folla applaude al ragazzo che tiene bandiere britanniche.")</f>
        <v>La folla applaude al ragazzo che tiene bandiere britanniche.</v>
      </c>
    </row>
    <row r="1884">
      <c r="A1884" s="4" t="s">
        <v>2365</v>
      </c>
      <c r="B1884" s="4" t="s">
        <v>2369</v>
      </c>
      <c r="C1884" s="5" t="str">
        <f>IFERROR(__xludf.DUMMYFUNCTION("GOOGLETRANSLATE(B1884,""en"",""it"")"),"Un uomo abbraccia il ragazzo che sembra felice e il ragazzo va in giro.")</f>
        <v>Un uomo abbraccia il ragazzo che sembra felice e il ragazzo va in giro.</v>
      </c>
    </row>
    <row r="1885">
      <c r="A1885" s="4" t="s">
        <v>2365</v>
      </c>
      <c r="B1885" s="4" t="s">
        <v>2370</v>
      </c>
      <c r="C1885" s="5" t="str">
        <f>IFERROR(__xludf.DUMMYFUNCTION("GOOGLETRANSLATE(B1885,""en"",""it"")"),"Il ragazzo salta da una tavola da immersione e fa quattro lancia in aria prima di entrare in acqua.")</f>
        <v>Il ragazzo salta da una tavola da immersione e fa quattro lancia in aria prima di entrare in acqua.</v>
      </c>
    </row>
    <row r="1886">
      <c r="A1886" s="4" t="s">
        <v>2371</v>
      </c>
      <c r="B1886" s="6" t="s">
        <v>2372</v>
      </c>
      <c r="C1886" s="5" t="str">
        <f>IFERROR(__xludf.DUMMYFUNCTION("GOOGLETRANSLATE(B1886,""en"",""it"")"),"Il video inizia con diversi scatti di persone che cavalcano lunghe strade sugli skateboard in movimento veloce e lento.")</f>
        <v>Il video inizia con diversi scatti di persone che cavalcano lunghe strade sugli skateboard in movimento veloce e lento.</v>
      </c>
    </row>
    <row r="1887">
      <c r="A1887" s="4" t="s">
        <v>2371</v>
      </c>
      <c r="B1887" s="6" t="s">
        <v>2373</v>
      </c>
      <c r="C1887" s="5" t="str">
        <f>IFERROR(__xludf.DUMMYFUNCTION("GOOGLETRANSLATE(B1887,""en"",""it"")"),"Le persone eseguono vari salti e trucchi lungo queste strade lunghe e tortuose e mostra il pensionante che parla nella telecamera.")</f>
        <v>Le persone eseguono vari salti e trucchi lungo queste strade lunghe e tortuose e mostra il pensionante che parla nella telecamera.</v>
      </c>
    </row>
    <row r="1888">
      <c r="A1888" s="4" t="s">
        <v>2374</v>
      </c>
      <c r="B1888" s="4" t="s">
        <v>2375</v>
      </c>
      <c r="C1888" s="5" t="str">
        <f>IFERROR(__xludf.DUMMYFUNCTION("GOOGLETRANSLATE(B1888,""en"",""it"")"),"Un gruppo di pesci nuota nel fondo dell'oceano.")</f>
        <v>Un gruppo di pesci nuota nel fondo dell'oceano.</v>
      </c>
    </row>
    <row r="1889">
      <c r="A1889" s="4" t="s">
        <v>2374</v>
      </c>
      <c r="B1889" s="4" t="s">
        <v>2376</v>
      </c>
      <c r="C1889" s="5" t="str">
        <f>IFERROR(__xludf.DUMMYFUNCTION("GOOGLETRANSLATE(B1889,""en"",""it"")"),"Un lungo pesce giallo passa la fotocamera.")</f>
        <v>Un lungo pesce giallo passa la fotocamera.</v>
      </c>
    </row>
    <row r="1890">
      <c r="A1890" s="4" t="s">
        <v>2374</v>
      </c>
      <c r="B1890" s="4" t="s">
        <v>2377</v>
      </c>
      <c r="C1890" s="5" t="str">
        <f>IFERROR(__xludf.DUMMYFUNCTION("GOOGLETRANSLATE(B1890,""en"",""it"")"),"I subacquei si radunano su una barca mentre un uomo parla.")</f>
        <v>I subacquei si radunano su una barca mentre un uomo parla.</v>
      </c>
    </row>
    <row r="1891">
      <c r="A1891" s="4" t="s">
        <v>2374</v>
      </c>
      <c r="B1891" s="4" t="s">
        <v>2378</v>
      </c>
      <c r="C1891" s="5" t="str">
        <f>IFERROR(__xludf.DUMMYFUNCTION("GOOGLETRANSLATE(B1891,""en"",""it"")"),"Vediamo diversi pesci e uno squalo.")</f>
        <v>Vediamo diversi pesci e uno squalo.</v>
      </c>
    </row>
    <row r="1892">
      <c r="A1892" s="4" t="s">
        <v>2374</v>
      </c>
      <c r="B1892" s="4" t="s">
        <v>2379</v>
      </c>
      <c r="C1892" s="5" t="str">
        <f>IFERROR(__xludf.DUMMYFUNCTION("GOOGLETRANSLATE(B1892,""en"",""it"")"),"I subacquei subacquei si tuffano, guardando il pesce e salutando la telecamera.")</f>
        <v>I subacquei subacquei si tuffano, guardando il pesce e salutando la telecamera.</v>
      </c>
    </row>
    <row r="1893">
      <c r="A1893" s="4" t="s">
        <v>2380</v>
      </c>
      <c r="B1893" s="6" t="s">
        <v>2381</v>
      </c>
      <c r="C1893" s="5" t="str">
        <f>IFERROR(__xludf.DUMMYFUNCTION("GOOGLETRANSLATE(B1893,""en"",""it"")"),"Un ragazzo effettua riparazioni a una bicicletta smontata con l'uso di una saldatura in un cortile vicino ai gradini posteriori di una casa.")</f>
        <v>Un ragazzo effettua riparazioni a una bicicletta smontata con l'uso di una saldatura in un cortile vicino ai gradini posteriori di una casa.</v>
      </c>
    </row>
    <row r="1894">
      <c r="A1894" s="4" t="s">
        <v>2380</v>
      </c>
      <c r="B1894" s="6" t="s">
        <v>2382</v>
      </c>
      <c r="C1894" s="5" t="str">
        <f>IFERROR(__xludf.DUMMYFUNCTION("GOOGLETRANSLATE(B1894,""en"",""it"")"),"Un ragazzo entra in scena e tira su un paio di guanti mentre indossa una maschera protettiva sportiva, si accende su una macchina blu sui gradini posteriori e raccoglie una saldatura.")</f>
        <v>Un ragazzo entra in scena e tira su un paio di guanti mentre indossa una maschera protettiva sportiva, si accende su una macchina blu sui gradini posteriori e raccoglie una saldatura.</v>
      </c>
    </row>
    <row r="1895">
      <c r="A1895" s="4" t="s">
        <v>2380</v>
      </c>
      <c r="B1895" s="4" t="s">
        <v>2383</v>
      </c>
      <c r="C1895" s="5" t="str">
        <f>IFERROR(__xludf.DUMMYFUNCTION("GOOGLETRANSLATE(B1895,""en"",""it"")"),"Il ragazzo inizia quindi a saldare una bicicletta smontata a terra in un cortile.")</f>
        <v>Il ragazzo inizia quindi a saldare una bicicletta smontata a terra in un cortile.</v>
      </c>
    </row>
    <row r="1896">
      <c r="A1896" s="4" t="s">
        <v>2380</v>
      </c>
      <c r="B1896" s="4" t="s">
        <v>2384</v>
      </c>
      <c r="C1896" s="5" t="str">
        <f>IFERROR(__xludf.DUMMYFUNCTION("GOOGLETRANSLATE(B1896,""en"",""it"")"),"Il ragazzo poi si alza e esce dalla scena dopo aver sollevato il coperchio sulla sua maschera.")</f>
        <v>Il ragazzo poi si alza e esce dalla scena dopo aver sollevato il coperchio sulla sua maschera.</v>
      </c>
    </row>
    <row r="1897">
      <c r="A1897" s="4" t="s">
        <v>2385</v>
      </c>
      <c r="B1897" s="4" t="s">
        <v>2386</v>
      </c>
      <c r="C1897" s="5" t="str">
        <f>IFERROR(__xludf.DUMMYFUNCTION("GOOGLETRANSLATE(B1897,""en"",""it"")"),"La squadra di cricket dello Sri Lanka sta giocando contro un altro paese.")</f>
        <v>La squadra di cricket dello Sri Lanka sta giocando contro un altro paese.</v>
      </c>
    </row>
    <row r="1898">
      <c r="A1898" s="4" t="s">
        <v>2385</v>
      </c>
      <c r="B1898" s="4" t="s">
        <v>2387</v>
      </c>
      <c r="C1898" s="5" t="str">
        <f>IFERROR(__xludf.DUMMYFUNCTION("GOOGLETRANSLATE(B1898,""en"",""it"")"),"I cricket stanno giocando un gioco competitivo sul campo.")</f>
        <v>I cricket stanno giocando un gioco competitivo sul campo.</v>
      </c>
    </row>
    <row r="1899">
      <c r="A1899" s="4" t="s">
        <v>2385</v>
      </c>
      <c r="B1899" s="4" t="s">
        <v>2388</v>
      </c>
      <c r="C1899" s="5" t="str">
        <f>IFERROR(__xludf.DUMMYFUNCTION("GOOGLETRANSLATE(B1899,""en"",""it"")"),"La squadra dello Sri Lanka è rappresentata dall'uniforme blu.")</f>
        <v>La squadra dello Sri Lanka è rappresentata dall'uniforme blu.</v>
      </c>
    </row>
    <row r="1900">
      <c r="A1900" s="4" t="s">
        <v>2385</v>
      </c>
      <c r="B1900" s="4" t="s">
        <v>2389</v>
      </c>
      <c r="C1900" s="5" t="str">
        <f>IFERROR(__xludf.DUMMYFUNCTION("GOOGLETRANSLATE(B1900,""en"",""it"")"),"Il battitore segna quattro punti mentre il giocatore di bocce lancia una palla da mano.")</f>
        <v>Il battitore segna quattro punti mentre il giocatore di bocce lancia una palla da mano.</v>
      </c>
    </row>
    <row r="1901">
      <c r="A1901" s="4" t="s">
        <v>2385</v>
      </c>
      <c r="B1901" s="6" t="s">
        <v>2390</v>
      </c>
      <c r="C1901" s="5" t="str">
        <f>IFERROR(__xludf.DUMMYFUNCTION("GOOGLETRANSLATE(B1901,""en"",""it"")"),"Il video mostra diverse partite di cricket che si svolgono in cui lo Sri Lanka sta giocando contro squadre di diversi paesi.")</f>
        <v>Il video mostra diverse partite di cricket che si svolgono in cui lo Sri Lanka sta giocando contro squadre di diversi paesi.</v>
      </c>
    </row>
    <row r="1902">
      <c r="A1902" s="4" t="s">
        <v>2385</v>
      </c>
      <c r="B1902" s="4" t="s">
        <v>2391</v>
      </c>
      <c r="C1902" s="5" t="str">
        <f>IFERROR(__xludf.DUMMYFUNCTION("GOOGLETRANSLATE(B1902,""en"",""it"")"),"Lo stadio è pieno di spettatori che tifano per i giocatori di cricket.")</f>
        <v>Lo stadio è pieno di spettatori che tifano per i giocatori di cricket.</v>
      </c>
    </row>
    <row r="1903">
      <c r="A1903" s="4" t="s">
        <v>2385</v>
      </c>
      <c r="B1903" s="4" t="s">
        <v>2392</v>
      </c>
      <c r="C1903" s="5" t="str">
        <f>IFERROR(__xludf.DUMMYFUNCTION("GOOGLETRANSLATE(B1903,""en"",""it"")"),"La partita va in pieno svolgimento mentre i battitori segnano quattro punti.")</f>
        <v>La partita va in pieno svolgimento mentre i battitori segnano quattro punti.</v>
      </c>
    </row>
    <row r="1904">
      <c r="A1904" s="4" t="s">
        <v>2385</v>
      </c>
      <c r="B1904" s="6" t="s">
        <v>2393</v>
      </c>
      <c r="C1904" s="5" t="str">
        <f>IFERROR(__xludf.DUMMYFUNCTION("GOOGLETRANSLATE(B1904,""en"",""it"")"),"Il difensore corre per catturare la palla dopo che il battitore lo colpisce in alto, quasi catturando la palla per renderlo pulito audace.")</f>
        <v>Il difensore corre per catturare la palla dopo che il battitore lo colpisce in alto, quasi catturando la palla per renderlo pulito audace.</v>
      </c>
    </row>
    <row r="1905">
      <c r="A1905" s="4" t="s">
        <v>2394</v>
      </c>
      <c r="B1905" s="4" t="s">
        <v>2395</v>
      </c>
      <c r="C1905" s="5" t="str">
        <f>IFERROR(__xludf.DUMMYFUNCTION("GOOGLETRANSLATE(B1905,""en"",""it"")"),"Una macchina fotografica è tenuta da qualcuno sott'acqua e nuotare nell'oceano.")</f>
        <v>Una macchina fotografica è tenuta da qualcuno sott'acqua e nuotare nell'oceano.</v>
      </c>
    </row>
    <row r="1906">
      <c r="A1906" s="4" t="s">
        <v>2394</v>
      </c>
      <c r="B1906" s="4" t="s">
        <v>2396</v>
      </c>
      <c r="C1906" s="5" t="str">
        <f>IFERROR(__xludf.DUMMYFUNCTION("GOOGLETRANSLATE(B1906,""en"",""it"")"),"Si accarta in diversi colpi di uomini che giocano a calcio su una spiaggia e calciano la palla.")</f>
        <v>Si accarta in diversi colpi di uomini che giocano a calcio su una spiaggia e calciano la palla.</v>
      </c>
    </row>
    <row r="1907">
      <c r="A1907" s="4" t="s">
        <v>2394</v>
      </c>
      <c r="B1907" s="4" t="s">
        <v>2397</v>
      </c>
      <c r="C1907" s="5" t="str">
        <f>IFERROR(__xludf.DUMMYFUNCTION("GOOGLETRANSLATE(B1907,""en"",""it"")"),"La fotocamera si panoramica sopra la palla seguita da molti altri scatti dell'uomo che gioca.")</f>
        <v>La fotocamera si panoramica sopra la palla seguita da molti altri scatti dell'uomo che gioca.</v>
      </c>
    </row>
    <row r="1908">
      <c r="A1908" s="4" t="s">
        <v>2398</v>
      </c>
      <c r="B1908" s="4" t="s">
        <v>2399</v>
      </c>
      <c r="C1908" s="5" t="str">
        <f>IFERROR(__xludf.DUMMYFUNCTION("GOOGLETRANSLATE(B1908,""en"",""it"")"),"Viene mostrata una grande roccia seguita da persone che si muovono attorno agli oggetti e che portano in un nuovo segmento.")</f>
        <v>Viene mostrata una grande roccia seguita da persone che si muovono attorno agli oggetti e che portano in un nuovo segmento.</v>
      </c>
    </row>
    <row r="1909">
      <c r="A1909" s="4" t="s">
        <v>2398</v>
      </c>
      <c r="B1909" s="4" t="s">
        <v>2400</v>
      </c>
      <c r="C1909" s="5" t="str">
        <f>IFERROR(__xludf.DUMMYFUNCTION("GOOGLETRANSLATE(B1909,""en"",""it"")"),"Viene quindi visto un uomo tagliare una zucca mentre una donna parla e conduce in un rapporto meteorologico.")</f>
        <v>Viene quindi visto un uomo tagliare una zucca mentre una donna parla e conduce in un rapporto meteorologico.</v>
      </c>
    </row>
    <row r="1910">
      <c r="A1910" s="4" t="s">
        <v>2398</v>
      </c>
      <c r="B1910" s="4" t="s">
        <v>2401</v>
      </c>
      <c r="C1910" s="5" t="str">
        <f>IFERROR(__xludf.DUMMYFUNCTION("GOOGLETRANSLATE(B1910,""en"",""it"")"),"L'uomo mostra quindi la zucca attorno a un gruppo di persone e da vicino.")</f>
        <v>L'uomo mostra quindi la zucca attorno a un gruppo di persone e da vicino.</v>
      </c>
    </row>
    <row r="1911">
      <c r="A1911" s="4" t="s">
        <v>2402</v>
      </c>
      <c r="B1911" s="6" t="s">
        <v>2403</v>
      </c>
      <c r="C1911" s="5" t="str">
        <f>IFERROR(__xludf.DUMMYFUNCTION("GOOGLETRANSLATE(B1911,""en"",""it"")"),"Uno skateboarder maschio sta pattinando, saltò sulla ringhiera e poi scivolò e cadde sulla schiena e una mano lo aiutò.")</f>
        <v>Uno skateboarder maschio sta pattinando, saltò sulla ringhiera e poi scivolò e cadde sulla schiena e una mano lo aiutò.</v>
      </c>
    </row>
    <row r="1912">
      <c r="A1912" s="4" t="s">
        <v>2402</v>
      </c>
      <c r="B1912" s="4" t="s">
        <v>2404</v>
      </c>
      <c r="C1912" s="5" t="str">
        <f>IFERROR(__xludf.DUMMYFUNCTION("GOOGLETRANSLATE(B1912,""en"",""it"")"),"Un ragazzo saltò su una piattaforma con il suo skateboard e scivolò e cadde.")</f>
        <v>Un ragazzo saltò su una piattaforma con il suo skateboard e scivolò e cadde.</v>
      </c>
    </row>
    <row r="1913">
      <c r="A1913" s="4" t="s">
        <v>2402</v>
      </c>
      <c r="B1913" s="4" t="s">
        <v>2405</v>
      </c>
      <c r="C1913" s="5" t="str">
        <f>IFERROR(__xludf.DUMMYFUNCTION("GOOGLETRANSLATE(B1913,""en"",""it"")"),"Gli skateboarder saltarono sulla piattaforma o sulle ringhiere e scivolarono e caddero a terra.")</f>
        <v>Gli skateboarder saltarono sulla piattaforma o sulle ringhiere e scivolarono e caddero a terra.</v>
      </c>
    </row>
    <row r="1914">
      <c r="A1914" s="4" t="s">
        <v>2406</v>
      </c>
      <c r="B1914" s="4" t="s">
        <v>2407</v>
      </c>
      <c r="C1914" s="5" t="str">
        <f>IFERROR(__xludf.DUMMYFUNCTION("GOOGLETRANSLATE(B1914,""en"",""it"")"),"Una famiglia parla di preparare cibo sano.")</f>
        <v>Una famiglia parla di preparare cibo sano.</v>
      </c>
    </row>
    <row r="1915">
      <c r="A1915" s="4" t="s">
        <v>2406</v>
      </c>
      <c r="B1915" s="4" t="s">
        <v>2408</v>
      </c>
      <c r="C1915" s="5" t="str">
        <f>IFERROR(__xludf.DUMMYFUNCTION("GOOGLETRANSLATE(B1915,""en"",""it"")"),"Iniziano facendo frullati e leggono gli ingredienti di zucchero di cocco.")</f>
        <v>Iniziano facendo frullati e leggono gli ingredienti di zucchero di cocco.</v>
      </c>
    </row>
    <row r="1916">
      <c r="A1916" s="4" t="s">
        <v>2406</v>
      </c>
      <c r="B1916" s="4" t="s">
        <v>2409</v>
      </c>
      <c r="C1916" s="5" t="str">
        <f>IFERROR(__xludf.DUMMYFUNCTION("GOOGLETRANSLATE(B1916,""en"",""it"")"),"Fruggono il cibo e preparano il cibo e poi fondono il frullato.")</f>
        <v>Fruggono il cibo e preparano il cibo e poi fondono il frullato.</v>
      </c>
    </row>
    <row r="1917">
      <c r="A1917" s="4" t="s">
        <v>2410</v>
      </c>
      <c r="B1917" s="4" t="s">
        <v>2411</v>
      </c>
      <c r="C1917" s="5" t="str">
        <f>IFERROR(__xludf.DUMMYFUNCTION("GOOGLETRANSLATE(B1917,""en"",""it"")"),"Un uomo e una donna bevono caffè fuori accanto a un camper.")</f>
        <v>Un uomo e una donna bevono caffè fuori accanto a un camper.</v>
      </c>
    </row>
    <row r="1918">
      <c r="A1918" s="4" t="s">
        <v>2410</v>
      </c>
      <c r="B1918" s="4" t="s">
        <v>2412</v>
      </c>
      <c r="C1918" s="5" t="str">
        <f>IFERROR(__xludf.DUMMYFUNCTION("GOOGLETRANSLATE(B1918,""en"",""it"")"),"L'uomo suona la chitarra.")</f>
        <v>L'uomo suona la chitarra.</v>
      </c>
    </row>
    <row r="1919">
      <c r="A1919" s="4" t="s">
        <v>2410</v>
      </c>
      <c r="B1919" s="4" t="s">
        <v>2413</v>
      </c>
      <c r="C1919" s="5" t="str">
        <f>IFERROR(__xludf.DUMMYFUNCTION("GOOGLETRANSLATE(B1919,""en"",""it"")"),"La donna cammina verso la telecamera e inizia a mostrare i documenti di carta.")</f>
        <v>La donna cammina verso la telecamera e inizia a mostrare i documenti di carta.</v>
      </c>
    </row>
    <row r="1920">
      <c r="A1920" s="4" t="s">
        <v>2410</v>
      </c>
      <c r="B1920" s="4" t="s">
        <v>2414</v>
      </c>
      <c r="C1920" s="5" t="str">
        <f>IFERROR(__xludf.DUMMYFUNCTION("GOOGLETRANSLATE(B1920,""en"",""it"")"),"Lancia i documenti e torna all'uomo.")</f>
        <v>Lancia i documenti e torna all'uomo.</v>
      </c>
    </row>
    <row r="1921">
      <c r="A1921" s="4" t="s">
        <v>2415</v>
      </c>
      <c r="B1921" s="4" t="s">
        <v>2416</v>
      </c>
      <c r="C1921" s="5" t="str">
        <f>IFERROR(__xludf.DUMMYFUNCTION("GOOGLETRANSLATE(B1921,""en"",""it"")"),"Un ragazzo in una squadra lancia un basket contro altri membri della squadra.")</f>
        <v>Un ragazzo in una squadra lancia un basket contro altri membri della squadra.</v>
      </c>
    </row>
    <row r="1922">
      <c r="A1922" s="4" t="s">
        <v>2415</v>
      </c>
      <c r="B1922" s="4" t="s">
        <v>2417</v>
      </c>
      <c r="C1922" s="5" t="str">
        <f>IFERROR(__xludf.DUMMYFUNCTION("GOOGLETRANSLATE(B1922,""en"",""it"")"),"Altri si uniscono, alcuni cadono mentre vengono colpiti dalla palla.")</f>
        <v>Altri si uniscono, alcuni cadono mentre vengono colpiti dalla palla.</v>
      </c>
    </row>
    <row r="1923">
      <c r="A1923" s="4" t="s">
        <v>2418</v>
      </c>
      <c r="B1923" s="6" t="s">
        <v>2419</v>
      </c>
      <c r="C1923" s="5" t="str">
        <f>IFERROR(__xludf.DUMMYFUNCTION("GOOGLETRANSLATE(B1923,""en"",""it"")"),"Un uomo viene visto inginocchiarsi accanto a un cane che si strofina la schiena mentre un altro uomo versa acqua sul corpo del cane.")</f>
        <v>Un uomo viene visto inginocchiarsi accanto a un cane che si strofina la schiena mentre un altro uomo versa acqua sul corpo del cane.</v>
      </c>
    </row>
    <row r="1924">
      <c r="A1924" s="4" t="s">
        <v>2418</v>
      </c>
      <c r="B1924" s="4" t="s">
        <v>2420</v>
      </c>
      <c r="C1924" s="5" t="str">
        <f>IFERROR(__xludf.DUMMYFUNCTION("GOOGLETRANSLATE(B1924,""en"",""it"")"),"L'uomo continua a strofinarsi mentre l'altro versa acqua e finisce con il cane che scappa.")</f>
        <v>L'uomo continua a strofinarsi mentre l'altro versa acqua e finisce con il cane che scappa.</v>
      </c>
    </row>
    <row r="1925">
      <c r="A1925" s="4" t="s">
        <v>2421</v>
      </c>
      <c r="B1925" s="4" t="s">
        <v>2422</v>
      </c>
      <c r="C1925" s="5" t="str">
        <f>IFERROR(__xludf.DUMMYFUNCTION("GOOGLETRANSLATE(B1925,""en"",""it"")"),"Una donna si sfiora i capelli lunghi a casa.")</f>
        <v>Una donna si sfiora i capelli lunghi a casa.</v>
      </c>
    </row>
    <row r="1926">
      <c r="A1926" s="4" t="s">
        <v>2421</v>
      </c>
      <c r="B1926" s="4" t="s">
        <v>2423</v>
      </c>
      <c r="C1926" s="5" t="str">
        <f>IFERROR(__xludf.DUMMYFUNCTION("GOOGLETRANSLATE(B1926,""en"",""it"")"),"La donna si siede sul divano.")</f>
        <v>La donna si siede sul divano.</v>
      </c>
    </row>
    <row r="1927">
      <c r="A1927" s="4" t="s">
        <v>2421</v>
      </c>
      <c r="B1927" s="4" t="s">
        <v>2424</v>
      </c>
      <c r="C1927" s="5" t="str">
        <f>IFERROR(__xludf.DUMMYFUNCTION("GOOGLETRANSLATE(B1927,""en"",""it"")"),"La donna si alza e si allontana.")</f>
        <v>La donna si alza e si allontana.</v>
      </c>
    </row>
    <row r="1928">
      <c r="A1928" s="4" t="s">
        <v>2421</v>
      </c>
      <c r="B1928" s="4" t="s">
        <v>2425</v>
      </c>
      <c r="C1928" s="5" t="str">
        <f>IFERROR(__xludf.DUMMYFUNCTION("GOOGLETRANSLATE(B1928,""en"",""it"")"),"La persona gira le passeggiate fuori vista.")</f>
        <v>La persona gira le passeggiate fuori vista.</v>
      </c>
    </row>
    <row r="1929">
      <c r="A1929" s="4" t="s">
        <v>2426</v>
      </c>
      <c r="B1929" s="4" t="s">
        <v>2427</v>
      </c>
      <c r="C1929" s="5" t="str">
        <f>IFERROR(__xludf.DUMMYFUNCTION("GOOGLETRANSLATE(B1929,""en"",""it"")"),"Molti dessert sono in una cintura scorrevole in un bancone.")</f>
        <v>Molti dessert sono in una cintura scorrevole in un bancone.</v>
      </c>
    </row>
    <row r="1930">
      <c r="A1930" s="4" t="s">
        <v>2426</v>
      </c>
      <c r="B1930" s="4" t="s">
        <v>2428</v>
      </c>
      <c r="C1930" s="5" t="str">
        <f>IFERROR(__xludf.DUMMYFUNCTION("GOOGLETRANSLATE(B1930,""en"",""it"")"),"Viene mostrato un tramonto in una spiaggia e in un lago.")</f>
        <v>Viene mostrato un tramonto in una spiaggia e in un lago.</v>
      </c>
    </row>
    <row r="1931">
      <c r="A1931" s="4" t="s">
        <v>2426</v>
      </c>
      <c r="B1931" s="4" t="s">
        <v>2429</v>
      </c>
      <c r="C1931" s="5" t="str">
        <f>IFERROR(__xludf.DUMMYFUNCTION("GOOGLETRANSLATE(B1931,""en"",""it"")"),"La gente sta facendo kayak in un lago che va nel lago con la vegetazione di Big Gren.")</f>
        <v>La gente sta facendo kayak in un lago che va nel lago con la vegetazione di Big Gren.</v>
      </c>
    </row>
    <row r="1932">
      <c r="A1932" s="4" t="s">
        <v>2430</v>
      </c>
      <c r="B1932" s="4" t="s">
        <v>2431</v>
      </c>
      <c r="C1932" s="5" t="str">
        <f>IFERROR(__xludf.DUMMYFUNCTION("GOOGLETRANSLATE(B1932,""en"",""it"")"),"A due giovani uomini vengono mostrati che tornano indietro e quarto in un campo che colpisce una palla da tennis.")</f>
        <v>A due giovani uomini vengono mostrati che tornano indietro e quarto in un campo che colpisce una palla da tennis.</v>
      </c>
    </row>
    <row r="1933">
      <c r="A1933" s="4" t="s">
        <v>2430</v>
      </c>
      <c r="B1933" s="4" t="s">
        <v>2432</v>
      </c>
      <c r="C1933" s="5" t="str">
        <f>IFERROR(__xludf.DUMMYFUNCTION("GOOGLETRANSLATE(B1933,""en"",""it"")"),"Continuano a colpire la palla contro il muro e inseguire la palla intorno.")</f>
        <v>Continuano a colpire la palla contro il muro e inseguire la palla intorno.</v>
      </c>
    </row>
    <row r="1934">
      <c r="A1934" s="4" t="s">
        <v>2430</v>
      </c>
      <c r="B1934" s="4" t="s">
        <v>2433</v>
      </c>
      <c r="C1934" s="5" t="str">
        <f>IFERROR(__xludf.DUMMYFUNCTION("GOOGLETRANSLATE(B1934,""en"",""it"")"),"Uno fa una pausa e colpisce la palla sulla sua racchetta e la lancia di nuovo per i ragazzi.")</f>
        <v>Uno fa una pausa e colpisce la palla sulla sua racchetta e la lancia di nuovo per i ragazzi.</v>
      </c>
    </row>
    <row r="1935">
      <c r="A1935" s="4" t="s">
        <v>2430</v>
      </c>
      <c r="B1935" s="4" t="s">
        <v>2434</v>
      </c>
      <c r="C1935" s="5" t="str">
        <f>IFERROR(__xludf.DUMMYFUNCTION("GOOGLETRANSLATE(B1935,""en"",""it"")"),"Uno cade a terra verso la fine e l'altro lo aiuta.")</f>
        <v>Uno cade a terra verso la fine e l'altro lo aiuta.</v>
      </c>
    </row>
    <row r="1936">
      <c r="A1936" s="4" t="s">
        <v>2435</v>
      </c>
      <c r="B1936" s="4" t="s">
        <v>2436</v>
      </c>
      <c r="C1936" s="5" t="str">
        <f>IFERROR(__xludf.DUMMYFUNCTION("GOOGLETRANSLATE(B1936,""en"",""it"")"),"Una donna parla alla telecamera mentre fa il bagno a un bambino nella vasca da bagno.")</f>
        <v>Una donna parla alla telecamera mentre fa il bagno a un bambino nella vasca da bagno.</v>
      </c>
    </row>
    <row r="1937">
      <c r="A1937" s="4" t="s">
        <v>2435</v>
      </c>
      <c r="B1937" s="4" t="s">
        <v>2437</v>
      </c>
      <c r="C1937" s="5" t="str">
        <f>IFERROR(__xludf.DUMMYFUNCTION("GOOGLETRANSLATE(B1937,""en"",""it"")"),"La donna dimostra un piccolo cuscinetto alla fotocamera.")</f>
        <v>La donna dimostra un piccolo cuscinetto alla fotocamera.</v>
      </c>
    </row>
    <row r="1938">
      <c r="A1938" s="4" t="s">
        <v>2435</v>
      </c>
      <c r="B1938" s="4" t="s">
        <v>2438</v>
      </c>
      <c r="C1938" s="5" t="str">
        <f>IFERROR(__xludf.DUMMYFUNCTION("GOOGLETRANSLATE(B1938,""en"",""it"")"),"La donna usa il cuscinetto sul bambino.")</f>
        <v>La donna usa il cuscinetto sul bambino.</v>
      </c>
    </row>
    <row r="1939">
      <c r="A1939" s="4" t="s">
        <v>2439</v>
      </c>
      <c r="B1939" s="4" t="s">
        <v>2440</v>
      </c>
      <c r="C1939" s="5" t="str">
        <f>IFERROR(__xludf.DUMMYFUNCTION("GOOGLETRANSLATE(B1939,""en"",""it"")"),"Alcune persone fluttuano sull'oceano su una zattera gialla.")</f>
        <v>Alcune persone fluttuano sull'oceano su una zattera gialla.</v>
      </c>
    </row>
    <row r="1940">
      <c r="A1940" s="4" t="s">
        <v>2439</v>
      </c>
      <c r="B1940" s="4" t="s">
        <v>2441</v>
      </c>
      <c r="C1940" s="5" t="str">
        <f>IFERROR(__xludf.DUMMYFUNCTION("GOOGLETRANSLATE(B1940,""en"",""it"")"),"Fluttuano da grandi rocce e scogliere.")</f>
        <v>Fluttuano da grandi rocce e scogliere.</v>
      </c>
    </row>
    <row r="1941">
      <c r="A1941" s="4" t="s">
        <v>2442</v>
      </c>
      <c r="B1941" s="4" t="s">
        <v>2443</v>
      </c>
      <c r="C1941" s="5" t="str">
        <f>IFERROR(__xludf.DUMMYFUNCTION("GOOGLETRANSLATE(B1941,""en"",""it"")"),"Un uomo è chinato su un tappetino.")</f>
        <v>Un uomo è chinato su un tappetino.</v>
      </c>
    </row>
    <row r="1942">
      <c r="A1942" s="4" t="s">
        <v>2442</v>
      </c>
      <c r="B1942" s="4" t="s">
        <v>2444</v>
      </c>
      <c r="C1942" s="5" t="str">
        <f>IFERROR(__xludf.DUMMYFUNCTION("GOOGLETRANSLATE(B1942,""en"",""it"")"),"Raccoglie un peso grande e se lo solleva sopra la testa.")</f>
        <v>Raccoglie un peso grande e se lo solleva sopra la testa.</v>
      </c>
    </row>
    <row r="1943">
      <c r="A1943" s="4" t="s">
        <v>2442</v>
      </c>
      <c r="B1943" s="4" t="s">
        <v>2445</v>
      </c>
      <c r="C1943" s="5" t="str">
        <f>IFERROR(__xludf.DUMMYFUNCTION("GOOGLETRANSLATE(B1943,""en"",""it"")"),"Fa cadere il peso a terra.")</f>
        <v>Fa cadere il peso a terra.</v>
      </c>
    </row>
    <row r="1944">
      <c r="A1944" s="4" t="s">
        <v>2442</v>
      </c>
      <c r="B1944" s="4" t="s">
        <v>2446</v>
      </c>
      <c r="C1944" s="5" t="str">
        <f>IFERROR(__xludf.DUMMYFUNCTION("GOOGLETRANSLATE(B1944,""en"",""it"")"),"Un uomo con una camicia blu applaude.")</f>
        <v>Un uomo con una camicia blu applaude.</v>
      </c>
    </row>
    <row r="1945">
      <c r="A1945" s="4" t="s">
        <v>2447</v>
      </c>
      <c r="B1945" s="4" t="s">
        <v>2448</v>
      </c>
      <c r="C1945" s="5" t="str">
        <f>IFERROR(__xludf.DUMMYFUNCTION("GOOGLETRANSLATE(B1945,""en"",""it"")"),"Questo bambino colpisce la palla e cade.")</f>
        <v>Questo bambino colpisce la palla e cade.</v>
      </c>
    </row>
    <row r="1946">
      <c r="A1946" s="4" t="s">
        <v>2447</v>
      </c>
      <c r="B1946" s="4" t="s">
        <v>2449</v>
      </c>
      <c r="C1946" s="5" t="str">
        <f>IFERROR(__xludf.DUMMYFUNCTION("GOOGLETRANSLATE(B1946,""en"",""it"")"),"Quindi si alza e afferra il bastone per tentare di colpire di nuovo la palla.")</f>
        <v>Quindi si alza e afferra il bastone per tentare di colpire di nuovo la palla.</v>
      </c>
    </row>
    <row r="1947">
      <c r="A1947" s="4" t="s">
        <v>2447</v>
      </c>
      <c r="B1947" s="6" t="s">
        <v>2450</v>
      </c>
      <c r="C1947" s="5" t="str">
        <f>IFERROR(__xludf.DUMMYFUNCTION("GOOGLETRANSLATE(B1947,""en"",""it"")"),"Successivamente cade di nuovo e si rialza mentre tiene il bastone e afferra la palla colpendola molto lontano.")</f>
        <v>Successivamente cade di nuovo e si rialza mentre tiene il bastone e afferra la palla colpendola molto lontano.</v>
      </c>
    </row>
    <row r="1948">
      <c r="A1948" s="4" t="s">
        <v>2451</v>
      </c>
      <c r="B1948" s="4" t="s">
        <v>2452</v>
      </c>
      <c r="C1948" s="5" t="str">
        <f>IFERROR(__xludf.DUMMYFUNCTION("GOOGLETRANSLATE(B1948,""en"",""it"")"),"Un genitore sta tatuando il loro bambino molto piccolo che sembra che abbia circa 3 anni.")</f>
        <v>Un genitore sta tatuando il loro bambino molto piccolo che sembra che abbia circa 3 anni.</v>
      </c>
    </row>
    <row r="1949">
      <c r="A1949" s="4" t="s">
        <v>2451</v>
      </c>
      <c r="B1949" s="6" t="s">
        <v>2453</v>
      </c>
      <c r="C1949" s="5" t="str">
        <f>IFERROR(__xludf.DUMMYFUNCTION("GOOGLETRANSLATE(B1949,""en"",""it"")"),"Sta piangendo perché fa male e la sua madre cattiva lo tiene trattenuto mentre si tatuano il braccio.")</f>
        <v>Sta piangendo perché fa male e la sua madre cattiva lo tiene trattenuto mentre si tatuano il braccio.</v>
      </c>
    </row>
    <row r="1950">
      <c r="A1950" s="4" t="s">
        <v>2451</v>
      </c>
      <c r="B1950" s="4" t="s">
        <v>2454</v>
      </c>
      <c r="C1950" s="5" t="str">
        <f>IFERROR(__xludf.DUMMYFUNCTION("GOOGLETRANSLATE(B1950,""en"",""it"")"),"Continuano con il tatuaggio è sulla parte superiore del braccio ma non puoi dire cosa stanno tatuando.")</f>
        <v>Continuano con il tatuaggio è sulla parte superiore del braccio ma non puoi dire cosa stanno tatuando.</v>
      </c>
    </row>
    <row r="1951">
      <c r="A1951" s="4" t="s">
        <v>2451</v>
      </c>
      <c r="B1951" s="4" t="s">
        <v>2455</v>
      </c>
      <c r="C1951" s="5" t="str">
        <f>IFERROR(__xludf.DUMMYFUNCTION("GOOGLETRANSLATE(B1951,""en"",""it"")"),"L'artista afferra qualcosa di verde e inizia a scuoterlo.")</f>
        <v>L'artista afferra qualcosa di verde e inizia a scuoterlo.</v>
      </c>
    </row>
    <row r="1952">
      <c r="A1952" s="4" t="s">
        <v>2456</v>
      </c>
      <c r="B1952" s="6" t="s">
        <v>2457</v>
      </c>
      <c r="C1952" s="5" t="str">
        <f>IFERROR(__xludf.DUMMYFUNCTION("GOOGLETRANSLATE(B1952,""en"",""it"")"),"Diverse persone in una piscina al coperto saltano fuori da una tavola da immersione nell'acqua della piscina sotto esibizione di un mix di tecniche di immersione avanzate e incidenti da tecnica di immersione.")</f>
        <v>Diverse persone in una piscina al coperto saltano fuori da una tavola da immersione nell'acqua della piscina sotto esibizione di un mix di tecniche di immersione avanzate e incidenti da tecnica di immersione.</v>
      </c>
    </row>
    <row r="1953">
      <c r="A1953" s="4" t="s">
        <v>2456</v>
      </c>
      <c r="B1953" s="6" t="s">
        <v>2458</v>
      </c>
      <c r="C1953" s="5" t="str">
        <f>IFERROR(__xludf.DUMMYFUNCTION("GOOGLETRANSLATE(B1953,""en"",""it"")"),"Diversi subacquei saltano giù dalla tavola da immersione nell'acqua sottostante esegue molte tecniche tra cui le lance.")</f>
        <v>Diversi subacquei saltano giù dalla tavola da immersione nell'acqua sottostante esegue molte tecniche tra cui le lance.</v>
      </c>
    </row>
    <row r="1954">
      <c r="A1954" s="4" t="s">
        <v>2456</v>
      </c>
      <c r="B1954" s="4" t="s">
        <v>2459</v>
      </c>
      <c r="C1954" s="5" t="str">
        <f>IFERROR(__xludf.DUMMYFUNCTION("GOOGLETRANSLATE(B1954,""en"",""it"")"),"Inoltre, le immersioni meno riuscite vengono mostrate verso la fine della clip prima che la scena svanisca al nero.")</f>
        <v>Inoltre, le immersioni meno riuscite vengono mostrate verso la fine della clip prima che la scena svanisca al nero.</v>
      </c>
    </row>
    <row r="1955">
      <c r="A1955" s="4" t="s">
        <v>2460</v>
      </c>
      <c r="B1955" s="6" t="s">
        <v>2461</v>
      </c>
      <c r="C1955" s="5" t="str">
        <f>IFERROR(__xludf.DUMMYFUNCTION("GOOGLETRANSLATE(B1955,""en"",""it"")"),"Un uomo viene visto in ginocchio su un tappetino e dimostra come fare un esercizio adeguato ma muovendo le braccia e le gambe.")</f>
        <v>Un uomo viene visto in ginocchio su un tappetino e dimostra come fare un esercizio adeguato ma muovendo le braccia e le gambe.</v>
      </c>
    </row>
    <row r="1956">
      <c r="A1956" s="4" t="s">
        <v>2460</v>
      </c>
      <c r="B1956" s="4" t="s">
        <v>2462</v>
      </c>
      <c r="C1956" s="5" t="str">
        <f>IFERROR(__xludf.DUMMYFUNCTION("GOOGLETRANSLATE(B1956,""en"",""it"")"),"L'uomo si sposta indietro e quarto mentre muove le braccia e le gambe e parla alla telecamera.")</f>
        <v>L'uomo si sposta indietro e quarto mentre muove le braccia e le gambe e parla alla telecamera.</v>
      </c>
    </row>
    <row r="1957">
      <c r="A1957" s="4" t="s">
        <v>2463</v>
      </c>
      <c r="B1957" s="4" t="s">
        <v>2464</v>
      </c>
      <c r="C1957" s="5" t="str">
        <f>IFERROR(__xludf.DUMMYFUNCTION("GOOGLETRANSLATE(B1957,""en"",""it"")"),"Le persone stanno andando in bicicletta attorno a una pista sporca.")</f>
        <v>Le persone stanno andando in bicicletta attorno a una pista sporca.</v>
      </c>
    </row>
    <row r="1958">
      <c r="A1958" s="4" t="s">
        <v>2463</v>
      </c>
      <c r="B1958" s="4" t="s">
        <v>2465</v>
      </c>
      <c r="C1958" s="5" t="str">
        <f>IFERROR(__xludf.DUMMYFUNCTION("GOOGLETRANSLATE(B1958,""en"",""it"")"),"Due uomini si schiantano l'uno contro l'altro e cadono.")</f>
        <v>Due uomini si schiantano l'uno contro l'altro e cadono.</v>
      </c>
    </row>
    <row r="1959">
      <c r="A1959" s="4" t="s">
        <v>2463</v>
      </c>
      <c r="B1959" s="4" t="s">
        <v>2466</v>
      </c>
      <c r="C1959" s="5" t="str">
        <f>IFERROR(__xludf.DUMMYFUNCTION("GOOGLETRANSLATE(B1959,""en"",""it"")"),"Diverse persone si schiantano l'una contro l'altra e cadono in pista.")</f>
        <v>Diverse persone si schiantano l'una contro l'altra e cadono in pista.</v>
      </c>
    </row>
    <row r="1960">
      <c r="A1960" s="4" t="s">
        <v>2467</v>
      </c>
      <c r="B1960" s="4" t="s">
        <v>2468</v>
      </c>
      <c r="C1960" s="5" t="str">
        <f>IFERROR(__xludf.DUMMYFUNCTION("GOOGLETRANSLATE(B1960,""en"",""it"")"),"Le persone interagiscono in una pista.")</f>
        <v>Le persone interagiscono in una pista.</v>
      </c>
    </row>
    <row r="1961">
      <c r="A1961" s="4" t="s">
        <v>2467</v>
      </c>
      <c r="B1961" s="4" t="s">
        <v>2469</v>
      </c>
      <c r="C1961" s="5" t="str">
        <f>IFERROR(__xludf.DUMMYFUNCTION("GOOGLETRANSLATE(B1961,""en"",""it"")"),"La banda musicale sta camminando con i loro strumenti lungo una pista.")</f>
        <v>La banda musicale sta camminando con i loro strumenti lungo una pista.</v>
      </c>
    </row>
    <row r="1962">
      <c r="A1962" s="4" t="s">
        <v>2467</v>
      </c>
      <c r="B1962" s="4" t="s">
        <v>2470</v>
      </c>
      <c r="C1962" s="5" t="str">
        <f>IFERROR(__xludf.DUMMYFUNCTION("GOOGLETRANSLATE(B1962,""en"",""it"")"),"I batteristi si esibiscono mentre camminano.")</f>
        <v>I batteristi si esibiscono mentre camminano.</v>
      </c>
    </row>
    <row r="1963">
      <c r="A1963" s="4" t="s">
        <v>2471</v>
      </c>
      <c r="B1963" s="4" t="s">
        <v>2472</v>
      </c>
      <c r="C1963" s="5" t="str">
        <f>IFERROR(__xludf.DUMMYFUNCTION("GOOGLETRANSLATE(B1963,""en"",""it"")"),"Una donna è seduta su un letto in una camera da letto.")</f>
        <v>Una donna è seduta su un letto in una camera da letto.</v>
      </c>
    </row>
    <row r="1964">
      <c r="A1964" s="4" t="s">
        <v>2471</v>
      </c>
      <c r="B1964" s="4" t="s">
        <v>2473</v>
      </c>
      <c r="C1964" s="5" t="str">
        <f>IFERROR(__xludf.DUMMYFUNCTION("GOOGLETRANSLATE(B1964,""en"",""it"")"),"Lei si fa le mani tra i capelli mentre parla.")</f>
        <v>Lei si fa le mani tra i capelli mentre parla.</v>
      </c>
    </row>
    <row r="1965">
      <c r="A1965" s="4" t="s">
        <v>2471</v>
      </c>
      <c r="B1965" s="4" t="s">
        <v>2474</v>
      </c>
      <c r="C1965" s="5" t="str">
        <f>IFERROR(__xludf.DUMMYFUNCTION("GOOGLETRANSLATE(B1965,""en"",""it"")"),"Apre una custodia per sigaretta e fuma una sigaretta mentre parla.")</f>
        <v>Apre una custodia per sigaretta e fuma una sigaretta mentre parla.</v>
      </c>
    </row>
    <row r="1966">
      <c r="A1966" s="4" t="s">
        <v>2475</v>
      </c>
      <c r="B1966" s="4" t="s">
        <v>2476</v>
      </c>
      <c r="C1966" s="5" t="str">
        <f>IFERROR(__xludf.DUMMYFUNCTION("GOOGLETRANSLATE(B1966,""en"",""it"")"),"Le donne in bikini giocano a pallavolo sulla spiaggia.")</f>
        <v>Le donne in bikini giocano a pallavolo sulla spiaggia.</v>
      </c>
    </row>
    <row r="1967">
      <c r="A1967" s="4" t="s">
        <v>2475</v>
      </c>
      <c r="B1967" s="4" t="s">
        <v>2477</v>
      </c>
      <c r="C1967" s="5" t="str">
        <f>IFERROR(__xludf.DUMMYFUNCTION("GOOGLETRANSLATE(B1967,""en"",""it"")"),"Una delle donne cade sulla sabbia.")</f>
        <v>Una delle donne cade sulla sabbia.</v>
      </c>
    </row>
    <row r="1968">
      <c r="A1968" s="4" t="s">
        <v>2475</v>
      </c>
      <c r="B1968" s="4" t="s">
        <v>2478</v>
      </c>
      <c r="C1968" s="5" t="str">
        <f>IFERROR(__xludf.DUMMYFUNCTION("GOOGLETRANSLATE(B1968,""en"",""it"")"),"Si posano per una foto sulla spiaggia.")</f>
        <v>Si posano per una foto sulla spiaggia.</v>
      </c>
    </row>
    <row r="1969">
      <c r="A1969" s="4" t="s">
        <v>2479</v>
      </c>
      <c r="B1969" s="4" t="s">
        <v>2480</v>
      </c>
      <c r="C1969" s="5" t="str">
        <f>IFERROR(__xludf.DUMMYFUNCTION("GOOGLETRANSLATE(B1969,""en"",""it"")"),"Vediamo due schermi del titolo di apertura.")</f>
        <v>Vediamo due schermi del titolo di apertura.</v>
      </c>
    </row>
    <row r="1970">
      <c r="A1970" s="4" t="s">
        <v>2479</v>
      </c>
      <c r="B1970" s="4" t="s">
        <v>2481</v>
      </c>
      <c r="C1970" s="5" t="str">
        <f>IFERROR(__xludf.DUMMYFUNCTION("GOOGLETRANSLATE(B1970,""en"",""it"")"),"Vediamo un uomo dietro un bar che parla.")</f>
        <v>Vediamo un uomo dietro un bar che parla.</v>
      </c>
    </row>
    <row r="1971">
      <c r="A1971" s="4" t="s">
        <v>2479</v>
      </c>
      <c r="B1971" s="4" t="s">
        <v>2482</v>
      </c>
      <c r="C1971" s="5" t="str">
        <f>IFERROR(__xludf.DUMMYFUNCTION("GOOGLETRANSLATE(B1971,""en"",""it"")"),"L'uomo aggiunge ghiaccio a un bicchiere Martin e un bicchiere alto.")</f>
        <v>L'uomo aggiunge ghiaccio a un bicchiere Martin e un bicchiere alto.</v>
      </c>
    </row>
    <row r="1972">
      <c r="A1972" s="4" t="s">
        <v>2479</v>
      </c>
      <c r="B1972" s="4" t="s">
        <v>2483</v>
      </c>
      <c r="C1972" s="5" t="str">
        <f>IFERROR(__xludf.DUMMYFUNCTION("GOOGLETRANSLATE(B1972,""en"",""it"")"),"L'uomo aggiunge tre colpi al vetro e lo scuote.")</f>
        <v>L'uomo aggiunge tre colpi al vetro e lo scuote.</v>
      </c>
    </row>
    <row r="1973">
      <c r="A1973" s="4" t="s">
        <v>2479</v>
      </c>
      <c r="B1973" s="4" t="s">
        <v>2484</v>
      </c>
      <c r="C1973" s="5" t="str">
        <f>IFERROR(__xludf.DUMMYFUNCTION("GOOGLETRANSLATE(B1973,""en"",""it"")"),"L'uomo mette un filtro sul vetro e versa il ghiaccio dal vetro di Martini.")</f>
        <v>L'uomo mette un filtro sul vetro e versa il ghiaccio dal vetro di Martini.</v>
      </c>
    </row>
    <row r="1974">
      <c r="A1974" s="4" t="s">
        <v>2479</v>
      </c>
      <c r="B1974" s="4" t="s">
        <v>2485</v>
      </c>
      <c r="C1974" s="5" t="str">
        <f>IFERROR(__xludf.DUMMYFUNCTION("GOOGLETRANSLATE(B1974,""en"",""it"")"),"L'uomo versa la bevanda verde lime nel bicchiere di Martini e aggiunge una ciliegia e una cannuccia.")</f>
        <v>L'uomo versa la bevanda verde lime nel bicchiere di Martini e aggiunge una ciliegia e una cannuccia.</v>
      </c>
    </row>
    <row r="1975">
      <c r="A1975" s="4" t="s">
        <v>2479</v>
      </c>
      <c r="B1975" s="4" t="s">
        <v>2486</v>
      </c>
      <c r="C1975" s="5" t="str">
        <f>IFERROR(__xludf.DUMMYFUNCTION("GOOGLETRANSLATE(B1975,""en"",""it"")"),"Vediamo lo schermo di chiusura.")</f>
        <v>Vediamo lo schermo di chiusura.</v>
      </c>
    </row>
    <row r="1976">
      <c r="A1976" s="4" t="s">
        <v>2487</v>
      </c>
      <c r="B1976" s="4" t="s">
        <v>2488</v>
      </c>
      <c r="C1976" s="5" t="str">
        <f>IFERROR(__xludf.DUMMYFUNCTION("GOOGLETRANSLATE(B1976,""en"",""it"")"),"Un uomo anziano sta preparando la sua macchina fotografica e poi va per salire sul suo tosaerba.")</f>
        <v>Un uomo anziano sta preparando la sua macchina fotografica e poi va per salire sul suo tosaerba.</v>
      </c>
    </row>
    <row r="1977">
      <c r="A1977" s="4" t="s">
        <v>2487</v>
      </c>
      <c r="B1977" s="4" t="s">
        <v>2489</v>
      </c>
      <c r="C1977" s="5" t="str">
        <f>IFERROR(__xludf.DUMMYFUNCTION("GOOGLETRANSLATE(B1977,""en"",""it"")"),"Appare sul lato sinistro che cavalca il marciapiede fino a raggiungere il suo prato.")</f>
        <v>Appare sul lato sinistro che cavalca il marciapiede fino a raggiungere il suo prato.</v>
      </c>
    </row>
    <row r="1978">
      <c r="A1978" s="4" t="s">
        <v>2487</v>
      </c>
      <c r="B1978" s="6" t="s">
        <v>2490</v>
      </c>
      <c r="C1978" s="5" t="str">
        <f>IFERROR(__xludf.DUMMYFUNCTION("GOOGLETRANSLATE(B1978,""en"",""it"")"),"Fa una svolta e inizia a lavorare attraverso l'erba, andando in cerchio fino a raggiungere il centro del prato.")</f>
        <v>Fa una svolta e inizia a lavorare attraverso l'erba, andando in cerchio fino a raggiungere il centro del prato.</v>
      </c>
    </row>
    <row r="1979">
      <c r="A1979" s="4" t="s">
        <v>2487</v>
      </c>
      <c r="B1979" s="4" t="s">
        <v>2491</v>
      </c>
      <c r="C1979" s="5" t="str">
        <f>IFERROR(__xludf.DUMMYFUNCTION("GOOGLETRANSLATE(B1979,""en"",""it"")"),"Quindi torna indietro e raggiunge una piccola macchia di erba che gli mancava la prima volta.")</f>
        <v>Quindi torna indietro e raggiunge una piccola macchia di erba che gli mancava la prima volta.</v>
      </c>
    </row>
    <row r="1980">
      <c r="A1980" s="4" t="s">
        <v>2487</v>
      </c>
      <c r="B1980" s="6" t="s">
        <v>2492</v>
      </c>
      <c r="C1980" s="5" t="str">
        <f>IFERROR(__xludf.DUMMYFUNCTION("GOOGLETRANSLATE(B1980,""en"",""it"")"),"Torna ancora una volta assicurandosi che non gli perdesse nessun punto e scende dal tosaerba per spegnere la telecamera.")</f>
        <v>Torna ancora una volta assicurandosi che non gli perdesse nessun punto e scende dal tosaerba per spegnere la telecamera.</v>
      </c>
    </row>
    <row r="1981">
      <c r="A1981" s="4" t="s">
        <v>2493</v>
      </c>
      <c r="B1981" s="4" t="s">
        <v>2494</v>
      </c>
      <c r="C1981" s="5" t="str">
        <f>IFERROR(__xludf.DUMMYFUNCTION("GOOGLETRANSLATE(B1981,""en"",""it"")"),"I fiocchi di neve sono mostrati che cadono nello schermo prima di vedere un albero di Natale.")</f>
        <v>I fiocchi di neve sono mostrati che cadono nello schermo prima di vedere un albero di Natale.</v>
      </c>
    </row>
    <row r="1982">
      <c r="A1982" s="4" t="s">
        <v>2493</v>
      </c>
      <c r="B1982" s="4" t="s">
        <v>2495</v>
      </c>
      <c r="C1982" s="5" t="str">
        <f>IFERROR(__xludf.DUMMYFUNCTION("GOOGLETRANSLATE(B1982,""en"",""it"")"),"Una donna sta parlando prima che inizi a prepararsi e decorare l'albero.")</f>
        <v>Una donna sta parlando prima che inizi a prepararsi e decorare l'albero.</v>
      </c>
    </row>
    <row r="1983">
      <c r="A1983" s="4" t="s">
        <v>2493</v>
      </c>
      <c r="B1983" s="6" t="s">
        <v>2496</v>
      </c>
      <c r="C1983" s="5" t="str">
        <f>IFERROR(__xludf.DUMMYFUNCTION("GOOGLETRANSLATE(B1983,""en"",""it"")"),"Applica una pletora di ornamenti e luci e l'albero viene mostrato diversi stati di decorazione.")</f>
        <v>Applica una pletora di ornamenti e luci e l'albero viene mostrato diversi stati di decorazione.</v>
      </c>
    </row>
    <row r="1984">
      <c r="A1984" s="4" t="s">
        <v>2497</v>
      </c>
      <c r="B1984" s="4" t="s">
        <v>2498</v>
      </c>
      <c r="C1984" s="5" t="str">
        <f>IFERROR(__xludf.DUMMYFUNCTION("GOOGLETRANSLATE(B1984,""en"",""it"")"),"Due persone sono viste in piedi in una palestra che colpiscono un uccellino l'uno con l'altro.")</f>
        <v>Due persone sono viste in piedi in una palestra che colpiscono un uccellino l'uno con l'altro.</v>
      </c>
    </row>
    <row r="1985">
      <c r="A1985" s="4" t="s">
        <v>2497</v>
      </c>
      <c r="B1985" s="4" t="s">
        <v>2499</v>
      </c>
      <c r="C1985" s="5" t="str">
        <f>IFERROR(__xludf.DUMMYFUNCTION("GOOGLETRANSLATE(B1985,""en"",""it"")"),"Gli uomini hanno colpito l'oggetto indietro e quarto mentre altri guardano sul lato.")</f>
        <v>Gli uomini hanno colpito l'oggetto indietro e quarto mentre altri guardano sul lato.</v>
      </c>
    </row>
    <row r="1986">
      <c r="A1986" s="4" t="s">
        <v>2497</v>
      </c>
      <c r="B1986" s="4" t="s">
        <v>2500</v>
      </c>
      <c r="C1986" s="5" t="str">
        <f>IFERROR(__xludf.DUMMYFUNCTION("GOOGLETRANSLATE(B1986,""en"",""it"")"),"La gente continua a guardare i due giocatori e uno fuori lato si toglie la camicia.")</f>
        <v>La gente continua a guardare i due giocatori e uno fuori lato si toglie la camicia.</v>
      </c>
    </row>
    <row r="1987">
      <c r="A1987" s="4" t="s">
        <v>2501</v>
      </c>
      <c r="B1987" s="4" t="s">
        <v>2502</v>
      </c>
      <c r="C1987" s="5" t="str">
        <f>IFERROR(__xludf.DUMMYFUNCTION("GOOGLETRANSLATE(B1987,""en"",""it"")"),"Un gruppo di persone è fuori giocando a un gioco di croquet nel cortile.")</f>
        <v>Un gruppo di persone è fuori giocando a un gioco di croquet nel cortile.</v>
      </c>
    </row>
    <row r="1988">
      <c r="A1988" s="4" t="s">
        <v>2501</v>
      </c>
      <c r="B1988" s="4" t="s">
        <v>2503</v>
      </c>
      <c r="C1988" s="5" t="str">
        <f>IFERROR(__xludf.DUMMYFUNCTION("GOOGLETRANSLATE(B1988,""en"",""it"")"),"Una delle donne in un kirt ha la mano dietro la schiena solo guardandole giocare.")</f>
        <v>Una delle donne in un kirt ha la mano dietro la schiena solo guardandole giocare.</v>
      </c>
    </row>
    <row r="1989">
      <c r="A1989" s="4" t="s">
        <v>2501</v>
      </c>
      <c r="B1989" s="4" t="s">
        <v>2504</v>
      </c>
      <c r="C1989" s="5" t="str">
        <f>IFERROR(__xludf.DUMMYFUNCTION("GOOGLETRANSLATE(B1989,""en"",""it"")"),"L'altra donna è l'unica femmina che suona, prende il suo turno e poi è tornato agli uomini.")</f>
        <v>L'altra donna è l'unica femmina che suona, prende il suo turno e poi è tornato agli uomini.</v>
      </c>
    </row>
    <row r="1990">
      <c r="A1990" s="4" t="s">
        <v>2501</v>
      </c>
      <c r="B1990" s="4" t="s">
        <v>2505</v>
      </c>
      <c r="C1990" s="5" t="str">
        <f>IFERROR(__xludf.DUMMYFUNCTION("GOOGLETRANSLATE(B1990,""en"",""it"")"),"L'uomo nei sandali colpisce la palla nera e poi è ancora una volta il turno della donna.")</f>
        <v>L'uomo nei sandali colpisce la palla nera e poi è ancora una volta il turno della donna.</v>
      </c>
    </row>
    <row r="1991">
      <c r="A1991" s="4" t="s">
        <v>2506</v>
      </c>
      <c r="B1991" s="4" t="s">
        <v>2507</v>
      </c>
      <c r="C1991" s="5" t="str">
        <f>IFERROR(__xludf.DUMMYFUNCTION("GOOGLETRANSLATE(B1991,""en"",""it"")"),"Un uomo si avvicina e prende un peso.")</f>
        <v>Un uomo si avvicina e prende un peso.</v>
      </c>
    </row>
    <row r="1992">
      <c r="A1992" s="4" t="s">
        <v>2506</v>
      </c>
      <c r="B1992" s="4" t="s">
        <v>2508</v>
      </c>
      <c r="C1992" s="5" t="str">
        <f>IFERROR(__xludf.DUMMYFUNCTION("GOOGLETRANSLATE(B1992,""en"",""it"")"),"Lo solleva fino alle spalle e poi sopra la sua testa.")</f>
        <v>Lo solleva fino alle spalle e poi sopra la sua testa.</v>
      </c>
    </row>
    <row r="1993">
      <c r="A1993" s="4" t="s">
        <v>2506</v>
      </c>
      <c r="B1993" s="4" t="s">
        <v>2509</v>
      </c>
      <c r="C1993" s="5" t="str">
        <f>IFERROR(__xludf.DUMMYFUNCTION("GOOGLETRANSLATE(B1993,""en"",""it"")"),"Una persona si alza e mette il pugno in aria.")</f>
        <v>Una persona si alza e mette il pugno in aria.</v>
      </c>
    </row>
    <row r="1994">
      <c r="A1994" s="4" t="s">
        <v>2506</v>
      </c>
      <c r="B1994" s="4" t="s">
        <v>2510</v>
      </c>
      <c r="C1994" s="5" t="str">
        <f>IFERROR(__xludf.DUMMYFUNCTION("GOOGLETRANSLATE(B1994,""en"",""it"")"),"Un altro uomo accanto a lui prende un peso e se lo solleva sopra la testa.")</f>
        <v>Un altro uomo accanto a lui prende un peso e se lo solleva sopra la testa.</v>
      </c>
    </row>
    <row r="1995">
      <c r="A1995" s="4" t="s">
        <v>2506</v>
      </c>
      <c r="B1995" s="4" t="s">
        <v>2511</v>
      </c>
      <c r="C1995" s="5" t="str">
        <f>IFERROR(__xludf.DUMMYFUNCTION("GOOGLETRANSLATE(B1995,""en"",""it"")"),"Gli uomini si stringono la mano prima di camminare.")</f>
        <v>Gli uomini si stringono la mano prima di camminare.</v>
      </c>
    </row>
    <row r="1996">
      <c r="A1996" s="4" t="s">
        <v>2512</v>
      </c>
      <c r="B1996" s="4" t="s">
        <v>2513</v>
      </c>
      <c r="C1996" s="5" t="str">
        <f>IFERROR(__xludf.DUMMYFUNCTION("GOOGLETRANSLATE(B1996,""en"",""it"")"),"Un uomo viene visto in piedi in una fossa di sabbia e inizia a girare e gettare l'oggetto.")</f>
        <v>Un uomo viene visto in piedi in una fossa di sabbia e inizia a girare e gettare l'oggetto.</v>
      </c>
    </row>
    <row r="1997">
      <c r="A1997" s="4" t="s">
        <v>2512</v>
      </c>
      <c r="B1997" s="4" t="s">
        <v>2514</v>
      </c>
      <c r="C1997" s="5" t="str">
        <f>IFERROR(__xludf.DUMMYFUNCTION("GOOGLETRANSLATE(B1997,""en"",""it"")"),"L'uomo viene mostrato più volte che gira e getta l'oggetto in lontananza.")</f>
        <v>L'uomo viene mostrato più volte che gira e getta l'oggetto in lontananza.</v>
      </c>
    </row>
    <row r="1998">
      <c r="A1998" s="4" t="s">
        <v>2515</v>
      </c>
      <c r="B1998" s="4" t="s">
        <v>2516</v>
      </c>
      <c r="C1998" s="5" t="str">
        <f>IFERROR(__xludf.DUMMYFUNCTION("GOOGLETRANSLATE(B1998,""en"",""it"")"),"Una compagnia di biciclette sta mostrando le loro bici e come risolverle.")</f>
        <v>Una compagnia di biciclette sta mostrando le loro bici e come risolverle.</v>
      </c>
    </row>
    <row r="1999">
      <c r="A1999" s="4" t="s">
        <v>2515</v>
      </c>
      <c r="B1999" s="4" t="s">
        <v>2517</v>
      </c>
      <c r="C1999" s="5" t="str">
        <f>IFERROR(__xludf.DUMMYFUNCTION("GOOGLETRANSLATE(B1999,""en"",""it"")"),"C'è un'introduzione del logo della compagnia di biciclette.")</f>
        <v>C'è un'introduzione del logo della compagnia di biciclette.</v>
      </c>
    </row>
    <row r="2000">
      <c r="A2000" s="4" t="s">
        <v>2515</v>
      </c>
      <c r="B2000" s="4" t="s">
        <v>2518</v>
      </c>
      <c r="C2000" s="5" t="str">
        <f>IFERROR(__xludf.DUMMYFUNCTION("GOOGLETRANSLATE(B2000,""en"",""it"")"),"Quindi un uomo si parla rapidamente delle bici.")</f>
        <v>Quindi un uomo si parla rapidamente delle bici.</v>
      </c>
    </row>
    <row r="2001">
      <c r="A2001" s="4" t="s">
        <v>2515</v>
      </c>
      <c r="B2001" s="4" t="s">
        <v>2519</v>
      </c>
      <c r="C2001" s="5" t="str">
        <f>IFERROR(__xludf.DUMMYFUNCTION("GOOGLETRANSLATE(B2001,""en"",""it"")"),"Una persona con i guanti mostra quindi alcuni strumenti e incolla.")</f>
        <v>Una persona con i guanti mostra quindi alcuni strumenti e incolla.</v>
      </c>
    </row>
    <row r="2002">
      <c r="A2002" s="4" t="s">
        <v>2515</v>
      </c>
      <c r="B2002" s="4" t="s">
        <v>2520</v>
      </c>
      <c r="C2002" s="5" t="str">
        <f>IFERROR(__xludf.DUMMYFUNCTION("GOOGLETRANSLATE(B2002,""en"",""it"")"),"Quindi usa gli strumenti e la pasta per correggere la maniglia della bici.")</f>
        <v>Quindi usa gli strumenti e la pasta per correggere la maniglia della bici.</v>
      </c>
    </row>
    <row r="2003">
      <c r="A2003" s="4" t="s">
        <v>2515</v>
      </c>
      <c r="B2003" s="4" t="s">
        <v>2521</v>
      </c>
      <c r="C2003" s="5" t="str">
        <f>IFERROR(__xludf.DUMMYFUNCTION("GOOGLETRANSLATE(B2003,""en"",""it"")"),"La persona mostra quindi il prodotto finito di una maniglia completamente regolabile.")</f>
        <v>La persona mostra quindi il prodotto finito di una maniglia completamente regolabile.</v>
      </c>
    </row>
    <row r="2004">
      <c r="A2004" s="4" t="s">
        <v>2515</v>
      </c>
      <c r="B2004" s="4" t="s">
        <v>2522</v>
      </c>
      <c r="C2004" s="5" t="str">
        <f>IFERROR(__xludf.DUMMYFUNCTION("GOOGLETRANSLATE(B2004,""en"",""it"")"),"La schermata finale mostra di nuovo il logo della compagnia di bici.")</f>
        <v>La schermata finale mostra di nuovo il logo della compagnia di bici.</v>
      </c>
    </row>
    <row r="2005">
      <c r="A2005" s="4" t="s">
        <v>2523</v>
      </c>
      <c r="B2005" s="4" t="s">
        <v>2524</v>
      </c>
      <c r="C2005" s="5" t="str">
        <f>IFERROR(__xludf.DUMMYFUNCTION("GOOGLETRANSLATE(B2005,""en"",""it"")"),"Una persona con i pantaloni blu attenua per accumulare un ragazzo in abito rosa.")</f>
        <v>Una persona con i pantaloni blu attenua per accumulare un ragazzo in abito rosa.</v>
      </c>
    </row>
    <row r="2006">
      <c r="A2006" s="4" t="s">
        <v>2523</v>
      </c>
      <c r="B2006" s="4" t="s">
        <v>2525</v>
      </c>
      <c r="C2006" s="5" t="str">
        <f>IFERROR(__xludf.DUMMYFUNCTION("GOOGLETRANSLATE(B2006,""en"",""it"")"),"Il ragazzo con abito rosa si vendica.")</f>
        <v>Il ragazzo con abito rosa si vendica.</v>
      </c>
    </row>
    <row r="2007">
      <c r="A2007" s="4" t="s">
        <v>2526</v>
      </c>
      <c r="B2007" s="4" t="s">
        <v>2527</v>
      </c>
      <c r="C2007" s="5" t="str">
        <f>IFERROR(__xludf.DUMMYFUNCTION("GOOGLETRANSLATE(B2007,""en"",""it"")"),"Un folto gruppo di persone si vede cavalcando lungo l'acqua sulle barche.")</f>
        <v>Un folto gruppo di persone si vede cavalcando lungo l'acqua sulle barche.</v>
      </c>
    </row>
    <row r="2008">
      <c r="A2008" s="4" t="s">
        <v>2526</v>
      </c>
      <c r="B2008" s="4" t="s">
        <v>2528</v>
      </c>
      <c r="C2008" s="5" t="str">
        <f>IFERROR(__xludf.DUMMYFUNCTION("GOOGLETRANSLATE(B2008,""en"",""it"")"),"Una persona si schianta contro un'altra e mostra una persona che parla alla telecamera.")</f>
        <v>Una persona si schianta contro un'altra e mostra una persona che parla alla telecamera.</v>
      </c>
    </row>
    <row r="2009">
      <c r="A2009" s="4" t="s">
        <v>2526</v>
      </c>
      <c r="B2009" s="4" t="s">
        <v>2529</v>
      </c>
      <c r="C2009" s="5" t="str">
        <f>IFERROR(__xludf.DUMMYFUNCTION("GOOGLETRANSLATE(B2009,""en"",""it"")"),"Vengono mostrate più clip delle barche e loghi mostrati.")</f>
        <v>Vengono mostrate più clip delle barche e loghi mostrati.</v>
      </c>
    </row>
    <row r="2010">
      <c r="A2010" s="4" t="s">
        <v>2530</v>
      </c>
      <c r="B2010" s="6" t="s">
        <v>2531</v>
      </c>
      <c r="C2010" s="5" t="str">
        <f>IFERROR(__xludf.DUMMYFUNCTION("GOOGLETRANSLATE(B2010,""en"",""it"")"),"Un folto gruppo di persone è visto in piedi in una pista che conduce in diverse persone che corrono lungo la strada.")</f>
        <v>Un folto gruppo di persone è visto in piedi in una pista che conduce in diverse persone che corrono lungo la strada.</v>
      </c>
    </row>
    <row r="2011">
      <c r="A2011" s="4" t="s">
        <v>2530</v>
      </c>
      <c r="B2011" s="6" t="s">
        <v>2532</v>
      </c>
      <c r="C2011" s="5" t="str">
        <f>IFERROR(__xludf.DUMMYFUNCTION("GOOGLETRANSLATE(B2011,""en"",""it"")"),"Una donna viene vista parlare alla telecamera mentre diverse persone vengono viste correre e bere acqua.")</f>
        <v>Una donna viene vista parlare alla telecamera mentre diverse persone vengono viste correre e bere acqua.</v>
      </c>
    </row>
    <row r="2012">
      <c r="A2012" s="4" t="s">
        <v>2530</v>
      </c>
      <c r="B2012" s="4" t="s">
        <v>2533</v>
      </c>
      <c r="C2012" s="5" t="str">
        <f>IFERROR(__xludf.DUMMYFUNCTION("GOOGLETRANSLATE(B2012,""en"",""it"")"),"Più persone che parlano alla telecamera mostrano loro funzionare in luoghi diversi.")</f>
        <v>Più persone che parlano alla telecamera mostrano loro funzionare in luoghi diversi.</v>
      </c>
    </row>
    <row r="2013">
      <c r="A2013" s="4" t="s">
        <v>2534</v>
      </c>
      <c r="B2013" s="4" t="s">
        <v>2535</v>
      </c>
      <c r="C2013" s="5" t="str">
        <f>IFERROR(__xludf.DUMMYFUNCTION("GOOGLETRANSLATE(B2013,""en"",""it"")"),"Ci sono cinque donne che giocano a shuffleboard in un campo da shuffleboard al coperto.")</f>
        <v>Ci sono cinque donne che giocano a shuffleboard in un campo da shuffleboard al coperto.</v>
      </c>
    </row>
    <row r="2014">
      <c r="A2014" s="4" t="s">
        <v>2534</v>
      </c>
      <c r="B2014" s="6" t="s">
        <v>2536</v>
      </c>
      <c r="C2014" s="5" t="str">
        <f>IFERROR(__xludf.DUMMYFUNCTION("GOOGLETRANSLATE(B2014,""en"",""it"")"),"Ci sono tre donne in verde e due donne vestite con camicie color crema che giocano l'una contro l'altra.")</f>
        <v>Ci sono tre donne in verde e due donne vestite con camicie color crema che giocano l'una contro l'altra.</v>
      </c>
    </row>
    <row r="2015">
      <c r="A2015" s="4" t="s">
        <v>2534</v>
      </c>
      <c r="B2015" s="6" t="s">
        <v>2537</v>
      </c>
      <c r="C2015" s="5" t="str">
        <f>IFERROR(__xludf.DUMMYFUNCTION("GOOGLETRANSLATE(B2015,""en"",""it"")"),"Una signora della squadra verde inizia a puntare il bastone per colpire il disco mentre un altro membro della squadra la aiuta a riorganizzare i dischi.")</f>
        <v>Una signora della squadra verde inizia a puntare il bastone per colpire il disco mentre un altro membro della squadra la aiuta a riorganizzare i dischi.</v>
      </c>
    </row>
    <row r="2016">
      <c r="A2016" s="4" t="s">
        <v>2534</v>
      </c>
      <c r="B2016" s="4" t="s">
        <v>2538</v>
      </c>
      <c r="C2016" s="5" t="str">
        <f>IFERROR(__xludf.DUMMYFUNCTION("GOOGLETRANSLATE(B2016,""en"",""it"")"),"Quindi spara al disco con il bastone e fa un passo indietro per dare una possibilità al suo avversario.")</f>
        <v>Quindi spara al disco con il bastone e fa un passo indietro per dare una possibilità al suo avversario.</v>
      </c>
    </row>
    <row r="2017">
      <c r="A2017" s="4" t="s">
        <v>2534</v>
      </c>
      <c r="B2017" s="4" t="s">
        <v>2539</v>
      </c>
      <c r="C2017" s="5" t="str">
        <f>IFERROR(__xludf.DUMMYFUNCTION("GOOGLETRANSLATE(B2017,""en"",""it"")"),"Un giocatore della squadra di crema colpisce quindi il disco con il suo bastone ma non ha molto successo.")</f>
        <v>Un giocatore della squadra di crema colpisce quindi il disco con il suo bastone ma non ha molto successo.</v>
      </c>
    </row>
    <row r="2018">
      <c r="A2018" s="4" t="s">
        <v>2534</v>
      </c>
      <c r="B2018" s="4" t="s">
        <v>2540</v>
      </c>
      <c r="C2018" s="5" t="str">
        <f>IFERROR(__xludf.DUMMYFUNCTION("GOOGLETRANSLATE(B2018,""en"",""it"")"),"Un uomo entra e sostituisce il disco sullo shuffleboard.")</f>
        <v>Un uomo entra e sostituisce il disco sullo shuffleboard.</v>
      </c>
    </row>
    <row r="2019">
      <c r="A2019" s="4" t="s">
        <v>2534</v>
      </c>
      <c r="B2019" s="4" t="s">
        <v>2541</v>
      </c>
      <c r="C2019" s="5" t="str">
        <f>IFERROR(__xludf.DUMMYFUNCTION("GOOGLETRANSLATE(B2019,""en"",""it"")"),"Quindi un altro giocatore della squadra verde si fa avanti per giocare.")</f>
        <v>Quindi un altro giocatore della squadra verde si fa avanti per giocare.</v>
      </c>
    </row>
    <row r="2020">
      <c r="A2020" s="4" t="s">
        <v>2542</v>
      </c>
      <c r="B2020" s="4" t="s">
        <v>2543</v>
      </c>
      <c r="C2020" s="5" t="str">
        <f>IFERROR(__xludf.DUMMYFUNCTION("GOOGLETRANSLATE(B2020,""en"",""it"")"),"Un uomo indossa un grembiule e in piedi nella sua cucina.")</f>
        <v>Un uomo indossa un grembiule e in piedi nella sua cucina.</v>
      </c>
    </row>
    <row r="2021">
      <c r="A2021" s="4" t="s">
        <v>2542</v>
      </c>
      <c r="B2021" s="4" t="s">
        <v>2544</v>
      </c>
      <c r="C2021" s="5" t="str">
        <f>IFERROR(__xludf.DUMMYFUNCTION("GOOGLETRANSLATE(B2021,""en"",""it"")"),"Vengono mostrati diversi prodotti alimentari nelle ciotole.")</f>
        <v>Vengono mostrati diversi prodotti alimentari nelle ciotole.</v>
      </c>
    </row>
    <row r="2022">
      <c r="A2022" s="4" t="s">
        <v>2542</v>
      </c>
      <c r="B2022" s="4" t="s">
        <v>2545</v>
      </c>
      <c r="C2022" s="5" t="str">
        <f>IFERROR(__xludf.DUMMYFUNCTION("GOOGLETRANSLATE(B2022,""en"",""it"")"),"Una ciotola bianca è piena di zucchero, uova e burro di arachidi, quindi miscela.")</f>
        <v>Una ciotola bianca è piena di zucchero, uova e burro di arachidi, quindi miscela.</v>
      </c>
    </row>
    <row r="2023">
      <c r="A2023" s="4" t="s">
        <v>2542</v>
      </c>
      <c r="B2023" s="4" t="s">
        <v>2546</v>
      </c>
      <c r="C2023" s="5" t="str">
        <f>IFERROR(__xludf.DUMMYFUNCTION("GOOGLETRANSLATE(B2023,""en"",""it"")"),"Preme le palline di pasta per biscotti su una padella e le cuoci.")</f>
        <v>Preme le palline di pasta per biscotti su una padella e le cuoci.</v>
      </c>
    </row>
    <row r="2024">
      <c r="A2024" s="4" t="s">
        <v>2542</v>
      </c>
      <c r="B2024" s="4" t="s">
        <v>2547</v>
      </c>
      <c r="C2024" s="5" t="str">
        <f>IFERROR(__xludf.DUMMYFUNCTION("GOOGLETRANSLATE(B2024,""en"",""it"")"),"Mangia uno dei biscotti per la telecamera mentre ne parla.")</f>
        <v>Mangia uno dei biscotti per la telecamera mentre ne parla.</v>
      </c>
    </row>
    <row r="2025">
      <c r="A2025" s="4" t="s">
        <v>2548</v>
      </c>
      <c r="B2025" s="4" t="s">
        <v>2549</v>
      </c>
      <c r="C2025" s="5" t="str">
        <f>IFERROR(__xludf.DUMMYFUNCTION("GOOGLETRANSLATE(B2025,""en"",""it"")"),"Una donna con i capelli biondi corti è seduta su una sedia a parlare.")</f>
        <v>Una donna con i capelli biondi corti è seduta su una sedia a parlare.</v>
      </c>
    </row>
    <row r="2026">
      <c r="A2026" s="4" t="s">
        <v>2548</v>
      </c>
      <c r="B2026" s="4" t="s">
        <v>2550</v>
      </c>
      <c r="C2026" s="5" t="str">
        <f>IFERROR(__xludf.DUMMYFUNCTION("GOOGLETRANSLATE(B2026,""en"",""it"")"),"Alza un bigodino e se lo mette tra i capelli.")</f>
        <v>Alza un bigodino e se lo mette tra i capelli.</v>
      </c>
    </row>
    <row r="2027">
      <c r="A2027" s="4" t="s">
        <v>2548</v>
      </c>
      <c r="B2027" s="4" t="s">
        <v>2551</v>
      </c>
      <c r="C2027" s="5" t="str">
        <f>IFERROR(__xludf.DUMMYFUNCTION("GOOGLETRANSLATE(B2027,""en"",""it"")"),"Lo tira fuori e continua a parlare.")</f>
        <v>Lo tira fuori e continua a parlare.</v>
      </c>
    </row>
    <row r="2028">
      <c r="A2028" s="4" t="s">
        <v>2552</v>
      </c>
      <c r="B2028" s="4" t="s">
        <v>2553</v>
      </c>
      <c r="C2028" s="5" t="str">
        <f>IFERROR(__xludf.DUMMYFUNCTION("GOOGLETRANSLATE(B2028,""en"",""it"")"),"Si vede un primo piano di un uomo con in mano una tazza di caffè e conduce a prendere un sorso.")</f>
        <v>Si vede un primo piano di un uomo con in mano una tazza di caffè e conduce a prendere un sorso.</v>
      </c>
    </row>
    <row r="2029">
      <c r="A2029" s="4" t="s">
        <v>2552</v>
      </c>
      <c r="B2029" s="6" t="s">
        <v>2554</v>
      </c>
      <c r="C2029" s="5" t="str">
        <f>IFERROR(__xludf.DUMMYFUNCTION("GOOGLETRANSLATE(B2029,""en"",""it"")"),"Annuisce la testa in approvazione al caffè e viene mostrato di nuovo a bere più caffè accanto a una persona.")</f>
        <v>Annuisce la testa in approvazione al caffè e viene mostrato di nuovo a bere più caffè accanto a una persona.</v>
      </c>
    </row>
    <row r="2030">
      <c r="A2030" s="4" t="s">
        <v>2555</v>
      </c>
      <c r="B2030" s="6" t="s">
        <v>2556</v>
      </c>
      <c r="C2030" s="5" t="str">
        <f>IFERROR(__xludf.DUMMYFUNCTION("GOOGLETRANSLATE(B2030,""en"",""it"")"),"Due uomini navigano sull'acqua blu, con la loro barca bianca con bandiere bianche, quindi hanno evitato le boe sull'acqua.")</f>
        <v>Due uomini navigano sull'acqua blu, con la loro barca bianca con bandiere bianche, quindi hanno evitato le boe sull'acqua.</v>
      </c>
    </row>
    <row r="2031">
      <c r="A2031" s="4" t="s">
        <v>2555</v>
      </c>
      <c r="B2031" s="6" t="s">
        <v>2557</v>
      </c>
      <c r="C2031" s="5" t="str">
        <f>IFERROR(__xludf.DUMMYFUNCTION("GOOGLETRANSLATE(B2031,""en"",""it"")"),"Un piano scritto su un libro bianco con penna nera, e poi il piano viene messo in azione, quando la barca bianca naviga sull'acqua e si gira.")</f>
        <v>Un piano scritto su un libro bianco con penna nera, e poi il piano viene messo in azione, quando la barca bianca naviga sull'acqua e si gira.</v>
      </c>
    </row>
    <row r="2032">
      <c r="A2032" s="4" t="s">
        <v>2558</v>
      </c>
      <c r="B2032" s="6" t="s">
        <v>2559</v>
      </c>
      <c r="C2032" s="5" t="str">
        <f>IFERROR(__xludf.DUMMYFUNCTION("GOOGLETRANSLATE(B2032,""en"",""it"")"),"Un uomo e un ragazzo camminano attorno a un fuoco in legno con lenzuola e indossa cappelli in scatola, mentre una folla si trova in cerchio.")</f>
        <v>Un uomo e un ragazzo camminano attorno a un fuoco in legno con lenzuola e indossa cappelli in scatola, mentre una folla si trova in cerchio.</v>
      </c>
    </row>
    <row r="2033">
      <c r="A2033" s="4" t="s">
        <v>2558</v>
      </c>
      <c r="B2033" s="4" t="s">
        <v>2560</v>
      </c>
      <c r="C2033" s="5" t="str">
        <f>IFERROR(__xludf.DUMMYFUNCTION("GOOGLETRANSLATE(B2033,""en"",""it"")"),"Quindi, l'uomo sta e parla con le persone.")</f>
        <v>Quindi, l'uomo sta e parla con le persone.</v>
      </c>
    </row>
    <row r="2034">
      <c r="A2034" s="4" t="s">
        <v>2558</v>
      </c>
      <c r="B2034" s="4" t="s">
        <v>2561</v>
      </c>
      <c r="C2034" s="5" t="str">
        <f>IFERROR(__xludf.DUMMYFUNCTION("GOOGLETRANSLATE(B2034,""en"",""it"")"),"Improvvisamente, il fuoco e il fumo escono dal fuoco di legno con scintille.")</f>
        <v>Improvvisamente, il fuoco e il fumo escono dal fuoco di legno con scintille.</v>
      </c>
    </row>
    <row r="2035">
      <c r="A2035" s="4" t="s">
        <v>2562</v>
      </c>
      <c r="B2035" s="4" t="s">
        <v>2563</v>
      </c>
      <c r="C2035" s="5" t="str">
        <f>IFERROR(__xludf.DUMMYFUNCTION("GOOGLETRANSLATE(B2035,""en"",""it"")"),"Diverse persone vengono mostrate a una festa giocando diversi giochi e si divertono.")</f>
        <v>Diverse persone vengono mostrate a una festa giocando diversi giochi e si divertono.</v>
      </c>
    </row>
    <row r="2036">
      <c r="A2036" s="4" t="s">
        <v>2562</v>
      </c>
      <c r="B2036" s="4" t="s">
        <v>2564</v>
      </c>
      <c r="C2036" s="5" t="str">
        <f>IFERROR(__xludf.DUMMYFUNCTION("GOOGLETRANSLATE(B2036,""en"",""it"")"),"Un uomo inizia a parlare con una delle donne mentre gioca a uno dei giochi.")</f>
        <v>Un uomo inizia a parlare con una delle donne mentre gioca a uno dei giochi.</v>
      </c>
    </row>
    <row r="2037">
      <c r="A2037" s="4" t="s">
        <v>2562</v>
      </c>
      <c r="B2037" s="4" t="s">
        <v>2565</v>
      </c>
      <c r="C2037" s="5" t="str">
        <f>IFERROR(__xludf.DUMMYFUNCTION("GOOGLETRANSLATE(B2037,""en"",""it"")"),"Il gioco inizia a riscaldarsi mentre molte donne ridono e scherzano.")</f>
        <v>Il gioco inizia a riscaldarsi mentre molte donne ridono e scherzano.</v>
      </c>
    </row>
    <row r="2038">
      <c r="A2038" s="4" t="s">
        <v>2562</v>
      </c>
      <c r="B2038" s="4" t="s">
        <v>2566</v>
      </c>
      <c r="C2038" s="5" t="str">
        <f>IFERROR(__xludf.DUMMYFUNCTION("GOOGLETRANSLATE(B2038,""en"",""it"")"),"Una delle donne fa una foto delle donne che hanno giocato.")</f>
        <v>Una delle donne fa una foto delle donne che hanno giocato.</v>
      </c>
    </row>
    <row r="2039">
      <c r="A2039" s="4" t="s">
        <v>2562</v>
      </c>
      <c r="B2039" s="4" t="s">
        <v>2567</v>
      </c>
      <c r="C2039" s="5" t="str">
        <f>IFERROR(__xludf.DUMMYFUNCTION("GOOGLETRANSLATE(B2039,""en"",""it"")"),"Un uomo aiuta mentre le donne cercano di avere il giro di giocare.")</f>
        <v>Un uomo aiuta mentre le donne cercano di avere il giro di giocare.</v>
      </c>
    </row>
    <row r="2040">
      <c r="A2040" s="4" t="s">
        <v>2568</v>
      </c>
      <c r="B2040" s="4" t="s">
        <v>1487</v>
      </c>
      <c r="C2040" s="5" t="str">
        <f>IFERROR(__xludf.DUMMYFUNCTION("GOOGLETRANSLATE(B2040,""en"",""it"")"),"Vediamo una schermata del titolo di apertura.")</f>
        <v>Vediamo una schermata del titolo di apertura.</v>
      </c>
    </row>
    <row r="2041">
      <c r="A2041" s="4" t="s">
        <v>2568</v>
      </c>
      <c r="B2041" s="4" t="s">
        <v>2569</v>
      </c>
      <c r="C2041" s="5" t="str">
        <f>IFERROR(__xludf.DUMMYFUNCTION("GOOGLETRANSLATE(B2041,""en"",""it"")"),"Vediamo un uomo in un negozio di barbiere e vediamo le immagini del negozio.")</f>
        <v>Vediamo un uomo in un negozio di barbiere e vediamo le immagini del negozio.</v>
      </c>
    </row>
    <row r="2042">
      <c r="A2042" s="4" t="s">
        <v>2568</v>
      </c>
      <c r="B2042" s="4" t="s">
        <v>2570</v>
      </c>
      <c r="C2042" s="5" t="str">
        <f>IFERROR(__xludf.DUMMYFUNCTION("GOOGLETRANSLATE(B2042,""en"",""it"")"),"Il barbiere parla tagliato con le scene di un negozio di barbiere.")</f>
        <v>Il barbiere parla tagliato con le scene di un negozio di barbiere.</v>
      </c>
    </row>
    <row r="2043">
      <c r="A2043" s="4" t="s">
        <v>2568</v>
      </c>
      <c r="B2043" s="4" t="s">
        <v>2571</v>
      </c>
      <c r="C2043" s="5" t="str">
        <f>IFERROR(__xludf.DUMMYFUNCTION("GOOGLETRANSLATE(B2043,""en"",""it"")"),"Vediamo una bandiera di Union Jack sul braccio di una sedia.")</f>
        <v>Vediamo una bandiera di Union Jack sul braccio di una sedia.</v>
      </c>
    </row>
    <row r="2044">
      <c r="A2044" s="4" t="s">
        <v>2568</v>
      </c>
      <c r="B2044" s="4" t="s">
        <v>2572</v>
      </c>
      <c r="C2044" s="5" t="str">
        <f>IFERROR(__xludf.DUMMYFUNCTION("GOOGLETRANSLATE(B2044,""en"",""it"")"),"Un grande cane cammina attraverso la stanza.")</f>
        <v>Un grande cane cammina attraverso la stanza.</v>
      </c>
    </row>
    <row r="2045">
      <c r="A2045" s="4" t="s">
        <v>2568</v>
      </c>
      <c r="B2045" s="4" t="s">
        <v>2573</v>
      </c>
      <c r="C2045" s="5" t="str">
        <f>IFERROR(__xludf.DUMMYFUNCTION("GOOGLETRANSLATE(B2045,""en"",""it"")"),"Vediamo l'uomo radere un uomo con un rasoio dritto.")</f>
        <v>Vediamo l'uomo radere un uomo con un rasoio dritto.</v>
      </c>
    </row>
    <row r="2046">
      <c r="A2046" s="4" t="s">
        <v>2568</v>
      </c>
      <c r="B2046" s="4" t="s">
        <v>777</v>
      </c>
      <c r="C2046" s="5" t="str">
        <f>IFERROR(__xludf.DUMMYFUNCTION("GOOGLETRANSLATE(B2046,""en"",""it"")"),"Vediamo la schermata del titolo finale.")</f>
        <v>Vediamo la schermata del titolo finale.</v>
      </c>
    </row>
    <row r="2047">
      <c r="A2047" s="4" t="s">
        <v>2574</v>
      </c>
      <c r="B2047" s="4" t="s">
        <v>2575</v>
      </c>
      <c r="C2047" s="5" t="str">
        <f>IFERROR(__xludf.DUMMYFUNCTION("GOOGLETRANSLATE(B2047,""en"",""it"")"),"Un uomo è seduto di fronte a una tela.")</f>
        <v>Un uomo è seduto di fronte a una tela.</v>
      </c>
    </row>
    <row r="2048">
      <c r="A2048" s="4" t="s">
        <v>2574</v>
      </c>
      <c r="B2048" s="4" t="s">
        <v>2576</v>
      </c>
      <c r="C2048" s="5" t="str">
        <f>IFERROR(__xludf.DUMMYFUNCTION("GOOGLETRANSLATE(B2048,""en"",""it"")"),"Sta usando una tavolozza per dipingere una scena ombre.")</f>
        <v>Sta usando una tavolozza per dipingere una scena ombre.</v>
      </c>
    </row>
    <row r="2049">
      <c r="A2049" s="4" t="s">
        <v>2574</v>
      </c>
      <c r="B2049" s="4" t="s">
        <v>2577</v>
      </c>
      <c r="C2049" s="5" t="str">
        <f>IFERROR(__xludf.DUMMYFUNCTION("GOOGLETRANSLATE(B2049,""en"",""it"")"),"Quindi copre la ombre a una silhouette di un albero su una collina.")</f>
        <v>Quindi copre la ombre a una silhouette di un albero su una collina.</v>
      </c>
    </row>
    <row r="2050">
      <c r="A2050" s="4" t="s">
        <v>2578</v>
      </c>
      <c r="B2050" s="4" t="s">
        <v>2579</v>
      </c>
      <c r="C2050" s="5" t="str">
        <f>IFERROR(__xludf.DUMMYFUNCTION("GOOGLETRANSLATE(B2050,""en"",""it"")"),"Uno schermo nero è visibile e iniziano a apparire parole bianche.")</f>
        <v>Uno schermo nero è visibile e iniziano a apparire parole bianche.</v>
      </c>
    </row>
    <row r="2051">
      <c r="A2051" s="4" t="s">
        <v>2578</v>
      </c>
      <c r="B2051" s="4" t="s">
        <v>2580</v>
      </c>
      <c r="C2051" s="5" t="str">
        <f>IFERROR(__xludf.DUMMYFUNCTION("GOOGLETRANSLATE(B2051,""en"",""it"")"),"Successivamente, c'è una fila di dieci ragazzi in piedi dietro una corda fuori in un grande campo erboso.")</f>
        <v>Successivamente, c'è una fila di dieci ragazzi in piedi dietro una corda fuori in un grande campo erboso.</v>
      </c>
    </row>
    <row r="2052">
      <c r="A2052" s="4" t="s">
        <v>2578</v>
      </c>
      <c r="B2052" s="4" t="s">
        <v>2581</v>
      </c>
      <c r="C2052" s="5" t="str">
        <f>IFERROR(__xludf.DUMMYFUNCTION("GOOGLETRANSLATE(B2052,""en"",""it"")"),"I ragazzi formano un cerchio e iniziano a chinarsi a sinistra in una posizione salotto per esercitare.")</f>
        <v>I ragazzi formano un cerchio e iniziano a chinarsi a sinistra in una posizione salotto per esercitare.</v>
      </c>
    </row>
    <row r="2053">
      <c r="A2053" s="4" t="s">
        <v>2578</v>
      </c>
      <c r="B2053" s="6" t="s">
        <v>2582</v>
      </c>
      <c r="C2053" s="5" t="str">
        <f>IFERROR(__xludf.DUMMYFUNCTION("GOOGLETRANSLATE(B2053,""en"",""it"")"),"Quando hanno finito, iniziano a tirare il tiro alla fune e l'uomo sul lato sinistro con vittorie in abito nero.")</f>
        <v>Quando hanno finito, iniziano a tirare il tiro alla fune e l'uomo sul lato sinistro con vittorie in abito nero.</v>
      </c>
    </row>
    <row r="2054">
      <c r="A2054" s="4" t="s">
        <v>2578</v>
      </c>
      <c r="B2054" s="4" t="s">
        <v>2583</v>
      </c>
      <c r="C2054" s="5" t="str">
        <f>IFERROR(__xludf.DUMMYFUNCTION("GOOGLETRANSLATE(B2054,""en"",""it"")"),"Viene mostrato un altro gruppo di ragazzi e iniziano a accovacciarsi nel tentativo di vincere la partita.")</f>
        <v>Viene mostrato un altro gruppo di ragazzi e iniziano a accovacciarsi nel tentativo di vincere la partita.</v>
      </c>
    </row>
    <row r="2055">
      <c r="A2055" s="4" t="s">
        <v>2584</v>
      </c>
      <c r="B2055" s="4" t="s">
        <v>2585</v>
      </c>
      <c r="C2055" s="5" t="str">
        <f>IFERROR(__xludf.DUMMYFUNCTION("GOOGLETRANSLATE(B2055,""en"",""it"")"),"Vediamo un istruttore che guida una lezione di aerobica.")</f>
        <v>Vediamo un istruttore che guida una lezione di aerobica.</v>
      </c>
    </row>
    <row r="2056">
      <c r="A2056" s="4" t="s">
        <v>2584</v>
      </c>
      <c r="B2056" s="4" t="s">
        <v>2586</v>
      </c>
      <c r="C2056" s="5" t="str">
        <f>IFERROR(__xludf.DUMMYFUNCTION("GOOGLETRANSLATE(B2056,""en"",""it"")"),"La gente fa una danza in vita scoppi.")</f>
        <v>La gente fa una danza in vita scoppi.</v>
      </c>
    </row>
    <row r="2057">
      <c r="A2057" s="4" t="s">
        <v>2584</v>
      </c>
      <c r="B2057" s="4" t="s">
        <v>2587</v>
      </c>
      <c r="C2057" s="5" t="str">
        <f>IFERROR(__xludf.DUMMYFUNCTION("GOOGLETRANSLATE(B2057,""en"",""it"")"),"La gente va avanti e indietro.")</f>
        <v>La gente va avanti e indietro.</v>
      </c>
    </row>
    <row r="2058">
      <c r="A2058" s="4" t="s">
        <v>2584</v>
      </c>
      <c r="B2058" s="4" t="s">
        <v>2588</v>
      </c>
      <c r="C2058" s="5" t="str">
        <f>IFERROR(__xludf.DUMMYFUNCTION("GOOGLETRANSLATE(B2058,""en"",""it"")"),"Un uomo cammina oltre la porta.")</f>
        <v>Un uomo cammina oltre la porta.</v>
      </c>
    </row>
    <row r="2059">
      <c r="A2059" s="4" t="s">
        <v>2584</v>
      </c>
      <c r="B2059" s="4" t="s">
        <v>2589</v>
      </c>
      <c r="C2059" s="5" t="str">
        <f>IFERROR(__xludf.DUMMYFUNCTION("GOOGLETRANSLATE(B2059,""en"",""it"")"),"Un uomo in blu entra nella stanza.")</f>
        <v>Un uomo in blu entra nella stanza.</v>
      </c>
    </row>
    <row r="2060">
      <c r="A2060" s="4" t="s">
        <v>2584</v>
      </c>
      <c r="B2060" s="4" t="s">
        <v>2590</v>
      </c>
      <c r="C2060" s="5" t="str">
        <f>IFERROR(__xludf.DUMMYFUNCTION("GOOGLETRANSLATE(B2060,""en"",""it"")"),"Le persone sollevano le gambe alte.")</f>
        <v>Le persone sollevano le gambe alte.</v>
      </c>
    </row>
    <row r="2061">
      <c r="A2061" s="4" t="s">
        <v>2584</v>
      </c>
      <c r="B2061" s="4" t="s">
        <v>2591</v>
      </c>
      <c r="C2061" s="5" t="str">
        <f>IFERROR(__xludf.DUMMYFUNCTION("GOOGLETRANSLATE(B2061,""en"",""it"")"),"L'istruttore finisce e cammina avanti e indietro.")</f>
        <v>L'istruttore finisce e cammina avanti e indietro.</v>
      </c>
    </row>
    <row r="2062">
      <c r="A2062" s="4" t="s">
        <v>2592</v>
      </c>
      <c r="B2062" s="4" t="s">
        <v>2593</v>
      </c>
      <c r="C2062" s="5" t="str">
        <f>IFERROR(__xludf.DUMMYFUNCTION("GOOGLETRANSLATE(B2062,""en"",""it"")"),"Ci sono tre giovani in una casa.")</f>
        <v>Ci sono tre giovani in una casa.</v>
      </c>
    </row>
    <row r="2063">
      <c r="A2063" s="4" t="s">
        <v>2592</v>
      </c>
      <c r="B2063" s="4" t="s">
        <v>2594</v>
      </c>
      <c r="C2063" s="5" t="str">
        <f>IFERROR(__xludf.DUMMYFUNCTION("GOOGLETRANSLATE(B2063,""en"",""it"")"),"Uno degli uomini è seduto su un divano nel soggiorno che mangia un pacchetto di Doritos.")</f>
        <v>Uno degli uomini è seduto su un divano nel soggiorno che mangia un pacchetto di Doritos.</v>
      </c>
    </row>
    <row r="2064">
      <c r="A2064" s="4" t="s">
        <v>2592</v>
      </c>
      <c r="B2064" s="4" t="s">
        <v>2595</v>
      </c>
      <c r="C2064" s="5" t="str">
        <f>IFERROR(__xludf.DUMMYFUNCTION("GOOGLETRANSLATE(B2064,""en"",""it"")"),"E ci sono altri due uomini che lo stanno fissando mentre mangia.")</f>
        <v>E ci sono altri due uomini che lo stanno fissando mentre mangia.</v>
      </c>
    </row>
    <row r="2065">
      <c r="A2065" s="4" t="s">
        <v>2592</v>
      </c>
      <c r="B2065" s="4" t="s">
        <v>2596</v>
      </c>
      <c r="C2065" s="5" t="str">
        <f>IFERROR(__xludf.DUMMYFUNCTION("GOOGLETRANSLATE(B2065,""en"",""it"")"),"Uno degli uomini si alza e si lava le mani.")</f>
        <v>Uno degli uomini si alza e si lava le mani.</v>
      </c>
    </row>
    <row r="2066">
      <c r="A2066" s="4" t="s">
        <v>2592</v>
      </c>
      <c r="B2066" s="4" t="s">
        <v>2597</v>
      </c>
      <c r="C2066" s="5" t="str">
        <f>IFERROR(__xludf.DUMMYFUNCTION("GOOGLETRANSLATE(B2066,""en"",""it"")"),"Quindi apre una lattina di coca cola e bevande da esso.")</f>
        <v>Quindi apre una lattina di coca cola e bevande da esso.</v>
      </c>
    </row>
    <row r="2067">
      <c r="A2067" s="4" t="s">
        <v>2592</v>
      </c>
      <c r="B2067" s="4" t="s">
        <v>2598</v>
      </c>
      <c r="C2067" s="5" t="str">
        <f>IFERROR(__xludf.DUMMYFUNCTION("GOOGLETRANSLATE(B2067,""en"",""it"")"),"Quindi inizia a tagliare i pomodori e la lattuga per preparare un panino.")</f>
        <v>Quindi inizia a tagliare i pomodori e la lattuga per preparare un panino.</v>
      </c>
    </row>
    <row r="2068">
      <c r="A2068" s="4" t="s">
        <v>2592</v>
      </c>
      <c r="B2068" s="4" t="s">
        <v>2599</v>
      </c>
      <c r="C2068" s="5" t="str">
        <f>IFERROR(__xludf.DUMMYFUNCTION("GOOGLETRANSLATE(B2068,""en"",""it"")"),"Si taglia un po 'di prosciutto e fa due brindisi in un tostapane.")</f>
        <v>Si taglia un po 'di prosciutto e fa due brindisi in un tostapane.</v>
      </c>
    </row>
    <row r="2069">
      <c r="A2069" s="4" t="s">
        <v>2592</v>
      </c>
      <c r="B2069" s="4" t="s">
        <v>2600</v>
      </c>
      <c r="C2069" s="5" t="str">
        <f>IFERROR(__xludf.DUMMYFUNCTION("GOOGLETRANSLATE(B2069,""en"",""it"")"),"Quindi mette la maionese sul pane e la tiene con la carne, la lattuga e il pomodoro.")</f>
        <v>Quindi mette la maionese sul pane e la tiene con la carne, la lattuga e il pomodoro.</v>
      </c>
    </row>
    <row r="2070">
      <c r="A2070" s="4" t="s">
        <v>2592</v>
      </c>
      <c r="B2070" s="4" t="s">
        <v>2601</v>
      </c>
      <c r="C2070" s="5" t="str">
        <f>IFERROR(__xludf.DUMMYFUNCTION("GOOGLETRANSLATE(B2070,""en"",""it"")"),"Taglia il sandwich a metà e lo serve su un piatto.")</f>
        <v>Taglia il sandwich a metà e lo serve su un piatto.</v>
      </c>
    </row>
    <row r="2071">
      <c r="A2071" s="4" t="s">
        <v>2592</v>
      </c>
      <c r="B2071" s="4" t="s">
        <v>2602</v>
      </c>
      <c r="C2071" s="5" t="str">
        <f>IFERROR(__xludf.DUMMYFUNCTION("GOOGLETRANSLATE(B2071,""en"",""it"")"),"Quindi offre il piatto sandwich all'uomo seduto sul divano mangiando i Doritos.")</f>
        <v>Quindi offre il piatto sandwich all'uomo seduto sul divano mangiando i Doritos.</v>
      </c>
    </row>
    <row r="2072">
      <c r="A2072" s="4" t="s">
        <v>2592</v>
      </c>
      <c r="B2072" s="6" t="s">
        <v>2603</v>
      </c>
      <c r="C2072" s="5" t="str">
        <f>IFERROR(__xludf.DUMMYFUNCTION("GOOGLETRANSLATE(B2072,""en"",""it"")"),"L'uomo prende il piatto e prende un boccone del panino mentre l'altro uomo gli sta accanto a lui e osserva.")</f>
        <v>L'uomo prende il piatto e prende un boccone del panino mentre l'altro uomo gli sta accanto a lui e osserva.</v>
      </c>
    </row>
    <row r="2073">
      <c r="A2073" s="4" t="s">
        <v>2604</v>
      </c>
      <c r="B2073" s="4" t="s">
        <v>2605</v>
      </c>
      <c r="C2073" s="5" t="str">
        <f>IFERROR(__xludf.DUMMYFUNCTION("GOOGLETRANSLATE(B2073,""en"",""it"")"),"Una persona recupera uno strumento da un armadio.")</f>
        <v>Una persona recupera uno strumento da un armadio.</v>
      </c>
    </row>
    <row r="2074">
      <c r="A2074" s="4" t="s">
        <v>2604</v>
      </c>
      <c r="B2074" s="4" t="s">
        <v>2606</v>
      </c>
      <c r="C2074" s="5" t="str">
        <f>IFERROR(__xludf.DUMMYFUNCTION("GOOGLETRANSLATE(B2074,""en"",""it"")"),"L'uomo esamina lo strumento in mano.")</f>
        <v>L'uomo esamina lo strumento in mano.</v>
      </c>
    </row>
    <row r="2075">
      <c r="A2075" s="4" t="s">
        <v>2604</v>
      </c>
      <c r="B2075" s="4" t="s">
        <v>2607</v>
      </c>
      <c r="C2075" s="5" t="str">
        <f>IFERROR(__xludf.DUMMYFUNCTION("GOOGLETRANSLATE(B2075,""en"",""it"")"),"La persona regge il violino al mento e si prepara.")</f>
        <v>La persona regge il violino al mento e si prepara.</v>
      </c>
    </row>
    <row r="2076">
      <c r="A2076" s="4" t="s">
        <v>2604</v>
      </c>
      <c r="B2076" s="4" t="s">
        <v>2608</v>
      </c>
      <c r="C2076" s="5" t="str">
        <f>IFERROR(__xludf.DUMMYFUNCTION("GOOGLETRANSLATE(B2076,""en"",""it"")"),"La persona suona una canzone sul violino.")</f>
        <v>La persona suona una canzone sul violino.</v>
      </c>
    </row>
    <row r="2077">
      <c r="A2077" s="4" t="s">
        <v>2604</v>
      </c>
      <c r="B2077" s="4" t="s">
        <v>2609</v>
      </c>
      <c r="C2077" s="5" t="str">
        <f>IFERROR(__xludf.DUMMYFUNCTION("GOOGLETRANSLATE(B2077,""en"",""it"")"),"L'uomo finisce la canzone e abbassa lo strumento.")</f>
        <v>L'uomo finisce la canzone e abbassa lo strumento.</v>
      </c>
    </row>
    <row r="2078">
      <c r="A2078" s="4" t="s">
        <v>2610</v>
      </c>
      <c r="B2078" s="4" t="s">
        <v>2611</v>
      </c>
      <c r="C2078" s="5" t="str">
        <f>IFERROR(__xludf.DUMMYFUNCTION("GOOGLETRANSLATE(B2078,""en"",""it"")"),"Due bambine prendono in paia una valigia e fanno un viaggio a New York City.")</f>
        <v>Due bambine prendono in paia una valigia e fanno un viaggio a New York City.</v>
      </c>
    </row>
    <row r="2079">
      <c r="A2079" s="4" t="s">
        <v>2610</v>
      </c>
      <c r="B2079" s="4" t="s">
        <v>2612</v>
      </c>
      <c r="C2079" s="5" t="str">
        <f>IFERROR(__xludf.DUMMYFUNCTION("GOOGLETRANSLATE(B2079,""en"",""it"")"),"Due bambine si trovano in una stanza vestita con costumi che in seguito si trasformano in abiti da ballerina.")</f>
        <v>Due bambine si trovano in una stanza vestita con costumi che in seguito si trasformano in abiti da ballerina.</v>
      </c>
    </row>
    <row r="2080">
      <c r="A2080" s="4" t="s">
        <v>2610</v>
      </c>
      <c r="B2080" s="4" t="s">
        <v>2613</v>
      </c>
      <c r="C2080" s="5" t="str">
        <f>IFERROR(__xludf.DUMMYFUNCTION("GOOGLETRANSLATE(B2080,""en"",""it"")"),"Le due ragazze iniziano a ballare insieme mentre cantano o parlano nella telecamera.")</f>
        <v>Le due ragazze iniziano a ballare insieme mentre cantano o parlano nella telecamera.</v>
      </c>
    </row>
    <row r="2081">
      <c r="A2081" s="4" t="s">
        <v>2610</v>
      </c>
      <c r="B2081" s="6" t="s">
        <v>2614</v>
      </c>
      <c r="C2081" s="5" t="str">
        <f>IFERROR(__xludf.DUMMYFUNCTION("GOOGLETRANSLATE(B2081,""en"",""it"")"),"La clip si sbiadisce per le due ragazze che piegano e imbaldano abiti in una valigia in una camera da letto in una casa, il tuto per le ragazze in una valigia rosa e poi si tagliano in una carrozza disegnata a cavallo nelle strade di New York, parlando e "&amp;"indicando punti di riferimento.")</f>
        <v>La clip si sbiadisce per le due ragazze che piegano e imbaldano abiti in una valigia in una camera da letto in una casa, il tuto per le ragazze in una valigia rosa e poi si tagliano in una carrozza disegnata a cavallo nelle strade di New York, parlando e indicando punti di riferimento.</v>
      </c>
    </row>
    <row r="2082">
      <c r="A2082" s="4" t="s">
        <v>2610</v>
      </c>
      <c r="B2082" s="6" t="s">
        <v>2615</v>
      </c>
      <c r="C2082" s="5" t="str">
        <f>IFERROR(__xludf.DUMMYFUNCTION("GOOGLETRANSLATE(B2082,""en"",""it"")"),"Il viaggio termina e le due ragazze si imbattono in un edificio e poi cantano insieme ai margini di una fontana prima di scappare.")</f>
        <v>Il viaggio termina e le due ragazze si imbattono in un edificio e poi cantano insieme ai margini di una fontana prima di scappare.</v>
      </c>
    </row>
    <row r="2083">
      <c r="A2083" s="4" t="s">
        <v>2616</v>
      </c>
      <c r="B2083" s="4" t="s">
        <v>2617</v>
      </c>
      <c r="C2083" s="5" t="str">
        <f>IFERROR(__xludf.DUMMYFUNCTION("GOOGLETRANSLATE(B2083,""en"",""it"")"),"Un uomo viene visto cavalcare su uno skateboard mentre la telecamera segue i suoi movimenti.")</f>
        <v>Un uomo viene visto cavalcare su uno skateboard mentre la telecamera segue i suoi movimenti.</v>
      </c>
    </row>
    <row r="2084">
      <c r="A2084" s="4" t="s">
        <v>2616</v>
      </c>
      <c r="B2084" s="4" t="s">
        <v>2618</v>
      </c>
      <c r="C2084" s="5" t="str">
        <f>IFERROR(__xludf.DUMMYFUNCTION("GOOGLETRANSLATE(B2084,""en"",""it"")"),"L'uomo pattina per la strada attraverso gli ostacoli e in fondo alla strada.")</f>
        <v>L'uomo pattina per la strada attraverso gli ostacoli e in fondo alla strada.</v>
      </c>
    </row>
    <row r="2085">
      <c r="A2085" s="4" t="s">
        <v>2616</v>
      </c>
      <c r="B2085" s="4" t="s">
        <v>2619</v>
      </c>
      <c r="C2085" s="5" t="str">
        <f>IFERROR(__xludf.DUMMYFUNCTION("GOOGLETRANSLATE(B2085,""en"",""it"")"),"Più persone continuano a cavalcare per strada mentre la telecamera li segue.")</f>
        <v>Più persone continuano a cavalcare per strada mentre la telecamera li segue.</v>
      </c>
    </row>
    <row r="2086">
      <c r="A2086" s="4" t="s">
        <v>2620</v>
      </c>
      <c r="B2086" s="4" t="s">
        <v>2621</v>
      </c>
      <c r="C2086" s="5" t="str">
        <f>IFERROR(__xludf.DUMMYFUNCTION("GOOGLETRANSLATE(B2086,""en"",""it"")"),"Una ballerina di pancia si vede muoversi lungo un palco e eseguire una routine mentre molti guardano.")</f>
        <v>Una ballerina di pancia si vede muoversi lungo un palco e eseguire una routine mentre molti guardano.</v>
      </c>
    </row>
    <row r="2087">
      <c r="A2087" s="4" t="s">
        <v>2620</v>
      </c>
      <c r="B2087" s="4" t="s">
        <v>2622</v>
      </c>
      <c r="C2087" s="5" t="str">
        <f>IFERROR(__xludf.DUMMYFUNCTION("GOOGLETRANSLATE(B2087,""en"",""it"")"),"Continua la routine e termina scuotendo i capelli e piegandosi all'indietro per posare.")</f>
        <v>Continua la routine e termina scuotendo i capelli e piegandosi all'indietro per posare.</v>
      </c>
    </row>
    <row r="2088">
      <c r="A2088" s="4" t="s">
        <v>2623</v>
      </c>
      <c r="B2088" s="4" t="s">
        <v>2624</v>
      </c>
      <c r="C2088" s="5" t="str">
        <f>IFERROR(__xludf.DUMMYFUNCTION("GOOGLETRANSLATE(B2088,""en"",""it"")"),"Due uomini cacciano e sparano a un bufalo in un ambiente sabbioso e deserto.")</f>
        <v>Due uomini cacciano e sparano a un bufalo in un ambiente sabbioso e deserto.</v>
      </c>
    </row>
    <row r="2089">
      <c r="A2089" s="4" t="s">
        <v>2623</v>
      </c>
      <c r="B2089" s="6" t="s">
        <v>2625</v>
      </c>
      <c r="C2089" s="5" t="str">
        <f>IFERROR(__xludf.DUMMYFUNCTION("GOOGLETRANSLATE(B2089,""en"",""it"")"),"Una stanza piena di animali di animali ripieni e cacciati in una stanza con molti di loro montati sui muri.")</f>
        <v>Una stanza piena di animali di animali ripieni e cacciati in una stanza con molti di loro montati sui muri.</v>
      </c>
    </row>
    <row r="2090">
      <c r="A2090" s="4" t="s">
        <v>2623</v>
      </c>
      <c r="B2090" s="6" t="s">
        <v>2626</v>
      </c>
      <c r="C2090" s="5" t="str">
        <f>IFERROR(__xludf.DUMMYFUNCTION("GOOGLETRANSLATE(B2090,""en"",""it"")"),"Due bufali marroni sono in piedi uno accanto all'altro su un terreno sabbioso con un tempo estremamente ventoso.")</f>
        <v>Due bufali marroni sono in piedi uno accanto all'altro su un terreno sabbioso con un tempo estremamente ventoso.</v>
      </c>
    </row>
    <row r="2091">
      <c r="A2091" s="4" t="s">
        <v>2623</v>
      </c>
      <c r="B2091" s="6" t="s">
        <v>2627</v>
      </c>
      <c r="C2091" s="5" t="str">
        <f>IFERROR(__xludf.DUMMYFUNCTION("GOOGLETRANSLATE(B2091,""en"",""it"")"),"Due uomini guardano i due Buffalos da lontano con armi montate che mirano a sparare mentre un uomo della telecamera si trova dietro di loro che filtrano l'incidente.")</f>
        <v>Due uomini guardano i due Buffalos da lontano con armi montate che mirano a sparare mentre un uomo della telecamera si trova dietro di loro che filtrano l'incidente.</v>
      </c>
    </row>
    <row r="2092">
      <c r="A2092" s="4" t="s">
        <v>2623</v>
      </c>
      <c r="B2092" s="4" t="s">
        <v>2628</v>
      </c>
      <c r="C2092" s="5" t="str">
        <f>IFERROR(__xludf.DUMMYFUNCTION("GOOGLETRANSLATE(B2092,""en"",""it"")"),"Uno dei Buffalos è colpito da un'arma a punta gialla mentre si allontana.")</f>
        <v>Uno dei Buffalos è colpito da un'arma a punta gialla mentre si allontana.</v>
      </c>
    </row>
    <row r="2093">
      <c r="A2093" s="4" t="s">
        <v>2623</v>
      </c>
      <c r="B2093" s="4" t="s">
        <v>2629</v>
      </c>
      <c r="C2093" s="5" t="str">
        <f>IFERROR(__xludf.DUMMYFUNCTION("GOOGLETRANSLATE(B2093,""en"",""it"")"),"Uno degli uomini viene quindi mostrato in piedi sopra l'animale morto.")</f>
        <v>Uno degli uomini viene quindi mostrato in piedi sopra l'animale morto.</v>
      </c>
    </row>
    <row r="2094">
      <c r="A2094" s="4" t="s">
        <v>2630</v>
      </c>
      <c r="B2094" s="6" t="s">
        <v>2631</v>
      </c>
      <c r="C2094" s="5" t="str">
        <f>IFERROR(__xludf.DUMMYFUNCTION("GOOGLETRANSLATE(B2094,""en"",""it"")"),"La donna è seduta davanti all'altra in una sala da consulenza e toglie gli occhiali e lavale le mani.")</f>
        <v>La donna è seduta davanti all'altra in una sala da consulenza e toglie gli occhiali e lavale le mani.</v>
      </c>
    </row>
    <row r="2095">
      <c r="A2095" s="4" t="s">
        <v>2630</v>
      </c>
      <c r="B2095" s="6" t="s">
        <v>2632</v>
      </c>
      <c r="C2095" s="5" t="str">
        <f>IFERROR(__xludf.DUMMYFUNCTION("GOOGLETRANSLATE(B2095,""en"",""it"")"),"La donna dà le sue lenti a contatto e l'altra donna lo tiene con l'indice mette un po 'di liquido e lo mette agli occhi, quindi fai lo stesso con l'altro contatto mettere le lenti e parlare con l'altra donna.")</f>
        <v>La donna dà le sue lenti a contatto e l'altra donna lo tiene con l'indice mette un po 'di liquido e lo mette agli occhi, quindi fai lo stesso con l'altro contatto mettere le lenti e parlare con l'altra donna.</v>
      </c>
    </row>
    <row r="2096">
      <c r="A2096" s="4" t="s">
        <v>2633</v>
      </c>
      <c r="B2096" s="4" t="s">
        <v>2634</v>
      </c>
      <c r="C2096" s="5" t="str">
        <f>IFERROR(__xludf.DUMMYFUNCTION("GOOGLETRANSLATE(B2096,""en"",""it"")"),"Tre persone sono viste in ginocchio su una piccola zattera e si lanciano nell'acqua.")</f>
        <v>Tre persone sono viste in ginocchio su una piccola zattera e si lanciano nell'acqua.</v>
      </c>
    </row>
    <row r="2097">
      <c r="A2097" s="4" t="s">
        <v>2633</v>
      </c>
      <c r="B2097" s="4" t="s">
        <v>2635</v>
      </c>
      <c r="C2097" s="5" t="str">
        <f>IFERROR(__xludf.DUMMYFUNCTION("GOOGLETRANSLATE(B2097,""en"",""it"")"),"Più persone vengono viste imbottire e si spostano verso le persone in acqua.")</f>
        <v>Più persone vengono viste imbottire e si spostano verso le persone in acqua.</v>
      </c>
    </row>
    <row r="2098">
      <c r="A2098" s="4" t="s">
        <v>2633</v>
      </c>
      <c r="B2098" s="4" t="s">
        <v>2636</v>
      </c>
      <c r="C2098" s="5" t="str">
        <f>IFERROR(__xludf.DUMMYFUNCTION("GOOGLETRANSLATE(B2098,""en"",""it"")"),"Le persone nell'acqua risalgono e infine si sono messe in canoa.")</f>
        <v>Le persone nell'acqua risalgono e infine si sono messe in canoa.</v>
      </c>
    </row>
    <row r="2099">
      <c r="A2099" s="4" t="s">
        <v>2637</v>
      </c>
      <c r="B2099" s="4" t="s">
        <v>2638</v>
      </c>
      <c r="C2099" s="5" t="str">
        <f>IFERROR(__xludf.DUMMYFUNCTION("GOOGLETRANSLATE(B2099,""en"",""it"")"),"Un lago si vede con la vista di uno skyline della città attraverso la strada.")</f>
        <v>Un lago si vede con la vista di uno skyline della città attraverso la strada.</v>
      </c>
    </row>
    <row r="2100">
      <c r="A2100" s="4" t="s">
        <v>2637</v>
      </c>
      <c r="B2100" s="4" t="s">
        <v>2639</v>
      </c>
      <c r="C2100" s="5" t="str">
        <f>IFERROR(__xludf.DUMMYFUNCTION("GOOGLETRANSLATE(B2100,""en"",""it"")"),"Un gruppo di camminatori cammina lungo il marciapiede vicino al lago.")</f>
        <v>Un gruppo di camminatori cammina lungo il marciapiede vicino al lago.</v>
      </c>
    </row>
    <row r="2101">
      <c r="A2101" s="4" t="s">
        <v>2637</v>
      </c>
      <c r="B2101" s="4" t="s">
        <v>2640</v>
      </c>
      <c r="C2101" s="5" t="str">
        <f>IFERROR(__xludf.DUMMYFUNCTION("GOOGLETRANSLATE(B2101,""en"",""it"")"),"Un uomo usa un ventilatore a neve su una zona del marciapiede.")</f>
        <v>Un uomo usa un ventilatore a neve su una zona del marciapiede.</v>
      </c>
    </row>
    <row r="2102">
      <c r="A2102" s="4" t="s">
        <v>2637</v>
      </c>
      <c r="B2102" s="4" t="s">
        <v>2641</v>
      </c>
      <c r="C2102" s="5" t="str">
        <f>IFERROR(__xludf.DUMMYFUNCTION("GOOGLETRANSLATE(B2102,""en"",""it"")"),"Le persone usano pale da neve per liberare il marciapiede.")</f>
        <v>Le persone usano pale da neve per liberare il marciapiede.</v>
      </c>
    </row>
    <row r="2103">
      <c r="A2103" s="4" t="s">
        <v>2637</v>
      </c>
      <c r="B2103" s="4" t="s">
        <v>2642</v>
      </c>
      <c r="C2103" s="5" t="str">
        <f>IFERROR(__xludf.DUMMYFUNCTION("GOOGLETRANSLATE(B2103,""en"",""it"")"),"Uno strumento di giardinaggio a vanga viene utilizzato per rompere il ghiaccio.")</f>
        <v>Uno strumento di giardinaggio a vanga viene utilizzato per rompere il ghiaccio.</v>
      </c>
    </row>
    <row r="2104">
      <c r="A2104" s="4" t="s">
        <v>2637</v>
      </c>
      <c r="B2104" s="4" t="s">
        <v>2643</v>
      </c>
      <c r="C2104" s="5" t="str">
        <f>IFERROR(__xludf.DUMMYFUNCTION("GOOGLETRANSLATE(B2104,""en"",""it"")"),"Un uomo applica sale nell'area del marciapiede libera.")</f>
        <v>Un uomo applica sale nell'area del marciapiede libera.</v>
      </c>
    </row>
    <row r="2105">
      <c r="A2105" s="4" t="s">
        <v>2644</v>
      </c>
      <c r="B2105" s="6" t="s">
        <v>2645</v>
      </c>
      <c r="C2105" s="5" t="str">
        <f>IFERROR(__xludf.DUMMYFUNCTION("GOOGLETRANSLATE(B2105,""en"",""it"")"),"Due persone vengono viste passare una palla indietro e quarta in piscina e conducono a parlare alla telecamera.")</f>
        <v>Due persone vengono viste passare una palla indietro e quarta in piscina e conducono a parlare alla telecamera.</v>
      </c>
    </row>
    <row r="2106">
      <c r="A2106" s="4" t="s">
        <v>2644</v>
      </c>
      <c r="B2106" s="6" t="s">
        <v>2646</v>
      </c>
      <c r="C2106" s="5" t="str">
        <f>IFERROR(__xludf.DUMMYFUNCTION("GOOGLETRANSLATE(B2106,""en"",""it"")"),"L'uomo dimostra come lanciare correttamente la palla con le mani mentre parla ancora alla telecamera.")</f>
        <v>L'uomo dimostra come lanciare correttamente la palla con le mani mentre parla ancora alla telecamera.</v>
      </c>
    </row>
    <row r="2107">
      <c r="A2107" s="4" t="s">
        <v>2647</v>
      </c>
      <c r="B2107" s="6" t="s">
        <v>2648</v>
      </c>
      <c r="C2107" s="5" t="str">
        <f>IFERROR(__xludf.DUMMYFUNCTION("GOOGLETRANSLATE(B2107,""en"",""it"")"),"Una giovane donna usa i prodotti per capelli e soffia i capelli dritti con un essiccatore che ha un pettine attaccato alla fine.")</f>
        <v>Una giovane donna usa i prodotti per capelli e soffia i capelli dritti con un essiccatore che ha un pettine attaccato alla fine.</v>
      </c>
    </row>
    <row r="2108">
      <c r="A2108" s="4" t="s">
        <v>2647</v>
      </c>
      <c r="B2108" s="6" t="s">
        <v>2649</v>
      </c>
      <c r="C2108" s="5" t="str">
        <f>IFERROR(__xludf.DUMMYFUNCTION("GOOGLETRANSLATE(B2108,""en"",""it"")"),"La donna inizia rimuovendo un turbante in tessuto Terry dalla testa e rivelando un batch di capelli bagnato.")</f>
        <v>La donna inizia rimuovendo un turbante in tessuto Terry dalla testa e rivelando un batch di capelli bagnato.</v>
      </c>
    </row>
    <row r="2109">
      <c r="A2109" s="4" t="s">
        <v>2647</v>
      </c>
      <c r="B2109" s="4" t="s">
        <v>2650</v>
      </c>
      <c r="C2109" s="5" t="str">
        <f>IFERROR(__xludf.DUMMYFUNCTION("GOOGLETRANSLATE(B2109,""en"",""it"")"),"La donna inizia quindi a mettersi la sezione dei capelli in trecce di torsione.")</f>
        <v>La donna inizia quindi a mettersi la sezione dei capelli in trecce di torsione.</v>
      </c>
    </row>
    <row r="2110">
      <c r="A2110" s="4" t="s">
        <v>2647</v>
      </c>
      <c r="B2110" s="4" t="s">
        <v>2651</v>
      </c>
      <c r="C2110" s="5" t="str">
        <f>IFERROR(__xludf.DUMMYFUNCTION("GOOGLETRANSLATE(B2110,""en"",""it"")"),"Le donne iniziano quindi a colpire le sezioni dei suoi capelli con un pettine attaccato.")</f>
        <v>Le donne iniziano quindi a colpire le sezioni dei suoi capelli con un pettine attaccato.</v>
      </c>
    </row>
    <row r="2111">
      <c r="A2111" s="4" t="s">
        <v>2647</v>
      </c>
      <c r="B2111" s="4" t="s">
        <v>2652</v>
      </c>
      <c r="C2111" s="5" t="str">
        <f>IFERROR(__xludf.DUMMYFUNCTION("GOOGLETRANSLATE(B2111,""en"",""it"")"),"La donna fa oscillare i capelli raddrizzati e sorride.")</f>
        <v>La donna fa oscillare i capelli raddrizzati e sorride.</v>
      </c>
    </row>
    <row r="2112">
      <c r="A2112" s="4" t="s">
        <v>2653</v>
      </c>
      <c r="B2112" s="6" t="s">
        <v>2654</v>
      </c>
      <c r="C2112" s="5" t="str">
        <f>IFERROR(__xludf.DUMMYFUNCTION("GOOGLETRANSLATE(B2112,""en"",""it"")"),"C'è un sandwich che è ancora intero ed è stato tagliato a metà in una forma triangolare e le parole bianche compaiono sullo schermo notando che si tratta di un ""sandwich Reuben"".")</f>
        <v>C'è un sandwich che è ancora intero ed è stato tagliato a metà in una forma triangolare e le parole bianche compaiono sullo schermo notando che si tratta di un "sandwich Reuben".</v>
      </c>
    </row>
    <row r="2113">
      <c r="A2113" s="4" t="s">
        <v>2653</v>
      </c>
      <c r="B2113" s="6" t="s">
        <v>2655</v>
      </c>
      <c r="C2113" s="5" t="str">
        <f>IFERROR(__xludf.DUMMYFUNCTION("GOOGLETRANSLATE(B2113,""en"",""it"")"),"Appare un uomo in cucina e sta mettendo condimenti in una padella e inizia a oscillare la padella.")</f>
        <v>Appare un uomo in cucina e sta mettendo condimenti in una padella e inizia a oscillare la padella.</v>
      </c>
    </row>
    <row r="2114">
      <c r="A2114" s="4" t="s">
        <v>2653</v>
      </c>
      <c r="B2114" s="6" t="s">
        <v>2656</v>
      </c>
      <c r="C2114" s="5" t="str">
        <f>IFERROR(__xludf.DUMMYFUNCTION("GOOGLETRANSLATE(B2114,""en"",""it"")"),"Un'introduzione di 6 diversi piccoli video di alimenti compaiono e c'è un testo sotto che dice ""Steve's Cooking"".")</f>
        <v>Un'introduzione di 6 diversi piccoli video di alimenti compaiono e c'è un testo sotto che dice "Steve's Cooking".</v>
      </c>
    </row>
    <row r="2115">
      <c r="A2115" s="4" t="s">
        <v>2653</v>
      </c>
      <c r="B2115" s="6" t="s">
        <v>2657</v>
      </c>
      <c r="C2115" s="5" t="str">
        <f>IFERROR(__xludf.DUMMYFUNCTION("GOOGLETRANSLATE(B2115,""en"",""it"")"),"Un grande pezzo di carne cruda appare su un piatto bianco e la parola Reuben lampeggia alcune volte come è mostrato in vari angoli diversi.")</f>
        <v>Un grande pezzo di carne cruda appare su un piatto bianco e la parola Reuben lampeggia alcune volte come è mostrato in vari angoli diversi.</v>
      </c>
    </row>
    <row r="2116">
      <c r="A2116" s="4" t="s">
        <v>2653</v>
      </c>
      <c r="B2116" s="6" t="s">
        <v>2658</v>
      </c>
      <c r="C2116" s="5" t="str">
        <f>IFERROR(__xludf.DUMMYFUNCTION("GOOGLETRANSLATE(B2116,""en"",""it"")"),"L'uomo quindi mette la carne in una pentola capiente e versa i liquidi su di essa fino a quando non è completamente coperta e inizia a condividerla con vari condimenti e allo stesso tempo i nomi dei condimenti appaiono sullo schermo mentre ogni condimenti"&amp;" cade.")</f>
        <v>L'uomo quindi mette la carne in una pentola capiente e versa i liquidi su di essa fino a quando non è completamente coperta e inizia a condividerla con vari condimenti e allo stesso tempo i nomi dei condimenti appaiono sullo schermo mentre ogni condimenti cade.</v>
      </c>
    </row>
    <row r="2117">
      <c r="A2117" s="4" t="s">
        <v>2653</v>
      </c>
      <c r="B2117" s="6" t="s">
        <v>2659</v>
      </c>
      <c r="C2117" s="5" t="str">
        <f>IFERROR(__xludf.DUMMYFUNCTION("GOOGLETRANSLATE(B2117,""en"",""it"")"),"Poi c'è un colpo vicino di un grosso coltello che sta schiacciando un mucchio di spicchi di aglio che vengono anche gettati nella pentola e i condimenti e la carne vengono mescolati delicatamente, quindi mostra rapidamente che l'acqua ora sta bollendo e i"&amp;"l testo si presenta che dice ""circa"". Un'ora per libbra ""e un coperchio viene messo sulla pentola.")</f>
        <v>Poi c'è un colpo vicino di un grosso coltello che sta schiacciando un mucchio di spicchi di aglio che vengono anche gettati nella pentola e i condimenti e la carne vengono mescolati delicatamente, quindi mostra rapidamente che l'acqua ora sta bollendo e il testo si presenta che dice "circa". Un'ora per libbra "e un coperchio viene messo sulla pentola.</v>
      </c>
    </row>
    <row r="2118">
      <c r="A2118" s="4" t="s">
        <v>2653</v>
      </c>
      <c r="B2118" s="6" t="s">
        <v>2660</v>
      </c>
      <c r="C2118" s="5" t="str">
        <f>IFERROR(__xludf.DUMMYFUNCTION("GOOGLETRANSLATE(B2118,""en"",""it"")"),"Un paio di pinze tira fuori un pezzo di carne dalla pentola e viene posizionato su una piastra quadrata bianca dove viene messo su un tagliere e viene tagliata sottilmente con un grande coltello seghettato.")</f>
        <v>Un paio di pinze tira fuori un pezzo di carne dalla pentola e viene posizionato su una piastra quadrata bianca dove viene messo su un tagliere e viene tagliata sottilmente con un grande coltello seghettato.</v>
      </c>
    </row>
    <row r="2119">
      <c r="A2119" s="4" t="s">
        <v>2653</v>
      </c>
      <c r="B2119" s="6" t="s">
        <v>2661</v>
      </c>
      <c r="C2119" s="5" t="str">
        <f>IFERROR(__xludf.DUMMYFUNCTION("GOOGLETRANSLATE(B2119,""en"",""it"")"),"Viene mostrata una grande ciotola chiare vuota e maionese, ketchup, gusto, salsa Worcesterchire e salsa piccante si spostano nella ciotola.")</f>
        <v>Viene mostrata una grande ciotola chiare vuota e maionese, ketchup, gusto, salsa Worcesterchire e salsa piccante si spostano nella ciotola.</v>
      </c>
    </row>
    <row r="2120">
      <c r="A2120" s="4" t="s">
        <v>2653</v>
      </c>
      <c r="B2120" s="6" t="s">
        <v>2662</v>
      </c>
      <c r="C2120" s="5" t="str">
        <f>IFERROR(__xludf.DUMMYFUNCTION("GOOGLETRANSLATE(B2120,""en"",""it"")"),"Una cipolla viola, un sedano e un prezzemolo vengono quindi tagliati individualmente e ognuno viene gettato individualmente nella ciotola dove inizia a essere mescolato da una frusta e poi conditi con sale e pepe e mescolato ancora.")</f>
        <v>Una cipolla viola, un sedano e un prezzemolo vengono quindi tagliati individualmente e ognuno viene gettato individualmente nella ciotola dove inizia a essere mescolato da una frusta e poi conditi con sale e pepe e mescolato ancora.</v>
      </c>
    </row>
    <row r="2121">
      <c r="A2121" s="4" t="s">
        <v>2653</v>
      </c>
      <c r="B2121" s="4" t="s">
        <v>2663</v>
      </c>
      <c r="C2121" s="5" t="str">
        <f>IFERROR(__xludf.DUMMYFUNCTION("GOOGLETRANSLATE(B2121,""en"",""it"")"),"Un dito si tuffa nella ciotola per ottenere un campione e la miscelazione continua per un po 'più a lungo.")</f>
        <v>Un dito si tuffa nella ciotola per ottenere un campione e la miscelazione continua per un po 'più a lungo.</v>
      </c>
    </row>
    <row r="2122">
      <c r="A2122" s="4" t="s">
        <v>2653</v>
      </c>
      <c r="B2122" s="6" t="s">
        <v>2664</v>
      </c>
      <c r="C2122" s="5" t="str">
        <f>IFERROR(__xludf.DUMMYFUNCTION("GOOGLETRANSLATE(B2122,""en"",""it"")"),"Un piccolo pennello con burro fuso inizia a imburrare il pane su entrambi i lati che viene messo su una griglia piatta e capovolto fino a quando entrambi i lati sono grigliati.")</f>
        <v>Un piccolo pennello con burro fuso inizia a imburrare il pane su entrambi i lati che viene messo su una griglia piatta e capovolto fino a quando entrambi i lati sono grigliati.</v>
      </c>
    </row>
    <row r="2123">
      <c r="A2123" s="4" t="s">
        <v>2653</v>
      </c>
      <c r="B2123" s="4" t="s">
        <v>2665</v>
      </c>
      <c r="C2123" s="5" t="str">
        <f>IFERROR(__xludf.DUMMYFUNCTION("GOOGLETRANSLATE(B2123,""en"",""it"")"),"Un po 'di cibo bianco grattugiato viene gettato sulla griglia e viene agitato da una spatola nera.")</f>
        <v>Un po 'di cibo bianco grattugiato viene gettato sulla griglia e viene agitato da una spatola nera.</v>
      </c>
    </row>
    <row r="2124">
      <c r="A2124" s="4" t="s">
        <v>2653</v>
      </c>
      <c r="B2124" s="6" t="s">
        <v>2666</v>
      </c>
      <c r="C2124" s="5" t="str">
        <f>IFERROR(__xludf.DUMMYFUNCTION("GOOGLETRANSLATE(B2124,""en"",""it"")"),"Fette sottili di carne appaiono accanto al cibo brandde bianco e vengono conditi con 3 fette di formaggio svizzero e coperte con una ciotola bianca fino a quando il formaggio si scioglie, quindi il cibo bianco grattugiato viene raccolto e messo sulla carn"&amp;"e e sul formaggio.")</f>
        <v>Fette sottili di carne appaiono accanto al cibo brandde bianco e vengono conditi con 3 fette di formaggio svizzero e coperte con una ciotola bianca fino a quando il formaggio si scioglie, quindi il cibo bianco grattugiato viene raccolto e messo sulla carne e sul formaggio.</v>
      </c>
    </row>
    <row r="2125">
      <c r="A2125" s="4" t="s">
        <v>2653</v>
      </c>
      <c r="B2125" s="6" t="s">
        <v>2667</v>
      </c>
      <c r="C2125" s="5" t="str">
        <f>IFERROR(__xludf.DUMMYFUNCTION("GOOGLETRANSLATE(B2125,""en"",""it"")"),"La salsa miscelata dalla ciotola trasparente viene quindi mostrata che viene distribuita sul pane con un cucchiaio e la carne, il formaggio e il cibo bianco grattugiato vengono messi sul pane, conditi con l'altro pane, quindi tagliato a metà diagonale.")</f>
        <v>La salsa miscelata dalla ciotola trasparente viene quindi mostrata che viene distribuita sul pane con un cucchiaio e la carne, il formaggio e il cibo bianco grattugiato vengono messi sul pane, conditi con l'altro pane, quindi tagliato a metà diagonale.</v>
      </c>
    </row>
    <row r="2126">
      <c r="A2126" s="4" t="s">
        <v>2653</v>
      </c>
      <c r="B2126" s="6" t="s">
        <v>2668</v>
      </c>
      <c r="C2126" s="5" t="str">
        <f>IFERROR(__xludf.DUMMYFUNCTION("GOOGLETRANSLATE(B2126,""en"",""it"")"),"Il sandwich viene quindi sparso e una mano raccoglie una metà per mostrarlo a diverse angola della carne che viene affettata.")</f>
        <v>Il sandwich viene quindi sparso e una mano raccoglie una metà per mostrarlo a diverse angola della carne che viene affettata.</v>
      </c>
    </row>
    <row r="2127">
      <c r="A2127" s="4" t="s">
        <v>2669</v>
      </c>
      <c r="B2127" s="6" t="s">
        <v>2670</v>
      </c>
      <c r="C2127" s="5" t="str">
        <f>IFERROR(__xludf.DUMMYFUNCTION("GOOGLETRANSLATE(B2127,""en"",""it"")"),"Un grande uomo viene visto in piedi e inchinarsi di fronte a un altro grande uomo mentre uno tiene fuori le mani tra i due uomini.")</f>
        <v>Un grande uomo viene visto in piedi e inchinarsi di fronte a un altro grande uomo mentre uno tiene fuori le mani tra i due uomini.</v>
      </c>
    </row>
    <row r="2128">
      <c r="A2128" s="4" t="s">
        <v>2669</v>
      </c>
      <c r="B2128" s="4" t="s">
        <v>2671</v>
      </c>
      <c r="C2128" s="5" t="str">
        <f>IFERROR(__xludf.DUMMYFUNCTION("GOOGLETRANSLATE(B2128,""en"",""it"")"),"Diverse persone si siedono intorno al cerchio e al cerchio e agli uomini lottano l'un l'altro.")</f>
        <v>Diverse persone si siedono intorno al cerchio e al cerchio e agli uomini lottano l'un l'altro.</v>
      </c>
    </row>
    <row r="2129">
      <c r="A2129" s="4" t="s">
        <v>2669</v>
      </c>
      <c r="B2129" s="4" t="s">
        <v>2672</v>
      </c>
      <c r="C2129" s="5" t="str">
        <f>IFERROR(__xludf.DUMMYFUNCTION("GOOGLETRANSLATE(B2129,""en"",""it"")"),"Uno spinge l'altro a terra e il pubblico applaudi.")</f>
        <v>Uno spinge l'altro a terra e il pubblico applaudi.</v>
      </c>
    </row>
    <row r="2130">
      <c r="A2130" s="4" t="s">
        <v>2669</v>
      </c>
      <c r="B2130" s="4" t="s">
        <v>2673</v>
      </c>
      <c r="C2130" s="5" t="str">
        <f>IFERROR(__xludf.DUMMYFUNCTION("GOOGLETRANSLATE(B2130,""en"",""it"")"),"L'uomo spinge un altro fuori dal cerchio e il pubblico si aggrappa ancora una volta.")</f>
        <v>L'uomo spinge un altro fuori dal cerchio e il pubblico si aggrappa ancora una volta.</v>
      </c>
    </row>
    <row r="2131">
      <c r="A2131" s="4" t="s">
        <v>2674</v>
      </c>
      <c r="B2131" s="4" t="s">
        <v>2675</v>
      </c>
      <c r="C2131" s="5" t="str">
        <f>IFERROR(__xludf.DUMMYFUNCTION("GOOGLETRANSLATE(B2131,""en"",""it"")"),"Un uomo tira fuori il ghiaccio sopra i finestrini di un'auto.")</f>
        <v>Un uomo tira fuori il ghiaccio sopra i finestrini di un'auto.</v>
      </c>
    </row>
    <row r="2132">
      <c r="A2132" s="4" t="s">
        <v>2674</v>
      </c>
      <c r="B2132" s="4" t="s">
        <v>2676</v>
      </c>
      <c r="C2132" s="5" t="str">
        <f>IFERROR(__xludf.DUMMYFUNCTION("GOOGLETRANSLATE(B2132,""en"",""it"")"),"Una persona sta guardando un uomo che tira fuori ghiaccio su un'auto.")</f>
        <v>Una persona sta guardando un uomo che tira fuori ghiaccio su un'auto.</v>
      </c>
    </row>
    <row r="2133">
      <c r="A2133" s="4" t="s">
        <v>2677</v>
      </c>
      <c r="B2133" s="4" t="s">
        <v>2678</v>
      </c>
      <c r="C2133" s="5" t="str">
        <f>IFERROR(__xludf.DUMMYFUNCTION("GOOGLETRANSLATE(B2133,""en"",""it"")"),"Una donna aggiunge ghiaccio su un bicchiere mentre parla.")</f>
        <v>Una donna aggiunge ghiaccio su un bicchiere mentre parla.</v>
      </c>
    </row>
    <row r="2134">
      <c r="A2134" s="4" t="s">
        <v>2677</v>
      </c>
      <c r="B2134" s="4" t="s">
        <v>2679</v>
      </c>
      <c r="C2134" s="5" t="str">
        <f>IFERROR(__xludf.DUMMYFUNCTION("GOOGLETRANSLATE(B2134,""en"",""it"")"),"Quindi, la donna aggiunge sciroppo nel vetro usando una tazza di misura.")</f>
        <v>Quindi, la donna aggiunge sciroppo nel vetro usando una tazza di misura.</v>
      </c>
    </row>
    <row r="2135">
      <c r="A2135" s="4" t="s">
        <v>2677</v>
      </c>
      <c r="B2135" s="4" t="s">
        <v>2680</v>
      </c>
      <c r="C2135" s="5" t="str">
        <f>IFERROR(__xludf.DUMMYFUNCTION("GOOGLETRANSLATE(B2135,""en"",""it"")"),"Dopo, la donna aggiunge liquido al vetro, quindi versa in una tazza nera.")</f>
        <v>Dopo, la donna aggiunge liquido al vetro, quindi versa in una tazza nera.</v>
      </c>
    </row>
    <row r="2136">
      <c r="A2136" s="4" t="s">
        <v>2677</v>
      </c>
      <c r="B2136" s="4" t="s">
        <v>2681</v>
      </c>
      <c r="C2136" s="5" t="str">
        <f>IFERROR(__xludf.DUMMYFUNCTION("GOOGLETRANSLATE(B2136,""en"",""it"")"),"Dopo, la donna serve il mix in un altro bicchiere.")</f>
        <v>Dopo, la donna serve il mix in un altro bicchiere.</v>
      </c>
    </row>
    <row r="2137">
      <c r="A2137" s="4" t="s">
        <v>2682</v>
      </c>
      <c r="B2137" s="4" t="s">
        <v>2683</v>
      </c>
      <c r="C2137" s="5" t="str">
        <f>IFERROR(__xludf.DUMMYFUNCTION("GOOGLETRANSLATE(B2137,""en"",""it"")"),"Due uomini stanno facendo arti marziali con gli altri intorno a loro che guardano.")</f>
        <v>Due uomini stanno facendo arti marziali con gli altri intorno a loro che guardano.</v>
      </c>
    </row>
    <row r="2138">
      <c r="A2138" s="4" t="s">
        <v>2682</v>
      </c>
      <c r="B2138" s="4" t="s">
        <v>2684</v>
      </c>
      <c r="C2138" s="5" t="str">
        <f>IFERROR(__xludf.DUMMYFUNCTION("GOOGLETRANSLATE(B2138,""en"",""it"")"),"Molti altri uomini vengono mostrati a fare diversi lanci e trucchi.")</f>
        <v>Molti altri uomini vengono mostrati a fare diversi lanci e trucchi.</v>
      </c>
    </row>
    <row r="2139">
      <c r="A2139" s="4" t="s">
        <v>2682</v>
      </c>
      <c r="B2139" s="4" t="s">
        <v>2685</v>
      </c>
      <c r="C2139" s="5" t="str">
        <f>IFERROR(__xludf.DUMMYFUNCTION("GOOGLETRANSLATE(B2139,""en"",""it"")"),"Due uomini si girano l'uno vicino all'altro mentre altri intorno a loro guardano.")</f>
        <v>Due uomini si girano l'uno vicino all'altro mentre altri intorno a loro guardano.</v>
      </c>
    </row>
    <row r="2140">
      <c r="A2140" s="4" t="s">
        <v>2686</v>
      </c>
      <c r="B2140" s="4" t="s">
        <v>2687</v>
      </c>
      <c r="C2140" s="5" t="str">
        <f>IFERROR(__xludf.DUMMYFUNCTION("GOOGLETRANSLATE(B2140,""en"",""it"")"),"Un uomo sta levigando una sostanza su un tetto con una cazzuola.")</f>
        <v>Un uomo sta levigando una sostanza su un tetto con una cazzuola.</v>
      </c>
    </row>
    <row r="2141">
      <c r="A2141" s="4" t="s">
        <v>2686</v>
      </c>
      <c r="B2141" s="4" t="s">
        <v>2688</v>
      </c>
      <c r="C2141" s="5" t="str">
        <f>IFERROR(__xludf.DUMMYFUNCTION("GOOGLETRANSLATE(B2141,""en"",""it"")"),"Si muove rapidamente per appianare le ammaccature.")</f>
        <v>Si muove rapidamente per appianare le ammaccature.</v>
      </c>
    </row>
    <row r="2142">
      <c r="A2142" s="4" t="s">
        <v>2686</v>
      </c>
      <c r="B2142" s="4" t="s">
        <v>2689</v>
      </c>
      <c r="C2142" s="5" t="str">
        <f>IFERROR(__xludf.DUMMYFUNCTION("GOOGLETRANSLATE(B2142,""en"",""it"")"),"L'uomo si sposta sul fondo e si liscia nella parte superiore.")</f>
        <v>L'uomo si sposta sul fondo e si liscia nella parte superiore.</v>
      </c>
    </row>
    <row r="2143">
      <c r="A2143" s="4" t="s">
        <v>2686</v>
      </c>
      <c r="B2143" s="4" t="s">
        <v>2690</v>
      </c>
      <c r="C2143" s="5" t="str">
        <f>IFERROR(__xludf.DUMMYFUNCTION("GOOGLETRANSLATE(B2143,""en"",""it"")"),"Finisce e si allontana.")</f>
        <v>Finisce e si allontana.</v>
      </c>
    </row>
    <row r="2144">
      <c r="A2144" s="4" t="s">
        <v>2691</v>
      </c>
      <c r="B2144" s="4" t="s">
        <v>2692</v>
      </c>
      <c r="C2144" s="5" t="str">
        <f>IFERROR(__xludf.DUMMYFUNCTION("GOOGLETRANSLATE(B2144,""en"",""it"")"),"Una donna bionda si trova vicino a un ponte che urla.")</f>
        <v>Una donna bionda si trova vicino a un ponte che urla.</v>
      </c>
    </row>
    <row r="2145">
      <c r="A2145" s="4" t="s">
        <v>2691</v>
      </c>
      <c r="B2145" s="4" t="s">
        <v>2693</v>
      </c>
      <c r="C2145" s="5" t="str">
        <f>IFERROR(__xludf.DUMMYFUNCTION("GOOGLETRANSLATE(B2145,""en"",""it"")"),"Una bruna estende il filo viola e rosso alla donna.")</f>
        <v>Una bruna estende il filo viola e rosso alla donna.</v>
      </c>
    </row>
    <row r="2146">
      <c r="A2146" s="4" t="s">
        <v>2691</v>
      </c>
      <c r="B2146" s="4" t="s">
        <v>2694</v>
      </c>
      <c r="C2146" s="5" t="str">
        <f>IFERROR(__xludf.DUMMYFUNCTION("GOOGLETRANSLATE(B2146,""en"",""it"")"),"La donna lo sta allucinando e quindi sta facendo un'intervista.")</f>
        <v>La donna lo sta allucinando e quindi sta facendo un'intervista.</v>
      </c>
    </row>
    <row r="2147">
      <c r="A2147" s="4" t="s">
        <v>2691</v>
      </c>
      <c r="B2147" s="4" t="s">
        <v>2695</v>
      </c>
      <c r="C2147" s="5" t="str">
        <f>IFERROR(__xludf.DUMMYFUNCTION("GOOGLETRANSLATE(B2147,""en"",""it"")"),"Un gruppo di persone in una classe si muove allegramente e gioca con il filo.")</f>
        <v>Un gruppo di persone in una classe si muove allegramente e gioca con il filo.</v>
      </c>
    </row>
    <row r="2148">
      <c r="A2148" s="4" t="s">
        <v>2691</v>
      </c>
      <c r="B2148" s="6" t="s">
        <v>2696</v>
      </c>
      <c r="C2148" s="5" t="str">
        <f>IFERROR(__xludf.DUMMYFUNCTION("GOOGLETRANSLATE(B2148,""en"",""it"")"),"La donna bionda allucina vedendo la donna che le ha dato il filo e inizia a ridere istericamente.")</f>
        <v>La donna bionda allucina vedendo la donna che le ha dato il filo e inizia a ridere istericamente.</v>
      </c>
    </row>
    <row r="2149">
      <c r="A2149" s="4" t="s">
        <v>2691</v>
      </c>
      <c r="B2149" s="4" t="s">
        <v>2697</v>
      </c>
      <c r="C2149" s="5" t="str">
        <f>IFERROR(__xludf.DUMMYFUNCTION("GOOGLETRANSLATE(B2149,""en"",""it"")"),"Il gruppo mostra allegramente il loro filo.")</f>
        <v>Il gruppo mostra allegramente il loro filo.</v>
      </c>
    </row>
    <row r="2150">
      <c r="A2150" s="4" t="s">
        <v>2698</v>
      </c>
      <c r="B2150" s="4" t="s">
        <v>2699</v>
      </c>
      <c r="C2150" s="5" t="str">
        <f>IFERROR(__xludf.DUMMYFUNCTION("GOOGLETRANSLATE(B2150,""en"",""it"")"),"Una folla guarda uno spettacolo di ginnastica.")</f>
        <v>Una folla guarda uno spettacolo di ginnastica.</v>
      </c>
    </row>
    <row r="2151">
      <c r="A2151" s="4" t="s">
        <v>2698</v>
      </c>
      <c r="B2151" s="6" t="s">
        <v>2700</v>
      </c>
      <c r="C2151" s="5" t="str">
        <f>IFERROR(__xludf.DUMMYFUNCTION("GOOGLETRANSLATE(B2151,""en"",""it"")"),"Una ginnasta corre fino a una barra alta e si alterna tra il bar alto e basso, eseguendo varie mosse di ginnastica e lancia.")</f>
        <v>Una ginnasta corre fino a una barra alta e si alterna tra il bar alto e basso, eseguendo varie mosse di ginnastica e lancia.</v>
      </c>
    </row>
    <row r="2152">
      <c r="A2152" s="4" t="s">
        <v>2698</v>
      </c>
      <c r="B2152" s="4" t="s">
        <v>2701</v>
      </c>
      <c r="C2152" s="5" t="str">
        <f>IFERROR(__xludf.DUMMYFUNCTION("GOOGLETRANSLATE(B2152,""en"",""it"")"),"Si gira dal bar e atterra in piedi.")</f>
        <v>Si gira dal bar e atterra in piedi.</v>
      </c>
    </row>
    <row r="2153">
      <c r="A2153" s="4" t="s">
        <v>2698</v>
      </c>
      <c r="B2153" s="4" t="s">
        <v>2702</v>
      </c>
      <c r="C2153" s="5" t="str">
        <f>IFERROR(__xludf.DUMMYFUNCTION("GOOGLETRANSLATE(B2153,""en"",""it"")"),"I suoi compagni ginnasti si scontrano per l'eccitazione.")</f>
        <v>I suoi compagni ginnasti si scontrano per l'eccitazione.</v>
      </c>
    </row>
    <row r="2154">
      <c r="A2154" s="4" t="s">
        <v>2703</v>
      </c>
      <c r="B2154" s="4" t="s">
        <v>2704</v>
      </c>
      <c r="C2154" s="5" t="str">
        <f>IFERROR(__xludf.DUMMYFUNCTION("GOOGLETRANSLATE(B2154,""en"",""it"")"),"Un uomo in un vestito blu mette il gesso sulle mani.")</f>
        <v>Un uomo in un vestito blu mette il gesso sulle mani.</v>
      </c>
    </row>
    <row r="2155">
      <c r="A2155" s="4" t="s">
        <v>2703</v>
      </c>
      <c r="B2155" s="4" t="s">
        <v>2705</v>
      </c>
      <c r="C2155" s="5" t="str">
        <f>IFERROR(__xludf.DUMMYFUNCTION("GOOGLETRANSLATE(B2155,""en"",""it"")"),"Un uomo con una camicia gialla sta guardando.")</f>
        <v>Un uomo con una camicia gialla sta guardando.</v>
      </c>
    </row>
    <row r="2156">
      <c r="A2156" s="4" t="s">
        <v>2703</v>
      </c>
      <c r="B2156" s="4" t="s">
        <v>2706</v>
      </c>
      <c r="C2156" s="5" t="str">
        <f>IFERROR(__xludf.DUMMYFUNCTION("GOOGLETRANSLATE(B2156,""en"",""it"")"),"L'uomo nell'outfit blu raccoglie un peso grande e se lo solleva sopra la testa.")</f>
        <v>L'uomo nell'outfit blu raccoglie un peso grande e se lo solleva sopra la testa.</v>
      </c>
    </row>
    <row r="2157">
      <c r="A2157" s="4" t="s">
        <v>2703</v>
      </c>
      <c r="B2157" s="4" t="s">
        <v>2707</v>
      </c>
      <c r="C2157" s="5" t="str">
        <f>IFERROR(__xludf.DUMMYFUNCTION("GOOGLETRANSLATE(B2157,""en"",""it"")"),"La folla applaude per lui.")</f>
        <v>La folla applaude per lui.</v>
      </c>
    </row>
    <row r="2158">
      <c r="A2158" s="4" t="s">
        <v>2703</v>
      </c>
      <c r="B2158" s="4" t="s">
        <v>2708</v>
      </c>
      <c r="C2158" s="5" t="str">
        <f>IFERROR(__xludf.DUMMYFUNCTION("GOOGLETRANSLATE(B2158,""en"",""it"")"),"Dà un uomo in un abito.")</f>
        <v>Dà un uomo in un abito.</v>
      </c>
    </row>
    <row r="2159">
      <c r="A2159" s="4" t="s">
        <v>2709</v>
      </c>
      <c r="B2159" s="4" t="s">
        <v>2710</v>
      </c>
      <c r="C2159" s="5" t="str">
        <f>IFERROR(__xludf.DUMMYFUNCTION("GOOGLETRANSLATE(B2159,""en"",""it"")"),"Tre uomini che indossano gli snowboard tirano fuori un sollevamento da sci e un uomo lega la scarpa.")</f>
        <v>Tre uomini che indossano gli snowboard tirano fuori un sollevamento da sci e un uomo lega la scarpa.</v>
      </c>
    </row>
    <row r="2160">
      <c r="A2160" s="4" t="s">
        <v>2709</v>
      </c>
      <c r="B2160" s="4" t="s">
        <v>2711</v>
      </c>
      <c r="C2160" s="5" t="str">
        <f>IFERROR(__xludf.DUMMYFUNCTION("GOOGLETRANSLATE(B2160,""en"",""it"")"),"Quindi, gli uomini sciano giù da una collina coperta di neve.")</f>
        <v>Quindi, gli uomini sciano giù da una collina coperta di neve.</v>
      </c>
    </row>
    <row r="2161">
      <c r="A2161" s="4" t="s">
        <v>2709</v>
      </c>
      <c r="B2161" s="4" t="s">
        <v>2712</v>
      </c>
      <c r="C2161" s="5" t="str">
        <f>IFERROR(__xludf.DUMMYFUNCTION("GOOGLETRANSLATE(B2161,""en"",""it"")"),"Un uomo si piega le gambe sulla neve, quindi continua a sciare con altri uomini.")</f>
        <v>Un uomo si piega le gambe sulla neve, quindi continua a sciare con altri uomini.</v>
      </c>
    </row>
    <row r="2162">
      <c r="A2162" s="4" t="s">
        <v>2713</v>
      </c>
      <c r="B2162" s="4" t="s">
        <v>2714</v>
      </c>
      <c r="C2162" s="5" t="str">
        <f>IFERROR(__xludf.DUMMYFUNCTION("GOOGLETRANSLATE(B2162,""en"",""it"")"),"Un uomo che tiene un tiro messo su una base.")</f>
        <v>Un uomo che tiene un tiro messo su una base.</v>
      </c>
    </row>
    <row r="2163">
      <c r="A2163" s="4" t="s">
        <v>2713</v>
      </c>
      <c r="B2163" s="4" t="s">
        <v>2715</v>
      </c>
      <c r="C2163" s="5" t="str">
        <f>IFERROR(__xludf.DUMMYFUNCTION("GOOGLETRANSLATE(B2163,""en"",""it"")"),"L'uomo gira le spalle alla telecamera e si prepara a lanciare.")</f>
        <v>L'uomo gira le spalle alla telecamera e si prepara a lanciare.</v>
      </c>
    </row>
    <row r="2164">
      <c r="A2164" s="4" t="s">
        <v>2713</v>
      </c>
      <c r="B2164" s="4" t="s">
        <v>2716</v>
      </c>
      <c r="C2164" s="5" t="str">
        <f>IFERROR(__xludf.DUMMYFUNCTION("GOOGLETRANSLATE(B2164,""en"",""it"")"),"L'uomo lancia la palla e gira intorno.")</f>
        <v>L'uomo lancia la palla e gira intorno.</v>
      </c>
    </row>
    <row r="2165">
      <c r="A2165" s="4" t="s">
        <v>2717</v>
      </c>
      <c r="B2165" s="4" t="s">
        <v>2718</v>
      </c>
      <c r="C2165" s="5" t="str">
        <f>IFERROR(__xludf.DUMMYFUNCTION("GOOGLETRANSLATE(B2165,""en"",""it"")"),"Una donna è sulle mani e le ginocchia taglia l'erba con alcune forbici.")</f>
        <v>Una donna è sulle mani e le ginocchia taglia l'erba con alcune forbici.</v>
      </c>
    </row>
    <row r="2166">
      <c r="A2166" s="4" t="s">
        <v>2717</v>
      </c>
      <c r="B2166" s="4" t="s">
        <v>2719</v>
      </c>
      <c r="C2166" s="5" t="str">
        <f>IFERROR(__xludf.DUMMYFUNCTION("GOOGLETRANSLATE(B2166,""en"",""it"")"),"La telecamera si estende per dare una vista completa del suo taglio dell'erba.")</f>
        <v>La telecamera si estende per dare una vista completa del suo taglio dell'erba.</v>
      </c>
    </row>
    <row r="2167">
      <c r="A2167" s="4" t="s">
        <v>2717</v>
      </c>
      <c r="B2167" s="4" t="s">
        <v>2720</v>
      </c>
      <c r="C2167" s="5" t="str">
        <f>IFERROR(__xludf.DUMMYFUNCTION("GOOGLETRANSLATE(B2167,""en"",""it"")"),"Fa una battuta sull'erba che ha scoppi e radici cattive.")</f>
        <v>Fa una battuta sull'erba che ha scoppi e radici cattive.</v>
      </c>
    </row>
    <row r="2168">
      <c r="A2168" s="4" t="s">
        <v>2717</v>
      </c>
      <c r="B2168" s="4" t="s">
        <v>2721</v>
      </c>
      <c r="C2168" s="5" t="str">
        <f>IFERROR(__xludf.DUMMYFUNCTION("GOOGLETRANSLATE(B2168,""en"",""it"")"),"La fotocamera torna a un primo piano dell'erba e il video termina.")</f>
        <v>La fotocamera torna a un primo piano dell'erba e il video termina.</v>
      </c>
    </row>
    <row r="2169">
      <c r="A2169" s="4" t="s">
        <v>2722</v>
      </c>
      <c r="B2169" s="6" t="s">
        <v>2723</v>
      </c>
      <c r="C2169" s="5" t="str">
        <f>IFERROR(__xludf.DUMMYFUNCTION("GOOGLETRANSLATE(B2169,""en"",""it"")"),"Una telecamera si panoramica attorno a diverse aree boscose e conduce in un ragazzo con un soffiatore di foglie e sorride alla telecamera.")</f>
        <v>Una telecamera si panoramica attorno a diverse aree boscose e conduce in un ragazzo con un soffiatore di foglie e sorride alla telecamera.</v>
      </c>
    </row>
    <row r="2170">
      <c r="A2170" s="4" t="s">
        <v>2722</v>
      </c>
      <c r="B2170" s="4" t="s">
        <v>2724</v>
      </c>
      <c r="C2170" s="5" t="str">
        <f>IFERROR(__xludf.DUMMYFUNCTION("GOOGLETRANSLATE(B2170,""en"",""it"")"),"La telecamera si panoramica verso un uomo più anziano e poi di nuovo ai ragazzi che soffiano foglie.")</f>
        <v>La telecamera si panoramica verso un uomo più anziano e poi di nuovo ai ragazzi che soffiano foglie.</v>
      </c>
    </row>
    <row r="2171">
      <c r="A2171" s="4" t="s">
        <v>2725</v>
      </c>
      <c r="B2171" s="4" t="s">
        <v>2726</v>
      </c>
      <c r="C2171" s="5" t="str">
        <f>IFERROR(__xludf.DUMMYFUNCTION("GOOGLETRANSLATE(B2171,""en"",""it"")"),"Un uomo con tronchi verdi getta un uomo in bauli rossi in un anello di wrestling.")</f>
        <v>Un uomo con tronchi verdi getta un uomo in bauli rossi in un anello di wrestling.</v>
      </c>
    </row>
    <row r="2172">
      <c r="A2172" s="4" t="s">
        <v>2725</v>
      </c>
      <c r="B2172" s="4" t="s">
        <v>2727</v>
      </c>
      <c r="C2172" s="5" t="str">
        <f>IFERROR(__xludf.DUMMYFUNCTION("GOOGLETRANSLATE(B2172,""en"",""it"")"),"L'uomo con tronchi verdi esce dal ring.")</f>
        <v>L'uomo con tronchi verdi esce dal ring.</v>
      </c>
    </row>
    <row r="2173">
      <c r="A2173" s="4" t="s">
        <v>2725</v>
      </c>
      <c r="B2173" s="4" t="s">
        <v>2728</v>
      </c>
      <c r="C2173" s="5" t="str">
        <f>IFERROR(__xludf.DUMMYFUNCTION("GOOGLETRANSLATE(B2173,""en"",""it"")"),"L'uomo in tronchi verdi lancia l'altro uomo.")</f>
        <v>L'uomo in tronchi verdi lancia l'altro uomo.</v>
      </c>
    </row>
    <row r="2174">
      <c r="A2174" s="4" t="s">
        <v>2725</v>
      </c>
      <c r="B2174" s="4" t="s">
        <v>2729</v>
      </c>
      <c r="C2174" s="5" t="str">
        <f>IFERROR(__xludf.DUMMYFUNCTION("GOOGLETRANSLATE(B2174,""en"",""it"")"),"L'uomo con tronchi verdi power bombe l'altro uomo.")</f>
        <v>L'uomo con tronchi verdi power bombe l'altro uomo.</v>
      </c>
    </row>
    <row r="2175">
      <c r="A2175" s="4" t="s">
        <v>2725</v>
      </c>
      <c r="B2175" s="4" t="s">
        <v>2730</v>
      </c>
      <c r="C2175" s="5" t="str">
        <f>IFERROR(__xludf.DUMMYFUNCTION("GOOGLETRANSLATE(B2175,""en"",""it"")"),"L'uomo in Green Trunks si inserisce l'altro uomo e vince la partita.")</f>
        <v>L'uomo in Green Trunks si inserisce l'altro uomo e vince la partita.</v>
      </c>
    </row>
    <row r="2176">
      <c r="A2176" s="4" t="s">
        <v>2731</v>
      </c>
      <c r="B2176" s="6" t="s">
        <v>2732</v>
      </c>
      <c r="C2176" s="5" t="str">
        <f>IFERROR(__xludf.DUMMYFUNCTION("GOOGLETRANSLATE(B2176,""en"",""it"")"),"Sta nevicando fuori da una casa con un furgone grigio parcheggiato e l'uomo tiene strumenti, mette giù la telecamera e poi inizia a pulire la neve dal furgone.")</f>
        <v>Sta nevicando fuori da una casa con un furgone grigio parcheggiato e l'uomo tiene strumenti, mette giù la telecamera e poi inizia a pulire la neve dal furgone.</v>
      </c>
    </row>
    <row r="2177">
      <c r="A2177" s="4" t="s">
        <v>2731</v>
      </c>
      <c r="B2177" s="6" t="s">
        <v>2733</v>
      </c>
      <c r="C2177" s="5" t="str">
        <f>IFERROR(__xludf.DUMMYFUNCTION("GOOGLETRANSLATE(B2177,""en"",""it"")"),"L'uomo sposta la fotocamera e regola la posizione e poi torna al furgone inizia a pulire la neve dall'intera parte superiore del furgone.")</f>
        <v>L'uomo sposta la fotocamera e regola la posizione e poi torna al furgone inizia a pulire la neve dall'intera parte superiore del furgone.</v>
      </c>
    </row>
    <row r="2178">
      <c r="A2178" s="4" t="s">
        <v>2731</v>
      </c>
      <c r="B2178" s="6" t="s">
        <v>2734</v>
      </c>
      <c r="C2178" s="5" t="str">
        <f>IFERROR(__xludf.DUMMYFUNCTION("GOOGLETRANSLATE(B2178,""en"",""it"")"),"L'uomo torna alla telecamera e la sposta ancora una volta in modo che possa catturare una vista diversa e continua a asciugare la neve dal lato e dalla parte superiore del furgone.")</f>
        <v>L'uomo torna alla telecamera e la sposta ancora una volta in modo che possa catturare una vista diversa e continua a asciugare la neve dal lato e dalla parte superiore del furgone.</v>
      </c>
    </row>
    <row r="2179">
      <c r="A2179" s="4" t="s">
        <v>2731</v>
      </c>
      <c r="B2179" s="6" t="s">
        <v>2735</v>
      </c>
      <c r="C2179" s="5" t="str">
        <f>IFERROR(__xludf.DUMMYFUNCTION("GOOGLETRANSLATE(B2179,""en"",""it"")"),"Il pezzo dello strumento si interrompe e l'uomo lo afferra e lo mostra alla telecamera e continua a parlare, si spengono e mostra la fotocamera che ha risolto lo strumento e quindi sposta di nuovo la fotocamera.")</f>
        <v>Il pezzo dello strumento si interrompe e l'uomo lo afferra e lo mostra alla telecamera e continua a parlare, si spengono e mostra la fotocamera che ha risolto lo strumento e quindi sposta di nuovo la fotocamera.</v>
      </c>
    </row>
    <row r="2180">
      <c r="A2180" s="4" t="s">
        <v>2731</v>
      </c>
      <c r="B2180" s="6" t="s">
        <v>2736</v>
      </c>
      <c r="C2180" s="5" t="str">
        <f>IFERROR(__xludf.DUMMYFUNCTION("GOOGLETRANSLATE(B2180,""en"",""it"")"),"Si presenta una donna e lei tocca il furgone con le mani e inizia a asciugare la neve con solo le mani.")</f>
        <v>Si presenta una donna e lei tocca il furgone con le mani e inizia a asciugare la neve con solo le mani.</v>
      </c>
    </row>
    <row r="2181">
      <c r="A2181" s="4" t="s">
        <v>2737</v>
      </c>
      <c r="B2181" s="4" t="s">
        <v>2738</v>
      </c>
      <c r="C2181" s="5" t="str">
        <f>IFERROR(__xludf.DUMMYFUNCTION("GOOGLETRANSLATE(B2181,""en"",""it"")"),"Prima viene mostrato uno schermo, mostrando quale canzone suonerà l'uomo usando la chitarra.")</f>
        <v>Prima viene mostrato uno schermo, mostrando quale canzone suonerà l'uomo usando la chitarra.</v>
      </c>
    </row>
    <row r="2182">
      <c r="A2182" s="4" t="s">
        <v>2737</v>
      </c>
      <c r="B2182" s="4" t="s">
        <v>2739</v>
      </c>
      <c r="C2182" s="5" t="str">
        <f>IFERROR(__xludf.DUMMYFUNCTION("GOOGLETRANSLATE(B2182,""en"",""it"")"),"Quindi l'uomo viene mostrato seduto suonando la chitarra e non alza mai la macchina fotografica.")</f>
        <v>Quindi l'uomo viene mostrato seduto suonando la chitarra e non alza mai la macchina fotografica.</v>
      </c>
    </row>
    <row r="2183">
      <c r="A2183" s="4" t="s">
        <v>2737</v>
      </c>
      <c r="B2183" s="4" t="s">
        <v>2740</v>
      </c>
      <c r="C2183" s="5" t="str">
        <f>IFERROR(__xludf.DUMMYFUNCTION("GOOGLETRANSLATE(B2183,""en"",""it"")"),"Finalmente il video finisce e l'unica cosa vista è l'oscurità.")</f>
        <v>Finalmente il video finisce e l'unica cosa vista è l'oscurità.</v>
      </c>
    </row>
    <row r="2184">
      <c r="A2184" s="4" t="s">
        <v>2741</v>
      </c>
      <c r="B2184" s="6" t="s">
        <v>2742</v>
      </c>
      <c r="C2184" s="5" t="str">
        <f>IFERROR(__xludf.DUMMYFUNCTION("GOOGLETRANSLATE(B2184,""en"",""it"")"),"Una donna è vista in piedi pronta su una tavola da immersione e la conduce trattenendo le braccia ed eseguendo un'immersione impressionante.")</f>
        <v>Una donna è vista in piedi pronta su una tavola da immersione e la conduce trattenendo le braccia ed eseguendo un'immersione impressionante.</v>
      </c>
    </row>
    <row r="2185">
      <c r="A2185" s="4" t="s">
        <v>2741</v>
      </c>
      <c r="B2185" s="4" t="s">
        <v>2743</v>
      </c>
      <c r="C2185" s="5" t="str">
        <f>IFERROR(__xludf.DUMMYFUNCTION("GOOGLETRANSLATE(B2185,""en"",""it"")"),"La donna viene vista molte più volte immergersi in piscina e venire in superficie.")</f>
        <v>La donna viene vista molte più volte immergersi in piscina e venire in superficie.</v>
      </c>
    </row>
    <row r="2186">
      <c r="A2186" s="4" t="s">
        <v>2744</v>
      </c>
      <c r="B2186" s="4" t="s">
        <v>2745</v>
      </c>
      <c r="C2186" s="5" t="str">
        <f>IFERROR(__xludf.DUMMYFUNCTION("GOOGLETRANSLATE(B2186,""en"",""it"")"),"Un uomo parla in un ufficio in possesso di un'armonica.")</f>
        <v>Un uomo parla in un ufficio in possesso di un'armonica.</v>
      </c>
    </row>
    <row r="2187">
      <c r="A2187" s="4" t="s">
        <v>2744</v>
      </c>
      <c r="B2187" s="4" t="s">
        <v>2746</v>
      </c>
      <c r="C2187" s="5" t="str">
        <f>IFERROR(__xludf.DUMMYFUNCTION("GOOGLETRANSLATE(B2187,""en"",""it"")"),"Quindi, l'uomo apre uno stand e gira alla radio.")</f>
        <v>Quindi, l'uomo apre uno stand e gira alla radio.</v>
      </c>
    </row>
    <row r="2188">
      <c r="A2188" s="4" t="s">
        <v>2744</v>
      </c>
      <c r="B2188" s="4" t="s">
        <v>2747</v>
      </c>
      <c r="C2188" s="5" t="str">
        <f>IFERROR(__xludf.DUMMYFUNCTION("GOOGLETRANSLATE(B2188,""en"",""it"")"),"Dopo, l'uomo plyas l'armonica.")</f>
        <v>Dopo, l'uomo plyas l'armonica.</v>
      </c>
    </row>
    <row r="2189">
      <c r="A2189" s="4" t="s">
        <v>2748</v>
      </c>
      <c r="B2189" s="6" t="s">
        <v>2749</v>
      </c>
      <c r="C2189" s="5" t="str">
        <f>IFERROR(__xludf.DUMMYFUNCTION("GOOGLETRANSLATE(B2189,""en"",""it"")"),"Un folto gruppo di solidali dell'esercito è visto con una grande corda su un lato l'uno dell'altro mentre altri soldati guardano.")</f>
        <v>Un folto gruppo di solidali dell'esercito è visto con una grande corda su un lato l'uno dell'altro mentre altri soldati guardano.</v>
      </c>
    </row>
    <row r="2190">
      <c r="A2190" s="4" t="s">
        <v>2748</v>
      </c>
      <c r="B2190" s="4" t="s">
        <v>2750</v>
      </c>
      <c r="C2190" s="5" t="str">
        <f>IFERROR(__xludf.DUMMYFUNCTION("GOOGLETRANSLATE(B2190,""en"",""it"")"),"Un uomo si trova nel mezzo e le persone iniziano a tirare la corda l'una dall'altra.")</f>
        <v>Un uomo si trova nel mezzo e le persone iniziano a tirare la corda l'una dall'altra.</v>
      </c>
    </row>
    <row r="2191">
      <c r="A2191" s="4" t="s">
        <v>2748</v>
      </c>
      <c r="B2191" s="4" t="s">
        <v>2751</v>
      </c>
      <c r="C2191" s="5" t="str">
        <f>IFERROR(__xludf.DUMMYFUNCTION("GOOGLETRANSLATE(B2191,""en"",""it"")"),"Una parte abbassa gli altri e il resto della squadra esulta mentre la telecamera si muove.")</f>
        <v>Una parte abbassa gli altri e il resto della squadra esulta mentre la telecamera si muove.</v>
      </c>
    </row>
    <row r="2192">
      <c r="A2192" s="4" t="s">
        <v>2752</v>
      </c>
      <c r="B2192" s="6" t="s">
        <v>2753</v>
      </c>
      <c r="C2192" s="5" t="str">
        <f>IFERROR(__xludf.DUMMYFUNCTION("GOOGLETRANSLATE(B2192,""en"",""it"")"),"Il video mostra due paesi rappresentati da uniformi blu e verdi che giocano professionalmente nel gioco del cricket.")</f>
        <v>Il video mostra due paesi rappresentati da uniformi blu e verdi che giocano professionalmente nel gioco del cricket.</v>
      </c>
    </row>
    <row r="2193">
      <c r="A2193" s="4" t="s">
        <v>2752</v>
      </c>
      <c r="B2193" s="4" t="s">
        <v>2754</v>
      </c>
      <c r="C2193" s="5" t="str">
        <f>IFERROR(__xludf.DUMMYFUNCTION("GOOGLETRANSLATE(B2193,""en"",""it"")"),"I battitori stanno battendo mentre il giocatore di bocce sta facendo un tiro a mano.")</f>
        <v>I battitori stanno battendo mentre il giocatore di bocce sta facendo un tiro a mano.</v>
      </c>
    </row>
    <row r="2194">
      <c r="A2194" s="4" t="s">
        <v>2752</v>
      </c>
      <c r="B2194" s="6" t="s">
        <v>2755</v>
      </c>
      <c r="C2194" s="5" t="str">
        <f>IFERROR(__xludf.DUMMYFUNCTION("GOOGLETRANSLATE(B2194,""en"",""it"")"),"La scena successiva mostra una squadra di giocatori di cricket che indossano uniformi bianche che si preparano a giocare mentre si radunano in cerchio con il loro capitano.")</f>
        <v>La scena successiva mostra una squadra di giocatori di cricket che indossano uniformi bianche che si preparano a giocare mentre si radunano in cerchio con il loro capitano.</v>
      </c>
    </row>
    <row r="2195">
      <c r="A2195" s="4" t="s">
        <v>2756</v>
      </c>
      <c r="B2195" s="4" t="s">
        <v>2757</v>
      </c>
      <c r="C2195" s="5" t="str">
        <f>IFERROR(__xludf.DUMMYFUNCTION("GOOGLETRANSLATE(B2195,""en"",""it"")"),"Una ragazza entra al centro di una stanza con un cerchio di hula.")</f>
        <v>Una ragazza entra al centro di una stanza con un cerchio di hula.</v>
      </c>
    </row>
    <row r="2196">
      <c r="A2196" s="4" t="s">
        <v>2756</v>
      </c>
      <c r="B2196" s="4" t="s">
        <v>2758</v>
      </c>
      <c r="C2196" s="5" t="str">
        <f>IFERROR(__xludf.DUMMYFUNCTION("GOOGLETRANSLATE(B2196,""en"",""it"")"),"Fa diversi atti e acrobazie con il cerchio, portando la testa e le braccia dentro e fuori.")</f>
        <v>Fa diversi atti e acrobazie con il cerchio, portando la testa e le braccia dentro e fuori.</v>
      </c>
    </row>
    <row r="2197">
      <c r="A2197" s="4" t="s">
        <v>2759</v>
      </c>
      <c r="B2197" s="4" t="s">
        <v>2760</v>
      </c>
      <c r="C2197" s="5" t="str">
        <f>IFERROR(__xludf.DUMMYFUNCTION("GOOGLETRANSLATE(B2197,""en"",""it"")"),"Una persona viene vista in piedi accanto a un albero mentre agita e parla alla telecamera.")</f>
        <v>Una persona viene vista in piedi accanto a un albero mentre agita e parla alla telecamera.</v>
      </c>
    </row>
    <row r="2198">
      <c r="A2198" s="4" t="s">
        <v>2759</v>
      </c>
      <c r="B2198" s="6" t="s">
        <v>2761</v>
      </c>
      <c r="C2198" s="5" t="str">
        <f>IFERROR(__xludf.DUMMYFUNCTION("GOOGLETRANSLATE(B2198,""en"",""it"")"),"La persona quindi regge lo sporco e conduce in diverse clip del suo rastrellamento attorno a un albero e indicandolo.")</f>
        <v>La persona quindi regge lo sporco e conduce in diverse clip del suo rastrellamento attorno a un albero e indicandolo.</v>
      </c>
    </row>
    <row r="2199">
      <c r="A2199" s="4" t="s">
        <v>2762</v>
      </c>
      <c r="B2199" s="6" t="s">
        <v>2763</v>
      </c>
      <c r="C2199" s="5" t="str">
        <f>IFERROR(__xludf.DUMMYFUNCTION("GOOGLETRANSLATE(B2199,""en"",""it"")"),"Appaiono una schermata introduttiva di nuvole e le parole blu su di esso dicono ""Montaggio di trucco del narghilè HD"".")</f>
        <v>Appaiono una schermata introduttiva di nuvole e le parole blu su di esso dicono "Montaggio di trucco del narghilè HD".</v>
      </c>
    </row>
    <row r="2200">
      <c r="A2200" s="4" t="s">
        <v>2762</v>
      </c>
      <c r="B2200" s="6" t="s">
        <v>2764</v>
      </c>
      <c r="C2200" s="5" t="str">
        <f>IFERROR(__xludf.DUMMYFUNCTION("GOOGLETRANSLATE(B2200,""en"",""it"")"),"Varie parole si presentano tra molte diverse clip di molte persone diverse che soffiano fumo dalla bocca e fanno molti trucchi diversi; E quando le parole vengono messe insieme dicono ""è tempo di farlo bene"".")</f>
        <v>Varie parole si presentano tra molte diverse clip di molte persone diverse che soffiano fumo dalla bocca e fanno molti trucchi diversi; E quando le parole vengono messe insieme dicono "è tempo di farlo bene".</v>
      </c>
    </row>
    <row r="2201">
      <c r="A2201" s="4" t="s">
        <v>2762</v>
      </c>
      <c r="B2201" s="6" t="s">
        <v>2765</v>
      </c>
      <c r="C2201" s="5" t="str">
        <f>IFERROR(__xludf.DUMMYFUNCTION("GOOGLETRANSLATE(B2201,""en"",""it"")"),"Quando le clip vengono eseguite, appare uno schermo nero e compaiono le lettere blu e dice ""Grazie per la visione"".")</f>
        <v>Quando le clip vengono eseguite, appare uno schermo nero e compaiono le lettere blu e dice "Grazie per la visione".</v>
      </c>
    </row>
    <row r="2202">
      <c r="A2202" s="4" t="s">
        <v>2766</v>
      </c>
      <c r="B2202" s="4" t="s">
        <v>2767</v>
      </c>
      <c r="C2202" s="5" t="str">
        <f>IFERROR(__xludf.DUMMYFUNCTION("GOOGLETRANSLATE(B2202,""en"",""it"")"),"Un ragazzo è in una macchina per paraurti, che gira da solo.")</f>
        <v>Un ragazzo è in una macchina per paraurti, che gira da solo.</v>
      </c>
    </row>
    <row r="2203">
      <c r="A2203" s="4" t="s">
        <v>2766</v>
      </c>
      <c r="B2203" s="4" t="s">
        <v>2768</v>
      </c>
      <c r="C2203" s="5" t="str">
        <f>IFERROR(__xludf.DUMMYFUNCTION("GOOGLETRANSLATE(B2203,""en"",""it"")"),"Si muove avanti e avanti nella sua macchina.")</f>
        <v>Si muove avanti e avanti nella sua macchina.</v>
      </c>
    </row>
    <row r="2204">
      <c r="A2204" s="4" t="s">
        <v>2766</v>
      </c>
      <c r="B2204" s="4" t="s">
        <v>2769</v>
      </c>
      <c r="C2204" s="5" t="str">
        <f>IFERROR(__xludf.DUMMYFUNCTION("GOOGLETRANSLATE(B2204,""en"",""it"")"),"Sembra solo mentre finalmente si ferma.")</f>
        <v>Sembra solo mentre finalmente si ferma.</v>
      </c>
    </row>
    <row r="2205">
      <c r="A2205" s="4" t="s">
        <v>2770</v>
      </c>
      <c r="B2205" s="4" t="s">
        <v>2771</v>
      </c>
      <c r="C2205" s="5" t="str">
        <f>IFERROR(__xludf.DUMMYFUNCTION("GOOGLETRANSLATE(B2205,""en"",""it"")"),"Le persone interagiscono in un'arena di ghiaccio in cerchio.")</f>
        <v>Le persone interagiscono in un'arena di ghiaccio in cerchio.</v>
      </c>
    </row>
    <row r="2206">
      <c r="A2206" s="4" t="s">
        <v>2770</v>
      </c>
      <c r="B2206" s="4" t="s">
        <v>2772</v>
      </c>
      <c r="C2206" s="5" t="str">
        <f>IFERROR(__xludf.DUMMYFUNCTION("GOOGLETRANSLATE(B2206,""en"",""it"")"),"Una signora parla con un gruppo di maschi.")</f>
        <v>Una signora parla con un gruppo di maschi.</v>
      </c>
    </row>
    <row r="2207">
      <c r="A2207" s="4" t="s">
        <v>2770</v>
      </c>
      <c r="B2207" s="4" t="s">
        <v>2773</v>
      </c>
      <c r="C2207" s="5" t="str">
        <f>IFERROR(__xludf.DUMMYFUNCTION("GOOGLETRANSLATE(B2207,""en"",""it"")"),"Un ragazzo scivola, cade sull'arena del ghiaccio e ride.")</f>
        <v>Un ragazzo scivola, cade sull'arena del ghiaccio e ride.</v>
      </c>
    </row>
    <row r="2208">
      <c r="A2208" s="4" t="s">
        <v>2770</v>
      </c>
      <c r="B2208" s="4" t="s">
        <v>2774</v>
      </c>
      <c r="C2208" s="5" t="str">
        <f>IFERROR(__xludf.DUMMYFUNCTION("GOOGLETRANSLATE(B2208,""en"",""it"")"),"Un uomo apre la bocca molto larga per mostrare la sua eccitazione.")</f>
        <v>Un uomo apre la bocca molto larga per mostrare la sua eccitazione.</v>
      </c>
    </row>
    <row r="2209">
      <c r="A2209" s="4" t="s">
        <v>2770</v>
      </c>
      <c r="B2209" s="4" t="s">
        <v>2775</v>
      </c>
      <c r="C2209" s="5" t="str">
        <f>IFERROR(__xludf.DUMMYFUNCTION("GOOGLETRANSLATE(B2209,""en"",""it"")"),"Una signora ferma la pietra di cerchio con una scopa.")</f>
        <v>Una signora ferma la pietra di cerchio con una scopa.</v>
      </c>
    </row>
    <row r="2210">
      <c r="A2210" s="4" t="s">
        <v>2770</v>
      </c>
      <c r="B2210" s="4" t="s">
        <v>2776</v>
      </c>
      <c r="C2210" s="5" t="str">
        <f>IFERROR(__xludf.DUMMYFUNCTION("GOOGLETRANSLATE(B2210,""en"",""it"")"),"Vengono mostrati i crediti con due mini clip.")</f>
        <v>Vengono mostrati i crediti con due mini clip.</v>
      </c>
    </row>
    <row r="2211">
      <c r="A2211" s="4" t="s">
        <v>2777</v>
      </c>
      <c r="B2211" s="4" t="s">
        <v>2778</v>
      </c>
      <c r="C2211" s="5" t="str">
        <f>IFERROR(__xludf.DUMMYFUNCTION("GOOGLETRANSLATE(B2211,""en"",""it"")"),"Un ragazzo più grande e uno più giovane sono su un campo da racchetta.")</f>
        <v>Un ragazzo più grande e uno più giovane sono su un campo da racchetta.</v>
      </c>
    </row>
    <row r="2212">
      <c r="A2212" s="4" t="s">
        <v>2777</v>
      </c>
      <c r="B2212" s="4" t="s">
        <v>2779</v>
      </c>
      <c r="C2212" s="5" t="str">
        <f>IFERROR(__xludf.DUMMYFUNCTION("GOOGLETRANSLATE(B2212,""en"",""it"")"),"Hanno colpito la palla avanti e indietro contro il muro.")</f>
        <v>Hanno colpito la palla avanti e indietro contro il muro.</v>
      </c>
    </row>
    <row r="2213">
      <c r="A2213" s="4" t="s">
        <v>2777</v>
      </c>
      <c r="B2213" s="4" t="s">
        <v>2780</v>
      </c>
      <c r="C2213" s="5" t="str">
        <f>IFERROR(__xludf.DUMMYFUNCTION("GOOGLETRANSLATE(B2213,""en"",""it"")"),"Continuano a combattere per la palla, cercando di picchiarsi nel gioco.")</f>
        <v>Continuano a combattere per la palla, cercando di picchiarsi nel gioco.</v>
      </c>
    </row>
    <row r="2214">
      <c r="A2214" s="4" t="s">
        <v>2781</v>
      </c>
      <c r="B2214" s="4" t="s">
        <v>2782</v>
      </c>
      <c r="C2214" s="5" t="str">
        <f>IFERROR(__xludf.DUMMYFUNCTION("GOOGLETRANSLATE(B2214,""en"",""it"")"),"Vediamo il titolo su uno schermo nero.")</f>
        <v>Vediamo il titolo su uno schermo nero.</v>
      </c>
    </row>
    <row r="2215">
      <c r="A2215" s="4" t="s">
        <v>2781</v>
      </c>
      <c r="B2215" s="4" t="s">
        <v>2783</v>
      </c>
      <c r="C2215" s="5" t="str">
        <f>IFERROR(__xludf.DUMMYFUNCTION("GOOGLETRANSLATE(B2215,""en"",""it"")"),"Le persone sono in fila in un pendio da sci.")</f>
        <v>Le persone sono in fila in un pendio da sci.</v>
      </c>
    </row>
    <row r="2216">
      <c r="A2216" s="4" t="s">
        <v>2781</v>
      </c>
      <c r="B2216" s="4" t="s">
        <v>2784</v>
      </c>
      <c r="C2216" s="5" t="str">
        <f>IFERROR(__xludf.DUMMYFUNCTION("GOOGLETRANSLATE(B2216,""en"",""it"")"),"Vediamo persone in zattere che vengono tirate su una collina e le persone cavalcano zattere lungo il pendio.")</f>
        <v>Vediamo persone in zattere che vengono tirate su una collina e le persone cavalcano zattere lungo il pendio.</v>
      </c>
    </row>
    <row r="2217">
      <c r="A2217" s="4" t="s">
        <v>2781</v>
      </c>
      <c r="B2217" s="4" t="s">
        <v>2785</v>
      </c>
      <c r="C2217" s="5" t="str">
        <f>IFERROR(__xludf.DUMMYFUNCTION("GOOGLETRANSLATE(B2217,""en"",""it"")"),"Vediamo un uomo in cima alla montagna.")</f>
        <v>Vediamo un uomo in cima alla montagna.</v>
      </c>
    </row>
    <row r="2218">
      <c r="A2218" s="4" t="s">
        <v>2781</v>
      </c>
      <c r="B2218" s="4" t="s">
        <v>2786</v>
      </c>
      <c r="C2218" s="5" t="str">
        <f>IFERROR(__xludf.DUMMYFUNCTION("GOOGLETRANSLATE(B2218,""en"",""it"")"),"Vediamo che la scrittura afferma che la fotocamera è stata lasciata cadere.")</f>
        <v>Vediamo che la scrittura afferma che la fotocamera è stata lasciata cadere.</v>
      </c>
    </row>
    <row r="2219">
      <c r="A2219" s="4" t="s">
        <v>2781</v>
      </c>
      <c r="B2219" s="4" t="s">
        <v>2787</v>
      </c>
      <c r="C2219" s="5" t="str">
        <f>IFERROR(__xludf.DUMMYFUNCTION("GOOGLETRANSLATE(B2219,""en"",""it"")"),"L'uomo filma il suo viso mentre scivola giù per la collina.")</f>
        <v>L'uomo filma il suo viso mentre scivola giù per la collina.</v>
      </c>
    </row>
    <row r="2220">
      <c r="A2220" s="4" t="s">
        <v>2781</v>
      </c>
      <c r="B2220" s="4" t="s">
        <v>2788</v>
      </c>
      <c r="C2220" s="5" t="str">
        <f>IFERROR(__xludf.DUMMYFUNCTION("GOOGLETRANSLATE(B2220,""en"",""it"")"),"Vediamo la faccia di un giovane mentre cavalca giù per la collina.")</f>
        <v>Vediamo la faccia di un giovane mentre cavalca giù per la collina.</v>
      </c>
    </row>
    <row r="2221">
      <c r="A2221" s="4" t="s">
        <v>2781</v>
      </c>
      <c r="B2221" s="4" t="s">
        <v>2789</v>
      </c>
      <c r="C2221" s="5" t="str">
        <f>IFERROR(__xludf.DUMMYFUNCTION("GOOGLETRANSLATE(B2221,""en"",""it"")"),"Vediamo persone che camminano verso le loro macchine nel parcheggio.")</f>
        <v>Vediamo persone che camminano verso le loro macchine nel parcheggio.</v>
      </c>
    </row>
    <row r="2222">
      <c r="A2222" s="4" t="s">
        <v>2781</v>
      </c>
      <c r="B2222" s="4" t="s">
        <v>2790</v>
      </c>
      <c r="C2222" s="5" t="str">
        <f>IFERROR(__xludf.DUMMYFUNCTION("GOOGLETRANSLATE(B2222,""en"",""it"")"),"Alla fine vediamo un bambino sdraiato su una zattera.")</f>
        <v>Alla fine vediamo un bambino sdraiato su una zattera.</v>
      </c>
    </row>
    <row r="2223">
      <c r="A2223" s="4" t="s">
        <v>2791</v>
      </c>
      <c r="B2223" s="4" t="s">
        <v>2792</v>
      </c>
      <c r="C2223" s="5" t="str">
        <f>IFERROR(__xludf.DUMMYFUNCTION("GOOGLETRANSLATE(B2223,""en"",""it"")"),"Viene mostrato un conto alla rovescia seguita da una donna che cattura le palle lanciate contro di lei.")</f>
        <v>Viene mostrato un conto alla rovescia seguita da una donna che cattura le palle lanciate contro di lei.</v>
      </c>
    </row>
    <row r="2224">
      <c r="A2224" s="4" t="s">
        <v>2791</v>
      </c>
      <c r="B2224" s="4" t="s">
        <v>2793</v>
      </c>
      <c r="C2224" s="5" t="str">
        <f>IFERROR(__xludf.DUMMYFUNCTION("GOOGLETRANSLATE(B2224,""en"",""it"")"),"Il numero conta di più e mostra più clip di donne che giocano a Dodgeball.")</f>
        <v>Il numero conta di più e mostra più clip di donne che giocano a Dodgeball.</v>
      </c>
    </row>
    <row r="2225">
      <c r="A2225" s="4" t="s">
        <v>2791</v>
      </c>
      <c r="B2225" s="4" t="s">
        <v>2794</v>
      </c>
      <c r="C2225" s="5" t="str">
        <f>IFERROR(__xludf.DUMMYFUNCTION("GOOGLETRANSLATE(B2225,""en"",""it"")"),"Vengono mostrati diversi numeri e clip che termina con le persone che eseguono tiri impressionanti.")</f>
        <v>Vengono mostrati diversi numeri e clip che termina con le persone che eseguono tiri impressionanti.</v>
      </c>
    </row>
    <row r="2226">
      <c r="A2226" s="4" t="s">
        <v>2795</v>
      </c>
      <c r="B2226" s="4" t="s">
        <v>2796</v>
      </c>
      <c r="C2226" s="5" t="str">
        <f>IFERROR(__xludf.DUMMYFUNCTION("GOOGLETRANSLATE(B2226,""en"",""it"")"),"Un ragazzo taglia il legno in una foresta.")</f>
        <v>Un ragazzo taglia il legno in una foresta.</v>
      </c>
    </row>
    <row r="2227">
      <c r="A2227" s="4" t="s">
        <v>2795</v>
      </c>
      <c r="B2227" s="4" t="s">
        <v>2797</v>
      </c>
      <c r="C2227" s="5" t="str">
        <f>IFERROR(__xludf.DUMMYFUNCTION("GOOGLETRANSLATE(B2227,""en"",""it"")"),"Il ragazzo quasi lascia cadere l'ascia.")</f>
        <v>Il ragazzo quasi lascia cadere l'ascia.</v>
      </c>
    </row>
    <row r="2228">
      <c r="A2228" s="4" t="s">
        <v>2795</v>
      </c>
      <c r="B2228" s="4" t="s">
        <v>2798</v>
      </c>
      <c r="C2228" s="5" t="str">
        <f>IFERROR(__xludf.DUMMYFUNCTION("GOOGLETRANSLATE(B2228,""en"",""it"")"),"Il ragazzo guarda la telecamera.")</f>
        <v>Il ragazzo guarda la telecamera.</v>
      </c>
    </row>
    <row r="2229">
      <c r="A2229" s="4" t="s">
        <v>2799</v>
      </c>
      <c r="B2229" s="4" t="s">
        <v>2800</v>
      </c>
      <c r="C2229" s="5" t="str">
        <f>IFERROR(__xludf.DUMMYFUNCTION("GOOGLETRANSLATE(B2229,""en"",""it"")"),"Una persona viene vista tornare alla fine della macchina e mettere le mani sui fianchi.")</f>
        <v>Una persona viene vista tornare alla fine della macchina e mettere le mani sui fianchi.</v>
      </c>
    </row>
    <row r="2230">
      <c r="A2230" s="4" t="s">
        <v>2799</v>
      </c>
      <c r="B2230" s="4" t="s">
        <v>2801</v>
      </c>
      <c r="C2230" s="5" t="str">
        <f>IFERROR(__xludf.DUMMYFUNCTION("GOOGLETRANSLATE(B2230,""en"",""it"")"),"Si rendono conto di avere una gomma a terra e tira fuori un jack che tenta di toglierlo.")</f>
        <v>Si rendono conto di avere una gomma a terra e tira fuori un jack che tenta di toglierlo.</v>
      </c>
    </row>
    <row r="2231">
      <c r="A2231" s="4" t="s">
        <v>2799</v>
      </c>
      <c r="B2231" s="4" t="s">
        <v>2802</v>
      </c>
      <c r="C2231" s="5" t="str">
        <f>IFERROR(__xludf.DUMMYFUNCTION("GOOGLETRANSLATE(B2231,""en"",""it"")"),"La donna cade e fallisce all'indietro da un ponte, atterrando su un camion.")</f>
        <v>La donna cade e fallisce all'indietro da un ponte, atterrando su un camion.</v>
      </c>
    </row>
    <row r="2232">
      <c r="A2232" s="4" t="s">
        <v>2803</v>
      </c>
      <c r="B2232" s="4" t="s">
        <v>2804</v>
      </c>
      <c r="C2232" s="5" t="str">
        <f>IFERROR(__xludf.DUMMYFUNCTION("GOOGLETRANSLATE(B2232,""en"",""it"")"),"Un uomo in una polo blu parla alla fotocamera.")</f>
        <v>Un uomo in una polo blu parla alla fotocamera.</v>
      </c>
    </row>
    <row r="2233">
      <c r="A2233" s="4" t="s">
        <v>2803</v>
      </c>
      <c r="B2233" s="4" t="s">
        <v>2805</v>
      </c>
      <c r="C2233" s="5" t="str">
        <f>IFERROR(__xludf.DUMMYFUNCTION("GOOGLETRANSLATE(B2233,""en"",""it"")"),"In un ambiente diverso, l'uomo sta istruendo una donna bionda su come eseguire sit up.")</f>
        <v>In un ambiente diverso, l'uomo sta istruendo una donna bionda su come eseguire sit up.</v>
      </c>
    </row>
    <row r="2234">
      <c r="A2234" s="4" t="s">
        <v>2803</v>
      </c>
      <c r="B2234" s="4" t="s">
        <v>2806</v>
      </c>
      <c r="C2234" s="5" t="str">
        <f>IFERROR(__xludf.DUMMYFUNCTION("GOOGLETRANSLATE(B2234,""en"",""it"")"),"La donna si siede.")</f>
        <v>La donna si siede.</v>
      </c>
    </row>
    <row r="2235">
      <c r="A2235" s="4" t="s">
        <v>2803</v>
      </c>
      <c r="B2235" s="4" t="s">
        <v>2807</v>
      </c>
      <c r="C2235" s="5" t="str">
        <f>IFERROR(__xludf.DUMMYFUNCTION("GOOGLETRANSLATE(B2235,""en"",""it"")"),"L'uomo torna a parlare con la fotocamera.")</f>
        <v>L'uomo torna a parlare con la fotocamera.</v>
      </c>
    </row>
    <row r="2236">
      <c r="A2236" s="4" t="s">
        <v>2808</v>
      </c>
      <c r="B2236" s="4" t="s">
        <v>2809</v>
      </c>
      <c r="C2236" s="5" t="str">
        <f>IFERROR(__xludf.DUMMYFUNCTION("GOOGLETRANSLATE(B2236,""en"",""it"")"),"Un video viene mostrato come cambiare una ruota di scorta.")</f>
        <v>Un video viene mostrato come cambiare una ruota di scorta.</v>
      </c>
    </row>
    <row r="2237">
      <c r="A2237" s="4" t="s">
        <v>2808</v>
      </c>
      <c r="B2237" s="4" t="s">
        <v>2810</v>
      </c>
      <c r="C2237" s="5" t="str">
        <f>IFERROR(__xludf.DUMMYFUNCTION("GOOGLETRANSLATE(B2237,""en"",""it"")"),"Il primo pneumatico viene tolto e sostituito, ma nient'altro è fatto.")</f>
        <v>Il primo pneumatico viene tolto e sostituito, ma nient'altro è fatto.</v>
      </c>
    </row>
    <row r="2238">
      <c r="A2238" s="4" t="s">
        <v>2811</v>
      </c>
      <c r="B2238" s="4" t="s">
        <v>2812</v>
      </c>
      <c r="C2238" s="5" t="str">
        <f>IFERROR(__xludf.DUMMYFUNCTION("GOOGLETRANSLATE(B2238,""en"",""it"")"),"Vediamo una tavola da dardo su un muro.")</f>
        <v>Vediamo una tavola da dardo su un muro.</v>
      </c>
    </row>
    <row r="2239">
      <c r="A2239" s="4" t="s">
        <v>2811</v>
      </c>
      <c r="B2239" s="4" t="s">
        <v>2813</v>
      </c>
      <c r="C2239" s="5" t="str">
        <f>IFERROR(__xludf.DUMMYFUNCTION("GOOGLETRANSLATE(B2239,""en"",""it"")"),"Due uomini stanno giocando a un gioco di freccette.")</f>
        <v>Due uomini stanno giocando a un gioco di freccette.</v>
      </c>
    </row>
    <row r="2240">
      <c r="A2240" s="4" t="s">
        <v>2811</v>
      </c>
      <c r="B2240" s="4" t="s">
        <v>2814</v>
      </c>
      <c r="C2240" s="5" t="str">
        <f>IFERROR(__xludf.DUMMYFUNCTION("GOOGLETRANSLATE(B2240,""en"",""it"")"),"Vediamo l'operatore della fotocamera.")</f>
        <v>Vediamo l'operatore della fotocamera.</v>
      </c>
    </row>
    <row r="2241">
      <c r="A2241" s="4" t="s">
        <v>2811</v>
      </c>
      <c r="B2241" s="4" t="s">
        <v>2815</v>
      </c>
      <c r="C2241" s="5" t="str">
        <f>IFERROR(__xludf.DUMMYFUNCTION("GOOGLETRANSLATE(B2241,""en"",""it"")"),"Vediamo un uomo da vicino nella telecamera.")</f>
        <v>Vediamo un uomo da vicino nella telecamera.</v>
      </c>
    </row>
    <row r="2242">
      <c r="A2242" s="4" t="s">
        <v>2811</v>
      </c>
      <c r="B2242" s="4" t="s">
        <v>2816</v>
      </c>
      <c r="C2242" s="5" t="str">
        <f>IFERROR(__xludf.DUMMYFUNCTION("GOOGLETRANSLATE(B2242,""en"",""it"")"),"Vediamo un uomo da vicino.")</f>
        <v>Vediamo un uomo da vicino.</v>
      </c>
    </row>
    <row r="2243">
      <c r="A2243" s="4" t="s">
        <v>2811</v>
      </c>
      <c r="B2243" s="4" t="s">
        <v>2817</v>
      </c>
      <c r="C2243" s="5" t="str">
        <f>IFERROR(__xludf.DUMMYFUNCTION("GOOGLETRANSLATE(B2243,""en"",""it"")"),"Vediamo calzini da uomo e un uomo vicino alla telecamera.")</f>
        <v>Vediamo calzini da uomo e un uomo vicino alla telecamera.</v>
      </c>
    </row>
    <row r="2244">
      <c r="A2244" s="4" t="s">
        <v>2818</v>
      </c>
      <c r="B2244" s="4" t="s">
        <v>2819</v>
      </c>
      <c r="C2244" s="5" t="str">
        <f>IFERROR(__xludf.DUMMYFUNCTION("GOOGLETRANSLATE(B2244,""en"",""it"")"),"Viene visto un uomo parlare alla telecamera e inizia a inginocchiarsi su un tetto.")</f>
        <v>Viene visto un uomo parlare alla telecamera e inizia a inginocchiarsi su un tetto.</v>
      </c>
    </row>
    <row r="2245">
      <c r="A2245" s="4" t="s">
        <v>2818</v>
      </c>
      <c r="B2245" s="6" t="s">
        <v>2820</v>
      </c>
      <c r="C2245" s="5" t="str">
        <f>IFERROR(__xludf.DUMMYFUNCTION("GOOGLETRANSLATE(B2245,""en"",""it"")"),"L'uomo quindi usa uno strumento per raschiare le piastrelle sul tetto e un altro strumento per rimetterle giù.")</f>
        <v>L'uomo quindi usa uno strumento per raschiare le piastrelle sul tetto e un altro strumento per rimetterle giù.</v>
      </c>
    </row>
    <row r="2246">
      <c r="A2246" s="4" t="s">
        <v>2818</v>
      </c>
      <c r="B2246" s="6" t="s">
        <v>2821</v>
      </c>
      <c r="C2246" s="5" t="str">
        <f>IFERROR(__xludf.DUMMYFUNCTION("GOOGLETRANSLATE(B2246,""en"",""it"")"),"L'uomo continua a togliersi le piastrelle sul tetto e incollando gli altri e termina sorridendo alla telecamera.")</f>
        <v>L'uomo continua a togliersi le piastrelle sul tetto e incollando gli altri e termina sorridendo alla telecamera.</v>
      </c>
    </row>
    <row r="2247">
      <c r="A2247" s="4" t="s">
        <v>2822</v>
      </c>
      <c r="B2247" s="4" t="s">
        <v>2823</v>
      </c>
      <c r="C2247" s="5" t="str">
        <f>IFERROR(__xludf.DUMMYFUNCTION("GOOGLETRANSLATE(B2247,""en"",""it"")"),"Una persona dà il via a un partecipante al tubo per cavalcare lungo lo scivolo della neve.")</f>
        <v>Una persona dà il via a un partecipante al tubo per cavalcare lungo lo scivolo della neve.</v>
      </c>
    </row>
    <row r="2248">
      <c r="A2248" s="4" t="s">
        <v>2822</v>
      </c>
      <c r="B2248" s="4" t="s">
        <v>2824</v>
      </c>
      <c r="C2248" s="5" t="str">
        <f>IFERROR(__xludf.DUMMYFUNCTION("GOOGLETRANSLATE(B2248,""en"",""it"")"),"La fotocamera si lancia a due tuberi che stanno aspettando di scendere da soli.")</f>
        <v>La fotocamera si lancia a due tuberi che stanno aspettando di scendere da soli.</v>
      </c>
    </row>
    <row r="2249">
      <c r="A2249" s="4" t="s">
        <v>2822</v>
      </c>
      <c r="B2249" s="4" t="s">
        <v>2825</v>
      </c>
      <c r="C2249" s="5" t="str">
        <f>IFERROR(__xludf.DUMMYFUNCTION("GOOGLETRANSLATE(B2249,""en"",""it"")"),"Le successive due persone cavalcano la diapositiva.")</f>
        <v>Le successive due persone cavalcano la diapositiva.</v>
      </c>
    </row>
    <row r="2250">
      <c r="A2250" s="4" t="s">
        <v>2822</v>
      </c>
      <c r="B2250" s="4" t="s">
        <v>2826</v>
      </c>
      <c r="C2250" s="5" t="str">
        <f>IFERROR(__xludf.DUMMYFUNCTION("GOOGLETRANSLATE(B2250,""en"",""it"")"),"Infine, il cameraman fa il giro e possiamo vivere in modo vicario attraverso di loro.")</f>
        <v>Infine, il cameraman fa il giro e possiamo vivere in modo vicario attraverso di loro.</v>
      </c>
    </row>
    <row r="2251">
      <c r="A2251" s="4" t="s">
        <v>2827</v>
      </c>
      <c r="B2251" s="4" t="s">
        <v>2828</v>
      </c>
      <c r="C2251" s="5" t="str">
        <f>IFERROR(__xludf.DUMMYFUNCTION("GOOGLETRANSLATE(B2251,""en"",""it"")"),"Si vede un peso messo su una barra e conduce a un uomo in ginocchio.")</f>
        <v>Si vede un peso messo su una barra e conduce a un uomo in ginocchio.</v>
      </c>
    </row>
    <row r="2252">
      <c r="A2252" s="4" t="s">
        <v>2827</v>
      </c>
      <c r="B2252" s="4" t="s">
        <v>2829</v>
      </c>
      <c r="C2252" s="5" t="str">
        <f>IFERROR(__xludf.DUMMYFUNCTION("GOOGLETRANSLATE(B2252,""en"",""it"")"),"L'uomo afferra una serie di pesi e inizia a sollevarlo sopra la testa.")</f>
        <v>L'uomo afferra una serie di pesi e inizia a sollevarlo sopra la testa.</v>
      </c>
    </row>
    <row r="2253">
      <c r="A2253" s="4" t="s">
        <v>2827</v>
      </c>
      <c r="B2253" s="4" t="s">
        <v>2830</v>
      </c>
      <c r="C2253" s="5" t="str">
        <f>IFERROR(__xludf.DUMMYFUNCTION("GOOGLETRANSLATE(B2253,""en"",""it"")"),"Solleva il peso e poi di nuovo a terra.")</f>
        <v>Solleva il peso e poi di nuovo a terra.</v>
      </c>
    </row>
    <row r="2254">
      <c r="A2254" s="4" t="s">
        <v>2831</v>
      </c>
      <c r="B2254" s="6" t="s">
        <v>2832</v>
      </c>
      <c r="C2254" s="5" t="str">
        <f>IFERROR(__xludf.DUMMYFUNCTION("GOOGLETRANSLATE(B2254,""en"",""it"")"),"Un ragazzo vestito con una polo bordeaux è in una pista da bowling e lancia la palla in alto in aria e finisce per tornare nell'altra corsia.")</f>
        <v>Un ragazzo vestito con una polo bordeaux è in una pista da bowling e lancia la palla in alto in aria e finisce per tornare nell'altra corsia.</v>
      </c>
    </row>
    <row r="2255">
      <c r="A2255" s="4" t="s">
        <v>2831</v>
      </c>
      <c r="B2255" s="4" t="s">
        <v>2833</v>
      </c>
      <c r="C2255" s="5" t="str">
        <f>IFERROR(__xludf.DUMMYFUNCTION("GOOGLETRANSLATE(B2255,""en"",""it"")"),"Vengono mostrati più giocatori di bowling e iniziano a cadere sulle corsie mentre il tentativo di lanciare la palla.")</f>
        <v>Vengono mostrati più giocatori di bowling e iniziano a cadere sulle corsie mentre il tentativo di lanciare la palla.</v>
      </c>
    </row>
    <row r="2256">
      <c r="A2256" s="4" t="s">
        <v>2831</v>
      </c>
      <c r="B2256" s="4" t="s">
        <v>2834</v>
      </c>
      <c r="C2256" s="5" t="str">
        <f>IFERROR(__xludf.DUMMYFUNCTION("GOOGLETRANSLATE(B2256,""en"",""it"")"),"Un uomo poi arriva e si gira in testa e finisce per colpire i perni con le palle.")</f>
        <v>Un uomo poi arriva e si gira in testa e finisce per colpire i perni con le palle.</v>
      </c>
    </row>
    <row r="2257">
      <c r="A2257" s="4" t="s">
        <v>2831</v>
      </c>
      <c r="B2257" s="4" t="s">
        <v>2835</v>
      </c>
      <c r="C2257" s="5" t="str">
        <f>IFERROR(__xludf.DUMMYFUNCTION("GOOGLETRANSLATE(B2257,""en"",""it"")"),"Alla fine, una palla viene lanciata correttamente e l'uomo si congratula con lui.")</f>
        <v>Alla fine, una palla viene lanciata correttamente e l'uomo si congratula con lui.</v>
      </c>
    </row>
    <row r="2258">
      <c r="A2258" s="4" t="s">
        <v>2836</v>
      </c>
      <c r="B2258" s="4" t="s">
        <v>2837</v>
      </c>
      <c r="C2258" s="5" t="str">
        <f>IFERROR(__xludf.DUMMYFUNCTION("GOOGLETRANSLATE(B2258,""en"",""it"")"),"Le persone si stanno allenando in una stanza.")</f>
        <v>Le persone si stanno allenando in una stanza.</v>
      </c>
    </row>
    <row r="2259">
      <c r="A2259" s="4" t="s">
        <v>2836</v>
      </c>
      <c r="B2259" s="4" t="s">
        <v>2838</v>
      </c>
      <c r="C2259" s="5" t="str">
        <f>IFERROR(__xludf.DUMMYFUNCTION("GOOGLETRANSLATE(B2259,""en"",""it"")"),"Stanno calpestando su e giù un tappetino blu.")</f>
        <v>Stanno calpestando su e giù un tappetino blu.</v>
      </c>
    </row>
    <row r="2260">
      <c r="A2260" s="4" t="s">
        <v>2836</v>
      </c>
      <c r="B2260" s="4" t="s">
        <v>2839</v>
      </c>
      <c r="C2260" s="5" t="str">
        <f>IFERROR(__xludf.DUMMYFUNCTION("GOOGLETRANSLATE(B2260,""en"",""it"")"),"Iniziano a alzare le mani in aria.")</f>
        <v>Iniziano a alzare le mani in aria.</v>
      </c>
    </row>
    <row r="2261">
      <c r="A2261" s="4" t="s">
        <v>2840</v>
      </c>
      <c r="B2261" s="4" t="s">
        <v>2841</v>
      </c>
      <c r="C2261" s="5" t="str">
        <f>IFERROR(__xludf.DUMMYFUNCTION("GOOGLETRANSLATE(B2261,""en"",""it"")"),"Un uomo è in piedi in un cortile che vola un aquilone.")</f>
        <v>Un uomo è in piedi in un cortile che vola un aquilone.</v>
      </c>
    </row>
    <row r="2262">
      <c r="A2262" s="4" t="s">
        <v>2840</v>
      </c>
      <c r="B2262" s="4" t="s">
        <v>2842</v>
      </c>
      <c r="C2262" s="5" t="str">
        <f>IFERROR(__xludf.DUMMYFUNCTION("GOOGLETRANSLATE(B2262,""en"",""it"")"),"Una donna è in piedi davanti a lui e vola l'aquilone dopo.")</f>
        <v>Una donna è in piedi davanti a lui e vola l'aquilone dopo.</v>
      </c>
    </row>
    <row r="2263">
      <c r="A2263" s="4" t="s">
        <v>2840</v>
      </c>
      <c r="B2263" s="4" t="s">
        <v>2843</v>
      </c>
      <c r="C2263" s="5" t="str">
        <f>IFERROR(__xludf.DUMMYFUNCTION("GOOGLETRANSLATE(B2263,""en"",""it"")"),"L'aquilone è mostrato nel cielo.")</f>
        <v>L'aquilone è mostrato nel cielo.</v>
      </c>
    </row>
    <row r="2264">
      <c r="A2264" s="4" t="s">
        <v>2840</v>
      </c>
      <c r="B2264" s="4" t="s">
        <v>2844</v>
      </c>
      <c r="C2264" s="5" t="str">
        <f>IFERROR(__xludf.DUMMYFUNCTION("GOOGLETRANSLATE(B2264,""en"",""it"")"),"Un'altra donna inizia a far volare l'aquilone fuori.")</f>
        <v>Un'altra donna inizia a far volare l'aquilone fuori.</v>
      </c>
    </row>
    <row r="2265">
      <c r="A2265" s="4" t="s">
        <v>2845</v>
      </c>
      <c r="B2265" s="4" t="s">
        <v>2846</v>
      </c>
      <c r="C2265" s="5" t="str">
        <f>IFERROR(__xludf.DUMMYFUNCTION("GOOGLETRANSLATE(B2265,""en"",""it"")"),"Un atleta crea la sua posizione per lanciare un disco durante un evento di atletica leggera.")</f>
        <v>Un atleta crea la sua posizione per lanciare un disco durante un evento di atletica leggera.</v>
      </c>
    </row>
    <row r="2266">
      <c r="A2266" s="4" t="s">
        <v>2845</v>
      </c>
      <c r="B2266" s="4" t="s">
        <v>2847</v>
      </c>
      <c r="C2266" s="5" t="str">
        <f>IFERROR(__xludf.DUMMYFUNCTION("GOOGLETRANSLATE(B2266,""en"",""it"")"),"La donna lancia il disco lontano attraverso il campo.")</f>
        <v>La donna lancia il disco lontano attraverso il campo.</v>
      </c>
    </row>
    <row r="2267">
      <c r="A2267" s="4" t="s">
        <v>2845</v>
      </c>
      <c r="B2267" s="4" t="s">
        <v>2848</v>
      </c>
      <c r="C2267" s="5" t="str">
        <f>IFERROR(__xludf.DUMMYFUNCTION("GOOGLETRANSLATE(B2267,""en"",""it"")"),"L'atleta celebra il tiro e la folla applaude.")</f>
        <v>L'atleta celebra il tiro e la folla applaude.</v>
      </c>
    </row>
    <row r="2268">
      <c r="A2268" s="4" t="s">
        <v>2845</v>
      </c>
      <c r="B2268" s="4" t="s">
        <v>2849</v>
      </c>
      <c r="C2268" s="5" t="str">
        <f>IFERROR(__xludf.DUMMYFUNCTION("GOOGLETRANSLATE(B2268,""en"",""it"")"),"Si vede un replay del tiro della donna.")</f>
        <v>Si vede un replay del tiro della donna.</v>
      </c>
    </row>
    <row r="2269">
      <c r="A2269" s="4" t="s">
        <v>2850</v>
      </c>
      <c r="B2269" s="4" t="s">
        <v>2851</v>
      </c>
      <c r="C2269" s="5" t="str">
        <f>IFERROR(__xludf.DUMMYFUNCTION("GOOGLETRANSLATE(B2269,""en"",""it"")"),"Un uomo spiega mentre si trova su una corte recintata.")</f>
        <v>Un uomo spiega mentre si trova su una corte recintata.</v>
      </c>
    </row>
    <row r="2270">
      <c r="A2270" s="4" t="s">
        <v>2850</v>
      </c>
      <c r="B2270" s="4" t="s">
        <v>2852</v>
      </c>
      <c r="C2270" s="5" t="str">
        <f>IFERROR(__xludf.DUMMYFUNCTION("GOOGLETRANSLATE(B2270,""en"",""it"")"),"Quindi, l'uomo danza hip hop, e poi spiega le manifestazioni hip hop.")</f>
        <v>Quindi, l'uomo danza hip hop, e poi spiega le manifestazioni hip hop.</v>
      </c>
    </row>
    <row r="2271">
      <c r="A2271" s="4" t="s">
        <v>2850</v>
      </c>
      <c r="B2271" s="6" t="s">
        <v>2853</v>
      </c>
      <c r="C2271" s="5" t="str">
        <f>IFERROR(__xludf.DUMMYFUNCTION("GOOGLETRANSLATE(B2271,""en"",""it"")"),"Dopo, l'uomo si siede sul pavimento e alza il corpo con le mani, le girano le gambe per fare movimenti hip hop.")</f>
        <v>Dopo, l'uomo si siede sul pavimento e alza il corpo con le mani, le girano le gambe per fare movimenti hip hop.</v>
      </c>
    </row>
    <row r="2272">
      <c r="A2272" s="4" t="s">
        <v>2854</v>
      </c>
      <c r="B2272" s="4" t="s">
        <v>2855</v>
      </c>
      <c r="C2272" s="5" t="str">
        <f>IFERROR(__xludf.DUMMYFUNCTION("GOOGLETRANSLATE(B2272,""en"",""it"")"),"Un uomo si trova in un campo con frisbees in mano e lo getta al suo cane husky in bianco e nero.")</f>
        <v>Un uomo si trova in un campo con frisbees in mano e lo getta al suo cane husky in bianco e nero.</v>
      </c>
    </row>
    <row r="2273">
      <c r="A2273" s="4" t="s">
        <v>2854</v>
      </c>
      <c r="B2273" s="4" t="s">
        <v>2856</v>
      </c>
      <c r="C2273" s="5" t="str">
        <f>IFERROR(__xludf.DUMMYFUNCTION("GOOGLETRANSLATE(B2273,""en"",""it"")"),"I due continuano a fare trucchi e il cane salta indietro sull'uomo.")</f>
        <v>I due continuano a fare trucchi e il cane salta indietro sull'uomo.</v>
      </c>
    </row>
    <row r="2274">
      <c r="A2274" s="4" t="s">
        <v>2854</v>
      </c>
      <c r="B2274" s="4" t="s">
        <v>2857</v>
      </c>
      <c r="C2274" s="5" t="str">
        <f>IFERROR(__xludf.DUMMYFUNCTION("GOOGLETRANSLATE(B2274,""en"",""it"")"),"Vengono lanciati più frisbee e il cane cattura il frisbee e l'uomo abbraccia il cane.")</f>
        <v>Vengono lanciati più frisbee e il cane cattura il frisbee e l'uomo abbraccia il cane.</v>
      </c>
    </row>
    <row r="2275">
      <c r="A2275" s="4" t="s">
        <v>2858</v>
      </c>
      <c r="B2275" s="4" t="s">
        <v>2859</v>
      </c>
      <c r="C2275" s="5" t="str">
        <f>IFERROR(__xludf.DUMMYFUNCTION("GOOGLETRANSLATE(B2275,""en"",""it"")"),"Le persone stanno spostando i mobili dal soggiorno, persino il tappeto e tutto il resto.")</f>
        <v>Le persone stanno spostando i mobili dal soggiorno, persino il tappeto e tutto il resto.</v>
      </c>
    </row>
    <row r="2276">
      <c r="A2276" s="4" t="s">
        <v>2858</v>
      </c>
      <c r="B2276" s="4" t="s">
        <v>2860</v>
      </c>
      <c r="C2276" s="5" t="str">
        <f>IFERROR(__xludf.DUMMYFUNCTION("GOOGLETRANSLATE(B2276,""en"",""it"")"),"Entrano e spazzano il pavimento e poi iniziano a mettere giù un po 'di telo e legno.")</f>
        <v>Entrano e spazzano il pavimento e poi iniziano a mettere giù un po 'di telo e legno.</v>
      </c>
    </row>
    <row r="2277">
      <c r="A2277" s="4" t="s">
        <v>2858</v>
      </c>
      <c r="B2277" s="4" t="s">
        <v>2861</v>
      </c>
      <c r="C2277" s="5" t="str">
        <f>IFERROR(__xludf.DUMMYFUNCTION("GOOGLETRANSLATE(B2277,""en"",""it"")"),"Stanno rimodellando il pavimento dal tappeto ai pavimenti in legno.")</f>
        <v>Stanno rimodellando il pavimento dal tappeto ai pavimenti in legno.</v>
      </c>
    </row>
    <row r="2278">
      <c r="A2278" s="4" t="s">
        <v>2858</v>
      </c>
      <c r="B2278" s="4" t="s">
        <v>2862</v>
      </c>
      <c r="C2278" s="5" t="str">
        <f>IFERROR(__xludf.DUMMYFUNCTION("GOOGLETRANSLATE(B2278,""en"",""it"")"),"Una volta terminato il pavimento, riportano tutti i mobili.")</f>
        <v>Una volta terminato il pavimento, riportano tutti i mobili.</v>
      </c>
    </row>
    <row r="2279">
      <c r="A2279" s="4" t="s">
        <v>2863</v>
      </c>
      <c r="B2279" s="4" t="s">
        <v>2864</v>
      </c>
      <c r="C2279" s="5" t="str">
        <f>IFERROR(__xludf.DUMMYFUNCTION("GOOGLETRANSLATE(B2279,""en"",""it"")"),"Una donna viene vista parlare alla telecamera e conduce nel tagliare i capelli di una persona.")</f>
        <v>Una donna viene vista parlare alla telecamera e conduce nel tagliare i capelli di una persona.</v>
      </c>
    </row>
    <row r="2280">
      <c r="A2280" s="4" t="s">
        <v>2863</v>
      </c>
      <c r="B2280" s="4" t="s">
        <v>2865</v>
      </c>
      <c r="C2280" s="5" t="str">
        <f>IFERROR(__xludf.DUMMYFUNCTION("GOOGLETRANSLATE(B2280,""en"",""it"")"),"Continua a tagliare e acconciare i capelli mentre l'uomo si guarda in lontananza.")</f>
        <v>Continua a tagliare e acconciare i capelli mentre l'uomo si guarda in lontananza.</v>
      </c>
    </row>
    <row r="2281">
      <c r="A2281" s="4" t="s">
        <v>2866</v>
      </c>
      <c r="B2281" s="4" t="s">
        <v>2867</v>
      </c>
      <c r="C2281" s="5" t="str">
        <f>IFERROR(__xludf.DUMMYFUNCTION("GOOGLETRANSLATE(B2281,""en"",""it"")"),"C'è un gruppo di travi che indossano giubbotti gialli in avventura.")</f>
        <v>C'è un gruppo di travi che indossano giubbotti gialli in avventura.</v>
      </c>
    </row>
    <row r="2282">
      <c r="A2282" s="4" t="s">
        <v>2866</v>
      </c>
      <c r="B2282" s="4" t="s">
        <v>2868</v>
      </c>
      <c r="C2282" s="5" t="str">
        <f>IFERROR(__xludf.DUMMYFUNCTION("GOOGLETRANSLATE(B2282,""en"",""it"")"),"Stanno remando la zattera attraverso il fiume mentre le onde turbolente sgorgavano verso la loro zattera.")</f>
        <v>Stanno remando la zattera attraverso il fiume mentre le onde turbolente sgorgavano verso la loro zattera.</v>
      </c>
    </row>
    <row r="2283">
      <c r="A2283" s="4" t="s">
        <v>2866</v>
      </c>
      <c r="B2283" s="4" t="s">
        <v>2869</v>
      </c>
      <c r="C2283" s="5" t="str">
        <f>IFERROR(__xludf.DUMMYFUNCTION("GOOGLETRANSLATE(B2283,""en"",""it"")"),"Continuano il rafting attraverso il fiume mentre rimangono a galla contro le onde feroci.")</f>
        <v>Continuano il rafting attraverso il fiume mentre rimangono a galla contro le onde feroci.</v>
      </c>
    </row>
    <row r="2284">
      <c r="A2284" s="4" t="s">
        <v>2866</v>
      </c>
      <c r="B2284" s="4" t="s">
        <v>2870</v>
      </c>
      <c r="C2284" s="5" t="str">
        <f>IFERROR(__xludf.DUMMYFUNCTION("GOOGLETRANSLATE(B2284,""en"",""it"")"),"Le travi rimangono a galla nonostante le onde turbolente e agitate del fiume.")</f>
        <v>Le travi rimangono a galla nonostante le onde turbolente e agitate del fiume.</v>
      </c>
    </row>
    <row r="2285">
      <c r="A2285" s="4" t="s">
        <v>2866</v>
      </c>
      <c r="B2285" s="4" t="s">
        <v>2871</v>
      </c>
      <c r="C2285" s="5" t="str">
        <f>IFERROR(__xludf.DUMMYFUNCTION("GOOGLETRANSLATE(B2285,""en"",""it"")"),"Alcune travi sono in cima a una collina e una delle trave si sta immergendo nell'acqua.")</f>
        <v>Alcune travi sono in cima a una collina e una delle trave si sta immergendo nell'acqua.</v>
      </c>
    </row>
    <row r="2286">
      <c r="A2286" s="4" t="s">
        <v>2866</v>
      </c>
      <c r="B2286" s="4" t="s">
        <v>2872</v>
      </c>
      <c r="C2286" s="5" t="str">
        <f>IFERROR(__xludf.DUMMYFUNCTION("GOOGLETRANSLATE(B2286,""en"",""it"")"),"Le travi continuano il loro viaggio attraverso le turbolente acque del fiume.")</f>
        <v>Le travi continuano il loro viaggio attraverso le turbolente acque del fiume.</v>
      </c>
    </row>
    <row r="2287">
      <c r="A2287" s="4" t="s">
        <v>2866</v>
      </c>
      <c r="B2287" s="4" t="s">
        <v>2873</v>
      </c>
      <c r="C2287" s="5" t="str">
        <f>IFERROR(__xludf.DUMMYFUNCTION("GOOGLETRANSLATE(B2287,""en"",""it"")"),"C'è una persona che salta da un bungee da una gru elevata nel fiume.")</f>
        <v>C'è una persona che salta da un bungee da una gru elevata nel fiume.</v>
      </c>
    </row>
    <row r="2288">
      <c r="A2288" s="4" t="s">
        <v>2874</v>
      </c>
      <c r="B2288" s="4" t="s">
        <v>2875</v>
      </c>
      <c r="C2288" s="5" t="str">
        <f>IFERROR(__xludf.DUMMYFUNCTION("GOOGLETRANSLATE(B2288,""en"",""it"")"),"Una donna è in piedi in una cucina disordinata davanti al lavandino preparando a tagliare qualcosa.")</f>
        <v>Una donna è in piedi in una cucina disordinata davanti al lavandino preparando a tagliare qualcosa.</v>
      </c>
    </row>
    <row r="2289">
      <c r="A2289" s="4" t="s">
        <v>2874</v>
      </c>
      <c r="B2289" s="4" t="s">
        <v>2876</v>
      </c>
      <c r="C2289" s="5" t="str">
        <f>IFERROR(__xludf.DUMMYFUNCTION("GOOGLETRANSLATE(B2289,""en"",""it"")"),"Afferra una patata e una pelapatrice e inizia a togliersi i bordi.")</f>
        <v>Afferra una patata e una pelapatrice e inizia a togliersi i bordi.</v>
      </c>
    </row>
    <row r="2290">
      <c r="A2290" s="4" t="s">
        <v>2874</v>
      </c>
      <c r="B2290" s="6" t="s">
        <v>2877</v>
      </c>
      <c r="C2290" s="5" t="str">
        <f>IFERROR(__xludf.DUMMYFUNCTION("GOOGLETRANSLATE(B2290,""en"",""it"")"),"Mentre continua a tagliare, due ragazze camminano in cucina e iniziano a guardarla e afferrare i piatti.")</f>
        <v>Mentre continua a tagliare, due ragazze camminano in cucina e iniziano a guardarla e afferrare i piatti.</v>
      </c>
    </row>
    <row r="2291">
      <c r="A2291" s="4" t="s">
        <v>2878</v>
      </c>
      <c r="B2291" s="4" t="s">
        <v>2879</v>
      </c>
      <c r="C2291" s="5" t="str">
        <f>IFERROR(__xludf.DUMMYFUNCTION("GOOGLETRANSLATE(B2291,""en"",""it"")"),"Il wrestler è su un anello facendo una serratura e un uomo salta fuori dall'anello e spinge gli uomini.")</f>
        <v>Il wrestler è su un anello facendo una serratura e un uomo salta fuori dall'anello e spinge gli uomini.</v>
      </c>
    </row>
    <row r="2292">
      <c r="A2292" s="4" t="s">
        <v>2878</v>
      </c>
      <c r="B2292" s="4" t="s">
        <v>2880</v>
      </c>
      <c r="C2292" s="5" t="str">
        <f>IFERROR(__xludf.DUMMYFUNCTION("GOOGLETRANSLATE(B2292,""en"",""it"")"),"L'arbitro è sul ring e conta i secondi dei wresler sul pavimento.")</f>
        <v>L'arbitro è sul ring e conta i secondi dei wresler sul pavimento.</v>
      </c>
    </row>
    <row r="2293">
      <c r="A2293" s="4" t="s">
        <v>2881</v>
      </c>
      <c r="B2293" s="4" t="s">
        <v>2882</v>
      </c>
      <c r="C2293" s="5" t="str">
        <f>IFERROR(__xludf.DUMMYFUNCTION("GOOGLETRANSLATE(B2293,""en"",""it"")"),"Una donna viene mostrata che ospita un segmento di notizie quando la telecamera piova per le notizie della protezione solare.")</f>
        <v>Una donna viene mostrata che ospita un segmento di notizie quando la telecamera piova per le notizie della protezione solare.</v>
      </c>
    </row>
    <row r="2294">
      <c r="A2294" s="4" t="s">
        <v>2881</v>
      </c>
      <c r="B2294" s="4" t="s">
        <v>2883</v>
      </c>
      <c r="C2294" s="5" t="str">
        <f>IFERROR(__xludf.DUMMYFUNCTION("GOOGLETRANSLATE(B2294,""en"",""it"")"),"Diverse persone sono mostrate su una spiaggia e intervistate da un giornalista sulla protezione solare.")</f>
        <v>Diverse persone sono mostrate su una spiaggia e intervistate da un giornalista sulla protezione solare.</v>
      </c>
    </row>
    <row r="2295">
      <c r="A2295" s="4" t="s">
        <v>2881</v>
      </c>
      <c r="B2295" s="4" t="s">
        <v>2884</v>
      </c>
      <c r="C2295" s="5" t="str">
        <f>IFERROR(__xludf.DUMMYFUNCTION("GOOGLETRANSLATE(B2295,""en"",""it"")"),"Le bottiglie sono mostrate contenenti crema solare e le persone lo mettono.")</f>
        <v>Le bottiglie sono mostrate contenenti crema solare e le persone lo mettono.</v>
      </c>
    </row>
    <row r="2296">
      <c r="A2296" s="4" t="s">
        <v>2881</v>
      </c>
      <c r="B2296" s="6" t="s">
        <v>2885</v>
      </c>
      <c r="C2296" s="5" t="str">
        <f>IFERROR(__xludf.DUMMYFUNCTION("GOOGLETRANSLATE(B2296,""en"",""it"")"),"Il giornalista parla con le persone e le pentole a camicie usate per la protezione solare e le persone che viaggiano in tutto il mondo.")</f>
        <v>Il giornalista parla con le persone e le pentole a camicie usate per la protezione solare e le persone che viaggiano in tutto il mondo.</v>
      </c>
    </row>
    <row r="2297">
      <c r="A2297" s="4" t="s">
        <v>2886</v>
      </c>
      <c r="B2297" s="4" t="s">
        <v>1487</v>
      </c>
      <c r="C2297" s="5" t="str">
        <f>IFERROR(__xludf.DUMMYFUNCTION("GOOGLETRANSLATE(B2297,""en"",""it"")"),"Vediamo una schermata del titolo di apertura.")</f>
        <v>Vediamo una schermata del titolo di apertura.</v>
      </c>
    </row>
    <row r="2298">
      <c r="A2298" s="4" t="s">
        <v>2886</v>
      </c>
      <c r="B2298" s="4" t="s">
        <v>2887</v>
      </c>
      <c r="C2298" s="5" t="str">
        <f>IFERROR(__xludf.DUMMYFUNCTION("GOOGLETRANSLATE(B2298,""en"",""it"")"),"Un uomo tiene una racchetta da badminton in palestra e parla.")</f>
        <v>Un uomo tiene una racchetta da badminton in palestra e parla.</v>
      </c>
    </row>
    <row r="2299">
      <c r="A2299" s="4" t="s">
        <v>2886</v>
      </c>
      <c r="B2299" s="4" t="s">
        <v>2888</v>
      </c>
      <c r="C2299" s="5" t="str">
        <f>IFERROR(__xludf.DUMMYFUNCTION("GOOGLETRANSLATE(B2299,""en"",""it"")"),"L'uomo si appoggia a sinistra e tiene fuori la racchetta.")</f>
        <v>L'uomo si appoggia a sinistra e tiene fuori la racchetta.</v>
      </c>
    </row>
    <row r="2300">
      <c r="A2300" s="4" t="s">
        <v>2886</v>
      </c>
      <c r="B2300" s="4" t="s">
        <v>2889</v>
      </c>
      <c r="C2300" s="5" t="str">
        <f>IFERROR(__xludf.DUMMYFUNCTION("GOOGLETRANSLATE(B2300,""en"",""it"")"),"L'uomo si gira a destra e mostra le spalle alla telecamera.")</f>
        <v>L'uomo si gira a destra e mostra le spalle alla telecamera.</v>
      </c>
    </row>
    <row r="2301">
      <c r="A2301" s="4" t="s">
        <v>2886</v>
      </c>
      <c r="B2301" s="4" t="s">
        <v>2890</v>
      </c>
      <c r="C2301" s="5" t="str">
        <f>IFERROR(__xludf.DUMMYFUNCTION("GOOGLETRANSLATE(B2301,""en"",""it"")"),"L'uomo parla con la telecamera e l'uomo salta avanti e indietro sullo schermo.")</f>
        <v>L'uomo parla con la telecamera e l'uomo salta avanti e indietro sullo schermo.</v>
      </c>
    </row>
    <row r="2302">
      <c r="A2302" s="4" t="s">
        <v>2886</v>
      </c>
      <c r="B2302" s="4" t="s">
        <v>2891</v>
      </c>
      <c r="C2302" s="5" t="str">
        <f>IFERROR(__xludf.DUMMYFUNCTION("GOOGLETRANSLATE(B2302,""en"",""it"")"),"L'uomo parla con la telecamera e l'uomo si appoggia a sinistra ancora una volta.")</f>
        <v>L'uomo parla con la telecamera e l'uomo si appoggia a sinistra ancora una volta.</v>
      </c>
    </row>
    <row r="2303">
      <c r="A2303" s="4" t="s">
        <v>2886</v>
      </c>
      <c r="B2303" s="4" t="s">
        <v>2892</v>
      </c>
      <c r="C2303" s="5" t="str">
        <f>IFERROR(__xludf.DUMMYFUNCTION("GOOGLETRANSLATE(B2303,""en"",""it"")"),"Vediamo la schermata del titolo di chiusura.")</f>
        <v>Vediamo la schermata del titolo di chiusura.</v>
      </c>
    </row>
    <row r="2304">
      <c r="A2304" s="4" t="s">
        <v>2893</v>
      </c>
      <c r="B2304" s="4" t="s">
        <v>2894</v>
      </c>
      <c r="C2304" s="5" t="str">
        <f>IFERROR(__xludf.DUMMYFUNCTION("GOOGLETRANSLATE(B2304,""en"",""it"")"),"Un uomo si aggancia la barba davanti a uno specchio nel suo bagno.")</f>
        <v>Un uomo si aggancia la barba davanti a uno specchio nel suo bagno.</v>
      </c>
    </row>
    <row r="2305">
      <c r="A2305" s="4" t="s">
        <v>2893</v>
      </c>
      <c r="B2305" s="4" t="s">
        <v>2895</v>
      </c>
      <c r="C2305" s="5" t="str">
        <f>IFERROR(__xludf.DUMMYFUNCTION("GOOGLETRANSLATE(B2305,""en"",""it"")"),"L'uomo allunga la mano per raccogliere i sizzor, quindi tagli i baffi.")</f>
        <v>L'uomo allunga la mano per raccogliere i sizzor, quindi tagli i baffi.</v>
      </c>
    </row>
    <row r="2306">
      <c r="A2306" s="4" t="s">
        <v>2893</v>
      </c>
      <c r="B2306" s="4" t="s">
        <v>2896</v>
      </c>
      <c r="C2306" s="5" t="str">
        <f>IFERROR(__xludf.DUMMYFUNCTION("GOOGLETRANSLATE(B2306,""en"",""it"")"),"L'uomo raccoglie lozione che gli applica al collo.")</f>
        <v>L'uomo raccoglie lozione che gli applica al collo.</v>
      </c>
    </row>
    <row r="2307">
      <c r="A2307" s="4" t="s">
        <v>2893</v>
      </c>
      <c r="B2307" s="4" t="s">
        <v>2897</v>
      </c>
      <c r="C2307" s="5" t="str">
        <f>IFERROR(__xludf.DUMMYFUNCTION("GOOGLETRANSLATE(B2307,""en"",""it"")"),"L'uomo raccoglie un pacchetto di rasoi e li assembla nel suo gadget di rasoio in acciaio.")</f>
        <v>L'uomo raccoglie un pacchetto di rasoi e li assembla nel suo gadget di rasoio in acciaio.</v>
      </c>
    </row>
    <row r="2308">
      <c r="A2308" s="4" t="s">
        <v>2893</v>
      </c>
      <c r="B2308" s="4" t="s">
        <v>2898</v>
      </c>
      <c r="C2308" s="5" t="str">
        <f>IFERROR(__xludf.DUMMYFUNCTION("GOOGLETRANSLATE(B2308,""en"",""it"")"),"L'uomo usa il suo rasoio per tagliare il viso e la barba.")</f>
        <v>L'uomo usa il suo rasoio per tagliare il viso e la barba.</v>
      </c>
    </row>
    <row r="2309">
      <c r="A2309" s="4" t="s">
        <v>2893</v>
      </c>
      <c r="B2309" s="4" t="s">
        <v>2899</v>
      </c>
      <c r="C2309" s="5" t="str">
        <f>IFERROR(__xludf.DUMMYFUNCTION("GOOGLETRANSLATE(B2309,""en"",""it"")"),"L'uomo raccoglie un pacchetto e gli applica un prodotto in faccia.")</f>
        <v>L'uomo raccoglie un pacchetto e gli applica un prodotto in faccia.</v>
      </c>
    </row>
    <row r="2310">
      <c r="A2310" s="4" t="s">
        <v>2893</v>
      </c>
      <c r="B2310" s="4" t="s">
        <v>2900</v>
      </c>
      <c r="C2310" s="5" t="str">
        <f>IFERROR(__xludf.DUMMYFUNCTION("GOOGLETRANSLATE(B2310,""en"",""it"")"),"L'uomo usa un asciugamano per asciugandosi il viso.")</f>
        <v>L'uomo usa un asciugamano per asciugandosi il viso.</v>
      </c>
    </row>
    <row r="2311">
      <c r="A2311" s="4" t="s">
        <v>2893</v>
      </c>
      <c r="B2311" s="4" t="s">
        <v>2901</v>
      </c>
      <c r="C2311" s="5" t="str">
        <f>IFERROR(__xludf.DUMMYFUNCTION("GOOGLETRANSLATE(B2311,""en"",""it"")"),"L'uomo raccoglie una bottiglia di olio dal bancone e la applica alla sua barba.")</f>
        <v>L'uomo raccoglie una bottiglia di olio dal bancone e la applica alla sua barba.</v>
      </c>
    </row>
    <row r="2312">
      <c r="A2312" s="4" t="s">
        <v>2902</v>
      </c>
      <c r="B2312" s="6" t="s">
        <v>2903</v>
      </c>
      <c r="C2312" s="5" t="str">
        <f>IFERROR(__xludf.DUMMYFUNCTION("GOOGLETRANSLATE(B2312,""en"",""it"")"),"Viene mostrato un primo piano di una buca da pesca con una persona che usa oggetti per pescare e un'altra si distingue in lontananza.")</f>
        <v>Viene mostrato un primo piano di una buca da pesca con una persona che usa oggetti per pescare e un'altra si distingue in lontananza.</v>
      </c>
    </row>
    <row r="2313">
      <c r="A2313" s="4" t="s">
        <v>2902</v>
      </c>
      <c r="B2313" s="4" t="s">
        <v>2904</v>
      </c>
      <c r="C2313" s="5" t="str">
        <f>IFERROR(__xludf.DUMMYFUNCTION("GOOGLETRANSLATE(B2313,""en"",""it"")"),"L'uomo usa gli oggetti per catturare un pesce e ingrandisce in un buco.")</f>
        <v>L'uomo usa gli oggetti per catturare un pesce e ingrandisce in un buco.</v>
      </c>
    </row>
    <row r="2314">
      <c r="A2314" s="4" t="s">
        <v>2902</v>
      </c>
      <c r="B2314" s="4" t="s">
        <v>2905</v>
      </c>
      <c r="C2314" s="5" t="str">
        <f>IFERROR(__xludf.DUMMYFUNCTION("GOOGLETRANSLATE(B2314,""en"",""it"")"),"Alla fine fanno le valigie e la portano con sé mentre guidano.")</f>
        <v>Alla fine fanno le valigie e la portano con sé mentre guidano.</v>
      </c>
    </row>
    <row r="2315">
      <c r="A2315" s="4" t="s">
        <v>2906</v>
      </c>
      <c r="B2315" s="4" t="s">
        <v>2907</v>
      </c>
      <c r="C2315" s="5" t="str">
        <f>IFERROR(__xludf.DUMMYFUNCTION("GOOGLETRANSLATE(B2315,""en"",""it"")"),"Un uomo con una camicia rossa è in piedi accanto a una macchina da esercizio.")</f>
        <v>Un uomo con una camicia rossa è in piedi accanto a una macchina da esercizio.</v>
      </c>
    </row>
    <row r="2316">
      <c r="A2316" s="4" t="s">
        <v>2906</v>
      </c>
      <c r="B2316" s="4" t="s">
        <v>2908</v>
      </c>
      <c r="C2316" s="5" t="str">
        <f>IFERROR(__xludf.DUMMYFUNCTION("GOOGLETRANSLATE(B2316,""en"",""it"")"),"Si mette sulla macchina e inizia ad allenarti.")</f>
        <v>Si mette sulla macchina e inizia ad allenarti.</v>
      </c>
    </row>
    <row r="2317">
      <c r="A2317" s="4" t="s">
        <v>2906</v>
      </c>
      <c r="B2317" s="4" t="s">
        <v>1599</v>
      </c>
      <c r="C2317" s="5" t="str">
        <f>IFERROR(__xludf.DUMMYFUNCTION("GOOGLETRANSLATE(B2317,""en"",""it"")"),"Le parole sono mostrate sullo schermo.")</f>
        <v>Le parole sono mostrate sullo schermo.</v>
      </c>
    </row>
    <row r="2318">
      <c r="A2318" s="4" t="s">
        <v>2909</v>
      </c>
      <c r="B2318" s="4" t="s">
        <v>2910</v>
      </c>
      <c r="C2318" s="5" t="str">
        <f>IFERROR(__xludf.DUMMYFUNCTION("GOOGLETRANSLATE(B2318,""en"",""it"")"),"Una donna dà i capelli di una giovane donna che usa un pennello e un asciugacapelli.")</f>
        <v>Una donna dà i capelli di una giovane donna che usa un pennello e un asciugacapelli.</v>
      </c>
    </row>
    <row r="2319">
      <c r="A2319" s="4" t="s">
        <v>2909</v>
      </c>
      <c r="B2319" s="4" t="s">
        <v>2911</v>
      </c>
      <c r="C2319" s="5" t="str">
        <f>IFERROR(__xludf.DUMMYFUNCTION("GOOGLETRANSLATE(B2319,""en"",""it"")"),"La donna tiene parte dei capelli, poi curva i capelli e il ferro per capelli.")</f>
        <v>La donna tiene parte dei capelli, poi curva i capelli e il ferro per capelli.</v>
      </c>
    </row>
    <row r="2320">
      <c r="A2320" s="4" t="s">
        <v>2912</v>
      </c>
      <c r="B2320" s="4" t="s">
        <v>2913</v>
      </c>
      <c r="C2320" s="5" t="str">
        <f>IFERROR(__xludf.DUMMYFUNCTION("GOOGLETRANSLATE(B2320,""en"",""it"")"),"Un folto gruppo di persone è visto in piedi intorno a un parcheggio con uno che tiene una palla.")</f>
        <v>Un folto gruppo di persone è visto in piedi intorno a un parcheggio con uno che tiene una palla.</v>
      </c>
    </row>
    <row r="2321">
      <c r="A2321" s="4" t="s">
        <v>2912</v>
      </c>
      <c r="B2321" s="6" t="s">
        <v>2914</v>
      </c>
      <c r="C2321" s="5" t="str">
        <f>IFERROR(__xludf.DUMMYFUNCTION("GOOGLETRANSLATE(B2321,""en"",""it"")"),"Il gruppo gioca quindi una partita di kickball mentre si muove nell'area e lancia palle l'un l'altro.")</f>
        <v>Il gruppo gioca quindi una partita di kickball mentre si muove nell'area e lancia palle l'un l'altro.</v>
      </c>
    </row>
    <row r="2322">
      <c r="A2322" s="4" t="s">
        <v>2912</v>
      </c>
      <c r="B2322" s="4" t="s">
        <v>2915</v>
      </c>
      <c r="C2322" s="5" t="str">
        <f>IFERROR(__xludf.DUMMYFUNCTION("GOOGLETRANSLATE(B2322,""en"",""it"")"),"Le persone continuano a camminare mentre si guardano l'un l'altro e lanciano la palla.")</f>
        <v>Le persone continuano a camminare mentre si guardano l'un l'altro e lanciano la palla.</v>
      </c>
    </row>
    <row r="2323">
      <c r="A2323" s="4" t="s">
        <v>2916</v>
      </c>
      <c r="B2323" s="6" t="s">
        <v>2917</v>
      </c>
      <c r="C2323" s="5" t="str">
        <f>IFERROR(__xludf.DUMMYFUNCTION("GOOGLETRANSLATE(B2323,""en"",""it"")"),"Un folto gruppo di persone viene visto correre attorno a un resort Disney mentre agita la telecamera e diversi scatti del regno.")</f>
        <v>Un folto gruppo di persone viene visto correre attorno a un resort Disney mentre agita la telecamera e diversi scatti del regno.</v>
      </c>
    </row>
    <row r="2324">
      <c r="A2324" s="4" t="s">
        <v>2916</v>
      </c>
      <c r="B2324" s="6" t="s">
        <v>2918</v>
      </c>
      <c r="C2324" s="5" t="str">
        <f>IFERROR(__xludf.DUMMYFUNCTION("GOOGLETRANSLATE(B2324,""en"",""it"")"),"Molti personaggi vengono mostrati salutando i corridori e altri scatti di persone che passano da personaggi e passano attraverso il traguardo e celebrano.")</f>
        <v>Molti personaggi vengono mostrati salutando i corridori e altri scatti di persone che passano da personaggi e passano attraverso il traguardo e celebrano.</v>
      </c>
    </row>
    <row r="2325">
      <c r="A2325" s="4" t="s">
        <v>2919</v>
      </c>
      <c r="B2325" s="4" t="s">
        <v>2920</v>
      </c>
      <c r="C2325" s="5" t="str">
        <f>IFERROR(__xludf.DUMMYFUNCTION("GOOGLETRANSLATE(B2325,""en"",""it"")"),"La persona con il grembiule nero spruzza una schiuma bianca sulle scarpe.")</f>
        <v>La persona con il grembiule nero spruzza una schiuma bianca sulle scarpe.</v>
      </c>
    </row>
    <row r="2326">
      <c r="A2326" s="4" t="s">
        <v>2919</v>
      </c>
      <c r="B2326" s="4" t="s">
        <v>2921</v>
      </c>
      <c r="C2326" s="5" t="str">
        <f>IFERROR(__xludf.DUMMYFUNCTION("GOOGLETRANSLATE(B2326,""en"",""it"")"),"La persona spazzola le scarpe con schiuma bianca sopra.")</f>
        <v>La persona spazzola le scarpe con schiuma bianca sopra.</v>
      </c>
    </row>
    <row r="2327">
      <c r="A2327" s="4" t="s">
        <v>2919</v>
      </c>
      <c r="B2327" s="6" t="s">
        <v>2922</v>
      </c>
      <c r="C2327" s="5" t="str">
        <f>IFERROR(__xludf.DUMMYFUNCTION("GOOGLETRANSLATE(B2327,""en"",""it"")"),"La persona ha spazzolato le scarpe dopo che la schiuma è sparita e ha iniziato a spruzzare una sostanza chimica e ha lucidato la parte metallica delle scarpe.")</f>
        <v>La persona ha spazzolato le scarpe dopo che la schiuma è sparita e ha iniziato a spruzzare una sostanza chimica e ha lucidato la parte metallica delle scarpe.</v>
      </c>
    </row>
    <row r="2328">
      <c r="A2328" s="4" t="s">
        <v>2923</v>
      </c>
      <c r="B2328" s="4" t="s">
        <v>2924</v>
      </c>
      <c r="C2328" s="5" t="str">
        <f>IFERROR(__xludf.DUMMYFUNCTION("GOOGLETRANSLATE(B2328,""en"",""it"")"),"Vengono mostrati diversi colpi di una grande barca che viaggia lungo una tempesta dura.")</f>
        <v>Vengono mostrati diversi colpi di una grande barca che viaggia lungo una tempesta dura.</v>
      </c>
    </row>
    <row r="2329">
      <c r="A2329" s="4" t="s">
        <v>2923</v>
      </c>
      <c r="B2329" s="6" t="s">
        <v>2925</v>
      </c>
      <c r="C2329" s="5" t="str">
        <f>IFERROR(__xludf.DUMMYFUNCTION("GOOGLETRANSLATE(B2329,""en"",""it"")"),"Un uomo viene visto guidare la barca attraverso la tempesta e parlare con una macchina fotografica con il video che termina di più scatti della barca.")</f>
        <v>Un uomo viene visto guidare la barca attraverso la tempesta e parlare con una macchina fotografica con il video che termina di più scatti della barca.</v>
      </c>
    </row>
    <row r="2330">
      <c r="A2330" s="4" t="s">
        <v>2926</v>
      </c>
      <c r="B2330" s="6" t="s">
        <v>2927</v>
      </c>
      <c r="C2330" s="5" t="str">
        <f>IFERROR(__xludf.DUMMYFUNCTION("GOOGLETRANSLATE(B2330,""en"",""it"")"),"Un giovane è visto in piedi per una piscina seguita da diverse clip del ragazzo che salta in piscina e nuotando in giro.")</f>
        <v>Un giovane è visto in piedi per una piscina seguita da diverse clip del ragazzo che salta in piscina e nuotando in giro.</v>
      </c>
    </row>
    <row r="2331">
      <c r="A2331" s="4" t="s">
        <v>2926</v>
      </c>
      <c r="B2331" s="6" t="s">
        <v>2928</v>
      </c>
      <c r="C2331" s="5" t="str">
        <f>IFERROR(__xludf.DUMMYFUNCTION("GOOGLETRANSLATE(B2331,""en"",""it"")"),"Il ragazzo continua a nuotare in giro per tutta la piscina con un uomo che nuota dietro di lui e il ragazzo che sorride alla telecamera.")</f>
        <v>Il ragazzo continua a nuotare in giro per tutta la piscina con un uomo che nuota dietro di lui e il ragazzo che sorride alla telecamera.</v>
      </c>
    </row>
    <row r="2332">
      <c r="A2332" s="4" t="s">
        <v>2929</v>
      </c>
      <c r="B2332" s="4" t="s">
        <v>2930</v>
      </c>
      <c r="C2332" s="5" t="str">
        <f>IFERROR(__xludf.DUMMYFUNCTION("GOOGLETRANSLATE(B2332,""en"",""it"")"),"Tre bambini stanno facendo un castello di sabbia sulla spiaggia.")</f>
        <v>Tre bambini stanno facendo un castello di sabbia sulla spiaggia.</v>
      </c>
    </row>
    <row r="2333">
      <c r="A2333" s="4" t="s">
        <v>2929</v>
      </c>
      <c r="B2333" s="4" t="s">
        <v>2931</v>
      </c>
      <c r="C2333" s="5" t="str">
        <f>IFERROR(__xludf.DUMMYFUNCTION("GOOGLETRANSLATE(B2333,""en"",""it"")"),"Un uomo è sdraiato accanto a loro su un asciugamano.")</f>
        <v>Un uomo è sdraiato accanto a loro su un asciugamano.</v>
      </c>
    </row>
    <row r="2334">
      <c r="A2334" s="4" t="s">
        <v>2932</v>
      </c>
      <c r="B2334" s="4" t="s">
        <v>2933</v>
      </c>
      <c r="C2334" s="5" t="str">
        <f>IFERROR(__xludf.DUMMYFUNCTION("GOOGLETRANSLATE(B2334,""en"",""it"")"),"Dopo che appare un annuncio di tissot, viene mostrata una fila di schermitori.")</f>
        <v>Dopo che appare un annuncio di tissot, viene mostrata una fila di schermitori.</v>
      </c>
    </row>
    <row r="2335">
      <c r="A2335" s="4" t="s">
        <v>2932</v>
      </c>
      <c r="B2335" s="6" t="s">
        <v>2934</v>
      </c>
      <c r="C2335" s="5" t="str">
        <f>IFERROR(__xludf.DUMMYFUNCTION("GOOGLETRANSLATE(B2335,""en"",""it"")"),"Hanno alzati cinque e vengono visualizzati in diverse clip che combattono, quindi di nuovo alla fila di piedi sul palco.")</f>
        <v>Hanno alzati cinque e vengono visualizzati in diverse clip che combattono, quindi di nuovo alla fila di piedi sul palco.</v>
      </c>
    </row>
    <row r="2336">
      <c r="A2336" s="4" t="s">
        <v>2932</v>
      </c>
      <c r="B2336" s="4" t="s">
        <v>2935</v>
      </c>
      <c r="C2336" s="5" t="str">
        <f>IFERROR(__xludf.DUMMYFUNCTION("GOOGLETRANSLATE(B2336,""en"",""it"")"),"Uno è ferito e viene portato via.")</f>
        <v>Uno è ferito e viene portato via.</v>
      </c>
    </row>
    <row r="2337">
      <c r="A2337" s="4" t="s">
        <v>2936</v>
      </c>
      <c r="B2337" s="4" t="s">
        <v>1487</v>
      </c>
      <c r="C2337" s="5" t="str">
        <f>IFERROR(__xludf.DUMMYFUNCTION("GOOGLETRANSLATE(B2337,""en"",""it"")"),"Vediamo una schermata del titolo di apertura.")</f>
        <v>Vediamo una schermata del titolo di apertura.</v>
      </c>
    </row>
    <row r="2338">
      <c r="A2338" s="4" t="s">
        <v>2936</v>
      </c>
      <c r="B2338" s="4" t="s">
        <v>2937</v>
      </c>
      <c r="C2338" s="5" t="str">
        <f>IFERROR(__xludf.DUMMYFUNCTION("GOOGLETRANSLATE(B2338,""en"",""it"")"),"Un uomo sorridente con gli occhiali da sole apre collutori e gargere.")</f>
        <v>Un uomo sorridente con gli occhiali da sole apre collutori e gargere.</v>
      </c>
    </row>
    <row r="2339">
      <c r="A2339" s="4" t="s">
        <v>2936</v>
      </c>
      <c r="B2339" s="4" t="s">
        <v>2938</v>
      </c>
      <c r="C2339" s="5" t="str">
        <f>IFERROR(__xludf.DUMMYFUNCTION("GOOGLETRANSLATE(B2339,""en"",""it"")"),"L'uomo sputa in una tazza.")</f>
        <v>L'uomo sputa in una tazza.</v>
      </c>
    </row>
    <row r="2340">
      <c r="A2340" s="4" t="s">
        <v>2936</v>
      </c>
      <c r="B2340" s="4" t="s">
        <v>2939</v>
      </c>
      <c r="C2340" s="5" t="str">
        <f>IFERROR(__xludf.DUMMYFUNCTION("GOOGLETRANSLATE(B2340,""en"",""it"")"),"Una signora rimuove una targa dal muro.")</f>
        <v>Una signora rimuove una targa dal muro.</v>
      </c>
    </row>
    <row r="2341">
      <c r="A2341" s="4" t="s">
        <v>2936</v>
      </c>
      <c r="B2341" s="4" t="s">
        <v>2940</v>
      </c>
      <c r="C2341" s="5" t="str">
        <f>IFERROR(__xludf.DUMMYFUNCTION("GOOGLETRANSLATE(B2341,""en"",""it"")"),"Vediamo uno schermo di chiusura.")</f>
        <v>Vediamo uno schermo di chiusura.</v>
      </c>
    </row>
    <row r="2342">
      <c r="A2342" s="4" t="s">
        <v>2941</v>
      </c>
      <c r="B2342" s="4" t="s">
        <v>1487</v>
      </c>
      <c r="C2342" s="5" t="str">
        <f>IFERROR(__xludf.DUMMYFUNCTION("GOOGLETRANSLATE(B2342,""en"",""it"")"),"Vediamo una schermata del titolo di apertura.")</f>
        <v>Vediamo una schermata del titolo di apertura.</v>
      </c>
    </row>
    <row r="2343">
      <c r="A2343" s="4" t="s">
        <v>2941</v>
      </c>
      <c r="B2343" s="4" t="s">
        <v>2942</v>
      </c>
      <c r="C2343" s="5" t="str">
        <f>IFERROR(__xludf.DUMMYFUNCTION("GOOGLETRANSLATE(B2343,""en"",""it"")"),"L'uomo quindi mette l'intonaco su una base e lo applica al soffitto mentre su palafitte.")</f>
        <v>L'uomo quindi mette l'intonaco su una base e lo applica al soffitto mentre su palafitte.</v>
      </c>
    </row>
    <row r="2344">
      <c r="A2344" s="4" t="s">
        <v>2941</v>
      </c>
      <c r="B2344" s="4" t="s">
        <v>2943</v>
      </c>
      <c r="C2344" s="5" t="str">
        <f>IFERROR(__xludf.DUMMYFUNCTION("GOOGLETRANSLATE(B2344,""en"",""it"")"),"L'uomo cammina avanti e indietro levigando l'intonaco applicato.")</f>
        <v>L'uomo cammina avanti e indietro levigando l'intonaco applicato.</v>
      </c>
    </row>
    <row r="2345">
      <c r="A2345" s="4" t="s">
        <v>2941</v>
      </c>
      <c r="B2345" s="4" t="s">
        <v>2944</v>
      </c>
      <c r="C2345" s="5" t="str">
        <f>IFERROR(__xludf.DUMMYFUNCTION("GOOGLETRANSLATE(B2345,""en"",""it"")"),"L'uomo cammina e spegne la telecamera.")</f>
        <v>L'uomo cammina e spegne la telecamera.</v>
      </c>
    </row>
    <row r="2346">
      <c r="A2346" s="4" t="s">
        <v>2941</v>
      </c>
      <c r="B2346" s="4" t="s">
        <v>777</v>
      </c>
      <c r="C2346" s="5" t="str">
        <f>IFERROR(__xludf.DUMMYFUNCTION("GOOGLETRANSLATE(B2346,""en"",""it"")"),"Vediamo la schermata del titolo finale.")</f>
        <v>Vediamo la schermata del titolo finale.</v>
      </c>
    </row>
    <row r="2347">
      <c r="A2347" s="4" t="s">
        <v>2945</v>
      </c>
      <c r="B2347" s="4" t="s">
        <v>1251</v>
      </c>
      <c r="C2347" s="5" t="str">
        <f>IFERROR(__xludf.DUMMYFUNCTION("GOOGLETRANSLATE(B2347,""en"",""it"")"),"Vengono visualizzati i crediti della clip.")</f>
        <v>Vengono visualizzati i crediti della clip.</v>
      </c>
    </row>
    <row r="2348">
      <c r="A2348" s="4" t="s">
        <v>2945</v>
      </c>
      <c r="B2348" s="4" t="s">
        <v>2946</v>
      </c>
      <c r="C2348" s="5" t="str">
        <f>IFERROR(__xludf.DUMMYFUNCTION("GOOGLETRANSLATE(B2348,""en"",""it"")"),"Un uomo raccoglie uno stivale marrone e lo spazzola.")</f>
        <v>Un uomo raccoglie uno stivale marrone e lo spazzola.</v>
      </c>
    </row>
    <row r="2349">
      <c r="A2349" s="4" t="s">
        <v>2945</v>
      </c>
      <c r="B2349" s="4" t="s">
        <v>2947</v>
      </c>
      <c r="C2349" s="5" t="str">
        <f>IFERROR(__xludf.DUMMYFUNCTION("GOOGLETRANSLATE(B2349,""en"",""it"")"),"Un uomo apre una lattina di aerosol e spruzza lo stivale.")</f>
        <v>Un uomo apre una lattina di aerosol e spruzza lo stivale.</v>
      </c>
    </row>
    <row r="2350">
      <c r="A2350" s="4" t="s">
        <v>2945</v>
      </c>
      <c r="B2350" s="4" t="s">
        <v>2948</v>
      </c>
      <c r="C2350" s="5" t="str">
        <f>IFERROR(__xludf.DUMMYFUNCTION("GOOGLETRANSLATE(B2350,""en"",""it"")"),"Un uomo strofina i prodotti di un tubo nero sull'unico bordo dello stivale.")</f>
        <v>Un uomo strofina i prodotti di un tubo nero sull'unico bordo dello stivale.</v>
      </c>
    </row>
    <row r="2351">
      <c r="A2351" s="4" t="s">
        <v>2945</v>
      </c>
      <c r="B2351" s="4" t="s">
        <v>573</v>
      </c>
      <c r="C2351" s="5" t="str">
        <f>IFERROR(__xludf.DUMMYFUNCTION("GOOGLETRANSLATE(B2351,""en"",""it"")"),"Vengono visualizzati i crediti del video.")</f>
        <v>Vengono visualizzati i crediti del video.</v>
      </c>
    </row>
    <row r="2352">
      <c r="A2352" s="4" t="s">
        <v>2949</v>
      </c>
      <c r="B2352" s="4" t="s">
        <v>2950</v>
      </c>
      <c r="C2352" s="5" t="str">
        <f>IFERROR(__xludf.DUMMYFUNCTION("GOOGLETRANSLATE(B2352,""en"",""it"")"),"Un uomo con una camicia nera è in piedi fuori parlando.")</f>
        <v>Un uomo con una camicia nera è in piedi fuori parlando.</v>
      </c>
    </row>
    <row r="2353">
      <c r="A2353" s="4" t="s">
        <v>2949</v>
      </c>
      <c r="B2353" s="4" t="s">
        <v>2951</v>
      </c>
      <c r="C2353" s="5" t="str">
        <f>IFERROR(__xludf.DUMMYFUNCTION("GOOGLETRANSLATE(B2353,""en"",""it"")"),"Quindi è all'interno di una piscina.")</f>
        <v>Quindi è all'interno di una piscina.</v>
      </c>
    </row>
    <row r="2354">
      <c r="A2354" s="4" t="s">
        <v>2949</v>
      </c>
      <c r="B2354" s="4" t="s">
        <v>2952</v>
      </c>
      <c r="C2354" s="5" t="str">
        <f>IFERROR(__xludf.DUMMYFUNCTION("GOOGLETRANSLATE(B2354,""en"",""it"")"),"È tornato fuori a parlare con la telecamera.")</f>
        <v>È tornato fuori a parlare con la telecamera.</v>
      </c>
    </row>
    <row r="2355">
      <c r="A2355" s="4" t="s">
        <v>2953</v>
      </c>
      <c r="B2355" s="4" t="s">
        <v>2954</v>
      </c>
      <c r="C2355" s="5" t="str">
        <f>IFERROR(__xludf.DUMMYFUNCTION("GOOGLETRANSLATE(B2355,""en"",""it"")"),"Alla pista da bowling ci sono molte persone.")</f>
        <v>Alla pista da bowling ci sono molte persone.</v>
      </c>
    </row>
    <row r="2356">
      <c r="A2356" s="4" t="s">
        <v>2953</v>
      </c>
      <c r="B2356" s="4" t="s">
        <v>2955</v>
      </c>
      <c r="C2356" s="5" t="str">
        <f>IFERROR(__xludf.DUMMYFUNCTION("GOOGLETRANSLATE(B2356,""en"",""it"")"),"Il ragazzino rotola per il suo turno e colpisce.")</f>
        <v>Il ragazzino rotola per il suo turno e colpisce.</v>
      </c>
    </row>
    <row r="2357">
      <c r="A2357" s="4" t="s">
        <v>2953</v>
      </c>
      <c r="B2357" s="4" t="s">
        <v>2956</v>
      </c>
      <c r="C2357" s="5" t="str">
        <f>IFERROR(__xludf.DUMMYFUNCTION("GOOGLETRANSLATE(B2357,""en"",""it"")"),"Aspetta che la sua palla torni e si prepara a fare il suo prossimo turno, è un altro colpo.")</f>
        <v>Aspetta che la sua palla torni e si prepara a fare il suo prossimo turno, è un altro colpo.</v>
      </c>
    </row>
    <row r="2358">
      <c r="A2358" s="4" t="s">
        <v>2953</v>
      </c>
      <c r="B2358" s="4" t="s">
        <v>2957</v>
      </c>
      <c r="C2358" s="5" t="str">
        <f>IFERROR(__xludf.DUMMYFUNCTION("GOOGLETRANSLATE(B2358,""en"",""it"")"),"Fa un altro turno e fa un altro sciopero, tutti si congratulano e lo abbracciano.")</f>
        <v>Fa un altro turno e fa un altro sciopero, tutti si congratulano e lo abbracciano.</v>
      </c>
    </row>
    <row r="2359">
      <c r="A2359" s="4" t="s">
        <v>2958</v>
      </c>
      <c r="B2359" s="4" t="s">
        <v>2959</v>
      </c>
      <c r="C2359" s="5" t="str">
        <f>IFERROR(__xludf.DUMMYFUNCTION("GOOGLETRANSLATE(B2359,""en"",""it"")"),"Una persona viene vista muoversi lungo una piscina mentre la telecamera osserva da dietro.")</f>
        <v>Una persona viene vista muoversi lungo una piscina mentre la telecamera osserva da dietro.</v>
      </c>
    </row>
    <row r="2360">
      <c r="A2360" s="4" t="s">
        <v>2958</v>
      </c>
      <c r="B2360" s="4" t="s">
        <v>2960</v>
      </c>
      <c r="C2360" s="5" t="str">
        <f>IFERROR(__xludf.DUMMYFUNCTION("GOOGLETRANSLATE(B2360,""en"",""it"")"),"Viene quindi visto un uomo parlare alla telecamera e muovere le braccia.")</f>
        <v>Viene quindi visto un uomo parlare alla telecamera e muovere le braccia.</v>
      </c>
    </row>
    <row r="2361">
      <c r="A2361" s="4" t="s">
        <v>2958</v>
      </c>
      <c r="B2361" s="4" t="s">
        <v>2961</v>
      </c>
      <c r="C2361" s="5" t="str">
        <f>IFERROR(__xludf.DUMMYFUNCTION("GOOGLETRANSLATE(B2361,""en"",""it"")"),"Vengono mostrate altre clip della persona che nuota lungo l'acqua.")</f>
        <v>Vengono mostrate altre clip della persona che nuota lungo l'acqua.</v>
      </c>
    </row>
    <row r="2362">
      <c r="A2362" s="4" t="s">
        <v>2962</v>
      </c>
      <c r="B2362" s="4" t="s">
        <v>2963</v>
      </c>
      <c r="C2362" s="5" t="str">
        <f>IFERROR(__xludf.DUMMYFUNCTION("GOOGLETRANSLATE(B2362,""en"",""it"")"),"Un Anchorman in un abito si trova con un laptop sulla sua scrivania chiara.")</f>
        <v>Un Anchorman in un abito si trova con un laptop sulla sua scrivania chiara.</v>
      </c>
    </row>
    <row r="2363">
      <c r="A2363" s="4" t="s">
        <v>2962</v>
      </c>
      <c r="B2363" s="4" t="s">
        <v>2964</v>
      </c>
      <c r="C2363" s="5" t="str">
        <f>IFERROR(__xludf.DUMMYFUNCTION("GOOGLETRANSLATE(B2363,""en"",""it"")"),"Un uomo è affrontato da un toro.")</f>
        <v>Un uomo è affrontato da un toro.</v>
      </c>
    </row>
    <row r="2364">
      <c r="A2364" s="4" t="s">
        <v>2962</v>
      </c>
      <c r="B2364" s="4" t="s">
        <v>2965</v>
      </c>
      <c r="C2364" s="5" t="str">
        <f>IFERROR(__xludf.DUMMYFUNCTION("GOOGLETRANSLATE(B2364,""en"",""it"")"),"L'uomo si alza e la sua bocca è sanguinosa.")</f>
        <v>L'uomo si alza e la sua bocca è sanguinosa.</v>
      </c>
    </row>
    <row r="2365">
      <c r="A2365" s="4" t="s">
        <v>2962</v>
      </c>
      <c r="B2365" s="4" t="s">
        <v>2966</v>
      </c>
      <c r="C2365" s="5" t="str">
        <f>IFERROR(__xludf.DUMMYFUNCTION("GOOGLETRANSLATE(B2365,""en"",""it"")"),"Le persone aiutano l'uomo a uscire dall'area sporca del rodeo.")</f>
        <v>Le persone aiutano l'uomo a uscire dall'area sporca del rodeo.</v>
      </c>
    </row>
    <row r="2366">
      <c r="A2366" s="4" t="s">
        <v>2967</v>
      </c>
      <c r="B2366" s="4" t="s">
        <v>2968</v>
      </c>
      <c r="C2366" s="5" t="str">
        <f>IFERROR(__xludf.DUMMYFUNCTION("GOOGLETRANSLATE(B2366,""en"",""it"")"),"Un giovane è in piedi sul palco e alla fine molti altri ragazzi si uniscono a indossare kilt.")</f>
        <v>Un giovane è in piedi sul palco e alla fine molti altri ragazzi si uniscono a indossare kilt.</v>
      </c>
    </row>
    <row r="2367">
      <c r="A2367" s="4" t="s">
        <v>2967</v>
      </c>
      <c r="B2367" s="4" t="s">
        <v>2969</v>
      </c>
      <c r="C2367" s="5" t="str">
        <f>IFERROR(__xludf.DUMMYFUNCTION("GOOGLETRANSLATE(B2367,""en"",""it"")"),"Stanno davanti a un tamburo ed eseguono una routine usando solo tamburi.")</f>
        <v>Stanno davanti a un tamburo ed eseguono una routine usando solo tamburi.</v>
      </c>
    </row>
    <row r="2368">
      <c r="A2368" s="4" t="s">
        <v>2967</v>
      </c>
      <c r="B2368" s="4" t="s">
        <v>2970</v>
      </c>
      <c r="C2368" s="5" t="str">
        <f>IFERROR(__xludf.DUMMYFUNCTION("GOOGLETRANSLATE(B2368,""en"",""it"")"),"I ragazzi girano e lanciano costantemente i bastoncini e continuano a eseguire la loro routine di batteria.")</f>
        <v>I ragazzi girano e lanciano costantemente i bastoncini e continuano a eseguire la loro routine di batteria.</v>
      </c>
    </row>
    <row r="2369">
      <c r="A2369" s="4" t="s">
        <v>2967</v>
      </c>
      <c r="B2369" s="4" t="s">
        <v>2971</v>
      </c>
      <c r="C2369" s="5" t="str">
        <f>IFERROR(__xludf.DUMMYFUNCTION("GOOGLETRANSLATE(B2369,""en"",""it"")"),"Uno si alza e inizia a cantare una canzone mentre gli altri si uniscono.")</f>
        <v>Uno si alza e inizia a cantare una canzone mentre gli altri si uniscono.</v>
      </c>
    </row>
    <row r="2370">
      <c r="A2370" s="4" t="s">
        <v>2967</v>
      </c>
      <c r="B2370" s="6" t="s">
        <v>2972</v>
      </c>
      <c r="C2370" s="5" t="str">
        <f>IFERROR(__xludf.DUMMYFUNCTION("GOOGLETRANSLATE(B2370,""en"",""it"")"),"Loro ragazzi tornano a suonare la batteria e infine finiscono suonando la batteria e più velocemente dell'altro.")</f>
        <v>Loro ragazzi tornano a suonare la batteria e infine finiscono suonando la batteria e più velocemente dell'altro.</v>
      </c>
    </row>
    <row r="2371">
      <c r="A2371" s="4" t="s">
        <v>2973</v>
      </c>
      <c r="B2371" s="4" t="s">
        <v>2974</v>
      </c>
      <c r="C2371" s="5" t="str">
        <f>IFERROR(__xludf.DUMMYFUNCTION("GOOGLETRANSLATE(B2371,""en"",""it"")"),"Si vedono due gatti sdraiati su un letto uno di fronte all'altro.")</f>
        <v>Si vedono due gatti sdraiati su un letto uno di fronte all'altro.</v>
      </c>
    </row>
    <row r="2372">
      <c r="A2372" s="4" t="s">
        <v>2973</v>
      </c>
      <c r="B2372" s="4" t="s">
        <v>2975</v>
      </c>
      <c r="C2372" s="5" t="str">
        <f>IFERROR(__xludf.DUMMYFUNCTION("GOOGLETRANSLATE(B2372,""en"",""it"")"),"Un gatto inizia quindi a leccare l'altro.")</f>
        <v>Un gatto inizia quindi a leccare l'altro.</v>
      </c>
    </row>
    <row r="2373">
      <c r="A2373" s="4" t="s">
        <v>2973</v>
      </c>
      <c r="B2373" s="4" t="s">
        <v>2976</v>
      </c>
      <c r="C2373" s="5" t="str">
        <f>IFERROR(__xludf.DUMMYFUNCTION("GOOGLETRANSLATE(B2373,""en"",""it"")"),"Il primo gatto si ferma quindi e l'altro si lecca in seguito.")</f>
        <v>Il primo gatto si ferma quindi e l'altro si lecca in seguito.</v>
      </c>
    </row>
    <row r="2374">
      <c r="A2374" s="4" t="s">
        <v>2977</v>
      </c>
      <c r="B2374" s="6" t="s">
        <v>2978</v>
      </c>
      <c r="C2374" s="5" t="str">
        <f>IFERROR(__xludf.DUMMYFUNCTION("GOOGLETRANSLATE(B2374,""en"",""it"")"),"Vengono mostrati un montaggio di atleti che completano incredibili acrobazie e razze, così come centinaia di persone che guardano tra il pubblico.")</f>
        <v>Vengono mostrati un montaggio di atleti che completano incredibili acrobazie e razze, così come centinaia di persone che guardano tra il pubblico.</v>
      </c>
    </row>
    <row r="2375">
      <c r="A2375" s="4" t="s">
        <v>2977</v>
      </c>
      <c r="B2375" s="6" t="s">
        <v>2979</v>
      </c>
      <c r="C2375" s="5" t="str">
        <f>IFERROR(__xludf.DUMMYFUNCTION("GOOGLETRANSLATE(B2375,""en"",""it"")"),"I colpi conducono in molti altri atleti che saltano su un palo mentre si fermano nel mezzo, finendo con il tiro mostrato di nuovo al rallentatore.")</f>
        <v>I colpi conducono in molti altri atleti che saltano su un palo mentre si fermano nel mezzo, finendo con il tiro mostrato di nuovo al rallentatore.</v>
      </c>
    </row>
    <row r="2376">
      <c r="A2376" s="4" t="s">
        <v>2977</v>
      </c>
      <c r="B2376" s="4" t="s">
        <v>2980</v>
      </c>
      <c r="C2376" s="5" t="str">
        <f>IFERROR(__xludf.DUMMYFUNCTION("GOOGLETRANSLATE(B2376,""en"",""it"")"),"La ginnasta finale saluta la telecamera e si allontana.")</f>
        <v>La ginnasta finale saluta la telecamera e si allontana.</v>
      </c>
    </row>
    <row r="2377">
      <c r="A2377" s="4" t="s">
        <v>2981</v>
      </c>
      <c r="B2377" s="4" t="s">
        <v>2982</v>
      </c>
      <c r="C2377" s="5" t="str">
        <f>IFERROR(__xludf.DUMMYFUNCTION("GOOGLETRANSLATE(B2377,""en"",""it"")"),"Si vede un'immersione in piedi con le braccia di lato.")</f>
        <v>Si vede un'immersione in piedi con le braccia di lato.</v>
      </c>
    </row>
    <row r="2378">
      <c r="A2378" s="4" t="s">
        <v>2981</v>
      </c>
      <c r="B2378" s="4" t="s">
        <v>2983</v>
      </c>
      <c r="C2378" s="5" t="str">
        <f>IFERROR(__xludf.DUMMYFUNCTION("GOOGLETRANSLATE(B2378,""en"",""it"")"),"L'uomo quindi esegue un'immersione impressionante ed è seguito da diverse clip di altre persone che si tuffano.")</f>
        <v>L'uomo quindi esegue un'immersione impressionante ed è seguito da diverse clip di altre persone che si tuffano.</v>
      </c>
    </row>
    <row r="2379">
      <c r="A2379" s="4" t="s">
        <v>2984</v>
      </c>
      <c r="B2379" s="6" t="s">
        <v>2985</v>
      </c>
      <c r="C2379" s="5" t="str">
        <f>IFERROR(__xludf.DUMMYFUNCTION("GOOGLETRANSLATE(B2379,""en"",""it"")"),"Un adolescente sta su una pista, poi corre e salta a lungo su una scatola di sabbia, dopo che l'adolescente si alza e camminava.")</f>
        <v>Un adolescente sta su una pista, poi corre e salta a lungo su una scatola di sabbia, dopo che l'adolescente si alza e camminava.</v>
      </c>
    </row>
    <row r="2380">
      <c r="A2380" s="4" t="s">
        <v>2984</v>
      </c>
      <c r="B2380" s="4" t="s">
        <v>2986</v>
      </c>
      <c r="C2380" s="5" t="str">
        <f>IFERROR(__xludf.DUMMYFUNCTION("GOOGLETRANSLATE(B2380,""en"",""it"")"),"Una persona passa dietro l'adolescente.")</f>
        <v>Una persona passa dietro l'adolescente.</v>
      </c>
    </row>
    <row r="2381">
      <c r="A2381" s="4" t="s">
        <v>2984</v>
      </c>
      <c r="B2381" s="4" t="s">
        <v>2987</v>
      </c>
      <c r="C2381" s="5" t="str">
        <f>IFERROR(__xludf.DUMMYFUNCTION("GOOGLETRANSLATE(B2381,""en"",""it"")"),"Un atleta esegue un salto in lungo nella scatola di sabbia.")</f>
        <v>Un atleta esegue un salto in lungo nella scatola di sabbia.</v>
      </c>
    </row>
    <row r="2382">
      <c r="A2382" s="4" t="s">
        <v>2984</v>
      </c>
      <c r="B2382" s="4" t="s">
        <v>2988</v>
      </c>
      <c r="C2382" s="5" t="str">
        <f>IFERROR(__xludf.DUMMYFUNCTION("GOOGLETRANSLATE(B2382,""en"",""it"")"),"Un altro atleta corre e salta lungo la scatola di sabbia.")</f>
        <v>Un altro atleta corre e salta lungo la scatola di sabbia.</v>
      </c>
    </row>
    <row r="2383">
      <c r="A2383" s="4" t="s">
        <v>2989</v>
      </c>
      <c r="B2383" s="4" t="s">
        <v>2990</v>
      </c>
      <c r="C2383" s="5" t="str">
        <f>IFERROR(__xludf.DUMMYFUNCTION("GOOGLETRANSLATE(B2383,""en"",""it"")"),"Lì gli uomini hanno sedie e sono seduti in metropolitana per fare musica.")</f>
        <v>Lì gli uomini hanno sedie e sono seduti in metropolitana per fare musica.</v>
      </c>
    </row>
    <row r="2384">
      <c r="A2384" s="4" t="s">
        <v>2989</v>
      </c>
      <c r="B2384" s="4" t="s">
        <v>2991</v>
      </c>
      <c r="C2384" s="5" t="str">
        <f>IFERROR(__xludf.DUMMYFUNCTION("GOOGLETRANSLATE(B2384,""en"",""it"")"),"Uno di loro è suonare la chitarra e due di loro suonano il violino.")</f>
        <v>Uno di loro è suonare la chitarra e due di loro suonano il violino.</v>
      </c>
    </row>
    <row r="2385">
      <c r="A2385" s="4" t="s">
        <v>2989</v>
      </c>
      <c r="B2385" s="6" t="s">
        <v>2992</v>
      </c>
      <c r="C2385" s="5" t="str">
        <f>IFERROR(__xludf.DUMMYFUNCTION("GOOGLETRANSLATE(B2385,""en"",""it"")"),"Le persone camminano accanto a loro e un bambino che spinge un passeggino e alcuni altri bambini vengono e si fermano a guardarli per un po '.")</f>
        <v>Le persone camminano accanto a loro e un bambino che spinge un passeggino e alcuni altri bambini vengono e si fermano a guardarli per un po '.</v>
      </c>
    </row>
    <row r="2386">
      <c r="A2386" s="4" t="s">
        <v>2989</v>
      </c>
      <c r="B2386" s="6" t="s">
        <v>2993</v>
      </c>
      <c r="C2386" s="5" t="str">
        <f>IFERROR(__xludf.DUMMYFUNCTION("GOOGLETRANSLATE(B2386,""en"",""it"")"),"C'è una folla che in realtà si è fermata per vederli giocare, applaudire e uno di loro che lascia soldi nel loro caso.")</f>
        <v>C'è una folla che in realtà si è fermata per vederli giocare, applaudire e uno di loro che lascia soldi nel loro caso.</v>
      </c>
    </row>
    <row r="2387">
      <c r="A2387" s="4" t="s">
        <v>2994</v>
      </c>
      <c r="B2387" s="4" t="s">
        <v>2995</v>
      </c>
      <c r="C2387" s="5" t="str">
        <f>IFERROR(__xludf.DUMMYFUNCTION("GOOGLETRANSLATE(B2387,""en"",""it"")"),"Un uomo salta su due barre.")</f>
        <v>Un uomo salta su due barre.</v>
      </c>
    </row>
    <row r="2388">
      <c r="A2388" s="4" t="s">
        <v>2994</v>
      </c>
      <c r="B2388" s="4" t="s">
        <v>2996</v>
      </c>
      <c r="C2388" s="5" t="str">
        <f>IFERROR(__xludf.DUMMYFUNCTION("GOOGLETRANSLATE(B2388,""en"",""it"")"),"Fa una routine di ginnastica sui bar.")</f>
        <v>Fa una routine di ginnastica sui bar.</v>
      </c>
    </row>
    <row r="2389">
      <c r="A2389" s="4" t="s">
        <v>2994</v>
      </c>
      <c r="B2389" s="4" t="s">
        <v>2997</v>
      </c>
      <c r="C2389" s="5" t="str">
        <f>IFERROR(__xludf.DUMMYFUNCTION("GOOGLETRANSLATE(B2389,""en"",""it"")"),"Un uomo in una giacca bianca lo guarda esibirsi.")</f>
        <v>Un uomo in una giacca bianca lo guarda esibirsi.</v>
      </c>
    </row>
    <row r="2390">
      <c r="A2390" s="4" t="s">
        <v>2994</v>
      </c>
      <c r="B2390" s="4" t="s">
        <v>2998</v>
      </c>
      <c r="C2390" s="5" t="str">
        <f>IFERROR(__xludf.DUMMYFUNCTION("GOOGLETRANSLATE(B2390,""en"",""it"")"),"Fa un capovolgimento e atterra sul tappeto.")</f>
        <v>Fa un capovolgimento e atterra sul tappeto.</v>
      </c>
    </row>
    <row r="2391">
      <c r="A2391" s="4" t="s">
        <v>2994</v>
      </c>
      <c r="B2391" s="4" t="s">
        <v>2999</v>
      </c>
      <c r="C2391" s="5" t="str">
        <f>IFERROR(__xludf.DUMMYFUNCTION("GOOGLETRANSLATE(B2391,""en"",""it"")"),"La folla lo applaude dopo aver atterrato.")</f>
        <v>La folla lo applaude dopo aver atterrato.</v>
      </c>
    </row>
    <row r="2392">
      <c r="A2392" s="4" t="s">
        <v>3000</v>
      </c>
      <c r="B2392" s="4" t="s">
        <v>3001</v>
      </c>
      <c r="C2392" s="5" t="str">
        <f>IFERROR(__xludf.DUMMYFUNCTION("GOOGLETRANSLATE(B2392,""en"",""it"")"),"Si vedono due uomini parlare alla telecamera seguiti da diverse clip di persone che colpiscono una palla.")</f>
        <v>Si vedono due uomini parlare alla telecamera seguiti da diverse clip di persone che colpiscono una palla.</v>
      </c>
    </row>
    <row r="2393">
      <c r="A2393" s="4" t="s">
        <v>3000</v>
      </c>
      <c r="B2393" s="6" t="s">
        <v>3002</v>
      </c>
      <c r="C2393" s="5" t="str">
        <f>IFERROR(__xludf.DUMMYFUNCTION("GOOGLETRANSLATE(B2393,""en"",""it"")"),"Vengono mostrati altri colpi di persone che reggono i bastoncini e colpiscono una palla con un altro allenatore vicino aiutando e parlando alla telecamera.")</f>
        <v>Vengono mostrati altri colpi di persone che reggono i bastoncini e colpiscono una palla con un altro allenatore vicino aiutando e parlando alla telecamera.</v>
      </c>
    </row>
    <row r="2394">
      <c r="A2394" s="4" t="s">
        <v>3003</v>
      </c>
      <c r="B2394" s="4" t="s">
        <v>3004</v>
      </c>
      <c r="C2394" s="5" t="str">
        <f>IFERROR(__xludf.DUMMYFUNCTION("GOOGLETRANSLATE(B2394,""en"",""it"")"),"Una persona è vista seduta su uno sgabello e mettendo insieme diverse parti di una bici.")</f>
        <v>Una persona è vista seduta su uno sgabello e mettendo insieme diverse parti di una bici.</v>
      </c>
    </row>
    <row r="2395">
      <c r="A2395" s="4" t="s">
        <v>3003</v>
      </c>
      <c r="B2395" s="4" t="s">
        <v>3005</v>
      </c>
      <c r="C2395" s="5" t="str">
        <f>IFERROR(__xludf.DUMMYFUNCTION("GOOGLETRANSLATE(B2395,""en"",""it"")"),"La persona continua a mettere insieme la bici e alla fine si muove attorno al prodotto finito.")</f>
        <v>La persona continua a mettere insieme la bici e alla fine si muove attorno al prodotto finito.</v>
      </c>
    </row>
    <row r="2396">
      <c r="A2396" s="4" t="s">
        <v>3006</v>
      </c>
      <c r="B2396" s="4" t="s">
        <v>3007</v>
      </c>
      <c r="C2396" s="5" t="str">
        <f>IFERROR(__xludf.DUMMYFUNCTION("GOOGLETRANSLATE(B2396,""en"",""it"")"),"Una barca verde con accenti in bianco e nero su di essa sta scivolando sull'acqua.")</f>
        <v>Una barca verde con accenti in bianco e nero su di essa sta scivolando sull'acqua.</v>
      </c>
    </row>
    <row r="2397">
      <c r="A2397" s="4" t="s">
        <v>3006</v>
      </c>
      <c r="B2397" s="4" t="s">
        <v>3008</v>
      </c>
      <c r="C2397" s="5" t="str">
        <f>IFERROR(__xludf.DUMMYFUNCTION("GOOGLETRANSLATE(B2397,""en"",""it"")"),"Un paio di scarpe blu e nere sono su un ponte mentre un piede viene posizionato sul lato destro.")</f>
        <v>Un paio di scarpe blu e nere sono su un ponte mentre un piede viene posizionato sul lato destro.</v>
      </c>
    </row>
    <row r="2398">
      <c r="A2398" s="4" t="s">
        <v>3006</v>
      </c>
      <c r="B2398" s="6" t="s">
        <v>3009</v>
      </c>
      <c r="C2398" s="5" t="str">
        <f>IFERROR(__xludf.DUMMYFUNCTION("GOOGLETRANSLATE(B2398,""en"",""it"")"),"Un uomo è ora in piedi su una tavola a botte in cui le scarpe blu sono attaccate e tiene una corda blu attaccata a una maniglia triangolare.")</f>
        <v>Un uomo è ora in piedi su una tavola a botte in cui le scarpe blu sono attaccate e tiene una corda blu attaccata a una maniglia triangolare.</v>
      </c>
    </row>
    <row r="2399">
      <c r="A2399" s="4" t="s">
        <v>3006</v>
      </c>
      <c r="B2399" s="6" t="s">
        <v>3010</v>
      </c>
      <c r="C2399" s="5" t="str">
        <f>IFERROR(__xludf.DUMMYFUNCTION("GOOGLETRANSLATE(B2399,""en"",""it"")"),"Le parole bianche su uno schermo nero si presentano e leggi Zucky Wakeboarding 2015 e poi svanisce.")</f>
        <v>Le parole bianche su uno schermo nero si presentano e leggi Zucky Wakeboarding 2015 e poi svanisce.</v>
      </c>
    </row>
    <row r="2400">
      <c r="A2400" s="4" t="s">
        <v>3006</v>
      </c>
      <c r="B2400" s="6" t="s">
        <v>3011</v>
      </c>
      <c r="C2400" s="5" t="str">
        <f>IFERROR(__xludf.DUMMYFUNCTION("GOOGLETRANSLATE(B2400,""en"",""it"")"),"L'uomo viene mostrato di nuovo e ora è in moto Wake Board mentre si tiene sulla maniglia collegata alla corda e sta facendo vari trucchi che vanno da un lato all'altro, saltando a volte, girando e talvolta facendo tutto in una volta.")</f>
        <v>L'uomo viene mostrato di nuovo e ora è in moto Wake Board mentre si tiene sulla maniglia collegata alla corda e sta facendo vari trucchi che vanno da un lato all'altro, saltando a volte, girando e talvolta facendo tutto in una volta.</v>
      </c>
    </row>
    <row r="2401">
      <c r="A2401" s="4" t="s">
        <v>3006</v>
      </c>
      <c r="B2401" s="4" t="s">
        <v>3012</v>
      </c>
      <c r="C2401" s="5" t="str">
        <f>IFERROR(__xludf.DUMMYFUNCTION("GOOGLETRANSLATE(B2401,""en"",""it"")"),"Il video termina con parole e numeri bianchi su uno schermo nero che recita -ent- Editor: 05.")</f>
        <v>Il video termina con parole e numeri bianchi su uno schermo nero che recita -ent- Editor: 05.</v>
      </c>
    </row>
    <row r="2402">
      <c r="A2402" s="4" t="s">
        <v>3013</v>
      </c>
      <c r="B2402" s="4" t="s">
        <v>3014</v>
      </c>
      <c r="C2402" s="5" t="str">
        <f>IFERROR(__xludf.DUMMYFUNCTION("GOOGLETRANSLATE(B2402,""en"",""it"")"),"Un uomo è seduto su una sedia girevole con la sua gamba piegata sull'altra.")</f>
        <v>Un uomo è seduto su una sedia girevole con la sua gamba piegata sull'altra.</v>
      </c>
    </row>
    <row r="2403">
      <c r="A2403" s="4" t="s">
        <v>3013</v>
      </c>
      <c r="B2403" s="6" t="s">
        <v>3015</v>
      </c>
      <c r="C2403" s="5" t="str">
        <f>IFERROR(__xludf.DUMMYFUNCTION("GOOGLETRANSLATE(B2403,""en"",""it"")"),"Un altro uomo prende un panno e inizia a pulire le sue scarpe in pelle nera con un panno per renderlo brillante.")</f>
        <v>Un altro uomo prende un panno e inizia a pulire le sue scarpe in pelle nera con un panno per renderlo brillante.</v>
      </c>
    </row>
    <row r="2404">
      <c r="A2404" s="4" t="s">
        <v>3013</v>
      </c>
      <c r="B2404" s="4" t="s">
        <v>3016</v>
      </c>
      <c r="C2404" s="5" t="str">
        <f>IFERROR(__xludf.DUMMYFUNCTION("GOOGLETRANSLATE(B2404,""en"",""it"")"),"Pulisce la scarpa con un movimento avanti e indietro.")</f>
        <v>Pulisce la scarpa con un movimento avanti e indietro.</v>
      </c>
    </row>
    <row r="2405">
      <c r="A2405" s="4" t="s">
        <v>3017</v>
      </c>
      <c r="B2405" s="4" t="s">
        <v>3018</v>
      </c>
      <c r="C2405" s="5" t="str">
        <f>IFERROR(__xludf.DUMMYFUNCTION("GOOGLETRANSLATE(B2405,""en"",""it"")"),"Una donna con i capelli biondi sta spiegando come preparare la limonata di vodka al rosmarino.")</f>
        <v>Una donna con i capelli biondi sta spiegando come preparare la limonata di vodka al rosmarino.</v>
      </c>
    </row>
    <row r="2406">
      <c r="A2406" s="4" t="s">
        <v>3017</v>
      </c>
      <c r="B2406" s="4" t="s">
        <v>3019</v>
      </c>
      <c r="C2406" s="5" t="str">
        <f>IFERROR(__xludf.DUMMYFUNCTION("GOOGLETRANSLATE(B2406,""en"",""it"")"),"Appaiono due barattoli di liquido.")</f>
        <v>Appaiono due barattoli di liquido.</v>
      </c>
    </row>
    <row r="2407">
      <c r="A2407" s="4" t="s">
        <v>3017</v>
      </c>
      <c r="B2407" s="4" t="s">
        <v>3020</v>
      </c>
      <c r="C2407" s="5" t="str">
        <f>IFERROR(__xludf.DUMMYFUNCTION("GOOGLETRANSLATE(B2407,""en"",""it"")"),"La donna prende un sorso del liquido.")</f>
        <v>La donna prende un sorso del liquido.</v>
      </c>
    </row>
    <row r="2408">
      <c r="A2408" s="4" t="s">
        <v>3017</v>
      </c>
      <c r="B2408" s="4" t="s">
        <v>3021</v>
      </c>
      <c r="C2408" s="5" t="str">
        <f>IFERROR(__xludf.DUMMYFUNCTION("GOOGLETRANSLATE(B2408,""en"",""it"")"),"La donna prepara il liquido con erbe e zucchero in una ciotola.")</f>
        <v>La donna prepara il liquido con erbe e zucchero in una ciotola.</v>
      </c>
    </row>
    <row r="2409">
      <c r="A2409" s="4" t="s">
        <v>3017</v>
      </c>
      <c r="B2409" s="4" t="s">
        <v>3022</v>
      </c>
      <c r="C2409" s="5" t="str">
        <f>IFERROR(__xludf.DUMMYFUNCTION("GOOGLETRANSLATE(B2409,""en"",""it"")"),"La donna versa il liquido in un bicchiere.")</f>
        <v>La donna versa il liquido in un bicchiere.</v>
      </c>
    </row>
    <row r="2410">
      <c r="A2410" s="4" t="s">
        <v>3017</v>
      </c>
      <c r="B2410" s="4" t="s">
        <v>3023</v>
      </c>
      <c r="C2410" s="5" t="str">
        <f>IFERROR(__xludf.DUMMYFUNCTION("GOOGLETRANSLATE(B2410,""en"",""it"")"),"La donna versa il liquido in barattoli con ghiaccio.")</f>
        <v>La donna versa il liquido in barattoli con ghiaccio.</v>
      </c>
    </row>
    <row r="2411">
      <c r="A2411" s="4" t="s">
        <v>3017</v>
      </c>
      <c r="B2411" s="4" t="s">
        <v>3024</v>
      </c>
      <c r="C2411" s="5" t="str">
        <f>IFERROR(__xludf.DUMMYFUNCTION("GOOGLETRANSLATE(B2411,""en"",""it"")"),"La donna mescola la miscela.")</f>
        <v>La donna mescola la miscela.</v>
      </c>
    </row>
    <row r="2412">
      <c r="A2412" s="4" t="s">
        <v>3017</v>
      </c>
      <c r="B2412" s="4" t="s">
        <v>3025</v>
      </c>
      <c r="C2412" s="5" t="str">
        <f>IFERROR(__xludf.DUMMYFUNCTION("GOOGLETRANSLATE(B2412,""en"",""it"")"),"La donna beve il liquido in un barattolo.")</f>
        <v>La donna beve il liquido in un barattolo.</v>
      </c>
    </row>
    <row r="2413">
      <c r="A2413" s="4" t="s">
        <v>3017</v>
      </c>
      <c r="B2413" s="4" t="s">
        <v>3026</v>
      </c>
      <c r="C2413" s="5" t="str">
        <f>IFERROR(__xludf.DUMMYFUNCTION("GOOGLETRANSLATE(B2413,""en"",""it"")"),"Il video termina con una vista dei barattoli con liquido.")</f>
        <v>Il video termina con una vista dei barattoli con liquido.</v>
      </c>
    </row>
    <row r="2414">
      <c r="A2414" s="4" t="s">
        <v>3027</v>
      </c>
      <c r="B2414" s="6" t="s">
        <v>3028</v>
      </c>
      <c r="C2414" s="5" t="str">
        <f>IFERROR(__xludf.DUMMYFUNCTION("GOOGLETRANSLATE(B2414,""en"",""it"")"),"Viene mostrato una donna che parla alla telecamera e mostra vari scatti di bambini seduti su una sedia e si esibiscono in TV.")</f>
        <v>Viene mostrato una donna che parla alla telecamera e mostra vari scatti di bambini seduti su una sedia e si esibiscono in TV.</v>
      </c>
    </row>
    <row r="2415">
      <c r="A2415" s="4" t="s">
        <v>3027</v>
      </c>
      <c r="B2415" s="4" t="s">
        <v>3029</v>
      </c>
      <c r="C2415" s="5" t="str">
        <f>IFERROR(__xludf.DUMMYFUNCTION("GOOGLETRANSLATE(B2415,""en"",""it"")"),"La donna parla di più alla telecamera e mette un contatto nell'occhio delle ragazze.")</f>
        <v>La donna parla di più alla telecamera e mette un contatto nell'occhio delle ragazze.</v>
      </c>
    </row>
    <row r="2416">
      <c r="A2416" s="4" t="s">
        <v>3027</v>
      </c>
      <c r="B2416" s="6" t="s">
        <v>3030</v>
      </c>
      <c r="C2416" s="5" t="str">
        <f>IFERROR(__xludf.DUMMYFUNCTION("GOOGLETRANSLATE(B2416,""en"",""it"")"),"La ragazza sorride in uno specchio e mostra come tira fuori i contatti e un promemoria sul telefono.")</f>
        <v>La ragazza sorride in uno specchio e mostra come tira fuori i contatti e un promemoria sul telefono.</v>
      </c>
    </row>
    <row r="2417">
      <c r="A2417" s="4" t="s">
        <v>3027</v>
      </c>
      <c r="B2417" s="4" t="s">
        <v>3031</v>
      </c>
      <c r="C2417" s="5" t="str">
        <f>IFERROR(__xludf.DUMMYFUNCTION("GOOGLETRANSLATE(B2417,""en"",""it"")"),"Un'ultima donna parla alla telecamera e la ragazza applaude e sorride di nuovo.")</f>
        <v>Un'ultima donna parla alla telecamera e la ragazza applaude e sorride di nuovo.</v>
      </c>
    </row>
    <row r="2418">
      <c r="A2418" s="4" t="s">
        <v>3032</v>
      </c>
      <c r="B2418" s="4" t="s">
        <v>3033</v>
      </c>
      <c r="C2418" s="5" t="str">
        <f>IFERROR(__xludf.DUMMYFUNCTION("GOOGLETRANSLATE(B2418,""en"",""it"")"),"Un ragazzo è seduto di fronte a un timer su un monitor del computer.")</f>
        <v>Un ragazzo è seduto di fronte a un timer su un monitor del computer.</v>
      </c>
    </row>
    <row r="2419">
      <c r="A2419" s="4" t="s">
        <v>3032</v>
      </c>
      <c r="B2419" s="4" t="s">
        <v>3034</v>
      </c>
      <c r="C2419" s="5" t="str">
        <f>IFERROR(__xludf.DUMMYFUNCTION("GOOGLETRANSLATE(B2419,""en"",""it"")"),"Ha diversi cubi di Rubik di fila.")</f>
        <v>Ha diversi cubi di Rubik di fila.</v>
      </c>
    </row>
    <row r="2420">
      <c r="A2420" s="4" t="s">
        <v>3032</v>
      </c>
      <c r="B2420" s="4" t="s">
        <v>3035</v>
      </c>
      <c r="C2420" s="5" t="str">
        <f>IFERROR(__xludf.DUMMYFUNCTION("GOOGLETRANSLATE(B2420,""en"",""it"")"),"Si sta cronometrando mentre tenta di risolvere il cubo.")</f>
        <v>Si sta cronometrando mentre tenta di risolvere il cubo.</v>
      </c>
    </row>
    <row r="2421">
      <c r="A2421" s="4" t="s">
        <v>3032</v>
      </c>
      <c r="B2421" s="4" t="s">
        <v>3036</v>
      </c>
      <c r="C2421" s="5" t="str">
        <f>IFERROR(__xludf.DUMMYFUNCTION("GOOGLETRANSLATE(B2421,""en"",""it"")"),"Si muove rapidamente, risolvendoli in breve tempo.")</f>
        <v>Si muove rapidamente, risolvendoli in breve tempo.</v>
      </c>
    </row>
    <row r="2422">
      <c r="A2422" s="4" t="s">
        <v>3032</v>
      </c>
      <c r="B2422" s="4" t="s">
        <v>3037</v>
      </c>
      <c r="C2422" s="5" t="str">
        <f>IFERROR(__xludf.DUMMYFUNCTION("GOOGLETRANSLATE(B2422,""en"",""it"")"),"Stringe i pugni di gioia.")</f>
        <v>Stringe i pugni di gioia.</v>
      </c>
    </row>
    <row r="2423">
      <c r="A2423" s="4" t="s">
        <v>3038</v>
      </c>
      <c r="B2423" s="4" t="s">
        <v>3039</v>
      </c>
      <c r="C2423" s="5" t="str">
        <f>IFERROR(__xludf.DUMMYFUNCTION("GOOGLETRANSLATE(B2423,""en"",""it"")"),"Le persone vengono mostrate suonando la batteria usando bacchette in legno.")</f>
        <v>Le persone vengono mostrate suonando la batteria usando bacchette in legno.</v>
      </c>
    </row>
    <row r="2424">
      <c r="A2424" s="4" t="s">
        <v>3038</v>
      </c>
      <c r="B2424" s="4" t="s">
        <v>3040</v>
      </c>
      <c r="C2424" s="5" t="str">
        <f>IFERROR(__xludf.DUMMYFUNCTION("GOOGLETRANSLATE(B2424,""en"",""it"")"),"Ci sono anche persone dietro di loro che suonano piatti d'oro.")</f>
        <v>Ci sono anche persone dietro di loro che suonano piatti d'oro.</v>
      </c>
    </row>
    <row r="2425">
      <c r="A2425" s="4" t="s">
        <v>3038</v>
      </c>
      <c r="B2425" s="4" t="s">
        <v>3041</v>
      </c>
      <c r="C2425" s="5" t="str">
        <f>IFERROR(__xludf.DUMMYFUNCTION("GOOGLETRANSLATE(B2425,""en"",""it"")"),"Dopo un po 'smettono tutti di giocare e stare in silenzio.")</f>
        <v>Dopo un po 'smettono tutti di giocare e stare in silenzio.</v>
      </c>
    </row>
    <row r="2426">
      <c r="A2426" s="4" t="s">
        <v>3042</v>
      </c>
      <c r="B2426" s="4" t="s">
        <v>3043</v>
      </c>
      <c r="C2426" s="5" t="str">
        <f>IFERROR(__xludf.DUMMYFUNCTION("GOOGLETRANSLATE(B2426,""en"",""it"")"),"Una donna si trova in un abito rosso.")</f>
        <v>Una donna si trova in un abito rosso.</v>
      </c>
    </row>
    <row r="2427">
      <c r="A2427" s="4" t="s">
        <v>3042</v>
      </c>
      <c r="B2427" s="4" t="s">
        <v>3044</v>
      </c>
      <c r="C2427" s="5" t="str">
        <f>IFERROR(__xludf.DUMMYFUNCTION("GOOGLETRANSLATE(B2427,""en"",""it"")"),"Sta lanciando freccette su una tavola.")</f>
        <v>Sta lanciando freccette su una tavola.</v>
      </c>
    </row>
    <row r="2428">
      <c r="A2428" s="4" t="s">
        <v>3042</v>
      </c>
      <c r="B2428" s="4" t="s">
        <v>3045</v>
      </c>
      <c r="C2428" s="5" t="str">
        <f>IFERROR(__xludf.DUMMYFUNCTION("GOOGLETRANSLATE(B2428,""en"",""it"")"),"Lancia diverse freccette al tabellone.")</f>
        <v>Lancia diverse freccette al tabellone.</v>
      </c>
    </row>
    <row r="2429">
      <c r="A2429" s="4" t="s">
        <v>3042</v>
      </c>
      <c r="B2429" s="4" t="s">
        <v>3046</v>
      </c>
      <c r="C2429" s="5" t="str">
        <f>IFERROR(__xludf.DUMMYFUNCTION("GOOGLETRANSLATE(B2429,""en"",""it"")"),"Getta le freccette al rallentatore.")</f>
        <v>Getta le freccette al rallentatore.</v>
      </c>
    </row>
    <row r="2430">
      <c r="A2430" s="4" t="s">
        <v>3047</v>
      </c>
      <c r="B2430" s="4" t="s">
        <v>3048</v>
      </c>
      <c r="C2430" s="5" t="str">
        <f>IFERROR(__xludf.DUMMYFUNCTION("GOOGLETRANSLATE(B2430,""en"",""it"")"),"Una donna sta completando una routine alle Olimpiadi sul raggio di equilibrio.")</f>
        <v>Una donna sta completando una routine alle Olimpiadi sul raggio di equilibrio.</v>
      </c>
    </row>
    <row r="2431">
      <c r="A2431" s="4" t="s">
        <v>3047</v>
      </c>
      <c r="B2431" s="4" t="s">
        <v>3049</v>
      </c>
      <c r="C2431" s="5" t="str">
        <f>IFERROR(__xludf.DUMMYFUNCTION("GOOGLETRANSLATE(B2431,""en"",""it"")"),"Salta su e giù con grazia e poi si innamora di un po 'di detrazione.")</f>
        <v>Salta su e giù con grazia e poi si innamora di un po 'di detrazione.</v>
      </c>
    </row>
    <row r="2432">
      <c r="A2432" s="4" t="s">
        <v>3047</v>
      </c>
      <c r="B2432" s="4" t="s">
        <v>3050</v>
      </c>
      <c r="C2432" s="5" t="str">
        <f>IFERROR(__xludf.DUMMYFUNCTION("GOOGLETRANSLATE(B2432,""en"",""it"")"),"Finisce la sua routine e ottiene un abbraccio dal suo allenatore.")</f>
        <v>Finisce la sua routine e ottiene un abbraccio dal suo allenatore.</v>
      </c>
    </row>
    <row r="2433">
      <c r="A2433" s="4" t="s">
        <v>3051</v>
      </c>
      <c r="B2433" s="4" t="s">
        <v>3052</v>
      </c>
      <c r="C2433" s="5" t="str">
        <f>IFERROR(__xludf.DUMMYFUNCTION("GOOGLETRANSLATE(B2433,""en"",""it"")"),"Un assortimento di squadre maschi e femmine sono allineati fuori da un edificio, quindi vengono lasciati entrare.")</f>
        <v>Un assortimento di squadre maschi e femmine sono allineati fuori da un edificio, quindi vengono lasciati entrare.</v>
      </c>
    </row>
    <row r="2434">
      <c r="A2434" s="4" t="s">
        <v>3051</v>
      </c>
      <c r="B2434" s="4" t="s">
        <v>3053</v>
      </c>
      <c r="C2434" s="5" t="str">
        <f>IFERROR(__xludf.DUMMYFUNCTION("GOOGLETRANSLATE(B2434,""en"",""it"")"),"Nell'edificio, ci sono più tavoli da biliardo e un uomo inizia a istruirli su cosa fare.")</f>
        <v>Nell'edificio, ci sono più tavoli da biliardo e un uomo inizia a istruirli su cosa fare.</v>
      </c>
    </row>
    <row r="2435">
      <c r="A2435" s="4" t="s">
        <v>3051</v>
      </c>
      <c r="B2435" s="4" t="s">
        <v>3054</v>
      </c>
      <c r="C2435" s="5" t="str">
        <f>IFERROR(__xludf.DUMMYFUNCTION("GOOGLETRANSLATE(B2435,""en"",""it"")"),"Diverse persone iniziano a colpire le palle e l'istruttore va avanti per aiutarle.")</f>
        <v>Diverse persone iniziano a colpire le palle e l'istruttore va avanti per aiutarle.</v>
      </c>
    </row>
    <row r="2436">
      <c r="A2436" s="4" t="s">
        <v>3055</v>
      </c>
      <c r="B2436" s="4" t="s">
        <v>3056</v>
      </c>
      <c r="C2436" s="5" t="str">
        <f>IFERROR(__xludf.DUMMYFUNCTION("GOOGLETRANSLATE(B2436,""en"",""it"")"),"Un gruppo di persone si è radunato su un palcoscenico.")</f>
        <v>Un gruppo di persone si è radunato su un palcoscenico.</v>
      </c>
    </row>
    <row r="2437">
      <c r="A2437" s="4" t="s">
        <v>3055</v>
      </c>
      <c r="B2437" s="4" t="s">
        <v>3057</v>
      </c>
      <c r="C2437" s="5" t="str">
        <f>IFERROR(__xludf.DUMMYFUNCTION("GOOGLETRANSLATE(B2437,""en"",""it"")"),"Il pubblico applaude per gli artisti.")</f>
        <v>Il pubblico applaude per gli artisti.</v>
      </c>
    </row>
    <row r="2438">
      <c r="A2438" s="4" t="s">
        <v>3055</v>
      </c>
      <c r="B2438" s="4" t="s">
        <v>3058</v>
      </c>
      <c r="C2438" s="5" t="str">
        <f>IFERROR(__xludf.DUMMYFUNCTION("GOOGLETRANSLATE(B2438,""en"",""it"")"),"Si stringono la mano e si abbracciano mentre i crediti rotolano.")</f>
        <v>Si stringono la mano e si abbracciano mentre i crediti rotolano.</v>
      </c>
    </row>
    <row r="2439">
      <c r="A2439" s="4" t="s">
        <v>3059</v>
      </c>
      <c r="B2439" s="4" t="s">
        <v>3060</v>
      </c>
      <c r="C2439" s="5" t="str">
        <f>IFERROR(__xludf.DUMMYFUNCTION("GOOGLETRANSLATE(B2439,""en"",""it"")"),"Una donna è in cucina, parla.")</f>
        <v>Una donna è in cucina, parla.</v>
      </c>
    </row>
    <row r="2440">
      <c r="A2440" s="4" t="s">
        <v>3059</v>
      </c>
      <c r="B2440" s="4" t="s">
        <v>3061</v>
      </c>
      <c r="C2440" s="5" t="str">
        <f>IFERROR(__xludf.DUMMYFUNCTION("GOOGLETRANSLATE(B2440,""en"",""it"")"),"Sta sfoggiando una serie di condimenti sandwich.")</f>
        <v>Sta sfoggiando una serie di condimenti sandwich.</v>
      </c>
    </row>
    <row r="2441">
      <c r="A2441" s="4" t="s">
        <v>3059</v>
      </c>
      <c r="B2441" s="4" t="s">
        <v>3062</v>
      </c>
      <c r="C2441" s="5" t="str">
        <f>IFERROR(__xludf.DUMMYFUNCTION("GOOGLETRANSLATE(B2441,""en"",""it"")"),"Mette carne e formaggio sul pane, quindi chiude il panino.")</f>
        <v>Mette carne e formaggio sul pane, quindi chiude il panino.</v>
      </c>
    </row>
    <row r="2442">
      <c r="A2442" s="4" t="s">
        <v>3063</v>
      </c>
      <c r="B2442" s="4" t="s">
        <v>3064</v>
      </c>
      <c r="C2442" s="5" t="str">
        <f>IFERROR(__xludf.DUMMYFUNCTION("GOOGLETRANSLATE(B2442,""en"",""it"")"),"Molte femmine, alcune con camicie blu e alcune in camicie bianche, corrono su un campo giocando una partita.")</f>
        <v>Molte femmine, alcune con camicie blu e alcune in camicie bianche, corrono su un campo giocando una partita.</v>
      </c>
    </row>
    <row r="2443">
      <c r="A2443" s="4" t="s">
        <v>3063</v>
      </c>
      <c r="B2443" s="4" t="s">
        <v>3065</v>
      </c>
      <c r="C2443" s="5" t="str">
        <f>IFERROR(__xludf.DUMMYFUNCTION("GOOGLETRANSLATE(B2443,""en"",""it"")"),"Alcune persone guardano dalle gradinate sullo sfondo.")</f>
        <v>Alcune persone guardano dalle gradinate sullo sfondo.</v>
      </c>
    </row>
    <row r="2444">
      <c r="A2444" s="4" t="s">
        <v>3063</v>
      </c>
      <c r="B2444" s="4" t="s">
        <v>3066</v>
      </c>
      <c r="C2444" s="5" t="str">
        <f>IFERROR(__xludf.DUMMYFUNCTION("GOOGLETRANSLATE(B2444,""en"",""it"")"),"Due arbitri corrono e scendono in campo con i giocatori.")</f>
        <v>Due arbitri corrono e scendono in campo con i giocatori.</v>
      </c>
    </row>
    <row r="2445">
      <c r="A2445" s="4" t="s">
        <v>3063</v>
      </c>
      <c r="B2445" s="4" t="s">
        <v>3067</v>
      </c>
      <c r="C2445" s="5" t="str">
        <f>IFERROR(__xludf.DUMMYFUNCTION("GOOGLETRANSLATE(B2445,""en"",""it"")"),"Altri giocatori guardano dalla linea laterale vicino a una recinzione.")</f>
        <v>Altri giocatori guardano dalla linea laterale vicino a una recinzione.</v>
      </c>
    </row>
    <row r="2446">
      <c r="A2446" s="4" t="s">
        <v>3063</v>
      </c>
      <c r="B2446" s="4" t="s">
        <v>3068</v>
      </c>
      <c r="C2446" s="5" t="str">
        <f>IFERROR(__xludf.DUMMYFUNCTION("GOOGLETRANSLATE(B2446,""en"",""it"")"),"Un gruppo di persone che mantiene il punteggio seduto a un tavolo a bordo campo.")</f>
        <v>Un gruppo di persone che mantiene il punteggio seduto a un tavolo a bordo campo.</v>
      </c>
    </row>
    <row r="2447">
      <c r="A2447" s="4" t="s">
        <v>3063</v>
      </c>
      <c r="B2447" s="4" t="s">
        <v>3069</v>
      </c>
      <c r="C2447" s="5" t="str">
        <f>IFERROR(__xludf.DUMMYFUNCTION("GOOGLETRANSLATE(B2447,""en"",""it"")"),"Alcune persone che guardano dalle gradinate sono in piedi adesso.")</f>
        <v>Alcune persone che guardano dalle gradinate sono in piedi adesso.</v>
      </c>
    </row>
    <row r="2448">
      <c r="A2448" s="4" t="s">
        <v>3063</v>
      </c>
      <c r="B2448" s="4" t="s">
        <v>3070</v>
      </c>
      <c r="C2448" s="5" t="str">
        <f>IFERROR(__xludf.DUMMYFUNCTION("GOOGLETRANSLATE(B2448,""en"",""it"")"),"Un uomo in una felpa blu cammina a bordo campo.")</f>
        <v>Un uomo in una felpa blu cammina a bordo campo.</v>
      </c>
    </row>
    <row r="2449">
      <c r="A2449" s="4" t="s">
        <v>3071</v>
      </c>
      <c r="B2449" s="4" t="s">
        <v>3072</v>
      </c>
      <c r="C2449" s="5" t="str">
        <f>IFERROR(__xludf.DUMMYFUNCTION("GOOGLETRANSLATE(B2449,""en"",""it"")"),"Fuori nel cortile c'è una signora vestita come un cupcake e sta giocando a cricket.")</f>
        <v>Fuori nel cortile c'è una signora vestita come un cupcake e sta giocando a cricket.</v>
      </c>
    </row>
    <row r="2450">
      <c r="A2450" s="4" t="s">
        <v>3071</v>
      </c>
      <c r="B2450" s="4" t="s">
        <v>3073</v>
      </c>
      <c r="C2450" s="5" t="str">
        <f>IFERROR(__xludf.DUMMYFUNCTION("GOOGLETRANSLATE(B2450,""en"",""it"")"),"Colpisce la palla gialla ma non si muove affatto molto lontano.")</f>
        <v>Colpisce la palla gialla ma non si muove affatto molto lontano.</v>
      </c>
    </row>
    <row r="2451">
      <c r="A2451" s="4" t="s">
        <v>3071</v>
      </c>
      <c r="B2451" s="4" t="s">
        <v>3074</v>
      </c>
      <c r="C2451" s="5" t="str">
        <f>IFERROR(__xludf.DUMMYFUNCTION("GOOGLETRANSLATE(B2451,""en"",""it"")"),"Ha un po 'di problemi a cercare di ottenere una buona posizione per colpire di nuovo la palla.")</f>
        <v>Ha un po 'di problemi a cercare di ottenere una buona posizione per colpire di nuovo la palla.</v>
      </c>
    </row>
    <row r="2452">
      <c r="A2452" s="4" t="s">
        <v>3071</v>
      </c>
      <c r="B2452" s="6" t="s">
        <v>3075</v>
      </c>
      <c r="C2452" s="5" t="str">
        <f>IFERROR(__xludf.DUMMYFUNCTION("GOOGLETRANSLATE(B2452,""en"",""it"")"),"Quando finalmente lo colpisce di nuovo, non passa attraverso il corso come si aspettava, quindi è delusa.")</f>
        <v>Quando finalmente lo colpisce di nuovo, non passa attraverso il corso come si aspettava, quindi è delusa.</v>
      </c>
    </row>
    <row r="2453">
      <c r="A2453" s="4" t="s">
        <v>3076</v>
      </c>
      <c r="B2453" s="4" t="s">
        <v>3077</v>
      </c>
      <c r="C2453" s="5" t="str">
        <f>IFERROR(__xludf.DUMMYFUNCTION("GOOGLETRANSLATE(B2453,""en"",""it"")"),"C'è una palestra indoor in cui due concorrenti si stanno scherzando tra loro.")</f>
        <v>C'è una palestra indoor in cui due concorrenti si stanno scherzando tra loro.</v>
      </c>
    </row>
    <row r="2454">
      <c r="A2454" s="4" t="s">
        <v>3076</v>
      </c>
      <c r="B2454" s="4" t="s">
        <v>3078</v>
      </c>
      <c r="C2454" s="5" t="str">
        <f>IFERROR(__xludf.DUMMYFUNCTION("GOOGLETRANSLATE(B2454,""en"",""it"")"),"C'è una persona vestita di nero che è il loro arbitro.")</f>
        <v>C'è una persona vestita di nero che è il loro arbitro.</v>
      </c>
    </row>
    <row r="2455">
      <c r="A2455" s="4" t="s">
        <v>3076</v>
      </c>
      <c r="B2455" s="4" t="s">
        <v>3079</v>
      </c>
      <c r="C2455" s="5" t="str">
        <f>IFERROR(__xludf.DUMMYFUNCTION("GOOGLETRANSLATE(B2455,""en"",""it"")"),"Un'altra coppia di concorrenti è anche scherma allo stesso evento.")</f>
        <v>Un'altra coppia di concorrenti è anche scherma allo stesso evento.</v>
      </c>
    </row>
    <row r="2456">
      <c r="A2456" s="4" t="s">
        <v>3076</v>
      </c>
      <c r="B2456" s="4" t="s">
        <v>3080</v>
      </c>
      <c r="C2456" s="5" t="str">
        <f>IFERROR(__xludf.DUMMYFUNCTION("GOOGLETRANSLATE(B2456,""en"",""it"")"),"Due uomini vestiti con attrezzatura di scherma continuano a recuperare in palestra.")</f>
        <v>Due uomini vestiti con attrezzatura di scherma continuano a recuperare in palestra.</v>
      </c>
    </row>
    <row r="2457">
      <c r="A2457" s="4" t="s">
        <v>3081</v>
      </c>
      <c r="B2457" s="4" t="s">
        <v>3082</v>
      </c>
      <c r="C2457" s="5" t="str">
        <f>IFERROR(__xludf.DUMMYFUNCTION("GOOGLETRANSLATE(B2457,""en"",""it"")"),"Una donna cavalca un cammello che tiene una cavalcata con la mano destra mentre un uomo tira il cammello.")</f>
        <v>Una donna cavalca un cammello che tiene una cavalcata con la mano destra mentre un uomo tira il cammello.</v>
      </c>
    </row>
    <row r="2458">
      <c r="A2458" s="4" t="s">
        <v>3081</v>
      </c>
      <c r="B2458" s="4" t="s">
        <v>3083</v>
      </c>
      <c r="C2458" s="5" t="str">
        <f>IFERROR(__xludf.DUMMYFUNCTION("GOOGLETRANSLATE(B2458,""en"",""it"")"),"Quindi, il cammello si ferma e la donna scende dal cammello.")</f>
        <v>Quindi, il cammello si ferma e la donna scende dal cammello.</v>
      </c>
    </row>
    <row r="2459">
      <c r="A2459" s="4" t="s">
        <v>3084</v>
      </c>
      <c r="B2459" s="4" t="s">
        <v>3085</v>
      </c>
      <c r="C2459" s="5" t="str">
        <f>IFERROR(__xludf.DUMMYFUNCTION("GOOGLETRANSLATE(B2459,""en"",""it"")"),"Due uomini ridono e si inchinano lì la testa a guardare il lavoro.")</f>
        <v>Due uomini ridono e si inchinano lì la testa a guardare il lavoro.</v>
      </c>
    </row>
    <row r="2460">
      <c r="A2460" s="4" t="s">
        <v>3084</v>
      </c>
      <c r="B2460" s="4" t="s">
        <v>3086</v>
      </c>
      <c r="C2460" s="5" t="str">
        <f>IFERROR(__xludf.DUMMYFUNCTION("GOOGLETRANSLATE(B2460,""en"",""it"")"),"La persona dipinge le unghie dei loro amici.")</f>
        <v>La persona dipinge le unghie dei loro amici.</v>
      </c>
    </row>
    <row r="2461">
      <c r="A2461" s="4" t="s">
        <v>3084</v>
      </c>
      <c r="B2461" s="4" t="s">
        <v>3087</v>
      </c>
      <c r="C2461" s="5" t="str">
        <f>IFERROR(__xludf.DUMMYFUNCTION("GOOGLETRANSLATE(B2461,""en"",""it"")"),"L'uomo rimuove la mano dei suoi amici e continua a lavorare.")</f>
        <v>L'uomo rimuove la mano dei suoi amici e continua a lavorare.</v>
      </c>
    </row>
    <row r="2462">
      <c r="A2462" s="4" t="s">
        <v>3088</v>
      </c>
      <c r="B2462" s="4" t="s">
        <v>3089</v>
      </c>
      <c r="C2462" s="5" t="str">
        <f>IFERROR(__xludf.DUMMYFUNCTION("GOOGLETRANSLATE(B2462,""en"",""it"")"),"Una ragazza corre attraverso il soggiorno lasciando cadere fiori e sporco.")</f>
        <v>Una ragazza corre attraverso il soggiorno lasciando cadere fiori e sporco.</v>
      </c>
    </row>
    <row r="2463">
      <c r="A2463" s="4" t="s">
        <v>3088</v>
      </c>
      <c r="B2463" s="4" t="s">
        <v>3090</v>
      </c>
      <c r="C2463" s="5" t="str">
        <f>IFERROR(__xludf.DUMMYFUNCTION("GOOGLETRANSLATE(B2463,""en"",""it"")"),"Una donna afferra un vuoto e aspira il pavimento.")</f>
        <v>Una donna afferra un vuoto e aspira il pavimento.</v>
      </c>
    </row>
    <row r="2464">
      <c r="A2464" s="4" t="s">
        <v>3088</v>
      </c>
      <c r="B2464" s="4" t="s">
        <v>3091</v>
      </c>
      <c r="C2464" s="5" t="str">
        <f>IFERROR(__xludf.DUMMYFUNCTION("GOOGLETRANSLATE(B2464,""en"",""it"")"),"Inserisce uno strumento nel vuoto e vuoto lungo i battiscopa.")</f>
        <v>Inserisce uno strumento nel vuoto e vuoto lungo i battiscopa.</v>
      </c>
    </row>
    <row r="2465">
      <c r="A2465" s="4" t="s">
        <v>3088</v>
      </c>
      <c r="B2465" s="4" t="s">
        <v>3092</v>
      </c>
      <c r="C2465" s="5" t="str">
        <f>IFERROR(__xludf.DUMMYFUNCTION("GOOGLETRANSLATE(B2465,""en"",""it"")"),"Usa uno strumento speciale del vuoto per aspirare attorno al divano e al tappeto delle scale.")</f>
        <v>Usa uno strumento speciale del vuoto per aspirare attorno al divano e al tappeto delle scale.</v>
      </c>
    </row>
    <row r="2466">
      <c r="A2466" s="4" t="s">
        <v>3088</v>
      </c>
      <c r="B2466" s="4" t="s">
        <v>3093</v>
      </c>
      <c r="C2466" s="5" t="str">
        <f>IFERROR(__xludf.DUMMYFUNCTION("GOOGLETRANSLATE(B2466,""en"",""it"")"),"Usa un altro strumento di vuoto per aspirare intorno alle finestre.")</f>
        <v>Usa un altro strumento di vuoto per aspirare intorno alle finestre.</v>
      </c>
    </row>
    <row r="2467">
      <c r="A2467" s="4" t="s">
        <v>3088</v>
      </c>
      <c r="B2467" s="4" t="s">
        <v>3094</v>
      </c>
      <c r="C2467" s="5" t="str">
        <f>IFERROR(__xludf.DUMMYFUNCTION("GOOGLETRANSLATE(B2467,""en"",""it"")"),"Estrae un vassoio dal vuoto.")</f>
        <v>Estrae un vassoio dal vuoto.</v>
      </c>
    </row>
    <row r="2468">
      <c r="A2468" s="4" t="s">
        <v>3095</v>
      </c>
      <c r="B2468" s="4" t="s">
        <v>3096</v>
      </c>
      <c r="C2468" s="5" t="str">
        <f>IFERROR(__xludf.DUMMYFUNCTION("GOOGLETRANSLATE(B2468,""en"",""it"")"),"Un gruppo di bambini gioca a hockey su un campo con allenatori che giocano mentre giocano.")</f>
        <v>Un gruppo di bambini gioca a hockey su un campo con allenatori che giocano mentre giocano.</v>
      </c>
    </row>
    <row r="2469">
      <c r="A2469" s="4" t="s">
        <v>3095</v>
      </c>
      <c r="B2469" s="6" t="s">
        <v>3097</v>
      </c>
      <c r="C2469" s="5" t="str">
        <f>IFERROR(__xludf.DUMMYFUNCTION("GOOGLETRANSLATE(B2469,""en"",""it"")"),"Un allenatore dimostra come bloccare un goal all'interno di una palestra interna di fronte a un gruppo di giovani.")</f>
        <v>Un allenatore dimostra come bloccare un goal all'interno di una palestra interna di fronte a un gruppo di giovani.</v>
      </c>
    </row>
    <row r="2470">
      <c r="A2470" s="4" t="s">
        <v>3095</v>
      </c>
      <c r="B2470" s="4" t="s">
        <v>3098</v>
      </c>
      <c r="C2470" s="5" t="str">
        <f>IFERROR(__xludf.DUMMYFUNCTION("GOOGLETRANSLATE(B2470,""en"",""it"")"),"I bambini emulano quindi l'allenamento mentre la fotocamera si taglia all'allenatore a parlare con la telecamera.")</f>
        <v>I bambini emulano quindi l'allenamento mentre la fotocamera si taglia all'allenatore a parlare con la telecamera.</v>
      </c>
    </row>
    <row r="2471">
      <c r="A2471" s="4" t="s">
        <v>3095</v>
      </c>
      <c r="B2471" s="4" t="s">
        <v>3099</v>
      </c>
      <c r="C2471" s="5" t="str">
        <f>IFERROR(__xludf.DUMMYFUNCTION("GOOGLETRANSLATE(B2471,""en"",""it"")"),"I bambini continuano a giocare a hockey fino a quando lo schermo svanisce.")</f>
        <v>I bambini continuano a giocare a hockey fino a quando lo schermo svanisce.</v>
      </c>
    </row>
    <row r="2472">
      <c r="A2472" s="4" t="s">
        <v>3100</v>
      </c>
      <c r="B2472" s="4" t="s">
        <v>3101</v>
      </c>
      <c r="C2472" s="5" t="str">
        <f>IFERROR(__xludf.DUMMYFUNCTION("GOOGLETRANSLATE(B2472,""en"",""it"")"),"Un primo piano è mostrato da un mini tavolo da biliardo con segnali e palline.")</f>
        <v>Un primo piano è mostrato da un mini tavolo da biliardo con segnali e palline.</v>
      </c>
    </row>
    <row r="2473">
      <c r="A2473" s="4" t="s">
        <v>3100</v>
      </c>
      <c r="B2473" s="4" t="s">
        <v>3102</v>
      </c>
      <c r="C2473" s="5" t="str">
        <f>IFERROR(__xludf.DUMMYFUNCTION("GOOGLETRANSLATE(B2473,""en"",""it"")"),"Un uomo usa il segnale per sparare alle palline nelle tasche.")</f>
        <v>Un uomo usa il segnale per sparare alle palline nelle tasche.</v>
      </c>
    </row>
    <row r="2474">
      <c r="A2474" s="4" t="s">
        <v>3100</v>
      </c>
      <c r="B2474" s="4" t="s">
        <v>3103</v>
      </c>
      <c r="C2474" s="5" t="str">
        <f>IFERROR(__xludf.DUMMYFUNCTION("GOOGLETRANSLATE(B2474,""en"",""it"")"),"Si siede una bambola sul tavolo per mostrare le dimensioni.")</f>
        <v>Si siede una bambola sul tavolo per mostrare le dimensioni.</v>
      </c>
    </row>
    <row r="2475">
      <c r="A2475" s="4" t="s">
        <v>3100</v>
      </c>
      <c r="B2475" s="4" t="s">
        <v>3104</v>
      </c>
      <c r="C2475" s="5" t="str">
        <f>IFERROR(__xludf.DUMMYFUNCTION("GOOGLETRANSLATE(B2475,""en"",""it"")"),"Spara anche una palla da mago sul tavolo e un marmo.")</f>
        <v>Spara anche una palla da mago sul tavolo e un marmo.</v>
      </c>
    </row>
    <row r="2476">
      <c r="A2476" s="4" t="s">
        <v>3105</v>
      </c>
      <c r="B2476" s="4" t="s">
        <v>3106</v>
      </c>
      <c r="C2476" s="5" t="str">
        <f>IFERROR(__xludf.DUMMYFUNCTION("GOOGLETRANSLATE(B2476,""en"",""it"")"),"Due uomini stanno combattendo all'interno di un anello di wrestling.")</f>
        <v>Due uomini stanno combattendo all'interno di un anello di wrestling.</v>
      </c>
    </row>
    <row r="2477">
      <c r="A2477" s="4" t="s">
        <v>3105</v>
      </c>
      <c r="B2477" s="4" t="s">
        <v>3107</v>
      </c>
      <c r="C2477" s="5" t="str">
        <f>IFERROR(__xludf.DUMMYFUNCTION("GOOGLETRANSLATE(B2477,""en"",""it"")"),"Si capovolgono e si muovono l'uno sull'altro.")</f>
        <v>Si capovolgono e si muovono l'uno sull'altro.</v>
      </c>
    </row>
    <row r="2478">
      <c r="A2478" s="4" t="s">
        <v>3105</v>
      </c>
      <c r="B2478" s="4" t="s">
        <v>3108</v>
      </c>
      <c r="C2478" s="5" t="str">
        <f>IFERROR(__xludf.DUMMYFUNCTION("GOOGLETRANSLATE(B2478,""en"",""it"")"),"Uno dei lottatori si appoggia l'altro e il conteggio va a tre.")</f>
        <v>Uno dei lottatori si appoggia l'altro e il conteggio va a tre.</v>
      </c>
    </row>
    <row r="2479">
      <c r="A2479" s="4" t="s">
        <v>3109</v>
      </c>
      <c r="B2479" s="4" t="s">
        <v>3110</v>
      </c>
      <c r="C2479" s="5" t="str">
        <f>IFERROR(__xludf.DUMMYFUNCTION("GOOGLETRANSLATE(B2479,""en"",""it"")"),"Due persone che indossano gli attrezzi da scuba sono seduti sul bordo di una barca con la schiena in acqua.")</f>
        <v>Due persone che indossano gli attrezzi da scuba sono seduti sul bordo di una barca con la schiena in acqua.</v>
      </c>
    </row>
    <row r="2480">
      <c r="A2480" s="4" t="s">
        <v>3109</v>
      </c>
      <c r="B2480" s="4" t="s">
        <v>3111</v>
      </c>
      <c r="C2480" s="5" t="str">
        <f>IFERROR(__xludf.DUMMYFUNCTION("GOOGLETRANSLATE(B2480,""en"",""it"")"),"La persona sulla destra si appoggia fino in fondo e si spruzza nell'acqua.")</f>
        <v>La persona sulla destra si appoggia fino in fondo e si spruzza nell'acqua.</v>
      </c>
    </row>
    <row r="2481">
      <c r="A2481" s="4" t="s">
        <v>3109</v>
      </c>
      <c r="B2481" s="6" t="s">
        <v>3112</v>
      </c>
      <c r="C2481" s="5" t="str">
        <f>IFERROR(__xludf.DUMMYFUNCTION("GOOGLETRANSLATE(B2481,""en"",""it"")"),"La persona successiva si appoggia anche all'indietro ma non può cadere completamente nell'acqua perché sono bloccati a qualcosa sulla barca, quindi le gambe si agitano.")</f>
        <v>La persona successiva si appoggia anche all'indietro ma non può cadere completamente nell'acqua perché sono bloccati a qualcosa sulla barca, quindi le gambe si agitano.</v>
      </c>
    </row>
    <row r="2482">
      <c r="A2482" s="4" t="s">
        <v>3113</v>
      </c>
      <c r="B2482" s="6" t="s">
        <v>3114</v>
      </c>
      <c r="C2482" s="5" t="str">
        <f>IFERROR(__xludf.DUMMYFUNCTION("GOOGLETRANSLATE(B2482,""en"",""it"")"),"Un uomo con un giubbotto di salvataggio rosso dimostra come remare in canoa attraverso i gesti e parlare con la telecamera da una canoa in un corpo d'acqua.")</f>
        <v>Un uomo con un giubbotto di salvataggio rosso dimostra come remare in canoa attraverso i gesti e parlare con la telecamera da una canoa in un corpo d'acqua.</v>
      </c>
    </row>
    <row r="2483">
      <c r="A2483" s="4" t="s">
        <v>3113</v>
      </c>
      <c r="B2483" s="6" t="s">
        <v>3115</v>
      </c>
      <c r="C2483" s="5" t="str">
        <f>IFERROR(__xludf.DUMMYFUNCTION("GOOGLETRANSLATE(B2483,""en"",""it"")"),"Un uomo in canoa rossa è remiato con un remo in un piccolo corpo d'acqua mentre parla con la telecamera.")</f>
        <v>Un uomo in canoa rossa è remiato con un remo in un piccolo corpo d'acqua mentre parla con la telecamera.</v>
      </c>
    </row>
    <row r="2484">
      <c r="A2484" s="4" t="s">
        <v>3113</v>
      </c>
      <c r="B2484" s="6" t="s">
        <v>3116</v>
      </c>
      <c r="C2484" s="5" t="str">
        <f>IFERROR(__xludf.DUMMYFUNCTION("GOOGLETRANSLATE(B2484,""en"",""it"")"),"L'uomo si sposta leggermente sul lato mentre parlava usando la pagaia come un ancoraggio nell'acqua e apparentemente dimostra come pagaiare usando i gesti della pagaia e delle mani per spiegare come spostare la pagaia e la canoa nell'acqua.")</f>
        <v>L'uomo si sposta leggermente sul lato mentre parlava usando la pagaia come un ancoraggio nell'acqua e apparentemente dimostra come pagaiare usando i gesti della pagaia e delle mani per spiegare come spostare la pagaia e la canoa nell'acqua.</v>
      </c>
    </row>
    <row r="2485">
      <c r="A2485" s="4" t="s">
        <v>3113</v>
      </c>
      <c r="B2485" s="6" t="s">
        <v>3117</v>
      </c>
      <c r="C2485" s="5" t="str">
        <f>IFERROR(__xludf.DUMMYFUNCTION("GOOGLETRANSLATE(B2485,""en"",""it"")"),"L'uomo si allontana quindi dalla fotocamera con la pagaia e si allontana nell'acqua prima di ricaricare di nuovo la fotocamera.")</f>
        <v>L'uomo si allontana quindi dalla fotocamera con la pagaia e si allontana nell'acqua prima di ricaricare di nuovo la fotocamera.</v>
      </c>
    </row>
    <row r="2486">
      <c r="A2486" s="4" t="s">
        <v>3118</v>
      </c>
      <c r="B2486" s="4" t="s">
        <v>3119</v>
      </c>
      <c r="C2486" s="5" t="str">
        <f>IFERROR(__xludf.DUMMYFUNCTION("GOOGLETRANSLATE(B2486,""en"",""it"")"),"Un bambino sta fumando una sigaretta.")</f>
        <v>Un bambino sta fumando una sigaretta.</v>
      </c>
    </row>
    <row r="2487">
      <c r="A2487" s="4" t="s">
        <v>3118</v>
      </c>
      <c r="B2487" s="4" t="s">
        <v>3120</v>
      </c>
      <c r="C2487" s="5" t="str">
        <f>IFERROR(__xludf.DUMMYFUNCTION("GOOGLETRANSLATE(B2487,""en"",""it"")"),"Il bambino lancia la sigaretta e cercò di mettere in bocca l'altra estremità della sigaretta.")</f>
        <v>Il bambino lancia la sigaretta e cercò di mettere in bocca l'altra estremità della sigaretta.</v>
      </c>
    </row>
    <row r="2488">
      <c r="A2488" s="4" t="s">
        <v>3118</v>
      </c>
      <c r="B2488" s="4" t="s">
        <v>3121</v>
      </c>
      <c r="C2488" s="5" t="str">
        <f>IFERROR(__xludf.DUMMYFUNCTION("GOOGLETRANSLATE(B2488,""en"",""it"")"),"Il bambino continua a fumare, fa volti e poi fumava.")</f>
        <v>Il bambino continua a fumare, fa volti e poi fumava.</v>
      </c>
    </row>
    <row r="2489">
      <c r="A2489" s="4" t="s">
        <v>3122</v>
      </c>
      <c r="B2489" s="4" t="s">
        <v>3123</v>
      </c>
      <c r="C2489" s="5" t="str">
        <f>IFERROR(__xludf.DUMMYFUNCTION("GOOGLETRANSLATE(B2489,""en"",""it"")"),"Viene visto un bambino che parla alla telecamera mentre tiene in mano un bicchiere e cammina verso un armadio.")</f>
        <v>Viene visto un bambino che parla alla telecamera mentre tiene in mano un bicchiere e cammina verso un armadio.</v>
      </c>
    </row>
    <row r="2490">
      <c r="A2490" s="4" t="s">
        <v>3122</v>
      </c>
      <c r="B2490" s="4" t="s">
        <v>3124</v>
      </c>
      <c r="C2490" s="5" t="str">
        <f>IFERROR(__xludf.DUMMYFUNCTION("GOOGLETRANSLATE(B2490,""en"",""it"")"),"Riempi il vetro e sbuccia i limoni nell'acqua.")</f>
        <v>Riempi il vetro e sbuccia i limoni nell'acqua.</v>
      </c>
    </row>
    <row r="2491">
      <c r="A2491" s="4" t="s">
        <v>3122</v>
      </c>
      <c r="B2491" s="4" t="s">
        <v>3125</v>
      </c>
      <c r="C2491" s="5" t="str">
        <f>IFERROR(__xludf.DUMMYFUNCTION("GOOGLETRANSLATE(B2491,""en"",""it"")"),"Quindi usa un cucchiaio per bere l'acqua e una cannuccia e annuire la testa salutando.")</f>
        <v>Quindi usa un cucchiaio per bere l'acqua e una cannuccia e annuire la testa salutando.</v>
      </c>
    </row>
    <row r="2492">
      <c r="A2492" s="4" t="s">
        <v>3126</v>
      </c>
      <c r="B2492" s="4" t="s">
        <v>3127</v>
      </c>
      <c r="C2492" s="5" t="str">
        <f>IFERROR(__xludf.DUMMYFUNCTION("GOOGLETRANSLATE(B2492,""en"",""it"")"),"Un uomo sta parlando in una palestra.")</f>
        <v>Un uomo sta parlando in una palestra.</v>
      </c>
    </row>
    <row r="2493">
      <c r="A2493" s="4" t="s">
        <v>3126</v>
      </c>
      <c r="B2493" s="4" t="s">
        <v>3128</v>
      </c>
      <c r="C2493" s="5" t="str">
        <f>IFERROR(__xludf.DUMMYFUNCTION("GOOGLETRANSLATE(B2493,""en"",""it"")"),"Un gruppo di ginnaste femminili formano un cluster, quindi solleva una ragazza sopra la testa.")</f>
        <v>Un gruppo di ginnaste femminili formano un cluster, quindi solleva una ragazza sopra la testa.</v>
      </c>
    </row>
    <row r="2494">
      <c r="A2494" s="4" t="s">
        <v>3126</v>
      </c>
      <c r="B2494" s="4" t="s">
        <v>3129</v>
      </c>
      <c r="C2494" s="5" t="str">
        <f>IFERROR(__xludf.DUMMYFUNCTION("GOOGLETRANSLATE(B2494,""en"",""it"")"),"La trattengono da una gamba prima di farsi girare di nuovo e afferrarla tra le braccia.")</f>
        <v>La trattengono da una gamba prima di farsi girare di nuovo e afferrarla tra le braccia.</v>
      </c>
    </row>
    <row r="2495">
      <c r="A2495" s="4" t="s">
        <v>3130</v>
      </c>
      <c r="B2495" s="4" t="s">
        <v>3131</v>
      </c>
      <c r="C2495" s="5" t="str">
        <f>IFERROR(__xludf.DUMMYFUNCTION("GOOGLETRANSLATE(B2495,""en"",""it"")"),"Le ragazze giocano a Dodge Ball fuori con una sola palla.")</f>
        <v>Le ragazze giocano a Dodge Ball fuori con una sola palla.</v>
      </c>
    </row>
    <row r="2496">
      <c r="A2496" s="4" t="s">
        <v>3130</v>
      </c>
      <c r="B2496" s="4" t="s">
        <v>3132</v>
      </c>
      <c r="C2496" s="5" t="str">
        <f>IFERROR(__xludf.DUMMYFUNCTION("GOOGLETRANSLATE(B2496,""en"",""it"")"),"Una ragazza viene colpita con la palla.")</f>
        <v>Una ragazza viene colpita con la palla.</v>
      </c>
    </row>
    <row r="2497">
      <c r="A2497" s="4" t="s">
        <v>3130</v>
      </c>
      <c r="B2497" s="4" t="s">
        <v>3133</v>
      </c>
      <c r="C2497" s="5" t="str">
        <f>IFERROR(__xludf.DUMMYFUNCTION("GOOGLETRANSLATE(B2497,""en"",""it"")"),"La ragazza esce dal gioco e va e si tiene sulla linea di abbigliamento.")</f>
        <v>La ragazza esce dal gioco e va e si tiene sulla linea di abbigliamento.</v>
      </c>
    </row>
    <row r="2498">
      <c r="A2498" s="4" t="s">
        <v>3134</v>
      </c>
      <c r="B2498" s="4" t="s">
        <v>3135</v>
      </c>
      <c r="C2498" s="5" t="str">
        <f>IFERROR(__xludf.DUMMYFUNCTION("GOOGLETRANSLATE(B2498,""en"",""it"")"),"Una ginnasta si vede che si guarda in lontananza e si strofina le mani.")</f>
        <v>Una ginnasta si vede che si guarda in lontananza e si strofina le mani.</v>
      </c>
    </row>
    <row r="2499">
      <c r="A2499" s="4" t="s">
        <v>3134</v>
      </c>
      <c r="B2499" s="4" t="s">
        <v>3136</v>
      </c>
      <c r="C2499" s="5" t="str">
        <f>IFERROR(__xludf.DUMMYFUNCTION("GOOGLETRANSLATE(B2499,""en"",""it"")"),"Alza le mani e inizia a eseguire una routine di ginnastica su una trave.")</f>
        <v>Alza le mani e inizia a eseguire una routine di ginnastica su una trave.</v>
      </c>
    </row>
    <row r="2500">
      <c r="A2500" s="4" t="s">
        <v>3134</v>
      </c>
      <c r="B2500" s="4" t="s">
        <v>3137</v>
      </c>
      <c r="C2500" s="5" t="str">
        <f>IFERROR(__xludf.DUMMYFUNCTION("GOOGLETRANSLATE(B2500,""en"",""it"")"),"Si muove lungo tutto il raggio e termina saltando giù e altri applaudendo.")</f>
        <v>Si muove lungo tutto il raggio e termina saltando giù e altri applaudendo.</v>
      </c>
    </row>
    <row r="2501">
      <c r="A2501" s="4" t="s">
        <v>3138</v>
      </c>
      <c r="B2501" s="4" t="s">
        <v>3139</v>
      </c>
      <c r="C2501" s="5" t="str">
        <f>IFERROR(__xludf.DUMMYFUNCTION("GOOGLETRANSLATE(B2501,""en"",""it"")"),"Due vecchi giocatori di cornamusa giocano l'uno verso l'altro.")</f>
        <v>Due vecchi giocatori di cornamusa giocano l'uno verso l'altro.</v>
      </c>
    </row>
    <row r="2502">
      <c r="A2502" s="4" t="s">
        <v>3138</v>
      </c>
      <c r="B2502" s="4" t="s">
        <v>3140</v>
      </c>
      <c r="C2502" s="5" t="str">
        <f>IFERROR(__xludf.DUMMYFUNCTION("GOOGLETRANSLATE(B2502,""en"",""it"")"),"Si gira un giocatore di cornamusa.")</f>
        <v>Si gira un giocatore di cornamusa.</v>
      </c>
    </row>
    <row r="2503">
      <c r="A2503" s="4" t="s">
        <v>3138</v>
      </c>
      <c r="B2503" s="4" t="s">
        <v>3141</v>
      </c>
      <c r="C2503" s="5" t="str">
        <f>IFERROR(__xludf.DUMMYFUNCTION("GOOGLETRANSLATE(B2503,""en"",""it"")"),"I giocatori di cornamusa finiscono di giocare.")</f>
        <v>I giocatori di cornamusa finiscono di giocare.</v>
      </c>
    </row>
    <row r="2504">
      <c r="A2504" s="4" t="s">
        <v>3138</v>
      </c>
      <c r="B2504" s="4" t="s">
        <v>3142</v>
      </c>
      <c r="C2504" s="5" t="str">
        <f>IFERROR(__xludf.DUMMYFUNCTION("GOOGLETRANSLATE(B2504,""en"",""it"")"),"La folla applaude per i giocatori.")</f>
        <v>La folla applaude per i giocatori.</v>
      </c>
    </row>
    <row r="2505">
      <c r="A2505" s="4" t="s">
        <v>3143</v>
      </c>
      <c r="B2505" s="4" t="s">
        <v>3144</v>
      </c>
      <c r="C2505" s="5" t="str">
        <f>IFERROR(__xludf.DUMMYFUNCTION("GOOGLETRANSLATE(B2505,""en"",""it"")"),"Un uomo è seduto su una sedia con un tamburo a mano mentre un altro uomo suona i bongos dietro di lui.")</f>
        <v>Un uomo è seduto su una sedia con un tamburo a mano mentre un altro uomo suona i bongos dietro di lui.</v>
      </c>
    </row>
    <row r="2506">
      <c r="A2506" s="4" t="s">
        <v>3143</v>
      </c>
      <c r="B2506" s="4" t="s">
        <v>3145</v>
      </c>
      <c r="C2506" s="5" t="str">
        <f>IFERROR(__xludf.DUMMYFUNCTION("GOOGLETRANSLATE(B2506,""en"",""it"")"),"Suonano insieme per un lungo periodo.")</f>
        <v>Suonano insieme per un lungo periodo.</v>
      </c>
    </row>
    <row r="2507">
      <c r="A2507" s="4" t="s">
        <v>3146</v>
      </c>
      <c r="B2507" s="4" t="s">
        <v>3147</v>
      </c>
      <c r="C2507" s="5" t="str">
        <f>IFERROR(__xludf.DUMMYFUNCTION("GOOGLETRANSLATE(B2507,""en"",""it"")"),"Vediamo la scheda del titolo per il prodotto.")</f>
        <v>Vediamo la scheda del titolo per il prodotto.</v>
      </c>
    </row>
    <row r="2508">
      <c r="A2508" s="4" t="s">
        <v>3146</v>
      </c>
      <c r="B2508" s="4" t="s">
        <v>3148</v>
      </c>
      <c r="C2508" s="5" t="str">
        <f>IFERROR(__xludf.DUMMYFUNCTION("GOOGLETRANSLATE(B2508,""en"",""it"")"),"Vediamo una signora che le pulite il pavimento.")</f>
        <v>Vediamo una signora che le pulite il pavimento.</v>
      </c>
    </row>
    <row r="2509">
      <c r="A2509" s="4" t="s">
        <v>3146</v>
      </c>
      <c r="B2509" s="4" t="s">
        <v>3149</v>
      </c>
      <c r="C2509" s="5" t="str">
        <f>IFERROR(__xludf.DUMMYFUNCTION("GOOGLETRANSLATE(B2509,""en"",""it"")"),"Vediamo il prodotto di attacco a vuoto e vediamo il prodotto in azione.")</f>
        <v>Vediamo il prodotto di attacco a vuoto e vediamo il prodotto in azione.</v>
      </c>
    </row>
    <row r="2510">
      <c r="A2510" s="4" t="s">
        <v>3146</v>
      </c>
      <c r="B2510" s="4" t="s">
        <v>3150</v>
      </c>
      <c r="C2510" s="5" t="str">
        <f>IFERROR(__xludf.DUMMYFUNCTION("GOOGLETRANSLATE(B2510,""en"",""it"")"),"La signora mostra ogni lato e la vediamo attaccare il prodotto.")</f>
        <v>La signora mostra ogni lato e la vediamo attaccare il prodotto.</v>
      </c>
    </row>
    <row r="2511">
      <c r="A2511" s="4" t="s">
        <v>3146</v>
      </c>
      <c r="B2511" s="4" t="s">
        <v>3151</v>
      </c>
      <c r="C2511" s="5" t="str">
        <f>IFERROR(__xludf.DUMMYFUNCTION("GOOGLETRANSLATE(B2511,""en"",""it"")"),"Vediamo la signora che si muove.")</f>
        <v>Vediamo la signora che si muove.</v>
      </c>
    </row>
    <row r="2512">
      <c r="A2512" s="4" t="s">
        <v>3146</v>
      </c>
      <c r="B2512" s="4" t="s">
        <v>3152</v>
      </c>
      <c r="C2512" s="5" t="str">
        <f>IFERROR(__xludf.DUMMYFUNCTION("GOOGLETRANSLATE(B2512,""en"",""it"")"),"Quindi vediamo la facilità di usare l'attaccamento.")</f>
        <v>Quindi vediamo la facilità di usare l'attaccamento.</v>
      </c>
    </row>
    <row r="2513">
      <c r="A2513" s="4" t="s">
        <v>3146</v>
      </c>
      <c r="B2513" s="4" t="s">
        <v>3153</v>
      </c>
      <c r="C2513" s="5" t="str">
        <f>IFERROR(__xludf.DUMMYFUNCTION("GOOGLETRANSLATE(B2513,""en"",""it"")"),"Vediamo la signora rilassarsi dopo la pulizia.")</f>
        <v>Vediamo la signora rilassarsi dopo la pulizia.</v>
      </c>
    </row>
    <row r="2514">
      <c r="A2514" s="4" t="s">
        <v>3146</v>
      </c>
      <c r="B2514" s="4" t="s">
        <v>3154</v>
      </c>
      <c r="C2514" s="5" t="str">
        <f>IFERROR(__xludf.DUMMYFUNCTION("GOOGLETRANSLATE(B2514,""en"",""it"")"),"Vediamo di nuovo il prodotto di allegato.")</f>
        <v>Vediamo di nuovo il prodotto di allegato.</v>
      </c>
    </row>
    <row r="2515">
      <c r="A2515" s="4" t="s">
        <v>3146</v>
      </c>
      <c r="B2515" s="4" t="s">
        <v>3155</v>
      </c>
      <c r="C2515" s="5" t="str">
        <f>IFERROR(__xludf.DUMMYFUNCTION("GOOGLETRANSLATE(B2515,""en"",""it"")"),"Vediamo la signora che dà un pollice in su.")</f>
        <v>Vediamo la signora che dà un pollice in su.</v>
      </c>
    </row>
    <row r="2516">
      <c r="A2516" s="4" t="s">
        <v>3146</v>
      </c>
      <c r="B2516" s="4" t="s">
        <v>3156</v>
      </c>
      <c r="C2516" s="5" t="str">
        <f>IFERROR(__xludf.DUMMYFUNCTION("GOOGLETRANSLATE(B2516,""en"",""it"")"),"La schermata del titolo ritorna per terminare il video.")</f>
        <v>La schermata del titolo ritorna per terminare il video.</v>
      </c>
    </row>
    <row r="2517">
      <c r="A2517" s="4" t="s">
        <v>3157</v>
      </c>
      <c r="B2517" s="6" t="s">
        <v>3158</v>
      </c>
      <c r="C2517" s="5" t="str">
        <f>IFERROR(__xludf.DUMMYFUNCTION("GOOGLETRANSLATE(B2517,""en"",""it"")"),"Viene mostrato una persona disegnando diverse linee su un pezzo di carta che conduce in diverse clip di movimento rapido di aree nevose.")</f>
        <v>Viene mostrato una persona disegnando diverse linee su un pezzo di carta che conduce in diverse clip di movimento rapido di aree nevose.</v>
      </c>
    </row>
    <row r="2518">
      <c r="A2518" s="4" t="s">
        <v>3157</v>
      </c>
      <c r="B2518" s="4" t="s">
        <v>3159</v>
      </c>
      <c r="C2518" s="5" t="str">
        <f>IFERROR(__xludf.DUMMYFUNCTION("GOOGLETRANSLATE(B2518,""en"",""it"")"),"Altri primi piani sono mostrati da una persona che cavalca lungo la montagna.")</f>
        <v>Altri primi piani sono mostrati da una persona che cavalca lungo la montagna.</v>
      </c>
    </row>
    <row r="2519">
      <c r="A2519" s="4" t="s">
        <v>3157</v>
      </c>
      <c r="B2519" s="6" t="s">
        <v>3160</v>
      </c>
      <c r="C2519" s="5" t="str">
        <f>IFERROR(__xludf.DUMMYFUNCTION("GOOGLETRANSLATE(B2519,""en"",""it"")"),"Vengono mostrate più persone che cavalcano e conducono in diversi scatti di persone che eseguono trucchi per lo sci e lo snowboard lungo una montagna.")</f>
        <v>Vengono mostrate più persone che cavalcano e conducono in diversi scatti di persone che eseguono trucchi per lo sci e lo snowboard lungo una montagna.</v>
      </c>
    </row>
    <row r="2520">
      <c r="A2520" s="4" t="s">
        <v>3161</v>
      </c>
      <c r="B2520" s="4" t="s">
        <v>3162</v>
      </c>
      <c r="C2520" s="5" t="str">
        <f>IFERROR(__xludf.DUMMYFUNCTION("GOOGLETRANSLATE(B2520,""en"",""it"")"),"Una pubblicità è prima sullo schermo.")</f>
        <v>Una pubblicità è prima sullo schermo.</v>
      </c>
    </row>
    <row r="2521">
      <c r="A2521" s="4" t="s">
        <v>3161</v>
      </c>
      <c r="B2521" s="4" t="s">
        <v>3163</v>
      </c>
      <c r="C2521" s="5" t="str">
        <f>IFERROR(__xludf.DUMMYFUNCTION("GOOGLETRANSLATE(B2521,""en"",""it"")"),"Una ragazza sta saltando la corda mentre le persone guardano.")</f>
        <v>Una ragazza sta saltando la corda mentre le persone guardano.</v>
      </c>
    </row>
    <row r="2522">
      <c r="A2522" s="4" t="s">
        <v>3161</v>
      </c>
      <c r="B2522" s="4" t="s">
        <v>3164</v>
      </c>
      <c r="C2522" s="5" t="str">
        <f>IFERROR(__xludf.DUMMYFUNCTION("GOOGLETRANSLATE(B2522,""en"",""it"")"),"Sta facendo trucchi e gira mentre salta.")</f>
        <v>Sta facendo trucchi e gira mentre salta.</v>
      </c>
    </row>
    <row r="2523">
      <c r="A2523" s="4" t="s">
        <v>3161</v>
      </c>
      <c r="B2523" s="4" t="s">
        <v>3165</v>
      </c>
      <c r="C2523" s="5" t="str">
        <f>IFERROR(__xludf.DUMMYFUNCTION("GOOGLETRANSLATE(B2523,""en"",""it"")"),"Il video termina con i crediti di quelli che mettono insieme il video.")</f>
        <v>Il video termina con i crediti di quelli che mettono insieme il video.</v>
      </c>
    </row>
    <row r="2524">
      <c r="A2524" s="4" t="s">
        <v>3166</v>
      </c>
      <c r="B2524" s="4" t="s">
        <v>3167</v>
      </c>
      <c r="C2524" s="5" t="str">
        <f>IFERROR(__xludf.DUMMYFUNCTION("GOOGLETRANSLATE(B2524,""en"",""it"")"),"Una ragazza viene vista seduta davanti a un piano e suonare lo strumento con le punte delle dita.")</f>
        <v>Una ragazza viene vista seduta davanti a un piano e suonare lo strumento con le punte delle dita.</v>
      </c>
    </row>
    <row r="2525">
      <c r="A2525" s="4" t="s">
        <v>3166</v>
      </c>
      <c r="B2525" s="4" t="s">
        <v>3168</v>
      </c>
      <c r="C2525" s="5" t="str">
        <f>IFERROR(__xludf.DUMMYFUNCTION("GOOGLETRANSLATE(B2525,""en"",""it"")"),"Continua a suonare mentre la telecamera la cattura da lontano.")</f>
        <v>Continua a suonare mentre la telecamera la cattura da lontano.</v>
      </c>
    </row>
    <row r="2526">
      <c r="A2526" s="4" t="s">
        <v>3169</v>
      </c>
      <c r="B2526" s="4" t="s">
        <v>3170</v>
      </c>
      <c r="C2526" s="5" t="str">
        <f>IFERROR(__xludf.DUMMYFUNCTION("GOOGLETRANSLATE(B2526,""en"",""it"")"),"Una persona viene vista parlare mentre fuma una sigaretta e soffia fumo dalla bocca.")</f>
        <v>Una persona viene vista parlare mentre fuma una sigaretta e soffia fumo dalla bocca.</v>
      </c>
    </row>
    <row r="2527">
      <c r="A2527" s="4" t="s">
        <v>3169</v>
      </c>
      <c r="B2527" s="6" t="s">
        <v>3171</v>
      </c>
      <c r="C2527" s="5" t="str">
        <f>IFERROR(__xludf.DUMMYFUNCTION("GOOGLETRANSLATE(B2527,""en"",""it"")"),"La persona continua a parlare mentre fumi la sigaretta e soffia gradualmente il fumo mentre parla.")</f>
        <v>La persona continua a parlare mentre fumi la sigaretta e soffia gradualmente il fumo mentre parla.</v>
      </c>
    </row>
    <row r="2528">
      <c r="A2528" s="4" t="s">
        <v>3172</v>
      </c>
      <c r="B2528" s="4" t="s">
        <v>3173</v>
      </c>
      <c r="C2528" s="5" t="str">
        <f>IFERROR(__xludf.DUMMYFUNCTION("GOOGLETRANSLATE(B2528,""en"",""it"")"),"Tre uomini sono in palestra a parlare tra loro.")</f>
        <v>Tre uomini sono in palestra a parlare tra loro.</v>
      </c>
    </row>
    <row r="2529">
      <c r="A2529" s="4" t="s">
        <v>3172</v>
      </c>
      <c r="B2529" s="6" t="s">
        <v>3174</v>
      </c>
      <c r="C2529" s="5" t="str">
        <f>IFERROR(__xludf.DUMMYFUNCTION("GOOGLETRANSLATE(B2529,""en"",""it"")"),"Gli uomini apre la porta di legno ed entra in palestra e stanno guardando i primi uomini, e si sono presi nel panico.")</f>
        <v>Gli uomini apre la porta di legno ed entra in palestra e stanno guardando i primi uomini, e si sono presi nel panico.</v>
      </c>
    </row>
    <row r="2530">
      <c r="A2530" s="4" t="s">
        <v>3172</v>
      </c>
      <c r="B2530" s="4" t="s">
        <v>3175</v>
      </c>
      <c r="C2530" s="5" t="str">
        <f>IFERROR(__xludf.DUMMYFUNCTION("GOOGLETRANSLATE(B2530,""en"",""it"")"),"Gli uomini iniziano a correre in campo cercando di prendere una palla rosa e iniziare a giocare a Dodgeball.")</f>
        <v>Gli uomini iniziano a correre in campo cercando di prendere una palla rosa e iniziare a giocare a Dodgeball.</v>
      </c>
    </row>
    <row r="2531">
      <c r="A2531" s="4" t="s">
        <v>3172</v>
      </c>
      <c r="B2531" s="4" t="s">
        <v>3176</v>
      </c>
      <c r="C2531" s="5" t="str">
        <f>IFERROR(__xludf.DUMMYFUNCTION("GOOGLETRANSLATE(B2531,""en"",""it"")"),"L'uomo sta parlando con la telecamera con carattere di un muro di mattoni.")</f>
        <v>L'uomo sta parlando con la telecamera con carattere di un muro di mattoni.</v>
      </c>
    </row>
    <row r="2532">
      <c r="A2532" s="4" t="s">
        <v>3177</v>
      </c>
      <c r="B2532" s="6" t="s">
        <v>3178</v>
      </c>
      <c r="C2532" s="5" t="str">
        <f>IFERROR(__xludf.DUMMYFUNCTION("GOOGLETRANSLATE(B2532,""en"",""it"")"),"Viene vista una donna parlare alla telecamera e conduce a clip della sua guida di una classe di allenamento e scatti dello studio.")</f>
        <v>Viene vista una donna parlare alla telecamera e conduce a clip della sua guida di una classe di allenamento e scatti dello studio.</v>
      </c>
    </row>
    <row r="2533">
      <c r="A2533" s="4" t="s">
        <v>3177</v>
      </c>
      <c r="B2533" s="6" t="s">
        <v>3179</v>
      </c>
      <c r="C2533" s="5" t="str">
        <f>IFERROR(__xludf.DUMMYFUNCTION("GOOGLETRANSLATE(B2533,""en"",""it"")"),"La donna continua a guidare sulla bici da esercizio mentre insegna alla classe e continua a parlare con la telecamera.")</f>
        <v>La donna continua a guidare sulla bici da esercizio mentre insegna alla classe e continua a parlare con la telecamera.</v>
      </c>
    </row>
    <row r="2534">
      <c r="A2534" s="4" t="s">
        <v>3180</v>
      </c>
      <c r="B2534" s="4" t="s">
        <v>3181</v>
      </c>
      <c r="C2534" s="5" t="str">
        <f>IFERROR(__xludf.DUMMYFUNCTION("GOOGLETRANSLATE(B2534,""en"",""it"")"),"Una persona sposta le carte da poker e i token sul tavolo in un casinò sulle persone anteriori.")</f>
        <v>Una persona sposta le carte da poker e i token sul tavolo in un casinò sulle persone anteriori.</v>
      </c>
    </row>
    <row r="2535">
      <c r="A2535" s="4" t="s">
        <v>3180</v>
      </c>
      <c r="B2535" s="4" t="s">
        <v>3182</v>
      </c>
      <c r="C2535" s="5" t="str">
        <f>IFERROR(__xludf.DUMMYFUNCTION("GOOGLETRANSLATE(B2535,""en"",""it"")"),"Un client tocca con il dito all'interno di un quadrato.")</f>
        <v>Un client tocca con il dito all'interno di un quadrato.</v>
      </c>
    </row>
    <row r="2536">
      <c r="A2536" s="4" t="s">
        <v>3180</v>
      </c>
      <c r="B2536" s="4" t="s">
        <v>3183</v>
      </c>
      <c r="C2536" s="5" t="str">
        <f>IFERROR(__xludf.DUMMYFUNCTION("GOOGLETRANSLATE(B2536,""en"",""it"")"),"Quindi, la persona impila tutte le carte e mette i token all'interno dei quadrati.")</f>
        <v>Quindi, la persona impila tutte le carte e mette i token all'interno dei quadrati.</v>
      </c>
    </row>
    <row r="2537">
      <c r="A2537" s="4" t="s">
        <v>3180</v>
      </c>
      <c r="B2537" s="4" t="s">
        <v>3184</v>
      </c>
      <c r="C2537" s="5" t="str">
        <f>IFERROR(__xludf.DUMMYFUNCTION("GOOGLETRANSLATE(B2537,""en"",""it"")"),"Quindi le persone iniziano a giocare d'azzardo, mentre la donna distribuisce le carte e raccoglie i token.")</f>
        <v>Quindi le persone iniziano a giocare d'azzardo, mentre la donna distribuisce le carte e raccoglie i token.</v>
      </c>
    </row>
    <row r="2538">
      <c r="A2538" s="4" t="s">
        <v>3180</v>
      </c>
      <c r="B2538" s="6" t="s">
        <v>3185</v>
      </c>
      <c r="C2538" s="5" t="str">
        <f>IFERROR(__xludf.DUMMYFUNCTION("GOOGLETRANSLATE(B2538,""en"",""it"")"),"Dopo, il cliente mostra con la mano, quindi la persona fa gesti con la mano che mostra il tavolo.")</f>
        <v>Dopo, il cliente mostra con la mano, quindi la persona fa gesti con la mano che mostra il tavolo.</v>
      </c>
    </row>
    <row r="2539">
      <c r="A2539" s="4" t="s">
        <v>3180</v>
      </c>
      <c r="B2539" s="4" t="s">
        <v>3186</v>
      </c>
      <c r="C2539" s="5" t="str">
        <f>IFERROR(__xludf.DUMMYFUNCTION("GOOGLETRANSLATE(B2539,""en"",""it"")"),"Successivamente la donna raccoglie le carte.")</f>
        <v>Successivamente la donna raccoglie le carte.</v>
      </c>
    </row>
    <row r="2540">
      <c r="A2540" s="4" t="s">
        <v>3187</v>
      </c>
      <c r="B2540" s="4" t="s">
        <v>3188</v>
      </c>
      <c r="C2540" s="5" t="str">
        <f>IFERROR(__xludf.DUMMYFUNCTION("GOOGLETRANSLATE(B2540,""en"",""it"")"),"Un rodeo viene mostrato come un uomo si carica dal cancello per gettare la corda attorno a un vitello.")</f>
        <v>Un rodeo viene mostrato come un uomo si carica dal cancello per gettare la corda attorno a un vitello.</v>
      </c>
    </row>
    <row r="2541">
      <c r="A2541" s="4" t="s">
        <v>3187</v>
      </c>
      <c r="B2541" s="4" t="s">
        <v>3189</v>
      </c>
      <c r="C2541" s="5" t="str">
        <f>IFERROR(__xludf.DUMMYFUNCTION("GOOGLETRANSLATE(B2541,""en"",""it"")"),"Ha successo all'istante e torna sul suo cavallo.")</f>
        <v>Ha successo all'istante e torna sul suo cavallo.</v>
      </c>
    </row>
    <row r="2542">
      <c r="A2542" s="4" t="s">
        <v>3190</v>
      </c>
      <c r="B2542" s="4" t="s">
        <v>3191</v>
      </c>
      <c r="C2542" s="5" t="str">
        <f>IFERROR(__xludf.DUMMYFUNCTION("GOOGLETRANSLATE(B2542,""en"",""it"")"),"Un uomo è in un bar che dimostra come preparare drink.")</f>
        <v>Un uomo è in un bar che dimostra come preparare drink.</v>
      </c>
    </row>
    <row r="2543">
      <c r="A2543" s="4" t="s">
        <v>3190</v>
      </c>
      <c r="B2543" s="4" t="s">
        <v>3192</v>
      </c>
      <c r="C2543" s="5" t="str">
        <f>IFERROR(__xludf.DUMMYFUNCTION("GOOGLETRANSLATE(B2543,""en"",""it"")"),"Riempi un bicchiere di ghiaccio.")</f>
        <v>Riempi un bicchiere di ghiaccio.</v>
      </c>
    </row>
    <row r="2544">
      <c r="A2544" s="4" t="s">
        <v>3190</v>
      </c>
      <c r="B2544" s="4" t="s">
        <v>3193</v>
      </c>
      <c r="C2544" s="5" t="str">
        <f>IFERROR(__xludf.DUMMYFUNCTION("GOOGLETRANSLATE(B2544,""en"",""it"")"),"Quindi inizia a misurare vari liquori in una tazza, quindi lo versa nel vetro.")</f>
        <v>Quindi inizia a misurare vari liquori in una tazza, quindi lo versa nel vetro.</v>
      </c>
    </row>
    <row r="2545">
      <c r="A2545" s="4" t="s">
        <v>3190</v>
      </c>
      <c r="B2545" s="4" t="s">
        <v>3194</v>
      </c>
      <c r="C2545" s="5" t="str">
        <f>IFERROR(__xludf.DUMMYFUNCTION("GOOGLETRANSLATE(B2545,""en"",""it"")"),"Scuote insieme la bevanda e poi versa il composto in occhiali da tiro.")</f>
        <v>Scuote insieme la bevanda e poi versa il composto in occhiali da tiro.</v>
      </c>
    </row>
    <row r="2546">
      <c r="A2546" s="4" t="s">
        <v>3190</v>
      </c>
      <c r="B2546" s="4" t="s">
        <v>3195</v>
      </c>
      <c r="C2546" s="5" t="str">
        <f>IFERROR(__xludf.DUMMYFUNCTION("GOOGLETRANSLATE(B2546,""en"",""it"")"),"Alla fine mette un altro liquore negli occhiali.")</f>
        <v>Alla fine mette un altro liquore negli occhiali.</v>
      </c>
    </row>
    <row r="2547">
      <c r="A2547" s="4" t="s">
        <v>3190</v>
      </c>
      <c r="B2547" s="4" t="s">
        <v>3196</v>
      </c>
      <c r="C2547" s="5" t="str">
        <f>IFERROR(__xludf.DUMMYFUNCTION("GOOGLETRANSLATE(B2547,""en"",""it"")"),"Il video termina con l'uomo che tiene in mano entrambi gli occhiali.")</f>
        <v>Il video termina con l'uomo che tiene in mano entrambi gli occhiali.</v>
      </c>
    </row>
    <row r="2548">
      <c r="A2548" s="4" t="s">
        <v>3197</v>
      </c>
      <c r="B2548" s="6" t="s">
        <v>3198</v>
      </c>
      <c r="C2548" s="5" t="str">
        <f>IFERROR(__xludf.DUMMYFUNCTION("GOOGLETRANSLATE(B2548,""en"",""it"")"),"Diversi colpi di corridori atletici sono mostrati seguiti da colpi a rallentatore di un atleta che gestisce un salto in lungo e festeggia.")</f>
        <v>Diversi colpi di corridori atletici sono mostrati seguiti da colpi a rallentatore di un atleta che gestisce un salto in lungo e festeggia.</v>
      </c>
    </row>
    <row r="2549">
      <c r="A2549" s="4" t="s">
        <v>3197</v>
      </c>
      <c r="B2549" s="6" t="s">
        <v>3199</v>
      </c>
      <c r="C2549" s="5" t="str">
        <f>IFERROR(__xludf.DUMMYFUNCTION("GOOGLETRANSLATE(B2549,""en"",""it"")"),"La telecamera si lancia in scene di uomini che si estendono e guardano seguiti da uno che corre lungo il salto in lungo e tifando verso la folla.")</f>
        <v>La telecamera si lancia in scene di uomini che si estendono e guardano seguiti da uno che corre lungo il salto in lungo e tifando verso la folla.</v>
      </c>
    </row>
    <row r="2550">
      <c r="A2550" s="4" t="s">
        <v>3197</v>
      </c>
      <c r="B2550" s="6" t="s">
        <v>3200</v>
      </c>
      <c r="C2550" s="5" t="str">
        <f>IFERROR(__xludf.DUMMYFUNCTION("GOOGLETRANSLATE(B2550,""en"",""it"")"),"Il suo salto viene mostrato molte più volte seguito dal salto di altri eseguendo il loro salto davanti alla grande folla.")</f>
        <v>Il suo salto viene mostrato molte più volte seguito dal salto di altri eseguendo il loro salto davanti alla grande folla.</v>
      </c>
    </row>
    <row r="2551">
      <c r="A2551" s="4" t="s">
        <v>3201</v>
      </c>
      <c r="B2551" s="4" t="s">
        <v>3202</v>
      </c>
      <c r="C2551" s="5" t="str">
        <f>IFERROR(__xludf.DUMMYFUNCTION("GOOGLETRANSLATE(B2551,""en"",""it"")"),"Le mani di un uomo sono mostrate a un tavolo.")</f>
        <v>Le mani di un uomo sono mostrate a un tavolo.</v>
      </c>
    </row>
    <row r="2552">
      <c r="A2552" s="4" t="s">
        <v>3201</v>
      </c>
      <c r="B2552" s="4" t="s">
        <v>3203</v>
      </c>
      <c r="C2552" s="5" t="str">
        <f>IFERROR(__xludf.DUMMYFUNCTION("GOOGLETRANSLATE(B2552,""en"",""it"")"),"Posiziona una scatola di cartone sopra la carta avvolgente.")</f>
        <v>Posiziona una scatola di cartone sopra la carta avvolgente.</v>
      </c>
    </row>
    <row r="2553">
      <c r="A2553" s="4" t="s">
        <v>3201</v>
      </c>
      <c r="B2553" s="4" t="s">
        <v>3204</v>
      </c>
      <c r="C2553" s="5" t="str">
        <f>IFERROR(__xludf.DUMMYFUNCTION("GOOGLETRANSLATE(B2553,""en"",""it"")"),"Comincia a avvolgere la scatola, dimostrando come avvolgere correttamente un regalo.")</f>
        <v>Comincia a avvolgere la scatola, dimostrando come avvolgere correttamente un regalo.</v>
      </c>
    </row>
    <row r="2554">
      <c r="A2554" s="4" t="s">
        <v>3201</v>
      </c>
      <c r="B2554" s="4" t="s">
        <v>3205</v>
      </c>
      <c r="C2554" s="5" t="str">
        <f>IFERROR(__xludf.DUMMYFUNCTION("GOOGLETRANSLATE(B2554,""en"",""it"")"),"Rilega la carta da avvolgimento attorno alla scatola.")</f>
        <v>Rilega la carta da avvolgimento attorno alla scatola.</v>
      </c>
    </row>
    <row r="2555">
      <c r="A2555" s="4" t="s">
        <v>3201</v>
      </c>
      <c r="B2555" s="4" t="s">
        <v>3206</v>
      </c>
      <c r="C2555" s="5" t="str">
        <f>IFERROR(__xludf.DUMMYFUNCTION("GOOGLETRANSLATE(B2555,""en"",""it"")"),"L'uomo lega un fiocco intorno alla scatola mentre la fotocamera rallenta il movimento.")</f>
        <v>L'uomo lega un fiocco intorno alla scatola mentre la fotocamera rallenta il movimento.</v>
      </c>
    </row>
    <row r="2556">
      <c r="A2556" s="4" t="s">
        <v>3201</v>
      </c>
      <c r="B2556" s="4" t="s">
        <v>3207</v>
      </c>
      <c r="C2556" s="5" t="str">
        <f>IFERROR(__xludf.DUMMYFUNCTION("GOOGLETRANSLATE(B2556,""en"",""it"")"),"Taglia via l'arco in eccesso e vediamo un adesivo con la faccia di una donna.")</f>
        <v>Taglia via l'arco in eccesso e vediamo un adesivo con la faccia di una donna.</v>
      </c>
    </row>
    <row r="2557">
      <c r="A2557" s="4" t="s">
        <v>3208</v>
      </c>
      <c r="B2557" s="4" t="s">
        <v>3209</v>
      </c>
      <c r="C2557" s="5" t="str">
        <f>IFERROR(__xludf.DUMMYFUNCTION("GOOGLETRANSLATE(B2557,""en"",""it"")"),"Una donna che indossa attrezzatura sudore e vista provare a ottenere una luce con un accendino.")</f>
        <v>Una donna che indossa attrezzatura sudore e vista provare a ottenere una luce con un accendino.</v>
      </c>
    </row>
    <row r="2558">
      <c r="A2558" s="4" t="s">
        <v>3208</v>
      </c>
      <c r="B2558" s="4" t="s">
        <v>3210</v>
      </c>
      <c r="C2558" s="5" t="str">
        <f>IFERROR(__xludf.DUMMYFUNCTION("GOOGLETRANSLATE(B2558,""en"",""it"")"),"Non riesce a farlo e inizia a camminare verso la telecamera.")</f>
        <v>Non riesce a farlo e inizia a camminare verso la telecamera.</v>
      </c>
    </row>
    <row r="2559">
      <c r="A2559" s="4" t="s">
        <v>3211</v>
      </c>
      <c r="B2559" s="6" t="s">
        <v>3212</v>
      </c>
      <c r="C2559" s="5" t="str">
        <f>IFERROR(__xludf.DUMMYFUNCTION("GOOGLETRANSLATE(B2559,""en"",""it"")"),"Vengono mostrati diversi colpi di primi piani di cheerleader che portano a clip che eseguono trucchi e si lanciano tra loro.")</f>
        <v>Vengono mostrati diversi colpi di primi piani di cheerleader che portano a clip che eseguono trucchi e si lanciano tra loro.</v>
      </c>
    </row>
    <row r="2560">
      <c r="A2560" s="4" t="s">
        <v>3211</v>
      </c>
      <c r="B2560" s="6" t="s">
        <v>3213</v>
      </c>
      <c r="C2560" s="5" t="str">
        <f>IFERROR(__xludf.DUMMYFUNCTION("GOOGLETRANSLATE(B2560,""en"",""it"")"),"Il video continua con molti scatti delle cheerleader che si esibiscono insieme al rallentatore e fanno trucchi tra loro.")</f>
        <v>Il video continua con molti scatti delle cheerleader che si esibiscono insieme al rallentatore e fanno trucchi tra loro.</v>
      </c>
    </row>
    <row r="2561">
      <c r="A2561" s="4" t="s">
        <v>3214</v>
      </c>
      <c r="B2561" s="4" t="s">
        <v>3215</v>
      </c>
      <c r="C2561" s="5" t="str">
        <f>IFERROR(__xludf.DUMMYFUNCTION("GOOGLETRANSLATE(B2561,""en"",""it"")"),"Una donna bionda in un maglione verde sta parlando.")</f>
        <v>Una donna bionda in un maglione verde sta parlando.</v>
      </c>
    </row>
    <row r="2562">
      <c r="A2562" s="4" t="s">
        <v>3214</v>
      </c>
      <c r="B2562" s="4" t="s">
        <v>3216</v>
      </c>
      <c r="C2562" s="5" t="str">
        <f>IFERROR(__xludf.DUMMYFUNCTION("GOOGLETRANSLATE(B2562,""en"",""it"")"),"Mostra un piatto pieno di insalata di pasta e verdure.")</f>
        <v>Mostra un piatto pieno di insalata di pasta e verdure.</v>
      </c>
    </row>
    <row r="2563">
      <c r="A2563" s="4" t="s">
        <v>3214</v>
      </c>
      <c r="B2563" s="6" t="s">
        <v>3217</v>
      </c>
      <c r="C2563" s="5" t="str">
        <f>IFERROR(__xludf.DUMMYFUNCTION("GOOGLETRANSLATE(B2563,""en"",""it"")"),"Mostra come ha preparato la salsa di pesto in un frullatore prima di mescolare mini pomodori con la pasta.")</f>
        <v>Mostra come ha preparato la salsa di pesto in un frullatore prima di mescolare mini pomodori con la pasta.</v>
      </c>
    </row>
    <row r="2564">
      <c r="A2564" s="4" t="s">
        <v>3214</v>
      </c>
      <c r="B2564" s="4" t="s">
        <v>3218</v>
      </c>
      <c r="C2564" s="5" t="str">
        <f>IFERROR(__xludf.DUMMYFUNCTION("GOOGLETRANSLATE(B2564,""en"",""it"")"),"Ritorna alla telecamera, continuando a parlare prima di vedere un'ultima scena della pasta.")</f>
        <v>Ritorna alla telecamera, continuando a parlare prima di vedere un'ultima scena della pasta.</v>
      </c>
    </row>
    <row r="2565">
      <c r="A2565" s="4" t="s">
        <v>3219</v>
      </c>
      <c r="B2565" s="4" t="s">
        <v>3220</v>
      </c>
      <c r="C2565" s="5" t="str">
        <f>IFERROR(__xludf.DUMMYFUNCTION("GOOGLETRANSLATE(B2565,""en"",""it"")"),"Diversi uomini sono raffigurati all'esterno nelle loro uniformi di kayak pronte per iniziare il rafting.")</f>
        <v>Diversi uomini sono raffigurati all'esterno nelle loro uniformi di kayak pronte per iniziare il rafting.</v>
      </c>
    </row>
    <row r="2566">
      <c r="A2566" s="4" t="s">
        <v>3219</v>
      </c>
      <c r="B2566" s="4" t="s">
        <v>3221</v>
      </c>
      <c r="C2566" s="5" t="str">
        <f>IFERROR(__xludf.DUMMYFUNCTION("GOOGLETRANSLATE(B2566,""en"",""it"")"),"Diverse persone iniziano il rafting e vengono mostrate in bar e autobus.")</f>
        <v>Diverse persone iniziano il rafting e vengono mostrate in bar e autobus.</v>
      </c>
    </row>
    <row r="2567">
      <c r="A2567" s="4" t="s">
        <v>3219</v>
      </c>
      <c r="B2567" s="6" t="s">
        <v>3222</v>
      </c>
      <c r="C2567" s="5" t="str">
        <f>IFERROR(__xludf.DUMMYFUNCTION("GOOGLETRANSLATE(B2567,""en"",""it"")"),"Mentre continuano il rafting, viene mostrato un secchio chiaro con un cerchio nero con diverse linee su ogni zattera e le persone camminano mettendo le sigarette su di esso.")</f>
        <v>Mentre continuano il rafting, viene mostrato un secchio chiaro con un cerchio nero con diverse linee su ogni zattera e le persone camminano mettendo le sigarette su di esso.</v>
      </c>
    </row>
    <row r="2568">
      <c r="A2568" s="4" t="s">
        <v>3219</v>
      </c>
      <c r="B2568" s="6" t="s">
        <v>3223</v>
      </c>
      <c r="C2568" s="5" t="str">
        <f>IFERROR(__xludf.DUMMYFUNCTION("GOOGLETRANSLATE(B2568,""en"",""it"")"),"Più persone hanno iniziato a kayak e finiscono per lanciare le zattere fino a quando un uomo non arriva e inizia a parlare.")</f>
        <v>Più persone hanno iniziato a kayak e finiscono per lanciare le zattere fino a quando un uomo non arriva e inizia a parlare.</v>
      </c>
    </row>
    <row r="2569">
      <c r="A2569" s="4" t="s">
        <v>3224</v>
      </c>
      <c r="B2569" s="4" t="s">
        <v>3225</v>
      </c>
      <c r="C2569" s="5" t="str">
        <f>IFERROR(__xludf.DUMMYFUNCTION("GOOGLETRANSLATE(B2569,""en"",""it"")"),"Le persone che indossano caschi, stanno remando una barca gonfiata lungo un corpo idrico roccioso.")</f>
        <v>Le persone che indossano caschi, stanno remando una barca gonfiata lungo un corpo idrico roccioso.</v>
      </c>
    </row>
    <row r="2570">
      <c r="A2570" s="4" t="s">
        <v>3224</v>
      </c>
      <c r="B2570" s="4" t="s">
        <v>3226</v>
      </c>
      <c r="C2570" s="5" t="str">
        <f>IFERROR(__xludf.DUMMYFUNCTION("GOOGLETRANSLATE(B2570,""en"",""it"")"),"L'acqua si schizza nella barca gonfiata.")</f>
        <v>L'acqua si schizza nella barca gonfiata.</v>
      </c>
    </row>
    <row r="2571">
      <c r="A2571" s="4" t="s">
        <v>3224</v>
      </c>
      <c r="B2571" s="4" t="s">
        <v>3227</v>
      </c>
      <c r="C2571" s="5" t="str">
        <f>IFERROR(__xludf.DUMMYFUNCTION("GOOGLETRANSLATE(B2571,""en"",""it"")"),"La gente smette di remare e la barca è ancora.")</f>
        <v>La gente smette di remare e la barca è ancora.</v>
      </c>
    </row>
    <row r="2572">
      <c r="A2572" s="4" t="s">
        <v>3228</v>
      </c>
      <c r="B2572" s="4" t="s">
        <v>3229</v>
      </c>
      <c r="C2572" s="5" t="str">
        <f>IFERROR(__xludf.DUMMYFUNCTION("GOOGLETRANSLATE(B2572,""en"",""it"")"),"Un bambino usa una scopa per lavare il pavimento di una casa.")</f>
        <v>Un bambino usa una scopa per lavare il pavimento di una casa.</v>
      </c>
    </row>
    <row r="2573">
      <c r="A2573" s="4" t="s">
        <v>3228</v>
      </c>
      <c r="B2573" s="4" t="s">
        <v>3230</v>
      </c>
      <c r="C2573" s="5" t="str">
        <f>IFERROR(__xludf.DUMMYFUNCTION("GOOGLETRANSLATE(B2573,""en"",""it"")"),"Il bambino ruota la scopa per girarlo.")</f>
        <v>Il bambino ruota la scopa per girarlo.</v>
      </c>
    </row>
    <row r="2574">
      <c r="A2574" s="4" t="s">
        <v>3231</v>
      </c>
      <c r="B2574" s="4" t="s">
        <v>3232</v>
      </c>
      <c r="C2574" s="5" t="str">
        <f>IFERROR(__xludf.DUMMYFUNCTION("GOOGLETRANSLATE(B2574,""en"",""it"")"),"Una bambina entra in palestra mentre il suo nome lampeggia sullo schermo.")</f>
        <v>Una bambina entra in palestra mentre il suo nome lampeggia sullo schermo.</v>
      </c>
    </row>
    <row r="2575">
      <c r="A2575" s="4" t="s">
        <v>3231</v>
      </c>
      <c r="B2575" s="4" t="s">
        <v>3233</v>
      </c>
      <c r="C2575" s="5" t="str">
        <f>IFERROR(__xludf.DUMMYFUNCTION("GOOGLETRANSLATE(B2575,""en"",""it"")"),"La bambina esegue una routine con un testimone.")</f>
        <v>La bambina esegue una routine con un testimone.</v>
      </c>
    </row>
    <row r="2576">
      <c r="A2576" s="4" t="s">
        <v>3231</v>
      </c>
      <c r="B2576" s="4" t="s">
        <v>3234</v>
      </c>
      <c r="C2576" s="5" t="str">
        <f>IFERROR(__xludf.DUMMYFUNCTION("GOOGLETRANSLATE(B2576,""en"",""it"")"),"La ragazza fa un capovolgimento, lancia il testimone e lo cattura mentre a terra.")</f>
        <v>La ragazza fa un capovolgimento, lancia il testimone e lo cattura mentre a terra.</v>
      </c>
    </row>
    <row r="2577">
      <c r="A2577" s="4" t="s">
        <v>3231</v>
      </c>
      <c r="B2577" s="4" t="s">
        <v>3235</v>
      </c>
      <c r="C2577" s="5" t="str">
        <f>IFERROR(__xludf.DUMMYFUNCTION("GOOGLETRANSLATE(B2577,""en"",""it"")"),"La ragazza fa una pausa e conta.")</f>
        <v>La ragazza fa una pausa e conta.</v>
      </c>
    </row>
    <row r="2578">
      <c r="A2578" s="4" t="s">
        <v>3231</v>
      </c>
      <c r="B2578" s="4" t="s">
        <v>3236</v>
      </c>
      <c r="C2578" s="5" t="str">
        <f>IFERROR(__xludf.DUMMYFUNCTION("GOOGLETRANSLATE(B2578,""en"",""it"")"),"La ragazza fa una divisione e pose il testimone a terra.")</f>
        <v>La ragazza fa una divisione e pose il testimone a terra.</v>
      </c>
    </row>
    <row r="2579">
      <c r="A2579" s="4" t="s">
        <v>3237</v>
      </c>
      <c r="B2579" s="6" t="s">
        <v>3238</v>
      </c>
      <c r="C2579" s="5" t="str">
        <f>IFERROR(__xludf.DUMMYFUNCTION("GOOGLETRANSLATE(B2579,""en"",""it"")"),"Viene visto un uomo parlare con la fotocamera con una lavatrice e inizia a bagnare le finestre.")</f>
        <v>Viene visto un uomo parlare con la fotocamera con una lavatrice e inizia a bagnare le finestre.</v>
      </c>
    </row>
    <row r="2580">
      <c r="A2580" s="4" t="s">
        <v>3237</v>
      </c>
      <c r="B2580" s="4" t="s">
        <v>3239</v>
      </c>
      <c r="C2580" s="5" t="str">
        <f>IFERROR(__xludf.DUMMYFUNCTION("GOOGLETRANSLATE(B2580,""en"",""it"")"),"Poi indica la finestra mentre la asciuga più e più volte con vari strumenti.")</f>
        <v>Poi indica la finestra mentre la asciuga più e più volte con vari strumenti.</v>
      </c>
    </row>
    <row r="2581">
      <c r="A2581" s="4" t="s">
        <v>3240</v>
      </c>
      <c r="B2581" s="4" t="s">
        <v>3241</v>
      </c>
      <c r="C2581" s="5" t="str">
        <f>IFERROR(__xludf.DUMMYFUNCTION("GOOGLETRANSLATE(B2581,""en"",""it"")"),"Una ginnasta è pronta alla fine, quindi si avvicina a un raggio.")</f>
        <v>Una ginnasta è pronta alla fine, quindi si avvicina a un raggio.</v>
      </c>
    </row>
    <row r="2582">
      <c r="A2582" s="4" t="s">
        <v>3240</v>
      </c>
      <c r="B2582" s="4" t="s">
        <v>3242</v>
      </c>
      <c r="C2582" s="5" t="str">
        <f>IFERROR(__xludf.DUMMYFUNCTION("GOOGLETRANSLATE(B2582,""en"",""it"")"),"Esegue una routine di ginnastica mentre diverse persone sui lati la guardano.")</f>
        <v>Esegue una routine di ginnastica mentre diverse persone sui lati la guardano.</v>
      </c>
    </row>
    <row r="2583">
      <c r="A2583" s="4" t="s">
        <v>3240</v>
      </c>
      <c r="B2583" s="4" t="s">
        <v>3243</v>
      </c>
      <c r="C2583" s="5" t="str">
        <f>IFERROR(__xludf.DUMMYFUNCTION("GOOGLETRANSLATE(B2583,""en"",""it"")"),"Continua a girare intorno al raggio e fare vari trucchi acrobatici.")</f>
        <v>Continua a girare intorno al raggio e fare vari trucchi acrobatici.</v>
      </c>
    </row>
    <row r="2584">
      <c r="A2584" s="4" t="s">
        <v>3240</v>
      </c>
      <c r="B2584" s="6" t="s">
        <v>3244</v>
      </c>
      <c r="C2584" s="5" t="str">
        <f>IFERROR(__xludf.DUMMYFUNCTION("GOOGLETRANSLATE(B2584,""en"",""it"")"),"Salta giù e abbraccia il suo allenatore mentre la telecamera mostra i suoi movimenti al rallentatore e parla a una donna.")</f>
        <v>Salta giù e abbraccia il suo allenatore mentre la telecamera mostra i suoi movimenti al rallentatore e parla a una donna.</v>
      </c>
    </row>
    <row r="2585">
      <c r="A2585" s="4" t="s">
        <v>3245</v>
      </c>
      <c r="B2585" s="4" t="s">
        <v>3246</v>
      </c>
      <c r="C2585" s="5" t="str">
        <f>IFERROR(__xludf.DUMMYFUNCTION("GOOGLETRANSLATE(B2585,""en"",""it"")"),"Due persone sono viste suonare una serie di batteria bongo mentre cantano e guardano alla telecamera.")</f>
        <v>Due persone sono viste suonare una serie di batteria bongo mentre cantano e guardano alla telecamera.</v>
      </c>
    </row>
    <row r="2586">
      <c r="A2586" s="4" t="s">
        <v>3245</v>
      </c>
      <c r="B2586" s="4" t="s">
        <v>3247</v>
      </c>
      <c r="C2586" s="5" t="str">
        <f>IFERROR(__xludf.DUMMYFUNCTION("GOOGLETRANSLATE(B2586,""en"",""it"")"),"Gli uomini giocano continuamente e finiscono fermandosi e sorridendosi l'un l'altro.")</f>
        <v>Gli uomini giocano continuamente e finiscono fermandosi e sorridendosi l'un l'altro.</v>
      </c>
    </row>
    <row r="2587">
      <c r="A2587" s="4" t="s">
        <v>3248</v>
      </c>
      <c r="B2587" s="6" t="s">
        <v>3249</v>
      </c>
      <c r="C2587" s="5" t="str">
        <f>IFERROR(__xludf.DUMMYFUNCTION("GOOGLETRANSLATE(B2587,""en"",""it"")"),"In un effetto speciale SPEED, ci sono 3 persone che stanno spalando un vialetto e rimuovendo la neve da un'auto sul lato destro del loro vialetto mentre i vicini e altre neve si muovono anche dietro di loro.")</f>
        <v>In un effetto speciale SPEED, ci sono 3 persone che stanno spalando un vialetto e rimuovendo la neve da un'auto sul lato destro del loro vialetto mentre i vicini e altre neve si muovono anche dietro di loro.</v>
      </c>
    </row>
    <row r="2588">
      <c r="A2588" s="4" t="s">
        <v>3248</v>
      </c>
      <c r="B2588" s="6" t="s">
        <v>3250</v>
      </c>
      <c r="C2588" s="5" t="str">
        <f>IFERROR(__xludf.DUMMYFUNCTION("GOOGLETRANSLATE(B2588,""en"",""it"")"),"Una persona lascia cadere la pala sul vialetto, quindi corre fino alla fine del vialetto per giocare nella neve, quindi torna indietro e riprende la pala per di nuovo per la pala.")</f>
        <v>Una persona lascia cadere la pala sul vialetto, quindi corre fino alla fine del vialetto per giocare nella neve, quindi torna indietro e riprende la pala per di nuovo per la pala.</v>
      </c>
    </row>
    <row r="2589">
      <c r="A2589" s="4" t="s">
        <v>3248</v>
      </c>
      <c r="B2589" s="6" t="s">
        <v>3251</v>
      </c>
      <c r="C2589" s="5" t="str">
        <f>IFERROR(__xludf.DUMMYFUNCTION("GOOGLETRANSLATE(B2589,""en"",""it"")"),"Un'auto nera tira in piedi il vialetto appena spalato e la gente continua a spalare la neve sulla strada fuori dal loro vialetto.")</f>
        <v>Un'auto nera tira in piedi il vialetto appena spalato e la gente continua a spalare la neve sulla strada fuori dal loro vialetto.</v>
      </c>
    </row>
    <row r="2590">
      <c r="A2590" s="4" t="s">
        <v>3252</v>
      </c>
      <c r="B2590" s="4" t="s">
        <v>3253</v>
      </c>
      <c r="C2590" s="5" t="str">
        <f>IFERROR(__xludf.DUMMYFUNCTION("GOOGLETRANSLATE(B2590,""en"",""it"")"),"C'è una donna con i capelli castani corti che fanno tutorial per il trucco.")</f>
        <v>C'è una donna con i capelli castani corti che fanno tutorial per il trucco.</v>
      </c>
    </row>
    <row r="2591">
      <c r="A2591" s="4" t="s">
        <v>3252</v>
      </c>
      <c r="B2591" s="4" t="s">
        <v>3254</v>
      </c>
      <c r="C2591" s="5" t="str">
        <f>IFERROR(__xludf.DUMMYFUNCTION("GOOGLETRANSLATE(B2591,""en"",""it"")"),"Comincia indossando una fascia per tenerle fuori dal viso.")</f>
        <v>Comincia indossando una fascia per tenerle fuori dal viso.</v>
      </c>
    </row>
    <row r="2592">
      <c r="A2592" s="4" t="s">
        <v>3252</v>
      </c>
      <c r="B2592" s="4" t="s">
        <v>3255</v>
      </c>
      <c r="C2592" s="5" t="str">
        <f>IFERROR(__xludf.DUMMYFUNCTION("GOOGLETRANSLATE(B2592,""en"",""it"")"),"Quindi inizia ad applicare alcune fondamenta su tutto il viso e la fonde.")</f>
        <v>Quindi inizia ad applicare alcune fondamenta su tutto il viso e la fonde.</v>
      </c>
    </row>
    <row r="2593">
      <c r="A2593" s="4" t="s">
        <v>3252</v>
      </c>
      <c r="B2593" s="4" t="s">
        <v>3256</v>
      </c>
      <c r="C2593" s="5" t="str">
        <f>IFERROR(__xludf.DUMMYFUNCTION("GOOGLETRANSLATE(B2593,""en"",""it"")"),"Quindi prende un eyeliner e lo applica con un pennello sotto gli occhi e sulle palpebre.")</f>
        <v>Quindi prende un eyeliner e lo applica con un pennello sotto gli occhi e sulle palpebre.</v>
      </c>
    </row>
    <row r="2594">
      <c r="A2594" s="4" t="s">
        <v>3252</v>
      </c>
      <c r="B2594" s="4" t="s">
        <v>3257</v>
      </c>
      <c r="C2594" s="5" t="str">
        <f>IFERROR(__xludf.DUMMYFUNCTION("GOOGLETRANSLATE(B2594,""en"",""it"")"),"Quindi prende un po 'di polvere compatto e se lo accarezza sul viso e lo diffonde uniformemente.")</f>
        <v>Quindi prende un po 'di polvere compatto e se lo accarezza sul viso e lo diffonde uniformemente.</v>
      </c>
    </row>
    <row r="2595">
      <c r="A2595" s="4" t="s">
        <v>3252</v>
      </c>
      <c r="B2595" s="6" t="s">
        <v>3258</v>
      </c>
      <c r="C2595" s="5" t="str">
        <f>IFERROR(__xludf.DUMMYFUNCTION("GOOGLETRANSLATE(B2595,""en"",""it"")"),"Quindi con un pennello applica un eyeliner sulle palpebre, seguita da una matita per eyeliner che usa sulle palpebre e sotto gli occhi.")</f>
        <v>Quindi con un pennello applica un eyeliner sulle palpebre, seguita da una matita per eyeliner che usa sulle palpebre e sotto gli occhi.</v>
      </c>
    </row>
    <row r="2596">
      <c r="A2596" s="4" t="s">
        <v>3252</v>
      </c>
      <c r="B2596" s="6" t="s">
        <v>3259</v>
      </c>
      <c r="C2596" s="5" t="str">
        <f>IFERROR(__xludf.DUMMYFUNCTION("GOOGLETRANSLATE(B2596,""en"",""it"")"),"Prende un paio di bigodini per ciglia e si arriccia e poi applica un po 'di mascara con un pennello.")</f>
        <v>Prende un paio di bigodini per ciglia e si arriccia e poi applica un po 'di mascara con un pennello.</v>
      </c>
    </row>
    <row r="2597">
      <c r="A2597" s="4" t="s">
        <v>3252</v>
      </c>
      <c r="B2597" s="4" t="s">
        <v>3260</v>
      </c>
      <c r="C2597" s="5" t="str">
        <f>IFERROR(__xludf.DUMMYFUNCTION("GOOGLETRANSLATE(B2597,""en"",""it"")"),"Finisce il trucco con un rossetto che mette le labbra superiori e inferiori.")</f>
        <v>Finisce il trucco con un rossetto che mette le labbra superiori e inferiori.</v>
      </c>
    </row>
    <row r="2598">
      <c r="A2598" s="4" t="s">
        <v>3252</v>
      </c>
      <c r="B2598" s="4" t="s">
        <v>3261</v>
      </c>
      <c r="C2598" s="5" t="str">
        <f>IFERROR(__xludf.DUMMYFUNCTION("GOOGLETRANSLATE(B2598,""en"",""it"")"),"Quindi si rimuove la fascia e raddrizza i capelli per finire il suo look.")</f>
        <v>Quindi si rimuove la fascia e raddrizza i capelli per finire il suo look.</v>
      </c>
    </row>
    <row r="2599">
      <c r="A2599" s="4" t="s">
        <v>3252</v>
      </c>
      <c r="B2599" s="4" t="s">
        <v>3262</v>
      </c>
      <c r="C2599" s="5" t="str">
        <f>IFERROR(__xludf.DUMMYFUNCTION("GOOGLETRANSLATE(B2599,""en"",""it"")"),"Mostra il trucco prima e dopo il trucco per mostrare la differenza.")</f>
        <v>Mostra il trucco prima e dopo il trucco per mostrare la differenza.</v>
      </c>
    </row>
    <row r="2600">
      <c r="A2600" s="4" t="s">
        <v>3263</v>
      </c>
      <c r="B2600" s="4" t="s">
        <v>3264</v>
      </c>
      <c r="C2600" s="5" t="str">
        <f>IFERROR(__xludf.DUMMYFUNCTION("GOOGLETRANSLATE(B2600,""en"",""it"")"),"Un uomo è in piedi su un paio di sci.")</f>
        <v>Un uomo è in piedi su un paio di sci.</v>
      </c>
    </row>
    <row r="2601">
      <c r="A2601" s="4" t="s">
        <v>3263</v>
      </c>
      <c r="B2601" s="6" t="s">
        <v>3265</v>
      </c>
      <c r="C2601" s="5" t="str">
        <f>IFERROR(__xludf.DUMMYFUNCTION("GOOGLETRANSLATE(B2601,""en"",""it"")"),"Quindi scivolò rapidamente giù da un terrapieno innevato, colpendo accidentalmente uno sciatore sul suo cammino e mandandola a destra.")</f>
        <v>Quindi scivolò rapidamente giù da un terrapieno innevato, colpendo accidentalmente uno sciatore sul suo cammino e mandandola a destra.</v>
      </c>
    </row>
    <row r="2602">
      <c r="A2602" s="4" t="s">
        <v>3263</v>
      </c>
      <c r="B2602" s="4" t="s">
        <v>3266</v>
      </c>
      <c r="C2602" s="5" t="str">
        <f>IFERROR(__xludf.DUMMYFUNCTION("GOOGLETRANSLATE(B2602,""en"",""it"")"),"Si fermano e parlano, controllando per assicurarsi che stia bene.")</f>
        <v>Si fermano e parlano, controllando per assicurarsi che stia bene.</v>
      </c>
    </row>
    <row r="2603">
      <c r="A2603" s="4" t="s">
        <v>3267</v>
      </c>
      <c r="B2603" s="4" t="s">
        <v>3268</v>
      </c>
      <c r="C2603" s="5" t="str">
        <f>IFERROR(__xludf.DUMMYFUNCTION("GOOGLETRANSLATE(B2603,""en"",""it"")"),"Viene visto un uomo con in mano un bambino mentre guarda e sorride alla telecamera.")</f>
        <v>Viene visto un uomo con in mano un bambino mentre guarda e sorride alla telecamera.</v>
      </c>
    </row>
    <row r="2604">
      <c r="A2604" s="4" t="s">
        <v>3267</v>
      </c>
      <c r="B2604" s="4" t="s">
        <v>3269</v>
      </c>
      <c r="C2604" s="5" t="str">
        <f>IFERROR(__xludf.DUMMYFUNCTION("GOOGLETRANSLATE(B2604,""en"",""it"")"),"I due si arrampicano quindi su un cammello e cavalcano mentre salutano la telecamera.")</f>
        <v>I due si arrampicano quindi su un cammello e cavalcano mentre salutano la telecamera.</v>
      </c>
    </row>
    <row r="2605">
      <c r="A2605" s="4" t="s">
        <v>3267</v>
      </c>
      <c r="B2605" s="4" t="s">
        <v>3270</v>
      </c>
      <c r="C2605" s="5" t="str">
        <f>IFERROR(__xludf.DUMMYFUNCTION("GOOGLETRANSLATE(B2605,""en"",""it"")"),"I due tornano insieme alla donna che li conduce davanti.")</f>
        <v>I due tornano insieme alla donna che li conduce davanti.</v>
      </c>
    </row>
    <row r="2606">
      <c r="A2606" s="4" t="s">
        <v>3271</v>
      </c>
      <c r="B2606" s="4" t="s">
        <v>3272</v>
      </c>
      <c r="C2606" s="5" t="str">
        <f>IFERROR(__xludf.DUMMYFUNCTION("GOOGLETRANSLATE(B2606,""en"",""it"")"),"I salti tripli olimpici sono mostrati in uno stadio.")</f>
        <v>I salti tripli olimpici sono mostrati in uno stadio.</v>
      </c>
    </row>
    <row r="2607">
      <c r="A2607" s="4" t="s">
        <v>3271</v>
      </c>
      <c r="B2607" s="4" t="s">
        <v>3273</v>
      </c>
      <c r="C2607" s="5" t="str">
        <f>IFERROR(__xludf.DUMMYFUNCTION("GOOGLETRANSLATE(B2607,""en"",""it"")"),"La prima persona in giallo passa oltre 17 metri.")</f>
        <v>La prima persona in giallo passa oltre 17 metri.</v>
      </c>
    </row>
    <row r="2608">
      <c r="A2608" s="4" t="s">
        <v>3271</v>
      </c>
      <c r="B2608" s="4" t="s">
        <v>3274</v>
      </c>
      <c r="C2608" s="5" t="str">
        <f>IFERROR(__xludf.DUMMYFUNCTION("GOOGLETRANSLATE(B2608,""en"",""it"")"),"La seconda persona fa lo stesso della terza persona.")</f>
        <v>La seconda persona fa lo stesso della terza persona.</v>
      </c>
    </row>
    <row r="2609">
      <c r="A2609" s="4" t="s">
        <v>3275</v>
      </c>
      <c r="B2609" s="4" t="s">
        <v>3276</v>
      </c>
      <c r="C2609" s="5" t="str">
        <f>IFERROR(__xludf.DUMMYFUNCTION("GOOGLETRANSLATE(B2609,""en"",""it"")"),"Vengono mostrati diversi scatti all'interno di un negozio seguito da una persona che unisce una bici.")</f>
        <v>Vengono mostrati diversi scatti all'interno di un negozio seguito da una persona che unisce una bici.</v>
      </c>
    </row>
    <row r="2610">
      <c r="A2610" s="4" t="s">
        <v>3275</v>
      </c>
      <c r="B2610" s="6" t="s">
        <v>3277</v>
      </c>
      <c r="C2610" s="5" t="str">
        <f>IFERROR(__xludf.DUMMYFUNCTION("GOOGLETRANSLATE(B2610,""en"",""it"")"),"L'uomo quindi tira fuori gli strumenti e li stringe lungo la bici e viene mostrato spacciare la bici con le mani e mostrare la bici finita.")</f>
        <v>L'uomo quindi tira fuori gli strumenti e li stringe lungo la bici e viene mostrato spacciare la bici con le mani e mostrare la bici finita.</v>
      </c>
    </row>
    <row r="2611">
      <c r="A2611" s="4" t="s">
        <v>3278</v>
      </c>
      <c r="B2611" s="4" t="s">
        <v>3279</v>
      </c>
      <c r="C2611" s="5" t="str">
        <f>IFERROR(__xludf.DUMMYFUNCTION("GOOGLETRANSLATE(B2611,""en"",""it"")"),"Una ragazza è su un raggio basso, preparando a capovolgere.")</f>
        <v>Una ragazza è su un raggio basso, preparando a capovolgere.</v>
      </c>
    </row>
    <row r="2612">
      <c r="A2612" s="4" t="s">
        <v>3278</v>
      </c>
      <c r="B2612" s="4" t="s">
        <v>3280</v>
      </c>
      <c r="C2612" s="5" t="str">
        <f>IFERROR(__xludf.DUMMYFUNCTION("GOOGLETRANSLATE(B2612,""en"",""it"")"),"Si sposta in avanti, poi si gira all'indietro con le braccia distese.")</f>
        <v>Si sposta in avanti, poi si gira all'indietro con le braccia distese.</v>
      </c>
    </row>
    <row r="2613">
      <c r="A2613" s="4" t="s">
        <v>3281</v>
      </c>
      <c r="B2613" s="6" t="s">
        <v>3282</v>
      </c>
      <c r="C2613" s="5" t="str">
        <f>IFERROR(__xludf.DUMMYFUNCTION("GOOGLETRANSLATE(B2613,""en"",""it"")"),"Un ragazzo cammina nella stanza dalla porta sinistra che tiene un animale di peluche rosso si siede al tavolo, quindi mette via l'animale.")</f>
        <v>Un ragazzo cammina nella stanza dalla porta sinistra che tiene un animale di peluche rosso si siede al tavolo, quindi mette via l'animale.</v>
      </c>
    </row>
    <row r="2614">
      <c r="A2614" s="4" t="s">
        <v>3281</v>
      </c>
      <c r="B2614" s="4" t="s">
        <v>3283</v>
      </c>
      <c r="C2614" s="5" t="str">
        <f>IFERROR(__xludf.DUMMYFUNCTION("GOOGLETRANSLATE(B2614,""en"",""it"")"),"Una ragazza cammina nella stanza davanti alla porta destra e si siede al tavolo.")</f>
        <v>Una ragazza cammina nella stanza davanti alla porta destra e si siede al tavolo.</v>
      </c>
    </row>
    <row r="2615">
      <c r="A2615" s="4" t="s">
        <v>3281</v>
      </c>
      <c r="B2615" s="4" t="s">
        <v>3284</v>
      </c>
      <c r="C2615" s="5" t="str">
        <f>IFERROR(__xludf.DUMMYFUNCTION("GOOGLETRANSLATE(B2615,""en"",""it"")"),"Cominciano il wrestling del braccio e la ragazza vince.")</f>
        <v>Cominciano il wrestling del braccio e la ragazza vince.</v>
      </c>
    </row>
    <row r="2616">
      <c r="A2616" s="4" t="s">
        <v>3281</v>
      </c>
      <c r="B2616" s="6" t="s">
        <v>3285</v>
      </c>
      <c r="C2616" s="5" t="str">
        <f>IFERROR(__xludf.DUMMYFUNCTION("GOOGLETRANSLATE(B2616,""en"",""it"")"),"La ragazza sorride alla telecamera che avvicina la sua vittoria, quindi si alzano entrambi per uscire dalla stessa parte dagli stessi lati da cui sono entrati.")</f>
        <v>La ragazza sorride alla telecamera che avvicina la sua vittoria, quindi si alzano entrambi per uscire dalla stessa parte dagli stessi lati da cui sono entrati.</v>
      </c>
    </row>
    <row r="2617">
      <c r="A2617" s="4" t="s">
        <v>3286</v>
      </c>
      <c r="B2617" s="4" t="s">
        <v>3287</v>
      </c>
      <c r="C2617" s="5" t="str">
        <f>IFERROR(__xludf.DUMMYFUNCTION("GOOGLETRANSLATE(B2617,""en"",""it"")"),"Lo schermo mostra gli sponsor dell'azienda per un evento in Winter Club.")</f>
        <v>Lo schermo mostra gli sponsor dell'azienda per un evento in Winter Club.</v>
      </c>
    </row>
    <row r="2618">
      <c r="A2618" s="4" t="s">
        <v>3286</v>
      </c>
      <c r="B2618" s="4" t="s">
        <v>3288</v>
      </c>
      <c r="C2618" s="5" t="str">
        <f>IFERROR(__xludf.DUMMYFUNCTION("GOOGLETRANSLATE(B2618,""en"",""it"")"),"Una convertibile blu passa oltre il North Shore Winter Club.")</f>
        <v>Una convertibile blu passa oltre il North Shore Winter Club.</v>
      </c>
    </row>
    <row r="2619">
      <c r="A2619" s="4" t="s">
        <v>3286</v>
      </c>
      <c r="B2619" s="4" t="s">
        <v>3289</v>
      </c>
      <c r="C2619" s="5" t="str">
        <f>IFERROR(__xludf.DUMMYFUNCTION("GOOGLETRANSLATE(B2619,""en"",""it"")"),"Una coppia entra nel club mentre un mini furgone d'argento è parcheggiato fuori.")</f>
        <v>Una coppia entra nel club mentre un mini furgone d'argento è parcheggiato fuori.</v>
      </c>
    </row>
    <row r="2620">
      <c r="A2620" s="4" t="s">
        <v>3286</v>
      </c>
      <c r="B2620" s="4" t="s">
        <v>3290</v>
      </c>
      <c r="C2620" s="5" t="str">
        <f>IFERROR(__xludf.DUMMYFUNCTION("GOOGLETRANSLATE(B2620,""en"",""it"")"),"Diverse persone stanno entrando nella stanza di curling all'interno del club.")</f>
        <v>Diverse persone stanno entrando nella stanza di curling all'interno del club.</v>
      </c>
    </row>
    <row r="2621">
      <c r="A2621" s="4" t="s">
        <v>3286</v>
      </c>
      <c r="B2621" s="6" t="s">
        <v>3291</v>
      </c>
      <c r="C2621" s="5" t="str">
        <f>IFERROR(__xludf.DUMMYFUNCTION("GOOGLETRANSLATE(B2621,""en"",""it"")"),"L'allenatore che rappresenta la squadra di Brasil, indossando una maglia verde sta dando istruzioni ai giocatori.")</f>
        <v>L'allenatore che rappresenta la squadra di Brasil, indossando una maglia verde sta dando istruzioni ai giocatori.</v>
      </c>
    </row>
    <row r="2622">
      <c r="A2622" s="4" t="s">
        <v>3286</v>
      </c>
      <c r="B2622" s="4" t="s">
        <v>3292</v>
      </c>
      <c r="C2622" s="5" t="str">
        <f>IFERROR(__xludf.DUMMYFUNCTION("GOOGLETRANSLATE(B2622,""en"",""it"")"),"L'allenatore parla con i giocatori mentre si preparano.")</f>
        <v>L'allenatore parla con i giocatori mentre si preparano.</v>
      </c>
    </row>
    <row r="2623">
      <c r="A2623" s="4" t="s">
        <v>3286</v>
      </c>
      <c r="B2623" s="6" t="s">
        <v>3293</v>
      </c>
      <c r="C2623" s="5" t="str">
        <f>IFERROR(__xludf.DUMMYFUNCTION("GOOGLETRANSLATE(B2623,""en"",""it"")"),"I giocatori iniziano a giocare con i loro bastoncini mentre spingono le rocce attraverso il pavimento, molti altri giocatori si stanno esercitando a arricciarsi sul pavimento mentre scivolano attraverso la superficie scivolosa.")</f>
        <v>I giocatori iniziano a giocare con i loro bastoncini mentre spingono le rocce attraverso il pavimento, molti altri giocatori si stanno esercitando a arricciarsi sul pavimento mentre scivolano attraverso la superficie scivolosa.</v>
      </c>
    </row>
    <row r="2624">
      <c r="A2624" s="4" t="s">
        <v>3286</v>
      </c>
      <c r="B2624" s="4" t="s">
        <v>3294</v>
      </c>
      <c r="C2624" s="5" t="str">
        <f>IFERROR(__xludf.DUMMYFUNCTION("GOOGLETRANSLATE(B2624,""en"",""it"")"),"I giocatori continuano a giocare e scambiare cinque anni mentre praticano.")</f>
        <v>I giocatori continuano a giocare e scambiare cinque anni mentre praticano.</v>
      </c>
    </row>
    <row r="2625">
      <c r="A2625" s="4" t="s">
        <v>3286</v>
      </c>
      <c r="B2625" s="4" t="s">
        <v>3295</v>
      </c>
      <c r="C2625" s="5" t="str">
        <f>IFERROR(__xludf.DUMMYFUNCTION("GOOGLETRANSLATE(B2625,""en"",""it"")"),"Circa nove dei concorrenti ricevono medaglie di vittoria dal giudice.")</f>
        <v>Circa nove dei concorrenti ricevono medaglie di vittoria dal giudice.</v>
      </c>
    </row>
    <row r="2626">
      <c r="A2626" s="4" t="s">
        <v>3286</v>
      </c>
      <c r="B2626" s="4" t="s">
        <v>3296</v>
      </c>
      <c r="C2626" s="5" t="str">
        <f>IFERROR(__xludf.DUMMYFUNCTION("GOOGLETRANSLATE(B2626,""en"",""it"")"),"Si applaudono se stessi e gli altri alti cinque per esprimere la loro vittoria.")</f>
        <v>Si applaudono se stessi e gli altri alti cinque per esprimere la loro vittoria.</v>
      </c>
    </row>
    <row r="2627">
      <c r="A2627" s="4" t="s">
        <v>3286</v>
      </c>
      <c r="B2627" s="4" t="s">
        <v>3297</v>
      </c>
      <c r="C2627" s="5" t="str">
        <f>IFERROR(__xludf.DUMMYFUNCTION("GOOGLETRANSLATE(B2627,""en"",""it"")"),"Il video termina con i dettagli su tutti gli sponsor responsabili dell'evento.")</f>
        <v>Il video termina con i dettagli su tutti gli sponsor responsabili dell'evento.</v>
      </c>
    </row>
    <row r="2628">
      <c r="A2628" s="4" t="s">
        <v>3298</v>
      </c>
      <c r="B2628" s="6" t="s">
        <v>3299</v>
      </c>
      <c r="C2628" s="5" t="str">
        <f>IFERROR(__xludf.DUMMYFUNCTION("GOOGLETRANSLATE(B2628,""en"",""it"")"),"C'è un ragazzino che indossa una camicia Elmo rossa in piedi su uno sgabello in cucina con sua nonna.")</f>
        <v>C'è un ragazzino che indossa una camicia Elmo rossa in piedi su uno sgabello in cucina con sua nonna.</v>
      </c>
    </row>
    <row r="2629">
      <c r="A2629" s="4" t="s">
        <v>3298</v>
      </c>
      <c r="B2629" s="4" t="s">
        <v>3300</v>
      </c>
      <c r="C2629" s="5" t="str">
        <f>IFERROR(__xludf.DUMMYFUNCTION("GOOGLETRANSLATE(B2629,""en"",""it"")"),"Stanno spremendo un limone su uno spremiagrumi elettrico che viene posizionato sul bancone della cucina vicino al lavandino.")</f>
        <v>Stanno spremendo un limone su uno spremiagrumi elettrico che viene posizionato sul bancone della cucina vicino al lavandino.</v>
      </c>
    </row>
    <row r="2630">
      <c r="A2630" s="4" t="s">
        <v>3298</v>
      </c>
      <c r="B2630" s="4" t="s">
        <v>3301</v>
      </c>
      <c r="C2630" s="5" t="str">
        <f>IFERROR(__xludf.DUMMYFUNCTION("GOOGLETRANSLATE(B2630,""en"",""it"")"),"Il ragazzo sembra entusiasta di aiutare sua nonna a Juice the Lemon.")</f>
        <v>Il ragazzo sembra entusiasta di aiutare sua nonna a Juice the Lemon.</v>
      </c>
    </row>
    <row r="2631">
      <c r="A2631" s="4" t="s">
        <v>3298</v>
      </c>
      <c r="B2631" s="4" t="s">
        <v>3302</v>
      </c>
      <c r="C2631" s="5" t="str">
        <f>IFERROR(__xludf.DUMMYFUNCTION("GOOGLETRANSLATE(B2631,""en"",""it"")"),"Si mette la mano sulla mano mentre lei sta spremendo il limone.")</f>
        <v>Si mette la mano sulla mano mentre lei sta spremendo il limone.</v>
      </c>
    </row>
    <row r="2632">
      <c r="A2632" s="4" t="s">
        <v>3303</v>
      </c>
      <c r="B2632" s="4" t="s">
        <v>3304</v>
      </c>
      <c r="C2632" s="5" t="str">
        <f>IFERROR(__xludf.DUMMYFUNCTION("GOOGLETRANSLATE(B2632,""en"",""it"")"),"Vediamo un tosaerba e una mano di persone.")</f>
        <v>Vediamo un tosaerba e una mano di persone.</v>
      </c>
    </row>
    <row r="2633">
      <c r="A2633" s="4" t="s">
        <v>3303</v>
      </c>
      <c r="B2633" s="4" t="s">
        <v>3305</v>
      </c>
      <c r="C2633" s="5" t="str">
        <f>IFERROR(__xludf.DUMMYFUNCTION("GOOGLETRANSLATE(B2633,""en"",""it"")"),"Una persona inizia il tosaerba e fuma.")</f>
        <v>Una persona inizia il tosaerba e fuma.</v>
      </c>
    </row>
    <row r="2634">
      <c r="A2634" s="4" t="s">
        <v>3303</v>
      </c>
      <c r="B2634" s="4" t="s">
        <v>3306</v>
      </c>
      <c r="C2634" s="5" t="str">
        <f>IFERROR(__xludf.DUMMYFUNCTION("GOOGLETRANSLATE(B2634,""en"",""it"")"),"Vediamo l'uomo falciare il prato con un tosaerba fumante.")</f>
        <v>Vediamo l'uomo falciare il prato con un tosaerba fumante.</v>
      </c>
    </row>
    <row r="2635">
      <c r="A2635" s="4" t="s">
        <v>3303</v>
      </c>
      <c r="B2635" s="4" t="s">
        <v>3307</v>
      </c>
      <c r="C2635" s="5" t="str">
        <f>IFERROR(__xludf.DUMMYFUNCTION("GOOGLETRANSLATE(B2635,""en"",""it"")"),"Vediamo il tosaerba dal punto di vista del tosaerba.")</f>
        <v>Vediamo il tosaerba dal punto di vista del tosaerba.</v>
      </c>
    </row>
    <row r="2636">
      <c r="A2636" s="4" t="s">
        <v>3303</v>
      </c>
      <c r="B2636" s="4" t="s">
        <v>3308</v>
      </c>
      <c r="C2636" s="5" t="str">
        <f>IFERROR(__xludf.DUMMYFUNCTION("GOOGLETRANSLATE(B2636,""en"",""it"")"),"Vediamo il ragazzo ricominciare il tosaerba.")</f>
        <v>Vediamo il ragazzo ricominciare il tosaerba.</v>
      </c>
    </row>
    <row r="2637">
      <c r="A2637" s="4" t="s">
        <v>3303</v>
      </c>
      <c r="B2637" s="4" t="s">
        <v>3309</v>
      </c>
      <c r="C2637" s="5" t="str">
        <f>IFERROR(__xludf.DUMMYFUNCTION("GOOGLETRANSLATE(B2637,""en"",""it"")"),"Il ragazzo falcia il prato.")</f>
        <v>Il ragazzo falcia il prato.</v>
      </c>
    </row>
    <row r="2638">
      <c r="A2638" s="4" t="s">
        <v>3303</v>
      </c>
      <c r="B2638" s="4" t="s">
        <v>3310</v>
      </c>
      <c r="C2638" s="5" t="str">
        <f>IFERROR(__xludf.DUMMYFUNCTION("GOOGLETRANSLATE(B2638,""en"",""it"")"),"Vediamo quindi il ragazzo che cammina con il tosaerba.")</f>
        <v>Vediamo quindi il ragazzo che cammina con il tosaerba.</v>
      </c>
    </row>
    <row r="2639">
      <c r="A2639" s="4" t="s">
        <v>3311</v>
      </c>
      <c r="B2639" s="6" t="s">
        <v>3312</v>
      </c>
      <c r="C2639" s="5" t="str">
        <f>IFERROR(__xludf.DUMMYFUNCTION("GOOGLETRANSLATE(B2639,""en"",""it"")"),"Un'introduzione conduce in diverse clip di persone che risolvono i cubi di Rubix mentre un timer cattura la loro velocità sul lato.")</f>
        <v>Un'introduzione conduce in diverse clip di persone che risolvono i cubi di Rubix mentre un timer cattura la loro velocità sul lato.</v>
      </c>
    </row>
    <row r="2640">
      <c r="A2640" s="4" t="s">
        <v>3311</v>
      </c>
      <c r="B2640" s="4" t="s">
        <v>3313</v>
      </c>
      <c r="C2640" s="5" t="str">
        <f>IFERROR(__xludf.DUMMYFUNCTION("GOOGLETRANSLATE(B2640,""en"",""it"")"),"Più persone continuano a risolvere il puzzle mentre la fotocamera li cattura da molti lati.")</f>
        <v>Più persone continuano a risolvere il puzzle mentre la fotocamera li cattura da molti lati.</v>
      </c>
    </row>
    <row r="2641">
      <c r="A2641" s="4" t="s">
        <v>3314</v>
      </c>
      <c r="B2641" s="6" t="s">
        <v>3315</v>
      </c>
      <c r="C2641" s="5" t="str">
        <f>IFERROR(__xludf.DUMMYFUNCTION("GOOGLETRANSLATE(B2641,""en"",""it"")"),"Un'appoggio a quattro pezzi di percussioni e corde su un palco con l'obiettivo principale è un uomo sui Bongos al centro del palco e indossando ombrelloni al chiuso.")</f>
        <v>Un'appoggio a quattro pezzi di percussioni e corde su un palco con l'obiettivo principale è un uomo sui Bongos al centro del palco e indossando ombrelloni al chiuso.</v>
      </c>
    </row>
    <row r="2642">
      <c r="A2642" s="4" t="s">
        <v>3314</v>
      </c>
      <c r="B2642" s="6" t="s">
        <v>3316</v>
      </c>
      <c r="C2642" s="5" t="str">
        <f>IFERROR(__xludf.DUMMYFUNCTION("GOOGLETRANSLATE(B2642,""en"",""it"")"),"Un uomo suona i bongos in modo animato mentre una donna accanto a lui suona la tastiera e un uomo dietro di lui suona la chitarra.")</f>
        <v>Un uomo suona i bongos in modo animato mentre una donna accanto a lui suona la tastiera e un uomo dietro di lui suona la chitarra.</v>
      </c>
    </row>
    <row r="2643">
      <c r="A2643" s="4" t="s">
        <v>3314</v>
      </c>
      <c r="B2643" s="4" t="s">
        <v>3317</v>
      </c>
      <c r="C2643" s="5" t="str">
        <f>IFERROR(__xludf.DUMMYFUNCTION("GOOGLETRANSLATE(B2643,""en"",""it"")"),"Un uomo accanto a lui inizia a colpire un bastone contro uno strumento a percussione metallica.")</f>
        <v>Un uomo accanto a lui inizia a colpire un bastone contro uno strumento a percussione metallica.</v>
      </c>
    </row>
    <row r="2644">
      <c r="A2644" s="4" t="s">
        <v>3314</v>
      </c>
      <c r="B2644" s="6" t="s">
        <v>3318</v>
      </c>
      <c r="C2644" s="5" t="str">
        <f>IFERROR(__xludf.DUMMYFUNCTION("GOOGLETRANSLATE(B2644,""en"",""it"")"),"L'uomo che suona i Bongos colpisce uno di loro a quel punto l'uomo accanto a lui fissa di nuovo il bongo in posizione verticale.")</f>
        <v>L'uomo che suona i Bongos colpisce uno di loro a quel punto l'uomo accanto a lui fissa di nuovo il bongo in posizione verticale.</v>
      </c>
    </row>
    <row r="2645">
      <c r="A2645" s="4" t="s">
        <v>3319</v>
      </c>
      <c r="B2645" s="4" t="s">
        <v>3320</v>
      </c>
      <c r="C2645" s="5" t="str">
        <f>IFERROR(__xludf.DUMMYFUNCTION("GOOGLETRANSLATE(B2645,""en"",""it"")"),"Al inizia i suoi consigli sugli sci con un ferro e una spugna.")</f>
        <v>Al inizia i suoi consigli sugli sci con un ferro e una spugna.</v>
      </c>
    </row>
    <row r="2646">
      <c r="A2646" s="4" t="s">
        <v>3319</v>
      </c>
      <c r="B2646" s="4" t="s">
        <v>3321</v>
      </c>
      <c r="C2646" s="5" t="str">
        <f>IFERROR(__xludf.DUMMYFUNCTION("GOOGLETRANSLATE(B2646,""en"",""it"")"),"Dimostrare cosa e come lo useresti dallo sci.")</f>
        <v>Dimostrare cosa e come lo useresti dallo sci.</v>
      </c>
    </row>
    <row r="2647">
      <c r="A2647" s="4" t="s">
        <v>3319</v>
      </c>
      <c r="B2647" s="4" t="s">
        <v>3322</v>
      </c>
      <c r="C2647" s="5" t="str">
        <f>IFERROR(__xludf.DUMMYFUNCTION("GOOGLETRANSLATE(B2647,""en"",""it"")"),"Ti mostra sullo sci su come strofinarlo.")</f>
        <v>Ti mostra sullo sci su come strofinarlo.</v>
      </c>
    </row>
    <row r="2648">
      <c r="A2648" s="4" t="s">
        <v>3319</v>
      </c>
      <c r="B2648" s="4" t="s">
        <v>3323</v>
      </c>
      <c r="C2648" s="5" t="str">
        <f>IFERROR(__xludf.DUMMYFUNCTION("GOOGLETRANSLATE(B2648,""en"",""it"")"),"Quindi spiega un po 'di più sul processo.")</f>
        <v>Quindi spiega un po 'di più sul processo.</v>
      </c>
    </row>
    <row r="2649">
      <c r="A2649" s="4" t="s">
        <v>3324</v>
      </c>
      <c r="B2649" s="4" t="s">
        <v>3325</v>
      </c>
      <c r="C2649" s="5" t="str">
        <f>IFERROR(__xludf.DUMMYFUNCTION("GOOGLETRANSLATE(B2649,""en"",""it"")"),"Una persona è vista in piedi davanti a una grande pista che tiene un palo.")</f>
        <v>Una persona è vista in piedi davanti a una grande pista che tiene un palo.</v>
      </c>
    </row>
    <row r="2650">
      <c r="A2650" s="4" t="s">
        <v>3324</v>
      </c>
      <c r="B2650" s="4" t="s">
        <v>3326</v>
      </c>
      <c r="C2650" s="5" t="str">
        <f>IFERROR(__xludf.DUMMYFUNCTION("GOOGLETRANSLATE(B2650,""en"",""it"")"),"La persona inizia a correre lungo la pista mentre tiene ancora il palo.")</f>
        <v>La persona inizia a correre lungo la pista mentre tiene ancora il palo.</v>
      </c>
    </row>
    <row r="2651">
      <c r="A2651" s="4" t="s">
        <v>3324</v>
      </c>
      <c r="B2651" s="4" t="s">
        <v>3327</v>
      </c>
      <c r="C2651" s="5" t="str">
        <f>IFERROR(__xludf.DUMMYFUNCTION("GOOGLETRANSLATE(B2651,""en"",""it"")"),"L'uomo quindi salta su un raggio e su un tappetino.")</f>
        <v>L'uomo quindi salta su un raggio e su un tappetino.</v>
      </c>
    </row>
    <row r="2652">
      <c r="A2652" s="4" t="s">
        <v>3328</v>
      </c>
      <c r="B2652" s="4" t="s">
        <v>3329</v>
      </c>
      <c r="C2652" s="5" t="str">
        <f>IFERROR(__xludf.DUMMYFUNCTION("GOOGLETRANSLATE(B2652,""en"",""it"")"),"Una donna dietro un bar che spiega come fare un drink.")</f>
        <v>Una donna dietro un bar che spiega come fare un drink.</v>
      </c>
    </row>
    <row r="2653">
      <c r="A2653" s="4" t="s">
        <v>3328</v>
      </c>
      <c r="B2653" s="4" t="s">
        <v>3330</v>
      </c>
      <c r="C2653" s="5" t="str">
        <f>IFERROR(__xludf.DUMMYFUNCTION("GOOGLETRANSLATE(B2653,""en"",""it"")"),"Versa diversi ingredienti in uno shaker e lo scuote.")</f>
        <v>Versa diversi ingredienti in uno shaker e lo scuote.</v>
      </c>
    </row>
    <row r="2654">
      <c r="A2654" s="4" t="s">
        <v>3328</v>
      </c>
      <c r="B2654" s="4" t="s">
        <v>3331</v>
      </c>
      <c r="C2654" s="5" t="str">
        <f>IFERROR(__xludf.DUMMYFUNCTION("GOOGLETRANSLATE(B2654,""en"",""it"")"),"Quindi versa la bevanda dallo shaker in un bicchiere e la tiene in piedi.")</f>
        <v>Quindi versa la bevanda dallo shaker in un bicchiere e la tiene in piedi.</v>
      </c>
    </row>
    <row r="2655">
      <c r="A2655" s="4" t="s">
        <v>3332</v>
      </c>
      <c r="B2655" s="4" t="s">
        <v>3333</v>
      </c>
      <c r="C2655" s="5" t="str">
        <f>IFERROR(__xludf.DUMMYFUNCTION("GOOGLETRANSLATE(B2655,""en"",""it"")"),"Un cane viene messo in una vasca da bagno.")</f>
        <v>Un cane viene messo in una vasca da bagno.</v>
      </c>
    </row>
    <row r="2656">
      <c r="A2656" s="4" t="s">
        <v>3332</v>
      </c>
      <c r="B2656" s="4" t="s">
        <v>3334</v>
      </c>
      <c r="C2656" s="5" t="str">
        <f>IFERROR(__xludf.DUMMYFUNCTION("GOOGLETRANSLATE(B2656,""en"",""it"")"),"Una ragazza versa acqua sul cane da una tazza.")</f>
        <v>Una ragazza versa acqua sul cane da una tazza.</v>
      </c>
    </row>
    <row r="2657">
      <c r="A2657" s="4" t="s">
        <v>3332</v>
      </c>
      <c r="B2657" s="4" t="s">
        <v>3335</v>
      </c>
      <c r="C2657" s="5" t="str">
        <f>IFERROR(__xludf.DUMMYFUNCTION("GOOGLETRANSLATE(B2657,""en"",""it"")"),"Strofina lo shampoo sulla pelliccia dei cani.")</f>
        <v>Strofina lo shampoo sulla pelliccia dei cani.</v>
      </c>
    </row>
    <row r="2658">
      <c r="A2658" s="4" t="s">
        <v>3332</v>
      </c>
      <c r="B2658" s="4" t="s">
        <v>3336</v>
      </c>
      <c r="C2658" s="5" t="str">
        <f>IFERROR(__xludf.DUMMYFUNCTION("GOOGLETRANSLATE(B2658,""en"",""it"")"),"Si asciuga il cane con un asciugamano.")</f>
        <v>Si asciuga il cane con un asciugamano.</v>
      </c>
    </row>
    <row r="2659">
      <c r="A2659" s="4" t="s">
        <v>3337</v>
      </c>
      <c r="B2659" s="4" t="s">
        <v>3338</v>
      </c>
      <c r="C2659" s="5" t="str">
        <f>IFERROR(__xludf.DUMMYFUNCTION("GOOGLETRANSLATE(B2659,""en"",""it"")"),"Tre bambini stanno colpendo una palla con una racchetta.")</f>
        <v>Tre bambini stanno colpendo una palla con una racchetta.</v>
      </c>
    </row>
    <row r="2660">
      <c r="A2660" s="4" t="s">
        <v>3337</v>
      </c>
      <c r="B2660" s="4" t="s">
        <v>3339</v>
      </c>
      <c r="C2660" s="5" t="str">
        <f>IFERROR(__xludf.DUMMYFUNCTION("GOOGLETRANSLATE(B2660,""en"",""it"")"),"Stanno abbassando, quindi non li colpisce in testa.")</f>
        <v>Stanno abbassando, quindi non li colpisce in testa.</v>
      </c>
    </row>
    <row r="2661">
      <c r="A2661" s="4" t="s">
        <v>3337</v>
      </c>
      <c r="B2661" s="4" t="s">
        <v>3340</v>
      </c>
      <c r="C2661" s="5" t="str">
        <f>IFERROR(__xludf.DUMMYFUNCTION("GOOGLETRANSLATE(B2661,""en"",""it"")"),"Ognuno di essi a turno colpisce la palla.")</f>
        <v>Ognuno di essi a turno colpisce la palla.</v>
      </c>
    </row>
    <row r="2662">
      <c r="A2662" s="4" t="s">
        <v>3337</v>
      </c>
      <c r="B2662" s="4" t="s">
        <v>3341</v>
      </c>
      <c r="C2662" s="5" t="str">
        <f>IFERROR(__xludf.DUMMYFUNCTION("GOOGLETRANSLATE(B2662,""en"",""it"")"),"Muoversi in tutto il campo cercando di catturarlo.")</f>
        <v>Muoversi in tutto il campo cercando di catturarlo.</v>
      </c>
    </row>
    <row r="2663">
      <c r="A2663" s="4" t="s">
        <v>3342</v>
      </c>
      <c r="B2663" s="4" t="s">
        <v>3343</v>
      </c>
      <c r="C2663" s="5" t="str">
        <f>IFERROR(__xludf.DUMMYFUNCTION("GOOGLETRANSLATE(B2663,""en"",""it"")"),"Una donna che indossa il pigiama sta parlando e sta in piedi su una stella decorata.")</f>
        <v>Una donna che indossa il pigiama sta parlando e sta in piedi su una stella decorata.</v>
      </c>
    </row>
    <row r="2664">
      <c r="A2664" s="4" t="s">
        <v>3342</v>
      </c>
      <c r="B2664" s="4" t="s">
        <v>3344</v>
      </c>
      <c r="C2664" s="5" t="str">
        <f>IFERROR(__xludf.DUMMYFUNCTION("GOOGLETRANSLATE(B2664,""en"",""it"")"),"Dimostra diversi passi di danza mentre parla.")</f>
        <v>Dimostra diversi passi di danza mentre parla.</v>
      </c>
    </row>
    <row r="2665">
      <c r="A2665" s="4" t="s">
        <v>3342</v>
      </c>
      <c r="B2665" s="4" t="s">
        <v>3345</v>
      </c>
      <c r="C2665" s="5" t="str">
        <f>IFERROR(__xludf.DUMMYFUNCTION("GOOGLETRANSLATE(B2665,""en"",""it"")"),"Fa un passo avanti e indietro, gira e scuote i fianchi come una ballerina di pancia.")</f>
        <v>Fa un passo avanti e indietro, gira e scuote i fianchi come una ballerina di pancia.</v>
      </c>
    </row>
    <row r="2666">
      <c r="A2666" s="4" t="s">
        <v>3346</v>
      </c>
      <c r="B2666" s="6" t="s">
        <v>3347</v>
      </c>
      <c r="C2666" s="5" t="str">
        <f>IFERROR(__xludf.DUMMYFUNCTION("GOOGLETRANSLATE(B2666,""en"",""it"")"),"C'è una squadra di ragazzi vestiti con uniformi blu che giocano a calcio contro un'altra squadra di ragazzi vestiti con uniformi a strisce blu in una palestra interna.")</f>
        <v>C'è una squadra di ragazzi vestiti con uniformi blu che giocano a calcio contro un'altra squadra di ragazzi vestiti con uniformi a strisce blu in una palestra interna.</v>
      </c>
    </row>
    <row r="2667">
      <c r="A2667" s="4" t="s">
        <v>3346</v>
      </c>
      <c r="B2667" s="4" t="s">
        <v>3348</v>
      </c>
      <c r="C2667" s="5" t="str">
        <f>IFERROR(__xludf.DUMMYFUNCTION("GOOGLETRANSLATE(B2667,""en"",""it"")"),"Ci sono diversi spettatori seduti sul lato che guardano i giocatori giocare a calcio.")</f>
        <v>Ci sono diversi spettatori seduti sul lato che guardano i giocatori giocare a calcio.</v>
      </c>
    </row>
    <row r="2668">
      <c r="A2668" s="4" t="s">
        <v>3346</v>
      </c>
      <c r="B2668" s="4" t="s">
        <v>3349</v>
      </c>
      <c r="C2668" s="5" t="str">
        <f>IFERROR(__xludf.DUMMYFUNCTION("GOOGLETRANSLATE(B2668,""en"",""it"")"),"Il portiere vestito di giallo cerca di fermare la palla dell'avversario.")</f>
        <v>Il portiere vestito di giallo cerca di fermare la palla dell'avversario.</v>
      </c>
    </row>
    <row r="2669">
      <c r="A2669" s="4" t="s">
        <v>3346</v>
      </c>
      <c r="B2669" s="4" t="s">
        <v>3350</v>
      </c>
      <c r="C2669" s="5" t="str">
        <f>IFERROR(__xludf.DUMMYFUNCTION("GOOGLETRANSLATE(B2669,""en"",""it"")"),"C'è anche un'altra partita di calcio tra una squadra vestita di rosso e una squadra vestita blu.")</f>
        <v>C'è anche un'altra partita di calcio tra una squadra vestita di rosso e una squadra vestita blu.</v>
      </c>
    </row>
    <row r="2670">
      <c r="A2670" s="4" t="s">
        <v>3346</v>
      </c>
      <c r="B2670" s="4" t="s">
        <v>3351</v>
      </c>
      <c r="C2670" s="5" t="str">
        <f>IFERROR(__xludf.DUMMYFUNCTION("GOOGLETRANSLATE(B2670,""en"",""it"")"),"Il primo set di squadre continua a giocare mentre la squadra blu solida segna un goal.")</f>
        <v>Il primo set di squadre continua a giocare mentre la squadra blu solida segna un goal.</v>
      </c>
    </row>
    <row r="2671">
      <c r="A2671" s="4" t="s">
        <v>3352</v>
      </c>
      <c r="B2671" s="4" t="s">
        <v>3353</v>
      </c>
      <c r="C2671" s="5" t="str">
        <f>IFERROR(__xludf.DUMMYFUNCTION("GOOGLETRANSLATE(B2671,""en"",""it"")"),"Un gruppo di persone inizia a scavare una struttura vicino alla riva.")</f>
        <v>Un gruppo di persone inizia a scavare una struttura vicino alla riva.</v>
      </c>
    </row>
    <row r="2672">
      <c r="A2672" s="4" t="s">
        <v>3352</v>
      </c>
      <c r="B2672" s="4" t="s">
        <v>3354</v>
      </c>
      <c r="C2672" s="5" t="str">
        <f>IFERROR(__xludf.DUMMYFUNCTION("GOOGLETRANSLATE(B2672,""en"",""it"")"),"Man mano che lo scavo continua, più persone si uniscono a scavare come ne consegue uno schema.")</f>
        <v>Man mano che lo scavo continua, più persone si uniscono a scavare come ne consegue uno schema.</v>
      </c>
    </row>
    <row r="2673">
      <c r="A2673" s="4" t="s">
        <v>3352</v>
      </c>
      <c r="B2673" s="6" t="s">
        <v>3355</v>
      </c>
      <c r="C2673" s="5" t="str">
        <f>IFERROR(__xludf.DUMMYFUNCTION("GOOGLETRANSLATE(B2673,""en"",""it"")"),"Lo scavo continua e le persone iniziano ad aggiungere rocce in modo lineare attorno al rig e scavare accanto alle rocce e infine coprire le rocce con sabbia.")</f>
        <v>Lo scavo continua e le persone iniziano ad aggiungere rocce in modo lineare attorno al rig e scavare accanto alle rocce e infine coprire le rocce con sabbia.</v>
      </c>
    </row>
    <row r="2674">
      <c r="A2674" s="4" t="s">
        <v>3352</v>
      </c>
      <c r="B2674" s="4" t="s">
        <v>3356</v>
      </c>
      <c r="C2674" s="5" t="str">
        <f>IFERROR(__xludf.DUMMYFUNCTION("GOOGLETRANSLATE(B2674,""en"",""it"")"),"Finalmente nella marea si alza e inizia a distruggere la struttura creata.")</f>
        <v>Finalmente nella marea si alza e inizia a distruggere la struttura creata.</v>
      </c>
    </row>
    <row r="2675">
      <c r="A2675" s="4" t="s">
        <v>3352</v>
      </c>
      <c r="B2675" s="6" t="s">
        <v>3357</v>
      </c>
      <c r="C2675" s="5" t="str">
        <f>IFERROR(__xludf.DUMMYFUNCTION("GOOGLETRANSLATE(B2675,""en"",""it"")"),"Alla fine le persone osservano la struttura in mancanza e se ne vanno mentre una ragazza si trova nel mezzo mentre l'acqua si alza e la distrugge completamente.")</f>
        <v>Alla fine le persone osservano la struttura in mancanza e se ne vanno mentre una ragazza si trova nel mezzo mentre l'acqua si alza e la distrugge completamente.</v>
      </c>
    </row>
    <row r="2676">
      <c r="A2676" s="4" t="s">
        <v>3358</v>
      </c>
      <c r="B2676" s="6" t="s">
        <v>3359</v>
      </c>
      <c r="C2676" s="5" t="str">
        <f>IFERROR(__xludf.DUMMYFUNCTION("GOOGLETRANSLATE(B2676,""en"",""it"")"),"Due persone sono viste cavalcare i cavalli e conducono in più persone a cavalcare i cavalli e camminare.")</f>
        <v>Due persone sono viste cavalcare i cavalli e conducono in più persone a cavalcare i cavalli e camminare.</v>
      </c>
    </row>
    <row r="2677">
      <c r="A2677" s="4" t="s">
        <v>3358</v>
      </c>
      <c r="B2677" s="4" t="s">
        <v>3360</v>
      </c>
      <c r="C2677" s="5" t="str">
        <f>IFERROR(__xludf.DUMMYFUNCTION("GOOGLETRANSLATE(B2677,""en"",""it"")"),"Un uomo conduce un altro con un cavallo attorno a un campo mentre un cane corre dietro di lui.")</f>
        <v>Un uomo conduce un altro con un cavallo attorno a un campo mentre un cane corre dietro di lui.</v>
      </c>
    </row>
    <row r="2678">
      <c r="A2678" s="4" t="s">
        <v>3358</v>
      </c>
      <c r="B2678" s="4" t="s">
        <v>3361</v>
      </c>
      <c r="C2678" s="5" t="str">
        <f>IFERROR(__xludf.DUMMYFUNCTION("GOOGLETRANSLATE(B2678,""en"",""it"")"),"La telecamera intervista un uomo che parla con gli altri mentre tiene i cavalli.")</f>
        <v>La telecamera intervista un uomo che parla con gli altri mentre tiene i cavalli.</v>
      </c>
    </row>
    <row r="2679">
      <c r="A2679" s="4" t="s">
        <v>3362</v>
      </c>
      <c r="B2679" s="4" t="s">
        <v>3363</v>
      </c>
      <c r="C2679" s="5" t="str">
        <f>IFERROR(__xludf.DUMMYFUNCTION("GOOGLETRANSLATE(B2679,""en"",""it"")"),"Viene visto un uomo parlare alla telecamera mentre si tiene al guinzaglio in diverse posizioni.")</f>
        <v>Viene visto un uomo parlare alla telecamera mentre si tiene al guinzaglio in diverse posizioni.</v>
      </c>
    </row>
    <row r="2680">
      <c r="A2680" s="4" t="s">
        <v>3362</v>
      </c>
      <c r="B2680" s="6" t="s">
        <v>3364</v>
      </c>
      <c r="C2680" s="5" t="str">
        <f>IFERROR(__xludf.DUMMYFUNCTION("GOOGLETRANSLATE(B2680,""en"",""it"")"),"L'uomo viene quindi visto camminare intorno a un cane e lo conduce dentro di nuovo dentro parlando ancora alla telecamera.")</f>
        <v>L'uomo viene quindi visto camminare intorno a un cane e lo conduce dentro di nuovo dentro parlando ancora alla telecamera.</v>
      </c>
    </row>
    <row r="2681">
      <c r="A2681" s="4" t="s">
        <v>3362</v>
      </c>
      <c r="B2681" s="4" t="s">
        <v>3365</v>
      </c>
      <c r="C2681" s="5" t="str">
        <f>IFERROR(__xludf.DUMMYFUNCTION("GOOGLETRANSLATE(B2681,""en"",""it"")"),"Continua a parlare di più mentre si tiene sulla corda e cammina con il cane.")</f>
        <v>Continua a parlare di più mentre si tiene sulla corda e cammina con il cane.</v>
      </c>
    </row>
    <row r="2682">
      <c r="A2682" s="4" t="s">
        <v>3366</v>
      </c>
      <c r="B2682" s="6" t="s">
        <v>3367</v>
      </c>
      <c r="C2682" s="5" t="str">
        <f>IFERROR(__xludf.DUMMYFUNCTION("GOOGLETRANSLATE(B2682,""en"",""it"")"),"Viene mostrato un uomo a parlare con la telecamera e conduce in una ragazza atletica che oscilla su barre irregolari.")</f>
        <v>Viene mostrato un uomo a parlare con la telecamera e conduce in una ragazza atletica che oscilla su barre irregolari.</v>
      </c>
    </row>
    <row r="2683">
      <c r="A2683" s="4" t="s">
        <v>3366</v>
      </c>
      <c r="B2683" s="6" t="s">
        <v>3368</v>
      </c>
      <c r="C2683" s="5" t="str">
        <f>IFERROR(__xludf.DUMMYFUNCTION("GOOGLETRANSLATE(B2683,""en"",""it"")"),"Salta giù mentre l'uomo parla di nuovo e passa indietro e quarto a lui che parla e si esibisce.")</f>
        <v>Salta giù mentre l'uomo parla di nuovo e passa indietro e quarto a lui che parla e si esibisce.</v>
      </c>
    </row>
    <row r="2684">
      <c r="A2684" s="4" t="s">
        <v>3366</v>
      </c>
      <c r="B2684" s="6" t="s">
        <v>3369</v>
      </c>
      <c r="C2684" s="5" t="str">
        <f>IFERROR(__xludf.DUMMYFUNCTION("GOOGLETRANSLATE(B2684,""en"",""it"")"),"Mette il gesso sulle mani e continua a girare sui bar e l'uomo finisce di parlare.")</f>
        <v>Mette il gesso sulle mani e continua a girare sui bar e l'uomo finisce di parlare.</v>
      </c>
    </row>
    <row r="2685">
      <c r="A2685" s="4" t="s">
        <v>3370</v>
      </c>
      <c r="B2685" s="6" t="s">
        <v>3371</v>
      </c>
      <c r="C2685" s="5" t="str">
        <f>IFERROR(__xludf.DUMMYFUNCTION("GOOGLETRANSLATE(B2685,""en"",""it"")"),"Una telecamera si panoramica su diversi paesaggi situati nel deserto e nel cielo notturno che si muove.")</f>
        <v>Una telecamera si panoramica su diversi paesaggi situati nel deserto e nel cielo notturno che si muove.</v>
      </c>
    </row>
    <row r="2686">
      <c r="A2686" s="4" t="s">
        <v>3370</v>
      </c>
      <c r="B2686" s="4" t="s">
        <v>3372</v>
      </c>
      <c r="C2686" s="5" t="str">
        <f>IFERROR(__xludf.DUMMYFUNCTION("GOOGLETRANSLATE(B2686,""en"",""it"")"),"Vengono mostrati il ​​sole e sono mostrati più colpi di paesaggi, nonché animali nella zona.")</f>
        <v>Vengono mostrati il ​​sole e sono mostrati più colpi di paesaggi, nonché animali nella zona.</v>
      </c>
    </row>
    <row r="2687">
      <c r="A2687" s="4" t="s">
        <v>3370</v>
      </c>
      <c r="B2687" s="6" t="s">
        <v>3373</v>
      </c>
      <c r="C2687" s="5" t="str">
        <f>IFERROR(__xludf.DUMMYFUNCTION("GOOGLETRANSLATE(B2687,""en"",""it"")"),"Le persone vengono quindi viste andare in giro su una barca attraverso un fiume duro e terminare con un aereo che vola sull'area.")</f>
        <v>Le persone vengono quindi viste andare in giro su una barca attraverso un fiume duro e terminare con un aereo che vola sull'area.</v>
      </c>
    </row>
    <row r="2688">
      <c r="A2688" s="4" t="s">
        <v>3374</v>
      </c>
      <c r="B2688" s="4" t="s">
        <v>3375</v>
      </c>
      <c r="C2688" s="5" t="str">
        <f>IFERROR(__xludf.DUMMYFUNCTION("GOOGLETRANSLATE(B2688,""en"",""it"")"),"La faccia di un uomo viene vista da vicino a parlare e conduce a lui fumando una sigaretta.")</f>
        <v>La faccia di un uomo viene vista da vicino a parlare e conduce a lui fumando una sigaretta.</v>
      </c>
    </row>
    <row r="2689">
      <c r="A2689" s="4" t="s">
        <v>3374</v>
      </c>
      <c r="B2689" s="4" t="s">
        <v>3376</v>
      </c>
      <c r="C2689" s="5" t="str">
        <f>IFERROR(__xludf.DUMMYFUNCTION("GOOGLETRANSLATE(B2689,""en"",""it"")"),"L'uomo continua a prendere le trascinamenti dalla sigaretta mentre soffia il fumo in lontananza.")</f>
        <v>L'uomo continua a prendere le trascinamenti dalla sigaretta mentre soffia il fumo in lontananza.</v>
      </c>
    </row>
    <row r="2690">
      <c r="A2690" s="4" t="s">
        <v>3374</v>
      </c>
      <c r="B2690" s="4" t="s">
        <v>3377</v>
      </c>
      <c r="C2690" s="5" t="str">
        <f>IFERROR(__xludf.DUMMYFUNCTION("GOOGLETRANSLATE(B2690,""en"",""it"")"),"Si muove la mano su e giù per fumare e far esplodere il fumo.")</f>
        <v>Si muove la mano su e giù per fumare e far esplodere il fumo.</v>
      </c>
    </row>
    <row r="2691">
      <c r="A2691" s="4" t="s">
        <v>3378</v>
      </c>
      <c r="B2691" s="6" t="s">
        <v>3379</v>
      </c>
      <c r="C2691" s="5" t="str">
        <f>IFERROR(__xludf.DUMMYFUNCTION("GOOGLETRANSLATE(B2691,""en"",""it"")"),"Viene visto un uomo parlare alla telecamera mentre tiene in mano un coltello e inizia a affilare il coltello lungo una tavola.")</f>
        <v>Viene visto un uomo parlare alla telecamera mentre tiene in mano un coltello e inizia a affilare il coltello lungo una tavola.</v>
      </c>
    </row>
    <row r="2692">
      <c r="A2692" s="4" t="s">
        <v>3378</v>
      </c>
      <c r="B2692" s="4" t="s">
        <v>3380</v>
      </c>
      <c r="C2692" s="5" t="str">
        <f>IFERROR(__xludf.DUMMYFUNCTION("GOOGLETRANSLATE(B2692,""en"",""it"")"),"L'uomo continua ad affilare la lama e quindi utilizza altre assi per affinare il coltello.")</f>
        <v>L'uomo continua ad affilare la lama e quindi utilizza altre assi per affinare il coltello.</v>
      </c>
    </row>
    <row r="2693">
      <c r="A2693" s="4" t="s">
        <v>3381</v>
      </c>
      <c r="B2693" s="4" t="s">
        <v>3382</v>
      </c>
      <c r="C2693" s="5" t="str">
        <f>IFERROR(__xludf.DUMMYFUNCTION("GOOGLETRANSLATE(B2693,""en"",""it"")"),"La donna viene mostrata mettendo i piedi nei suoi panni mentre sono legati.")</f>
        <v>La donna viene mostrata mettendo i piedi nei suoi panni mentre sono legati.</v>
      </c>
    </row>
    <row r="2694">
      <c r="A2694" s="4" t="s">
        <v>3381</v>
      </c>
      <c r="B2694" s="6" t="s">
        <v>3383</v>
      </c>
      <c r="C2694" s="5" t="str">
        <f>IFERROR(__xludf.DUMMYFUNCTION("GOOGLETRANSLATE(B2694,""en"",""it"")"),"Ma dopo qualche minuto di sollevare i piedi da terra, li toglie senza usare le mani.")</f>
        <v>Ma dopo qualche minuto di sollevare i piedi da terra, li toglie senza usare le mani.</v>
      </c>
    </row>
    <row r="2695">
      <c r="A2695" s="4" t="s">
        <v>3381</v>
      </c>
      <c r="B2695" s="4" t="s">
        <v>3384</v>
      </c>
      <c r="C2695" s="5" t="str">
        <f>IFERROR(__xludf.DUMMYFUNCTION("GOOGLETRANSLATE(B2695,""en"",""it"")"),"Quindi si china per spegnere la telecamera.")</f>
        <v>Quindi si china per spegnere la telecamera.</v>
      </c>
    </row>
    <row r="2696">
      <c r="A2696" s="4" t="s">
        <v>3385</v>
      </c>
      <c r="B2696" s="6" t="s">
        <v>3386</v>
      </c>
      <c r="C2696" s="5" t="str">
        <f>IFERROR(__xludf.DUMMYFUNCTION("GOOGLETRANSLATE(B2696,""en"",""it"")"),"Diversi giovani mostrano acrobazie rollerblading usando molti ambienti pedonali diversi per mostrare le acrobazie tra cui, marciapiedi, scale, ringhiere per scale, pareti e parcheggi.")</f>
        <v>Diversi giovani mostrano acrobazie rollerblading usando molti ambienti pedonali diversi per mostrare le acrobazie tra cui, marciapiedi, scale, ringhiere per scale, pareti e parcheggi.</v>
      </c>
    </row>
    <row r="2697">
      <c r="A2697" s="4" t="s">
        <v>3385</v>
      </c>
      <c r="B2697" s="6" t="s">
        <v>3387</v>
      </c>
      <c r="C2697" s="5" t="str">
        <f>IFERROR(__xludf.DUMMYFUNCTION("GOOGLETRANSLATE(B2697,""en"",""it"")"),"Una telecamera raccoglie diversi scatti ambientali schietti che raccolgono linee di palme e un vasto paesaggio urbano pieno di edifici e un po 'di fogliame.")</f>
        <v>Una telecamera raccoglie diversi scatti ambientali schietti che raccolgono linee di palme e un vasto paesaggio urbano pieno di edifici e un po 'di fogliame.</v>
      </c>
    </row>
    <row r="2698">
      <c r="A2698" s="4" t="s">
        <v>3385</v>
      </c>
      <c r="B2698" s="6" t="s">
        <v>3388</v>
      </c>
      <c r="C2698" s="5" t="str">
        <f>IFERROR(__xludf.DUMMYFUNCTION("GOOGLETRANSLATE(B2698,""en"",""it"")"),"Un gruppo di giovani uomini viene messo in mostra uno per uno, con un modello di nome sullo schermo, acrobazie rolli su scale e ringhiere delle scale, saltando in aria, scivolando su binari e atterraggio.")</f>
        <v>Un gruppo di giovani uomini viene messo in mostra uno per uno, con un modello di nome sullo schermo, acrobazie rolli su scale e ringhiere delle scale, saltando in aria, scivolando su binari e atterraggio.</v>
      </c>
    </row>
    <row r="2699">
      <c r="A2699" s="4" t="s">
        <v>3385</v>
      </c>
      <c r="B2699" s="6" t="s">
        <v>3389</v>
      </c>
      <c r="C2699" s="5" t="str">
        <f>IFERROR(__xludf.DUMMYFUNCTION("GOOGLETRANSLATE(B2699,""en"",""it"")"),"Gli uomini mettono in mostra alcuni incidenti in cui cadono dopo l'acrobazia, ma poi eseguono più acrobazie con successo.")</f>
        <v>Gli uomini mettono in mostra alcuni incidenti in cui cadono dopo l'acrobazia, ma poi eseguono più acrobazie con successo.</v>
      </c>
    </row>
    <row r="2700">
      <c r="A2700" s="4" t="s">
        <v>3390</v>
      </c>
      <c r="B2700" s="4" t="s">
        <v>3391</v>
      </c>
      <c r="C2700" s="5" t="str">
        <f>IFERROR(__xludf.DUMMYFUNCTION("GOOGLETRANSLATE(B2700,""en"",""it"")"),"Una ginnasta viene vista guardare in lontananza e conduce le sue braccia.")</f>
        <v>Una ginnasta viene vista guardare in lontananza e conduce le sue braccia.</v>
      </c>
    </row>
    <row r="2701">
      <c r="A2701" s="4" t="s">
        <v>3390</v>
      </c>
      <c r="B2701" s="4" t="s">
        <v>3392</v>
      </c>
      <c r="C2701" s="5" t="str">
        <f>IFERROR(__xludf.DUMMYFUNCTION("GOOGLETRANSLATE(B2701,""en"",""it"")"),"Salta su un raggio e inizia a eseguire vari lanci e trucchi.")</f>
        <v>Salta su un raggio e inizia a eseguire vari lanci e trucchi.</v>
      </c>
    </row>
    <row r="2702">
      <c r="A2702" s="4" t="s">
        <v>3390</v>
      </c>
      <c r="B2702" s="6" t="s">
        <v>3393</v>
      </c>
      <c r="C2702" s="5" t="str">
        <f>IFERROR(__xludf.DUMMYFUNCTION("GOOGLETRANSLATE(B2702,""en"",""it"")"),"La ragazza salta intorno al raggio e termina saltando giù e alzando le braccia e sorridendo alla telecamera.")</f>
        <v>La ragazza salta intorno al raggio e termina saltando giù e alzando le braccia e sorridendo alla telecamera.</v>
      </c>
    </row>
    <row r="2703">
      <c r="A2703" s="4" t="s">
        <v>3394</v>
      </c>
      <c r="B2703" s="6" t="s">
        <v>3395</v>
      </c>
      <c r="C2703" s="5" t="str">
        <f>IFERROR(__xludf.DUMMYFUNCTION("GOOGLETRANSLATE(B2703,""en"",""it"")"),"Una donna fa un lotto di drink di pulizia master al bancone in cucina usando limoni, acqua, sciroppo e peperoncino.")</f>
        <v>Una donna fa un lotto di drink di pulizia master al bancone in cucina usando limoni, acqua, sciroppo e peperoncino.</v>
      </c>
    </row>
    <row r="2704">
      <c r="A2704" s="4" t="s">
        <v>3394</v>
      </c>
      <c r="B2704" s="4" t="s">
        <v>3396</v>
      </c>
      <c r="C2704" s="5" t="str">
        <f>IFERROR(__xludf.DUMMYFUNCTION("GOOGLETRANSLATE(B2704,""en"",""it"")"),"Una donna entra in cucina, parla con la telecamera e inizia a tagliare e succhiare i limoni.")</f>
        <v>Una donna entra in cucina, parla con la telecamera e inizia a tagliare e succhiare i limoni.</v>
      </c>
    </row>
    <row r="2705">
      <c r="A2705" s="4" t="s">
        <v>3394</v>
      </c>
      <c r="B2705" s="4" t="s">
        <v>3397</v>
      </c>
      <c r="C2705" s="5" t="str">
        <f>IFERROR(__xludf.DUMMYFUNCTION("GOOGLETRANSLATE(B2705,""en"",""it"")"),"La donna poi versa il succo di limone in una bottiglia d'acqua.")</f>
        <v>La donna poi versa il succo di limone in una bottiglia d'acqua.</v>
      </c>
    </row>
    <row r="2706">
      <c r="A2706" s="4" t="s">
        <v>3394</v>
      </c>
      <c r="B2706" s="6" t="s">
        <v>3398</v>
      </c>
      <c r="C2706" s="5" t="str">
        <f>IFERROR(__xludf.DUMMYFUNCTION("GOOGLETRANSLATE(B2706,""en"",""it"")"),"La donna aggiunge quindi sciroppo e peperoncino alla miscela con cucchiai di misurazione blu e un vetro di misurazione, dopo di che si sporge sul bancone e parla ancora una volta con la telecamera.")</f>
        <v>La donna aggiunge quindi sciroppo e peperoncino alla miscela con cucchiai di misurazione blu e un vetro di misurazione, dopo di che si sporge sul bancone e parla ancora una volta con la telecamera.</v>
      </c>
    </row>
    <row r="2707">
      <c r="A2707" s="4" t="s">
        <v>3399</v>
      </c>
      <c r="B2707" s="4" t="s">
        <v>3400</v>
      </c>
      <c r="C2707" s="5" t="str">
        <f>IFERROR(__xludf.DUMMYFUNCTION("GOOGLETRANSLATE(B2707,""en"",""it"")"),"Un uomo è visto seduto su un pezzo di attrezzatura da esercizio che si spostava indietro e quarto.")</f>
        <v>Un uomo è visto seduto su un pezzo di attrezzatura da esercizio che si spostava indietro e quarto.</v>
      </c>
    </row>
    <row r="2708">
      <c r="A2708" s="4" t="s">
        <v>3399</v>
      </c>
      <c r="B2708" s="4" t="s">
        <v>3401</v>
      </c>
      <c r="C2708" s="5" t="str">
        <f>IFERROR(__xludf.DUMMYFUNCTION("GOOGLETRANSLATE(B2708,""en"",""it"")"),"Un cane cammina attorno all'uomo che lavora e termina dalla telecamera che si trova a terra.")</f>
        <v>Un cane cammina attorno all'uomo che lavora e termina dalla telecamera che si trova a terra.</v>
      </c>
    </row>
    <row r="2709">
      <c r="A2709" s="4" t="s">
        <v>3402</v>
      </c>
      <c r="B2709" s="4" t="s">
        <v>3403</v>
      </c>
      <c r="C2709" s="5" t="str">
        <f>IFERROR(__xludf.DUMMYFUNCTION("GOOGLETRANSLATE(B2709,""en"",""it"")"),"Ci sono due squadre di uomini che giocano il gioco della guerra in palestra.")</f>
        <v>Ci sono due squadre di uomini che giocano il gioco della guerra in palestra.</v>
      </c>
    </row>
    <row r="2710">
      <c r="A2710" s="4" t="s">
        <v>3402</v>
      </c>
      <c r="B2710" s="4" t="s">
        <v>3404</v>
      </c>
      <c r="C2710" s="5" t="str">
        <f>IFERROR(__xludf.DUMMYFUNCTION("GOOGLETRANSLATE(B2710,""en"",""it"")"),"Ci sono diverse persone sedute in palestra a guardarle a giocare.")</f>
        <v>Ci sono diverse persone sedute in palestra a guardarle a giocare.</v>
      </c>
    </row>
    <row r="2711">
      <c r="A2711" s="4" t="s">
        <v>3402</v>
      </c>
      <c r="B2711" s="4" t="s">
        <v>3405</v>
      </c>
      <c r="C2711" s="5" t="str">
        <f>IFERROR(__xludf.DUMMYFUNCTION("GOOGLETRANSLATE(B2711,""en"",""it"")"),"L'arbitro è in piedi accanto ai concorrenti mentre continuano a tirare la corda più forte.")</f>
        <v>L'arbitro è in piedi accanto ai concorrenti mentre continuano a tirare la corda più forte.</v>
      </c>
    </row>
    <row r="2712">
      <c r="A2712" s="4" t="s">
        <v>3402</v>
      </c>
      <c r="B2712" s="4" t="s">
        <v>3406</v>
      </c>
      <c r="C2712" s="5" t="str">
        <f>IFERROR(__xludf.DUMMYFUNCTION("GOOGLETRANSLATE(B2712,""en"",""it"")"),"La squadra avversaria si tira più forte e la squadra in bianco finisce per cadere e perdere.")</f>
        <v>La squadra avversaria si tira più forte e la squadra in bianco finisce per cadere e perdere.</v>
      </c>
    </row>
    <row r="2713">
      <c r="A2713" s="4" t="s">
        <v>3407</v>
      </c>
      <c r="B2713" s="4" t="s">
        <v>3408</v>
      </c>
      <c r="C2713" s="5" t="str">
        <f>IFERROR(__xludf.DUMMYFUNCTION("GOOGLETRANSLATE(B2713,""en"",""it"")"),"Un uomo è seduto a terra fissando la bici di un bambino.")</f>
        <v>Un uomo è seduto a terra fissando la bici di un bambino.</v>
      </c>
    </row>
    <row r="2714">
      <c r="A2714" s="4" t="s">
        <v>3407</v>
      </c>
      <c r="B2714" s="4" t="s">
        <v>3409</v>
      </c>
      <c r="C2714" s="5" t="str">
        <f>IFERROR(__xludf.DUMMYFUNCTION("GOOGLETRANSLATE(B2714,""en"",""it"")"),"Un bambino con una camicia gialla è in piedi accanto a lui a guardare.")</f>
        <v>Un bambino con una camicia gialla è in piedi accanto a lui a guardare.</v>
      </c>
    </row>
    <row r="2715">
      <c r="A2715" s="4" t="s">
        <v>3407</v>
      </c>
      <c r="B2715" s="4" t="s">
        <v>3410</v>
      </c>
      <c r="C2715" s="5" t="str">
        <f>IFERROR(__xludf.DUMMYFUNCTION("GOOGLETRANSLATE(B2715,""en"",""it"")"),"Un ragazzo con una camicia blu sta spingendo un'altra bici dietro di lui.")</f>
        <v>Un ragazzo con una camicia blu sta spingendo un'altra bici dietro di lui.</v>
      </c>
    </row>
    <row r="2716">
      <c r="A2716" s="4" t="s">
        <v>3411</v>
      </c>
      <c r="B2716" s="4" t="s">
        <v>3412</v>
      </c>
      <c r="C2716" s="5" t="str">
        <f>IFERROR(__xludf.DUMMYFUNCTION("GOOGLETRANSLATE(B2716,""en"",""it"")"),"Una persona serve un gelato con un bastone a un uomo, il cono cade a terra.")</f>
        <v>Una persona serve un gelato con un bastone a un uomo, il cono cade a terra.</v>
      </c>
    </row>
    <row r="2717">
      <c r="A2717" s="4" t="s">
        <v>3411</v>
      </c>
      <c r="B2717" s="4" t="s">
        <v>3413</v>
      </c>
      <c r="C2717" s="5" t="str">
        <f>IFERROR(__xludf.DUMMYFUNCTION("GOOGLETRANSLATE(B2717,""en"",""it"")"),"L'uomo dà un altro cono, quindi l'uomo prende il cono e restituisce all'uomo.")</f>
        <v>L'uomo dà un altro cono, quindi l'uomo prende il cono e restituisce all'uomo.</v>
      </c>
    </row>
    <row r="2718">
      <c r="A2718" s="4" t="s">
        <v>3411</v>
      </c>
      <c r="B2718" s="6" t="s">
        <v>3414</v>
      </c>
      <c r="C2718" s="5" t="str">
        <f>IFERROR(__xludf.DUMMYFUNCTION("GOOGLETRANSLATE(B2718,""en"",""it"")"),"Dopo, l'uomo dà al cono un tovagliolo, ma prende di nuovo il cono, dopo aver dato il gelato in bocca.")</f>
        <v>Dopo, l'uomo dà al cono un tovagliolo, ma prende di nuovo il cono, dopo aver dato il gelato in bocca.</v>
      </c>
    </row>
    <row r="2719">
      <c r="A2719" s="4" t="s">
        <v>3411</v>
      </c>
      <c r="B2719" s="4" t="s">
        <v>3415</v>
      </c>
      <c r="C2719" s="5" t="str">
        <f>IFERROR(__xludf.DUMMYFUNCTION("GOOGLETRANSLATE(B2719,""en"",""it"")"),"Alla fine, l'uomo dà il cono all'uomo mentre guarda una folla.")</f>
        <v>Alla fine, l'uomo dà il cono all'uomo mentre guarda una folla.</v>
      </c>
    </row>
    <row r="2720">
      <c r="A2720" s="4" t="s">
        <v>3416</v>
      </c>
      <c r="B2720" s="4" t="s">
        <v>1251</v>
      </c>
      <c r="C2720" s="5" t="str">
        <f>IFERROR(__xludf.DUMMYFUNCTION("GOOGLETRANSLATE(B2720,""en"",""it"")"),"Vengono visualizzati i crediti della clip.")</f>
        <v>Vengono visualizzati i crediti della clip.</v>
      </c>
    </row>
    <row r="2721">
      <c r="A2721" s="4" t="s">
        <v>3416</v>
      </c>
      <c r="B2721" s="4" t="s">
        <v>3417</v>
      </c>
      <c r="C2721" s="5" t="str">
        <f>IFERROR(__xludf.DUMMYFUNCTION("GOOGLETRANSLATE(B2721,""en"",""it"")"),"Un ragazzo lavora su un tetto.")</f>
        <v>Un ragazzo lavora su un tetto.</v>
      </c>
    </row>
    <row r="2722">
      <c r="A2722" s="4" t="s">
        <v>3416</v>
      </c>
      <c r="B2722" s="4" t="s">
        <v>3418</v>
      </c>
      <c r="C2722" s="5" t="str">
        <f>IFERROR(__xludf.DUMMYFUNCTION("GOOGLETRANSLATE(B2722,""en"",""it"")"),"Un ragazzo rimuove unghie e pezzi del tetto.")</f>
        <v>Un ragazzo rimuove unghie e pezzi del tetto.</v>
      </c>
    </row>
    <row r="2723">
      <c r="A2723" s="4" t="s">
        <v>3416</v>
      </c>
      <c r="B2723" s="4" t="s">
        <v>3419</v>
      </c>
      <c r="C2723" s="5" t="str">
        <f>IFERROR(__xludf.DUMMYFUNCTION("GOOGLETRANSLATE(B2723,""en"",""it"")"),"Un ragazzo rimuove lo sporco e i ramoscelli dall'angolo del tetto.")</f>
        <v>Un ragazzo rimuove lo sporco e i ramoscelli dall'angolo del tetto.</v>
      </c>
    </row>
    <row r="2724">
      <c r="A2724" s="4" t="s">
        <v>3416</v>
      </c>
      <c r="B2724" s="4" t="s">
        <v>3420</v>
      </c>
      <c r="C2724" s="5" t="str">
        <f>IFERROR(__xludf.DUMMYFUNCTION("GOOGLETRANSLATE(B2724,""en"",""it"")"),"Un ragazzo misura e taglia pezzi per il tetto.")</f>
        <v>Un ragazzo misura e taglia pezzi per il tetto.</v>
      </c>
    </row>
    <row r="2725">
      <c r="A2725" s="4" t="s">
        <v>3416</v>
      </c>
      <c r="B2725" s="4" t="s">
        <v>573</v>
      </c>
      <c r="C2725" s="5" t="str">
        <f>IFERROR(__xludf.DUMMYFUNCTION("GOOGLETRANSLATE(B2725,""en"",""it"")"),"Vengono visualizzati i crediti del video.")</f>
        <v>Vengono visualizzati i crediti del video.</v>
      </c>
    </row>
    <row r="2726">
      <c r="A2726" s="4" t="s">
        <v>3421</v>
      </c>
      <c r="B2726" s="4" t="s">
        <v>3422</v>
      </c>
      <c r="C2726" s="5" t="str">
        <f>IFERROR(__xludf.DUMMYFUNCTION("GOOGLETRANSLATE(B2726,""en"",""it"")"),"Una padella si trova su una stufa con ingredienti sul bancone accanto a essa.")</f>
        <v>Una padella si trova su una stufa con ingredienti sul bancone accanto a essa.</v>
      </c>
    </row>
    <row r="2727">
      <c r="A2727" s="4" t="s">
        <v>3421</v>
      </c>
      <c r="B2727" s="6" t="s">
        <v>3423</v>
      </c>
      <c r="C2727" s="5" t="str">
        <f>IFERROR(__xludf.DUMMYFUNCTION("GOOGLETRANSLATE(B2727,""en"",""it"")"),"Qualcuno mette le cipolle nella padella e batte le uova e altri ingredienti in una ciotola prima di aggiungerle anche alla padella.")</f>
        <v>Qualcuno mette le cipolle nella padella e batte le uova e altri ingredienti in una ciotola prima di aggiungerle anche alla padella.</v>
      </c>
    </row>
    <row r="2728">
      <c r="A2728" s="4" t="s">
        <v>3421</v>
      </c>
      <c r="B2728" s="4" t="s">
        <v>3424</v>
      </c>
      <c r="C2728" s="5" t="str">
        <f>IFERROR(__xludf.DUMMYFUNCTION("GOOGLETRANSLATE(B2728,""en"",""it"")"),"Ribalta le uova, facendo una frittata.")</f>
        <v>Ribalta le uova, facendo una frittata.</v>
      </c>
    </row>
    <row r="2729">
      <c r="A2729" s="4" t="s">
        <v>3421</v>
      </c>
      <c r="B2729" s="4" t="s">
        <v>3425</v>
      </c>
      <c r="C2729" s="5" t="str">
        <f>IFERROR(__xludf.DUMMYFUNCTION("GOOGLETRANSLATE(B2729,""en"",""it"")"),"Rilascia delicatamente la frittata su un piatto per servire.")</f>
        <v>Rilascia delicatamente la frittata su un piatto per servire.</v>
      </c>
    </row>
    <row r="2730">
      <c r="A2730" s="4" t="s">
        <v>3426</v>
      </c>
      <c r="B2730" s="4" t="s">
        <v>3427</v>
      </c>
      <c r="C2730" s="5" t="str">
        <f>IFERROR(__xludf.DUMMYFUNCTION("GOOGLETRANSLATE(B2730,""en"",""it"")"),"Un gatto bianco sta dormendo su piastrelle di terracotta.")</f>
        <v>Un gatto bianco sta dormendo su piastrelle di terracotta.</v>
      </c>
    </row>
    <row r="2731">
      <c r="A2731" s="4" t="s">
        <v>3426</v>
      </c>
      <c r="B2731" s="4" t="s">
        <v>3428</v>
      </c>
      <c r="C2731" s="5" t="str">
        <f>IFERROR(__xludf.DUMMYFUNCTION("GOOGLETRANSLATE(B2731,""en"",""it"")"),"Il testo bianco spiega come tagliare le unghie del gatto.")</f>
        <v>Il testo bianco spiega come tagliare le unghie del gatto.</v>
      </c>
    </row>
    <row r="2732">
      <c r="A2732" s="4" t="s">
        <v>3426</v>
      </c>
      <c r="B2732" s="4" t="s">
        <v>3429</v>
      </c>
      <c r="C2732" s="5" t="str">
        <f>IFERROR(__xludf.DUMMYFUNCTION("GOOGLETRANSLATE(B2732,""en"",""it"")"),"Una donna prende le zampe di gatti, tagliandole delicatamente con un clipper fino a quando non sono finiti.")</f>
        <v>Una donna prende le zampe di gatti, tagliandole delicatamente con un clipper fino a quando non sono finiti.</v>
      </c>
    </row>
    <row r="2733">
      <c r="A2733" s="4" t="s">
        <v>3430</v>
      </c>
      <c r="B2733" s="4" t="s">
        <v>3431</v>
      </c>
      <c r="C2733" s="5" t="str">
        <f>IFERROR(__xludf.DUMMYFUNCTION("GOOGLETRANSLATE(B2733,""en"",""it"")"),"Un folto gruppo di persone è visto in piedi su un campo giocando una partita di pallavolo tra loro.")</f>
        <v>Un folto gruppo di persone è visto in piedi su un campo giocando una partita di pallavolo tra loro.</v>
      </c>
    </row>
    <row r="2734">
      <c r="A2734" s="4" t="s">
        <v>3430</v>
      </c>
      <c r="B2734" s="6" t="s">
        <v>3432</v>
      </c>
      <c r="C2734" s="5" t="str">
        <f>IFERROR(__xludf.DUMMYFUNCTION("GOOGLETRANSLATE(B2734,""en"",""it"")"),"La telecamera si muove intorno alla spiaggia e torna alle persone che giocano l'uno con l'altro che passano la palla intorno.")</f>
        <v>La telecamera si muove intorno alla spiaggia e torna alle persone che giocano l'uno con l'altro che passano la palla intorno.</v>
      </c>
    </row>
    <row r="2735">
      <c r="A2735" s="4" t="s">
        <v>3433</v>
      </c>
      <c r="B2735" s="4" t="s">
        <v>3434</v>
      </c>
      <c r="C2735" s="5" t="str">
        <f>IFERROR(__xludf.DUMMYFUNCTION("GOOGLETRANSLATE(B2735,""en"",""it"")"),"Un'introduzione per un video in esecuzione che dice che l'esecuzione appare sullo schermo.")</f>
        <v>Un'introduzione per un video in esecuzione che dice che l'esecuzione appare sullo schermo.</v>
      </c>
    </row>
    <row r="2736">
      <c r="A2736" s="4" t="s">
        <v>3433</v>
      </c>
      <c r="B2736" s="6" t="s">
        <v>3435</v>
      </c>
      <c r="C2736" s="5" t="str">
        <f>IFERROR(__xludf.DUMMYFUNCTION("GOOGLETRANSLATE(B2736,""en"",""it"")"),"Una signora commenta un video di un'enorme somma di persone che completano una maratona a New York City.")</f>
        <v>Una signora commenta un video di un'enorme somma di persone che completano una maratona a New York City.</v>
      </c>
    </row>
    <row r="2737">
      <c r="A2737" s="4" t="s">
        <v>3433</v>
      </c>
      <c r="B2737" s="6" t="s">
        <v>3436</v>
      </c>
      <c r="C2737" s="5" t="str">
        <f>IFERROR(__xludf.DUMMYFUNCTION("GOOGLETRANSLATE(B2737,""en"",""it"")"),"Il video mostra i primi 5 eventi nella storia delle maratone, la signora commenta ogni evento, mentre il video conta da 5 a 1 mentre mostrano gli eventi, spiega ogni evento in dettaglio.")</f>
        <v>Il video mostra i primi 5 eventi nella storia delle maratone, la signora commenta ogni evento, mentre il video conta da 5 a 1 mentre mostrano gli eventi, spiega ogni evento in dettaglio.</v>
      </c>
    </row>
    <row r="2738">
      <c r="A2738" s="4" t="s">
        <v>3433</v>
      </c>
      <c r="B2738" s="4" t="s">
        <v>3437</v>
      </c>
      <c r="C2738" s="5" t="str">
        <f>IFERROR(__xludf.DUMMYFUNCTION("GOOGLETRANSLATE(B2738,""en"",""it"")"),"Il video si conclude con un'immagine di outro.")</f>
        <v>Il video si conclude con un'immagine di outro.</v>
      </c>
    </row>
    <row r="2739">
      <c r="A2739" s="4" t="s">
        <v>3438</v>
      </c>
      <c r="B2739" s="4" t="s">
        <v>3439</v>
      </c>
      <c r="C2739" s="5" t="str">
        <f>IFERROR(__xludf.DUMMYFUNCTION("GOOGLETRANSLATE(B2739,""en"",""it"")"),"Un uomo si inginocchia su un tappetino blu e alza una barra sopra la sua testa.")</f>
        <v>Un uomo si inginocchia su un tappetino blu e alza una barra sopra la sua testa.</v>
      </c>
    </row>
    <row r="2740">
      <c r="A2740" s="4" t="s">
        <v>3438</v>
      </c>
      <c r="B2740" s="4" t="s">
        <v>3440</v>
      </c>
      <c r="C2740" s="5" t="str">
        <f>IFERROR(__xludf.DUMMYFUNCTION("GOOGLETRANSLATE(B2740,""en"",""it"")"),"Si alza e se ne va.")</f>
        <v>Si alza e se ne va.</v>
      </c>
    </row>
    <row r="2741">
      <c r="A2741" s="4" t="s">
        <v>3441</v>
      </c>
      <c r="B2741" s="4" t="s">
        <v>3442</v>
      </c>
      <c r="C2741" s="5" t="str">
        <f>IFERROR(__xludf.DUMMYFUNCTION("GOOGLETRANSLATE(B2741,""en"",""it"")"),"Una donna è seduta su una sedia.")</f>
        <v>Una donna è seduta su una sedia.</v>
      </c>
    </row>
    <row r="2742">
      <c r="A2742" s="4" t="s">
        <v>3441</v>
      </c>
      <c r="B2742" s="4" t="s">
        <v>3443</v>
      </c>
      <c r="C2742" s="5" t="str">
        <f>IFERROR(__xludf.DUMMYFUNCTION("GOOGLETRANSLATE(B2742,""en"",""it"")"),"Una persona sta dipingendo qualcosa al dito.")</f>
        <v>Una persona sta dipingendo qualcosa al dito.</v>
      </c>
    </row>
    <row r="2743">
      <c r="A2743" s="4" t="s">
        <v>3441</v>
      </c>
      <c r="B2743" s="4" t="s">
        <v>3444</v>
      </c>
      <c r="C2743" s="5" t="str">
        <f>IFERROR(__xludf.DUMMYFUNCTION("GOOGLETRANSLATE(B2743,""en"",""it"")"),"La donna alza la macchina fotografica.")</f>
        <v>La donna alza la macchina fotografica.</v>
      </c>
    </row>
    <row r="2744">
      <c r="A2744" s="4" t="s">
        <v>3445</v>
      </c>
      <c r="B2744" s="4" t="s">
        <v>3446</v>
      </c>
      <c r="C2744" s="5" t="str">
        <f>IFERROR(__xludf.DUMMYFUNCTION("GOOGLETRANSLATE(B2744,""en"",""it"")"),"La pioggia cade su un grande auditorium.")</f>
        <v>La pioggia cade su un grande auditorium.</v>
      </c>
    </row>
    <row r="2745">
      <c r="A2745" s="4" t="s">
        <v>3445</v>
      </c>
      <c r="B2745" s="4" t="s">
        <v>3447</v>
      </c>
      <c r="C2745" s="5" t="str">
        <f>IFERROR(__xludf.DUMMYFUNCTION("GOOGLETRANSLATE(B2745,""en"",""it"")"),"Molte persone sono sugli spalti.")</f>
        <v>Molte persone sono sugli spalti.</v>
      </c>
    </row>
    <row r="2746">
      <c r="A2746" s="4" t="s">
        <v>3445</v>
      </c>
      <c r="B2746" s="4" t="s">
        <v>3448</v>
      </c>
      <c r="C2746" s="5" t="str">
        <f>IFERROR(__xludf.DUMMYFUNCTION("GOOGLETRANSLATE(B2746,""en"",""it"")"),"Diversi atleti si trovano nell'arena.")</f>
        <v>Diversi atleti si trovano nell'arena.</v>
      </c>
    </row>
    <row r="2747">
      <c r="A2747" s="4" t="s">
        <v>3445</v>
      </c>
      <c r="B2747" s="4" t="s">
        <v>3449</v>
      </c>
      <c r="C2747" s="5" t="str">
        <f>IFERROR(__xludf.DUMMYFUNCTION("GOOGLETRANSLATE(B2747,""en"",""it"")"),"Gli atleti lanciano dischi sul campo.")</f>
        <v>Gli atleti lanciano dischi sul campo.</v>
      </c>
    </row>
    <row r="2748">
      <c r="A2748" s="4" t="s">
        <v>3450</v>
      </c>
      <c r="B2748" s="6" t="s">
        <v>3451</v>
      </c>
      <c r="C2748" s="5" t="str">
        <f>IFERROR(__xludf.DUMMYFUNCTION("GOOGLETRANSLATE(B2748,""en"",""it"")"),"Un ragazzo in giovane ragazzo guida un piccolo tosaerba per trattori attorno al cortile di una casa che manovra attorno agli ostacoli.")</f>
        <v>Un ragazzo in giovane ragazzo guida un piccolo tosaerba per trattori attorno al cortile di una casa che manovra attorno agli ostacoli.</v>
      </c>
    </row>
    <row r="2749">
      <c r="A2749" s="4" t="s">
        <v>3450</v>
      </c>
      <c r="B2749" s="4" t="s">
        <v>3452</v>
      </c>
      <c r="C2749" s="5" t="str">
        <f>IFERROR(__xludf.DUMMYFUNCTION("GOOGLETRANSLATE(B2749,""en"",""it"")"),"Il ragazzo falcia su alcuni piccoli fiori nell'erba.")</f>
        <v>Il ragazzo falcia su alcuni piccoli fiori nell'erba.</v>
      </c>
    </row>
    <row r="2750">
      <c r="A2750" s="4" t="s">
        <v>3453</v>
      </c>
      <c r="B2750" s="4" t="s">
        <v>3454</v>
      </c>
      <c r="C2750" s="5" t="str">
        <f>IFERROR(__xludf.DUMMYFUNCTION("GOOGLETRANSLATE(B2750,""en"",""it"")"),"Una donna con i capelli ricci e le sopracciglia molto succhia da un narghilè.")</f>
        <v>Una donna con i capelli ricci e le sopracciglia molto succhia da un narghilè.</v>
      </c>
    </row>
    <row r="2751">
      <c r="A2751" s="4" t="s">
        <v>3453</v>
      </c>
      <c r="B2751" s="4" t="s">
        <v>3455</v>
      </c>
      <c r="C2751" s="5" t="str">
        <f>IFERROR(__xludf.DUMMYFUNCTION("GOOGLETRANSLATE(B2751,""en"",""it"")"),"Sfogli tutto il fumo che ha inalato, si sdraia a letto da sola rilassandosi.")</f>
        <v>Sfogli tutto il fumo che ha inalato, si sdraia a letto da sola rilassandosi.</v>
      </c>
    </row>
    <row r="2752">
      <c r="A2752" s="4" t="s">
        <v>3453</v>
      </c>
      <c r="B2752" s="4" t="s">
        <v>3456</v>
      </c>
      <c r="C2752" s="5" t="str">
        <f>IFERROR(__xludf.DUMMYFUNCTION("GOOGLETRANSLATE(B2752,""en"",""it"")"),"Sembra che sia molto annoiata solo che soffia il fumo registrando se stessa.")</f>
        <v>Sembra che sia molto annoiata solo che soffia il fumo registrando se stessa.</v>
      </c>
    </row>
    <row r="2753">
      <c r="A2753" s="4" t="s">
        <v>3453</v>
      </c>
      <c r="B2753" s="6" t="s">
        <v>3457</v>
      </c>
      <c r="C2753" s="5" t="str">
        <f>IFERROR(__xludf.DUMMYFUNCTION("GOOGLETRANSLATE(B2753,""en"",""it"")"),"Si scopre che c'è un'altra persona nella stanza con lei da mangiare, sorride molto grande e continua a espirare il fumo.")</f>
        <v>Si scopre che c'è un'altra persona nella stanza con lei da mangiare, sorride molto grande e continua a espirare il fumo.</v>
      </c>
    </row>
    <row r="2754">
      <c r="A2754" s="4" t="s">
        <v>3458</v>
      </c>
      <c r="B2754" s="4" t="s">
        <v>3459</v>
      </c>
      <c r="C2754" s="5" t="str">
        <f>IFERROR(__xludf.DUMMYFUNCTION("GOOGLETRANSLATE(B2754,""en"",""it"")"),"Un corridore sta correndo su una pista di fronte a una folla di persone.")</f>
        <v>Un corridore sta correndo su una pista di fronte a una folla di persone.</v>
      </c>
    </row>
    <row r="2755">
      <c r="A2755" s="4" t="s">
        <v>3458</v>
      </c>
      <c r="B2755" s="4" t="s">
        <v>3460</v>
      </c>
      <c r="C2755" s="5" t="str">
        <f>IFERROR(__xludf.DUMMYFUNCTION("GOOGLETRANSLATE(B2755,""en"",""it"")"),"Un uomo viene mostrato a parlare con la fotocamera.")</f>
        <v>Un uomo viene mostrato a parlare con la fotocamera.</v>
      </c>
    </row>
    <row r="2756">
      <c r="A2756" s="4" t="s">
        <v>3458</v>
      </c>
      <c r="B2756" s="4" t="s">
        <v>3461</v>
      </c>
      <c r="C2756" s="5" t="str">
        <f>IFERROR(__xludf.DUMMYFUNCTION("GOOGLETRANSLATE(B2756,""en"",""it"")"),"I corridori stanno correndo giù per una traccia con folle su entrambi i lati e uno dei corridori inciampa.")</f>
        <v>I corridori stanno correndo giù per una traccia con folle su entrambi i lati e uno dei corridori inciampa.</v>
      </c>
    </row>
    <row r="2757">
      <c r="A2757" s="4" t="s">
        <v>3458</v>
      </c>
      <c r="B2757" s="4" t="s">
        <v>3462</v>
      </c>
      <c r="C2757" s="5" t="str">
        <f>IFERROR(__xludf.DUMMYFUNCTION("GOOGLETRANSLATE(B2757,""en"",""it"")"),"Viene mostrato un altro corridore e un uomo viene mostrato a parlare con la fotocamera.")</f>
        <v>Viene mostrato un altro corridore e un uomo viene mostrato a parlare con la fotocamera.</v>
      </c>
    </row>
    <row r="2758">
      <c r="A2758" s="4" t="s">
        <v>3458</v>
      </c>
      <c r="B2758" s="4" t="s">
        <v>3463</v>
      </c>
      <c r="C2758" s="5" t="str">
        <f>IFERROR(__xludf.DUMMYFUNCTION("GOOGLETRANSLATE(B2758,""en"",""it"")"),"Un corridore sta strisciando attraverso un traguardo mentre altri corridori stanno correndo attraverso il traguardo.")</f>
        <v>Un corridore sta strisciando attraverso un traguardo mentre altri corridori stanno correndo attraverso il traguardo.</v>
      </c>
    </row>
    <row r="2759">
      <c r="A2759" s="4" t="s">
        <v>3458</v>
      </c>
      <c r="B2759" s="4" t="s">
        <v>3464</v>
      </c>
      <c r="C2759" s="5" t="str">
        <f>IFERROR(__xludf.DUMMYFUNCTION("GOOGLETRANSLATE(B2759,""en"",""it"")"),"Il corridore in difficoltà viene portato via.")</f>
        <v>Il corridore in difficoltà viene portato via.</v>
      </c>
    </row>
    <row r="2760">
      <c r="A2760" s="4" t="s">
        <v>3458</v>
      </c>
      <c r="B2760" s="4" t="s">
        <v>3465</v>
      </c>
      <c r="C2760" s="5" t="str">
        <f>IFERROR(__xludf.DUMMYFUNCTION("GOOGLETRANSLATE(B2760,""en"",""it"")"),"Vengono mostrati i corridori in difficoltà.")</f>
        <v>Vengono mostrati i corridori in difficoltà.</v>
      </c>
    </row>
    <row r="2761">
      <c r="A2761" s="4" t="s">
        <v>3458</v>
      </c>
      <c r="B2761" s="4" t="s">
        <v>539</v>
      </c>
      <c r="C2761" s="5" t="str">
        <f>IFERROR(__xludf.DUMMYFUNCTION("GOOGLETRANSLATE(B2761,""en"",""it"")"),"Un uomo sta parlando con la telecamera.")</f>
        <v>Un uomo sta parlando con la telecamera.</v>
      </c>
    </row>
    <row r="2762">
      <c r="A2762" s="4" t="s">
        <v>3458</v>
      </c>
      <c r="B2762" s="4" t="s">
        <v>3466</v>
      </c>
      <c r="C2762" s="5" t="str">
        <f>IFERROR(__xludf.DUMMYFUNCTION("GOOGLETRANSLATE(B2762,""en"",""it"")"),"Vari corridori sono mostrati in difficoltà e parlano con la fotocamera.")</f>
        <v>Vari corridori sono mostrati in difficoltà e parlano con la fotocamera.</v>
      </c>
    </row>
    <row r="2763">
      <c r="A2763" s="4" t="s">
        <v>3458</v>
      </c>
      <c r="B2763" s="4" t="s">
        <v>3467</v>
      </c>
      <c r="C2763" s="5" t="str">
        <f>IFERROR(__xludf.DUMMYFUNCTION("GOOGLETRANSLATE(B2763,""en"",""it"")"),"Vengono mostrati corridori più angosciati.")</f>
        <v>Vengono mostrati corridori più angosciati.</v>
      </c>
    </row>
    <row r="2764">
      <c r="A2764" s="4" t="s">
        <v>3468</v>
      </c>
      <c r="B2764" s="4" t="s">
        <v>3469</v>
      </c>
      <c r="C2764" s="5" t="str">
        <f>IFERROR(__xludf.DUMMYFUNCTION("GOOGLETRANSLATE(B2764,""en"",""it"")"),"Una persona sta tentando salti alti.")</f>
        <v>Una persona sta tentando salti alti.</v>
      </c>
    </row>
    <row r="2765">
      <c r="A2765" s="4" t="s">
        <v>3468</v>
      </c>
      <c r="B2765" s="4" t="s">
        <v>3470</v>
      </c>
      <c r="C2765" s="5" t="str">
        <f>IFERROR(__xludf.DUMMYFUNCTION("GOOGLETRANSLATE(B2765,""en"",""it"")"),"I primi tentativi sono buoni.")</f>
        <v>I primi tentativi sono buoni.</v>
      </c>
    </row>
    <row r="2766">
      <c r="A2766" s="4" t="s">
        <v>3468</v>
      </c>
      <c r="B2766" s="4" t="s">
        <v>3471</v>
      </c>
      <c r="C2766" s="5" t="str">
        <f>IFERROR(__xludf.DUMMYFUNCTION("GOOGLETRANSLATE(B2766,""en"",""it"")"),"Il tentativo finale non è mai stato raggiunto.")</f>
        <v>Il tentativo finale non è mai stato raggiunto.</v>
      </c>
    </row>
    <row r="2767">
      <c r="A2767" s="4" t="s">
        <v>3472</v>
      </c>
      <c r="B2767" s="6" t="s">
        <v>3473</v>
      </c>
      <c r="C2767" s="5" t="str">
        <f>IFERROR(__xludf.DUMMYFUNCTION("GOOGLETRANSLATE(B2767,""en"",""it"")"),"A due uomini viene mostrato eseguire una partita di wrestling del braccio con molti che guardano a margine e un ref che chiama chi è il vincitore.")</f>
        <v>A due uomini viene mostrato eseguire una partita di wrestling del braccio con molti che guardano a margine e un ref che chiama chi è il vincitore.</v>
      </c>
    </row>
    <row r="2768">
      <c r="A2768" s="4" t="s">
        <v>3472</v>
      </c>
      <c r="B2768" s="6" t="s">
        <v>3474</v>
      </c>
      <c r="C2768" s="5" t="str">
        <f>IFERROR(__xludf.DUMMYFUNCTION("GOOGLETRANSLATE(B2768,""en"",""it"")"),"Molti altri uomini battono indietro e quarto l'uno con l'altro e più persone entrano e fuori dal fotogramma da guardare.")</f>
        <v>Molti altri uomini battono indietro e quarto l'uno con l'altro e più persone entrano e fuori dal fotogramma da guardare.</v>
      </c>
    </row>
    <row r="2769">
      <c r="A2769" s="4" t="s">
        <v>3475</v>
      </c>
      <c r="B2769" s="4" t="s">
        <v>3476</v>
      </c>
      <c r="C2769" s="5" t="str">
        <f>IFERROR(__xludf.DUMMYFUNCTION("GOOGLETRANSLATE(B2769,""en"",""it"")"),"La gente esegue i traslochi marziali artistici, in piedi sulla testa e girando.")</f>
        <v>La gente esegue i traslochi marziali artistici, in piedi sulla testa e girando.</v>
      </c>
    </row>
    <row r="2770">
      <c r="A2770" s="4" t="s">
        <v>3475</v>
      </c>
      <c r="B2770" s="4" t="s">
        <v>3477</v>
      </c>
      <c r="C2770" s="5" t="str">
        <f>IFERROR(__xludf.DUMMYFUNCTION("GOOGLETRANSLATE(B2770,""en"",""it"")"),"Quindi, un uomo e un ragazzo saltano sopra, poi i bambini si mettono in testa a un giro.")</f>
        <v>Quindi, un uomo e un ragazzo saltano sopra, poi i bambini si mettono in testa a un giro.</v>
      </c>
    </row>
    <row r="2771">
      <c r="A2771" s="4" t="s">
        <v>3475</v>
      </c>
      <c r="B2771" s="4" t="s">
        <v>3478</v>
      </c>
      <c r="C2771" s="5" t="str">
        <f>IFERROR(__xludf.DUMMYFUNCTION("GOOGLETRANSLATE(B2771,""en"",""it"")"),"I ragazzi piegano il corpo all'indietro fino a quando i piedi raggiungono il terreno.")</f>
        <v>I ragazzi piegano il corpo all'indietro fino a quando i piedi raggiungono il terreno.</v>
      </c>
    </row>
    <row r="2772">
      <c r="A2772" s="4" t="s">
        <v>3475</v>
      </c>
      <c r="B2772" s="4" t="s">
        <v>3479</v>
      </c>
      <c r="C2772" s="5" t="str">
        <f>IFERROR(__xludf.DUMMYFUNCTION("GOOGLETRANSLATE(B2772,""en"",""it"")"),"Gli adolescenti si svolgono i loro corpi e si piegano all'altra estremità.")</f>
        <v>Gli adolescenti si svolgono i loro corpi e si piegano all'altra estremità.</v>
      </c>
    </row>
    <row r="2773">
      <c r="A2773" s="4" t="s">
        <v>3480</v>
      </c>
      <c r="B2773" s="6" t="s">
        <v>3481</v>
      </c>
      <c r="C2773" s="5" t="str">
        <f>IFERROR(__xludf.DUMMYFUNCTION("GOOGLETRANSLATE(B2773,""en"",""it"")"),"Una donna si prepara un barboncino arrabbiato che è colletto e legato a un palo attaccato a un tavolo da toelettatura nera.")</f>
        <v>Una donna si prepara un barboncino arrabbiato che è colletto e legato a un palo attaccato a un tavolo da toelettatura nera.</v>
      </c>
    </row>
    <row r="2774">
      <c r="A2774" s="4" t="s">
        <v>3480</v>
      </c>
      <c r="B2774" s="4" t="s">
        <v>3482</v>
      </c>
      <c r="C2774" s="5" t="str">
        <f>IFERROR(__xludf.DUMMYFUNCTION("GOOGLETRANSLATE(B2774,""en"",""it"")"),"Un barboncino marrone viene pettinato da una donna in una stanza murata gialla su un tavolo da toelettatura nera.")</f>
        <v>Un barboncino marrone viene pettinato da una donna in una stanza murata gialla su un tavolo da toelettatura nera.</v>
      </c>
    </row>
    <row r="2775">
      <c r="A2775" s="4" t="s">
        <v>3480</v>
      </c>
      <c r="B2775" s="6" t="s">
        <v>3483</v>
      </c>
      <c r="C2775" s="5" t="str">
        <f>IFERROR(__xludf.DUMMYFUNCTION("GOOGLETRANSLATE(B2775,""en"",""it"")"),"La donna tiene fuori un giocattolo di plastica rosa in cui il cane inizia a mordere, scattare e afferrare mentre la donna abbraccia la pelliccia di barboncini.")</f>
        <v>La donna tiene fuori un giocattolo di plastica rosa in cui il cane inizia a mordere, scattare e afferrare mentre la donna abbraccia la pelliccia di barboncini.</v>
      </c>
    </row>
    <row r="2776">
      <c r="A2776" s="4" t="s">
        <v>3480</v>
      </c>
      <c r="B2776" s="4" t="s">
        <v>3484</v>
      </c>
      <c r="C2776" s="5" t="str">
        <f>IFERROR(__xludf.DUMMYFUNCTION("GOOGLETRANSLATE(B2776,""en"",""it"")"),"Il barboncino continua a scattare il giocattolo rosa e anche sulla mano della donna e il pettine.")</f>
        <v>Il barboncino continua a scattare il giocattolo rosa e anche sulla mano della donna e il pettine.</v>
      </c>
    </row>
    <row r="2777">
      <c r="A2777" s="4" t="s">
        <v>3485</v>
      </c>
      <c r="B2777" s="4" t="s">
        <v>3486</v>
      </c>
      <c r="C2777" s="5" t="str">
        <f>IFERROR(__xludf.DUMMYFUNCTION("GOOGLETRANSLATE(B2777,""en"",""it"")"),"Una ginnasta monta un raggio basso in palestra.")</f>
        <v>Una ginnasta monta un raggio basso in palestra.</v>
      </c>
    </row>
    <row r="2778">
      <c r="A2778" s="4" t="s">
        <v>3485</v>
      </c>
      <c r="B2778" s="4" t="s">
        <v>3487</v>
      </c>
      <c r="C2778" s="5" t="str">
        <f>IFERROR(__xludf.DUMMYFUNCTION("GOOGLETRANSLATE(B2778,""en"",""it"")"),"Si esibisce sul raggio, facendo mani e lancia.")</f>
        <v>Si esibisce sul raggio, facendo mani e lancia.</v>
      </c>
    </row>
    <row r="2779">
      <c r="A2779" s="4" t="s">
        <v>3485</v>
      </c>
      <c r="B2779" s="4" t="s">
        <v>3488</v>
      </c>
      <c r="C2779" s="5" t="str">
        <f>IFERROR(__xludf.DUMMYFUNCTION("GOOGLETRANSLATE(B2779,""en"",""it"")"),"Quindi sconta con le mani in aria.")</f>
        <v>Quindi sconta con le mani in aria.</v>
      </c>
    </row>
    <row r="2780">
      <c r="A2780" s="4" t="s">
        <v>3489</v>
      </c>
      <c r="B2780" s="4" t="s">
        <v>3490</v>
      </c>
      <c r="C2780" s="5" t="str">
        <f>IFERROR(__xludf.DUMMYFUNCTION("GOOGLETRANSLATE(B2780,""en"",""it"")"),"Una donna è in piedi accanto a una porta del bagno a parlare.")</f>
        <v>Una donna è in piedi accanto a una porta del bagno a parlare.</v>
      </c>
    </row>
    <row r="2781">
      <c r="A2781" s="4" t="s">
        <v>3489</v>
      </c>
      <c r="B2781" s="4" t="s">
        <v>3491</v>
      </c>
      <c r="C2781" s="5" t="str">
        <f>IFERROR(__xludf.DUMMYFUNCTION("GOOGLETRANSLATE(B2781,""en"",""it"")"),"La stessa donna è ora vista su una bicicletta stazionaria che insegna una lezione di spin.")</f>
        <v>La stessa donna è ora vista su una bicicletta stazionaria che insegna una lezione di spin.</v>
      </c>
    </row>
    <row r="2782">
      <c r="A2782" s="4" t="s">
        <v>3489</v>
      </c>
      <c r="B2782" s="6" t="s">
        <v>3492</v>
      </c>
      <c r="C2782" s="5" t="str">
        <f>IFERROR(__xludf.DUMMYFUNCTION("GOOGLETRANSLATE(B2782,""en"",""it"")"),"Diverse altre persone in classe possono essere viste in bicicletta fisse nello specchio dietro l'istruttore.")</f>
        <v>Diverse altre persone in classe possono essere viste in bicicletta fisse nello specchio dietro l'istruttore.</v>
      </c>
    </row>
    <row r="2783">
      <c r="A2783" s="4" t="s">
        <v>3489</v>
      </c>
      <c r="B2783" s="4" t="s">
        <v>3493</v>
      </c>
      <c r="C2783" s="5" t="str">
        <f>IFERROR(__xludf.DUMMYFUNCTION("GOOGLETRANSLATE(B2783,""en"",""it"")"),"La donna viene quindi mostrata a terra dimostrando un esercizio.")</f>
        <v>La donna viene quindi mostrata a terra dimostrando un esercizio.</v>
      </c>
    </row>
    <row r="2784">
      <c r="A2784" s="4" t="s">
        <v>3489</v>
      </c>
      <c r="B2784" s="4" t="s">
        <v>3494</v>
      </c>
      <c r="C2784" s="5" t="str">
        <f>IFERROR(__xludf.DUMMYFUNCTION("GOOGLETRANSLATE(B2784,""en"",""it"")"),"La classe di spin viene nuovamente mostrata ancora in corso.")</f>
        <v>La classe di spin viene nuovamente mostrata ancora in corso.</v>
      </c>
    </row>
    <row r="2785">
      <c r="A2785" s="4" t="s">
        <v>3489</v>
      </c>
      <c r="B2785" s="4" t="s">
        <v>3495</v>
      </c>
      <c r="C2785" s="5" t="str">
        <f>IFERROR(__xludf.DUMMYFUNCTION("GOOGLETRANSLATE(B2785,""en"",""it"")"),"L'istruttore quindi fa di nuovo esercizi sul pavimento con la classe che segue.")</f>
        <v>L'istruttore quindi fa di nuovo esercizi sul pavimento con la classe che segue.</v>
      </c>
    </row>
    <row r="2786">
      <c r="A2786" s="4" t="s">
        <v>3489</v>
      </c>
      <c r="B2786" s="4" t="s">
        <v>3496</v>
      </c>
      <c r="C2786" s="5" t="str">
        <f>IFERROR(__xludf.DUMMYFUNCTION("GOOGLETRANSLATE(B2786,""en"",""it"")"),"L'istruttore e la classe finiscono di nuovo in bici.")</f>
        <v>L'istruttore e la classe finiscono di nuovo in bici.</v>
      </c>
    </row>
    <row r="2787">
      <c r="A2787" s="4" t="s">
        <v>3497</v>
      </c>
      <c r="B2787" s="4" t="s">
        <v>3498</v>
      </c>
      <c r="C2787" s="5" t="str">
        <f>IFERROR(__xludf.DUMMYFUNCTION("GOOGLETRANSLATE(B2787,""en"",""it"")"),"Una signora si alza e parla in palestra.")</f>
        <v>Una signora si alza e parla in palestra.</v>
      </c>
    </row>
    <row r="2788">
      <c r="A2788" s="4" t="s">
        <v>3497</v>
      </c>
      <c r="B2788" s="4" t="s">
        <v>3499</v>
      </c>
      <c r="C2788" s="5" t="str">
        <f>IFERROR(__xludf.DUMMYFUNCTION("GOOGLETRANSLATE(B2788,""en"",""it"")"),"Indica il suo addome, poi si sdraia su una panchina.")</f>
        <v>Indica il suo addome, poi si sdraia su una panchina.</v>
      </c>
    </row>
    <row r="2789">
      <c r="A2789" s="4" t="s">
        <v>3497</v>
      </c>
      <c r="B2789" s="4" t="s">
        <v>3500</v>
      </c>
      <c r="C2789" s="5" t="str">
        <f>IFERROR(__xludf.DUMMYFUNCTION("GOOGLETRANSLATE(B2789,""en"",""it"")"),"La signora tiene la panchina e solleva l'addome e le gambe.")</f>
        <v>La signora tiene la panchina e solleva l'addome e le gambe.</v>
      </c>
    </row>
    <row r="2790">
      <c r="A2790" s="4" t="s">
        <v>3497</v>
      </c>
      <c r="B2790" s="4" t="s">
        <v>3501</v>
      </c>
      <c r="C2790" s="5" t="str">
        <f>IFERROR(__xludf.DUMMYFUNCTION("GOOGLETRANSLATE(B2790,""en"",""it"")"),"La signora si siede e si avvicina al limite.")</f>
        <v>La signora si siede e si avvicina al limite.</v>
      </c>
    </row>
    <row r="2791">
      <c r="A2791" s="4" t="s">
        <v>3497</v>
      </c>
      <c r="B2791" s="4" t="s">
        <v>3502</v>
      </c>
      <c r="C2791" s="5" t="str">
        <f>IFERROR(__xludf.DUMMYFUNCTION("GOOGLETRANSLATE(B2791,""en"",""it"")"),"La signora esegue lo stesso esercizio con il sedere che pende dalla panchina.")</f>
        <v>La signora esegue lo stesso esercizio con il sedere che pende dalla panchina.</v>
      </c>
    </row>
    <row r="2792">
      <c r="A2792" s="4" t="s">
        <v>3497</v>
      </c>
      <c r="B2792" s="4" t="s">
        <v>3503</v>
      </c>
      <c r="C2792" s="5" t="str">
        <f>IFERROR(__xludf.DUMMYFUNCTION("GOOGLETRANSLATE(B2792,""en"",""it"")"),"La signora finisce, si siede in posizione verticale e parla.")</f>
        <v>La signora finisce, si siede in posizione verticale e parla.</v>
      </c>
    </row>
    <row r="2793">
      <c r="A2793" s="4" t="s">
        <v>3504</v>
      </c>
      <c r="B2793" s="6" t="s">
        <v>3505</v>
      </c>
      <c r="C2793" s="5" t="str">
        <f>IFERROR(__xludf.DUMMYFUNCTION("GOOGLETRANSLATE(B2793,""en"",""it"")"),"Una donna viene vista ospitare un segmento di notizie che conduce a clip di vigili del fuoco che corrono lungo un blocco e portano oggetti sopra la testa.")</f>
        <v>Una donna viene vista ospitare un segmento di notizie che conduce a clip di vigili del fuoco che corrono lungo un blocco e portano oggetti sopra la testa.</v>
      </c>
    </row>
    <row r="2794">
      <c r="A2794" s="4" t="s">
        <v>3504</v>
      </c>
      <c r="B2794" s="6" t="s">
        <v>3506</v>
      </c>
      <c r="C2794" s="5" t="str">
        <f>IFERROR(__xludf.DUMMYFUNCTION("GOOGLETRANSLATE(B2794,""en"",""it"")"),"Si vedono più persone che parlano alla telecamera mentre continuano a correre e donne che parlano alla telecamera.")</f>
        <v>Si vedono più persone che parlano alla telecamera mentre continuano a correre e donne che parlano alla telecamera.</v>
      </c>
    </row>
    <row r="2795">
      <c r="A2795" s="4" t="s">
        <v>3507</v>
      </c>
      <c r="B2795" s="4" t="s">
        <v>3508</v>
      </c>
      <c r="C2795" s="5" t="str">
        <f>IFERROR(__xludf.DUMMYFUNCTION("GOOGLETRANSLATE(B2795,""en"",""it"")"),"Una neve individuale pala, ma solo le gambe e la pala sono visibili sulla telecamera.")</f>
        <v>Una neve individuale pala, ma solo le gambe e la pala sono visibili sulla telecamera.</v>
      </c>
    </row>
    <row r="2796">
      <c r="A2796" s="4" t="s">
        <v>3507</v>
      </c>
      <c r="B2796" s="4" t="s">
        <v>3509</v>
      </c>
      <c r="C2796" s="5" t="str">
        <f>IFERROR(__xludf.DUMMYFUNCTION("GOOGLETRANSLATE(B2796,""en"",""it"")"),"Il singolo mette da parte la pala e cammina verso la telecamera.")</f>
        <v>Il singolo mette da parte la pala e cammina verso la telecamera.</v>
      </c>
    </row>
    <row r="2797">
      <c r="A2797" s="4" t="s">
        <v>3507</v>
      </c>
      <c r="B2797" s="4" t="s">
        <v>3510</v>
      </c>
      <c r="C2797" s="5" t="str">
        <f>IFERROR(__xludf.DUMMYFUNCTION("GOOGLETRANSLATE(B2797,""en"",""it"")"),"La fotocamera mostra ancora una volta il singolo pala.")</f>
        <v>La fotocamera mostra ancora una volta il singolo pala.</v>
      </c>
    </row>
    <row r="2798">
      <c r="A2798" s="4" t="s">
        <v>3511</v>
      </c>
      <c r="B2798" s="4" t="s">
        <v>3512</v>
      </c>
      <c r="C2798" s="5" t="str">
        <f>IFERROR(__xludf.DUMMYFUNCTION("GOOGLETRANSLATE(B2798,""en"",""it"")"),"Un uomo con un abito di riscaldamento grigio è girato dietro una rete.")</f>
        <v>Un uomo con un abito di riscaldamento grigio è girato dietro una rete.</v>
      </c>
    </row>
    <row r="2799">
      <c r="A2799" s="4" t="s">
        <v>3511</v>
      </c>
      <c r="B2799" s="4" t="s">
        <v>3513</v>
      </c>
      <c r="C2799" s="5" t="str">
        <f>IFERROR(__xludf.DUMMYFUNCTION("GOOGLETRANSLATE(B2799,""en"",""it"")"),"Un altro uomo in una felpa verde pratica un tiro a lancio in un campo dietro un cancello di rete.")</f>
        <v>Un altro uomo in una felpa verde pratica un tiro a lancio in un campo dietro un cancello di rete.</v>
      </c>
    </row>
    <row r="2800">
      <c r="A2800" s="4" t="s">
        <v>3511</v>
      </c>
      <c r="B2800" s="4" t="s">
        <v>3514</v>
      </c>
      <c r="C2800" s="5" t="str">
        <f>IFERROR(__xludf.DUMMYFUNCTION("GOOGLETRANSLATE(B2800,""en"",""it"")"),"Le foto sono ancora presenti tra più uomini che praticano il lancio del loro tiro.")</f>
        <v>Le foto sono ancora presenti tra più uomini che praticano il lancio del loro tiro.</v>
      </c>
    </row>
    <row r="2801">
      <c r="A2801" s="4" t="s">
        <v>3511</v>
      </c>
      <c r="B2801" s="4" t="s">
        <v>3515</v>
      </c>
      <c r="C2801" s="5" t="str">
        <f>IFERROR(__xludf.DUMMYFUNCTION("GOOGLETRANSLATE(B2801,""en"",""it"")"),"Una serie di tiri di scatto sono presenti in lanci consecutivi.")</f>
        <v>Una serie di tiri di scatto sono presenti in lanci consecutivi.</v>
      </c>
    </row>
    <row r="2802">
      <c r="A2802" s="4" t="s">
        <v>3516</v>
      </c>
      <c r="B2802" s="4" t="s">
        <v>3517</v>
      </c>
      <c r="C2802" s="5" t="str">
        <f>IFERROR(__xludf.DUMMYFUNCTION("GOOGLETRANSLATE(B2802,""en"",""it"")"),"Un uomo viene visto decorare una torta bendata mentre un piccolo gruppo di persone guarda.")</f>
        <v>Un uomo viene visto decorare una torta bendata mentre un piccolo gruppo di persone guarda.</v>
      </c>
    </row>
    <row r="2803">
      <c r="A2803" s="4" t="s">
        <v>3516</v>
      </c>
      <c r="B2803" s="4" t="s">
        <v>3518</v>
      </c>
      <c r="C2803" s="5" t="str">
        <f>IFERROR(__xludf.DUMMYFUNCTION("GOOGLETRANSLATE(B2803,""en"",""it"")"),"L'uomo aggiunge glassa alla torta mentre altri continuano a guardare e altri ingredienti.")</f>
        <v>L'uomo aggiunge glassa alla torta mentre altri continuano a guardare e altri ingredienti.</v>
      </c>
    </row>
    <row r="2804">
      <c r="A2804" s="4" t="s">
        <v>3516</v>
      </c>
      <c r="B2804" s="6" t="s">
        <v>3519</v>
      </c>
      <c r="C2804" s="5" t="str">
        <f>IFERROR(__xludf.DUMMYFUNCTION("GOOGLETRANSLATE(B2804,""en"",""it"")"),"Si toglie la benda e applausi, oltre a mettere gli abiti delle Hawaii su tutti e ballare.")</f>
        <v>Si toglie la benda e applausi, oltre a mettere gli abiti delle Hawaii su tutti e ballare.</v>
      </c>
    </row>
    <row r="2805">
      <c r="A2805" s="4" t="s">
        <v>3520</v>
      </c>
      <c r="B2805" s="4" t="s">
        <v>3521</v>
      </c>
      <c r="C2805" s="5" t="str">
        <f>IFERROR(__xludf.DUMMYFUNCTION("GOOGLETRANSLATE(B2805,""en"",""it"")"),"Un uomo è fuori sul tetto del suo capannone con un soffiatore di foglie pronto a pulire le foglie dal tetto.")</f>
        <v>Un uomo è fuori sul tetto del suo capannone con un soffiatore di foglie pronto a pulire le foglie dal tetto.</v>
      </c>
    </row>
    <row r="2806">
      <c r="A2806" s="4" t="s">
        <v>3520</v>
      </c>
      <c r="B2806" s="6" t="s">
        <v>3522</v>
      </c>
      <c r="C2806" s="5" t="str">
        <f>IFERROR(__xludf.DUMMYFUNCTION("GOOGLETRANSLATE(B2806,""en"",""it"")"),"Mostra un primo piano del soffiatore di foglie e spiega i dettagli di esso, si innesca la macchina, mette giù la fotocamera e la avvia.")</f>
        <v>Mostra un primo piano del soffiatore di foglie e spiega i dettagli di esso, si innesca la macchina, mette giù la fotocamera e la avvia.</v>
      </c>
    </row>
    <row r="2807">
      <c r="A2807" s="4" t="s">
        <v>3520</v>
      </c>
      <c r="B2807" s="4" t="s">
        <v>3523</v>
      </c>
      <c r="C2807" s="5" t="str">
        <f>IFERROR(__xludf.DUMMYFUNCTION("GOOGLETRANSLATE(B2807,""en"",""it"")"),"Raccoglie la fotocamera e ottiene di nuovo un primo piano del ventilatore.")</f>
        <v>Raccoglie la fotocamera e ottiene di nuovo un primo piano del ventilatore.</v>
      </c>
    </row>
    <row r="2808">
      <c r="A2808" s="4" t="s">
        <v>3520</v>
      </c>
      <c r="B2808" s="4" t="s">
        <v>3524</v>
      </c>
      <c r="C2808" s="5" t="str">
        <f>IFERROR(__xludf.DUMMYFUNCTION("GOOGLETRANSLATE(B2808,""en"",""it"")"),"Ora soffia le foglie dal tetto del suo capannone.")</f>
        <v>Ora soffia le foglie dal tetto del suo capannone.</v>
      </c>
    </row>
    <row r="2809">
      <c r="A2809" s="4" t="s">
        <v>3525</v>
      </c>
      <c r="B2809" s="4" t="s">
        <v>3526</v>
      </c>
      <c r="C2809" s="5" t="str">
        <f>IFERROR(__xludf.DUMMYFUNCTION("GOOGLETRANSLATE(B2809,""en"",""it"")"),"Un uomo si veste per sciare nella neve che cade.")</f>
        <v>Un uomo si veste per sciare nella neve che cade.</v>
      </c>
    </row>
    <row r="2810">
      <c r="A2810" s="4" t="s">
        <v>3525</v>
      </c>
      <c r="B2810" s="4" t="s">
        <v>3527</v>
      </c>
      <c r="C2810" s="5" t="str">
        <f>IFERROR(__xludf.DUMMYFUNCTION("GOOGLETRANSLATE(B2810,""en"",""it"")"),"Sta parlando con la telecamera dello sci.")</f>
        <v>Sta parlando con la telecamera dello sci.</v>
      </c>
    </row>
    <row r="2811">
      <c r="A2811" s="4" t="s">
        <v>3525</v>
      </c>
      <c r="B2811" s="4" t="s">
        <v>3528</v>
      </c>
      <c r="C2811" s="5" t="str">
        <f>IFERROR(__xludf.DUMMYFUNCTION("GOOGLETRANSLATE(B2811,""en"",""it"")"),"Viene quindi visto attraversare l'aria e giù per pendii ripidi mentre gli sci.")</f>
        <v>Viene quindi visto attraversare l'aria e giù per pendii ripidi mentre gli sci.</v>
      </c>
    </row>
    <row r="2812">
      <c r="A2812" s="4" t="s">
        <v>3529</v>
      </c>
      <c r="B2812" s="6" t="s">
        <v>3530</v>
      </c>
      <c r="C2812" s="5" t="str">
        <f>IFERROR(__xludf.DUMMYFUNCTION("GOOGLETRANSLATE(B2812,""en"",""it"")"),"Viene visto un uomo parlare alla telecamera mentre era seduto su una sedia e alza le braccia ogni tanto.")</f>
        <v>Viene visto un uomo parlare alla telecamera mentre era seduto su una sedia e alza le braccia ogni tanto.</v>
      </c>
    </row>
    <row r="2813">
      <c r="A2813" s="4" t="s">
        <v>3529</v>
      </c>
      <c r="B2813" s="6" t="s">
        <v>3531</v>
      </c>
      <c r="C2813" s="5" t="str">
        <f>IFERROR(__xludf.DUMMYFUNCTION("GOOGLETRANSLATE(B2813,""en"",""it"")"),"Quindi suona un'armonica che si muove le mani mentre si ferma per parlare alla telecamera e finisce per parlare e puntare.")</f>
        <v>Quindi suona un'armonica che si muove le mani mentre si ferma per parlare alla telecamera e finisce per parlare e puntare.</v>
      </c>
    </row>
    <row r="2814">
      <c r="A2814" s="4" t="s">
        <v>3532</v>
      </c>
      <c r="B2814" s="4" t="s">
        <v>3533</v>
      </c>
      <c r="C2814" s="5" t="str">
        <f>IFERROR(__xludf.DUMMYFUNCTION("GOOGLETRANSLATE(B2814,""en"",""it"")"),"Un uomo è visto in piedi accanto a un toro e alza una bandiera rossa.")</f>
        <v>Un uomo è visto in piedi accanto a un toro e alza una bandiera rossa.</v>
      </c>
    </row>
    <row r="2815">
      <c r="A2815" s="4" t="s">
        <v>3532</v>
      </c>
      <c r="B2815" s="4" t="s">
        <v>3534</v>
      </c>
      <c r="C2815" s="5" t="str">
        <f>IFERROR(__xludf.DUMMYFUNCTION("GOOGLETRANSLATE(B2815,""en"",""it"")"),"Il toro viene quindi mostrato attaccando diversi uomini in molte clip.")</f>
        <v>Il toro viene quindi mostrato attaccando diversi uomini in molte clip.</v>
      </c>
    </row>
    <row r="2816">
      <c r="A2816" s="4" t="s">
        <v>3532</v>
      </c>
      <c r="B2816" s="4" t="s">
        <v>3535</v>
      </c>
      <c r="C2816" s="5" t="str">
        <f>IFERROR(__xludf.DUMMYFUNCTION("GOOGLETRANSLATE(B2816,""en"",""it"")"),"A più persone vengono mostrate inseguire tori con loro che inseguono.")</f>
        <v>A più persone vengono mostrate inseguire tori con loro che inseguono.</v>
      </c>
    </row>
    <row r="2817">
      <c r="A2817" s="4" t="s">
        <v>3536</v>
      </c>
      <c r="B2817" s="4" t="s">
        <v>3537</v>
      </c>
      <c r="C2817" s="5" t="str">
        <f>IFERROR(__xludf.DUMMYFUNCTION("GOOGLETRANSLATE(B2817,""en"",""it"")"),"Una donna è seduta e parla di fronte a un laptop.")</f>
        <v>Una donna è seduta e parla di fronte a un laptop.</v>
      </c>
    </row>
    <row r="2818">
      <c r="A2818" s="4" t="s">
        <v>3536</v>
      </c>
      <c r="B2818" s="4" t="s">
        <v>3538</v>
      </c>
      <c r="C2818" s="5" t="str">
        <f>IFERROR(__xludf.DUMMYFUNCTION("GOOGLETRANSLATE(B2818,""en"",""it"")"),"Si alza di fronte a una stanza di familiari.")</f>
        <v>Si alza di fronte a una stanza di familiari.</v>
      </c>
    </row>
    <row r="2819">
      <c r="A2819" s="4" t="s">
        <v>3536</v>
      </c>
      <c r="B2819" s="4" t="s">
        <v>3539</v>
      </c>
      <c r="C2819" s="5" t="str">
        <f>IFERROR(__xludf.DUMMYFUNCTION("GOOGLETRANSLATE(B2819,""en"",""it"")"),"Balla, mostrando diverse mosse alla gente mentre brilla attraverso la stanza.")</f>
        <v>Balla, mostrando diverse mosse alla gente mentre brilla attraverso la stanza.</v>
      </c>
    </row>
    <row r="2820">
      <c r="A2820" s="4" t="s">
        <v>3540</v>
      </c>
      <c r="B2820" s="4" t="s">
        <v>3541</v>
      </c>
      <c r="C2820" s="5" t="str">
        <f>IFERROR(__xludf.DUMMYFUNCTION("GOOGLETRANSLATE(B2820,""en"",""it"")"),"Un uomo è in piedi nella sua uniforme in un deserto come l'area che parla.")</f>
        <v>Un uomo è in piedi nella sua uniforme in un deserto come l'area che parla.</v>
      </c>
    </row>
    <row r="2821">
      <c r="A2821" s="4" t="s">
        <v>3540</v>
      </c>
      <c r="B2821" s="6" t="s">
        <v>3542</v>
      </c>
      <c r="C2821" s="5" t="str">
        <f>IFERROR(__xludf.DUMMYFUNCTION("GOOGLETRANSLATE(B2821,""en"",""it"")"),"Mentre parlava, diversi video di lui vengono mostrati fuori strada che corrono in moto intorno al percorso saltando su gobba.")</f>
        <v>Mentre parlava, diversi video di lui vengono mostrati fuori strada che corrono in moto intorno al percorso saltando su gobba.</v>
      </c>
    </row>
    <row r="2822">
      <c r="A2822" s="4" t="s">
        <v>3540</v>
      </c>
      <c r="B2822" s="6" t="s">
        <v>3543</v>
      </c>
      <c r="C2822" s="5" t="str">
        <f>IFERROR(__xludf.DUMMYFUNCTION("GOOGLETRANSLATE(B2822,""en"",""it"")"),"Tuttavia, torna durante i segmenti per mostrare come usa le tecniche in determinati salti e il modo corretto per farlo.")</f>
        <v>Tuttavia, torna durante i segmenti per mostrare come usa le tecniche in determinati salti e il modo corretto per farlo.</v>
      </c>
    </row>
    <row r="2823">
      <c r="A2823" s="4" t="s">
        <v>3544</v>
      </c>
      <c r="B2823" s="4" t="s">
        <v>3545</v>
      </c>
      <c r="C2823" s="5" t="str">
        <f>IFERROR(__xludf.DUMMYFUNCTION("GOOGLETRANSLATE(B2823,""en"",""it"")"),"Una bambina è in piedi davanti a una partita di hopscotch nel suo soggiorno.")</f>
        <v>Una bambina è in piedi davanti a una partita di hopscotch nel suo soggiorno.</v>
      </c>
    </row>
    <row r="2824">
      <c r="A2824" s="4" t="s">
        <v>3544</v>
      </c>
      <c r="B2824" s="4" t="s">
        <v>3546</v>
      </c>
      <c r="C2824" s="5" t="str">
        <f>IFERROR(__xludf.DUMMYFUNCTION("GOOGLETRANSLATE(B2824,""en"",""it"")"),"Salta in avanti su ogni quadrato, poi si gira e va dall'altra parte.")</f>
        <v>Salta in avanti su ogni quadrato, poi si gira e va dall'altra parte.</v>
      </c>
    </row>
    <row r="2825">
      <c r="A2825" s="4" t="s">
        <v>3544</v>
      </c>
      <c r="B2825" s="4" t="s">
        <v>3547</v>
      </c>
      <c r="C2825" s="5" t="str">
        <f>IFERROR(__xludf.DUMMYFUNCTION("GOOGLETRANSLATE(B2825,""en"",""it"")"),"Sorride e si inchina per la fotocamera.")</f>
        <v>Sorride e si inchina per la fotocamera.</v>
      </c>
    </row>
    <row r="2826">
      <c r="A2826" s="4" t="s">
        <v>3548</v>
      </c>
      <c r="B2826" s="4" t="s">
        <v>3549</v>
      </c>
      <c r="C2826" s="5" t="str">
        <f>IFERROR(__xludf.DUMMYFUNCTION("GOOGLETRANSLATE(B2826,""en"",""it"")"),"Un uomo allacciava le gambe su un palo di una barca a vela e si sdraiava sulla schiena sul confine della barca.")</f>
        <v>Un uomo allacciava le gambe su un palo di una barca a vela e si sdraiava sulla schiena sul confine della barca.</v>
      </c>
    </row>
    <row r="2827">
      <c r="A2827" s="4" t="s">
        <v>3548</v>
      </c>
      <c r="B2827" s="4" t="s">
        <v>3550</v>
      </c>
      <c r="C2827" s="5" t="str">
        <f>IFERROR(__xludf.DUMMYFUNCTION("GOOGLETRANSLATE(B2827,""en"",""it"")"),"Quindi, l'uomo naviga sulla barca con una corda e si sdraiò sul confine della barca.")</f>
        <v>Quindi, l'uomo naviga sulla barca con una corda e si sdraiò sul confine della barca.</v>
      </c>
    </row>
    <row r="2828">
      <c r="A2828" s="4" t="s">
        <v>3548</v>
      </c>
      <c r="B2828" s="4" t="s">
        <v>3551</v>
      </c>
      <c r="C2828" s="5" t="str">
        <f>IFERROR(__xludf.DUMMYFUNCTION("GOOGLETRANSLATE(B2828,""en"",""it"")"),"L'uomo cade in acqua, poi si alza sulla barca e continua a navigare sulla schiena.")</f>
        <v>L'uomo cade in acqua, poi si alza sulla barca e continua a navigare sulla schiena.</v>
      </c>
    </row>
    <row r="2829">
      <c r="A2829" s="4" t="s">
        <v>3548</v>
      </c>
      <c r="B2829" s="4" t="s">
        <v>3552</v>
      </c>
      <c r="C2829" s="5" t="str">
        <f>IFERROR(__xludf.DUMMYFUNCTION("GOOGLETRANSLATE(B2829,""en"",""it"")"),"Un passaggio del tabellone a vela accanto alla barca.")</f>
        <v>Un passaggio del tabellone a vela accanto alla barca.</v>
      </c>
    </row>
    <row r="2830">
      <c r="A2830" s="4" t="s">
        <v>3553</v>
      </c>
      <c r="B2830" s="4" t="s">
        <v>3554</v>
      </c>
      <c r="C2830" s="5" t="str">
        <f>IFERROR(__xludf.DUMMYFUNCTION("GOOGLETRANSLATE(B2830,""en"",""it"")"),"Un uomo sembra calpestare l'acqua mentre aspetta di uscire dall'acqua e salire su un set di scale.")</f>
        <v>Un uomo sembra calpestare l'acqua mentre aspetta di uscire dall'acqua e salire su un set di scale.</v>
      </c>
    </row>
    <row r="2831">
      <c r="A2831" s="4" t="s">
        <v>3553</v>
      </c>
      <c r="B2831" s="4" t="s">
        <v>3555</v>
      </c>
      <c r="C2831" s="5" t="str">
        <f>IFERROR(__xludf.DUMMYFUNCTION("GOOGLETRANSLATE(B2831,""en"",""it"")"),"Alla fine scende dalle scale e si unisce agli altri che si trovano sul tabellone delle immersioni di legno.")</f>
        <v>Alla fine scende dalle scale e si unisce agli altri che si trovano sul tabellone delle immersioni di legno.</v>
      </c>
    </row>
    <row r="2832">
      <c r="A2832" s="4" t="s">
        <v>3553</v>
      </c>
      <c r="B2832" s="4" t="s">
        <v>3556</v>
      </c>
      <c r="C2832" s="5" t="str">
        <f>IFERROR(__xludf.DUMMYFUNCTION("GOOGLETRANSLATE(B2832,""en"",""it"")"),"Innanzitutto, un set di tre ragazze salta fuori prima di farlo e crea una grande confusione di onde.")</f>
        <v>Innanzitutto, un set di tre ragazze salta fuori prima di farlo e crea una grande confusione di onde.</v>
      </c>
    </row>
    <row r="2833">
      <c r="A2833" s="4" t="s">
        <v>3557</v>
      </c>
      <c r="B2833" s="4" t="s">
        <v>3558</v>
      </c>
      <c r="C2833" s="5" t="str">
        <f>IFERROR(__xludf.DUMMYFUNCTION("GOOGLETRANSLATE(B2833,""en"",""it"")"),"Viene mostrata una foto di una tazza di caffè e un cucchiaio per la musica rilassante.")</f>
        <v>Viene mostrata una foto di una tazza di caffè e un cucchiaio per la musica rilassante.</v>
      </c>
    </row>
    <row r="2834">
      <c r="A2834" s="4" t="s">
        <v>3557</v>
      </c>
      <c r="B2834" s="6" t="s">
        <v>3559</v>
      </c>
      <c r="C2834" s="5" t="str">
        <f>IFERROR(__xludf.DUMMYFUNCTION("GOOGLETRANSLATE(B2834,""en"",""it"")"),"Vengono visualizzati vari schermi del titolo e alla fine la stessa immagine della tazza di caffè appare mentre la musica soft suona in sottofondo.")</f>
        <v>Vengono visualizzati vari schermi del titolo e alla fine la stessa immagine della tazza di caffè appare mentre la musica soft suona in sottofondo.</v>
      </c>
    </row>
    <row r="2835">
      <c r="A2835" s="4" t="s">
        <v>3560</v>
      </c>
      <c r="B2835" s="4" t="s">
        <v>3561</v>
      </c>
      <c r="C2835" s="5" t="str">
        <f>IFERROR(__xludf.DUMMYFUNCTION("GOOGLETRANSLATE(B2835,""en"",""it"")"),"Vengono visualizzati i crediti di una clip.")</f>
        <v>Vengono visualizzati i crediti di una clip.</v>
      </c>
    </row>
    <row r="2836">
      <c r="A2836" s="4" t="s">
        <v>3560</v>
      </c>
      <c r="B2836" s="4" t="s">
        <v>3562</v>
      </c>
      <c r="C2836" s="5" t="str">
        <f>IFERROR(__xludf.DUMMYFUNCTION("GOOGLETRANSLATE(B2836,""en"",""it"")"),"Una persona è imbarcata su un corpo d'acqua.")</f>
        <v>Una persona è imbarcata su un corpo d'acqua.</v>
      </c>
    </row>
    <row r="2837">
      <c r="A2837" s="4" t="s">
        <v>3560</v>
      </c>
      <c r="B2837" s="4" t="s">
        <v>3563</v>
      </c>
      <c r="C2837" s="5" t="str">
        <f>IFERROR(__xludf.DUMMYFUNCTION("GOOGLETRANSLATE(B2837,""en"",""it"")"),"Le persone cavalcano una barca e interagiscono.")</f>
        <v>Le persone cavalcano una barca e interagiscono.</v>
      </c>
    </row>
    <row r="2838">
      <c r="A2838" s="4" t="s">
        <v>3560</v>
      </c>
      <c r="B2838" s="4" t="s">
        <v>3564</v>
      </c>
      <c r="C2838" s="5" t="str">
        <f>IFERROR(__xludf.DUMMYFUNCTION("GOOGLETRANSLATE(B2838,""en"",""it"")"),"Una signora Hula Hoops to Music.")</f>
        <v>Una signora Hula Hoops to Music.</v>
      </c>
    </row>
    <row r="2839">
      <c r="A2839" s="4" t="s">
        <v>3560</v>
      </c>
      <c r="B2839" s="4" t="s">
        <v>3565</v>
      </c>
      <c r="C2839" s="5" t="str">
        <f>IFERROR(__xludf.DUMMYFUNCTION("GOOGLETRANSLATE(B2839,""en"",""it"")"),"Un maschio salta dalle rocce nelle acque.")</f>
        <v>Un maschio salta dalle rocce nelle acque.</v>
      </c>
    </row>
    <row r="2840">
      <c r="A2840" s="4" t="s">
        <v>3560</v>
      </c>
      <c r="B2840" s="4" t="s">
        <v>3566</v>
      </c>
      <c r="C2840" s="5" t="str">
        <f>IFERROR(__xludf.DUMMYFUNCTION("GOOGLETRANSLATE(B2840,""en"",""it"")"),"Le persone sono sulla riva e alcune sono sulla barca.")</f>
        <v>Le persone sono sulla riva e alcune sono sulla barca.</v>
      </c>
    </row>
    <row r="2841">
      <c r="A2841" s="4" t="s">
        <v>3560</v>
      </c>
      <c r="B2841" s="4" t="s">
        <v>3567</v>
      </c>
      <c r="C2841" s="5" t="str">
        <f>IFERROR(__xludf.DUMMYFUNCTION("GOOGLETRANSLATE(B2841,""en"",""it"")"),"Un uomo salta di una barca con il suo tabellone.")</f>
        <v>Un uomo salta di una barca con il suo tabellone.</v>
      </c>
    </row>
    <row r="2842">
      <c r="A2842" s="4" t="s">
        <v>3560</v>
      </c>
      <c r="B2842" s="4" t="s">
        <v>3568</v>
      </c>
      <c r="C2842" s="5" t="str">
        <f>IFERROR(__xludf.DUMMYFUNCTION("GOOGLETRANSLATE(B2842,""en"",""it"")"),"Un ragazzo usa un cerchio di hula come una corda da salto.")</f>
        <v>Un ragazzo usa un cerchio di hula come una corda da salto.</v>
      </c>
    </row>
    <row r="2843">
      <c r="A2843" s="4" t="s">
        <v>3560</v>
      </c>
      <c r="B2843" s="4" t="s">
        <v>3569</v>
      </c>
      <c r="C2843" s="5" t="str">
        <f>IFERROR(__xludf.DUMMYFUNCTION("GOOGLETRANSLATE(B2843,""en"",""it"")"),"Le donne ballano alla musica in una funzione sociale.")</f>
        <v>Le donne ballano alla musica in una funzione sociale.</v>
      </c>
    </row>
    <row r="2844">
      <c r="A2844" s="4" t="s">
        <v>3560</v>
      </c>
      <c r="B2844" s="4" t="s">
        <v>3570</v>
      </c>
      <c r="C2844" s="5" t="str">
        <f>IFERROR(__xludf.DUMMYFUNCTION("GOOGLETRANSLATE(B2844,""en"",""it"")"),"L'individuo è nel corpo dell'acqua.")</f>
        <v>L'individuo è nel corpo dell'acqua.</v>
      </c>
    </row>
    <row r="2845">
      <c r="A2845" s="4" t="s">
        <v>3560</v>
      </c>
      <c r="B2845" s="4" t="s">
        <v>3571</v>
      </c>
      <c r="C2845" s="5" t="str">
        <f>IFERROR(__xludf.DUMMYFUNCTION("GOOGLETRANSLATE(B2845,""en"",""it"")"),"Due adulti corrono in un cilindro cavo in legno.")</f>
        <v>Due adulti corrono in un cilindro cavo in legno.</v>
      </c>
    </row>
    <row r="2846">
      <c r="A2846" s="4" t="s">
        <v>3560</v>
      </c>
      <c r="B2846" s="4" t="s">
        <v>3572</v>
      </c>
      <c r="C2846" s="5" t="str">
        <f>IFERROR(__xludf.DUMMYFUNCTION("GOOGLETRANSLATE(B2846,""en"",""it"")"),"Una schiena individuale gira da una barca.")</f>
        <v>Una schiena individuale gira da una barca.</v>
      </c>
    </row>
    <row r="2847">
      <c r="A2847" s="4" t="s">
        <v>3560</v>
      </c>
      <c r="B2847" s="4" t="s">
        <v>3573</v>
      </c>
      <c r="C2847" s="5" t="str">
        <f>IFERROR(__xludf.DUMMYFUNCTION("GOOGLETRANSLATE(B2847,""en"",""it"")"),"Una femmina si trova su un tabellone su erba.")</f>
        <v>Una femmina si trova su un tabellone su erba.</v>
      </c>
    </row>
    <row r="2848">
      <c r="A2848" s="4" t="s">
        <v>3560</v>
      </c>
      <c r="B2848" s="4" t="s">
        <v>3574</v>
      </c>
      <c r="C2848" s="5" t="str">
        <f>IFERROR(__xludf.DUMMYFUNCTION("GOOGLETRANSLATE(B2848,""en"",""it"")"),"Le persone saltano da una barca gonfiata.")</f>
        <v>Le persone saltano da una barca gonfiata.</v>
      </c>
    </row>
    <row r="2849">
      <c r="A2849" s="4" t="s">
        <v>3560</v>
      </c>
      <c r="B2849" s="4" t="s">
        <v>3575</v>
      </c>
      <c r="C2849" s="5" t="str">
        <f>IFERROR(__xludf.DUMMYFUNCTION("GOOGLETRANSLATE(B2849,""en"",""it"")"),"I crediti di un video sono mostrati con clip.")</f>
        <v>I crediti di un video sono mostrati con clip.</v>
      </c>
    </row>
    <row r="2850">
      <c r="A2850" s="4" t="s">
        <v>3576</v>
      </c>
      <c r="B2850" s="4" t="s">
        <v>3577</v>
      </c>
      <c r="C2850" s="5" t="str">
        <f>IFERROR(__xludf.DUMMYFUNCTION("GOOGLETRANSLATE(B2850,""en"",""it"")"),"Un giovane parla all'interno di una casa, poi esce da casa.")</f>
        <v>Un giovane parla all'interno di una casa, poi esce da casa.</v>
      </c>
    </row>
    <row r="2851">
      <c r="A2851" s="4" t="s">
        <v>3576</v>
      </c>
      <c r="B2851" s="4" t="s">
        <v>3578</v>
      </c>
      <c r="C2851" s="5" t="str">
        <f>IFERROR(__xludf.DUMMYFUNCTION("GOOGLETRANSLATE(B2851,""en"",""it"")"),"Un uomo e un adolescente si trovano sul fronte di una piscina a parlare e una persona si sdraiava su una sedia.")</f>
        <v>Un uomo e un adolescente si trovano sul fronte di una piscina a parlare e una persona si sdraiava su una sedia.</v>
      </c>
    </row>
    <row r="2852">
      <c r="A2852" s="4" t="s">
        <v>3576</v>
      </c>
      <c r="B2852" s="4" t="s">
        <v>3579</v>
      </c>
      <c r="C2852" s="5" t="str">
        <f>IFERROR(__xludf.DUMMYFUNCTION("GOOGLETRANSLATE(B2852,""en"",""it"")"),"Quindi, l'uomo spinge l'adolescente in acqua che ha difficoltà a nuotare.")</f>
        <v>Quindi, l'uomo spinge l'adolescente in acqua che ha difficoltà a nuotare.</v>
      </c>
    </row>
    <row r="2853">
      <c r="A2853" s="4" t="s">
        <v>3576</v>
      </c>
      <c r="B2853" s="4" t="s">
        <v>3580</v>
      </c>
      <c r="C2853" s="5" t="str">
        <f>IFERROR(__xludf.DUMMYFUNCTION("GOOGLETRANSLATE(B2853,""en"",""it"")"),"Dopo, l'uomo entra in acqua e lancia l'adolescente.")</f>
        <v>Dopo, l'uomo entra in acqua e lancia l'adolescente.</v>
      </c>
    </row>
    <row r="2854">
      <c r="A2854" s="4" t="s">
        <v>3576</v>
      </c>
      <c r="B2854" s="4" t="s">
        <v>3581</v>
      </c>
      <c r="C2854" s="5" t="str">
        <f>IFERROR(__xludf.DUMMYFUNCTION("GOOGLETRANSLATE(B2854,""en"",""it"")"),"L'adolescente esce dalla piscina e getta la sedia all'uomo.")</f>
        <v>L'adolescente esce dalla piscina e getta la sedia all'uomo.</v>
      </c>
    </row>
    <row r="2855">
      <c r="A2855" s="4" t="s">
        <v>3576</v>
      </c>
      <c r="B2855" s="4" t="s">
        <v>3582</v>
      </c>
      <c r="C2855" s="5" t="str">
        <f>IFERROR(__xludf.DUMMYFUNCTION("GOOGLETRANSLATE(B2855,""en"",""it"")"),"Successivamente, l'adolescente se ne va arrabbiato e gli uomini e la donna prendono le sedie fuori dalla piscina.")</f>
        <v>Successivamente, l'adolescente se ne va arrabbiato e gli uomini e la donna prendono le sedie fuori dalla piscina.</v>
      </c>
    </row>
    <row r="2856">
      <c r="A2856" s="4" t="s">
        <v>3583</v>
      </c>
      <c r="B2856" s="4" t="s">
        <v>3584</v>
      </c>
      <c r="C2856" s="5" t="str">
        <f>IFERROR(__xludf.DUMMYFUNCTION("GOOGLETRANSLATE(B2856,""en"",""it"")"),"Diverse persone si trovano in una parte di pattinaggio che si trasferisce l'uno con l'altro.")</f>
        <v>Diverse persone si trovano in una parte di pattinaggio che si trasferisce l'uno con l'altro.</v>
      </c>
    </row>
    <row r="2857">
      <c r="A2857" s="4" t="s">
        <v>3583</v>
      </c>
      <c r="B2857" s="4" t="s">
        <v>3585</v>
      </c>
      <c r="C2857" s="5" t="str">
        <f>IFERROR(__xludf.DUMMYFUNCTION("GOOGLETRANSLATE(B2857,""en"",""it"")"),"Le persone si spostano quindi in luoghi panoramici e inizia a far roteare la lama in tutta la città.")</f>
        <v>Le persone si spostano quindi in luoghi panoramici e inizia a far roteare la lama in tutta la città.</v>
      </c>
    </row>
    <row r="2858">
      <c r="A2858" s="4" t="s">
        <v>3583</v>
      </c>
      <c r="B2858" s="6" t="s">
        <v>3586</v>
      </c>
      <c r="C2858" s="5" t="str">
        <f>IFERROR(__xludf.DUMMYFUNCTION("GOOGLETRANSLATE(B2858,""en"",""it"")"),"Più persone iniziano a pattinare e iniziano a fare rampe nel vicolo e vanno in uno skate park.")</f>
        <v>Più persone iniziano a pattinare e iniziano a fare rampe nel vicolo e vanno in uno skate park.</v>
      </c>
    </row>
    <row r="2859">
      <c r="A2859" s="4" t="s">
        <v>3587</v>
      </c>
      <c r="B2859" s="4" t="s">
        <v>3588</v>
      </c>
      <c r="C2859" s="5" t="str">
        <f>IFERROR(__xludf.DUMMYFUNCTION("GOOGLETRANSLATE(B2859,""en"",""it"")"),"Vengono mostrati vari scatti di spiagge seguiti dalla fotocamera che si panoramica su diversi scatti di onde.")</f>
        <v>Vengono mostrati vari scatti di spiagge seguiti dalla fotocamera che si panoramica su diversi scatti di onde.</v>
      </c>
    </row>
    <row r="2860">
      <c r="A2860" s="4" t="s">
        <v>3587</v>
      </c>
      <c r="B2860" s="4" t="s">
        <v>3589</v>
      </c>
      <c r="C2860" s="5" t="str">
        <f>IFERROR(__xludf.DUMMYFUNCTION("GOOGLETRANSLATE(B2860,""en"",""it"")"),"Una persona viene quindi vista cavalcare una tavola da surf attraverso vari scatti nella fotocamera.")</f>
        <v>Una persona viene quindi vista cavalcare una tavola da surf attraverso vari scatti nella fotocamera.</v>
      </c>
    </row>
    <row r="2861">
      <c r="A2861" s="4" t="s">
        <v>3587</v>
      </c>
      <c r="B2861" s="6" t="s">
        <v>3590</v>
      </c>
      <c r="C2861" s="5" t="str">
        <f>IFERROR(__xludf.DUMMYFUNCTION("GOOGLETRANSLATE(B2861,""en"",""it"")"),"Le persone vengono mostrate parlando alla telecamera quando un'altra persona si schianta sul proprio tabellone più volte.")</f>
        <v>Le persone vengono mostrate parlando alla telecamera quando un'altra persona si schianta sul proprio tabellone più volte.</v>
      </c>
    </row>
    <row r="2862">
      <c r="A2862" s="4" t="s">
        <v>3587</v>
      </c>
      <c r="B2862" s="4" t="s">
        <v>3591</v>
      </c>
      <c r="C2862" s="5" t="str">
        <f>IFERROR(__xludf.DUMMYFUNCTION("GOOGLETRANSLATE(B2862,""en"",""it"")"),"Si vedono più persone che camminano mentre più surfisti continuano a guidare le onde.")</f>
        <v>Si vedono più persone che camminano mentre più surfisti continuano a guidare le onde.</v>
      </c>
    </row>
    <row r="2863">
      <c r="A2863" s="4" t="s">
        <v>3592</v>
      </c>
      <c r="B2863" s="4" t="s">
        <v>3593</v>
      </c>
      <c r="C2863" s="5" t="str">
        <f>IFERROR(__xludf.DUMMYFUNCTION("GOOGLETRANSLATE(B2863,""en"",""it"")"),"Una donna tiene un bambino in grembo da donna accanto al suo usa un pettine di plastica per lavarsi i capelli.")</f>
        <v>Una donna tiene un bambino in grembo da donna accanto al suo usa un pettine di plastica per lavarsi i capelli.</v>
      </c>
    </row>
    <row r="2864">
      <c r="A2864" s="4" t="s">
        <v>3592</v>
      </c>
      <c r="B2864" s="4" t="s">
        <v>3594</v>
      </c>
      <c r="C2864" s="5" t="str">
        <f>IFERROR(__xludf.DUMMYFUNCTION("GOOGLETRANSLATE(B2864,""en"",""it"")"),"Parla con il bambino mentre spazzola e il bambino la osserva intensamente.")</f>
        <v>Parla con il bambino mentre spazzola e il bambino la osserva intensamente.</v>
      </c>
    </row>
    <row r="2865">
      <c r="A2865" s="4" t="s">
        <v>3595</v>
      </c>
      <c r="B2865" s="4" t="s">
        <v>3596</v>
      </c>
      <c r="C2865" s="5" t="str">
        <f>IFERROR(__xludf.DUMMYFUNCTION("GOOGLETRANSLATE(B2865,""en"",""it"")"),"Un uomo solleva una ragazza sopra la testa, poi sopra la sua spalla.")</f>
        <v>Un uomo solleva una ragazza sopra la testa, poi sopra la sua spalla.</v>
      </c>
    </row>
    <row r="2866">
      <c r="A2866" s="4" t="s">
        <v>3595</v>
      </c>
      <c r="B2866" s="4" t="s">
        <v>3597</v>
      </c>
      <c r="C2866" s="5" t="str">
        <f>IFERROR(__xludf.DUMMYFUNCTION("GOOGLETRANSLATE(B2866,""en"",""it"")"),"La sta sulle mani, bilanciandola in aria come altro orologio.")</f>
        <v>La sta sulle mani, bilanciandola in aria come altro orologio.</v>
      </c>
    </row>
    <row r="2867">
      <c r="A2867" s="4" t="s">
        <v>3595</v>
      </c>
      <c r="B2867" s="4" t="s">
        <v>3598</v>
      </c>
      <c r="C2867" s="5" t="str">
        <f>IFERROR(__xludf.DUMMYFUNCTION("GOOGLETRANSLATE(B2867,""en"",""it"")"),"Lascia cadere e poi la solleva di nuovo.")</f>
        <v>Lascia cadere e poi la solleva di nuovo.</v>
      </c>
    </row>
    <row r="2868">
      <c r="A2868" s="4" t="s">
        <v>3599</v>
      </c>
      <c r="B2868" s="4" t="s">
        <v>3600</v>
      </c>
      <c r="C2868" s="5" t="str">
        <f>IFERROR(__xludf.DUMMYFUNCTION("GOOGLETRANSLATE(B2868,""en"",""it"")"),"Un uomo in ginocchio corre un piccolo taglierina sulla superficie del prato.")</f>
        <v>Un uomo in ginocchio corre un piccolo taglierina sulla superficie del prato.</v>
      </c>
    </row>
    <row r="2869">
      <c r="A2869" s="4" t="s">
        <v>3599</v>
      </c>
      <c r="B2869" s="4" t="s">
        <v>3601</v>
      </c>
      <c r="C2869" s="5" t="str">
        <f>IFERROR(__xludf.DUMMYFUNCTION("GOOGLETRANSLATE(B2869,""en"",""it"")"),"L'uomo falcia l'erba verde ombreggiata.")</f>
        <v>L'uomo falcia l'erba verde ombreggiata.</v>
      </c>
    </row>
    <row r="2870">
      <c r="A2870" s="4" t="s">
        <v>3599</v>
      </c>
      <c r="B2870" s="4" t="s">
        <v>3602</v>
      </c>
      <c r="C2870" s="5" t="str">
        <f>IFERROR(__xludf.DUMMYFUNCTION("GOOGLETRANSLATE(B2870,""en"",""it"")"),"L'uomo falcia l'erba illuminata dal sole.")</f>
        <v>L'uomo falcia l'erba illuminata dal sole.</v>
      </c>
    </row>
    <row r="2871">
      <c r="A2871" s="4" t="s">
        <v>3603</v>
      </c>
      <c r="B2871" s="4" t="s">
        <v>3604</v>
      </c>
      <c r="C2871" s="5" t="str">
        <f>IFERROR(__xludf.DUMMYFUNCTION("GOOGLETRANSLATE(B2871,""en"",""it"")"),"Vediamo gli schermi del titolo che volano.")</f>
        <v>Vediamo gli schermi del titolo che volano.</v>
      </c>
    </row>
    <row r="2872">
      <c r="A2872" s="4" t="s">
        <v>3603</v>
      </c>
      <c r="B2872" s="4" t="s">
        <v>3605</v>
      </c>
      <c r="C2872" s="5" t="str">
        <f>IFERROR(__xludf.DUMMYFUNCTION("GOOGLETRANSLATE(B2872,""en"",""it"")"),"Un toro si esaurisce sul campo.")</f>
        <v>Un toro si esaurisce sul campo.</v>
      </c>
    </row>
    <row r="2873">
      <c r="A2873" s="4" t="s">
        <v>3603</v>
      </c>
      <c r="B2873" s="4" t="s">
        <v>3606</v>
      </c>
      <c r="C2873" s="5" t="str">
        <f>IFERROR(__xludf.DUMMYFUNCTION("GOOGLETRANSLATE(B2873,""en"",""it"")"),"Un toro fa un muro in cui si trova il matador.")</f>
        <v>Un toro fa un muro in cui si trova il matador.</v>
      </c>
    </row>
    <row r="2874">
      <c r="A2874" s="4" t="s">
        <v>3603</v>
      </c>
      <c r="B2874" s="4" t="s">
        <v>3607</v>
      </c>
      <c r="C2874" s="5" t="str">
        <f>IFERROR(__xludf.DUMMYFUNCTION("GOOGLETRANSLATE(B2874,""en"",""it"")"),"Il Matador prende in giro il toro con un panno rosso.")</f>
        <v>Il Matador prende in giro il toro con un panno rosso.</v>
      </c>
    </row>
    <row r="2875">
      <c r="A2875" s="4" t="s">
        <v>3603</v>
      </c>
      <c r="B2875" s="4" t="s">
        <v>3608</v>
      </c>
      <c r="C2875" s="5" t="str">
        <f>IFERROR(__xludf.DUMMYFUNCTION("GOOGLETRANSLATE(B2875,""en"",""it"")"),"Vediamo lo schermo finale.")</f>
        <v>Vediamo lo schermo finale.</v>
      </c>
    </row>
    <row r="2876">
      <c r="A2876" s="4" t="s">
        <v>3609</v>
      </c>
      <c r="B2876" s="4" t="s">
        <v>3610</v>
      </c>
      <c r="C2876" s="5" t="str">
        <f>IFERROR(__xludf.DUMMYFUNCTION("GOOGLETRANSLATE(B2876,""en"",""it"")"),"Viene vista una persona che si muove lungo una grande corte seguita da altre persone che si muovono accanto a lui.")</f>
        <v>Viene vista una persona che si muove lungo una grande corte seguita da altre persone che si muovono accanto a lui.</v>
      </c>
    </row>
    <row r="2877">
      <c r="A2877" s="4" t="s">
        <v>3609</v>
      </c>
      <c r="B2877" s="4" t="s">
        <v>3611</v>
      </c>
      <c r="C2877" s="5" t="str">
        <f>IFERROR(__xludf.DUMMYFUNCTION("GOOGLETRANSLATE(B2877,""en"",""it"")"),"Diverse persone vengono viste correre su e giù per il campo mentre altri guardano sul lato.")</f>
        <v>Diverse persone vengono viste correre su e giù per il campo mentre altri guardano sul lato.</v>
      </c>
    </row>
    <row r="2878">
      <c r="A2878" s="4" t="s">
        <v>3609</v>
      </c>
      <c r="B2878" s="4" t="s">
        <v>3612</v>
      </c>
      <c r="C2878" s="5" t="str">
        <f>IFERROR(__xludf.DUMMYFUNCTION("GOOGLETRANSLATE(B2878,""en"",""it"")"),"Le persone continuano a muoversi mentre altri li guardano suonare le esercitazioni.")</f>
        <v>Le persone continuano a muoversi mentre altri li guardano suonare le esercitazioni.</v>
      </c>
    </row>
    <row r="2879">
      <c r="A2879" s="4" t="s">
        <v>3613</v>
      </c>
      <c r="B2879" s="4" t="s">
        <v>3614</v>
      </c>
      <c r="C2879" s="5" t="str">
        <f>IFERROR(__xludf.DUMMYFUNCTION("GOOGLETRANSLATE(B2879,""en"",""it"")"),"Una persona sta mettendo l'insalata in una ciotola limpida.")</f>
        <v>Una persona sta mettendo l'insalata in una ciotola limpida.</v>
      </c>
    </row>
    <row r="2880">
      <c r="A2880" s="4" t="s">
        <v>3613</v>
      </c>
      <c r="B2880" s="4" t="s">
        <v>3615</v>
      </c>
      <c r="C2880" s="5" t="str">
        <f>IFERROR(__xludf.DUMMYFUNCTION("GOOGLETRANSLATE(B2880,""en"",""it"")"),"Prendono un pepe arancione da una pila.")</f>
        <v>Prendono un pepe arancione da una pila.</v>
      </c>
    </row>
    <row r="2881">
      <c r="A2881" s="4" t="s">
        <v>3613</v>
      </c>
      <c r="B2881" s="4" t="s">
        <v>3616</v>
      </c>
      <c r="C2881" s="5" t="str">
        <f>IFERROR(__xludf.DUMMYFUNCTION("GOOGLETRANSLATE(B2881,""en"",""it"")"),"Tagliano il pepe a metà.")</f>
        <v>Tagliano il pepe a metà.</v>
      </c>
    </row>
    <row r="2882">
      <c r="A2882" s="4" t="s">
        <v>3617</v>
      </c>
      <c r="B2882" s="4" t="s">
        <v>3618</v>
      </c>
      <c r="C2882" s="5" t="str">
        <f>IFERROR(__xludf.DUMMYFUNCTION("GOOGLETRANSLATE(B2882,""en"",""it"")"),"Viene mostrato una donna che parla alla telecamera e punta in lontananza.")</f>
        <v>Viene mostrato una donna che parla alla telecamera e punta in lontananza.</v>
      </c>
    </row>
    <row r="2883">
      <c r="A2883" s="4" t="s">
        <v>3617</v>
      </c>
      <c r="B2883" s="4" t="s">
        <v>3619</v>
      </c>
      <c r="C2883" s="5" t="str">
        <f>IFERROR(__xludf.DUMMYFUNCTION("GOOGLETRANSLATE(B2883,""en"",""it"")"),"La telecamera si lancia in un altro uomo in piedi sul campo e due pallacanestri mostrati.")</f>
        <v>La telecamera si lancia in un altro uomo in piedi sul campo e due pallacanestri mostrati.</v>
      </c>
    </row>
    <row r="2884">
      <c r="A2884" s="4" t="s">
        <v>3617</v>
      </c>
      <c r="B2884" s="4" t="s">
        <v>3620</v>
      </c>
      <c r="C2884" s="5" t="str">
        <f>IFERROR(__xludf.DUMMYFUNCTION("GOOGLETRANSLATE(B2884,""en"",""it"")"),"L'uomo e la donna quindi sparano a cerchi con le palle e si passano a vicenda e quarto.")</f>
        <v>L'uomo e la donna quindi sparano a cerchi con le palle e si passano a vicenda e quarto.</v>
      </c>
    </row>
    <row r="2885">
      <c r="A2885" s="4" t="s">
        <v>3621</v>
      </c>
      <c r="B2885" s="4" t="s">
        <v>3622</v>
      </c>
      <c r="C2885" s="5" t="str">
        <f>IFERROR(__xludf.DUMMYFUNCTION("GOOGLETRANSLATE(B2885,""en"",""it"")"),"Una donna è seduta sul suo divano pensando ai biscotti.")</f>
        <v>Una donna è seduta sul suo divano pensando ai biscotti.</v>
      </c>
    </row>
    <row r="2886">
      <c r="A2886" s="4" t="s">
        <v>3621</v>
      </c>
      <c r="B2886" s="6" t="s">
        <v>3623</v>
      </c>
      <c r="C2886" s="5" t="str">
        <f>IFERROR(__xludf.DUMMYFUNCTION("GOOGLETRANSLATE(B2886,""en"",""it"")"),"Sei informato di tutti gli ingredienti necessari per creare un lotto di deliziosi biscotti e le attrezzature necessarie per realizzarli.")</f>
        <v>Sei informato di tutti gli ingredienti necessari per creare un lotto di deliziosi biscotti e le attrezzature necessarie per realizzarli.</v>
      </c>
    </row>
    <row r="2887">
      <c r="A2887" s="4" t="s">
        <v>3621</v>
      </c>
      <c r="B2887" s="4" t="s">
        <v>3624</v>
      </c>
      <c r="C2887" s="5" t="str">
        <f>IFERROR(__xludf.DUMMYFUNCTION("GOOGLETRANSLATE(B2887,""en"",""it"")"),"Va in cucina e gira sul forno e inizia a mescolare ingredienti in un kitchenaid.")</f>
        <v>Va in cucina e gira sul forno e inizia a mescolare ingredienti in un kitchenaid.</v>
      </c>
    </row>
    <row r="2888">
      <c r="A2888" s="4" t="s">
        <v>3621</v>
      </c>
      <c r="B2888" s="6" t="s">
        <v>3625</v>
      </c>
      <c r="C2888" s="5" t="str">
        <f>IFERROR(__xludf.DUMMYFUNCTION("GOOGLETRANSLATE(B2888,""en"",""it"")"),"Una volta mescolato bene, mette il biscotto nel forno e quando hanno fatto torna sul suo divano con il suo orsacchiotto e sgranocchia.")</f>
        <v>Una volta mescolato bene, mette il biscotto nel forno e quando hanno fatto torna sul suo divano con il suo orsacchiotto e sgranocchia.</v>
      </c>
    </row>
    <row r="2889">
      <c r="A2889" s="4" t="s">
        <v>3626</v>
      </c>
      <c r="B2889" s="4" t="s">
        <v>3627</v>
      </c>
      <c r="C2889" s="5" t="str">
        <f>IFERROR(__xludf.DUMMYFUNCTION("GOOGLETRANSLATE(B2889,""en"",""it"")"),"Si vede una vista di un'enorme piscina.")</f>
        <v>Si vede una vista di un'enorme piscina.</v>
      </c>
    </row>
    <row r="2890">
      <c r="A2890" s="4" t="s">
        <v>3626</v>
      </c>
      <c r="B2890" s="4" t="s">
        <v>3628</v>
      </c>
      <c r="C2890" s="5" t="str">
        <f>IFERROR(__xludf.DUMMYFUNCTION("GOOGLETRANSLATE(B2890,""en"",""it"")"),"Si estende per lunghe distanze, con persone che usano barche e zattere nell'acqua.")</f>
        <v>Si estende per lunghe distanze, con persone che usano barche e zattere nell'acqua.</v>
      </c>
    </row>
    <row r="2891">
      <c r="A2891" s="4" t="s">
        <v>3626</v>
      </c>
      <c r="B2891" s="4" t="s">
        <v>3629</v>
      </c>
      <c r="C2891" s="5" t="str">
        <f>IFERROR(__xludf.DUMMYFUNCTION("GOOGLETRANSLATE(B2891,""en"",""it"")"),"È un ampio parco idrico situato in Indonesia.")</f>
        <v>È un ampio parco idrico situato in Indonesia.</v>
      </c>
    </row>
    <row r="2892">
      <c r="A2892" s="4" t="s">
        <v>3626</v>
      </c>
      <c r="B2892" s="4" t="s">
        <v>3630</v>
      </c>
      <c r="C2892" s="5" t="str">
        <f>IFERROR(__xludf.DUMMYFUNCTION("GOOGLETRANSLATE(B2892,""en"",""it"")"),"Alle persone vengono mostrate sci acquatiche nelle chiare acque blu.")</f>
        <v>Alle persone vengono mostrate sci acquatiche nelle chiare acque blu.</v>
      </c>
    </row>
    <row r="2893">
      <c r="A2893" s="4" t="s">
        <v>3631</v>
      </c>
      <c r="B2893" s="4" t="s">
        <v>3632</v>
      </c>
      <c r="C2893" s="5" t="str">
        <f>IFERROR(__xludf.DUMMYFUNCTION("GOOGLETRANSLATE(B2893,""en"",""it"")"),"Un'introduzione conduce in diverse clip più vecchie di artisti olimpici che compongono atti incredibili.")</f>
        <v>Un'introduzione conduce in diverse clip più vecchie di artisti olimpici che compongono atti incredibili.</v>
      </c>
    </row>
    <row r="2894">
      <c r="A2894" s="4" t="s">
        <v>3631</v>
      </c>
      <c r="B2894" s="6" t="s">
        <v>3633</v>
      </c>
      <c r="C2894" s="5" t="str">
        <f>IFERROR(__xludf.DUMMYFUNCTION("GOOGLETRANSLATE(B2894,""en"",""it"")"),"Un gruppo di persone viene visto nuotare mentre centinaia di persone tifano e molte persone guardano alla telecamera e sorridono.")</f>
        <v>Un gruppo di persone viene visto nuotare mentre centinaia di persone tifano e molte persone guardano alla telecamera e sorridono.</v>
      </c>
    </row>
    <row r="2895">
      <c r="A2895" s="4" t="s">
        <v>3631</v>
      </c>
      <c r="B2895" s="6" t="s">
        <v>3634</v>
      </c>
      <c r="C2895" s="5" t="str">
        <f>IFERROR(__xludf.DUMMYFUNCTION("GOOGLETRANSLATE(B2895,""en"",""it"")"),"Un altro uomo scuote la mano di un atleta e saluta mentre scuote le mani degli altri e le persone che applaude.")</f>
        <v>Un altro uomo scuote la mano di un atleta e saluta mentre scuote le mani degli altri e le persone che applaude.</v>
      </c>
    </row>
    <row r="2896">
      <c r="A2896" s="4" t="s">
        <v>3635</v>
      </c>
      <c r="B2896" s="6" t="s">
        <v>3636</v>
      </c>
      <c r="C2896" s="5" t="str">
        <f>IFERROR(__xludf.DUMMYFUNCTION("GOOGLETRANSLATE(B2896,""en"",""it"")"),"Una donna si siede su un divano e taglia le zampe anteriori e posteriori di un'arancia e un gatto bianco e nero mentre si siedono in grembo.")</f>
        <v>Una donna si siede su un divano e taglia le zampe anteriori e posteriori di un'arancia e un gatto bianco e nero mentre si siedono in grembo.</v>
      </c>
    </row>
    <row r="2897">
      <c r="A2897" s="4" t="s">
        <v>3635</v>
      </c>
      <c r="B2897" s="4" t="s">
        <v>3637</v>
      </c>
      <c r="C2897" s="5" t="str">
        <f>IFERROR(__xludf.DUMMYFUNCTION("GOOGLETRANSLATE(B2897,""en"",""it"")"),"Un gatto arancione si trova su un divano e annusa i cuscini.")</f>
        <v>Un gatto arancione si trova su un divano e annusa i cuscini.</v>
      </c>
    </row>
    <row r="2898">
      <c r="A2898" s="4" t="s">
        <v>3635</v>
      </c>
      <c r="B2898" s="6" t="s">
        <v>3638</v>
      </c>
      <c r="C2898" s="5" t="str">
        <f>IFERROR(__xludf.DUMMYFUNCTION("GOOGLETRANSLATE(B2898,""en"",""it"")"),"Una donna si siede sul divano e mette il gatto arancione in grembo e inizia a tagliare le zampe anteriori e posteriori del gatto.")</f>
        <v>Una donna si siede sul divano e mette il gatto arancione in grembo e inizia a tagliare le zampe anteriori e posteriori del gatto.</v>
      </c>
    </row>
    <row r="2899">
      <c r="A2899" s="4" t="s">
        <v>3635</v>
      </c>
      <c r="B2899" s="6" t="s">
        <v>3639</v>
      </c>
      <c r="C2899" s="5" t="str">
        <f>IFERROR(__xludf.DUMMYFUNCTION("GOOGLETRANSLATE(B2899,""en"",""it"")"),"La donna mette giù il gatto arancione e raccoglie un gatto bianco e nero con cui fa lo stesso ritaglio di zampe anteriori e nere, dopo di che, il gatto bianco e nero scappa dal divano.")</f>
        <v>La donna mette giù il gatto arancione e raccoglie un gatto bianco e nero con cui fa lo stesso ritaglio di zampe anteriori e nere, dopo di che, il gatto bianco e nero scappa dal divano.</v>
      </c>
    </row>
    <row r="2900">
      <c r="A2900" s="4" t="s">
        <v>3640</v>
      </c>
      <c r="B2900" s="6" t="s">
        <v>3641</v>
      </c>
      <c r="C2900" s="5" t="str">
        <f>IFERROR(__xludf.DUMMYFUNCTION("GOOGLETRANSLATE(B2900,""en"",""it"")"),"Vengono mostrate varie immagini di persone ravvicinate in un'area e persone che vanno in giro su un cammello.")</f>
        <v>Vengono mostrate varie immagini di persone ravvicinate in un'area e persone che vanno in giro su un cammello.</v>
      </c>
    </row>
    <row r="2901">
      <c r="A2901" s="4" t="s">
        <v>3640</v>
      </c>
      <c r="B2901" s="6" t="s">
        <v>3642</v>
      </c>
      <c r="C2901" s="5" t="str">
        <f>IFERROR(__xludf.DUMMYFUNCTION("GOOGLETRANSLATE(B2901,""en"",""it"")"),"Le persone continuano a guidare sui cammelli con un uomo che li conduce davanti e la telecamera che cattura molte più persone.")</f>
        <v>Le persone continuano a guidare sui cammelli con un uomo che li conduce davanti e la telecamera che cattura molte più persone.</v>
      </c>
    </row>
    <row r="2902">
      <c r="A2902" s="4" t="s">
        <v>3640</v>
      </c>
      <c r="B2902" s="6" t="s">
        <v>3643</v>
      </c>
      <c r="C2902" s="5" t="str">
        <f>IFERROR(__xludf.DUMMYFUNCTION("GOOGLETRANSLATE(B2902,""en"",""it"")"),"Alla fine i cammelli vengono visti vagare l'uno intorno all'altro e una foto di tutti coloro che stavano insieme.")</f>
        <v>Alla fine i cammelli vengono visti vagare l'uno intorno all'altro e una foto di tutti coloro che stavano insieme.</v>
      </c>
    </row>
    <row r="2903">
      <c r="A2903" s="4" t="s">
        <v>3644</v>
      </c>
      <c r="B2903" s="4" t="s">
        <v>3645</v>
      </c>
      <c r="C2903" s="5" t="str">
        <f>IFERROR(__xludf.DUMMYFUNCTION("GOOGLETRANSLATE(B2903,""en"",""it"")"),"Viene visto un uomo parlare con la telecamera e indicare un tavolo e mettere le carte.")</f>
        <v>Viene visto un uomo parlare con la telecamera e indicare un tavolo e mettere le carte.</v>
      </c>
    </row>
    <row r="2904">
      <c r="A2904" s="4" t="s">
        <v>3644</v>
      </c>
      <c r="B2904" s="6" t="s">
        <v>3646</v>
      </c>
      <c r="C2904" s="5" t="str">
        <f>IFERROR(__xludf.DUMMYFUNCTION("GOOGLETRANSLATE(B2904,""en"",""it"")"),"Quindi esegue una partita di Black Jack mentre muove le carte e i dadi mentre parla ancora alla telecamera.")</f>
        <v>Quindi esegue una partita di Black Jack mentre muove le carte e i dadi mentre parla ancora alla telecamera.</v>
      </c>
    </row>
    <row r="2905">
      <c r="A2905" s="4" t="s">
        <v>3647</v>
      </c>
      <c r="B2905" s="4" t="s">
        <v>3648</v>
      </c>
      <c r="C2905" s="5" t="str">
        <f>IFERROR(__xludf.DUMMYFUNCTION("GOOGLETRANSLATE(B2905,""en"",""it"")"),"Una donna mostra come pulire una camicia con una macchina a vapore mentre parla.")</f>
        <v>Una donna mostra come pulire una camicia con una macchina a vapore mentre parla.</v>
      </c>
    </row>
    <row r="2906">
      <c r="A2906" s="4" t="s">
        <v>3647</v>
      </c>
      <c r="B2906" s="4" t="s">
        <v>3649</v>
      </c>
      <c r="C2906" s="5" t="str">
        <f>IFERROR(__xludf.DUMMYFUNCTION("GOOGLETRANSLATE(B2906,""en"",""it"")"),"La donna finisce di pulire la camicia e la toglie da un gancio e si mette sulla tavola di ferro.")</f>
        <v>La donna finisce di pulire la camicia e la toglie da un gancio e si mette sulla tavola di ferro.</v>
      </c>
    </row>
    <row r="2907">
      <c r="A2907" s="4" t="s">
        <v>3647</v>
      </c>
      <c r="B2907" s="4" t="s">
        <v>3650</v>
      </c>
      <c r="C2907" s="5" t="str">
        <f>IFERROR(__xludf.DUMMYFUNCTION("GOOGLETRANSLATE(B2907,""en"",""it"")"),"Dopo, la donna mostra un contenitore, quindi si fa girare la macchina a vapore e mostra mentre parla.")</f>
        <v>Dopo, la donna mostra un contenitore, quindi si fa girare la macchina a vapore e mostra mentre parla.</v>
      </c>
    </row>
    <row r="2908">
      <c r="A2908" s="4" t="s">
        <v>3651</v>
      </c>
      <c r="B2908" s="4" t="s">
        <v>3652</v>
      </c>
      <c r="C2908" s="5" t="str">
        <f>IFERROR(__xludf.DUMMYFUNCTION("GOOGLETRANSLATE(B2908,""en"",""it"")"),"Una persona è barre di pittura a spruzzo che sono registrate insieme colori diversi.")</f>
        <v>Una persona è barre di pittura a spruzzo che sono registrate insieme colori diversi.</v>
      </c>
    </row>
    <row r="2909">
      <c r="A2909" s="4" t="s">
        <v>3651</v>
      </c>
      <c r="B2909" s="4" t="s">
        <v>3653</v>
      </c>
      <c r="C2909" s="5" t="str">
        <f>IFERROR(__xludf.DUMMYFUNCTION("GOOGLETRANSLATE(B2909,""en"",""it"")"),"Hanno messo un adesivo di parole sulle barre.")</f>
        <v>Hanno messo un adesivo di parole sulle barre.</v>
      </c>
    </row>
    <row r="2910">
      <c r="A2910" s="4" t="s">
        <v>3654</v>
      </c>
      <c r="B2910" s="4" t="s">
        <v>3655</v>
      </c>
      <c r="C2910" s="5" t="str">
        <f>IFERROR(__xludf.DUMMYFUNCTION("GOOGLETRANSLATE(B2910,""en"",""it"")"),"Un uomo sta parlando mentre guarda una bicicletta.")</f>
        <v>Un uomo sta parlando mentre guarda una bicicletta.</v>
      </c>
    </row>
    <row r="2911">
      <c r="A2911" s="4" t="s">
        <v>3654</v>
      </c>
      <c r="B2911" s="4" t="s">
        <v>3656</v>
      </c>
      <c r="C2911" s="5" t="str">
        <f>IFERROR(__xludf.DUMMYFUNCTION("GOOGLETRANSLATE(B2911,""en"",""it"")"),"Posiziona uno strumento di controllo della velocità sul manubrio della bici.")</f>
        <v>Posiziona uno strumento di controllo della velocità sul manubrio della bici.</v>
      </c>
    </row>
    <row r="2912">
      <c r="A2912" s="4" t="s">
        <v>3654</v>
      </c>
      <c r="B2912" s="4" t="s">
        <v>3657</v>
      </c>
      <c r="C2912" s="5" t="str">
        <f>IFERROR(__xludf.DUMMYFUNCTION("GOOGLETRANSLATE(B2912,""en"",""it"")"),"Continua a parlare fino a quando non ha il bar in atto.")</f>
        <v>Continua a parlare fino a quando non ha il bar in atto.</v>
      </c>
    </row>
    <row r="2913">
      <c r="A2913" s="4" t="s">
        <v>3658</v>
      </c>
      <c r="B2913" s="4" t="s">
        <v>3659</v>
      </c>
      <c r="C2913" s="5" t="str">
        <f>IFERROR(__xludf.DUMMYFUNCTION("GOOGLETRANSLATE(B2913,""en"",""it"")"),"Un uomo viene visto seduto su uno sgabello mentre si stacca una chitarra tra le mani.")</f>
        <v>Un uomo viene visto seduto su uno sgabello mentre si stacca una chitarra tra le mani.</v>
      </c>
    </row>
    <row r="2914">
      <c r="A2914" s="4" t="s">
        <v>3658</v>
      </c>
      <c r="B2914" s="4" t="s">
        <v>3660</v>
      </c>
      <c r="C2914" s="5" t="str">
        <f>IFERROR(__xludf.DUMMYFUNCTION("GOOGLETRANSLATE(B2914,""en"",""it"")"),"La telecamera si lancia da vicino attorno alla chitarra mentre l'uomo continua a parlare.")</f>
        <v>La telecamera si lancia da vicino attorno alla chitarra mentre l'uomo continua a parlare.</v>
      </c>
    </row>
    <row r="2915">
      <c r="A2915" s="4" t="s">
        <v>3658</v>
      </c>
      <c r="B2915" s="4" t="s">
        <v>3661</v>
      </c>
      <c r="C2915" s="5" t="str">
        <f>IFERROR(__xludf.DUMMYFUNCTION("GOOGLETRANSLATE(B2915,""en"",""it"")"),"L'uomo quindi suona un po 'la chitarra e muove le mani su e giù per il collo.")</f>
        <v>L'uomo quindi suona un po 'la chitarra e muove le mani su e giù per il collo.</v>
      </c>
    </row>
    <row r="2916">
      <c r="A2916" s="4" t="s">
        <v>3662</v>
      </c>
      <c r="B2916" s="4" t="s">
        <v>3663</v>
      </c>
      <c r="C2916" s="5" t="str">
        <f>IFERROR(__xludf.DUMMYFUNCTION("GOOGLETRANSLATE(B2916,""en"",""it"")"),"Una persona viene vista andare in giro su un cavallo sopra salti al rallentatore mentre altri guardano.")</f>
        <v>Una persona viene vista andare in giro su un cavallo sopra salti al rallentatore mentre altri guardano.</v>
      </c>
    </row>
    <row r="2917">
      <c r="A2917" s="4" t="s">
        <v>3662</v>
      </c>
      <c r="B2917" s="6" t="s">
        <v>3664</v>
      </c>
      <c r="C2917" s="5" t="str">
        <f>IFERROR(__xludf.DUMMYFUNCTION("GOOGLETRANSLATE(B2917,""en"",""it"")"),"Il video si muove più velocemente quando più persone vengono viste saltare su ostacoli e uno che parla alla telecamera.")</f>
        <v>Il video si muove più velocemente quando più persone vengono viste saltare su ostacoli e uno che parla alla telecamera.</v>
      </c>
    </row>
    <row r="2918">
      <c r="A2918" s="4" t="s">
        <v>3662</v>
      </c>
      <c r="B2918" s="6" t="s">
        <v>3665</v>
      </c>
      <c r="C2918" s="5" t="str">
        <f>IFERROR(__xludf.DUMMYFUNCTION("GOOGLETRANSLATE(B2918,""en"",""it"")"),"Vengono mostrate diverse altre clip di persone che cavalcano i cavalli e le immagini tra le e più ravvicinate di cavalli.")</f>
        <v>Vengono mostrate diverse altre clip di persone che cavalcano i cavalli e le immagini tra le e più ravvicinate di cavalli.</v>
      </c>
    </row>
    <row r="2919">
      <c r="A2919" s="4" t="s">
        <v>3666</v>
      </c>
      <c r="B2919" s="4" t="s">
        <v>3667</v>
      </c>
      <c r="C2919" s="5" t="str">
        <f>IFERROR(__xludf.DUMMYFUNCTION("GOOGLETRANSLATE(B2919,""en"",""it"")"),"Una signora si piega leggermente in un campo all'aperto.")</f>
        <v>Una signora si piega leggermente in un campo all'aperto.</v>
      </c>
    </row>
    <row r="2920">
      <c r="A2920" s="4" t="s">
        <v>3666</v>
      </c>
      <c r="B2920" s="4" t="s">
        <v>3668</v>
      </c>
      <c r="C2920" s="5" t="str">
        <f>IFERROR(__xludf.DUMMYFUNCTION("GOOGLETRANSLATE(B2920,""en"",""it"")"),"La signora si alza e si gira.")</f>
        <v>La signora si alza e si gira.</v>
      </c>
    </row>
    <row r="2921">
      <c r="A2921" s="4" t="s">
        <v>3666</v>
      </c>
      <c r="B2921" s="4" t="s">
        <v>3669</v>
      </c>
      <c r="C2921" s="5" t="str">
        <f>IFERROR(__xludf.DUMMYFUNCTION("GOOGLETRANSLATE(B2921,""en"",""it"")"),"La signora libera la mano dal collo.")</f>
        <v>La signora libera la mano dal collo.</v>
      </c>
    </row>
    <row r="2922">
      <c r="A2922" s="4" t="s">
        <v>3670</v>
      </c>
      <c r="B2922" s="4" t="s">
        <v>3671</v>
      </c>
      <c r="C2922" s="5" t="str">
        <f>IFERROR(__xludf.DUMMYFUNCTION("GOOGLETRANSLATE(B2922,""en"",""it"")"),"Un uomo viene visto nuotare in una piscina mentre passa una palla a un cane indietro e quarto.")</f>
        <v>Un uomo viene visto nuotare in una piscina mentre passa una palla a un cane indietro e quarto.</v>
      </c>
    </row>
    <row r="2923">
      <c r="A2923" s="4" t="s">
        <v>3670</v>
      </c>
      <c r="B2923" s="4" t="s">
        <v>3672</v>
      </c>
      <c r="C2923" s="5" t="str">
        <f>IFERROR(__xludf.DUMMYFUNCTION("GOOGLETRANSLATE(B2923,""en"",""it"")"),"L'uomo continua a passare la palla mentre il cane la colpisce subito.")</f>
        <v>L'uomo continua a passare la palla mentre il cane la colpisce subito.</v>
      </c>
    </row>
    <row r="2924">
      <c r="A2924" s="4" t="s">
        <v>3673</v>
      </c>
      <c r="B2924" s="4" t="s">
        <v>3674</v>
      </c>
      <c r="C2924" s="5" t="str">
        <f>IFERROR(__xludf.DUMMYFUNCTION("GOOGLETRANSLATE(B2924,""en"",""it"")"),"Vengono mostrate varie immagini fisse dei capelli di un uomo.")</f>
        <v>Vengono mostrate varie immagini fisse dei capelli di un uomo.</v>
      </c>
    </row>
    <row r="2925">
      <c r="A2925" s="4" t="s">
        <v>3673</v>
      </c>
      <c r="B2925" s="4" t="s">
        <v>3675</v>
      </c>
      <c r="C2925" s="5" t="str">
        <f>IFERROR(__xludf.DUMMYFUNCTION("GOOGLETRANSLATE(B2925,""en"",""it"")"),"Viene mostrato un uomo che riceve un taglio dei capelli e uno stile nel tempo di accelerazione.")</f>
        <v>Viene mostrato un uomo che riceve un taglio dei capelli e uno stile nel tempo di accelerazione.</v>
      </c>
    </row>
    <row r="2926">
      <c r="A2926" s="4" t="s">
        <v>3673</v>
      </c>
      <c r="B2926" s="4" t="s">
        <v>3676</v>
      </c>
      <c r="C2926" s="5" t="str">
        <f>IFERROR(__xludf.DUMMYFUNCTION("GOOGLETRANSLATE(B2926,""en"",""it"")"),"Sono ancora visualizzate le immagini dei capelli dell'uomo dopo lo stile.")</f>
        <v>Sono ancora visualizzate le immagini dei capelli dell'uomo dopo lo stile.</v>
      </c>
    </row>
    <row r="2927">
      <c r="A2927" s="4" t="s">
        <v>3677</v>
      </c>
      <c r="B2927" s="4" t="s">
        <v>3678</v>
      </c>
      <c r="C2927" s="5" t="str">
        <f>IFERROR(__xludf.DUMMYFUNCTION("GOOGLETRANSLATE(B2927,""en"",""it"")"),"Un uomo si trova su un tribunale.")</f>
        <v>Un uomo si trova su un tribunale.</v>
      </c>
    </row>
    <row r="2928">
      <c r="A2928" s="4" t="s">
        <v>3677</v>
      </c>
      <c r="B2928" s="4" t="s">
        <v>3679</v>
      </c>
      <c r="C2928" s="5" t="str">
        <f>IFERROR(__xludf.DUMMYFUNCTION("GOOGLETRANSLATE(B2928,""en"",""it"")"),"Colpisce una palla con una racchetta.")</f>
        <v>Colpisce una palla con una racchetta.</v>
      </c>
    </row>
    <row r="2929">
      <c r="A2929" s="4" t="s">
        <v>3677</v>
      </c>
      <c r="B2929" s="4" t="s">
        <v>3680</v>
      </c>
      <c r="C2929" s="5" t="str">
        <f>IFERROR(__xludf.DUMMYFUNCTION("GOOGLETRANSLATE(B2929,""en"",""it"")"),"Diversi atleti diversi vengono mostrati che colpiscono le palle.")</f>
        <v>Diversi atleti diversi vengono mostrati che colpiscono le palle.</v>
      </c>
    </row>
    <row r="2930">
      <c r="A2930" s="4" t="s">
        <v>3677</v>
      </c>
      <c r="B2930" s="4" t="s">
        <v>3681</v>
      </c>
      <c r="C2930" s="5" t="str">
        <f>IFERROR(__xludf.DUMMYFUNCTION("GOOGLETRANSLATE(B2930,""en"",""it"")"),"Alcuni di loro tifano alla fine.")</f>
        <v>Alcuni di loro tifano alla fine.</v>
      </c>
    </row>
    <row r="2931">
      <c r="A2931" s="4" t="s">
        <v>3682</v>
      </c>
      <c r="B2931" s="4" t="s">
        <v>3683</v>
      </c>
      <c r="C2931" s="5" t="str">
        <f>IFERROR(__xludf.DUMMYFUNCTION("GOOGLETRANSLATE(B2931,""en"",""it"")"),"Un uomo sta tagliando una cipolla con un coltello su un tagliere.")</f>
        <v>Un uomo sta tagliando una cipolla con un coltello su un tagliere.</v>
      </c>
    </row>
    <row r="2932">
      <c r="A2932" s="4" t="s">
        <v>3682</v>
      </c>
      <c r="B2932" s="6" t="s">
        <v>3684</v>
      </c>
      <c r="C2932" s="5" t="str">
        <f>IFERROR(__xludf.DUMMYFUNCTION("GOOGLETRANSLATE(B2932,""en"",""it"")"),"Una donna sta leggendo un giornale vicino mentre le parla e le mostra qualcosa in mano.")</f>
        <v>Una donna sta leggendo un giornale vicino mentre le parla e le mostra qualcosa in mano.</v>
      </c>
    </row>
    <row r="2933">
      <c r="A2933" s="4" t="s">
        <v>3682</v>
      </c>
      <c r="B2933" s="4" t="s">
        <v>3685</v>
      </c>
      <c r="C2933" s="5" t="str">
        <f>IFERROR(__xludf.DUMMYFUNCTION("GOOGLETRANSLATE(B2933,""en"",""it"")"),"L'uomo affila i suoi coltelli usando uno strumento elettrico.")</f>
        <v>L'uomo affila i suoi coltelli usando uno strumento elettrico.</v>
      </c>
    </row>
    <row r="2934">
      <c r="A2934" s="4" t="s">
        <v>3682</v>
      </c>
      <c r="B2934" s="4" t="s">
        <v>3686</v>
      </c>
      <c r="C2934" s="5" t="str">
        <f>IFERROR(__xludf.DUMMYFUNCTION("GOOGLETRANSLATE(B2934,""en"",""it"")"),"Quindi continua a tagliare la cipolla.")</f>
        <v>Quindi continua a tagliare la cipolla.</v>
      </c>
    </row>
    <row r="2935">
      <c r="A2935" s="4" t="s">
        <v>3687</v>
      </c>
      <c r="B2935" s="4" t="s">
        <v>3688</v>
      </c>
      <c r="C2935" s="5" t="str">
        <f>IFERROR(__xludf.DUMMYFUNCTION("GOOGLETRANSLATE(B2935,""en"",""it"")"),"Una donna è in piedi su una tavola da immersione.")</f>
        <v>Una donna è in piedi su una tavola da immersione.</v>
      </c>
    </row>
    <row r="2936">
      <c r="A2936" s="4" t="s">
        <v>3687</v>
      </c>
      <c r="B2936" s="4" t="s">
        <v>3689</v>
      </c>
      <c r="C2936" s="5" t="str">
        <f>IFERROR(__xludf.DUMMYFUNCTION("GOOGLETRANSLATE(B2936,""en"",""it"")"),"Salta in acqua.")</f>
        <v>Salta in acqua.</v>
      </c>
    </row>
    <row r="2937">
      <c r="A2937" s="4" t="s">
        <v>3687</v>
      </c>
      <c r="B2937" s="4" t="s">
        <v>3690</v>
      </c>
      <c r="C2937" s="5" t="str">
        <f>IFERROR(__xludf.DUMMYFUNCTION("GOOGLETRANSLATE(B2937,""en"",""it"")"),"Le persone sono in piedi sotto il consiglio di amministrazione.")</f>
        <v>Le persone sono in piedi sotto il consiglio di amministrazione.</v>
      </c>
    </row>
    <row r="2938">
      <c r="A2938" s="4" t="s">
        <v>3691</v>
      </c>
      <c r="B2938" s="4" t="s">
        <v>3692</v>
      </c>
      <c r="C2938" s="5" t="str">
        <f>IFERROR(__xludf.DUMMYFUNCTION("GOOGLETRANSLATE(B2938,""en"",""it"")"),"Sta per iniziare una competizione in bicicletta e la folla è pronta.")</f>
        <v>Sta per iniziare una competizione in bicicletta e la folla è pronta.</v>
      </c>
    </row>
    <row r="2939">
      <c r="A2939" s="4" t="s">
        <v>3691</v>
      </c>
      <c r="B2939" s="4" t="s">
        <v>3693</v>
      </c>
      <c r="C2939" s="5" t="str">
        <f>IFERROR(__xludf.DUMMYFUNCTION("GOOGLETRANSLATE(B2939,""en"",""it"")"),"I cavalieri iniziano e già molti cadono durante il primo grande salto.")</f>
        <v>I cavalieri iniziano e già molti cadono durante il primo grande salto.</v>
      </c>
    </row>
    <row r="2940">
      <c r="A2940" s="4" t="s">
        <v>3691</v>
      </c>
      <c r="B2940" s="4" t="s">
        <v>3694</v>
      </c>
      <c r="C2940" s="5" t="str">
        <f>IFERROR(__xludf.DUMMYFUNCTION("GOOGLETRANSLATE(B2940,""en"",""it"")"),"Vengono mostrati vari punti salienti dei ciclisti che tentano i grandi salti.")</f>
        <v>Vengono mostrati vari punti salienti dei ciclisti che tentano i grandi salti.</v>
      </c>
    </row>
    <row r="2941">
      <c r="A2941" s="4" t="s">
        <v>3691</v>
      </c>
      <c r="B2941" s="4" t="s">
        <v>3695</v>
      </c>
      <c r="C2941" s="5" t="str">
        <f>IFERROR(__xludf.DUMMYFUNCTION("GOOGLETRANSLATE(B2941,""en"",""it"")"),"Tre vincitori sono incoronati alla fine in una cerimonia.")</f>
        <v>Tre vincitori sono incoronati alla fine in una cerimonia.</v>
      </c>
    </row>
    <row r="2942">
      <c r="A2942" s="4" t="s">
        <v>3696</v>
      </c>
      <c r="B2942" s="4" t="s">
        <v>3697</v>
      </c>
      <c r="C2942" s="5" t="str">
        <f>IFERROR(__xludf.DUMMYFUNCTION("GOOGLETRANSLATE(B2942,""en"",""it"")"),"Viene visto un uomo con in mano una bandiera mentre altri lo stanno intorno e un corridore entra in telaio.")</f>
        <v>Viene visto un uomo con in mano una bandiera mentre altri lo stanno intorno e un corridore entra in telaio.</v>
      </c>
    </row>
    <row r="2943">
      <c r="A2943" s="4" t="s">
        <v>3696</v>
      </c>
      <c r="B2943" s="4" t="s">
        <v>3698</v>
      </c>
      <c r="C2943" s="5" t="str">
        <f>IFERROR(__xludf.DUMMYFUNCTION("GOOGLETRANSLATE(B2943,""en"",""it"")"),"Il corridore fa diversi salti e atterra in una fossa tutto al rallentatore.")</f>
        <v>Il corridore fa diversi salti e atterra in una fossa tutto al rallentatore.</v>
      </c>
    </row>
    <row r="2944">
      <c r="A2944" s="4" t="s">
        <v>3699</v>
      </c>
      <c r="B2944" s="4" t="s">
        <v>3700</v>
      </c>
      <c r="C2944" s="5" t="str">
        <f>IFERROR(__xludf.DUMMYFUNCTION("GOOGLETRANSLATE(B2944,""en"",""it"")"),"Una persona sta usando un attacco a vuoto per aspirare il pavimento in legno.")</f>
        <v>Una persona sta usando un attacco a vuoto per aspirare il pavimento in legno.</v>
      </c>
    </row>
    <row r="2945">
      <c r="A2945" s="4" t="s">
        <v>3699</v>
      </c>
      <c r="B2945" s="4" t="s">
        <v>3701</v>
      </c>
      <c r="C2945" s="5" t="str">
        <f>IFERROR(__xludf.DUMMYFUNCTION("GOOGLETRANSLATE(B2945,""en"",""it"")"),"La persona quindi aspira un tappeto sul pavimento.")</f>
        <v>La persona quindi aspira un tappeto sul pavimento.</v>
      </c>
    </row>
    <row r="2946">
      <c r="A2946" s="4" t="s">
        <v>3699</v>
      </c>
      <c r="B2946" s="4" t="s">
        <v>3702</v>
      </c>
      <c r="C2946" s="5" t="str">
        <f>IFERROR(__xludf.DUMMYFUNCTION("GOOGLETRANSLATE(B2946,""en"",""it"")"),"La persona aspira il retro di un gatto che giace nelle vicinanze.")</f>
        <v>La persona aspira il retro di un gatto che giace nelle vicinanze.</v>
      </c>
    </row>
    <row r="2947">
      <c r="A2947" s="4" t="s">
        <v>3699</v>
      </c>
      <c r="B2947" s="4" t="s">
        <v>3703</v>
      </c>
      <c r="C2947" s="5" t="str">
        <f>IFERROR(__xludf.DUMMYFUNCTION("GOOGLETRANSLATE(B2947,""en"",""it"")"),"La persona ritorna a aspirare il pavimento in legno.")</f>
        <v>La persona ritorna a aspirare il pavimento in legno.</v>
      </c>
    </row>
    <row r="2948">
      <c r="A2948" s="4" t="s">
        <v>3704</v>
      </c>
      <c r="B2948" s="4" t="s">
        <v>3705</v>
      </c>
      <c r="C2948" s="5" t="str">
        <f>IFERROR(__xludf.DUMMYFUNCTION("GOOGLETRANSLATE(B2948,""en"",""it"")"),"Una donna e i suoi 2 figli stanno andando in giro su un cammello in una fiera o in qualche evento.")</f>
        <v>Una donna e i suoi 2 figli stanno andando in giro su un cammello in una fiera o in qualche evento.</v>
      </c>
    </row>
    <row r="2949">
      <c r="A2949" s="4" t="s">
        <v>3704</v>
      </c>
      <c r="B2949" s="4" t="s">
        <v>3706</v>
      </c>
      <c r="C2949" s="5" t="str">
        <f>IFERROR(__xludf.DUMMYFUNCTION("GOOGLETRANSLATE(B2949,""en"",""it"")"),"C'è un lavoratore che sta camminando con loro in cerchio che cammina il cammello con una corda mentre cavalcano.")</f>
        <v>C'è un lavoratore che sta camminando con loro in cerchio che cammina il cammello con una corda mentre cavalcano.</v>
      </c>
    </row>
    <row r="2950">
      <c r="A2950" s="4" t="s">
        <v>3704</v>
      </c>
      <c r="B2950" s="4" t="s">
        <v>3707</v>
      </c>
      <c r="C2950" s="5" t="str">
        <f>IFERROR(__xludf.DUMMYFUNCTION("GOOGLETRANSLATE(B2950,""en"",""it"")"),"Vanno in giro parecchie volte ancora e ancora in un cerchio attorno a una piccola area recintata.")</f>
        <v>Vanno in giro parecchie volte ancora e ancora in un cerchio attorno a una piccola area recintata.</v>
      </c>
    </row>
    <row r="2951">
      <c r="A2951" s="4" t="s">
        <v>3704</v>
      </c>
      <c r="B2951" s="6" t="s">
        <v>3708</v>
      </c>
      <c r="C2951" s="5" t="str">
        <f>IFERROR(__xludf.DUMMYFUNCTION("GOOGLETRANSLATE(B2951,""en"",""it"")"),"Quando hanno finito, si fermano da una ringhiera rossa, il lavoratore tocca il cammello sul viso mentre il pilota scende.")</f>
        <v>Quando hanno finito, si fermano da una ringhiera rossa, il lavoratore tocca il cammello sul viso mentre il pilota scende.</v>
      </c>
    </row>
    <row r="2952">
      <c r="A2952" s="4" t="s">
        <v>3709</v>
      </c>
      <c r="B2952" s="4" t="s">
        <v>3710</v>
      </c>
      <c r="C2952" s="5" t="str">
        <f>IFERROR(__xludf.DUMMYFUNCTION("GOOGLETRANSLATE(B2952,""en"",""it"")"),"Una donna è in piedi su un pianoforte.")</f>
        <v>Una donna è in piedi su un pianoforte.</v>
      </c>
    </row>
    <row r="2953">
      <c r="A2953" s="4" t="s">
        <v>3709</v>
      </c>
      <c r="B2953" s="4" t="s">
        <v>3711</v>
      </c>
      <c r="C2953" s="5" t="str">
        <f>IFERROR(__xludf.DUMMYFUNCTION("GOOGLETRANSLATE(B2953,""en"",""it"")"),"Una persona sta suonando il piano.")</f>
        <v>Una persona sta suonando il piano.</v>
      </c>
    </row>
    <row r="2954">
      <c r="A2954" s="4" t="s">
        <v>3709</v>
      </c>
      <c r="B2954" s="4" t="s">
        <v>3712</v>
      </c>
      <c r="C2954" s="5" t="str">
        <f>IFERROR(__xludf.DUMMYFUNCTION("GOOGLETRANSLATE(B2954,""en"",""it"")"),"Il piano si gira e una donna è in piedi dietro di esso.")</f>
        <v>Il piano si gira e una donna è in piedi dietro di esso.</v>
      </c>
    </row>
    <row r="2955">
      <c r="A2955" s="4" t="s">
        <v>3713</v>
      </c>
      <c r="B2955" s="4" t="s">
        <v>3714</v>
      </c>
      <c r="C2955" s="5" t="str">
        <f>IFERROR(__xludf.DUMMYFUNCTION("GOOGLETRANSLATE(B2955,""en"",""it"")"),"Vediamo uno schermo di apertura scuro.")</f>
        <v>Vediamo uno schermo di apertura scuro.</v>
      </c>
    </row>
    <row r="2956">
      <c r="A2956" s="4" t="s">
        <v>3713</v>
      </c>
      <c r="B2956" s="4" t="s">
        <v>3715</v>
      </c>
      <c r="C2956" s="5" t="str">
        <f>IFERROR(__xludf.DUMMYFUNCTION("GOOGLETRANSLATE(B2956,""en"",""it"")"),"Vediamo quindi persone che si esibiscono in balli hip hop.")</f>
        <v>Vediamo quindi persone che si esibiscono in balli hip hop.</v>
      </c>
    </row>
    <row r="2957">
      <c r="A2957" s="4" t="s">
        <v>3713</v>
      </c>
      <c r="B2957" s="4" t="s">
        <v>3716</v>
      </c>
      <c r="C2957" s="5" t="str">
        <f>IFERROR(__xludf.DUMMYFUNCTION("GOOGLETRANSLATE(B2957,""en"",""it"")"),"Vediamo un cartello per l'evento del 2004.")</f>
        <v>Vediamo un cartello per l'evento del 2004.</v>
      </c>
    </row>
    <row r="2958">
      <c r="A2958" s="4" t="s">
        <v>3713</v>
      </c>
      <c r="B2958" s="4" t="s">
        <v>3717</v>
      </c>
      <c r="C2958" s="5" t="str">
        <f>IFERROR(__xludf.DUMMYFUNCTION("GOOGLETRANSLATE(B2958,""en"",""it"")"),"Vediamo persone di fronte a un pubblico ballare.")</f>
        <v>Vediamo persone di fronte a un pubblico ballare.</v>
      </c>
    </row>
    <row r="2959">
      <c r="A2959" s="4" t="s">
        <v>3713</v>
      </c>
      <c r="B2959" s="4" t="s">
        <v>3718</v>
      </c>
      <c r="C2959" s="5" t="str">
        <f>IFERROR(__xludf.DUMMYFUNCTION("GOOGLETRANSLATE(B2959,""en"",""it"")"),"Vediamo un uomo per cui girare le clip della folla.")</f>
        <v>Vediamo un uomo per cui girare le clip della folla.</v>
      </c>
    </row>
    <row r="2960">
      <c r="A2960" s="4" t="s">
        <v>3713</v>
      </c>
      <c r="B2960" s="4" t="s">
        <v>3719</v>
      </c>
      <c r="C2960" s="5" t="str">
        <f>IFERROR(__xludf.DUMMYFUNCTION("GOOGLETRANSLATE(B2960,""en"",""it"")"),"Vediamo un cartello per l'evento del 2005.")</f>
        <v>Vediamo un cartello per l'evento del 2005.</v>
      </c>
    </row>
    <row r="2961">
      <c r="A2961" s="4" t="s">
        <v>3713</v>
      </c>
      <c r="B2961" s="4" t="s">
        <v>3720</v>
      </c>
      <c r="C2961" s="5" t="str">
        <f>IFERROR(__xludf.DUMMYFUNCTION("GOOGLETRANSLATE(B2961,""en"",""it"")"),"Due uomini prendono un inchino.")</f>
        <v>Due uomini prendono un inchino.</v>
      </c>
    </row>
    <row r="2962">
      <c r="A2962" s="4" t="s">
        <v>3713</v>
      </c>
      <c r="B2962" s="4" t="s">
        <v>3721</v>
      </c>
      <c r="C2962" s="5" t="str">
        <f>IFERROR(__xludf.DUMMYFUNCTION("GOOGLETRANSLATE(B2962,""en"",""it"")"),"Vediamo uno schermo per l'evento del 2006.")</f>
        <v>Vediamo uno schermo per l'evento del 2006.</v>
      </c>
    </row>
    <row r="2963">
      <c r="A2963" s="4" t="s">
        <v>3713</v>
      </c>
      <c r="B2963" s="4" t="s">
        <v>3722</v>
      </c>
      <c r="C2963" s="5" t="str">
        <f>IFERROR(__xludf.DUMMYFUNCTION("GOOGLETRANSLATE(B2963,""en"",""it"")"),"Un uomo in rosso fa un sacco di mosse.")</f>
        <v>Un uomo in rosso fa un sacco di mosse.</v>
      </c>
    </row>
    <row r="2964">
      <c r="A2964" s="4" t="s">
        <v>3713</v>
      </c>
      <c r="B2964" s="4" t="s">
        <v>3723</v>
      </c>
      <c r="C2964" s="5" t="str">
        <f>IFERROR(__xludf.DUMMYFUNCTION("GOOGLETRANSLATE(B2964,""en"",""it"")"),"Vediamo segni per l'evento del 2007.")</f>
        <v>Vediamo segni per l'evento del 2007.</v>
      </c>
    </row>
    <row r="2965">
      <c r="A2965" s="4" t="s">
        <v>3724</v>
      </c>
      <c r="B2965" s="4" t="s">
        <v>3725</v>
      </c>
      <c r="C2965" s="5" t="str">
        <f>IFERROR(__xludf.DUMMYFUNCTION("GOOGLETRANSLATE(B2965,""en"",""it"")"),"Un primo piano di un narghilè blu viene mostrato in basso verso l'alto.")</f>
        <v>Un primo piano di un narghilè blu viene mostrato in basso verso l'alto.</v>
      </c>
    </row>
    <row r="2966">
      <c r="A2966" s="4" t="s">
        <v>3724</v>
      </c>
      <c r="B2966" s="4" t="s">
        <v>3726</v>
      </c>
      <c r="C2966" s="5" t="str">
        <f>IFERROR(__xludf.DUMMYFUNCTION("GOOGLETRANSLATE(B2966,""en"",""it"")"),"Viene mostrata la ciotola, quindi il narghilè viene riempito con acqua dai guanti.")</f>
        <v>Viene mostrata la ciotola, quindi il narghilè viene riempito con acqua dai guanti.</v>
      </c>
    </row>
    <row r="2967">
      <c r="A2967" s="4" t="s">
        <v>3724</v>
      </c>
      <c r="B2967" s="4" t="s">
        <v>3727</v>
      </c>
      <c r="C2967" s="5" t="str">
        <f>IFERROR(__xludf.DUMMYFUNCTION("GOOGLETRANSLATE(B2967,""en"",""it"")"),"Il tubo è attaccato al narghilè.")</f>
        <v>Il tubo è attaccato al narghilè.</v>
      </c>
    </row>
    <row r="2968">
      <c r="A2968" s="4" t="s">
        <v>3724</v>
      </c>
      <c r="B2968" s="4" t="s">
        <v>3728</v>
      </c>
      <c r="C2968" s="5" t="str">
        <f>IFERROR(__xludf.DUMMYFUNCTION("GOOGLETRANSLATE(B2968,""en"",""it"")"),"Il tabacco è confezionato nella ciotola, quindi coperto di foglio di stagno e perforato con uno stecchino.")</f>
        <v>Il tabacco è confezionato nella ciotola, quindi coperto di foglio di stagno e perforato con uno stecchino.</v>
      </c>
    </row>
    <row r="2969">
      <c r="A2969" s="4" t="s">
        <v>3724</v>
      </c>
      <c r="B2969" s="4" t="s">
        <v>3729</v>
      </c>
      <c r="C2969" s="5" t="str">
        <f>IFERROR(__xludf.DUMMYFUNCTION("GOOGLETRANSLATE(B2969,""en"",""it"")"),"Un pezzo di carbone viene acceso, quindi la persona invisibile fuma il narghilè mentre legge un libro.")</f>
        <v>Un pezzo di carbone viene acceso, quindi la persona invisibile fuma il narghilè mentre legge un libro.</v>
      </c>
    </row>
    <row r="2970">
      <c r="A2970" s="4" t="s">
        <v>3730</v>
      </c>
      <c r="B2970" s="4" t="s">
        <v>3731</v>
      </c>
      <c r="C2970" s="5" t="str">
        <f>IFERROR(__xludf.DUMMYFUNCTION("GOOGLETRANSLATE(B2970,""en"",""it"")"),"Vediamo un uomo a un tavolo in un campo che succhia un frutto per fare un succo.")</f>
        <v>Vediamo un uomo a un tavolo in un campo che succhia un frutto per fare un succo.</v>
      </c>
    </row>
    <row r="2971">
      <c r="A2971" s="4" t="s">
        <v>3730</v>
      </c>
      <c r="B2971" s="4" t="s">
        <v>3732</v>
      </c>
      <c r="C2971" s="5" t="str">
        <f>IFERROR(__xludf.DUMMYFUNCTION("GOOGLETRANSLATE(B2971,""en"",""it"")"),"L'uomo succo 2 frutto inserisce quindi lo zucchero in due bicchieri.")</f>
        <v>L'uomo succo 2 frutto inserisce quindi lo zucchero in due bicchieri.</v>
      </c>
    </row>
    <row r="2972">
      <c r="A2972" s="4" t="s">
        <v>3730</v>
      </c>
      <c r="B2972" s="4" t="s">
        <v>3733</v>
      </c>
      <c r="C2972" s="5" t="str">
        <f>IFERROR(__xludf.DUMMYFUNCTION("GOOGLETRANSLATE(B2972,""en"",""it"")"),"L'uomo quindi taglia e succhi altri quattro frutti.")</f>
        <v>L'uomo quindi taglia e succhi altri quattro frutti.</v>
      </c>
    </row>
    <row r="2973">
      <c r="A2973" s="4" t="s">
        <v>3730</v>
      </c>
      <c r="B2973" s="4" t="s">
        <v>3734</v>
      </c>
      <c r="C2973" s="5" t="str">
        <f>IFERROR(__xludf.DUMMYFUNCTION("GOOGLETRANSLATE(B2973,""en"",""it"")"),"L'uomo aggiunge più zucchero agli bicchieri e all'acqua ghiacciata dal secchio sotto la frutta.")</f>
        <v>L'uomo aggiunge più zucchero agli bicchieri e all'acqua ghiacciata dal secchio sotto la frutta.</v>
      </c>
    </row>
    <row r="2974">
      <c r="A2974" s="4" t="s">
        <v>3735</v>
      </c>
      <c r="B2974" s="6" t="s">
        <v>3736</v>
      </c>
      <c r="C2974" s="5" t="str">
        <f>IFERROR(__xludf.DUMMYFUNCTION("GOOGLETRANSLATE(B2974,""en"",""it"")"),"Diverse fotografie di famiglie e oggetti sono mostrate seguite da un uomo che versano liquidi in un secchio.")</f>
        <v>Diverse fotografie di famiglie e oggetti sono mostrate seguite da un uomo che versano liquidi in un secchio.</v>
      </c>
    </row>
    <row r="2975">
      <c r="A2975" s="4" t="s">
        <v>3735</v>
      </c>
      <c r="B2975" s="4" t="s">
        <v>3737</v>
      </c>
      <c r="C2975" s="5" t="str">
        <f>IFERROR(__xludf.DUMMYFUNCTION("GOOGLETRANSLATE(B2975,""en"",""it"")"),"Versa più oggetti nel secchio mentre un altro uomo lo gira intorno.")</f>
        <v>Versa più oggetti nel secchio mentre un altro uomo lo gira intorno.</v>
      </c>
    </row>
    <row r="2976">
      <c r="A2976" s="4" t="s">
        <v>3735</v>
      </c>
      <c r="B2976" s="4" t="s">
        <v>3738</v>
      </c>
      <c r="C2976" s="5" t="str">
        <f>IFERROR(__xludf.DUMMYFUNCTION("GOOGLETRANSLATE(B2976,""en"",""it"")"),"L'uomo apre una scatola piena di pietra e pone un po 'di intonaco su un muro.")</f>
        <v>L'uomo apre una scatola piena di pietra e pone un po 'di intonaco su un muro.</v>
      </c>
    </row>
    <row r="2977">
      <c r="A2977" s="4" t="s">
        <v>3735</v>
      </c>
      <c r="B2977" s="4" t="s">
        <v>3739</v>
      </c>
      <c r="C2977" s="5" t="str">
        <f>IFERROR(__xludf.DUMMYFUNCTION("GOOGLETRANSLATE(B2977,""en"",""it"")"),"Spinge più e più volte la pietra nel muro per creare un muro di pietra per una casa.")</f>
        <v>Spinge più e più volte la pietra nel muro per creare un muro di pietra per una casa.</v>
      </c>
    </row>
    <row r="2978">
      <c r="A2978" s="4" t="s">
        <v>3740</v>
      </c>
      <c r="B2978" s="4" t="s">
        <v>3741</v>
      </c>
      <c r="C2978" s="5" t="str">
        <f>IFERROR(__xludf.DUMMYFUNCTION("GOOGLETRANSLATE(B2978,""en"",""it"")"),"Un ragazzo è seduto su una sedia del salone e parla.")</f>
        <v>Un ragazzo è seduto su una sedia del salone e parla.</v>
      </c>
    </row>
    <row r="2979">
      <c r="A2979" s="4" t="s">
        <v>3740</v>
      </c>
      <c r="B2979" s="4" t="s">
        <v>3742</v>
      </c>
      <c r="C2979" s="5" t="str">
        <f>IFERROR(__xludf.DUMMYFUNCTION("GOOGLETRANSLATE(B2979,""en"",""it"")"),"Uno stilista si taglia i capelli in un nuovo stile.")</f>
        <v>Uno stilista si taglia i capelli in un nuovo stile.</v>
      </c>
    </row>
    <row r="2980">
      <c r="A2980" s="4" t="s">
        <v>3740</v>
      </c>
      <c r="B2980" s="4" t="s">
        <v>3743</v>
      </c>
      <c r="C2980" s="5" t="str">
        <f>IFERROR(__xludf.DUMMYFUNCTION("GOOGLETRANSLATE(B2980,""en"",""it"")"),"Si asciuga e spruzza i capelli in un aspetto a spillo.")</f>
        <v>Si asciuga e spruzza i capelli in un aspetto a spillo.</v>
      </c>
    </row>
    <row r="2981">
      <c r="A2981" s="4" t="s">
        <v>3744</v>
      </c>
      <c r="B2981" s="4" t="s">
        <v>3745</v>
      </c>
      <c r="C2981" s="5" t="str">
        <f>IFERROR(__xludf.DUMMYFUNCTION("GOOGLETRANSLATE(B2981,""en"",""it"")"),"Vediamo persone in auto a paraurti in un carnevale.")</f>
        <v>Vediamo persone in auto a paraurti in un carnevale.</v>
      </c>
    </row>
    <row r="2982">
      <c r="A2982" s="4" t="s">
        <v>3744</v>
      </c>
      <c r="B2982" s="4" t="s">
        <v>3746</v>
      </c>
      <c r="C2982" s="5" t="str">
        <f>IFERROR(__xludf.DUMMYFUNCTION("GOOGLETRANSLATE(B2982,""en"",""it"")"),"Le panoramiche della telecamera sono andate e vediamo il tribunale di guida.")</f>
        <v>Le panoramiche della telecamera sono andate e vediamo il tribunale di guida.</v>
      </c>
    </row>
    <row r="2983">
      <c r="A2983" s="4" t="s">
        <v>3744</v>
      </c>
      <c r="B2983" s="4" t="s">
        <v>3747</v>
      </c>
      <c r="C2983" s="5" t="str">
        <f>IFERROR(__xludf.DUMMYFUNCTION("GOOGLETRANSLATE(B2983,""en"",""it"")"),"Una persona in viola passa oltre la telecamera.")</f>
        <v>Una persona in viola passa oltre la telecamera.</v>
      </c>
    </row>
    <row r="2984">
      <c r="A2984" s="4" t="s">
        <v>3744</v>
      </c>
      <c r="B2984" s="4" t="s">
        <v>3748</v>
      </c>
      <c r="C2984" s="5" t="str">
        <f>IFERROR(__xludf.DUMMYFUNCTION("GOOGLETRANSLATE(B2984,""en"",""it"")"),"Una ragazza sorride alla telecamera mentre passa oltre.")</f>
        <v>Una ragazza sorride alla telecamera mentre passa oltre.</v>
      </c>
    </row>
    <row r="2985">
      <c r="A2985" s="4" t="s">
        <v>3749</v>
      </c>
      <c r="B2985" s="4" t="s">
        <v>3750</v>
      </c>
      <c r="C2985" s="5" t="str">
        <f>IFERROR(__xludf.DUMMYFUNCTION("GOOGLETRANSLATE(B2985,""en"",""it"")"),"Una ragazza sta giocando con la sabbia su una spiaggia.")</f>
        <v>Una ragazza sta giocando con la sabbia su una spiaggia.</v>
      </c>
    </row>
    <row r="2986">
      <c r="A2986" s="4" t="s">
        <v>3749</v>
      </c>
      <c r="B2986" s="4" t="s">
        <v>3751</v>
      </c>
      <c r="C2986" s="5" t="str">
        <f>IFERROR(__xludf.DUMMYFUNCTION("GOOGLETRANSLATE(B2986,""en"",""it"")"),"Quindi si alza e guarda altre persone.")</f>
        <v>Quindi si alza e guarda altre persone.</v>
      </c>
    </row>
    <row r="2987">
      <c r="A2987" s="4" t="s">
        <v>3752</v>
      </c>
      <c r="B2987" s="4" t="s">
        <v>3753</v>
      </c>
      <c r="C2987" s="5" t="str">
        <f>IFERROR(__xludf.DUMMYFUNCTION("GOOGLETRANSLATE(B2987,""en"",""it"")"),"Le persone sono in piedi accanto a un tavolo da ping pong.")</f>
        <v>Le persone sono in piedi accanto a un tavolo da ping pong.</v>
      </c>
    </row>
    <row r="2988">
      <c r="A2988" s="4" t="s">
        <v>3752</v>
      </c>
      <c r="B2988" s="4" t="s">
        <v>3754</v>
      </c>
      <c r="C2988" s="5" t="str">
        <f>IFERROR(__xludf.DUMMYFUNCTION("GOOGLETRANSLATE(B2988,""en"",""it"")"),"Un uomo sta dimostrando come giocare senza paddle.")</f>
        <v>Un uomo sta dimostrando come giocare senza paddle.</v>
      </c>
    </row>
    <row r="2989">
      <c r="A2989" s="4" t="s">
        <v>3752</v>
      </c>
      <c r="B2989" s="4" t="s">
        <v>3755</v>
      </c>
      <c r="C2989" s="5" t="str">
        <f>IFERROR(__xludf.DUMMYFUNCTION("GOOGLETRANSLATE(B2989,""en"",""it"")"),"Due persone iniziano a giocare a Ping Pong.")</f>
        <v>Due persone iniziano a giocare a Ping Pong.</v>
      </c>
    </row>
    <row r="2990">
      <c r="A2990" s="4" t="s">
        <v>3756</v>
      </c>
      <c r="B2990" s="4" t="s">
        <v>3757</v>
      </c>
      <c r="C2990" s="5" t="str">
        <f>IFERROR(__xludf.DUMMYFUNCTION("GOOGLETRANSLATE(B2990,""en"",""it"")"),"Due uomini sono seduti su tavoli rotondi a parlare in microfoni.")</f>
        <v>Due uomini sono seduti su tavoli rotondi a parlare in microfoni.</v>
      </c>
    </row>
    <row r="2991">
      <c r="A2991" s="4" t="s">
        <v>3756</v>
      </c>
      <c r="B2991" s="4" t="s">
        <v>3758</v>
      </c>
      <c r="C2991" s="5" t="str">
        <f>IFERROR(__xludf.DUMMYFUNCTION("GOOGLETRANSLATE(B2991,""en"",""it"")"),"Gli uomini vengono intervistati in un grande campo da calcio.")</f>
        <v>Gli uomini vengono intervistati in un grande campo da calcio.</v>
      </c>
    </row>
    <row r="2992">
      <c r="A2992" s="4" t="s">
        <v>3756</v>
      </c>
      <c r="B2992" s="4" t="s">
        <v>3759</v>
      </c>
      <c r="C2992" s="5" t="str">
        <f>IFERROR(__xludf.DUMMYFUNCTION("GOOGLETRANSLATE(B2992,""en"",""it"")"),"Gli uomini stanno giocando a ping pong in Themiddle dello stadio mentre molte persone sono radunate in giro.")</f>
        <v>Gli uomini stanno giocando a ping pong in Themiddle dello stadio mentre molte persone sono radunate in giro.</v>
      </c>
    </row>
    <row r="2993">
      <c r="A2993" s="4" t="s">
        <v>3760</v>
      </c>
      <c r="B2993" s="4" t="s">
        <v>3761</v>
      </c>
      <c r="C2993" s="5" t="str">
        <f>IFERROR(__xludf.DUMMYFUNCTION("GOOGLETRANSLATE(B2993,""en"",""it"")"),"Vediamo un flusso di acqua bianca in movimento rapido.")</f>
        <v>Vediamo un flusso di acqua bianca in movimento rapido.</v>
      </c>
    </row>
    <row r="2994">
      <c r="A2994" s="4" t="s">
        <v>3760</v>
      </c>
      <c r="B2994" s="4" t="s">
        <v>3762</v>
      </c>
      <c r="C2994" s="5" t="str">
        <f>IFERROR(__xludf.DUMMYFUNCTION("GOOGLETRANSLATE(B2994,""en"",""it"")"),"Un uomo in attrezzatura di rafting blu e un casco sta guardando da un letto di rocce.")</f>
        <v>Un uomo in attrezzatura di rafting blu e un casco sta guardando da un letto di rocce.</v>
      </c>
    </row>
    <row r="2995">
      <c r="A2995" s="4" t="s">
        <v>3760</v>
      </c>
      <c r="B2995" s="4" t="s">
        <v>3763</v>
      </c>
      <c r="C2995" s="5" t="str">
        <f>IFERROR(__xludf.DUMMYFUNCTION("GOOGLETRANSLATE(B2995,""en"",""it"")"),"Notiamo un uomo in un kayak e un casco giallo che arriva da sinistra.")</f>
        <v>Notiamo un uomo in un kayak e un casco giallo che arriva da sinistra.</v>
      </c>
    </row>
    <row r="2996">
      <c r="A2996" s="4" t="s">
        <v>3760</v>
      </c>
      <c r="B2996" s="4" t="s">
        <v>3764</v>
      </c>
      <c r="C2996" s="5" t="str">
        <f>IFERROR(__xludf.DUMMYFUNCTION("GOOGLETRANSLATE(B2996,""en"",""it"")"),"Mentre si avvicina, il suo kayak gira a testa in giù.")</f>
        <v>Mentre si avvicina, il suo kayak gira a testa in giù.</v>
      </c>
    </row>
    <row r="2997">
      <c r="A2997" s="4" t="s">
        <v>3760</v>
      </c>
      <c r="B2997" s="6" t="s">
        <v>3765</v>
      </c>
      <c r="C2997" s="5" t="str">
        <f>IFERROR(__xludf.DUMMYFUNCTION("GOOGLETRANSLATE(B2997,""en"",""it"")"),"Mentre la vista lo segue, notiamo un altro uomo seduto sulle rocce a destra in rosso con un casco bianco.")</f>
        <v>Mentre la vista lo segue, notiamo un altro uomo seduto sulle rocce a destra in rosso con un casco bianco.</v>
      </c>
    </row>
    <row r="2998">
      <c r="A2998" s="4" t="s">
        <v>3766</v>
      </c>
      <c r="B2998" s="4" t="s">
        <v>3767</v>
      </c>
      <c r="C2998" s="5" t="str">
        <f>IFERROR(__xludf.DUMMYFUNCTION("GOOGLETRANSLATE(B2998,""en"",""it"")"),"Una donna intreccia i capelli in diverse trecce.")</f>
        <v>Una donna intreccia i capelli in diverse trecce.</v>
      </c>
    </row>
    <row r="2999">
      <c r="A2999" s="4" t="s">
        <v>3766</v>
      </c>
      <c r="B2999" s="4" t="s">
        <v>3768</v>
      </c>
      <c r="C2999" s="5" t="str">
        <f>IFERROR(__xludf.DUMMYFUNCTION("GOOGLETRANSLATE(B2999,""en"",""it"")"),"Li lega dietro la testa.")</f>
        <v>Li lega dietro la testa.</v>
      </c>
    </row>
    <row r="3000">
      <c r="A3000" s="4" t="s">
        <v>3769</v>
      </c>
      <c r="B3000" s="4" t="s">
        <v>3770</v>
      </c>
      <c r="C3000" s="5" t="str">
        <f>IFERROR(__xludf.DUMMYFUNCTION("GOOGLETRANSLATE(B3000,""en"",""it"")"),"Una ginnasta esegue una routine di barre irregolari mentre le persone guardano.")</f>
        <v>Una ginnasta esegue una routine di barre irregolari mentre le persone guardano.</v>
      </c>
    </row>
    <row r="3001">
      <c r="A3001" s="4" t="s">
        <v>3769</v>
      </c>
      <c r="B3001" s="4" t="s">
        <v>3771</v>
      </c>
      <c r="C3001" s="5" t="str">
        <f>IFERROR(__xludf.DUMMYFUNCTION("GOOGLETRANSLATE(B3001,""en"",""it"")"),"Il giudice supervisiona la routine della ginnasta.")</f>
        <v>Il giudice supervisiona la routine della ginnasta.</v>
      </c>
    </row>
    <row r="3002">
      <c r="A3002" s="4" t="s">
        <v>3769</v>
      </c>
      <c r="B3002" s="4" t="s">
        <v>3772</v>
      </c>
      <c r="C3002" s="5" t="str">
        <f>IFERROR(__xludf.DUMMYFUNCTION("GOOGLETRANSLATE(B3002,""en"",""it"")"),"Quindi, la ginnasta gira con la barra più alta e salta sul tappeto.")</f>
        <v>Quindi, la ginnasta gira con la barra più alta e salta sul tappeto.</v>
      </c>
    </row>
    <row r="3003">
      <c r="A3003" s="4" t="s">
        <v>3773</v>
      </c>
      <c r="B3003" s="6" t="s">
        <v>3774</v>
      </c>
      <c r="C3003" s="5" t="str">
        <f>IFERROR(__xludf.DUMMYFUNCTION("GOOGLETRANSLATE(B3003,""en"",""it"")"),"Due uomini sono visti in giro per una grande stanza e colpiscono una palla da tennis con racchette da tennis.")</f>
        <v>Due uomini sono visti in giro per una grande stanza e colpiscono una palla da tennis con racchette da tennis.</v>
      </c>
    </row>
    <row r="3004">
      <c r="A3004" s="4" t="s">
        <v>3773</v>
      </c>
      <c r="B3004" s="4" t="s">
        <v>3775</v>
      </c>
      <c r="C3004" s="5" t="str">
        <f>IFERROR(__xludf.DUMMYFUNCTION("GOOGLETRANSLATE(B3004,""en"",""it"")"),"Gli uomini colpiscono la palla e quarto l'uno all'altro e corrono nella stanza allo stesso tempo.")</f>
        <v>Gli uomini colpiscono la palla e quarto l'uno all'altro e corrono nella stanza allo stesso tempo.</v>
      </c>
    </row>
    <row r="3005">
      <c r="A3005" s="4" t="s">
        <v>3776</v>
      </c>
      <c r="B3005" s="4" t="s">
        <v>3777</v>
      </c>
      <c r="C3005" s="5" t="str">
        <f>IFERROR(__xludf.DUMMYFUNCTION("GOOGLETRANSLATE(B3005,""en"",""it"")"),"Vediamo due schermi di apertura per il poker in un casinò.")</f>
        <v>Vediamo due schermi di apertura per il poker in un casinò.</v>
      </c>
    </row>
    <row r="3006">
      <c r="A3006" s="4" t="s">
        <v>3776</v>
      </c>
      <c r="B3006" s="4" t="s">
        <v>3778</v>
      </c>
      <c r="C3006" s="5" t="str">
        <f>IFERROR(__xludf.DUMMYFUNCTION("GOOGLETRANSLATE(B3006,""en"",""it"")"),"Vediamo il rivenditore parlare e fare carte.")</f>
        <v>Vediamo il rivenditore parlare e fare carte.</v>
      </c>
    </row>
    <row r="3007">
      <c r="A3007" s="4" t="s">
        <v>3776</v>
      </c>
      <c r="B3007" s="4" t="s">
        <v>3779</v>
      </c>
      <c r="C3007" s="5" t="str">
        <f>IFERROR(__xludf.DUMMYFUNCTION("GOOGLETRANSLATE(B3007,""en"",""it"")"),"Vediamo un grande segno del jackpot.")</f>
        <v>Vediamo un grande segno del jackpot.</v>
      </c>
    </row>
    <row r="3008">
      <c r="A3008" s="4" t="s">
        <v>3776</v>
      </c>
      <c r="B3008" s="4" t="s">
        <v>3780</v>
      </c>
      <c r="C3008" s="5" t="str">
        <f>IFERROR(__xludf.DUMMYFUNCTION("GOOGLETRANSLATE(B3008,""en"",""it"")"),"Vediamo il rivenditore mescolare le carte.")</f>
        <v>Vediamo il rivenditore mescolare le carte.</v>
      </c>
    </row>
    <row r="3009">
      <c r="A3009" s="4" t="s">
        <v>3776</v>
      </c>
      <c r="B3009" s="4" t="s">
        <v>3781</v>
      </c>
      <c r="C3009" s="5" t="str">
        <f>IFERROR(__xludf.DUMMYFUNCTION("GOOGLETRANSLATE(B3009,""en"",""it"")"),"Vediamo l'uomo sbirciare le sue carte.")</f>
        <v>Vediamo l'uomo sbirciare le sue carte.</v>
      </c>
    </row>
    <row r="3010">
      <c r="A3010" s="4" t="s">
        <v>3776</v>
      </c>
      <c r="B3010" s="4" t="s">
        <v>3782</v>
      </c>
      <c r="C3010" s="5" t="str">
        <f>IFERROR(__xludf.DUMMYFUNCTION("GOOGLETRANSLATE(B3010,""en"",""it"")"),"L'uomo sbircia di nuovo sulle sue carte.")</f>
        <v>L'uomo sbircia di nuovo sulle sue carte.</v>
      </c>
    </row>
    <row r="3011">
      <c r="A3011" s="4" t="s">
        <v>3776</v>
      </c>
      <c r="B3011" s="4" t="s">
        <v>3783</v>
      </c>
      <c r="C3011" s="5" t="str">
        <f>IFERROR(__xludf.DUMMYFUNCTION("GOOGLETRANSLATE(B3011,""en"",""it"")"),"Il commerciante gira le carte dei giocatori.")</f>
        <v>Il commerciante gira le carte dei giocatori.</v>
      </c>
    </row>
    <row r="3012">
      <c r="A3012" s="4" t="s">
        <v>3776</v>
      </c>
      <c r="B3012" s="4" t="s">
        <v>3784</v>
      </c>
      <c r="C3012" s="5" t="str">
        <f>IFERROR(__xludf.DUMMYFUNCTION("GOOGLETRANSLATE(B3012,""en"",""it"")"),"Vediamo lo schermo di chiusura per il casinò.")</f>
        <v>Vediamo lo schermo di chiusura per il casinò.</v>
      </c>
    </row>
    <row r="3013">
      <c r="A3013" s="4" t="s">
        <v>3785</v>
      </c>
      <c r="B3013" s="4" t="s">
        <v>3786</v>
      </c>
      <c r="C3013" s="5" t="str">
        <f>IFERROR(__xludf.DUMMYFUNCTION("GOOGLETRANSLATE(B3013,""en"",""it"")"),"Un uomo con una camicia blu e pantaloncini solleva un grande peso sopra la testa.")</f>
        <v>Un uomo con una camicia blu e pantaloncini solleva un grande peso sopra la testa.</v>
      </c>
    </row>
    <row r="3014">
      <c r="A3014" s="4" t="s">
        <v>3785</v>
      </c>
      <c r="B3014" s="4" t="s">
        <v>3787</v>
      </c>
      <c r="C3014" s="5" t="str">
        <f>IFERROR(__xludf.DUMMYFUNCTION("GOOGLETRANSLATE(B3014,""en"",""it"")"),"Un altro uomo lo sta girando.")</f>
        <v>Un altro uomo lo sta girando.</v>
      </c>
    </row>
    <row r="3015">
      <c r="A3015" s="4" t="s">
        <v>3785</v>
      </c>
      <c r="B3015" s="4" t="s">
        <v>3788</v>
      </c>
      <c r="C3015" s="5" t="str">
        <f>IFERROR(__xludf.DUMMYFUNCTION("GOOGLETRANSLATE(B3015,""en"",""it"")"),"Lo stesso uomo ritorna e solleva di nuovo il peso sopra la testa.")</f>
        <v>Lo stesso uomo ritorna e solleva di nuovo il peso sopra la testa.</v>
      </c>
    </row>
    <row r="3016">
      <c r="A3016" s="4" t="s">
        <v>3785</v>
      </c>
      <c r="B3016" s="4" t="s">
        <v>3789</v>
      </c>
      <c r="C3016" s="5" t="str">
        <f>IFERROR(__xludf.DUMMYFUNCTION("GOOGLETRANSLATE(B3016,""en"",""it"")"),"Lo lascia cadere a terra e se ne va.")</f>
        <v>Lo lascia cadere a terra e se ne va.</v>
      </c>
    </row>
    <row r="3017">
      <c r="A3017" s="4" t="s">
        <v>3790</v>
      </c>
      <c r="B3017" s="6" t="s">
        <v>3791</v>
      </c>
      <c r="C3017" s="5" t="str">
        <f>IFERROR(__xludf.DUMMYFUNCTION("GOOGLETRANSLATE(B3017,""en"",""it"")"),"Avvolgimento regalo per le vacanze rese facile, questo negozio di vetro offre un tutorial su come avvolgere regali a forma di imbarazzante.")</f>
        <v>Avvolgimento regalo per le vacanze rese facile, questo negozio di vetro offre un tutorial su come avvolgere regali a forma di imbarazzante.</v>
      </c>
    </row>
    <row r="3018">
      <c r="A3018" s="4" t="s">
        <v>3790</v>
      </c>
      <c r="B3018" s="4" t="s">
        <v>3792</v>
      </c>
      <c r="C3018" s="5" t="str">
        <f>IFERROR(__xludf.DUMMYFUNCTION("GOOGLETRANSLATE(B3018,""en"",""it"")"),"Posizionare l'oggetto sulla carta da avvolgimento per iniziare.")</f>
        <v>Posizionare l'oggetto sulla carta da avvolgimento per iniziare.</v>
      </c>
    </row>
    <row r="3019">
      <c r="A3019" s="4" t="s">
        <v>3790</v>
      </c>
      <c r="B3019" s="4" t="s">
        <v>3793</v>
      </c>
      <c r="C3019" s="5" t="str">
        <f>IFERROR(__xludf.DUMMYFUNCTION("GOOGLETRANSLATE(B3019,""en"",""it"")"),"Dopo, pieghi la punta della carta, afferri la forbice e taglia le strisce.")</f>
        <v>Dopo, pieghi la punta della carta, afferri la forbice e taglia le strisce.</v>
      </c>
    </row>
    <row r="3020">
      <c r="A3020" s="4" t="s">
        <v>3790</v>
      </c>
      <c r="B3020" s="4" t="s">
        <v>3794</v>
      </c>
      <c r="C3020" s="5" t="str">
        <f>IFERROR(__xludf.DUMMYFUNCTION("GOOGLETRANSLATE(B3020,""en"",""it"")"),"Quindi usi il nastro per tenerlo giù e completarlo con un arco.")</f>
        <v>Quindi usi il nastro per tenerlo giù e completarlo con un arco.</v>
      </c>
    </row>
    <row r="3021">
      <c r="A3021" s="4" t="s">
        <v>3795</v>
      </c>
      <c r="B3021" s="4" t="s">
        <v>3796</v>
      </c>
      <c r="C3021" s="5" t="str">
        <f>IFERROR(__xludf.DUMMYFUNCTION("GOOGLETRANSLATE(B3021,""en"",""it"")"),"Il video inizia con una schermata del titolo.")</f>
        <v>Il video inizia con una schermata del titolo.</v>
      </c>
    </row>
    <row r="3022">
      <c r="A3022" s="4" t="s">
        <v>3795</v>
      </c>
      <c r="B3022" s="6" t="s">
        <v>3797</v>
      </c>
      <c r="C3022" s="5" t="str">
        <f>IFERROR(__xludf.DUMMYFUNCTION("GOOGLETRANSLATE(B3022,""en"",""it"")"),"Un uomo più anziano viene visto in palestra che parla alla telecamera mentre gli uomini giocano a pallavolo in sottofondo.")</f>
        <v>Un uomo più anziano viene visto in palestra che parla alla telecamera mentre gli uomini giocano a pallavolo in sottofondo.</v>
      </c>
    </row>
    <row r="3023">
      <c r="A3023" s="4" t="s">
        <v>3795</v>
      </c>
      <c r="B3023" s="4" t="s">
        <v>3798</v>
      </c>
      <c r="C3023" s="5" t="str">
        <f>IFERROR(__xludf.DUMMYFUNCTION("GOOGLETRANSLATE(B3023,""en"",""it"")"),"Uno schermo simulato che mostra un campo da pallavolo mostra mentre parla.")</f>
        <v>Uno schermo simulato che mostra un campo da pallavolo mostra mentre parla.</v>
      </c>
    </row>
    <row r="3024">
      <c r="A3024" s="4" t="s">
        <v>3795</v>
      </c>
      <c r="B3024" s="4" t="s">
        <v>3799</v>
      </c>
      <c r="C3024" s="5" t="str">
        <f>IFERROR(__xludf.DUMMYFUNCTION("GOOGLETRANSLATE(B3024,""en"",""it"")"),"Il video ritorna quindi all'uomo più anziano che dirige i giocatori.")</f>
        <v>Il video ritorna quindi all'uomo più anziano che dirige i giocatori.</v>
      </c>
    </row>
    <row r="3025">
      <c r="A3025" s="4" t="s">
        <v>3795</v>
      </c>
      <c r="B3025" s="4" t="s">
        <v>3800</v>
      </c>
      <c r="C3025" s="5" t="str">
        <f>IFERROR(__xludf.DUMMYFUNCTION("GOOGLETRANSLATE(B3025,""en"",""it"")"),"Gli uomini iniziano a lanciare una pallavolo avanti e indietro.")</f>
        <v>Gli uomini iniziano a lanciare una pallavolo avanti e indietro.</v>
      </c>
    </row>
    <row r="3026">
      <c r="A3026" s="4" t="s">
        <v>3795</v>
      </c>
      <c r="B3026" s="4" t="s">
        <v>3801</v>
      </c>
      <c r="C3026" s="5" t="str">
        <f>IFERROR(__xludf.DUMMYFUNCTION("GOOGLETRANSLATE(B3026,""en"",""it"")"),"Il video termina con una schermata del titolo finale.")</f>
        <v>Il video termina con una schermata del titolo finale.</v>
      </c>
    </row>
    <row r="3027">
      <c r="A3027" s="4" t="s">
        <v>3802</v>
      </c>
      <c r="B3027" s="4" t="s">
        <v>3803</v>
      </c>
      <c r="C3027" s="5" t="str">
        <f>IFERROR(__xludf.DUMMYFUNCTION("GOOGLETRANSLATE(B3027,""en"",""it"")"),"Una ragazza asiatica seduta a una scrivania descrive il wrestling del braccio.")</f>
        <v>Una ragazza asiatica seduta a una scrivania descrive il wrestling del braccio.</v>
      </c>
    </row>
    <row r="3028">
      <c r="A3028" s="4" t="s">
        <v>3802</v>
      </c>
      <c r="B3028" s="4" t="s">
        <v>3804</v>
      </c>
      <c r="C3028" s="5" t="str">
        <f>IFERROR(__xludf.DUMMYFUNCTION("GOOGLETRANSLATE(B3028,""en"",""it"")"),"La ragazza presenta un ragazzo asiatico che si trova di fronte alla ragazza asiatica.")</f>
        <v>La ragazza presenta un ragazzo asiatico che si trova di fronte alla ragazza asiatica.</v>
      </c>
    </row>
    <row r="3029">
      <c r="A3029" s="4" t="s">
        <v>3802</v>
      </c>
      <c r="B3029" s="6" t="s">
        <v>3805</v>
      </c>
      <c r="C3029" s="5" t="str">
        <f>IFERROR(__xludf.DUMMYFUNCTION("GOOGLETRANSLATE(B3029,""en"",""it"")"),"La ragazza e il ragazzo si preparano a braccia wrestle mentre un arbitro si trova sopra la ragazza del braccio che il wrestler usa entrambe le braccia e spinge nella direzione sbagliata.")</f>
        <v>La ragazza e il ragazzo si preparano a braccia wrestle mentre un arbitro si trova sopra la ragazza del braccio che il wrestler usa entrambe le braccia e spinge nella direzione sbagliata.</v>
      </c>
    </row>
    <row r="3030">
      <c r="A3030" s="4" t="s">
        <v>3802</v>
      </c>
      <c r="B3030" s="6" t="s">
        <v>3806</v>
      </c>
      <c r="C3030" s="5" t="str">
        <f>IFERROR(__xludf.DUMMYFUNCTION("GOOGLETRANSLATE(B3030,""en"",""it"")"),"I lottatori della ragazza e del braccio di ragazzo si mettono di nuovo in posizione con l'arbitro che li prepara, iniziano a lottare.")</f>
        <v>I lottatori della ragazza e del braccio di ragazzo si mettono di nuovo in posizione con l'arbitro che li prepara, iniziano a lottare.</v>
      </c>
    </row>
    <row r="3031">
      <c r="A3031" s="4" t="s">
        <v>3802</v>
      </c>
      <c r="B3031" s="4" t="s">
        <v>3807</v>
      </c>
      <c r="C3031" s="5" t="str">
        <f>IFERROR(__xludf.DUMMYFUNCTION("GOOGLETRANSLATE(B3031,""en"",""it"")"),"La ragazza lottatore cerca di lottare usando sia le braccia che il suo corpo ma cade a terra.")</f>
        <v>La ragazza lottatore cerca di lottare usando sia le braccia che il suo corpo ma cade a terra.</v>
      </c>
    </row>
    <row r="3032">
      <c r="A3032" s="4" t="s">
        <v>3808</v>
      </c>
      <c r="B3032" s="6" t="s">
        <v>3809</v>
      </c>
      <c r="C3032" s="5" t="str">
        <f>IFERROR(__xludf.DUMMYFUNCTION("GOOGLETRANSLATE(B3032,""en"",""it"")"),"Tre uomini sono visti seduti dietro una serie di tamburi di bongo che giocano rapidamente mentre vengono mostrati diversi lampi della fotocamera.")</f>
        <v>Tre uomini sono visti seduti dietro una serie di tamburi di bongo che giocano rapidamente mentre vengono mostrati diversi lampi della fotocamera.</v>
      </c>
    </row>
    <row r="3033">
      <c r="A3033" s="4" t="s">
        <v>3808</v>
      </c>
      <c r="B3033" s="4" t="s">
        <v>3810</v>
      </c>
      <c r="C3033" s="5" t="str">
        <f>IFERROR(__xludf.DUMMYFUNCTION("GOOGLETRANSLATE(B3033,""en"",""it"")"),"Gli uomini continuano a giocare di nuovo mentre ridono e sorridono l'un l'altro.")</f>
        <v>Gli uomini continuano a giocare di nuovo mentre ridono e sorridono l'un l'altro.</v>
      </c>
    </row>
    <row r="3034">
      <c r="A3034" s="4" t="s">
        <v>3811</v>
      </c>
      <c r="B3034" s="6" t="s">
        <v>3812</v>
      </c>
      <c r="C3034" s="5" t="str">
        <f>IFERROR(__xludf.DUMMYFUNCTION("GOOGLETRANSLATE(B3034,""en"",""it"")"),"Un ragazzo adolescente salta su uno skateboard, pattinando attraverso una strada e su un vialetto prima di tornare in strada.")</f>
        <v>Un ragazzo adolescente salta su uno skateboard, pattinando attraverso una strada e su un vialetto prima di tornare in strada.</v>
      </c>
    </row>
    <row r="3035">
      <c r="A3035" s="4" t="s">
        <v>3811</v>
      </c>
      <c r="B3035" s="4" t="s">
        <v>3813</v>
      </c>
      <c r="C3035" s="5" t="str">
        <f>IFERROR(__xludf.DUMMYFUNCTION("GOOGLETRANSLATE(B3035,""en"",""it"")"),"Smonta, parlando mentre calcia il tabellone.")</f>
        <v>Smonta, parlando mentre calcia il tabellone.</v>
      </c>
    </row>
    <row r="3036">
      <c r="A3036" s="4" t="s">
        <v>3811</v>
      </c>
      <c r="B3036" s="4" t="s">
        <v>3814</v>
      </c>
      <c r="C3036" s="5" t="str">
        <f>IFERROR(__xludf.DUMMYFUNCTION("GOOGLETRANSLATE(B3036,""en"",""it"")"),"Sorride la telecamera, indossando occhiali da sole.")</f>
        <v>Sorride la telecamera, indossando occhiali da sole.</v>
      </c>
    </row>
    <row r="3037">
      <c r="A3037" s="4" t="s">
        <v>3815</v>
      </c>
      <c r="B3037" s="4" t="s">
        <v>3816</v>
      </c>
      <c r="C3037" s="5" t="str">
        <f>IFERROR(__xludf.DUMMYFUNCTION("GOOGLETRANSLATE(B3037,""en"",""it"")"),"Un adolescente suona violino in una stanza.")</f>
        <v>Un adolescente suona violino in una stanza.</v>
      </c>
    </row>
    <row r="3038">
      <c r="A3038" s="4" t="s">
        <v>3815</v>
      </c>
      <c r="B3038" s="4" t="s">
        <v>3817</v>
      </c>
      <c r="C3038" s="5" t="str">
        <f>IFERROR(__xludf.DUMMYFUNCTION("GOOGLETRANSLATE(B3038,""en"",""it"")"),"L'adolescente tiene il violino con la mano sinistra che muove le dita e giocando con l'arco.")</f>
        <v>L'adolescente tiene il violino con la mano sinistra che muove le dita e giocando con l'arco.</v>
      </c>
    </row>
    <row r="3039">
      <c r="A3039" s="4" t="s">
        <v>3815</v>
      </c>
      <c r="B3039" s="4" t="s">
        <v>3818</v>
      </c>
      <c r="C3039" s="5" t="str">
        <f>IFERROR(__xludf.DUMMYFUNCTION("GOOGLETRANSLATE(B3039,""en"",""it"")"),"Quindi, l'adolescente finisce il violino.")</f>
        <v>Quindi, l'adolescente finisce il violino.</v>
      </c>
    </row>
    <row r="3040">
      <c r="A3040" s="4" t="s">
        <v>3819</v>
      </c>
      <c r="B3040" s="4" t="s">
        <v>3820</v>
      </c>
      <c r="C3040" s="5" t="str">
        <f>IFERROR(__xludf.DUMMYFUNCTION("GOOGLETRANSLATE(B3040,""en"",""it"")"),"Un uomo è sulla spiaggia con una bici.")</f>
        <v>Un uomo è sulla spiaggia con una bici.</v>
      </c>
    </row>
    <row r="3041">
      <c r="A3041" s="4" t="s">
        <v>3819</v>
      </c>
      <c r="B3041" s="4" t="s">
        <v>3821</v>
      </c>
      <c r="C3041" s="5" t="str">
        <f>IFERROR(__xludf.DUMMYFUNCTION("GOOGLETRANSLATE(B3041,""en"",""it"")"),"Leviga lungo la tavola da surf.")</f>
        <v>Leviga lungo la tavola da surf.</v>
      </c>
    </row>
    <row r="3042">
      <c r="A3042" s="4" t="s">
        <v>3819</v>
      </c>
      <c r="B3042" s="4" t="s">
        <v>3822</v>
      </c>
      <c r="C3042" s="5" t="str">
        <f>IFERROR(__xludf.DUMMYFUNCTION("GOOGLETRANSLATE(B3042,""en"",""it"")"),"Va in navigazione in acqua.")</f>
        <v>Va in navigazione in acqua.</v>
      </c>
    </row>
    <row r="3043">
      <c r="A3043" s="4" t="s">
        <v>3823</v>
      </c>
      <c r="B3043" s="4" t="s">
        <v>3824</v>
      </c>
      <c r="C3043" s="5" t="str">
        <f>IFERROR(__xludf.DUMMYFUNCTION("GOOGLETRANSLATE(B3043,""en"",""it"")"),"Le persone stanno giocando a pallavolo nella sabbia sulla spiaggia.")</f>
        <v>Le persone stanno giocando a pallavolo nella sabbia sulla spiaggia.</v>
      </c>
    </row>
    <row r="3044">
      <c r="A3044" s="4" t="s">
        <v>3823</v>
      </c>
      <c r="B3044" s="4" t="s">
        <v>3825</v>
      </c>
      <c r="C3044" s="5" t="str">
        <f>IFERROR(__xludf.DUMMYFUNCTION("GOOGLETRANSLATE(B3044,""en"",""it"")"),"Le persone suonano la batteria sulla spiaggia.")</f>
        <v>Le persone suonano la batteria sulla spiaggia.</v>
      </c>
    </row>
    <row r="3045">
      <c r="A3045" s="4" t="s">
        <v>3823</v>
      </c>
      <c r="B3045" s="4" t="s">
        <v>3826</v>
      </c>
      <c r="C3045" s="5" t="str">
        <f>IFERROR(__xludf.DUMMYFUNCTION("GOOGLETRANSLATE(B3045,""en"",""it"")"),"Una donna in un vestito giallo sta ballando.")</f>
        <v>Una donna in un vestito giallo sta ballando.</v>
      </c>
    </row>
    <row r="3046">
      <c r="A3046" s="4" t="s">
        <v>3823</v>
      </c>
      <c r="B3046" s="4" t="s">
        <v>3827</v>
      </c>
      <c r="C3046" s="5" t="str">
        <f>IFERROR(__xludf.DUMMYFUNCTION("GOOGLETRANSLATE(B3046,""en"",""it"")"),"La squadra pone per una foto dietro uno stendardo.")</f>
        <v>La squadra pone per una foto dietro uno stendardo.</v>
      </c>
    </row>
    <row r="3047">
      <c r="A3047" s="4" t="s">
        <v>3828</v>
      </c>
      <c r="B3047" s="4" t="s">
        <v>3829</v>
      </c>
      <c r="C3047" s="5" t="str">
        <f>IFERROR(__xludf.DUMMYFUNCTION("GOOGLETRANSLATE(B3047,""en"",""it"")"),"Un uomo in abito viene visualizzato sullo schermo.")</f>
        <v>Un uomo in abito viene visualizzato sullo schermo.</v>
      </c>
    </row>
    <row r="3048">
      <c r="A3048" s="4" t="s">
        <v>3828</v>
      </c>
      <c r="B3048" s="4" t="s">
        <v>3830</v>
      </c>
      <c r="C3048" s="5" t="str">
        <f>IFERROR(__xludf.DUMMYFUNCTION("GOOGLETRANSLATE(B3048,""en"",""it"")"),"L'uomo inizia a combattere con un altro uomo.")</f>
        <v>L'uomo inizia a combattere con un altro uomo.</v>
      </c>
    </row>
    <row r="3049">
      <c r="A3049" s="4" t="s">
        <v>3828</v>
      </c>
      <c r="B3049" s="4" t="s">
        <v>3831</v>
      </c>
      <c r="C3049" s="5" t="str">
        <f>IFERROR(__xludf.DUMMYFUNCTION("GOOGLETRANSLATE(B3049,""en"",""it"")"),"L'uomo nella tuta ripristina la sua posizione.")</f>
        <v>L'uomo nella tuta ripristina la sua posizione.</v>
      </c>
    </row>
    <row r="3050">
      <c r="A3050" s="4" t="s">
        <v>3828</v>
      </c>
      <c r="B3050" s="4" t="s">
        <v>3832</v>
      </c>
      <c r="C3050" s="5" t="str">
        <f>IFERROR(__xludf.DUMMYFUNCTION("GOOGLETRANSLATE(B3050,""en"",""it"")"),"Dopo aver combattuto di più, l'uomo nella tuta ripristina di nuovo la sua posizione.")</f>
        <v>Dopo aver combattuto di più, l'uomo nella tuta ripristina di nuovo la sua posizione.</v>
      </c>
    </row>
    <row r="3051">
      <c r="A3051" s="4" t="s">
        <v>3828</v>
      </c>
      <c r="B3051" s="6" t="s">
        <v>3833</v>
      </c>
      <c r="C3051" s="5" t="str">
        <f>IFERROR(__xludf.DUMMYFUNCTION("GOOGLETRANSLATE(B3051,""en"",""it"")"),"Dopo che i combattimenti continuano un altro uomo si presenta nella stanza e scorta l'uomo in abito.")</f>
        <v>Dopo che i combattimenti continuano un altro uomo si presenta nella stanza e scorta l'uomo in abito.</v>
      </c>
    </row>
    <row r="3052">
      <c r="A3052" s="4" t="s">
        <v>3834</v>
      </c>
      <c r="B3052" s="4" t="s">
        <v>3835</v>
      </c>
      <c r="C3052" s="5" t="str">
        <f>IFERROR(__xludf.DUMMYFUNCTION("GOOGLETRANSLATE(B3052,""en"",""it"")"),"Viene visto un uomo parlare con la telecamera e lo fa un po 'di nuovo a un pianoforte.")</f>
        <v>Viene visto un uomo parlare con la telecamera e lo fa un po 'di nuovo a un pianoforte.</v>
      </c>
    </row>
    <row r="3053">
      <c r="A3053" s="4" t="s">
        <v>3834</v>
      </c>
      <c r="B3053" s="4" t="s">
        <v>3836</v>
      </c>
      <c r="C3053" s="5" t="str">
        <f>IFERROR(__xludf.DUMMYFUNCTION("GOOGLETRANSLATE(B3053,""en"",""it"")"),"L'uomo inizia quindi suonando il piano mentre la telecamera cattura i suoi movimenti.")</f>
        <v>L'uomo inizia quindi suonando il piano mentre la telecamera cattura i suoi movimenti.</v>
      </c>
    </row>
    <row r="3054">
      <c r="A3054" s="4" t="s">
        <v>3834</v>
      </c>
      <c r="B3054" s="4" t="s">
        <v>3837</v>
      </c>
      <c r="C3054" s="5" t="str">
        <f>IFERROR(__xludf.DUMMYFUNCTION("GOOGLETRANSLATE(B3054,""en"",""it"")"),"Continua a giocare e termina spegnendo la telecamera e guardando in lontananza.")</f>
        <v>Continua a giocare e termina spegnendo la telecamera e guardando in lontananza.</v>
      </c>
    </row>
    <row r="3055">
      <c r="A3055" s="4" t="s">
        <v>3838</v>
      </c>
      <c r="B3055" s="4" t="s">
        <v>3839</v>
      </c>
      <c r="C3055" s="5" t="str">
        <f>IFERROR(__xludf.DUMMYFUNCTION("GOOGLETRANSLATE(B3055,""en"",""it"")"),"Una donna tiene un gatto su un tavolo.")</f>
        <v>Una donna tiene un gatto su un tavolo.</v>
      </c>
    </row>
    <row r="3056">
      <c r="A3056" s="4" t="s">
        <v>3838</v>
      </c>
      <c r="B3056" s="4" t="s">
        <v>3840</v>
      </c>
      <c r="C3056" s="5" t="str">
        <f>IFERROR(__xludf.DUMMYFUNCTION("GOOGLETRANSLATE(B3056,""en"",""it"")"),"Comincia a ritagliare le unghie dei gatti con uno strumento.")</f>
        <v>Comincia a ritagliare le unghie dei gatti con uno strumento.</v>
      </c>
    </row>
    <row r="3057">
      <c r="A3057" s="4" t="s">
        <v>3838</v>
      </c>
      <c r="B3057" s="4" t="s">
        <v>3841</v>
      </c>
      <c r="C3057" s="5" t="str">
        <f>IFERROR(__xludf.DUMMYFUNCTION("GOOGLETRANSLATE(B3057,""en"",""it"")"),"Finisce e animali domestici.")</f>
        <v>Finisce e animali domestici.</v>
      </c>
    </row>
    <row r="3058">
      <c r="A3058" s="4" t="s">
        <v>3842</v>
      </c>
      <c r="B3058" s="4" t="s">
        <v>3843</v>
      </c>
      <c r="C3058" s="5" t="str">
        <f>IFERROR(__xludf.DUMMYFUNCTION("GOOGLETRANSLATE(B3058,""en"",""it"")"),"Un uomo e un ragazzo fanno un castello di sabbia in spiaggia.")</f>
        <v>Un uomo e un ragazzo fanno un castello di sabbia in spiaggia.</v>
      </c>
    </row>
    <row r="3059">
      <c r="A3059" s="4" t="s">
        <v>3842</v>
      </c>
      <c r="B3059" s="4" t="s">
        <v>3844</v>
      </c>
      <c r="C3059" s="5" t="str">
        <f>IFERROR(__xludf.DUMMYFUNCTION("GOOGLETRANSLATE(B3059,""en"",""it"")"),"Le persone si avvicinano per guardare il castello e iniziano a fare una piccola casa accanto al castello di sabbia.")</f>
        <v>Le persone si avvicinano per guardare il castello e iniziano a fare una piccola casa accanto al castello di sabbia.</v>
      </c>
    </row>
    <row r="3060">
      <c r="A3060" s="4" t="s">
        <v>3842</v>
      </c>
      <c r="B3060" s="4" t="s">
        <v>3845</v>
      </c>
      <c r="C3060" s="5" t="str">
        <f>IFERROR(__xludf.DUMMYFUNCTION("GOOGLETRANSLATE(B3060,""en"",""it"")"),"Una bambina sta facendo più case accanto al castello.")</f>
        <v>Una bambina sta facendo più case accanto al castello.</v>
      </c>
    </row>
    <row r="3061">
      <c r="A3061" s="4" t="s">
        <v>3842</v>
      </c>
      <c r="B3061" s="4" t="s">
        <v>3846</v>
      </c>
      <c r="C3061" s="5" t="str">
        <f>IFERROR(__xludf.DUMMYFUNCTION("GOOGLETRANSLATE(B3061,""en"",""it"")"),"L'uomo scava un buco al centro mentre il ragazzo aiuta a estendere il castello.")</f>
        <v>L'uomo scava un buco al centro mentre il ragazzo aiuta a estendere il castello.</v>
      </c>
    </row>
    <row r="3062">
      <c r="A3062" s="4" t="s">
        <v>3847</v>
      </c>
      <c r="B3062" s="4" t="s">
        <v>3848</v>
      </c>
      <c r="C3062" s="5" t="str">
        <f>IFERROR(__xludf.DUMMYFUNCTION("GOOGLETRANSLATE(B3062,""en"",""it"")"),"Una donna cammina per strada indossando un berretto.")</f>
        <v>Una donna cammina per strada indossando un berretto.</v>
      </c>
    </row>
    <row r="3063">
      <c r="A3063" s="4" t="s">
        <v>3847</v>
      </c>
      <c r="B3063" s="6" t="s">
        <v>3849</v>
      </c>
      <c r="C3063" s="5" t="str">
        <f>IFERROR(__xludf.DUMMYFUNCTION("GOOGLETRANSLATE(B3063,""en"",""it"")"),"Una città è zoom in una mappa, quindi una ragazza esegue il cielo d'acqua in un fiume tirato da una barca mentre si lancia in aria.")</f>
        <v>Una città è zoom in una mappa, quindi una ragazza esegue il cielo d'acqua in un fiume tirato da una barca mentre si lancia in aria.</v>
      </c>
    </row>
    <row r="3064">
      <c r="A3064" s="4" t="s">
        <v>3847</v>
      </c>
      <c r="B3064" s="6" t="s">
        <v>3850</v>
      </c>
      <c r="C3064" s="5" t="str">
        <f>IFERROR(__xludf.DUMMYFUNCTION("GOOGLETRANSLATE(B3064,""en"",""it"")"),"Una strada sta portando a una stazione di sci nautico, quindi una donna scivola su rampe nell'acqua con una corda da sci d'acqua.")</f>
        <v>Una strada sta portando a una stazione di sci nautico, quindi una donna scivola su rampe nell'acqua con una corda da sci d'acqua.</v>
      </c>
    </row>
    <row r="3065">
      <c r="A3065" s="4" t="s">
        <v>3847</v>
      </c>
      <c r="B3065" s="4" t="s">
        <v>3851</v>
      </c>
      <c r="C3065" s="5" t="str">
        <f>IFERROR(__xludf.DUMMYFUNCTION("GOOGLETRANSLATE(B3065,""en"",""it"")"),"Un uomo fa foto alla ragazza.")</f>
        <v>Un uomo fa foto alla ragazza.</v>
      </c>
    </row>
    <row r="3066">
      <c r="A3066" s="4" t="s">
        <v>3847</v>
      </c>
      <c r="B3066" s="4" t="s">
        <v>3852</v>
      </c>
      <c r="C3066" s="5" t="str">
        <f>IFERROR(__xludf.DUMMYFUNCTION("GOOGLETRANSLATE(B3066,""en"",""it"")"),"Quindi la ragazza cambia vestiti e sta su un camion con premi.")</f>
        <v>Quindi la ragazza cambia vestiti e sta su un camion con premi.</v>
      </c>
    </row>
    <row r="3067">
      <c r="A3067" s="4" t="s">
        <v>3853</v>
      </c>
      <c r="B3067" s="4" t="s">
        <v>3854</v>
      </c>
      <c r="C3067" s="5" t="str">
        <f>IFERROR(__xludf.DUMMYFUNCTION("GOOGLETRANSLATE(B3067,""en"",""it"")"),"La donna è in piedi in una pista e inizia a correre per fare un salto in lungo.")</f>
        <v>La donna è in piedi in una pista e inizia a correre per fare un salto in lungo.</v>
      </c>
    </row>
    <row r="3068">
      <c r="A3068" s="4" t="s">
        <v>3853</v>
      </c>
      <c r="B3068" s="4" t="s">
        <v>3855</v>
      </c>
      <c r="C3068" s="5" t="str">
        <f>IFERROR(__xludf.DUMMYFUNCTION("GOOGLETRANSLATE(B3068,""en"",""it"")"),"L'uomo si alza e segna lo spazio in cui la donna saltava.")</f>
        <v>L'uomo si alza e segna lo spazio in cui la donna saltava.</v>
      </c>
    </row>
    <row r="3069">
      <c r="A3069" s="4" t="s">
        <v>3853</v>
      </c>
      <c r="B3069" s="6" t="s">
        <v>3856</v>
      </c>
      <c r="C3069" s="5" t="str">
        <f>IFERROR(__xludf.DUMMYFUNCTION("GOOGLETRANSLATE(B3069,""en"",""it"")"),"Il salto in lungo si ripete e una nuova donna sta correndo in pista per fare anche il salto in lungo e un uomo si siede una bandiera Whie.")</f>
        <v>Il salto in lungo si ripete e una nuova donna sta correndo in pista per fare anche il salto in lungo e un uomo si siede una bandiera Whie.</v>
      </c>
    </row>
    <row r="3070">
      <c r="A3070" s="4" t="s">
        <v>3853</v>
      </c>
      <c r="B3070" s="6" t="s">
        <v>3857</v>
      </c>
      <c r="C3070" s="5" t="str">
        <f>IFERROR(__xludf.DUMMYFUNCTION("GOOGLETRANSLATE(B3070,""en"",""it"")"),"La donna è in razza trakc mentre altri uomini sono sullo sfondo e la donna fa il salto in lungo in competizione e quindi viene mostrata una ripetizione lungo i risultati.")</f>
        <v>La donna è in razza trakc mentre altri uomini sono sullo sfondo e la donna fa il salto in lungo in competizione e quindi viene mostrata una ripetizione lungo i risultati.</v>
      </c>
    </row>
    <row r="3071">
      <c r="A3071" s="4" t="s">
        <v>3858</v>
      </c>
      <c r="B3071" s="4" t="s">
        <v>3859</v>
      </c>
      <c r="C3071" s="5" t="str">
        <f>IFERROR(__xludf.DUMMYFUNCTION("GOOGLETRANSLATE(B3071,""en"",""it"")"),"Vediamo una schermata del titolo di apertura.")</f>
        <v>Vediamo una schermata del titolo di apertura.</v>
      </c>
    </row>
    <row r="3072">
      <c r="A3072" s="4" t="s">
        <v>3858</v>
      </c>
      <c r="B3072" s="4" t="s">
        <v>3860</v>
      </c>
      <c r="C3072" s="5" t="str">
        <f>IFERROR(__xludf.DUMMYFUNCTION("GOOGLETRANSLATE(B3072,""en"",""it"")"),"Vediamo un uomo che tiene un aspirapolvere e usare il vuoto per tenere due palline da bowling.")</f>
        <v>Vediamo un uomo che tiene un aspirapolvere e usare il vuoto per tenere due palline da bowling.</v>
      </c>
    </row>
    <row r="3073">
      <c r="A3073" s="4" t="s">
        <v>3858</v>
      </c>
      <c r="B3073" s="4" t="s">
        <v>3861</v>
      </c>
      <c r="C3073" s="5" t="str">
        <f>IFERROR(__xludf.DUMMYFUNCTION("GOOGLETRANSLATE(B3073,""en"",""it"")"),"L'uomo aspira le scale e un interno dell'auto.")</f>
        <v>L'uomo aspira le scale e un interno dell'auto.</v>
      </c>
    </row>
    <row r="3074">
      <c r="A3074" s="4" t="s">
        <v>3858</v>
      </c>
      <c r="B3074" s="4" t="s">
        <v>3862</v>
      </c>
      <c r="C3074" s="5" t="str">
        <f>IFERROR(__xludf.DUMMYFUNCTION("GOOGLETRANSLATE(B3074,""en"",""it"")"),"Vediamo il vuoto e l'uomo aspira il soffitto, il divano, le tende e gli altri.")</f>
        <v>Vediamo il vuoto e l'uomo aspira il soffitto, il divano, le tende e gli altri.</v>
      </c>
    </row>
    <row r="3075">
      <c r="A3075" s="4" t="s">
        <v>3858</v>
      </c>
      <c r="B3075" s="4" t="s">
        <v>3863</v>
      </c>
      <c r="C3075" s="5" t="str">
        <f>IFERROR(__xludf.DUMMYFUNCTION("GOOGLETRANSLATE(B3075,""en"",""it"")"),"Vediamo l'uomo svuotare il contenitore e mettere il vuoto in un armadio.")</f>
        <v>Vediamo l'uomo svuotare il contenitore e mettere il vuoto in un armadio.</v>
      </c>
    </row>
    <row r="3076">
      <c r="A3076" s="4" t="s">
        <v>3864</v>
      </c>
      <c r="B3076" s="6" t="s">
        <v>3865</v>
      </c>
      <c r="C3076" s="5" t="str">
        <f>IFERROR(__xludf.DUMMYFUNCTION("GOOGLETRANSLATE(B3076,""en"",""it"")"),"Ci sono due giovani ragazzi, uno vestito con una camicia rossa e l'altro in una camicia a strisce in una pista da bowling.")</f>
        <v>Ci sono due giovani ragazzi, uno vestito con una camicia rossa e l'altro in una camicia a strisce in una pista da bowling.</v>
      </c>
    </row>
    <row r="3077">
      <c r="A3077" s="4" t="s">
        <v>3864</v>
      </c>
      <c r="B3077" s="4" t="s">
        <v>3866</v>
      </c>
      <c r="C3077" s="5" t="str">
        <f>IFERROR(__xludf.DUMMYFUNCTION("GOOGLETRANSLATE(B3077,""en"",""it"")"),"Il ragazzo nelle ciotole della camicia rossa con una grande palla verde e colpisce uno sciopero.")</f>
        <v>Il ragazzo nelle ciotole della camicia rossa con una grande palla verde e colpisce uno sciopero.</v>
      </c>
    </row>
    <row r="3078">
      <c r="A3078" s="4" t="s">
        <v>3864</v>
      </c>
      <c r="B3078" s="4" t="s">
        <v>3867</v>
      </c>
      <c r="C3078" s="5" t="str">
        <f>IFERROR(__xludf.DUMMYFUNCTION("GOOGLETRANSLATE(B3078,""en"",""it"")"),"È estatico dopo la sua vittoria e inizia a saltare di gioia.")</f>
        <v>È estatico dopo la sua vittoria e inizia a saltare di gioia.</v>
      </c>
    </row>
    <row r="3079">
      <c r="A3079" s="4" t="s">
        <v>3868</v>
      </c>
      <c r="B3079" s="4" t="s">
        <v>3869</v>
      </c>
      <c r="C3079" s="5" t="str">
        <f>IFERROR(__xludf.DUMMYFUNCTION("GOOGLETRANSLATE(B3079,""en"",""it"")"),"Una donna balla su un palco.")</f>
        <v>Una donna balla su un palco.</v>
      </c>
    </row>
    <row r="3080">
      <c r="A3080" s="4" t="s">
        <v>3868</v>
      </c>
      <c r="B3080" s="4" t="s">
        <v>3870</v>
      </c>
      <c r="C3080" s="5" t="str">
        <f>IFERROR(__xludf.DUMMYFUNCTION("GOOGLETRANSLATE(B3080,""en"",""it"")"),"Raccoglie un microfono e inizia a cantare.")</f>
        <v>Raccoglie un microfono e inizia a cantare.</v>
      </c>
    </row>
    <row r="3081">
      <c r="A3081" s="4" t="s">
        <v>3868</v>
      </c>
      <c r="B3081" s="4" t="s">
        <v>3871</v>
      </c>
      <c r="C3081" s="5" t="str">
        <f>IFERROR(__xludf.DUMMYFUNCTION("GOOGLETRANSLATE(B3081,""en"",""it"")"),"Comincia a suonare una batteria davanti a lei.")</f>
        <v>Comincia a suonare una batteria davanti a lei.</v>
      </c>
    </row>
    <row r="3082">
      <c r="A3082" s="4" t="s">
        <v>3872</v>
      </c>
      <c r="B3082" s="4" t="s">
        <v>3873</v>
      </c>
      <c r="C3082" s="5" t="str">
        <f>IFERROR(__xludf.DUMMYFUNCTION("GOOGLETRANSLATE(B3082,""en"",""it"")"),"I giovani portano barche gonfiabili e si mettono in acqua.")</f>
        <v>I giovani portano barche gonfiabili e si mettono in acqua.</v>
      </c>
    </row>
    <row r="3083">
      <c r="A3083" s="4" t="s">
        <v>3872</v>
      </c>
      <c r="B3083" s="4" t="s">
        <v>3874</v>
      </c>
      <c r="C3083" s="5" t="str">
        <f>IFERROR(__xludf.DUMMYFUNCTION("GOOGLETRANSLATE(B3083,""en"",""it"")"),"Quindi, i giovani si trovano a faccia in giù sulle barche e navigano nel fiume.")</f>
        <v>Quindi, i giovani si trovano a faccia in giù sulle barche e navigano nel fiume.</v>
      </c>
    </row>
    <row r="3084">
      <c r="A3084" s="4" t="s">
        <v>3872</v>
      </c>
      <c r="B3084" s="4" t="s">
        <v>3875</v>
      </c>
      <c r="C3084" s="5" t="str">
        <f>IFERROR(__xludf.DUMMYFUNCTION("GOOGLETRANSLATE(B3084,""en"",""it"")"),"Dopo, gli uomini avanzano in acqua muovendo la mano per avanzare.")</f>
        <v>Dopo, gli uomini avanzano in acqua muovendo la mano per avanzare.</v>
      </c>
    </row>
    <row r="3085">
      <c r="A3085" s="4" t="s">
        <v>3876</v>
      </c>
      <c r="B3085" s="4" t="s">
        <v>3877</v>
      </c>
      <c r="C3085" s="5" t="str">
        <f>IFERROR(__xludf.DUMMYFUNCTION("GOOGLETRANSLATE(B3085,""en"",""it"")"),"Una donna è in piedi nella sua cucina davanti a un bancone.")</f>
        <v>Una donna è in piedi nella sua cucina davanti a un bancone.</v>
      </c>
    </row>
    <row r="3086">
      <c r="A3086" s="4" t="s">
        <v>3876</v>
      </c>
      <c r="B3086" s="4" t="s">
        <v>3878</v>
      </c>
      <c r="C3086" s="5" t="str">
        <f>IFERROR(__xludf.DUMMYFUNCTION("GOOGLETRANSLATE(B3086,""en"",""it"")"),"Mostra un piatto di cibo e diversi ingredienti.")</f>
        <v>Mostra un piatto di cibo e diversi ingredienti.</v>
      </c>
    </row>
    <row r="3087">
      <c r="A3087" s="4" t="s">
        <v>3876</v>
      </c>
      <c r="B3087" s="4" t="s">
        <v>3879</v>
      </c>
      <c r="C3087" s="5" t="str">
        <f>IFERROR(__xludf.DUMMYFUNCTION("GOOGLETRANSLATE(B3087,""en"",""it"")"),"Fa bollire la pasta in una pentola, scaricandola.")</f>
        <v>Fa bollire la pasta in una pentola, scaricandola.</v>
      </c>
    </row>
    <row r="3088">
      <c r="A3088" s="4" t="s">
        <v>3876</v>
      </c>
      <c r="B3088" s="4" t="s">
        <v>3880</v>
      </c>
      <c r="C3088" s="5" t="str">
        <f>IFERROR(__xludf.DUMMYFUNCTION("GOOGLETRANSLATE(B3088,""en"",""it"")"),"Quindi mescola formaggio, orzo e verdure, creando un'insalata di pasta orzo.")</f>
        <v>Quindi mescola formaggio, orzo e verdure, creando un'insalata di pasta orzo.</v>
      </c>
    </row>
    <row r="3089">
      <c r="A3089" s="4" t="s">
        <v>3876</v>
      </c>
      <c r="B3089" s="4" t="s">
        <v>3881</v>
      </c>
      <c r="C3089" s="5" t="str">
        <f>IFERROR(__xludf.DUMMYFUNCTION("GOOGLETRANSLATE(B3089,""en"",""it"")"),"Prende un boccone del cibo.")</f>
        <v>Prende un boccone del cibo.</v>
      </c>
    </row>
    <row r="3090">
      <c r="A3090" s="4" t="s">
        <v>3882</v>
      </c>
      <c r="B3090" s="4" t="s">
        <v>3883</v>
      </c>
      <c r="C3090" s="5" t="str">
        <f>IFERROR(__xludf.DUMMYFUNCTION("GOOGLETRANSLATE(B3090,""en"",""it"")"),"Una signora e un bambino stanno lavando i piatti nella terra.")</f>
        <v>Una signora e un bambino stanno lavando i piatti nella terra.</v>
      </c>
    </row>
    <row r="3091">
      <c r="A3091" s="4" t="s">
        <v>3882</v>
      </c>
      <c r="B3091" s="4" t="s">
        <v>3884</v>
      </c>
      <c r="C3091" s="5" t="str">
        <f>IFERROR(__xludf.DUMMYFUNCTION("GOOGLETRANSLATE(B3091,""en"",""it"")"),"La bambina si allontana.")</f>
        <v>La bambina si allontana.</v>
      </c>
    </row>
    <row r="3092">
      <c r="A3092" s="4" t="s">
        <v>3882</v>
      </c>
      <c r="B3092" s="4" t="s">
        <v>3885</v>
      </c>
      <c r="C3092" s="5" t="str">
        <f>IFERROR(__xludf.DUMMYFUNCTION("GOOGLETRANSLATE(B3092,""en"",""it"")"),"La signora sciacquava i suoi piatti e li mette su uno scaffale.")</f>
        <v>La signora sciacquava i suoi piatti e li mette su uno scaffale.</v>
      </c>
    </row>
    <row r="3093">
      <c r="A3093" s="4" t="s">
        <v>3882</v>
      </c>
      <c r="B3093" s="4" t="s">
        <v>3886</v>
      </c>
      <c r="C3093" s="5" t="str">
        <f>IFERROR(__xludf.DUMMYFUNCTION("GOOGLETRANSLATE(B3093,""en"",""it"")"),"Vediamo i ragazzi in piedi dietro la signora.")</f>
        <v>Vediamo i ragazzi in piedi dietro la signora.</v>
      </c>
    </row>
    <row r="3094">
      <c r="A3094" s="4" t="s">
        <v>3882</v>
      </c>
      <c r="B3094" s="4" t="s">
        <v>3887</v>
      </c>
      <c r="C3094" s="5" t="str">
        <f>IFERROR(__xludf.DUMMYFUNCTION("GOOGLETRANSLATE(B3094,""en"",""it"")"),"Vediamo lo scaffale e i piatti.")</f>
        <v>Vediamo lo scaffale e i piatti.</v>
      </c>
    </row>
    <row r="3095">
      <c r="A3095" s="4" t="s">
        <v>3882</v>
      </c>
      <c r="B3095" s="4" t="s">
        <v>3888</v>
      </c>
      <c r="C3095" s="5" t="str">
        <f>IFERROR(__xludf.DUMMYFUNCTION("GOOGLETRANSLATE(B3095,""en"",""it"")"),"Vediamo quindi la schermata dei crediti di chiusura.")</f>
        <v>Vediamo quindi la schermata dei crediti di chiusura.</v>
      </c>
    </row>
    <row r="3096">
      <c r="A3096" s="4" t="s">
        <v>3889</v>
      </c>
      <c r="B3096" s="4" t="s">
        <v>3890</v>
      </c>
      <c r="C3096" s="5" t="str">
        <f>IFERROR(__xludf.DUMMYFUNCTION("GOOGLETRANSLATE(B3096,""en"",""it"")"),"Un gruppo di persone sta dietro un maestro yogi.")</f>
        <v>Un gruppo di persone sta dietro un maestro yogi.</v>
      </c>
    </row>
    <row r="3097">
      <c r="A3097" s="4" t="s">
        <v>3889</v>
      </c>
      <c r="B3097" s="4" t="s">
        <v>3891</v>
      </c>
      <c r="C3097" s="5" t="str">
        <f>IFERROR(__xludf.DUMMYFUNCTION("GOOGLETRANSLATE(B3097,""en"",""it"")"),"Li istruisce in posizione prima di guidarli nello yoga.")</f>
        <v>Li istruisce in posizione prima di guidarli nello yoga.</v>
      </c>
    </row>
    <row r="3098">
      <c r="A3098" s="4" t="s">
        <v>3889</v>
      </c>
      <c r="B3098" s="4" t="s">
        <v>3892</v>
      </c>
      <c r="C3098" s="5" t="str">
        <f>IFERROR(__xludf.DUMMYFUNCTION("GOOGLETRANSLATE(B3098,""en"",""it"")"),"Eseguono diverse mosse, lentamente e con grazia.")</f>
        <v>Eseguono diverse mosse, lentamente e con grazia.</v>
      </c>
    </row>
    <row r="3099">
      <c r="A3099" s="4" t="s">
        <v>3893</v>
      </c>
      <c r="B3099" s="4" t="s">
        <v>3894</v>
      </c>
      <c r="C3099" s="5" t="str">
        <f>IFERROR(__xludf.DUMMYFUNCTION("GOOGLETRANSLATE(B3099,""en"",""it"")"),"Un uomo viene visto seduto in acqua in un kayak che parla alla telecamera.")</f>
        <v>Un uomo viene visto seduto in acqua in un kayak che parla alla telecamera.</v>
      </c>
    </row>
    <row r="3100">
      <c r="A3100" s="4" t="s">
        <v>3893</v>
      </c>
      <c r="B3100" s="4" t="s">
        <v>3895</v>
      </c>
      <c r="C3100" s="5" t="str">
        <f>IFERROR(__xludf.DUMMYFUNCTION("GOOGLETRANSLATE(B3100,""en"",""it"")"),"L'uomo continua a parlare mentre tiene in mano una pagaia.")</f>
        <v>L'uomo continua a parlare mentre tiene in mano una pagaia.</v>
      </c>
    </row>
    <row r="3101">
      <c r="A3101" s="4" t="s">
        <v>3893</v>
      </c>
      <c r="B3101" s="4" t="s">
        <v>3896</v>
      </c>
      <c r="C3101" s="5" t="str">
        <f>IFERROR(__xludf.DUMMYFUNCTION("GOOGLETRANSLATE(B3101,""en"",""it"")"),"Si muove un po 'nell'acqua e conduce in lui remare lungo l'acqua.")</f>
        <v>Si muove un po 'nell'acqua e conduce in lui remare lungo l'acqua.</v>
      </c>
    </row>
    <row r="3102">
      <c r="A3102" s="4" t="s">
        <v>3897</v>
      </c>
      <c r="B3102" s="6" t="s">
        <v>3898</v>
      </c>
      <c r="C3102" s="5" t="str">
        <f>IFERROR(__xludf.DUMMYFUNCTION("GOOGLETRANSLATE(B3102,""en"",""it"")"),"Una donna spiega come preparare una torta in cucina, quindi mette quattro uova e zucchero in una ciotola e batti con un miscelatore elettrico e aggiunge più ingredienti per formare una miscela bagnata.")</f>
        <v>Una donna spiega come preparare una torta in cucina, quindi mette quattro uova e zucchero in una ciotola e batti con un miscelatore elettrico e aggiunge più ingredienti per formare una miscela bagnata.</v>
      </c>
    </row>
    <row r="3103">
      <c r="A3103" s="4" t="s">
        <v>3897</v>
      </c>
      <c r="B3103" s="6" t="s">
        <v>3899</v>
      </c>
      <c r="C3103" s="5" t="str">
        <f>IFERROR(__xludf.DUMMYFUNCTION("GOOGLETRANSLATE(B3103,""en"",""it"")"),"La donna mette solidi su una grande ciotola e poi aggiunge la miscela bagnata, olio e latte, quindi mescola con una spatola.")</f>
        <v>La donna mette solidi su una grande ciotola e poi aggiunge la miscela bagnata, olio e latte, quindi mescola con una spatola.</v>
      </c>
    </row>
    <row r="3104">
      <c r="A3104" s="4" t="s">
        <v>3897</v>
      </c>
      <c r="B3104" s="6" t="s">
        <v>3900</v>
      </c>
      <c r="C3104" s="5" t="str">
        <f>IFERROR(__xludf.DUMMYFUNCTION("GOOGLETRANSLATE(B3104,""en"",""it"")"),"Dopo, la donna mette il mix in una teglia unta e fa uno sciroppo con succo d'arancia in una pentola.")</f>
        <v>Dopo, la donna mette il mix in una teglia unta e fa uno sciroppo con succo d'arancia in una pentola.</v>
      </c>
    </row>
    <row r="3105">
      <c r="A3105" s="4" t="s">
        <v>3897</v>
      </c>
      <c r="B3105" s="4" t="s">
        <v>3901</v>
      </c>
      <c r="C3105" s="5" t="str">
        <f>IFERROR(__xludf.DUMMYFUNCTION("GOOGLETRANSLATE(B3105,""en"",""it"")"),"Successivamente, ha messo la torta da forno su un piatto e ha messo lo sciroppo in cima.")</f>
        <v>Successivamente, ha messo la torta da forno su un piatto e ha messo lo sciroppo in cima.</v>
      </c>
    </row>
    <row r="3106">
      <c r="A3106" s="4" t="s">
        <v>3902</v>
      </c>
      <c r="B3106" s="6" t="s">
        <v>3903</v>
      </c>
      <c r="C3106" s="5" t="str">
        <f>IFERROR(__xludf.DUMMYFUNCTION("GOOGLETRANSLATE(B3106,""en"",""it"")"),"Un uomo anziano si trova in una piccola stanza e sta intonaca un soffitto dove inizia nel mezzo della stanza.")</f>
        <v>Un uomo anziano si trova in una piccola stanza e sta intonaca un soffitto dove inizia nel mezzo della stanza.</v>
      </c>
    </row>
    <row r="3107">
      <c r="A3107" s="4" t="s">
        <v>3902</v>
      </c>
      <c r="B3107" s="4" t="s">
        <v>3904</v>
      </c>
      <c r="C3107" s="5" t="str">
        <f>IFERROR(__xludf.DUMMYFUNCTION("GOOGLETRANSLATE(B3107,""en"",""it"")"),"Quindi si muove a sinistra e inizia a intonacare nell'angolo del soffitto.")</f>
        <v>Quindi si muove a sinistra e inizia a intonacare nell'angolo del soffitto.</v>
      </c>
    </row>
    <row r="3108">
      <c r="A3108" s="4" t="s">
        <v>3902</v>
      </c>
      <c r="B3108" s="6" t="s">
        <v>3905</v>
      </c>
      <c r="C3108" s="5" t="str">
        <f>IFERROR(__xludf.DUMMYFUNCTION("GOOGLETRANSLATE(B3108,""en"",""it"")"),"L'uomo smette quindi di intonacare, e mentre parla ancora si rivolge verso la direzione della telecamera.")</f>
        <v>L'uomo smette quindi di intonacare, e mentre parla ancora si rivolge verso la direzione della telecamera.</v>
      </c>
    </row>
    <row r="3109">
      <c r="A3109" s="4" t="s">
        <v>3906</v>
      </c>
      <c r="B3109" s="4" t="s">
        <v>3907</v>
      </c>
      <c r="C3109" s="5" t="str">
        <f>IFERROR(__xludf.DUMMYFUNCTION("GOOGLETRANSLATE(B3109,""en"",""it"")"),"Un uomo con una camicia arancione e un cappello nero con occhiali sono fuori davanti a un albero verde.")</f>
        <v>Un uomo con una camicia arancione e un cappello nero con occhiali sono fuori davanti a un albero verde.</v>
      </c>
    </row>
    <row r="3110">
      <c r="A3110" s="4" t="s">
        <v>3906</v>
      </c>
      <c r="B3110" s="4" t="s">
        <v>3908</v>
      </c>
      <c r="C3110" s="5" t="str">
        <f>IFERROR(__xludf.DUMMYFUNCTION("GOOGLETRANSLATE(B3110,""en"",""it"")"),"Viene mostrato un prato e quindi l'uomo inizia a falciare il prato.")</f>
        <v>Viene mostrato un prato e quindi l'uomo inizia a falciare il prato.</v>
      </c>
    </row>
    <row r="3111">
      <c r="A3111" s="4" t="s">
        <v>3906</v>
      </c>
      <c r="B3111" s="4" t="s">
        <v>3909</v>
      </c>
      <c r="C3111" s="5" t="str">
        <f>IFERROR(__xludf.DUMMYFUNCTION("GOOGLETRANSLATE(B3111,""en"",""it"")"),"Una volta che l'uomo è finito, torna alla telecamera e inizia a parlare.")</f>
        <v>Una volta che l'uomo è finito, torna alla telecamera e inizia a parlare.</v>
      </c>
    </row>
    <row r="3112">
      <c r="A3112" s="4" t="s">
        <v>3910</v>
      </c>
      <c r="B3112" s="6" t="s">
        <v>3911</v>
      </c>
      <c r="C3112" s="5" t="str">
        <f>IFERROR(__xludf.DUMMYFUNCTION("GOOGLETRANSLATE(B3112,""en"",""it"")"),"Un uomo in piedi o seduto dietro una tavola con verdure su di esso equipaggia un coltello montato sull'avambraccio.")</f>
        <v>Un uomo in piedi o seduto dietro una tavola con verdure su di esso equipaggia un coltello montato sull'avambraccio.</v>
      </c>
    </row>
    <row r="3113">
      <c r="A3113" s="4" t="s">
        <v>3910</v>
      </c>
      <c r="B3113" s="4" t="s">
        <v>3912</v>
      </c>
      <c r="C3113" s="5" t="str">
        <f>IFERROR(__xludf.DUMMYFUNCTION("GOOGLETRANSLATE(B3113,""en"",""it"")"),"L'uomo parla alla telecamera mentre punta il coltello alla telecamera.")</f>
        <v>L'uomo parla alla telecamera mentre punta il coltello alla telecamera.</v>
      </c>
    </row>
    <row r="3114">
      <c r="A3114" s="4" t="s">
        <v>3910</v>
      </c>
      <c r="B3114" s="4" t="s">
        <v>3913</v>
      </c>
      <c r="C3114" s="5" t="str">
        <f>IFERROR(__xludf.DUMMYFUNCTION("GOOGLETRANSLATE(B3114,""en"",""it"")"),"L'uomo taglia vari tipi di oggetti sul tagliere con il coltello nel video Speed ​​Up.")</f>
        <v>L'uomo taglia vari tipi di oggetti sul tagliere con il coltello nel video Speed ​​Up.</v>
      </c>
    </row>
    <row r="3115">
      <c r="A3115" s="4" t="s">
        <v>3910</v>
      </c>
      <c r="B3115" s="4" t="s">
        <v>3914</v>
      </c>
      <c r="C3115" s="5" t="str">
        <f>IFERROR(__xludf.DUMMYFUNCTION("GOOGLETRANSLATE(B3115,""en"",""it"")"),"L'uomo rimuove il coltello e manipola i contenitori degli ingredienti intorno a lui.")</f>
        <v>L'uomo rimuove il coltello e manipola i contenitori degli ingredienti intorno a lui.</v>
      </c>
    </row>
    <row r="3116">
      <c r="A3116" s="4" t="s">
        <v>3910</v>
      </c>
      <c r="B3116" s="4" t="s">
        <v>3915</v>
      </c>
      <c r="C3116" s="5" t="str">
        <f>IFERROR(__xludf.DUMMYFUNCTION("GOOGLETRANSLATE(B3116,""en"",""it"")"),"L'uomo riequipisce il coltello e riprende a tagliare.")</f>
        <v>L'uomo riequipisce il coltello e riprende a tagliare.</v>
      </c>
    </row>
    <row r="3117">
      <c r="A3117" s="4" t="s">
        <v>3910</v>
      </c>
      <c r="B3117" s="4" t="s">
        <v>3916</v>
      </c>
      <c r="C3117" s="5" t="str">
        <f>IFERROR(__xludf.DUMMYFUNCTION("GOOGLETRANSLATE(B3117,""en"",""it"")"),"L'uomo rimuove il coltello e manipola di nuovo gli ingredienti intorno a lui.")</f>
        <v>L'uomo rimuove il coltello e manipola di nuovo gli ingredienti intorno a lui.</v>
      </c>
    </row>
    <row r="3118">
      <c r="A3118" s="4" t="s">
        <v>3910</v>
      </c>
      <c r="B3118" s="4" t="s">
        <v>3917</v>
      </c>
      <c r="C3118" s="5" t="str">
        <f>IFERROR(__xludf.DUMMYFUNCTION("GOOGLETRANSLATE(B3118,""en"",""it"")"),"L'uomo riequipisce il coltello e riprende a tagliare di nuovo.")</f>
        <v>L'uomo riequipisce il coltello e riprende a tagliare di nuovo.</v>
      </c>
    </row>
    <row r="3119">
      <c r="A3119" s="4" t="s">
        <v>3910</v>
      </c>
      <c r="B3119" s="4" t="s">
        <v>3918</v>
      </c>
      <c r="C3119" s="5" t="str">
        <f>IFERROR(__xludf.DUMMYFUNCTION("GOOGLETRANSLATE(B3119,""en"",""it"")"),"L'uomo rimuove il coltello e pulisce la sua area di lavoro.")</f>
        <v>L'uomo rimuove il coltello e pulisce la sua area di lavoro.</v>
      </c>
    </row>
    <row r="3120">
      <c r="A3120" s="4" t="s">
        <v>3919</v>
      </c>
      <c r="B3120" s="4" t="s">
        <v>3920</v>
      </c>
      <c r="C3120" s="5" t="str">
        <f>IFERROR(__xludf.DUMMYFUNCTION("GOOGLETRANSLATE(B3120,""en"",""it"")"),"Una donna si sta preparando troppo bungee saltare da una funivia.")</f>
        <v>Una donna si sta preparando troppo bungee saltare da una funivia.</v>
      </c>
    </row>
    <row r="3121">
      <c r="A3121" s="4" t="s">
        <v>3919</v>
      </c>
      <c r="B3121" s="4" t="s">
        <v>3921</v>
      </c>
      <c r="C3121" s="5" t="str">
        <f>IFERROR(__xludf.DUMMYFUNCTION("GOOGLETRANSLATE(B3121,""en"",""it"")"),"È circondata da due uomini in camicie gialle.")</f>
        <v>È circondata da due uomini in camicie gialle.</v>
      </c>
    </row>
    <row r="3122">
      <c r="A3122" s="4" t="s">
        <v>3919</v>
      </c>
      <c r="B3122" s="4" t="s">
        <v>3922</v>
      </c>
      <c r="C3122" s="5" t="str">
        <f>IFERROR(__xludf.DUMMYFUNCTION("GOOGLETRANSLATE(B3122,""en"",""it"")"),"Uno degli uomini tiene in mano una fotocamera del telefono per la videoconmadia mentre salta.")</f>
        <v>Uno degli uomini tiene in mano una fotocamera del telefono per la videoconmadia mentre salta.</v>
      </c>
    </row>
    <row r="3123">
      <c r="A3123" s="4" t="s">
        <v>3919</v>
      </c>
      <c r="B3123" s="4" t="s">
        <v>3923</v>
      </c>
      <c r="C3123" s="5" t="str">
        <f>IFERROR(__xludf.DUMMYFUNCTION("GOOGLETRANSLATE(B3123,""en"",""it"")"),"Gli uomini iniziano a cantare per rallegrare e incoraggiarla a saltare.")</f>
        <v>Gli uomini iniziano a cantare per rallegrare e incoraggiarla a saltare.</v>
      </c>
    </row>
    <row r="3124">
      <c r="A3124" s="4" t="s">
        <v>3919</v>
      </c>
      <c r="B3124" s="4" t="s">
        <v>3924</v>
      </c>
      <c r="C3124" s="5" t="str">
        <f>IFERROR(__xludf.DUMMYFUNCTION("GOOGLETRANSLATE(B3124,""en"",""it"")"),"Dopo molta esitazione, la donna finalmente salta e pende dalla corda.")</f>
        <v>Dopo molta esitazione, la donna finalmente salta e pende dalla corda.</v>
      </c>
    </row>
    <row r="3125">
      <c r="A3125" s="4" t="s">
        <v>3919</v>
      </c>
      <c r="B3125" s="4" t="s">
        <v>3925</v>
      </c>
      <c r="C3125" s="5" t="str">
        <f>IFERROR(__xludf.DUMMYFUNCTION("GOOGLETRANSLATE(B3125,""en"",""it"")"),"C'è un'altra donna nella funivia che si prepara a saltare.")</f>
        <v>C'è un'altra donna nella funivia che si prepara a saltare.</v>
      </c>
    </row>
    <row r="3126">
      <c r="A3126" s="4" t="s">
        <v>3919</v>
      </c>
      <c r="B3126" s="4" t="s">
        <v>3926</v>
      </c>
      <c r="C3126" s="5" t="str">
        <f>IFERROR(__xludf.DUMMYFUNCTION("GOOGLETRANSLATE(B3126,""en"",""it"")"),"C'è un'enorme folla in piedi sul ponte, guardando la funivia.")</f>
        <v>C'è un'enorme folla in piedi sul ponte, guardando la funivia.</v>
      </c>
    </row>
    <row r="3127">
      <c r="A3127" s="4" t="s">
        <v>3927</v>
      </c>
      <c r="B3127" s="4" t="s">
        <v>3928</v>
      </c>
      <c r="C3127" s="5" t="str">
        <f>IFERROR(__xludf.DUMMYFUNCTION("GOOGLETRANSLATE(B3127,""en"",""it"")"),"Un ragazzo si siede su una roccia prima di camminare lungo un litorale.")</f>
        <v>Un ragazzo si siede su una roccia prima di camminare lungo un litorale.</v>
      </c>
    </row>
    <row r="3128">
      <c r="A3128" s="4" t="s">
        <v>3927</v>
      </c>
      <c r="B3128" s="4" t="s">
        <v>3929</v>
      </c>
      <c r="C3128" s="5" t="str">
        <f>IFERROR(__xludf.DUMMYFUNCTION("GOOGLETRANSLATE(B3128,""en"",""it"")"),"Il giovane cavalca lo skateboard giù per le colline intorno a una città da spiaggia.")</f>
        <v>Il giovane cavalca lo skateboard giù per le colline intorno a una città da spiaggia.</v>
      </c>
    </row>
    <row r="3129">
      <c r="A3129" s="4" t="s">
        <v>3927</v>
      </c>
      <c r="B3129" s="4" t="s">
        <v>3930</v>
      </c>
      <c r="C3129" s="5" t="str">
        <f>IFERROR(__xludf.DUMMYFUNCTION("GOOGLETRANSLATE(B3129,""en"",""it"")"),"Il giovane va in un ristorante locale per un pasto.")</f>
        <v>Il giovane va in un ristorante locale per un pasto.</v>
      </c>
    </row>
    <row r="3130">
      <c r="A3130" s="4" t="s">
        <v>3927</v>
      </c>
      <c r="B3130" s="4" t="s">
        <v>3931</v>
      </c>
      <c r="C3130" s="5" t="str">
        <f>IFERROR(__xludf.DUMMYFUNCTION("GOOGLETRANSLATE(B3130,""en"",""it"")"),"Il porto è visto e il giovane scende lungo un binario al tramonto.")</f>
        <v>Il porto è visto e il giovane scende lungo un binario al tramonto.</v>
      </c>
    </row>
    <row r="3131">
      <c r="A3131" s="4" t="s">
        <v>3932</v>
      </c>
      <c r="B3131" s="4" t="s">
        <v>3933</v>
      </c>
      <c r="C3131" s="5" t="str">
        <f>IFERROR(__xludf.DUMMYFUNCTION("GOOGLETRANSLATE(B3131,""en"",""it"")"),"Un gruppo di persone nuota in una grande piscina interna.")</f>
        <v>Un gruppo di persone nuota in una grande piscina interna.</v>
      </c>
    </row>
    <row r="3132">
      <c r="A3132" s="4" t="s">
        <v>3932</v>
      </c>
      <c r="B3132" s="4" t="s">
        <v>3934</v>
      </c>
      <c r="C3132" s="5" t="str">
        <f>IFERROR(__xludf.DUMMYFUNCTION("GOOGLETRANSLATE(B3132,""en"",""it"")"),"Nuotano giri avanti e indietro mentre vanno.")</f>
        <v>Nuotano giri avanti e indietro mentre vanno.</v>
      </c>
    </row>
    <row r="3133">
      <c r="A3133" s="4" t="s">
        <v>3932</v>
      </c>
      <c r="B3133" s="4" t="s">
        <v>3935</v>
      </c>
      <c r="C3133" s="5" t="str">
        <f>IFERROR(__xludf.DUMMYFUNCTION("GOOGLETRANSLATE(B3133,""en"",""it"")"),"Cercano di competere, arrivare dall'altra parte il più veloce.")</f>
        <v>Cercano di competere, arrivare dall'altra parte il più veloce.</v>
      </c>
    </row>
    <row r="3134">
      <c r="A3134" s="4" t="s">
        <v>3936</v>
      </c>
      <c r="B3134" s="4" t="s">
        <v>3937</v>
      </c>
      <c r="C3134" s="5" t="str">
        <f>IFERROR(__xludf.DUMMYFUNCTION("GOOGLETRANSLATE(B3134,""en"",""it"")"),"Un individuo usa un tubo e uno strumento sottile per pulire una scarpa.")</f>
        <v>Un individuo usa un tubo e uno strumento sottile per pulire una scarpa.</v>
      </c>
    </row>
    <row r="3135">
      <c r="A3135" s="4" t="s">
        <v>3936</v>
      </c>
      <c r="B3135" s="4" t="s">
        <v>3938</v>
      </c>
      <c r="C3135" s="5" t="str">
        <f>IFERROR(__xludf.DUMMYFUNCTION("GOOGLETRANSLATE(B3135,""en"",""it"")"),"I singoli mettono da parte la scarpa e gira l'altra scarpa.")</f>
        <v>I singoli mettono da parte la scarpa e gira l'altra scarpa.</v>
      </c>
    </row>
    <row r="3136">
      <c r="A3136" s="4" t="s">
        <v>3936</v>
      </c>
      <c r="B3136" s="4" t="s">
        <v>3939</v>
      </c>
      <c r="C3136" s="5" t="str">
        <f>IFERROR(__xludf.DUMMYFUNCTION("GOOGLETRANSLATE(B3136,""en"",""it"")"),"L'individuo utilizza il sottile implementato per scavare tra i motivi del fondo della scarpa.")</f>
        <v>L'individuo utilizza il sottile implementato per scavare tra i motivi del fondo della scarpa.</v>
      </c>
    </row>
    <row r="3137">
      <c r="A3137" s="4" t="s">
        <v>3940</v>
      </c>
      <c r="B3137" s="4" t="s">
        <v>3941</v>
      </c>
      <c r="C3137" s="5" t="str">
        <f>IFERROR(__xludf.DUMMYFUNCTION("GOOGLETRANSLATE(B3137,""en"",""it"")"),"Un uomo è seduto su un divano a bere una birra.")</f>
        <v>Un uomo è seduto su un divano a bere una birra.</v>
      </c>
    </row>
    <row r="3138">
      <c r="A3138" s="4" t="s">
        <v>3940</v>
      </c>
      <c r="B3138" s="4" t="s">
        <v>3942</v>
      </c>
      <c r="C3138" s="5" t="str">
        <f>IFERROR(__xludf.DUMMYFUNCTION("GOOGLETRANSLATE(B3138,""en"",""it"")"),"Si alza e esce dalla porta.")</f>
        <v>Si alza e esce dalla porta.</v>
      </c>
    </row>
    <row r="3139">
      <c r="A3139" s="4" t="s">
        <v>3940</v>
      </c>
      <c r="B3139" s="4" t="s">
        <v>3943</v>
      </c>
      <c r="C3139" s="5" t="str">
        <f>IFERROR(__xludf.DUMMYFUNCTION("GOOGLETRANSLATE(B3139,""en"",""it"")"),"Qualcuno sta camminando in una cucina.")</f>
        <v>Qualcuno sta camminando in una cucina.</v>
      </c>
    </row>
    <row r="3140">
      <c r="A3140" s="4" t="s">
        <v>3940</v>
      </c>
      <c r="B3140" s="4" t="s">
        <v>3944</v>
      </c>
      <c r="C3140" s="5" t="str">
        <f>IFERROR(__xludf.DUMMYFUNCTION("GOOGLETRANSLATE(B3140,""en"",""it"")"),"Apri il frigorifero e prendono una birra.")</f>
        <v>Apri il frigorifero e prendono una birra.</v>
      </c>
    </row>
    <row r="3141">
      <c r="A3141" s="4" t="s">
        <v>3940</v>
      </c>
      <c r="B3141" s="4" t="s">
        <v>3945</v>
      </c>
      <c r="C3141" s="5" t="str">
        <f>IFERROR(__xludf.DUMMYFUNCTION("GOOGLETRANSLATE(B3141,""en"",""it"")"),"Lo portano all'uomo a letto.")</f>
        <v>Lo portano all'uomo a letto.</v>
      </c>
    </row>
    <row r="3142">
      <c r="A3142" s="4" t="s">
        <v>3940</v>
      </c>
      <c r="B3142" s="4" t="s">
        <v>3946</v>
      </c>
      <c r="C3142" s="5" t="str">
        <f>IFERROR(__xludf.DUMMYFUNCTION("GOOGLETRANSLATE(B3142,""en"",""it"")"),"Si siede e inizia a bere la birra.")</f>
        <v>Si siede e inizia a bere la birra.</v>
      </c>
    </row>
    <row r="3143">
      <c r="A3143" s="4" t="s">
        <v>3940</v>
      </c>
      <c r="B3143" s="4" t="s">
        <v>3947</v>
      </c>
      <c r="C3143" s="5" t="str">
        <f>IFERROR(__xludf.DUMMYFUNCTION("GOOGLETRANSLATE(B3143,""en"",""it"")"),"Una persona prende un cellulare su un letto.")</f>
        <v>Una persona prende un cellulare su un letto.</v>
      </c>
    </row>
    <row r="3144">
      <c r="A3144" s="4" t="s">
        <v>3948</v>
      </c>
      <c r="B3144" s="4" t="s">
        <v>3949</v>
      </c>
      <c r="C3144" s="5" t="str">
        <f>IFERROR(__xludf.DUMMYFUNCTION("GOOGLETRANSLATE(B3144,""en"",""it"")"),"Vari scatti di un primo piano di una bici e una persona che punta alla bici in vari punti.")</f>
        <v>Vari scatti di un primo piano di una bici e una persona che punta alla bici in vari punti.</v>
      </c>
    </row>
    <row r="3145">
      <c r="A3145" s="4" t="s">
        <v>3948</v>
      </c>
      <c r="B3145" s="4" t="s">
        <v>3950</v>
      </c>
      <c r="C3145" s="5" t="str">
        <f>IFERROR(__xludf.DUMMYFUNCTION("GOOGLETRANSLATE(B3145,""en"",""it"")"),"La persona regola continuamente la bici e fa una piovosità la fotocamera tutt'intorno alla fine.")</f>
        <v>La persona regola continuamente la bici e fa una piovosità la fotocamera tutt'intorno alla fine.</v>
      </c>
    </row>
    <row r="3146">
      <c r="A3146" s="4" t="s">
        <v>3951</v>
      </c>
      <c r="B3146" s="4" t="s">
        <v>3952</v>
      </c>
      <c r="C3146" s="5" t="str">
        <f>IFERROR(__xludf.DUMMYFUNCTION("GOOGLETRANSLATE(B3146,""en"",""it"")"),"Un ragazzo è chinato nella sua camera da letto.")</f>
        <v>Un ragazzo è chinato nella sua camera da letto.</v>
      </c>
    </row>
    <row r="3147">
      <c r="A3147" s="4" t="s">
        <v>3951</v>
      </c>
      <c r="B3147" s="4" t="s">
        <v>3953</v>
      </c>
      <c r="C3147" s="5" t="str">
        <f>IFERROR(__xludf.DUMMYFUNCTION("GOOGLETRANSLATE(B3147,""en"",""it"")"),"Sta cercando di indossare una scarpa.")</f>
        <v>Sta cercando di indossare una scarpa.</v>
      </c>
    </row>
    <row r="3148">
      <c r="A3148" s="4" t="s">
        <v>3951</v>
      </c>
      <c r="B3148" s="4" t="s">
        <v>3954</v>
      </c>
      <c r="C3148" s="5" t="str">
        <f>IFERROR(__xludf.DUMMYFUNCTION("GOOGLETRANSLATE(B3148,""en"",""it"")"),"Si siede, giocando con un pizzo rotto.")</f>
        <v>Si siede, giocando con un pizzo rotto.</v>
      </c>
    </row>
    <row r="3149">
      <c r="A3149" s="4" t="s">
        <v>3951</v>
      </c>
      <c r="B3149" s="4" t="s">
        <v>3955</v>
      </c>
      <c r="C3149" s="5" t="str">
        <f>IFERROR(__xludf.DUMMYFUNCTION("GOOGLETRANSLATE(B3149,""en"",""it"")"),"Continua a lavorare con il pizzo delle scarpe fino a quando non riesce a prenderlo legato.")</f>
        <v>Continua a lavorare con il pizzo delle scarpe fino a quando non riesce a prenderlo legato.</v>
      </c>
    </row>
    <row r="3150">
      <c r="A3150" s="4" t="s">
        <v>3956</v>
      </c>
      <c r="B3150" s="4" t="s">
        <v>3957</v>
      </c>
      <c r="C3150" s="5" t="str">
        <f>IFERROR(__xludf.DUMMYFUNCTION("GOOGLETRANSLATE(B3150,""en"",""it"")"),"Un uomo tiene un paio di stivali mentre parla e mostra parti sporche.")</f>
        <v>Un uomo tiene un paio di stivali mentre parla e mostra parti sporche.</v>
      </c>
    </row>
    <row r="3151">
      <c r="A3151" s="4" t="s">
        <v>3956</v>
      </c>
      <c r="B3151" s="4" t="s">
        <v>3958</v>
      </c>
      <c r="C3151" s="5" t="str">
        <f>IFERROR(__xludf.DUMMYFUNCTION("GOOGLETRANSLATE(B3151,""en"",""it"")"),"Quindi, l'uomo mise un vestito all'interno dello stivale e spazzola accuratamente l'albero dello stivale.")</f>
        <v>Quindi, l'uomo mise un vestito all'interno dello stivale e spazzola accuratamente l'albero dello stivale.</v>
      </c>
    </row>
    <row r="3152">
      <c r="A3152" s="4" t="s">
        <v>3959</v>
      </c>
      <c r="B3152" s="4" t="s">
        <v>3960</v>
      </c>
      <c r="C3152" s="5" t="str">
        <f>IFERROR(__xludf.DUMMYFUNCTION("GOOGLETRANSLATE(B3152,""en"",""it"")"),"Un uomo viene visto inginocchiarsi su un tetto e parlare alla telecamera.")</f>
        <v>Un uomo viene visto inginocchiarsi su un tetto e parlare alla telecamera.</v>
      </c>
    </row>
    <row r="3153">
      <c r="A3153" s="4" t="s">
        <v>3959</v>
      </c>
      <c r="B3153" s="4" t="s">
        <v>3961</v>
      </c>
      <c r="C3153" s="5" t="str">
        <f>IFERROR(__xludf.DUMMYFUNCTION("GOOGLETRANSLATE(B3153,""en"",""it"")"),"La telecamera si panoramica intorno al tetto mentre l'uomo viene visto seduto e ancora parlando.")</f>
        <v>La telecamera si panoramica intorno al tetto mentre l'uomo viene visto seduto e ancora parlando.</v>
      </c>
    </row>
    <row r="3154">
      <c r="A3154" s="4" t="s">
        <v>3959</v>
      </c>
      <c r="B3154" s="4" t="s">
        <v>3962</v>
      </c>
      <c r="C3154" s="5" t="str">
        <f>IFERROR(__xludf.DUMMYFUNCTION("GOOGLETRANSLATE(B3154,""en"",""it"")"),"La fotocamera si panoramica intorno al tetto e mostra l'uomo ancora seduto.")</f>
        <v>La fotocamera si panoramica intorno al tetto e mostra l'uomo ancora seduto.</v>
      </c>
    </row>
    <row r="3155">
      <c r="A3155" s="4" t="s">
        <v>3963</v>
      </c>
      <c r="B3155" s="4" t="s">
        <v>3964</v>
      </c>
      <c r="C3155" s="5" t="str">
        <f>IFERROR(__xludf.DUMMYFUNCTION("GOOGLETRANSLATE(B3155,""en"",""it"")"),"Una donna cammina, poi corre con un giavellotto.")</f>
        <v>Una donna cammina, poi corre con un giavellotto.</v>
      </c>
    </row>
    <row r="3156">
      <c r="A3156" s="4" t="s">
        <v>3963</v>
      </c>
      <c r="B3156" s="4" t="s">
        <v>3965</v>
      </c>
      <c r="C3156" s="5" t="str">
        <f>IFERROR(__xludf.DUMMYFUNCTION("GOOGLETRANSLATE(B3156,""en"",""it"")"),"Lo lancia attraverso il campo, atterrando vicino al suo obiettivo.")</f>
        <v>Lo lancia attraverso il campo, atterrando vicino al suo obiettivo.</v>
      </c>
    </row>
    <row r="3157">
      <c r="A3157" s="4" t="s">
        <v>3963</v>
      </c>
      <c r="B3157" s="4" t="s">
        <v>3966</v>
      </c>
      <c r="C3157" s="5" t="str">
        <f>IFERROR(__xludf.DUMMYFUNCTION("GOOGLETRANSLATE(B3157,""en"",""it"")"),"Alcuni altri compagni di squadra eseguono anche l'atto, quindi vediamo il tabellone finale.")</f>
        <v>Alcuni altri compagni di squadra eseguono anche l'atto, quindi vediamo il tabellone finale.</v>
      </c>
    </row>
    <row r="3158">
      <c r="A3158" s="4" t="s">
        <v>3967</v>
      </c>
      <c r="B3158" s="4" t="s">
        <v>3968</v>
      </c>
      <c r="C3158" s="5" t="str">
        <f>IFERROR(__xludf.DUMMYFUNCTION("GOOGLETRANSLATE(B3158,""en"",""it"")"),"Un uomo parla davanti a un cespuglio mentre l'altra persona si trova sul lato destro.")</f>
        <v>Un uomo parla davanti a un cespuglio mentre l'altra persona si trova sul lato destro.</v>
      </c>
    </row>
    <row r="3159">
      <c r="A3159" s="4" t="s">
        <v>3967</v>
      </c>
      <c r="B3159" s="4" t="s">
        <v>3969</v>
      </c>
      <c r="C3159" s="5" t="str">
        <f>IFERROR(__xludf.DUMMYFUNCTION("GOOGLETRANSLATE(B3159,""en"",""it"")"),"Quindi, l'uomo taglia i fiori morti del cespuglio mentre parla.")</f>
        <v>Quindi, l'uomo taglia i fiori morti del cespuglio mentre parla.</v>
      </c>
    </row>
    <row r="3160">
      <c r="A3160" s="4" t="s">
        <v>3967</v>
      </c>
      <c r="B3160" s="4" t="s">
        <v>3970</v>
      </c>
      <c r="C3160" s="5" t="str">
        <f>IFERROR(__xludf.DUMMYFUNCTION("GOOGLETRANSLATE(B3160,""en"",""it"")"),"Inoltre, la persona taglia i fiori morti del cespuglio.")</f>
        <v>Inoltre, la persona taglia i fiori morti del cespuglio.</v>
      </c>
    </row>
    <row r="3161">
      <c r="A3161" s="4" t="s">
        <v>3971</v>
      </c>
      <c r="B3161" s="4" t="s">
        <v>3972</v>
      </c>
      <c r="C3161" s="5" t="str">
        <f>IFERROR(__xludf.DUMMYFUNCTION("GOOGLETRANSLATE(B3161,""en"",""it"")"),"Questa giovane donna balla con il testimone tra le mani.")</f>
        <v>Questa giovane donna balla con il testimone tra le mani.</v>
      </c>
    </row>
    <row r="3162">
      <c r="A3162" s="4" t="s">
        <v>3971</v>
      </c>
      <c r="B3162" s="4" t="s">
        <v>3973</v>
      </c>
      <c r="C3162" s="5" t="str">
        <f>IFERROR(__xludf.DUMMYFUNCTION("GOOGLETRANSLATE(B3162,""en"",""it"")"),"È nel mezzo della strada che indossa un carro armato rosso, pantaloncini e infradito.")</f>
        <v>È nel mezzo della strada che indossa un carro armato rosso, pantaloncini e infradito.</v>
      </c>
    </row>
    <row r="3163">
      <c r="A3163" s="4" t="s">
        <v>3971</v>
      </c>
      <c r="B3163" s="4" t="s">
        <v>3974</v>
      </c>
      <c r="C3163" s="5" t="str">
        <f>IFERROR(__xludf.DUMMYFUNCTION("GOOGLETRANSLATE(B3163,""en"",""it"")"),"Ci sono molte persone che la guardano mentre fa i manganelli fuori.")</f>
        <v>Ci sono molte persone che la guardano mentre fa i manganelli fuori.</v>
      </c>
    </row>
    <row r="3164">
      <c r="A3164" s="4" t="s">
        <v>3971</v>
      </c>
      <c r="B3164" s="4" t="s">
        <v>3975</v>
      </c>
      <c r="C3164" s="5" t="str">
        <f>IFERROR(__xludf.DUMMYFUNCTION("GOOGLETRANSLATE(B3164,""en"",""it"")"),"Quando ha finito, la musica smette di suonare e alcune persone applauvano per la sua esibizione.")</f>
        <v>Quando ha finito, la musica smette di suonare e alcune persone applauvano per la sua esibizione.</v>
      </c>
    </row>
    <row r="3165">
      <c r="A3165" s="4" t="s">
        <v>3976</v>
      </c>
      <c r="B3165" s="4" t="s">
        <v>3977</v>
      </c>
      <c r="C3165" s="5" t="str">
        <f>IFERROR(__xludf.DUMMYFUNCTION("GOOGLETRANSLATE(B3165,""en"",""it"")"),"I bambini stanno rimbalzando sul grande trampolino.")</f>
        <v>I bambini stanno rimbalzando sul grande trampolino.</v>
      </c>
    </row>
    <row r="3166">
      <c r="A3166" s="4" t="s">
        <v>3976</v>
      </c>
      <c r="B3166" s="4" t="s">
        <v>3978</v>
      </c>
      <c r="C3166" s="5" t="str">
        <f>IFERROR(__xludf.DUMMYFUNCTION("GOOGLETRANSLATE(B3166,""en"",""it"")"),"Il ragazzo cadde sulla schiena mentre evitava la palla.")</f>
        <v>Il ragazzo cadde sulla schiena mentre evitava la palla.</v>
      </c>
    </row>
    <row r="3167">
      <c r="A3167" s="4" t="s">
        <v>3976</v>
      </c>
      <c r="B3167" s="4" t="s">
        <v>3979</v>
      </c>
      <c r="C3167" s="5" t="str">
        <f>IFERROR(__xludf.DUMMYFUNCTION("GOOGLETRANSLATE(B3167,""en"",""it"")"),"I bambini indossano il casco mentre lanciavano la palla e l'altro lato dei bambini schivano la palla.")</f>
        <v>I bambini indossano il casco mentre lanciavano la palla e l'altro lato dei bambini schivano la palla.</v>
      </c>
    </row>
    <row r="3168">
      <c r="A3168" s="4" t="s">
        <v>3976</v>
      </c>
      <c r="B3168" s="4" t="s">
        <v>3980</v>
      </c>
      <c r="C3168" s="5" t="str">
        <f>IFERROR(__xludf.DUMMYFUNCTION("GOOGLETRANSLATE(B3168,""en"",""it"")"),"Due adulti sono andati al trampolino per guardare i bambini.")</f>
        <v>Due adulti sono andati al trampolino per guardare i bambini.</v>
      </c>
    </row>
    <row r="3169">
      <c r="A3169" s="4" t="s">
        <v>3981</v>
      </c>
      <c r="B3169" s="4" t="s">
        <v>3982</v>
      </c>
      <c r="C3169" s="5" t="str">
        <f>IFERROR(__xludf.DUMMYFUNCTION("GOOGLETRANSLATE(B3169,""en"",""it"")"),"Un mucchio di bambini piccoli viene mostrato giocando in un parco giochi.")</f>
        <v>Un mucchio di bambini piccoli viene mostrato giocando in un parco giochi.</v>
      </c>
    </row>
    <row r="3170">
      <c r="A3170" s="4" t="s">
        <v>3981</v>
      </c>
      <c r="B3170" s="4" t="s">
        <v>3983</v>
      </c>
      <c r="C3170" s="5" t="str">
        <f>IFERROR(__xludf.DUMMYFUNCTION("GOOGLETRANSLATE(B3170,""en"",""it"")"),"Un ragazzo si arrampica avanti e indietro sulle barre delle scimmie.")</f>
        <v>Un ragazzo si arrampica avanti e indietro sulle barre delle scimmie.</v>
      </c>
    </row>
    <row r="3171">
      <c r="A3171" s="4" t="s">
        <v>3981</v>
      </c>
      <c r="B3171" s="4" t="s">
        <v>3984</v>
      </c>
      <c r="C3171" s="5" t="str">
        <f>IFERROR(__xludf.DUMMYFUNCTION("GOOGLETRANSLATE(B3171,""en"",""it"")"),"Un altro bambino si unisce quindi anche a lui sui bar.")</f>
        <v>Un altro bambino si unisce quindi anche a lui sui bar.</v>
      </c>
    </row>
    <row r="3172">
      <c r="A3172" s="4" t="s">
        <v>3985</v>
      </c>
      <c r="B3172" s="4" t="s">
        <v>3986</v>
      </c>
      <c r="C3172" s="5" t="str">
        <f>IFERROR(__xludf.DUMMYFUNCTION("GOOGLETRANSLATE(B3172,""en"",""it"")"),"Un uomo in un giubbotto di salvataggio giallo è seduto su una canoa.")</f>
        <v>Un uomo in un giubbotto di salvataggio giallo è seduto su una canoa.</v>
      </c>
    </row>
    <row r="3173">
      <c r="A3173" s="4" t="s">
        <v>3985</v>
      </c>
      <c r="B3173" s="4" t="s">
        <v>3987</v>
      </c>
      <c r="C3173" s="5" t="str">
        <f>IFERROR(__xludf.DUMMYFUNCTION("GOOGLETRANSLATE(B3173,""en"",""it"")"),"Sta remando da un lato all'altro.")</f>
        <v>Sta remando da un lato all'altro.</v>
      </c>
    </row>
    <row r="3174">
      <c r="A3174" s="4" t="s">
        <v>3985</v>
      </c>
      <c r="B3174" s="4" t="s">
        <v>3988</v>
      </c>
      <c r="C3174" s="5" t="str">
        <f>IFERROR(__xludf.DUMMYFUNCTION("GOOGLETRANSLATE(B3174,""en"",""it"")"),"La fotocamera passa sott'acqua accanto alla canoa.")</f>
        <v>La fotocamera passa sott'acqua accanto alla canoa.</v>
      </c>
    </row>
    <row r="3175">
      <c r="A3175" s="4" t="s">
        <v>3989</v>
      </c>
      <c r="B3175" s="4" t="s">
        <v>3990</v>
      </c>
      <c r="C3175" s="5" t="str">
        <f>IFERROR(__xludf.DUMMYFUNCTION("GOOGLETRANSLATE(B3175,""en"",""it"")"),"I panini vengono visualizzati in una presentazione.")</f>
        <v>I panini vengono visualizzati in una presentazione.</v>
      </c>
    </row>
    <row r="3176">
      <c r="A3176" s="4" t="s">
        <v>3989</v>
      </c>
      <c r="B3176" s="6" t="s">
        <v>3991</v>
      </c>
      <c r="C3176" s="5" t="str">
        <f>IFERROR(__xludf.DUMMYFUNCTION("GOOGLETRANSLATE(B3176,""en"",""it"")"),"Una persona allarga la salsa di senape su fette di pane, quindi la persona ha messo sopra il formaggio svizzero, la marmellata, i crauti e una fetta di pane in cima.")</f>
        <v>Una persona allarga la salsa di senape su fette di pane, quindi la persona ha messo sopra il formaggio svizzero, la marmellata, i crauti e una fetta di pane in cima.</v>
      </c>
    </row>
    <row r="3177">
      <c r="A3177" s="4" t="s">
        <v>3989</v>
      </c>
      <c r="B3177" s="6" t="s">
        <v>3992</v>
      </c>
      <c r="C3177" s="5" t="str">
        <f>IFERROR(__xludf.DUMMYFUNCTION("GOOGLETRANSLATE(B3177,""en"",""it"")"),"Dopo, la persona allarga il burro sui panini e li mette su una superficie calda, quindi la persona taglia i sandwich a metà.")</f>
        <v>Dopo, la persona allarga il burro sui panini e li mette su una superficie calda, quindi la persona taglia i sandwich a metà.</v>
      </c>
    </row>
    <row r="3178">
      <c r="A3178" s="4" t="s">
        <v>3993</v>
      </c>
      <c r="B3178" s="4" t="s">
        <v>3994</v>
      </c>
      <c r="C3178" s="5" t="str">
        <f>IFERROR(__xludf.DUMMYFUNCTION("GOOGLETRANSLATE(B3178,""en"",""it"")"),"Un uomo di mezza età bianca è in piedi tra una folla di persone che suonano un sassofono.")</f>
        <v>Un uomo di mezza età bianca è in piedi tra una folla di persone che suonano un sassofono.</v>
      </c>
    </row>
    <row r="3179">
      <c r="A3179" s="4" t="s">
        <v>3993</v>
      </c>
      <c r="B3179" s="6" t="s">
        <v>3995</v>
      </c>
      <c r="C3179" s="5" t="str">
        <f>IFERROR(__xludf.DUMMYFUNCTION("GOOGLETRANSLATE(B3179,""en"",""it"")"),"Mentre continua, il video si lancia fuori e molte altre persone si uniscono a lui nel suonare il sassofono e si rivela che qualcun altro sta premendo i pulsanti per l'uomo mentre soffia nello strumento.")</f>
        <v>Mentre continua, il video si lancia fuori e molte altre persone si uniscono a lui nel suonare il sassofono e si rivela che qualcun altro sta premendo i pulsanti per l'uomo mentre soffia nello strumento.</v>
      </c>
    </row>
    <row r="3180">
      <c r="A3180" s="4" t="s">
        <v>3993</v>
      </c>
      <c r="B3180" s="4" t="s">
        <v>3996</v>
      </c>
      <c r="C3180" s="5" t="str">
        <f>IFERROR(__xludf.DUMMYFUNCTION("GOOGLETRANSLATE(B3180,""en"",""it"")"),"Quindi la fotocamera si riversa e la folla inizia a battere le mani per il pubblico.")</f>
        <v>Quindi la fotocamera si riversa e la folla inizia a battere le mani per il pubblico.</v>
      </c>
    </row>
    <row r="3181">
      <c r="A3181" s="4" t="s">
        <v>3997</v>
      </c>
      <c r="B3181" s="4" t="s">
        <v>3998</v>
      </c>
      <c r="C3181" s="5" t="str">
        <f>IFERROR(__xludf.DUMMYFUNCTION("GOOGLETRANSLATE(B3181,""en"",""it"")"),"C'è una donna in una camicia bianca in un campo da tennis al coperto che colpisce le palle attraverso il campo.")</f>
        <v>C'è una donna in una camicia bianca in un campo da tennis al coperto che colpisce le palle attraverso il campo.</v>
      </c>
    </row>
    <row r="3182">
      <c r="A3182" s="4" t="s">
        <v>3997</v>
      </c>
      <c r="B3182" s="4" t="s">
        <v>3999</v>
      </c>
      <c r="C3182" s="5" t="str">
        <f>IFERROR(__xludf.DUMMYFUNCTION("GOOGLETRANSLATE(B3182,""en"",""it"")"),"Rimbalza la palla a terra e poi serve la palla attraverso la rete.")</f>
        <v>Rimbalza la palla a terra e poi serve la palla attraverso la rete.</v>
      </c>
    </row>
    <row r="3183">
      <c r="A3183" s="4" t="s">
        <v>4000</v>
      </c>
      <c r="B3183" s="4" t="s">
        <v>4001</v>
      </c>
      <c r="C3183" s="5" t="str">
        <f>IFERROR(__xludf.DUMMYFUNCTION("GOOGLETRANSLATE(B3183,""en"",""it"")"),"Un uomo attraversa una neve portando una grande pala di neve.")</f>
        <v>Un uomo attraversa una neve portando una grande pala di neve.</v>
      </c>
    </row>
    <row r="3184">
      <c r="A3184" s="4" t="s">
        <v>4000</v>
      </c>
      <c r="B3184" s="4" t="s">
        <v>4002</v>
      </c>
      <c r="C3184" s="5" t="str">
        <f>IFERROR(__xludf.DUMMYFUNCTION("GOOGLETRANSLATE(B3184,""en"",""it"")"),"L'uomo spala un lungo sentiero di neve.")</f>
        <v>L'uomo spala un lungo sentiero di neve.</v>
      </c>
    </row>
    <row r="3185">
      <c r="A3185" s="4" t="s">
        <v>4000</v>
      </c>
      <c r="B3185" s="4" t="s">
        <v>4003</v>
      </c>
      <c r="C3185" s="5" t="str">
        <f>IFERROR(__xludf.DUMMYFUNCTION("GOOGLETRANSLATE(B3185,""en"",""it"")"),"L'uomo si gira e spala di nuovo un lungo sentiero di neve.")</f>
        <v>L'uomo si gira e spala di nuovo un lungo sentiero di neve.</v>
      </c>
    </row>
    <row r="3186">
      <c r="A3186" s="4" t="s">
        <v>4000</v>
      </c>
      <c r="B3186" s="4" t="s">
        <v>4004</v>
      </c>
      <c r="C3186" s="5" t="str">
        <f>IFERROR(__xludf.DUMMYFUNCTION("GOOGLETRANSLATE(B3186,""en"",""it"")"),"L'uomo spala la neve per la terza volta.")</f>
        <v>L'uomo spala la neve per la terza volta.</v>
      </c>
    </row>
    <row r="3187">
      <c r="A3187" s="4" t="s">
        <v>4000</v>
      </c>
      <c r="B3187" s="4" t="s">
        <v>4005</v>
      </c>
      <c r="C3187" s="5" t="str">
        <f>IFERROR(__xludf.DUMMYFUNCTION("GOOGLETRANSLATE(B3187,""en"",""it"")"),"L'uomo spala un sentiero di neve davvero lungo in una posizione diversa.")</f>
        <v>L'uomo spala un sentiero di neve davvero lungo in una posizione diversa.</v>
      </c>
    </row>
    <row r="3188">
      <c r="A3188" s="4" t="s">
        <v>4000</v>
      </c>
      <c r="B3188" s="6" t="s">
        <v>4006</v>
      </c>
      <c r="C3188" s="5" t="str">
        <f>IFERROR(__xludf.DUMMYFUNCTION("GOOGLETRANSLATE(B3188,""en"",""it"")"),"L'uomo si gira e spala un secondo percorso di neve, proprio accanto al recente percorso di neve a spalancata.")</f>
        <v>L'uomo si gira e spala un secondo percorso di neve, proprio accanto al recente percorso di neve a spalancata.</v>
      </c>
    </row>
    <row r="3189">
      <c r="A3189" s="4" t="s">
        <v>4007</v>
      </c>
      <c r="B3189" s="6" t="s">
        <v>4008</v>
      </c>
      <c r="C3189" s="5" t="str">
        <f>IFERROR(__xludf.DUMMYFUNCTION("GOOGLETRANSLATE(B3189,""en"",""it"")"),"Una donna mostra un piatto con verdure e mostra le calorie, gli ingredienti e la preparazione di un piatto.")</f>
        <v>Una donna mostra un piatto con verdure e mostra le calorie, gli ingredienti e la preparazione di un piatto.</v>
      </c>
    </row>
    <row r="3190">
      <c r="A3190" s="4" t="s">
        <v>4007</v>
      </c>
      <c r="B3190" s="4" t="s">
        <v>4009</v>
      </c>
      <c r="C3190" s="5" t="str">
        <f>IFERROR(__xludf.DUMMYFUNCTION("GOOGLETRANSLATE(B3190,""en"",""it"")"),"Quindi, la donna mette le verdure su una ciotola, poi frigge un congedo e la mette nella ciotola.")</f>
        <v>Quindi, la donna mette le verdure su una ciotola, poi frigge un congedo e la mette nella ciotola.</v>
      </c>
    </row>
    <row r="3191">
      <c r="A3191" s="4" t="s">
        <v>4007</v>
      </c>
      <c r="B3191" s="4" t="s">
        <v>4010</v>
      </c>
      <c r="C3191" s="5" t="str">
        <f>IFERROR(__xludf.DUMMYFUNCTION("GOOGLETRANSLATE(B3191,""en"",""it"")"),"Quindi, la donna mescola le verdure e le serve su un piatto.")</f>
        <v>Quindi, la donna mescola le verdure e le serve su un piatto.</v>
      </c>
    </row>
    <row r="3192">
      <c r="A3192" s="4" t="s">
        <v>4011</v>
      </c>
      <c r="B3192" s="4" t="s">
        <v>4012</v>
      </c>
      <c r="C3192" s="5" t="str">
        <f>IFERROR(__xludf.DUMMYFUNCTION("GOOGLETRANSLATE(B3192,""en"",""it"")"),"Due donne tentano di lavare due cani.")</f>
        <v>Due donne tentano di lavare due cani.</v>
      </c>
    </row>
    <row r="3193">
      <c r="A3193" s="4" t="s">
        <v>4011</v>
      </c>
      <c r="B3193" s="4" t="s">
        <v>4013</v>
      </c>
      <c r="C3193" s="5" t="str">
        <f>IFERROR(__xludf.DUMMYFUNCTION("GOOGLETRANSLATE(B3193,""en"",""it"")"),"Entrano nella vasca con i cani e fanno shampoo, sapone e poi sciacquano i cani.")</f>
        <v>Entrano nella vasca con i cani e fanno shampoo, sapone e poi sciacquano i cani.</v>
      </c>
    </row>
    <row r="3194">
      <c r="A3194" s="4" t="s">
        <v>4011</v>
      </c>
      <c r="B3194" s="4" t="s">
        <v>4014</v>
      </c>
      <c r="C3194" s="5" t="str">
        <f>IFERROR(__xludf.DUMMYFUNCTION("GOOGLETRANSLATE(B3194,""en"",""it"")"),"Asciugano i cani e i cani sono molto più felici.")</f>
        <v>Asciugano i cani e i cani sono molto più felici.</v>
      </c>
    </row>
    <row r="3195">
      <c r="A3195" s="4" t="s">
        <v>4015</v>
      </c>
      <c r="B3195" s="4" t="s">
        <v>4016</v>
      </c>
      <c r="C3195" s="5" t="str">
        <f>IFERROR(__xludf.DUMMYFUNCTION("GOOGLETRANSLATE(B3195,""en"",""it"")"),"Un uomo si trova su un ponte guardrail con un'imbracatura mentre un altro uomo lo tiene.")</f>
        <v>Un uomo si trova su un ponte guardrail con un'imbracatura mentre un altro uomo lo tiene.</v>
      </c>
    </row>
    <row r="3196">
      <c r="A3196" s="4" t="s">
        <v>4015</v>
      </c>
      <c r="B3196" s="4" t="s">
        <v>4017</v>
      </c>
      <c r="C3196" s="5" t="str">
        <f>IFERROR(__xludf.DUMMYFUNCTION("GOOGLETRANSLATE(B3196,""en"",""it"")"),"L'uomo salta giù dal ponte verso il fiume sottostante.")</f>
        <v>L'uomo salta giù dal ponte verso il fiume sottostante.</v>
      </c>
    </row>
    <row r="3197">
      <c r="A3197" s="4" t="s">
        <v>4015</v>
      </c>
      <c r="B3197" s="4" t="s">
        <v>4018</v>
      </c>
      <c r="C3197" s="5" t="str">
        <f>IFERROR(__xludf.DUMMYFUNCTION("GOOGLETRANSLATE(B3197,""en"",""it"")"),"L'uomo oscilla avanti e indietro sopra le rapide.")</f>
        <v>L'uomo oscilla avanti e indietro sopra le rapide.</v>
      </c>
    </row>
    <row r="3198">
      <c r="A3198" s="4" t="s">
        <v>4019</v>
      </c>
      <c r="B3198" s="4" t="s">
        <v>4020</v>
      </c>
      <c r="C3198" s="5" t="str">
        <f>IFERROR(__xludf.DUMMYFUNCTION("GOOGLETRANSLATE(B3198,""en"",""it"")"),"Una donna che indossa i capelli rossi sta strofinando alcuni vestiti vigorosamente.")</f>
        <v>Una donna che indossa i capelli rossi sta strofinando alcuni vestiti vigorosamente.</v>
      </c>
    </row>
    <row r="3199">
      <c r="A3199" s="4" t="s">
        <v>4019</v>
      </c>
      <c r="B3199" s="6" t="s">
        <v>4021</v>
      </c>
      <c r="C3199" s="5" t="str">
        <f>IFERROR(__xludf.DUMMYFUNCTION("GOOGLETRANSLATE(B3199,""en"",""it"")"),"L'acqua e il sapone ne stanno schizzando sul muro/ raccoglie il pezzo di stoffa e lo colpisce contro lo stand.")</f>
        <v>L'acqua e il sapone ne stanno schizzando sul muro/ raccoglie il pezzo di stoffa e lo colpisce contro lo stand.</v>
      </c>
    </row>
    <row r="3200">
      <c r="A3200" s="4" t="s">
        <v>4019</v>
      </c>
      <c r="B3200" s="4" t="s">
        <v>4022</v>
      </c>
      <c r="C3200" s="5" t="str">
        <f>IFERROR(__xludf.DUMMYFUNCTION("GOOGLETRANSLATE(B3200,""en"",""it"")"),"Quindi prende un po 'd'acqua da un secchio e la versa.")</f>
        <v>Quindi prende un po 'd'acqua da un secchio e la versa.</v>
      </c>
    </row>
    <row r="3201">
      <c r="A3201" s="4" t="s">
        <v>4019</v>
      </c>
      <c r="B3201" s="4" t="s">
        <v>4023</v>
      </c>
      <c r="C3201" s="5" t="str">
        <f>IFERROR(__xludf.DUMMYFUNCTION("GOOGLETRANSLATE(B3201,""en"",""it"")"),"Lo stringe e poi mette la stoffa in un secchio di acqua insaponata.")</f>
        <v>Lo stringe e poi mette la stoffa in un secchio di acqua insaponata.</v>
      </c>
    </row>
    <row r="3202">
      <c r="A3202" s="4" t="s">
        <v>4024</v>
      </c>
      <c r="B3202" s="4" t="s">
        <v>4025</v>
      </c>
      <c r="C3202" s="5" t="str">
        <f>IFERROR(__xludf.DUMMYFUNCTION("GOOGLETRANSLATE(B3202,""en"",""it"")"),"C'è una zona di terra aperta con vegetazione intorno e superficie erbosa.")</f>
        <v>C'è una zona di terra aperta con vegetazione intorno e superficie erbosa.</v>
      </c>
    </row>
    <row r="3203">
      <c r="A3203" s="4" t="s">
        <v>4024</v>
      </c>
      <c r="B3203" s="4" t="s">
        <v>4026</v>
      </c>
      <c r="C3203" s="5" t="str">
        <f>IFERROR(__xludf.DUMMYFUNCTION("GOOGLETRANSLATE(B3203,""en"",""it"")"),"C'è un trimmer prato che giace a terra vicino a alcune macchie di erba troppo coltivate.")</f>
        <v>C'è un trimmer prato che giace a terra vicino a alcune macchie di erba troppo coltivate.</v>
      </c>
    </row>
    <row r="3204">
      <c r="A3204" s="4" t="s">
        <v>4024</v>
      </c>
      <c r="B3204" s="4" t="s">
        <v>4027</v>
      </c>
      <c r="C3204" s="5" t="str">
        <f>IFERROR(__xludf.DUMMYFUNCTION("GOOGLETRANSLATE(B3204,""en"",""it"")"),"Una persona che indossa pantaloni e guanti grigi che usano un trimmer sul prato per tagliare le chiazze d'erba.")</f>
        <v>Una persona che indossa pantaloni e guanti grigi che usano un trimmer sul prato per tagliare le chiazze d'erba.</v>
      </c>
    </row>
    <row r="3205">
      <c r="A3205" s="4" t="s">
        <v>4024</v>
      </c>
      <c r="B3205" s="6" t="s">
        <v>4028</v>
      </c>
      <c r="C3205" s="5" t="str">
        <f>IFERROR(__xludf.DUMMYFUNCTION("GOOGLETRANSLATE(B3205,""en"",""it"")"),"Sta tagliando il prato in un movimento avanti e indietro, muovendo il trimmer orizzontalmente attraverso l'erba.")</f>
        <v>Sta tagliando il prato in un movimento avanti e indietro, muovendo il trimmer orizzontalmente attraverso l'erba.</v>
      </c>
    </row>
    <row r="3206">
      <c r="A3206" s="4" t="s">
        <v>4029</v>
      </c>
      <c r="B3206" s="4" t="s">
        <v>4030</v>
      </c>
      <c r="C3206" s="5" t="str">
        <f>IFERROR(__xludf.DUMMYFUNCTION("GOOGLETRANSLATE(B3206,""en"",""it"")"),"Un primo piano è mostrato da una strada in asfalto rotta.")</f>
        <v>Un primo piano è mostrato da una strada in asfalto rotta.</v>
      </c>
    </row>
    <row r="3207">
      <c r="A3207" s="4" t="s">
        <v>4029</v>
      </c>
      <c r="B3207" s="4" t="s">
        <v>4031</v>
      </c>
      <c r="C3207" s="5" t="str">
        <f>IFERROR(__xludf.DUMMYFUNCTION("GOOGLETRANSLATE(B3207,""en"",""it"")"),"Quindi vediamo un uomo che cammina, portando un paio di pattini in linea.")</f>
        <v>Quindi vediamo un uomo che cammina, portando un paio di pattini in linea.</v>
      </c>
    </row>
    <row r="3208">
      <c r="A3208" s="4" t="s">
        <v>4029</v>
      </c>
      <c r="B3208" s="6" t="s">
        <v>4032</v>
      </c>
      <c r="C3208" s="5" t="str">
        <f>IFERROR(__xludf.DUMMYFUNCTION("GOOGLETRANSLATE(B3208,""en"",""it"")"),"L'uomo esegue acrobazie, scendendo le scale e cavalcando mediane, facendo giri e cavalcando all'indietro.")</f>
        <v>L'uomo esegue acrobazie, scendendo le scale e cavalcando mediane, facendo giri e cavalcando all'indietro.</v>
      </c>
    </row>
    <row r="3209">
      <c r="A3209" s="4" t="s">
        <v>4029</v>
      </c>
      <c r="B3209" s="4" t="s">
        <v>4033</v>
      </c>
      <c r="C3209" s="5" t="str">
        <f>IFERROR(__xludf.DUMMYFUNCTION("GOOGLETRANSLATE(B3209,""en"",""it"")"),"Quando ha finito, si allontana.")</f>
        <v>Quando ha finito, si allontana.</v>
      </c>
    </row>
    <row r="3210">
      <c r="A3210" s="4" t="s">
        <v>4034</v>
      </c>
      <c r="B3210" s="4" t="s">
        <v>4035</v>
      </c>
      <c r="C3210" s="5" t="str">
        <f>IFERROR(__xludf.DUMMYFUNCTION("GOOGLETRANSLATE(B3210,""en"",""it"")"),"Un bambino gioca a tennis in un campo che restituisce palle mentre un ragazzo si trova accanto a lei.")</f>
        <v>Un bambino gioca a tennis in un campo che restituisce palle mentre un ragazzo si trova accanto a lei.</v>
      </c>
    </row>
    <row r="3211">
      <c r="A3211" s="4" t="s">
        <v>4034</v>
      </c>
      <c r="B3211" s="4" t="s">
        <v>4036</v>
      </c>
      <c r="C3211" s="5" t="str">
        <f>IFERROR(__xludf.DUMMYFUNCTION("GOOGLETRANSLATE(B3211,""en"",""it"")"),"Il ragazzo ha lasciato il campo mentre il bambino continua a riportare le palle, poi il ragazzo torna.")</f>
        <v>Il ragazzo ha lasciato il campo mentre il bambino continua a riportare le palle, poi il ragazzo torna.</v>
      </c>
    </row>
    <row r="3212">
      <c r="A3212" s="4" t="s">
        <v>4034</v>
      </c>
      <c r="B3212" s="4" t="s">
        <v>4037</v>
      </c>
      <c r="C3212" s="5" t="str">
        <f>IFERROR(__xludf.DUMMYFUNCTION("GOOGLETRANSLATE(B3212,""en"",""it"")"),"Quindi, il ragazzo lasciò di nuovo il campo, e poi ritorna con una racchetta e una palla.")</f>
        <v>Quindi, il ragazzo lasciò di nuovo il campo, e poi ritorna con una racchetta e una palla.</v>
      </c>
    </row>
    <row r="3213">
      <c r="A3213" s="4" t="s">
        <v>4034</v>
      </c>
      <c r="B3213" s="4" t="s">
        <v>4038</v>
      </c>
      <c r="C3213" s="5" t="str">
        <f>IFERROR(__xludf.DUMMYFUNCTION("GOOGLETRANSLATE(B3213,""en"",""it"")"),"Il bambino serve la palla e il ragazzo aiuta a guardare la sua guardia.")</f>
        <v>Il bambino serve la palla e il ragazzo aiuta a guardare la sua guardia.</v>
      </c>
    </row>
    <row r="3214">
      <c r="A3214" s="4" t="s">
        <v>4039</v>
      </c>
      <c r="B3214" s="6" t="s">
        <v>4040</v>
      </c>
      <c r="C3214" s="5" t="str">
        <f>IFERROR(__xludf.DUMMYFUNCTION("GOOGLETRANSLATE(B3214,""en"",""it"")"),"Viene visto un uomo parlare alla telecamera e conduce a diversi scatti di persone che parlano e indossano i tacchi.")</f>
        <v>Viene visto un uomo parlare alla telecamera e conduce a diversi scatti di persone che parlano e indossano i tacchi.</v>
      </c>
    </row>
    <row r="3215">
      <c r="A3215" s="4" t="s">
        <v>4039</v>
      </c>
      <c r="B3215" s="6" t="s">
        <v>4041</v>
      </c>
      <c r="C3215" s="5" t="str">
        <f>IFERROR(__xludf.DUMMYFUNCTION("GOOGLETRANSLATE(B3215,""en"",""it"")"),"Le donne camminano a terra lungo una strada mentre molti guardano e poi corrono lungo la strada con i tacchi.")</f>
        <v>Le donne camminano a terra lungo una strada mentre molti guardano e poi corrono lungo la strada con i tacchi.</v>
      </c>
    </row>
    <row r="3216">
      <c r="A3216" s="4" t="s">
        <v>4042</v>
      </c>
      <c r="B3216" s="4" t="s">
        <v>4043</v>
      </c>
      <c r="C3216" s="5" t="str">
        <f>IFERROR(__xludf.DUMMYFUNCTION("GOOGLETRANSLATE(B3216,""en"",""it"")"),"Una donna atletica viene vista in piedi davanti a una pista e inizia a correre lungo il lato.")</f>
        <v>Una donna atletica viene vista in piedi davanti a una pista e inizia a correre lungo il lato.</v>
      </c>
    </row>
    <row r="3217">
      <c r="A3217" s="4" t="s">
        <v>4042</v>
      </c>
      <c r="B3217" s="4" t="s">
        <v>4044</v>
      </c>
      <c r="C3217" s="5" t="str">
        <f>IFERROR(__xludf.DUMMYFUNCTION("GOOGLETRANSLATE(B3217,""en"",""it"")"),"Corre e salta in una fossa di sabbia mentre un uomo registra il suo punteggio.")</f>
        <v>Corre e salta in una fossa di sabbia mentre un uomo registra il suo punteggio.</v>
      </c>
    </row>
    <row r="3218">
      <c r="A3218" s="4" t="s">
        <v>4042</v>
      </c>
      <c r="B3218" s="4" t="s">
        <v>4045</v>
      </c>
      <c r="C3218" s="5" t="str">
        <f>IFERROR(__xludf.DUMMYFUNCTION("GOOGLETRANSLATE(B3218,""en"",""it"")"),"Diverse altre clip sono mostrate da donne che corrono lungo la pista e saltano nella fossa.")</f>
        <v>Diverse altre clip sono mostrate da donne che corrono lungo la pista e saltano nella fossa.</v>
      </c>
    </row>
    <row r="3219">
      <c r="A3219" s="4" t="s">
        <v>4046</v>
      </c>
      <c r="B3219" s="4" t="s">
        <v>4047</v>
      </c>
      <c r="C3219" s="5" t="str">
        <f>IFERROR(__xludf.DUMMYFUNCTION("GOOGLETRANSLATE(B3219,""en"",""it"")"),"Diverse persone vengono viste correre in un campo giocando insieme.")</f>
        <v>Diverse persone vengono viste correre in un campo giocando insieme.</v>
      </c>
    </row>
    <row r="3220">
      <c r="A3220" s="4" t="s">
        <v>4046</v>
      </c>
      <c r="B3220" s="4" t="s">
        <v>4048</v>
      </c>
      <c r="C3220" s="5" t="str">
        <f>IFERROR(__xludf.DUMMYFUNCTION("GOOGLETRANSLATE(B3220,""en"",""it"")"),"I giocatori esultano e si parlano e mostrano altri punti salienti del gioco.")</f>
        <v>I giocatori esultano e si parlano e mostrano altri punti salienti del gioco.</v>
      </c>
    </row>
    <row r="3221">
      <c r="A3221" s="4" t="s">
        <v>4046</v>
      </c>
      <c r="B3221" s="4" t="s">
        <v>4049</v>
      </c>
      <c r="C3221" s="5" t="str">
        <f>IFERROR(__xludf.DUMMYFUNCTION("GOOGLETRANSLATE(B3221,""en"",""it"")"),"Vengono mostrate altre clip di persone che si allontanano e giocano il gioco.")</f>
        <v>Vengono mostrate altre clip di persone che si allontanano e giocano il gioco.</v>
      </c>
    </row>
    <row r="3222">
      <c r="A3222" s="4" t="s">
        <v>4050</v>
      </c>
      <c r="B3222" s="4" t="s">
        <v>1251</v>
      </c>
      <c r="C3222" s="5" t="str">
        <f>IFERROR(__xludf.DUMMYFUNCTION("GOOGLETRANSLATE(B3222,""en"",""it"")"),"Vengono visualizzati i crediti della clip.")</f>
        <v>Vengono visualizzati i crediti della clip.</v>
      </c>
    </row>
    <row r="3223">
      <c r="A3223" s="4" t="s">
        <v>4050</v>
      </c>
      <c r="B3223" s="4" t="s">
        <v>4051</v>
      </c>
      <c r="C3223" s="5" t="str">
        <f>IFERROR(__xludf.DUMMYFUNCTION("GOOGLETRANSLATE(B3223,""en"",""it"")"),"Una persona cavalca una bici da sporco su una collina o una pila di terra con aiuto da una struttura inclusa.")</f>
        <v>Una persona cavalca una bici da sporco su una collina o una pila di terra con aiuto da una struttura inclusa.</v>
      </c>
    </row>
    <row r="3224">
      <c r="A3224" s="4" t="s">
        <v>4050</v>
      </c>
      <c r="B3224" s="4" t="s">
        <v>4052</v>
      </c>
      <c r="C3224" s="5" t="str">
        <f>IFERROR(__xludf.DUMMYFUNCTION("GOOGLETRANSLATE(B3224,""en"",""it"")"),"Una persona si alza, scuote la testa e parte su una bici da terra.")</f>
        <v>Una persona si alza, scuote la testa e parte su una bici da terra.</v>
      </c>
    </row>
    <row r="3225">
      <c r="A3225" s="4" t="s">
        <v>4050</v>
      </c>
      <c r="B3225" s="4" t="s">
        <v>4053</v>
      </c>
      <c r="C3225" s="5" t="str">
        <f>IFERROR(__xludf.DUMMYFUNCTION("GOOGLETRANSLATE(B3225,""en"",""it"")"),"Due ragazzi si siedono sulla loro bici da terra e discutono.")</f>
        <v>Due ragazzi si siedono sulla loro bici da terra e discutono.</v>
      </c>
    </row>
    <row r="3226">
      <c r="A3226" s="4" t="s">
        <v>4050</v>
      </c>
      <c r="B3226" s="4" t="s">
        <v>4054</v>
      </c>
      <c r="C3226" s="5" t="str">
        <f>IFERROR(__xludf.DUMMYFUNCTION("GOOGLETRANSLATE(B3226,""en"",""it"")"),"Un ragazzo usa la sua gomma posteriore per far spruzzare lo sporco.")</f>
        <v>Un ragazzo usa la sua gomma posteriore per far spruzzare lo sporco.</v>
      </c>
    </row>
    <row r="3227">
      <c r="A3227" s="4" t="s">
        <v>4050</v>
      </c>
      <c r="B3227" s="4" t="s">
        <v>573</v>
      </c>
      <c r="C3227" s="5" t="str">
        <f>IFERROR(__xludf.DUMMYFUNCTION("GOOGLETRANSLATE(B3227,""en"",""it"")"),"Vengono visualizzati i crediti del video.")</f>
        <v>Vengono visualizzati i crediti del video.</v>
      </c>
    </row>
    <row r="3228">
      <c r="A3228" s="4" t="s">
        <v>4055</v>
      </c>
      <c r="B3228" s="4" t="s">
        <v>4056</v>
      </c>
      <c r="C3228" s="5" t="str">
        <f>IFERROR(__xludf.DUMMYFUNCTION("GOOGLETRANSLATE(B3228,""en"",""it"")"),"Un libro nero chiamato Windmills è sullo schermo.")</f>
        <v>Un libro nero chiamato Windmills è sullo schermo.</v>
      </c>
    </row>
    <row r="3229">
      <c r="A3229" s="4" t="s">
        <v>4055</v>
      </c>
      <c r="B3229" s="4" t="s">
        <v>4057</v>
      </c>
      <c r="C3229" s="5" t="str">
        <f>IFERROR(__xludf.DUMMYFUNCTION("GOOGLETRANSLATE(B3229,""en"",""it"")"),"La fotocamera ingrandisce una ballerina.")</f>
        <v>La fotocamera ingrandisce una ballerina.</v>
      </c>
    </row>
    <row r="3230">
      <c r="A3230" s="4" t="s">
        <v>4055</v>
      </c>
      <c r="B3230" s="4" t="s">
        <v>4058</v>
      </c>
      <c r="C3230" s="5" t="str">
        <f>IFERROR(__xludf.DUMMYFUNCTION("GOOGLETRANSLATE(B3230,""en"",""it"")"),"Vincanitv arriva sullo schermo.")</f>
        <v>Vincanitv arriva sullo schermo.</v>
      </c>
    </row>
    <row r="3231">
      <c r="A3231" s="4" t="s">
        <v>4055</v>
      </c>
      <c r="B3231" s="4" t="s">
        <v>4059</v>
      </c>
      <c r="C3231" s="5" t="str">
        <f>IFERROR(__xludf.DUMMYFUNCTION("GOOGLETRANSLATE(B3231,""en"",""it"")"),"L'istruttore sta parlando.")</f>
        <v>L'istruttore sta parlando.</v>
      </c>
    </row>
    <row r="3232">
      <c r="A3232" s="4" t="s">
        <v>4055</v>
      </c>
      <c r="B3232" s="4" t="s">
        <v>4060</v>
      </c>
      <c r="C3232" s="5" t="str">
        <f>IFERROR(__xludf.DUMMYFUNCTION("GOOGLETRANSLATE(B3232,""en"",""it"")"),"L'istruttore è seduto sul pavimento introducendo la mossa.")</f>
        <v>L'istruttore è seduto sul pavimento introducendo la mossa.</v>
      </c>
    </row>
    <row r="3233">
      <c r="A3233" s="4" t="s">
        <v>4055</v>
      </c>
      <c r="B3233" s="4" t="s">
        <v>4061</v>
      </c>
      <c r="C3233" s="5" t="str">
        <f>IFERROR(__xludf.DUMMYFUNCTION("GOOGLETRANSLATE(B3233,""en"",""it"")"),"Viene mostrato uno scatto della mossa, quindi l'istruttore mostra come farlo.")</f>
        <v>Viene mostrato uno scatto della mossa, quindi l'istruttore mostra come farlo.</v>
      </c>
    </row>
    <row r="3234">
      <c r="A3234" s="4" t="s">
        <v>4055</v>
      </c>
      <c r="B3234" s="4" t="s">
        <v>4062</v>
      </c>
      <c r="C3234" s="5" t="str">
        <f>IFERROR(__xludf.DUMMYFUNCTION("GOOGLETRANSLATE(B3234,""en"",""it"")"),"Si spinge su per mano e fa un'altra mossa.")</f>
        <v>Si spinge su per mano e fa un'altra mossa.</v>
      </c>
    </row>
    <row r="3235">
      <c r="A3235" s="4" t="s">
        <v>4055</v>
      </c>
      <c r="B3235" s="4" t="s">
        <v>4063</v>
      </c>
      <c r="C3235" s="5" t="str">
        <f>IFERROR(__xludf.DUMMYFUNCTION("GOOGLETRANSLATE(B3235,""en"",""it"")"),"È in ginocchio per mostrare un'altra mossa.")</f>
        <v>È in ginocchio per mostrare un'altra mossa.</v>
      </c>
    </row>
    <row r="3236">
      <c r="A3236" s="4" t="s">
        <v>4055</v>
      </c>
      <c r="B3236" s="4" t="s">
        <v>4064</v>
      </c>
      <c r="C3236" s="5" t="str">
        <f>IFERROR(__xludf.DUMMYFUNCTION("GOOGLETRANSLATE(B3236,""en"",""it"")"),"Lo schermo va a un altro colpo della stessa mossa, ma questa volta più velocemente.")</f>
        <v>Lo schermo va a un altro colpo della stessa mossa, ma questa volta più velocemente.</v>
      </c>
    </row>
    <row r="3237">
      <c r="A3237" s="4" t="s">
        <v>4055</v>
      </c>
      <c r="B3237" s="4" t="s">
        <v>4065</v>
      </c>
      <c r="C3237" s="5" t="str">
        <f>IFERROR(__xludf.DUMMYFUNCTION("GOOGLETRANSLATE(B3237,""en"",""it"")"),"L'istruttore è in piedi e parla.")</f>
        <v>L'istruttore è in piedi e parla.</v>
      </c>
    </row>
    <row r="3238">
      <c r="A3238" s="4" t="s">
        <v>4055</v>
      </c>
      <c r="B3238" s="4" t="s">
        <v>4066</v>
      </c>
      <c r="C3238" s="5" t="str">
        <f>IFERROR(__xludf.DUMMYFUNCTION("GOOGLETRANSLATE(B3238,""en"",""it"")"),"Lo schermo termina con un promo di Vincanitv.")</f>
        <v>Lo schermo termina con un promo di Vincanitv.</v>
      </c>
    </row>
    <row r="3239">
      <c r="A3239" s="4" t="s">
        <v>4067</v>
      </c>
      <c r="B3239" s="4" t="s">
        <v>4068</v>
      </c>
      <c r="C3239" s="5" t="str">
        <f>IFERROR(__xludf.DUMMYFUNCTION("GOOGLETRANSLATE(B3239,""en"",""it"")"),"Una donna è in piedi in un campeggio.")</f>
        <v>Una donna è in piedi in un campeggio.</v>
      </c>
    </row>
    <row r="3240">
      <c r="A3240" s="4" t="s">
        <v>4067</v>
      </c>
      <c r="B3240" s="4" t="s">
        <v>4069</v>
      </c>
      <c r="C3240" s="5" t="str">
        <f>IFERROR(__xludf.DUMMYFUNCTION("GOOGLETRANSLATE(B3240,""en"",""it"")"),"Lei luci si abbina e li getta in un mucchio di legno.")</f>
        <v>Lei luci si abbina e li getta in un mucchio di legno.</v>
      </c>
    </row>
    <row r="3241">
      <c r="A3241" s="4" t="s">
        <v>4070</v>
      </c>
      <c r="B3241" s="6" t="s">
        <v>4071</v>
      </c>
      <c r="C3241" s="5" t="str">
        <f>IFERROR(__xludf.DUMMYFUNCTION("GOOGLETRANSLATE(B3241,""en"",""it"")"),"Un folto gruppo di persone viene visto giocare a pallavolo tra loro mentre si muove in spiaggia.")</f>
        <v>Un folto gruppo di persone viene visto giocare a pallavolo tra loro mentre si muove in spiaggia.</v>
      </c>
    </row>
    <row r="3242">
      <c r="A3242" s="4" t="s">
        <v>4070</v>
      </c>
      <c r="B3242" s="6" t="s">
        <v>4072</v>
      </c>
      <c r="C3242" s="5" t="str">
        <f>IFERROR(__xludf.DUMMYFUNCTION("GOOGLETRANSLATE(B3242,""en"",""it"")"),"Vengono mostrati diversi colpi delle persone che si vagano l'una intorno all'altra giocando indietro e quarto sulla rete e si aiutano a vicenda.")</f>
        <v>Vengono mostrati diversi colpi delle persone che si vagano l'una intorno all'altra giocando indietro e quarto sulla rete e si aiutano a vicenda.</v>
      </c>
    </row>
    <row r="3243">
      <c r="A3243" s="4" t="s">
        <v>4073</v>
      </c>
      <c r="B3243" s="4" t="s">
        <v>4074</v>
      </c>
      <c r="C3243" s="5" t="str">
        <f>IFERROR(__xludf.DUMMYFUNCTION("GOOGLETRANSLATE(B3243,""en"",""it"")"),"Viene mostrato un annuncio per Howcast.")</f>
        <v>Viene mostrato un annuncio per Howcast.</v>
      </c>
    </row>
    <row r="3244">
      <c r="A3244" s="4" t="s">
        <v>4073</v>
      </c>
      <c r="B3244" s="6" t="s">
        <v>4075</v>
      </c>
      <c r="C3244" s="5" t="str">
        <f>IFERROR(__xludf.DUMMYFUNCTION("GOOGLETRANSLATE(B3244,""en"",""it"")"),"È seguito da una donna su una sedia che sorride per la telecamera e una donna con capelli intrecciati che parla.")</f>
        <v>È seguito da una donna su una sedia che sorride per la telecamera e una donna con capelli intrecciati che parla.</v>
      </c>
    </row>
    <row r="3245">
      <c r="A3245" s="4" t="s">
        <v>4073</v>
      </c>
      <c r="B3245" s="6" t="s">
        <v>4076</v>
      </c>
      <c r="C3245" s="5" t="str">
        <f>IFERROR(__xludf.DUMMYFUNCTION("GOOGLETRANSLATE(B3245,""en"",""it"")"),"La donna in rosso applica vari trucchi alla donna seduta, spiegando il processo mentre lei procede.")</f>
        <v>La donna in rosso applica vari trucchi alla donna seduta, spiegando il processo mentre lei procede.</v>
      </c>
    </row>
    <row r="3246">
      <c r="A3246" s="4" t="s">
        <v>4073</v>
      </c>
      <c r="B3246" s="4" t="s">
        <v>4077</v>
      </c>
      <c r="C3246" s="5" t="str">
        <f>IFERROR(__xludf.DUMMYFUNCTION("GOOGLETRANSLATE(B3246,""en"",""it"")"),"Quando ha finito, parla di nuovo alla telecamera.")</f>
        <v>Quando ha finito, parla di nuovo alla telecamera.</v>
      </c>
    </row>
    <row r="3247">
      <c r="A3247" s="4" t="s">
        <v>4078</v>
      </c>
      <c r="B3247" s="4" t="s">
        <v>4079</v>
      </c>
      <c r="C3247" s="5" t="str">
        <f>IFERROR(__xludf.DUMMYFUNCTION("GOOGLETRANSLATE(B3247,""en"",""it"")"),"Un uomo beve caffè e poi suona la chitarra al coperto.")</f>
        <v>Un uomo beve caffè e poi suona la chitarra al coperto.</v>
      </c>
    </row>
    <row r="3248">
      <c r="A3248" s="4" t="s">
        <v>4078</v>
      </c>
      <c r="B3248" s="4" t="s">
        <v>4080</v>
      </c>
      <c r="C3248" s="5" t="str">
        <f>IFERROR(__xludf.DUMMYFUNCTION("GOOGLETRANSLATE(B3248,""en"",""it"")"),"L'uomo fa una pausa e prende il suo caffè.")</f>
        <v>L'uomo fa una pausa e prende il suo caffè.</v>
      </c>
    </row>
    <row r="3249">
      <c r="A3249" s="4" t="s">
        <v>4078</v>
      </c>
      <c r="B3249" s="4" t="s">
        <v>4081</v>
      </c>
      <c r="C3249" s="5" t="str">
        <f>IFERROR(__xludf.DUMMYFUNCTION("GOOGLETRANSLATE(B3249,""en"",""it"")"),"Quindi, l'uomo sussulta una tazza di caffè e una chitarra per strada.")</f>
        <v>Quindi, l'uomo sussulta una tazza di caffè e una chitarra per strada.</v>
      </c>
    </row>
    <row r="3250">
      <c r="A3250" s="4" t="s">
        <v>4078</v>
      </c>
      <c r="B3250" s="4" t="s">
        <v>4082</v>
      </c>
      <c r="C3250" s="5" t="str">
        <f>IFERROR(__xludf.DUMMYFUNCTION("GOOGLETRANSLATE(B3250,""en"",""it"")"),"Dopo, l'uomo suona la chitarra al coperto sul pubblico.")</f>
        <v>Dopo, l'uomo suona la chitarra al coperto sul pubblico.</v>
      </c>
    </row>
    <row r="3251">
      <c r="A3251" s="4" t="s">
        <v>4078</v>
      </c>
      <c r="B3251" s="4" t="s">
        <v>4083</v>
      </c>
      <c r="C3251" s="5" t="str">
        <f>IFERROR(__xludf.DUMMYFUNCTION("GOOGLETRANSLATE(B3251,""en"",""it"")"),"Successivamente, l'uomo suona armonica e chitarra allo stesso tempo.")</f>
        <v>Successivamente, l'uomo suona armonica e chitarra allo stesso tempo.</v>
      </c>
    </row>
    <row r="3252">
      <c r="A3252" s="4" t="s">
        <v>4084</v>
      </c>
      <c r="B3252" s="6" t="s">
        <v>4085</v>
      </c>
      <c r="C3252" s="5" t="str">
        <f>IFERROR(__xludf.DUMMYFUNCTION("GOOGLETRANSLATE(B3252,""en"",""it"")"),"Viene visto un ragazzo parlare con la telecamera con due basket e conduce in lui che li tiene in faccia.")</f>
        <v>Viene visto un ragazzo parlare con la telecamera con due basket e conduce in lui che li tiene in faccia.</v>
      </c>
    </row>
    <row r="3253">
      <c r="A3253" s="4" t="s">
        <v>4084</v>
      </c>
      <c r="B3253" s="6" t="s">
        <v>4086</v>
      </c>
      <c r="C3253" s="5" t="str">
        <f>IFERROR(__xludf.DUMMYFUNCTION("GOOGLETRANSLATE(B3253,""en"",""it"")"),"Il ragazzo si muove quindi su e giù per il campo mentre gocciola le palle e alla fine spara un cestino.")</f>
        <v>Il ragazzo si muove quindi su e giù per il campo mentre gocciola le palle e alla fine spara un cestino.</v>
      </c>
    </row>
    <row r="3254">
      <c r="A3254" s="4" t="s">
        <v>4087</v>
      </c>
      <c r="B3254" s="6" t="s">
        <v>4088</v>
      </c>
      <c r="C3254" s="5" t="str">
        <f>IFERROR(__xludf.DUMMYFUNCTION("GOOGLETRANSLATE(B3254,""en"",""it"")"),"Un'introduzione conduce in diverse clip di persone in piedi in un cerchio e gettano un oggetto in lontananza e finisce allontanandosi.")</f>
        <v>Un'introduzione conduce in diverse clip di persone in piedi in un cerchio e gettano un oggetto in lontananza e finisce allontanandosi.</v>
      </c>
    </row>
    <row r="3255">
      <c r="A3255" s="4" t="s">
        <v>4087</v>
      </c>
      <c r="B3255" s="6" t="s">
        <v>4089</v>
      </c>
      <c r="C3255" s="5" t="str">
        <f>IFERROR(__xludf.DUMMYFUNCTION("GOOGLETRANSLATE(B3255,""en"",""it"")"),"Diverse altre persone vengono viste irrigidendo nel cerchio gettando oggetti in lontananza e tirano l'uno con l'altro.")</f>
        <v>Diverse altre persone vengono viste irrigidendo nel cerchio gettando oggetti in lontananza e tirano l'uno con l'altro.</v>
      </c>
    </row>
    <row r="3256">
      <c r="A3256" s="4" t="s">
        <v>4090</v>
      </c>
      <c r="B3256" s="4" t="s">
        <v>4091</v>
      </c>
      <c r="C3256" s="5" t="str">
        <f>IFERROR(__xludf.DUMMYFUNCTION("GOOGLETRANSLATE(B3256,""en"",""it"")"),"Un uomo viene visto trattenere una corda e parlare alla telecamera.")</f>
        <v>Un uomo viene visto trattenere una corda e parlare alla telecamera.</v>
      </c>
    </row>
    <row r="3257">
      <c r="A3257" s="4" t="s">
        <v>4090</v>
      </c>
      <c r="B3257" s="4" t="s">
        <v>4092</v>
      </c>
      <c r="C3257" s="5" t="str">
        <f>IFERROR(__xludf.DUMMYFUNCTION("GOOGLETRANSLATE(B3257,""en"",""it"")"),"Alza la cintura mentre parla alla telecamera e inizia a salire sul muro.")</f>
        <v>Alza la cintura mentre parla alla telecamera e inizia a salire sul muro.</v>
      </c>
    </row>
    <row r="3258">
      <c r="A3258" s="4" t="s">
        <v>4090</v>
      </c>
      <c r="B3258" s="4" t="s">
        <v>4093</v>
      </c>
      <c r="C3258" s="5" t="str">
        <f>IFERROR(__xludf.DUMMYFUNCTION("GOOGLETRANSLATE(B3258,""en"",""it"")"),"L'uomo si arrampica fino al muro e termina guardando dalla telecamera.")</f>
        <v>L'uomo si arrampica fino al muro e termina guardando dalla telecamera.</v>
      </c>
    </row>
    <row r="3259">
      <c r="A3259" s="4" t="s">
        <v>4094</v>
      </c>
      <c r="B3259" s="4" t="s">
        <v>4095</v>
      </c>
      <c r="C3259" s="5" t="str">
        <f>IFERROR(__xludf.DUMMYFUNCTION("GOOGLETRANSLATE(B3259,""en"",""it"")"),"Vediamo uno schermo di apertura blu con un drink.")</f>
        <v>Vediamo uno schermo di apertura blu con un drink.</v>
      </c>
    </row>
    <row r="3260">
      <c r="A3260" s="4" t="s">
        <v>4094</v>
      </c>
      <c r="B3260" s="4" t="s">
        <v>4096</v>
      </c>
      <c r="C3260" s="5" t="str">
        <f>IFERROR(__xludf.DUMMYFUNCTION("GOOGLETRANSLATE(B3260,""en"",""it"")"),"Vediamo una signora che mescola bevande dietro un bar.")</f>
        <v>Vediamo una signora che mescola bevande dietro un bar.</v>
      </c>
    </row>
    <row r="3261">
      <c r="A3261" s="4" t="s">
        <v>4094</v>
      </c>
      <c r="B3261" s="4" t="s">
        <v>4097</v>
      </c>
      <c r="C3261" s="5" t="str">
        <f>IFERROR(__xludf.DUMMYFUNCTION("GOOGLETRANSLATE(B3261,""en"",""it"")"),"La signora aggiunge ghiaccio e tre colpi di liquore a un bicchiere.")</f>
        <v>La signora aggiunge ghiaccio e tre colpi di liquore a un bicchiere.</v>
      </c>
    </row>
    <row r="3262">
      <c r="A3262" s="4" t="s">
        <v>4094</v>
      </c>
      <c r="B3262" s="4" t="s">
        <v>4098</v>
      </c>
      <c r="C3262" s="5" t="str">
        <f>IFERROR(__xludf.DUMMYFUNCTION("GOOGLETRANSLATE(B3262,""en"",""it"")"),"La signora versa qualcosa di rosso nel bicchiere.")</f>
        <v>La signora versa qualcosa di rosso nel bicchiere.</v>
      </c>
    </row>
    <row r="3263">
      <c r="A3263" s="4" t="s">
        <v>4094</v>
      </c>
      <c r="B3263" s="4" t="s">
        <v>4099</v>
      </c>
      <c r="C3263" s="5" t="str">
        <f>IFERROR(__xludf.DUMMYFUNCTION("GOOGLETRANSLATE(B3263,""en"",""it"")"),"La signora aggiunge qualcosa dal distributore e una lattina.")</f>
        <v>La signora aggiunge qualcosa dal distributore e una lattina.</v>
      </c>
    </row>
    <row r="3264">
      <c r="A3264" s="4" t="s">
        <v>4094</v>
      </c>
      <c r="B3264" s="4" t="s">
        <v>4100</v>
      </c>
      <c r="C3264" s="5" t="str">
        <f>IFERROR(__xludf.DUMMYFUNCTION("GOOGLETRANSLATE(B3264,""en"",""it"")"),"La signora si agita quindi spinge la bevanda in avanti.")</f>
        <v>La signora si agita quindi spinge la bevanda in avanti.</v>
      </c>
    </row>
    <row r="3265">
      <c r="A3265" s="4" t="s">
        <v>4094</v>
      </c>
      <c r="B3265" s="4" t="s">
        <v>4101</v>
      </c>
      <c r="C3265" s="5" t="str">
        <f>IFERROR(__xludf.DUMMYFUNCTION("GOOGLETRANSLATE(B3265,""en"",""it"")"),"Vediamo uno schermo di chiusura rossa e uno schermo nero lungo.")</f>
        <v>Vediamo uno schermo di chiusura rossa e uno schermo nero lungo.</v>
      </c>
    </row>
    <row r="3266">
      <c r="A3266" s="4" t="s">
        <v>4102</v>
      </c>
      <c r="B3266" s="6" t="s">
        <v>4103</v>
      </c>
      <c r="C3266" s="5" t="str">
        <f>IFERROR(__xludf.DUMMYFUNCTION("GOOGLETRANSLATE(B3266,""en"",""it"")"),"Vengono mostrati vari scatti di trofei con ragazze che intervistano la telecamera e che eseguono mosse di ginnastica.")</f>
        <v>Vengono mostrati vari scatti di trofei con ragazze che intervistano la telecamera e che eseguono mosse di ginnastica.</v>
      </c>
    </row>
    <row r="3267">
      <c r="A3267" s="4" t="s">
        <v>4102</v>
      </c>
      <c r="B3267" s="6" t="s">
        <v>4104</v>
      </c>
      <c r="C3267" s="5" t="str">
        <f>IFERROR(__xludf.DUMMYFUNCTION("GOOGLETRANSLATE(B3267,""en"",""it"")"),"Un istruttore mostra quindi alle ragazze come eseguire una acrobazia correttamente e ha un'altra ragazza che si arrampica in cima alle loro mani.")</f>
        <v>Un istruttore mostra quindi alle ragazze come eseguire una acrobazia correttamente e ha un'altra ragazza che si arrampica in cima alle loro mani.</v>
      </c>
    </row>
    <row r="3268">
      <c r="A3268" s="4" t="s">
        <v>4102</v>
      </c>
      <c r="B3268" s="6" t="s">
        <v>4105</v>
      </c>
      <c r="C3268" s="5" t="str">
        <f>IFERROR(__xludf.DUMMYFUNCTION("GOOGLETRANSLATE(B3268,""en"",""it"")"),"La ragazza esegue continuamente acrobazie con gli istruttori e un'altra ragazza viene mostrata parlando alla telecamera.")</f>
        <v>La ragazza esegue continuamente acrobazie con gli istruttori e un'altra ragazza viene mostrata parlando alla telecamera.</v>
      </c>
    </row>
    <row r="3269">
      <c r="A3269" s="4" t="s">
        <v>4106</v>
      </c>
      <c r="B3269" s="6" t="s">
        <v>4107</v>
      </c>
      <c r="C3269" s="5" t="str">
        <f>IFERROR(__xludf.DUMMYFUNCTION("GOOGLETRANSLATE(B3269,""en"",""it"")"),"C'è un giornalista di notizie vestito con un abito floreale rosa e una giacca bianca che dà un aggiornamento sulle notizie sportive.")</f>
        <v>C'è un giornalista di notizie vestito con un abito floreale rosa e una giacca bianca che dà un aggiornamento sulle notizie sportive.</v>
      </c>
    </row>
    <row r="3270">
      <c r="A3270" s="4" t="s">
        <v>4106</v>
      </c>
      <c r="B3270" s="4" t="s">
        <v>4108</v>
      </c>
      <c r="C3270" s="5" t="str">
        <f>IFERROR(__xludf.DUMMYFUNCTION("GOOGLETRANSLATE(B3270,""en"",""it"")"),"Mostra eventi delle Paralimpiadi di Londra.")</f>
        <v>Mostra eventi delle Paralimpiadi di Londra.</v>
      </c>
    </row>
    <row r="3271">
      <c r="A3271" s="4" t="s">
        <v>4106</v>
      </c>
      <c r="B3271" s="6" t="s">
        <v>4109</v>
      </c>
      <c r="C3271" s="5" t="str">
        <f>IFERROR(__xludf.DUMMYFUNCTION("GOOGLETRANSLATE(B3271,""en"",""it"")"),"Sta mostrando agli spettatori i diversi eventi come Shoot Put, Swimming and Running e le medaglie d'oro che sono state vinte in questi eventi.")</f>
        <v>Sta mostrando agli spettatori i diversi eventi come Shoot Put, Swimming and Running e le medaglie d'oro che sono state vinte in questi eventi.</v>
      </c>
    </row>
    <row r="3272">
      <c r="A3272" s="4" t="s">
        <v>4106</v>
      </c>
      <c r="B3272" s="4" t="s">
        <v>4110</v>
      </c>
      <c r="C3272" s="5" t="str">
        <f>IFERROR(__xludf.DUMMYFUNCTION("GOOGLETRANSLATE(B3272,""en"",""it"")"),"Mentre la notizia è in fase di trasmissione televisiva, ci sono didascalie in fondo agli eventi attuali.")</f>
        <v>Mentre la notizia è in fase di trasmissione televisiva, ci sono didascalie in fondo agli eventi attuali.</v>
      </c>
    </row>
    <row r="3273">
      <c r="A3273" s="4" t="s">
        <v>4106</v>
      </c>
      <c r="B3273" s="6" t="s">
        <v>4111</v>
      </c>
      <c r="C3273" s="5" t="str">
        <f>IFERROR(__xludf.DUMMYFUNCTION("GOOGLETRANSLATE(B3273,""en"",""it"")"),"Mostra anche agli spettatori tutte le medaglie vinte da tutti i paesi che hanno partecipato alle Paralimpiadi.")</f>
        <v>Mostra anche agli spettatori tutte le medaglie vinte da tutti i paesi che hanno partecipato alle Paralimpiadi.</v>
      </c>
    </row>
    <row r="3274">
      <c r="A3274" s="4" t="s">
        <v>4112</v>
      </c>
      <c r="B3274" s="4" t="s">
        <v>4113</v>
      </c>
      <c r="C3274" s="5" t="str">
        <f>IFERROR(__xludf.DUMMYFUNCTION("GOOGLETRANSLATE(B3274,""en"",""it"")"),"Una donna corre lungo un sentiero sterrato.")</f>
        <v>Una donna corre lungo un sentiero sterrato.</v>
      </c>
    </row>
    <row r="3275">
      <c r="A3275" s="4" t="s">
        <v>4112</v>
      </c>
      <c r="B3275" s="4" t="s">
        <v>4114</v>
      </c>
      <c r="C3275" s="5" t="str">
        <f>IFERROR(__xludf.DUMMYFUNCTION("GOOGLETRANSLATE(B3275,""en"",""it"")"),"Usa un palo per volta che su un raggio alto.")</f>
        <v>Usa un palo per volta che su un raggio alto.</v>
      </c>
    </row>
    <row r="3276">
      <c r="A3276" s="4" t="s">
        <v>4115</v>
      </c>
      <c r="B3276" s="4" t="s">
        <v>4116</v>
      </c>
      <c r="C3276" s="5" t="str">
        <f>IFERROR(__xludf.DUMMYFUNCTION("GOOGLETRANSLATE(B3276,""en"",""it"")"),"Una persona è mostrata in un liquido a spruzzo rapido su una recinzione in un cortile.")</f>
        <v>Una persona è mostrata in un liquido a spruzzo rapido su una recinzione in un cortile.</v>
      </c>
    </row>
    <row r="3277">
      <c r="A3277" s="4" t="s">
        <v>4115</v>
      </c>
      <c r="B3277" s="4" t="s">
        <v>4117</v>
      </c>
      <c r="C3277" s="5" t="str">
        <f>IFERROR(__xludf.DUMMYFUNCTION("GOOGLETRANSLATE(B3277,""en"",""it"")"),"La persona continua a spruzzare e termina con la fotocamera che si sbiadisce sul nero.")</f>
        <v>La persona continua a spruzzare e termina con la fotocamera che si sbiadisce sul nero.</v>
      </c>
    </row>
    <row r="3278">
      <c r="A3278" s="4" t="s">
        <v>4118</v>
      </c>
      <c r="B3278" s="4" t="s">
        <v>4119</v>
      </c>
      <c r="C3278" s="5" t="str">
        <f>IFERROR(__xludf.DUMMYFUNCTION("GOOGLETRANSLATE(B3278,""en"",""it"")"),"Il video inizia con una diapositiva del titolo.")</f>
        <v>Il video inizia con una diapositiva del titolo.</v>
      </c>
    </row>
    <row r="3279">
      <c r="A3279" s="4" t="s">
        <v>4118</v>
      </c>
      <c r="B3279" s="4" t="s">
        <v>4120</v>
      </c>
      <c r="C3279" s="5" t="str">
        <f>IFERROR(__xludf.DUMMYFUNCTION("GOOGLETRANSLATE(B3279,""en"",""it"")"),"Una donna e una bambina sono in un parco con una corda da salto.")</f>
        <v>Una donna e una bambina sono in un parco con una corda da salto.</v>
      </c>
    </row>
    <row r="3280">
      <c r="A3280" s="4" t="s">
        <v>4118</v>
      </c>
      <c r="B3280" s="6" t="s">
        <v>4121</v>
      </c>
      <c r="C3280" s="5" t="str">
        <f>IFERROR(__xludf.DUMMYFUNCTION("GOOGLETRANSLATE(B3280,""en"",""it"")"),"La donna inizia a dimostrare come usare la corda del salto mentre il bambino tenta di copiarla.")</f>
        <v>La donna inizia a dimostrare come usare la corda del salto mentre il bambino tenta di copiarla.</v>
      </c>
    </row>
    <row r="3281">
      <c r="A3281" s="4" t="s">
        <v>4118</v>
      </c>
      <c r="B3281" s="4" t="s">
        <v>4122</v>
      </c>
      <c r="C3281" s="5" t="str">
        <f>IFERROR(__xludf.DUMMYFUNCTION("GOOGLETRANSLATE(B3281,""en"",""it"")"),"Ad un certo punto, un'altra donna in background scorre sullo schermo mentre salta la corda.")</f>
        <v>Ad un certo punto, un'altra donna in background scorre sullo schermo mentre salta la corda.</v>
      </c>
    </row>
    <row r="3282">
      <c r="A3282" s="4" t="s">
        <v>4118</v>
      </c>
      <c r="B3282" s="4" t="s">
        <v>4123</v>
      </c>
      <c r="C3282" s="5" t="str">
        <f>IFERROR(__xludf.DUMMYFUNCTION("GOOGLETRANSLATE(B3282,""en"",""it"")"),"Il video termina con entrambe le donne che parlano alla telecamera e una sequenza finale del titolo.")</f>
        <v>Il video termina con entrambe le donne che parlano alla telecamera e una sequenza finale del titolo.</v>
      </c>
    </row>
    <row r="3283">
      <c r="A3283" s="4" t="s">
        <v>4124</v>
      </c>
      <c r="B3283" s="4" t="s">
        <v>4125</v>
      </c>
      <c r="C3283" s="5" t="str">
        <f>IFERROR(__xludf.DUMMYFUNCTION("GOOGLETRANSLATE(B3283,""en"",""it"")"),"Un bambino è seduto in un'altalena.")</f>
        <v>Un bambino è seduto in un'altalena.</v>
      </c>
    </row>
    <row r="3284">
      <c r="A3284" s="4" t="s">
        <v>4124</v>
      </c>
      <c r="B3284" s="4" t="s">
        <v>4126</v>
      </c>
      <c r="C3284" s="5" t="str">
        <f>IFERROR(__xludf.DUMMYFUNCTION("GOOGLETRANSLATE(B3284,""en"",""it"")"),"Il bambino sta ridendo e scuotendo i piedi.")</f>
        <v>Il bambino sta ridendo e scuotendo i piedi.</v>
      </c>
    </row>
    <row r="3285">
      <c r="A3285" s="4" t="s">
        <v>4124</v>
      </c>
      <c r="B3285" s="4" t="s">
        <v>4127</v>
      </c>
      <c r="C3285" s="5" t="str">
        <f>IFERROR(__xludf.DUMMYFUNCTION("GOOGLETRANSLATE(B3285,""en"",""it"")"),"Il bambino si gira verso il lato dell'oscillazione.")</f>
        <v>Il bambino si gira verso il lato dell'oscillazione.</v>
      </c>
    </row>
    <row r="3286">
      <c r="A3286" s="4" t="s">
        <v>4128</v>
      </c>
      <c r="B3286" s="4" t="s">
        <v>4129</v>
      </c>
      <c r="C3286" s="5" t="str">
        <f>IFERROR(__xludf.DUMMYFUNCTION("GOOGLETRANSLATE(B3286,""en"",""it"")"),"Diversi nuotatori si avvicinano a l'un l'altro, stringendo la mano.")</f>
        <v>Diversi nuotatori si avvicinano a l'un l'altro, stringendo la mano.</v>
      </c>
    </row>
    <row r="3287">
      <c r="A3287" s="4" t="s">
        <v>4128</v>
      </c>
      <c r="B3287" s="4" t="s">
        <v>4130</v>
      </c>
      <c r="C3287" s="5" t="str">
        <f>IFERROR(__xludf.DUMMYFUNCTION("GOOGLETRANSLATE(B3287,""en"",""it"")"),"Si radunano in piscina, quindi si impegnano in una polo d'acqua.")</f>
        <v>Si radunano in piscina, quindi si impegnano in una polo d'acqua.</v>
      </c>
    </row>
    <row r="3288">
      <c r="A3288" s="4" t="s">
        <v>4128</v>
      </c>
      <c r="B3288" s="4" t="s">
        <v>4131</v>
      </c>
      <c r="C3288" s="5" t="str">
        <f>IFERROR(__xludf.DUMMYFUNCTION("GOOGLETRANSLATE(B3288,""en"",""it"")"),"Hanno colpito la palla avanti e indietro, cercando di portarla in rete.")</f>
        <v>Hanno colpito la palla avanti e indietro, cercando di portarla in rete.</v>
      </c>
    </row>
    <row r="3289">
      <c r="A3289" s="4" t="s">
        <v>4132</v>
      </c>
      <c r="B3289" s="4" t="s">
        <v>4133</v>
      </c>
      <c r="C3289" s="5" t="str">
        <f>IFERROR(__xludf.DUMMYFUNCTION("GOOGLETRANSLATE(B3289,""en"",""it"")"),"Un uomo con una camicia rossa sta parlando con la telecamera.")</f>
        <v>Un uomo con una camicia rossa sta parlando con la telecamera.</v>
      </c>
    </row>
    <row r="3290">
      <c r="A3290" s="4" t="s">
        <v>4132</v>
      </c>
      <c r="B3290" s="4" t="s">
        <v>4134</v>
      </c>
      <c r="C3290" s="5" t="str">
        <f>IFERROR(__xludf.DUMMYFUNCTION("GOOGLETRANSLATE(B3290,""en"",""it"")"),"Comincia a colpire una palla contro un muro di fronte a lui.")</f>
        <v>Comincia a colpire una palla contro un muro di fronte a lui.</v>
      </c>
    </row>
    <row r="3291">
      <c r="A3291" s="4" t="s">
        <v>4132</v>
      </c>
      <c r="B3291" s="4" t="s">
        <v>4135</v>
      </c>
      <c r="C3291" s="5" t="str">
        <f>IFERROR(__xludf.DUMMYFUNCTION("GOOGLETRANSLATE(B3291,""en"",""it"")"),"Si ferma e cammina verso la telecamera.")</f>
        <v>Si ferma e cammina verso la telecamera.</v>
      </c>
    </row>
    <row r="3292">
      <c r="A3292" s="4" t="s">
        <v>4136</v>
      </c>
      <c r="B3292" s="4" t="s">
        <v>4137</v>
      </c>
      <c r="C3292" s="5" t="str">
        <f>IFERROR(__xludf.DUMMYFUNCTION("GOOGLETRANSLATE(B3292,""en"",""it"")"),"Viene mostrato un primo piano di un segno seguito da una persona che immerge la vernice.")</f>
        <v>Viene mostrato un primo piano di un segno seguito da una persona che immerge la vernice.</v>
      </c>
    </row>
    <row r="3293">
      <c r="A3293" s="4" t="s">
        <v>4136</v>
      </c>
      <c r="B3293" s="4" t="s">
        <v>4138</v>
      </c>
      <c r="C3293" s="5" t="str">
        <f>IFERROR(__xludf.DUMMYFUNCTION("GOOGLETRANSLATE(B3293,""en"",""it"")"),"La persona viene quindi vista diffondere la vernice in tutta l'area mentre un altro sorride alla telecamera.")</f>
        <v>La persona viene quindi vista diffondere la vernice in tutta l'area mentre un altro sorride alla telecamera.</v>
      </c>
    </row>
    <row r="3294">
      <c r="A3294" s="4" t="s">
        <v>4136</v>
      </c>
      <c r="B3294" s="4" t="s">
        <v>4139</v>
      </c>
      <c r="C3294" s="5" t="str">
        <f>IFERROR(__xludf.DUMMYFUNCTION("GOOGLETRANSLATE(B3294,""en"",""it"")"),"Gli uomini continuano a posare l'intonaco sulle pareti.")</f>
        <v>Gli uomini continuano a posare l'intonaco sulle pareti.</v>
      </c>
    </row>
    <row r="3295">
      <c r="A3295" s="4" t="s">
        <v>4140</v>
      </c>
      <c r="B3295" s="4" t="s">
        <v>4141</v>
      </c>
      <c r="C3295" s="5" t="str">
        <f>IFERROR(__xludf.DUMMYFUNCTION("GOOGLETRANSLATE(B3295,""en"",""it"")"),"Un uomo sta pulendo la neve che è caduta sulla sua auto.")</f>
        <v>Un uomo sta pulendo la neve che è caduta sulla sua auto.</v>
      </c>
    </row>
    <row r="3296">
      <c r="A3296" s="4" t="s">
        <v>4140</v>
      </c>
      <c r="B3296" s="4" t="s">
        <v>4142</v>
      </c>
      <c r="C3296" s="5" t="str">
        <f>IFERROR(__xludf.DUMMYFUNCTION("GOOGLETRANSLATE(B3296,""en"",""it"")"),"È in piedi sulla strada dove è parcheggiata la sua auto.")</f>
        <v>È in piedi sulla strada dove è parcheggiata la sua auto.</v>
      </c>
    </row>
    <row r="3297">
      <c r="A3297" s="4" t="s">
        <v>4140</v>
      </c>
      <c r="B3297" s="4" t="s">
        <v>4143</v>
      </c>
      <c r="C3297" s="5" t="str">
        <f>IFERROR(__xludf.DUMMYFUNCTION("GOOGLETRANSLATE(B3297,""en"",""it"")"),"Elimina la neve dalla cima della sua auto raschiandola.")</f>
        <v>Elimina la neve dalla cima della sua auto raschiandola.</v>
      </c>
    </row>
    <row r="3298">
      <c r="A3298" s="4" t="s">
        <v>4140</v>
      </c>
      <c r="B3298" s="4" t="s">
        <v>4144</v>
      </c>
      <c r="C3298" s="5" t="str">
        <f>IFERROR(__xludf.DUMMYFUNCTION("GOOGLETRANSLATE(B3298,""en"",""it"")"),"Quindi pulisce i lati della sua auto.")</f>
        <v>Quindi pulisce i lati della sua auto.</v>
      </c>
    </row>
    <row r="3299">
      <c r="A3299" s="4" t="s">
        <v>4140</v>
      </c>
      <c r="B3299" s="4" t="s">
        <v>4145</v>
      </c>
      <c r="C3299" s="5" t="str">
        <f>IFERROR(__xludf.DUMMYFUNCTION("GOOGLETRANSLATE(B3299,""en"",""it"")"),"Dà a qualcuno un pollice in su mentre pulisce la macchina.")</f>
        <v>Dà a qualcuno un pollice in su mentre pulisce la macchina.</v>
      </c>
    </row>
    <row r="3300">
      <c r="A3300" s="4" t="s">
        <v>4140</v>
      </c>
      <c r="B3300" s="4" t="s">
        <v>4146</v>
      </c>
      <c r="C3300" s="5" t="str">
        <f>IFERROR(__xludf.DUMMYFUNCTION("GOOGLETRANSLATE(B3300,""en"",""it"")"),"Quindi si muove nella parte anteriore dell'auto per pulire il parabrezza.")</f>
        <v>Quindi si muove nella parte anteriore dell'auto per pulire il parabrezza.</v>
      </c>
    </row>
    <row r="3301">
      <c r="A3301" s="4" t="s">
        <v>4147</v>
      </c>
      <c r="B3301" s="4" t="s">
        <v>4148</v>
      </c>
      <c r="C3301" s="5" t="str">
        <f>IFERROR(__xludf.DUMMYFUNCTION("GOOGLETRANSLATE(B3301,""en"",""it"")"),"Si vede un primo piano di un narghilè che porta a un altro uomo.")</f>
        <v>Si vede un primo piano di un narghilè che porta a un altro uomo.</v>
      </c>
    </row>
    <row r="3302">
      <c r="A3302" s="4" t="s">
        <v>4147</v>
      </c>
      <c r="B3302" s="4" t="s">
        <v>4149</v>
      </c>
      <c r="C3302" s="5" t="str">
        <f>IFERROR(__xludf.DUMMYFUNCTION("GOOGLETRANSLATE(B3302,""en"",""it"")"),"L'uomo afferra il tubo e prende un colpo dal narghilè.")</f>
        <v>L'uomo afferra il tubo e prende un colpo dal narghilè.</v>
      </c>
    </row>
    <row r="3303">
      <c r="A3303" s="4" t="s">
        <v>4147</v>
      </c>
      <c r="B3303" s="4" t="s">
        <v>4150</v>
      </c>
      <c r="C3303" s="5" t="str">
        <f>IFERROR(__xludf.DUMMYFUNCTION("GOOGLETRANSLATE(B3303,""en"",""it"")"),"L'uomo quindi soffia fumo nell'obiettivo della fotocamera.")</f>
        <v>L'uomo quindi soffia fumo nell'obiettivo della fotocamera.</v>
      </c>
    </row>
    <row r="3304">
      <c r="A3304" s="4" t="s">
        <v>4151</v>
      </c>
      <c r="B3304" s="4" t="s">
        <v>4152</v>
      </c>
      <c r="C3304" s="5" t="str">
        <f>IFERROR(__xludf.DUMMYFUNCTION("GOOGLETRANSLATE(B3304,""en"",""it"")"),"L'uomo rimbalza la palla e la colpisce con la sua racchetta.")</f>
        <v>L'uomo rimbalza la palla e la colpisce con la sua racchetta.</v>
      </c>
    </row>
    <row r="3305">
      <c r="A3305" s="4" t="s">
        <v>4151</v>
      </c>
      <c r="B3305" s="4" t="s">
        <v>4153</v>
      </c>
      <c r="C3305" s="5" t="str">
        <f>IFERROR(__xludf.DUMMYFUNCTION("GOOGLETRANSLATE(B3305,""en"",""it"")"),"L'uomo rimbalza la palla e la colpisce attraverso il campo.")</f>
        <v>L'uomo rimbalza la palla e la colpisce attraverso il campo.</v>
      </c>
    </row>
    <row r="3306">
      <c r="A3306" s="4" t="s">
        <v>4151</v>
      </c>
      <c r="B3306" s="4" t="s">
        <v>4154</v>
      </c>
      <c r="C3306" s="5" t="str">
        <f>IFERROR(__xludf.DUMMYFUNCTION("GOOGLETRANSLATE(B3306,""en"",""it"")"),"L'uomo quindi rimbalza e colpisce un'altra palla.")</f>
        <v>L'uomo quindi rimbalza e colpisce un'altra palla.</v>
      </c>
    </row>
    <row r="3307">
      <c r="A3307" s="4" t="s">
        <v>4155</v>
      </c>
      <c r="B3307" s="6" t="s">
        <v>4156</v>
      </c>
      <c r="C3307" s="5" t="str">
        <f>IFERROR(__xludf.DUMMYFUNCTION("GOOGLETRANSLATE(B3307,""en"",""it"")"),"Un uomo atletico viene visto correre attraverso una strada al rallentatore mentre la telecamera si muove attorno al suo corpo.")</f>
        <v>Un uomo atletico viene visto correre attraverso una strada al rallentatore mentre la telecamera si muove attorno al suo corpo.</v>
      </c>
    </row>
    <row r="3308">
      <c r="A3308" s="4" t="s">
        <v>4155</v>
      </c>
      <c r="B3308" s="4" t="s">
        <v>4157</v>
      </c>
      <c r="C3308" s="5" t="str">
        <f>IFERROR(__xludf.DUMMYFUNCTION("GOOGLETRANSLATE(B3308,""en"",""it"")"),"Il video si congela quindi in piedi per mostrare il testo e termina con lui che tiene le braccia in aria.")</f>
        <v>Il video si congela quindi in piedi per mostrare il testo e termina con lui che tiene le braccia in aria.</v>
      </c>
    </row>
    <row r="3309">
      <c r="A3309" s="4" t="s">
        <v>4158</v>
      </c>
      <c r="B3309" s="4" t="s">
        <v>4159</v>
      </c>
      <c r="C3309" s="5" t="str">
        <f>IFERROR(__xludf.DUMMYFUNCTION("GOOGLETRANSLATE(B3309,""en"",""it"")"),"Una donna viene vista parlare alla telecamera mentre tiene in mano una scatola e un giornale.")</f>
        <v>Una donna viene vista parlare alla telecamera mentre tiene in mano una scatola e un giornale.</v>
      </c>
    </row>
    <row r="3310">
      <c r="A3310" s="4" t="s">
        <v>4158</v>
      </c>
      <c r="B3310" s="4" t="s">
        <v>4160</v>
      </c>
      <c r="C3310" s="5" t="str">
        <f>IFERROR(__xludf.DUMMYFUNCTION("GOOGLETRANSLATE(B3310,""en"",""it"")"),"La donna inizia quindi a tagliare la carta di notizie e posizionare la scatola nel mezzo.")</f>
        <v>La donna inizia quindi a tagliare la carta di notizie e posizionare la scatola nel mezzo.</v>
      </c>
    </row>
    <row r="3311">
      <c r="A3311" s="4" t="s">
        <v>4158</v>
      </c>
      <c r="B3311" s="4" t="s">
        <v>4161</v>
      </c>
      <c r="C3311" s="5" t="str">
        <f>IFERROR(__xludf.DUMMYFUNCTION("GOOGLETRANSLATE(B3311,""en"",""it"")"),"Le donne avvolgono la scatola con la carta di notizie e la registra sui lati.")</f>
        <v>Le donne avvolgono la scatola con la carta di notizie e la registra sui lati.</v>
      </c>
    </row>
    <row r="3312">
      <c r="A3312" s="4" t="s">
        <v>4162</v>
      </c>
      <c r="B3312" s="4" t="s">
        <v>4163</v>
      </c>
      <c r="C3312" s="5" t="str">
        <f>IFERROR(__xludf.DUMMYFUNCTION("GOOGLETRANSLATE(B3312,""en"",""it"")"),"Viene visto un uomo parlare alla telecamera e inizia a radersi i peli del viso.")</f>
        <v>Viene visto un uomo parlare alla telecamera e inizia a radersi i peli del viso.</v>
      </c>
    </row>
    <row r="3313">
      <c r="A3313" s="4" t="s">
        <v>4162</v>
      </c>
      <c r="B3313" s="4" t="s">
        <v>4164</v>
      </c>
      <c r="C3313" s="5" t="str">
        <f>IFERROR(__xludf.DUMMYFUNCTION("GOOGLETRANSLATE(B3313,""en"",""it"")"),"L'uomo continua a radersi e mostra le sue foto prima e dopo.")</f>
        <v>L'uomo continua a radersi e mostra le sue foto prima e dopo.</v>
      </c>
    </row>
    <row r="3314">
      <c r="A3314" s="4" t="s">
        <v>4165</v>
      </c>
      <c r="B3314" s="4" t="s">
        <v>4166</v>
      </c>
      <c r="C3314" s="5" t="str">
        <f>IFERROR(__xludf.DUMMYFUNCTION("GOOGLETRANSLATE(B3314,""en"",""it"")"),"Una donna viene vista parlare alla telecamera e mostrare vari strumenti alla fotocamera.")</f>
        <v>Una donna viene vista parlare alla telecamera e mostrare vari strumenti alla fotocamera.</v>
      </c>
    </row>
    <row r="3315">
      <c r="A3315" s="4" t="s">
        <v>4165</v>
      </c>
      <c r="B3315" s="4" t="s">
        <v>4167</v>
      </c>
      <c r="C3315" s="5" t="str">
        <f>IFERROR(__xludf.DUMMYFUNCTION("GOOGLETRANSLATE(B3315,""en"",""it"")"),"Spiega come ogni strumento funziona per pulire un cavallo e termina sorridendo alla telecamera.")</f>
        <v>Spiega come ogni strumento funziona per pulire un cavallo e termina sorridendo alla telecamera.</v>
      </c>
    </row>
    <row r="3316">
      <c r="A3316" s="4" t="s">
        <v>4168</v>
      </c>
      <c r="B3316" s="4" t="s">
        <v>4169</v>
      </c>
      <c r="C3316" s="5" t="str">
        <f>IFERROR(__xludf.DUMMYFUNCTION("GOOGLETRANSLATE(B3316,""en"",""it"")"),"Viene mostrata un'introduzione di testo che descrive l'evento.")</f>
        <v>Viene mostrata un'introduzione di testo che descrive l'evento.</v>
      </c>
    </row>
    <row r="3317">
      <c r="A3317" s="4" t="s">
        <v>4168</v>
      </c>
      <c r="B3317" s="4" t="s">
        <v>4170</v>
      </c>
      <c r="C3317" s="5" t="str">
        <f>IFERROR(__xludf.DUMMYFUNCTION("GOOGLETRANSLATE(B3317,""en"",""it"")"),"Una donna esegue ginnastica in barre irregolari mentre un certo numero di spettatori guardano.")</f>
        <v>Una donna esegue ginnastica in barre irregolari mentre un certo numero di spettatori guardano.</v>
      </c>
    </row>
    <row r="3318">
      <c r="A3318" s="4" t="s">
        <v>4168</v>
      </c>
      <c r="B3318" s="4" t="s">
        <v>4171</v>
      </c>
      <c r="C3318" s="5" t="str">
        <f>IFERROR(__xludf.DUMMYFUNCTION("GOOGLETRANSLATE(B3318,""en"",""it"")"),"La donna smonde dai bar.")</f>
        <v>La donna smonde dai bar.</v>
      </c>
    </row>
    <row r="3319">
      <c r="A3319" s="4" t="s">
        <v>4172</v>
      </c>
      <c r="B3319" s="4" t="s">
        <v>4173</v>
      </c>
      <c r="C3319" s="5" t="str">
        <f>IFERROR(__xludf.DUMMYFUNCTION("GOOGLETRANSLATE(B3319,""en"",""it"")"),"C'è un giovane con una camicia rossa e un cappello berretto a berretto che suona l'armonica.")</f>
        <v>C'è un giovane con una camicia rossa e un cappello berretto a berretto che suona l'armonica.</v>
      </c>
    </row>
    <row r="3320">
      <c r="A3320" s="4" t="s">
        <v>4172</v>
      </c>
      <c r="B3320" s="4" t="s">
        <v>4174</v>
      </c>
      <c r="C3320" s="5" t="str">
        <f>IFERROR(__xludf.DUMMYFUNCTION("GOOGLETRANSLATE(B3320,""en"",""it"")"),"Suona ritmicamente mentre muove rapidamente l'armonica attraverso la bocca per suonare una melodia veloce.")</f>
        <v>Suona ritmicamente mentre muove rapidamente l'armonica attraverso la bocca per suonare una melodia veloce.</v>
      </c>
    </row>
    <row r="3321">
      <c r="A3321" s="4" t="s">
        <v>4172</v>
      </c>
      <c r="B3321" s="4" t="s">
        <v>4175</v>
      </c>
      <c r="C3321" s="5" t="str">
        <f>IFERROR(__xludf.DUMMYFUNCTION("GOOGLETRANSLATE(B3321,""en"",""it"")"),"Continua a suonare la melodia mentre chiude gli occhi in profonda concentrazione.")</f>
        <v>Continua a suonare la melodia mentre chiude gli occhi in profonda concentrazione.</v>
      </c>
    </row>
    <row r="3322">
      <c r="A3322" s="4" t="s">
        <v>4172</v>
      </c>
      <c r="B3322" s="4" t="s">
        <v>4176</v>
      </c>
      <c r="C3322" s="5" t="str">
        <f>IFERROR(__xludf.DUMMYFUNCTION("GOOGLETRANSLATE(B3322,""en"",""it"")"),"Sposta le vie secondarie dell'armonica mentre continua a suonare fino a quando non si conclude.")</f>
        <v>Sposta le vie secondarie dell'armonica mentre continua a suonare fino a quando non si conclude.</v>
      </c>
    </row>
    <row r="3323">
      <c r="A3323" s="4" t="s">
        <v>4177</v>
      </c>
      <c r="B3323" s="4" t="s">
        <v>4178</v>
      </c>
      <c r="C3323" s="5" t="str">
        <f>IFERROR(__xludf.DUMMYFUNCTION("GOOGLETRANSLATE(B3323,""en"",""it"")"),"Un gruppo di uomini più anziani entra in una pista di pattinaggio.")</f>
        <v>Un gruppo di uomini più anziani entra in una pista di pattinaggio.</v>
      </c>
    </row>
    <row r="3324">
      <c r="A3324" s="4" t="s">
        <v>4177</v>
      </c>
      <c r="B3324" s="4" t="s">
        <v>4179</v>
      </c>
      <c r="C3324" s="5" t="str">
        <f>IFERROR(__xludf.DUMMYFUNCTION("GOOGLETRANSLATE(B3324,""en"",""it"")"),"Il gruppo di uomini si riunisce e si prepara a giocare a curling.")</f>
        <v>Il gruppo di uomini si riunisce e si prepara a giocare a curling.</v>
      </c>
    </row>
    <row r="3325">
      <c r="A3325" s="4" t="s">
        <v>4177</v>
      </c>
      <c r="B3325" s="4" t="s">
        <v>4180</v>
      </c>
      <c r="C3325" s="5" t="str">
        <f>IFERROR(__xludf.DUMMYFUNCTION("GOOGLETRANSLATE(B3325,""en"",""it"")"),"Un uomo più giovane e un uomo più anziano lavorano come una squadra per spostare il ricciolo.")</f>
        <v>Un uomo più giovane e un uomo più anziano lavorano come una squadra per spostare il ricciolo.</v>
      </c>
    </row>
    <row r="3326">
      <c r="A3326" s="4" t="s">
        <v>4177</v>
      </c>
      <c r="B3326" s="4" t="s">
        <v>4181</v>
      </c>
      <c r="C3326" s="5" t="str">
        <f>IFERROR(__xludf.DUMMYFUNCTION("GOOGLETRANSLATE(B3326,""en"",""it"")"),"Un gentiluomo più anziano sorride alla telecamera mentre tiene il suo bastone di arricciatura sopra la testa.")</f>
        <v>Un gentiluomo più anziano sorride alla telecamera mentre tiene il suo bastone di arricciatura sopra la testa.</v>
      </c>
    </row>
    <row r="3327">
      <c r="A3327" s="4" t="s">
        <v>4177</v>
      </c>
      <c r="B3327" s="4" t="s">
        <v>4182</v>
      </c>
      <c r="C3327" s="5" t="str">
        <f>IFERROR(__xludf.DUMMYFUNCTION("GOOGLETRANSLATE(B3327,""en"",""it"")"),"Il gruppo di uomini inizia quindi a mostrare il numero e ridere.")</f>
        <v>Il gruppo di uomini inizia quindi a mostrare il numero e ridere.</v>
      </c>
    </row>
    <row r="3328">
      <c r="A3328" s="4" t="s">
        <v>4183</v>
      </c>
      <c r="B3328" s="4" t="s">
        <v>4184</v>
      </c>
      <c r="C3328" s="5" t="str">
        <f>IFERROR(__xludf.DUMMYFUNCTION("GOOGLETRANSLATE(B3328,""en"",""it"")"),"Le persone giocano a lacrosse su un campo.")</f>
        <v>Le persone giocano a lacrosse su un campo.</v>
      </c>
    </row>
    <row r="3329">
      <c r="A3329" s="4" t="s">
        <v>4183</v>
      </c>
      <c r="B3329" s="4" t="s">
        <v>4185</v>
      </c>
      <c r="C3329" s="5" t="str">
        <f>IFERROR(__xludf.DUMMYFUNCTION("GOOGLETRANSLATE(B3329,""en"",""it"")"),"Ottengono un punto in rete.")</f>
        <v>Ottengono un punto in rete.</v>
      </c>
    </row>
    <row r="3330">
      <c r="A3330" s="4" t="s">
        <v>4183</v>
      </c>
      <c r="B3330" s="4" t="s">
        <v>4186</v>
      </c>
      <c r="C3330" s="5" t="str">
        <f>IFERROR(__xludf.DUMMYFUNCTION("GOOGLETRANSLATE(B3330,""en"",""it"")"),"Due uomini alti cinque sul campo.")</f>
        <v>Due uomini alti cinque sul campo.</v>
      </c>
    </row>
    <row r="3331">
      <c r="A3331" s="4" t="s">
        <v>4187</v>
      </c>
      <c r="B3331" s="4" t="s">
        <v>4188</v>
      </c>
      <c r="C3331" s="5" t="str">
        <f>IFERROR(__xludf.DUMMYFUNCTION("GOOGLETRANSLATE(B3331,""en"",""it"")"),"Viene mostrato un primo piano di rapide d'acqua, seguito da un gruppo di persone che tentano di remare in una zattera.")</f>
        <v>Viene mostrato un primo piano di rapide d'acqua, seguito da un gruppo di persone che tentano di remare in una zattera.</v>
      </c>
    </row>
    <row r="3332">
      <c r="A3332" s="4" t="s">
        <v>4187</v>
      </c>
      <c r="B3332" s="4" t="s">
        <v>4189</v>
      </c>
      <c r="C3332" s="5" t="str">
        <f>IFERROR(__xludf.DUMMYFUNCTION("GOOGLETRANSLATE(B3332,""en"",""it"")"),"Le persone che cavalcano tutto lungo il fiume mentre si attaccano a pagaiare a un certo punto tutti insieme.")</f>
        <v>Le persone che cavalcano tutto lungo il fiume mentre si attaccano a pagaiare a un certo punto tutti insieme.</v>
      </c>
    </row>
    <row r="3333">
      <c r="A3333" s="4" t="s">
        <v>4190</v>
      </c>
      <c r="B3333" s="6" t="s">
        <v>4191</v>
      </c>
      <c r="C3333" s="5" t="str">
        <f>IFERROR(__xludf.DUMMYFUNCTION("GOOGLETRANSLATE(B3333,""en"",""it"")"),"Ci sono circa dieci o più persone vestite con abbigliamento atletico facendo una forma sincronizzata di esercizio.")</f>
        <v>Ci sono circa dieci o più persone vestite con abbigliamento atletico facendo una forma sincronizzata di esercizio.</v>
      </c>
    </row>
    <row r="3334">
      <c r="A3334" s="4" t="s">
        <v>4190</v>
      </c>
      <c r="B3334" s="4" t="s">
        <v>4192</v>
      </c>
      <c r="C3334" s="5" t="str">
        <f>IFERROR(__xludf.DUMMYFUNCTION("GOOGLETRANSLATE(B3334,""en"",""it"")"),"Stanno facendo i passi ritmicamente ai ritmi di una canzone che viene suonata nel centro fitness.")</f>
        <v>Stanno facendo i passi ritmicamente ai ritmi di una canzone che viene suonata nel centro fitness.</v>
      </c>
    </row>
    <row r="3335">
      <c r="A3335" s="4" t="s">
        <v>4190</v>
      </c>
      <c r="B3335" s="4" t="s">
        <v>4193</v>
      </c>
      <c r="C3335" s="5" t="str">
        <f>IFERROR(__xludf.DUMMYFUNCTION("GOOGLETRANSLATE(B3335,""en"",""it"")"),"Ci sono luci da discoteca che lampeggiano nel centro fitness.")</f>
        <v>Ci sono luci da discoteca che lampeggiano nel centro fitness.</v>
      </c>
    </row>
    <row r="3336">
      <c r="A3336" s="4" t="s">
        <v>4190</v>
      </c>
      <c r="B3336" s="4" t="s">
        <v>4194</v>
      </c>
      <c r="C3336" s="5" t="str">
        <f>IFERROR(__xludf.DUMMYFUNCTION("GOOGLETRANSLATE(B3336,""en"",""it"")"),"Continuano a fare i passi mentre battono le mani tra i gradini.")</f>
        <v>Continuano a fare i passi mentre battono le mani tra i gradini.</v>
      </c>
    </row>
    <row r="3337">
      <c r="A3337" s="4" t="s">
        <v>4190</v>
      </c>
      <c r="B3337" s="4" t="s">
        <v>4195</v>
      </c>
      <c r="C3337" s="5" t="str">
        <f>IFERROR(__xludf.DUMMYFUNCTION("GOOGLETRANSLATE(B3337,""en"",""it"")"),"Sceglieranno anche uno sgabello a gradino mentre continuano i loro passi.")</f>
        <v>Sceglieranno anche uno sgabello a gradino mentre continuano i loro passi.</v>
      </c>
    </row>
    <row r="3338">
      <c r="A3338" s="4" t="s">
        <v>4196</v>
      </c>
      <c r="B3338" s="4" t="s">
        <v>4197</v>
      </c>
      <c r="C3338" s="5" t="str">
        <f>IFERROR(__xludf.DUMMYFUNCTION("GOOGLETRANSLATE(B3338,""en"",""it"")"),"Una persona viene vista chinarsi su un secchio pieno d'acqua e lavarsi i vestiti nel secchio.")</f>
        <v>Una persona viene vista chinarsi su un secchio pieno d'acqua e lavarsi i vestiti nel secchio.</v>
      </c>
    </row>
    <row r="3339">
      <c r="A3339" s="4" t="s">
        <v>4196</v>
      </c>
      <c r="B3339" s="6" t="s">
        <v>4198</v>
      </c>
      <c r="C3339" s="5" t="str">
        <f>IFERROR(__xludf.DUMMYFUNCTION("GOOGLETRANSLATE(B3339,""en"",""it"")"),"Il ragazzo continua a lavarsi quando un'altra persona entra per aiutare a lavare i vestiti e parlare alla telecamera.")</f>
        <v>Il ragazzo continua a lavarsi quando un'altra persona entra per aiutare a lavare i vestiti e parlare alla telecamera.</v>
      </c>
    </row>
    <row r="3340">
      <c r="A3340" s="4" t="s">
        <v>4199</v>
      </c>
      <c r="B3340" s="4" t="s">
        <v>4200</v>
      </c>
      <c r="C3340" s="5" t="str">
        <f>IFERROR(__xludf.DUMMYFUNCTION("GOOGLETRANSLATE(B3340,""en"",""it"")"),"Un uomo in un maglione marrone è seduto e parla.")</f>
        <v>Un uomo in un maglione marrone è seduto e parla.</v>
      </c>
    </row>
    <row r="3341">
      <c r="A3341" s="4" t="s">
        <v>4199</v>
      </c>
      <c r="B3341" s="4" t="s">
        <v>4201</v>
      </c>
      <c r="C3341" s="5" t="str">
        <f>IFERROR(__xludf.DUMMYFUNCTION("GOOGLETRANSLATE(B3341,""en"",""it"")"),"Una donna in un maglione in bianco e nero si siede dietro di lui.")</f>
        <v>Una donna in un maglione in bianco e nero si siede dietro di lui.</v>
      </c>
    </row>
    <row r="3342">
      <c r="A3342" s="4" t="s">
        <v>4199</v>
      </c>
      <c r="B3342" s="4" t="s">
        <v>4202</v>
      </c>
      <c r="C3342" s="5" t="str">
        <f>IFERROR(__xludf.DUMMYFUNCTION("GOOGLETRANSLATE(B3342,""en"",""it"")"),"Si toglie il maglione e lo mette sulla sedia dietro di lui.")</f>
        <v>Si toglie il maglione e lo mette sulla sedia dietro di lui.</v>
      </c>
    </row>
    <row r="3343">
      <c r="A3343" s="4" t="s">
        <v>4199</v>
      </c>
      <c r="B3343" s="4" t="s">
        <v>4203</v>
      </c>
      <c r="C3343" s="5" t="str">
        <f>IFERROR(__xludf.DUMMYFUNCTION("GOOGLETRANSLATE(B3343,""en"",""it"")"),"Un ragazzo con una camicia blu colpisce dietro di lui.")</f>
        <v>Un ragazzo con una camicia blu colpisce dietro di lui.</v>
      </c>
    </row>
    <row r="3344">
      <c r="A3344" s="4" t="s">
        <v>4204</v>
      </c>
      <c r="B3344" s="4" t="s">
        <v>4205</v>
      </c>
      <c r="C3344" s="5" t="str">
        <f>IFERROR(__xludf.DUMMYFUNCTION("GOOGLETRANSLATE(B3344,""en"",""it"")"),"Viene vista una donna parlare alla telecamera e condurre in clip della sua corsa.")</f>
        <v>Viene vista una donna parlare alla telecamera e condurre in clip della sua corsa.</v>
      </c>
    </row>
    <row r="3345">
      <c r="A3345" s="4" t="s">
        <v>4204</v>
      </c>
      <c r="B3345" s="4" t="s">
        <v>4206</v>
      </c>
      <c r="C3345" s="5" t="str">
        <f>IFERROR(__xludf.DUMMYFUNCTION("GOOGLETRANSLATE(B3345,""en"",""it"")"),"Vengono mostrati primi piani dei suoi piedi, così come più clip del suo parlare e correre.")</f>
        <v>Vengono mostrati primi piani dei suoi piedi, così come più clip del suo parlare e correre.</v>
      </c>
    </row>
    <row r="3346">
      <c r="A3346" s="4" t="s">
        <v>4204</v>
      </c>
      <c r="B3346" s="6" t="s">
        <v>4207</v>
      </c>
      <c r="C3346" s="5" t="str">
        <f>IFERROR(__xludf.DUMMYFUNCTION("GOOGLETRANSLATE(B3346,""en"",""it"")"),"Ha mostrato di fare le valigie e mostrare i suoi strumenti e la sua attrezzatura mentre corre ancora sulla strada.")</f>
        <v>Ha mostrato di fare le valigie e mostrare i suoi strumenti e la sua attrezzatura mentre corre ancora sulla strada.</v>
      </c>
    </row>
    <row r="3347">
      <c r="A3347" s="4" t="s">
        <v>4208</v>
      </c>
      <c r="B3347" s="4" t="s">
        <v>4209</v>
      </c>
      <c r="C3347" s="5" t="str">
        <f>IFERROR(__xludf.DUMMYFUNCTION("GOOGLETRANSLATE(B3347,""en"",""it"")"),"Una donna è vista seduta su uno sgabello che fuma una sigaretta e si guarda in lontananza.")</f>
        <v>Una donna è vista seduta su uno sgabello che fuma una sigaretta e si guarda in lontananza.</v>
      </c>
    </row>
    <row r="3348">
      <c r="A3348" s="4" t="s">
        <v>4208</v>
      </c>
      <c r="B3348" s="6" t="s">
        <v>4210</v>
      </c>
      <c r="C3348" s="5" t="str">
        <f>IFERROR(__xludf.DUMMYFUNCTION("GOOGLETRANSLATE(B3348,""en"",""it"")"),"La donna soffia in aria mentre la telecamera la cattura da diversi angoli che fumano continuamente.")</f>
        <v>La donna soffia in aria mentre la telecamera la cattura da diversi angoli che fumano continuamente.</v>
      </c>
    </row>
    <row r="3349">
      <c r="A3349" s="4" t="s">
        <v>4211</v>
      </c>
      <c r="B3349" s="4" t="s">
        <v>4212</v>
      </c>
      <c r="C3349" s="5" t="str">
        <f>IFERROR(__xludf.DUMMYFUNCTION("GOOGLETRANSLATE(B3349,""en"",""it"")"),"Un'introduzione di titoli alla fine porta a un atleta con una grande quantità di pesi sopra la testa.")</f>
        <v>Un'introduzione di titoli alla fine porta a un atleta con una grande quantità di pesi sopra la testa.</v>
      </c>
    </row>
    <row r="3350">
      <c r="A3350" s="4" t="s">
        <v>4211</v>
      </c>
      <c r="B3350" s="4" t="s">
        <v>4213</v>
      </c>
      <c r="C3350" s="5" t="str">
        <f>IFERROR(__xludf.DUMMYFUNCTION("GOOGLETRANSLATE(B3350,""en"",""it"")"),"Lo stesso uomo ne fa un altro illuminato con i suoi pesi mentre un altro uomo guarda in background.")</f>
        <v>Lo stesso uomo ne fa un altro illuminato con i suoi pesi mentre un altro uomo guarda in background.</v>
      </c>
    </row>
    <row r="3351">
      <c r="A3351" s="4" t="s">
        <v>4211</v>
      </c>
      <c r="B3351" s="4" t="s">
        <v>4214</v>
      </c>
      <c r="C3351" s="5" t="str">
        <f>IFERROR(__xludf.DUMMYFUNCTION("GOOGLETRANSLATE(B3351,""en"",""it"")"),"Getta i pesi e getta le braccia in aria per festeggiare.")</f>
        <v>Getta i pesi e getta le braccia in aria per festeggiare.</v>
      </c>
    </row>
    <row r="3352">
      <c r="A3352" s="4" t="s">
        <v>4215</v>
      </c>
      <c r="B3352" s="6" t="s">
        <v>4216</v>
      </c>
      <c r="C3352" s="5" t="str">
        <f>IFERROR(__xludf.DUMMYFUNCTION("GOOGLETRANSLATE(B3352,""en"",""it"")"),"Una donna con i capelli corti e una canotta bianca è seduta nel suo bagno a parlare di un ciclista che si rade le gambe.")</f>
        <v>Una donna con i capelli corti e una canotta bianca è seduta nel suo bagno a parlare di un ciclista che si rade le gambe.</v>
      </c>
    </row>
    <row r="3353">
      <c r="A3353" s="4" t="s">
        <v>4215</v>
      </c>
      <c r="B3353" s="4" t="s">
        <v>4217</v>
      </c>
      <c r="C3353" s="5" t="str">
        <f>IFERROR(__xludf.DUMMYFUNCTION("GOOGLETRANSLATE(B3353,""en"",""it"")"),"Si alza e mostra il team ciclistico stampato sulla sua canotta.")</f>
        <v>Si alza e mostra il team ciclistico stampato sulla sua canotta.</v>
      </c>
    </row>
    <row r="3354">
      <c r="A3354" s="4" t="s">
        <v>4215</v>
      </c>
      <c r="B3354" s="4" t="s">
        <v>4218</v>
      </c>
      <c r="C3354" s="5" t="str">
        <f>IFERROR(__xludf.DUMMYFUNCTION("GOOGLETRANSLATE(B3354,""en"",""it"")"),"Mostra agli spettatori il tipo di rasoio che userà.")</f>
        <v>Mostra agli spettatori il tipo di rasoio che userà.</v>
      </c>
    </row>
    <row r="3355">
      <c r="A3355" s="4" t="s">
        <v>4215</v>
      </c>
      <c r="B3355" s="4" t="s">
        <v>4219</v>
      </c>
      <c r="C3355" s="5" t="str">
        <f>IFERROR(__xludf.DUMMYFUNCTION("GOOGLETRANSLATE(B3355,""en"",""it"")"),"C'è un giovane seduto sulla vasca da bagno insieme alla donna.")</f>
        <v>C'è un giovane seduto sulla vasca da bagno insieme alla donna.</v>
      </c>
    </row>
    <row r="3356">
      <c r="A3356" s="4" t="s">
        <v>4215</v>
      </c>
      <c r="B3356" s="4" t="s">
        <v>4220</v>
      </c>
      <c r="C3356" s="5" t="str">
        <f>IFERROR(__xludf.DUMMYFUNCTION("GOOGLETRANSLATE(B3356,""en"",""it"")"),"Si lava le gambe con acqua e sapone per bambini e inizia a radersi le gambe.")</f>
        <v>Si lava le gambe con acqua e sapone per bambini e inizia a radersi le gambe.</v>
      </c>
    </row>
    <row r="3357">
      <c r="A3357" s="4" t="s">
        <v>4215</v>
      </c>
      <c r="B3357" s="4" t="s">
        <v>4221</v>
      </c>
      <c r="C3357" s="5" t="str">
        <f>IFERROR(__xludf.DUMMYFUNCTION("GOOGLETRANSLATE(B3357,""en"",""it"")"),"Quindi la donna prende il rasoio e aiuta suo marito a radersi le gambe.")</f>
        <v>Quindi la donna prende il rasoio e aiuta suo marito a radersi le gambe.</v>
      </c>
    </row>
    <row r="3358">
      <c r="A3358" s="4" t="s">
        <v>4222</v>
      </c>
      <c r="B3358" s="6" t="s">
        <v>4223</v>
      </c>
      <c r="C3358" s="5" t="str">
        <f>IFERROR(__xludf.DUMMYFUNCTION("GOOGLETRANSLATE(B3358,""en"",""it"")"),"Molti ragazzi in All Black si trovano su un'area erbosa con strumenti musicali e fanno un'esibizione di sincronizzazione di fronte ad altre persone sedute sull'erba a guardare.")</f>
        <v>Molti ragazzi in All Black si trovano su un'area erbosa con strumenti musicali e fanno un'esibizione di sincronizzazione di fronte ad altre persone sedute sull'erba a guardare.</v>
      </c>
    </row>
    <row r="3359">
      <c r="A3359" s="4" t="s">
        <v>4222</v>
      </c>
      <c r="B3359" s="6" t="s">
        <v>4224</v>
      </c>
      <c r="C3359" s="5" t="str">
        <f>IFERROR(__xludf.DUMMYFUNCTION("GOOGLETRANSLATE(B3359,""en"",""it"")"),"I ragazzi suonano la batteria e fanno movimenti avanti e indietro mentre suonano la batteria collegata al corpo lì.")</f>
        <v>I ragazzi suonano la batteria e fanno movimenti avanti e indietro mentre suonano la batteria collegata al corpo lì.</v>
      </c>
    </row>
    <row r="3360">
      <c r="A3360" s="4" t="s">
        <v>4222</v>
      </c>
      <c r="B3360" s="4" t="s">
        <v>4225</v>
      </c>
      <c r="C3360" s="5" t="str">
        <f>IFERROR(__xludf.DUMMYFUNCTION("GOOGLETRANSLATE(B3360,""en"",""it"")"),"I ragazzi fanno i movimenti delle mani e si mettono in piedi leggermente come parte della performance.")</f>
        <v>I ragazzi fanno i movimenti delle mani e si mettono in piedi leggermente come parte della performance.</v>
      </c>
    </row>
    <row r="3361">
      <c r="A3361" s="4" t="s">
        <v>4226</v>
      </c>
      <c r="B3361" s="4" t="s">
        <v>4227</v>
      </c>
      <c r="C3361" s="5" t="str">
        <f>IFERROR(__xludf.DUMMYFUNCTION("GOOGLETRANSLATE(B3361,""en"",""it"")"),"Windsurfer gira la vela in un 360.")</f>
        <v>Windsurfer gira la vela in un 360.</v>
      </c>
    </row>
    <row r="3362">
      <c r="A3362" s="4" t="s">
        <v>4226</v>
      </c>
      <c r="B3362" s="4" t="s">
        <v>4228</v>
      </c>
      <c r="C3362" s="5" t="str">
        <f>IFERROR(__xludf.DUMMYFUNCTION("GOOGLETRANSLATE(B3362,""en"",""it"")"),"Windsurfer cavalca le onde lentamente in avanti.")</f>
        <v>Windsurfer cavalca le onde lentamente in avanti.</v>
      </c>
    </row>
    <row r="3363">
      <c r="A3363" s="4" t="s">
        <v>4226</v>
      </c>
      <c r="B3363" s="4" t="s">
        <v>4229</v>
      </c>
      <c r="C3363" s="5" t="str">
        <f>IFERROR(__xludf.DUMMYFUNCTION("GOOGLETRANSLATE(B3363,""en"",""it"")"),"L'uomo cammina davanti alla telecamera.")</f>
        <v>L'uomo cammina davanti alla telecamera.</v>
      </c>
    </row>
    <row r="3364">
      <c r="A3364" s="4" t="s">
        <v>4226</v>
      </c>
      <c r="B3364" s="4" t="s">
        <v>4230</v>
      </c>
      <c r="C3364" s="5" t="str">
        <f>IFERROR(__xludf.DUMMYFUNCTION("GOOGLETRANSLATE(B3364,""en"",""it"")"),"Windsurfer gira rapidamente la vela.")</f>
        <v>Windsurfer gira rapidamente la vela.</v>
      </c>
    </row>
    <row r="3365">
      <c r="A3365" s="4" t="s">
        <v>4226</v>
      </c>
      <c r="B3365" s="4" t="s">
        <v>4231</v>
      </c>
      <c r="C3365" s="5" t="str">
        <f>IFERROR(__xludf.DUMMYFUNCTION("GOOGLETRANSLATE(B3365,""en"",""it"")"),"Windsurfer cade nell'oceano.")</f>
        <v>Windsurfer cade nell'oceano.</v>
      </c>
    </row>
    <row r="3366">
      <c r="A3366" s="4" t="s">
        <v>4232</v>
      </c>
      <c r="B3366" s="4" t="s">
        <v>4233</v>
      </c>
      <c r="C3366" s="5" t="str">
        <f>IFERROR(__xludf.DUMMYFUNCTION("GOOGLETRANSLATE(B3366,""en"",""it"")"),"Le persone sciano giù da un pendio nevoso molto lentamente e con grazia.")</f>
        <v>Le persone sciano giù da un pendio nevoso molto lentamente e con grazia.</v>
      </c>
    </row>
    <row r="3367">
      <c r="A3367" s="4" t="s">
        <v>4232</v>
      </c>
      <c r="B3367" s="4" t="s">
        <v>4234</v>
      </c>
      <c r="C3367" s="5" t="str">
        <f>IFERROR(__xludf.DUMMYFUNCTION("GOOGLETRANSLATE(B3367,""en"",""it"")"),"Un ragazzino si sta chinando cercando di catturare più velocità, è abbastanza bravo a sciare.")</f>
        <v>Un ragazzino si sta chinando cercando di catturare più velocità, è abbastanza bravo a sciare.</v>
      </c>
    </row>
    <row r="3368">
      <c r="A3368" s="4" t="s">
        <v>4232</v>
      </c>
      <c r="B3368" s="4" t="s">
        <v>4235</v>
      </c>
      <c r="C3368" s="5" t="str">
        <f>IFERROR(__xludf.DUMMYFUNCTION("GOOGLETRANSLATE(B3368,""en"",""it"")"),"Continuano molto lentamente prendendo il loro tempo e godono dell'esperienza.")</f>
        <v>Continuano molto lentamente prendendo il loro tempo e godono dell'esperienza.</v>
      </c>
    </row>
    <row r="3369">
      <c r="A3369" s="4" t="s">
        <v>4232</v>
      </c>
      <c r="B3369" s="4" t="s">
        <v>4236</v>
      </c>
      <c r="C3369" s="5" t="str">
        <f>IFERROR(__xludf.DUMMYFUNCTION("GOOGLETRANSLATE(B3369,""en"",""it"")"),"Iniziano a rallentare un po 'quasi di fermarsi, ma poi si respingono e continuano.")</f>
        <v>Iniziano a rallentare un po 'quasi di fermarsi, ma poi si respingono e continuano.</v>
      </c>
    </row>
    <row r="3370">
      <c r="A3370" s="4" t="s">
        <v>4237</v>
      </c>
      <c r="B3370" s="4" t="s">
        <v>4238</v>
      </c>
      <c r="C3370" s="5" t="str">
        <f>IFERROR(__xludf.DUMMYFUNCTION("GOOGLETRANSLATE(B3370,""en"",""it"")"),"Un uomo è in casa, posizionando rapidamente piastrelle di legno su un pavimento mentre la fotocamera gioca estremamente velocemente.")</f>
        <v>Un uomo è in casa, posizionando rapidamente piastrelle di legno su un pavimento mentre la fotocamera gioca estremamente velocemente.</v>
      </c>
    </row>
    <row r="3371">
      <c r="A3371" s="4" t="s">
        <v>4237</v>
      </c>
      <c r="B3371" s="4" t="s">
        <v>4239</v>
      </c>
      <c r="C3371" s="5" t="str">
        <f>IFERROR(__xludf.DUMMYFUNCTION("GOOGLETRANSLATE(B3371,""en"",""it"")"),"Usa un livellatore e un cutter e completa la stanza con malta prima di uscire.")</f>
        <v>Usa un livellatore e un cutter e completa la stanza con malta prima di uscire.</v>
      </c>
    </row>
    <row r="3372">
      <c r="A3372" s="4" t="s">
        <v>4240</v>
      </c>
      <c r="B3372" s="4" t="s">
        <v>4241</v>
      </c>
      <c r="C3372" s="5" t="str">
        <f>IFERROR(__xludf.DUMMYFUNCTION("GOOGLETRANSLATE(B3372,""en"",""it"")"),"Le auto guidano da un cartello sulla strada.")</f>
        <v>Le auto guidano da un cartello sulla strada.</v>
      </c>
    </row>
    <row r="3373">
      <c r="A3373" s="4" t="s">
        <v>4240</v>
      </c>
      <c r="B3373" s="4" t="s">
        <v>4242</v>
      </c>
      <c r="C3373" s="5" t="str">
        <f>IFERROR(__xludf.DUMMYFUNCTION("GOOGLETRANSLATE(B3373,""en"",""it"")"),"Diverse donne sono mostrate attorno a un tavolo che si prepara a lavorare a maglia.")</f>
        <v>Diverse donne sono mostrate attorno a un tavolo che si prepara a lavorare a maglia.</v>
      </c>
    </row>
    <row r="3374">
      <c r="A3374" s="4" t="s">
        <v>4240</v>
      </c>
      <c r="B3374" s="4" t="s">
        <v>4243</v>
      </c>
      <c r="C3374" s="5" t="str">
        <f>IFERROR(__xludf.DUMMYFUNCTION("GOOGLETRANSLATE(B3374,""en"",""it"")"),"Una donna parla alla telecamera in uno stile di intervista.")</f>
        <v>Una donna parla alla telecamera in uno stile di intervista.</v>
      </c>
    </row>
    <row r="3375">
      <c r="A3375" s="4" t="s">
        <v>4240</v>
      </c>
      <c r="B3375" s="4" t="s">
        <v>4244</v>
      </c>
      <c r="C3375" s="5" t="str">
        <f>IFERROR(__xludf.DUMMYFUNCTION("GOOGLETRANSLATE(B3375,""en"",""it"")"),"Le donne intorno al tavolo si impegnano in attività legate al maglia.")</f>
        <v>Le donne intorno al tavolo si impegnano in attività legate al maglia.</v>
      </c>
    </row>
    <row r="3376">
      <c r="A3376" s="4" t="s">
        <v>4240</v>
      </c>
      <c r="B3376" s="4" t="s">
        <v>4245</v>
      </c>
      <c r="C3376" s="5" t="str">
        <f>IFERROR(__xludf.DUMMYFUNCTION("GOOGLETRANSLATE(B3376,""en"",""it"")"),"Un autobus è mostrato parcheggiato fuori dall'edificio.")</f>
        <v>Un autobus è mostrato parcheggiato fuori dall'edificio.</v>
      </c>
    </row>
    <row r="3377">
      <c r="A3377" s="4" t="s">
        <v>4240</v>
      </c>
      <c r="B3377" s="4" t="s">
        <v>4246</v>
      </c>
      <c r="C3377" s="5" t="str">
        <f>IFERROR(__xludf.DUMMYFUNCTION("GOOGLETRANSLATE(B3377,""en"",""it"")"),"La donna della scena dell'intervista parla di nuovo alla telecamera.")</f>
        <v>La donna della scena dell'intervista parla di nuovo alla telecamera.</v>
      </c>
    </row>
    <row r="3378">
      <c r="A3378" s="4" t="s">
        <v>4240</v>
      </c>
      <c r="B3378" s="4" t="s">
        <v>4247</v>
      </c>
      <c r="C3378" s="5" t="str">
        <f>IFERROR(__xludf.DUMMYFUNCTION("GOOGLETRANSLATE(B3378,""en"",""it"")"),"Le donne al tavolo sono mostrate a maglia.")</f>
        <v>Le donne al tavolo sono mostrate a maglia.</v>
      </c>
    </row>
    <row r="3379">
      <c r="A3379" s="4" t="s">
        <v>4240</v>
      </c>
      <c r="B3379" s="4" t="s">
        <v>4248</v>
      </c>
      <c r="C3379" s="5" t="str">
        <f>IFERROR(__xludf.DUMMYFUNCTION("GOOGLETRANSLATE(B3379,""en"",""it"")"),"Vengono mostrati diversi scatti esterni del locale dell'edificio.")</f>
        <v>Vengono mostrati diversi scatti esterni del locale dell'edificio.</v>
      </c>
    </row>
    <row r="3380">
      <c r="A3380" s="4" t="s">
        <v>4240</v>
      </c>
      <c r="B3380" s="4" t="s">
        <v>4249</v>
      </c>
      <c r="C3380" s="5" t="str">
        <f>IFERROR(__xludf.DUMMYFUNCTION("GOOGLETRANSLATE(B3380,""en"",""it"")"),"Le donne al tavolo vengono mostrate di nuovo a maglia.")</f>
        <v>Le donne al tavolo vengono mostrate di nuovo a maglia.</v>
      </c>
    </row>
    <row r="3381">
      <c r="A3381" s="4" t="s">
        <v>4250</v>
      </c>
      <c r="B3381" s="4" t="s">
        <v>4251</v>
      </c>
      <c r="C3381" s="5" t="str">
        <f>IFERROR(__xludf.DUMMYFUNCTION("GOOGLETRANSLATE(B3381,""en"",""it"")"),"Una persona viene vista asciugare la faccia di un bambino con uno straccio mentre il bambino si attacca è la lingua.")</f>
        <v>Una persona viene vista asciugare la faccia di un bambino con uno straccio mentre il bambino si attacca è la lingua.</v>
      </c>
    </row>
    <row r="3382">
      <c r="A3382" s="4" t="s">
        <v>4250</v>
      </c>
      <c r="B3382" s="4" t="s">
        <v>4252</v>
      </c>
      <c r="C3382" s="5" t="str">
        <f>IFERROR(__xludf.DUMMYFUNCTION("GOOGLETRANSLATE(B3382,""en"",""it"")"),"La donna continua a pulire il bambino e viene mostrata sorridendo alla telecamera e saluta.")</f>
        <v>La donna continua a pulire il bambino e viene mostrata sorridendo alla telecamera e saluta.</v>
      </c>
    </row>
    <row r="3383">
      <c r="A3383" s="4" t="s">
        <v>4253</v>
      </c>
      <c r="B3383" s="4" t="s">
        <v>4254</v>
      </c>
      <c r="C3383" s="5" t="str">
        <f>IFERROR(__xludf.DUMMYFUNCTION("GOOGLETRANSLATE(B3383,""en"",""it"")"),"Due uomini sono visti suonare le forbici di carta rocciosa tra loro e colpire la persona che perde.")</f>
        <v>Due uomini sono visti suonare le forbici di carta rocciosa tra loro e colpire la persona che perde.</v>
      </c>
    </row>
    <row r="3384">
      <c r="A3384" s="4" t="s">
        <v>4253</v>
      </c>
      <c r="B3384" s="6" t="s">
        <v>4255</v>
      </c>
      <c r="C3384" s="5" t="str">
        <f>IFERROR(__xludf.DUMMYFUNCTION("GOOGLETRANSLATE(B3384,""en"",""it"")"),"Gli uomini continuano a giocare a questo gioco e quarto e si strofinano a vicenda mentre altri guardano.")</f>
        <v>Gli uomini continuano a giocare a questo gioco e quarto e si strofinano a vicenda mentre altri guardano.</v>
      </c>
    </row>
    <row r="3385">
      <c r="A3385" s="4" t="s">
        <v>4256</v>
      </c>
      <c r="B3385" s="4" t="s">
        <v>4257</v>
      </c>
      <c r="C3385" s="5" t="str">
        <f>IFERROR(__xludf.DUMMYFUNCTION("GOOGLETRANSLATE(B3385,""en"",""it"")"),"Un atleta esegue un tiro a martello da parte di una palla pesante più volte con il suo corpo.")</f>
        <v>Un atleta esegue un tiro a martello da parte di una palla pesante più volte con il suo corpo.</v>
      </c>
    </row>
    <row r="3386">
      <c r="A3386" s="4" t="s">
        <v>4256</v>
      </c>
      <c r="B3386" s="4" t="s">
        <v>4258</v>
      </c>
      <c r="C3386" s="5" t="str">
        <f>IFERROR(__xludf.DUMMYFUNCTION("GOOGLETRANSLATE(B3386,""en"",""it"")"),"Quindi, l'atleta lancia la palla in campo.")</f>
        <v>Quindi, l'atleta lancia la palla in campo.</v>
      </c>
    </row>
    <row r="3387">
      <c r="A3387" s="4" t="s">
        <v>4259</v>
      </c>
      <c r="B3387" s="4" t="s">
        <v>4260</v>
      </c>
      <c r="C3387" s="5" t="str">
        <f>IFERROR(__xludf.DUMMYFUNCTION("GOOGLETRANSLATE(B3387,""en"",""it"")"),"Una donna è seduta su una sedia a parlare.")</f>
        <v>Una donna è seduta su una sedia a parlare.</v>
      </c>
    </row>
    <row r="3388">
      <c r="A3388" s="4" t="s">
        <v>4259</v>
      </c>
      <c r="B3388" s="4" t="s">
        <v>4261</v>
      </c>
      <c r="C3388" s="5" t="str">
        <f>IFERROR(__xludf.DUMMYFUNCTION("GOOGLETRANSLATE(B3388,""en"",""it"")"),"Una mano di persone suona le forbici di carta rocciosa con un robot.")</f>
        <v>Una mano di persone suona le forbici di carta rocciosa con un robot.</v>
      </c>
    </row>
    <row r="3389">
      <c r="A3389" s="4" t="s">
        <v>4259</v>
      </c>
      <c r="B3389" s="4" t="s">
        <v>4262</v>
      </c>
      <c r="C3389" s="5" t="str">
        <f>IFERROR(__xludf.DUMMYFUNCTION("GOOGLETRANSLATE(B3389,""en"",""it"")"),"Un uomo con una camicia bianca sta parlando con la donna.")</f>
        <v>Un uomo con una camicia bianca sta parlando con la donna.</v>
      </c>
    </row>
    <row r="3390">
      <c r="A3390" s="4" t="s">
        <v>4263</v>
      </c>
      <c r="B3390" s="4" t="s">
        <v>4264</v>
      </c>
      <c r="C3390" s="5" t="str">
        <f>IFERROR(__xludf.DUMMYFUNCTION("GOOGLETRANSLATE(B3390,""en"",""it"")"),"Un gruppo di persone è vestito con attrezzatura da sci, cavalcando in un ascensore.")</f>
        <v>Un gruppo di persone è vestito con attrezzatura da sci, cavalcando in un ascensore.</v>
      </c>
    </row>
    <row r="3391">
      <c r="A3391" s="4" t="s">
        <v>4263</v>
      </c>
      <c r="B3391" s="4" t="s">
        <v>4265</v>
      </c>
      <c r="C3391" s="5" t="str">
        <f>IFERROR(__xludf.DUMMYFUNCTION("GOOGLETRANSLATE(B3391,""en"",""it"")"),"Si vedono scendere in collina, sciare e gettare la neve in aria.")</f>
        <v>Si vedono scendere in collina, sciare e gettare la neve in aria.</v>
      </c>
    </row>
    <row r="3392">
      <c r="A3392" s="4" t="s">
        <v>4266</v>
      </c>
      <c r="B3392" s="6" t="s">
        <v>4267</v>
      </c>
      <c r="C3392" s="5" t="str">
        <f>IFERROR(__xludf.DUMMYFUNCTION("GOOGLETRANSLATE(B3392,""en"",""it"")"),"Una competizione di danza del 2011 in Israele è mostrata con una donna in un assolo di danza del ventre d'oro con luci al neon dietro di lei.")</f>
        <v>Una competizione di danza del 2011 in Israele è mostrata con una donna in un assolo di danza del ventre d'oro con luci al neon dietro di lei.</v>
      </c>
    </row>
    <row r="3393">
      <c r="A3393" s="4" t="s">
        <v>4266</v>
      </c>
      <c r="B3393" s="4" t="s">
        <v>4268</v>
      </c>
      <c r="C3393" s="5" t="str">
        <f>IFERROR(__xludf.DUMMYFUNCTION("GOOGLETRANSLATE(B3393,""en"",""it"")"),"Lei gira le spalle al pubblico per mostrare diverse angolazioni delle sue mosse.")</f>
        <v>Lei gira le spalle al pubblico per mostrare diverse angolazioni delle sue mosse.</v>
      </c>
    </row>
    <row r="3394">
      <c r="A3394" s="4" t="s">
        <v>4266</v>
      </c>
      <c r="B3394" s="4" t="s">
        <v>4269</v>
      </c>
      <c r="C3394" s="5" t="str">
        <f>IFERROR(__xludf.DUMMYFUNCTION("GOOGLETRANSLATE(B3394,""en"",""it"")"),"Alla fine, crolla abilmente sul pavimento alla fine della canzone.")</f>
        <v>Alla fine, crolla abilmente sul pavimento alla fine della canzone.</v>
      </c>
    </row>
    <row r="3395">
      <c r="A3395" s="4" t="s">
        <v>4270</v>
      </c>
      <c r="B3395" s="4" t="s">
        <v>4271</v>
      </c>
      <c r="C3395" s="5" t="str">
        <f>IFERROR(__xludf.DUMMYFUNCTION("GOOGLETRANSLATE(B3395,""en"",""it"")"),"Un ragazzo è in piedi dietro un bancone.")</f>
        <v>Un ragazzo è in piedi dietro un bancone.</v>
      </c>
    </row>
    <row r="3396">
      <c r="A3396" s="4" t="s">
        <v>4270</v>
      </c>
      <c r="B3396" s="4" t="s">
        <v>4272</v>
      </c>
      <c r="C3396" s="5" t="str">
        <f>IFERROR(__xludf.DUMMYFUNCTION("GOOGLETRANSLATE(B3396,""en"",""it"")"),"Sta lanciando freccette contro un muro.")</f>
        <v>Sta lanciando freccette contro un muro.</v>
      </c>
    </row>
    <row r="3397">
      <c r="A3397" s="4" t="s">
        <v>4270</v>
      </c>
      <c r="B3397" s="4" t="s">
        <v>4273</v>
      </c>
      <c r="C3397" s="5" t="str">
        <f>IFERROR(__xludf.DUMMYFUNCTION("GOOGLETRANSLATE(B3397,""en"",""it"")"),"Una donna è in piedi accanto a lui.")</f>
        <v>Una donna è in piedi accanto a lui.</v>
      </c>
    </row>
    <row r="3398">
      <c r="A3398" s="4" t="s">
        <v>4274</v>
      </c>
      <c r="B3398" s="6" t="s">
        <v>4275</v>
      </c>
      <c r="C3398" s="5" t="str">
        <f>IFERROR(__xludf.DUMMYFUNCTION("GOOGLETRANSLATE(B3398,""en"",""it"")"),"La bambina che indossa un maglione arcobaleno viene mostrata seduta sulla sabbia facendo un'enorme collina di sabbia.")</f>
        <v>La bambina che indossa un maglione arcobaleno viene mostrata seduta sulla sabbia facendo un'enorme collina di sabbia.</v>
      </c>
    </row>
    <row r="3399">
      <c r="A3399" s="4" t="s">
        <v>4274</v>
      </c>
      <c r="B3399" s="4" t="s">
        <v>4276</v>
      </c>
      <c r="C3399" s="5" t="str">
        <f>IFERROR(__xludf.DUMMYFUNCTION("GOOGLETRANSLATE(B3399,""en"",""it"")"),"Successivamente alza lo sguardo e dice qualcosa.")</f>
        <v>Successivamente alza lo sguardo e dice qualcosa.</v>
      </c>
    </row>
    <row r="3400">
      <c r="A3400" s="4" t="s">
        <v>4274</v>
      </c>
      <c r="B3400" s="4" t="s">
        <v>4277</v>
      </c>
      <c r="C3400" s="5" t="str">
        <f>IFERROR(__xludf.DUMMYFUNCTION("GOOGLETRANSLATE(B3400,""en"",""it"")"),"Quindi continua ad aggiungere più sabbia alla collina.")</f>
        <v>Quindi continua ad aggiungere più sabbia alla collina.</v>
      </c>
    </row>
    <row r="3401">
      <c r="A3401" s="4" t="s">
        <v>4274</v>
      </c>
      <c r="B3401" s="4" t="s">
        <v>4278</v>
      </c>
      <c r="C3401" s="5" t="str">
        <f>IFERROR(__xludf.DUMMYFUNCTION("GOOGLETRANSLATE(B3401,""en"",""it"")"),"Poi un bambino si unisce a lei e tocca la collina, ma se ne va.")</f>
        <v>Poi un bambino si unisce a lei e tocca la collina, ma se ne va.</v>
      </c>
    </row>
    <row r="3402">
      <c r="A3402" s="4" t="s">
        <v>4274</v>
      </c>
      <c r="B3402" s="4" t="s">
        <v>4279</v>
      </c>
      <c r="C3402" s="5" t="str">
        <f>IFERROR(__xludf.DUMMYFUNCTION("GOOGLETRANSLATE(B3402,""en"",""it"")"),"Quindi torna di nuovo per puntare sulla collina.")</f>
        <v>Quindi torna di nuovo per puntare sulla collina.</v>
      </c>
    </row>
    <row r="3403">
      <c r="A3403" s="4" t="s">
        <v>4280</v>
      </c>
      <c r="B3403" s="4" t="s">
        <v>4281</v>
      </c>
      <c r="C3403" s="5" t="str">
        <f>IFERROR(__xludf.DUMMYFUNCTION("GOOGLETRANSLATE(B3403,""en"",""it"")"),"Viene vista una donna parlare alla telecamera mentre passa ai colpi del suo cane.")</f>
        <v>Viene vista una donna parlare alla telecamera mentre passa ai colpi del suo cane.</v>
      </c>
    </row>
    <row r="3404">
      <c r="A3404" s="4" t="s">
        <v>4280</v>
      </c>
      <c r="B3404" s="4" t="s">
        <v>4282</v>
      </c>
      <c r="C3404" s="5" t="str">
        <f>IFERROR(__xludf.DUMMYFUNCTION("GOOGLETRANSLATE(B3404,""en"",""it"")"),"La ragazza è vista lavarsi i cani, anciaturare e tagliare la pelliccia.")</f>
        <v>La ragazza è vista lavarsi i cani, anciaturare e tagliare la pelliccia.</v>
      </c>
    </row>
    <row r="3405">
      <c r="A3405" s="4" t="s">
        <v>4280</v>
      </c>
      <c r="B3405" s="4" t="s">
        <v>4283</v>
      </c>
      <c r="C3405" s="5" t="str">
        <f>IFERROR(__xludf.DUMMYFUNCTION("GOOGLETRANSLATE(B3405,""en"",""it"")"),"Continua a parlare mentre mostra i suoi cani puliti e altri che camminano sul lato.")</f>
        <v>Continua a parlare mentre mostra i suoi cani puliti e altri che camminano sul lato.</v>
      </c>
    </row>
    <row r="3406">
      <c r="A3406" s="4" t="s">
        <v>4284</v>
      </c>
      <c r="B3406" s="4" t="s">
        <v>4285</v>
      </c>
      <c r="C3406" s="5" t="str">
        <f>IFERROR(__xludf.DUMMYFUNCTION("GOOGLETRANSLATE(B3406,""en"",""it"")"),"Un uomo sta scivolando dietro una barca su un lago.")</f>
        <v>Un uomo sta scivolando dietro una barca su un lago.</v>
      </c>
    </row>
    <row r="3407">
      <c r="A3407" s="4" t="s">
        <v>4284</v>
      </c>
      <c r="B3407" s="4" t="s">
        <v>4286</v>
      </c>
      <c r="C3407" s="5" t="str">
        <f>IFERROR(__xludf.DUMMYFUNCTION("GOOGLETRANSLATE(B3407,""en"",""it"")"),"Alcune persone si presentano sullo schermo che stanno guardando e registrando.")</f>
        <v>Alcune persone si presentano sullo schermo che stanno guardando e registrando.</v>
      </c>
    </row>
    <row r="3408">
      <c r="A3408" s="4" t="s">
        <v>4284</v>
      </c>
      <c r="B3408" s="4" t="s">
        <v>4287</v>
      </c>
      <c r="C3408" s="5" t="str">
        <f>IFERROR(__xludf.DUMMYFUNCTION("GOOGLETRANSLATE(B3408,""en"",""it"")"),"Lo sciatore d'acqua cerca di capovolgere e finisce per schiantarsi nell'acqua.")</f>
        <v>Lo sciatore d'acqua cerca di capovolgere e finisce per schiantarsi nell'acqua.</v>
      </c>
    </row>
    <row r="3409">
      <c r="A3409" s="4" t="s">
        <v>4288</v>
      </c>
      <c r="B3409" s="4" t="s">
        <v>4289</v>
      </c>
      <c r="C3409" s="5" t="str">
        <f>IFERROR(__xludf.DUMMYFUNCTION("GOOGLETRANSLATE(B3409,""en"",""it"")"),"Una pagina blu con scrittura bianca spiega che il video parla di come avvolgere un regalo.")</f>
        <v>Una pagina blu con scrittura bianca spiega che il video parla di come avvolgere un regalo.</v>
      </c>
    </row>
    <row r="3410">
      <c r="A3410" s="4" t="s">
        <v>4288</v>
      </c>
      <c r="B3410" s="4" t="s">
        <v>4290</v>
      </c>
      <c r="C3410" s="5" t="str">
        <f>IFERROR(__xludf.DUMMYFUNCTION("GOOGLETRANSLATE(B3410,""en"",""it"")"),"Vengono mostrati le forbici e i diversi tipi di nastro, nonché un rotolo di carta da avvolgimento.")</f>
        <v>Vengono mostrati le forbici e i diversi tipi di nastro, nonché un rotolo di carta da avvolgimento.</v>
      </c>
    </row>
    <row r="3411">
      <c r="A3411" s="4" t="s">
        <v>4288</v>
      </c>
      <c r="B3411" s="4" t="s">
        <v>4291</v>
      </c>
      <c r="C3411" s="5" t="str">
        <f>IFERROR(__xludf.DUMMYFUNCTION("GOOGLETRANSLATE(B3411,""en"",""it"")"),"Una donna è sul pavimento con una scatola.")</f>
        <v>Una donna è sul pavimento con una scatola.</v>
      </c>
    </row>
    <row r="3412">
      <c r="A3412" s="4" t="s">
        <v>4288</v>
      </c>
      <c r="B3412" s="4" t="s">
        <v>4292</v>
      </c>
      <c r="C3412" s="5" t="str">
        <f>IFERROR(__xludf.DUMMYFUNCTION("GOOGLETRANSLATE(B3412,""en"",""it"")"),"Dimostra come tagliare e piegare la carta attorno al presente.")</f>
        <v>Dimostra come tagliare e piegare la carta attorno al presente.</v>
      </c>
    </row>
    <row r="3413">
      <c r="A3413" s="4" t="s">
        <v>4288</v>
      </c>
      <c r="B3413" s="4" t="s">
        <v>4293</v>
      </c>
      <c r="C3413" s="5" t="str">
        <f>IFERROR(__xludf.DUMMYFUNCTION("GOOGLETRANSLATE(B3413,""en"",""it"")"),"Lei registra il presente.")</f>
        <v>Lei registra il presente.</v>
      </c>
    </row>
    <row r="3414">
      <c r="A3414" s="4" t="s">
        <v>4288</v>
      </c>
      <c r="B3414" s="4" t="s">
        <v>4294</v>
      </c>
      <c r="C3414" s="5" t="str">
        <f>IFERROR(__xludf.DUMMYFUNCTION("GOOGLETRANSLATE(B3414,""en"",""it"")"),"Quindi mette un fiocco traslucido sul regalo.")</f>
        <v>Quindi mette un fiocco traslucido sul regalo.</v>
      </c>
    </row>
    <row r="3415">
      <c r="A3415" s="4" t="s">
        <v>4295</v>
      </c>
      <c r="B3415" s="4" t="s">
        <v>4296</v>
      </c>
      <c r="C3415" s="5" t="str">
        <f>IFERROR(__xludf.DUMMYFUNCTION("GOOGLETRANSLATE(B3415,""en"",""it"")"),"Gli uomini si comportano sciocchi in un bagno.")</f>
        <v>Gli uomini si comportano sciocchi in un bagno.</v>
      </c>
    </row>
    <row r="3416">
      <c r="A3416" s="4" t="s">
        <v>4295</v>
      </c>
      <c r="B3416" s="4" t="s">
        <v>4297</v>
      </c>
      <c r="C3416" s="5" t="str">
        <f>IFERROR(__xludf.DUMMYFUNCTION("GOOGLETRANSLATE(B3416,""en"",""it"")"),"Un uomo mostra le gambe alla telecamera.")</f>
        <v>Un uomo mostra le gambe alla telecamera.</v>
      </c>
    </row>
    <row r="3417">
      <c r="A3417" s="4" t="s">
        <v>4295</v>
      </c>
      <c r="B3417" s="4" t="s">
        <v>4298</v>
      </c>
      <c r="C3417" s="5" t="str">
        <f>IFERROR(__xludf.DUMMYFUNCTION("GOOGLETRANSLATE(B3417,""en"",""it"")"),"Due uomini ballano e si radono le gambe vicino al lavandino.")</f>
        <v>Due uomini ballano e si radono le gambe vicino al lavandino.</v>
      </c>
    </row>
    <row r="3418">
      <c r="A3418" s="4" t="s">
        <v>4295</v>
      </c>
      <c r="B3418" s="4" t="s">
        <v>4299</v>
      </c>
      <c r="C3418" s="5" t="str">
        <f>IFERROR(__xludf.DUMMYFUNCTION("GOOGLETRANSLATE(B3418,""en"",""it"")"),"Un altro uomo si unisce agli uomini vicino al lavandino per aiutare con la rasatura.")</f>
        <v>Un altro uomo si unisce agli uomini vicino al lavandino per aiutare con la rasatura.</v>
      </c>
    </row>
    <row r="3419">
      <c r="A3419" s="4" t="s">
        <v>4300</v>
      </c>
      <c r="B3419" s="4" t="s">
        <v>4301</v>
      </c>
      <c r="C3419" s="5" t="str">
        <f>IFERROR(__xludf.DUMMYFUNCTION("GOOGLETRANSLATE(B3419,""en"",""it"")"),"Un uomo cammina su un campo di fronte al suo cane.")</f>
        <v>Un uomo cammina su un campo di fronte al suo cane.</v>
      </c>
    </row>
    <row r="3420">
      <c r="A3420" s="4" t="s">
        <v>4300</v>
      </c>
      <c r="B3420" s="4" t="s">
        <v>4302</v>
      </c>
      <c r="C3420" s="5" t="str">
        <f>IFERROR(__xludf.DUMMYFUNCTION("GOOGLETRANSLATE(B3420,""en"",""it"")"),"Lancia un frisbee e il cane lo cattura.")</f>
        <v>Lancia un frisbee e il cane lo cattura.</v>
      </c>
    </row>
    <row r="3421">
      <c r="A3421" s="4" t="s">
        <v>4300</v>
      </c>
      <c r="B3421" s="4" t="s">
        <v>4303</v>
      </c>
      <c r="C3421" s="5" t="str">
        <f>IFERROR(__xludf.DUMMYFUNCTION("GOOGLETRANSLATE(B3421,""en"",""it"")"),"Fa diversi trucchi con i frisbee e il cane.")</f>
        <v>Fa diversi trucchi con i frisbee e il cane.</v>
      </c>
    </row>
    <row r="3422">
      <c r="A3422" s="4" t="s">
        <v>4304</v>
      </c>
      <c r="B3422" s="4" t="s">
        <v>4305</v>
      </c>
      <c r="C3422" s="5" t="str">
        <f>IFERROR(__xludf.DUMMYFUNCTION("GOOGLETRANSLATE(B3422,""en"",""it"")"),"Una donna viene vista oscillare un'ascia su un tronco mentre un altro uomo guarda sul lato.")</f>
        <v>Una donna viene vista oscillare un'ascia su un tronco mentre un altro uomo guarda sul lato.</v>
      </c>
    </row>
    <row r="3423">
      <c r="A3423" s="4" t="s">
        <v>4304</v>
      </c>
      <c r="B3423" s="4" t="s">
        <v>4306</v>
      </c>
      <c r="C3423" s="5" t="str">
        <f>IFERROR(__xludf.DUMMYFUNCTION("GOOGLETRANSLATE(B3423,""en"",""it"")"),"Un'altra donna si toglie il tronco e la ragazza si prepara a oscillare.")</f>
        <v>Un'altra donna si toglie il tronco e la ragazza si prepara a oscillare.</v>
      </c>
    </row>
    <row r="3424">
      <c r="A3424" s="4" t="s">
        <v>4304</v>
      </c>
      <c r="B3424" s="4" t="s">
        <v>4307</v>
      </c>
      <c r="C3424" s="5" t="str">
        <f>IFERROR(__xludf.DUMMYFUNCTION("GOOGLETRANSLATE(B3424,""en"",""it"")"),"Oscilla di nuovo l'ascia e guarda indietro sorridendo alla telecamera.")</f>
        <v>Oscilla di nuovo l'ascia e guarda indietro sorridendo alla telecamera.</v>
      </c>
    </row>
    <row r="3425">
      <c r="A3425" s="4" t="s">
        <v>4308</v>
      </c>
      <c r="B3425" s="4" t="s">
        <v>4309</v>
      </c>
      <c r="C3425" s="5" t="str">
        <f>IFERROR(__xludf.DUMMYFUNCTION("GOOGLETRANSLATE(B3425,""en"",""it"")"),"Una persona è in piedi dietro un bancone che mette il cibo su un vassoio.")</f>
        <v>Una persona è in piedi dietro un bancone che mette il cibo su un vassoio.</v>
      </c>
    </row>
    <row r="3426">
      <c r="A3426" s="4" t="s">
        <v>4308</v>
      </c>
      <c r="B3426" s="4" t="s">
        <v>4310</v>
      </c>
      <c r="C3426" s="5" t="str">
        <f>IFERROR(__xludf.DUMMYFUNCTION("GOOGLETRANSLATE(B3426,""en"",""it"")"),"Mettono il vassoio in un forno.")</f>
        <v>Mettono il vassoio in un forno.</v>
      </c>
    </row>
    <row r="3427">
      <c r="A3427" s="4" t="s">
        <v>4308</v>
      </c>
      <c r="B3427" s="4" t="s">
        <v>4311</v>
      </c>
      <c r="C3427" s="5" t="str">
        <f>IFERROR(__xludf.DUMMYFUNCTION("GOOGLETRANSLATE(B3427,""en"",""it"")"),"Portano il vassoio dal forno e sollevano i biscotti su un piatto.")</f>
        <v>Portano il vassoio dal forno e sollevano i biscotti su un piatto.</v>
      </c>
    </row>
    <row r="3428">
      <c r="A3428" s="4" t="s">
        <v>4308</v>
      </c>
      <c r="B3428" s="4" t="s">
        <v>4312</v>
      </c>
      <c r="C3428" s="5" t="str">
        <f>IFERROR(__xludf.DUMMYFUNCTION("GOOGLETRANSLATE(B3428,""en"",""it"")"),"Lavano il tappetino nel lavandino.")</f>
        <v>Lavano il tappetino nel lavandino.</v>
      </c>
    </row>
    <row r="3429">
      <c r="A3429" s="4" t="s">
        <v>4313</v>
      </c>
      <c r="B3429" s="4" t="s">
        <v>4314</v>
      </c>
      <c r="C3429" s="5" t="str">
        <f>IFERROR(__xludf.DUMMYFUNCTION("GOOGLETRANSLATE(B3429,""en"",""it"")"),"Vediamo una mano da donna su una rivista.")</f>
        <v>Vediamo una mano da donna su una rivista.</v>
      </c>
    </row>
    <row r="3430">
      <c r="A3430" s="4" t="s">
        <v>4313</v>
      </c>
      <c r="B3430" s="4" t="s">
        <v>4315</v>
      </c>
      <c r="C3430" s="5" t="str">
        <f>IFERROR(__xludf.DUMMYFUNCTION("GOOGLETRANSLATE(B3430,""en"",""it"")"),"La signora taglia le fette di un articolo.")</f>
        <v>La signora taglia le fette di un articolo.</v>
      </c>
    </row>
    <row r="3431">
      <c r="A3431" s="4" t="s">
        <v>4313</v>
      </c>
      <c r="B3431" s="6" t="s">
        <v>4316</v>
      </c>
      <c r="C3431" s="5" t="str">
        <f>IFERROR(__xludf.DUMMYFUNCTION("GOOGLETRANSLATE(B3431,""en"",""it"")"),"Mette la carta in acqua e si sdraia poi sulle sue unghie bianche, si stacca la carta e le lettere si attaccano.")</f>
        <v>Mette la carta in acqua e si sdraia poi sulle sue unghie bianche, si stacca la carta e le lettere si attaccano.</v>
      </c>
    </row>
    <row r="3432">
      <c r="A3432" s="4" t="s">
        <v>4313</v>
      </c>
      <c r="B3432" s="4" t="s">
        <v>4317</v>
      </c>
      <c r="C3432" s="5" t="str">
        <f>IFERROR(__xludf.DUMMYFUNCTION("GOOGLETRANSLATE(B3432,""en"",""it"")"),"La signora mette lo smalto chiaro sulle unghie.")</f>
        <v>La signora mette lo smalto chiaro sulle unghie.</v>
      </c>
    </row>
    <row r="3433">
      <c r="A3433" s="4" t="s">
        <v>4313</v>
      </c>
      <c r="B3433" s="4" t="s">
        <v>4318</v>
      </c>
      <c r="C3433" s="5" t="str">
        <f>IFERROR(__xludf.DUMMYFUNCTION("GOOGLETRANSLATE(B3433,""en"",""it"")"),"La signora attacca strass alle unghie.")</f>
        <v>La signora attacca strass alle unghie.</v>
      </c>
    </row>
    <row r="3434">
      <c r="A3434" s="4" t="s">
        <v>4313</v>
      </c>
      <c r="B3434" s="4" t="s">
        <v>4319</v>
      </c>
      <c r="C3434" s="5" t="str">
        <f>IFERROR(__xludf.DUMMYFUNCTION("GOOGLETRANSLATE(B3434,""en"",""it"")"),"La signora mette lo smalto chiaro sopra le unghie decorate.")</f>
        <v>La signora mette lo smalto chiaro sopra le unghie decorate.</v>
      </c>
    </row>
    <row r="3435">
      <c r="A3435" s="4" t="s">
        <v>4313</v>
      </c>
      <c r="B3435" s="4" t="s">
        <v>4320</v>
      </c>
      <c r="C3435" s="5" t="str">
        <f>IFERROR(__xludf.DUMMYFUNCTION("GOOGLETRANSLATE(B3435,""en"",""it"")"),"Vediamo le pagine che girano la signora sulla rivista.")</f>
        <v>Vediamo le pagine che girano la signora sulla rivista.</v>
      </c>
    </row>
    <row r="3436">
      <c r="A3436" s="4" t="s">
        <v>4313</v>
      </c>
      <c r="B3436" s="4" t="s">
        <v>4321</v>
      </c>
      <c r="C3436" s="5" t="str">
        <f>IFERROR(__xludf.DUMMYFUNCTION("GOOGLETRANSLATE(B3436,""en"",""it"")"),"Vediamo lo schermo di fine bianco.")</f>
        <v>Vediamo lo schermo di fine bianco.</v>
      </c>
    </row>
    <row r="3437">
      <c r="A3437" s="4" t="s">
        <v>4322</v>
      </c>
      <c r="B3437" s="4" t="s">
        <v>4323</v>
      </c>
      <c r="C3437" s="5" t="str">
        <f>IFERROR(__xludf.DUMMYFUNCTION("GOOGLETRANSLATE(B3437,""en"",""it"")"),"Le persone stanno scivolando giù per il ghiaccio.")</f>
        <v>Le persone stanno scivolando giù per il ghiaccio.</v>
      </c>
    </row>
    <row r="3438">
      <c r="A3438" s="4" t="s">
        <v>4322</v>
      </c>
      <c r="B3438" s="4" t="s">
        <v>4324</v>
      </c>
      <c r="C3438" s="5" t="str">
        <f>IFERROR(__xludf.DUMMYFUNCTION("GOOGLETRANSLATE(B3438,""en"",""it"")"),"Stanno tenendo un bastoncino di curling e una palla.")</f>
        <v>Stanno tenendo un bastoncino di curling e una palla.</v>
      </c>
    </row>
    <row r="3439">
      <c r="A3439" s="4" t="s">
        <v>4322</v>
      </c>
      <c r="B3439" s="4" t="s">
        <v>4325</v>
      </c>
      <c r="C3439" s="5" t="str">
        <f>IFERROR(__xludf.DUMMYFUNCTION("GOOGLETRANSLATE(B3439,""en"",""it"")"),"Due uomini in camicie bianche corrono accanto alla persona che scivola.")</f>
        <v>Due uomini in camicie bianche corrono accanto alla persona che scivola.</v>
      </c>
    </row>
    <row r="3440">
      <c r="A3440" s="4" t="s">
        <v>4326</v>
      </c>
      <c r="B3440" s="6" t="s">
        <v>4327</v>
      </c>
      <c r="C3440" s="5" t="str">
        <f>IFERROR(__xludf.DUMMYFUNCTION("GOOGLETRANSLATE(B3440,""en"",""it"")"),"Viene visto un uomo parlare alla telecamera seguita da lui che getta diversi ingredienti e li fa bollire in un po 'di acqua.")</f>
        <v>Viene visto un uomo parlare alla telecamera seguita da lui che getta diversi ingredienti e li fa bollire in un po 'di acqua.</v>
      </c>
    </row>
    <row r="3441">
      <c r="A3441" s="4" t="s">
        <v>4326</v>
      </c>
      <c r="B3441" s="4" t="s">
        <v>4328</v>
      </c>
      <c r="C3441" s="5" t="str">
        <f>IFERROR(__xludf.DUMMYFUNCTION("GOOGLETRANSLATE(B3441,""en"",""it"")"),"Quindi versa più alimenti sott'acqua e in una pentola piena d'acqua.")</f>
        <v>Quindi versa più alimenti sott'acqua e in una pentola piena d'acqua.</v>
      </c>
    </row>
    <row r="3442">
      <c r="A3442" s="4" t="s">
        <v>4329</v>
      </c>
      <c r="B3442" s="4" t="s">
        <v>4330</v>
      </c>
      <c r="C3442" s="5" t="str">
        <f>IFERROR(__xludf.DUMMYFUNCTION("GOOGLETRANSLATE(B3442,""en"",""it"")"),"Un folto gruppo di persone è visto in piedi su un tappetino e eseguendo una routine tra loro.")</f>
        <v>Un folto gruppo di persone è visto in piedi su un tappetino e eseguendo una routine tra loro.</v>
      </c>
    </row>
    <row r="3443">
      <c r="A3443" s="4" t="s">
        <v>4329</v>
      </c>
      <c r="B3443" s="6" t="s">
        <v>4331</v>
      </c>
      <c r="C3443" s="5" t="str">
        <f>IFERROR(__xludf.DUMMYFUNCTION("GOOGLETRANSLATE(B3443,""en"",""it"")"),"Le persone fanno vari capovolgimenti e trucchi attorno al tappeto e finiscono con una posa e salutando il pubblico.")</f>
        <v>Le persone fanno vari capovolgimenti e trucchi attorno al tappeto e finiscono con una posa e salutando il pubblico.</v>
      </c>
    </row>
    <row r="3444">
      <c r="A3444" s="4" t="s">
        <v>4332</v>
      </c>
      <c r="B3444" s="4" t="s">
        <v>4333</v>
      </c>
      <c r="C3444" s="5" t="str">
        <f>IFERROR(__xludf.DUMMYFUNCTION("GOOGLETRANSLATE(B3444,""en"",""it"")"),"Viene mostrato un primo piano di un soffiatore di foglie seguito dalla fotocamera che si guarda intorno nell'area.")</f>
        <v>Viene mostrato un primo piano di un soffiatore di foglie seguito dalla fotocamera che si guarda intorno nell'area.</v>
      </c>
    </row>
    <row r="3445">
      <c r="A3445" s="4" t="s">
        <v>4332</v>
      </c>
      <c r="B3445" s="4" t="s">
        <v>4334</v>
      </c>
      <c r="C3445" s="5" t="str">
        <f>IFERROR(__xludf.DUMMYFUNCTION("GOOGLETRANSLATE(B3445,""en"",""it"")"),"Viene quindi vista una mano che inizia la macchina e spinge la macchina attorno al cortile.")</f>
        <v>Viene quindi vista una mano che inizia la macchina e spinge la macchina attorno al cortile.</v>
      </c>
    </row>
    <row r="3446">
      <c r="A3446" s="4" t="s">
        <v>4332</v>
      </c>
      <c r="B3446" s="6" t="s">
        <v>4335</v>
      </c>
      <c r="C3446" s="5" t="str">
        <f>IFERROR(__xludf.DUMMYFUNCTION("GOOGLETRANSLATE(B3446,""en"",""it"")"),"L'uomo spegne la macchina e si guarda intorno alla parte anteriore mentre punta verso la parte superiore della macchina.")</f>
        <v>L'uomo spegne la macchina e si guarda intorno alla parte anteriore mentre punta verso la parte superiore della macchina.</v>
      </c>
    </row>
    <row r="3447">
      <c r="A3447" s="4" t="s">
        <v>4332</v>
      </c>
      <c r="B3447" s="4" t="s">
        <v>4336</v>
      </c>
      <c r="C3447" s="5" t="str">
        <f>IFERROR(__xludf.DUMMYFUNCTION("GOOGLETRANSLATE(B3447,""en"",""it"")"),"La fotocamera si panoramica attorno alla macchina e l'uomo viene mostrato dando un pollice in su.")</f>
        <v>La fotocamera si panoramica attorno alla macchina e l'uomo viene mostrato dando un pollice in su.</v>
      </c>
    </row>
    <row r="3448">
      <c r="A3448" s="4" t="s">
        <v>4337</v>
      </c>
      <c r="B3448" s="4" t="s">
        <v>4338</v>
      </c>
      <c r="C3448" s="5" t="str">
        <f>IFERROR(__xludf.DUMMYFUNCTION("GOOGLETRANSLATE(B3448,""en"",""it"")"),"Una signora si siede su un divano e discute.")</f>
        <v>Una signora si siede su un divano e discute.</v>
      </c>
    </row>
    <row r="3449">
      <c r="A3449" s="4" t="s">
        <v>4337</v>
      </c>
      <c r="B3449" s="4" t="s">
        <v>4339</v>
      </c>
      <c r="C3449" s="5" t="str">
        <f>IFERROR(__xludf.DUMMYFUNCTION("GOOGLETRANSLATE(B3449,""en"",""it"")"),"La signora naviga una barca.")</f>
        <v>La signora naviga una barca.</v>
      </c>
    </row>
    <row r="3450">
      <c r="A3450" s="4" t="s">
        <v>4337</v>
      </c>
      <c r="B3450" s="4" t="s">
        <v>4340</v>
      </c>
      <c r="C3450" s="5" t="str">
        <f>IFERROR(__xludf.DUMMYFUNCTION("GOOGLETRANSLATE(B3450,""en"",""it"")"),"La signora va in imbarcazione per l'acqua.")</f>
        <v>La signora va in imbarcazione per l'acqua.</v>
      </c>
    </row>
    <row r="3451">
      <c r="A3451" s="4" t="s">
        <v>4341</v>
      </c>
      <c r="B3451" s="4" t="s">
        <v>4342</v>
      </c>
      <c r="C3451" s="5" t="str">
        <f>IFERROR(__xludf.DUMMYFUNCTION("GOOGLETRANSLATE(B3451,""en"",""it"")"),"La gente cavalca i cavalli su una strada non asfaltata che passa per i boschi e davanti all'oceano.")</f>
        <v>La gente cavalca i cavalli su una strada non asfaltata che passa per i boschi e davanti all'oceano.</v>
      </c>
    </row>
    <row r="3452">
      <c r="A3452" s="4" t="s">
        <v>4341</v>
      </c>
      <c r="B3452" s="6" t="s">
        <v>4343</v>
      </c>
      <c r="C3452" s="5" t="str">
        <f>IFERROR(__xludf.DUMMYFUNCTION("GOOGLETRANSLATE(B3452,""en"",""it"")"),"Le persone arrivano in un posto e scendono dal cavallo e poi continuano a cavalcare boschi, fiume, oceano e splendidi paesaggi.")</f>
        <v>Le persone arrivano in un posto e scendono dal cavallo e poi continuano a cavalcare boschi, fiume, oceano e splendidi paesaggi.</v>
      </c>
    </row>
    <row r="3453">
      <c r="A3453" s="4" t="s">
        <v>4341</v>
      </c>
      <c r="B3453" s="4" t="s">
        <v>4344</v>
      </c>
      <c r="C3453" s="5" t="str">
        <f>IFERROR(__xludf.DUMMYFUNCTION("GOOGLETRANSLATE(B3453,""en"",""it"")"),"Quindi, le persone arrivano in un campeggio, poi corrono davanti all'oceano.")</f>
        <v>Quindi, le persone arrivano in un campeggio, poi corrono davanti all'oceano.</v>
      </c>
    </row>
    <row r="3454">
      <c r="A3454" s="4" t="s">
        <v>4345</v>
      </c>
      <c r="B3454" s="4" t="s">
        <v>4346</v>
      </c>
      <c r="C3454" s="5" t="str">
        <f>IFERROR(__xludf.DUMMYFUNCTION("GOOGLETRANSLATE(B3454,""en"",""it"")"),"Alcuni ragazzi sono in piscina giocando con pallavolo.")</f>
        <v>Alcuni ragazzi sono in piscina giocando con pallavolo.</v>
      </c>
    </row>
    <row r="3455">
      <c r="A3455" s="4" t="s">
        <v>4345</v>
      </c>
      <c r="B3455" s="6" t="s">
        <v>4347</v>
      </c>
      <c r="C3455" s="5" t="str">
        <f>IFERROR(__xludf.DUMMYFUNCTION("GOOGLETRANSLATE(B3455,""en"",""it"")"),"C'è una grande squadra di nuoto che nuota e lancia la palla ai loro compagni di squadra, segnando.")</f>
        <v>C'è una grande squadra di nuoto che nuota e lancia la palla ai loro compagni di squadra, segnando.</v>
      </c>
    </row>
    <row r="3456">
      <c r="A3456" s="4" t="s">
        <v>4345</v>
      </c>
      <c r="B3456" s="4" t="s">
        <v>4348</v>
      </c>
      <c r="C3456" s="5" t="str">
        <f>IFERROR(__xludf.DUMMYFUNCTION("GOOGLETRANSLATE(B3456,""en"",""it"")"),"Quindi, c'è una squadra sul calcio di bandiera che gioca archiviato.")</f>
        <v>Quindi, c'è una squadra sul calcio di bandiera che gioca archiviato.</v>
      </c>
    </row>
    <row r="3457">
      <c r="A3457" s="4" t="s">
        <v>4345</v>
      </c>
      <c r="B3457" s="4" t="s">
        <v>4349</v>
      </c>
      <c r="C3457" s="5" t="str">
        <f>IFERROR(__xludf.DUMMYFUNCTION("GOOGLETRANSLATE(B3457,""en"",""it"")"),"Stanno correndo cercando di segnare per la loro squadra.")</f>
        <v>Stanno correndo cercando di segnare per la loro squadra.</v>
      </c>
    </row>
    <row r="3458">
      <c r="A3458" s="4" t="s">
        <v>4350</v>
      </c>
      <c r="B3458" s="6" t="s">
        <v>4351</v>
      </c>
      <c r="C3458" s="5" t="str">
        <f>IFERROR(__xludf.DUMMYFUNCTION("GOOGLETRANSLATE(B3458,""en"",""it"")"),"Viene mostrato un lavello d'argento e un tubo nero con uno scrubber sul fondo inizia a pulire il lavandino con il vapore che ne uscirà.")</f>
        <v>Viene mostrato un lavello d'argento e un tubo nero con uno scrubber sul fondo inizia a pulire il lavandino con il vapore che ne uscirà.</v>
      </c>
    </row>
    <row r="3459">
      <c r="A3459" s="4" t="s">
        <v>4350</v>
      </c>
      <c r="B3459" s="6" t="s">
        <v>4352</v>
      </c>
      <c r="C3459" s="5" t="str">
        <f>IFERROR(__xludf.DUMMYFUNCTION("GOOGLETRANSLATE(B3459,""en"",""it"")"),"Una volta completata, la persona prende uno straccio bianco e entra nel lavandino e lava via l'umidità dal vapore.")</f>
        <v>Una volta completata, la persona prende uno straccio bianco e entra nel lavandino e lava via l'umidità dal vapore.</v>
      </c>
    </row>
    <row r="3460">
      <c r="A3460" s="4" t="s">
        <v>4353</v>
      </c>
      <c r="B3460" s="4" t="s">
        <v>4354</v>
      </c>
      <c r="C3460" s="5" t="str">
        <f>IFERROR(__xludf.DUMMYFUNCTION("GOOGLETRANSLATE(B3460,""en"",""it"")"),"Un uomo si reca in Giappone per studiare come essere un lottatore di sumo.")</f>
        <v>Un uomo si reca in Giappone per studiare come essere un lottatore di sumo.</v>
      </c>
    </row>
    <row r="3461">
      <c r="A3461" s="4" t="s">
        <v>4353</v>
      </c>
      <c r="B3461" s="4" t="s">
        <v>4355</v>
      </c>
      <c r="C3461" s="5" t="str">
        <f>IFERROR(__xludf.DUMMYFUNCTION("GOOGLETRANSLATE(B3461,""en"",""it"")"),"L'uomo ottiene formazione e impara le tecniche di SUMO.")</f>
        <v>L'uomo ottiene formazione e impara le tecniche di SUMO.</v>
      </c>
    </row>
    <row r="3462">
      <c r="A3462" s="4" t="s">
        <v>4356</v>
      </c>
      <c r="B3462" s="4" t="s">
        <v>4357</v>
      </c>
      <c r="C3462" s="5" t="str">
        <f>IFERROR(__xludf.DUMMYFUNCTION("GOOGLETRANSLATE(B3462,""en"",""it"")"),"Ci sono diversi atleti che fanno buoni discus su un anello all'aperto.")</f>
        <v>Ci sono diversi atleti che fanno buoni discus su un anello all'aperto.</v>
      </c>
    </row>
    <row r="3463">
      <c r="A3463" s="4" t="s">
        <v>4356</v>
      </c>
      <c r="B3463" s="6" t="s">
        <v>4358</v>
      </c>
      <c r="C3463" s="5" t="str">
        <f>IFERROR(__xludf.DUMMYFUNCTION("GOOGLETRANSLATE(B3463,""en"",""it"")"),"Il primo atleta che è vestito con una camicia rossa e bianca inizia il lancio del discus usando un discusso e mezzo chilogrammi.")</f>
        <v>Il primo atleta che è vestito con una camicia rossa e bianca inizia il lancio del discus usando un discusso e mezzo chilogrammi.</v>
      </c>
    </row>
    <row r="3464">
      <c r="A3464" s="4" t="s">
        <v>4356</v>
      </c>
      <c r="B3464" s="4" t="s">
        <v>4359</v>
      </c>
      <c r="C3464" s="5" t="str">
        <f>IFERROR(__xludf.DUMMYFUNCTION("GOOGLETRANSLATE(B3464,""en"",""it"")"),"Si gira e ruota sul posto e lancia il disco.")</f>
        <v>Si gira e ruota sul posto e lancia il disco.</v>
      </c>
    </row>
    <row r="3465">
      <c r="A3465" s="4" t="s">
        <v>4356</v>
      </c>
      <c r="B3465" s="4" t="s">
        <v>4360</v>
      </c>
      <c r="C3465" s="5" t="str">
        <f>IFERROR(__xludf.DUMMYFUNCTION("GOOGLETRANSLATE(B3465,""en"",""it"")"),"Quindi un altro atleta lancia il disco ma senza successo.")</f>
        <v>Quindi un altro atleta lancia il disco ma senza successo.</v>
      </c>
    </row>
    <row r="3466">
      <c r="A3466" s="4" t="s">
        <v>4356</v>
      </c>
      <c r="B3466" s="6" t="s">
        <v>4361</v>
      </c>
      <c r="C3466" s="5" t="str">
        <f>IFERROR(__xludf.DUMMYFUNCTION("GOOGLETRANSLATE(B3466,""en"",""it"")"),"L'atleta in blu fa quindi il suo tentativo di lancio del disco mentre oscilla e gira per lanciare il disco.")</f>
        <v>L'atleta in blu fa quindi il suo tentativo di lancio del disco mentre oscilla e gira per lanciare il disco.</v>
      </c>
    </row>
    <row r="3467">
      <c r="A3467" s="4" t="s">
        <v>4356</v>
      </c>
      <c r="B3467" s="4" t="s">
        <v>4362</v>
      </c>
      <c r="C3467" s="5" t="str">
        <f>IFERROR(__xludf.DUMMYFUNCTION("GOOGLETRANSLATE(B3467,""en"",""it"")"),"Quindi un altro atleta che ha vinto il terzo posto lancia il disco con successo.")</f>
        <v>Quindi un altro atleta che ha vinto il terzo posto lancia il disco con successo.</v>
      </c>
    </row>
    <row r="3468">
      <c r="A3468" s="4" t="s">
        <v>4356</v>
      </c>
      <c r="B3468" s="4" t="s">
        <v>4363</v>
      </c>
      <c r="C3468" s="5" t="str">
        <f>IFERROR(__xludf.DUMMYFUNCTION("GOOGLETRANSLATE(B3468,""en"",""it"")"),"Alcuni altri atleti vengono sul ring e gettano il disco.")</f>
        <v>Alcuni altri atleti vengono sul ring e gettano il disco.</v>
      </c>
    </row>
    <row r="3469">
      <c r="A3469" s="4" t="s">
        <v>4356</v>
      </c>
      <c r="B3469" s="4" t="s">
        <v>4364</v>
      </c>
      <c r="C3469" s="5" t="str">
        <f>IFERROR(__xludf.DUMMYFUNCTION("GOOGLETRANSLATE(B3469,""en"",""it"")"),"Le gradinate dello stadio non sono piene di spettatori sufficienti per motivi di sicurezza.")</f>
        <v>Le gradinate dello stadio non sono piene di spettatori sufficienti per motivi di sicurezza.</v>
      </c>
    </row>
    <row r="3470">
      <c r="A3470" s="4" t="s">
        <v>4365</v>
      </c>
      <c r="B3470" s="4" t="s">
        <v>4366</v>
      </c>
      <c r="C3470" s="5" t="str">
        <f>IFERROR(__xludf.DUMMYFUNCTION("GOOGLETRANSLATE(B3470,""en"",""it"")"),"Vengono visualizzati i crediti della clip.")</f>
        <v>Vengono visualizzati i crediti della clip.</v>
      </c>
    </row>
    <row r="3471">
      <c r="A3471" s="4" t="s">
        <v>4365</v>
      </c>
      <c r="B3471" s="4" t="s">
        <v>4367</v>
      </c>
      <c r="C3471" s="5" t="str">
        <f>IFERROR(__xludf.DUMMYFUNCTION("GOOGLETRANSLATE(B3471,""en"",""it"")"),"Una persona si rompe le mani.")</f>
        <v>Una persona si rompe le mani.</v>
      </c>
    </row>
    <row r="3472">
      <c r="A3472" s="4" t="s">
        <v>4365</v>
      </c>
      <c r="B3472" s="4" t="s">
        <v>4368</v>
      </c>
      <c r="C3472" s="5" t="str">
        <f>IFERROR(__xludf.DUMMYFUNCTION("GOOGLETRANSLATE(B3472,""en"",""it"")"),"Gli uccelli affollano il cielo sopra la pista sporca.")</f>
        <v>Gli uccelli affollano il cielo sopra la pista sporca.</v>
      </c>
    </row>
    <row r="3473">
      <c r="A3473" s="4" t="s">
        <v>4365</v>
      </c>
      <c r="B3473" s="4" t="s">
        <v>4369</v>
      </c>
      <c r="C3473" s="5" t="str">
        <f>IFERROR(__xludf.DUMMYFUNCTION("GOOGLETRANSLATE(B3473,""en"",""it"")"),"L'ombra di una persona si muove sulla superficie di un rimorchio bianco.")</f>
        <v>L'ombra di una persona si muove sulla superficie di un rimorchio bianco.</v>
      </c>
    </row>
    <row r="3474">
      <c r="A3474" s="4" t="s">
        <v>4365</v>
      </c>
      <c r="B3474" s="4" t="s">
        <v>4370</v>
      </c>
      <c r="C3474" s="5" t="str">
        <f>IFERROR(__xludf.DUMMYFUNCTION("GOOGLETRANSLATE(B3474,""en"",""it"")"),"Una persona fa scattare una bici da terra.")</f>
        <v>Una persona fa scattare una bici da terra.</v>
      </c>
    </row>
    <row r="3475">
      <c r="A3475" s="4" t="s">
        <v>4365</v>
      </c>
      <c r="B3475" s="4" t="s">
        <v>4371</v>
      </c>
      <c r="C3475" s="5" t="str">
        <f>IFERROR(__xludf.DUMMYFUNCTION("GOOGLETRANSLATE(B3475,""en"",""it"")"),"Una persona spala la terra.")</f>
        <v>Una persona spala la terra.</v>
      </c>
    </row>
    <row r="3476">
      <c r="A3476" s="4" t="s">
        <v>4365</v>
      </c>
      <c r="B3476" s="4" t="s">
        <v>4372</v>
      </c>
      <c r="C3476" s="5" t="str">
        <f>IFERROR(__xludf.DUMMYFUNCTION("GOOGLETRANSLATE(B3476,""en"",""it"")"),"Una persona sta con cartello alla fine della pista da corsa sporca.")</f>
        <v>Una persona sta con cartello alla fine della pista da corsa sporca.</v>
      </c>
    </row>
    <row r="3477">
      <c r="A3477" s="4" t="s">
        <v>4365</v>
      </c>
      <c r="B3477" s="4" t="s">
        <v>4373</v>
      </c>
      <c r="C3477" s="5" t="str">
        <f>IFERROR(__xludf.DUMMYFUNCTION("GOOGLETRANSLATE(B3477,""en"",""it"")"),"Una persona solleva una bici da sporco e luoghi su uno sgabello.")</f>
        <v>Una persona solleva una bici da sporco e luoghi su uno sgabello.</v>
      </c>
    </row>
    <row r="3478">
      <c r="A3478" s="4" t="s">
        <v>4365</v>
      </c>
      <c r="B3478" s="4" t="s">
        <v>4374</v>
      </c>
      <c r="C3478" s="5" t="str">
        <f>IFERROR(__xludf.DUMMYFUNCTION("GOOGLETRANSLATE(B3478,""en"",""it"")"),"Un bambino maschio corre e sorride.")</f>
        <v>Un bambino maschio corre e sorride.</v>
      </c>
    </row>
    <row r="3479">
      <c r="A3479" s="4" t="s">
        <v>4365</v>
      </c>
      <c r="B3479" s="4" t="s">
        <v>4375</v>
      </c>
      <c r="C3479" s="5" t="str">
        <f>IFERROR(__xludf.DUMMYFUNCTION("GOOGLETRANSLATE(B3479,""en"",""it"")"),"Un elicottero si libra sulla pista di gara.")</f>
        <v>Un elicottero si libra sulla pista di gara.</v>
      </c>
    </row>
    <row r="3480">
      <c r="A3480" s="4" t="s">
        <v>4365</v>
      </c>
      <c r="B3480" s="4" t="s">
        <v>4376</v>
      </c>
      <c r="C3480" s="5" t="str">
        <f>IFERROR(__xludf.DUMMYFUNCTION("GOOGLETRANSLATE(B3480,""en"",""it"")"),"Una signora tira il casco di un pilota.")</f>
        <v>Una signora tira il casco di un pilota.</v>
      </c>
    </row>
    <row r="3481">
      <c r="A3481" s="4" t="s">
        <v>4365</v>
      </c>
      <c r="B3481" s="4" t="s">
        <v>573</v>
      </c>
      <c r="C3481" s="5" t="str">
        <f>IFERROR(__xludf.DUMMYFUNCTION("GOOGLETRANSLATE(B3481,""en"",""it"")"),"Vengono visualizzati i crediti del video.")</f>
        <v>Vengono visualizzati i crediti del video.</v>
      </c>
    </row>
    <row r="3482">
      <c r="A3482" s="4" t="s">
        <v>4377</v>
      </c>
      <c r="B3482" s="4" t="s">
        <v>4378</v>
      </c>
      <c r="C3482" s="5" t="str">
        <f>IFERROR(__xludf.DUMMYFUNCTION("GOOGLETRANSLATE(B3482,""en"",""it"")"),"Un uomo viene mostrato che fissa in lontananza mentre un altro tiene una palla a un tavolo da birra.")</f>
        <v>Un uomo viene mostrato che fissa in lontananza mentre un altro tiene una palla a un tavolo da birra.</v>
      </c>
    </row>
    <row r="3483">
      <c r="A3483" s="4" t="s">
        <v>4377</v>
      </c>
      <c r="B3483" s="4" t="s">
        <v>4379</v>
      </c>
      <c r="C3483" s="5" t="str">
        <f>IFERROR(__xludf.DUMMYFUNCTION("GOOGLETRANSLATE(B3483,""en"",""it"")"),"La fotocamera mostra la palla che colpisce il tavolo e atterra nella tazza dall'altra parte.")</f>
        <v>La fotocamera mostra la palla che colpisce il tavolo e atterra nella tazza dall'altra parte.</v>
      </c>
    </row>
    <row r="3484">
      <c r="A3484" s="4" t="s">
        <v>4377</v>
      </c>
      <c r="B3484" s="4" t="s">
        <v>4380</v>
      </c>
      <c r="C3484" s="5" t="str">
        <f>IFERROR(__xludf.DUMMYFUNCTION("GOOGLETRANSLATE(B3484,""en"",""it"")"),"Il primo uomo guarda la tazza e le smorfie ciò che vede.")</f>
        <v>Il primo uomo guarda la tazza e le smorfie ciò che vede.</v>
      </c>
    </row>
    <row r="3485">
      <c r="A3485" s="4" t="s">
        <v>4381</v>
      </c>
      <c r="B3485" s="4" t="s">
        <v>4382</v>
      </c>
      <c r="C3485" s="5" t="str">
        <f>IFERROR(__xludf.DUMMYFUNCTION("GOOGLETRANSLATE(B3485,""en"",""it"")"),"C'è un uomo che indossa un abito atletico nero in un tiro messo in campo che pratica il tiro.")</f>
        <v>C'è un uomo che indossa un abito atletico nero in un tiro messo in campo che pratica il tiro.</v>
      </c>
    </row>
    <row r="3486">
      <c r="A3486" s="4" t="s">
        <v>4381</v>
      </c>
      <c r="B3486" s="4" t="s">
        <v>4383</v>
      </c>
      <c r="C3486" s="5" t="str">
        <f>IFERROR(__xludf.DUMMYFUNCTION("GOOGLETRANSLATE(B3486,""en"",""it"")"),"Comincia prendendo la palla in mano e tenendola contro il collo.")</f>
        <v>Comincia prendendo la palla in mano e tenendola contro il collo.</v>
      </c>
    </row>
    <row r="3487">
      <c r="A3487" s="4" t="s">
        <v>4381</v>
      </c>
      <c r="B3487" s="4" t="s">
        <v>4384</v>
      </c>
      <c r="C3487" s="5" t="str">
        <f>IFERROR(__xludf.DUMMYFUNCTION("GOOGLETRANSLATE(B3487,""en"",""it"")"),"Quindi gira intorno e lancia la palla molto avanti.")</f>
        <v>Quindi gira intorno e lancia la palla molto avanti.</v>
      </c>
    </row>
    <row r="3488">
      <c r="A3488" s="4" t="s">
        <v>4385</v>
      </c>
      <c r="B3488" s="4" t="s">
        <v>4386</v>
      </c>
      <c r="C3488" s="5" t="str">
        <f>IFERROR(__xludf.DUMMYFUNCTION("GOOGLETRANSLATE(B3488,""en"",""it"")"),"Vediamo un uomo falciare un prato.")</f>
        <v>Vediamo un uomo falciare un prato.</v>
      </c>
    </row>
    <row r="3489">
      <c r="A3489" s="4" t="s">
        <v>4385</v>
      </c>
      <c r="B3489" s="4" t="s">
        <v>4387</v>
      </c>
      <c r="C3489" s="5" t="str">
        <f>IFERROR(__xludf.DUMMYFUNCTION("GOOGLETRANSLATE(B3489,""en"",""it"")"),"Si alza sulle scale per falciare.")</f>
        <v>Si alza sulle scale per falciare.</v>
      </c>
    </row>
    <row r="3490">
      <c r="A3490" s="4" t="s">
        <v>4385</v>
      </c>
      <c r="B3490" s="4" t="s">
        <v>4388</v>
      </c>
      <c r="C3490" s="5" t="str">
        <f>IFERROR(__xludf.DUMMYFUNCTION("GOOGLETRANSLATE(B3490,""en"",""it"")"),"Passa a una donna falciata.")</f>
        <v>Passa a una donna falciata.</v>
      </c>
    </row>
    <row r="3491">
      <c r="A3491" s="4" t="s">
        <v>4385</v>
      </c>
      <c r="B3491" s="4" t="s">
        <v>4389</v>
      </c>
      <c r="C3491" s="5" t="str">
        <f>IFERROR(__xludf.DUMMYFUNCTION("GOOGLETRANSLATE(B3491,""en"",""it"")"),"Torna all'uomo falciando.")</f>
        <v>Torna all'uomo falciando.</v>
      </c>
    </row>
    <row r="3492">
      <c r="A3492" s="4" t="s">
        <v>4385</v>
      </c>
      <c r="B3492" s="4" t="s">
        <v>4390</v>
      </c>
      <c r="C3492" s="5" t="str">
        <f>IFERROR(__xludf.DUMMYFUNCTION("GOOGLETRANSLATE(B3492,""en"",""it"")"),"L'uomo mette il tosaerba nella tettoia e va in casa.")</f>
        <v>L'uomo mette il tosaerba nella tettoia e va in casa.</v>
      </c>
    </row>
    <row r="3493">
      <c r="A3493" s="4" t="s">
        <v>4391</v>
      </c>
      <c r="B3493" s="4" t="s">
        <v>4392</v>
      </c>
      <c r="C3493" s="5" t="str">
        <f>IFERROR(__xludf.DUMMYFUNCTION("GOOGLETRANSLATE(B3493,""en"",""it"")"),"Un'introduzione arriva nello schermo per un video sulla rimozione del pacciame.")</f>
        <v>Un'introduzione arriva nello schermo per un video sulla rimozione del pacciame.</v>
      </c>
    </row>
    <row r="3494">
      <c r="A3494" s="4" t="s">
        <v>4391</v>
      </c>
      <c r="B3494" s="4" t="s">
        <v>4393</v>
      </c>
      <c r="C3494" s="5" t="str">
        <f>IFERROR(__xludf.DUMMYFUNCTION("GOOGLETRANSLATE(B3494,""en"",""it"")"),"Un uomo scava il tallone nella base di un albero per allontanare il pacciame.")</f>
        <v>Un uomo scava il tallone nella base di un albero per allontanare il pacciame.</v>
      </c>
    </row>
    <row r="3495">
      <c r="A3495" s="4" t="s">
        <v>4391</v>
      </c>
      <c r="B3495" s="6" t="s">
        <v>4394</v>
      </c>
      <c r="C3495" s="5" t="str">
        <f>IFERROR(__xludf.DUMMYFUNCTION("GOOGLETRANSLATE(B3495,""en"",""it"")"),"Si mette in ginocchio e inizia a rimuovere il pacciame a mano spingendolo ulteriormente dalla base dell'albero.")</f>
        <v>Si mette in ginocchio e inizia a rimuovere il pacciame a mano spingendolo ulteriormente dalla base dell'albero.</v>
      </c>
    </row>
    <row r="3496">
      <c r="A3496" s="4" t="s">
        <v>4391</v>
      </c>
      <c r="B3496" s="4" t="s">
        <v>4395</v>
      </c>
      <c r="C3496" s="5" t="str">
        <f>IFERROR(__xludf.DUMMYFUNCTION("GOOGLETRANSLATE(B3496,""en"",""it"")"),"Tira fuori alcuni ritagli e clip alcune radici.")</f>
        <v>Tira fuori alcuni ritagli e clip alcune radici.</v>
      </c>
    </row>
    <row r="3497">
      <c r="A3497" s="4" t="s">
        <v>4391</v>
      </c>
      <c r="B3497" s="4" t="s">
        <v>4396</v>
      </c>
      <c r="C3497" s="5" t="str">
        <f>IFERROR(__xludf.DUMMYFUNCTION("GOOGLETRANSLATE(B3497,""en"",""it"")"),"Infine, il video termina con le didascalie di chiusura.")</f>
        <v>Infine, il video termina con le didascalie di chiusura.</v>
      </c>
    </row>
    <row r="3498">
      <c r="A3498" s="4" t="s">
        <v>4397</v>
      </c>
      <c r="B3498" s="4" t="s">
        <v>4398</v>
      </c>
      <c r="C3498" s="5" t="str">
        <f>IFERROR(__xludf.DUMMYFUNCTION("GOOGLETRANSLATE(B3498,""en"",""it"")"),"Una donna sta lavorando a maglia quella che sembra essere una sciarpa mentre era seduta davanti a una tastiera di un computer.")</f>
        <v>Una donna sta lavorando a maglia quella che sembra essere una sciarpa mentre era seduta davanti a una tastiera di un computer.</v>
      </c>
    </row>
    <row r="3499">
      <c r="A3499" s="4" t="s">
        <v>4397</v>
      </c>
      <c r="B3499" s="4" t="s">
        <v>4399</v>
      </c>
      <c r="C3499" s="5" t="str">
        <f>IFERROR(__xludf.DUMMYFUNCTION("GOOGLETRANSLATE(B3499,""en"",""it"")"),"Sta usando gli aghi per fare la sciarpa.")</f>
        <v>Sta usando gli aghi per fare la sciarpa.</v>
      </c>
    </row>
    <row r="3500">
      <c r="A3500" s="4" t="s">
        <v>4397</v>
      </c>
      <c r="B3500" s="4" t="s">
        <v>4400</v>
      </c>
      <c r="C3500" s="5" t="str">
        <f>IFERROR(__xludf.DUMMYFUNCTION("GOOGLETRANSLATE(B3500,""en"",""it"")"),"Tira il filo con il ciclo più volte.")</f>
        <v>Tira il filo con il ciclo più volte.</v>
      </c>
    </row>
    <row r="3501">
      <c r="A3501" s="4" t="s">
        <v>4401</v>
      </c>
      <c r="B3501" s="4" t="s">
        <v>4402</v>
      </c>
      <c r="C3501" s="5" t="str">
        <f>IFERROR(__xludf.DUMMYFUNCTION("GOOGLETRANSLATE(B3501,""en"",""it"")"),"La mano di una persona viene vista gettare diverse freccette su una tavola dall'altra parte della stanza.")</f>
        <v>La mano di una persona viene vista gettare diverse freccette su una tavola dall'altra parte della stanza.</v>
      </c>
    </row>
    <row r="3502">
      <c r="A3502" s="4" t="s">
        <v>4401</v>
      </c>
      <c r="B3502" s="6" t="s">
        <v>4403</v>
      </c>
      <c r="C3502" s="5" t="str">
        <f>IFERROR(__xludf.DUMMYFUNCTION("GOOGLETRANSLATE(B3502,""en"",""it"")"),"La fotocamera si avvicina quindi alla scheda e ingrandisce la posizione in cui vengono lanciate le freccette.")</f>
        <v>La fotocamera si avvicina quindi alla scheda e ingrandisce la posizione in cui vengono lanciate le freccette.</v>
      </c>
    </row>
    <row r="3503">
      <c r="A3503" s="4" t="s">
        <v>4404</v>
      </c>
      <c r="B3503" s="4" t="s">
        <v>4405</v>
      </c>
      <c r="C3503" s="5" t="str">
        <f>IFERROR(__xludf.DUMMYFUNCTION("GOOGLETRANSLATE(B3503,""en"",""it"")"),"Un gruppo di persone è visto su un campo da tennis con 4 uomini che giocano insieme.")</f>
        <v>Un gruppo di persone è visto su un campo da tennis con 4 uomini che giocano insieme.</v>
      </c>
    </row>
    <row r="3504">
      <c r="A3504" s="4" t="s">
        <v>4404</v>
      </c>
      <c r="B3504" s="6" t="s">
        <v>4406</v>
      </c>
      <c r="C3504" s="5" t="str">
        <f>IFERROR(__xludf.DUMMYFUNCTION("GOOGLETRANSLATE(B3504,""en"",""it"")"),"Continuano a giocare indietro e quarto l'uno con l'altro mentre gli altri giocano in sottofondo.")</f>
        <v>Continuano a giocare indietro e quarto l'uno con l'altro mentre gli altri giocano in sottofondo.</v>
      </c>
    </row>
    <row r="3505">
      <c r="A3505" s="4" t="s">
        <v>4407</v>
      </c>
      <c r="B3505" s="4" t="s">
        <v>4408</v>
      </c>
      <c r="C3505" s="5" t="str">
        <f>IFERROR(__xludf.DUMMYFUNCTION("GOOGLETRANSLATE(B3505,""en"",""it"")"),"Si vedono due uomini che si tiene le mani reciprocamente e si muovono sull'altra parte del braccio.")</f>
        <v>Si vedono due uomini che si tiene le mani reciprocamente e si muovono sull'altra parte del braccio.</v>
      </c>
    </row>
    <row r="3506">
      <c r="A3506" s="4" t="s">
        <v>4407</v>
      </c>
      <c r="B3506" s="4" t="s">
        <v>4409</v>
      </c>
      <c r="C3506" s="5" t="str">
        <f>IFERROR(__xludf.DUMMYFUNCTION("GOOGLETRANSLATE(B3506,""en"",""it"")"),"Gli uomini lottano un po 'e finiscono con uno che sbatte l'altro.")</f>
        <v>Gli uomini lottano un po 'e finiscono con uno che sbatte l'altro.</v>
      </c>
    </row>
    <row r="3507">
      <c r="A3507" s="4" t="s">
        <v>4410</v>
      </c>
      <c r="B3507" s="4" t="s">
        <v>4411</v>
      </c>
      <c r="C3507" s="5" t="str">
        <f>IFERROR(__xludf.DUMMYFUNCTION("GOOGLETRANSLATE(B3507,""en"",""it"")"),"Un giovane suona violino mentre indossa cuffie.")</f>
        <v>Un giovane suona violino mentre indossa cuffie.</v>
      </c>
    </row>
    <row r="3508">
      <c r="A3508" s="4" t="s">
        <v>4410</v>
      </c>
      <c r="B3508" s="4" t="s">
        <v>4412</v>
      </c>
      <c r="C3508" s="5" t="str">
        <f>IFERROR(__xludf.DUMMYFUNCTION("GOOGLETRANSLATE(B3508,""en"",""it"")"),"Quindi, il giovane finisce di giocare e togliersi le cuffie.")</f>
        <v>Quindi, il giovane finisce di giocare e togliersi le cuffie.</v>
      </c>
    </row>
    <row r="3509">
      <c r="A3509" s="4" t="s">
        <v>4413</v>
      </c>
      <c r="B3509" s="4" t="s">
        <v>4414</v>
      </c>
      <c r="C3509" s="5" t="str">
        <f>IFERROR(__xludf.DUMMYFUNCTION("GOOGLETRANSLATE(B3509,""en"",""it"")"),"Diversi motociclisti si trovano sotto un garage dietro uno stand preparando a correre.")</f>
        <v>Diversi motociclisti si trovano sotto un garage dietro uno stand preparando a correre.</v>
      </c>
    </row>
    <row r="3510">
      <c r="A3510" s="4" t="s">
        <v>4413</v>
      </c>
      <c r="B3510" s="4" t="s">
        <v>4415</v>
      </c>
      <c r="C3510" s="5" t="str">
        <f>IFERROR(__xludf.DUMMYFUNCTION("GOOGLETRANSLATE(B3510,""en"",""it"")"),"Qualcuno chiama un segno e si alzano tutti sui loro pedali che si preparano per essere rilasciati.")</f>
        <v>Qualcuno chiama un segno e si alzano tutti sui loro pedali che si preparano per essere rilasciati.</v>
      </c>
    </row>
    <row r="3511">
      <c r="A3511" s="4" t="s">
        <v>4413</v>
      </c>
      <c r="B3511" s="6" t="s">
        <v>4416</v>
      </c>
      <c r="C3511" s="5" t="str">
        <f>IFERROR(__xludf.DUMMYFUNCTION("GOOGLETRANSLATE(B3511,""en"",""it"")"),"Il bar viene finalmente deluso e i ragazzi iniziano a correre in tutta la pista coperta di colline mentre le persone lo stanno per guardarli.")</f>
        <v>Il bar viene finalmente deluso e i ragazzi iniziano a correre in tutta la pista coperta di colline mentre le persone lo stanno per guardarli.</v>
      </c>
    </row>
    <row r="3512">
      <c r="A3512" s="4" t="s">
        <v>4417</v>
      </c>
      <c r="B3512" s="4" t="s">
        <v>4418</v>
      </c>
      <c r="C3512" s="5" t="str">
        <f>IFERROR(__xludf.DUMMYFUNCTION("GOOGLETRANSLATE(B3512,""en"",""it"")"),"Un uomo sta cercando di bilanciarsi su una corda, ci cammina e fa un capovolgimento.")</f>
        <v>Un uomo sta cercando di bilanciarsi su una corda, ci cammina e fa un capovolgimento.</v>
      </c>
    </row>
    <row r="3513">
      <c r="A3513" s="4" t="s">
        <v>4417</v>
      </c>
      <c r="B3513" s="4" t="s">
        <v>4419</v>
      </c>
      <c r="C3513" s="5" t="str">
        <f>IFERROR(__xludf.DUMMYFUNCTION("GOOGLETRANSLATE(B3513,""en"",""it"")"),"Torna sulla corda e fa un altro schienale.")</f>
        <v>Torna sulla corda e fa un altro schienale.</v>
      </c>
    </row>
    <row r="3514">
      <c r="A3514" s="4" t="s">
        <v>4417</v>
      </c>
      <c r="B3514" s="4" t="s">
        <v>4420</v>
      </c>
      <c r="C3514" s="5" t="str">
        <f>IFERROR(__xludf.DUMMYFUNCTION("GOOGLETRANSLATE(B3514,""en"",""it"")"),"Afferra la corda super stretta con i piedi mentre attraversa.")</f>
        <v>Afferra la corda super stretta con i piedi mentre attraversa.</v>
      </c>
    </row>
    <row r="3515">
      <c r="A3515" s="4" t="s">
        <v>4417</v>
      </c>
      <c r="B3515" s="4" t="s">
        <v>4421</v>
      </c>
      <c r="C3515" s="5" t="str">
        <f>IFERROR(__xludf.DUMMYFUNCTION("GOOGLETRANSLATE(B3515,""en"",""it"")"),"Ha problemi a bilanciarlo, inizia a tornare indietro.")</f>
        <v>Ha problemi a bilanciarlo, inizia a tornare indietro.</v>
      </c>
    </row>
    <row r="3516">
      <c r="A3516" s="4" t="s">
        <v>4422</v>
      </c>
      <c r="B3516" s="4" t="s">
        <v>4423</v>
      </c>
      <c r="C3516" s="5" t="str">
        <f>IFERROR(__xludf.DUMMYFUNCTION("GOOGLETRANSLATE(B3516,""en"",""it"")"),"Le persone stanno snowboard lungo una collina di neve.")</f>
        <v>Le persone stanno snowboard lungo una collina di neve.</v>
      </c>
    </row>
    <row r="3517">
      <c r="A3517" s="4" t="s">
        <v>4422</v>
      </c>
      <c r="B3517" s="4" t="s">
        <v>4424</v>
      </c>
      <c r="C3517" s="5" t="str">
        <f>IFERROR(__xludf.DUMMYFUNCTION("GOOGLETRANSLATE(B3517,""en"",""it"")"),"Un uomo in occhiali rossi è in piedi sulla neve.")</f>
        <v>Un uomo in occhiali rossi è in piedi sulla neve.</v>
      </c>
    </row>
    <row r="3518">
      <c r="A3518" s="4" t="s">
        <v>4422</v>
      </c>
      <c r="B3518" s="4" t="s">
        <v>4425</v>
      </c>
      <c r="C3518" s="5" t="str">
        <f>IFERROR(__xludf.DUMMYFUNCTION("GOOGLETRANSLATE(B3518,""en"",""it"")"),"Le persone stanno cavalcando un sollevatore di sci in montagna.")</f>
        <v>Le persone stanno cavalcando un sollevatore di sci in montagna.</v>
      </c>
    </row>
    <row r="3519">
      <c r="A3519" s="4" t="s">
        <v>4426</v>
      </c>
      <c r="B3519" s="6" t="s">
        <v>4427</v>
      </c>
      <c r="C3519" s="5" t="str">
        <f>IFERROR(__xludf.DUMMYFUNCTION("GOOGLETRANSLATE(B3519,""en"",""it"")"),"C'è un uomo vestito con un abbigliamento formale con camicia e cravatta che dimostra come fare un cocktail chiamato Pimms.")</f>
        <v>C'è un uomo vestito con un abbigliamento formale con camicia e cravatta che dimostra come fare un cocktail chiamato Pimms.</v>
      </c>
    </row>
    <row r="3520">
      <c r="A3520" s="4" t="s">
        <v>4426</v>
      </c>
      <c r="B3520" s="4" t="s">
        <v>4428</v>
      </c>
      <c r="C3520" s="5" t="str">
        <f>IFERROR(__xludf.DUMMYFUNCTION("GOOGLETRANSLATE(B3520,""en"",""it"")"),"Mette alcuni cubetti di ghiaccio in un bicchiere di alte e poi aggiunge alcuni pimm.")</f>
        <v>Mette alcuni cubetti di ghiaccio in un bicchiere di alte e poi aggiunge alcuni pimm.</v>
      </c>
    </row>
    <row r="3521">
      <c r="A3521" s="4" t="s">
        <v>4426</v>
      </c>
      <c r="B3521" s="4" t="s">
        <v>4429</v>
      </c>
      <c r="C3521" s="5" t="str">
        <f>IFERROR(__xludf.DUMMYFUNCTION("GOOGLETRANSLATE(B3521,""en"",""it"")"),"Si taglia alcuni limoni e mette i limoni insieme a una ciliegia su uno stecchino.")</f>
        <v>Si taglia alcuni limoni e mette i limoni insieme a una ciliegia su uno stecchino.</v>
      </c>
    </row>
    <row r="3522">
      <c r="A3522" s="4" t="s">
        <v>4426</v>
      </c>
      <c r="B3522" s="4" t="s">
        <v>4430</v>
      </c>
      <c r="C3522" s="5" t="str">
        <f>IFERROR(__xludf.DUMMYFUNCTION("GOOGLETRANSLATE(B3522,""en"",""it"")"),"Quindi mette una fetta di cetriolo che viene tagliato in senso longitudinale nel cocktail.")</f>
        <v>Quindi mette una fetta di cetriolo che viene tagliato in senso longitudinale nel cocktail.</v>
      </c>
    </row>
    <row r="3523">
      <c r="A3523" s="4" t="s">
        <v>4431</v>
      </c>
      <c r="B3523" s="6" t="s">
        <v>4432</v>
      </c>
      <c r="C3523" s="5" t="str">
        <f>IFERROR(__xludf.DUMMYFUNCTION("GOOGLETRANSLATE(B3523,""en"",""it"")"),"Due squadre si trovano l'una all'altra della corda mentre le persone guardano e due persone stanno scattando foto.")</f>
        <v>Due squadre si trovano l'una all'altra della corda mentre le persone guardano e due persone stanno scattando foto.</v>
      </c>
    </row>
    <row r="3524">
      <c r="A3524" s="4" t="s">
        <v>4431</v>
      </c>
      <c r="B3524" s="4" t="s">
        <v>4433</v>
      </c>
      <c r="C3524" s="5" t="str">
        <f>IFERROR(__xludf.DUMMYFUNCTION("GOOGLETRANSLATE(B3524,""en"",""it"")"),"Le due squadre hanno iniziato a tirare la corda.")</f>
        <v>Le due squadre hanno iniziato a tirare la corda.</v>
      </c>
    </row>
    <row r="3525">
      <c r="A3525" s="4" t="s">
        <v>4431</v>
      </c>
      <c r="B3525" s="6" t="s">
        <v>4434</v>
      </c>
      <c r="C3525" s="5" t="str">
        <f>IFERROR(__xludf.DUMMYFUNCTION("GOOGLETRANSLATE(B3525,""en"",""it"")"),"La squadra con la maglietta gialla ha vinto e poi due squadre si stringono la mano e si abbracciarono e poi si inchinarono.")</f>
        <v>La squadra con la maglietta gialla ha vinto e poi due squadre si stringono la mano e si abbracciarono e poi si inchinarono.</v>
      </c>
    </row>
    <row r="3526">
      <c r="A3526" s="4" t="s">
        <v>4435</v>
      </c>
      <c r="B3526" s="4" t="s">
        <v>4436</v>
      </c>
      <c r="C3526" s="5" t="str">
        <f>IFERROR(__xludf.DUMMYFUNCTION("GOOGLETRANSLATE(B3526,""en"",""it"")"),"Una donna parla in cucina, poi mostra un pennello.")</f>
        <v>Una donna parla in cucina, poi mostra un pennello.</v>
      </c>
    </row>
    <row r="3527">
      <c r="A3527" s="4" t="s">
        <v>4435</v>
      </c>
      <c r="B3527" s="6" t="s">
        <v>4437</v>
      </c>
      <c r="C3527" s="5" t="str">
        <f>IFERROR(__xludf.DUMMYFUNCTION("GOOGLETRANSLATE(B3527,""en"",""it"")"),"La donna apre il rubinetto e lava un piatto con il pennello, poi si sfiorava la mano mentre spiega.")</f>
        <v>La donna apre il rubinetto e lava un piatto con il pennello, poi si sfiorava la mano mentre spiega.</v>
      </c>
    </row>
    <row r="3528">
      <c r="A3528" s="4" t="s">
        <v>4435</v>
      </c>
      <c r="B3528" s="4" t="s">
        <v>4438</v>
      </c>
      <c r="C3528" s="5" t="str">
        <f>IFERROR(__xludf.DUMMYFUNCTION("GOOGLETRANSLATE(B3528,""en"",""it"")"),"Quindi, lava un piatto con il pennello, quindi spiega che mostra il pennello.")</f>
        <v>Quindi, lava un piatto con il pennello, quindi spiega che mostra il pennello.</v>
      </c>
    </row>
    <row r="3529">
      <c r="A3529" s="4" t="s">
        <v>4439</v>
      </c>
      <c r="B3529" s="4" t="s">
        <v>4440</v>
      </c>
      <c r="C3529" s="5" t="str">
        <f>IFERROR(__xludf.DUMMYFUNCTION("GOOGLETRANSLATE(B3529,""en"",""it"")"),"Una ballerina si posiziona per iniziare la sua danza.")</f>
        <v>Una ballerina si posiziona per iniziare la sua danza.</v>
      </c>
    </row>
    <row r="3530">
      <c r="A3530" s="4" t="s">
        <v>4439</v>
      </c>
      <c r="B3530" s="4" t="s">
        <v>4441</v>
      </c>
      <c r="C3530" s="5" t="str">
        <f>IFERROR(__xludf.DUMMYFUNCTION("GOOGLETRANSLATE(B3530,""en"",""it"")"),"La ballerina esegue la sua routine di danza con in mano una bacchetta.")</f>
        <v>La ballerina esegue la sua routine di danza con in mano una bacchetta.</v>
      </c>
    </row>
    <row r="3531">
      <c r="A3531" s="4" t="s">
        <v>4439</v>
      </c>
      <c r="B3531" s="6" t="s">
        <v>4442</v>
      </c>
      <c r="C3531" s="5" t="str">
        <f>IFERROR(__xludf.DUMMYFUNCTION("GOOGLETRANSLATE(B3531,""en"",""it"")"),"La donna lancia la bacchetta come parte della sua danza e corre per afferrarla e riprende la sua esibizione.")</f>
        <v>La donna lancia la bacchetta come parte della sua danza e corre per afferrarla e riprende la sua esibizione.</v>
      </c>
    </row>
    <row r="3532">
      <c r="A3532" s="4" t="s">
        <v>4439</v>
      </c>
      <c r="B3532" s="4" t="s">
        <v>4443</v>
      </c>
      <c r="C3532" s="5" t="str">
        <f>IFERROR(__xludf.DUMMYFUNCTION("GOOGLETRANSLATE(B3532,""en"",""it"")"),"La donna prende un inchino, finendo la danza.")</f>
        <v>La donna prende un inchino, finendo la danza.</v>
      </c>
    </row>
    <row r="3533">
      <c r="A3533" s="4" t="s">
        <v>4444</v>
      </c>
      <c r="B3533" s="6" t="s">
        <v>4445</v>
      </c>
      <c r="C3533" s="5" t="str">
        <f>IFERROR(__xludf.DUMMYFUNCTION("GOOGLETRANSLATE(B3533,""en"",""it"")"),"Un uomo con camicia bianca e pantaloncini bianchi tiene una mazza di croquet, si piega e oscilla lentamente in aria prima di colpire la palla blu.")</f>
        <v>Un uomo con camicia bianca e pantaloncini bianchi tiene una mazza di croquet, si piega e oscilla lentamente in aria prima di colpire la palla blu.</v>
      </c>
    </row>
    <row r="3534">
      <c r="A3534" s="4" t="s">
        <v>4444</v>
      </c>
      <c r="B3534" s="4" t="s">
        <v>4446</v>
      </c>
      <c r="C3534" s="5" t="str">
        <f>IFERROR(__xludf.DUMMYFUNCTION("GOOGLETRANSLATE(B3534,""en"",""it"")"),"La palla volava passando la palla in un piccolo buco rettangolare e colpì il terreno.")</f>
        <v>La palla volava passando la palla in un piccolo buco rettangolare e colpì il terreno.</v>
      </c>
    </row>
    <row r="3535">
      <c r="A3535" s="4" t="s">
        <v>4447</v>
      </c>
      <c r="B3535" s="4" t="s">
        <v>4448</v>
      </c>
      <c r="C3535" s="5" t="str">
        <f>IFERROR(__xludf.DUMMYFUNCTION("GOOGLETRANSLATE(B3535,""en"",""it"")"),"Vediamo la schermata del titolo di apertura.")</f>
        <v>Vediamo la schermata del titolo di apertura.</v>
      </c>
    </row>
    <row r="3536">
      <c r="A3536" s="4" t="s">
        <v>4447</v>
      </c>
      <c r="B3536" s="4" t="s">
        <v>4449</v>
      </c>
      <c r="C3536" s="5" t="str">
        <f>IFERROR(__xludf.DUMMYFUNCTION("GOOGLETRANSLATE(B3536,""en"",""it"")"),"Vediamo alambicchi del materiale da pavimentazione.")</f>
        <v>Vediamo alambicchi del materiale da pavimentazione.</v>
      </c>
    </row>
    <row r="3537">
      <c r="A3537" s="4" t="s">
        <v>4447</v>
      </c>
      <c r="B3537" s="4" t="s">
        <v>4450</v>
      </c>
      <c r="C3537" s="5" t="str">
        <f>IFERROR(__xludf.DUMMYFUNCTION("GOOGLETRANSLATE(B3537,""en"",""it"")"),"Un uomo taglia e mette il superfloor sul pavimento.")</f>
        <v>Un uomo taglia e mette il superfloor sul pavimento.</v>
      </c>
    </row>
    <row r="3538">
      <c r="A3538" s="4" t="s">
        <v>4447</v>
      </c>
      <c r="B3538" s="4" t="s">
        <v>4451</v>
      </c>
      <c r="C3538" s="5" t="str">
        <f>IFERROR(__xludf.DUMMYFUNCTION("GOOGLETRANSLATE(B3538,""en"",""it"")"),"L'uomo quindi srotola il tappeto sul superfloor.")</f>
        <v>L'uomo quindi srotola il tappeto sul superfloor.</v>
      </c>
    </row>
    <row r="3539">
      <c r="A3539" s="4" t="s">
        <v>4447</v>
      </c>
      <c r="B3539" s="4" t="s">
        <v>4452</v>
      </c>
      <c r="C3539" s="5" t="str">
        <f>IFERROR(__xludf.DUMMYFUNCTION("GOOGLETRANSLATE(B3539,""en"",""it"")"),"Vediamo quindi lo schermo finale.")</f>
        <v>Vediamo quindi lo schermo finale.</v>
      </c>
    </row>
    <row r="3540">
      <c r="A3540" s="4" t="s">
        <v>4453</v>
      </c>
      <c r="B3540" s="6" t="s">
        <v>4454</v>
      </c>
      <c r="C3540" s="5" t="str">
        <f>IFERROR(__xludf.DUMMYFUNCTION("GOOGLETRANSLATE(B3540,""en"",""it"")"),"Una donna tiene un cane e porta in bagno per fare un bagno in una vasca mentre si strofina il corpo con il sapone.")</f>
        <v>Una donna tiene un cane e porta in bagno per fare un bagno in una vasca mentre si strofina il corpo con il sapone.</v>
      </c>
    </row>
    <row r="3541">
      <c r="A3541" s="4" t="s">
        <v>4453</v>
      </c>
      <c r="B3541" s="4" t="s">
        <v>4455</v>
      </c>
      <c r="C3541" s="5" t="str">
        <f>IFERROR(__xludf.DUMMYFUNCTION("GOOGLETRANSLATE(B3541,""en"",""it"")"),"Il cane aspetta che la donna prenda un asciugamano per asciugare il corpo del cane.")</f>
        <v>Il cane aspetta che la donna prenda un asciugamano per asciugare il corpo del cane.</v>
      </c>
    </row>
    <row r="3542">
      <c r="A3542" s="4" t="s">
        <v>4453</v>
      </c>
      <c r="B3542" s="4" t="s">
        <v>4456</v>
      </c>
      <c r="C3542" s="5" t="str">
        <f>IFERROR(__xludf.DUMMYFUNCTION("GOOGLETRANSLATE(B3542,""en"",""it"")"),"Il cane sembra arrabbiato e mostra i suoi denti.")</f>
        <v>Il cane sembra arrabbiato e mostra i suoi denti.</v>
      </c>
    </row>
    <row r="3543">
      <c r="A3543" s="4" t="s">
        <v>4453</v>
      </c>
      <c r="B3543" s="4" t="s">
        <v>4457</v>
      </c>
      <c r="C3543" s="5" t="str">
        <f>IFERROR(__xludf.DUMMYFUNCTION("GOOGLETRANSLATE(B3543,""en"",""it"")"),"Quindi, la donna dà un bacio all'epoca cane.")</f>
        <v>Quindi, la donna dà un bacio all'epoca cane.</v>
      </c>
    </row>
    <row r="3544">
      <c r="A3544" s="4" t="s">
        <v>4458</v>
      </c>
      <c r="B3544" s="6" t="s">
        <v>4459</v>
      </c>
      <c r="C3544" s="5" t="str">
        <f>IFERROR(__xludf.DUMMYFUNCTION("GOOGLETRANSLATE(B3544,""en"",""it"")"),"Alcuni uomini e una donna sono al chiuso che giocano a badminton, ci sono molto e gareggiano pesantemente.")</f>
        <v>Alcuni uomini e una donna sono al chiuso che giocano a badminton, ci sono molto e gareggiano pesantemente.</v>
      </c>
    </row>
    <row r="3545">
      <c r="A3545" s="4" t="s">
        <v>4458</v>
      </c>
      <c r="B3545" s="4" t="s">
        <v>4460</v>
      </c>
      <c r="C3545" s="5" t="str">
        <f>IFERROR(__xludf.DUMMYFUNCTION("GOOGLETRANSLATE(B3545,""en"",""it"")"),"Gli uomini vanno avanti e indietro nel tentativo di segnare e sono molto concentrati.")</f>
        <v>Gli uomini vanno avanti e indietro nel tentativo di segnare e sono molto concentrati.</v>
      </c>
    </row>
    <row r="3546">
      <c r="A3546" s="4" t="s">
        <v>4458</v>
      </c>
      <c r="B3546" s="4" t="s">
        <v>4461</v>
      </c>
      <c r="C3546" s="5" t="str">
        <f>IFERROR(__xludf.DUMMYFUNCTION("GOOGLETRANSLATE(B3546,""en"",""it"")"),"Vari colpi in movimento rapido e al rallentatore sono mostrati dell'azione.")</f>
        <v>Vari colpi in movimento rapido e al rallentatore sono mostrati dell'azione.</v>
      </c>
    </row>
    <row r="3547">
      <c r="A3547" s="4" t="s">
        <v>4462</v>
      </c>
      <c r="B3547" s="6" t="s">
        <v>4463</v>
      </c>
      <c r="C3547" s="5" t="str">
        <f>IFERROR(__xludf.DUMMYFUNCTION("GOOGLETRANSLATE(B3547,""en"",""it"")"),"Un uomo con camicia blu e jeans indossa guanti neri e tagliando la siepe con una macchina per il taglio arancione, facendo prima il lato poi la parte anteriore e poi l'altro lato.")</f>
        <v>Un uomo con camicia blu e jeans indossa guanti neri e tagliando la siepe con una macchina per il taglio arancione, facendo prima il lato poi la parte anteriore e poi l'altro lato.</v>
      </c>
    </row>
    <row r="3548">
      <c r="A3548" s="4" t="s">
        <v>4462</v>
      </c>
      <c r="B3548" s="6" t="s">
        <v>4464</v>
      </c>
      <c r="C3548" s="5" t="str">
        <f>IFERROR(__xludf.DUMMYFUNCTION("GOOGLETRANSLATE(B3548,""en"",""it"")"),"Salzò la scala blu-verde per tagliare la parte superiore della siepe, mosse la scala per fare la parte superiore della siepe.")</f>
        <v>Salzò la scala blu-verde per tagliare la parte superiore della siepe, mosse la scala per fare la parte superiore della siepe.</v>
      </c>
    </row>
    <row r="3549">
      <c r="A3549" s="4" t="s">
        <v>4462</v>
      </c>
      <c r="B3549" s="4" t="s">
        <v>4465</v>
      </c>
      <c r="C3549" s="5" t="str">
        <f>IFERROR(__xludf.DUMMYFUNCTION("GOOGLETRANSLATE(B3549,""en"",""it"")"),"L'uomo ha tagliato il cespuglio basso rotondo, ha usato la scala per tagliare la parte superiore della siepe rotonda.")</f>
        <v>L'uomo ha tagliato il cespuglio basso rotondo, ha usato la scala per tagliare la parte superiore della siepe rotonda.</v>
      </c>
    </row>
    <row r="3550">
      <c r="A3550" s="4" t="s">
        <v>4466</v>
      </c>
      <c r="B3550" s="6" t="s">
        <v>4467</v>
      </c>
      <c r="C3550" s="5" t="str">
        <f>IFERROR(__xludf.DUMMYFUNCTION("GOOGLETRANSLATE(B3550,""en"",""it"")"),"Diverse cucine sono mostrate sullo sfondo come una lampeggiatura del logo di casa per la casa nel mezzo dello schermo.")</f>
        <v>Diverse cucine sono mostrate sullo sfondo come una lampeggiatura del logo di casa per la casa nel mezzo dello schermo.</v>
      </c>
    </row>
    <row r="3551">
      <c r="A3551" s="4" t="s">
        <v>4466</v>
      </c>
      <c r="B3551" s="6" t="s">
        <v>4468</v>
      </c>
      <c r="C3551" s="5" t="str">
        <f>IFERROR(__xludf.DUMMYFUNCTION("GOOGLETRANSLATE(B3551,""en"",""it"")"),"Dopo, un uomo in polo blu viene mostrato incollando piastrelle sul retro delle pareti della cucina per rinnovare la casa.")</f>
        <v>Dopo, un uomo in polo blu viene mostrato incollando piastrelle sul retro delle pareti della cucina per rinnovare la casa.</v>
      </c>
    </row>
    <row r="3552">
      <c r="A3552" s="4" t="s">
        <v>4466</v>
      </c>
      <c r="B3552" s="4" t="s">
        <v>4469</v>
      </c>
      <c r="C3552" s="5" t="str">
        <f>IFERROR(__xludf.DUMMYFUNCTION("GOOGLETRANSLATE(B3552,""en"",""it"")"),"Un altro uomo viene mostrato levigare e dipingere il muro e rinnovare un'altra casa.")</f>
        <v>Un altro uomo viene mostrato levigare e dipingere il muro e rinnovare un'altra casa.</v>
      </c>
    </row>
    <row r="3553">
      <c r="A3553" s="4" t="s">
        <v>4466</v>
      </c>
      <c r="B3553" s="4" t="s">
        <v>4470</v>
      </c>
      <c r="C3553" s="5" t="str">
        <f>IFERROR(__xludf.DUMMYFUNCTION("GOOGLETRANSLATE(B3553,""en"",""it"")"),"Un blocco di piastrelle viene nuovamente mostrato ma viene capovolto per vedere la rete sul retro.")</f>
        <v>Un blocco di piastrelle viene nuovamente mostrato ma viene capovolto per vedere la rete sul retro.</v>
      </c>
    </row>
    <row r="3554">
      <c r="A3554" s="4" t="s">
        <v>4466</v>
      </c>
      <c r="B3554" s="6" t="s">
        <v>4471</v>
      </c>
      <c r="C3554" s="5" t="str">
        <f>IFERROR(__xludf.DUMMYFUNCTION("GOOGLETRANSLATE(B3554,""en"",""it"")"),"Gli uomini continuano a rinnovare la casa, misurando il muro, fissando le luci e incollando la piastrella sul muro.")</f>
        <v>Gli uomini continuano a rinnovare la casa, misurando il muro, fissando le luci e incollando la piastrella sul muro.</v>
      </c>
    </row>
    <row r="3555">
      <c r="A3555" s="4" t="s">
        <v>4466</v>
      </c>
      <c r="B3555" s="4" t="s">
        <v>4472</v>
      </c>
      <c r="C3555" s="5" t="str">
        <f>IFERROR(__xludf.DUMMYFUNCTION("GOOGLETRANSLATE(B3555,""en"",""it"")"),"Infine, viene mostrato il prodotto finito del muro.")</f>
        <v>Infine, viene mostrato il prodotto finito del muro.</v>
      </c>
    </row>
    <row r="3556">
      <c r="A3556" s="4" t="s">
        <v>4473</v>
      </c>
      <c r="B3556" s="4" t="s">
        <v>4474</v>
      </c>
      <c r="C3556" s="5" t="str">
        <f>IFERROR(__xludf.DUMMYFUNCTION("GOOGLETRANSLATE(B3556,""en"",""it"")"),"Viene mostrata un'immagine di un uomo che lava un'auto e conduce in diversi uomini che lavano la stessa macchina.")</f>
        <v>Viene mostrata un'immagine di un uomo che lava un'auto e conduce in diversi uomini che lavano la stessa macchina.</v>
      </c>
    </row>
    <row r="3557">
      <c r="A3557" s="4" t="s">
        <v>4473</v>
      </c>
      <c r="B3557" s="4" t="s">
        <v>4475</v>
      </c>
      <c r="C3557" s="5" t="str">
        <f>IFERROR(__xludf.DUMMYFUNCTION("GOOGLETRANSLATE(B3557,""en"",""it"")"),"Gli uomini aspirano l'interno e puliscono il cruscotto e l'intero interno ed esterno.")</f>
        <v>Gli uomini aspirano l'interno e puliscono il cruscotto e l'intero interno ed esterno.</v>
      </c>
    </row>
    <row r="3558">
      <c r="A3558" s="4" t="s">
        <v>4473</v>
      </c>
      <c r="B3558" s="4" t="s">
        <v>4476</v>
      </c>
      <c r="C3558" s="5" t="str">
        <f>IFERROR(__xludf.DUMMYFUNCTION("GOOGLETRANSLATE(B3558,""en"",""it"")"),"L'auto viene nuovamente mostrata alla fine tutto pulito.")</f>
        <v>L'auto viene nuovamente mostrata alla fine tutto pulito.</v>
      </c>
    </row>
    <row r="3559">
      <c r="A3559" s="4" t="s">
        <v>4477</v>
      </c>
      <c r="B3559" s="4" t="s">
        <v>4478</v>
      </c>
      <c r="C3559" s="5" t="str">
        <f>IFERROR(__xludf.DUMMYFUNCTION("GOOGLETRANSLATE(B3559,""en"",""it"")"),"Un uomo è in piedi giocando a cornamuse.")</f>
        <v>Un uomo è in piedi giocando a cornamuse.</v>
      </c>
    </row>
    <row r="3560">
      <c r="A3560" s="4" t="s">
        <v>4477</v>
      </c>
      <c r="B3560" s="4" t="s">
        <v>4479</v>
      </c>
      <c r="C3560" s="5" t="str">
        <f>IFERROR(__xludf.DUMMYFUNCTION("GOOGLETRANSLATE(B3560,""en"",""it"")"),"Le persone sono sedute su un divano ridendo di lui.")</f>
        <v>Le persone sono sedute su un divano ridendo di lui.</v>
      </c>
    </row>
    <row r="3561">
      <c r="A3561" s="4" t="s">
        <v>4480</v>
      </c>
      <c r="B3561" s="4" t="s">
        <v>4481</v>
      </c>
      <c r="C3561" s="5" t="str">
        <f>IFERROR(__xludf.DUMMYFUNCTION("GOOGLETRANSLATE(B3561,""en"",""it"")"),"Vediamo due persone in uno studio.")</f>
        <v>Vediamo due persone in uno studio.</v>
      </c>
    </row>
    <row r="3562">
      <c r="A3562" s="4" t="s">
        <v>4480</v>
      </c>
      <c r="B3562" s="6" t="s">
        <v>4482</v>
      </c>
      <c r="C3562" s="5" t="str">
        <f>IFERROR(__xludf.DUMMYFUNCTION("GOOGLETRANSLATE(B3562,""en"",""it"")"),"Vediamo quindi un uomo in una pista da bowling che parla alla telecamera con un uomo in costume da bowling.")</f>
        <v>Vediamo quindi un uomo in una pista da bowling che parla alla telecamera con un uomo in costume da bowling.</v>
      </c>
    </row>
    <row r="3563">
      <c r="A3563" s="4" t="s">
        <v>4480</v>
      </c>
      <c r="B3563" s="4" t="s">
        <v>4483</v>
      </c>
      <c r="C3563" s="5" t="str">
        <f>IFERROR(__xludf.DUMMYFUNCTION("GOOGLETRANSLATE(B3563,""en"",""it"")"),"L'uomo quindi intervista un uomo con una giacca nera.")</f>
        <v>L'uomo quindi intervista un uomo con una giacca nera.</v>
      </c>
    </row>
    <row r="3564">
      <c r="A3564" s="4" t="s">
        <v>4480</v>
      </c>
      <c r="B3564" s="4" t="s">
        <v>4484</v>
      </c>
      <c r="C3564" s="5" t="str">
        <f>IFERROR(__xludf.DUMMYFUNCTION("GOOGLETRANSLATE(B3564,""en"",""it"")"),"Vediamo la spilla da bowling lanciare una palla da bowling verde.")</f>
        <v>Vediamo la spilla da bowling lanciare una palla da bowling verde.</v>
      </c>
    </row>
    <row r="3565">
      <c r="A3565" s="4" t="s">
        <v>4480</v>
      </c>
      <c r="B3565" s="6" t="s">
        <v>4485</v>
      </c>
      <c r="C3565" s="5" t="str">
        <f>IFERROR(__xludf.DUMMYFUNCTION("GOOGLETRANSLATE(B3565,""en"",""it"")"),"Il giornalista lancia quindi una palla blu lungo la corsia e un'altra palla sulla mascotte di bowling che cade.")</f>
        <v>Il giornalista lancia quindi una palla blu lungo la corsia e un'altra palla sulla mascotte di bowling che cade.</v>
      </c>
    </row>
    <row r="3566">
      <c r="A3566" s="4" t="s">
        <v>4480</v>
      </c>
      <c r="B3566" s="6" t="s">
        <v>4486</v>
      </c>
      <c r="C3566" s="5" t="str">
        <f>IFERROR(__xludf.DUMMYFUNCTION("GOOGLETRANSLATE(B3566,""en"",""it"")"),"Vediamo quindi uno schermo diviso con il perno che corre dietro il Newscaster e le persone in studio nell'angolo in alto a sinistra.")</f>
        <v>Vediamo quindi uno schermo diviso con il perno che corre dietro il Newscaster e le persone in studio nell'angolo in alto a sinistra.</v>
      </c>
    </row>
    <row r="3567">
      <c r="A3567" s="4" t="s">
        <v>4480</v>
      </c>
      <c r="B3567" s="4" t="s">
        <v>4487</v>
      </c>
      <c r="C3567" s="5" t="str">
        <f>IFERROR(__xludf.DUMMYFUNCTION("GOOGLETRANSLATE(B3567,""en"",""it"")"),"Il perno lancia una palla al giornalista e torniamo in studio.")</f>
        <v>Il perno lancia una palla al giornalista e torniamo in studio.</v>
      </c>
    </row>
    <row r="3568">
      <c r="A3568" s="4" t="s">
        <v>4488</v>
      </c>
      <c r="B3568" s="6" t="s">
        <v>4489</v>
      </c>
      <c r="C3568" s="5" t="str">
        <f>IFERROR(__xludf.DUMMYFUNCTION("GOOGLETRANSLATE(B3568,""en"",""it"")"),"Un uomo parlante e sorridente è in piedi in una zona interna e poi movide alla sua destra e una donna cammina verso di lui e lei inizia a parlare e sorridere con lui.")</f>
        <v>Un uomo parlante e sorridente è in piedi in una zona interna e poi movide alla sua destra e una donna cammina verso di lui e lei inizia a parlare e sorridere con lui.</v>
      </c>
    </row>
    <row r="3569">
      <c r="A3569" s="4" t="s">
        <v>4488</v>
      </c>
      <c r="B3569" s="6" t="s">
        <v>4490</v>
      </c>
      <c r="C3569" s="5" t="str">
        <f>IFERROR(__xludf.DUMMYFUNCTION("GOOGLETRANSLATE(B3569,""en"",""it"")"),"La donna ora sta saltando su un trampolino da sola e poi si trova su una tavola da salto e simula un salto da una tavola di immersioni e scendendo dritto in una piscina, ma invece atterra su un grande, morbido, nero di atterraggio nero.")</f>
        <v>La donna ora sta saltando su un trampolino da sola e poi si trova su una tavola da salto e simula un salto da una tavola di immersioni e scendendo dritto in una piscina, ma invece atterra su un grande, morbido, nero di atterraggio nero.</v>
      </c>
    </row>
    <row r="3570">
      <c r="A3570" s="4" t="s">
        <v>4488</v>
      </c>
      <c r="B3570" s="6" t="s">
        <v>4491</v>
      </c>
      <c r="C3570" s="5" t="str">
        <f>IFERROR(__xludf.DUMMYFUNCTION("GOOGLETRANSLATE(B3570,""en"",""it"")"),"L'uomo ora sta saltando sul trampolino e fa esattamente la stessa cosa della donna.")</f>
        <v>L'uomo ora sta saltando sul trampolino e fa esattamente la stessa cosa della donna.</v>
      </c>
    </row>
    <row r="3571">
      <c r="A3571" s="4" t="s">
        <v>4488</v>
      </c>
      <c r="B3571" s="6" t="s">
        <v>4492</v>
      </c>
      <c r="C3571" s="5" t="str">
        <f>IFERROR(__xludf.DUMMYFUNCTION("GOOGLETRANSLATE(B3571,""en"",""it"")"),"Ora la donna è in piedi in una piscina all'aperto a parlare e prima salta giù dalla tavola da immersione, fa qualche capo e poi atterra in acqua.")</f>
        <v>Ora la donna è in piedi in una piscina all'aperto a parlare e prima salta giù dalla tavola da immersione, fa qualche capo e poi atterra in acqua.</v>
      </c>
    </row>
    <row r="3572">
      <c r="A3572" s="4" t="s">
        <v>4488</v>
      </c>
      <c r="B3572" s="6" t="s">
        <v>4493</v>
      </c>
      <c r="C3572" s="5" t="str">
        <f>IFERROR(__xludf.DUMMYFUNCTION("GOOGLETRANSLATE(B3572,""en"",""it"")"),"L'uomo appare davanti alla telecamera che regge un piccolo speedo, scuote la testa per disapprovazione degli Speedos, lo lancia sulla telecamera e gli mostrano che facevano il riscaldamento delle gambe indossando un lungo paio di pantaloncini da nuoto.")</f>
        <v>L'uomo appare davanti alla telecamera che regge un piccolo speedo, scuote la testa per disapprovazione degli Speedos, lo lancia sulla telecamera e gli mostrano che facevano il riscaldamento delle gambe indossando un lungo paio di pantaloncini da nuoto.</v>
      </c>
    </row>
    <row r="3573">
      <c r="A3573" s="4" t="s">
        <v>4488</v>
      </c>
      <c r="B3573" s="6" t="s">
        <v>4494</v>
      </c>
      <c r="C3573" s="5" t="str">
        <f>IFERROR(__xludf.DUMMYFUNCTION("GOOGLETRANSLATE(B3573,""en"",""it"")"),"Poi l'uomo va sul tabellone, si strofina le mani insieme, quindi salta giù dalla tavola da immersione 4 volte e fa vari lanci prima di atterrare in acqua.")</f>
        <v>Poi l'uomo va sul tabellone, si strofina le mani insieme, quindi salta giù dalla tavola da immersione 4 volte e fa vari lanci prima di atterrare in acqua.</v>
      </c>
    </row>
    <row r="3574">
      <c r="A3574" s="4" t="s">
        <v>4488</v>
      </c>
      <c r="B3574" s="6" t="s">
        <v>4495</v>
      </c>
      <c r="C3574" s="5" t="str">
        <f>IFERROR(__xludf.DUMMYFUNCTION("GOOGLETRANSLATE(B3574,""en"",""it"")"),"L'uomo e la donna sono ora a terra a parlare e si girano a guardare la tavola da immersione più alta, e un colpo veloce dalla tavola di immersioni più alta sta mostrando in alto, poi torna all'uomo e alla donna ancora in piedi accanto a la piscina e parla"&amp;"re.")</f>
        <v>L'uomo e la donna sono ora a terra a parlare e si girano a guardare la tavola da immersione più alta, e un colpo veloce dalla tavola di immersioni più alta sta mostrando in alto, poi torna all'uomo e alla donna ancora in piedi accanto a la piscina e parlare.</v>
      </c>
    </row>
    <row r="3575">
      <c r="A3575" s="4" t="s">
        <v>4496</v>
      </c>
      <c r="B3575" s="4" t="s">
        <v>4497</v>
      </c>
      <c r="C3575" s="5" t="str">
        <f>IFERROR(__xludf.DUMMYFUNCTION("GOOGLETRANSLATE(B3575,""en"",""it"")"),"Si vede un primo piano di un toro e un altro sdraiato a terra.")</f>
        <v>Si vede un primo piano di un toro e un altro sdraiato a terra.</v>
      </c>
    </row>
    <row r="3576">
      <c r="A3576" s="4" t="s">
        <v>4496</v>
      </c>
      <c r="B3576" s="4" t="s">
        <v>4498</v>
      </c>
      <c r="C3576" s="5" t="str">
        <f>IFERROR(__xludf.DUMMYFUNCTION("GOOGLETRANSLATE(B3576,""en"",""it"")"),"Un altro toro viene visto scappare in lontananza e inseguire una persona.")</f>
        <v>Un altro toro viene visto scappare in lontananza e inseguire una persona.</v>
      </c>
    </row>
    <row r="3577">
      <c r="A3577" s="4" t="s">
        <v>4496</v>
      </c>
      <c r="B3577" s="4" t="s">
        <v>4499</v>
      </c>
      <c r="C3577" s="5" t="str">
        <f>IFERROR(__xludf.DUMMYFUNCTION("GOOGLETRANSLATE(B3577,""en"",""it"")"),"Diverse persone vengono viste scappare da un toro in molti colpi mentre li inseguono.")</f>
        <v>Diverse persone vengono viste scappare da un toro in molti colpi mentre li inseguono.</v>
      </c>
    </row>
    <row r="3578">
      <c r="A3578" s="4" t="s">
        <v>4500</v>
      </c>
      <c r="B3578" s="4" t="s">
        <v>4501</v>
      </c>
      <c r="C3578" s="5" t="str">
        <f>IFERROR(__xludf.DUMMYFUNCTION("GOOGLETRANSLATE(B3578,""en"",""it"")"),"Un uomo si inginocchia sul ghiaccio.")</f>
        <v>Un uomo si inginocchia sul ghiaccio.</v>
      </c>
    </row>
    <row r="3579">
      <c r="A3579" s="4" t="s">
        <v>4500</v>
      </c>
      <c r="B3579" s="4" t="s">
        <v>4502</v>
      </c>
      <c r="C3579" s="5" t="str">
        <f>IFERROR(__xludf.DUMMYFUNCTION("GOOGLETRANSLATE(B3579,""en"",""it"")"),"Comincia a giocare a curling.")</f>
        <v>Comincia a giocare a curling.</v>
      </c>
    </row>
    <row r="3580">
      <c r="A3580" s="4" t="s">
        <v>4500</v>
      </c>
      <c r="B3580" s="4" t="s">
        <v>4503</v>
      </c>
      <c r="C3580" s="5" t="str">
        <f>IFERROR(__xludf.DUMMYFUNCTION("GOOGLETRANSLATE(B3580,""en"",""it"")"),"Due persone strofinano il ghiaccio davanti alla palla di curling.")</f>
        <v>Due persone strofinano il ghiaccio davanti alla palla di curling.</v>
      </c>
    </row>
    <row r="3581">
      <c r="A3581" s="4" t="s">
        <v>4504</v>
      </c>
      <c r="B3581" s="4" t="s">
        <v>4505</v>
      </c>
      <c r="C3581" s="5" t="str">
        <f>IFERROR(__xludf.DUMMYFUNCTION("GOOGLETRANSLATE(B3581,""en"",""it"")"),"Un uomo viene visto arrampicarsi su un cammello e inizia a camminare con un uomo di fronte.")</f>
        <v>Un uomo viene visto arrampicarsi su un cammello e inizia a camminare con un uomo di fronte.</v>
      </c>
    </row>
    <row r="3582">
      <c r="A3582" s="4" t="s">
        <v>4504</v>
      </c>
      <c r="B3582" s="6" t="s">
        <v>4506</v>
      </c>
      <c r="C3582" s="5" t="str">
        <f>IFERROR(__xludf.DUMMYFUNCTION("GOOGLETRANSLATE(B3582,""en"",""it"")"),"L'uomo parla a uno in cima e dà uno schiaffo al cammello mentre si guarda indietro per parlare alla telecamera.")</f>
        <v>L'uomo parla a uno in cima e dà uno schiaffo al cammello mentre si guarda indietro per parlare alla telecamera.</v>
      </c>
    </row>
    <row r="3583">
      <c r="A3583" s="4" t="s">
        <v>4507</v>
      </c>
      <c r="B3583" s="4" t="s">
        <v>1487</v>
      </c>
      <c r="C3583" s="5" t="str">
        <f>IFERROR(__xludf.DUMMYFUNCTION("GOOGLETRANSLATE(B3583,""en"",""it"")"),"Vediamo una schermata del titolo di apertura.")</f>
        <v>Vediamo una schermata del titolo di apertura.</v>
      </c>
    </row>
    <row r="3584">
      <c r="A3584" s="4" t="s">
        <v>4507</v>
      </c>
      <c r="B3584" s="4" t="s">
        <v>4508</v>
      </c>
      <c r="C3584" s="5" t="str">
        <f>IFERROR(__xludf.DUMMYFUNCTION("GOOGLETRANSLATE(B3584,""en"",""it"")"),"Vediamo il pen")</f>
        <v>Vediamo il pen</v>
      </c>
    </row>
    <row r="3585">
      <c r="A3585" s="4" t="s">
        <v>4507</v>
      </c>
      <c r="B3585" s="4" t="s">
        <v>4509</v>
      </c>
      <c r="C3585" s="5" t="str">
        <f>IFERROR(__xludf.DUMMYFUNCTION("GOOGLETRANSLATE(B3585,""en"",""it"")"),"Vediamo persone sciare e snowboard giù per la collina.")</f>
        <v>Vediamo persone sciare e snowboard giù per la collina.</v>
      </c>
    </row>
    <row r="3586">
      <c r="A3586" s="4" t="s">
        <v>4507</v>
      </c>
      <c r="B3586" s="4" t="s">
        <v>4510</v>
      </c>
      <c r="C3586" s="5" t="str">
        <f>IFERROR(__xludf.DUMMYFUNCTION("GOOGLETRANSLATE(B3586,""en"",""it"")"),"I nomi sono mostrati in una barra blu sopra.")</f>
        <v>I nomi sono mostrati in una barra blu sopra.</v>
      </c>
    </row>
    <row r="3587">
      <c r="A3587" s="4" t="s">
        <v>4507</v>
      </c>
      <c r="B3587" s="4" t="s">
        <v>4511</v>
      </c>
      <c r="C3587" s="5" t="str">
        <f>IFERROR(__xludf.DUMMYFUNCTION("GOOGLETRANSLATE(B3587,""en"",""it"")"),"Vediamo un uomo che tiene un bastone da selfie mentre si imbarca giù per la collina.")</f>
        <v>Vediamo un uomo che tiene un bastone da selfie mentre si imbarca giù per la collina.</v>
      </c>
    </row>
    <row r="3588">
      <c r="A3588" s="4" t="s">
        <v>4507</v>
      </c>
      <c r="B3588" s="4" t="s">
        <v>4512</v>
      </c>
      <c r="C3588" s="5" t="str">
        <f>IFERROR(__xludf.DUMMYFUNCTION("GOOGLETRANSLATE(B3588,""en"",""it"")"),"Vediamo una persona in boschi densi che cavalca uno snowboard.")</f>
        <v>Vediamo una persona in boschi densi che cavalca uno snowboard.</v>
      </c>
    </row>
    <row r="3589">
      <c r="A3589" s="4" t="s">
        <v>4507</v>
      </c>
      <c r="B3589" s="4" t="s">
        <v>4513</v>
      </c>
      <c r="C3589" s="5" t="str">
        <f>IFERROR(__xludf.DUMMYFUNCTION("GOOGLETRANSLATE(B3589,""en"",""it"")"),"Vediamo i titoli di coda.")</f>
        <v>Vediamo i titoli di coda.</v>
      </c>
    </row>
    <row r="3590">
      <c r="A3590" s="4" t="s">
        <v>4514</v>
      </c>
      <c r="B3590" s="4" t="s">
        <v>4515</v>
      </c>
      <c r="C3590" s="5" t="str">
        <f>IFERROR(__xludf.DUMMYFUNCTION("GOOGLETRANSLATE(B3590,""en"",""it"")"),"Due asiatici Un uomo e una femmina sono seduti a un tavolo prima di andare in una palestra.")</f>
        <v>Due asiatici Un uomo e una femmina sono seduti a un tavolo prima di andare in una palestra.</v>
      </c>
    </row>
    <row r="3591">
      <c r="A3591" s="4" t="s">
        <v>4514</v>
      </c>
      <c r="B3591" s="6" t="s">
        <v>4516</v>
      </c>
      <c r="C3591" s="5" t="str">
        <f>IFERROR(__xludf.DUMMYFUNCTION("GOOGLETRANSLATE(B3591,""en"",""it"")"),"In palestra, diverse ragazze iniziano a fare ginnastica e esibirsi prima di tornare e fare un'intervista con il giornalista.")</f>
        <v>In palestra, diverse ragazze iniziano a fare ginnastica e esibirsi prima di tornare e fare un'intervista con il giornalista.</v>
      </c>
    </row>
    <row r="3592">
      <c r="A3592" s="4" t="s">
        <v>4514</v>
      </c>
      <c r="B3592" s="4" t="s">
        <v>4517</v>
      </c>
      <c r="C3592" s="5" t="str">
        <f>IFERROR(__xludf.DUMMYFUNCTION("GOOGLETRANSLATE(B3592,""en"",""it"")"),"Successivamente, un giovane si avvicina ai bar, fa la sua routine e poi torna alla sua intervista.")</f>
        <v>Successivamente, un giovane si avvicina ai bar, fa la sua routine e poi torna alla sua intervista.</v>
      </c>
    </row>
    <row r="3593">
      <c r="A3593" s="4" t="s">
        <v>4518</v>
      </c>
      <c r="B3593" s="4" t="s">
        <v>4519</v>
      </c>
      <c r="C3593" s="5" t="str">
        <f>IFERROR(__xludf.DUMMYFUNCTION("GOOGLETRANSLATE(B3593,""en"",""it"")"),"Un uomo caucasico che indossa un casco rosso è seduto su una barca in acqua a parlare con l'acqua.")</f>
        <v>Un uomo caucasico che indossa un casco rosso è seduto su una barca in acqua a parlare con l'acqua.</v>
      </c>
    </row>
    <row r="3594">
      <c r="A3594" s="4" t="s">
        <v>4518</v>
      </c>
      <c r="B3594" s="4" t="s">
        <v>4520</v>
      </c>
      <c r="C3594" s="5" t="str">
        <f>IFERROR(__xludf.DUMMYFUNCTION("GOOGLETRANSLATE(B3594,""en"",""it"")"),"Viene mostrata l'acqua rocciosa e quindi l'uomo scende in kayak nelle acque bianche.")</f>
        <v>Viene mostrata l'acqua rocciosa e quindi l'uomo scende in kayak nelle acque bianche.</v>
      </c>
    </row>
    <row r="3595">
      <c r="A3595" s="4" t="s">
        <v>4518</v>
      </c>
      <c r="B3595" s="6" t="s">
        <v>4521</v>
      </c>
      <c r="C3595" s="5" t="str">
        <f>IFERROR(__xludf.DUMMYFUNCTION("GOOGLETRANSLATE(B3595,""en"",""it"")"),"Viene mostrato un lampo di acqua libera, quindi un gruppo di dieci persone viene raffigurato in kayak insieme sulle rocce e sull'acqua e alla fine viene spinto fuori dal kayak dalla grande ondata.")</f>
        <v>Viene mostrato un lampo di acqua libera, quindi un gruppo di dieci persone viene raffigurato in kayak insieme sulle rocce e sull'acqua e alla fine viene spinto fuori dal kayak dalla grande ondata.</v>
      </c>
    </row>
    <row r="3596">
      <c r="A3596" s="4" t="s">
        <v>4518</v>
      </c>
      <c r="B3596" s="4" t="s">
        <v>4522</v>
      </c>
      <c r="C3596" s="5" t="str">
        <f>IFERROR(__xludf.DUMMYFUNCTION("GOOGLETRANSLATE(B3596,""en"",""it"")"),"Il gruppo di persone continua a nuotare attraverso l'acqua cercando di trovare terra.")</f>
        <v>Il gruppo di persone continua a nuotare attraverso l'acqua cercando di trovare terra.</v>
      </c>
    </row>
    <row r="3597">
      <c r="A3597" s="4" t="s">
        <v>4518</v>
      </c>
      <c r="B3597" s="6" t="s">
        <v>4523</v>
      </c>
      <c r="C3597" s="5" t="str">
        <f>IFERROR(__xludf.DUMMYFUNCTION("GOOGLETRANSLATE(B3597,""en"",""it"")"),"Alla fine escono e ogni persona inizia a parlare della fotocamera di ciò che hanno appena sperimentato.")</f>
        <v>Alla fine escono e ogni persona inizia a parlare della fotocamera di ciò che hanno appena sperimentato.</v>
      </c>
    </row>
    <row r="3598">
      <c r="A3598" s="4" t="s">
        <v>4524</v>
      </c>
      <c r="B3598" s="4" t="s">
        <v>4525</v>
      </c>
      <c r="C3598" s="5" t="str">
        <f>IFERROR(__xludf.DUMMYFUNCTION("GOOGLETRANSLATE(B3598,""en"",""it"")"),"I giocatori corrono in campo con i loro pipistrelli.")</f>
        <v>I giocatori corrono in campo con i loro pipistrelli.</v>
      </c>
    </row>
    <row r="3599">
      <c r="A3599" s="4" t="s">
        <v>4524</v>
      </c>
      <c r="B3599" s="4" t="s">
        <v>4526</v>
      </c>
      <c r="C3599" s="5" t="str">
        <f>IFERROR(__xludf.DUMMYFUNCTION("GOOGLETRANSLATE(B3599,""en"",""it"")"),"Il giocatore in maglietta corre con il giocatore con camicia rossa.")</f>
        <v>Il giocatore in maglietta corre con il giocatore con camicia rossa.</v>
      </c>
    </row>
    <row r="3600">
      <c r="A3600" s="4" t="s">
        <v>4524</v>
      </c>
      <c r="B3600" s="4" t="s">
        <v>4527</v>
      </c>
      <c r="C3600" s="5" t="str">
        <f>IFERROR(__xludf.DUMMYFUNCTION("GOOGLETRANSLATE(B3600,""en"",""it"")"),"I due giocatori hanno iniziato a camminare.")</f>
        <v>I due giocatori hanno iniziato a camminare.</v>
      </c>
    </row>
    <row r="3601">
      <c r="A3601" s="4" t="s">
        <v>4528</v>
      </c>
      <c r="B3601" s="4" t="s">
        <v>4529</v>
      </c>
      <c r="C3601" s="5" t="str">
        <f>IFERROR(__xludf.DUMMYFUNCTION("GOOGLETRANSLATE(B3601,""en"",""it"")"),"Appare uno schermo bianco e gli affetti speciali rivelano le parole ""Howcast Original"".")</f>
        <v>Appare uno schermo bianco e gli affetti speciali rivelano le parole "Howcast Original".</v>
      </c>
    </row>
    <row r="3602">
      <c r="A3602" s="4" t="s">
        <v>4528</v>
      </c>
      <c r="B3602" s="6" t="s">
        <v>4530</v>
      </c>
      <c r="C3602" s="5" t="str">
        <f>IFERROR(__xludf.DUMMYFUNCTION("GOOGLETRANSLATE(B3602,""en"",""it"")"),"Un uomo sta parlando mentre vari clip di persone che tirano il gioco e si presentano uno schermo indicando che sta dando consigli su ""Rollerblading Basics: come controllare la velocità sui rollerblades"", e raccoglie un paio di rollerde e indica le ruote"&amp;", poi altri Clips di lui a roteare e mostrare esempi di esempi.")</f>
        <v>Un uomo sta parlando mentre vari clip di persone che tirano il gioco e si presentano uno schermo indicando che sta dando consigli su "Rollerblading Basics: come controllare la velocità sui rollerblades", e raccoglie un paio di rollerde e indica le ruote, poi altri Clips di lui a roteare e mostrare esempi di esempi.</v>
      </c>
    </row>
    <row r="3603">
      <c r="A3603" s="4" t="s">
        <v>4528</v>
      </c>
      <c r="B3603" s="6" t="s">
        <v>4531</v>
      </c>
      <c r="C3603" s="5" t="str">
        <f>IFERROR(__xludf.DUMMYFUNCTION("GOOGLETRANSLATE(B3603,""en"",""it"")"),"Appare l'outro ed è lo schermo bianco nell'introduzione che include le parole ""Howcast Original"".")</f>
        <v>Appare l'outro ed è lo schermo bianco nell'introduzione che include le parole "Howcast Original".</v>
      </c>
    </row>
    <row r="3604">
      <c r="A3604" s="4" t="s">
        <v>4532</v>
      </c>
      <c r="B3604" s="6" t="s">
        <v>4533</v>
      </c>
      <c r="C3604" s="5" t="str">
        <f>IFERROR(__xludf.DUMMYFUNCTION("GOOGLETRANSLATE(B3604,""en"",""it"")"),"I membri di un'accademia di danza del ventre fanno una routine coreografata in una pubblicità per la scuola.")</f>
        <v>I membri di un'accademia di danza del ventre fanno una routine coreografata in una pubblicità per la scuola.</v>
      </c>
    </row>
    <row r="3605">
      <c r="A3605" s="4" t="s">
        <v>4532</v>
      </c>
      <c r="B3605" s="4" t="s">
        <v>4534</v>
      </c>
      <c r="C3605" s="5" t="str">
        <f>IFERROR(__xludf.DUMMYFUNCTION("GOOGLETRANSLATE(B3605,""en"",""it"")"),"Si muovono sul palco e poi mostrano le loro pance.")</f>
        <v>Si muovono sul palco e poi mostrano le loro pance.</v>
      </c>
    </row>
    <row r="3606">
      <c r="A3606" s="4" t="s">
        <v>4535</v>
      </c>
      <c r="B3606" s="4" t="s">
        <v>4536</v>
      </c>
      <c r="C3606" s="5" t="str">
        <f>IFERROR(__xludf.DUMMYFUNCTION("GOOGLETRANSLATE(B3606,""en"",""it"")"),"Le persone stanno andando giù per una collina di neve su slitte.")</f>
        <v>Le persone stanno andando giù per una collina di neve su slitte.</v>
      </c>
    </row>
    <row r="3607">
      <c r="A3607" s="4" t="s">
        <v>4535</v>
      </c>
      <c r="B3607" s="4" t="s">
        <v>4537</v>
      </c>
      <c r="C3607" s="5" t="str">
        <f>IFERROR(__xludf.DUMMYFUNCTION("GOOGLETRANSLATE(B3607,""en"",""it"")"),"Le persone sono in piedi sul lato della collina a guardarli.")</f>
        <v>Le persone sono in piedi sul lato della collina a guardarli.</v>
      </c>
    </row>
    <row r="3608">
      <c r="A3608" s="4" t="s">
        <v>4535</v>
      </c>
      <c r="B3608" s="4" t="s">
        <v>4538</v>
      </c>
      <c r="C3608" s="5" t="str">
        <f>IFERROR(__xludf.DUMMYFUNCTION("GOOGLETRANSLATE(B3608,""en"",""it"")"),"Le persone stanno facendo un uomo di neve nella neve.")</f>
        <v>Le persone stanno facendo un uomo di neve nella neve.</v>
      </c>
    </row>
    <row r="3609">
      <c r="A3609" s="4" t="s">
        <v>4539</v>
      </c>
      <c r="B3609" s="4" t="s">
        <v>4540</v>
      </c>
      <c r="C3609" s="5" t="str">
        <f>IFERROR(__xludf.DUMMYFUNCTION("GOOGLETRANSLATE(B3609,""en"",""it"")"),"Una telecamera si muove attorno a una doccia e ingrandisce una persona che si rada le gambe.")</f>
        <v>Una telecamera si muove attorno a una doccia e ingrandisce una persona che si rada le gambe.</v>
      </c>
    </row>
    <row r="3610">
      <c r="A3610" s="4" t="s">
        <v>4539</v>
      </c>
      <c r="B3610" s="4" t="s">
        <v>4541</v>
      </c>
      <c r="C3610" s="5" t="str">
        <f>IFERROR(__xludf.DUMMYFUNCTION("GOOGLETRANSLATE(B3610,""en"",""it"")"),"La telecamera la osserva muovere le braccia intorno alle gambe mentre l'acqua scorre nello scarico.")</f>
        <v>La telecamera la osserva muovere le braccia intorno alle gambe mentre l'acqua scorre nello scarico.</v>
      </c>
    </row>
    <row r="3611">
      <c r="A3611" s="4" t="s">
        <v>4542</v>
      </c>
      <c r="B3611" s="4" t="s">
        <v>4543</v>
      </c>
      <c r="C3611" s="5" t="str">
        <f>IFERROR(__xludf.DUMMYFUNCTION("GOOGLETRANSLATE(B3611,""en"",""it"")"),"Una chef parla mentre si trova a un tavolo pieno di ingredienti di cottura.")</f>
        <v>Una chef parla mentre si trova a un tavolo pieno di ingredienti di cottura.</v>
      </c>
    </row>
    <row r="3612">
      <c r="A3612" s="4" t="s">
        <v>4542</v>
      </c>
      <c r="B3612" s="4" t="s">
        <v>4544</v>
      </c>
      <c r="C3612" s="5" t="str">
        <f>IFERROR(__xludf.DUMMYFUNCTION("GOOGLETRANSLATE(B3612,""en"",""it"")"),"Afferra olio e sale e lo versa in una ciotola.")</f>
        <v>Afferra olio e sale e lo versa in una ciotola.</v>
      </c>
    </row>
    <row r="3613">
      <c r="A3613" s="4" t="s">
        <v>4542</v>
      </c>
      <c r="B3613" s="4" t="s">
        <v>4545</v>
      </c>
      <c r="C3613" s="5" t="str">
        <f>IFERROR(__xludf.DUMMYFUNCTION("GOOGLETRANSLATE(B3613,""en"",""it"")"),"Muove gli ingredienti con alcune pinze.")</f>
        <v>Muove gli ingredienti con alcune pinze.</v>
      </c>
    </row>
    <row r="3614">
      <c r="A3614" s="4" t="s">
        <v>4542</v>
      </c>
      <c r="B3614" s="4" t="s">
        <v>4546</v>
      </c>
      <c r="C3614" s="5" t="str">
        <f>IFERROR(__xludf.DUMMYFUNCTION("GOOGLETRANSLATE(B3614,""en"",""it"")"),"Versa alcuni pomodori, zucchine e cipolle rosse nella ciotola.")</f>
        <v>Versa alcuni pomodori, zucchine e cipolle rosse nella ciotola.</v>
      </c>
    </row>
    <row r="3615">
      <c r="A3615" s="4" t="s">
        <v>4542</v>
      </c>
      <c r="B3615" s="4" t="s">
        <v>4547</v>
      </c>
      <c r="C3615" s="5" t="str">
        <f>IFERROR(__xludf.DUMMYFUNCTION("GOOGLETRANSLATE(B3615,""en"",""it"")"),"Taglia un po 'di coriandolo.")</f>
        <v>Taglia un po 'di coriandolo.</v>
      </c>
    </row>
    <row r="3616">
      <c r="A3616" s="4" t="s">
        <v>4542</v>
      </c>
      <c r="B3616" s="4" t="s">
        <v>4548</v>
      </c>
      <c r="C3616" s="5" t="str">
        <f>IFERROR(__xludf.DUMMYFUNCTION("GOOGLETRANSLATE(B3616,""en"",""it"")"),"Getta il coriandolo nella ciotola.")</f>
        <v>Getta il coriandolo nella ciotola.</v>
      </c>
    </row>
    <row r="3617">
      <c r="A3617" s="4" t="s">
        <v>4542</v>
      </c>
      <c r="B3617" s="4" t="s">
        <v>4549</v>
      </c>
      <c r="C3617" s="5" t="str">
        <f>IFERROR(__xludf.DUMMYFUNCTION("GOOGLETRANSLATE(B3617,""en"",""it"")"),"Mescola le verdure nella ciotola con le pinze.")</f>
        <v>Mescola le verdure nella ciotola con le pinze.</v>
      </c>
    </row>
    <row r="3618">
      <c r="A3618" s="4" t="s">
        <v>4542</v>
      </c>
      <c r="B3618" s="4" t="s">
        <v>4550</v>
      </c>
      <c r="C3618" s="5" t="str">
        <f>IFERROR(__xludf.DUMMYFUNCTION("GOOGLETRANSLATE(B3618,""en"",""it"")"),"Mette la verdura sopra una rucola su un piatto.")</f>
        <v>Mette la verdura sopra una rucola su un piatto.</v>
      </c>
    </row>
    <row r="3619">
      <c r="A3619" s="4" t="s">
        <v>4542</v>
      </c>
      <c r="B3619" s="4" t="s">
        <v>4551</v>
      </c>
      <c r="C3619" s="5" t="str">
        <f>IFERROR(__xludf.DUMMYFUNCTION("GOOGLETRANSLATE(B3619,""en"",""it"")"),"Lei mostra l'insalata.")</f>
        <v>Lei mostra l'insalata.</v>
      </c>
    </row>
    <row r="3620">
      <c r="A3620" s="4" t="s">
        <v>4552</v>
      </c>
      <c r="B3620" s="4" t="s">
        <v>4553</v>
      </c>
      <c r="C3620" s="5" t="str">
        <f>IFERROR(__xludf.DUMMYFUNCTION("GOOGLETRANSLATE(B3620,""en"",""it"")"),"Una persona in giacca rossa è in piedi sul lato della corsia.")</f>
        <v>Una persona in giacca rossa è in piedi sul lato della corsia.</v>
      </c>
    </row>
    <row r="3621">
      <c r="A3621" s="4" t="s">
        <v>4552</v>
      </c>
      <c r="B3621" s="4" t="s">
        <v>4554</v>
      </c>
      <c r="C3621" s="5" t="str">
        <f>IFERROR(__xludf.DUMMYFUNCTION("GOOGLETRANSLATE(B3621,""en"",""it"")"),"Due persone stanno scivolando lungo la corsia coperta di neve.")</f>
        <v>Due persone stanno scivolando lungo la corsia coperta di neve.</v>
      </c>
    </row>
    <row r="3622">
      <c r="A3622" s="4" t="s">
        <v>4552</v>
      </c>
      <c r="B3622" s="4" t="s">
        <v>4555</v>
      </c>
      <c r="C3622" s="5" t="str">
        <f>IFERROR(__xludf.DUMMYFUNCTION("GOOGLETRANSLATE(B3622,""en"",""it"")"),"La donna nel tubo sta andando più lungo la corsia mentre agita le braccia.")</f>
        <v>La donna nel tubo sta andando più lungo la corsia mentre agita le braccia.</v>
      </c>
    </row>
    <row r="3623">
      <c r="A3623" s="4" t="s">
        <v>4556</v>
      </c>
      <c r="B3623" s="4" t="s">
        <v>4557</v>
      </c>
      <c r="C3623" s="5" t="str">
        <f>IFERROR(__xludf.DUMMYFUNCTION("GOOGLETRANSLATE(B3623,""en"",""it"")"),"Una donna è in piedi accanto a un cammello che tiene il guinzaglio.")</f>
        <v>Una donna è in piedi accanto a un cammello che tiene il guinzaglio.</v>
      </c>
    </row>
    <row r="3624">
      <c r="A3624" s="4" t="s">
        <v>4556</v>
      </c>
      <c r="B3624" s="4" t="s">
        <v>4558</v>
      </c>
      <c r="C3624" s="5" t="str">
        <f>IFERROR(__xludf.DUMMYFUNCTION("GOOGLETRANSLATE(B3624,""en"",""it"")"),"La donna si arrampicò sul cammello e il cammello si alzò.")</f>
        <v>La donna si arrampicò sul cammello e il cammello si alzò.</v>
      </c>
    </row>
    <row r="3625">
      <c r="A3625" s="4" t="s">
        <v>4556</v>
      </c>
      <c r="B3625" s="6" t="s">
        <v>4559</v>
      </c>
      <c r="C3625" s="5" t="str">
        <f>IFERROR(__xludf.DUMMYFUNCTION("GOOGLETRANSLATE(B3625,""en"",""it"")"),"Il cammello cammina e si fermò mentre la donna tirava il guinzaglio e il cammello si sedette e la donna scendeva dal cammello.")</f>
        <v>Il cammello cammina e si fermò mentre la donna tirava il guinzaglio e il cammello si sedette e la donna scendeva dal cammello.</v>
      </c>
    </row>
    <row r="3626">
      <c r="A3626" s="4" t="s">
        <v>4560</v>
      </c>
      <c r="B3626" s="4" t="s">
        <v>4561</v>
      </c>
      <c r="C3626" s="5" t="str">
        <f>IFERROR(__xludf.DUMMYFUNCTION("GOOGLETRANSLATE(B3626,""en"",""it"")"),"Il video mostra un baldacchino che rappresenta l'evento sport di montagna orientale.")</f>
        <v>Il video mostra un baldacchino che rappresenta l'evento sport di montagna orientale.</v>
      </c>
    </row>
    <row r="3627">
      <c r="A3627" s="4" t="s">
        <v>4560</v>
      </c>
      <c r="B3627" s="6" t="s">
        <v>4562</v>
      </c>
      <c r="C3627" s="5" t="str">
        <f>IFERROR(__xludf.DUMMYFUNCTION("GOOGLETRANSLATE(B3627,""en"",""it"")"),"Diversi giocatori si stanno preparando per l'evento sportivo in un ambiente all'aperto in una luminosa giornata di sole.")</f>
        <v>Diversi giocatori si stanno preparando per l'evento sportivo in un ambiente all'aperto in una luminosa giornata di sole.</v>
      </c>
    </row>
    <row r="3628">
      <c r="A3628" s="4" t="s">
        <v>4560</v>
      </c>
      <c r="B3628" s="4" t="s">
        <v>4563</v>
      </c>
      <c r="C3628" s="5" t="str">
        <f>IFERROR(__xludf.DUMMYFUNCTION("GOOGLETRANSLATE(B3628,""en"",""it"")"),"C'è un ragazzo in equilibrio su una corda stretta.")</f>
        <v>C'è un ragazzo in equilibrio su una corda stretta.</v>
      </c>
    </row>
    <row r="3629">
      <c r="A3629" s="4" t="s">
        <v>4560</v>
      </c>
      <c r="B3629" s="4" t="s">
        <v>4564</v>
      </c>
      <c r="C3629" s="5" t="str">
        <f>IFERROR(__xludf.DUMMYFUNCTION("GOOGLETRANSLATE(B3629,""en"",""it"")"),"Ci sono molti altri concorrenti che camminano sulla corda stretta.")</f>
        <v>Ci sono molti altri concorrenti che camminano sulla corda stretta.</v>
      </c>
    </row>
    <row r="3630">
      <c r="A3630" s="4" t="s">
        <v>4560</v>
      </c>
      <c r="B3630" s="4" t="s">
        <v>4565</v>
      </c>
      <c r="C3630" s="5" t="str">
        <f>IFERROR(__xludf.DUMMYFUNCTION("GOOGLETRANSLATE(B3630,""en"",""it"")"),"Diverse persone guardano i concorrenti esibirsi.")</f>
        <v>Diverse persone guardano i concorrenti esibirsi.</v>
      </c>
    </row>
    <row r="3631">
      <c r="A3631" s="4" t="s">
        <v>4560</v>
      </c>
      <c r="B3631" s="4" t="s">
        <v>4566</v>
      </c>
      <c r="C3631" s="5" t="str">
        <f>IFERROR(__xludf.DUMMYFUNCTION("GOOGLETRANSLATE(B3631,""en"",""it"")"),"Due persone giocano con un frisbee mentre una persona cammina sulla corda.")</f>
        <v>Due persone giocano con un frisbee mentre una persona cammina sulla corda.</v>
      </c>
    </row>
    <row r="3632">
      <c r="A3632" s="4" t="s">
        <v>4560</v>
      </c>
      <c r="B3632" s="4" t="s">
        <v>4567</v>
      </c>
      <c r="C3632" s="5" t="str">
        <f>IFERROR(__xludf.DUMMYFUNCTION("GOOGLETRANSLATE(B3632,""en"",""it"")"),"Una ragazza e un ragazzo provano la corda stretta insieme.")</f>
        <v>Una ragazza e un ragazzo provano la corda stretta insieme.</v>
      </c>
    </row>
    <row r="3633">
      <c r="A3633" s="4" t="s">
        <v>4560</v>
      </c>
      <c r="B3633" s="4" t="s">
        <v>4568</v>
      </c>
      <c r="C3633" s="5" t="str">
        <f>IFERROR(__xludf.DUMMYFUNCTION("GOOGLETRANSLATE(B3633,""en"",""it"")"),"Ci sono persone che si divertono su un'amaca.")</f>
        <v>Ci sono persone che si divertono su un'amaca.</v>
      </c>
    </row>
    <row r="3634">
      <c r="A3634" s="4" t="s">
        <v>4560</v>
      </c>
      <c r="B3634" s="4" t="s">
        <v>4569</v>
      </c>
      <c r="C3634" s="5" t="str">
        <f>IFERROR(__xludf.DUMMYFUNCTION("GOOGLETRANSLATE(B3634,""en"",""it"")"),"I crediti finali ringraziano le persone e gli organizzatori dell'evento.")</f>
        <v>I crediti finali ringraziano le persone e gli organizzatori dell'evento.</v>
      </c>
    </row>
    <row r="3635">
      <c r="A3635" s="4" t="s">
        <v>4570</v>
      </c>
      <c r="B3635" s="4" t="s">
        <v>4571</v>
      </c>
      <c r="C3635" s="5" t="str">
        <f>IFERROR(__xludf.DUMMYFUNCTION("GOOGLETRANSLATE(B3635,""en"",""it"")"),"Un'auto grigia è parcheggiata su un vialetto, quindi una persona lava i cerchioni dell'auto.")</f>
        <v>Un'auto grigia è parcheggiata su un vialetto, quindi una persona lava i cerchioni dell'auto.</v>
      </c>
    </row>
    <row r="3636">
      <c r="A3636" s="4" t="s">
        <v>4570</v>
      </c>
      <c r="B3636" s="6" t="s">
        <v>4572</v>
      </c>
      <c r="C3636" s="5" t="str">
        <f>IFERROR(__xludf.DUMMYFUNCTION("GOOGLETRANSLATE(B3636,""en"",""it"")"),"Dopo, la persona diffonde sapone sulla macchina con un giunto di bottiglia a un tubo, dopo aver spazzolato la luce anteriore della macchina.")</f>
        <v>Dopo, la persona diffonde sapone sulla macchina con un giunto di bottiglia a un tubo, dopo aver spazzolato la luce anteriore della macchina.</v>
      </c>
    </row>
    <row r="3637">
      <c r="A3637" s="4" t="s">
        <v>4570</v>
      </c>
      <c r="B3637" s="4" t="s">
        <v>4573</v>
      </c>
      <c r="C3637" s="5" t="str">
        <f>IFERROR(__xludf.DUMMYFUNCTION("GOOGLETRANSLATE(B3637,""en"",""it"")"),"Quindi, la persona pulisce il cofano con un panno.")</f>
        <v>Quindi, la persona pulisce il cofano con un panno.</v>
      </c>
    </row>
    <row r="3638">
      <c r="A3638" s="4" t="s">
        <v>4570</v>
      </c>
      <c r="B3638" s="4" t="s">
        <v>4574</v>
      </c>
      <c r="C3638" s="5" t="str">
        <f>IFERROR(__xludf.DUMMYFUNCTION("GOOGLETRANSLATE(B3638,""en"",""it"")"),"Successivamente, la persona sciacqua e asciuga l'auto.")</f>
        <v>Successivamente, la persona sciacqua e asciuga l'auto.</v>
      </c>
    </row>
    <row r="3639">
      <c r="A3639" s="4" t="s">
        <v>4575</v>
      </c>
      <c r="B3639" s="4" t="s">
        <v>4576</v>
      </c>
      <c r="C3639" s="5" t="str">
        <f>IFERROR(__xludf.DUMMYFUNCTION("GOOGLETRANSLATE(B3639,""en"",""it"")"),"Viene vista una persona con in mano una racchetta da tennis su un campo e colpisce la palla attraverso il campo.")</f>
        <v>Viene vista una persona con in mano una racchetta da tennis su un campo e colpisce la palla attraverso il campo.</v>
      </c>
    </row>
    <row r="3640">
      <c r="A3640" s="4" t="s">
        <v>4575</v>
      </c>
      <c r="B3640" s="4" t="s">
        <v>4577</v>
      </c>
      <c r="C3640" s="5" t="str">
        <f>IFERROR(__xludf.DUMMYFUNCTION("GOOGLETRANSLATE(B3640,""en"",""it"")"),"Quindi sorride e cammina verso la telecamera mentre indica la distanza e il pugno.")</f>
        <v>Quindi sorride e cammina verso la telecamera mentre indica la distanza e il pugno.</v>
      </c>
    </row>
    <row r="3641">
      <c r="A3641" s="4" t="s">
        <v>4578</v>
      </c>
      <c r="B3641" s="4" t="s">
        <v>4579</v>
      </c>
      <c r="C3641" s="5" t="str">
        <f>IFERROR(__xludf.DUMMYFUNCTION("GOOGLETRANSLATE(B3641,""en"",""it"")"),"Un gruppo di schermitori pose con un istruttore.")</f>
        <v>Un gruppo di schermitori pose con un istruttore.</v>
      </c>
    </row>
    <row r="3642">
      <c r="A3642" s="4" t="s">
        <v>4578</v>
      </c>
      <c r="B3642" s="4" t="s">
        <v>4580</v>
      </c>
      <c r="C3642" s="5" t="str">
        <f>IFERROR(__xludf.DUMMYFUNCTION("GOOGLETRANSLATE(B3642,""en"",""it"")"),"Gli schermieri sono mostrati all'interno di una palestra, esercitandosi.")</f>
        <v>Gli schermieri sono mostrati all'interno di una palestra, esercitandosi.</v>
      </c>
    </row>
    <row r="3643">
      <c r="A3643" s="4" t="s">
        <v>4578</v>
      </c>
      <c r="B3643" s="4" t="s">
        <v>4581</v>
      </c>
      <c r="C3643" s="5" t="str">
        <f>IFERROR(__xludf.DUMMYFUNCTION("GOOGLETRANSLATE(B3643,""en"",""it"")"),"Si muovono e fanno varie mosse tra loro durante la partita.")</f>
        <v>Si muovono e fanno varie mosse tra loro durante la partita.</v>
      </c>
    </row>
    <row r="3644">
      <c r="A3644" s="4" t="s">
        <v>4582</v>
      </c>
      <c r="B3644" s="4" t="s">
        <v>4583</v>
      </c>
      <c r="C3644" s="5" t="str">
        <f>IFERROR(__xludf.DUMMYFUNCTION("GOOGLETRANSLATE(B3644,""en"",""it"")"),"Una persona viene vista seduta in una scivolata e inizia a cavalcare lungo la diapositiva.")</f>
        <v>Una persona viene vista seduta in una scivolata e inizia a cavalcare lungo la diapositiva.</v>
      </c>
    </row>
    <row r="3645">
      <c r="A3645" s="4" t="s">
        <v>4582</v>
      </c>
      <c r="B3645" s="6" t="s">
        <v>4584</v>
      </c>
      <c r="C3645" s="5" t="str">
        <f>IFERROR(__xludf.DUMMYFUNCTION("GOOGLETRANSLATE(B3645,""en"",""it"")"),"Incontra un'altra persona in fondo mentre ride della telecamera e un'altra persona che corre dentro.")</f>
        <v>Incontra un'altra persona in fondo mentre ride della telecamera e un'altra persona che corre dentro.</v>
      </c>
    </row>
    <row r="3646">
      <c r="A3646" s="4" t="s">
        <v>4585</v>
      </c>
      <c r="B3646" s="4" t="s">
        <v>4586</v>
      </c>
      <c r="C3646" s="5" t="str">
        <f>IFERROR(__xludf.DUMMYFUNCTION("GOOGLETRANSLATE(B3646,""en"",""it"")"),"Una persona è in piedi su una tavola da immersione.")</f>
        <v>Una persona è in piedi su una tavola da immersione.</v>
      </c>
    </row>
    <row r="3647">
      <c r="A3647" s="4" t="s">
        <v>4585</v>
      </c>
      <c r="B3647" s="4" t="s">
        <v>4587</v>
      </c>
      <c r="C3647" s="5" t="str">
        <f>IFERROR(__xludf.DUMMYFUNCTION("GOOGLETRANSLATE(B3647,""en"",""it"")"),"Saltano giù dalla tavola da immersione in piscina.")</f>
        <v>Saltano giù dalla tavola da immersione in piscina.</v>
      </c>
    </row>
    <row r="3648">
      <c r="A3648" s="4" t="s">
        <v>4585</v>
      </c>
      <c r="B3648" s="4" t="s">
        <v>4588</v>
      </c>
      <c r="C3648" s="5" t="str">
        <f>IFERROR(__xludf.DUMMYFUNCTION("GOOGLETRANSLATE(B3648,""en"",""it"")"),"Cade all'indietro nell'acqua.")</f>
        <v>Cade all'indietro nell'acqua.</v>
      </c>
    </row>
    <row r="3649">
      <c r="A3649" s="4" t="s">
        <v>4585</v>
      </c>
      <c r="B3649" s="4" t="s">
        <v>4589</v>
      </c>
      <c r="C3649" s="5" t="str">
        <f>IFERROR(__xludf.DUMMYFUNCTION("GOOGLETRANSLATE(B3649,""en"",""it"")"),"Qualcuno sta saltando in acqua dalla tavola da immersione.")</f>
        <v>Qualcuno sta saltando in acqua dalla tavola da immersione.</v>
      </c>
    </row>
    <row r="3650">
      <c r="A3650" s="4" t="s">
        <v>4585</v>
      </c>
      <c r="B3650" s="4" t="s">
        <v>4590</v>
      </c>
      <c r="C3650" s="5" t="str">
        <f>IFERROR(__xludf.DUMMYFUNCTION("GOOGLETRANSLATE(B3650,""en"",""it"")"),"Una persona salta e va sotto l'acqua.")</f>
        <v>Una persona salta e va sotto l'acqua.</v>
      </c>
    </row>
    <row r="3651">
      <c r="A3651" s="4" t="s">
        <v>4585</v>
      </c>
      <c r="B3651" s="4" t="s">
        <v>4591</v>
      </c>
      <c r="C3651" s="5" t="str">
        <f>IFERROR(__xludf.DUMMYFUNCTION("GOOGLETRANSLATE(B3651,""en"",""it"")"),"Un uomo sta saltando in alto e fa un filo in acqua dalla tavola da immersione.")</f>
        <v>Un uomo sta saltando in alto e fa un filo in acqua dalla tavola da immersione.</v>
      </c>
    </row>
    <row r="3652">
      <c r="A3652" s="4" t="s">
        <v>4585</v>
      </c>
      <c r="B3652" s="4" t="s">
        <v>4592</v>
      </c>
      <c r="C3652" s="5" t="str">
        <f>IFERROR(__xludf.DUMMYFUNCTION("GOOGLETRANSLATE(B3652,""en"",""it"")"),"Una persona fa una caduta nera nell'acqua dalla tavola da immersione.")</f>
        <v>Una persona fa una caduta nera nell'acqua dalla tavola da immersione.</v>
      </c>
    </row>
    <row r="3653">
      <c r="A3653" s="4" t="s">
        <v>4593</v>
      </c>
      <c r="B3653" s="6" t="s">
        <v>4594</v>
      </c>
      <c r="C3653" s="5" t="str">
        <f>IFERROR(__xludf.DUMMYFUNCTION("GOOGLETRANSLATE(B3653,""en"",""it"")"),"Un piccolo terreno di persone si vede in piedi intorno a un campo da baseball che si guardano attorno.")</f>
        <v>Un piccolo terreno di persone si vede in piedi intorno a un campo da baseball che si guardano attorno.</v>
      </c>
    </row>
    <row r="3654">
      <c r="A3654" s="4" t="s">
        <v>4593</v>
      </c>
      <c r="B3654" s="4" t="s">
        <v>4595</v>
      </c>
      <c r="C3654" s="5" t="str">
        <f>IFERROR(__xludf.DUMMYFUNCTION("GOOGLETRANSLATE(B3654,""en"",""it"")"),"All'improvviso alcuni iniziano a ballare e uno tiene la palla nel mezzo.")</f>
        <v>All'improvviso alcuni iniziano a ballare e uno tiene la palla nel mezzo.</v>
      </c>
    </row>
    <row r="3655">
      <c r="A3655" s="4" t="s">
        <v>4596</v>
      </c>
      <c r="B3655" s="4" t="s">
        <v>4597</v>
      </c>
      <c r="C3655" s="5" t="str">
        <f>IFERROR(__xludf.DUMMYFUNCTION("GOOGLETRANSLATE(B3655,""en"",""it"")"),"Little Kid è in piedi davanti a un bancone con barattoli e ingegnosi di fronte a lei.")</f>
        <v>Little Kid è in piedi davanti a un bancone con barattoli e ingegnosi di fronte a lei.</v>
      </c>
    </row>
    <row r="3656">
      <c r="A3656" s="4" t="s">
        <v>4596</v>
      </c>
      <c r="B3656" s="6" t="s">
        <v>4598</v>
      </c>
      <c r="C3656" s="5" t="str">
        <f>IFERROR(__xludf.DUMMYFUNCTION("GOOGLETRANSLATE(B3656,""en"",""it"")"),"La donna mette lo zucchero in una padella con acqua e lo scalda, mette acqua e succo di limone e mescola tutti gli ingredienti in un barattolo.")</f>
        <v>La donna mette lo zucchero in una padella con acqua e lo scalda, mette acqua e succo di limone e mescola tutti gli ingredienti in un barattolo.</v>
      </c>
    </row>
    <row r="3657">
      <c r="A3657" s="4" t="s">
        <v>4599</v>
      </c>
      <c r="B3657" s="4" t="s">
        <v>4600</v>
      </c>
      <c r="C3657" s="5" t="str">
        <f>IFERROR(__xludf.DUMMYFUNCTION("GOOGLETRANSLATE(B3657,""en"",""it"")"),"Un ragazzo sta giocando con una palla.")</f>
        <v>Un ragazzo sta giocando con una palla.</v>
      </c>
    </row>
    <row r="3658">
      <c r="A3658" s="4" t="s">
        <v>4599</v>
      </c>
      <c r="B3658" s="4" t="s">
        <v>4601</v>
      </c>
      <c r="C3658" s="5" t="str">
        <f>IFERROR(__xludf.DUMMYFUNCTION("GOOGLETRANSLATE(B3658,""en"",""it"")"),"I bambini praticano lacrosse su un campo d'erba.")</f>
        <v>I bambini praticano lacrosse su un campo d'erba.</v>
      </c>
    </row>
    <row r="3659">
      <c r="A3659" s="4" t="s">
        <v>4599</v>
      </c>
      <c r="B3659" s="4" t="s">
        <v>4602</v>
      </c>
      <c r="C3659" s="5" t="str">
        <f>IFERROR(__xludf.DUMMYFUNCTION("GOOGLETRANSLATE(B3659,""en"",""it"")"),"Un uomo in una giacca nera li sta guardando giocare.")</f>
        <v>Un uomo in una giacca nera li sta guardando giocare.</v>
      </c>
    </row>
    <row r="3660">
      <c r="A3660" s="4" t="s">
        <v>4603</v>
      </c>
      <c r="B3660" s="4" t="s">
        <v>4604</v>
      </c>
      <c r="C3660" s="5" t="str">
        <f>IFERROR(__xludf.DUMMYFUNCTION("GOOGLETRANSLATE(B3660,""en"",""it"")"),"Ci sono molte persone in piedi all'aperto solo camminando e parlando.")</f>
        <v>Ci sono molte persone in piedi all'aperto solo camminando e parlando.</v>
      </c>
    </row>
    <row r="3661">
      <c r="A3661" s="4" t="s">
        <v>4603</v>
      </c>
      <c r="B3661" s="4" t="s">
        <v>4605</v>
      </c>
      <c r="C3661" s="5" t="str">
        <f>IFERROR(__xludf.DUMMYFUNCTION("GOOGLETRANSLATE(B3661,""en"",""it"")"),"Un bambino va dietro una scala e altre persone continuano a camminare.")</f>
        <v>Un bambino va dietro una scala e altre persone continuano a camminare.</v>
      </c>
    </row>
    <row r="3662">
      <c r="A3662" s="4" t="s">
        <v>4603</v>
      </c>
      <c r="B3662" s="6" t="s">
        <v>4606</v>
      </c>
      <c r="C3662" s="5" t="str">
        <f>IFERROR(__xludf.DUMMYFUNCTION("GOOGLETRANSLATE(B3662,""en"",""it"")"),"Una pinata scende dall'alto e colpisce il pinata usando un bastone e poi qualcuno esce con una ciotola piena di borse.")</f>
        <v>Una pinata scende dall'alto e colpisce il pinata usando un bastone e poi qualcuno esce con una ciotola piena di borse.</v>
      </c>
    </row>
    <row r="3663">
      <c r="A3663" s="4" t="s">
        <v>4607</v>
      </c>
      <c r="B3663" s="4" t="s">
        <v>4608</v>
      </c>
      <c r="C3663" s="5" t="str">
        <f>IFERROR(__xludf.DUMMYFUNCTION("GOOGLETRANSLATE(B3663,""en"",""it"")"),"C'è una linea di cammelli seduti a terra nell'area dell'Outback dell'Australia.")</f>
        <v>C'è una linea di cammelli seduti a terra nell'area dell'Outback dell'Australia.</v>
      </c>
    </row>
    <row r="3664">
      <c r="A3664" s="4" t="s">
        <v>4607</v>
      </c>
      <c r="B3664" s="4" t="s">
        <v>4609</v>
      </c>
      <c r="C3664" s="5" t="str">
        <f>IFERROR(__xludf.DUMMYFUNCTION("GOOGLETRANSLATE(B3664,""en"",""it"")"),"Ci sono turisti in attesa di salire sui cammelli per godersi un giro sul retro del cammello.")</f>
        <v>Ci sono turisti in attesa di salire sui cammelli per godersi un giro sul retro del cammello.</v>
      </c>
    </row>
    <row r="3665">
      <c r="A3665" s="4" t="s">
        <v>4607</v>
      </c>
      <c r="B3665" s="4" t="s">
        <v>4610</v>
      </c>
      <c r="C3665" s="5" t="str">
        <f>IFERROR(__xludf.DUMMYFUNCTION("GOOGLETRANSLATE(B3665,""en"",""it"")"),"Uomini con camicie rosse e cappelli da cowboy stanno aiutando i turisti a salire sulla schiena dei cammelli.")</f>
        <v>Uomini con camicie rosse e cappelli da cowboy stanno aiutando i turisti a salire sulla schiena dei cammelli.</v>
      </c>
    </row>
    <row r="3666">
      <c r="A3666" s="4" t="s">
        <v>4607</v>
      </c>
      <c r="B3666" s="4" t="s">
        <v>4611</v>
      </c>
      <c r="C3666" s="5" t="str">
        <f>IFERROR(__xludf.DUMMYFUNCTION("GOOGLETRANSLATE(B3666,""en"",""it"")"),"I cammelli si alzano lentamente e iniziano a camminare con i turisti sulla schiena.")</f>
        <v>I cammelli si alzano lentamente e iniziano a camminare con i turisti sulla schiena.</v>
      </c>
    </row>
    <row r="3667">
      <c r="A3667" s="4" t="s">
        <v>4607</v>
      </c>
      <c r="B3667" s="4" t="s">
        <v>4612</v>
      </c>
      <c r="C3667" s="5" t="str">
        <f>IFERROR(__xludf.DUMMYFUNCTION("GOOGLETRANSLATE(B3667,""en"",""it"")"),"I turisti sono felici mentre salutano la telecamera mentre si godono il giro in cammello.")</f>
        <v>I turisti sono felici mentre salutano la telecamera mentre si godono il giro in cammello.</v>
      </c>
    </row>
    <row r="3668">
      <c r="A3668" s="4" t="s">
        <v>4607</v>
      </c>
      <c r="B3668" s="4" t="s">
        <v>4613</v>
      </c>
      <c r="C3668" s="5" t="str">
        <f>IFERROR(__xludf.DUMMYFUNCTION("GOOGLETRANSLATE(B3668,""en"",""it"")"),"I cammelli camminano lentamente attraverso le praterie asciutte e fangose.")</f>
        <v>I cammelli camminano lentamente attraverso le praterie asciutte e fangose.</v>
      </c>
    </row>
    <row r="3669">
      <c r="A3669" s="4" t="s">
        <v>4607</v>
      </c>
      <c r="B3669" s="6" t="s">
        <v>4614</v>
      </c>
      <c r="C3669" s="5" t="str">
        <f>IFERROR(__xludf.DUMMYFUNCTION("GOOGLETRANSLATE(B3669,""en"",""it"")"),"Quindi i turisti scendono dai cammelli e camminano verso una sala da pranzo all'aperto dove sono organizzati diversi tavoli con tovaglie bianche e stoviglie.")</f>
        <v>Quindi i turisti scendono dai cammelli e camminano verso una sala da pranzo all'aperto dove sono organizzati diversi tavoli con tovaglie bianche e stoviglie.</v>
      </c>
    </row>
    <row r="3670">
      <c r="A3670" s="4" t="s">
        <v>4615</v>
      </c>
      <c r="B3670" s="4" t="s">
        <v>4616</v>
      </c>
      <c r="C3670" s="5" t="str">
        <f>IFERROR(__xludf.DUMMYFUNCTION("GOOGLETRANSLATE(B3670,""en"",""it"")"),"Un bicchiere di Martini è pieno di vodka.")</f>
        <v>Un bicchiere di Martini è pieno di vodka.</v>
      </c>
    </row>
    <row r="3671">
      <c r="A3671" s="4" t="s">
        <v>4615</v>
      </c>
      <c r="B3671" s="4" t="s">
        <v>4617</v>
      </c>
      <c r="C3671" s="5" t="str">
        <f>IFERROR(__xludf.DUMMYFUNCTION("GOOGLETRANSLATE(B3671,""en"",""it"")"),"Una donna è mostrata dietro una barra con diverse bottiglie di alcol.")</f>
        <v>Una donna è mostrata dietro una barra con diverse bottiglie di alcol.</v>
      </c>
    </row>
    <row r="3672">
      <c r="A3672" s="4" t="s">
        <v>4615</v>
      </c>
      <c r="B3672" s="4" t="s">
        <v>4618</v>
      </c>
      <c r="C3672" s="5" t="str">
        <f>IFERROR(__xludf.DUMMYFUNCTION("GOOGLETRANSLATE(B3672,""en"",""it"")"),"Li mescola insieme, quindi decora l'ultima bevanda.")</f>
        <v>Li mescola insieme, quindi decora l'ultima bevanda.</v>
      </c>
    </row>
    <row r="3673">
      <c r="A3673" s="4" t="s">
        <v>4619</v>
      </c>
      <c r="B3673" s="4" t="s">
        <v>4620</v>
      </c>
      <c r="C3673" s="5" t="str">
        <f>IFERROR(__xludf.DUMMYFUNCTION("GOOGLETRANSLATE(B3673,""en"",""it"")"),"Una persona mostra come pulire le finestre grandi.")</f>
        <v>Una persona mostra come pulire le finestre grandi.</v>
      </c>
    </row>
    <row r="3674">
      <c r="A3674" s="4" t="s">
        <v>4619</v>
      </c>
      <c r="B3674" s="4" t="s">
        <v>4621</v>
      </c>
      <c r="C3674" s="5" t="str">
        <f>IFERROR(__xludf.DUMMYFUNCTION("GOOGLETRANSLATE(B3674,""en"",""it"")"),"Prima viene applicato il sapone, quindi viene raschiato.")</f>
        <v>Prima viene applicato il sapone, quindi viene raschiato.</v>
      </c>
    </row>
    <row r="3675">
      <c r="A3675" s="4" t="s">
        <v>4619</v>
      </c>
      <c r="B3675" s="4" t="s">
        <v>4622</v>
      </c>
      <c r="C3675" s="5" t="str">
        <f>IFERROR(__xludf.DUMMYFUNCTION("GOOGLETRANSLATE(B3675,""en"",""it"")"),"Il processo viene ripetuto e finito.")</f>
        <v>Il processo viene ripetuto e finito.</v>
      </c>
    </row>
    <row r="3676">
      <c r="A3676" s="4" t="s">
        <v>4623</v>
      </c>
      <c r="B3676" s="4" t="s">
        <v>4624</v>
      </c>
      <c r="C3676" s="5" t="str">
        <f>IFERROR(__xludf.DUMMYFUNCTION("GOOGLETRANSLATE(B3676,""en"",""it"")"),"Un uomo viene visto turbinare un bastone intorno a una pentola mentre un ragazzo sul lato lo guarda lavorare.")</f>
        <v>Un uomo viene visto turbinare un bastone intorno a una pentola mentre un ragazzo sul lato lo guarda lavorare.</v>
      </c>
    </row>
    <row r="3677">
      <c r="A3677" s="4" t="s">
        <v>4623</v>
      </c>
      <c r="B3677" s="4" t="s">
        <v>4625</v>
      </c>
      <c r="C3677" s="5" t="str">
        <f>IFERROR(__xludf.DUMMYFUNCTION("GOOGLETRANSLATE(B3677,""en"",""it"")"),"L'uomo prende in giro il ragazzo con un cono e lascia che il ragazzo lo abbia, solo per essere portato di nuovo via.")</f>
        <v>L'uomo prende in giro il ragazzo con un cono e lascia che il ragazzo lo abbia, solo per essere portato di nuovo via.</v>
      </c>
    </row>
    <row r="3678">
      <c r="A3678" s="4" t="s">
        <v>4623</v>
      </c>
      <c r="B3678" s="6" t="s">
        <v>4626</v>
      </c>
      <c r="C3678" s="5" t="str">
        <f>IFERROR(__xludf.DUMMYFUNCTION("GOOGLETRANSLATE(B3678,""en"",""it"")"),"L'uomo quindi mette il gelato sul cono e sorride al ragazzo mentre si allontana e l'orologio di altri.")</f>
        <v>L'uomo quindi mette il gelato sul cono e sorride al ragazzo mentre si allontana e l'orologio di altri.</v>
      </c>
    </row>
    <row r="3679">
      <c r="A3679" s="4" t="s">
        <v>4627</v>
      </c>
      <c r="B3679" s="6" t="s">
        <v>4628</v>
      </c>
      <c r="C3679" s="5" t="str">
        <f>IFERROR(__xludf.DUMMYFUNCTION("GOOGLETRANSLATE(B3679,""en"",""it"")"),"Un giocatore di basket viene visto saltare sotto una rete da palla da basket e sparare a una palla continuamente in rete.")</f>
        <v>Un giocatore di basket viene visto saltare sotto una rete da palla da basket e sparare a una palla continuamente in rete.</v>
      </c>
    </row>
    <row r="3680">
      <c r="A3680" s="4" t="s">
        <v>4627</v>
      </c>
      <c r="B3680" s="4" t="s">
        <v>4629</v>
      </c>
      <c r="C3680" s="5" t="str">
        <f>IFERROR(__xludf.DUMMYFUNCTION("GOOGLETRANSLATE(B3680,""en"",""it"")"),"Continua a girare e il video termina con vari testo sullo schermo.")</f>
        <v>Continua a girare e il video termina con vari testo sullo schermo.</v>
      </c>
    </row>
    <row r="3681">
      <c r="A3681" s="4" t="s">
        <v>4630</v>
      </c>
      <c r="B3681" s="4" t="s">
        <v>4631</v>
      </c>
      <c r="C3681" s="5" t="str">
        <f>IFERROR(__xludf.DUMMYFUNCTION("GOOGLETRANSLATE(B3681,""en"",""it"")"),"Una persona tiene fuori il prodotto di pulizia e un flacone spray con la miscela su un lavello della cucina.")</f>
        <v>Una persona tiene fuori il prodotto di pulizia e un flacone spray con la miscela su un lavello della cucina.</v>
      </c>
    </row>
    <row r="3682">
      <c r="A3682" s="4" t="s">
        <v>4630</v>
      </c>
      <c r="B3682" s="4" t="s">
        <v>4632</v>
      </c>
      <c r="C3682" s="5" t="str">
        <f>IFERROR(__xludf.DUMMYFUNCTION("GOOGLETRANSLATE(B3682,""en"",""it"")"),"La persona spruzza il lavello in acciaio inossidabile con detergente in un flacone spray.")</f>
        <v>La persona spruzza il lavello in acciaio inossidabile con detergente in un flacone spray.</v>
      </c>
    </row>
    <row r="3683">
      <c r="A3683" s="4" t="s">
        <v>4630</v>
      </c>
      <c r="B3683" s="4" t="s">
        <v>4633</v>
      </c>
      <c r="C3683" s="5" t="str">
        <f>IFERROR(__xludf.DUMMYFUNCTION("GOOGLETRANSLATE(B3683,""en"",""it"")"),"Una spugna viene utilizzata per strofinare il canto con la soluzione di pulizia.")</f>
        <v>Una spugna viene utilizzata per strofinare il canto con la soluzione di pulizia.</v>
      </c>
    </row>
    <row r="3684">
      <c r="A3684" s="4" t="s">
        <v>4630</v>
      </c>
      <c r="B3684" s="4" t="s">
        <v>4634</v>
      </c>
      <c r="C3684" s="5" t="str">
        <f>IFERROR(__xludf.DUMMYFUNCTION("GOOGLETRANSLATE(B3684,""en"",""it"")"),"Il rubinetto è acceso e viene utilizzato per sciacquare il lavandino.")</f>
        <v>Il rubinetto è acceso e viene utilizzato per sciacquare il lavandino.</v>
      </c>
    </row>
    <row r="3685">
      <c r="A3685" s="4" t="s">
        <v>4635</v>
      </c>
      <c r="B3685" s="4" t="s">
        <v>4636</v>
      </c>
      <c r="C3685" s="5" t="str">
        <f>IFERROR(__xludf.DUMMYFUNCTION("GOOGLETRANSLATE(B3685,""en"",""it"")"),"Viene mostrato un bambino in uno schermo e qualcuno colpisce lo schermo con un martello.")</f>
        <v>Viene mostrato un bambino in uno schermo e qualcuno colpisce lo schermo con un martello.</v>
      </c>
    </row>
    <row r="3686">
      <c r="A3686" s="4" t="s">
        <v>4635</v>
      </c>
      <c r="B3686" s="4" t="s">
        <v>4637</v>
      </c>
      <c r="C3686" s="5" t="str">
        <f>IFERROR(__xludf.DUMMYFUNCTION("GOOGLETRANSLATE(B3686,""en"",""it"")"),"L'uomo sta facendo lo skateboard e sta abbassando la tavola in luoghi diversi.")</f>
        <v>L'uomo sta facendo lo skateboard e sta abbassando la tavola in luoghi diversi.</v>
      </c>
    </row>
    <row r="3687">
      <c r="A3687" s="4" t="s">
        <v>4635</v>
      </c>
      <c r="B3687" s="4" t="s">
        <v>4638</v>
      </c>
      <c r="C3687" s="5" t="str">
        <f>IFERROR(__xludf.DUMMYFUNCTION("GOOGLETRANSLATE(B3687,""en"",""it"")"),"L'uomo sta skateboard che scende da scale e cade.")</f>
        <v>L'uomo sta skateboard che scende da scale e cade.</v>
      </c>
    </row>
    <row r="3688">
      <c r="A3688" s="4" t="s">
        <v>4635</v>
      </c>
      <c r="B3688" s="4" t="s">
        <v>4639</v>
      </c>
      <c r="C3688" s="5" t="str">
        <f>IFERROR(__xludf.DUMMYFUNCTION("GOOGLETRANSLATE(B3688,""en"",""it"")"),"L'uomo sta skateboard su un binario di cemento alle scale.")</f>
        <v>L'uomo sta skateboard su un binario di cemento alle scale.</v>
      </c>
    </row>
    <row r="3689">
      <c r="A3689" s="4" t="s">
        <v>4640</v>
      </c>
      <c r="B3689" s="4" t="s">
        <v>4641</v>
      </c>
      <c r="C3689" s="5" t="str">
        <f>IFERROR(__xludf.DUMMYFUNCTION("GOOGLETRANSLATE(B3689,""en"",""it"")"),"Un reporter intervista due ragazzi e un bambino.")</f>
        <v>Un reporter intervista due ragazzi e un bambino.</v>
      </c>
    </row>
    <row r="3690">
      <c r="A3690" s="4" t="s">
        <v>4640</v>
      </c>
      <c r="B3690" s="4" t="s">
        <v>4642</v>
      </c>
      <c r="C3690" s="5" t="str">
        <f>IFERROR(__xludf.DUMMYFUNCTION("GOOGLETRANSLATE(B3690,""en"",""it"")"),"Quindi, i ragazzi grandi e i ragazzini giocano a un tavolo da calcio mentre il giornalista continua l'intervista.")</f>
        <v>Quindi, i ragazzi grandi e i ragazzini giocano a un tavolo da calcio mentre il giornalista continua l'intervista.</v>
      </c>
    </row>
    <row r="3691">
      <c r="A3691" s="4" t="s">
        <v>4643</v>
      </c>
      <c r="B3691" s="4" t="s">
        <v>4644</v>
      </c>
      <c r="C3691" s="5" t="str">
        <f>IFERROR(__xludf.DUMMYFUNCTION("GOOGLETRANSLATE(B3691,""en"",""it"")"),"Le giovani giocatrici corrono intorno al campo lanciando la palla l'una sull'altra.")</f>
        <v>Le giovani giocatrici corrono intorno al campo lanciando la palla l'una sull'altra.</v>
      </c>
    </row>
    <row r="3692">
      <c r="A3692" s="4" t="s">
        <v>4643</v>
      </c>
      <c r="B3692" s="4" t="s">
        <v>4645</v>
      </c>
      <c r="C3692" s="5" t="str">
        <f>IFERROR(__xludf.DUMMYFUNCTION("GOOGLETRANSLATE(B3692,""en"",""it"")"),"Alcuni giocatori stanno evitando la palla, quindi continuano a correre.")</f>
        <v>Alcuni giocatori stanno evitando la palla, quindi continuano a correre.</v>
      </c>
    </row>
    <row r="3693">
      <c r="A3693" s="4" t="s">
        <v>4643</v>
      </c>
      <c r="B3693" s="4" t="s">
        <v>4646</v>
      </c>
      <c r="C3693" s="5" t="str">
        <f>IFERROR(__xludf.DUMMYFUNCTION("GOOGLETRANSLATE(B3693,""en"",""it"")"),"Le giocatrici hanno camminato mentre calciavano la palla da una parte all'altra.")</f>
        <v>Le giocatrici hanno camminato mentre calciavano la palla da una parte all'altra.</v>
      </c>
    </row>
    <row r="3694">
      <c r="A3694" s="4" t="s">
        <v>4643</v>
      </c>
      <c r="B3694" s="4" t="s">
        <v>4647</v>
      </c>
      <c r="C3694" s="5" t="str">
        <f>IFERROR(__xludf.DUMMYFUNCTION("GOOGLETRANSLATE(B3694,""en"",""it"")"),"I giocatori hanno preso a calci la palla alla persona successiva dalla parte opposta del campo.")</f>
        <v>I giocatori hanno preso a calci la palla alla persona successiva dalla parte opposta del campo.</v>
      </c>
    </row>
    <row r="3695">
      <c r="A3695" s="4" t="s">
        <v>4648</v>
      </c>
      <c r="B3695" s="6" t="s">
        <v>4649</v>
      </c>
      <c r="C3695" s="5" t="str">
        <f>IFERROR(__xludf.DUMMYFUNCTION("GOOGLETRANSLATE(B3695,""en"",""it"")"),"Un piccolo gruppo di persone viene visto andare in bici uno accanto all'altro mentre una donna si trova nel mezzo motivandole.")</f>
        <v>Un piccolo gruppo di persone viene visto andare in bici uno accanto all'altro mentre una donna si trova nel mezzo motivandole.</v>
      </c>
    </row>
    <row r="3696">
      <c r="A3696" s="4" t="s">
        <v>4648</v>
      </c>
      <c r="B3696" s="6" t="s">
        <v>4650</v>
      </c>
      <c r="C3696" s="5" t="str">
        <f>IFERROR(__xludf.DUMMYFUNCTION("GOOGLETRANSLATE(B3696,""en"",""it"")"),"Le persone continuano a girare in bici con alcune in difficoltà e altri continuano a spacciare.")</f>
        <v>Le persone continuano a girare in bici con alcune in difficoltà e altri continuano a spacciare.</v>
      </c>
    </row>
    <row r="3697">
      <c r="A3697" s="4" t="s">
        <v>4651</v>
      </c>
      <c r="B3697" s="6" t="s">
        <v>4652</v>
      </c>
      <c r="C3697" s="5" t="str">
        <f>IFERROR(__xludf.DUMMYFUNCTION("GOOGLETRANSLATE(B3697,""en"",""it"")"),"Una donna viene vista spazzolare abbondanti quantità di capelli dal corpo di un cane e raccogliere la pelliccia in mano.")</f>
        <v>Una donna viene vista spazzolare abbondanti quantità di capelli dal corpo di un cane e raccogliere la pelliccia in mano.</v>
      </c>
    </row>
    <row r="3698">
      <c r="A3698" s="4" t="s">
        <v>4651</v>
      </c>
      <c r="B3698" s="4" t="s">
        <v>4653</v>
      </c>
      <c r="C3698" s="5" t="str">
        <f>IFERROR(__xludf.DUMMYFUNCTION("GOOGLETRANSLATE(B3698,""en"",""it"")"),"Il cane si muove un po 'la gamba mentre la donna continua a sfiorare e guarda indietro per guardare il suo pennello.")</f>
        <v>Il cane si muove un po 'la gamba mentre la donna continua a sfiorare e guarda indietro per guardare il suo pennello.</v>
      </c>
    </row>
    <row r="3699">
      <c r="A3699" s="4" t="s">
        <v>4654</v>
      </c>
      <c r="B3699" s="4" t="s">
        <v>4655</v>
      </c>
      <c r="C3699" s="5" t="str">
        <f>IFERROR(__xludf.DUMMYFUNCTION("GOOGLETRANSLATE(B3699,""en"",""it"")"),"Una persona corre lungo una pista e lancia un giavellotto.")</f>
        <v>Una persona corre lungo una pista e lancia un giavellotto.</v>
      </c>
    </row>
    <row r="3700">
      <c r="A3700" s="4" t="s">
        <v>4654</v>
      </c>
      <c r="B3700" s="4" t="s">
        <v>4656</v>
      </c>
      <c r="C3700" s="5" t="str">
        <f>IFERROR(__xludf.DUMMYFUNCTION("GOOGLETRANSLATE(B3700,""en"",""it"")"),"Un'altra persona corre lungo la pista e lancia un giavellotto.")</f>
        <v>Un'altra persona corre lungo la pista e lancia un giavellotto.</v>
      </c>
    </row>
    <row r="3701">
      <c r="A3701" s="4" t="s">
        <v>4657</v>
      </c>
      <c r="B3701" s="4" t="s">
        <v>1251</v>
      </c>
      <c r="C3701" s="5" t="str">
        <f>IFERROR(__xludf.DUMMYFUNCTION("GOOGLETRANSLATE(B3701,""en"",""it"")"),"Vengono visualizzati i crediti della clip.")</f>
        <v>Vengono visualizzati i crediti della clip.</v>
      </c>
    </row>
    <row r="3702">
      <c r="A3702" s="4" t="s">
        <v>4657</v>
      </c>
      <c r="B3702" s="4" t="s">
        <v>4658</v>
      </c>
      <c r="C3702" s="5" t="str">
        <f>IFERROR(__xludf.DUMMYFUNCTION("GOOGLETRANSLATE(B3702,""en"",""it"")"),"La signora si muove i capelli da un lato all'altro.")</f>
        <v>La signora si muove i capelli da un lato all'altro.</v>
      </c>
    </row>
    <row r="3703">
      <c r="A3703" s="4" t="s">
        <v>4657</v>
      </c>
      <c r="B3703" s="4" t="s">
        <v>4659</v>
      </c>
      <c r="C3703" s="5" t="str">
        <f>IFERROR(__xludf.DUMMYFUNCTION("GOOGLETRANSLATE(B3703,""en"",""it"")"),"La signora parte i suoi capelli.")</f>
        <v>La signora parte i suoi capelli.</v>
      </c>
    </row>
    <row r="3704">
      <c r="A3704" s="4" t="s">
        <v>4657</v>
      </c>
      <c r="B3704" s="4" t="s">
        <v>4660</v>
      </c>
      <c r="C3704" s="5" t="str">
        <f>IFERROR(__xludf.DUMMYFUNCTION("GOOGLETRANSLATE(B3704,""en"",""it"")"),"La signora si lava i capelli, si applica il gel ai capelli divisi e inizia a intrecciare i capelli.")</f>
        <v>La signora si lava i capelli, si applica il gel ai capelli divisi e inizia a intrecciare i capelli.</v>
      </c>
    </row>
    <row r="3705">
      <c r="A3705" s="4" t="s">
        <v>4657</v>
      </c>
      <c r="B3705" s="4" t="s">
        <v>4661</v>
      </c>
      <c r="C3705" s="5" t="str">
        <f>IFERROR(__xludf.DUMMYFUNCTION("GOOGLETRANSLATE(B3705,""en"",""it"")"),"La signora mette i capelli legali intorno alle due trecce.")</f>
        <v>La signora mette i capelli legali intorno alle due trecce.</v>
      </c>
    </row>
    <row r="3706">
      <c r="A3706" s="4" t="s">
        <v>4657</v>
      </c>
      <c r="B3706" s="4" t="s">
        <v>4662</v>
      </c>
      <c r="C3706" s="5" t="str">
        <f>IFERROR(__xludf.DUMMYFUNCTION("GOOGLETRANSLATE(B3706,""en"",""it"")"),"La signora si mette un cappello in testa.")</f>
        <v>La signora si mette un cappello in testa.</v>
      </c>
    </row>
    <row r="3707">
      <c r="A3707" s="4" t="s">
        <v>4657</v>
      </c>
      <c r="B3707" s="4" t="s">
        <v>4663</v>
      </c>
      <c r="C3707" s="5" t="str">
        <f>IFERROR(__xludf.DUMMYFUNCTION("GOOGLETRANSLATE(B3707,""en"",""it"")"),"La signora dà un segno di pace e onde.")</f>
        <v>La signora dà un segno di pace e onde.</v>
      </c>
    </row>
    <row r="3708">
      <c r="A3708" s="4" t="s">
        <v>4657</v>
      </c>
      <c r="B3708" s="4" t="s">
        <v>573</v>
      </c>
      <c r="C3708" s="5" t="str">
        <f>IFERROR(__xludf.DUMMYFUNCTION("GOOGLETRANSLATE(B3708,""en"",""it"")"),"Vengono visualizzati i crediti del video.")</f>
        <v>Vengono visualizzati i crediti del video.</v>
      </c>
    </row>
    <row r="3709">
      <c r="A3709" s="4" t="s">
        <v>4664</v>
      </c>
      <c r="B3709" s="4" t="s">
        <v>4665</v>
      </c>
      <c r="C3709" s="5" t="str">
        <f>IFERROR(__xludf.DUMMYFUNCTION("GOOGLETRANSLATE(B3709,""en"",""it"")"),"Le persone ballano e coreografano una routine.")</f>
        <v>Le persone ballano e coreografano una routine.</v>
      </c>
    </row>
    <row r="3710">
      <c r="A3710" s="4" t="s">
        <v>4664</v>
      </c>
      <c r="B3710" s="4" t="s">
        <v>4666</v>
      </c>
      <c r="C3710" s="5" t="str">
        <f>IFERROR(__xludf.DUMMYFUNCTION("GOOGLETRANSLATE(B3710,""en"",""it"")"),"Saltano intorno e battono alla fine.")</f>
        <v>Saltano intorno e battono alla fine.</v>
      </c>
    </row>
    <row r="3711">
      <c r="A3711" s="4" t="s">
        <v>4667</v>
      </c>
      <c r="B3711" s="4" t="s">
        <v>4668</v>
      </c>
      <c r="C3711" s="5" t="str">
        <f>IFERROR(__xludf.DUMMYFUNCTION("GOOGLETRANSLATE(B3711,""en"",""it"")"),"Un uomo viene visto in ginocchio in un grande campo attorno a piccoli alberi e tiene un bastone.")</f>
        <v>Un uomo viene visto in ginocchio in un grande campo attorno a piccoli alberi e tiene un bastone.</v>
      </c>
    </row>
    <row r="3712">
      <c r="A3712" s="4" t="s">
        <v>4667</v>
      </c>
      <c r="B3712" s="4" t="s">
        <v>4669</v>
      </c>
      <c r="C3712" s="5" t="str">
        <f>IFERROR(__xludf.DUMMYFUNCTION("GOOGLETRANSLATE(B3712,""en"",""it"")"),"L'uomo quindi agita il bastone lungo l'erba e muovendo le braccia indietro e quarto.")</f>
        <v>L'uomo quindi agita il bastone lungo l'erba e muovendo le braccia indietro e quarto.</v>
      </c>
    </row>
    <row r="3713">
      <c r="A3713" s="4" t="s">
        <v>4670</v>
      </c>
      <c r="B3713" s="4" t="s">
        <v>4671</v>
      </c>
      <c r="C3713" s="5" t="str">
        <f>IFERROR(__xludf.DUMMYFUNCTION("GOOGLETRANSLATE(B3713,""en"",""it"")"),"Una persona seduta su una canoa si sta lentamente trasmettendo lungo un fiume.")</f>
        <v>Una persona seduta su una canoa si sta lentamente trasmettendo lungo un fiume.</v>
      </c>
    </row>
    <row r="3714">
      <c r="A3714" s="4" t="s">
        <v>4670</v>
      </c>
      <c r="B3714" s="4" t="s">
        <v>4672</v>
      </c>
      <c r="C3714" s="5" t="str">
        <f>IFERROR(__xludf.DUMMYFUNCTION("GOOGLETRANSLATE(B3714,""en"",""it"")"),"Un colpo di uccello è visto in lontananza, così come un altro uccello.")</f>
        <v>Un colpo di uccello è visto in lontananza, così come un altro uccello.</v>
      </c>
    </row>
    <row r="3715">
      <c r="A3715" s="4" t="s">
        <v>4670</v>
      </c>
      <c r="B3715" s="4" t="s">
        <v>4673</v>
      </c>
      <c r="C3715" s="5" t="str">
        <f>IFERROR(__xludf.DUMMYFUNCTION("GOOGLETRANSLATE(B3715,""en"",""it"")"),"La canoa continua a galleggiare mentre vari uccelli sono mostrati seduti nell'acqua e negli alberi.")</f>
        <v>La canoa continua a galleggiare mentre vari uccelli sono mostrati seduti nell'acqua e negli alberi.</v>
      </c>
    </row>
    <row r="3716">
      <c r="A3716" s="4" t="s">
        <v>4674</v>
      </c>
      <c r="B3716" s="4" t="s">
        <v>4675</v>
      </c>
      <c r="C3716" s="5" t="str">
        <f>IFERROR(__xludf.DUMMYFUNCTION("GOOGLETRANSLATE(B3716,""en"",""it"")"),"Un giovane è seduto in una stanza a parlare con altre tre persone che servono come ancore di notizie.")</f>
        <v>Un giovane è seduto in una stanza a parlare con altre tre persone che servono come ancore di notizie.</v>
      </c>
    </row>
    <row r="3717">
      <c r="A3717" s="4" t="s">
        <v>4674</v>
      </c>
      <c r="B3717" s="4" t="s">
        <v>4676</v>
      </c>
      <c r="C3717" s="5" t="str">
        <f>IFERROR(__xludf.DUMMYFUNCTION("GOOGLETRANSLATE(B3717,""en"",""it"")"),"Il video si avvicina quindi a un bar e mostra a Obama che gioca a pool.")</f>
        <v>Il video si avvicina quindi a un bar e mostra a Obama che gioca a pool.</v>
      </c>
    </row>
    <row r="3718">
      <c r="A3718" s="4" t="s">
        <v>4674</v>
      </c>
      <c r="B3718" s="4" t="s">
        <v>4677</v>
      </c>
      <c r="C3718" s="5" t="str">
        <f>IFERROR(__xludf.DUMMYFUNCTION("GOOGLETRANSLATE(B3718,""en"",""it"")"),"Dopo, le quattro persone iniziano a parlare di nuovo dell'ex presidente e del suo abbigliamento.")</f>
        <v>Dopo, le quattro persone iniziano a parlare di nuovo dell'ex presidente e del suo abbigliamento.</v>
      </c>
    </row>
    <row r="3719">
      <c r="A3719" s="4" t="s">
        <v>4678</v>
      </c>
      <c r="B3719" s="4" t="s">
        <v>4679</v>
      </c>
      <c r="C3719" s="5" t="str">
        <f>IFERROR(__xludf.DUMMYFUNCTION("GOOGLETRANSLATE(B3719,""en"",""it"")"),"Un cortile visto appare con diverse persone fuori.")</f>
        <v>Un cortile visto appare con diverse persone fuori.</v>
      </c>
    </row>
    <row r="3720">
      <c r="A3720" s="4" t="s">
        <v>4678</v>
      </c>
      <c r="B3720" s="4" t="s">
        <v>4680</v>
      </c>
      <c r="C3720" s="5" t="str">
        <f>IFERROR(__xludf.DUMMYFUNCTION("GOOGLETRANSLATE(B3720,""en"",""it"")"),"La gente sta giocando una partita di croquette, a turno con la mazza e colpendo le palle.")</f>
        <v>La gente sta giocando una partita di croquette, a turno con la mazza e colpendo le palle.</v>
      </c>
    </row>
    <row r="3721">
      <c r="A3721" s="4" t="s">
        <v>4681</v>
      </c>
      <c r="B3721" s="4" t="s">
        <v>4682</v>
      </c>
      <c r="C3721" s="5" t="str">
        <f>IFERROR(__xludf.DUMMYFUNCTION("GOOGLETRANSLATE(B3721,""en"",""it"")"),"Le persone si tuffano in una piscina.")</f>
        <v>Le persone si tuffano in una piscina.</v>
      </c>
    </row>
    <row r="3722">
      <c r="A3722" s="4" t="s">
        <v>4681</v>
      </c>
      <c r="B3722" s="4" t="s">
        <v>4683</v>
      </c>
      <c r="C3722" s="5" t="str">
        <f>IFERROR(__xludf.DUMMYFUNCTION("GOOGLETRANSLATE(B3722,""en"",""it"")"),"Le persone sono in piedi in una piscina.")</f>
        <v>Le persone sono in piedi in una piscina.</v>
      </c>
    </row>
    <row r="3723">
      <c r="A3723" s="4" t="s">
        <v>4681</v>
      </c>
      <c r="B3723" s="4" t="s">
        <v>4684</v>
      </c>
      <c r="C3723" s="5" t="str">
        <f>IFERROR(__xludf.DUMMYFUNCTION("GOOGLETRANSLATE(B3723,""en"",""it"")"),"Le ragazze ballano sul prato in tute da nuoto.")</f>
        <v>Le ragazze ballano sul prato in tute da nuoto.</v>
      </c>
    </row>
    <row r="3724">
      <c r="A3724" s="4" t="s">
        <v>4681</v>
      </c>
      <c r="B3724" s="4" t="s">
        <v>4685</v>
      </c>
      <c r="C3724" s="5" t="str">
        <f>IFERROR(__xludf.DUMMYFUNCTION("GOOGLETRANSLATE(B3724,""en"",""it"")"),"Le persone saltano su e giù in una piscina con le braccia l'una intorno all'altra.")</f>
        <v>Le persone saltano su e giù in una piscina con le braccia l'una intorno all'altra.</v>
      </c>
    </row>
    <row r="3725">
      <c r="A3725" s="4" t="s">
        <v>4681</v>
      </c>
      <c r="B3725" s="4" t="s">
        <v>4686</v>
      </c>
      <c r="C3725" s="5" t="str">
        <f>IFERROR(__xludf.DUMMYFUNCTION("GOOGLETRANSLATE(B3725,""en"",""it"")"),"Le persone iniziano a giocare a polo d'acqua in piscina.")</f>
        <v>Le persone iniziano a giocare a polo d'acqua in piscina.</v>
      </c>
    </row>
    <row r="3726">
      <c r="A3726" s="4" t="s">
        <v>4687</v>
      </c>
      <c r="B3726" s="4" t="s">
        <v>4688</v>
      </c>
      <c r="C3726" s="5" t="str">
        <f>IFERROR(__xludf.DUMMYFUNCTION("GOOGLETRANSLATE(B3726,""en"",""it"")"),"Un limone si trova su un tagliere.")</f>
        <v>Un limone si trova su un tagliere.</v>
      </c>
    </row>
    <row r="3727">
      <c r="A3727" s="4" t="s">
        <v>4687</v>
      </c>
      <c r="B3727" s="4" t="s">
        <v>4689</v>
      </c>
      <c r="C3727" s="5" t="str">
        <f>IFERROR(__xludf.DUMMYFUNCTION("GOOGLETRANSLATE(B3727,""en"",""it"")"),"Qualcuno taglia il limone e lo stringe in un bicchiere.")</f>
        <v>Qualcuno taglia il limone e lo stringe in un bicchiere.</v>
      </c>
    </row>
    <row r="3728">
      <c r="A3728" s="4" t="s">
        <v>4687</v>
      </c>
      <c r="B3728" s="4" t="s">
        <v>4690</v>
      </c>
      <c r="C3728" s="5" t="str">
        <f>IFERROR(__xludf.DUMMYFUNCTION("GOOGLETRANSLATE(B3728,""en"",""it"")"),"L'altra metà è spremuta.")</f>
        <v>L'altra metà è spremuta.</v>
      </c>
    </row>
    <row r="3729">
      <c r="A3729" s="4" t="s">
        <v>4687</v>
      </c>
      <c r="B3729" s="4" t="s">
        <v>4691</v>
      </c>
      <c r="C3729" s="5" t="str">
        <f>IFERROR(__xludf.DUMMYFUNCTION("GOOGLETRANSLATE(B3729,""en"",""it"")"),"Quindi aggiungono zucchero al mix.")</f>
        <v>Quindi aggiungono zucchero al mix.</v>
      </c>
    </row>
    <row r="3730">
      <c r="A3730" s="4" t="s">
        <v>4692</v>
      </c>
      <c r="B3730" s="4" t="s">
        <v>4693</v>
      </c>
      <c r="C3730" s="5" t="str">
        <f>IFERROR(__xludf.DUMMYFUNCTION("GOOGLETRANSLATE(B3730,""en"",""it"")"),"Una grande gru è vista seduta a terra e conduce in un uomo usando strumenti su un muro.")</f>
        <v>Una grande gru è vista seduta a terra e conduce in un uomo usando strumenti su un muro.</v>
      </c>
    </row>
    <row r="3731">
      <c r="A3731" s="4" t="s">
        <v>4692</v>
      </c>
      <c r="B3731" s="4" t="s">
        <v>4694</v>
      </c>
      <c r="C3731" s="5" t="str">
        <f>IFERROR(__xludf.DUMMYFUNCTION("GOOGLETRANSLATE(B3731,""en"",""it"")"),"La fotocamera continua a guardare la persona lavorare mentre usa lo strumento per creare scintille sul muro.")</f>
        <v>La fotocamera continua a guardare la persona lavorare mentre usa lo strumento per creare scintille sul muro.</v>
      </c>
    </row>
    <row r="3732">
      <c r="A3732" s="4" t="s">
        <v>4695</v>
      </c>
      <c r="B3732" s="4" t="s">
        <v>4696</v>
      </c>
      <c r="C3732" s="5" t="str">
        <f>IFERROR(__xludf.DUMMYFUNCTION("GOOGLETRANSLATE(B3732,""en"",""it"")"),"Le donne sono in gomme che scivolano giù da una collina innevata.")</f>
        <v>Le donne sono in gomme che scivolano giù da una collina innevata.</v>
      </c>
    </row>
    <row r="3733">
      <c r="A3733" s="4" t="s">
        <v>4695</v>
      </c>
      <c r="B3733" s="4" t="s">
        <v>4697</v>
      </c>
      <c r="C3733" s="5" t="str">
        <f>IFERROR(__xludf.DUMMYFUNCTION("GOOGLETRANSLATE(B3733,""en"",""it"")"),"Le donne si alzano, ridono e passeggiano.")</f>
        <v>Le donne si alzano, ridono e passeggiano.</v>
      </c>
    </row>
    <row r="3734">
      <c r="A3734" s="4" t="s">
        <v>4698</v>
      </c>
      <c r="B3734" s="6" t="s">
        <v>4699</v>
      </c>
      <c r="C3734" s="5" t="str">
        <f>IFERROR(__xludf.DUMMYFUNCTION("GOOGLETRANSLATE(B3734,""en"",""it"")"),"Viene visto un vitello che corre attorno a una buca di sabbia quando un uomo che cavalca un cavallo e oscilla una corda inizia a inseguirlo.")</f>
        <v>Viene visto un vitello che corre attorno a una buca di sabbia quando un uomo che cavalca un cavallo e oscilla una corda inizia a inseguirlo.</v>
      </c>
    </row>
    <row r="3735">
      <c r="A3735" s="4" t="s">
        <v>4698</v>
      </c>
      <c r="B3735" s="6" t="s">
        <v>4700</v>
      </c>
      <c r="C3735" s="5" t="str">
        <f>IFERROR(__xludf.DUMMYFUNCTION("GOOGLETRANSLATE(B3735,""en"",""it"")"),"L'uomo lega il polpaccio e cavalca mentre il video conduce a colpi di un cavallo che dà il via a un pilota dalla schiena.")</f>
        <v>L'uomo lega il polpaccio e cavalca mentre il video conduce a colpi di un cavallo che dà il via a un pilota dalla schiena.</v>
      </c>
    </row>
    <row r="3736">
      <c r="A3736" s="4" t="s">
        <v>4698</v>
      </c>
      <c r="B3736" s="4" t="s">
        <v>4701</v>
      </c>
      <c r="C3736" s="5" t="str">
        <f>IFERROR(__xludf.DUMMYFUNCTION("GOOGLETRANSLATE(B3736,""en"",""it"")"),"Vengono mostrati più colpi di cavalli che danno il via ai cavalieri mentre le persone afferrano il cavallo alla fine.")</f>
        <v>Vengono mostrati più colpi di cavalli che danno il via ai cavalieri mentre le persone afferrano il cavallo alla fine.</v>
      </c>
    </row>
    <row r="3737">
      <c r="A3737" s="4" t="s">
        <v>4702</v>
      </c>
      <c r="B3737" s="4" t="s">
        <v>4703</v>
      </c>
      <c r="C3737" s="5" t="str">
        <f>IFERROR(__xludf.DUMMYFUNCTION("GOOGLETRANSLATE(B3737,""en"",""it"")"),"Le persone corrono in giro giocando a Dodge Ball.")</f>
        <v>Le persone corrono in giro giocando a Dodge Ball.</v>
      </c>
    </row>
    <row r="3738">
      <c r="A3738" s="4" t="s">
        <v>4702</v>
      </c>
      <c r="B3738" s="4" t="s">
        <v>4704</v>
      </c>
      <c r="C3738" s="5" t="str">
        <f>IFERROR(__xludf.DUMMYFUNCTION("GOOGLETRANSLATE(B3738,""en"",""it"")"),"Una donna tiene una macchina fotografica che scatta una foto.")</f>
        <v>Una donna tiene una macchina fotografica che scatta una foto.</v>
      </c>
    </row>
    <row r="3739">
      <c r="A3739" s="4" t="s">
        <v>4702</v>
      </c>
      <c r="B3739" s="4" t="s">
        <v>4705</v>
      </c>
      <c r="C3739" s="5" t="str">
        <f>IFERROR(__xludf.DUMMYFUNCTION("GOOGLETRANSLATE(B3739,""en"",""it"")"),"Una donna con una camicia blu si pone con un uomo per una foto.")</f>
        <v>Una donna con una camicia blu si pone con un uomo per una foto.</v>
      </c>
    </row>
    <row r="3740">
      <c r="A3740" s="4" t="s">
        <v>4706</v>
      </c>
      <c r="B3740" s="4" t="s">
        <v>4707</v>
      </c>
      <c r="C3740" s="5" t="str">
        <f>IFERROR(__xludf.DUMMYFUNCTION("GOOGLETRANSLATE(B3740,""en"",""it"")"),"Un uomo è in cima a una collina.")</f>
        <v>Un uomo è in cima a una collina.</v>
      </c>
    </row>
    <row r="3741">
      <c r="A3741" s="4" t="s">
        <v>4706</v>
      </c>
      <c r="B3741" s="4" t="s">
        <v>4708</v>
      </c>
      <c r="C3741" s="5" t="str">
        <f>IFERROR(__xludf.DUMMYFUNCTION("GOOGLETRANSLATE(B3741,""en"",""it"")"),"Una donna è seduta su una slitta.")</f>
        <v>Una donna è seduta su una slitta.</v>
      </c>
    </row>
    <row r="3742">
      <c r="A3742" s="4" t="s">
        <v>4706</v>
      </c>
      <c r="B3742" s="4" t="s">
        <v>4709</v>
      </c>
      <c r="C3742" s="5" t="str">
        <f>IFERROR(__xludf.DUMMYFUNCTION("GOOGLETRANSLATE(B3742,""en"",""it"")"),"Viene quindi rilasciata giù per la collina, muovendosi rapidamente.")</f>
        <v>Viene quindi rilasciata giù per la collina, muovendosi rapidamente.</v>
      </c>
    </row>
    <row r="3743">
      <c r="A3743" s="4" t="s">
        <v>4710</v>
      </c>
      <c r="B3743" s="4" t="s">
        <v>4711</v>
      </c>
      <c r="C3743" s="5" t="str">
        <f>IFERROR(__xludf.DUMMYFUNCTION("GOOGLETRANSLATE(B3743,""en"",""it"")"),"Diverse persone stanno guardando un uomo con un cappello bianco su un campo da tennis.")</f>
        <v>Diverse persone stanno guardando un uomo con un cappello bianco su un campo da tennis.</v>
      </c>
    </row>
    <row r="3744">
      <c r="A3744" s="4" t="s">
        <v>4710</v>
      </c>
      <c r="B3744" s="4" t="s">
        <v>4712</v>
      </c>
      <c r="C3744" s="5" t="str">
        <f>IFERROR(__xludf.DUMMYFUNCTION("GOOGLETRANSLATE(B3744,""en"",""it"")"),"L'uomo con il cappello bianco si tiene in mano.")</f>
        <v>L'uomo con il cappello bianco si tiene in mano.</v>
      </c>
    </row>
    <row r="3745">
      <c r="A3745" s="4" t="s">
        <v>4710</v>
      </c>
      <c r="B3745" s="4" t="s">
        <v>4713</v>
      </c>
      <c r="C3745" s="5" t="str">
        <f>IFERROR(__xludf.DUMMYFUNCTION("GOOGLETRANSLATE(B3745,""en"",""it"")"),"La palla viene servita e va fuori dal campo.")</f>
        <v>La palla viene servita e va fuori dal campo.</v>
      </c>
    </row>
    <row r="3746">
      <c r="A3746" s="4" t="s">
        <v>4710</v>
      </c>
      <c r="B3746" s="4" t="s">
        <v>4714</v>
      </c>
      <c r="C3746" s="5" t="str">
        <f>IFERROR(__xludf.DUMMYFUNCTION("GOOGLETRANSLATE(B3746,""en"",""it"")"),"La palla viene lanciata all'uomo con il cappello bianco.")</f>
        <v>La palla viene lanciata all'uomo con il cappello bianco.</v>
      </c>
    </row>
    <row r="3747">
      <c r="A3747" s="4" t="s">
        <v>4710</v>
      </c>
      <c r="B3747" s="4" t="s">
        <v>4715</v>
      </c>
      <c r="C3747" s="5" t="str">
        <f>IFERROR(__xludf.DUMMYFUNCTION("GOOGLETRANSLATE(B3747,""en"",""it"")"),"L'uomo con il cappello bianco si prepara a servire la palla.")</f>
        <v>L'uomo con il cappello bianco si prepara a servire la palla.</v>
      </c>
    </row>
    <row r="3748">
      <c r="A3748" s="4" t="s">
        <v>4716</v>
      </c>
      <c r="B3748" s="4" t="s">
        <v>4717</v>
      </c>
      <c r="C3748" s="5" t="str">
        <f>IFERROR(__xludf.DUMMYFUNCTION("GOOGLETRANSLATE(B3748,""en"",""it"")"),"Un uomo è fuori a fumare una sigaretta con il suo amico.")</f>
        <v>Un uomo è fuori a fumare una sigaretta con il suo amico.</v>
      </c>
    </row>
    <row r="3749">
      <c r="A3749" s="4" t="s">
        <v>4716</v>
      </c>
      <c r="B3749" s="4" t="s">
        <v>4718</v>
      </c>
      <c r="C3749" s="5" t="str">
        <f>IFERROR(__xludf.DUMMYFUNCTION("GOOGLETRANSLATE(B3749,""en"",""it"")"),"Sono solo seduti a rilassare il fumo che soffia.")</f>
        <v>Sono solo seduti a rilassare il fumo che soffia.</v>
      </c>
    </row>
    <row r="3750">
      <c r="A3750" s="4" t="s">
        <v>4716</v>
      </c>
      <c r="B3750" s="4" t="s">
        <v>4719</v>
      </c>
      <c r="C3750" s="5" t="str">
        <f>IFERROR(__xludf.DUMMYFUNCTION("GOOGLETRANSLATE(B3750,""en"",""it"")"),"Un altro uomo con una telecamera cammina mentre si siedono a chiacchierare.")</f>
        <v>Un altro uomo con una telecamera cammina mentre si siedono a chiacchierare.</v>
      </c>
    </row>
    <row r="3751">
      <c r="A3751" s="4" t="s">
        <v>4716</v>
      </c>
      <c r="B3751" s="4" t="s">
        <v>4720</v>
      </c>
      <c r="C3751" s="5" t="str">
        <f>IFERROR(__xludf.DUMMYFUNCTION("GOOGLETRANSLATE(B3751,""en"",""it"")"),"È una bella giornata per rilassarsi e fare un fumo fuori con gli amici.")</f>
        <v>È una bella giornata per rilassarsi e fare un fumo fuori con gli amici.</v>
      </c>
    </row>
    <row r="3752">
      <c r="A3752" s="4" t="s">
        <v>4721</v>
      </c>
      <c r="B3752" s="4" t="s">
        <v>4722</v>
      </c>
      <c r="C3752" s="5" t="str">
        <f>IFERROR(__xludf.DUMMYFUNCTION("GOOGLETRANSLATE(B3752,""en"",""it"")"),"Due uomini corrono sul campo da baseball.")</f>
        <v>Due uomini corrono sul campo da baseball.</v>
      </c>
    </row>
    <row r="3753">
      <c r="A3753" s="4" t="s">
        <v>4721</v>
      </c>
      <c r="B3753" s="4" t="s">
        <v>4723</v>
      </c>
      <c r="C3753" s="5" t="str">
        <f>IFERROR(__xludf.DUMMYFUNCTION("GOOGLETRANSLATE(B3753,""en"",""it"")"),"Appare una palla e cade a terra al piatto di casa e un uomo la prende a calci.")</f>
        <v>Appare una palla e cade a terra al piatto di casa e un uomo la prende a calci.</v>
      </c>
    </row>
    <row r="3754">
      <c r="A3754" s="4" t="s">
        <v>4721</v>
      </c>
      <c r="B3754" s="4" t="s">
        <v>4724</v>
      </c>
      <c r="C3754" s="5" t="str">
        <f>IFERROR(__xludf.DUMMYFUNCTION("GOOGLETRANSLATE(B3754,""en"",""it"")"),"Un altro uomo sul campo cattura la palla.")</f>
        <v>Un altro uomo sul campo cattura la palla.</v>
      </c>
    </row>
    <row r="3755">
      <c r="A3755" s="4" t="s">
        <v>4721</v>
      </c>
      <c r="B3755" s="4" t="s">
        <v>4725</v>
      </c>
      <c r="C3755" s="5" t="str">
        <f>IFERROR(__xludf.DUMMYFUNCTION("GOOGLETRANSLATE(B3755,""en"",""it"")"),"L'uomo con la squadra della palla gli corre.")</f>
        <v>L'uomo con la squadra della palla gli corre.</v>
      </c>
    </row>
    <row r="3756">
      <c r="A3756" s="4" t="s">
        <v>4721</v>
      </c>
      <c r="B3756" s="4" t="s">
        <v>4726</v>
      </c>
      <c r="C3756" s="5" t="str">
        <f>IFERROR(__xludf.DUMMYFUNCTION("GOOGLETRANSLATE(B3756,""en"",""it"")"),"Vediamo di nuovo il gioco lento.")</f>
        <v>Vediamo di nuovo il gioco lento.</v>
      </c>
    </row>
    <row r="3757">
      <c r="A3757" s="4" t="s">
        <v>4727</v>
      </c>
      <c r="B3757" s="4" t="s">
        <v>4728</v>
      </c>
      <c r="C3757" s="5" t="str">
        <f>IFERROR(__xludf.DUMMYFUNCTION("GOOGLETRANSLATE(B3757,""en"",""it"")"),"Vediamo una ragazza con una treccia, quindi scuotere i riccioli sciolti tra i capelli.")</f>
        <v>Vediamo una ragazza con una treccia, quindi scuotere i riccioli sciolti tra i capelli.</v>
      </c>
    </row>
    <row r="3758">
      <c r="A3758" s="4" t="s">
        <v>4727</v>
      </c>
      <c r="B3758" s="4" t="s">
        <v>4729</v>
      </c>
      <c r="C3758" s="5" t="str">
        <f>IFERROR(__xludf.DUMMYFUNCTION("GOOGLETRANSLATE(B3758,""en"",""it"")"),"Guardiamo la ragazza mentre si arriccia e le intreccia i capelli.")</f>
        <v>Guardiamo la ragazza mentre si arriccia e le intreccia i capelli.</v>
      </c>
    </row>
    <row r="3759">
      <c r="A3759" s="4" t="s">
        <v>4727</v>
      </c>
      <c r="B3759" s="4" t="s">
        <v>4730</v>
      </c>
      <c r="C3759" s="5" t="str">
        <f>IFERROR(__xludf.DUMMYFUNCTION("GOOGLETRANSLATE(B3759,""en"",""it"")"),"La ragazza che usa un ferro arricciacapelli e si arriccia i capelli.")</f>
        <v>La ragazza che usa un ferro arricciacapelli e si arriccia i capelli.</v>
      </c>
    </row>
    <row r="3760">
      <c r="A3760" s="4" t="s">
        <v>4727</v>
      </c>
      <c r="B3760" s="4" t="s">
        <v>4731</v>
      </c>
      <c r="C3760" s="5" t="str">
        <f>IFERROR(__xludf.DUMMYFUNCTION("GOOGLETRANSLATE(B3760,""en"",""it"")"),"Quindi intreccia e si gira i capelli in una treccia laterale.")</f>
        <v>Quindi intreccia e si gira i capelli in una treccia laterale.</v>
      </c>
    </row>
    <row r="3761">
      <c r="A3761" s="4" t="s">
        <v>4727</v>
      </c>
      <c r="B3761" s="4" t="s">
        <v>4732</v>
      </c>
      <c r="C3761" s="5" t="str">
        <f>IFERROR(__xludf.DUMMYFUNCTION("GOOGLETRANSLATE(B3761,""en"",""it"")"),"La ragazza ci mostra la parte posteriore dei suoi capelli e poi arriccia il fondo con un ferro arricciacapelli.")</f>
        <v>La ragazza ci mostra la parte posteriore dei suoi capelli e poi arriccia il fondo con un ferro arricciacapelli.</v>
      </c>
    </row>
    <row r="3762">
      <c r="A3762" s="4" t="s">
        <v>4727</v>
      </c>
      <c r="B3762" s="4" t="s">
        <v>4733</v>
      </c>
      <c r="C3762" s="5" t="str">
        <f>IFERROR(__xludf.DUMMYFUNCTION("GOOGLETRANSLATE(B3762,""en"",""it"")"),"La ragazza produce facce e la schermata del titolo finale quindi si carica.")</f>
        <v>La ragazza produce facce e la schermata del titolo finale quindi si carica.</v>
      </c>
    </row>
    <row r="3763">
      <c r="A3763" s="4" t="s">
        <v>4734</v>
      </c>
      <c r="B3763" s="4" t="s">
        <v>4735</v>
      </c>
      <c r="C3763" s="5" t="str">
        <f>IFERROR(__xludf.DUMMYFUNCTION("GOOGLETRANSLATE(B3763,""en"",""it"")"),"La telecamera posa un cortile di residenza.")</f>
        <v>La telecamera posa un cortile di residenza.</v>
      </c>
    </row>
    <row r="3764">
      <c r="A3764" s="4" t="s">
        <v>4734</v>
      </c>
      <c r="B3764" s="6" t="s">
        <v>4736</v>
      </c>
      <c r="C3764" s="5" t="str">
        <f>IFERROR(__xludf.DUMMYFUNCTION("GOOGLETRANSLATE(B3764,""en"",""it"")"),"Un uomo che indossa una felpa con cappuccio bianco e riscaldamento nero con strisce bianche sta falciando il cortile con un tosaerba a spinta.")</f>
        <v>Un uomo che indossa una felpa con cappuccio bianco e riscaldamento nero con strisce bianche sta falciando il cortile con un tosaerba a spinta.</v>
      </c>
    </row>
    <row r="3765">
      <c r="A3765" s="4" t="s">
        <v>4734</v>
      </c>
      <c r="B3765" s="6" t="s">
        <v>4737</v>
      </c>
      <c r="C3765" s="5" t="str">
        <f>IFERROR(__xludf.DUMMYFUNCTION("GOOGLETRANSLATE(B3765,""en"",""it"")"),"La telecamera cattura una tempesta di pioggia che inizia e piove sul cortile mentre l'uomo continua a falciare il cortile.")</f>
        <v>La telecamera cattura una tempesta di pioggia che inizia e piove sul cortile mentre l'uomo continua a falciare il cortile.</v>
      </c>
    </row>
    <row r="3766">
      <c r="A3766" s="4" t="s">
        <v>4738</v>
      </c>
      <c r="B3766" s="4" t="s">
        <v>4739</v>
      </c>
      <c r="C3766" s="5" t="str">
        <f>IFERROR(__xludf.DUMMYFUNCTION("GOOGLETRANSLATE(B3766,""en"",""it"")"),"Una donna si intreccia i capelli.")</f>
        <v>Una donna si intreccia i capelli.</v>
      </c>
    </row>
    <row r="3767">
      <c r="A3767" s="4" t="s">
        <v>4738</v>
      </c>
      <c r="B3767" s="4" t="s">
        <v>4740</v>
      </c>
      <c r="C3767" s="5" t="str">
        <f>IFERROR(__xludf.DUMMYFUNCTION("GOOGLETRANSLATE(B3767,""en"",""it"")"),"Sta attraversando i fili.")</f>
        <v>Sta attraversando i fili.</v>
      </c>
    </row>
    <row r="3768">
      <c r="A3768" s="4" t="s">
        <v>4738</v>
      </c>
      <c r="B3768" s="4" t="s">
        <v>4741</v>
      </c>
      <c r="C3768" s="5" t="str">
        <f>IFERROR(__xludf.DUMMYFUNCTION("GOOGLETRANSLATE(B3768,""en"",""it"")"),"La sua treccia è fatta su un lato e lei continua il prossimo.")</f>
        <v>La sua treccia è fatta su un lato e lei continua il prossimo.</v>
      </c>
    </row>
    <row r="3769">
      <c r="A3769" s="4" t="s">
        <v>4738</v>
      </c>
      <c r="B3769" s="4" t="s">
        <v>4742</v>
      </c>
      <c r="C3769" s="5" t="str">
        <f>IFERROR(__xludf.DUMMYFUNCTION("GOOGLETRANSLATE(B3769,""en"",""it"")"),"Attraversare e aggiungere capelli alla treccia.")</f>
        <v>Attraversare e aggiungere capelli alla treccia.</v>
      </c>
    </row>
    <row r="3770">
      <c r="A3770" s="4" t="s">
        <v>4738</v>
      </c>
      <c r="B3770" s="4" t="s">
        <v>4743</v>
      </c>
      <c r="C3770" s="5" t="str">
        <f>IFERROR(__xludf.DUMMYFUNCTION("GOOGLETRANSLATE(B3770,""en"",""it"")"),"Finisce e si gira e mette la schiena in una coda di cavallo.")</f>
        <v>Finisce e si gira e mette la schiena in una coda di cavallo.</v>
      </c>
    </row>
    <row r="3771">
      <c r="A3771" s="4" t="s">
        <v>4744</v>
      </c>
      <c r="B3771" s="4" t="s">
        <v>4745</v>
      </c>
      <c r="C3771" s="5" t="str">
        <f>IFERROR(__xludf.DUMMYFUNCTION("GOOGLETRANSLATE(B3771,""en"",""it"")"),"Un uomo e una donna si siedono dietro un tavolo.")</f>
        <v>Un uomo e una donna si siedono dietro un tavolo.</v>
      </c>
    </row>
    <row r="3772">
      <c r="A3772" s="4" t="s">
        <v>4744</v>
      </c>
      <c r="B3772" s="4" t="s">
        <v>4746</v>
      </c>
      <c r="C3772" s="5" t="str">
        <f>IFERROR(__xludf.DUMMYFUNCTION("GOOGLETRANSLATE(B3772,""en"",""it"")"),"L'uomo versa un drink in diversi bicchieri sul tavolo.")</f>
        <v>L'uomo versa un drink in diversi bicchieri sul tavolo.</v>
      </c>
    </row>
    <row r="3773">
      <c r="A3773" s="4" t="s">
        <v>4744</v>
      </c>
      <c r="B3773" s="4" t="s">
        <v>4747</v>
      </c>
      <c r="C3773" s="5" t="str">
        <f>IFERROR(__xludf.DUMMYFUNCTION("GOOGLETRANSLATE(B3773,""en"",""it"")"),"Una donna sta preparando un drink sul tavolo.")</f>
        <v>Una donna sta preparando un drink sul tavolo.</v>
      </c>
    </row>
    <row r="3774">
      <c r="A3774" s="4" t="s">
        <v>4744</v>
      </c>
      <c r="B3774" s="4" t="s">
        <v>4748</v>
      </c>
      <c r="C3774" s="5" t="str">
        <f>IFERROR(__xludf.DUMMYFUNCTION("GOOGLETRANSLATE(B3774,""en"",""it"")"),"Versa una bottiglia blu nella bevanda.")</f>
        <v>Versa una bottiglia blu nella bevanda.</v>
      </c>
    </row>
    <row r="3775">
      <c r="A3775" s="4" t="s">
        <v>4744</v>
      </c>
      <c r="B3775" s="4" t="s">
        <v>4749</v>
      </c>
      <c r="C3775" s="5" t="str">
        <f>IFERROR(__xludf.DUMMYFUNCTION("GOOGLETRANSLATE(B3775,""en"",""it"")"),"Versa la bevanda in bicchieri più piccoli sul tavolo.")</f>
        <v>Versa la bevanda in bicchieri più piccoli sul tavolo.</v>
      </c>
    </row>
    <row r="3776">
      <c r="A3776" s="4" t="s">
        <v>4750</v>
      </c>
      <c r="B3776" s="6" t="s">
        <v>4751</v>
      </c>
      <c r="C3776" s="5" t="str">
        <f>IFERROR(__xludf.DUMMYFUNCTION("GOOGLETRANSLATE(B3776,""en"",""it"")"),"L'uomo che indossa un giubbotto nero è solo su un anello che lotta con un altro uomo che si inginocchia sul pavimento.")</f>
        <v>L'uomo che indossa un giubbotto nero è solo su un anello che lotta con un altro uomo che si inginocchia sul pavimento.</v>
      </c>
    </row>
    <row r="3777">
      <c r="A3777" s="4" t="s">
        <v>4750</v>
      </c>
      <c r="B3777" s="4" t="s">
        <v>4752</v>
      </c>
      <c r="C3777" s="5" t="str">
        <f>IFERROR(__xludf.DUMMYFUNCTION("GOOGLETRANSLATE(B3777,""en"",""it"")"),"Altri due uomini salgono sul ring e stanno lottando l'uomo al centro.")</f>
        <v>Altri due uomini salgono sul ring e stanno lottando l'uomo al centro.</v>
      </c>
    </row>
    <row r="3778">
      <c r="A3778" s="4" t="s">
        <v>4750</v>
      </c>
      <c r="B3778" s="4" t="s">
        <v>4753</v>
      </c>
      <c r="C3778" s="5" t="str">
        <f>IFERROR(__xludf.DUMMYFUNCTION("GOOGLETRANSLATE(B3778,""en"",""it"")"),"Le persone sono attorno al ring Wtching the wrest.")</f>
        <v>Le persone sono attorno al ring Wtching the wrest.</v>
      </c>
    </row>
    <row r="3779">
      <c r="A3779" s="4" t="s">
        <v>4750</v>
      </c>
      <c r="B3779" s="4" t="s">
        <v>4754</v>
      </c>
      <c r="C3779" s="5" t="str">
        <f>IFERROR(__xludf.DUMMYFUNCTION("GOOGLETRANSLATE(B3779,""en"",""it"")"),"Tre giornalisti sono in piedi indossando abiti e guardano gli uomini sul ring.")</f>
        <v>Tre giornalisti sono in piedi indossando abiti e guardano gli uomini sul ring.</v>
      </c>
    </row>
    <row r="3780">
      <c r="A3780" s="4" t="s">
        <v>4755</v>
      </c>
      <c r="B3780" s="4" t="s">
        <v>4756</v>
      </c>
      <c r="C3780" s="5" t="str">
        <f>IFERROR(__xludf.DUMMYFUNCTION("GOOGLETRANSLATE(B3780,""en"",""it"")"),"Un'introduzione arriva sullo schermo per un video sull'avvolgimento di regali.")</f>
        <v>Un'introduzione arriva sullo schermo per un video sull'avvolgimento di regali.</v>
      </c>
    </row>
    <row r="3781">
      <c r="A3781" s="4" t="s">
        <v>4755</v>
      </c>
      <c r="B3781" s="4" t="s">
        <v>4757</v>
      </c>
      <c r="C3781" s="5" t="str">
        <f>IFERROR(__xludf.DUMMYFUNCTION("GOOGLETRANSLATE(B3781,""en"",""it"")"),"Diversi colpi ravvicinati sono spettacoli di regali avvolti e forniture di avvolgimento regalo.")</f>
        <v>Diversi colpi ravvicinati sono spettacoli di regali avvolti e forniture di avvolgimento regalo.</v>
      </c>
    </row>
    <row r="3782">
      <c r="A3782" s="4" t="s">
        <v>4755</v>
      </c>
      <c r="B3782" s="4" t="s">
        <v>4758</v>
      </c>
      <c r="C3782" s="5" t="str">
        <f>IFERROR(__xludf.DUMMYFUNCTION("GOOGLETRANSLATE(B3782,""en"",""it"")"),"Una persona entra sullo schermo e inizia a avvolgere un regalo.")</f>
        <v>Una persona entra sullo schermo e inizia a avvolgere un regalo.</v>
      </c>
    </row>
    <row r="3783">
      <c r="A3783" s="4" t="s">
        <v>4755</v>
      </c>
      <c r="B3783" s="4" t="s">
        <v>4759</v>
      </c>
      <c r="C3783" s="5" t="str">
        <f>IFERROR(__xludf.DUMMYFUNCTION("GOOGLETRANSLATE(B3783,""en"",""it"")"),"Decora il regalo con nastri e attaccamenti per abbellirlo.")</f>
        <v>Decora il regalo con nastri e attaccamenti per abbellirlo.</v>
      </c>
    </row>
    <row r="3784">
      <c r="A3784" s="4" t="s">
        <v>4755</v>
      </c>
      <c r="B3784" s="4" t="s">
        <v>4760</v>
      </c>
      <c r="C3784" s="5" t="str">
        <f>IFERROR(__xludf.DUMMYFUNCTION("GOOGLETRANSLATE(B3784,""en"",""it"")"),"Diverse altre idee di avvolgimento del dono vengono quindi mostrate sull'una dopo l'altra.")</f>
        <v>Diverse altre idee di avvolgimento del dono vengono quindi mostrate sull'una dopo l'altra.</v>
      </c>
    </row>
    <row r="3785">
      <c r="A3785" s="4" t="s">
        <v>4755</v>
      </c>
      <c r="B3785" s="4" t="s">
        <v>4761</v>
      </c>
      <c r="C3785" s="5" t="str">
        <f>IFERROR(__xludf.DUMMYFUNCTION("GOOGLETRANSLATE(B3785,""en"",""it"")"),"Il video termina con i crediti di chiusura mostrati sullo schermo.")</f>
        <v>Il video termina con i crediti di chiusura mostrati sullo schermo.</v>
      </c>
    </row>
    <row r="3786">
      <c r="A3786" s="4" t="s">
        <v>4762</v>
      </c>
      <c r="B3786" s="4" t="s">
        <v>4763</v>
      </c>
      <c r="C3786" s="5" t="str">
        <f>IFERROR(__xludf.DUMMYFUNCTION("GOOGLETRANSLATE(B3786,""en"",""it"")"),"Una telecamera si lancia lungo una lunga lista e conduce in un gruppo di uomini e uno che parla a tutti loro.")</f>
        <v>Una telecamera si lancia lungo una lunga lista e conduce in un gruppo di uomini e uno che parla a tutti loro.</v>
      </c>
    </row>
    <row r="3787">
      <c r="A3787" s="4" t="s">
        <v>4762</v>
      </c>
      <c r="B3787" s="4" t="s">
        <v>4764</v>
      </c>
      <c r="C3787" s="5" t="str">
        <f>IFERROR(__xludf.DUMMYFUNCTION("GOOGLETRANSLATE(B3787,""en"",""it"")"),"Due uomini si stringono la mano e iniziano a rotolare la vernice lungo una lunga carta.")</f>
        <v>Due uomini si stringono la mano e iniziano a rotolare la vernice lungo una lunga carta.</v>
      </c>
    </row>
    <row r="3788">
      <c r="A3788" s="4" t="s">
        <v>4762</v>
      </c>
      <c r="B3788" s="4" t="s">
        <v>4765</v>
      </c>
      <c r="C3788" s="5" t="str">
        <f>IFERROR(__xludf.DUMMYFUNCTION("GOOGLETRANSLATE(B3788,""en"",""it"")"),"Corse per mettere la carta su un lungo muro e seguire le fotografie di uomini che misurano il muro.")</f>
        <v>Corse per mettere la carta su un lungo muro e seguire le fotografie di uomini che misurano il muro.</v>
      </c>
    </row>
    <row r="3789">
      <c r="A3789" s="4" t="s">
        <v>4762</v>
      </c>
      <c r="B3789" s="6" t="s">
        <v>4766</v>
      </c>
      <c r="C3789" s="5" t="str">
        <f>IFERROR(__xludf.DUMMYFUNCTION("GOOGLETRANSLATE(B3789,""en"",""it"")"),"Gli uomini pugni urtano un altro e si stringono la mano mentre gli uomini continuano a scrivere note e immagini di punteggi alti mostrati.")</f>
        <v>Gli uomini pugni urtano un altro e si stringono la mano mentre gli uomini continuano a scrivere note e immagini di punteggi alti mostrati.</v>
      </c>
    </row>
    <row r="3790">
      <c r="A3790" s="4" t="s">
        <v>4767</v>
      </c>
      <c r="B3790" s="4" t="s">
        <v>4768</v>
      </c>
      <c r="C3790" s="5" t="str">
        <f>IFERROR(__xludf.DUMMYFUNCTION("GOOGLETRANSLATE(B3790,""en"",""it"")"),"Una donna è seduta fuori casa e lava i vestiti in una vasca piena di acqua e sapone.")</f>
        <v>Una donna è seduta fuori casa e lava i vestiti in una vasca piena di acqua e sapone.</v>
      </c>
    </row>
    <row r="3791">
      <c r="A3791" s="4" t="s">
        <v>4767</v>
      </c>
      <c r="B3791" s="4" t="s">
        <v>4769</v>
      </c>
      <c r="C3791" s="5" t="str">
        <f>IFERROR(__xludf.DUMMYFUNCTION("GOOGLETRANSLATE(B3791,""en"",""it"")"),"Rimuove i vestiti dalla vasca e poi li immerge in un'altra vasca piena d'acqua.")</f>
        <v>Rimuove i vestiti dalla vasca e poi li immerge in un'altra vasca piena d'acqua.</v>
      </c>
    </row>
    <row r="3792">
      <c r="A3792" s="4" t="s">
        <v>4767</v>
      </c>
      <c r="B3792" s="4" t="s">
        <v>4770</v>
      </c>
      <c r="C3792" s="5" t="str">
        <f>IFERROR(__xludf.DUMMYFUNCTION("GOOGLETRANSLATE(B3792,""en"",""it"")"),"Mette il tubo dell'acqua nella vasca d'acqua.")</f>
        <v>Mette il tubo dell'acqua nella vasca d'acqua.</v>
      </c>
    </row>
    <row r="3793">
      <c r="A3793" s="4" t="s">
        <v>4767</v>
      </c>
      <c r="B3793" s="4" t="s">
        <v>4771</v>
      </c>
      <c r="C3793" s="5" t="str">
        <f>IFERROR(__xludf.DUMMYFUNCTION("GOOGLETRANSLATE(B3793,""en"",""it"")"),"Aggiunge più vestiti nell'acqua insaponata e continua a lavare i vestiti.")</f>
        <v>Aggiunge più vestiti nell'acqua insaponata e continua a lavare i vestiti.</v>
      </c>
    </row>
    <row r="3794">
      <c r="A3794" s="4" t="s">
        <v>4772</v>
      </c>
      <c r="B3794" s="4" t="s">
        <v>4773</v>
      </c>
      <c r="C3794" s="5" t="str">
        <f>IFERROR(__xludf.DUMMYFUNCTION("GOOGLETRANSLATE(B3794,""en"",""it"")"),"Il vecchio è in piedi davanti a un giovane che gli parla.")</f>
        <v>Il vecchio è in piedi davanti a un giovane che gli parla.</v>
      </c>
    </row>
    <row r="3795">
      <c r="A3795" s="4" t="s">
        <v>4772</v>
      </c>
      <c r="B3795" s="6" t="s">
        <v>4774</v>
      </c>
      <c r="C3795" s="5" t="str">
        <f>IFERROR(__xludf.DUMMYFUNCTION("GOOGLETRANSLATE(B3795,""en"",""it"")"),"Il giovane è nel mezzo del palcoscenico e si diffonde in mano bianca e cammina facendo profondi berath.")</f>
        <v>Il giovane è nel mezzo del palcoscenico e si diffonde in mano bianca e cammina facendo profondi berath.</v>
      </c>
    </row>
    <row r="3796">
      <c r="A3796" s="4" t="s">
        <v>4772</v>
      </c>
      <c r="B3796" s="4" t="s">
        <v>4775</v>
      </c>
      <c r="C3796" s="5" t="str">
        <f>IFERROR(__xludf.DUMMYFUNCTION("GOOGLETRANSLATE(B3796,""en"",""it"")"),"L'uomo è pronto a sollevare il peso nel mezzo di una fase bianca e le persone dietro Jim stanno applaudendo.")</f>
        <v>L'uomo è pronto a sollevare il peso nel mezzo di una fase bianca e le persone dietro Jim stanno applaudendo.</v>
      </c>
    </row>
    <row r="3797">
      <c r="A3797" s="4" t="s">
        <v>4776</v>
      </c>
      <c r="B3797" s="6" t="s">
        <v>4777</v>
      </c>
      <c r="C3797" s="5" t="str">
        <f>IFERROR(__xludf.DUMMYFUNCTION("GOOGLETRANSLATE(B3797,""en"",""it"")"),"Una donna in un corpi viola e che indossa un bavaglino sulla schiena si avvicina a un raggio di bilanciamento di legno di fronte a un vasto pubblico che la sta incoraggiando.")</f>
        <v>Una donna in un corpi viola e che indossa un bavaglino sulla schiena si avvicina a un raggio di bilanciamento di legno di fronte a un vasto pubblico che la sta incoraggiando.</v>
      </c>
    </row>
    <row r="3798">
      <c r="A3798" s="4" t="s">
        <v>4776</v>
      </c>
      <c r="B3798" s="6" t="s">
        <v>4778</v>
      </c>
      <c r="C3798" s="5" t="str">
        <f>IFERROR(__xludf.DUMMYFUNCTION("GOOGLETRANSLATE(B3798,""en"",""it"")"),"La donna salta sul raggio di bilanciamento e un uomo afferra rapidamente la rampa che saltava sul raggio di bilanciamento e la rimuove dall'area.")</f>
        <v>La donna salta sul raggio di bilanciamento e un uomo afferra rapidamente la rampa che saltava sul raggio di bilanciamento e la rimuove dall'area.</v>
      </c>
    </row>
    <row r="3799">
      <c r="A3799" s="4" t="s">
        <v>4776</v>
      </c>
      <c r="B3799" s="4" t="s">
        <v>4779</v>
      </c>
      <c r="C3799" s="5" t="str">
        <f>IFERROR(__xludf.DUMMYFUNCTION("GOOGLETRANSLATE(B3799,""en"",""it"")"),"La donna inizia la sua routine che include, salti, lanci e piccole mosse di danza.")</f>
        <v>La donna inizia la sua routine che include, salti, lanci e piccole mosse di danza.</v>
      </c>
    </row>
    <row r="3800">
      <c r="A3800" s="4" t="s">
        <v>4776</v>
      </c>
      <c r="B3800" s="6" t="s">
        <v>4780</v>
      </c>
      <c r="C3800" s="5" t="str">
        <f>IFERROR(__xludf.DUMMYFUNCTION("GOOGLETRANSLATE(B3800,""en"",""it"")"),"Durante la routine la donna si lancia e perde leggermente l'equilibrio ma si riprende rapidamente e rimane sul raggio di equilibrio.")</f>
        <v>Durante la routine la donna si lancia e perde leggermente l'equilibrio ma si riprende rapidamente e rimane sul raggio di equilibrio.</v>
      </c>
    </row>
    <row r="3801">
      <c r="A3801" s="4" t="s">
        <v>4776</v>
      </c>
      <c r="B3801" s="6" t="s">
        <v>4781</v>
      </c>
      <c r="C3801" s="5" t="str">
        <f>IFERROR(__xludf.DUMMYFUNCTION("GOOGLETRANSLATE(B3801,""en"",""it"")"),"La donna va all'estremità più lontana del raggio di bilancia pubblico che è incoraggiato selvaggiamente.")</f>
        <v>La donna va all'estremità più lontana del raggio di bilancia pubblico che è incoraggiato selvaggiamente.</v>
      </c>
    </row>
    <row r="3802">
      <c r="A3802" s="4" t="s">
        <v>4782</v>
      </c>
      <c r="B3802" s="4" t="s">
        <v>4783</v>
      </c>
      <c r="C3802" s="5" t="str">
        <f>IFERROR(__xludf.DUMMYFUNCTION("GOOGLETRANSLATE(B3802,""en"",""it"")"),"Le persone giocano a baseball su un campo d'erba.")</f>
        <v>Le persone giocano a baseball su un campo d'erba.</v>
      </c>
    </row>
    <row r="3803">
      <c r="A3803" s="4" t="s">
        <v>4782</v>
      </c>
      <c r="B3803" s="4" t="s">
        <v>4784</v>
      </c>
      <c r="C3803" s="5" t="str">
        <f>IFERROR(__xludf.DUMMYFUNCTION("GOOGLETRANSLATE(B3803,""en"",""it"")"),"Una persona in una camicia blu cade giù lanciando la palla da baseball.")</f>
        <v>Una persona in una camicia blu cade giù lanciando la palla da baseball.</v>
      </c>
    </row>
    <row r="3804">
      <c r="A3804" s="4" t="s">
        <v>4782</v>
      </c>
      <c r="B3804" s="4" t="s">
        <v>4785</v>
      </c>
      <c r="C3804" s="5" t="str">
        <f>IFERROR(__xludf.DUMMYFUNCTION("GOOGLETRANSLATE(B3804,""en"",""it"")"),"Il pubblico balla sul lato del campo.")</f>
        <v>Il pubblico balla sul lato del campo.</v>
      </c>
    </row>
    <row r="3805">
      <c r="A3805" s="4" t="s">
        <v>4786</v>
      </c>
      <c r="B3805" s="6" t="s">
        <v>4787</v>
      </c>
      <c r="C3805" s="5" t="str">
        <f>IFERROR(__xludf.DUMMYFUNCTION("GOOGLETRANSLATE(B3805,""en"",""it"")"),"Una persona è vista in piedi sulla spiaggia con un pallone da calcio di fronte a lui e una persona in piedi in porta.")</f>
        <v>Una persona è vista in piedi sulla spiaggia con un pallone da calcio di fronte a lui e una persona in piedi in porta.</v>
      </c>
    </row>
    <row r="3806">
      <c r="A3806" s="4" t="s">
        <v>4786</v>
      </c>
      <c r="B3806" s="4" t="s">
        <v>4788</v>
      </c>
      <c r="C3806" s="5" t="str">
        <f>IFERROR(__xludf.DUMMYFUNCTION("GOOGLETRANSLATE(B3806,""en"",""it"")"),"La persona quindi prende a calci la palla più volte al portiere.")</f>
        <v>La persona quindi prende a calci la palla più volte al portiere.</v>
      </c>
    </row>
    <row r="3807">
      <c r="A3807" s="4" t="s">
        <v>4786</v>
      </c>
      <c r="B3807" s="4" t="s">
        <v>4789</v>
      </c>
      <c r="C3807" s="5" t="str">
        <f>IFERROR(__xludf.DUMMYFUNCTION("GOOGLETRANSLATE(B3807,""en"",""it"")"),"Il portiere tenta di bloccare i colpi rivolti alla rete.")</f>
        <v>Il portiere tenta di bloccare i colpi rivolti alla rete.</v>
      </c>
    </row>
    <row r="3808">
      <c r="A3808" s="4" t="s">
        <v>4790</v>
      </c>
      <c r="B3808" s="4" t="s">
        <v>4791</v>
      </c>
      <c r="C3808" s="5" t="str">
        <f>IFERROR(__xludf.DUMMYFUNCTION("GOOGLETRANSLATE(B3808,""en"",""it"")"),"Un uomo si sdraia a letto e si sveglia.")</f>
        <v>Un uomo si sdraia a letto e si sveglia.</v>
      </c>
    </row>
    <row r="3809">
      <c r="A3809" s="4" t="s">
        <v>4790</v>
      </c>
      <c r="B3809" s="4" t="s">
        <v>4792</v>
      </c>
      <c r="C3809" s="5" t="str">
        <f>IFERROR(__xludf.DUMMYFUNCTION("GOOGLETRANSLATE(B3809,""en"",""it"")"),"L'uomo fa e beve una tazza di caffè.")</f>
        <v>L'uomo fa e beve una tazza di caffè.</v>
      </c>
    </row>
    <row r="3810">
      <c r="A3810" s="4" t="s">
        <v>4790</v>
      </c>
      <c r="B3810" s="4" t="s">
        <v>4793</v>
      </c>
      <c r="C3810" s="5" t="str">
        <f>IFERROR(__xludf.DUMMYFUNCTION("GOOGLETRANSLATE(B3810,""en"",""it"")"),"L'uomo beve dalla tazza e quando abbassa la tazza, l'uomo è vestito da Captain America.")</f>
        <v>L'uomo beve dalla tazza e quando abbassa la tazza, l'uomo è vestito da Captain America.</v>
      </c>
    </row>
    <row r="3811">
      <c r="A3811" s="4" t="s">
        <v>4794</v>
      </c>
      <c r="B3811" s="4" t="s">
        <v>4795</v>
      </c>
      <c r="C3811" s="5" t="str">
        <f>IFERROR(__xludf.DUMMYFUNCTION("GOOGLETRANSLATE(B3811,""en"",""it"")"),"Una ragazza viene vista eseguire una routine di danza del ventre di fronte a un folto gruppo di persone.")</f>
        <v>Una ragazza viene vista eseguire una routine di danza del ventre di fronte a un folto gruppo di persone.</v>
      </c>
    </row>
    <row r="3812">
      <c r="A3812" s="4" t="s">
        <v>4794</v>
      </c>
      <c r="B3812" s="6" t="s">
        <v>4796</v>
      </c>
      <c r="C3812" s="5" t="str">
        <f>IFERROR(__xludf.DUMMYFUNCTION("GOOGLETRANSLATE(B3812,""en"",""it"")"),"La ragazza continua a oscillare le braccia e le gambe davanti al pubblico e termina inchinandosi e facendo un bacio.")</f>
        <v>La ragazza continua a oscillare le braccia e le gambe davanti al pubblico e termina inchinandosi e facendo un bacio.</v>
      </c>
    </row>
    <row r="3813">
      <c r="A3813" s="4" t="s">
        <v>4797</v>
      </c>
      <c r="B3813" s="4" t="s">
        <v>4798</v>
      </c>
      <c r="C3813" s="5" t="str">
        <f>IFERROR(__xludf.DUMMYFUNCTION("GOOGLETRANSLATE(B3813,""en"",""it"")"),"Una donna in piedi dietro una tavola da stiro afferra un paio di pantaloni.")</f>
        <v>Una donna in piedi dietro una tavola da stiro afferra un paio di pantaloni.</v>
      </c>
    </row>
    <row r="3814">
      <c r="A3814" s="4" t="s">
        <v>4797</v>
      </c>
      <c r="B3814" s="4" t="s">
        <v>4799</v>
      </c>
      <c r="C3814" s="5" t="str">
        <f>IFERROR(__xludf.DUMMYFUNCTION("GOOGLETRANSLATE(B3814,""en"",""it"")"),"Comincia a stirare i pantaloni dentro.")</f>
        <v>Comincia a stirare i pantaloni dentro.</v>
      </c>
    </row>
    <row r="3815">
      <c r="A3815" s="4" t="s">
        <v>4797</v>
      </c>
      <c r="B3815" s="4" t="s">
        <v>4800</v>
      </c>
      <c r="C3815" s="5" t="str">
        <f>IFERROR(__xludf.DUMMYFUNCTION("GOOGLETRANSLATE(B3815,""en"",""it"")"),"Gira i pantaloni nel modo giusto e continua a stirare.")</f>
        <v>Gira i pantaloni nel modo giusto e continua a stirare.</v>
      </c>
    </row>
    <row r="3816">
      <c r="A3816" s="4" t="s">
        <v>4801</v>
      </c>
      <c r="B3816" s="4" t="s">
        <v>4802</v>
      </c>
      <c r="C3816" s="5" t="str">
        <f>IFERROR(__xludf.DUMMYFUNCTION("GOOGLETRANSLATE(B3816,""en"",""it"")"),"Un uomo è su una canoa che tiene una pagaia in una piscina.")</f>
        <v>Un uomo è su una canoa che tiene una pagaia in una piscina.</v>
      </c>
    </row>
    <row r="3817">
      <c r="A3817" s="4" t="s">
        <v>4801</v>
      </c>
      <c r="B3817" s="4" t="s">
        <v>4803</v>
      </c>
      <c r="C3817" s="5" t="str">
        <f>IFERROR(__xludf.DUMMYFUNCTION("GOOGLETRANSLATE(B3817,""en"",""it"")"),"Un uomo ruota una canoa che aiuta con un remo.")</f>
        <v>Un uomo ruota una canoa che aiuta con un remo.</v>
      </c>
    </row>
    <row r="3818">
      <c r="A3818" s="4" t="s">
        <v>4804</v>
      </c>
      <c r="B3818" s="4" t="s">
        <v>4805</v>
      </c>
      <c r="C3818" s="5" t="str">
        <f>IFERROR(__xludf.DUMMYFUNCTION("GOOGLETRANSLATE(B3818,""en"",""it"")"),"Un cane che tiene una tazza in bocca salta su un divano.")</f>
        <v>Un cane che tiene una tazza in bocca salta su un divano.</v>
      </c>
    </row>
    <row r="3819">
      <c r="A3819" s="4" t="s">
        <v>4804</v>
      </c>
      <c r="B3819" s="4" t="s">
        <v>4806</v>
      </c>
      <c r="C3819" s="5" t="str">
        <f>IFERROR(__xludf.DUMMYFUNCTION("GOOGLETRANSLATE(B3819,""en"",""it"")"),"Il cane procede a mangiare qualcosa nella tazza.")</f>
        <v>Il cane procede a mangiare qualcosa nella tazza.</v>
      </c>
    </row>
    <row r="3820">
      <c r="A3820" s="4" t="s">
        <v>4807</v>
      </c>
      <c r="B3820" s="4" t="s">
        <v>4808</v>
      </c>
      <c r="C3820" s="5" t="str">
        <f>IFERROR(__xludf.DUMMYFUNCTION("GOOGLETRANSLATE(B3820,""en"",""it"")"),"Le persone sono sedute in macchine per paraurti.")</f>
        <v>Le persone sono sedute in macchine per paraurti.</v>
      </c>
    </row>
    <row r="3821">
      <c r="A3821" s="4" t="s">
        <v>4807</v>
      </c>
      <c r="B3821" s="4" t="s">
        <v>4809</v>
      </c>
      <c r="C3821" s="5" t="str">
        <f>IFERROR(__xludf.DUMMYFUNCTION("GOOGLETRANSLATE(B3821,""en"",""it"")"),"Un uomo sul lato si tiene sul lato di una delle auto.")</f>
        <v>Un uomo sul lato si tiene sul lato di una delle auto.</v>
      </c>
    </row>
    <row r="3822">
      <c r="A3822" s="4" t="s">
        <v>4807</v>
      </c>
      <c r="B3822" s="4" t="s">
        <v>4810</v>
      </c>
      <c r="C3822" s="5" t="str">
        <f>IFERROR(__xludf.DUMMYFUNCTION("GOOGLETRANSLATE(B3822,""en"",""it"")"),"Salta di lato.")</f>
        <v>Salta di lato.</v>
      </c>
    </row>
    <row r="3823">
      <c r="A3823" s="4" t="s">
        <v>4811</v>
      </c>
      <c r="B3823" s="4" t="s">
        <v>4812</v>
      </c>
      <c r="C3823" s="5" t="str">
        <f>IFERROR(__xludf.DUMMYFUNCTION("GOOGLETRANSLATE(B3823,""en"",""it"")"),"Una persona inizia a liberare la neve da un parabrezza su un'auto.")</f>
        <v>Una persona inizia a liberare la neve da un parabrezza su un'auto.</v>
      </c>
    </row>
    <row r="3824">
      <c r="A3824" s="4" t="s">
        <v>4811</v>
      </c>
      <c r="B3824" s="4" t="s">
        <v>4813</v>
      </c>
      <c r="C3824" s="5" t="str">
        <f>IFERROR(__xludf.DUMMYFUNCTION("GOOGLETRANSLATE(B3824,""en"",""it"")"),"Quindi puliscono la neve dalle porte dell'auto.")</f>
        <v>Quindi puliscono la neve dalle porte dell'auto.</v>
      </c>
    </row>
    <row r="3825">
      <c r="A3825" s="4" t="s">
        <v>4811</v>
      </c>
      <c r="B3825" s="4" t="s">
        <v>4814</v>
      </c>
      <c r="C3825" s="5" t="str">
        <f>IFERROR(__xludf.DUMMYFUNCTION("GOOGLETRANSLATE(B3825,""en"",""it"")"),"Quindi puliscono il finestrino posteriore da un'auto.")</f>
        <v>Quindi puliscono il finestrino posteriore da un'auto.</v>
      </c>
    </row>
    <row r="3826">
      <c r="A3826" s="4" t="s">
        <v>4815</v>
      </c>
      <c r="B3826" s="4" t="s">
        <v>4816</v>
      </c>
      <c r="C3826" s="5" t="str">
        <f>IFERROR(__xludf.DUMMYFUNCTION("GOOGLETRANSLATE(B3826,""en"",""it"")"),"Un uomo con una camicia rossa sta suonando un set di batteria.")</f>
        <v>Un uomo con una camicia rossa sta suonando un set di batteria.</v>
      </c>
    </row>
    <row r="3827">
      <c r="A3827" s="4" t="s">
        <v>4815</v>
      </c>
      <c r="B3827" s="4" t="s">
        <v>4817</v>
      </c>
      <c r="C3827" s="5" t="str">
        <f>IFERROR(__xludf.DUMMYFUNCTION("GOOGLETRANSLATE(B3827,""en"",""it"")"),"Un uomo con una camicia blu è seduto a parlare.")</f>
        <v>Un uomo con una camicia blu è seduto a parlare.</v>
      </c>
    </row>
    <row r="3828">
      <c r="A3828" s="4" t="s">
        <v>4818</v>
      </c>
      <c r="B3828" s="4" t="s">
        <v>940</v>
      </c>
      <c r="C3828" s="5" t="str">
        <f>IFERROR(__xludf.DUMMYFUNCTION("GOOGLETRANSLATE(B3828,""en"",""it"")"),"Una donna parla alla telecamera.")</f>
        <v>Una donna parla alla telecamera.</v>
      </c>
    </row>
    <row r="3829">
      <c r="A3829" s="4" t="s">
        <v>4818</v>
      </c>
      <c r="B3829" s="4" t="s">
        <v>4819</v>
      </c>
      <c r="C3829" s="5" t="str">
        <f>IFERROR(__xludf.DUMMYFUNCTION("GOOGLETRANSLATE(B3829,""en"",""it"")"),"La donna sta facendo un capo di abbigliamento su una tavola da stiro.")</f>
        <v>La donna sta facendo un capo di abbigliamento su una tavola da stiro.</v>
      </c>
    </row>
    <row r="3830">
      <c r="A3830" s="4" t="s">
        <v>4818</v>
      </c>
      <c r="B3830" s="4" t="s">
        <v>4820</v>
      </c>
      <c r="C3830" s="5" t="str">
        <f>IFERROR(__xludf.DUMMYFUNCTION("GOOGLETRANSLATE(B3830,""en"",""it"")"),"La donna lancia il pezzo di abbigliamento.")</f>
        <v>La donna lancia il pezzo di abbigliamento.</v>
      </c>
    </row>
    <row r="3831">
      <c r="A3831" s="4" t="s">
        <v>4818</v>
      </c>
      <c r="B3831" s="4" t="s">
        <v>4821</v>
      </c>
      <c r="C3831" s="5" t="str">
        <f>IFERROR(__xludf.DUMMYFUNCTION("GOOGLETRANSLATE(B3831,""en"",""it"")"),"La donna continua a stirare il capo di abbigliamento.")</f>
        <v>La donna continua a stirare il capo di abbigliamento.</v>
      </c>
    </row>
    <row r="3832">
      <c r="A3832" s="4" t="s">
        <v>4822</v>
      </c>
      <c r="B3832" s="6" t="s">
        <v>4823</v>
      </c>
      <c r="C3832" s="5" t="str">
        <f>IFERROR(__xludf.DUMMYFUNCTION("GOOGLETRANSLATE(B3832,""en"",""it"")"),"Un atleta maschio è fuori in un campo circondato da persone e inizia a girare e lancia un colpo.")</f>
        <v>Un atleta maschio è fuori in un campo circondato da persone e inizia a girare e lancia un colpo.</v>
      </c>
    </row>
    <row r="3833">
      <c r="A3833" s="4" t="s">
        <v>4822</v>
      </c>
      <c r="B3833" s="4" t="s">
        <v>4824</v>
      </c>
      <c r="C3833" s="5" t="str">
        <f>IFERROR(__xludf.DUMMYFUNCTION("GOOGLETRANSLATE(B3833,""en"",""it"")"),"La folla inizia a tifare e l'uomo alza le mani salta nella felicità.")</f>
        <v>La folla inizia a tifare e l'uomo alza le mani salta nella felicità.</v>
      </c>
    </row>
    <row r="3834">
      <c r="A3834" s="4" t="s">
        <v>4825</v>
      </c>
      <c r="B3834" s="4" t="s">
        <v>4826</v>
      </c>
      <c r="C3834" s="5" t="str">
        <f>IFERROR(__xludf.DUMMYFUNCTION("GOOGLETRANSLATE(B3834,""en"",""it"")"),"Una signora si trova in un bagno a parlare.")</f>
        <v>Una signora si trova in un bagno a parlare.</v>
      </c>
    </row>
    <row r="3835">
      <c r="A3835" s="4" t="s">
        <v>4825</v>
      </c>
      <c r="B3835" s="4" t="s">
        <v>4827</v>
      </c>
      <c r="C3835" s="5" t="str">
        <f>IFERROR(__xludf.DUMMYFUNCTION("GOOGLETRANSLATE(B3835,""en"",""it"")"),"La signora mostra la macchina fotografica il suo pennello e l'asciugacapelli.")</f>
        <v>La signora mostra la macchina fotografica il suo pennello e l'asciugacapelli.</v>
      </c>
    </row>
    <row r="3836">
      <c r="A3836" s="4" t="s">
        <v>4825</v>
      </c>
      <c r="B3836" s="4" t="s">
        <v>4828</v>
      </c>
      <c r="C3836" s="5" t="str">
        <f>IFERROR(__xludf.DUMMYFUNCTION("GOOGLETRANSLATE(B3836,""en"",""it"")"),"La signora si lava i capelli.")</f>
        <v>La signora si lava i capelli.</v>
      </c>
    </row>
    <row r="3837">
      <c r="A3837" s="4" t="s">
        <v>4825</v>
      </c>
      <c r="B3837" s="4" t="s">
        <v>4829</v>
      </c>
      <c r="C3837" s="5" t="str">
        <f>IFERROR(__xludf.DUMMYFUNCTION("GOOGLETRANSLATE(B3837,""en"",""it"")"),"La signora soffia i capelli mentre lei gira i capelli su un pennello.")</f>
        <v>La signora soffia i capelli mentre lei gira i capelli su un pennello.</v>
      </c>
    </row>
    <row r="3838">
      <c r="A3838" s="4" t="s">
        <v>4825</v>
      </c>
      <c r="B3838" s="4" t="s">
        <v>4830</v>
      </c>
      <c r="C3838" s="5" t="str">
        <f>IFERROR(__xludf.DUMMYFUNCTION("GOOGLETRANSLATE(B3838,""en"",""it"")"),"La signora spegne l'asciugatrice e parla alla telecamera mentre si regola i capelli.")</f>
        <v>La signora spegne l'asciugatrice e parla alla telecamera mentre si regola i capelli.</v>
      </c>
    </row>
    <row r="3839">
      <c r="A3839" s="4" t="s">
        <v>4825</v>
      </c>
      <c r="B3839" s="4" t="s">
        <v>4831</v>
      </c>
      <c r="C3839" s="5" t="str">
        <f>IFERROR(__xludf.DUMMYFUNCTION("GOOGLETRANSLATE(B3839,""en"",""it"")"),"La signora mette giù la spazzola e parla alla telecamera.")</f>
        <v>La signora mette giù la spazzola e parla alla telecamera.</v>
      </c>
    </row>
    <row r="3840">
      <c r="A3840" s="4" t="s">
        <v>4832</v>
      </c>
      <c r="B3840" s="4" t="s">
        <v>4833</v>
      </c>
      <c r="C3840" s="5" t="str">
        <f>IFERROR(__xludf.DUMMYFUNCTION("GOOGLETRANSLATE(B3840,""en"",""it"")"),"Le persone sono riunite su gradinate in palestra.")</f>
        <v>Le persone sono riunite su gradinate in palestra.</v>
      </c>
    </row>
    <row r="3841">
      <c r="A3841" s="4" t="s">
        <v>4832</v>
      </c>
      <c r="B3841" s="4" t="s">
        <v>4834</v>
      </c>
      <c r="C3841" s="5" t="str">
        <f>IFERROR(__xludf.DUMMYFUNCTION("GOOGLETRANSLATE(B3841,""en"",""it"")"),"I compagni di squadra escono agitando una bandiera bianca.")</f>
        <v>I compagni di squadra escono agitando una bandiera bianca.</v>
      </c>
    </row>
    <row r="3842">
      <c r="A3842" s="4" t="s">
        <v>4832</v>
      </c>
      <c r="B3842" s="4" t="s">
        <v>4835</v>
      </c>
      <c r="C3842" s="5" t="str">
        <f>IFERROR(__xludf.DUMMYFUNCTION("GOOGLETRANSLATE(B3842,""en"",""it"")"),"Inizia una partita di basket, cercando di fare cestini.")</f>
        <v>Inizia una partita di basket, cercando di fare cestini.</v>
      </c>
    </row>
    <row r="3843">
      <c r="A3843" s="4" t="s">
        <v>4836</v>
      </c>
      <c r="B3843" s="4" t="s">
        <v>4837</v>
      </c>
      <c r="C3843" s="5" t="str">
        <f>IFERROR(__xludf.DUMMYFUNCTION("GOOGLETRANSLATE(B3843,""en"",""it"")"),"Un uomo in un rodeo a causa sta eseguendo una acrobazia.")</f>
        <v>Un uomo in un rodeo a causa sta eseguendo una acrobazia.</v>
      </c>
    </row>
    <row r="3844">
      <c r="A3844" s="4" t="s">
        <v>4836</v>
      </c>
      <c r="B3844" s="4" t="s">
        <v>4838</v>
      </c>
      <c r="C3844" s="5" t="str">
        <f>IFERROR(__xludf.DUMMYFUNCTION("GOOGLETRANSLATE(B3844,""en"",""it"")"),"Un uomo sta cavalcando un cavallo su un anello di rodeo.")</f>
        <v>Un uomo sta cavalcando un cavallo su un anello di rodeo.</v>
      </c>
    </row>
    <row r="3845">
      <c r="A3845" s="4" t="s">
        <v>4836</v>
      </c>
      <c r="B3845" s="4" t="s">
        <v>4839</v>
      </c>
      <c r="C3845" s="5" t="str">
        <f>IFERROR(__xludf.DUMMYFUNCTION("GOOGLETRANSLATE(B3845,""en"",""it"")"),"L'uomo lassos una mucca e la getta a terra.")</f>
        <v>L'uomo lassos una mucca e la getta a terra.</v>
      </c>
    </row>
    <row r="3846">
      <c r="A3846" s="4" t="s">
        <v>4836</v>
      </c>
      <c r="B3846" s="4" t="s">
        <v>4840</v>
      </c>
      <c r="C3846" s="5" t="str">
        <f>IFERROR(__xludf.DUMMYFUNCTION("GOOGLETRANSLATE(B3846,""en"",""it"")"),"L'uomo quindi si lega la mucca.")</f>
        <v>L'uomo quindi si lega la mucca.</v>
      </c>
    </row>
    <row r="3847">
      <c r="A3847" s="4" t="s">
        <v>4836</v>
      </c>
      <c r="B3847" s="4" t="s">
        <v>4841</v>
      </c>
      <c r="C3847" s="5" t="str">
        <f>IFERROR(__xludf.DUMMYFUNCTION("GOOGLETRANSLATE(B3847,""en"",""it"")"),"L'uomo torna sul suo cavallo e noi facciamo la panoramica e vediamo il tabellone.")</f>
        <v>L'uomo torna sul suo cavallo e noi facciamo la panoramica e vediamo il tabellone.</v>
      </c>
    </row>
    <row r="3848">
      <c r="A3848" s="4" t="s">
        <v>4842</v>
      </c>
      <c r="B3848" s="4" t="s">
        <v>4843</v>
      </c>
      <c r="C3848" s="5" t="str">
        <f>IFERROR(__xludf.DUMMYFUNCTION("GOOGLETRANSLATE(B3848,""en"",""it"")"),"Due bambini piccoli stanno mangiando un cono gelato al McDonalds.")</f>
        <v>Due bambini piccoli stanno mangiando un cono gelato al McDonalds.</v>
      </c>
    </row>
    <row r="3849">
      <c r="A3849" s="4" t="s">
        <v>4842</v>
      </c>
      <c r="B3849" s="4" t="s">
        <v>4844</v>
      </c>
      <c r="C3849" s="5" t="str">
        <f>IFERROR(__xludf.DUMMYFUNCTION("GOOGLETRANSLATE(B3849,""en"",""it"")"),"Stanno leccando e così felici di avere un gelato.")</f>
        <v>Stanno leccando e così felici di avere un gelato.</v>
      </c>
    </row>
    <row r="3850">
      <c r="A3850" s="4" t="s">
        <v>4842</v>
      </c>
      <c r="B3850" s="4" t="s">
        <v>4845</v>
      </c>
      <c r="C3850" s="5" t="str">
        <f>IFERROR(__xludf.DUMMYFUNCTION("GOOGLETRANSLATE(B3850,""en"",""it"")"),"La bambina sta giocando a sbirciare un fischio con qualcuno e entrambi i loro volti hanno un gelato su di loro.")</f>
        <v>La bambina sta giocando a sbirciare un fischio con qualcuno e entrambi i loro volti hanno un gelato su di loro.</v>
      </c>
    </row>
    <row r="3851">
      <c r="A3851" s="4" t="s">
        <v>4842</v>
      </c>
      <c r="B3851" s="4" t="s">
        <v>4846</v>
      </c>
      <c r="C3851" s="5" t="str">
        <f>IFERROR(__xludf.DUMMYFUNCTION("GOOGLETRANSLATE(B3851,""en"",""it"")"),"Si stanno solo godendo molto il gelato.")</f>
        <v>Si stanno solo godendo molto il gelato.</v>
      </c>
    </row>
    <row r="3852">
      <c r="A3852" s="4" t="s">
        <v>4847</v>
      </c>
      <c r="B3852" s="4" t="s">
        <v>4848</v>
      </c>
      <c r="C3852" s="5" t="str">
        <f>IFERROR(__xludf.DUMMYFUNCTION("GOOGLETRANSLATE(B3852,""en"",""it"")"),"Una ginnasta viene mostrata che oscilla e quarta su barre irregolari.")</f>
        <v>Una ginnasta viene mostrata che oscilla e quarta su barre irregolari.</v>
      </c>
    </row>
    <row r="3853">
      <c r="A3853" s="4" t="s">
        <v>4847</v>
      </c>
      <c r="B3853" s="4" t="s">
        <v>4849</v>
      </c>
      <c r="C3853" s="5" t="str">
        <f>IFERROR(__xludf.DUMMYFUNCTION("GOOGLETRANSLATE(B3853,""en"",""it"")"),"Esegui una routine che oscilla intorno e intorno mentre centinaia di persone guardano.")</f>
        <v>Esegui una routine che oscilla intorno e intorno mentre centinaia di persone guardano.</v>
      </c>
    </row>
    <row r="3854">
      <c r="A3854" s="4" t="s">
        <v>4847</v>
      </c>
      <c r="B3854" s="4" t="s">
        <v>4850</v>
      </c>
      <c r="C3854" s="5" t="str">
        <f>IFERROR(__xludf.DUMMYFUNCTION("GOOGLETRANSLATE(B3854,""en"",""it"")"),"Finisce mettendo le braccia in aria e inchinandosi al pubblico.")</f>
        <v>Finisce mettendo le braccia in aria e inchinandosi al pubblico.</v>
      </c>
    </row>
    <row r="3855">
      <c r="A3855" s="4" t="s">
        <v>4851</v>
      </c>
      <c r="B3855" s="4" t="s">
        <v>4852</v>
      </c>
      <c r="C3855" s="5" t="str">
        <f>IFERROR(__xludf.DUMMYFUNCTION("GOOGLETRANSLATE(B3855,""en"",""it"")"),"Due uomini stanno rotolando su un marciapiede di una strada tranquilla.")</f>
        <v>Due uomini stanno rotolando su un marciapiede di una strada tranquilla.</v>
      </c>
    </row>
    <row r="3856">
      <c r="A3856" s="4" t="s">
        <v>4851</v>
      </c>
      <c r="B3856" s="4" t="s">
        <v>4853</v>
      </c>
      <c r="C3856" s="5" t="str">
        <f>IFERROR(__xludf.DUMMYFUNCTION("GOOGLETRANSLATE(B3856,""en"",""it"")"),"Ci sono quattro giovani uomini e donne che rotolano su una strada con molti alberi.")</f>
        <v>Ci sono quattro giovani uomini e donne che rotolano su una strada con molti alberi.</v>
      </c>
    </row>
    <row r="3857">
      <c r="A3857" s="4" t="s">
        <v>4851</v>
      </c>
      <c r="B3857" s="4" t="s">
        <v>4854</v>
      </c>
      <c r="C3857" s="5" t="str">
        <f>IFERROR(__xludf.DUMMYFUNCTION("GOOGLETRANSLATE(B3857,""en"",""it"")"),"Ci sono alcuni professionisti che si trasformano in uno stadio e su un marciapiede da una fontana.")</f>
        <v>Ci sono alcuni professionisti che si trasformano in uno stadio e su un marciapiede da una fontana.</v>
      </c>
    </row>
    <row r="3858">
      <c r="A3858" s="4" t="s">
        <v>4851</v>
      </c>
      <c r="B3858" s="4" t="s">
        <v>4855</v>
      </c>
      <c r="C3858" s="5" t="str">
        <f>IFERROR(__xludf.DUMMYFUNCTION("GOOGLETRANSLATE(B3858,""en"",""it"")"),"Un uomo salta su un marciapiede incatenato durante il rullo.")</f>
        <v>Un uomo salta su un marciapiede incatenato durante il rullo.</v>
      </c>
    </row>
    <row r="3859">
      <c r="A3859" s="4" t="s">
        <v>4851</v>
      </c>
      <c r="B3859" s="6" t="s">
        <v>4856</v>
      </c>
      <c r="C3859" s="5" t="str">
        <f>IFERROR(__xludf.DUMMYFUNCTION("GOOGLETRANSLATE(B3859,""en"",""it"")"),"Una coppia sta rotolando su un marciapiede e un altro uomo sta saltando su una barricata su un marciapiede.")</f>
        <v>Una coppia sta rotolando su un marciapiede e un altro uomo sta saltando su una barricata su un marciapiede.</v>
      </c>
    </row>
    <row r="3860">
      <c r="A3860" s="4" t="s">
        <v>4851</v>
      </c>
      <c r="B3860" s="4" t="s">
        <v>4857</v>
      </c>
      <c r="C3860" s="5" t="str">
        <f>IFERROR(__xludf.DUMMYFUNCTION("GOOGLETRANSLATE(B3860,""en"",""it"")"),"Diverse persone stanno rotolando sul marciapiede.")</f>
        <v>Diverse persone stanno rotolando sul marciapiede.</v>
      </c>
    </row>
    <row r="3861">
      <c r="A3861" s="4" t="s">
        <v>4851</v>
      </c>
      <c r="B3861" s="4" t="s">
        <v>4858</v>
      </c>
      <c r="C3861" s="5" t="str">
        <f>IFERROR(__xludf.DUMMYFUNCTION("GOOGLETRANSLATE(B3861,""en"",""it"")"),"Ci sono alcune persone in competizione in una competizione rollerblading.")</f>
        <v>Ci sono alcune persone in competizione in una competizione rollerblading.</v>
      </c>
    </row>
    <row r="3862">
      <c r="A3862" s="4" t="s">
        <v>4851</v>
      </c>
      <c r="B3862" s="4" t="s">
        <v>4859</v>
      </c>
      <c r="C3862" s="5" t="str">
        <f>IFERROR(__xludf.DUMMYFUNCTION("GOOGLETRANSLATE(B3862,""en"",""it"")"),"Ci sono alcuni uomini che passano per le strade ad alta velocità.")</f>
        <v>Ci sono alcuni uomini che passano per le strade ad alta velocità.</v>
      </c>
    </row>
    <row r="3863">
      <c r="A3863" s="4" t="s">
        <v>4851</v>
      </c>
      <c r="B3863" s="4" t="s">
        <v>4860</v>
      </c>
      <c r="C3863" s="5" t="str">
        <f>IFERROR(__xludf.DUMMYFUNCTION("GOOGLETRANSLATE(B3863,""en"",""it"")"),"Alcuni di loro stanno salendo le scale con le loro lame a rulli.")</f>
        <v>Alcuni di loro stanno salendo le scale con le loro lame a rulli.</v>
      </c>
    </row>
    <row r="3864">
      <c r="A3864" s="4" t="s">
        <v>4851</v>
      </c>
      <c r="B3864" s="4" t="s">
        <v>4861</v>
      </c>
      <c r="C3864" s="5" t="str">
        <f>IFERROR(__xludf.DUMMYFUNCTION("GOOGLETRANSLATE(B3864,""en"",""it"")"),"Alcuni uomini stanno passando attraverso una città trafficata e sui ponti.")</f>
        <v>Alcuni uomini stanno passando attraverso una città trafficata e sui ponti.</v>
      </c>
    </row>
    <row r="3865">
      <c r="A3865" s="4" t="s">
        <v>4851</v>
      </c>
      <c r="B3865" s="4" t="s">
        <v>4862</v>
      </c>
      <c r="C3865" s="5" t="str">
        <f>IFERROR(__xludf.DUMMYFUNCTION("GOOGLETRANSLATE(B3865,""en"",""it"")"),"C'è un gruppo di bambini piccoli che trasportano insieme.")</f>
        <v>C'è un gruppo di bambini piccoli che trasportano insieme.</v>
      </c>
    </row>
    <row r="3866">
      <c r="A3866" s="4" t="s">
        <v>4851</v>
      </c>
      <c r="B3866" s="4" t="s">
        <v>4863</v>
      </c>
      <c r="C3866" s="5" t="str">
        <f>IFERROR(__xludf.DUMMYFUNCTION("GOOGLETRANSLATE(B3866,""en"",""it"")"),"Un uomo salta su un muro mentre si rolleva.")</f>
        <v>Un uomo salta su un muro mentre si rolleva.</v>
      </c>
    </row>
    <row r="3867">
      <c r="A3867" s="4" t="s">
        <v>4851</v>
      </c>
      <c r="B3867" s="4" t="s">
        <v>4864</v>
      </c>
      <c r="C3867" s="5" t="str">
        <f>IFERROR(__xludf.DUMMYFUNCTION("GOOGLETRANSLATE(B3867,""en"",""it"")"),"Una persona si tuffa dritto in acqua mentre arriva a rullo ad alta velocità.")</f>
        <v>Una persona si tuffa dritto in acqua mentre arriva a rullo ad alta velocità.</v>
      </c>
    </row>
    <row r="3868">
      <c r="A3868" s="4" t="s">
        <v>4851</v>
      </c>
      <c r="B3868" s="4" t="s">
        <v>4865</v>
      </c>
      <c r="C3868" s="5" t="str">
        <f>IFERROR(__xludf.DUMMYFUNCTION("GOOGLETRANSLATE(B3868,""en"",""it"")"),"La gente sta passando per la città, scendendo le scale e persino sui marciapiedi.")</f>
        <v>La gente sta passando per la città, scendendo le scale e persino sui marciapiedi.</v>
      </c>
    </row>
    <row r="3869">
      <c r="A3869" s="4" t="s">
        <v>4851</v>
      </c>
      <c r="B3869" s="4" t="s">
        <v>4866</v>
      </c>
      <c r="C3869" s="5" t="str">
        <f>IFERROR(__xludf.DUMMYFUNCTION("GOOGLETRANSLATE(B3869,""en"",""it"")"),"Due ragazzi saltano in una struttura a forma di S durante il rollo.")</f>
        <v>Due ragazzi saltano in una struttura a forma di S durante il rollo.</v>
      </c>
    </row>
    <row r="3870">
      <c r="A3870" s="4" t="s">
        <v>4851</v>
      </c>
      <c r="B3870" s="4" t="s">
        <v>4867</v>
      </c>
      <c r="C3870" s="5" t="str">
        <f>IFERROR(__xludf.DUMMYFUNCTION("GOOGLETRANSLATE(B3870,""en"",""it"")"),"Due persone stanno facendo la figura otto su un ponte mentre tirano la lama.")</f>
        <v>Due persone stanno facendo la figura otto su un ponte mentre tirano la lama.</v>
      </c>
    </row>
    <row r="3871">
      <c r="A3871" s="4" t="s">
        <v>4851</v>
      </c>
      <c r="B3871" s="4" t="s">
        <v>4868</v>
      </c>
      <c r="C3871" s="5" t="str">
        <f>IFERROR(__xludf.DUMMYFUNCTION("GOOGLETRANSLATE(B3871,""en"",""it"")"),"Una persona va costantemente durante il rollerblad.")</f>
        <v>Una persona va costantemente durante il rollerblad.</v>
      </c>
    </row>
    <row r="3872">
      <c r="A3872" s="4" t="s">
        <v>4869</v>
      </c>
      <c r="B3872" s="4" t="s">
        <v>4870</v>
      </c>
      <c r="C3872" s="5" t="str">
        <f>IFERROR(__xludf.DUMMYFUNCTION("GOOGLETRANSLATE(B3872,""en"",""it"")"),"Prima la donna ci mostra come appare con il suo afro prima che faccia un panino.")</f>
        <v>Prima la donna ci mostra come appare con il suo afro prima che faccia un panino.</v>
      </c>
    </row>
    <row r="3873">
      <c r="A3873" s="4" t="s">
        <v>4869</v>
      </c>
      <c r="B3873" s="4" t="s">
        <v>4871</v>
      </c>
      <c r="C3873" s="5" t="str">
        <f>IFERROR(__xludf.DUMMYFUNCTION("GOOGLETRANSLATE(B3873,""en"",""it"")"),"Per prima cosa spruzza i capelli con acqua da un flacone spray.")</f>
        <v>Per prima cosa spruzza i capelli con acqua da un flacone spray.</v>
      </c>
    </row>
    <row r="3874">
      <c r="A3874" s="4" t="s">
        <v>4869</v>
      </c>
      <c r="B3874" s="4" t="s">
        <v>4872</v>
      </c>
      <c r="C3874" s="5" t="str">
        <f>IFERROR(__xludf.DUMMYFUNCTION("GOOGLETRANSLATE(B3874,""en"",""it"")"),"Quindi aggiunge crema idratante ai capelli e si lega un supporto a coda di cavallo sui capelli.")</f>
        <v>Quindi aggiunge crema idratante ai capelli e si lega un supporto a coda di cavallo sui capelli.</v>
      </c>
    </row>
    <row r="3875">
      <c r="A3875" s="4" t="s">
        <v>4869</v>
      </c>
      <c r="B3875" s="4" t="s">
        <v>4873</v>
      </c>
      <c r="C3875" s="5" t="str">
        <f>IFERROR(__xludf.DUMMYFUNCTION("GOOGLETRANSLATE(B3875,""en"",""it"")"),"Poi si gira le estremità dei capelli per fare una piccola crocchia e lo avvolge per renderlo sicuro.")</f>
        <v>Poi si gira le estremità dei capelli per fare una piccola crocchia e lo avvolge per renderlo sicuro.</v>
      </c>
    </row>
    <row r="3876">
      <c r="A3876" s="4" t="s">
        <v>4869</v>
      </c>
      <c r="B3876" s="4" t="s">
        <v>4874</v>
      </c>
      <c r="C3876" s="5" t="str">
        <f>IFERROR(__xludf.DUMMYFUNCTION("GOOGLETRANSLATE(B3876,""en"",""it"")"),"Poi gira leggermente i capelli intrecciati e usa tante spille di cui ha bisogno.")</f>
        <v>Poi gira leggermente i capelli intrecciati e usa tante spille di cui ha bisogno.</v>
      </c>
    </row>
    <row r="3877">
      <c r="A3877" s="4" t="s">
        <v>4869</v>
      </c>
      <c r="B3877" s="4" t="s">
        <v>4875</v>
      </c>
      <c r="C3877" s="5" t="str">
        <f>IFERROR(__xludf.DUMMYFUNCTION("GOOGLETRANSLATE(B3877,""en"",""it"")"),"Alla fine, mette Gel sui bordi per sdraiarli e mette una bandana sui bordi.")</f>
        <v>Alla fine, mette Gel sui bordi per sdraiarli e mette una bandana sui bordi.</v>
      </c>
    </row>
    <row r="3878">
      <c r="A3878" s="4" t="s">
        <v>4869</v>
      </c>
      <c r="B3878" s="4" t="s">
        <v>4876</v>
      </c>
      <c r="C3878" s="5" t="str">
        <f>IFERROR(__xludf.DUMMYFUNCTION("GOOGLETRANSLATE(B3878,""en"",""it"")"),"Quindi lo toglie ed è tutto fatto.")</f>
        <v>Quindi lo toglie ed è tutto fatto.</v>
      </c>
    </row>
    <row r="3879">
      <c r="A3879" s="4" t="s">
        <v>4877</v>
      </c>
      <c r="B3879" s="4" t="s">
        <v>4878</v>
      </c>
      <c r="C3879" s="5" t="str">
        <f>IFERROR(__xludf.DUMMYFUNCTION("GOOGLETRANSLATE(B3879,""en"",""it"")"),"Una persona viene vista camminare in una pista nel mezzo di un vasto pubblico.")</f>
        <v>Una persona viene vista camminare in una pista nel mezzo di un vasto pubblico.</v>
      </c>
    </row>
    <row r="3880">
      <c r="A3880" s="4" t="s">
        <v>4877</v>
      </c>
      <c r="B3880" s="4" t="s">
        <v>4879</v>
      </c>
      <c r="C3880" s="5" t="str">
        <f>IFERROR(__xludf.DUMMYFUNCTION("GOOGLETRANSLATE(B3880,""en"",""it"")"),"L'atleta si siede quindi mentre un altro si trova accanto a lui e si prepara.")</f>
        <v>L'atleta si siede quindi mentre un altro si trova accanto a lui e si prepara.</v>
      </c>
    </row>
    <row r="3881">
      <c r="A3881" s="4" t="s">
        <v>4877</v>
      </c>
      <c r="B3881" s="4" t="s">
        <v>4880</v>
      </c>
      <c r="C3881" s="5" t="str">
        <f>IFERROR(__xludf.DUMMYFUNCTION("GOOGLETRANSLATE(B3881,""en"",""it"")"),"L'uomo viene quindi visto saltare su una barra seguita dallo stesso colpo che viene nuovamente mostrato.")</f>
        <v>L'uomo viene quindi visto saltare su una barra seguita dallo stesso colpo che viene nuovamente mostrato.</v>
      </c>
    </row>
    <row r="3882">
      <c r="A3882" s="4" t="s">
        <v>4881</v>
      </c>
      <c r="B3882" s="4" t="s">
        <v>4882</v>
      </c>
      <c r="C3882" s="5" t="str">
        <f>IFERROR(__xludf.DUMMYFUNCTION("GOOGLETRANSLATE(B3882,""en"",""it"")"),"Una coppia sta remando su kayak lungo un flusso di fiume pigro.")</f>
        <v>Una coppia sta remando su kayak lungo un flusso di fiume pigro.</v>
      </c>
    </row>
    <row r="3883">
      <c r="A3883" s="4" t="s">
        <v>4881</v>
      </c>
      <c r="B3883" s="4" t="s">
        <v>4883</v>
      </c>
      <c r="C3883" s="5" t="str">
        <f>IFERROR(__xludf.DUMMYFUNCTION("GOOGLETRANSLATE(B3883,""en"",""it"")"),"Usano paddle per spostare i loro kayak lungo l'acqua.")</f>
        <v>Usano paddle per spostare i loro kayak lungo l'acqua.</v>
      </c>
    </row>
    <row r="3884">
      <c r="A3884" s="4" t="s">
        <v>4881</v>
      </c>
      <c r="B3884" s="4" t="s">
        <v>4884</v>
      </c>
      <c r="C3884" s="5" t="str">
        <f>IFERROR(__xludf.DUMMYFUNCTION("GOOGLETRANSLATE(B3884,""en"",""it"")"),"La coppia si guarda l'una verso l'altra, come se parlasse.")</f>
        <v>La coppia si guarda l'una verso l'altra, come se parlasse.</v>
      </c>
    </row>
    <row r="3885">
      <c r="A3885" s="4" t="s">
        <v>4885</v>
      </c>
      <c r="B3885" s="4" t="s">
        <v>4886</v>
      </c>
      <c r="C3885" s="5" t="str">
        <f>IFERROR(__xludf.DUMMYFUNCTION("GOOGLETRANSLATE(B3885,""en"",""it"")"),"Viene mostrato un colpo di vetro e conduce in una donna che parla alla telecamera.")</f>
        <v>Viene mostrato un colpo di vetro e conduce in una donna che parla alla telecamera.</v>
      </c>
    </row>
    <row r="3886">
      <c r="A3886" s="4" t="s">
        <v>4885</v>
      </c>
      <c r="B3886" s="4" t="s">
        <v>4887</v>
      </c>
      <c r="C3886" s="5" t="str">
        <f>IFERROR(__xludf.DUMMYFUNCTION("GOOGLETRANSLATE(B3886,""en"",""it"")"),"La donna tiene un vetro e mescola vari liquidi nel vetro.")</f>
        <v>La donna tiene un vetro e mescola vari liquidi nel vetro.</v>
      </c>
    </row>
    <row r="3887">
      <c r="A3887" s="4" t="s">
        <v>4885</v>
      </c>
      <c r="B3887" s="4" t="s">
        <v>4888</v>
      </c>
      <c r="C3887" s="5" t="str">
        <f>IFERROR(__xludf.DUMMYFUNCTION("GOOGLETRANSLATE(B3887,""en"",""it"")"),"Lo topi con un limone e fa scivolare la bevanda più vicina e ancora parlando.")</f>
        <v>Lo topi con un limone e fa scivolare la bevanda più vicina e ancora parlando.</v>
      </c>
    </row>
    <row r="3888">
      <c r="A3888" s="4" t="s">
        <v>4889</v>
      </c>
      <c r="B3888" s="6" t="s">
        <v>4890</v>
      </c>
      <c r="C3888" s="5" t="str">
        <f>IFERROR(__xludf.DUMMYFUNCTION("GOOGLETRANSLATE(B3888,""en"",""it"")"),"Una donna viene vista in piedi davanti a una macchina fotografica e inizia a metterle la lozione sulle mani e se la strofina attorno al viso.")</f>
        <v>Una donna viene vista in piedi davanti a una macchina fotografica e inizia a metterle la lozione sulle mani e se la strofina attorno al viso.</v>
      </c>
    </row>
    <row r="3889">
      <c r="A3889" s="4" t="s">
        <v>4889</v>
      </c>
      <c r="B3889" s="4" t="s">
        <v>4891</v>
      </c>
      <c r="C3889" s="5" t="str">
        <f>IFERROR(__xludf.DUMMYFUNCTION("GOOGLETRANSLATE(B3889,""en"",""it"")"),"La donna si strofina continuamente la lozione in faccia e termina guardando nella telecamera.")</f>
        <v>La donna si strofina continuamente la lozione in faccia e termina guardando nella telecamera.</v>
      </c>
    </row>
    <row r="3890">
      <c r="A3890" s="4" t="s">
        <v>4892</v>
      </c>
      <c r="B3890" s="4" t="s">
        <v>4893</v>
      </c>
      <c r="C3890" s="5" t="str">
        <f>IFERROR(__xludf.DUMMYFUNCTION("GOOGLETRANSLATE(B3890,""en"",""it"")"),"Quest'uomo viene mostrato falciare il prato mentre un grande levriero cammina dietro di lui.")</f>
        <v>Quest'uomo viene mostrato falciare il prato mentre un grande levriero cammina dietro di lui.</v>
      </c>
    </row>
    <row r="3891">
      <c r="A3891" s="4" t="s">
        <v>4892</v>
      </c>
      <c r="B3891" s="4" t="s">
        <v>4894</v>
      </c>
      <c r="C3891" s="5" t="str">
        <f>IFERROR(__xludf.DUMMYFUNCTION("GOOGLETRANSLATE(B3891,""en"",""it"")"),"C'è anche un altro cagnolino nel cortile che è semplicemente seduto in un punto.")</f>
        <v>C'è anche un altro cagnolino nel cortile che è semplicemente seduto in un punto.</v>
      </c>
    </row>
    <row r="3892">
      <c r="A3892" s="4" t="s">
        <v>4895</v>
      </c>
      <c r="B3892" s="6" t="s">
        <v>4896</v>
      </c>
      <c r="C3892" s="5" t="str">
        <f>IFERROR(__xludf.DUMMYFUNCTION("GOOGLETRANSLATE(B3892,""en"",""it"")"),"Questo video consente agli spettatori di ascoltare la testimonianza di un cliente che ha utilizzato il servizio di copertura professionale.")</f>
        <v>Questo video consente agli spettatori di ascoltare la testimonianza di un cliente che ha utilizzato il servizio di copertura professionale.</v>
      </c>
    </row>
    <row r="3893">
      <c r="A3893" s="4" t="s">
        <v>4895</v>
      </c>
      <c r="B3893" s="4" t="s">
        <v>4897</v>
      </c>
      <c r="C3893" s="5" t="str">
        <f>IFERROR(__xludf.DUMMYFUNCTION("GOOGLETRANSLATE(B3893,""en"",""it"")"),"Innanzitutto l'uomo racconta come ha sentito parlare del servizio e di quanto sia bello.")</f>
        <v>Innanzitutto l'uomo racconta come ha sentito parlare del servizio e di quanto sia bello.</v>
      </c>
    </row>
    <row r="3894">
      <c r="A3894" s="4" t="s">
        <v>4895</v>
      </c>
      <c r="B3894" s="6" t="s">
        <v>4898</v>
      </c>
      <c r="C3894" s="5" t="str">
        <f>IFERROR(__xludf.DUMMYFUNCTION("GOOGLETRANSLATE(B3894,""en"",""it"")"),"Dice anche di aver scelto Proofing Pro perché i vicini lo hanno scelto e lo hanno convinto raccontando quanto è grande il servizio.")</f>
        <v>Dice anche di aver scelto Proofing Pro perché i vicini lo hanno scelto e lo hanno convinto raccontando quanto è grande il servizio.</v>
      </c>
    </row>
    <row r="3895">
      <c r="A3895" s="4" t="s">
        <v>4899</v>
      </c>
      <c r="B3895" s="4" t="s">
        <v>4900</v>
      </c>
      <c r="C3895" s="5" t="str">
        <f>IFERROR(__xludf.DUMMYFUNCTION("GOOGLETRANSLATE(B3895,""en"",""it"")"),"La squadra di polo delle acque bianche si raggruppa insieme.")</f>
        <v>La squadra di polo delle acque bianche si raggruppa insieme.</v>
      </c>
    </row>
    <row r="3896">
      <c r="A3896" s="4" t="s">
        <v>4899</v>
      </c>
      <c r="B3896" s="4" t="s">
        <v>4901</v>
      </c>
      <c r="C3896" s="5" t="str">
        <f>IFERROR(__xludf.DUMMYFUNCTION("GOOGLETRANSLATE(B3896,""en"",""it"")"),"Il gioco inizia e i punteggi blu mentre erano profondi nella difesa bianca per legare il gioco.")</f>
        <v>Il gioco inizia e i punteggi blu mentre erano profondi nella difesa bianca per legare il gioco.</v>
      </c>
    </row>
    <row r="3897">
      <c r="A3897" s="4" t="s">
        <v>4899</v>
      </c>
      <c r="B3897" s="4" t="s">
        <v>4902</v>
      </c>
      <c r="C3897" s="5" t="str">
        <f>IFERROR(__xludf.DUMMYFUNCTION("GOOGLETRANSLATE(B3897,""en"",""it"")"),"White risponde con un obiettivo potente per ottenere il vantaggio.")</f>
        <v>White risponde con un obiettivo potente per ottenere il vantaggio.</v>
      </c>
    </row>
    <row r="3898">
      <c r="A3898" s="4" t="s">
        <v>4899</v>
      </c>
      <c r="B3898" s="4" t="s">
        <v>4903</v>
      </c>
      <c r="C3898" s="5" t="str">
        <f>IFERROR(__xludf.DUMMYFUNCTION("GOOGLETRANSLATE(B3898,""en"",""it"")"),"Il blu si muove dentro e dopo un paio di passaggi, si fa il backup del gioco.")</f>
        <v>Il blu si muove dentro e dopo un paio di passaggi, si fa il backup del gioco.</v>
      </c>
    </row>
    <row r="3899">
      <c r="A3899" s="4" t="s">
        <v>4899</v>
      </c>
      <c r="B3899" s="4" t="s">
        <v>4904</v>
      </c>
      <c r="C3899" s="5" t="str">
        <f>IFERROR(__xludf.DUMMYFUNCTION("GOOGLETRANSLATE(B3899,""en"",""it"")"),"I punteggi bianchi per prendere il comando e il blu torna subito per legare.")</f>
        <v>I punteggi bianchi per prendere il comando e il blu torna subito per legare.</v>
      </c>
    </row>
    <row r="3900">
      <c r="A3900" s="4" t="s">
        <v>4899</v>
      </c>
      <c r="B3900" s="4" t="s">
        <v>4905</v>
      </c>
      <c r="C3900" s="5" t="str">
        <f>IFERROR(__xludf.DUMMYFUNCTION("GOOGLETRANSLATE(B3900,""en"",""it"")"),"Uno scramble per la palla provoca il bianco che guadagna un vantaggio di 2 contro 1 e un obiettivo.")</f>
        <v>Uno scramble per la palla provoca il bianco che guadagna un vantaggio di 2 contro 1 e un obiettivo.</v>
      </c>
    </row>
    <row r="3901">
      <c r="A3901" s="4" t="s">
        <v>4899</v>
      </c>
      <c r="B3901" s="4" t="s">
        <v>4906</v>
      </c>
      <c r="C3901" s="5" t="str">
        <f>IFERROR(__xludf.DUMMYFUNCTION("GOOGLETRANSLATE(B3901,""en"",""it"")"),"Spingono il comando più tardi e mettono il gioco fuori portata, vincendo 14-10.")</f>
        <v>Spingono il comando più tardi e mettono il gioco fuori portata, vincendo 14-10.</v>
      </c>
    </row>
    <row r="3902">
      <c r="A3902" s="4" t="s">
        <v>4899</v>
      </c>
      <c r="B3902" s="4" t="s">
        <v>4907</v>
      </c>
      <c r="C3902" s="5" t="str">
        <f>IFERROR(__xludf.DUMMYFUNCTION("GOOGLETRANSLATE(B3902,""en"",""it"")"),"La squadra celebra insieme in acqua.")</f>
        <v>La squadra celebra insieme in acqua.</v>
      </c>
    </row>
    <row r="3903">
      <c r="A3903" s="4" t="s">
        <v>4899</v>
      </c>
      <c r="B3903" s="4" t="s">
        <v>4908</v>
      </c>
      <c r="C3903" s="5" t="str">
        <f>IFERROR(__xludf.DUMMYFUNCTION("GOOGLETRANSLATE(B3903,""en"",""it"")"),"La squadra celebra il loro metallo d'oro al podio.")</f>
        <v>La squadra celebra il loro metallo d'oro al podio.</v>
      </c>
    </row>
    <row r="3904">
      <c r="A3904" s="4" t="s">
        <v>4909</v>
      </c>
      <c r="B3904" s="4" t="s">
        <v>4910</v>
      </c>
      <c r="C3904" s="5" t="str">
        <f>IFERROR(__xludf.DUMMYFUNCTION("GOOGLETRANSLATE(B3904,""en"",""it"")"),"Una ragazza e un cane sono sul campo.")</f>
        <v>Una ragazza e un cane sono sul campo.</v>
      </c>
    </row>
    <row r="3905">
      <c r="A3905" s="4" t="s">
        <v>4909</v>
      </c>
      <c r="B3905" s="6" t="s">
        <v>4911</v>
      </c>
      <c r="C3905" s="5" t="str">
        <f>IFERROR(__xludf.DUMMYFUNCTION("GOOGLETRANSLATE(B3905,""en"",""it"")"),"La ragazza tiene due frisbee, poi camminò e si voltò fianco a fianco e il cane rotolava davanti a lei, il cane toccò le ginocchia della ragazza, la ragazza camminò con le mani su e il cane camminava con le sue due zampe anteriori su.")</f>
        <v>La ragazza tiene due frisbee, poi camminò e si voltò fianco a fianco e il cane rotolava davanti a lei, il cane toccò le ginocchia della ragazza, la ragazza camminò con le mani su e il cane camminava con le sue due zampe anteriori su.</v>
      </c>
    </row>
    <row r="3906">
      <c r="A3906" s="4" t="s">
        <v>4909</v>
      </c>
      <c r="B3906" s="4" t="s">
        <v>4912</v>
      </c>
      <c r="C3906" s="5" t="str">
        <f>IFERROR(__xludf.DUMMYFUNCTION("GOOGLETRANSLATE(B3906,""en"",""it"")"),"La ragazza lanciò il frisbee e il cane lo inseguiva e lo mise a terra.")</f>
        <v>La ragazza lanciò il frisbee e il cane lo inseguiva e lo mise a terra.</v>
      </c>
    </row>
    <row r="3907">
      <c r="A3907" s="4" t="s">
        <v>4913</v>
      </c>
      <c r="B3907" s="4" t="s">
        <v>4914</v>
      </c>
      <c r="C3907" s="5" t="str">
        <f>IFERROR(__xludf.DUMMYFUNCTION("GOOGLETRANSLATE(B3907,""en"",""it"")"),"Le donne stanno giocando a curling.")</f>
        <v>Le donne stanno giocando a curling.</v>
      </c>
    </row>
    <row r="3908">
      <c r="A3908" s="4" t="s">
        <v>4913</v>
      </c>
      <c r="B3908" s="4" t="s">
        <v>4915</v>
      </c>
      <c r="C3908" s="5" t="str">
        <f>IFERROR(__xludf.DUMMYFUNCTION("GOOGLETRANSLATE(B3908,""en"",""it"")"),"Il pubblico che li guarda applausi e applaude.")</f>
        <v>Il pubblico che li guarda applausi e applaude.</v>
      </c>
    </row>
    <row r="3909">
      <c r="A3909" s="4" t="s">
        <v>4916</v>
      </c>
      <c r="B3909" s="6" t="s">
        <v>4917</v>
      </c>
      <c r="C3909" s="5" t="str">
        <f>IFERROR(__xludf.DUMMYFUNCTION("GOOGLETRANSLATE(B3909,""en"",""it"")"),"Un uomo afferra una gomma dal retro dell'auto e corre rapidamente verso la parte anteriore destra della macchina, la lascia cadere sull'erba, quindi corre sul pneumatico ancora sulla macchina e inizia a sollevare l'auto con un martinetto e rimuovere il al"&amp;"ette, bordo e pneumatico e li lancia sull'erba.")</f>
        <v>Un uomo afferra una gomma dal retro dell'auto e corre rapidamente verso la parte anteriore destra della macchina, la lascia cadere sull'erba, quindi corre sul pneumatico ancora sulla macchina e inizia a sollevare l'auto con un martinetto e rimuovere il alette, bordo e pneumatico e li lancia sull'erba.</v>
      </c>
    </row>
    <row r="3910">
      <c r="A3910" s="4" t="s">
        <v>4916</v>
      </c>
      <c r="B3910" s="6" t="s">
        <v>4918</v>
      </c>
      <c r="C3910" s="5" t="str">
        <f>IFERROR(__xludf.DUMMYFUNCTION("GOOGLETRANSLATE(B3910,""en"",""it"")"),"L'uomo quindi afferra la gomma che ha tirato fuori dalla parte posteriore della macchina, la mette sulla macchina, ci mette il bordo e stringe le alette su di loro con la mano e poi raccoglie lo strumento e stringe le alette con quello.")</f>
        <v>L'uomo quindi afferra la gomma che ha tirato fuori dalla parte posteriore della macchina, la mette sulla macchina, ci mette il bordo e stringe le alette su di loro con la mano e poi raccoglie lo strumento e stringe le alette con quello.</v>
      </c>
    </row>
    <row r="3911">
      <c r="A3911" s="4" t="s">
        <v>4916</v>
      </c>
      <c r="B3911" s="6" t="s">
        <v>4919</v>
      </c>
      <c r="C3911" s="5" t="str">
        <f>IFERROR(__xludf.DUMMYFUNCTION("GOOGLETRANSLATE(B3911,""en"",""it"")"),"L'uomo quindi rimuove il jack da sotto la macchina e stringe di nuovo le alette con lo strumento e si alza senza fiato e sorride.")</f>
        <v>L'uomo quindi rimuove il jack da sotto la macchina e stringe di nuovo le alette con lo strumento e si alza senza fiato e sorride.</v>
      </c>
    </row>
    <row r="3912">
      <c r="A3912" s="4" t="s">
        <v>4920</v>
      </c>
      <c r="B3912" s="4" t="s">
        <v>4921</v>
      </c>
      <c r="C3912" s="5" t="str">
        <f>IFERROR(__xludf.DUMMYFUNCTION("GOOGLETRANSLATE(B3912,""en"",""it"")"),"Un tuttofare è in piedi davanti a un portico e parla.")</f>
        <v>Un tuttofare è in piedi davanti a un portico e parla.</v>
      </c>
    </row>
    <row r="3913">
      <c r="A3913" s="4" t="s">
        <v>4920</v>
      </c>
      <c r="B3913" s="4" t="s">
        <v>4922</v>
      </c>
      <c r="C3913" s="5" t="str">
        <f>IFERROR(__xludf.DUMMYFUNCTION("GOOGLETRANSLATE(B3913,""en"",""it"")"),"L'uomo usa due squeegee per pulire due finestre contemporaneamente.")</f>
        <v>L'uomo usa due squeegee per pulire due finestre contemporaneamente.</v>
      </c>
    </row>
    <row r="3914">
      <c r="A3914" s="4" t="s">
        <v>4920</v>
      </c>
      <c r="B3914" s="4" t="s">
        <v>4923</v>
      </c>
      <c r="C3914" s="5" t="str">
        <f>IFERROR(__xludf.DUMMYFUNCTION("GOOGLETRANSLATE(B3914,""en"",""it"")"),"L'uomo finisce e mette i suoi strumenti nella sua cintura degli strumenti.")</f>
        <v>L'uomo finisce e mette i suoi strumenti nella sua cintura degli strumenti.</v>
      </c>
    </row>
    <row r="3915">
      <c r="A3915" s="4" t="s">
        <v>4920</v>
      </c>
      <c r="B3915" s="4" t="s">
        <v>4924</v>
      </c>
      <c r="C3915" s="5" t="str">
        <f>IFERROR(__xludf.DUMMYFUNCTION("GOOGLETRANSLATE(B3915,""en"",""it"")"),"Sorride e se ne va.")</f>
        <v>Sorride e se ne va.</v>
      </c>
    </row>
    <row r="3916">
      <c r="A3916" s="4" t="s">
        <v>4925</v>
      </c>
      <c r="B3916" s="4" t="s">
        <v>4926</v>
      </c>
      <c r="C3916" s="5" t="str">
        <f>IFERROR(__xludf.DUMMYFUNCTION("GOOGLETRANSLATE(B3916,""en"",""it"")"),"Viene vista una fotocamera avvicinarsi a un parco giochi e mostra una donna che scende in una scivolata.")</f>
        <v>Viene vista una fotocamera avvicinarsi a un parco giochi e mostra una donna che scende in una scivolata.</v>
      </c>
    </row>
    <row r="3917">
      <c r="A3917" s="4" t="s">
        <v>4925</v>
      </c>
      <c r="B3917" s="4" t="s">
        <v>4927</v>
      </c>
      <c r="C3917" s="5" t="str">
        <f>IFERROR(__xludf.DUMMYFUNCTION("GOOGLETRANSLATE(B3917,""en"",""it"")"),"Un cane cavalca con lei e un altro cane cammina per la zona.")</f>
        <v>Un cane cavalca con lei e un altro cane cammina per la zona.</v>
      </c>
    </row>
    <row r="3918">
      <c r="A3918" s="4" t="s">
        <v>4925</v>
      </c>
      <c r="B3918" s="4" t="s">
        <v>4928</v>
      </c>
      <c r="C3918" s="5" t="str">
        <f>IFERROR(__xludf.DUMMYFUNCTION("GOOGLETRANSLATE(B3918,""en"",""it"")"),"La donna cavalca diverse volte con il cagnolino accanto a lei.")</f>
        <v>La donna cavalca diverse volte con il cagnolino accanto a lei.</v>
      </c>
    </row>
    <row r="3919">
      <c r="A3919" s="4" t="s">
        <v>4929</v>
      </c>
      <c r="B3919" s="6" t="s">
        <v>4930</v>
      </c>
      <c r="C3919" s="5" t="str">
        <f>IFERROR(__xludf.DUMMYFUNCTION("GOOGLETRANSLATE(B3919,""en"",""it"")"),"Due persone si vedono parlare con la telecamera e conducono in loro passando una palla su bastoncini.")</f>
        <v>Due persone si vedono parlare con la telecamera e conducono in loro passando una palla su bastoncini.</v>
      </c>
    </row>
    <row r="3920">
      <c r="A3920" s="4" t="s">
        <v>4929</v>
      </c>
      <c r="B3920" s="6" t="s">
        <v>4931</v>
      </c>
      <c r="C3920" s="5" t="str">
        <f>IFERROR(__xludf.DUMMYFUNCTION("GOOGLETRANSLATE(B3920,""en"",""it"")"),"La donna fa una pausa per parlare con la telecamera più volte e mostrare più clip dei due che colpiscono la palla.")</f>
        <v>La donna fa una pausa per parlare con la telecamera più volte e mostrare più clip dei due che colpiscono la palla.</v>
      </c>
    </row>
    <row r="3921">
      <c r="A3921" s="4" t="s">
        <v>4932</v>
      </c>
      <c r="B3921" s="4" t="s">
        <v>4933</v>
      </c>
      <c r="C3921" s="5" t="str">
        <f>IFERROR(__xludf.DUMMYFUNCTION("GOOGLETRANSLATE(B3921,""en"",""it"")"),"Un gruppo di persone gioca a pallavolo d'acqua in una piscina al coperto con alcuni curiosi a margine.")</f>
        <v>Un gruppo di persone gioca a pallavolo d'acqua in una piscina al coperto con alcuni curiosi a margine.</v>
      </c>
    </row>
    <row r="3922">
      <c r="A3922" s="4" t="s">
        <v>4932</v>
      </c>
      <c r="B3922" s="4" t="s">
        <v>4934</v>
      </c>
      <c r="C3922" s="5" t="str">
        <f>IFERROR(__xludf.DUMMYFUNCTION("GOOGLETRANSLATE(B3922,""en"",""it"")"),"Una pallavolo gialla viene lanciata tra le persone in una piscina.")</f>
        <v>Una pallavolo gialla viene lanciata tra le persone in una piscina.</v>
      </c>
    </row>
    <row r="3923">
      <c r="A3923" s="4" t="s">
        <v>4932</v>
      </c>
      <c r="B3923" s="4" t="s">
        <v>4935</v>
      </c>
      <c r="C3923" s="5" t="str">
        <f>IFERROR(__xludf.DUMMYFUNCTION("GOOGLETRANSLATE(B3923,""en"",""it"")"),"Una persona fa un gol con la pallavolo gialla in una rete bianca.")</f>
        <v>Una persona fa un gol con la pallavolo gialla in una rete bianca.</v>
      </c>
    </row>
    <row r="3924">
      <c r="A3924" s="4" t="s">
        <v>4932</v>
      </c>
      <c r="B3924" s="6" t="s">
        <v>4936</v>
      </c>
      <c r="C3924" s="5" t="str">
        <f>IFERROR(__xludf.DUMMYFUNCTION("GOOGLETRANSLATE(B3924,""en"",""it"")"),"La palla viene lanciata dall'altra parte della piscina dove un altro obiettivo viene raggiunto in una rete bianca sul lato opposto della piscina.")</f>
        <v>La palla viene lanciata dall'altra parte della piscina dove un altro obiettivo viene raggiunto in una rete bianca sul lato opposto della piscina.</v>
      </c>
    </row>
    <row r="3925">
      <c r="A3925" s="4" t="s">
        <v>4937</v>
      </c>
      <c r="B3925" s="4" t="s">
        <v>4938</v>
      </c>
      <c r="C3925" s="5" t="str">
        <f>IFERROR(__xludf.DUMMYFUNCTION("GOOGLETRANSLATE(B3925,""en"",""it"")"),"C'è una persona che indossa guanti rosa che fanno un tutorial su come pulire un lavello da cucina bianco.")</f>
        <v>C'è una persona che indossa guanti rosa che fanno un tutorial su come pulire un lavello da cucina bianco.</v>
      </c>
    </row>
    <row r="3926">
      <c r="A3926" s="4" t="s">
        <v>4937</v>
      </c>
      <c r="B3926" s="6" t="s">
        <v>4939</v>
      </c>
      <c r="C3926" s="5" t="str">
        <f>IFERROR(__xludf.DUMMYFUNCTION("GOOGLETRANSLATE(B3926,""en"",""it"")"),"La persona spruzza un po 'di polvere di pulizia bianca nel lavandino e quindi spruzza un po' di candeggina Clorox.")</f>
        <v>La persona spruzza un po 'di polvere di pulizia bianca nel lavandino e quindi spruzza un po' di candeggina Clorox.</v>
      </c>
    </row>
    <row r="3927">
      <c r="A3927" s="4" t="s">
        <v>4937</v>
      </c>
      <c r="B3927" s="4" t="s">
        <v>4940</v>
      </c>
      <c r="C3927" s="5" t="str">
        <f>IFERROR(__xludf.DUMMYFUNCTION("GOOGLETRANSLATE(B3927,""en"",""it"")"),"Quindi prende uno scrub rosa e inizia a strofinare il lavandino nel movimento avanti e indietro.")</f>
        <v>Quindi prende uno scrub rosa e inizia a strofinare il lavandino nel movimento avanti e indietro.</v>
      </c>
    </row>
    <row r="3928">
      <c r="A3928" s="4" t="s">
        <v>4937</v>
      </c>
      <c r="B3928" s="4" t="s">
        <v>4941</v>
      </c>
      <c r="C3928" s="5" t="str">
        <f>IFERROR(__xludf.DUMMYFUNCTION("GOOGLETRANSLATE(B3928,""en"",""it"")"),"La persona si assicura che tutti i lati del lavandino siano puliti, incluso lo scarico.")</f>
        <v>La persona si assicura che tutti i lati del lavandino siano puliti, incluso lo scarico.</v>
      </c>
    </row>
    <row r="3929">
      <c r="A3929" s="4" t="s">
        <v>4937</v>
      </c>
      <c r="B3929" s="4" t="s">
        <v>4942</v>
      </c>
      <c r="C3929" s="5" t="str">
        <f>IFERROR(__xludf.DUMMYFUNCTION("GOOGLETRANSLATE(B3929,""en"",""it"")"),"Quindi inizia il rubinetto per lavare la polvere e la candeggina.")</f>
        <v>Quindi inizia il rubinetto per lavare la polvere e la candeggina.</v>
      </c>
    </row>
    <row r="3930">
      <c r="A3930" s="4" t="s">
        <v>4937</v>
      </c>
      <c r="B3930" s="6" t="s">
        <v>4943</v>
      </c>
      <c r="C3930" s="5" t="str">
        <f>IFERROR(__xludf.DUMMYFUNCTION("GOOGLETRANSLATE(B3930,""en"",""it"")"),"Quindi usa un tovagliolo di carta per asciugare l'acqua e pulire qualsiasi polvere residua dal lavandino.")</f>
        <v>Quindi usa un tovagliolo di carta per asciugare l'acqua e pulire qualsiasi polvere residua dal lavandino.</v>
      </c>
    </row>
    <row r="3931">
      <c r="A3931" s="4" t="s">
        <v>4944</v>
      </c>
      <c r="B3931" s="4" t="s">
        <v>4945</v>
      </c>
      <c r="C3931" s="5" t="str">
        <f>IFERROR(__xludf.DUMMYFUNCTION("GOOGLETRANSLATE(B3931,""en"",""it"")"),"Un uomo sta parlando con la telecamera accanto a una recinzione.")</f>
        <v>Un uomo sta parlando con la telecamera accanto a una recinzione.</v>
      </c>
    </row>
    <row r="3932">
      <c r="A3932" s="4" t="s">
        <v>4944</v>
      </c>
      <c r="B3932" s="4" t="s">
        <v>4946</v>
      </c>
      <c r="C3932" s="5" t="str">
        <f>IFERROR(__xludf.DUMMYFUNCTION("GOOGLETRANSLATE(B3932,""en"",""it"")"),"L'uomo tiene in mano un pennello.")</f>
        <v>L'uomo tiene in mano un pennello.</v>
      </c>
    </row>
    <row r="3933">
      <c r="A3933" s="4" t="s">
        <v>4944</v>
      </c>
      <c r="B3933" s="4" t="s">
        <v>4947</v>
      </c>
      <c r="C3933" s="5" t="str">
        <f>IFERROR(__xludf.DUMMYFUNCTION("GOOGLETRANSLATE(B3933,""en"",""it"")"),"L'uomo immerge il pennello in un secchio di vernice e inizia a dipingere la recinzione.")</f>
        <v>L'uomo immerge il pennello in un secchio di vernice e inizia a dipingere la recinzione.</v>
      </c>
    </row>
    <row r="3934">
      <c r="A3934" s="4" t="s">
        <v>4944</v>
      </c>
      <c r="B3934" s="4" t="s">
        <v>4948</v>
      </c>
      <c r="C3934" s="5" t="str">
        <f>IFERROR(__xludf.DUMMYFUNCTION("GOOGLETRANSLATE(B3934,""en"",""it"")"),"L'uomo si muove lungo la recinzione dipingendolo.")</f>
        <v>L'uomo si muove lungo la recinzione dipingendolo.</v>
      </c>
    </row>
    <row r="3935">
      <c r="A3935" s="4" t="s">
        <v>4944</v>
      </c>
      <c r="B3935" s="4" t="s">
        <v>4949</v>
      </c>
      <c r="C3935" s="5" t="str">
        <f>IFERROR(__xludf.DUMMYFUNCTION("GOOGLETRANSLATE(B3935,""en"",""it"")"),"L'uomo finisce di dipingere e si allontana dalla recinzione.")</f>
        <v>L'uomo finisce di dipingere e si allontana dalla recinzione.</v>
      </c>
    </row>
    <row r="3936">
      <c r="A3936" s="4" t="s">
        <v>4950</v>
      </c>
      <c r="B3936" s="6" t="s">
        <v>4951</v>
      </c>
      <c r="C3936" s="5" t="str">
        <f>IFERROR(__xludf.DUMMYFUNCTION("GOOGLETRANSLATE(B3936,""en"",""it"")"),"Una donna in piedi davanti al canto bianco, accese il rubinetto, prese un po 'di sapone liquido e lavale la mano.")</f>
        <v>Una donna in piedi davanti al canto bianco, accese il rubinetto, prese un po 'di sapone liquido e lavale la mano.</v>
      </c>
    </row>
    <row r="3937">
      <c r="A3937" s="4" t="s">
        <v>4950</v>
      </c>
      <c r="B3937" s="6" t="s">
        <v>4952</v>
      </c>
      <c r="C3937" s="5" t="str">
        <f>IFERROR(__xludf.DUMMYFUNCTION("GOOGLETRANSLATE(B3937,""en"",""it"")"),"Si voltò e prese dei tovaglioli dal muro, si asciugò le mani e gettò la carta nel cestino della spazzatura.")</f>
        <v>Si voltò e prese dei tovaglioli dal muro, si asciugò le mani e gettò la carta nel cestino della spazzatura.</v>
      </c>
    </row>
    <row r="3938">
      <c r="A3938" s="4" t="s">
        <v>4953</v>
      </c>
      <c r="B3938" s="6" t="s">
        <v>4954</v>
      </c>
      <c r="C3938" s="5" t="str">
        <f>IFERROR(__xludf.DUMMYFUNCTION("GOOGLETRANSLATE(B3938,""en"",""it"")"),"Una donna arriva sullo schermo annunciando che farà un video su come realizzare un dessert per biscotti.")</f>
        <v>Una donna arriva sullo schermo annunciando che farà un video su come realizzare un dessert per biscotti.</v>
      </c>
    </row>
    <row r="3939">
      <c r="A3939" s="4" t="s">
        <v>4953</v>
      </c>
      <c r="B3939" s="6" t="s">
        <v>4955</v>
      </c>
      <c r="C3939" s="5" t="str">
        <f>IFERROR(__xludf.DUMMYFUNCTION("GOOGLETRANSLATE(B3939,""en"",""it"")"),"Comincia con tutti gli ingredienti di cui avrà bisogno per i biscotti e inizia a combinare gli ingredienti secchi.")</f>
        <v>Comincia con tutti gli ingredienti di cui avrà bisogno per i biscotti e inizia a combinare gli ingredienti secchi.</v>
      </c>
    </row>
    <row r="3940">
      <c r="A3940" s="4" t="s">
        <v>4953</v>
      </c>
      <c r="B3940" s="4" t="s">
        <v>4956</v>
      </c>
      <c r="C3940" s="5" t="str">
        <f>IFERROR(__xludf.DUMMYFUNCTION("GOOGLETRANSLATE(B3940,""en"",""it"")"),"Quindi procede a mescolare gli ingredienti bagnati in una ciotola di vetro.")</f>
        <v>Quindi procede a mescolare gli ingredienti bagnati in una ciotola di vetro.</v>
      </c>
    </row>
    <row r="3941">
      <c r="A3941" s="4" t="s">
        <v>4953</v>
      </c>
      <c r="B3941" s="6" t="s">
        <v>4957</v>
      </c>
      <c r="C3941" s="5" t="str">
        <f>IFERROR(__xludf.DUMMYFUNCTION("GOOGLETRANSLATE(B3941,""en"",""it"")"),"Dopo aver mescolato tutti gli ingredienti, inizia a rotolare l'impasto in palline e metterli su un foglio di biscotti e li mette nel forno.")</f>
        <v>Dopo aver mescolato tutti gli ingredienti, inizia a rotolare l'impasto in palline e metterli su un foglio di biscotti e li mette nel forno.</v>
      </c>
    </row>
    <row r="3942">
      <c r="A3942" s="4" t="s">
        <v>4953</v>
      </c>
      <c r="B3942" s="4" t="s">
        <v>4958</v>
      </c>
      <c r="C3942" s="5" t="str">
        <f>IFERROR(__xludf.DUMMYFUNCTION("GOOGLETRANSLATE(B3942,""en"",""it"")"),"Li toglie dal forno e inizia a avvolgerli in singoli set.")</f>
        <v>Li toglie dal forno e inizia a avvolgerli in singoli set.</v>
      </c>
    </row>
    <row r="3943">
      <c r="A3943" s="4" t="s">
        <v>4953</v>
      </c>
      <c r="B3943" s="4" t="s">
        <v>4959</v>
      </c>
      <c r="C3943" s="5" t="str">
        <f>IFERROR(__xludf.DUMMYFUNCTION("GOOGLETRANSLATE(B3943,""en"",""it"")"),"Il video termina con i crediti di chiusura.")</f>
        <v>Il video termina con i crediti di chiusura.</v>
      </c>
    </row>
    <row r="3944">
      <c r="A3944" s="4" t="s">
        <v>4960</v>
      </c>
      <c r="B3944" s="4" t="s">
        <v>4961</v>
      </c>
      <c r="C3944" s="5" t="str">
        <f>IFERROR(__xludf.DUMMYFUNCTION("GOOGLETRANSLATE(B3944,""en"",""it"")"),"Un bambino piccolo viene visto seduto su un'altalena che sorride alla telecamera.")</f>
        <v>Un bambino piccolo viene visto seduto su un'altalena che sorride alla telecamera.</v>
      </c>
    </row>
    <row r="3945">
      <c r="A3945" s="4" t="s">
        <v>4960</v>
      </c>
      <c r="B3945" s="4" t="s">
        <v>4962</v>
      </c>
      <c r="C3945" s="5" t="str">
        <f>IFERROR(__xludf.DUMMYFUNCTION("GOOGLETRANSLATE(B3945,""en"",""it"")"),"Il ragazzo si sposta indietro e quarto sull'altalena mentre un altro ragazzo viene visto oscillare accanto a lui.")</f>
        <v>Il ragazzo si sposta indietro e quarto sull'altalena mentre un altro ragazzo viene visto oscillare accanto a lui.</v>
      </c>
    </row>
    <row r="3946">
      <c r="A3946" s="4" t="s">
        <v>4960</v>
      </c>
      <c r="B3946" s="6" t="s">
        <v>4963</v>
      </c>
      <c r="C3946" s="5" t="str">
        <f>IFERROR(__xludf.DUMMYFUNCTION("GOOGLETRANSLATE(B3946,""en"",""it"")"),"I due continuano a oscillare indietro e quarto mentre la fotocamera li cattura da diversi angoli.")</f>
        <v>I due continuano a oscillare indietro e quarto mentre la fotocamera li cattura da diversi angoli.</v>
      </c>
    </row>
    <row r="3947">
      <c r="A3947" s="4" t="s">
        <v>4964</v>
      </c>
      <c r="B3947" s="6" t="s">
        <v>4965</v>
      </c>
      <c r="C3947" s="5" t="str">
        <f>IFERROR(__xludf.DUMMYFUNCTION("GOOGLETRANSLATE(B3947,""en"",""it"")"),"Vengono mostrate diverse clip di robot che si combattono a vicenda, nonché l'interno e l'esterno di un edificio.")</f>
        <v>Vengono mostrate diverse clip di robot che si combattono a vicenda, nonché l'interno e l'esterno di un edificio.</v>
      </c>
    </row>
    <row r="3948">
      <c r="A3948" s="4" t="s">
        <v>4964</v>
      </c>
      <c r="B3948" s="6" t="s">
        <v>4966</v>
      </c>
      <c r="C3948" s="5" t="str">
        <f>IFERROR(__xludf.DUMMYFUNCTION("GOOGLETRANSLATE(B3948,""en"",""it"")"),"Vengono mostrati più robot e persone che regolano i robot e li mettono giù per combattere.")</f>
        <v>Vengono mostrati più robot e persone che regolano i robot e li mettono giù per combattere.</v>
      </c>
    </row>
    <row r="3949">
      <c r="A3949" s="4" t="s">
        <v>4964</v>
      </c>
      <c r="B3949" s="4" t="s">
        <v>4967</v>
      </c>
      <c r="C3949" s="5" t="str">
        <f>IFERROR(__xludf.DUMMYFUNCTION("GOOGLETRANSLATE(B3949,""en"",""it"")"),"Le persone continuano a usare i robot e finiscono stringendosi la mano e inchinandosi con un altro uomo.")</f>
        <v>Le persone continuano a usare i robot e finiscono stringendosi la mano e inchinandosi con un altro uomo.</v>
      </c>
    </row>
    <row r="3950">
      <c r="A3950" s="4" t="s">
        <v>4968</v>
      </c>
      <c r="B3950" s="4" t="s">
        <v>4969</v>
      </c>
      <c r="C3950" s="5" t="str">
        <f>IFERROR(__xludf.DUMMYFUNCTION("GOOGLETRANSLATE(B3950,""en"",""it"")"),"Una macchina per soffiatore a foglia soffia una grande pila di foglie intorno a un parcheggio.")</f>
        <v>Una macchina per soffiatore a foglia soffia una grande pila di foglie intorno a un parcheggio.</v>
      </c>
    </row>
    <row r="3951">
      <c r="A3951" s="4" t="s">
        <v>4968</v>
      </c>
      <c r="B3951" s="4" t="s">
        <v>4970</v>
      </c>
      <c r="C3951" s="5" t="str">
        <f>IFERROR(__xludf.DUMMYFUNCTION("GOOGLETRANSLATE(B3951,""en"",""it"")"),"La macchina continua a muoversi attraverso il lotto e scorrendo le foglie in una pila grande.")</f>
        <v>La macchina continua a muoversi attraverso il lotto e scorrendo le foglie in una pila grande.</v>
      </c>
    </row>
    <row r="3952">
      <c r="A3952" s="4" t="s">
        <v>4971</v>
      </c>
      <c r="B3952" s="4" t="s">
        <v>4972</v>
      </c>
      <c r="C3952" s="5" t="str">
        <f>IFERROR(__xludf.DUMMYFUNCTION("GOOGLETRANSLATE(B3952,""en"",""it"")"),"Vediamo una signora nei boschi che taglia i tronchi di legno.")</f>
        <v>Vediamo una signora nei boschi che taglia i tronchi di legno.</v>
      </c>
    </row>
    <row r="3953">
      <c r="A3953" s="4" t="s">
        <v>4971</v>
      </c>
      <c r="B3953" s="4" t="s">
        <v>4973</v>
      </c>
      <c r="C3953" s="5" t="str">
        <f>IFERROR(__xludf.DUMMYFUNCTION("GOOGLETRANSLATE(B3953,""en"",""it"")"),"La signora mette un registro su una piattaforma.")</f>
        <v>La signora mette un registro su una piattaforma.</v>
      </c>
    </row>
    <row r="3954">
      <c r="A3954" s="4" t="s">
        <v>4971</v>
      </c>
      <c r="B3954" s="4" t="s">
        <v>4974</v>
      </c>
      <c r="C3954" s="5" t="str">
        <f>IFERROR(__xludf.DUMMYFUNCTION("GOOGLETRANSLATE(B3954,""en"",""it"")"),"Vediamo polli che corrono per lo sfondo.")</f>
        <v>Vediamo polli che corrono per lo sfondo.</v>
      </c>
    </row>
    <row r="3955">
      <c r="A3955" s="4" t="s">
        <v>4971</v>
      </c>
      <c r="B3955" s="4" t="s">
        <v>4975</v>
      </c>
      <c r="C3955" s="5" t="str">
        <f>IFERROR(__xludf.DUMMYFUNCTION("GOOGLETRANSLATE(B3955,""en"",""it"")"),"La signora ride mentre raccoglie un pezzo di legno.")</f>
        <v>La signora ride mentre raccoglie un pezzo di legno.</v>
      </c>
    </row>
    <row r="3956">
      <c r="A3956" s="4" t="s">
        <v>4971</v>
      </c>
      <c r="B3956" s="4" t="s">
        <v>4976</v>
      </c>
      <c r="C3956" s="5" t="str">
        <f>IFERROR(__xludf.DUMMYFUNCTION("GOOGLETRANSLATE(B3956,""en"",""it"")"),"Vediamo un pollo sbattendo le ali sullo sfondo.")</f>
        <v>Vediamo un pollo sbattendo le ali sullo sfondo.</v>
      </c>
    </row>
    <row r="3957">
      <c r="A3957" s="4" t="s">
        <v>4971</v>
      </c>
      <c r="B3957" s="4" t="s">
        <v>4977</v>
      </c>
      <c r="C3957" s="5" t="str">
        <f>IFERROR(__xludf.DUMMYFUNCTION("GOOGLETRANSLATE(B3957,""en"",""it"")"),"La signora finisce e lancia le mani in aria.")</f>
        <v>La signora finisce e lancia le mani in aria.</v>
      </c>
    </row>
    <row r="3958">
      <c r="A3958" s="4" t="s">
        <v>4978</v>
      </c>
      <c r="B3958" s="4" t="s">
        <v>4979</v>
      </c>
      <c r="C3958" s="5" t="str">
        <f>IFERROR(__xludf.DUMMYFUNCTION("GOOGLETRANSLATE(B3958,""en"",""it"")"),"Le ragazze stanno parlando con la telecamera.")</f>
        <v>Le ragazze stanno parlando con la telecamera.</v>
      </c>
    </row>
    <row r="3959">
      <c r="A3959" s="4" t="s">
        <v>4978</v>
      </c>
      <c r="B3959" s="4" t="s">
        <v>4980</v>
      </c>
      <c r="C3959" s="5" t="str">
        <f>IFERROR(__xludf.DUMMYFUNCTION("GOOGLETRANSLATE(B3959,""en"",""it"")"),"Stanno facendo movimenti manuali mentre parlano.")</f>
        <v>Stanno facendo movimenti manuali mentre parlano.</v>
      </c>
    </row>
    <row r="3960">
      <c r="A3960" s="4" t="s">
        <v>4978</v>
      </c>
      <c r="B3960" s="4" t="s">
        <v>4981</v>
      </c>
      <c r="C3960" s="5" t="str">
        <f>IFERROR(__xludf.DUMMYFUNCTION("GOOGLETRANSLATE(B3960,""en"",""it"")"),"Stanno suonando rock, forbici di carta.")</f>
        <v>Stanno suonando rock, forbici di carta.</v>
      </c>
    </row>
    <row r="3961">
      <c r="A3961" s="4" t="s">
        <v>4978</v>
      </c>
      <c r="B3961" s="4" t="s">
        <v>4982</v>
      </c>
      <c r="C3961" s="5" t="str">
        <f>IFERROR(__xludf.DUMMYFUNCTION("GOOGLETRANSLATE(B3961,""en"",""it"")"),"Una ragazza sta sdraiata sul Ged mentre un'altra ragazza si mette il sedere in faccia.")</f>
        <v>Una ragazza sta sdraiata sul Ged mentre un'altra ragazza si mette il sedere in faccia.</v>
      </c>
    </row>
    <row r="3962">
      <c r="A3962" s="4" t="s">
        <v>4978</v>
      </c>
      <c r="B3962" s="4" t="s">
        <v>4983</v>
      </c>
      <c r="C3962" s="5" t="str">
        <f>IFERROR(__xludf.DUMMYFUNCTION("GOOGLETRANSLATE(B3962,""en"",""it"")"),"La ragazza sta parlando di nuovo con la telecamera.")</f>
        <v>La ragazza sta parlando di nuovo con la telecamera.</v>
      </c>
    </row>
    <row r="3963">
      <c r="A3963" s="4" t="s">
        <v>4984</v>
      </c>
      <c r="B3963" s="4" t="s">
        <v>4985</v>
      </c>
      <c r="C3963" s="5" t="str">
        <f>IFERROR(__xludf.DUMMYFUNCTION("GOOGLETRANSLATE(B3963,""en"",""it"")"),"Una persona prende un gatto da una sedia.")</f>
        <v>Una persona prende un gatto da una sedia.</v>
      </c>
    </row>
    <row r="3964">
      <c r="A3964" s="4" t="s">
        <v>4984</v>
      </c>
      <c r="B3964" s="4" t="s">
        <v>4986</v>
      </c>
      <c r="C3964" s="5" t="str">
        <f>IFERROR(__xludf.DUMMYFUNCTION("GOOGLETRANSLATE(B3964,""en"",""it"")"),"Stendono il gatto in grembo.")</f>
        <v>Stendono il gatto in grembo.</v>
      </c>
    </row>
    <row r="3965">
      <c r="A3965" s="4" t="s">
        <v>4984</v>
      </c>
      <c r="B3965" s="4" t="s">
        <v>4987</v>
      </c>
      <c r="C3965" s="5" t="str">
        <f>IFERROR(__xludf.DUMMYFUNCTION("GOOGLETRANSLATE(B3965,""en"",""it"")"),"Cominciano a tagliare le unghie del gatto.")</f>
        <v>Cominciano a tagliare le unghie del gatto.</v>
      </c>
    </row>
    <row r="3966">
      <c r="A3966" s="4" t="s">
        <v>4984</v>
      </c>
      <c r="B3966" s="4" t="s">
        <v>4988</v>
      </c>
      <c r="C3966" s="5" t="str">
        <f>IFERROR(__xludf.DUMMYFUNCTION("GOOGLETRANSLATE(B3966,""en"",""it"")"),"Una persona è seduta accanto a loro su un laptop.")</f>
        <v>Una persona è seduta accanto a loro su un laptop.</v>
      </c>
    </row>
    <row r="3967">
      <c r="A3967" s="4" t="s">
        <v>4984</v>
      </c>
      <c r="B3967" s="4" t="s">
        <v>4989</v>
      </c>
      <c r="C3967" s="5" t="str">
        <f>IFERROR(__xludf.DUMMYFUNCTION("GOOGLETRANSLATE(B3967,""en"",""it"")"),"La persona animali domestici la pancia del gatto.")</f>
        <v>La persona animali domestici la pancia del gatto.</v>
      </c>
    </row>
    <row r="3968">
      <c r="A3968" s="4" t="s">
        <v>4984</v>
      </c>
      <c r="B3968" s="4" t="s">
        <v>4990</v>
      </c>
      <c r="C3968" s="5" t="str">
        <f>IFERROR(__xludf.DUMMYFUNCTION("GOOGLETRANSLATE(B3968,""en"",""it"")"),"Riportano il gatto e lo mettono su una sedia.")</f>
        <v>Riportano il gatto e lo mettono su una sedia.</v>
      </c>
    </row>
    <row r="3969">
      <c r="A3969" s="4" t="s">
        <v>4991</v>
      </c>
      <c r="B3969" s="4" t="s">
        <v>4992</v>
      </c>
      <c r="C3969" s="5" t="str">
        <f>IFERROR(__xludf.DUMMYFUNCTION("GOOGLETRANSLATE(B3969,""en"",""it"")"),"Un atleta maschio si prepara a correre lungo una pista.")</f>
        <v>Un atleta maschio si prepara a correre lungo una pista.</v>
      </c>
    </row>
    <row r="3970">
      <c r="A3970" s="4" t="s">
        <v>4991</v>
      </c>
      <c r="B3970" s="4" t="s">
        <v>4993</v>
      </c>
      <c r="C3970" s="5" t="str">
        <f>IFERROR(__xludf.DUMMYFUNCTION("GOOGLETRANSLATE(B3970,""en"",""it"")"),"Si toglie di corsa, valciandosi su un bar e su un tappetino.")</f>
        <v>Si toglie di corsa, valciandosi su un bar e su un tappetino.</v>
      </c>
    </row>
    <row r="3971">
      <c r="A3971" s="4" t="s">
        <v>4991</v>
      </c>
      <c r="B3971" s="4" t="s">
        <v>4994</v>
      </c>
      <c r="C3971" s="5" t="str">
        <f>IFERROR(__xludf.DUMMYFUNCTION("GOOGLETRANSLATE(B3971,""en"",""it"")"),"Salta esuberante, celebrando mentre la folla esulta.")</f>
        <v>Salta esuberante, celebrando mentre la folla esulta.</v>
      </c>
    </row>
    <row r="3972">
      <c r="A3972" s="4" t="s">
        <v>4995</v>
      </c>
      <c r="B3972" s="4" t="s">
        <v>4996</v>
      </c>
      <c r="C3972" s="5" t="str">
        <f>IFERROR(__xludf.DUMMYFUNCTION("GOOGLETRANSLATE(B3972,""en"",""it"")"),"Un uomo serve una palla da tennis con una racchetta mentre parla.")</f>
        <v>Un uomo serve una palla da tennis con una racchetta mentre parla.</v>
      </c>
    </row>
    <row r="3973">
      <c r="A3973" s="4" t="s">
        <v>4995</v>
      </c>
      <c r="B3973" s="4" t="s">
        <v>4997</v>
      </c>
      <c r="C3973" s="5" t="str">
        <f>IFERROR(__xludf.DUMMYFUNCTION("GOOGLETRANSLATE(B3973,""en"",""it"")"),"L'uomo rimbalza una palla e mostra come spostare il corpo, quindi serve una palla.")</f>
        <v>L'uomo rimbalza una palla e mostra come spostare il corpo, quindi serve una palla.</v>
      </c>
    </row>
    <row r="3974">
      <c r="A3974" s="4" t="s">
        <v>4995</v>
      </c>
      <c r="B3974" s="4" t="s">
        <v>4998</v>
      </c>
      <c r="C3974" s="5" t="str">
        <f>IFERROR(__xludf.DUMMYFUNCTION("GOOGLETRANSLATE(B3974,""en"",""it"")"),"L'uomo continua a parlare nel campo da tennis.")</f>
        <v>L'uomo continua a parlare nel campo da tennis.</v>
      </c>
    </row>
    <row r="3975">
      <c r="A3975" s="4" t="s">
        <v>4999</v>
      </c>
      <c r="B3975" s="4" t="s">
        <v>5000</v>
      </c>
      <c r="C3975" s="5" t="str">
        <f>IFERROR(__xludf.DUMMYFUNCTION("GOOGLETRANSLATE(B3975,""en"",""it"")"),"Un'atleta femminile si trova in un campo e si toglie di corsa e fa un salto in lungo nella fossa.")</f>
        <v>Un'atleta femminile si trova in un campo e si toglie di corsa e fa un salto in lungo nella fossa.</v>
      </c>
    </row>
    <row r="3976">
      <c r="A3976" s="4" t="s">
        <v>4999</v>
      </c>
      <c r="B3976" s="4" t="s">
        <v>5001</v>
      </c>
      <c r="C3976" s="5" t="str">
        <f>IFERROR(__xludf.DUMMYFUNCTION("GOOGLETRANSLATE(B3976,""en"",""it"")"),"Dopo, se ne va e il suo salto è misure mentre mostrano il suo replay.")</f>
        <v>Dopo, se ne va e il suo salto è misure mentre mostrano il suo replay.</v>
      </c>
    </row>
    <row r="3977">
      <c r="A3977" s="4" t="s">
        <v>4999</v>
      </c>
      <c r="B3977" s="4" t="s">
        <v>5002</v>
      </c>
      <c r="C3977" s="5" t="str">
        <f>IFERROR(__xludf.DUMMYFUNCTION("GOOGLETRANSLATE(B3977,""en"",""it"")"),"Dopo, più ragazze iniziano a saltare e rappresentano la loro squadra e anche i loro salti vengono misurati.")</f>
        <v>Dopo, più ragazze iniziano a saltare e rappresentano la loro squadra e anche i loro salti vengono misurati.</v>
      </c>
    </row>
    <row r="3978">
      <c r="A3978" s="4" t="s">
        <v>4999</v>
      </c>
      <c r="B3978" s="6" t="s">
        <v>5003</v>
      </c>
      <c r="C3978" s="5" t="str">
        <f>IFERROR(__xludf.DUMMYFUNCTION("GOOGLETRANSLATE(B3978,""en"",""it"")"),"Tuttavia, per l'ultimo salto, viene mostrato un primo piano perché il suo piede lo tocca a malapena e vogliono darle credito per quei centimetri.")</f>
        <v>Tuttavia, per l'ultimo salto, viene mostrato un primo piano perché il suo piede lo tocca a malapena e vogliono darle credito per quei centimetri.</v>
      </c>
    </row>
    <row r="3979">
      <c r="A3979" s="4" t="s">
        <v>5004</v>
      </c>
      <c r="B3979" s="4" t="s">
        <v>5005</v>
      </c>
      <c r="C3979" s="5" t="str">
        <f>IFERROR(__xludf.DUMMYFUNCTION("GOOGLETRANSLATE(B3979,""en"",""it"")"),"Vediamo due squadre di uomini che giocano a calcio all'interno.")</f>
        <v>Vediamo due squadre di uomini che giocano a calcio all'interno.</v>
      </c>
    </row>
    <row r="3980">
      <c r="A3980" s="4" t="s">
        <v>5004</v>
      </c>
      <c r="B3980" s="4" t="s">
        <v>5006</v>
      </c>
      <c r="C3980" s="5" t="str">
        <f>IFERROR(__xludf.DUMMYFUNCTION("GOOGLETRANSLATE(B3980,""en"",""it"")"),"Due uomini si scontrano e cadono a terra.")</f>
        <v>Due uomini si scontrano e cadono a terra.</v>
      </c>
    </row>
    <row r="3981">
      <c r="A3981" s="4" t="s">
        <v>5004</v>
      </c>
      <c r="B3981" s="4" t="s">
        <v>5007</v>
      </c>
      <c r="C3981" s="5" t="str">
        <f>IFERROR(__xludf.DUMMYFUNCTION("GOOGLETRANSLATE(B3981,""en"",""it"")"),"Tre uomini alti cinque e si abbracciano.")</f>
        <v>Tre uomini alti cinque e si abbracciano.</v>
      </c>
    </row>
    <row r="3982">
      <c r="A3982" s="4" t="s">
        <v>5004</v>
      </c>
      <c r="B3982" s="4" t="s">
        <v>5008</v>
      </c>
      <c r="C3982" s="5" t="str">
        <f>IFERROR(__xludf.DUMMYFUNCTION("GOOGLETRANSLATE(B3982,""en"",""it"")"),"Un uomo lancia la palla libera attraverso la stanza verso l'altro obiettivo.")</f>
        <v>Un uomo lancia la palla libera attraverso la stanza verso l'altro obiettivo.</v>
      </c>
    </row>
    <row r="3983">
      <c r="A3983" s="4" t="s">
        <v>5004</v>
      </c>
      <c r="B3983" s="4" t="s">
        <v>5009</v>
      </c>
      <c r="C3983" s="5" t="str">
        <f>IFERROR(__xludf.DUMMYFUNCTION("GOOGLETRANSLATE(B3983,""en"",""it"")"),"Due serie di persone nella folla vengono intervistate.")</f>
        <v>Due serie di persone nella folla vengono intervistate.</v>
      </c>
    </row>
    <row r="3984">
      <c r="A3984" s="4" t="s">
        <v>5004</v>
      </c>
      <c r="B3984" s="4" t="s">
        <v>5010</v>
      </c>
      <c r="C3984" s="5" t="str">
        <f>IFERROR(__xludf.DUMMYFUNCTION("GOOGLETRANSLATE(B3984,""en"",""it"")"),"Vediamo la folla e un uomo intervistato e vediamo alcuni colpi di punteggio.")</f>
        <v>Vediamo la folla e un uomo intervistato e vediamo alcuni colpi di punteggio.</v>
      </c>
    </row>
    <row r="3985">
      <c r="A3985" s="4" t="s">
        <v>5004</v>
      </c>
      <c r="B3985" s="6" t="s">
        <v>5011</v>
      </c>
      <c r="C3985" s="5" t="str">
        <f>IFERROR(__xludf.DUMMYFUNCTION("GOOGLETRANSLATE(B3985,""en"",""it"")"),"Vediamo tre uomini stare e posare per una foto e un uomo viene intervistato prima di tornare al gioco.")</f>
        <v>Vediamo tre uomini stare e posare per una foto e un uomo viene intervistato prima di tornare al gioco.</v>
      </c>
    </row>
    <row r="3986">
      <c r="A3986" s="4" t="s">
        <v>5012</v>
      </c>
      <c r="B3986" s="4" t="s">
        <v>5013</v>
      </c>
      <c r="C3986" s="5" t="str">
        <f>IFERROR(__xludf.DUMMYFUNCTION("GOOGLETRANSLATE(B3986,""en"",""it"")"),"Un uomo e una donna sono seduti su un divano a parlare.")</f>
        <v>Un uomo e una donna sono seduti su un divano a parlare.</v>
      </c>
    </row>
    <row r="3987">
      <c r="A3987" s="4" t="s">
        <v>5012</v>
      </c>
      <c r="B3987" s="4" t="s">
        <v>5014</v>
      </c>
      <c r="C3987" s="5" t="str">
        <f>IFERROR(__xludf.DUMMYFUNCTION("GOOGLETRANSLATE(B3987,""en"",""it"")"),"Stanno guidando in macchina per una strada.")</f>
        <v>Stanno guidando in macchina per una strada.</v>
      </c>
    </row>
    <row r="3988">
      <c r="A3988" s="4" t="s">
        <v>5012</v>
      </c>
      <c r="B3988" s="4" t="s">
        <v>5015</v>
      </c>
      <c r="C3988" s="5" t="str">
        <f>IFERROR(__xludf.DUMMYFUNCTION("GOOGLETRANSLATE(B3988,""en"",""it"")"),"Stanno rotolando giù per un marciapiede.")</f>
        <v>Stanno rotolando giù per un marciapiede.</v>
      </c>
    </row>
    <row r="3989">
      <c r="A3989" s="4" t="s">
        <v>5016</v>
      </c>
      <c r="B3989" s="6" t="s">
        <v>5017</v>
      </c>
      <c r="C3989" s="5" t="str">
        <f>IFERROR(__xludf.DUMMYFUNCTION("GOOGLETRANSLATE(B3989,""en"",""it"")"),"C'è un uomo in una camicia bianca intervistata nel programma di 60 minuti dall'ospite dello spettacolo.")</f>
        <v>C'è un uomo in una camicia bianca intervistata nel programma di 60 minuti dall'ospite dello spettacolo.</v>
      </c>
    </row>
    <row r="3990">
      <c r="A3990" s="4" t="s">
        <v>5016</v>
      </c>
      <c r="B3990" s="6" t="s">
        <v>5018</v>
      </c>
      <c r="C3990" s="5" t="str">
        <f>IFERROR(__xludf.DUMMYFUNCTION("GOOGLETRANSLATE(B3990,""en"",""it"")"),"Sta parlando della sua partecipazione come Matador in un evento di combattimento di tori in cui ci sono diversi spettatori che lo guardano.")</f>
        <v>Sta parlando della sua partecipazione come Matador in un evento di combattimento di tori in cui ci sono diversi spettatori che lo guardano.</v>
      </c>
    </row>
    <row r="3991">
      <c r="A3991" s="4" t="s">
        <v>5016</v>
      </c>
      <c r="B3991" s="6" t="s">
        <v>5019</v>
      </c>
      <c r="C3991" s="5" t="str">
        <f>IFERROR(__xludf.DUMMYFUNCTION("GOOGLETRANSLATE(B3991,""en"",""it"")"),"Durante l'evento, viene ferito e viene preso su una barella dai paramedici per il trattamento di pronto soccorso.")</f>
        <v>Durante l'evento, viene ferito e viene preso su una barella dai paramedici per il trattamento di pronto soccorso.</v>
      </c>
    </row>
    <row r="3992">
      <c r="A3992" s="4" t="s">
        <v>5020</v>
      </c>
      <c r="B3992" s="6" t="s">
        <v>5021</v>
      </c>
      <c r="C3992" s="5" t="str">
        <f>IFERROR(__xludf.DUMMYFUNCTION("GOOGLETRANSLATE(B3992,""en"",""it"")"),"Viene visto un uomo parlare alla telecamera e conduce a diversi scatti di una barca sull'acqua, nonché persone che tengono una macchina fotografica e una scia.")</f>
        <v>Viene visto un uomo parlare alla telecamera e conduce a diversi scatti di una barca sull'acqua, nonché persone che tengono una macchina fotografica e una scia.</v>
      </c>
    </row>
    <row r="3993">
      <c r="A3993" s="4" t="s">
        <v>5020</v>
      </c>
      <c r="B3993" s="6" t="s">
        <v>5022</v>
      </c>
      <c r="C3993" s="5" t="str">
        <f>IFERROR(__xludf.DUMMYFUNCTION("GOOGLETRANSLATE(B3993,""en"",""it"")"),"La gente viene quindi vista arrampicarsi su una roccia e camminare per una foresta, terminando saltando in acqua.")</f>
        <v>La gente viene quindi vista arrampicarsi su una roccia e camminare per una foresta, terminando saltando in acqua.</v>
      </c>
    </row>
    <row r="3994">
      <c r="A3994" s="4" t="s">
        <v>5020</v>
      </c>
      <c r="B3994" s="6" t="s">
        <v>5023</v>
      </c>
      <c r="C3994" s="5" t="str">
        <f>IFERROR(__xludf.DUMMYFUNCTION("GOOGLETRANSLATE(B3994,""en"",""it"")"),"Vengono mostrate altre clip di loro wakeboard e cavalcano in barca e saltano in acqua.")</f>
        <v>Vengono mostrate altre clip di loro wakeboard e cavalcano in barca e saltano in acqua.</v>
      </c>
    </row>
    <row r="3995">
      <c r="A3995" s="4" t="s">
        <v>5024</v>
      </c>
      <c r="B3995" s="4" t="s">
        <v>5025</v>
      </c>
      <c r="C3995" s="5" t="str">
        <f>IFERROR(__xludf.DUMMYFUNCTION("GOOGLETRANSLATE(B3995,""en"",""it"")"),"Le donne sono sullo sfondo di una palestra che solleva pesi.")</f>
        <v>Le donne sono sullo sfondo di una palestra che solleva pesi.</v>
      </c>
    </row>
    <row r="3996">
      <c r="A3996" s="4" t="s">
        <v>5024</v>
      </c>
      <c r="B3996" s="4" t="s">
        <v>5026</v>
      </c>
      <c r="C3996" s="5" t="str">
        <f>IFERROR(__xludf.DUMMYFUNCTION("GOOGLETRANSLATE(B3996,""en"",""it"")"),"L'uomo si sta preparando per sollevare pesi e si trova di fronte al peso.")</f>
        <v>L'uomo si sta preparando per sollevare pesi e si trova di fronte al peso.</v>
      </c>
    </row>
    <row r="3997">
      <c r="A3997" s="4" t="s">
        <v>5027</v>
      </c>
      <c r="B3997" s="4" t="s">
        <v>5028</v>
      </c>
      <c r="C3997" s="5" t="str">
        <f>IFERROR(__xludf.DUMMYFUNCTION("GOOGLETRANSLATE(B3997,""en"",""it"")"),"Stacy sta applaudendo e viene pompato e pronto per l'esecuzione.")</f>
        <v>Stacy sta applaudendo e viene pompato e pronto per l'esecuzione.</v>
      </c>
    </row>
    <row r="3998">
      <c r="A3998" s="4" t="s">
        <v>5027</v>
      </c>
      <c r="B3998" s="4" t="s">
        <v>5029</v>
      </c>
      <c r="C3998" s="5" t="str">
        <f>IFERROR(__xludf.DUMMYFUNCTION("GOOGLETRANSLATE(B3998,""en"",""it"")"),"Prende il palo e inizia a correre con esso e salta sul cuscino.")</f>
        <v>Prende il palo e inizia a correre con esso e salta sul cuscino.</v>
      </c>
    </row>
    <row r="3999">
      <c r="A3999" s="4" t="s">
        <v>5027</v>
      </c>
      <c r="B3999" s="4" t="s">
        <v>5030</v>
      </c>
      <c r="C3999" s="5" t="str">
        <f>IFERROR(__xludf.DUMMYFUNCTION("GOOGLETRANSLATE(B3999,""en"",""it"")"),"Quindi, altre donne seguono l'esempio facendo lo stesso dopo aver segnato in modo diverso.")</f>
        <v>Quindi, altre donne seguono l'esempio facendo lo stesso dopo aver segnato in modo diverso.</v>
      </c>
    </row>
    <row r="4000">
      <c r="A4000" s="4" t="s">
        <v>5027</v>
      </c>
      <c r="B4000" s="4" t="s">
        <v>5031</v>
      </c>
      <c r="C4000" s="5" t="str">
        <f>IFERROR(__xludf.DUMMYFUNCTION("GOOGLETRANSLATE(B4000,""en"",""it"")"),"Il prossimo è il turno degli uomini per fare i loro turni uno per uno che segue le donne.")</f>
        <v>Il prossimo è il turno degli uomini per fare i loro turni uno per uno che segue le donne.</v>
      </c>
    </row>
    <row r="4001">
      <c r="A4001" s="4" t="s">
        <v>5032</v>
      </c>
      <c r="B4001" s="4" t="s">
        <v>5033</v>
      </c>
      <c r="C4001" s="5" t="str">
        <f>IFERROR(__xludf.DUMMYFUNCTION("GOOGLETRANSLATE(B4001,""en"",""it"")"),"Un gatto viene mostrato da vicino con la mano di una persona che taglia le unghie sul gatto.")</f>
        <v>Un gatto viene mostrato da vicino con la mano di una persona che taglia le unghie sul gatto.</v>
      </c>
    </row>
    <row r="4002">
      <c r="A4002" s="4" t="s">
        <v>5032</v>
      </c>
      <c r="B4002" s="4" t="s">
        <v>5034</v>
      </c>
      <c r="C4002" s="5" t="str">
        <f>IFERROR(__xludf.DUMMYFUNCTION("GOOGLETRANSLATE(B4002,""en"",""it"")"),"La persona continua a tagliare gli artigli mentre il gatto tenta di alzarsi più volte.")</f>
        <v>La persona continua a tagliare gli artigli mentre il gatto tenta di alzarsi più volte.</v>
      </c>
    </row>
    <row r="4003">
      <c r="A4003" s="4" t="s">
        <v>5035</v>
      </c>
      <c r="B4003" s="4" t="s">
        <v>5036</v>
      </c>
      <c r="C4003" s="5" t="str">
        <f>IFERROR(__xludf.DUMMYFUNCTION("GOOGLETRANSLATE(B4003,""en"",""it"")"),"Una piccola citazione si presenta sullo schermo e le pagine del titolo segue.")</f>
        <v>Una piccola citazione si presenta sullo schermo e le pagine del titolo segue.</v>
      </c>
    </row>
    <row r="4004">
      <c r="A4004" s="4" t="s">
        <v>5035</v>
      </c>
      <c r="B4004" s="4" t="s">
        <v>5037</v>
      </c>
      <c r="C4004" s="5" t="str">
        <f>IFERROR(__xludf.DUMMYFUNCTION("GOOGLETRANSLATE(B4004,""en"",""it"")"),"Dopo, diverse persone sono raffigurate all'esterno in un campo che cura i loro cavalli.")</f>
        <v>Dopo, diverse persone sono raffigurate all'esterno in un campo che cura i loro cavalli.</v>
      </c>
    </row>
    <row r="4005">
      <c r="A4005" s="4" t="s">
        <v>5035</v>
      </c>
      <c r="B4005" s="6" t="s">
        <v>5038</v>
      </c>
      <c r="C4005" s="5" t="str">
        <f>IFERROR(__xludf.DUMMYFUNCTION("GOOGLETRANSLATE(B4005,""en"",""it"")"),"Alla fine, le persone si mettono quindi sui loro cavalli e iniziano tutte a gareggiare l'uno con l'altro giocando a polo.")</f>
        <v>Alla fine, le persone si mettono quindi sui loro cavalli e iniziano tutte a gareggiare l'uno con l'altro giocando a polo.</v>
      </c>
    </row>
    <row r="4006">
      <c r="A4006" s="4" t="s">
        <v>5035</v>
      </c>
      <c r="B4006" s="6" t="s">
        <v>5039</v>
      </c>
      <c r="C4006" s="5" t="str">
        <f>IFERROR(__xludf.DUMMYFUNCTION("GOOGLETRANSLATE(B4006,""en"",""it"")"),"Mentre suonano, una donna viene mostrata sul lato del campo scattando foto e un piccolo logo per la fotografia mostra la fine dello schermo.")</f>
        <v>Mentre suonano, una donna viene mostrata sul lato del campo scattando foto e un piccolo logo per la fotografia mostra la fine dello schermo.</v>
      </c>
    </row>
    <row r="4007">
      <c r="A4007" s="4" t="s">
        <v>5040</v>
      </c>
      <c r="B4007" s="4" t="s">
        <v>5041</v>
      </c>
      <c r="C4007" s="5" t="str">
        <f>IFERROR(__xludf.DUMMYFUNCTION("GOOGLETRANSLATE(B4007,""en"",""it"")"),"Questa persona ha cereali secchi e ora li sta mettendo in un piccolo frullatore.")</f>
        <v>Questa persona ha cereali secchi e ora li sta mettendo in un piccolo frullatore.</v>
      </c>
    </row>
    <row r="4008">
      <c r="A4008" s="4" t="s">
        <v>5040</v>
      </c>
      <c r="B4008" s="4" t="s">
        <v>5042</v>
      </c>
      <c r="C4008" s="5" t="str">
        <f>IFERROR(__xludf.DUMMYFUNCTION("GOOGLETRANSLATE(B4008,""en"",""it"")"),"Quindi aggiunge un uovo e un sale ai cereali, oltre ad altri ingredienti.")</f>
        <v>Quindi aggiunge un uovo e un sale ai cereali, oltre ad altri ingredienti.</v>
      </c>
    </row>
    <row r="4009">
      <c r="A4009" s="4" t="s">
        <v>5040</v>
      </c>
      <c r="B4009" s="6" t="s">
        <v>5043</v>
      </c>
      <c r="C4009" s="5" t="str">
        <f>IFERROR(__xludf.DUMMYFUNCTION("GOOGLETRANSLATE(B4009,""en"",""it"")"),"Successivamente fa una palla di grano e poi lo sbiadisce, poi ci mette una tazza per fare piccoli biscotti a forma di tondo.")</f>
        <v>Successivamente fa una palla di grano e poi lo sbiadisce, poi ci mette una tazza per fare piccoli biscotti a forma di tondo.</v>
      </c>
    </row>
    <row r="4010">
      <c r="A4010" s="4" t="s">
        <v>5040</v>
      </c>
      <c r="B4010" s="4" t="s">
        <v>5044</v>
      </c>
      <c r="C4010" s="5" t="str">
        <f>IFERROR(__xludf.DUMMYFUNCTION("GOOGLETRANSLATE(B4010,""en"",""it"")"),"Li mette su una padella e in un forno, dopo aver finito, li mangia insieme a un po 'di birra.")</f>
        <v>Li mette su una padella e in un forno, dopo aver finito, li mangia insieme a un po 'di birra.</v>
      </c>
    </row>
    <row r="4011">
      <c r="A4011" s="4" t="s">
        <v>5045</v>
      </c>
      <c r="B4011" s="4" t="s">
        <v>5046</v>
      </c>
      <c r="C4011" s="5" t="str">
        <f>IFERROR(__xludf.DUMMYFUNCTION("GOOGLETRANSLATE(B4011,""en"",""it"")"),"Un uomo lancia una palla su un campo.")</f>
        <v>Un uomo lancia una palla su un campo.</v>
      </c>
    </row>
    <row r="4012">
      <c r="A4012" s="4" t="s">
        <v>5045</v>
      </c>
      <c r="B4012" s="4" t="s">
        <v>5047</v>
      </c>
      <c r="C4012" s="5" t="str">
        <f>IFERROR(__xludf.DUMMYFUNCTION("GOOGLETRANSLATE(B4012,""en"",""it"")"),"Le persone sono in piedi a misurare la distanza.")</f>
        <v>Le persone sono in piedi a misurare la distanza.</v>
      </c>
    </row>
    <row r="4013">
      <c r="A4013" s="4" t="s">
        <v>5045</v>
      </c>
      <c r="B4013" s="4" t="s">
        <v>5048</v>
      </c>
      <c r="C4013" s="5" t="str">
        <f>IFERROR(__xludf.DUMMYFUNCTION("GOOGLETRANSLATE(B4013,""en"",""it"")"),"Le persone li guardano a margine.")</f>
        <v>Le persone li guardano a margine.</v>
      </c>
    </row>
    <row r="4014">
      <c r="A4014" s="4" t="s">
        <v>5049</v>
      </c>
      <c r="B4014" s="4" t="s">
        <v>5050</v>
      </c>
      <c r="C4014" s="5" t="str">
        <f>IFERROR(__xludf.DUMMYFUNCTION("GOOGLETRANSLATE(B4014,""en"",""it"")"),"Un uomo è in piedi in un soggiorno.")</f>
        <v>Un uomo è in piedi in un soggiorno.</v>
      </c>
    </row>
    <row r="4015">
      <c r="A4015" s="4" t="s">
        <v>5049</v>
      </c>
      <c r="B4015" s="4" t="s">
        <v>5051</v>
      </c>
      <c r="C4015" s="5" t="str">
        <f>IFERROR(__xludf.DUMMYFUNCTION("GOOGLETRANSLATE(B4015,""en"",""it"")"),"Sta usando le mani per battere una serie di tamburi.")</f>
        <v>Sta usando le mani per battere una serie di tamburi.</v>
      </c>
    </row>
    <row r="4016">
      <c r="A4016" s="4" t="s">
        <v>5049</v>
      </c>
      <c r="B4016" s="4" t="s">
        <v>5052</v>
      </c>
      <c r="C4016" s="5" t="str">
        <f>IFERROR(__xludf.DUMMYFUNCTION("GOOGLETRANSLATE(B4016,""en"",""it"")"),"Continua a suonare per il resto del video.")</f>
        <v>Continua a suonare per il resto del video.</v>
      </c>
    </row>
    <row r="4017">
      <c r="A4017" s="4" t="s">
        <v>5053</v>
      </c>
      <c r="B4017" s="6" t="s">
        <v>5054</v>
      </c>
      <c r="C4017" s="5" t="str">
        <f>IFERROR(__xludf.DUMMYFUNCTION("GOOGLETRANSLATE(B4017,""en"",""it"")"),"Diverse persone in zattere gonfiabili a forma di ciambella galleggiano giù da uno stretto ruscello guidato da persone che li aiutano in acqua e osservate da un piccolo gruppo di persone sulla terra vicina.")</f>
        <v>Diverse persone in zattere gonfiabili a forma di ciambella galleggiano giù da uno stretto ruscello guidato da persone che li aiutano in acqua e osservate da un piccolo gruppo di persone sulla terra vicina.</v>
      </c>
    </row>
    <row r="4018">
      <c r="A4018" s="4" t="s">
        <v>5053</v>
      </c>
      <c r="B4018" s="6" t="s">
        <v>5055</v>
      </c>
      <c r="C4018" s="5" t="str">
        <f>IFERROR(__xludf.DUMMYFUNCTION("GOOGLETRANSLATE(B4018,""en"",""it"")"),"Un gruppo di persone, galleggia in una linea, lungo uno stretto flusso d'acqua in zattere gonfiabili a forma di ciambella.")</f>
        <v>Un gruppo di persone, galleggia in una linea, lungo uno stretto flusso d'acqua in zattere gonfiabili a forma di ciambella.</v>
      </c>
    </row>
    <row r="4019">
      <c r="A4019" s="4" t="s">
        <v>5053</v>
      </c>
      <c r="B4019" s="4" t="s">
        <v>5056</v>
      </c>
      <c r="C4019" s="5" t="str">
        <f>IFERROR(__xludf.DUMMYFUNCTION("GOOGLETRANSLATE(B4019,""en"",""it"")"),"Una donna si blocca su una roccia nella zattera e si sciolse.")</f>
        <v>Una donna si blocca su una roccia nella zattera e si sciolse.</v>
      </c>
    </row>
    <row r="4020">
      <c r="A4020" s="4" t="s">
        <v>5053</v>
      </c>
      <c r="B4020" s="6" t="s">
        <v>5057</v>
      </c>
      <c r="C4020" s="5" t="str">
        <f>IFERROR(__xludf.DUMMYFUNCTION("GOOGLETRANSLATE(B4020,""en"",""it"")"),"Le persone raggiungono la fine dello stretto flusso in cui un gruppo di persone li aiuta a scendere dalle zattere e un altro piccolo gruppo di persone li guarda dalla terra vicina.")</f>
        <v>Le persone raggiungono la fine dello stretto flusso in cui un gruppo di persone li aiuta a scendere dalle zattere e un altro piccolo gruppo di persone li guarda dalla terra vicina.</v>
      </c>
    </row>
    <row r="4021">
      <c r="A4021" s="4" t="s">
        <v>5058</v>
      </c>
      <c r="B4021" s="4" t="s">
        <v>5059</v>
      </c>
      <c r="C4021" s="5" t="str">
        <f>IFERROR(__xludf.DUMMYFUNCTION("GOOGLETRANSLATE(B4021,""en"",""it"")"),"L'uomo tiene un trapano a impatto che tira fuori una ruota dell'auto.")</f>
        <v>L'uomo tiene un trapano a impatto che tira fuori una ruota dell'auto.</v>
      </c>
    </row>
    <row r="4022">
      <c r="A4022" s="4" t="s">
        <v>5058</v>
      </c>
      <c r="B4022" s="6" t="s">
        <v>5060</v>
      </c>
      <c r="C4022" s="5" t="str">
        <f>IFERROR(__xludf.DUMMYFUNCTION("GOOGLETRANSLATE(B4022,""en"",""it"")"),"L'uomo tiene la ruota in un tavolo e toglie la gomma dal bordo e la cambia per un altro.")</f>
        <v>L'uomo tiene la ruota in un tavolo e toglie la gomma dal bordo e la cambia per un altro.</v>
      </c>
    </row>
    <row r="4023">
      <c r="A4023" s="4" t="s">
        <v>5058</v>
      </c>
      <c r="B4023" s="4" t="s">
        <v>5061</v>
      </c>
      <c r="C4023" s="5" t="str">
        <f>IFERROR(__xludf.DUMMYFUNCTION("GOOGLETRANSLATE(B4023,""en"",""it"")"),"L'auto è in strada accanto a una montagna.")</f>
        <v>L'auto è in strada accanto a una montagna.</v>
      </c>
    </row>
    <row r="4024">
      <c r="A4024" s="4" t="s">
        <v>5062</v>
      </c>
      <c r="B4024" s="4" t="s">
        <v>5063</v>
      </c>
      <c r="C4024" s="5" t="str">
        <f>IFERROR(__xludf.DUMMYFUNCTION("GOOGLETRANSLATE(B4024,""en"",""it"")"),"Una signora si trova in uno studio di danza.")</f>
        <v>Una signora si trova in uno studio di danza.</v>
      </c>
    </row>
    <row r="4025">
      <c r="A4025" s="4" t="s">
        <v>5062</v>
      </c>
      <c r="B4025" s="4" t="s">
        <v>5064</v>
      </c>
      <c r="C4025" s="5" t="str">
        <f>IFERROR(__xludf.DUMMYFUNCTION("GOOGLETRANSLATE(B4025,""en"",""it"")"),"La signora esegue una danza di balletto.")</f>
        <v>La signora esegue una danza di balletto.</v>
      </c>
    </row>
    <row r="4026">
      <c r="A4026" s="4" t="s">
        <v>5062</v>
      </c>
      <c r="B4026" s="4" t="s">
        <v>5065</v>
      </c>
      <c r="C4026" s="5" t="str">
        <f>IFERROR(__xludf.DUMMYFUNCTION("GOOGLETRANSLATE(B4026,""en"",""it"")"),"La signora solleva la gamba dietro di lei e la sposta dalla parte anteriore e la poggia sulla gamba.")</f>
        <v>La signora solleva la gamba dietro di lei e la sposta dalla parte anteriore e la poggia sulla gamba.</v>
      </c>
    </row>
    <row r="4027">
      <c r="A4027" s="4" t="s">
        <v>5062</v>
      </c>
      <c r="B4027" s="4" t="s">
        <v>5066</v>
      </c>
      <c r="C4027" s="5" t="str">
        <f>IFERROR(__xludf.DUMMYFUNCTION("GOOGLETRANSLATE(B4027,""en"",""it"")"),"La signora si trova di fronte alla telecamera di fronte allo specchio.")</f>
        <v>La signora si trova di fronte alla telecamera di fronte allo specchio.</v>
      </c>
    </row>
    <row r="4028">
      <c r="A4028" s="4" t="s">
        <v>5062</v>
      </c>
      <c r="B4028" s="4" t="s">
        <v>5067</v>
      </c>
      <c r="C4028" s="5" t="str">
        <f>IFERROR(__xludf.DUMMYFUNCTION("GOOGLETRANSLATE(B4028,""en"",""it"")"),"Vediamo una persona seduta sul lato sinistro della stanza.")</f>
        <v>Vediamo una persona seduta sul lato sinistro della stanza.</v>
      </c>
    </row>
    <row r="4029">
      <c r="A4029" s="4" t="s">
        <v>5068</v>
      </c>
      <c r="B4029" s="4" t="s">
        <v>5069</v>
      </c>
      <c r="C4029" s="5" t="str">
        <f>IFERROR(__xludf.DUMMYFUNCTION("GOOGLETRANSLATE(B4029,""en"",""it"")"),"Un cane giocattolo cammina sul pavimento.")</f>
        <v>Un cane giocattolo cammina sul pavimento.</v>
      </c>
    </row>
    <row r="4030">
      <c r="A4030" s="4" t="s">
        <v>5068</v>
      </c>
      <c r="B4030" s="4" t="s">
        <v>5070</v>
      </c>
      <c r="C4030" s="5" t="str">
        <f>IFERROR(__xludf.DUMMYFUNCTION("GOOGLETRANSLATE(B4030,""en"",""it"")"),"Si ferma a guardarsi intorno e indietro.")</f>
        <v>Si ferma a guardarsi intorno e indietro.</v>
      </c>
    </row>
    <row r="4031">
      <c r="A4031" s="4" t="s">
        <v>5068</v>
      </c>
      <c r="B4031" s="4" t="s">
        <v>5071</v>
      </c>
      <c r="C4031" s="5" t="str">
        <f>IFERROR(__xludf.DUMMYFUNCTION("GOOGLETRANSLATE(B4031,""en"",""it"")"),"Qualcuno raccoglie il cane e lo mette giù.")</f>
        <v>Qualcuno raccoglie il cane e lo mette giù.</v>
      </c>
    </row>
    <row r="4032">
      <c r="A4032" s="4" t="s">
        <v>5072</v>
      </c>
      <c r="B4032" s="6" t="s">
        <v>5073</v>
      </c>
      <c r="C4032" s="5" t="str">
        <f>IFERROR(__xludf.DUMMYFUNCTION("GOOGLETRANSLATE(B4032,""en"",""it"")"),"Un uomo in un evento sportivo professionista esegue un salto in lungo su una fossa di sabbia di fronte a uno stadio pieno di persone.")</f>
        <v>Un uomo in un evento sportivo professionista esegue un salto in lungo su una fossa di sabbia di fronte a uno stadio pieno di persone.</v>
      </c>
    </row>
    <row r="4033">
      <c r="A4033" s="4" t="s">
        <v>5072</v>
      </c>
      <c r="B4033" s="6" t="s">
        <v>5074</v>
      </c>
      <c r="C4033" s="5" t="str">
        <f>IFERROR(__xludf.DUMMYFUNCTION("GOOGLETRANSLATE(B4033,""en"",""it"")"),"L'uomo inizia incoraggiando il pubblico ad applaudire gettando le mani alla folla e gestindo per applausi.")</f>
        <v>L'uomo inizia incoraggiando il pubblico ad applaudire gettando le mani alla folla e gestindo per applausi.</v>
      </c>
    </row>
    <row r="4034">
      <c r="A4034" s="4" t="s">
        <v>5072</v>
      </c>
      <c r="B4034" s="6" t="s">
        <v>5075</v>
      </c>
      <c r="C4034" s="5" t="str">
        <f>IFERROR(__xludf.DUMMYFUNCTION("GOOGLETRANSLATE(B4034,""en"",""it"")"),"L'uomo quindi si inginocchia leggermente per prepararsi per la corsa e inizia a correre lungo un tratto di corsia stretta prima di catapultare l'aria sopra la gara di sabbia.")</f>
        <v>L'uomo quindi si inginocchia leggermente per prepararsi per la corsa e inizia a correre lungo un tratto di corsia stretta prima di catapultare l'aria sopra la gara di sabbia.</v>
      </c>
    </row>
    <row r="4035">
      <c r="A4035" s="4" t="s">
        <v>5072</v>
      </c>
      <c r="B4035" s="6" t="s">
        <v>5076</v>
      </c>
      <c r="C4035" s="5" t="str">
        <f>IFERROR(__xludf.DUMMYFUNCTION("GOOGLETRANSLATE(B4035,""en"",""it"")"),"L'uomo atterra dall'altra parte della fossa e gestisce di nuovo il pubblico per applausi mentre gli uomini si lisciano con scope a mano e spazzole a manico lunghi e ampi, il pubblico applaude e onde bandiere e le persone della macchina fotografica si prec"&amp;"ipitano attorno all'evento che lo catturano nel film.")</f>
        <v>L'uomo atterra dall'altra parte della fossa e gestisce di nuovo il pubblico per applausi mentre gli uomini si lisciano con scope a mano e spazzole a manico lunghi e ampi, il pubblico applaude e onde bandiere e le persone della macchina fotografica si precipitano attorno all'evento che lo catturano nel film.</v>
      </c>
    </row>
    <row r="4036">
      <c r="A4036" s="4" t="s">
        <v>5077</v>
      </c>
      <c r="B4036" s="4" t="s">
        <v>5078</v>
      </c>
      <c r="C4036" s="5" t="str">
        <f>IFERROR(__xludf.DUMMYFUNCTION("GOOGLETRANSLATE(B4036,""en"",""it"")"),"Le parole si imbattono nello schermo sopra un'immagine.")</f>
        <v>Le parole si imbattono nello schermo sopra un'immagine.</v>
      </c>
    </row>
    <row r="4037">
      <c r="A4037" s="4" t="s">
        <v>5077</v>
      </c>
      <c r="B4037" s="4" t="s">
        <v>5079</v>
      </c>
      <c r="C4037" s="5" t="str">
        <f>IFERROR(__xludf.DUMMYFUNCTION("GOOGLETRANSLATE(B4037,""en"",""it"")"),"Vediamo le donne che spaziano le carte su tavoli viola in un casinò senza clienti.")</f>
        <v>Vediamo le donne che spaziano le carte su tavoli viola in un casinò senza clienti.</v>
      </c>
    </row>
    <row r="4038">
      <c r="A4038" s="4" t="s">
        <v>5077</v>
      </c>
      <c r="B4038" s="4" t="s">
        <v>5080</v>
      </c>
      <c r="C4038" s="5" t="str">
        <f>IFERROR(__xludf.DUMMYFUNCTION("GOOGLETRANSLATE(B4038,""en"",""it"")"),"Il rivenditore sorride e tratta le carte e le indica.")</f>
        <v>Il rivenditore sorride e tratta le carte e le indica.</v>
      </c>
    </row>
    <row r="4039">
      <c r="A4039" s="4" t="s">
        <v>5077</v>
      </c>
      <c r="B4039" s="4" t="s">
        <v>5081</v>
      </c>
      <c r="C4039" s="5" t="str">
        <f>IFERROR(__xludf.DUMMYFUNCTION("GOOGLETRANSLATE(B4039,""en"",""it"")"),"Il rivenditore finisce e unisce le braccia attraverso il tavolo mentre le parole appaiono sullo schermo.")</f>
        <v>Il rivenditore finisce e unisce le braccia attraverso il tavolo mentre le parole appaiono sullo schermo.</v>
      </c>
    </row>
    <row r="4040">
      <c r="A4040" s="4" t="s">
        <v>5082</v>
      </c>
      <c r="B4040" s="4" t="s">
        <v>5083</v>
      </c>
      <c r="C4040" s="5" t="str">
        <f>IFERROR(__xludf.DUMMYFUNCTION("GOOGLETRANSLATE(B4040,""en"",""it"")"),"Viene visto un uomo parlare alla telecamera mentre cammina per una cucina e controlla il cibo.")</f>
        <v>Viene visto un uomo parlare alla telecamera mentre cammina per una cucina e controlla il cibo.</v>
      </c>
    </row>
    <row r="4041">
      <c r="A4041" s="4" t="s">
        <v>5082</v>
      </c>
      <c r="B4041" s="6" t="s">
        <v>5084</v>
      </c>
      <c r="C4041" s="5" t="str">
        <f>IFERROR(__xludf.DUMMYFUNCTION("GOOGLETRANSLATE(B4041,""en"",""it"")"),"Diversi scatti di cibo sono mostrati sui tavoli e sui rack e lo chef continua a parlare con il personale dietro.")</f>
        <v>Diversi scatti di cibo sono mostrati sui tavoli e sui rack e lo chef continua a parlare con il personale dietro.</v>
      </c>
    </row>
    <row r="4042">
      <c r="A4042" s="4" t="s">
        <v>5082</v>
      </c>
      <c r="B4042" s="6" t="s">
        <v>5085</v>
      </c>
      <c r="C4042" s="5" t="str">
        <f>IFERROR(__xludf.DUMMYFUNCTION("GOOGLETRANSLATE(B4042,""en"",""it"")"),"L'uomo esce davanti e parla con i clienti che stanno arrivando e rifiniti parlando alla telecamera.")</f>
        <v>L'uomo esce davanti e parla con i clienti che stanno arrivando e rifiniti parlando alla telecamera.</v>
      </c>
    </row>
    <row r="4043">
      <c r="A4043" s="4" t="s">
        <v>5086</v>
      </c>
      <c r="B4043" s="4" t="s">
        <v>5087</v>
      </c>
      <c r="C4043" s="5" t="str">
        <f>IFERROR(__xludf.DUMMYFUNCTION("GOOGLETRANSLATE(B4043,""en"",""it"")"),"Una donna spazzola i capelli di una ragazza mentre parlava seduto su un letto.")</f>
        <v>Una donna spazzola i capelli di una ragazza mentre parlava seduto su un letto.</v>
      </c>
    </row>
    <row r="4044">
      <c r="A4044" s="4" t="s">
        <v>5086</v>
      </c>
      <c r="B4044" s="4" t="s">
        <v>5088</v>
      </c>
      <c r="C4044" s="5" t="str">
        <f>IFERROR(__xludf.DUMMYFUNCTION("GOOGLETRANSLATE(B4044,""en"",""it"")"),"Quindi, la donna si inginocchia sul letto e tocca le spalle della ragazza.")</f>
        <v>Quindi, la donna si inginocchia sul letto e tocca le spalle della ragazza.</v>
      </c>
    </row>
    <row r="4045">
      <c r="A4045" s="4" t="s">
        <v>5089</v>
      </c>
      <c r="B4045" s="6" t="s">
        <v>5090</v>
      </c>
      <c r="C4045" s="5" t="str">
        <f>IFERROR(__xludf.DUMMYFUNCTION("GOOGLETRANSLATE(B4045,""en"",""it"")"),"Una grande folla viene vista seduta davanti a un palco e conduce a una giovane donna che colpisce la batteria in cerchio e si muove sul palco.")</f>
        <v>Una grande folla viene vista seduta davanti a un palco e conduce a una giovane donna che colpisce la batteria in cerchio e si muove sul palco.</v>
      </c>
    </row>
    <row r="4046">
      <c r="A4046" s="4" t="s">
        <v>5089</v>
      </c>
      <c r="B4046" s="6" t="s">
        <v>5091</v>
      </c>
      <c r="C4046" s="5" t="str">
        <f>IFERROR(__xludf.DUMMYFUNCTION("GOOGLETRANSLATE(B4046,""en"",""it"")"),"La donna continua a colpire la batteria mentre la folla osserva e termina con il testo che scorre sullo schermo.")</f>
        <v>La donna continua a colpire la batteria mentre la folla osserva e termina con il testo che scorre sullo schermo.</v>
      </c>
    </row>
    <row r="4047">
      <c r="A4047" s="4" t="s">
        <v>5092</v>
      </c>
      <c r="B4047" s="4" t="s">
        <v>5093</v>
      </c>
      <c r="C4047" s="5" t="str">
        <f>IFERROR(__xludf.DUMMYFUNCTION("GOOGLETRANSLATE(B4047,""en"",""it"")"),"Gli uomini giocano a pallavolo nella sabbia.")</f>
        <v>Gli uomini giocano a pallavolo nella sabbia.</v>
      </c>
    </row>
    <row r="4048">
      <c r="A4048" s="4" t="s">
        <v>5092</v>
      </c>
      <c r="B4048" s="4" t="s">
        <v>5094</v>
      </c>
      <c r="C4048" s="5" t="str">
        <f>IFERROR(__xludf.DUMMYFUNCTION("GOOGLETRANSLATE(B4048,""en"",""it"")"),"Le cheerleader sono in piedi accanto a loro a guardare.")</f>
        <v>Le cheerleader sono in piedi accanto a loro a guardare.</v>
      </c>
    </row>
    <row r="4049">
      <c r="A4049" s="4" t="s">
        <v>5092</v>
      </c>
      <c r="B4049" s="4" t="s">
        <v>5095</v>
      </c>
      <c r="C4049" s="5" t="str">
        <f>IFERROR(__xludf.DUMMYFUNCTION("GOOGLETRANSLATE(B4049,""en"",""it"")"),"Una donna sta giocando a calcio su una spiaggia.")</f>
        <v>Una donna sta giocando a calcio su una spiaggia.</v>
      </c>
    </row>
    <row r="4050">
      <c r="A4050" s="4" t="s">
        <v>5092</v>
      </c>
      <c r="B4050" s="4" t="s">
        <v>4133</v>
      </c>
      <c r="C4050" s="5" t="str">
        <f>IFERROR(__xludf.DUMMYFUNCTION("GOOGLETRANSLATE(B4050,""en"",""it"")"),"Un uomo con una camicia rossa sta parlando con la telecamera.")</f>
        <v>Un uomo con una camicia rossa sta parlando con la telecamera.</v>
      </c>
    </row>
    <row r="4051">
      <c r="A4051" s="4" t="s">
        <v>5096</v>
      </c>
      <c r="B4051" s="4" t="s">
        <v>5097</v>
      </c>
      <c r="C4051" s="5" t="str">
        <f>IFERROR(__xludf.DUMMYFUNCTION("GOOGLETRANSLATE(B4051,""en"",""it"")"),"Due uomini che skateboard in uno skate parco interno uno lungo l'uno dell'altro.")</f>
        <v>Due uomini che skateboard in uno skate parco interno uno lungo l'uno dell'altro.</v>
      </c>
    </row>
    <row r="4052">
      <c r="A4052" s="4" t="s">
        <v>5096</v>
      </c>
      <c r="B4052" s="4" t="s">
        <v>5098</v>
      </c>
      <c r="C4052" s="5" t="str">
        <f>IFERROR(__xludf.DUMMYFUNCTION("GOOGLETRANSLATE(B4052,""en"",""it"")"),"Si fermano e danno altri suggerimenti, cercando di perfezionare come saltare sul binario.")</f>
        <v>Si fermano e danno altri suggerimenti, cercando di perfezionare come saltare sul binario.</v>
      </c>
    </row>
    <row r="4053">
      <c r="A4053" s="4" t="s">
        <v>5096</v>
      </c>
      <c r="B4053" s="6" t="s">
        <v>5099</v>
      </c>
      <c r="C4053" s="5" t="str">
        <f>IFERROR(__xludf.DUMMYFUNCTION("GOOGLETRANSLATE(B4053,""en"",""it"")"),"Uno di loro ci prova ancora e ancora e l'altro toglie un bastone dalla sua borsa e lo estende verso il binario.")</f>
        <v>Uno di loro ci prova ancora e ancora e l'altro toglie un bastone dalla sua borsa e lo estende verso il binario.</v>
      </c>
    </row>
    <row r="4054">
      <c r="A4054" s="4" t="s">
        <v>5096</v>
      </c>
      <c r="B4054" s="4" t="s">
        <v>5100</v>
      </c>
      <c r="C4054" s="5" t="str">
        <f>IFERROR(__xludf.DUMMYFUNCTION("GOOGLETRANSLATE(B4054,""en"",""it"")"),"Quindi, arriva un altro maschio e si unisce, suonano forbici di carta rocciosa e tornano a bordo.")</f>
        <v>Quindi, arriva un altro maschio e si unisce, suonano forbici di carta rocciosa e tornano a bordo.</v>
      </c>
    </row>
    <row r="4055">
      <c r="A4055" s="4" t="s">
        <v>5101</v>
      </c>
      <c r="B4055" s="4" t="s">
        <v>5102</v>
      </c>
      <c r="C4055" s="5" t="str">
        <f>IFERROR(__xludf.DUMMYFUNCTION("GOOGLETRANSLATE(B4055,""en"",""it"")"),"Vediamo uno schermo del titolo di basket.")</f>
        <v>Vediamo uno schermo del titolo di basket.</v>
      </c>
    </row>
    <row r="4056">
      <c r="A4056" s="4" t="s">
        <v>5101</v>
      </c>
      <c r="B4056" s="4" t="s">
        <v>5103</v>
      </c>
      <c r="C4056" s="5" t="str">
        <f>IFERROR(__xludf.DUMMYFUNCTION("GOOGLETRANSLATE(B4056,""en"",""it"")"),"Un uomo sta allenando da adolescente fa colpi da basket.")</f>
        <v>Un uomo sta allenando da adolescente fa colpi da basket.</v>
      </c>
    </row>
    <row r="4057">
      <c r="A4057" s="4" t="s">
        <v>5101</v>
      </c>
      <c r="B4057" s="4" t="s">
        <v>5104</v>
      </c>
      <c r="C4057" s="5" t="str">
        <f>IFERROR(__xludf.DUMMYFUNCTION("GOOGLETRANSLATE(B4057,""en"",""it"")"),"L'uomo prende la palla e dimostra una mossa dell'anca che il ragazzo tenta.")</f>
        <v>L'uomo prende la palla e dimostra una mossa dell'anca che il ragazzo tenta.</v>
      </c>
    </row>
    <row r="4058">
      <c r="A4058" s="4" t="s">
        <v>5101</v>
      </c>
      <c r="B4058" s="4" t="s">
        <v>5105</v>
      </c>
      <c r="C4058" s="5" t="str">
        <f>IFERROR(__xludf.DUMMYFUNCTION("GOOGLETRANSLATE(B4058,""en"",""it"")"),"L'uomo dimostra qualcosa e il ragazzo spara alla palla.")</f>
        <v>L'uomo dimostra qualcosa e il ragazzo spara alla palla.</v>
      </c>
    </row>
    <row r="4059">
      <c r="A4059" s="4" t="s">
        <v>5101</v>
      </c>
      <c r="B4059" s="4" t="s">
        <v>5106</v>
      </c>
      <c r="C4059" s="5" t="str">
        <f>IFERROR(__xludf.DUMMYFUNCTION("GOOGLETRANSLATE(B4059,""en"",""it"")"),"Vediamo i suggerimenti sullo schermo 1 per uno.")</f>
        <v>Vediamo i suggerimenti sullo schermo 1 per uno.</v>
      </c>
    </row>
    <row r="4060">
      <c r="A4060" s="4" t="s">
        <v>5101</v>
      </c>
      <c r="B4060" s="4" t="s">
        <v>5107</v>
      </c>
      <c r="C4060" s="5" t="str">
        <f>IFERROR(__xludf.DUMMYFUNCTION("GOOGLETRANSLATE(B4060,""en"",""it"")"),"Vediamo quindi la schermata del titolo finale.")</f>
        <v>Vediamo quindi la schermata del titolo finale.</v>
      </c>
    </row>
    <row r="4061">
      <c r="A4061" s="4" t="s">
        <v>5108</v>
      </c>
      <c r="B4061" s="4" t="s">
        <v>5109</v>
      </c>
      <c r="C4061" s="5" t="str">
        <f>IFERROR(__xludf.DUMMYFUNCTION("GOOGLETRANSLATE(B4061,""en"",""it"")"),"Due squadre di ragazze giocano a hockey in campo con bastoncini da hockey e una palla.")</f>
        <v>Due squadre di ragazze giocano a hockey in campo con bastoncini da hockey e una palla.</v>
      </c>
    </row>
    <row r="4062">
      <c r="A4062" s="4" t="s">
        <v>5108</v>
      </c>
      <c r="B4062" s="4" t="s">
        <v>5110</v>
      </c>
      <c r="C4062" s="5" t="str">
        <f>IFERROR(__xludf.DUMMYFUNCTION("GOOGLETRANSLATE(B4062,""en"",""it"")"),"La squadra con le camicie bordeautiche segna tre volte e l'altra squadra non ha segnato nessuno.")</f>
        <v>La squadra con le camicie bordeautiche segna tre volte e l'altra squadra non ha segnato nessuno.</v>
      </c>
    </row>
    <row r="4063">
      <c r="A4063" s="4" t="s">
        <v>5111</v>
      </c>
      <c r="B4063" s="4" t="s">
        <v>5112</v>
      </c>
      <c r="C4063" s="5" t="str">
        <f>IFERROR(__xludf.DUMMYFUNCTION("GOOGLETRANSLATE(B4063,""en"",""it"")"),"Vediamo un uomo immergersi in una piscina al rallentatore.")</f>
        <v>Vediamo un uomo immergersi in una piscina al rallentatore.</v>
      </c>
    </row>
    <row r="4064">
      <c r="A4064" s="4" t="s">
        <v>5111</v>
      </c>
      <c r="B4064" s="4" t="s">
        <v>5113</v>
      </c>
      <c r="C4064" s="5" t="str">
        <f>IFERROR(__xludf.DUMMYFUNCTION("GOOGLETRANSLATE(B4064,""en"",""it"")"),"Vediamo i giudici dare all'uomo il suo punteggio e parlare con lui.")</f>
        <v>Vediamo i giudici dare all'uomo il suo punteggio e parlare con lui.</v>
      </c>
    </row>
    <row r="4065">
      <c r="A4065" s="4" t="s">
        <v>5111</v>
      </c>
      <c r="B4065" s="4" t="s">
        <v>5114</v>
      </c>
      <c r="C4065" s="5" t="str">
        <f>IFERROR(__xludf.DUMMYFUNCTION("GOOGLETRANSLATE(B4065,""en"",""it"")"),"Vediamo una signora che applaude.")</f>
        <v>Vediamo una signora che applaude.</v>
      </c>
    </row>
    <row r="4066">
      <c r="A4066" s="4" t="s">
        <v>5111</v>
      </c>
      <c r="B4066" s="4" t="s">
        <v>5115</v>
      </c>
      <c r="C4066" s="5" t="str">
        <f>IFERROR(__xludf.DUMMYFUNCTION("GOOGLETRANSLATE(B4066,""en"",""it"")"),"Vediamo il subacqueo intervistato.")</f>
        <v>Vediamo il subacqueo intervistato.</v>
      </c>
    </row>
    <row r="4067">
      <c r="A4067" s="4" t="s">
        <v>5111</v>
      </c>
      <c r="B4067" s="4" t="s">
        <v>5116</v>
      </c>
      <c r="C4067" s="5" t="str">
        <f>IFERROR(__xludf.DUMMYFUNCTION("GOOGLETRANSLATE(B4067,""en"",""it"")"),"Vediamo la folla stare e applaudire.")</f>
        <v>Vediamo la folla stare e applaudire.</v>
      </c>
    </row>
    <row r="4068">
      <c r="A4068" s="4" t="s">
        <v>5111</v>
      </c>
      <c r="B4068" s="4" t="s">
        <v>5117</v>
      </c>
      <c r="C4068" s="5" t="str">
        <f>IFERROR(__xludf.DUMMYFUNCTION("GOOGLETRANSLATE(B4068,""en"",""it"")"),"Vediamo le carte del punteggio finale per tutti i concorrenti.")</f>
        <v>Vediamo le carte del punteggio finale per tutti i concorrenti.</v>
      </c>
    </row>
    <row r="4069">
      <c r="A4069" s="4" t="s">
        <v>5118</v>
      </c>
      <c r="B4069" s="4" t="s">
        <v>5119</v>
      </c>
      <c r="C4069" s="5" t="str">
        <f>IFERROR(__xludf.DUMMYFUNCTION("GOOGLETRANSLATE(B4069,""en"",""it"")"),"Gli alberi soffiano nella brezza mentre un uomo falcia il prato.")</f>
        <v>Gli alberi soffiano nella brezza mentre un uomo falcia il prato.</v>
      </c>
    </row>
    <row r="4070">
      <c r="A4070" s="4" t="s">
        <v>5118</v>
      </c>
      <c r="B4070" s="4" t="s">
        <v>5120</v>
      </c>
      <c r="C4070" s="5" t="str">
        <f>IFERROR(__xludf.DUMMYFUNCTION("GOOGLETRANSLATE(B4070,""en"",""it"")"),"Il sole fa capolino da dietro le nuvole e accende la scena.")</f>
        <v>Il sole fa capolino da dietro le nuvole e accende la scena.</v>
      </c>
    </row>
    <row r="4071">
      <c r="A4071" s="4" t="s">
        <v>5118</v>
      </c>
      <c r="B4071" s="4" t="s">
        <v>5121</v>
      </c>
      <c r="C4071" s="5" t="str">
        <f>IFERROR(__xludf.DUMMYFUNCTION("GOOGLETRANSLATE(B4071,""en"",""it"")"),"L'uomo si ferma e svuota l'erba nella spazzatura.")</f>
        <v>L'uomo si ferma e svuota l'erba nella spazzatura.</v>
      </c>
    </row>
    <row r="4072">
      <c r="A4072" s="4" t="s">
        <v>5118</v>
      </c>
      <c r="B4072" s="4" t="s">
        <v>5122</v>
      </c>
      <c r="C4072" s="5" t="str">
        <f>IFERROR(__xludf.DUMMYFUNCTION("GOOGLETRANSLATE(B4072,""en"",""it"")"),"Un uomo entra a trasportare un bambino e foglie.")</f>
        <v>Un uomo entra a trasportare un bambino e foglie.</v>
      </c>
    </row>
    <row r="4073">
      <c r="A4073" s="4" t="s">
        <v>5118</v>
      </c>
      <c r="B4073" s="4" t="s">
        <v>5123</v>
      </c>
      <c r="C4073" s="5" t="str">
        <f>IFERROR(__xludf.DUMMYFUNCTION("GOOGLETRANSLATE(B4073,""en"",""it"")"),"L'uomo falcia lungo i cespugli.")</f>
        <v>L'uomo falcia lungo i cespugli.</v>
      </c>
    </row>
    <row r="4074">
      <c r="A4074" s="4" t="s">
        <v>5118</v>
      </c>
      <c r="B4074" s="4" t="s">
        <v>5124</v>
      </c>
      <c r="C4074" s="5" t="str">
        <f>IFERROR(__xludf.DUMMYFUNCTION("GOOGLETRANSLATE(B4074,""en"",""it"")"),"L'uomo si ferma e svuota di nuovo la sua borsa.")</f>
        <v>L'uomo si ferma e svuota di nuovo la sua borsa.</v>
      </c>
    </row>
    <row r="4075">
      <c r="A4075" s="4" t="s">
        <v>5118</v>
      </c>
      <c r="B4075" s="4" t="s">
        <v>5125</v>
      </c>
      <c r="C4075" s="5" t="str">
        <f>IFERROR(__xludf.DUMMYFUNCTION("GOOGLETRANSLATE(B4075,""en"",""it"")"),"L'uomo svuota la sua borsa e la rimette sul tosaerba e si allontana.")</f>
        <v>L'uomo svuota la sua borsa e la rimette sul tosaerba e si allontana.</v>
      </c>
    </row>
    <row r="4076">
      <c r="A4076" s="4" t="s">
        <v>5126</v>
      </c>
      <c r="B4076" s="4" t="s">
        <v>5127</v>
      </c>
      <c r="C4076" s="5" t="str">
        <f>IFERROR(__xludf.DUMMYFUNCTION("GOOGLETRANSLATE(B4076,""en"",""it"")"),"Una donna viene vista eseguire una routine di danza mentre si muove sulla spiaggia vicino all'acqua.")</f>
        <v>Una donna viene vista eseguire una routine di danza mentre si muove sulla spiaggia vicino all'acqua.</v>
      </c>
    </row>
    <row r="4077">
      <c r="A4077" s="4" t="s">
        <v>5126</v>
      </c>
      <c r="B4077" s="6" t="s">
        <v>5128</v>
      </c>
      <c r="C4077" s="5" t="str">
        <f>IFERROR(__xludf.DUMMYFUNCTION("GOOGLETRANSLATE(B4077,""en"",""it"")"),"La donna continua a muoversi sulla spiaggia scuotendo le braccia e le gambe e guardando in lontananza.")</f>
        <v>La donna continua a muoversi sulla spiaggia scuotendo le braccia e le gambe e guardando in lontananza.</v>
      </c>
    </row>
    <row r="4078">
      <c r="A4078" s="4" t="s">
        <v>5129</v>
      </c>
      <c r="B4078" s="4" t="s">
        <v>5130</v>
      </c>
      <c r="C4078" s="5" t="str">
        <f>IFERROR(__xludf.DUMMYFUNCTION("GOOGLETRANSLATE(B4078,""en"",""it"")"),"Una partita di polo d'acqua sta avvenendo in una piscina chiusa.")</f>
        <v>Una partita di polo d'acqua sta avvenendo in una piscina chiusa.</v>
      </c>
    </row>
    <row r="4079">
      <c r="A4079" s="4" t="s">
        <v>5129</v>
      </c>
      <c r="B4079" s="6" t="s">
        <v>5131</v>
      </c>
      <c r="C4079" s="5" t="str">
        <f>IFERROR(__xludf.DUMMYFUNCTION("GOOGLETRANSLATE(B4079,""en"",""it"")"),"Ci sono alcuni spettatori che guardano dai lati della piscina, mentre un arbitro sta seguendo le azioni per rimanere in controllo della partita.")</f>
        <v>Ci sono alcuni spettatori che guardano dai lati della piscina, mentre un arbitro sta seguendo le azioni per rimanere in controllo della partita.</v>
      </c>
    </row>
    <row r="4080">
      <c r="A4080" s="4" t="s">
        <v>5129</v>
      </c>
      <c r="B4080" s="4" t="s">
        <v>5132</v>
      </c>
      <c r="C4080" s="5" t="str">
        <f>IFERROR(__xludf.DUMMYFUNCTION("GOOGLETRANSLATE(B4080,""en"",""it"")"),"È tranquillo oltre ai bambini che sono coinvolti nel gioco.")</f>
        <v>È tranquillo oltre ai bambini che sono coinvolti nel gioco.</v>
      </c>
    </row>
    <row r="4081">
      <c r="A4081" s="4" t="s">
        <v>5129</v>
      </c>
      <c r="B4081" s="4" t="s">
        <v>5133</v>
      </c>
      <c r="C4081" s="5" t="str">
        <f>IFERROR(__xludf.DUMMYFUNCTION("GOOGLETRANSLATE(B4081,""en"",""it"")"),"Si stanno divertendo e sono molto coinvolti in ciò che stanno facendo.")</f>
        <v>Si stanno divertendo e sono molto coinvolti in ciò che stanno facendo.</v>
      </c>
    </row>
    <row r="4082">
      <c r="A4082" s="4" t="s">
        <v>5134</v>
      </c>
      <c r="B4082" s="4" t="s">
        <v>5135</v>
      </c>
      <c r="C4082" s="5" t="str">
        <f>IFERROR(__xludf.DUMMYFUNCTION("GOOGLETRANSLATE(B4082,""en"",""it"")"),"Vediamo una signora in una camicia rosa parlare con la telecamera.")</f>
        <v>Vediamo una signora in una camicia rosa parlare con la telecamera.</v>
      </c>
    </row>
    <row r="4083">
      <c r="A4083" s="4" t="s">
        <v>5134</v>
      </c>
      <c r="B4083" s="4" t="s">
        <v>5136</v>
      </c>
      <c r="C4083" s="5" t="str">
        <f>IFERROR(__xludf.DUMMYFUNCTION("GOOGLETRANSLATE(B4083,""en"",""it"")"),"Vediamo la signora prendere un cesto di biancheria e metterlo giù.")</f>
        <v>Vediamo la signora prendere un cesto di biancheria e metterlo giù.</v>
      </c>
    </row>
    <row r="4084">
      <c r="A4084" s="4" t="s">
        <v>5134</v>
      </c>
      <c r="B4084" s="4" t="s">
        <v>5137</v>
      </c>
      <c r="C4084" s="5" t="str">
        <f>IFERROR(__xludf.DUMMYFUNCTION("GOOGLETRANSLATE(B4084,""en"",""it"")"),"La signora scuote un vestito e lo mette su una tavola da stiro.")</f>
        <v>La signora scuote un vestito e lo mette su una tavola da stiro.</v>
      </c>
    </row>
    <row r="4085">
      <c r="A4085" s="4" t="s">
        <v>5134</v>
      </c>
      <c r="B4085" s="4" t="s">
        <v>5138</v>
      </c>
      <c r="C4085" s="5" t="str">
        <f>IFERROR(__xludf.DUMMYFUNCTION("GOOGLETRANSLATE(B4085,""en"",""it"")"),"La signora strofina il vestito e lo stringe.")</f>
        <v>La signora strofina il vestito e lo stringe.</v>
      </c>
    </row>
    <row r="4086">
      <c r="A4086" s="4" t="s">
        <v>5134</v>
      </c>
      <c r="B4086" s="4" t="s">
        <v>5139</v>
      </c>
      <c r="C4086" s="5" t="str">
        <f>IFERROR(__xludf.DUMMYFUNCTION("GOOGLETRANSLATE(B4086,""en"",""it"")"),"La signora mette una camicia sul tabellone, poi la rimette nel cestino.")</f>
        <v>La signora mette una camicia sul tabellone, poi la rimette nel cestino.</v>
      </c>
    </row>
    <row r="4087">
      <c r="A4087" s="4" t="s">
        <v>5134</v>
      </c>
      <c r="B4087" s="4" t="s">
        <v>5140</v>
      </c>
      <c r="C4087" s="5" t="str">
        <f>IFERROR(__xludf.DUMMYFUNCTION("GOOGLETRANSLATE(B4087,""en"",""it"")"),"La signora piega il vestito, sorride e la scena finisce.")</f>
        <v>La signora piega il vestito, sorride e la scena finisce.</v>
      </c>
    </row>
    <row r="4088">
      <c r="A4088" s="4" t="s">
        <v>5141</v>
      </c>
      <c r="B4088" s="4" t="s">
        <v>5142</v>
      </c>
      <c r="C4088" s="5" t="str">
        <f>IFERROR(__xludf.DUMMYFUNCTION("GOOGLETRANSLATE(B4088,""en"",""it"")"),"Un uomo è seduto su un divano.")</f>
        <v>Un uomo è seduto su un divano.</v>
      </c>
    </row>
    <row r="4089">
      <c r="A4089" s="4" t="s">
        <v>5141</v>
      </c>
      <c r="B4089" s="4" t="s">
        <v>5143</v>
      </c>
      <c r="C4089" s="5" t="str">
        <f>IFERROR(__xludf.DUMMYFUNCTION("GOOGLETRANSLATE(B4089,""en"",""it"")"),"Solleva una scarpa e una bottiglia di detergente.")</f>
        <v>Solleva una scarpa e una bottiglia di detergente.</v>
      </c>
    </row>
    <row r="4090">
      <c r="A4090" s="4" t="s">
        <v>5141</v>
      </c>
      <c r="B4090" s="4" t="s">
        <v>5144</v>
      </c>
      <c r="C4090" s="5" t="str">
        <f>IFERROR(__xludf.DUMMYFUNCTION("GOOGLETRANSLATE(B4090,""en"",""it"")"),"Lo porta in un lavandino, dove lo lava.")</f>
        <v>Lo porta in un lavandino, dove lo lava.</v>
      </c>
    </row>
    <row r="4091">
      <c r="A4091" s="4" t="s">
        <v>5141</v>
      </c>
      <c r="B4091" s="4" t="s">
        <v>5145</v>
      </c>
      <c r="C4091" s="5" t="str">
        <f>IFERROR(__xludf.DUMMYFUNCTION("GOOGLETRANSLATE(B4091,""en"",""it"")"),"Quindi mette due pezzi di frutta in cima e li mangia con la bocca.")</f>
        <v>Quindi mette due pezzi di frutta in cima e li mangia con la bocca.</v>
      </c>
    </row>
    <row r="4092">
      <c r="A4092" s="4" t="s">
        <v>5146</v>
      </c>
      <c r="B4092" s="4" t="s">
        <v>5147</v>
      </c>
      <c r="C4092" s="5" t="str">
        <f>IFERROR(__xludf.DUMMYFUNCTION("GOOGLETRANSLATE(B4092,""en"",""it"")"),"Il testo descrittivo viene mostrato su uno sfondo di tende a film rosso.")</f>
        <v>Il testo descrittivo viene mostrato su uno sfondo di tende a film rosso.</v>
      </c>
    </row>
    <row r="4093">
      <c r="A4093" s="4" t="s">
        <v>5146</v>
      </c>
      <c r="B4093" s="4" t="s">
        <v>5148</v>
      </c>
      <c r="C4093" s="5" t="str">
        <f>IFERROR(__xludf.DUMMYFUNCTION("GOOGLETRANSLATE(B4093,""en"",""it"")"),"Un allenatore mostra diverse posizioni per le gambe a uno studente per giocare a badminton.")</f>
        <v>Un allenatore mostra diverse posizioni per le gambe a uno studente per giocare a badminton.</v>
      </c>
    </row>
    <row r="4094">
      <c r="A4094" s="4" t="s">
        <v>5146</v>
      </c>
      <c r="B4094" s="4" t="s">
        <v>5149</v>
      </c>
      <c r="C4094" s="5" t="str">
        <f>IFERROR(__xludf.DUMMYFUNCTION("GOOGLETRANSLATE(B4094,""en"",""it"")"),"L'allenatore ritorna serve allo studente usando la racchetta durante un trapano.")</f>
        <v>L'allenatore ritorna serve allo studente usando la racchetta durante un trapano.</v>
      </c>
    </row>
    <row r="4095">
      <c r="A4095" s="4" t="s">
        <v>5146</v>
      </c>
      <c r="B4095" s="4" t="s">
        <v>5150</v>
      </c>
      <c r="C4095" s="5" t="str">
        <f>IFERROR(__xludf.DUMMYFUNCTION("GOOGLETRANSLATE(B4095,""en"",""it"")"),"Gli studenti ritornano servono dall'istruttore per un trapano di pratica.")</f>
        <v>Gli studenti ritornano servono dall'istruttore per un trapano di pratica.</v>
      </c>
    </row>
    <row r="4096">
      <c r="A4096" s="4" t="s">
        <v>5151</v>
      </c>
      <c r="B4096" s="4" t="s">
        <v>5152</v>
      </c>
      <c r="C4096" s="5" t="str">
        <f>IFERROR(__xludf.DUMMYFUNCTION("GOOGLETRANSLATE(B4096,""en"",""it"")"),"Un uomo si inginocchia su un tappetino e le mostra una parte anteriore con la mano sinistra mentre parla.")</f>
        <v>Un uomo si inginocchia su un tappetino e le mostra una parte anteriore con la mano sinistra mentre parla.</v>
      </c>
    </row>
    <row r="4097">
      <c r="A4097" s="4" t="s">
        <v>5151</v>
      </c>
      <c r="B4097" s="4" t="s">
        <v>5153</v>
      </c>
      <c r="C4097" s="5" t="str">
        <f>IFERROR(__xludf.DUMMYFUNCTION("GOOGLETRANSLATE(B4097,""en"",""it"")"),"Quindi, l'uomo solleva un kettlebell e si mise davanti al petto mentre parlava.")</f>
        <v>Quindi, l'uomo solleva un kettlebell e si mise davanti al petto mentre parlava.</v>
      </c>
    </row>
    <row r="4098">
      <c r="A4098" s="4" t="s">
        <v>5151</v>
      </c>
      <c r="B4098" s="4" t="s">
        <v>5154</v>
      </c>
      <c r="C4098" s="5" t="str">
        <f>IFERROR(__xludf.DUMMYFUNCTION("GOOGLETRANSLATE(B4098,""en"",""it"")"),"Quindi, l'uomo mise il kettlebell sul pavimento e continua a parlare.")</f>
        <v>Quindi, l'uomo mise il kettlebell sul pavimento e continua a parlare.</v>
      </c>
    </row>
    <row r="4099">
      <c r="A4099" s="4" t="s">
        <v>5155</v>
      </c>
      <c r="B4099" s="6" t="s">
        <v>5156</v>
      </c>
      <c r="C4099" s="5" t="str">
        <f>IFERROR(__xludf.DUMMYFUNCTION("GOOGLETRANSLATE(B4099,""en"",""it"")"),"Una donna è vista in piedi davanti allo specchio con un uomo accanto a lei, seguita dalla sua posa su un tavolo.")</f>
        <v>Una donna è vista in piedi davanti allo specchio con un uomo accanto a lei, seguita dalla sua posa su un tavolo.</v>
      </c>
    </row>
    <row r="4100">
      <c r="A4100" s="4" t="s">
        <v>5155</v>
      </c>
      <c r="B4100" s="6" t="s">
        <v>5157</v>
      </c>
      <c r="C4100" s="5" t="str">
        <f>IFERROR(__xludf.DUMMYFUNCTION("GOOGLETRANSLATE(B4100,""en"",""it"")"),"L'uomo quindi tatua rapidamente il viso e passa a lei sedendosi, poi di nuovo giù per sfoggiare il suo tatuaggio.")</f>
        <v>L'uomo quindi tatua rapidamente il viso e passa a lei sedendosi, poi di nuovo giù per sfoggiare il suo tatuaggio.</v>
      </c>
    </row>
    <row r="4101">
      <c r="A4101" s="4" t="s">
        <v>5158</v>
      </c>
      <c r="B4101" s="4" t="s">
        <v>5159</v>
      </c>
      <c r="C4101" s="5" t="str">
        <f>IFERROR(__xludf.DUMMYFUNCTION("GOOGLETRANSLATE(B4101,""en"",""it"")"),"La donna è in una doccia che diffonde sapone e acqua tra le braccia.")</f>
        <v>La donna è in una doccia che diffonde sapone e acqua tra le braccia.</v>
      </c>
    </row>
    <row r="4102">
      <c r="A4102" s="4" t="s">
        <v>5158</v>
      </c>
      <c r="B4102" s="4" t="s">
        <v>5160</v>
      </c>
      <c r="C4102" s="5" t="str">
        <f>IFERROR(__xludf.DUMMYFUNCTION("GOOGLETRANSLATE(B4102,""en"",""it"")"),"La donna si sta radermi le gambe sulla vasca da bagno.")</f>
        <v>La donna si sta radermi le gambe sulla vasca da bagno.</v>
      </c>
    </row>
    <row r="4103">
      <c r="A4103" s="4" t="s">
        <v>5158</v>
      </c>
      <c r="B4103" s="6" t="s">
        <v>5161</v>
      </c>
      <c r="C4103" s="5" t="str">
        <f>IFERROR(__xludf.DUMMYFUNCTION("GOOGLETRANSLATE(B4103,""en"",""it"")"),"Qualcuno apri le tende ed è un uomo che è dentro e corre dal bagno con una maschera sul viso.")</f>
        <v>Qualcuno apri le tende ed è un uomo che è dentro e corre dal bagno con una maschera sul viso.</v>
      </c>
    </row>
    <row r="4104">
      <c r="A4104" s="4" t="s">
        <v>5162</v>
      </c>
      <c r="B4104" s="4" t="s">
        <v>5163</v>
      </c>
      <c r="C4104" s="5" t="str">
        <f>IFERROR(__xludf.DUMMYFUNCTION("GOOGLETRANSLATE(B4104,""en"",""it"")"),"La pioggia si sta riversando e una persona sta attraversando il campo puntando il dito sul campo.")</f>
        <v>La pioggia si sta riversando e una persona sta attraversando il campo puntando il dito sul campo.</v>
      </c>
    </row>
    <row r="4105">
      <c r="A4105" s="4" t="s">
        <v>5162</v>
      </c>
      <c r="B4105" s="4" t="s">
        <v>5164</v>
      </c>
      <c r="C4105" s="5" t="str">
        <f>IFERROR(__xludf.DUMMYFUNCTION("GOOGLETRANSLATE(B4105,""en"",""it"")"),"Dopo, viene mostrato in un campo che tiene la mano inizia a giocare a lacrosse.")</f>
        <v>Dopo, viene mostrato in un campo che tiene la mano inizia a giocare a lacrosse.</v>
      </c>
    </row>
    <row r="4106">
      <c r="A4106" s="4" t="s">
        <v>5162</v>
      </c>
      <c r="B4106" s="4" t="s">
        <v>5165</v>
      </c>
      <c r="C4106" s="5" t="str">
        <f>IFERROR(__xludf.DUMMYFUNCTION("GOOGLETRANSLATE(B4106,""en"",""it"")"),"Continuano più partite e il ragazzo che indicava inizia a fare obiettivi e guidare la sua squadra.")</f>
        <v>Continuano più partite e il ragazzo che indicava inizia a fare obiettivi e guidare la sua squadra.</v>
      </c>
    </row>
    <row r="4107">
      <c r="A4107" s="4" t="s">
        <v>5166</v>
      </c>
      <c r="B4107" s="6" t="s">
        <v>5167</v>
      </c>
      <c r="C4107" s="5" t="str">
        <f>IFERROR(__xludf.DUMMYFUNCTION("GOOGLETRANSLATE(B4107,""en"",""it"")"),"Una donna parla di fronte a una macchina fotografica, di fronte a un cartello pubblicitario in studio di danza, mentre quattro ragazze dimostrano tecniche di balletto di fronte a un balletto in uno studio di danza.")</f>
        <v>Una donna parla di fronte a una macchina fotografica, di fronte a un cartello pubblicitario in studio di danza, mentre quattro ragazze dimostrano tecniche di balletto di fronte a un balletto in uno studio di danza.</v>
      </c>
    </row>
    <row r="4108">
      <c r="A4108" s="4" t="s">
        <v>5166</v>
      </c>
      <c r="B4108" s="6" t="s">
        <v>5168</v>
      </c>
      <c r="C4108" s="5" t="str">
        <f>IFERROR(__xludf.DUMMYFUNCTION("GOOGLETRANSLATE(B4108,""en"",""it"")"),"Una donna con i capelli biondi e vestita in tutto nero, si trova di fronte a una pubblicità in studio di danza e parla mentre si affaccia sulla macchina fotografica.")</f>
        <v>Una donna con i capelli biondi e vestita in tutto nero, si trova di fronte a una pubblicità in studio di danza e parla mentre si affaccia sulla macchina fotografica.</v>
      </c>
    </row>
    <row r="4109">
      <c r="A4109" s="4" t="s">
        <v>5166</v>
      </c>
      <c r="B4109" s="6" t="s">
        <v>5169</v>
      </c>
      <c r="C4109" s="5" t="str">
        <f>IFERROR(__xludf.DUMMYFUNCTION("GOOGLETRANSLATE(B4109,""en"",""it"")"),"La fotocamera si taglia a quattro ragazze con abiti da balletto e scarpe da ballo di fronte a una barra di balletto con la schiena alla telecamera e dimostrando curve al ginocchio di balletto.")</f>
        <v>La fotocamera si taglia a quattro ragazze con abiti da balletto e scarpe da ballo di fronte a una barra di balletto con la schiena alla telecamera e dimostrando curve al ginocchio di balletto.</v>
      </c>
    </row>
    <row r="4110">
      <c r="A4110" s="4" t="s">
        <v>5166</v>
      </c>
      <c r="B4110" s="6" t="s">
        <v>5170</v>
      </c>
      <c r="C4110" s="5" t="str">
        <f>IFERROR(__xludf.DUMMYFUNCTION("GOOGLETRANSLATE(B4110,""en"",""it"")"),"Le ragazze dimostrano quindi i punti del dito del balletto mentre la fotocamera si riduce alla donna solitaria che continua a parlare di fronte alla telecamera, fino a quando la scena svanisce per un grafico di marketing.")</f>
        <v>Le ragazze dimostrano quindi i punti del dito del balletto mentre la fotocamera si riduce alla donna solitaria che continua a parlare di fronte alla telecamera, fino a quando la scena svanisce per un grafico di marketing.</v>
      </c>
    </row>
    <row r="4111">
      <c r="A4111" s="4" t="s">
        <v>5171</v>
      </c>
      <c r="B4111" s="6" t="s">
        <v>5172</v>
      </c>
      <c r="C4111" s="5" t="str">
        <f>IFERROR(__xludf.DUMMYFUNCTION("GOOGLETRANSLATE(B4111,""en"",""it"")"),"Un uomo che indossa una camicia bianca e un cappello da stampa mimetico e piercing a orecchie e labbro dimostra come fare tatuaggi permanenti.")</f>
        <v>Un uomo che indossa una camicia bianca e un cappello da stampa mimetico e piercing a orecchie e labbro dimostra come fare tatuaggi permanenti.</v>
      </c>
    </row>
    <row r="4112">
      <c r="A4112" s="4" t="s">
        <v>5171</v>
      </c>
      <c r="B4112" s="6" t="s">
        <v>5173</v>
      </c>
      <c r="C4112" s="5" t="str">
        <f>IFERROR(__xludf.DUMMYFUNCTION("GOOGLETRANSLATE(B4112,""en"",""it"")"),"Mostra come si rade il braccio del cliente con un rasoio e si strofina un po 'di alcol per preparare la pelle.")</f>
        <v>Mostra come si rade il braccio del cliente con un rasoio e si strofina un po 'di alcol per preparare la pelle.</v>
      </c>
    </row>
    <row r="4113">
      <c r="A4113" s="4" t="s">
        <v>5171</v>
      </c>
      <c r="B4113" s="4" t="s">
        <v>5174</v>
      </c>
      <c r="C4113" s="5" t="str">
        <f>IFERROR(__xludf.DUMMYFUNCTION("GOOGLETRANSLATE(B4113,""en"",""it"")"),"Quindi mette uno stencil sul braccio del cliente per posare il contorno del tatuaggio.")</f>
        <v>Quindi mette uno stencil sul braccio del cliente per posare il contorno del tatuaggio.</v>
      </c>
    </row>
    <row r="4114">
      <c r="A4114" s="4" t="s">
        <v>5171</v>
      </c>
      <c r="B4114" s="4" t="s">
        <v>5175</v>
      </c>
      <c r="C4114" s="5" t="str">
        <f>IFERROR(__xludf.DUMMYFUNCTION("GOOGLETRANSLATE(B4114,""en"",""it"")"),"Quindi applica un po 'di crema sulla pelle per ridurre al minimo il sanguinamento.")</f>
        <v>Quindi applica un po 'di crema sulla pelle per ridurre al minimo il sanguinamento.</v>
      </c>
    </row>
    <row r="4115">
      <c r="A4115" s="4" t="s">
        <v>5171</v>
      </c>
      <c r="B4115" s="4" t="s">
        <v>5176</v>
      </c>
      <c r="C4115" s="5" t="str">
        <f>IFERROR(__xludf.DUMMYFUNCTION("GOOGLETRANSLATE(B4115,""en"",""it"")"),"Comincia a usare la macchina per tatuaggi per attingere al tatuaggio sopra il contorno.")</f>
        <v>Comincia a usare la macchina per tatuaggi per attingere al tatuaggio sopra il contorno.</v>
      </c>
    </row>
    <row r="4116">
      <c r="A4116" s="4" t="s">
        <v>5171</v>
      </c>
      <c r="B4116" s="4" t="s">
        <v>5177</v>
      </c>
      <c r="C4116" s="5" t="str">
        <f>IFERROR(__xludf.DUMMYFUNCTION("GOOGLETRANSLATE(B4116,""en"",""it"")"),"Mostra anche come usa colori diversi per riempire il contorno del design.")</f>
        <v>Mostra anche come usa colori diversi per riempire il contorno del design.</v>
      </c>
    </row>
    <row r="4117">
      <c r="A4117" s="4" t="s">
        <v>5171</v>
      </c>
      <c r="B4117" s="4" t="s">
        <v>5178</v>
      </c>
      <c r="C4117" s="5" t="str">
        <f>IFERROR(__xludf.DUMMYFUNCTION("GOOGLETRANSLATE(B4117,""en"",""it"")"),"Quindi completa il tatuaggio secondo le specifiche del cliente.")</f>
        <v>Quindi completa il tatuaggio secondo le specifiche del cliente.</v>
      </c>
    </row>
    <row r="4118">
      <c r="A4118" s="4" t="s">
        <v>5179</v>
      </c>
      <c r="B4118" s="4" t="s">
        <v>5180</v>
      </c>
      <c r="C4118" s="5" t="str">
        <f>IFERROR(__xludf.DUMMYFUNCTION("GOOGLETRANSLATE(B4118,""en"",""it"")"),"Un bambino è fuori tenendo un bastone che tenta di colpire la Pinata con esso.")</f>
        <v>Un bambino è fuori tenendo un bastone che tenta di colpire la Pinata con esso.</v>
      </c>
    </row>
    <row r="4119">
      <c r="A4119" s="4" t="s">
        <v>5179</v>
      </c>
      <c r="B4119" s="4" t="s">
        <v>5181</v>
      </c>
      <c r="C4119" s="5" t="str">
        <f>IFERROR(__xludf.DUMMYFUNCTION("GOOGLETRANSLATE(B4119,""en"",""it"")"),"Dietro di lei, una signora tiene il bambino e la assiste mentre colpisce la Pinata.")</f>
        <v>Dietro di lei, una signora tiene il bambino e la assiste mentre colpisce la Pinata.</v>
      </c>
    </row>
    <row r="4120">
      <c r="A4120" s="4" t="s">
        <v>5179</v>
      </c>
      <c r="B4120" s="6" t="s">
        <v>5182</v>
      </c>
      <c r="C4120" s="5" t="str">
        <f>IFERROR(__xludf.DUMMYFUNCTION("GOOGLETRANSLATE(B4120,""en"",""it"")"),"Mentre la Pinata rimbalza su e giù, il bambino lo colpisce a malapena e poi finisce per girare verso la telecamera.")</f>
        <v>Mentre la Pinata rimbalza su e giù, il bambino lo colpisce a malapena e poi finisce per girare verso la telecamera.</v>
      </c>
    </row>
    <row r="4121">
      <c r="A4121" s="4" t="s">
        <v>5183</v>
      </c>
      <c r="B4121" s="4" t="s">
        <v>5184</v>
      </c>
      <c r="C4121" s="5" t="str">
        <f>IFERROR(__xludf.DUMMYFUNCTION("GOOGLETRANSLATE(B4121,""en"",""it"")"),"Una bambina è seduta a un tavolo davanti a due bicchieri, una bottiglia da 7up e un piatto di fette di calce.")</f>
        <v>Una bambina è seduta a un tavolo davanti a due bicchieri, una bottiglia da 7up e un piatto di fette di calce.</v>
      </c>
    </row>
    <row r="4122">
      <c r="A4122" s="4" t="s">
        <v>5183</v>
      </c>
      <c r="B4122" s="6" t="s">
        <v>5185</v>
      </c>
      <c r="C4122" s="5" t="str">
        <f>IFERROR(__xludf.DUMMYFUNCTION("GOOGLETRANSLATE(B4122,""en"",""it"")"),"Aggiunge le fette di soda e lime agli occhiali, stringendo il succo nel liquido prima di prendere un drink.")</f>
        <v>Aggiunge le fette di soda e lime agli occhiali, stringendo il succo nel liquido prima di prendere un drink.</v>
      </c>
    </row>
    <row r="4123">
      <c r="A4123" s="4" t="s">
        <v>5186</v>
      </c>
      <c r="B4123" s="4" t="s">
        <v>5187</v>
      </c>
      <c r="C4123" s="5" t="str">
        <f>IFERROR(__xludf.DUMMYFUNCTION("GOOGLETRANSLATE(B4123,""en"",""it"")"),"Viene mostrato uno spettacolo televisivo vecchio stile in cui un uomo taglia i capelli di una donna.")</f>
        <v>Viene mostrato uno spettacolo televisivo vecchio stile in cui un uomo taglia i capelli di una donna.</v>
      </c>
    </row>
    <row r="4124">
      <c r="A4124" s="4" t="s">
        <v>5186</v>
      </c>
      <c r="B4124" s="4" t="s">
        <v>5188</v>
      </c>
      <c r="C4124" s="5" t="str">
        <f>IFERROR(__xludf.DUMMYFUNCTION("GOOGLETRANSLATE(B4124,""en"",""it"")"),"Un uomo quindi si taglia i capelli molto corto mentre un altro uomo guarda dall'esterno.")</f>
        <v>Un uomo quindi si taglia i capelli molto corto mentre un altro uomo guarda dall'esterno.</v>
      </c>
    </row>
    <row r="4125">
      <c r="A4125" s="4" t="s">
        <v>5189</v>
      </c>
      <c r="B4125" s="4" t="s">
        <v>5190</v>
      </c>
      <c r="C4125" s="5" t="str">
        <f>IFERROR(__xludf.DUMMYFUNCTION("GOOGLETRANSLATE(B4125,""en"",""it"")"),"Un uomo è fuori in un campo di calcio che mette la sua attrezzatura in una borsa del libro.")</f>
        <v>Un uomo è fuori in un campo di calcio che mette la sua attrezzatura in una borsa del libro.</v>
      </c>
    </row>
    <row r="4126">
      <c r="A4126" s="4" t="s">
        <v>5189</v>
      </c>
      <c r="B4126" s="4" t="s">
        <v>5191</v>
      </c>
      <c r="C4126" s="5" t="str">
        <f>IFERROR(__xludf.DUMMYFUNCTION("GOOGLETRANSLATE(B4126,""en"",""it"")"),"Una volta che le cose sono nelle sue borse, lo fissa con le cinghie e inizia a saltare su e giù.")</f>
        <v>Una volta che le cose sono nelle sue borse, lo fissa con le cinghie e inizia a saltare su e giù.</v>
      </c>
    </row>
    <row r="4127">
      <c r="A4127" s="4" t="s">
        <v>5189</v>
      </c>
      <c r="B4127" s="4" t="s">
        <v>5192</v>
      </c>
      <c r="C4127" s="5" t="str">
        <f>IFERROR(__xludf.DUMMYFUNCTION("GOOGLETRANSLATE(B4127,""en"",""it"")"),"Le attività principali iniziano e l'uomo inizia a correre attraverso il bosco.")</f>
        <v>Le attività principali iniziano e l'uomo inizia a correre attraverso il bosco.</v>
      </c>
    </row>
    <row r="4128">
      <c r="A4128" s="4" t="s">
        <v>5189</v>
      </c>
      <c r="B4128" s="6" t="s">
        <v>5193</v>
      </c>
      <c r="C4128" s="5" t="str">
        <f>IFERROR(__xludf.DUMMYFUNCTION("GOOGLETRANSLATE(B4128,""en"",""it"")"),"All'improvviso viene mostrato un piccolo specchio d'acqua e le persone si stanno tubing e si siedono a vicenda.")</f>
        <v>All'improvviso viene mostrato un piccolo specchio d'acqua e le persone si stanno tubing e si siedono a vicenda.</v>
      </c>
    </row>
    <row r="4129">
      <c r="A4129" s="4" t="s">
        <v>5194</v>
      </c>
      <c r="B4129" s="4" t="s">
        <v>5195</v>
      </c>
      <c r="C4129" s="5" t="str">
        <f>IFERROR(__xludf.DUMMYFUNCTION("GOOGLETRANSLATE(B4129,""en"",""it"")"),"Un ragazzo con un cappello viene visto camminare e parlare dietro alcuni alberi.")</f>
        <v>Un ragazzo con un cappello viene visto camminare e parlare dietro alcuni alberi.</v>
      </c>
    </row>
    <row r="4130">
      <c r="A4130" s="4" t="s">
        <v>5194</v>
      </c>
      <c r="B4130" s="4" t="s">
        <v>5196</v>
      </c>
      <c r="C4130" s="5" t="str">
        <f>IFERROR(__xludf.DUMMYFUNCTION("GOOGLETRANSLATE(B4130,""en"",""it"")"),"Il ragazzo si intrufola su un campo in cui un altro ragazzo gioca a hockey in campo.")</f>
        <v>Il ragazzo si intrufola su un campo in cui un altro ragazzo gioca a hockey in campo.</v>
      </c>
    </row>
    <row r="4131">
      <c r="A4131" s="4" t="s">
        <v>5194</v>
      </c>
      <c r="B4131" s="4" t="s">
        <v>5197</v>
      </c>
      <c r="C4131" s="5" t="str">
        <f>IFERROR(__xludf.DUMMYFUNCTION("GOOGLETRANSLATE(B4131,""en"",""it"")"),"Il ragazzo con il cappello prende la palla.")</f>
        <v>Il ragazzo con il cappello prende la palla.</v>
      </c>
    </row>
    <row r="4132">
      <c r="A4132" s="4" t="s">
        <v>5194</v>
      </c>
      <c r="B4132" s="4" t="s">
        <v>5198</v>
      </c>
      <c r="C4132" s="5" t="str">
        <f>IFERROR(__xludf.DUMMYFUNCTION("GOOGLETRANSLATE(B4132,""en"",""it"")"),"Il ragazzo che gioca a hockey in campo è visto saltare in background.")</f>
        <v>Il ragazzo che gioca a hockey in campo è visto saltare in background.</v>
      </c>
    </row>
    <row r="4133">
      <c r="A4133" s="4" t="s">
        <v>5194</v>
      </c>
      <c r="B4133" s="4" t="s">
        <v>5199</v>
      </c>
      <c r="C4133" s="5" t="str">
        <f>IFERROR(__xludf.DUMMYFUNCTION("GOOGLETRANSLATE(B4133,""en"",""it"")"),"Il ragazzo con il cappello calcia la palla al giocatore di hockey in campo e si vede un altro giocatore.")</f>
        <v>Il ragazzo con il cappello calcia la palla al giocatore di hockey in campo e si vede un altro giocatore.</v>
      </c>
    </row>
    <row r="4134">
      <c r="A4134" s="4" t="s">
        <v>5194</v>
      </c>
      <c r="B4134" s="6" t="s">
        <v>5200</v>
      </c>
      <c r="C4134" s="5" t="str">
        <f>IFERROR(__xludf.DUMMYFUNCTION("GOOGLETRANSLATE(B4134,""en"",""it"")"),"I due giocatori di hockey in campo vengono visti correre e colpire la palla da hockey in campo con i loro bastoncini.")</f>
        <v>I due giocatori di hockey in campo vengono visti correre e colpire la palla da hockey in campo con i loro bastoncini.</v>
      </c>
    </row>
    <row r="4135">
      <c r="A4135" s="4" t="s">
        <v>5194</v>
      </c>
      <c r="B4135" s="6" t="s">
        <v>5201</v>
      </c>
      <c r="C4135" s="5" t="str">
        <f>IFERROR(__xludf.DUMMYFUNCTION("GOOGLETRANSLATE(B4135,""en"",""it"")"),"Uno dei giocatori di hockey in campo è visto con le braccia e le gambe avvolte attorno alla gamba del ragazzo con il cappello.")</f>
        <v>Uno dei giocatori di hockey in campo è visto con le braccia e le gambe avvolte attorno alla gamba del ragazzo con il cappello.</v>
      </c>
    </row>
    <row r="4136">
      <c r="A4136" s="4" t="s">
        <v>5202</v>
      </c>
      <c r="B4136" s="4" t="s">
        <v>5203</v>
      </c>
      <c r="C4136" s="5" t="str">
        <f>IFERROR(__xludf.DUMMYFUNCTION("GOOGLETRANSLATE(B4136,""en"",""it"")"),"Una bambina usa una spazzatrice per colpire un disco.")</f>
        <v>Una bambina usa una spazzatrice per colpire un disco.</v>
      </c>
    </row>
    <row r="4137">
      <c r="A4137" s="4" t="s">
        <v>5202</v>
      </c>
      <c r="B4137" s="4" t="s">
        <v>5204</v>
      </c>
      <c r="C4137" s="5" t="str">
        <f>IFERROR(__xludf.DUMMYFUNCTION("GOOGLETRANSLATE(B4137,""en"",""it"")"),"Il disco viaggia in campo prima di fermarsi, così come ulteriori dischi.")</f>
        <v>Il disco viaggia in campo prima di fermarsi, così come ulteriori dischi.</v>
      </c>
    </row>
    <row r="4138">
      <c r="A4138" s="4" t="s">
        <v>5202</v>
      </c>
      <c r="B4138" s="4" t="s">
        <v>5205</v>
      </c>
      <c r="C4138" s="5" t="str">
        <f>IFERROR(__xludf.DUMMYFUNCTION("GOOGLETRANSLATE(B4138,""en"",""it"")"),"Continua a giocare, incerto su come vincere.")</f>
        <v>Continua a giocare, incerto su come vincere.</v>
      </c>
    </row>
    <row r="4139">
      <c r="A4139" s="4" t="s">
        <v>5206</v>
      </c>
      <c r="B4139" s="4" t="s">
        <v>5207</v>
      </c>
      <c r="C4139" s="5" t="str">
        <f>IFERROR(__xludf.DUMMYFUNCTION("GOOGLETRANSLATE(B4139,""en"",""it"")"),"Un uomo è in piedi dietro un bar a parlare.")</f>
        <v>Un uomo è in piedi dietro un bar a parlare.</v>
      </c>
    </row>
    <row r="4140">
      <c r="A4140" s="4" t="s">
        <v>5206</v>
      </c>
      <c r="B4140" s="4" t="s">
        <v>5208</v>
      </c>
      <c r="C4140" s="5" t="str">
        <f>IFERROR(__xludf.DUMMYFUNCTION("GOOGLETRANSLATE(B4140,""en"",""it"")"),"Mette il ghiaccio in un bicchiere.")</f>
        <v>Mette il ghiaccio in un bicchiere.</v>
      </c>
    </row>
    <row r="4141">
      <c r="A4141" s="4" t="s">
        <v>5206</v>
      </c>
      <c r="B4141" s="4" t="s">
        <v>5209</v>
      </c>
      <c r="C4141" s="5" t="str">
        <f>IFERROR(__xludf.DUMMYFUNCTION("GOOGLETRANSLATE(B4141,""en"",""it"")"),"Versa colpi nel vetro.")</f>
        <v>Versa colpi nel vetro.</v>
      </c>
    </row>
    <row r="4142">
      <c r="A4142" s="4" t="s">
        <v>5206</v>
      </c>
      <c r="B4142" s="4" t="s">
        <v>5210</v>
      </c>
      <c r="C4142" s="5" t="str">
        <f>IFERROR(__xludf.DUMMYFUNCTION("GOOGLETRANSLATE(B4142,""en"",""it"")"),"Muove la bevanda con una cannuccia.")</f>
        <v>Muove la bevanda con una cannuccia.</v>
      </c>
    </row>
    <row r="4143">
      <c r="A4143" s="4" t="s">
        <v>5211</v>
      </c>
      <c r="B4143" s="6" t="s">
        <v>5212</v>
      </c>
      <c r="C4143" s="5" t="str">
        <f>IFERROR(__xludf.DUMMYFUNCTION("GOOGLETRANSLATE(B4143,""en"",""it"")"),"Diverse persone vengono mostrate giocando a pallavolo in una palestra dal lato destro della rete mentre altre persone si impegnano in altre attività in background.")</f>
        <v>Diverse persone vengono mostrate giocando a pallavolo in una palestra dal lato destro della rete mentre altre persone si impegnano in altre attività in background.</v>
      </c>
    </row>
    <row r="4144">
      <c r="A4144" s="4" t="s">
        <v>5211</v>
      </c>
      <c r="B4144" s="4" t="s">
        <v>5213</v>
      </c>
      <c r="C4144" s="5" t="str">
        <f>IFERROR(__xludf.DUMMYFUNCTION("GOOGLETRANSLATE(B4144,""en"",""it"")"),"La fotocamera piovana sinistra per mostrare la squadra sul lato sinistro della rete.")</f>
        <v>La fotocamera piovana sinistra per mostrare la squadra sul lato sinistro della rete.</v>
      </c>
    </row>
    <row r="4145">
      <c r="A4145" s="4" t="s">
        <v>5211</v>
      </c>
      <c r="B4145" s="4" t="s">
        <v>5214</v>
      </c>
      <c r="C4145" s="5" t="str">
        <f>IFERROR(__xludf.DUMMYFUNCTION("GOOGLETRANSLATE(B4145,""en"",""it"")"),"La fotocamera ritorna alla squadra sul lato destro.")</f>
        <v>La fotocamera ritorna alla squadra sul lato destro.</v>
      </c>
    </row>
    <row r="4146">
      <c r="A4146" s="4" t="s">
        <v>5215</v>
      </c>
      <c r="B4146" s="6" t="s">
        <v>5216</v>
      </c>
      <c r="C4146" s="5" t="str">
        <f>IFERROR(__xludf.DUMMYFUNCTION("GOOGLETRANSLATE(B4146,""en"",""it"")"),"Tre uomini espongono che Hammer lancia in un evento olimpico all'aperto circondato da spettatori sul campo e in gradinate.")</f>
        <v>Tre uomini espongono che Hammer lancia in un evento olimpico all'aperto circondato da spettatori sul campo e in gradinate.</v>
      </c>
    </row>
    <row r="4147">
      <c r="A4147" s="4" t="s">
        <v>5215</v>
      </c>
      <c r="B4147" s="6" t="s">
        <v>5217</v>
      </c>
      <c r="C4147" s="5" t="str">
        <f>IFERROR(__xludf.DUMMYFUNCTION("GOOGLETRANSLATE(B4147,""en"",""it"")"),"Un uomo si trova in una partita olimpica all'aperto e esegue un tiro a martello circondato da persone e un pubblico in gradinate prima di lasciare che il martello vada a volare in aria.")</f>
        <v>Un uomo si trova in una partita olimpica all'aperto e esegue un tiro a martello circondato da persone e un pubblico in gradinate prima di lasciare che il martello vada a volare in aria.</v>
      </c>
    </row>
    <row r="4148">
      <c r="A4148" s="4" t="s">
        <v>5215</v>
      </c>
      <c r="B4148" s="6" t="s">
        <v>5218</v>
      </c>
      <c r="C4148" s="5" t="str">
        <f>IFERROR(__xludf.DUMMYFUNCTION("GOOGLETRANSLATE(B4148,""en"",""it"")"),"Altri due uomini eseguono un lancio a martello allo stesso modo rilasciando il martello in aria per volare in un campo.")</f>
        <v>Altri due uomini eseguono un lancio a martello allo stesso modo rilasciando il martello in aria per volare in un campo.</v>
      </c>
    </row>
    <row r="4149">
      <c r="A4149" s="4" t="s">
        <v>5215</v>
      </c>
      <c r="B4149" s="4" t="s">
        <v>5219</v>
      </c>
      <c r="C4149" s="5" t="str">
        <f>IFERROR(__xludf.DUMMYFUNCTION("GOOGLETRANSLATE(B4149,""en"",""it"")"),"Tre uomini si trovano nel mezzo di un campo e reggono medaglie che pendono intorno al collo.")</f>
        <v>Tre uomini si trovano nel mezzo di un campo e reggono medaglie che pendono intorno al collo.</v>
      </c>
    </row>
    <row r="4150">
      <c r="A4150" s="4" t="s">
        <v>5220</v>
      </c>
      <c r="B4150" s="4" t="s">
        <v>5221</v>
      </c>
      <c r="C4150" s="5" t="str">
        <f>IFERROR(__xludf.DUMMYFUNCTION("GOOGLETRANSLATE(B4150,""en"",""it"")"),"Un tosaerba si trova fuori accanto a una fila di rocce rotonde.")</f>
        <v>Un tosaerba si trova fuori accanto a una fila di rocce rotonde.</v>
      </c>
    </row>
    <row r="4151">
      <c r="A4151" s="4" t="s">
        <v>5220</v>
      </c>
      <c r="B4151" s="4" t="s">
        <v>5222</v>
      </c>
      <c r="C4151" s="5" t="str">
        <f>IFERROR(__xludf.DUMMYFUNCTION("GOOGLETRANSLATE(B4151,""en"",""it"")"),"Una persona inizia il tosaerba e inizia a spingerlo accanto al confine con la roccia.")</f>
        <v>Una persona inizia il tosaerba e inizia a spingerlo accanto al confine con la roccia.</v>
      </c>
    </row>
    <row r="4152">
      <c r="A4152" s="4" t="s">
        <v>5220</v>
      </c>
      <c r="B4152" s="6" t="s">
        <v>5223</v>
      </c>
      <c r="C4152" s="5" t="str">
        <f>IFERROR(__xludf.DUMMYFUNCTION("GOOGLETRANSLATE(B4152,""en"",""it"")"),"Otteniamo una visione di prima mano del prato della persona che viene falciato mentre girano e spingono il tosaerba dappertutto.")</f>
        <v>Otteniamo una visione di prima mano del prato della persona che viene falciato mentre girano e spingono il tosaerba dappertutto.</v>
      </c>
    </row>
    <row r="4153">
      <c r="A4153" s="4" t="s">
        <v>5220</v>
      </c>
      <c r="B4153" s="4" t="s">
        <v>5224</v>
      </c>
      <c r="C4153" s="5" t="str">
        <f>IFERROR(__xludf.DUMMYFUNCTION("GOOGLETRANSLATE(B4153,""en"",""it"")"),"La faccia dell'uomo viene mostrata poco prima di spegnere la telecamera.")</f>
        <v>La faccia dell'uomo viene mostrata poco prima di spegnere la telecamera.</v>
      </c>
    </row>
    <row r="4154">
      <c r="A4154" s="4" t="s">
        <v>5225</v>
      </c>
      <c r="B4154" s="4" t="s">
        <v>5226</v>
      </c>
      <c r="C4154" s="5" t="str">
        <f>IFERROR(__xludf.DUMMYFUNCTION("GOOGLETRANSLATE(B4154,""en"",""it"")"),"I bambini stanno cavalcando le macchine per paraurti in un parco di divertimenti o un carnevale.")</f>
        <v>I bambini stanno cavalcando le macchine per paraurti in un parco di divertimenti o un carnevale.</v>
      </c>
    </row>
    <row r="4155">
      <c r="A4155" s="4" t="s">
        <v>5225</v>
      </c>
      <c r="B4155" s="4" t="s">
        <v>5227</v>
      </c>
      <c r="C4155" s="5" t="str">
        <f>IFERROR(__xludf.DUMMYFUNCTION("GOOGLETRANSLATE(B4155,""en"",""it"")"),"Un ingorgo intrappola le bambine nel mezzo delle auto.")</f>
        <v>Un ingorgo intrappola le bambine nel mezzo delle auto.</v>
      </c>
    </row>
    <row r="4156">
      <c r="A4156" s="4" t="s">
        <v>5225</v>
      </c>
      <c r="B4156" s="4" t="s">
        <v>5228</v>
      </c>
      <c r="C4156" s="5" t="str">
        <f>IFERROR(__xludf.DUMMYFUNCTION("GOOGLETRANSLATE(B4156,""en"",""it"")"),"La bambina con il cappello sorride mentre guarda nella faccia delle sue sorelle.")</f>
        <v>La bambina con il cappello sorride mentre guarda nella faccia delle sue sorelle.</v>
      </c>
    </row>
    <row r="4157">
      <c r="A4157" s="4" t="s">
        <v>5229</v>
      </c>
      <c r="B4157" s="4" t="s">
        <v>5230</v>
      </c>
      <c r="C4157" s="5" t="str">
        <f>IFERROR(__xludf.DUMMYFUNCTION("GOOGLETRANSLATE(B4157,""en"",""it"")"),"Un folto gruppo di persone è visto seduto in un campo all'aperto.")</f>
        <v>Un folto gruppo di persone è visto seduto in un campo all'aperto.</v>
      </c>
    </row>
    <row r="4158">
      <c r="A4158" s="4" t="s">
        <v>5229</v>
      </c>
      <c r="B4158" s="4" t="s">
        <v>5231</v>
      </c>
      <c r="C4158" s="5" t="str">
        <f>IFERROR(__xludf.DUMMYFUNCTION("GOOGLETRANSLATE(B4158,""en"",""it"")"),"Un cane viene visto correre su e giù per il campo nel mezzo del pubblico.")</f>
        <v>Un cane viene visto correre su e giù per il campo nel mezzo del pubblico.</v>
      </c>
    </row>
    <row r="4159">
      <c r="A4159" s="4" t="s">
        <v>5229</v>
      </c>
      <c r="B4159" s="4" t="s">
        <v>5232</v>
      </c>
      <c r="C4159" s="5" t="str">
        <f>IFERROR(__xludf.DUMMYFUNCTION("GOOGLETRANSLATE(B4159,""en"",""it"")"),"Il cane continua a correre indietro e quarto mentre la fotocamera osserva da un lato.")</f>
        <v>Il cane continua a correre indietro e quarto mentre la fotocamera osserva da un lato.</v>
      </c>
    </row>
    <row r="4160">
      <c r="A4160" s="4" t="s">
        <v>5233</v>
      </c>
      <c r="B4160" s="4" t="s">
        <v>5234</v>
      </c>
      <c r="C4160" s="5" t="str">
        <f>IFERROR(__xludf.DUMMYFUNCTION("GOOGLETRANSLATE(B4160,""en"",""it"")"),"Vediamo un paio di schermi del titolo.")</f>
        <v>Vediamo un paio di schermi del titolo.</v>
      </c>
    </row>
    <row r="4161">
      <c r="A4161" s="4" t="s">
        <v>5233</v>
      </c>
      <c r="B4161" s="4" t="s">
        <v>5235</v>
      </c>
      <c r="C4161" s="5" t="str">
        <f>IFERROR(__xludf.DUMMYFUNCTION("GOOGLETRANSLATE(B4161,""en"",""it"")"),"Vediamo un uomo eseguire una serie di mosse di Capoeira con i nomi prima della mossa.")</f>
        <v>Vediamo un uomo eseguire una serie di mosse di Capoeira con i nomi prima della mossa.</v>
      </c>
    </row>
    <row r="4162">
      <c r="A4162" s="4" t="s">
        <v>5233</v>
      </c>
      <c r="B4162" s="4" t="s">
        <v>5236</v>
      </c>
      <c r="C4162" s="5" t="str">
        <f>IFERROR(__xludf.DUMMYFUNCTION("GOOGLETRANSLATE(B4162,""en"",""it"")"),"Vediamo un cambio di uomo e un calcio rotondo.")</f>
        <v>Vediamo un cambio di uomo e un calcio rotondo.</v>
      </c>
    </row>
    <row r="4163">
      <c r="A4163" s="4" t="s">
        <v>5233</v>
      </c>
      <c r="B4163" s="4" t="s">
        <v>5237</v>
      </c>
      <c r="C4163" s="5" t="str">
        <f>IFERROR(__xludf.DUMMYFUNCTION("GOOGLETRANSLATE(B4163,""en"",""it"")"),"L'uomo fa una verticale da una mano e prende a calci le gambe in aria.")</f>
        <v>L'uomo fa una verticale da una mano e prende a calci le gambe in aria.</v>
      </c>
    </row>
    <row r="4164">
      <c r="A4164" s="4" t="s">
        <v>5233</v>
      </c>
      <c r="B4164" s="4" t="s">
        <v>5238</v>
      </c>
      <c r="C4164" s="5" t="str">
        <f>IFERROR(__xludf.DUMMYFUNCTION("GOOGLETRANSLATE(B4164,""en"",""it"")"),"L'uomo fa un capovolgimento da un verticale.")</f>
        <v>L'uomo fa un capovolgimento da un verticale.</v>
      </c>
    </row>
    <row r="4165">
      <c r="A4165" s="4" t="s">
        <v>5233</v>
      </c>
      <c r="B4165" s="4" t="s">
        <v>4513</v>
      </c>
      <c r="C4165" s="5" t="str">
        <f>IFERROR(__xludf.DUMMYFUNCTION("GOOGLETRANSLATE(B4165,""en"",""it"")"),"Vediamo i titoli di coda.")</f>
        <v>Vediamo i titoli di coda.</v>
      </c>
    </row>
    <row r="4166">
      <c r="A4166" s="4" t="s">
        <v>5239</v>
      </c>
      <c r="B4166" s="4" t="s">
        <v>5240</v>
      </c>
      <c r="C4166" s="5" t="str">
        <f>IFERROR(__xludf.DUMMYFUNCTION("GOOGLETRANSLATE(B4166,""en"",""it"")"),"Vediamo una schermata del titolo colorata e giocosa.")</f>
        <v>Vediamo una schermata del titolo colorata e giocosa.</v>
      </c>
    </row>
    <row r="4167">
      <c r="A4167" s="4" t="s">
        <v>5239</v>
      </c>
      <c r="B4167" s="4" t="s">
        <v>5241</v>
      </c>
      <c r="C4167" s="5" t="str">
        <f>IFERROR(__xludf.DUMMYFUNCTION("GOOGLETRANSLATE(B4167,""en"",""it"")"),"Vediamo quindi persone in una stanza e all'aperto a una festa di fantasia.")</f>
        <v>Vediamo quindi persone in una stanza e all'aperto a una festa di fantasia.</v>
      </c>
    </row>
    <row r="4168">
      <c r="A4168" s="4" t="s">
        <v>5239</v>
      </c>
      <c r="B4168" s="4" t="s">
        <v>5242</v>
      </c>
      <c r="C4168" s="5" t="str">
        <f>IFERROR(__xludf.DUMMYFUNCTION("GOOGLETRANSLATE(B4168,""en"",""it"")"),"Una donna cammina attraverso la porta.")</f>
        <v>Una donna cammina attraverso la porta.</v>
      </c>
    </row>
    <row r="4169">
      <c r="A4169" s="4" t="s">
        <v>5239</v>
      </c>
      <c r="B4169" s="4" t="s">
        <v>5243</v>
      </c>
      <c r="C4169" s="5" t="str">
        <f>IFERROR(__xludf.DUMMYFUNCTION("GOOGLETRANSLATE(B4169,""en"",""it"")"),"L'uomo nell'abito arriva attraverso il cancello.")</f>
        <v>L'uomo nell'abito arriva attraverso il cancello.</v>
      </c>
    </row>
    <row r="4170">
      <c r="A4170" s="4" t="s">
        <v>5239</v>
      </c>
      <c r="B4170" s="4" t="s">
        <v>5244</v>
      </c>
      <c r="C4170" s="5" t="str">
        <f>IFERROR(__xludf.DUMMYFUNCTION("GOOGLETRANSLATE(B4170,""en"",""it"")"),"Un uomo in rosso cammina oltre la telecamera.")</f>
        <v>Un uomo in rosso cammina oltre la telecamera.</v>
      </c>
    </row>
    <row r="4171">
      <c r="A4171" s="4" t="s">
        <v>5239</v>
      </c>
      <c r="B4171" s="4" t="s">
        <v>5245</v>
      </c>
      <c r="C4171" s="5" t="str">
        <f>IFERROR(__xludf.DUMMYFUNCTION("GOOGLETRANSLATE(B4171,""en"",""it"")"),"La signora in bianco vede la telecamera e si nasconde.")</f>
        <v>La signora in bianco vede la telecamera e si nasconde.</v>
      </c>
    </row>
    <row r="4172">
      <c r="A4172" s="4" t="s">
        <v>5239</v>
      </c>
      <c r="B4172" s="4" t="s">
        <v>5246</v>
      </c>
      <c r="C4172" s="5" t="str">
        <f>IFERROR(__xludf.DUMMYFUNCTION("GOOGLETRANSLATE(B4172,""en"",""it"")"),"Vediamo un cristallo colorato come lo schermo di chiusura.")</f>
        <v>Vediamo un cristallo colorato come lo schermo di chiusura.</v>
      </c>
    </row>
    <row r="4173">
      <c r="A4173" s="4" t="s">
        <v>5247</v>
      </c>
      <c r="B4173" s="4" t="s">
        <v>5248</v>
      </c>
      <c r="C4173" s="5" t="str">
        <f>IFERROR(__xludf.DUMMYFUNCTION("GOOGLETRANSLATE(B4173,""en"",""it"")"),"Le persone cavalcano cavalli lungo un sentiero sterrato.")</f>
        <v>Le persone cavalcano cavalli lungo un sentiero sterrato.</v>
      </c>
    </row>
    <row r="4174">
      <c r="A4174" s="4" t="s">
        <v>5247</v>
      </c>
      <c r="B4174" s="4" t="s">
        <v>5249</v>
      </c>
      <c r="C4174" s="5" t="str">
        <f>IFERROR(__xludf.DUMMYFUNCTION("GOOGLETRANSLATE(B4174,""en"",""it"")"),"Stanno attraversando un fiume d'acqua sui cavalli.")</f>
        <v>Stanno attraversando un fiume d'acqua sui cavalli.</v>
      </c>
    </row>
    <row r="4175">
      <c r="A4175" s="4" t="s">
        <v>5247</v>
      </c>
      <c r="B4175" s="4" t="s">
        <v>5250</v>
      </c>
      <c r="C4175" s="5" t="str">
        <f>IFERROR(__xludf.DUMMYFUNCTION("GOOGLETRANSLATE(B4175,""en"",""it"")"),"Continuano in giro sui cavalli.")</f>
        <v>Continuano in giro sui cavalli.</v>
      </c>
    </row>
    <row r="4176">
      <c r="A4176" s="4" t="s">
        <v>5251</v>
      </c>
      <c r="B4176" s="6" t="s">
        <v>5252</v>
      </c>
      <c r="C4176" s="5" t="str">
        <f>IFERROR(__xludf.DUMMYFUNCTION("GOOGLETRANSLATE(B4176,""en"",""it"")"),"Diverse persone in un laboratorio creano una formula e intervistano con un giornalista, intervallati da immagini di persone che applicano la protezione solare a se stesse.")</f>
        <v>Diverse persone in un laboratorio creano una formula e intervistano con un giornalista, intervallati da immagini di persone che applicano la protezione solare a se stesse.</v>
      </c>
    </row>
    <row r="4177">
      <c r="A4177" s="4" t="s">
        <v>5251</v>
      </c>
      <c r="B4177" s="6" t="s">
        <v>5253</v>
      </c>
      <c r="C4177" s="5" t="str">
        <f>IFERROR(__xludf.DUMMYFUNCTION("GOOGLETRANSLATE(B4177,""en"",""it"")"),"Molte persone sono mostrate in video in scatti sinceri di loro che applicano la protezione solare a se stessi mentre all'aperto.")</f>
        <v>Molte persone sono mostrate in video in scatti sinceri di loro che applicano la protezione solare a se stessi mentre all'aperto.</v>
      </c>
    </row>
    <row r="4178">
      <c r="A4178" s="4" t="s">
        <v>5251</v>
      </c>
      <c r="B4178" s="4" t="s">
        <v>5254</v>
      </c>
      <c r="C4178" s="5" t="str">
        <f>IFERROR(__xludf.DUMMYFUNCTION("GOOGLETRANSLATE(B4178,""en"",""it"")"),"Una donna in un laboratorio prepara una formula di vari ingredienti intervallati dal parlare con una macchina fotografica.")</f>
        <v>Una donna in un laboratorio prepara una formula di vari ingredienti intervallati dal parlare con una macchina fotografica.</v>
      </c>
    </row>
    <row r="4179">
      <c r="A4179" s="4" t="s">
        <v>5251</v>
      </c>
      <c r="B4179" s="6" t="s">
        <v>5255</v>
      </c>
      <c r="C4179" s="5" t="str">
        <f>IFERROR(__xludf.DUMMYFUNCTION("GOOGLETRANSLATE(B4179,""en"",""it"")"),"Più scienziati sono mostrati in laboratorio che intervistano e parlano mescolati con scatti di loro che preparano formule in laboratorio e un colpo finale di un uomo in un mercato all'aperto che gestisce gli ingredienti in vendita.")</f>
        <v>Più scienziati sono mostrati in laboratorio che intervistano e parlano mescolati con scatti di loro che preparano formule in laboratorio e un colpo finale di un uomo in un mercato all'aperto che gestisce gli ingredienti in vendita.</v>
      </c>
    </row>
    <row r="4180">
      <c r="A4180" s="4" t="s">
        <v>5256</v>
      </c>
      <c r="B4180" s="4" t="s">
        <v>5257</v>
      </c>
      <c r="C4180" s="5" t="str">
        <f>IFERROR(__xludf.DUMMYFUNCTION("GOOGLETRANSLATE(B4180,""en"",""it"")"),"Il giovane interpreta l'armonica.")</f>
        <v>Il giovane interpreta l'armonica.</v>
      </c>
    </row>
    <row r="4181">
      <c r="A4181" s="4" t="s">
        <v>5256</v>
      </c>
      <c r="B4181" s="4" t="s">
        <v>5258</v>
      </c>
      <c r="C4181" s="5" t="str">
        <f>IFERROR(__xludf.DUMMYFUNCTION("GOOGLETRANSLATE(B4181,""en"",""it"")"),"Il giovane introduce la sua lezione video e espone il piano di lezione.")</f>
        <v>Il giovane introduce la sua lezione video e espone il piano di lezione.</v>
      </c>
    </row>
    <row r="4182">
      <c r="A4182" s="4" t="s">
        <v>5256</v>
      </c>
      <c r="B4182" s="4" t="s">
        <v>5259</v>
      </c>
      <c r="C4182" s="5" t="str">
        <f>IFERROR(__xludf.DUMMYFUNCTION("GOOGLETRANSLATE(B4182,""en"",""it"")"),"Le note musicali sono visualizzate sullo schermo mentre l'armonica teatro.")</f>
        <v>Le note musicali sono visualizzate sullo schermo mentre l'armonica teatro.</v>
      </c>
    </row>
    <row r="4183">
      <c r="A4183" s="4" t="s">
        <v>5260</v>
      </c>
      <c r="B4183" s="6" t="s">
        <v>5261</v>
      </c>
      <c r="C4183" s="5" t="str">
        <f>IFERROR(__xludf.DUMMYFUNCTION("GOOGLETRANSLATE(B4183,""en"",""it"")"),"Una donna atletica viene vista salire su una trave e inizi che esegue una routine di ginnastica.")</f>
        <v>Una donna atletica viene vista salire su una trave e inizi che esegue una routine di ginnastica.</v>
      </c>
    </row>
    <row r="4184">
      <c r="A4184" s="4" t="s">
        <v>5260</v>
      </c>
      <c r="B4184" s="6" t="s">
        <v>5262</v>
      </c>
      <c r="C4184" s="5" t="str">
        <f>IFERROR(__xludf.DUMMYFUNCTION("GOOGLETRANSLATE(B4184,""en"",""it"")"),"La donna continua a muoversi sul raggio e finisce con il suo salto con le braccia e parlare con il suo allenatore mentre il suo finale viene mostrato di nuovo al rallentatore.")</f>
        <v>La donna continua a muoversi sul raggio e finisce con il suo salto con le braccia e parlare con il suo allenatore mentre il suo finale viene mostrato di nuovo al rallentatore.</v>
      </c>
    </row>
    <row r="4185">
      <c r="A4185" s="4" t="s">
        <v>5263</v>
      </c>
      <c r="B4185" s="6" t="s">
        <v>5264</v>
      </c>
      <c r="C4185" s="5" t="str">
        <f>IFERROR(__xludf.DUMMYFUNCTION("GOOGLETRANSLATE(B4185,""en"",""it"")"),"Viene visto un uomo parlare alla telecamera e conduce in clip che dimostrano arti marziali con un altro uomo.")</f>
        <v>Viene visto un uomo parlare alla telecamera e conduce in clip che dimostrano arti marziali con un altro uomo.</v>
      </c>
    </row>
    <row r="4186">
      <c r="A4186" s="4" t="s">
        <v>5263</v>
      </c>
      <c r="B4186" s="4" t="s">
        <v>5265</v>
      </c>
      <c r="C4186" s="5" t="str">
        <f>IFERROR(__xludf.DUMMYFUNCTION("GOOGLETRANSLATE(B4186,""en"",""it"")"),"Gli uomini continuano a dimostrare l'uno con l'altro mentre si fermano per parlare alla telecamera.")</f>
        <v>Gli uomini continuano a dimostrare l'uno con l'altro mentre si fermano per parlare alla telecamera.</v>
      </c>
    </row>
    <row r="4187">
      <c r="A4187" s="4" t="s">
        <v>5266</v>
      </c>
      <c r="B4187" s="4" t="s">
        <v>5267</v>
      </c>
      <c r="C4187" s="5" t="str">
        <f>IFERROR(__xludf.DUMMYFUNCTION("GOOGLETRANSLATE(B4187,""en"",""it"")"),"Un'introduzione arriva sullo schermo per un video divertente sul bere alla birra.")</f>
        <v>Un'introduzione arriva sullo schermo per un video divertente sul bere alla birra.</v>
      </c>
    </row>
    <row r="4188">
      <c r="A4188" s="4" t="s">
        <v>5266</v>
      </c>
      <c r="B4188" s="4" t="s">
        <v>5268</v>
      </c>
      <c r="C4188" s="5" t="str">
        <f>IFERROR(__xludf.DUMMYFUNCTION("GOOGLETRANSLATE(B4188,""en"",""it"")"),"Alcuni ragazzi in una stanza si preparano a fare un trucco con una lattina di birra.")</f>
        <v>Alcuni ragazzi in una stanza si preparano a fare un trucco con una lattina di birra.</v>
      </c>
    </row>
    <row r="4189">
      <c r="A4189" s="4" t="s">
        <v>5266</v>
      </c>
      <c r="B4189" s="4" t="s">
        <v>5269</v>
      </c>
      <c r="C4189" s="5" t="str">
        <f>IFERROR(__xludf.DUMMYFUNCTION("GOOGLETRANSLATE(B4189,""en"",""it"")"),"Eseguono il trucco e un ragazzo inizia a stroncare la birra.")</f>
        <v>Eseguono il trucco e un ragazzo inizia a stroncare la birra.</v>
      </c>
    </row>
    <row r="4190">
      <c r="A4190" s="4" t="s">
        <v>5266</v>
      </c>
      <c r="B4190" s="4" t="s">
        <v>5270</v>
      </c>
      <c r="C4190" s="5" t="str">
        <f>IFERROR(__xludf.DUMMYFUNCTION("GOOGLETRANSLATE(B4190,""en"",""it"")"),"Poco dopo, il ragazzo inizia a vomitare tutta la birra in un bidone della spazzatura mentre tutti ridono.")</f>
        <v>Poco dopo, il ragazzo inizia a vomitare tutta la birra in un bidone della spazzatura mentre tutti ridono.</v>
      </c>
    </row>
    <row r="4191">
      <c r="A4191" s="4" t="s">
        <v>5271</v>
      </c>
      <c r="B4191" s="6" t="s">
        <v>5272</v>
      </c>
      <c r="C4191" s="5" t="str">
        <f>IFERROR(__xludf.DUMMYFUNCTION("GOOGLETRANSLATE(B4191,""en"",""it"")"),"Un uomo viene visto andare su uno skateboard seguito da un uomo che beve una birra attraverso un tubo e un uomo seduto in un'auto che lanciava l'uomo della telecamera.")</f>
        <v>Un uomo viene visto andare su uno skateboard seguito da un uomo che beve una birra attraverso un tubo e un uomo seduto in un'auto che lanciava l'uomo della telecamera.</v>
      </c>
    </row>
    <row r="4192">
      <c r="A4192" s="4" t="s">
        <v>5271</v>
      </c>
      <c r="B4192" s="6" t="s">
        <v>5273</v>
      </c>
      <c r="C4192" s="5" t="str">
        <f>IFERROR(__xludf.DUMMYFUNCTION("GOOGLETRANSLATE(B4192,""en"",""it"")"),"Altri colpi casuali sono mostrati di paesaggi, cani, persone in piedi e si muovono lungo l'acqua.")</f>
        <v>Altri colpi casuali sono mostrati di paesaggi, cani, persone in piedi e si muovono lungo l'acqua.</v>
      </c>
    </row>
    <row r="4193">
      <c r="A4193" s="4" t="s">
        <v>5271</v>
      </c>
      <c r="B4193" s="6" t="s">
        <v>5274</v>
      </c>
      <c r="C4193" s="5" t="str">
        <f>IFERROR(__xludf.DUMMYFUNCTION("GOOGLETRANSLATE(B4193,""en"",""it"")"),"Il video conduce a persone che cavalcano il surf sull'aquilone d'acqua e conduce a un uomo che parla con gli altri fuori mentre fumano una sigaretta.")</f>
        <v>Il video conduce a persone che cavalcano il surf sull'aquilone d'acqua e conduce a un uomo che parla con gli altri fuori mentre fumano una sigaretta.</v>
      </c>
    </row>
    <row r="4194">
      <c r="A4194" s="4" t="s">
        <v>5275</v>
      </c>
      <c r="B4194" s="4" t="s">
        <v>5276</v>
      </c>
      <c r="C4194" s="5" t="str">
        <f>IFERROR(__xludf.DUMMYFUNCTION("GOOGLETRANSLATE(B4194,""en"",""it"")"),"Un sacco di bambini giocano sulle auto dei paraurti in un parco di divertimenti.")</f>
        <v>Un sacco di bambini giocano sulle auto dei paraurti in un parco di divertimenti.</v>
      </c>
    </row>
    <row r="4195">
      <c r="A4195" s="4" t="s">
        <v>5275</v>
      </c>
      <c r="B4195" s="4" t="s">
        <v>5277</v>
      </c>
      <c r="C4195" s="5" t="str">
        <f>IFERROR(__xludf.DUMMYFUNCTION("GOOGLETRANSLATE(B4195,""en"",""it"")"),"L'incidente l'uno contro l'altro ancora e sembra essere un po 'confuso su cosa fare.")</f>
        <v>L'incidente l'uno contro l'altro ancora e sembra essere un po 'confuso su cosa fare.</v>
      </c>
    </row>
    <row r="4196">
      <c r="A4196" s="4" t="s">
        <v>5275</v>
      </c>
      <c r="B4196" s="4" t="s">
        <v>5278</v>
      </c>
      <c r="C4196" s="5" t="str">
        <f>IFERROR(__xludf.DUMMYFUNCTION("GOOGLETRANSLATE(B4196,""en"",""it"")"),"Hanno sorrisi sui loro volti mentre continuano a girare in pista.")</f>
        <v>Hanno sorrisi sui loro volti mentre continuano a girare in pista.</v>
      </c>
    </row>
    <row r="4197">
      <c r="A4197" s="4" t="s">
        <v>5279</v>
      </c>
      <c r="B4197" s="4" t="s">
        <v>5280</v>
      </c>
      <c r="C4197" s="5" t="str">
        <f>IFERROR(__xludf.DUMMYFUNCTION("GOOGLETRANSLATE(B4197,""en"",""it"")"),"Un primo piano di una maschera di scherma bianca e una maschera di scherma nera.")</f>
        <v>Un primo piano di una maschera di scherma bianca e una maschera di scherma nera.</v>
      </c>
    </row>
    <row r="4198">
      <c r="A4198" s="4" t="s">
        <v>5279</v>
      </c>
      <c r="B4198" s="4" t="s">
        <v>5281</v>
      </c>
      <c r="C4198" s="5" t="str">
        <f>IFERROR(__xludf.DUMMYFUNCTION("GOOGLETRANSLATE(B4198,""en"",""it"")"),"Un allenatore di scherma dà istruzioni ai due concorrenti di scherma.")</f>
        <v>Un allenatore di scherma dà istruzioni ai due concorrenti di scherma.</v>
      </c>
    </row>
    <row r="4199">
      <c r="A4199" s="4" t="s">
        <v>5279</v>
      </c>
      <c r="B4199" s="4" t="s">
        <v>5282</v>
      </c>
      <c r="C4199" s="5" t="str">
        <f>IFERROR(__xludf.DUMMYFUNCTION("GOOGLETRANSLATE(B4199,""en"",""it"")"),"Due concorrenti discusso di scherma.")</f>
        <v>Due concorrenti discusso di scherma.</v>
      </c>
    </row>
    <row r="4200">
      <c r="A4200" s="4" t="s">
        <v>5279</v>
      </c>
      <c r="B4200" s="4" t="s">
        <v>5283</v>
      </c>
      <c r="C4200" s="5" t="str">
        <f>IFERROR(__xludf.DUMMYFUNCTION("GOOGLETRANSLATE(B4200,""en"",""it"")"),"Più scene di scherma mentre una ragazza e un ragazzo discutono a bordo campo.")</f>
        <v>Più scene di scherma mentre una ragazza e un ragazzo discutono a bordo campo.</v>
      </c>
    </row>
    <row r="4201">
      <c r="A4201" s="4" t="s">
        <v>5279</v>
      </c>
      <c r="B4201" s="4" t="s">
        <v>5284</v>
      </c>
      <c r="C4201" s="5" t="str">
        <f>IFERROR(__xludf.DUMMYFUNCTION("GOOGLETRANSLATE(B4201,""en"",""it"")"),"Più competizione con il divano di scherma che guarda e critica.")</f>
        <v>Più competizione con il divano di scherma che guarda e critica.</v>
      </c>
    </row>
    <row r="4202">
      <c r="A4202" s="4" t="s">
        <v>5285</v>
      </c>
      <c r="B4202" s="4" t="s">
        <v>5286</v>
      </c>
      <c r="C4202" s="5" t="str">
        <f>IFERROR(__xludf.DUMMYFUNCTION("GOOGLETRANSLATE(B4202,""en"",""it"")"),"Un groip di ballerini è sul palco facendo una routine per il pubblico.")</f>
        <v>Un groip di ballerini è sul palco facendo una routine per il pubblico.</v>
      </c>
    </row>
    <row r="4203">
      <c r="A4203" s="4" t="s">
        <v>5285</v>
      </c>
      <c r="B4203" s="4" t="s">
        <v>5287</v>
      </c>
      <c r="C4203" s="5" t="str">
        <f>IFERROR(__xludf.DUMMYFUNCTION("GOOGLETRANSLATE(B4203,""en"",""it"")"),"Lo spettacolo automobilistico mostra l'interno di alcune auto piuttosto ordinate con bellissimi esterni.")</f>
        <v>Lo spettacolo automobilistico mostra l'interno di alcune auto piuttosto ordinate con bellissimi esterni.</v>
      </c>
    </row>
    <row r="4204">
      <c r="A4204" s="4" t="s">
        <v>5285</v>
      </c>
      <c r="B4204" s="4" t="s">
        <v>5288</v>
      </c>
      <c r="C4204" s="5" t="str">
        <f>IFERROR(__xludf.DUMMYFUNCTION("GOOGLETRANSLATE(B4204,""en"",""it"")"),"Un altro gruppo di ballerini a turno si danzano in testa.")</f>
        <v>Un altro gruppo di ballerini a turno si danzano in testa.</v>
      </c>
    </row>
    <row r="4205">
      <c r="A4205" s="4" t="s">
        <v>5285</v>
      </c>
      <c r="B4205" s="4" t="s">
        <v>5289</v>
      </c>
      <c r="C4205" s="5" t="str">
        <f>IFERROR(__xludf.DUMMYFUNCTION("GOOGLETRANSLATE(B4205,""en"",""it"")"),"Vanno uno per uno e sono cerchiati e il pubblico che guarda intorno a loro.")</f>
        <v>Vanno uno per uno e sono cerchiati e il pubblico che guarda intorno a loro.</v>
      </c>
    </row>
    <row r="4206">
      <c r="A4206" s="4" t="s">
        <v>5290</v>
      </c>
      <c r="B4206" s="6" t="s">
        <v>5291</v>
      </c>
      <c r="C4206" s="5" t="str">
        <f>IFERROR(__xludf.DUMMYFUNCTION("GOOGLETRANSLATE(B4206,""en"",""it"")"),"Un uomo viene visto ospitare un segmento di notizie che conduce a diversi colpi di persone che mescolano dischi lungo il ghiaccio al rallentatore.")</f>
        <v>Un uomo viene visto ospitare un segmento di notizie che conduce a diversi colpi di persone che mescolano dischi lungo il ghiaccio al rallentatore.</v>
      </c>
    </row>
    <row r="4207">
      <c r="A4207" s="4" t="s">
        <v>5290</v>
      </c>
      <c r="B4207" s="6" t="s">
        <v>5292</v>
      </c>
      <c r="C4207" s="5" t="str">
        <f>IFERROR(__xludf.DUMMYFUNCTION("GOOGLETRANSLATE(B4207,""en"",""it"")"),"Vengono mostrati più colpi di persone che giocano e finiscono con un'animazione 3D sullo schermo.")</f>
        <v>Vengono mostrati più colpi di persone che giocano e finiscono con un'animazione 3D sullo schermo.</v>
      </c>
    </row>
    <row r="4208">
      <c r="A4208" s="4" t="s">
        <v>5293</v>
      </c>
      <c r="B4208" s="4" t="s">
        <v>5294</v>
      </c>
      <c r="C4208" s="5" t="str">
        <f>IFERROR(__xludf.DUMMYFUNCTION("GOOGLETRANSLATE(B4208,""en"",""it"")"),"Viene vista una donna con i capelli corti parlare con la telecamera, quindi lanciando un paio di vernici.")</f>
        <v>Viene vista una donna con i capelli corti parlare con la telecamera, quindi lanciando un paio di vernici.</v>
      </c>
    </row>
    <row r="4209">
      <c r="A4209" s="4" t="s">
        <v>5293</v>
      </c>
      <c r="B4209" s="4" t="s">
        <v>5295</v>
      </c>
      <c r="C4209" s="5" t="str">
        <f>IFERROR(__xludf.DUMMYFUNCTION("GOOGLETRANSLATE(B4209,""en"",""it"")"),"Piega i pantaloni ordinatamente su una tavola da stiro e inizia a stirare accuratamente le vernici.")</f>
        <v>Piega i pantaloni ordinatamente su una tavola da stiro e inizia a stirare accuratamente le vernici.</v>
      </c>
    </row>
    <row r="4210">
      <c r="A4210" s="4" t="s">
        <v>5296</v>
      </c>
      <c r="B4210" s="4" t="s">
        <v>5297</v>
      </c>
      <c r="C4210" s="5" t="str">
        <f>IFERROR(__xludf.DUMMYFUNCTION("GOOGLETRANSLATE(B4210,""en"",""it"")"),"La fotocamera si concentra su un uomo sorridente seduto accanto agli altri.")</f>
        <v>La fotocamera si concentra su un uomo sorridente seduto accanto agli altri.</v>
      </c>
    </row>
    <row r="4211">
      <c r="A4211" s="4" t="s">
        <v>5296</v>
      </c>
      <c r="B4211" s="4" t="s">
        <v>5298</v>
      </c>
      <c r="C4211" s="5" t="str">
        <f>IFERROR(__xludf.DUMMYFUNCTION("GOOGLETRANSLATE(B4211,""en"",""it"")"),"Un altro individuo cammina attraverso il telaio in primo piano e oscura brevemente il primo uomo.")</f>
        <v>Un altro individuo cammina attraverso il telaio in primo piano e oscura brevemente il primo uomo.</v>
      </c>
    </row>
    <row r="4212">
      <c r="A4212" s="4" t="s">
        <v>5299</v>
      </c>
      <c r="B4212" s="4" t="s">
        <v>5300</v>
      </c>
      <c r="C4212" s="5" t="str">
        <f>IFERROR(__xludf.DUMMYFUNCTION("GOOGLETRANSLATE(B4212,""en"",""it"")"),"Vediamo un uomo in piscina con un berretto.")</f>
        <v>Vediamo un uomo in piscina con un berretto.</v>
      </c>
    </row>
    <row r="4213">
      <c r="A4213" s="4" t="s">
        <v>5299</v>
      </c>
      <c r="B4213" s="4" t="s">
        <v>5301</v>
      </c>
      <c r="C4213" s="5" t="str">
        <f>IFERROR(__xludf.DUMMYFUNCTION("GOOGLETRANSLATE(B4213,""en"",""it"")"),"Vediamo un uomo fare un goal con una palla.")</f>
        <v>Vediamo un uomo fare un goal con una palla.</v>
      </c>
    </row>
    <row r="4214">
      <c r="A4214" s="4" t="s">
        <v>5299</v>
      </c>
      <c r="B4214" s="4" t="s">
        <v>5302</v>
      </c>
      <c r="C4214" s="5" t="str">
        <f>IFERROR(__xludf.DUMMYFUNCTION("GOOGLETRANSLATE(B4214,""en"",""it"")"),"Vediamo un altro goal segnato.")</f>
        <v>Vediamo un altro goal segnato.</v>
      </c>
    </row>
    <row r="4215">
      <c r="A4215" s="4" t="s">
        <v>5299</v>
      </c>
      <c r="B4215" s="4" t="s">
        <v>5303</v>
      </c>
      <c r="C4215" s="5" t="str">
        <f>IFERROR(__xludf.DUMMYFUNCTION("GOOGLETRANSLATE(B4215,""en"",""it"")"),"Vediamo un altro goal segnato.")</f>
        <v>Vediamo un altro goal segnato.</v>
      </c>
    </row>
    <row r="4216">
      <c r="A4216" s="4" t="s">
        <v>5299</v>
      </c>
      <c r="B4216" s="4" t="s">
        <v>5304</v>
      </c>
      <c r="C4216" s="5" t="str">
        <f>IFERROR(__xludf.DUMMYFUNCTION("GOOGLETRANSLATE(B4216,""en"",""it"")"),"Vediamo l'uomo segnare un goal e nuotare.")</f>
        <v>Vediamo l'uomo segnare un goal e nuotare.</v>
      </c>
    </row>
    <row r="4217">
      <c r="A4217" s="4" t="s">
        <v>5299</v>
      </c>
      <c r="B4217" s="4" t="s">
        <v>5305</v>
      </c>
      <c r="C4217" s="5" t="str">
        <f>IFERROR(__xludf.DUMMYFUNCTION("GOOGLETRANSLATE(B4217,""en"",""it"")"),"Vediamo l'uomo all'aperto nuotare e fare 3 gol.")</f>
        <v>Vediamo l'uomo all'aperto nuotare e fare 3 gol.</v>
      </c>
    </row>
    <row r="4218">
      <c r="A4218" s="4" t="s">
        <v>5299</v>
      </c>
      <c r="B4218" s="4" t="s">
        <v>5306</v>
      </c>
      <c r="C4218" s="5" t="str">
        <f>IFERROR(__xludf.DUMMYFUNCTION("GOOGLETRANSLATE(B4218,""en"",""it"")"),"Vediamo un altro punteggio e gli uomini che giocano in acqua.")</f>
        <v>Vediamo un altro punteggio e gli uomini che giocano in acqua.</v>
      </c>
    </row>
    <row r="4219">
      <c r="A4219" s="4" t="s">
        <v>5307</v>
      </c>
      <c r="B4219" s="6" t="s">
        <v>5308</v>
      </c>
      <c r="C4219" s="5" t="str">
        <f>IFERROR(__xludf.DUMMYFUNCTION("GOOGLETRANSLATE(B4219,""en"",""it"")"),"Un gruppo di ragazzi viene mostrato che corre lungo una palestra che si tiene per mano e mettendo le mani in aria.")</f>
        <v>Un gruppo di ragazzi viene mostrato che corre lungo una palestra che si tiene per mano e mettendo le mani in aria.</v>
      </c>
    </row>
    <row r="4220">
      <c r="A4220" s="4" t="s">
        <v>5307</v>
      </c>
      <c r="B4220" s="6" t="s">
        <v>5309</v>
      </c>
      <c r="C4220" s="5" t="str">
        <f>IFERROR(__xludf.DUMMYFUNCTION("GOOGLETRANSLATE(B4220,""en"",""it"")"),"Una donna parla ai ragazzi mentre bevono un po 'd'acqua e si trasforma in una partita e segnando un goal.")</f>
        <v>Una donna parla ai ragazzi mentre bevono un po 'd'acqua e si trasforma in una partita e segnando un goal.</v>
      </c>
    </row>
    <row r="4221">
      <c r="A4221" s="4" t="s">
        <v>5307</v>
      </c>
      <c r="B4221" s="6" t="s">
        <v>5310</v>
      </c>
      <c r="C4221" s="5" t="str">
        <f>IFERROR(__xludf.DUMMYFUNCTION("GOOGLETRANSLATE(B4221,""en"",""it"")"),"Lo stesso scatto viene nuovamente mostrato al rallentatore e vengono mostrati molti altri colpi dei ragazzi che giocano.")</f>
        <v>Lo stesso scatto viene nuovamente mostrato al rallentatore e vengono mostrati molti altri colpi dei ragazzi che giocano.</v>
      </c>
    </row>
    <row r="4222">
      <c r="A4222" s="4" t="s">
        <v>5311</v>
      </c>
      <c r="B4222" s="4" t="s">
        <v>5312</v>
      </c>
      <c r="C4222" s="5" t="str">
        <f>IFERROR(__xludf.DUMMYFUNCTION("GOOGLETRANSLATE(B4222,""en"",""it"")"),"Vediamo due bambine in cappotti che giocano nella sabbia.")</f>
        <v>Vediamo due bambine in cappotti che giocano nella sabbia.</v>
      </c>
    </row>
    <row r="4223">
      <c r="A4223" s="4" t="s">
        <v>5311</v>
      </c>
      <c r="B4223" s="4" t="s">
        <v>5313</v>
      </c>
      <c r="C4223" s="5" t="str">
        <f>IFERROR(__xludf.DUMMYFUNCTION("GOOGLETRANSLATE(B4223,""en"",""it"")"),"Facciamo la padella e vediamo l'oceano.")</f>
        <v>Facciamo la padella e vediamo l'oceano.</v>
      </c>
    </row>
    <row r="4224">
      <c r="A4224" s="4" t="s">
        <v>5311</v>
      </c>
      <c r="B4224" s="4" t="s">
        <v>5314</v>
      </c>
      <c r="C4224" s="5" t="str">
        <f>IFERROR(__xludf.DUMMYFUNCTION("GOOGLETRANSLATE(B4224,""en"",""it"")"),"Torniamo alle ragazze.")</f>
        <v>Torniamo alle ragazze.</v>
      </c>
    </row>
    <row r="4225">
      <c r="A4225" s="4" t="s">
        <v>5311</v>
      </c>
      <c r="B4225" s="4" t="s">
        <v>5315</v>
      </c>
      <c r="C4225" s="5" t="str">
        <f>IFERROR(__xludf.DUMMYFUNCTION("GOOGLETRANSLATE(B4225,""en"",""it"")"),"Il vento soffia che ha lasciato le ragazze in testa.")</f>
        <v>Il vento soffia che ha lasciato le ragazze in testa.</v>
      </c>
    </row>
    <row r="4226">
      <c r="A4226" s="4" t="s">
        <v>5311</v>
      </c>
      <c r="B4226" s="4" t="s">
        <v>5316</v>
      </c>
      <c r="C4226" s="5" t="str">
        <f>IFERROR(__xludf.DUMMYFUNCTION("GOOGLETRANSLATE(B4226,""en"",""it"")"),"Facciamo la padella per vedere di nuovo l'oceano.")</f>
        <v>Facciamo la padella per vedere di nuovo l'oceano.</v>
      </c>
    </row>
    <row r="4227">
      <c r="A4227" s="4" t="s">
        <v>5311</v>
      </c>
      <c r="B4227" s="4" t="s">
        <v>5317</v>
      </c>
      <c r="C4227" s="5" t="str">
        <f>IFERROR(__xludf.DUMMYFUNCTION("GOOGLETRANSLATE(B4227,""en"",""it"")"),"La ragazza sinistra si muove i capelli dal viso mentre parla alla telecamera.")</f>
        <v>La ragazza sinistra si muove i capelli dal viso mentre parla alla telecamera.</v>
      </c>
    </row>
    <row r="4228">
      <c r="A4228" s="4" t="s">
        <v>5318</v>
      </c>
      <c r="B4228" s="4" t="s">
        <v>5319</v>
      </c>
      <c r="C4228" s="5" t="str">
        <f>IFERROR(__xludf.DUMMYFUNCTION("GOOGLETRANSLATE(B4228,""en"",""it"")"),"Un uomo è in piedi accanto a un bancone mentre tiene in mano uno straccio.")</f>
        <v>Un uomo è in piedi accanto a un bancone mentre tiene in mano uno straccio.</v>
      </c>
    </row>
    <row r="4229">
      <c r="A4229" s="4" t="s">
        <v>5318</v>
      </c>
      <c r="B4229" s="4" t="s">
        <v>5320</v>
      </c>
      <c r="C4229" s="5" t="str">
        <f>IFERROR(__xludf.DUMMYFUNCTION("GOOGLETRANSLATE(B4229,""en"",""it"")"),"Raccoglie un contenitore di polacco e parla della superficie del bancone.")</f>
        <v>Raccoglie un contenitore di polacco e parla della superficie del bancone.</v>
      </c>
    </row>
    <row r="4230">
      <c r="A4230" s="4" t="s">
        <v>5318</v>
      </c>
      <c r="B4230" s="4" t="s">
        <v>5321</v>
      </c>
      <c r="C4230" s="5" t="str">
        <f>IFERROR(__xludf.DUMMYFUNCTION("GOOGLETRANSLATE(B4230,""en"",""it"")"),"Lo strofina con lo smalto e i due stracci, quindi lo spolvera con una lucentezza.")</f>
        <v>Lo strofina con lo smalto e i due stracci, quindi lo spolvera con una lucentezza.</v>
      </c>
    </row>
    <row r="4231">
      <c r="A4231" s="4" t="s">
        <v>5322</v>
      </c>
      <c r="B4231" s="4" t="s">
        <v>5323</v>
      </c>
      <c r="C4231" s="5" t="str">
        <f>IFERROR(__xludf.DUMMYFUNCTION("GOOGLETRANSLATE(B4231,""en"",""it"")"),"Una partita di calcio si sta verificando su un campo e un giocatore viene mostrato che cade.")</f>
        <v>Una partita di calcio si sta verificando su un campo e un giocatore viene mostrato che cade.</v>
      </c>
    </row>
    <row r="4232">
      <c r="A4232" s="4" t="s">
        <v>5322</v>
      </c>
      <c r="B4232" s="4" t="s">
        <v>5324</v>
      </c>
      <c r="C4232" s="5" t="str">
        <f>IFERROR(__xludf.DUMMYFUNCTION("GOOGLETRANSLATE(B4232,""en"",""it"")"),"L'uomo è in grado di alzarsi e il video mostra di nuovo la caduta al rallentatore.")</f>
        <v>L'uomo è in grado di alzarsi e il video mostra di nuovo la caduta al rallentatore.</v>
      </c>
    </row>
    <row r="4233">
      <c r="A4233" s="4" t="s">
        <v>5322</v>
      </c>
      <c r="B4233" s="4" t="s">
        <v>5325</v>
      </c>
      <c r="C4233" s="5" t="str">
        <f>IFERROR(__xludf.DUMMYFUNCTION("GOOGLETRANSLATE(B4233,""en"",""it"")"),"I giocatori continuano a giocare e uno di loro segna anche un obiettivo.")</f>
        <v>I giocatori continuano a giocare e uno di loro segna anche un obiettivo.</v>
      </c>
    </row>
    <row r="4234">
      <c r="A4234" s="4" t="s">
        <v>5322</v>
      </c>
      <c r="B4234" s="4" t="s">
        <v>5326</v>
      </c>
      <c r="C4234" s="5" t="str">
        <f>IFERROR(__xludf.DUMMYFUNCTION("GOOGLETRANSLATE(B4234,""en"",""it"")"),"L'obiettivo viene mostrato più e più volte a basso movimento per mostrare il significato del gioco.")</f>
        <v>L'obiettivo viene mostrato più e più volte a basso movimento per mostrare il significato del gioco.</v>
      </c>
    </row>
    <row r="4235">
      <c r="A4235" s="4" t="s">
        <v>5327</v>
      </c>
      <c r="B4235" s="4" t="s">
        <v>5328</v>
      </c>
      <c r="C4235" s="5" t="str">
        <f>IFERROR(__xludf.DUMMYFUNCTION("GOOGLETRANSLATE(B4235,""en"",""it"")"),"Gli ingredienti sono mostrati su un piatto a frammento.")</f>
        <v>Gli ingredienti sono mostrati su un piatto a frammento.</v>
      </c>
    </row>
    <row r="4236">
      <c r="A4236" s="4" t="s">
        <v>5327</v>
      </c>
      <c r="B4236" s="4" t="s">
        <v>5329</v>
      </c>
      <c r="C4236" s="5" t="str">
        <f>IFERROR(__xludf.DUMMYFUNCTION("GOOGLETRANSLATE(B4236,""en"",""it"")"),"Un uomo inizia a tagliare il cibo su un tagliere nero.")</f>
        <v>Un uomo inizia a tagliare il cibo su un tagliere nero.</v>
      </c>
    </row>
    <row r="4237">
      <c r="A4237" s="4" t="s">
        <v>5327</v>
      </c>
      <c r="B4237" s="4" t="s">
        <v>5330</v>
      </c>
      <c r="C4237" s="5" t="str">
        <f>IFERROR(__xludf.DUMMYFUNCTION("GOOGLETRANSLATE(B4237,""en"",""it"")"),"Aggiunge pasta a una pentola grande sulla stufa.")</f>
        <v>Aggiunge pasta a una pentola grande sulla stufa.</v>
      </c>
    </row>
    <row r="4238">
      <c r="A4238" s="4" t="s">
        <v>5327</v>
      </c>
      <c r="B4238" s="4" t="s">
        <v>5331</v>
      </c>
      <c r="C4238" s="5" t="str">
        <f>IFERROR(__xludf.DUMMYFUNCTION("GOOGLETRANSLATE(B4238,""en"",""it"")"),"Comincia a cucinare in una padella sul fornello.")</f>
        <v>Comincia a cucinare in una padella sul fornello.</v>
      </c>
    </row>
    <row r="4239">
      <c r="A4239" s="4" t="s">
        <v>5327</v>
      </c>
      <c r="B4239" s="4" t="s">
        <v>5332</v>
      </c>
      <c r="C4239" s="5" t="str">
        <f>IFERROR(__xludf.DUMMYFUNCTION("GOOGLETRANSLATE(B4239,""en"",""it"")"),"Copre la padella con un coperchio.")</f>
        <v>Copre la padella con un coperchio.</v>
      </c>
    </row>
    <row r="4240">
      <c r="A4240" s="4" t="s">
        <v>5327</v>
      </c>
      <c r="B4240" s="4" t="s">
        <v>5333</v>
      </c>
      <c r="C4240" s="5" t="str">
        <f>IFERROR(__xludf.DUMMYFUNCTION("GOOGLETRANSLATE(B4240,""en"",""it"")"),"Mette la pasta in una ciotola.")</f>
        <v>Mette la pasta in una ciotola.</v>
      </c>
    </row>
    <row r="4241">
      <c r="A4241" s="4" t="s">
        <v>5327</v>
      </c>
      <c r="B4241" s="4" t="s">
        <v>5334</v>
      </c>
      <c r="C4241" s="5" t="str">
        <f>IFERROR(__xludf.DUMMYFUNCTION("GOOGLETRANSLATE(B4241,""en"",""it"")"),"Versa la salsa sopra la pasta.")</f>
        <v>Versa la salsa sopra la pasta.</v>
      </c>
    </row>
    <row r="4242">
      <c r="A4242" s="4" t="s">
        <v>5335</v>
      </c>
      <c r="B4242" s="4" t="s">
        <v>5336</v>
      </c>
      <c r="C4242" s="5" t="str">
        <f>IFERROR(__xludf.DUMMYFUNCTION("GOOGLETRANSLATE(B4242,""en"",""it"")"),"Un bambino è seduto a un tavolo a mangiare un ghiacciolo.")</f>
        <v>Un bambino è seduto a un tavolo a mangiare un ghiacciolo.</v>
      </c>
    </row>
    <row r="4243">
      <c r="A4243" s="4" t="s">
        <v>5335</v>
      </c>
      <c r="B4243" s="4" t="s">
        <v>5337</v>
      </c>
      <c r="C4243" s="5" t="str">
        <f>IFERROR(__xludf.DUMMYFUNCTION("GOOGLETRANSLATE(B4243,""en"",""it"")"),"Toglie un morso dal suo ghiacciolo.")</f>
        <v>Toglie un morso dal suo ghiacciolo.</v>
      </c>
    </row>
    <row r="4244">
      <c r="A4244" s="4" t="s">
        <v>5335</v>
      </c>
      <c r="B4244" s="4" t="s">
        <v>5338</v>
      </c>
      <c r="C4244" s="5" t="str">
        <f>IFERROR(__xludf.DUMMYFUNCTION("GOOGLETRANSLATE(B4244,""en"",""it"")"),"Si toglie qualcosa dal pettorale e se lo mette in bocca.")</f>
        <v>Si toglie qualcosa dal pettorale e se lo mette in bocca.</v>
      </c>
    </row>
    <row r="4245">
      <c r="A4245" s="4" t="s">
        <v>5339</v>
      </c>
      <c r="B4245" s="4" t="s">
        <v>5340</v>
      </c>
      <c r="C4245" s="5" t="str">
        <f>IFERROR(__xludf.DUMMYFUNCTION("GOOGLETRANSLATE(B4245,""en"",""it"")"),"Una giovane donna è seduta su una sedia che gioca con un gatto.")</f>
        <v>Una giovane donna è seduta su una sedia che gioca con un gatto.</v>
      </c>
    </row>
    <row r="4246">
      <c r="A4246" s="4" t="s">
        <v>5339</v>
      </c>
      <c r="B4246" s="4" t="s">
        <v>5341</v>
      </c>
      <c r="C4246" s="5" t="str">
        <f>IFERROR(__xludf.DUMMYFUNCTION("GOOGLETRANSLATE(B4246,""en"",""it"")"),"Quindi prende le spille, afferra la nuca e taglia le unghie dei gatti.")</f>
        <v>Quindi prende le spille, afferra la nuca e taglia le unghie dei gatti.</v>
      </c>
    </row>
    <row r="4247">
      <c r="A4247" s="4" t="s">
        <v>5339</v>
      </c>
      <c r="B4247" s="6" t="s">
        <v>5342</v>
      </c>
      <c r="C4247" s="5" t="str">
        <f>IFERROR(__xludf.DUMMYFUNCTION("GOOGLETRANSLATE(B4247,""en"",""it"")"),"Dopo un po ', i gatti cercano di mordere le mani, una volta che la ragazza ha finito, rimuove i perni e le onde alla telecamera.")</f>
        <v>Dopo un po ', i gatti cercano di mordere le mani, una volta che la ragazza ha finito, rimuove i perni e le onde alla telecamera.</v>
      </c>
    </row>
    <row r="4248">
      <c r="A4248" s="4" t="s">
        <v>5343</v>
      </c>
      <c r="B4248" s="4" t="s">
        <v>5344</v>
      </c>
      <c r="C4248" s="5" t="str">
        <f>IFERROR(__xludf.DUMMYFUNCTION("GOOGLETRANSLATE(B4248,""en"",""it"")"),"Un gruppo di bambini corre tra i coni arancioni su un campo.")</f>
        <v>Un gruppo di bambini corre tra i coni arancioni su un campo.</v>
      </c>
    </row>
    <row r="4249">
      <c r="A4249" s="4" t="s">
        <v>5343</v>
      </c>
      <c r="B4249" s="6" t="s">
        <v>5345</v>
      </c>
      <c r="C4249" s="5" t="str">
        <f>IFERROR(__xludf.DUMMYFUNCTION("GOOGLETRANSLATE(B4249,""en"",""it"")"),"Stanno gareggiando per vedere quanto velocemente possono saltare tra loro mentre l'allenatore si applaude e li rallegra.")</f>
        <v>Stanno gareggiando per vedere quanto velocemente possono saltare tra loro mentre l'allenatore si applaude e li rallegra.</v>
      </c>
    </row>
    <row r="4250">
      <c r="A4250" s="4" t="s">
        <v>5346</v>
      </c>
      <c r="B4250" s="4" t="s">
        <v>5347</v>
      </c>
      <c r="C4250" s="5" t="str">
        <f>IFERROR(__xludf.DUMMYFUNCTION("GOOGLETRANSLATE(B4250,""en"",""it"")"),"Una ragazza si siede a parlare di un tavolo.")</f>
        <v>Una ragazza si siede a parlare di un tavolo.</v>
      </c>
    </row>
    <row r="4251">
      <c r="A4251" s="4" t="s">
        <v>5346</v>
      </c>
      <c r="B4251" s="4" t="s">
        <v>5348</v>
      </c>
      <c r="C4251" s="5" t="str">
        <f>IFERROR(__xludf.DUMMYFUNCTION("GOOGLETRANSLATE(B4251,""en"",""it"")"),"Vediamo uno schermo introduttivo.")</f>
        <v>Vediamo uno schermo introduttivo.</v>
      </c>
    </row>
    <row r="4252">
      <c r="A4252" s="4" t="s">
        <v>5346</v>
      </c>
      <c r="B4252" s="4" t="s">
        <v>5349</v>
      </c>
      <c r="C4252" s="5" t="str">
        <f>IFERROR(__xludf.DUMMYFUNCTION("GOOGLETRANSLATE(B4252,""en"",""it"")"),"La ragazza si siede al tavolo e mostra una borsa regalo.")</f>
        <v>La ragazza si siede al tavolo e mostra una borsa regalo.</v>
      </c>
    </row>
    <row r="4253">
      <c r="A4253" s="4" t="s">
        <v>5346</v>
      </c>
      <c r="B4253" s="4" t="s">
        <v>5350</v>
      </c>
      <c r="C4253" s="5" t="str">
        <f>IFERROR(__xludf.DUMMYFUNCTION("GOOGLETRANSLATE(B4253,""en"",""it"")"),"Un gatto corre sul tavolo e salta via.")</f>
        <v>Un gatto corre sul tavolo e salta via.</v>
      </c>
    </row>
    <row r="4254">
      <c r="A4254" s="4" t="s">
        <v>5346</v>
      </c>
      <c r="B4254" s="4" t="s">
        <v>5351</v>
      </c>
      <c r="C4254" s="5" t="str">
        <f>IFERROR(__xludf.DUMMYFUNCTION("GOOGLETRANSLATE(B4254,""en"",""it"")"),"Vediamo che la ragazza mette regali in una borsa regalo con carta tissutale.")</f>
        <v>Vediamo che la ragazza mette regali in una borsa regalo con carta tissutale.</v>
      </c>
    </row>
    <row r="4255">
      <c r="A4255" s="4" t="s">
        <v>5346</v>
      </c>
      <c r="B4255" s="4" t="s">
        <v>5352</v>
      </c>
      <c r="C4255" s="5" t="str">
        <f>IFERROR(__xludf.DUMMYFUNCTION("GOOGLETRANSLATE(B4255,""en"",""it"")"),"La ragazza sposta il gatto dal tavolo e sul pavimento.")</f>
        <v>La ragazza sposta il gatto dal tavolo e sul pavimento.</v>
      </c>
    </row>
    <row r="4256">
      <c r="A4256" s="4" t="s">
        <v>5346</v>
      </c>
      <c r="B4256" s="4" t="s">
        <v>5353</v>
      </c>
      <c r="C4256" s="5" t="str">
        <f>IFERROR(__xludf.DUMMYFUNCTION("GOOGLETRANSLATE(B4256,""en"",""it"")"),"La ragazza aggiunge più carta tissutale alla borsa.")</f>
        <v>La ragazza aggiunge più carta tissutale alla borsa.</v>
      </c>
    </row>
    <row r="4257">
      <c r="A4257" s="4" t="s">
        <v>5354</v>
      </c>
      <c r="B4257" s="4" t="s">
        <v>5355</v>
      </c>
      <c r="C4257" s="5" t="str">
        <f>IFERROR(__xludf.DUMMYFUNCTION("GOOGLETRANSLATE(B4257,""en"",""it"")"),"Diverse tazze sono mostrate sedute su un tavolo con un uomo in piedi dietro.")</f>
        <v>Diverse tazze sono mostrate sedute su un tavolo con un uomo in piedi dietro.</v>
      </c>
    </row>
    <row r="4258">
      <c r="A4258" s="4" t="s">
        <v>5354</v>
      </c>
      <c r="B4258" s="4" t="s">
        <v>5356</v>
      </c>
      <c r="C4258" s="5" t="str">
        <f>IFERROR(__xludf.DUMMYFUNCTION("GOOGLETRANSLATE(B4258,""en"",""it"")"),"L'uomo quindi lancia la palla in una tazza e applausi.")</f>
        <v>L'uomo quindi lancia la palla in una tazza e applausi.</v>
      </c>
    </row>
    <row r="4259">
      <c r="A4259" s="4" t="s">
        <v>5354</v>
      </c>
      <c r="B4259" s="4" t="s">
        <v>5357</v>
      </c>
      <c r="C4259" s="5" t="str">
        <f>IFERROR(__xludf.DUMMYFUNCTION("GOOGLETRANSLATE(B4259,""en"",""it"")"),"Alla fine si allontana dalla telecamera.")</f>
        <v>Alla fine si allontana dalla telecamera.</v>
      </c>
    </row>
    <row r="4260">
      <c r="A4260" s="4" t="s">
        <v>5358</v>
      </c>
      <c r="B4260" s="4" t="s">
        <v>5359</v>
      </c>
      <c r="C4260" s="5" t="str">
        <f>IFERROR(__xludf.DUMMYFUNCTION("GOOGLETRANSLATE(B4260,""en"",""it"")"),"Le persone lavano un'auto con acqua usando un tubo.")</f>
        <v>Le persone lavano un'auto con acqua usando un tubo.</v>
      </c>
    </row>
    <row r="4261">
      <c r="A4261" s="4" t="s">
        <v>5358</v>
      </c>
      <c r="B4261" s="4" t="s">
        <v>5360</v>
      </c>
      <c r="C4261" s="5" t="str">
        <f>IFERROR(__xludf.DUMMYFUNCTION("GOOGLETRANSLATE(B4261,""en"",""it"")"),"Un uomo si trova di lato a guardare gli uomini.")</f>
        <v>Un uomo si trova di lato a guardare gli uomini.</v>
      </c>
    </row>
    <row r="4262">
      <c r="A4262" s="4" t="s">
        <v>5358</v>
      </c>
      <c r="B4262" s="4" t="s">
        <v>5361</v>
      </c>
      <c r="C4262" s="5" t="str">
        <f>IFERROR(__xludf.DUMMYFUNCTION("GOOGLETRANSLATE(B4262,""en"",""it"")"),"Quindi, gli uomini hanno messo il sapone sulla macchina, dopo aver sciacquato l'auto con acqua.")</f>
        <v>Quindi, gli uomini hanno messo il sapone sulla macchina, dopo aver sciacquato l'auto con acqua.</v>
      </c>
    </row>
    <row r="4263">
      <c r="A4263" s="4" t="s">
        <v>5358</v>
      </c>
      <c r="B4263" s="4" t="s">
        <v>5362</v>
      </c>
      <c r="C4263" s="5" t="str">
        <f>IFERROR(__xludf.DUMMYFUNCTION("GOOGLETRANSLATE(B4263,""en"",""it"")"),"Un uomo entra nella macchina.")</f>
        <v>Un uomo entra nella macchina.</v>
      </c>
    </row>
    <row r="4264">
      <c r="A4264" s="4" t="s">
        <v>5363</v>
      </c>
      <c r="B4264" s="4" t="s">
        <v>5364</v>
      </c>
      <c r="C4264" s="5" t="str">
        <f>IFERROR(__xludf.DUMMYFUNCTION("GOOGLETRANSLATE(B4264,""en"",""it"")"),"Un bambino cavalca un tubo interno lungo una grande collina di neve.")</f>
        <v>Un bambino cavalca un tubo interno lungo una grande collina di neve.</v>
      </c>
    </row>
    <row r="4265">
      <c r="A4265" s="4" t="s">
        <v>5363</v>
      </c>
      <c r="B4265" s="4" t="s">
        <v>5365</v>
      </c>
      <c r="C4265" s="5" t="str">
        <f>IFERROR(__xludf.DUMMYFUNCTION("GOOGLETRANSLATE(B4265,""en"",""it"")"),"Le persone si alzano e si siedono ai lati della collina di neve a guardare.")</f>
        <v>Le persone si alzano e si siedono ai lati della collina di neve a guardare.</v>
      </c>
    </row>
    <row r="4266">
      <c r="A4266" s="4" t="s">
        <v>5366</v>
      </c>
      <c r="B4266" s="4" t="s">
        <v>5367</v>
      </c>
      <c r="C4266" s="5" t="str">
        <f>IFERROR(__xludf.DUMMYFUNCTION("GOOGLETRANSLATE(B4266,""en"",""it"")"),"Una donna è all'aperto in un vestito di arti marziali rosa.")</f>
        <v>Una donna è all'aperto in un vestito di arti marziali rosa.</v>
      </c>
    </row>
    <row r="4267">
      <c r="A4267" s="4" t="s">
        <v>5366</v>
      </c>
      <c r="B4267" s="4" t="s">
        <v>5368</v>
      </c>
      <c r="C4267" s="5" t="str">
        <f>IFERROR(__xludf.DUMMYFUNCTION("GOOGLETRANSLATE(B4267,""en"",""it"")"),"Si muove lentamente, mostrando varie mosse di arti marziali.")</f>
        <v>Si muove lentamente, mostrando varie mosse di arti marziali.</v>
      </c>
    </row>
    <row r="4268">
      <c r="A4268" s="4" t="s">
        <v>5366</v>
      </c>
      <c r="B4268" s="4" t="s">
        <v>5369</v>
      </c>
      <c r="C4268" s="5" t="str">
        <f>IFERROR(__xludf.DUMMYFUNCTION("GOOGLETRANSLATE(B4268,""en"",""it"")"),"Continua a muoversi lentamente mentre i nomi delle mosse appaiono sullo schermo.")</f>
        <v>Continua a muoversi lentamente mentre i nomi delle mosse appaiono sullo schermo.</v>
      </c>
    </row>
    <row r="4269">
      <c r="A4269" s="4" t="s">
        <v>5370</v>
      </c>
      <c r="B4269" s="6" t="s">
        <v>5371</v>
      </c>
      <c r="C4269" s="5" t="str">
        <f>IFERROR(__xludf.DUMMYFUNCTION("GOOGLETRANSLATE(B4269,""en"",""it"")"),"Un primo piano di case viene mostrato con una persona che cammina con un cane e poi che parla alla telecamera.")</f>
        <v>Un primo piano di case viene mostrato con una persona che cammina con un cane e poi che parla alla telecamera.</v>
      </c>
    </row>
    <row r="4270">
      <c r="A4270" s="4" t="s">
        <v>5370</v>
      </c>
      <c r="B4270" s="4" t="s">
        <v>5372</v>
      </c>
      <c r="C4270" s="5" t="str">
        <f>IFERROR(__xludf.DUMMYFUNCTION("GOOGLETRANSLATE(B4270,""en"",""it"")"),"L'uomo continua a parlare mentre guida il cane nel quartiere.")</f>
        <v>L'uomo continua a parlare mentre guida il cane nel quartiere.</v>
      </c>
    </row>
    <row r="4271">
      <c r="A4271" s="4" t="s">
        <v>5373</v>
      </c>
      <c r="B4271" s="4" t="s">
        <v>5374</v>
      </c>
      <c r="C4271" s="5" t="str">
        <f>IFERROR(__xludf.DUMMYFUNCTION("GOOGLETRANSLATE(B4271,""en"",""it"")"),"Un signore più anziano sta spazzolando un cavallo marrone.")</f>
        <v>Un signore più anziano sta spazzolando un cavallo marrone.</v>
      </c>
    </row>
    <row r="4272">
      <c r="A4272" s="4" t="s">
        <v>5373</v>
      </c>
      <c r="B4272" s="4" t="s">
        <v>5375</v>
      </c>
      <c r="C4272" s="5" t="str">
        <f>IFERROR(__xludf.DUMMYFUNCTION("GOOGLETRANSLATE(B4272,""en"",""it"")"),"Si gira e parla con una signora anziana.")</f>
        <v>Si gira e parla con una signora anziana.</v>
      </c>
    </row>
    <row r="4273">
      <c r="A4273" s="4" t="s">
        <v>5373</v>
      </c>
      <c r="B4273" s="4" t="s">
        <v>5376</v>
      </c>
      <c r="C4273" s="5" t="str">
        <f>IFERROR(__xludf.DUMMYFUNCTION("GOOGLETRANSLATE(B4273,""en"",""it"")"),"Il cavallo solleva la gamba.")</f>
        <v>Il cavallo solleva la gamba.</v>
      </c>
    </row>
    <row r="4274">
      <c r="A4274" s="4" t="s">
        <v>5377</v>
      </c>
      <c r="B4274" s="4" t="s">
        <v>5378</v>
      </c>
      <c r="C4274" s="5" t="str">
        <f>IFERROR(__xludf.DUMMYFUNCTION("GOOGLETRANSLATE(B4274,""en"",""it"")"),"Un cane viene visto sdraiato comodamente in una grande ciotola con un uomo accanto a lui.")</f>
        <v>Un cane viene visto sdraiato comodamente in una grande ciotola con un uomo accanto a lui.</v>
      </c>
    </row>
    <row r="4275">
      <c r="A4275" s="4" t="s">
        <v>5377</v>
      </c>
      <c r="B4275" s="4" t="s">
        <v>5379</v>
      </c>
      <c r="C4275" s="5" t="str">
        <f>IFERROR(__xludf.DUMMYFUNCTION("GOOGLETRANSLATE(B4275,""en"",""it"")"),"L'uomo viene visto inginocchiarsi accanto al cane e inizia a strofinarlo.")</f>
        <v>L'uomo viene visto inginocchiarsi accanto al cane e inizia a strofinarlo.</v>
      </c>
    </row>
    <row r="4276">
      <c r="A4276" s="4" t="s">
        <v>5377</v>
      </c>
      <c r="B4276" s="4" t="s">
        <v>5380</v>
      </c>
      <c r="C4276" s="5" t="str">
        <f>IFERROR(__xludf.DUMMYFUNCTION("GOOGLETRANSLATE(B4276,""en"",""it"")"),"L'uomo continua a ripulire il cane nella vasca da bagno.")</f>
        <v>L'uomo continua a ripulire il cane nella vasca da bagno.</v>
      </c>
    </row>
    <row r="4277">
      <c r="A4277" s="4" t="s">
        <v>5381</v>
      </c>
      <c r="B4277" s="4" t="s">
        <v>5382</v>
      </c>
      <c r="C4277" s="5" t="str">
        <f>IFERROR(__xludf.DUMMYFUNCTION("GOOGLETRANSLATE(B4277,""en"",""it"")"),"Le persone giocano a Dodge Ball in palestra.")</f>
        <v>Le persone giocano a Dodge Ball in palestra.</v>
      </c>
    </row>
    <row r="4278">
      <c r="A4278" s="4" t="s">
        <v>5381</v>
      </c>
      <c r="B4278" s="4" t="s">
        <v>5383</v>
      </c>
      <c r="C4278" s="5" t="str">
        <f>IFERROR(__xludf.DUMMYFUNCTION("GOOGLETRANSLATE(B4278,""en"",""it"")"),"Iniziano a lanciarsi le palle.")</f>
        <v>Iniziano a lanciarsi le palle.</v>
      </c>
    </row>
    <row r="4279">
      <c r="A4279" s="4" t="s">
        <v>5384</v>
      </c>
      <c r="B4279" s="4" t="s">
        <v>5385</v>
      </c>
      <c r="C4279" s="5" t="str">
        <f>IFERROR(__xludf.DUMMYFUNCTION("GOOGLETRANSLATE(B4279,""en"",""it"")"),"Un uomo spinge un tubo giù da una collina.")</f>
        <v>Un uomo spinge un tubo giù da una collina.</v>
      </c>
    </row>
    <row r="4280">
      <c r="A4280" s="4" t="s">
        <v>5384</v>
      </c>
      <c r="B4280" s="4" t="s">
        <v>5386</v>
      </c>
      <c r="C4280" s="5" t="str">
        <f>IFERROR(__xludf.DUMMYFUNCTION("GOOGLETRANSLATE(B4280,""en"",""it"")"),"Un'altra persona slitta giù per la collina su un tubo.")</f>
        <v>Un'altra persona slitta giù per la collina su un tubo.</v>
      </c>
    </row>
    <row r="4281">
      <c r="A4281" s="4" t="s">
        <v>5384</v>
      </c>
      <c r="B4281" s="4" t="s">
        <v>5387</v>
      </c>
      <c r="C4281" s="5" t="str">
        <f>IFERROR(__xludf.DUMMYFUNCTION("GOOGLETRANSLATE(B4281,""en"",""it"")"),"Una persona in una giacca rossa è in piedi sul fondo.")</f>
        <v>Una persona in una giacca rossa è in piedi sul fondo.</v>
      </c>
    </row>
    <row r="4282">
      <c r="A4282" s="4" t="s">
        <v>5388</v>
      </c>
      <c r="B4282" s="4" t="s">
        <v>5389</v>
      </c>
      <c r="C4282" s="5" t="str">
        <f>IFERROR(__xludf.DUMMYFUNCTION("GOOGLETRANSLATE(B4282,""en"",""it"")"),"Quest'uomo indossa una maglietta blu e pantaloncini bianchi e sta facendo la sua routine di ginnastica.")</f>
        <v>Quest'uomo indossa una maglietta blu e pantaloncini bianchi e sta facendo la sua routine di ginnastica.</v>
      </c>
    </row>
    <row r="4283">
      <c r="A4283" s="4" t="s">
        <v>5388</v>
      </c>
      <c r="B4283" s="4" t="s">
        <v>5390</v>
      </c>
      <c r="C4283" s="5" t="str">
        <f>IFERROR(__xludf.DUMMYFUNCTION("GOOGLETRANSLATE(B4283,""en"",""it"")"),"Quindi scende e si allontana per andare da qualche altra parte.")</f>
        <v>Quindi scende e si allontana per andare da qualche altra parte.</v>
      </c>
    </row>
    <row r="4284">
      <c r="A4284" s="4" t="s">
        <v>5388</v>
      </c>
      <c r="B4284" s="4" t="s">
        <v>5391</v>
      </c>
      <c r="C4284" s="5" t="str">
        <f>IFERROR(__xludf.DUMMYFUNCTION("GOOGLETRANSLATE(B4284,""en"",""it"")"),"C'è anche un altro uomo lì con lui che sta camminando e indossa una camicia verde.")</f>
        <v>C'è anche un altro uomo lì con lui che sta camminando e indossa una camicia verde.</v>
      </c>
    </row>
    <row r="4285">
      <c r="A4285" s="4" t="s">
        <v>5392</v>
      </c>
      <c r="B4285" s="4" t="s">
        <v>5393</v>
      </c>
      <c r="C4285" s="5" t="str">
        <f>IFERROR(__xludf.DUMMYFUNCTION("GOOGLETRANSLATE(B4285,""en"",""it"")"),"Viene visto un uomo parlare con una donna mentre mette una cintura e poi cammina sul palco.")</f>
        <v>Viene visto un uomo parlare con una donna mentre mette una cintura e poi cammina sul palco.</v>
      </c>
    </row>
    <row r="4286">
      <c r="A4286" s="4" t="s">
        <v>5392</v>
      </c>
      <c r="B4286" s="6" t="s">
        <v>5394</v>
      </c>
      <c r="C4286" s="5" t="str">
        <f>IFERROR(__xludf.DUMMYFUNCTION("GOOGLETRANSLATE(B4286,""en"",""it"")"),"La donna quindi si piega e solleva un grande peso sopra la testa, seguito da buttarlo giù e scendendo dal palco.")</f>
        <v>La donna quindi si piega e solleva un grande peso sopra la testa, seguito da buttarlo giù e scendendo dal palco.</v>
      </c>
    </row>
    <row r="4287">
      <c r="A4287" s="4" t="s">
        <v>5392</v>
      </c>
      <c r="B4287" s="4" t="s">
        <v>5395</v>
      </c>
      <c r="C4287" s="5" t="str">
        <f>IFERROR(__xludf.DUMMYFUNCTION("GOOGLETRANSLATE(B4287,""en"",""it"")"),"Il suo stesso ascensore viene nuovamente mostrato al rallentatore.")</f>
        <v>Il suo stesso ascensore viene nuovamente mostrato al rallentatore.</v>
      </c>
    </row>
    <row r="4288">
      <c r="A4288" s="4" t="s">
        <v>5396</v>
      </c>
      <c r="B4288" s="4" t="s">
        <v>5397</v>
      </c>
      <c r="C4288" s="5" t="str">
        <f>IFERROR(__xludf.DUMMYFUNCTION("GOOGLETRANSLATE(B4288,""en"",""it"")"),"Il ragazzo sta skateboard in uno skate park di notte.")</f>
        <v>Il ragazzo sta skateboard in uno skate park di notte.</v>
      </c>
    </row>
    <row r="4289">
      <c r="A4289" s="4" t="s">
        <v>5396</v>
      </c>
      <c r="B4289" s="4" t="s">
        <v>5398</v>
      </c>
      <c r="C4289" s="5" t="str">
        <f>IFERROR(__xludf.DUMMYFUNCTION("GOOGLETRANSLATE(B4289,""en"",""it"")"),"Il ragazzo sta skateboard in un marciapiede con PEOPL che cammina.")</f>
        <v>Il ragazzo sta skateboard in un marciapiede con PEOPL che cammina.</v>
      </c>
    </row>
    <row r="4290">
      <c r="A4290" s="4" t="s">
        <v>5396</v>
      </c>
      <c r="B4290" s="4" t="s">
        <v>5399</v>
      </c>
      <c r="C4290" s="5" t="str">
        <f>IFERROR(__xludf.DUMMYFUNCTION("GOOGLETRANSLATE(B4290,""en"",""it"")"),"L'uomo sta skateboard in strada e un'auto quasi investita.")</f>
        <v>L'uomo sta skateboard in strada e un'auto quasi investita.</v>
      </c>
    </row>
    <row r="4291">
      <c r="A4291" s="4" t="s">
        <v>5396</v>
      </c>
      <c r="B4291" s="4" t="s">
        <v>5400</v>
      </c>
      <c r="C4291" s="5" t="str">
        <f>IFERROR(__xludf.DUMMYFUNCTION("GOOGLETRANSLATE(B4291,""en"",""it"")"),"Scene di uomini skteboarding in una recinzione e caduta.")</f>
        <v>Scene di uomini skteboarding in una recinzione e caduta.</v>
      </c>
    </row>
    <row r="4292">
      <c r="A4292" s="4" t="s">
        <v>5401</v>
      </c>
      <c r="B4292" s="4" t="s">
        <v>5402</v>
      </c>
      <c r="C4292" s="5" t="str">
        <f>IFERROR(__xludf.DUMMYFUNCTION("GOOGLETRANSLATE(B4292,""en"",""it"")"),"Molte persone sono su una maratona che corre in strada mentre le persone sono di lato.")</f>
        <v>Molte persone sono su una maratona che corre in strada mentre le persone sono di lato.</v>
      </c>
    </row>
    <row r="4293">
      <c r="A4293" s="4" t="s">
        <v>5401</v>
      </c>
      <c r="B4293" s="4" t="s">
        <v>5403</v>
      </c>
      <c r="C4293" s="5" t="str">
        <f>IFERROR(__xludf.DUMMYFUNCTION("GOOGLETRANSLATE(B4293,""en"",""it"")"),"Donne e uomini diversi stanno attraverso il traguardo.")</f>
        <v>Donne e uomini diversi stanno attraverso il traguardo.</v>
      </c>
    </row>
    <row r="4294">
      <c r="A4294" s="4" t="s">
        <v>5404</v>
      </c>
      <c r="B4294" s="4" t="s">
        <v>5405</v>
      </c>
      <c r="C4294" s="5" t="str">
        <f>IFERROR(__xludf.DUMMYFUNCTION("GOOGLETRANSLATE(B4294,""en"",""it"")"),"Un uomo con una camicia nera sta parlando su un campo da basket.")</f>
        <v>Un uomo con una camicia nera sta parlando su un campo da basket.</v>
      </c>
    </row>
    <row r="4295">
      <c r="A4295" s="4" t="s">
        <v>5404</v>
      </c>
      <c r="B4295" s="4" t="s">
        <v>5406</v>
      </c>
      <c r="C4295" s="5" t="str">
        <f>IFERROR(__xludf.DUMMYFUNCTION("GOOGLETRANSLATE(B4295,""en"",""it"")"),"Un ragazzo sta giocando a basket in campo.")</f>
        <v>Un ragazzo sta giocando a basket in campo.</v>
      </c>
    </row>
    <row r="4296">
      <c r="A4296" s="4" t="s">
        <v>5407</v>
      </c>
      <c r="B4296" s="4" t="s">
        <v>1251</v>
      </c>
      <c r="C4296" s="5" t="str">
        <f>IFERROR(__xludf.DUMMYFUNCTION("GOOGLETRANSLATE(B4296,""en"",""it"")"),"Vengono visualizzati i crediti della clip.")</f>
        <v>Vengono visualizzati i crediti della clip.</v>
      </c>
    </row>
    <row r="4297">
      <c r="A4297" s="4" t="s">
        <v>5407</v>
      </c>
      <c r="B4297" s="4" t="s">
        <v>5408</v>
      </c>
      <c r="C4297" s="5" t="str">
        <f>IFERROR(__xludf.DUMMYFUNCTION("GOOGLETRANSLATE(B4297,""en"",""it"")"),"Una performance della signora sul palco con un cane / i.")</f>
        <v>Una performance della signora sul palco con un cane / i.</v>
      </c>
    </row>
    <row r="4298">
      <c r="A4298" s="4" t="s">
        <v>5407</v>
      </c>
      <c r="B4298" s="4" t="s">
        <v>5409</v>
      </c>
      <c r="C4298" s="5" t="str">
        <f>IFERROR(__xludf.DUMMYFUNCTION("GOOGLETRANSLATE(B4298,""en"",""it"")"),"Il cane prende piastre che la signora lancia.")</f>
        <v>Il cane prende piastre che la signora lancia.</v>
      </c>
    </row>
    <row r="4299">
      <c r="A4299" s="4" t="s">
        <v>5407</v>
      </c>
      <c r="B4299" s="4" t="s">
        <v>5410</v>
      </c>
      <c r="C4299" s="5" t="str">
        <f>IFERROR(__xludf.DUMMYFUNCTION("GOOGLETRANSLATE(B4299,""en"",""it"")"),"Un secondo cane si unisce all'atto sul palco.")</f>
        <v>Un secondo cane si unisce all'atto sul palco.</v>
      </c>
    </row>
    <row r="4300">
      <c r="A4300" s="4" t="s">
        <v>5407</v>
      </c>
      <c r="B4300" s="4" t="s">
        <v>5411</v>
      </c>
      <c r="C4300" s="5" t="str">
        <f>IFERROR(__xludf.DUMMYFUNCTION("GOOGLETRANSLATE(B4300,""en"",""it"")"),"I cani recuperano le piastre.")</f>
        <v>I cani recuperano le piastre.</v>
      </c>
    </row>
    <row r="4301">
      <c r="A4301" s="4" t="s">
        <v>5407</v>
      </c>
      <c r="B4301" s="4" t="s">
        <v>5412</v>
      </c>
      <c r="C4301" s="5" t="str">
        <f>IFERROR(__xludf.DUMMYFUNCTION("GOOGLETRANSLATE(B4301,""en"",""it"")"),"Un cane salta continuamente su un altro cane e nella mano della signora.")</f>
        <v>Un cane salta continuamente su un altro cane e nella mano della signora.</v>
      </c>
    </row>
    <row r="4302">
      <c r="A4302" s="4" t="s">
        <v>5407</v>
      </c>
      <c r="B4302" s="4" t="s">
        <v>5413</v>
      </c>
      <c r="C4302" s="5" t="str">
        <f>IFERROR(__xludf.DUMMYFUNCTION("GOOGLETRANSLATE(B4302,""en"",""it"")"),"Un cane salta attraverso Hula Hoops.")</f>
        <v>Un cane salta attraverso Hula Hoops.</v>
      </c>
    </row>
    <row r="4303">
      <c r="A4303" s="4" t="s">
        <v>5407</v>
      </c>
      <c r="B4303" s="4" t="s">
        <v>5414</v>
      </c>
      <c r="C4303" s="5" t="str">
        <f>IFERROR(__xludf.DUMMYFUNCTION("GOOGLETRANSLATE(B4303,""en"",""it"")"),"Un cane salta dal palco sulla schiena della signora.")</f>
        <v>Un cane salta dal palco sulla schiena della signora.</v>
      </c>
    </row>
    <row r="4304">
      <c r="A4304" s="4" t="s">
        <v>5407</v>
      </c>
      <c r="B4304" s="4" t="s">
        <v>5415</v>
      </c>
      <c r="C4304" s="5" t="str">
        <f>IFERROR(__xludf.DUMMYFUNCTION("GOOGLETRANSLATE(B4304,""en"",""it"")"),"Un cane morde su un piatto rosso e non lascia andare.")</f>
        <v>Un cane morde su un piatto rosso e non lascia andare.</v>
      </c>
    </row>
    <row r="4305">
      <c r="A4305" s="4" t="s">
        <v>5407</v>
      </c>
      <c r="B4305" s="4" t="s">
        <v>5416</v>
      </c>
      <c r="C4305" s="5" t="str">
        <f>IFERROR(__xludf.DUMMYFUNCTION("GOOGLETRANSLATE(B4305,""en"",""it"")"),"Un cane salta sulle suole elevate di una donna.")</f>
        <v>Un cane salta sulle suole elevate di una donna.</v>
      </c>
    </row>
    <row r="4306">
      <c r="A4306" s="4" t="s">
        <v>5407</v>
      </c>
      <c r="B4306" s="4" t="s">
        <v>5417</v>
      </c>
      <c r="C4306" s="5" t="str">
        <f>IFERROR(__xludf.DUMMYFUNCTION("GOOGLETRANSLATE(B4306,""en"",""it"")"),"Gli artisti prendono un inchino e con il cane esce dal palco.")</f>
        <v>Gli artisti prendono un inchino e con il cane esce dal palco.</v>
      </c>
    </row>
    <row r="4307">
      <c r="A4307" s="4" t="s">
        <v>5407</v>
      </c>
      <c r="B4307" s="4" t="s">
        <v>5418</v>
      </c>
      <c r="C4307" s="5" t="str">
        <f>IFERROR(__xludf.DUMMYFUNCTION("GOOGLETRANSLATE(B4307,""en"",""it"")"),"Le tende del palcoscenico sono disegnate.")</f>
        <v>Le tende del palcoscenico sono disegnate.</v>
      </c>
    </row>
    <row r="4308">
      <c r="A4308" s="4" t="s">
        <v>5407</v>
      </c>
      <c r="B4308" s="4" t="s">
        <v>573</v>
      </c>
      <c r="C4308" s="5" t="str">
        <f>IFERROR(__xludf.DUMMYFUNCTION("GOOGLETRANSLATE(B4308,""en"",""it"")"),"Vengono visualizzati i crediti del video.")</f>
        <v>Vengono visualizzati i crediti del video.</v>
      </c>
    </row>
    <row r="4309">
      <c r="A4309" s="4" t="s">
        <v>5419</v>
      </c>
      <c r="B4309" s="4" t="s">
        <v>5420</v>
      </c>
      <c r="C4309" s="5" t="str">
        <f>IFERROR(__xludf.DUMMYFUNCTION("GOOGLETRANSLATE(B4309,""en"",""it"")"),"Una donna si trova dietro un tavolo con tacchi alti.")</f>
        <v>Una donna si trova dietro un tavolo con tacchi alti.</v>
      </c>
    </row>
    <row r="4310">
      <c r="A4310" s="4" t="s">
        <v>5419</v>
      </c>
      <c r="B4310" s="4" t="s">
        <v>5421</v>
      </c>
      <c r="C4310" s="5" t="str">
        <f>IFERROR(__xludf.DUMMYFUNCTION("GOOGLETRANSLATE(B4310,""en"",""it"")"),"Comincia a spazzare via la scarpa.")</f>
        <v>Comincia a spazzare via la scarpa.</v>
      </c>
    </row>
    <row r="4311">
      <c r="A4311" s="4" t="s">
        <v>5419</v>
      </c>
      <c r="B4311" s="4" t="s">
        <v>5422</v>
      </c>
      <c r="C4311" s="5" t="str">
        <f>IFERROR(__xludf.DUMMYFUNCTION("GOOGLETRANSLATE(B4311,""en"",""it"")"),"Usa un Q-Tip per pulire il lato della scarpa.")</f>
        <v>Usa un Q-Tip per pulire il lato della scarpa.</v>
      </c>
    </row>
    <row r="4312">
      <c r="A4312" s="4" t="s">
        <v>5419</v>
      </c>
      <c r="B4312" s="4" t="s">
        <v>5423</v>
      </c>
      <c r="C4312" s="5" t="str">
        <f>IFERROR(__xludf.DUMMYFUNCTION("GOOGLETRANSLATE(B4312,""en"",""it"")"),"Spruzza la scarpa con Windex e la asciuga.")</f>
        <v>Spruzza la scarpa con Windex e la asciuga.</v>
      </c>
    </row>
    <row r="4313">
      <c r="A4313" s="4" t="s">
        <v>5424</v>
      </c>
      <c r="B4313" s="6" t="s">
        <v>5425</v>
      </c>
      <c r="C4313" s="5" t="str">
        <f>IFERROR(__xludf.DUMMYFUNCTION("GOOGLETRANSLATE(B4313,""en"",""it"")"),"Si vede una mano mettere pesi su un bar e conduce a una persona che solleva pesi sulle spalle e cammina.")</f>
        <v>Si vede una mano mettere pesi su un bar e conduce a una persona che solleva pesi sulle spalle e cammina.</v>
      </c>
    </row>
    <row r="4314">
      <c r="A4314" s="4" t="s">
        <v>5424</v>
      </c>
      <c r="B4314" s="4" t="s">
        <v>5426</v>
      </c>
      <c r="C4314" s="5" t="str">
        <f>IFERROR(__xludf.DUMMYFUNCTION("GOOGLETRANSLATE(B4314,""en"",""it"")"),"La persona mette giù i pesi e torna indietro con i pesi che si lanciano.")</f>
        <v>La persona mette giù i pesi e torna indietro con i pesi che si lanciano.</v>
      </c>
    </row>
    <row r="4315">
      <c r="A4315" s="4" t="s">
        <v>5427</v>
      </c>
      <c r="B4315" s="6" t="s">
        <v>5428</v>
      </c>
      <c r="C4315" s="5" t="str">
        <f>IFERROR(__xludf.DUMMYFUNCTION("GOOGLETRANSLATE(B4315,""en"",""it"")"),"Una donna a piedi nudi in un vestito viola e il velo beige sta inginocchiando e lava i piatti in un corpo d'acqua all'aperto di fronte all'erba e una piattaforma di legno.")</f>
        <v>Una donna a piedi nudi in un vestito viola e il velo beige sta inginocchiando e lava i piatti in un corpo d'acqua all'aperto di fronte all'erba e una piattaforma di legno.</v>
      </c>
    </row>
    <row r="4316">
      <c r="A4316" s="4" t="s">
        <v>5427</v>
      </c>
      <c r="B4316" s="6" t="s">
        <v>5429</v>
      </c>
      <c r="C4316" s="5" t="str">
        <f>IFERROR(__xludf.DUMMYFUNCTION("GOOGLETRANSLATE(B4316,""en"",""it"")"),"La donna sciacquare un piatto di bronzo nello stretto specchio d'acqua e procede a posizionarlo in un secchio di plastica arancione.")</f>
        <v>La donna sciacquare un piatto di bronzo nello stretto specchio d'acqua e procede a posizionarlo in un secchio di plastica arancione.</v>
      </c>
    </row>
    <row r="4317">
      <c r="A4317" s="4" t="s">
        <v>5427</v>
      </c>
      <c r="B4317" s="4" t="s">
        <v>5430</v>
      </c>
      <c r="C4317" s="5" t="str">
        <f>IFERROR(__xludf.DUMMYFUNCTION("GOOGLETRANSLATE(B4317,""en"",""it"")"),"La donna continua a lavare altri piatti e metterli nel cestino arancione.")</f>
        <v>La donna continua a lavare altri piatti e metterli nel cestino arancione.</v>
      </c>
    </row>
    <row r="4318">
      <c r="A4318" s="4" t="s">
        <v>5427</v>
      </c>
      <c r="B4318" s="6" t="s">
        <v>5431</v>
      </c>
      <c r="C4318" s="5" t="str">
        <f>IFERROR(__xludf.DUMMYFUNCTION("GOOGLETRANSLATE(B4318,""en"",""it"")"),"La telecamera si estende per una grande distanza e si gira per mostrare un bannister giallo su un ponte esterno con una chaise in pelle marrone come area salotto sopra che sembra un grande lago.")</f>
        <v>La telecamera si estende per una grande distanza e si gira per mostrare un bannister giallo su un ponte esterno con una chaise in pelle marrone come area salotto sopra che sembra un grande lago.</v>
      </c>
    </row>
    <row r="4319">
      <c r="A4319" s="4" t="s">
        <v>5432</v>
      </c>
      <c r="B4319" s="4" t="s">
        <v>5433</v>
      </c>
      <c r="C4319" s="5" t="str">
        <f>IFERROR(__xludf.DUMMYFUNCTION("GOOGLETRANSLATE(B4319,""en"",""it"")"),"Vengono mostrati vari colpi di paesaggi e persone che spingono un disco per giocare a shuffleboard.")</f>
        <v>Vengono mostrati vari colpi di paesaggi e persone che spingono un disco per giocare a shuffleboard.</v>
      </c>
    </row>
    <row r="4320">
      <c r="A4320" s="4" t="s">
        <v>5432</v>
      </c>
      <c r="B4320" s="4" t="s">
        <v>5434</v>
      </c>
      <c r="C4320" s="5" t="str">
        <f>IFERROR(__xludf.DUMMYFUNCTION("GOOGLETRANSLATE(B4320,""en"",""it"")"),"Vengono mostrati altri scatti del gioco e istruzioni di testo su come giocare.")</f>
        <v>Vengono mostrati altri scatti del gioco e istruzioni di testo su come giocare.</v>
      </c>
    </row>
    <row r="4321">
      <c r="A4321" s="4" t="s">
        <v>5432</v>
      </c>
      <c r="B4321" s="4" t="s">
        <v>5435</v>
      </c>
      <c r="C4321" s="5" t="str">
        <f>IFERROR(__xludf.DUMMYFUNCTION("GOOGLETRANSLATE(B4321,""en"",""it"")"),"Un uomo mantiene il punteggio e porta a giocare più colpi del gioco.")</f>
        <v>Un uomo mantiene il punteggio e porta a giocare più colpi del gioco.</v>
      </c>
    </row>
    <row r="4322">
      <c r="A4322" s="4" t="s">
        <v>5436</v>
      </c>
      <c r="B4322" s="4" t="s">
        <v>5437</v>
      </c>
      <c r="C4322" s="5" t="str">
        <f>IFERROR(__xludf.DUMMYFUNCTION("GOOGLETRANSLATE(B4322,""en"",""it"")"),"Un uomo tiene una corda per saltare e parla.")</f>
        <v>Un uomo tiene una corda per saltare e parla.</v>
      </c>
    </row>
    <row r="4323">
      <c r="A4323" s="4" t="s">
        <v>5436</v>
      </c>
      <c r="B4323" s="4" t="s">
        <v>5438</v>
      </c>
      <c r="C4323" s="5" t="str">
        <f>IFERROR(__xludf.DUMMYFUNCTION("GOOGLETRANSLATE(B4323,""en"",""it"")"),"Comincia a saltare la corda e fare trucchi.")</f>
        <v>Comincia a saltare la corda e fare trucchi.</v>
      </c>
    </row>
    <row r="4324">
      <c r="A4324" s="4" t="s">
        <v>5439</v>
      </c>
      <c r="B4324" s="4" t="s">
        <v>5440</v>
      </c>
      <c r="C4324" s="5" t="str">
        <f>IFERROR(__xludf.DUMMYFUNCTION("GOOGLETRANSLATE(B4324,""en"",""it"")"),"Un piccolo gruppo di uomini è visto in piedi su una barca con uno che spinge uno shuffleboard.")</f>
        <v>Un piccolo gruppo di uomini è visto in piedi su una barca con uno che spinge uno shuffleboard.</v>
      </c>
    </row>
    <row r="4325">
      <c r="A4325" s="4" t="s">
        <v>5439</v>
      </c>
      <c r="B4325" s="4" t="s">
        <v>5441</v>
      </c>
      <c r="C4325" s="5" t="str">
        <f>IFERROR(__xludf.DUMMYFUNCTION("GOOGLETRANSLATE(B4325,""en"",""it"")"),"Gli uomini iniziano quindi a giocare a shuffleboard l'uno con l'altro mentre si alternano.")</f>
        <v>Gli uomini iniziano quindi a giocare a shuffleboard l'uno con l'altro mentre si alternano.</v>
      </c>
    </row>
    <row r="4326">
      <c r="A4326" s="4" t="s">
        <v>5439</v>
      </c>
      <c r="B4326" s="4" t="s">
        <v>5442</v>
      </c>
      <c r="C4326" s="5" t="str">
        <f>IFERROR(__xludf.DUMMYFUNCTION("GOOGLETRANSLATE(B4326,""en"",""it"")"),"Continuano a giocare sul lato della barca.")</f>
        <v>Continuano a giocare sul lato della barca.</v>
      </c>
    </row>
    <row r="4327">
      <c r="A4327" s="4" t="s">
        <v>5443</v>
      </c>
      <c r="B4327" s="4" t="s">
        <v>5444</v>
      </c>
      <c r="C4327" s="5" t="str">
        <f>IFERROR(__xludf.DUMMYFUNCTION("GOOGLETRANSLATE(B4327,""en"",""it"")"),"Due uomini stanno lottando per un braccio su un tavolo.")</f>
        <v>Due uomini stanno lottando per un braccio su un tavolo.</v>
      </c>
    </row>
    <row r="4328">
      <c r="A4328" s="4" t="s">
        <v>5443</v>
      </c>
      <c r="B4328" s="4" t="s">
        <v>5445</v>
      </c>
      <c r="C4328" s="5" t="str">
        <f>IFERROR(__xludf.DUMMYFUNCTION("GOOGLETRANSLATE(B4328,""en"",""it"")"),"Un altro uomo si avvicina al tavolo e si trova di fronte a loro.")</f>
        <v>Un altro uomo si avvicina al tavolo e si trova di fronte a loro.</v>
      </c>
    </row>
    <row r="4329">
      <c r="A4329" s="4" t="s">
        <v>5443</v>
      </c>
      <c r="B4329" s="4" t="s">
        <v>5446</v>
      </c>
      <c r="C4329" s="5" t="str">
        <f>IFERROR(__xludf.DUMMYFUNCTION("GOOGLETRANSLATE(B4329,""en"",""it"")"),"Finiscono il wrestling del braccio e iniziano a alzarsi.")</f>
        <v>Finiscono il wrestling del braccio e iniziano a alzarsi.</v>
      </c>
    </row>
    <row r="4330">
      <c r="A4330" s="4" t="s">
        <v>5447</v>
      </c>
      <c r="B4330" s="4" t="s">
        <v>5448</v>
      </c>
      <c r="C4330" s="5" t="str">
        <f>IFERROR(__xludf.DUMMYFUNCTION("GOOGLETRANSLATE(B4330,""en"",""it"")"),"Una donna sta aggiungendo ingredienti a una padella sulla stufa.")</f>
        <v>Una donna sta aggiungendo ingredienti a una padella sulla stufa.</v>
      </c>
    </row>
    <row r="4331">
      <c r="A4331" s="4" t="s">
        <v>5447</v>
      </c>
      <c r="B4331" s="4" t="s">
        <v>5449</v>
      </c>
      <c r="C4331" s="5" t="str">
        <f>IFERROR(__xludf.DUMMYFUNCTION("GOOGLETRANSLATE(B4331,""en"",""it"")"),"Muove gli ingredienti nella padella.")</f>
        <v>Muove gli ingredienti nella padella.</v>
      </c>
    </row>
    <row r="4332">
      <c r="A4332" s="4" t="s">
        <v>5447</v>
      </c>
      <c r="B4332" s="4" t="s">
        <v>5450</v>
      </c>
      <c r="C4332" s="5" t="str">
        <f>IFERROR(__xludf.DUMMYFUNCTION("GOOGLETRANSLATE(B4332,""en"",""it"")"),"Tira una grande pentola di pasta e la scarica nella padella.")</f>
        <v>Tira una grande pentola di pasta e la scarica nella padella.</v>
      </c>
    </row>
    <row r="4333">
      <c r="A4333" s="4" t="s">
        <v>5451</v>
      </c>
      <c r="B4333" s="4" t="s">
        <v>5452</v>
      </c>
      <c r="C4333" s="5" t="str">
        <f>IFERROR(__xludf.DUMMYFUNCTION("GOOGLETRANSLATE(B4333,""en"",""it"")"),"Una donna sta camminando per la strada con due cani.")</f>
        <v>Una donna sta camminando per la strada con due cani.</v>
      </c>
    </row>
    <row r="4334">
      <c r="A4334" s="4" t="s">
        <v>5451</v>
      </c>
      <c r="B4334" s="4" t="s">
        <v>5453</v>
      </c>
      <c r="C4334" s="5" t="str">
        <f>IFERROR(__xludf.DUMMYFUNCTION("GOOGLETRANSLATE(B4334,""en"",""it"")"),"Il cane più grande tiene in bocca un guinzaglio.")</f>
        <v>Il cane più grande tiene in bocca un guinzaglio.</v>
      </c>
    </row>
    <row r="4335">
      <c r="A4335" s="4" t="s">
        <v>5451</v>
      </c>
      <c r="B4335" s="6" t="s">
        <v>5454</v>
      </c>
      <c r="C4335" s="5" t="str">
        <f>IFERROR(__xludf.DUMMYFUNCTION("GOOGLETRANSLATE(B4335,""en"",""it"")"),"Il cane più piccolo è attaccato al guinzaglio ed è essenzialmente guidato dal cane più grande durante la passeggiata.")</f>
        <v>Il cane più piccolo è attaccato al guinzaglio ed è essenzialmente guidato dal cane più grande durante la passeggiata.</v>
      </c>
    </row>
    <row r="4336">
      <c r="A4336" s="4" t="s">
        <v>5451</v>
      </c>
      <c r="B4336" s="4" t="s">
        <v>5455</v>
      </c>
      <c r="C4336" s="5" t="str">
        <f>IFERROR(__xludf.DUMMYFUNCTION("GOOGLETRANSLATE(B4336,""en"",""it"")"),"Un uomo cammina di fronte, aprendo la strada.")</f>
        <v>Un uomo cammina di fronte, aprendo la strada.</v>
      </c>
    </row>
    <row r="4337">
      <c r="A4337" s="4" t="s">
        <v>5456</v>
      </c>
      <c r="B4337" s="4" t="s">
        <v>5457</v>
      </c>
      <c r="C4337" s="5" t="str">
        <f>IFERROR(__xludf.DUMMYFUNCTION("GOOGLETRANSLATE(B4337,""en"",""it"")"),"Un uomo sta facendo giri sull'erba.")</f>
        <v>Un uomo sta facendo giri sull'erba.</v>
      </c>
    </row>
    <row r="4338">
      <c r="A4338" s="4" t="s">
        <v>5456</v>
      </c>
      <c r="B4338" s="4" t="s">
        <v>5458</v>
      </c>
      <c r="C4338" s="5" t="str">
        <f>IFERROR(__xludf.DUMMYFUNCTION("GOOGLETRANSLATE(B4338,""en"",""it"")"),"Un uomo con un cappello bianco è in piedi accanto all'uomo.")</f>
        <v>Un uomo con un cappello bianco è in piedi accanto all'uomo.</v>
      </c>
    </row>
    <row r="4339">
      <c r="A4339" s="4" t="s">
        <v>5456</v>
      </c>
      <c r="B4339" s="4" t="s">
        <v>5459</v>
      </c>
      <c r="C4339" s="5" t="str">
        <f>IFERROR(__xludf.DUMMYFUNCTION("GOOGLETRANSLATE(B4339,""en"",""it"")"),"Uno degli uomini lancia una roccia in aria.")</f>
        <v>Uno degli uomini lancia una roccia in aria.</v>
      </c>
    </row>
    <row r="4340">
      <c r="A4340" s="4" t="s">
        <v>5460</v>
      </c>
      <c r="B4340" s="6" t="s">
        <v>5461</v>
      </c>
      <c r="C4340" s="5" t="str">
        <f>IFERROR(__xludf.DUMMYFUNCTION("GOOGLETRANSLATE(B4340,""en"",""it"")"),"Le famiglie sono fuori in un ampio campo in piedi dietro una recinzione di cambio arancione ascoltando una donna che parla in un microfono.")</f>
        <v>Le famiglie sono fuori in un ampio campo in piedi dietro una recinzione di cambio arancione ascoltando una donna che parla in un microfono.</v>
      </c>
    </row>
    <row r="4341">
      <c r="A4341" s="4" t="s">
        <v>5460</v>
      </c>
      <c r="B4341" s="6" t="s">
        <v>5462</v>
      </c>
      <c r="C4341" s="5" t="str">
        <f>IFERROR(__xludf.DUMMYFUNCTION("GOOGLETRANSLATE(B4341,""en"",""it"")"),"Un maschio arriva quindi vestito con lo stesso shrit di una donna e inizia a gettare i frisbees a un cane.")</f>
        <v>Un maschio arriva quindi vestito con lo stesso shrit di una donna e inizia a gettare i frisbees a un cane.</v>
      </c>
    </row>
    <row r="4342">
      <c r="A4342" s="4" t="s">
        <v>5460</v>
      </c>
      <c r="B4342" s="4" t="s">
        <v>5463</v>
      </c>
      <c r="C4342" s="5" t="str">
        <f>IFERROR(__xludf.DUMMYFUNCTION("GOOGLETRANSLATE(B4342,""en"",""it"")"),"Questa attività continua e il cane inizia a saltare sopra la testa del cane e la schiena.")</f>
        <v>Questa attività continua e il cane inizia a saltare sopra la testa del cane e la schiena.</v>
      </c>
    </row>
    <row r="4343">
      <c r="A4343" s="4" t="s">
        <v>5460</v>
      </c>
      <c r="B4343" s="4" t="s">
        <v>5464</v>
      </c>
      <c r="C4343" s="5" t="str">
        <f>IFERROR(__xludf.DUMMYFUNCTION("GOOGLETRANSLATE(B4343,""en"",""it"")"),"Altri poi si uniscono e il ragazzo raccoglie il cane e se ne va.")</f>
        <v>Altri poi si uniscono e il ragazzo raccoglie il cane e se ne va.</v>
      </c>
    </row>
    <row r="4344">
      <c r="A4344" s="4" t="s">
        <v>5465</v>
      </c>
      <c r="B4344" s="4" t="s">
        <v>5466</v>
      </c>
      <c r="C4344" s="5" t="str">
        <f>IFERROR(__xludf.DUMMYFUNCTION("GOOGLETRANSLATE(B4344,""en"",""it"")"),"L'uomo che indossa una camicia rossa è in piedi in un grande campo verde dietro i bambini.")</f>
        <v>L'uomo che indossa una camicia rossa è in piedi in un grande campo verde dietro i bambini.</v>
      </c>
    </row>
    <row r="4345">
      <c r="A4345" s="4" t="s">
        <v>5465</v>
      </c>
      <c r="B4345" s="4" t="s">
        <v>5467</v>
      </c>
      <c r="C4345" s="5" t="str">
        <f>IFERROR(__xludf.DUMMYFUNCTION("GOOGLETRANSLATE(B4345,""en"",""it"")"),"Il bambino biondo lancia una palla e un bambino calcia la palla in campo.")</f>
        <v>Il bambino biondo lancia una palla e un bambino calcia la palla in campo.</v>
      </c>
    </row>
    <row r="4346">
      <c r="A4346" s="4" t="s">
        <v>5465</v>
      </c>
      <c r="B4346" s="4" t="s">
        <v>5468</v>
      </c>
      <c r="C4346" s="5" t="str">
        <f>IFERROR(__xludf.DUMMYFUNCTION("GOOGLETRANSLATE(B4346,""en"",""it"")"),"I KISD stanno correndo sul campo per catturare la palla.")</f>
        <v>I KISD stanno correndo sul campo per catturare la palla.</v>
      </c>
    </row>
    <row r="4347">
      <c r="A4347" s="4" t="s">
        <v>5469</v>
      </c>
      <c r="B4347" s="4" t="s">
        <v>5470</v>
      </c>
      <c r="C4347" s="5" t="str">
        <f>IFERROR(__xludf.DUMMYFUNCTION("GOOGLETRANSLATE(B4347,""en"",""it"")"),"Un uomo si trova in un'arena che si prepara allo skateboard.")</f>
        <v>Un uomo si trova in un'arena che si prepara allo skateboard.</v>
      </c>
    </row>
    <row r="4348">
      <c r="A4348" s="4" t="s">
        <v>5469</v>
      </c>
      <c r="B4348" s="4" t="s">
        <v>5471</v>
      </c>
      <c r="C4348" s="5" t="str">
        <f>IFERROR(__xludf.DUMMYFUNCTION("GOOGLETRANSLATE(B4348,""en"",""it"")"),"L'uomo pattina giù per un mezzo pipe e va avanti e indietro da un'estremità all'altra.")</f>
        <v>L'uomo pattina giù per un mezzo pipe e va avanti e indietro da un'estremità all'altra.</v>
      </c>
    </row>
    <row r="4349">
      <c r="A4349" s="4" t="s">
        <v>5469</v>
      </c>
      <c r="B4349" s="4" t="s">
        <v>5472</v>
      </c>
      <c r="C4349" s="5" t="str">
        <f>IFERROR(__xludf.DUMMYFUNCTION("GOOGLETRANSLATE(B4349,""en"",""it"")"),"L'uomo perde lo skateboard e scende il muro in ginocchio.")</f>
        <v>L'uomo perde lo skateboard e scende il muro in ginocchio.</v>
      </c>
    </row>
    <row r="4350">
      <c r="A4350" s="4" t="s">
        <v>5469</v>
      </c>
      <c r="B4350" s="4" t="s">
        <v>5473</v>
      </c>
      <c r="C4350" s="5" t="str">
        <f>IFERROR(__xludf.DUMMYFUNCTION("GOOGLETRANSLATE(B4350,""en"",""it"")"),"Vediamo la delusione dell'uomo mentre un altro uomo si prepara a pattinare.")</f>
        <v>Vediamo la delusione dell'uomo mentre un altro uomo si prepara a pattinare.</v>
      </c>
    </row>
    <row r="4351">
      <c r="A4351" s="4" t="s">
        <v>5469</v>
      </c>
      <c r="B4351" s="4" t="s">
        <v>5474</v>
      </c>
      <c r="C4351" s="5" t="str">
        <f>IFERROR(__xludf.DUMMYFUNCTION("GOOGLETRANSLATE(B4351,""en"",""it"")"),"L'uomo se ne va e salta sul suo skateboard dietro il palco.")</f>
        <v>L'uomo se ne va e salta sul suo skateboard dietro il palco.</v>
      </c>
    </row>
    <row r="4352">
      <c r="A4352" s="4" t="s">
        <v>5475</v>
      </c>
      <c r="B4352" s="4" t="s">
        <v>5476</v>
      </c>
      <c r="C4352" s="5" t="str">
        <f>IFERROR(__xludf.DUMMYFUNCTION("GOOGLETRANSLATE(B4352,""en"",""it"")"),"Un uomo con un ombrello sta asciugando la sua auto durante la pioggia.")</f>
        <v>Un uomo con un ombrello sta asciugando la sua auto durante la pioggia.</v>
      </c>
    </row>
    <row r="4353">
      <c r="A4353" s="4" t="s">
        <v>5475</v>
      </c>
      <c r="B4353" s="4" t="s">
        <v>5477</v>
      </c>
      <c r="C4353" s="5" t="str">
        <f>IFERROR(__xludf.DUMMYFUNCTION("GOOGLETRANSLATE(B4353,""en"",""it"")"),"Sorride la telecamera e inizia a parlare con la persona.")</f>
        <v>Sorride la telecamera e inizia a parlare con la persona.</v>
      </c>
    </row>
    <row r="4354">
      <c r="A4354" s="4" t="s">
        <v>5478</v>
      </c>
      <c r="B4354" s="4" t="s">
        <v>5479</v>
      </c>
      <c r="C4354" s="5" t="str">
        <f>IFERROR(__xludf.DUMMYFUNCTION("GOOGLETRANSLATE(B4354,""en"",""it"")"),"Vengono mostrati diversi colpi di attrezzatura da paintball e di un uomo che fuma una sigaretta.")</f>
        <v>Vengono mostrati diversi colpi di attrezzatura da paintball e di un uomo che fuma una sigaretta.</v>
      </c>
    </row>
    <row r="4355">
      <c r="A4355" s="4" t="s">
        <v>5478</v>
      </c>
      <c r="B4355" s="4" t="s">
        <v>5480</v>
      </c>
      <c r="C4355" s="5" t="str">
        <f>IFERROR(__xludf.DUMMYFUNCTION("GOOGLETRANSLATE(B4355,""en"",""it"")"),"Questo porta a persone che giocano a paintball tra loro e corrono in giro.")</f>
        <v>Questo porta a persone che giocano a paintball tra loro e corrono in giro.</v>
      </c>
    </row>
    <row r="4356">
      <c r="A4356" s="4" t="s">
        <v>5478</v>
      </c>
      <c r="B4356" s="4" t="s">
        <v>5481</v>
      </c>
      <c r="C4356" s="5" t="str">
        <f>IFERROR(__xludf.DUMMYFUNCTION("GOOGLETRANSLATE(B4356,""en"",""it"")"),"Vengono mostrati più colpi di persone che giocano e parlano tra loro.")</f>
        <v>Vengono mostrati più colpi di persone che giocano e parlano tra loro.</v>
      </c>
    </row>
    <row r="4357">
      <c r="A4357" s="4" t="s">
        <v>5482</v>
      </c>
      <c r="B4357" s="4" t="s">
        <v>5483</v>
      </c>
      <c r="C4357" s="5" t="str">
        <f>IFERROR(__xludf.DUMMYFUNCTION("GOOGLETRANSLATE(B4357,""en"",""it"")"),"Una donna si mette una sigaretta in bocca.")</f>
        <v>Una donna si mette una sigaretta in bocca.</v>
      </c>
    </row>
    <row r="4358">
      <c r="A4358" s="4" t="s">
        <v>5482</v>
      </c>
      <c r="B4358" s="4" t="s">
        <v>5484</v>
      </c>
      <c r="C4358" s="5" t="str">
        <f>IFERROR(__xludf.DUMMYFUNCTION("GOOGLETRANSLATE(B4358,""en"",""it"")"),"Quindi, la donna accende una sigaretta e fuma.")</f>
        <v>Quindi, la donna accende una sigaretta e fuma.</v>
      </c>
    </row>
    <row r="4359">
      <c r="A4359" s="4" t="s">
        <v>5482</v>
      </c>
      <c r="B4359" s="4" t="s">
        <v>5485</v>
      </c>
      <c r="C4359" s="5" t="str">
        <f>IFERROR(__xludf.DUMMYFUNCTION("GOOGLETRANSLATE(B4359,""en"",""it"")"),"La donna soffia dalla sua bocca.")</f>
        <v>La donna soffia dalla sua bocca.</v>
      </c>
    </row>
    <row r="4360">
      <c r="A4360" s="4" t="s">
        <v>5486</v>
      </c>
      <c r="B4360" s="4" t="s">
        <v>5487</v>
      </c>
      <c r="C4360" s="5" t="str">
        <f>IFERROR(__xludf.DUMMYFUNCTION("GOOGLETRANSLATE(B4360,""en"",""it"")"),"Un gruppo di travi porta una zattera lungo un percorso.")</f>
        <v>Un gruppo di travi porta una zattera lungo un percorso.</v>
      </c>
    </row>
    <row r="4361">
      <c r="A4361" s="4" t="s">
        <v>5486</v>
      </c>
      <c r="B4361" s="4" t="s">
        <v>5488</v>
      </c>
      <c r="C4361" s="5" t="str">
        <f>IFERROR(__xludf.DUMMYFUNCTION("GOOGLETRANSLATE(B4361,""en"",""it"")"),"Gruppi di travi cavalcano un fiume che attraversava piccole cascate.")</f>
        <v>Gruppi di travi cavalcano un fiume che attraversava piccole cascate.</v>
      </c>
    </row>
    <row r="4362">
      <c r="A4362" s="4" t="s">
        <v>5486</v>
      </c>
      <c r="B4362" s="4" t="s">
        <v>5489</v>
      </c>
      <c r="C4362" s="5" t="str">
        <f>IFERROR(__xludf.DUMMYFUNCTION("GOOGLETRANSLATE(B4362,""en"",""it"")"),"Le travi scendono dalla barca sulla riva e camminano lungo il sentiero.")</f>
        <v>Le travi scendono dalla barca sulla riva e camminano lungo il sentiero.</v>
      </c>
    </row>
    <row r="4363">
      <c r="A4363" s="4" t="s">
        <v>5486</v>
      </c>
      <c r="B4363" s="4" t="s">
        <v>5490</v>
      </c>
      <c r="C4363" s="5" t="str">
        <f>IFERROR(__xludf.DUMMYFUNCTION("GOOGLETRANSLATE(B4363,""en"",""it"")"),"La gente salta dalle rocce in una buca del fiume.")</f>
        <v>La gente salta dalle rocce in una buca del fiume.</v>
      </c>
    </row>
    <row r="4364">
      <c r="A4364" s="4" t="s">
        <v>5486</v>
      </c>
      <c r="B4364" s="4" t="s">
        <v>5491</v>
      </c>
      <c r="C4364" s="5" t="str">
        <f>IFERROR(__xludf.DUMMYFUNCTION("GOOGLETRANSLATE(B4364,""en"",""it"")"),"Le travi si godono un pranzo all'aperto in una casa sulla spiaggia.")</f>
        <v>Le travi si godono un pranzo all'aperto in una casa sulla spiaggia.</v>
      </c>
    </row>
    <row r="4365">
      <c r="A4365" s="4" t="s">
        <v>5492</v>
      </c>
      <c r="B4365" s="4" t="s">
        <v>5493</v>
      </c>
      <c r="C4365" s="5" t="str">
        <f>IFERROR(__xludf.DUMMYFUNCTION("GOOGLETRANSLATE(B4365,""en"",""it"")"),"Un gruppo di persone è su un ascensore molto sopra le montagne.")</f>
        <v>Un gruppo di persone è su un ascensore molto sopra le montagne.</v>
      </c>
    </row>
    <row r="4366">
      <c r="A4366" s="4" t="s">
        <v>5492</v>
      </c>
      <c r="B4366" s="4" t="s">
        <v>5494</v>
      </c>
      <c r="C4366" s="5" t="str">
        <f>IFERROR(__xludf.DUMMYFUNCTION("GOOGLETRANSLATE(B4366,""en"",""it"")"),"Una persona si arrampica su di esso, guardando in basso.")</f>
        <v>Una persona si arrampica su di esso, guardando in basso.</v>
      </c>
    </row>
    <row r="4367">
      <c r="A4367" s="4" t="s">
        <v>5492</v>
      </c>
      <c r="B4367" s="4" t="s">
        <v>5495</v>
      </c>
      <c r="C4367" s="5" t="str">
        <f>IFERROR(__xludf.DUMMYFUNCTION("GOOGLETRANSLATE(B4367,""en"",""it"")"),"Bungee saltano, appesi e oscillano da terra.")</f>
        <v>Bungee saltano, appesi e oscillano da terra.</v>
      </c>
    </row>
    <row r="4368">
      <c r="A4368" s="4" t="s">
        <v>5496</v>
      </c>
      <c r="B4368" s="4" t="s">
        <v>5497</v>
      </c>
      <c r="C4368" s="5" t="str">
        <f>IFERROR(__xludf.DUMMYFUNCTION("GOOGLETRANSLATE(B4368,""en"",""it"")"),"Una grande scuola di piccoli pesci nuota nell'oceano.")</f>
        <v>Una grande scuola di piccoli pesci nuota nell'oceano.</v>
      </c>
    </row>
    <row r="4369">
      <c r="A4369" s="4" t="s">
        <v>5496</v>
      </c>
      <c r="B4369" s="4" t="s">
        <v>5498</v>
      </c>
      <c r="C4369" s="5" t="str">
        <f>IFERROR(__xludf.DUMMYFUNCTION("GOOGLETRANSLATE(B4369,""en"",""it"")"),"Un sigillo nuota nell'oceano.")</f>
        <v>Un sigillo nuota nell'oceano.</v>
      </c>
    </row>
    <row r="4370">
      <c r="A4370" s="4" t="s">
        <v>5496</v>
      </c>
      <c r="B4370" s="4" t="s">
        <v>5499</v>
      </c>
      <c r="C4370" s="5" t="str">
        <f>IFERROR(__xludf.DUMMYFUNCTION("GOOGLETRANSLATE(B4370,""en"",""it"")"),"La scena passa a un cane subacqueo che si immerge con gli umani.")</f>
        <v>La scena passa a un cane subacqueo che si immerge con gli umani.</v>
      </c>
    </row>
    <row r="4371">
      <c r="A4371" s="4" t="s">
        <v>5496</v>
      </c>
      <c r="B4371" s="4" t="s">
        <v>5500</v>
      </c>
      <c r="C4371" s="5" t="str">
        <f>IFERROR(__xludf.DUMMYFUNCTION("GOOGLETRANSLATE(B4371,""en"",""it"")"),"Il cane è mostrato con un essere umano su una nave, con una parte della sua attrezzatura subacquea.")</f>
        <v>Il cane è mostrato con un essere umano su una nave, con una parte della sua attrezzatura subacquea.</v>
      </c>
    </row>
    <row r="4372">
      <c r="A4372" s="4" t="s">
        <v>5496</v>
      </c>
      <c r="B4372" s="4" t="s">
        <v>5501</v>
      </c>
      <c r="C4372" s="5" t="str">
        <f>IFERROR(__xludf.DUMMYFUNCTION("GOOGLETRANSLATE(B4372,""en"",""it"")"),"La scena ritorna all'immersione subacquea del cane.")</f>
        <v>La scena ritorna all'immersione subacquea del cane.</v>
      </c>
    </row>
    <row r="4373">
      <c r="A4373" s="4" t="s">
        <v>5496</v>
      </c>
      <c r="B4373" s="4" t="s">
        <v>5502</v>
      </c>
      <c r="C4373" s="5" t="str">
        <f>IFERROR(__xludf.DUMMYFUNCTION("GOOGLETRANSLATE(B4373,""en"",""it"")"),"La scena cambia in un gatto che cammina.")</f>
        <v>La scena cambia in un gatto che cammina.</v>
      </c>
    </row>
    <row r="4374">
      <c r="A4374" s="4" t="s">
        <v>5496</v>
      </c>
      <c r="B4374" s="4" t="s">
        <v>5503</v>
      </c>
      <c r="C4374" s="5" t="str">
        <f>IFERROR(__xludf.DUMMYFUNCTION("GOOGLETRANSLATE(B4374,""en"",""it"")"),"Il gatto viene mostrato nuoto e immersioni subacquee.")</f>
        <v>Il gatto viene mostrato nuoto e immersioni subacquee.</v>
      </c>
    </row>
    <row r="4375">
      <c r="A4375" s="4" t="s">
        <v>5496</v>
      </c>
      <c r="B4375" s="4" t="s">
        <v>5504</v>
      </c>
      <c r="C4375" s="5" t="str">
        <f>IFERROR(__xludf.DUMMYFUNCTION("GOOGLETRANSLATE(B4375,""en"",""it"")"),"Il gatto e il cane sono mostrati in varie scene rapide insieme.")</f>
        <v>Il gatto e il cane sono mostrati in varie scene rapide insieme.</v>
      </c>
    </row>
    <row r="4376">
      <c r="A4376" s="4" t="s">
        <v>5505</v>
      </c>
      <c r="B4376" s="4" t="s">
        <v>5506</v>
      </c>
      <c r="C4376" s="5" t="str">
        <f>IFERROR(__xludf.DUMMYFUNCTION("GOOGLETRANSLATE(B4376,""en"",""it"")"),"Due persone ballano su una pista da ballo.")</f>
        <v>Due persone ballano su una pista da ballo.</v>
      </c>
    </row>
    <row r="4377">
      <c r="A4377" s="4" t="s">
        <v>5505</v>
      </c>
      <c r="B4377" s="4" t="s">
        <v>5507</v>
      </c>
      <c r="C4377" s="5" t="str">
        <f>IFERROR(__xludf.DUMMYFUNCTION("GOOGLETRANSLATE(B4377,""en"",""it"")"),"Le persone sono sedute e in piedi in disparte a guardarli a ballare.")</f>
        <v>Le persone sono sedute e in piedi in disparte a guardarli a ballare.</v>
      </c>
    </row>
    <row r="4378">
      <c r="A4378" s="4" t="s">
        <v>5505</v>
      </c>
      <c r="B4378" s="4" t="s">
        <v>5508</v>
      </c>
      <c r="C4378" s="5" t="str">
        <f>IFERROR(__xludf.DUMMYFUNCTION("GOOGLETRANSLATE(B4378,""en"",""it"")"),"Continuano a ballare sulla pista da ballo.")</f>
        <v>Continuano a ballare sulla pista da ballo.</v>
      </c>
    </row>
    <row r="4379">
      <c r="A4379" s="4" t="s">
        <v>5509</v>
      </c>
      <c r="B4379" s="4" t="s">
        <v>5510</v>
      </c>
      <c r="C4379" s="5" t="str">
        <f>IFERROR(__xludf.DUMMYFUNCTION("GOOGLETRANSLATE(B4379,""en"",""it"")"),"Un uomo mette una palla a terra, quindi lancia una bandiera.")</f>
        <v>Un uomo mette una palla a terra, quindi lancia una bandiera.</v>
      </c>
    </row>
    <row r="4380">
      <c r="A4380" s="4" t="s">
        <v>5509</v>
      </c>
      <c r="B4380" s="4" t="s">
        <v>5511</v>
      </c>
      <c r="C4380" s="5" t="str">
        <f>IFERROR(__xludf.DUMMYFUNCTION("GOOGLETRANSLATE(B4380,""en"",""it"")"),"Colpisce la palla, mettendo in moto un gioco.")</f>
        <v>Colpisce la palla, mettendo in moto un gioco.</v>
      </c>
    </row>
    <row r="4381">
      <c r="A4381" s="4" t="s">
        <v>5509</v>
      </c>
      <c r="B4381" s="4" t="s">
        <v>5512</v>
      </c>
      <c r="C4381" s="5" t="str">
        <f>IFERROR(__xludf.DUMMYFUNCTION("GOOGLETRANSLATE(B4381,""en"",""it"")"),"I giocatori combattono sopra la palla, portandolo in porta e il pubblico applaude.")</f>
        <v>I giocatori combattono sopra la palla, portandolo in porta e il pubblico applaude.</v>
      </c>
    </row>
    <row r="4382">
      <c r="A4382" s="4" t="s">
        <v>5509</v>
      </c>
      <c r="B4382" s="4" t="s">
        <v>5513</v>
      </c>
      <c r="C4382" s="5" t="str">
        <f>IFERROR(__xludf.DUMMYFUNCTION("GOOGLETRANSLATE(B4382,""en"",""it"")"),"Il gioco continua mentre i giocatori competono.")</f>
        <v>Il gioco continua mentre i giocatori competono.</v>
      </c>
    </row>
    <row r="4383">
      <c r="A4383" s="4" t="s">
        <v>5514</v>
      </c>
      <c r="B4383" s="6" t="s">
        <v>5515</v>
      </c>
      <c r="C4383" s="5" t="str">
        <f>IFERROR(__xludf.DUMMYFUNCTION("GOOGLETRANSLATE(B4383,""en"",""it"")"),"Una giovane donna con un vestito nero e un cardigan rosso si trova nell'angolo di una cucina che taglia frutta.")</f>
        <v>Una giovane donna con un vestito nero e un cardigan rosso si trova nell'angolo di una cucina che taglia frutta.</v>
      </c>
    </row>
    <row r="4384">
      <c r="A4384" s="4" t="s">
        <v>5514</v>
      </c>
      <c r="B4384" s="6" t="s">
        <v>5516</v>
      </c>
      <c r="C4384" s="5" t="str">
        <f>IFERROR(__xludf.DUMMYFUNCTION("GOOGLETRANSLATE(B4384,""en"",""it"")"),"Dopo un po ', afferra sei fragole e le lascia sul tagliere mentre inizia a tagliare l'uva.")</f>
        <v>Dopo un po ', afferra sei fragole e le lascia sul tagliere mentre inizia a tagliare l'uva.</v>
      </c>
    </row>
    <row r="4385">
      <c r="A4385" s="4" t="s">
        <v>5514</v>
      </c>
      <c r="B4385" s="6" t="s">
        <v>5517</v>
      </c>
      <c r="C4385" s="5" t="str">
        <f>IFERROR(__xludf.DUMMYFUNCTION("GOOGLETRANSLATE(B4385,""en"",""it"")"),"Di fronte a lei, ci sono due grandi ciotole bianche piene di frutta e inizia a mettere la frutta tagliata in quelle ciotole.")</f>
        <v>Di fronte a lei, ci sono due grandi ciotole bianche piene di frutta e inizia a mettere la frutta tagliata in quelle ciotole.</v>
      </c>
    </row>
    <row r="4386">
      <c r="A4386" s="4" t="s">
        <v>5514</v>
      </c>
      <c r="B4386" s="6" t="s">
        <v>5518</v>
      </c>
      <c r="C4386" s="5" t="str">
        <f>IFERROR(__xludf.DUMMYFUNCTION("GOOGLETRANSLATE(B4386,""en"",""it"")"),"La fotocamera si muove quindi e la persona ingrandisce il contenuto delle ciotole di frutta, mostrando ananas, fragole e uva.")</f>
        <v>La fotocamera si muove quindi e la persona ingrandisce il contenuto delle ciotole di frutta, mostrando ananas, fragole e uva.</v>
      </c>
    </row>
    <row r="4387">
      <c r="A4387" s="4" t="s">
        <v>5519</v>
      </c>
      <c r="B4387" s="4" t="s">
        <v>5520</v>
      </c>
      <c r="C4387" s="5" t="str">
        <f>IFERROR(__xludf.DUMMYFUNCTION("GOOGLETRANSLATE(B4387,""en"",""it"")"),"Un uomo è seduto su una sedia che si tagliava i capelli da un barbiere.")</f>
        <v>Un uomo è seduto su una sedia che si tagliava i capelli da un barbiere.</v>
      </c>
    </row>
    <row r="4388">
      <c r="A4388" s="4" t="s">
        <v>5519</v>
      </c>
      <c r="B4388" s="6" t="s">
        <v>5521</v>
      </c>
      <c r="C4388" s="5" t="str">
        <f>IFERROR(__xludf.DUMMYFUNCTION("GOOGLETRANSLATE(B4388,""en"",""it"")"),"Un uomo prende un pettine e un paio di forbici e inizia a tagliare i capelli sopra il pettine e poi li agita nella parte anteriore della testa dell'uomo.")</f>
        <v>Un uomo prende un pettine e un paio di forbici e inizia a tagliare i capelli sopra il pettine e poi li agita nella parte anteriore della testa dell'uomo.</v>
      </c>
    </row>
    <row r="4389">
      <c r="A4389" s="4" t="s">
        <v>5519</v>
      </c>
      <c r="B4389" s="4" t="s">
        <v>5522</v>
      </c>
      <c r="C4389" s="5" t="str">
        <f>IFERROR(__xludf.DUMMYFUNCTION("GOOGLETRANSLATE(B4389,""en"",""it"")"),"Il maschio si gira quindi e il centro dei capelli inizia a essere tagliati.")</f>
        <v>Il maschio si gira quindi e il centro dei capelli inizia a essere tagliati.</v>
      </c>
    </row>
    <row r="4390">
      <c r="A4390" s="4" t="s">
        <v>5519</v>
      </c>
      <c r="B4390" s="4" t="s">
        <v>5523</v>
      </c>
      <c r="C4390" s="5" t="str">
        <f>IFERROR(__xludf.DUMMYFUNCTION("GOOGLETRANSLATE(B4390,""en"",""it"")"),"Il prossimo è i lati e le stesse azioni vengono ripetute fino al termine dei capelli.")</f>
        <v>Il prossimo è i lati e le stesse azioni vengono ripetute fino al termine dei capelli.</v>
      </c>
    </row>
    <row r="4391">
      <c r="A4391" s="4" t="s">
        <v>5519</v>
      </c>
      <c r="B4391" s="6" t="s">
        <v>5524</v>
      </c>
      <c r="C4391" s="5" t="str">
        <f>IFERROR(__xludf.DUMMYFUNCTION("GOOGLETRANSLATE(B4391,""en"",""it"")"),"Infine, i rasoi vengono tirati fuori e il barbiere inizia a bloccare i capelli dell'uomo e il barbiere passa sopra i capelli un'ultima volta con il pettine e le forbici.")</f>
        <v>Infine, i rasoi vengono tirati fuori e il barbiere inizia a bloccare i capelli dell'uomo e il barbiere passa sopra i capelli un'ultima volta con il pettine e le forbici.</v>
      </c>
    </row>
    <row r="4392">
      <c r="A4392" s="4" t="s">
        <v>5525</v>
      </c>
      <c r="B4392" s="4" t="s">
        <v>5526</v>
      </c>
      <c r="C4392" s="5" t="str">
        <f>IFERROR(__xludf.DUMMYFUNCTION("GOOGLETRANSLATE(B4392,""en"",""it"")"),"Un uomo vede parlare con la telecamera mentre era seduto su un pezzo di attrezzatura da esercizio.")</f>
        <v>Un uomo vede parlare con la telecamera mentre era seduto su un pezzo di attrezzatura da esercizio.</v>
      </c>
    </row>
    <row r="4393">
      <c r="A4393" s="4" t="s">
        <v>5525</v>
      </c>
      <c r="B4393" s="4" t="s">
        <v>5527</v>
      </c>
      <c r="C4393" s="5" t="str">
        <f>IFERROR(__xludf.DUMMYFUNCTION("GOOGLETRANSLATE(B4393,""en"",""it"")"),"Regola le impostazioni sulla macchina e inizia a usarla e quarto.")</f>
        <v>Regola le impostazioni sulla macchina e inizia a usarla e quarto.</v>
      </c>
    </row>
    <row r="4394">
      <c r="A4394" s="4" t="s">
        <v>5525</v>
      </c>
      <c r="B4394" s="4" t="s">
        <v>5528</v>
      </c>
      <c r="C4394" s="5" t="str">
        <f>IFERROR(__xludf.DUMMYFUNCTION("GOOGLETRANSLATE(B4394,""en"",""it"")"),"Afferra la macchina e si muove finendo parlando alla telecamera.")</f>
        <v>Afferra la macchina e si muove finendo parlando alla telecamera.</v>
      </c>
    </row>
    <row r="4395">
      <c r="A4395" s="4" t="s">
        <v>5529</v>
      </c>
      <c r="B4395" s="4" t="s">
        <v>5530</v>
      </c>
      <c r="C4395" s="5" t="str">
        <f>IFERROR(__xludf.DUMMYFUNCTION("GOOGLETRANSLATE(B4395,""en"",""it"")"),"Un atleta maschio si prepara a correre.")</f>
        <v>Un atleta maschio si prepara a correre.</v>
      </c>
    </row>
    <row r="4396">
      <c r="A4396" s="4" t="s">
        <v>5529</v>
      </c>
      <c r="B4396" s="4" t="s">
        <v>5531</v>
      </c>
      <c r="C4396" s="5" t="str">
        <f>IFERROR(__xludf.DUMMYFUNCTION("GOOGLETRANSLATE(B4396,""en"",""it"")"),"Corre con un giavellotto sopra la sua spalla.")</f>
        <v>Corre con un giavellotto sopra la sua spalla.</v>
      </c>
    </row>
    <row r="4397">
      <c r="A4397" s="4" t="s">
        <v>5529</v>
      </c>
      <c r="B4397" s="4" t="s">
        <v>5532</v>
      </c>
      <c r="C4397" s="5" t="str">
        <f>IFERROR(__xludf.DUMMYFUNCTION("GOOGLETRANSLATE(B4397,""en"",""it"")"),"Lo lancia più forte che può.")</f>
        <v>Lo lancia più forte che può.</v>
      </c>
    </row>
    <row r="4398">
      <c r="A4398" s="4" t="s">
        <v>5529</v>
      </c>
      <c r="B4398" s="4" t="s">
        <v>5533</v>
      </c>
      <c r="C4398" s="5" t="str">
        <f>IFERROR(__xludf.DUMMYFUNCTION("GOOGLETRANSLATE(B4398,""en"",""it"")"),"Quindi altri fanno lo stesso poco dopo.")</f>
        <v>Quindi altri fanno lo stesso poco dopo.</v>
      </c>
    </row>
    <row r="4399">
      <c r="A4399" s="4" t="s">
        <v>5534</v>
      </c>
      <c r="B4399" s="4" t="s">
        <v>5535</v>
      </c>
      <c r="C4399" s="5" t="str">
        <f>IFERROR(__xludf.DUMMYFUNCTION("GOOGLETRANSLATE(B4399,""en"",""it"")"),"Due donne stanno cavalcando sul retro di un a quattro ruote e salutano.")</f>
        <v>Due donne stanno cavalcando sul retro di un a quattro ruote e salutano.</v>
      </c>
    </row>
    <row r="4400">
      <c r="A4400" s="4" t="s">
        <v>5534</v>
      </c>
      <c r="B4400" s="4" t="s">
        <v>5536</v>
      </c>
      <c r="C4400" s="5" t="str">
        <f>IFERROR(__xludf.DUMMYFUNCTION("GOOGLETRANSLATE(B4400,""en"",""it"")"),"Un uomo viene mostrato in posa con diverse persone, andando in un campo per giocare a paintball.")</f>
        <v>Un uomo viene mostrato in posa con diverse persone, andando in un campo per giocare a paintball.</v>
      </c>
    </row>
    <row r="4401">
      <c r="A4401" s="4" t="s">
        <v>5534</v>
      </c>
      <c r="B4401" s="4" t="s">
        <v>5537</v>
      </c>
      <c r="C4401" s="5" t="str">
        <f>IFERROR(__xludf.DUMMYFUNCTION("GOOGLETRANSLATE(B4401,""en"",""it"")"),"Le persone si preparano e si nascondono dietro gli ostacoli, sparando l'un l'altro.")</f>
        <v>Le persone si preparano e si nascondono dietro gli ostacoli, sparando l'un l'altro.</v>
      </c>
    </row>
    <row r="4402">
      <c r="A4402" s="4" t="s">
        <v>5538</v>
      </c>
      <c r="B4402" s="4" t="s">
        <v>5539</v>
      </c>
      <c r="C4402" s="5" t="str">
        <f>IFERROR(__xludf.DUMMYFUNCTION("GOOGLETRANSLATE(B4402,""en"",""it"")"),"Un uomo suona il sassofono in vari contesti pubblici mentre il pubblico guarda.")</f>
        <v>Un uomo suona il sassofono in vari contesti pubblici mentre il pubblico guarda.</v>
      </c>
    </row>
    <row r="4403">
      <c r="A4403" s="4" t="s">
        <v>5538</v>
      </c>
      <c r="B4403" s="4" t="s">
        <v>5540</v>
      </c>
      <c r="C4403" s="5" t="str">
        <f>IFERROR(__xludf.DUMMYFUNCTION("GOOGLETRANSLATE(B4403,""en"",""it"")"),"L'uomo gioca mentre giaceva per terra.")</f>
        <v>L'uomo gioca mentre giaceva per terra.</v>
      </c>
    </row>
    <row r="4404">
      <c r="A4404" s="4" t="s">
        <v>5538</v>
      </c>
      <c r="B4404" s="4" t="s">
        <v>5541</v>
      </c>
      <c r="C4404" s="5" t="str">
        <f>IFERROR(__xludf.DUMMYFUNCTION("GOOGLETRANSLATE(B4404,""en"",""it"")"),"Una guardia di sicurezza lo accosta e lo scorta via.")</f>
        <v>Una guardia di sicurezza lo accosta e lo scorta via.</v>
      </c>
    </row>
    <row r="4405">
      <c r="A4405" s="4" t="s">
        <v>5538</v>
      </c>
      <c r="B4405" s="4" t="s">
        <v>5542</v>
      </c>
      <c r="C4405" s="5" t="str">
        <f>IFERROR(__xludf.DUMMYFUNCTION("GOOGLETRANSLATE(B4405,""en"",""it"")"),"L'uomo si alza e si allontana mentre gioca.")</f>
        <v>L'uomo si alza e si allontana mentre gioca.</v>
      </c>
    </row>
    <row r="4406">
      <c r="A4406" s="4" t="s">
        <v>5538</v>
      </c>
      <c r="B4406" s="4" t="s">
        <v>5543</v>
      </c>
      <c r="C4406" s="5" t="str">
        <f>IFERROR(__xludf.DUMMYFUNCTION("GOOGLETRANSLATE(B4406,""en"",""it"")"),"Vengono mostrate altre scene dell'uomo che suona il sassofono in vari contesti pubblici.")</f>
        <v>Vengono mostrate altre scene dell'uomo che suona il sassofono in vari contesti pubblici.</v>
      </c>
    </row>
    <row r="4407">
      <c r="A4407" s="4" t="s">
        <v>5544</v>
      </c>
      <c r="B4407" s="4" t="s">
        <v>5545</v>
      </c>
      <c r="C4407" s="5" t="str">
        <f>IFERROR(__xludf.DUMMYFUNCTION("GOOGLETRANSLATE(B4407,""en"",""it"")"),"I giocatori sono su un campo giocando a pallavolo.")</f>
        <v>I giocatori sono su un campo giocando a pallavolo.</v>
      </c>
    </row>
    <row r="4408">
      <c r="A4408" s="4" t="s">
        <v>5544</v>
      </c>
      <c r="B4408" s="4" t="s">
        <v>5546</v>
      </c>
      <c r="C4408" s="5" t="str">
        <f>IFERROR(__xludf.DUMMYFUNCTION("GOOGLETRANSLATE(B4408,""en"",""it"")"),"Un uomo con una camicia nera si tuffa e colpisce il terreno.")</f>
        <v>Un uomo con una camicia nera si tuffa e colpisce il terreno.</v>
      </c>
    </row>
    <row r="4409">
      <c r="A4409" s="4" t="s">
        <v>5544</v>
      </c>
      <c r="B4409" s="4" t="s">
        <v>5547</v>
      </c>
      <c r="C4409" s="5" t="str">
        <f>IFERROR(__xludf.DUMMYFUNCTION("GOOGLETRANSLATE(B4409,""en"",""it"")"),"Qualcuno segna e la folla celebra.")</f>
        <v>Qualcuno segna e la folla celebra.</v>
      </c>
    </row>
    <row r="4410">
      <c r="A4410" s="4" t="s">
        <v>5548</v>
      </c>
      <c r="B4410" s="4" t="s">
        <v>5549</v>
      </c>
      <c r="C4410" s="5" t="str">
        <f>IFERROR(__xludf.DUMMYFUNCTION("GOOGLETRANSLATE(B4410,""en"",""it"")"),"È mostrato un primo piano di una tavola di foose con persone che muovono i sondaggi tutt'intorno.")</f>
        <v>È mostrato un primo piano di una tavola di foose con persone che muovono i sondaggi tutt'intorno.</v>
      </c>
    </row>
    <row r="4411">
      <c r="A4411" s="4" t="s">
        <v>5548</v>
      </c>
      <c r="B4411" s="4" t="s">
        <v>5550</v>
      </c>
      <c r="C4411" s="5" t="str">
        <f>IFERROR(__xludf.DUMMYFUNCTION("GOOGLETRANSLATE(B4411,""en"",""it"")"),"L'uomo rimbalza su e giù mentre la gente continua a giocare tra loro.")</f>
        <v>L'uomo rimbalza su e giù mentre la gente continua a giocare tra loro.</v>
      </c>
    </row>
    <row r="4412">
      <c r="A4412" s="4" t="s">
        <v>5548</v>
      </c>
      <c r="B4412" s="4" t="s">
        <v>5551</v>
      </c>
      <c r="C4412" s="5" t="str">
        <f>IFERROR(__xludf.DUMMYFUNCTION("GOOGLETRANSLATE(B4412,""en"",""it"")"),"Un uomo scappa per afferrare la palla e riporta a loro giocando.")</f>
        <v>Un uomo scappa per afferrare la palla e riporta a loro giocando.</v>
      </c>
    </row>
    <row r="4413">
      <c r="A4413" s="4" t="s">
        <v>5552</v>
      </c>
      <c r="B4413" s="4" t="s">
        <v>5553</v>
      </c>
      <c r="C4413" s="5" t="str">
        <f>IFERROR(__xludf.DUMMYFUNCTION("GOOGLETRANSLATE(B4413,""en"",""it"")"),"Viene visto un uomo parlare alla telecamera mentre un folto gruppo di persone cammina dietro di lui.")</f>
        <v>Viene visto un uomo parlare alla telecamera mentre un folto gruppo di persone cammina dietro di lui.</v>
      </c>
    </row>
    <row r="4414">
      <c r="A4414" s="4" t="s">
        <v>5552</v>
      </c>
      <c r="B4414" s="4" t="s">
        <v>5554</v>
      </c>
      <c r="C4414" s="5" t="str">
        <f>IFERROR(__xludf.DUMMYFUNCTION("GOOGLETRANSLATE(B4414,""en"",""it"")"),"Vengono quindi mostrati diversi colpi di persone che cavalcano un giro in una zattera mentre alcuni cadono.")</f>
        <v>Vengono quindi mostrati diversi colpi di persone che cavalcano un giro in una zattera mentre alcuni cadono.</v>
      </c>
    </row>
    <row r="4415">
      <c r="A4415" s="4" t="s">
        <v>5552</v>
      </c>
      <c r="B4415" s="4" t="s">
        <v>5555</v>
      </c>
      <c r="C4415" s="5" t="str">
        <f>IFERROR(__xludf.DUMMYFUNCTION("GOOGLETRANSLATE(B4415,""en"",""it"")"),"Vengono mostrate altre clip di persone che cavalcano nell'acqua e cadono e urlano alla telecamera.")</f>
        <v>Vengono mostrate altre clip di persone che cavalcano nell'acqua e cadono e urlano alla telecamera.</v>
      </c>
    </row>
    <row r="4416">
      <c r="A4416" s="4" t="s">
        <v>5556</v>
      </c>
      <c r="B4416" s="4" t="s">
        <v>5557</v>
      </c>
      <c r="C4416" s="5" t="str">
        <f>IFERROR(__xludf.DUMMYFUNCTION("GOOGLETRANSLATE(B4416,""en"",""it"")"),"Una donna viene vista camminare su un grande pavimento in palestra mentre tiene un testimone e colpisce una posa.")</f>
        <v>Una donna viene vista camminare su un grande pavimento in palestra mentre tiene un testimone e colpisce una posa.</v>
      </c>
    </row>
    <row r="4417">
      <c r="A4417" s="4" t="s">
        <v>5556</v>
      </c>
      <c r="B4417" s="6" t="s">
        <v>5558</v>
      </c>
      <c r="C4417" s="5" t="str">
        <f>IFERROR(__xludf.DUMMYFUNCTION("GOOGLETRANSLATE(B4417,""en"",""it"")"),"La donna quindi esegue una routine di danza con il testimone che la getta in aria e gira in giro.")</f>
        <v>La donna quindi esegue una routine di danza con il testimone che la getta in aria e gira in giro.</v>
      </c>
    </row>
    <row r="4418">
      <c r="A4418" s="4" t="s">
        <v>5556</v>
      </c>
      <c r="B4418" s="4" t="s">
        <v>5559</v>
      </c>
      <c r="C4418" s="5" t="str">
        <f>IFERROR(__xludf.DUMMYFUNCTION("GOOGLETRANSLATE(B4418,""en"",""it"")"),"Continua a girare e tiene una posa alla fine e si allontana dai giudici.")</f>
        <v>Continua a girare e tiene una posa alla fine e si allontana dai giudici.</v>
      </c>
    </row>
    <row r="4419">
      <c r="A4419" s="4" t="s">
        <v>5560</v>
      </c>
      <c r="B4419" s="4" t="s">
        <v>5561</v>
      </c>
      <c r="C4419" s="5" t="str">
        <f>IFERROR(__xludf.DUMMYFUNCTION("GOOGLETRANSLATE(B4419,""en"",""it"")"),"Il logo ""Theksiny sulla pelle"" e ""il modo n. 1 per non ottenere un raffreddore o un'influenza"" è mostrato sullo schermo.")</f>
        <v>Il logo "Theksiny sulla pelle" e "il modo n. 1 per non ottenere un raffreddore o un'influenza" è mostrato sullo schermo.</v>
      </c>
    </row>
    <row r="4420">
      <c r="A4420" s="4" t="s">
        <v>5560</v>
      </c>
      <c r="B4420" s="4" t="s">
        <v>5562</v>
      </c>
      <c r="C4420" s="5" t="str">
        <f>IFERROR(__xludf.DUMMYFUNCTION("GOOGLETRANSLATE(B4420,""en"",""it"")"),"La dott.ssa Lisa Kellett parla alla telecamera in una sala d'esame medico accanto a un lavandino.")</f>
        <v>La dott.ssa Lisa Kellett parla alla telecamera in una sala d'esame medico accanto a un lavandino.</v>
      </c>
    </row>
    <row r="4421">
      <c r="A4421" s="4" t="s">
        <v>5560</v>
      </c>
      <c r="B4421" s="4" t="s">
        <v>5563</v>
      </c>
      <c r="C4421" s="5" t="str">
        <f>IFERROR(__xludf.DUMMYFUNCTION("GOOGLETRANSLATE(B4421,""en"",""it"")"),"Il medico dimostra i passi per lavare le mani come fanno i medici.")</f>
        <v>Il medico dimostra i passi per lavare le mani come fanno i medici.</v>
      </c>
    </row>
    <row r="4422">
      <c r="A4422" s="4" t="s">
        <v>5560</v>
      </c>
      <c r="B4422" s="4" t="s">
        <v>5564</v>
      </c>
      <c r="C4422" s="5" t="str">
        <f>IFERROR(__xludf.DUMMYFUNCTION("GOOGLETRANSLATE(B4422,""en"",""it"")"),"Il logo e l'indirizzo del sito Web vengono nuovamente visualizzati sullo schermo.")</f>
        <v>Il logo e l'indirizzo del sito Web vengono nuovamente visualizzati sullo schermo.</v>
      </c>
    </row>
    <row r="4423">
      <c r="A4423" s="4" t="s">
        <v>5565</v>
      </c>
      <c r="B4423" s="4" t="s">
        <v>5566</v>
      </c>
      <c r="C4423" s="5" t="str">
        <f>IFERROR(__xludf.DUMMYFUNCTION("GOOGLETRANSLATE(B4423,""en"",""it"")"),"Pagina Web e l'indirizzo dell'azienda.")</f>
        <v>Pagina Web e l'indirizzo dell'azienda.</v>
      </c>
    </row>
    <row r="4424">
      <c r="A4424" s="4" t="s">
        <v>5565</v>
      </c>
      <c r="B4424" s="4" t="s">
        <v>5567</v>
      </c>
      <c r="C4424" s="5" t="str">
        <f>IFERROR(__xludf.DUMMYFUNCTION("GOOGLETRANSLATE(B4424,""en"",""it"")"),"Segni verdi su un palo.")</f>
        <v>Segni verdi su un palo.</v>
      </c>
    </row>
    <row r="4425">
      <c r="A4425" s="4" t="s">
        <v>5565</v>
      </c>
      <c r="B4425" s="4" t="s">
        <v>5568</v>
      </c>
      <c r="C4425" s="5" t="str">
        <f>IFERROR(__xludf.DUMMYFUNCTION("GOOGLETRANSLATE(B4425,""en"",""it"")"),"La donna parla al telefono all'interno di un negozio di auto.")</f>
        <v>La donna parla al telefono all'interno di un negozio di auto.</v>
      </c>
    </row>
    <row r="4426">
      <c r="A4426" s="4" t="s">
        <v>5565</v>
      </c>
      <c r="B4426" s="4" t="s">
        <v>5569</v>
      </c>
      <c r="C4426" s="5" t="str">
        <f>IFERROR(__xludf.DUMMYFUNCTION("GOOGLETRANSLATE(B4426,""en"",""it"")"),"L'uomo sta lucidando un'auto nera mentre le persone guardano.")</f>
        <v>L'uomo sta lucidando un'auto nera mentre le persone guardano.</v>
      </c>
    </row>
    <row r="4427">
      <c r="A4427" s="4" t="s">
        <v>5565</v>
      </c>
      <c r="B4427" s="4" t="s">
        <v>5570</v>
      </c>
      <c r="C4427" s="5" t="str">
        <f>IFERROR(__xludf.DUMMYFUNCTION("GOOGLETRANSLATE(B4427,""en"",""it"")"),"Due uomini stanno pulendo l'auto all'esterno e all'interno.")</f>
        <v>Due uomini stanno pulendo l'auto all'esterno e all'interno.</v>
      </c>
    </row>
    <row r="4428">
      <c r="A4428" s="4" t="s">
        <v>5565</v>
      </c>
      <c r="B4428" s="4" t="s">
        <v>5571</v>
      </c>
      <c r="C4428" s="5" t="str">
        <f>IFERROR(__xludf.DUMMYFUNCTION("GOOGLETRANSLATE(B4428,""en"",""it"")"),"Tre auto sono parcheggiate di fronte al negozio.")</f>
        <v>Tre auto sono parcheggiate di fronte al negozio.</v>
      </c>
    </row>
    <row r="4429">
      <c r="A4429" s="4" t="s">
        <v>5572</v>
      </c>
      <c r="B4429" s="6" t="s">
        <v>5573</v>
      </c>
      <c r="C4429" s="5" t="str">
        <f>IFERROR(__xludf.DUMMYFUNCTION("GOOGLETRANSLATE(B4429,""en"",""it"")"),"Viene vista una persona che cavalca su un cavallo con in mano un pezzo di corda tra le mani che si muove indietro e quarto.")</f>
        <v>Viene vista una persona che cavalca su un cavallo con in mano un pezzo di corda tra le mani che si muove indietro e quarto.</v>
      </c>
    </row>
    <row r="4430">
      <c r="A4430" s="4" t="s">
        <v>5572</v>
      </c>
      <c r="B4430" s="6" t="s">
        <v>5574</v>
      </c>
      <c r="C4430" s="5" t="str">
        <f>IFERROR(__xludf.DUMMYFUNCTION("GOOGLETRANSLATE(B4430,""en"",""it"")"),"L'uomo sostiene un po 'il cavallo e poi si decolla a inseguire un vitello e facendolo corrido e legandolo.")</f>
        <v>L'uomo sostiene un po 'il cavallo e poi si decolla a inseguire un vitello e facendolo corrido e legandolo.</v>
      </c>
    </row>
    <row r="4431">
      <c r="A4431" s="4" t="s">
        <v>5572</v>
      </c>
      <c r="B4431" s="4" t="s">
        <v>5575</v>
      </c>
      <c r="C4431" s="5" t="str">
        <f>IFERROR(__xludf.DUMMYFUNCTION("GOOGLETRANSLATE(B4431,""en"",""it"")"),"Solleva le mani in aria mentre il polpaccio si muove e poi si arrampica indietro sul cavallo.")</f>
        <v>Solleva le mani in aria mentre il polpaccio si muove e poi si arrampica indietro sul cavallo.</v>
      </c>
    </row>
    <row r="4432">
      <c r="A4432" s="4" t="s">
        <v>5576</v>
      </c>
      <c r="B4432" s="4" t="s">
        <v>5577</v>
      </c>
      <c r="C4432" s="5" t="str">
        <f>IFERROR(__xludf.DUMMYFUNCTION("GOOGLETRANSLATE(B4432,""en"",""it"")"),"Quest'uomo sta cercando di sparare alla palla bianca sul tavolo da biliardo all'indietro.")</f>
        <v>Quest'uomo sta cercando di sparare alla palla bianca sul tavolo da biliardo all'indietro.</v>
      </c>
    </row>
    <row r="4433">
      <c r="A4433" s="4" t="s">
        <v>5576</v>
      </c>
      <c r="B4433" s="6" t="s">
        <v>5578</v>
      </c>
      <c r="C4433" s="5" t="str">
        <f>IFERROR(__xludf.DUMMYFUNCTION("GOOGLETRANSLATE(B4433,""en"",""it"")"),"Continua a cercare di spararlo all'indietro, ma non può proprio che ha deciso di farlo regolarmente e sparare in avanti.")</f>
        <v>Continua a cercare di spararlo all'indietro, ma non può proprio che ha deciso di farlo regolarmente e sparare in avanti.</v>
      </c>
    </row>
    <row r="4434">
      <c r="A4434" s="4" t="s">
        <v>5576</v>
      </c>
      <c r="B4434" s="4" t="s">
        <v>5579</v>
      </c>
      <c r="C4434" s="5" t="str">
        <f>IFERROR(__xludf.DUMMYFUNCTION("GOOGLETRANSLATE(B4434,""en"",""it"")"),"Quando lo fa, mette giù il bastone e se ne va.")</f>
        <v>Quando lo fa, mette giù il bastone e se ne va.</v>
      </c>
    </row>
    <row r="4435">
      <c r="A4435" s="4" t="s">
        <v>5580</v>
      </c>
      <c r="B4435" s="4" t="s">
        <v>5581</v>
      </c>
      <c r="C4435" s="5" t="str">
        <f>IFERROR(__xludf.DUMMYFUNCTION("GOOGLETRANSLATE(B4435,""en"",""it"")"),"Un uomo è in piedi in un campo con in mano un'ascia.")</f>
        <v>Un uomo è in piedi in un campo con in mano un'ascia.</v>
      </c>
    </row>
    <row r="4436">
      <c r="A4436" s="4" t="s">
        <v>5580</v>
      </c>
      <c r="B4436" s="4" t="s">
        <v>5582</v>
      </c>
      <c r="C4436" s="5" t="str">
        <f>IFERROR(__xludf.DUMMYFUNCTION("GOOGLETRANSLATE(B4436,""en"",""it"")"),"L'uomo solleva l'ascia sopra la sua testa.")</f>
        <v>L'uomo solleva l'ascia sopra la sua testa.</v>
      </c>
    </row>
    <row r="4437">
      <c r="A4437" s="4" t="s">
        <v>5580</v>
      </c>
      <c r="B4437" s="4" t="s">
        <v>5583</v>
      </c>
      <c r="C4437" s="5" t="str">
        <f>IFERROR(__xludf.DUMMYFUNCTION("GOOGLETRANSLATE(B4437,""en"",""it"")"),"L'uomo divide un tronco di legno su un moncone.")</f>
        <v>L'uomo divide un tronco di legno su un moncone.</v>
      </c>
    </row>
    <row r="4438">
      <c r="A4438" s="4" t="s">
        <v>5580</v>
      </c>
      <c r="B4438" s="4" t="s">
        <v>5584</v>
      </c>
      <c r="C4438" s="5" t="str">
        <f>IFERROR(__xludf.DUMMYFUNCTION("GOOGLETRANSLATE(B4438,""en"",""it"")"),"L'uomo è quindi in piedi.")</f>
        <v>L'uomo è quindi in piedi.</v>
      </c>
    </row>
    <row r="4439">
      <c r="A4439" s="4" t="s">
        <v>5585</v>
      </c>
      <c r="B4439" s="4" t="s">
        <v>5586</v>
      </c>
      <c r="C4439" s="5" t="str">
        <f>IFERROR(__xludf.DUMMYFUNCTION("GOOGLETRANSLATE(B4439,""en"",""it"")"),"Si vede un'auto che guida lungo la strada che conduce in persone stringendo le strade e prendendo bevande.")</f>
        <v>Si vede un'auto che guida lungo la strada che conduce in persone stringendo le strade e prendendo bevande.</v>
      </c>
    </row>
    <row r="4440">
      <c r="A4440" s="4" t="s">
        <v>5585</v>
      </c>
      <c r="B4440" s="4" t="s">
        <v>5587</v>
      </c>
      <c r="C4440" s="5" t="str">
        <f>IFERROR(__xludf.DUMMYFUNCTION("GOOGLETRANSLATE(B4440,""en"",""it"")"),"Vengono mostrate diverse clip di persone che attraversano la corda e rimbalzano su di essa.")</f>
        <v>Vengono mostrate diverse clip di persone che attraversano la corda e rimbalzano su di essa.</v>
      </c>
    </row>
    <row r="4441">
      <c r="A4441" s="4" t="s">
        <v>5585</v>
      </c>
      <c r="B4441" s="4" t="s">
        <v>5588</v>
      </c>
      <c r="C4441" s="5" t="str">
        <f>IFERROR(__xludf.DUMMYFUNCTION("GOOGLETRANSLATE(B4441,""en"",""it"")"),"Vengono mostrati altri primi piani su facce delle persone e che rimbalzano sulla corda.")</f>
        <v>Vengono mostrati altri primi piani su facce delle persone e che rimbalzano sulla corda.</v>
      </c>
    </row>
    <row r="4442">
      <c r="A4442" s="4" t="s">
        <v>5589</v>
      </c>
      <c r="B4442" s="4" t="s">
        <v>5590</v>
      </c>
      <c r="C4442" s="5" t="str">
        <f>IFERROR(__xludf.DUMMYFUNCTION("GOOGLETRANSLATE(B4442,""en"",""it"")"),"Un uomo viene visto piegarsi mentre si toglie una scarpa per pulire i piedi, quindi rimette la scarpa.")</f>
        <v>Un uomo viene visto piegarsi mentre si toglie una scarpa per pulire i piedi, quindi rimette la scarpa.</v>
      </c>
    </row>
    <row r="4443">
      <c r="A4443" s="4" t="s">
        <v>5589</v>
      </c>
      <c r="B4443" s="6" t="s">
        <v>5591</v>
      </c>
      <c r="C4443" s="5" t="str">
        <f>IFERROR(__xludf.DUMMYFUNCTION("GOOGLETRANSLATE(B4443,""en"",""it"")"),"Lo fa all'altro piede e poi cammina lungo le rocce mentre un uomo registra lui e altri camminano.")</f>
        <v>Lo fa all'altro piede e poi cammina lungo le rocce mentre un uomo registra lui e altri camminano.</v>
      </c>
    </row>
    <row r="4444">
      <c r="A4444" s="4" t="s">
        <v>5592</v>
      </c>
      <c r="B4444" s="4" t="s">
        <v>5593</v>
      </c>
      <c r="C4444" s="5" t="str">
        <f>IFERROR(__xludf.DUMMYFUNCTION("GOOGLETRANSLATE(B4444,""en"",""it"")"),"Una ragazza bionda è in una casa residenziale, sorridendo e parla mentre tiene un violino di fronte a lei.")</f>
        <v>Una ragazza bionda è in una casa residenziale, sorridendo e parla mentre tiene un violino di fronte a lei.</v>
      </c>
    </row>
    <row r="4445">
      <c r="A4445" s="4" t="s">
        <v>5592</v>
      </c>
      <c r="B4445" s="6" t="s">
        <v>5594</v>
      </c>
      <c r="C4445" s="5" t="str">
        <f>IFERROR(__xludf.DUMMYFUNCTION("GOOGLETRANSLATE(B4445,""en"",""it"")"),"La ragazza smette brevemente di parlare, e poi fa il backup e le porta il violino sul mento mentre parla e poi inizia a suonare tirando il violino attraverso le corde.")</f>
        <v>La ragazza smette brevemente di parlare, e poi fa il backup e le porta il violino sul mento mentre parla e poi inizia a suonare tirando il violino attraverso le corde.</v>
      </c>
    </row>
    <row r="4446">
      <c r="A4446" s="4" t="s">
        <v>5592</v>
      </c>
      <c r="B4446" s="6" t="s">
        <v>5595</v>
      </c>
      <c r="C4446" s="5" t="str">
        <f>IFERROR(__xludf.DUMMYFUNCTION("GOOGLETRANSLATE(B4446,""en"",""it"")"),"La ragazza smette di tirare il violino attraverso le corde e si avvicina alla telecamera per parlare, quindi riprende a spostare il violino attraverso le corde.")</f>
        <v>La ragazza smette di tirare il violino attraverso le corde e si avvicina alla telecamera per parlare, quindi riprende a spostare il violino attraverso le corde.</v>
      </c>
    </row>
    <row r="4447">
      <c r="A4447" s="4" t="s">
        <v>5592</v>
      </c>
      <c r="B4447" s="6" t="s">
        <v>5596</v>
      </c>
      <c r="C4447" s="5" t="str">
        <f>IFERROR(__xludf.DUMMYFUNCTION("GOOGLETRANSLATE(B4447,""en"",""it"")"),"La ragazza quindi fa il backup, e si gira per mostrare il suo lato sinistro mentre muove il violino attraverso le corde di violino, quindi si sposta di nuovo in avanti e si avvicina alla telecamera e suona un po 'di più.")</f>
        <v>La ragazza quindi fa il backup, e si gira per mostrare il suo lato sinistro mentre muove il violino attraverso le corde di violino, quindi si sposta di nuovo in avanti e si avvicina alla telecamera e suona un po 'di più.</v>
      </c>
    </row>
    <row r="4448">
      <c r="A4448" s="4" t="s">
        <v>5592</v>
      </c>
      <c r="B4448" s="4" t="s">
        <v>5597</v>
      </c>
      <c r="C4448" s="5" t="str">
        <f>IFERROR(__xludf.DUMMYFUNCTION("GOOGLETRANSLATE(B4448,""en"",""it"")"),"La ragazza smette di giocare e ti allontana il violino dal mento.")</f>
        <v>La ragazza smette di giocare e ti allontana il violino dal mento.</v>
      </c>
    </row>
    <row r="4449">
      <c r="A4449" s="4" t="s">
        <v>5598</v>
      </c>
      <c r="B4449" s="4" t="s">
        <v>5599</v>
      </c>
      <c r="C4449" s="5" t="str">
        <f>IFERROR(__xludf.DUMMYFUNCTION("GOOGLETRANSLATE(B4449,""en"",""it"")"),"Un uomo che indossa marcia subacqueo cammina lungo il bordo di una piscina.")</f>
        <v>Un uomo che indossa marcia subacqueo cammina lungo il bordo di una piscina.</v>
      </c>
    </row>
    <row r="4450">
      <c r="A4450" s="4" t="s">
        <v>5598</v>
      </c>
      <c r="B4450" s="4" t="s">
        <v>5600</v>
      </c>
      <c r="C4450" s="5" t="str">
        <f>IFERROR(__xludf.DUMMYFUNCTION("GOOGLETRANSLATE(B4450,""en"",""it"")"),"L'uomo inizia a parlare con la fotocamera e mostra la fotocamera vari oggetti.")</f>
        <v>L'uomo inizia a parlare con la fotocamera e mostra la fotocamera vari oggetti.</v>
      </c>
    </row>
    <row r="4451">
      <c r="A4451" s="4" t="s">
        <v>5598</v>
      </c>
      <c r="B4451" s="4" t="s">
        <v>5601</v>
      </c>
      <c r="C4451" s="5" t="str">
        <f>IFERROR(__xludf.DUMMYFUNCTION("GOOGLETRANSLATE(B4451,""en"",""it"")"),"La fotocamera mostra la piscina.")</f>
        <v>La fotocamera mostra la piscina.</v>
      </c>
    </row>
    <row r="4452">
      <c r="A4452" s="4" t="s">
        <v>5598</v>
      </c>
      <c r="B4452" s="4" t="s">
        <v>5602</v>
      </c>
      <c r="C4452" s="5" t="str">
        <f>IFERROR(__xludf.DUMMYFUNCTION("GOOGLETRANSLATE(B4452,""en"",""it"")"),"Viene mostrato uno strumento e un compressore d'aria.")</f>
        <v>Viene mostrato uno strumento e un compressore d'aria.</v>
      </c>
    </row>
    <row r="4453">
      <c r="A4453" s="4" t="s">
        <v>5598</v>
      </c>
      <c r="B4453" s="6" t="s">
        <v>5603</v>
      </c>
      <c r="C4453" s="5" t="str">
        <f>IFERROR(__xludf.DUMMYFUNCTION("GOOGLETRANSLATE(B4453,""en"",""it"")"),"L'uomo entra nella piscina e procede a posizionare una copertura sullo scarico mentre era sott'acqua nell'ingranaggio subacqueo.")</f>
        <v>L'uomo entra nella piscina e procede a posizionare una copertura sullo scarico mentre era sott'acqua nell'ingranaggio subacqueo.</v>
      </c>
    </row>
    <row r="4454">
      <c r="A4454" s="4" t="s">
        <v>5598</v>
      </c>
      <c r="B4454" s="4" t="s">
        <v>5604</v>
      </c>
      <c r="C4454" s="5" t="str">
        <f>IFERROR(__xludf.DUMMYFUNCTION("GOOGLETRANSLATE(B4454,""en"",""it"")"),"L'uomo dà un pollice in su.")</f>
        <v>L'uomo dà un pollice in su.</v>
      </c>
    </row>
    <row r="4455">
      <c r="A4455" s="4" t="s">
        <v>5598</v>
      </c>
      <c r="B4455" s="4" t="s">
        <v>5605</v>
      </c>
      <c r="C4455" s="5" t="str">
        <f>IFERROR(__xludf.DUMMYFUNCTION("GOOGLETRANSLATE(B4455,""en"",""it"")"),"L'uomo mostra le bolle che lo strumento fa sott'acqua mentre si abbassa la testa.")</f>
        <v>L'uomo mostra le bolle che lo strumento fa sott'acqua mentre si abbassa la testa.</v>
      </c>
    </row>
    <row r="4456">
      <c r="A4456" s="4" t="s">
        <v>5606</v>
      </c>
      <c r="B4456" s="4" t="s">
        <v>5607</v>
      </c>
      <c r="C4456" s="5" t="str">
        <f>IFERROR(__xludf.DUMMYFUNCTION("GOOGLETRANSLATE(B4456,""en"",""it"")"),"Sono sul bancone due fessure di pane, un piatto e due fette di formaggio.")</f>
        <v>Sono sul bancone due fessure di pane, un piatto e due fette di formaggio.</v>
      </c>
    </row>
    <row r="4457">
      <c r="A4457" s="4" t="s">
        <v>5606</v>
      </c>
      <c r="B4457" s="6" t="s">
        <v>5608</v>
      </c>
      <c r="C4457" s="5" t="str">
        <f>IFERROR(__xludf.DUMMYFUNCTION("GOOGLETRANSLATE(B4457,""en"",""it"")"),"La persona quindi prende una fetta, ci diffonde il burro e ci mette due fette di formaggio e aggiunge l'altra fetta sopra di essa.")</f>
        <v>La persona quindi prende una fetta, ci diffonde il burro e ci mette due fette di formaggio e aggiunge l'altra fetta sopra di essa.</v>
      </c>
    </row>
    <row r="4458">
      <c r="A4458" s="4" t="s">
        <v>5606</v>
      </c>
      <c r="B4458" s="4" t="s">
        <v>5609</v>
      </c>
      <c r="C4458" s="5" t="str">
        <f>IFERROR(__xludf.DUMMYFUNCTION("GOOGLETRANSLATE(B4458,""en"",""it"")"),"Il sandwich ora ha burro su entrambi i lati e il sandwich è posto in una padella ed è fritto.")</f>
        <v>Il sandwich ora ha burro su entrambi i lati e il sandwich è posto in una padella ed è fritto.</v>
      </c>
    </row>
    <row r="4459">
      <c r="A4459" s="4" t="s">
        <v>5606</v>
      </c>
      <c r="B4459" s="4" t="s">
        <v>5610</v>
      </c>
      <c r="C4459" s="5" t="str">
        <f>IFERROR(__xludf.DUMMYFUNCTION("GOOGLETRANSLATE(B4459,""en"",""it"")"),"Una volta completato, viene posizionato su una piastra rossa e tagliato a metà con un coltello spesso.")</f>
        <v>Una volta completato, viene posizionato su una piastra rossa e tagliato a metà con un coltello spesso.</v>
      </c>
    </row>
    <row r="4460">
      <c r="A4460" s="4" t="s">
        <v>5611</v>
      </c>
      <c r="B4460" s="4" t="s">
        <v>5612</v>
      </c>
      <c r="C4460" s="5" t="str">
        <f>IFERROR(__xludf.DUMMYFUNCTION("GOOGLETRANSLATE(B4460,""en"",""it"")"),"Viene mostrato un uomo con in mano un grande cestino e diverse persone intorno a lui che raccolgono foglie.")</f>
        <v>Viene mostrato un uomo con in mano un grande cestino e diverse persone intorno a lui che raccolgono foglie.</v>
      </c>
    </row>
    <row r="4461">
      <c r="A4461" s="4" t="s">
        <v>5611</v>
      </c>
      <c r="B4461" s="6" t="s">
        <v>5613</v>
      </c>
      <c r="C4461" s="5" t="str">
        <f>IFERROR(__xludf.DUMMYFUNCTION("GOOGLETRANSLATE(B4461,""en"",""it"")"),"Più persone vengono mostrate che camminano per raschiare le foglie mentre una donna parla alla folla e le ispira a lavorare di più.")</f>
        <v>Più persone vengono mostrate che camminano per raschiare le foglie mentre una donna parla alla folla e le ispira a lavorare di più.</v>
      </c>
    </row>
    <row r="4462">
      <c r="A4462" s="4" t="s">
        <v>5611</v>
      </c>
      <c r="B4462" s="4" t="s">
        <v>5614</v>
      </c>
      <c r="C4462" s="5" t="str">
        <f>IFERROR(__xludf.DUMMYFUNCTION("GOOGLETRANSLATE(B4462,""en"",""it"")"),"Le persone continuano a lavorare e il sole splende su un albero.")</f>
        <v>Le persone continuano a lavorare e il sole splende su un albero.</v>
      </c>
    </row>
    <row r="4463">
      <c r="A4463" s="4" t="s">
        <v>5615</v>
      </c>
      <c r="B4463" s="4" t="s">
        <v>5616</v>
      </c>
      <c r="C4463" s="5" t="str">
        <f>IFERROR(__xludf.DUMMYFUNCTION("GOOGLETRANSLATE(B4463,""en"",""it"")"),"Due persone sono viste in piedi fuori su un tappetino.")</f>
        <v>Due persone sono viste in piedi fuori su un tappetino.</v>
      </c>
    </row>
    <row r="4464">
      <c r="A4464" s="4" t="s">
        <v>5615</v>
      </c>
      <c r="B4464" s="4" t="s">
        <v>5617</v>
      </c>
      <c r="C4464" s="5" t="str">
        <f>IFERROR(__xludf.DUMMYFUNCTION("GOOGLETRANSLATE(B4464,""en"",""it"")"),"Una persona quindi afferra l'altra persona per le gambe.")</f>
        <v>Una persona quindi afferra l'altra persona per le gambe.</v>
      </c>
    </row>
    <row r="4465">
      <c r="A4465" s="4" t="s">
        <v>5615</v>
      </c>
      <c r="B4465" s="4" t="s">
        <v>5618</v>
      </c>
      <c r="C4465" s="5" t="str">
        <f>IFERROR(__xludf.DUMMYFUNCTION("GOOGLETRANSLATE(B4465,""en"",""it"")"),"Gli uomini si capovolgono a terra.")</f>
        <v>Gli uomini si capovolgono a terra.</v>
      </c>
    </row>
    <row r="4466">
      <c r="A4466" s="4" t="s">
        <v>5619</v>
      </c>
      <c r="B4466" s="4" t="s">
        <v>5620</v>
      </c>
      <c r="C4466" s="5" t="str">
        <f>IFERROR(__xludf.DUMMYFUNCTION("GOOGLETRANSLATE(B4466,""en"",""it"")"),"Le persone giocano a un gioco di lacrosse su un campo.")</f>
        <v>Le persone giocano a un gioco di lacrosse su un campo.</v>
      </c>
    </row>
    <row r="4467">
      <c r="A4467" s="4" t="s">
        <v>5619</v>
      </c>
      <c r="B4467" s="4" t="s">
        <v>5621</v>
      </c>
      <c r="C4467" s="5" t="str">
        <f>IFERROR(__xludf.DUMMYFUNCTION("GOOGLETRANSLATE(B4467,""en"",""it"")"),"Una donna sta parlando con la telecamera in palestra.")</f>
        <v>Una donna sta parlando con la telecamera in palestra.</v>
      </c>
    </row>
    <row r="4468">
      <c r="A4468" s="4" t="s">
        <v>5619</v>
      </c>
      <c r="B4468" s="4" t="s">
        <v>5622</v>
      </c>
      <c r="C4468" s="5" t="str">
        <f>IFERROR(__xludf.DUMMYFUNCTION("GOOGLETRANSLATE(B4468,""en"",""it"")"),"Un treno sta guidando sui binari.")</f>
        <v>Un treno sta guidando sui binari.</v>
      </c>
    </row>
    <row r="4469">
      <c r="A4469" s="4" t="s">
        <v>5619</v>
      </c>
      <c r="B4469" s="4" t="s">
        <v>5623</v>
      </c>
      <c r="C4469" s="5" t="str">
        <f>IFERROR(__xludf.DUMMYFUNCTION("GOOGLETRANSLATE(B4469,""en"",""it"")"),"Continuano a giocare a lacrosse su un campo.")</f>
        <v>Continuano a giocare a lacrosse su un campo.</v>
      </c>
    </row>
    <row r="4470">
      <c r="A4470" s="4" t="s">
        <v>5624</v>
      </c>
      <c r="B4470" s="4" t="s">
        <v>5625</v>
      </c>
      <c r="C4470" s="5" t="str">
        <f>IFERROR(__xludf.DUMMYFUNCTION("GOOGLETRANSLATE(B4470,""en"",""it"")"),"La persona nuota sotto il mare.")</f>
        <v>La persona nuota sotto il mare.</v>
      </c>
    </row>
    <row r="4471">
      <c r="A4471" s="4" t="s">
        <v>5624</v>
      </c>
      <c r="B4471" s="4" t="s">
        <v>5626</v>
      </c>
      <c r="C4471" s="5" t="str">
        <f>IFERROR(__xludf.DUMMYFUNCTION("GOOGLETRANSLATE(B4471,""en"",""it"")"),"La donna nuota in avanti, ha guardato la telecamera.")</f>
        <v>La donna nuota in avanti, ha guardato la telecamera.</v>
      </c>
    </row>
    <row r="4472">
      <c r="A4472" s="4" t="s">
        <v>5624</v>
      </c>
      <c r="B4472" s="4" t="s">
        <v>5627</v>
      </c>
      <c r="C4472" s="5" t="str">
        <f>IFERROR(__xludf.DUMMYFUNCTION("GOOGLETRANSLATE(B4472,""en"",""it"")"),"La donna scuote la testa mentre dietro di lei un altro sub è nuotare.")</f>
        <v>La donna scuote la testa mentre dietro di lei un altro sub è nuotare.</v>
      </c>
    </row>
    <row r="4473">
      <c r="A4473" s="4" t="s">
        <v>5628</v>
      </c>
      <c r="B4473" s="4" t="s">
        <v>5629</v>
      </c>
      <c r="C4473" s="5" t="str">
        <f>IFERROR(__xludf.DUMMYFUNCTION("GOOGLETRANSLATE(B4473,""en"",""it"")"),"Un paio di mani sono mostrate su un tavolo nero.")</f>
        <v>Un paio di mani sono mostrate su un tavolo nero.</v>
      </c>
    </row>
    <row r="4474">
      <c r="A4474" s="4" t="s">
        <v>5628</v>
      </c>
      <c r="B4474" s="4" t="s">
        <v>5630</v>
      </c>
      <c r="C4474" s="5" t="str">
        <f>IFERROR(__xludf.DUMMYFUNCTION("GOOGLETRANSLATE(B4474,""en"",""it"")"),"Una donna sta trattando le carte e le patatine.")</f>
        <v>Una donna sta trattando le carte e le patatine.</v>
      </c>
    </row>
    <row r="4475">
      <c r="A4475" s="4" t="s">
        <v>5628</v>
      </c>
      <c r="B4475" s="4" t="s">
        <v>5631</v>
      </c>
      <c r="C4475" s="5" t="str">
        <f>IFERROR(__xludf.DUMMYFUNCTION("GOOGLETRANSLATE(B4475,""en"",""it"")"),"I chip sono mostrati in uno stack alla fine.")</f>
        <v>I chip sono mostrati in uno stack alla fine.</v>
      </c>
    </row>
    <row r="4476">
      <c r="A4476" s="4" t="s">
        <v>5632</v>
      </c>
      <c r="B4476" s="6" t="s">
        <v>5633</v>
      </c>
      <c r="C4476" s="5" t="str">
        <f>IFERROR(__xludf.DUMMYFUNCTION("GOOGLETRANSLATE(B4476,""en"",""it"")"),"Diverse squadre di persone sono viste giocare a un gioco di guerra l'uno con l'altro con le persone che guardano sui lati.")</f>
        <v>Diverse squadre di persone sono viste giocare a un gioco di guerra l'uno con l'altro con le persone che guardano sui lati.</v>
      </c>
    </row>
    <row r="4477">
      <c r="A4477" s="4" t="s">
        <v>5632</v>
      </c>
      <c r="B4477" s="4" t="s">
        <v>5634</v>
      </c>
      <c r="C4477" s="5" t="str">
        <f>IFERROR(__xludf.DUMMYFUNCTION("GOOGLETRANSLATE(B4477,""en"",""it"")"),"Le persone continuano a gareggiare tra loro e termina con una squadra che vince.")</f>
        <v>Le persone continuano a gareggiare tra loro e termina con una squadra che vince.</v>
      </c>
    </row>
    <row r="4478">
      <c r="A4478" s="4" t="s">
        <v>5635</v>
      </c>
      <c r="B4478" s="6" t="s">
        <v>5636</v>
      </c>
      <c r="C4478" s="5" t="str">
        <f>IFERROR(__xludf.DUMMYFUNCTION("GOOGLETRANSLATE(B4478,""en"",""it"")"),"Un vecchio con camicia nera e occhiali per gli occhi è seduto su un tavolo verde, di fronte a lui sono un libro, patatine con colori diversi e pila di carte.")</f>
        <v>Un vecchio con camicia nera e occhiali per gli occhi è seduto su un tavolo verde, di fronte a lui sono un libro, patatine con colori diversi e pila di carte.</v>
      </c>
    </row>
    <row r="4479">
      <c r="A4479" s="4" t="s">
        <v>5635</v>
      </c>
      <c r="B4479" s="6" t="s">
        <v>5637</v>
      </c>
      <c r="C4479" s="5" t="str">
        <f>IFERROR(__xludf.DUMMYFUNCTION("GOOGLETRANSLATE(B4479,""en"",""it"")"),"Ha messo le carte sul tavolo, in cima alle stelle gialle sul tavolo, organizza le carte in modo orizzontale.")</f>
        <v>Ha messo le carte sul tavolo, in cima alle stelle gialle sul tavolo, organizza le carte in modo orizzontale.</v>
      </c>
    </row>
    <row r="4480">
      <c r="A4480" s="4" t="s">
        <v>5638</v>
      </c>
      <c r="B4480" s="4" t="s">
        <v>5639</v>
      </c>
      <c r="C4480" s="5" t="str">
        <f>IFERROR(__xludf.DUMMYFUNCTION("GOOGLETRANSLATE(B4480,""en"",""it"")"),"La donna viene mostrata svuotando due cibi diversi sul piatto per fare un'insalata di frutta.")</f>
        <v>La donna viene mostrata svuotando due cibi diversi sul piatto per fare un'insalata di frutta.</v>
      </c>
    </row>
    <row r="4481">
      <c r="A4481" s="4" t="s">
        <v>5638</v>
      </c>
      <c r="B4481" s="4" t="s">
        <v>5640</v>
      </c>
      <c r="C4481" s="5" t="str">
        <f>IFERROR(__xludf.DUMMYFUNCTION("GOOGLETRANSLATE(B4481,""en"",""it"")"),"Tocca le fragole e le mele.")</f>
        <v>Tocca le fragole e le mele.</v>
      </c>
    </row>
    <row r="4482">
      <c r="A4482" s="4" t="s">
        <v>5638</v>
      </c>
      <c r="B4482" s="4" t="s">
        <v>5641</v>
      </c>
      <c r="C4482" s="5" t="str">
        <f>IFERROR(__xludf.DUMMYFUNCTION("GOOGLETRANSLATE(B4482,""en"",""it"")"),"Quindi spruzza piccole bacche sull'altro frutto.")</f>
        <v>Quindi spruzza piccole bacche sull'altro frutto.</v>
      </c>
    </row>
    <row r="4483">
      <c r="A4483" s="4" t="s">
        <v>5642</v>
      </c>
      <c r="B4483" s="4" t="s">
        <v>5643</v>
      </c>
      <c r="C4483" s="5" t="str">
        <f>IFERROR(__xludf.DUMMYFUNCTION("GOOGLETRANSLATE(B4483,""en"",""it"")"),"C'è un uomo in ginocchio su un tappetino da yoga rosso.")</f>
        <v>C'è un uomo in ginocchio su un tappetino da yoga rosso.</v>
      </c>
    </row>
    <row r="4484">
      <c r="A4484" s="4" t="s">
        <v>5642</v>
      </c>
      <c r="B4484" s="6" t="s">
        <v>5644</v>
      </c>
      <c r="C4484" s="5" t="str">
        <f>IFERROR(__xludf.DUMMYFUNCTION("GOOGLETRANSLATE(B4484,""en"",""it"")"),"L'allenatore in piedi accanto a lui si assicura che stia andando su e giù mentre si inginocchia e tiene le spalle a sentire il movimento muscolare.")</f>
        <v>L'allenatore in piedi accanto a lui si assicura che stia andando su e giù mentre si inginocchia e tiene le spalle a sentire il movimento muscolare.</v>
      </c>
    </row>
    <row r="4485">
      <c r="A4485" s="4" t="s">
        <v>5645</v>
      </c>
      <c r="B4485" s="4" t="s">
        <v>5646</v>
      </c>
      <c r="C4485" s="5" t="str">
        <f>IFERROR(__xludf.DUMMYFUNCTION("GOOGLETRANSLATE(B4485,""en"",""it"")"),"Un ragazzo sta fuori, gesti e parla.")</f>
        <v>Un ragazzo sta fuori, gesti e parla.</v>
      </c>
    </row>
    <row r="4486">
      <c r="A4486" s="4" t="s">
        <v>5645</v>
      </c>
      <c r="B4486" s="4" t="s">
        <v>5647</v>
      </c>
      <c r="C4486" s="5" t="str">
        <f>IFERROR(__xludf.DUMMYFUNCTION("GOOGLETRANSLATE(B4486,""en"",""it"")"),"Un uomo sale dall'acqua, inizia l'imbarco e si lancia.")</f>
        <v>Un uomo sale dall'acqua, inizia l'imbarco e si lancia.</v>
      </c>
    </row>
    <row r="4487">
      <c r="A4487" s="4" t="s">
        <v>5645</v>
      </c>
      <c r="B4487" s="4" t="s">
        <v>5648</v>
      </c>
      <c r="C4487" s="5" t="str">
        <f>IFERROR(__xludf.DUMMYFUNCTION("GOOGLETRANSLATE(B4487,""en"",""it"")"),"Un veicolo d'acqua sta tirando un uomo con una corda.")</f>
        <v>Un veicolo d'acqua sta tirando un uomo con una corda.</v>
      </c>
    </row>
    <row r="4488">
      <c r="A4488" s="4" t="s">
        <v>5645</v>
      </c>
      <c r="B4488" s="4" t="s">
        <v>5649</v>
      </c>
      <c r="C4488" s="5" t="str">
        <f>IFERROR(__xludf.DUMMYFUNCTION("GOOGLETRANSLATE(B4488,""en"",""it"")"),"Il ragazzo inizia a partire dopo aver fatto l'ultimo punto.")</f>
        <v>Il ragazzo inizia a partire dopo aver fatto l'ultimo punto.</v>
      </c>
    </row>
    <row r="4489">
      <c r="A4489" s="4" t="s">
        <v>5650</v>
      </c>
      <c r="B4489" s="4" t="s">
        <v>5651</v>
      </c>
      <c r="C4489" s="5" t="str">
        <f>IFERROR(__xludf.DUMMYFUNCTION("GOOGLETRANSLATE(B4489,""en"",""it"")"),"Viene visto un uomo suonare uno strumento mentre un altro guarda in background.")</f>
        <v>Viene visto un uomo suonare uno strumento mentre un altro guarda in background.</v>
      </c>
    </row>
    <row r="4490">
      <c r="A4490" s="4" t="s">
        <v>5650</v>
      </c>
      <c r="B4490" s="6" t="s">
        <v>5652</v>
      </c>
      <c r="C4490" s="5" t="str">
        <f>IFERROR(__xludf.DUMMYFUNCTION("GOOGLETRANSLATE(B4490,""en"",""it"")"),"Fa una pausa per parlare con un folto gruppo di ragazzi e continua a suonare lo strumento, soffiando il vento nel loro fumo.")</f>
        <v>Fa una pausa per parlare con un folto gruppo di ragazzi e continua a suonare lo strumento, soffiando il vento nel loro fumo.</v>
      </c>
    </row>
    <row r="4491">
      <c r="A4491" s="4" t="s">
        <v>5650</v>
      </c>
      <c r="B4491" s="4" t="s">
        <v>5653</v>
      </c>
      <c r="C4491" s="5" t="str">
        <f>IFERROR(__xludf.DUMMYFUNCTION("GOOGLETRANSLATE(B4491,""en"",""it"")"),"I ragazzi guardano con stupore e si chinano da vicino un altro ragazzo.")</f>
        <v>I ragazzi guardano con stupore e si chinano da vicino un altro ragazzo.</v>
      </c>
    </row>
    <row r="4492">
      <c r="A4492" s="4" t="s">
        <v>5654</v>
      </c>
      <c r="B4492" s="4" t="s">
        <v>5655</v>
      </c>
      <c r="C4492" s="5" t="str">
        <f>IFERROR(__xludf.DUMMYFUNCTION("GOOGLETRANSLATE(B4492,""en"",""it"")"),"Le persone stanno giocando a un gioco di guerra.")</f>
        <v>Le persone stanno giocando a un gioco di guerra.</v>
      </c>
    </row>
    <row r="4493">
      <c r="A4493" s="4" t="s">
        <v>5654</v>
      </c>
      <c r="B4493" s="4" t="s">
        <v>5656</v>
      </c>
      <c r="C4493" s="5" t="str">
        <f>IFERROR(__xludf.DUMMYFUNCTION("GOOGLETRANSLATE(B4493,""en"",""it"")"),"I bambini salutano i loro compagni di squadra.")</f>
        <v>I bambini salutano i loro compagni di squadra.</v>
      </c>
    </row>
    <row r="4494">
      <c r="A4494" s="4" t="s">
        <v>5654</v>
      </c>
      <c r="B4494" s="4" t="s">
        <v>5657</v>
      </c>
      <c r="C4494" s="5" t="str">
        <f>IFERROR(__xludf.DUMMYFUNCTION("GOOGLETRANSLATE(B4494,""en"",""it"")"),"I bambini tirano gli adulti al loro fianco, il lato destro.")</f>
        <v>I bambini tirano gli adulti al loro fianco, il lato destro.</v>
      </c>
    </row>
    <row r="4495">
      <c r="A4495" s="4" t="s">
        <v>5654</v>
      </c>
      <c r="B4495" s="4" t="s">
        <v>5658</v>
      </c>
      <c r="C4495" s="5" t="str">
        <f>IFERROR(__xludf.DUMMYFUNCTION("GOOGLETRANSLATE(B4495,""en"",""it"")"),"I bambini lasciano andare la corda, salta su e giù, più allegria.")</f>
        <v>I bambini lasciano andare la corda, salta su e giù, più allegria.</v>
      </c>
    </row>
    <row r="4496">
      <c r="A4496" s="4" t="s">
        <v>5659</v>
      </c>
      <c r="B4496" s="4" t="s">
        <v>5660</v>
      </c>
      <c r="C4496" s="5" t="str">
        <f>IFERROR(__xludf.DUMMYFUNCTION("GOOGLETRANSLATE(B4496,""en"",""it"")"),"Una ginnasta maschile si avvicina alle barre parallele e usa una primavera per saltare.")</f>
        <v>Una ginnasta maschile si avvicina alle barre parallele e usa una primavera per saltare.</v>
      </c>
    </row>
    <row r="4497">
      <c r="A4497" s="4" t="s">
        <v>5659</v>
      </c>
      <c r="B4497" s="4" t="s">
        <v>5661</v>
      </c>
      <c r="C4497" s="5" t="str">
        <f>IFERROR(__xludf.DUMMYFUNCTION("GOOGLETRANSLATE(B4497,""en"",""it"")"),"Un altro uomo tira di mezzo la molla.")</f>
        <v>Un altro uomo tira di mezzo la molla.</v>
      </c>
    </row>
    <row r="4498">
      <c r="A4498" s="4" t="s">
        <v>5659</v>
      </c>
      <c r="B4498" s="4" t="s">
        <v>5662</v>
      </c>
      <c r="C4498" s="5" t="str">
        <f>IFERROR(__xludf.DUMMYFUNCTION("GOOGLETRANSLATE(B4498,""en"",""it"")"),"Una grande folla guarda dagli spalti in palestra.")</f>
        <v>Una grande folla guarda dagli spalti in palestra.</v>
      </c>
    </row>
    <row r="4499">
      <c r="A4499" s="4" t="s">
        <v>5659</v>
      </c>
      <c r="B4499" s="4" t="s">
        <v>5663</v>
      </c>
      <c r="C4499" s="5" t="str">
        <f>IFERROR(__xludf.DUMMYFUNCTION("GOOGLETRANSLATE(B4499,""en"",""it"")"),"La ginnasta fa una routine di bar parallela.")</f>
        <v>La ginnasta fa una routine di bar parallela.</v>
      </c>
    </row>
    <row r="4500">
      <c r="A4500" s="4" t="s">
        <v>5659</v>
      </c>
      <c r="B4500" s="4" t="s">
        <v>5664</v>
      </c>
      <c r="C4500" s="5" t="str">
        <f>IFERROR(__xludf.DUMMYFUNCTION("GOOGLETRANSLATE(B4500,""en"",""it"")"),"Diverse altre ginnaste maschi camminano in background.")</f>
        <v>Diverse altre ginnaste maschi camminano in background.</v>
      </c>
    </row>
    <row r="4501">
      <c r="A4501" s="4" t="s">
        <v>5659</v>
      </c>
      <c r="B4501" s="4" t="s">
        <v>5665</v>
      </c>
      <c r="C4501" s="5" t="str">
        <f>IFERROR(__xludf.DUMMYFUNCTION("GOOGLETRANSLATE(B4501,""en"",""it"")"),"La ginnasta maschile completa la sua routine e corre dal pavimento della palestra.")</f>
        <v>La ginnasta maschile completa la sua routine e corre dal pavimento della palestra.</v>
      </c>
    </row>
    <row r="4502">
      <c r="A4502" s="4" t="s">
        <v>5666</v>
      </c>
      <c r="B4502" s="4" t="s">
        <v>5667</v>
      </c>
      <c r="C4502" s="5" t="str">
        <f>IFERROR(__xludf.DUMMYFUNCTION("GOOGLETRANSLATE(B4502,""en"",""it"")"),"Le persone si stanno bilanciando su una corda sulla spiaggia.")</f>
        <v>Le persone si stanno bilanciando su una corda sulla spiaggia.</v>
      </c>
    </row>
    <row r="4503">
      <c r="A4503" s="4" t="s">
        <v>5666</v>
      </c>
      <c r="B4503" s="4" t="s">
        <v>5668</v>
      </c>
      <c r="C4503" s="5" t="str">
        <f>IFERROR(__xludf.DUMMYFUNCTION("GOOGLETRANSLATE(B4503,""en"",""it"")"),"Un uomo con una camicia bianca fa un supporto a mano sulla corda.")</f>
        <v>Un uomo con una camicia bianca fa un supporto a mano sulla corda.</v>
      </c>
    </row>
    <row r="4504">
      <c r="A4504" s="4" t="s">
        <v>5666</v>
      </c>
      <c r="B4504" s="4" t="s">
        <v>5669</v>
      </c>
      <c r="C4504" s="5" t="str">
        <f>IFERROR(__xludf.DUMMYFUNCTION("GOOGLETRANSLATE(B4504,""en"",""it"")"),"Una persona sta oscillando su una corda sullo sfondo.")</f>
        <v>Una persona sta oscillando su una corda sullo sfondo.</v>
      </c>
    </row>
    <row r="4505">
      <c r="A4505" s="4" t="s">
        <v>5670</v>
      </c>
      <c r="B4505" s="6" t="s">
        <v>5671</v>
      </c>
      <c r="C4505" s="5" t="str">
        <f>IFERROR(__xludf.DUMMYFUNCTION("GOOGLETRANSLATE(B4505,""en"",""it"")"),"Due ragazze praticano la scherma in una palestra scolastica con attrezzature protettive e un allenatore contro il muro che guardava e allenandole mentre recintano.")</f>
        <v>Due ragazze praticano la scherma in una palestra scolastica con attrezzature protettive e un allenatore contro il muro che guardava e allenandole mentre recintano.</v>
      </c>
    </row>
    <row r="4506">
      <c r="A4506" s="4" t="s">
        <v>5670</v>
      </c>
      <c r="B4506" s="6" t="s">
        <v>5672</v>
      </c>
      <c r="C4506" s="5" t="str">
        <f>IFERROR(__xludf.DUMMYFUNCTION("GOOGLETRANSLATE(B4506,""en"",""it"")"),"Le due ragazze parlano con l'allenatore e poi iniziano a recuperare l'una con l'altra mentre l'allenatore movide dove dovrebbero stare e navigare nello spazio durante lo spar.")</f>
        <v>Le due ragazze parlano con l'allenatore e poi iniziano a recuperare l'una con l'altra mentre l'allenatore movide dove dovrebbero stare e navigare nello spazio durante lo spar.</v>
      </c>
    </row>
    <row r="4507">
      <c r="A4507" s="4" t="s">
        <v>5670</v>
      </c>
      <c r="B4507" s="4" t="s">
        <v>5673</v>
      </c>
      <c r="C4507" s="5" t="str">
        <f>IFERROR(__xludf.DUMMYFUNCTION("GOOGLETRANSLATE(B4507,""en"",""it"")"),"Entrambe le ragazze terminano il longarone e rimuovono la testa mentre parlano con l'allenatore.")</f>
        <v>Entrambe le ragazze terminano il longarone e rimuovono la testa mentre parlano con l'allenatore.</v>
      </c>
    </row>
    <row r="4508">
      <c r="A4508" s="4" t="s">
        <v>5674</v>
      </c>
      <c r="B4508" s="4" t="s">
        <v>5675</v>
      </c>
      <c r="C4508" s="5" t="str">
        <f>IFERROR(__xludf.DUMMYFUNCTION("GOOGLETRANSLATE(B4508,""en"",""it"")"),"Una donna in un maglione verde mette una maschera per il viso.")</f>
        <v>Una donna in un maglione verde mette una maschera per il viso.</v>
      </c>
    </row>
    <row r="4509">
      <c r="A4509" s="4" t="s">
        <v>5674</v>
      </c>
      <c r="B4509" s="4" t="s">
        <v>5676</v>
      </c>
      <c r="C4509" s="5" t="str">
        <f>IFERROR(__xludf.DUMMYFUNCTION("GOOGLETRANSLATE(B4509,""en"",""it"")"),"Dipinge una recinzione di legno.")</f>
        <v>Dipinge una recinzione di legno.</v>
      </c>
    </row>
    <row r="4510">
      <c r="A4510" s="4" t="s">
        <v>5674</v>
      </c>
      <c r="B4510" s="4" t="s">
        <v>5677</v>
      </c>
      <c r="C4510" s="5" t="str">
        <f>IFERROR(__xludf.DUMMYFUNCTION("GOOGLETRANSLATE(B4510,""en"",""it"")"),"Mette la giornale sul recinto.")</f>
        <v>Mette la giornale sul recinto.</v>
      </c>
    </row>
    <row r="4511">
      <c r="A4511" s="4" t="s">
        <v>5674</v>
      </c>
      <c r="B4511" s="4" t="s">
        <v>5678</v>
      </c>
      <c r="C4511" s="5" t="str">
        <f>IFERROR(__xludf.DUMMYFUNCTION("GOOGLETRANSLATE(B4511,""en"",""it"")"),"Versa un secchio di vernice in uno spruzzatore.")</f>
        <v>Versa un secchio di vernice in uno spruzzatore.</v>
      </c>
    </row>
    <row r="4512">
      <c r="A4512" s="4" t="s">
        <v>5674</v>
      </c>
      <c r="B4512" s="4" t="s">
        <v>5679</v>
      </c>
      <c r="C4512" s="5" t="str">
        <f>IFERROR(__xludf.DUMMYFUNCTION("GOOGLETRANSLATE(B4512,""en"",""it"")"),"Comincia a spruzzare la recinzione con un tubo.")</f>
        <v>Comincia a spruzzare la recinzione con un tubo.</v>
      </c>
    </row>
    <row r="4513">
      <c r="A4513" s="4" t="s">
        <v>5680</v>
      </c>
      <c r="B4513" s="4" t="s">
        <v>5681</v>
      </c>
      <c r="C4513" s="5" t="str">
        <f>IFERROR(__xludf.DUMMYFUNCTION("GOOGLETRANSLATE(B4513,""en"",""it"")"),"Due uomini parlano di fronte a un elicottero.")</f>
        <v>Due uomini parlano di fronte a un elicottero.</v>
      </c>
    </row>
    <row r="4514">
      <c r="A4514" s="4" t="s">
        <v>5680</v>
      </c>
      <c r="B4514" s="4" t="s">
        <v>5682</v>
      </c>
      <c r="C4514" s="5" t="str">
        <f>IFERROR(__xludf.DUMMYFUNCTION("GOOGLETRANSLATE(B4514,""en"",""it"")"),"Un uomo su una sveglia viene tirato da un elicottero dentro e fuori dall'acqua.")</f>
        <v>Un uomo su una sveglia viene tirato da un elicottero dentro e fuori dall'acqua.</v>
      </c>
    </row>
    <row r="4515">
      <c r="A4515" s="4" t="s">
        <v>5680</v>
      </c>
      <c r="B4515" s="4" t="s">
        <v>5683</v>
      </c>
      <c r="C4515" s="5" t="str">
        <f>IFERROR(__xludf.DUMMYFUNCTION("GOOGLETRANSLATE(B4515,""en"",""it"")"),"Scende dalla corda e tira un paracadute e atterra a terra.")</f>
        <v>Scende dalla corda e tira un paracadute e atterra a terra.</v>
      </c>
    </row>
    <row r="4516">
      <c r="A4516" s="4" t="s">
        <v>5684</v>
      </c>
      <c r="B4516" s="4" t="s">
        <v>5685</v>
      </c>
      <c r="C4516" s="5" t="str">
        <f>IFERROR(__xludf.DUMMYFUNCTION("GOOGLETRANSLATE(B4516,""en"",""it"")"),"Un uomo è seduto su una panchina in un parco.")</f>
        <v>Un uomo è seduto su una panchina in un parco.</v>
      </c>
    </row>
    <row r="4517">
      <c r="A4517" s="4" t="s">
        <v>5684</v>
      </c>
      <c r="B4517" s="4" t="s">
        <v>5686</v>
      </c>
      <c r="C4517" s="5" t="str">
        <f>IFERROR(__xludf.DUMMYFUNCTION("GOOGLETRANSLATE(B4517,""en"",""it"")"),"Suona un vecchio Ameloc.")</f>
        <v>Suona un vecchio Ameloc.</v>
      </c>
    </row>
    <row r="4518">
      <c r="A4518" s="4" t="s">
        <v>5684</v>
      </c>
      <c r="B4518" s="4" t="s">
        <v>5687</v>
      </c>
      <c r="C4518" s="5" t="str">
        <f>IFERROR(__xludf.DUMMYFUNCTION("GOOGLETRANSLATE(B4518,""en"",""it"")"),"Lo spinge chiuso e aperto mentre gioca sulla tastiera.")</f>
        <v>Lo spinge chiuso e aperto mentre gioca sulla tastiera.</v>
      </c>
    </row>
    <row r="4519">
      <c r="A4519" s="4" t="s">
        <v>5688</v>
      </c>
      <c r="B4519" s="6" t="s">
        <v>5689</v>
      </c>
      <c r="C4519" s="5" t="str">
        <f>IFERROR(__xludf.DUMMYFUNCTION("GOOGLETRANSLATE(B4519,""en"",""it"")"),"Viene visualizzato uno schermo nero e ha molte parole bianche che includono il nome, l'altezza, il peso, i giochi di anni, il numero di telefono e l'e -mail per il giocatore n. 23.")</f>
        <v>Viene visualizzato uno schermo nero e ha molte parole bianche che includono il nome, l'altezza, il peso, i giochi di anni, il numero di telefono e l'e -mail per il giocatore n. 23.</v>
      </c>
    </row>
    <row r="4520">
      <c r="A4520" s="4" t="s">
        <v>5688</v>
      </c>
      <c r="B4520" s="6" t="s">
        <v>5690</v>
      </c>
      <c r="C4520" s="5" t="str">
        <f>IFERROR(__xludf.DUMMYFUNCTION("GOOGLETRANSLATE(B4520,""en"",""it"")"),"Varie clip di diverse partite di hockey giocano e occasionali appariranno una freccia gialla indicando il giocatore #23 in ogni diverso clip di gioco di hockey.")</f>
        <v>Varie clip di diverse partite di hockey giocano e occasionali appariranno una freccia gialla indicando il giocatore #23 in ogni diverso clip di gioco di hockey.</v>
      </c>
    </row>
    <row r="4521">
      <c r="A4521" s="4" t="s">
        <v>5688</v>
      </c>
      <c r="B4521" s="6" t="s">
        <v>5691</v>
      </c>
      <c r="C4521" s="5" t="str">
        <f>IFERROR(__xludf.DUMMYFUNCTION("GOOGLETRANSLATE(B4521,""en"",""it"")"),"Viene visualizzato uno schermo nero ed è lo stesso dello schermo che era l'intro che include le stesse informazioni sul giocatore n. 23.")</f>
        <v>Viene visualizzato uno schermo nero ed è lo stesso dello schermo che era l'intro che include le stesse informazioni sul giocatore n. 23.</v>
      </c>
    </row>
    <row r="4522">
      <c r="A4522" s="4" t="s">
        <v>5692</v>
      </c>
      <c r="B4522" s="6" t="s">
        <v>5693</v>
      </c>
      <c r="C4522" s="5" t="str">
        <f>IFERROR(__xludf.DUMMYFUNCTION("GOOGLETRANSLATE(B4522,""en"",""it"")"),"Una persona di nome Chad che indossa una giacca nera e grigia è in piedi accanto a un albero di Natale e dà un tutorial su come decorarla.")</f>
        <v>Una persona di nome Chad che indossa una giacca nera e grigia è in piedi accanto a un albero di Natale e dà un tutorial su come decorarla.</v>
      </c>
    </row>
    <row r="4523">
      <c r="A4523" s="4" t="s">
        <v>5692</v>
      </c>
      <c r="B4523" s="4" t="s">
        <v>5694</v>
      </c>
      <c r="C4523" s="5" t="str">
        <f>IFERROR(__xludf.DUMMYFUNCTION("GOOGLETRANSLATE(B4523,""en"",""it"")"),"Tiene in mano una stella cristallina che mette sopra l'albero.")</f>
        <v>Tiene in mano una stella cristallina che mette sopra l'albero.</v>
      </c>
    </row>
    <row r="4524">
      <c r="A4524" s="4" t="s">
        <v>5692</v>
      </c>
      <c r="B4524" s="4" t="s">
        <v>5695</v>
      </c>
      <c r="C4524" s="5" t="str">
        <f>IFERROR(__xludf.DUMMYFUNCTION("GOOGLETRANSLATE(B4524,""en"",""it"")"),"Quindi prende alcune luci di Natale e lo faceva roteare attorno ai rami dell'albero.")</f>
        <v>Quindi prende alcune luci di Natale e lo faceva roteare attorno ai rami dell'albero.</v>
      </c>
    </row>
    <row r="4525">
      <c r="A4525" s="4" t="s">
        <v>5692</v>
      </c>
      <c r="B4525" s="4" t="s">
        <v>5696</v>
      </c>
      <c r="C4525" s="5" t="str">
        <f>IFERROR(__xludf.DUMMYFUNCTION("GOOGLETRANSLATE(B4525,""en"",""it"")"),"Prende una ghirlanda rossa e dimostra come avvolgerla intorno all'albero.")</f>
        <v>Prende una ghirlanda rossa e dimostra come avvolgerla intorno all'albero.</v>
      </c>
    </row>
    <row r="4526">
      <c r="A4526" s="4" t="s">
        <v>5692</v>
      </c>
      <c r="B4526" s="4" t="s">
        <v>5697</v>
      </c>
      <c r="C4526" s="5" t="str">
        <f>IFERROR(__xludf.DUMMYFUNCTION("GOOGLETRANSLATE(B4526,""en"",""it"")"),"Quindi prende degli ornamenti rossi e dorati e mostra come posizionarli sull'albero.")</f>
        <v>Quindi prende degli ornamenti rossi e dorati e mostra come posizionarli sull'albero.</v>
      </c>
    </row>
    <row r="4527">
      <c r="A4527" s="4" t="s">
        <v>5692</v>
      </c>
      <c r="B4527" s="4" t="s">
        <v>5698</v>
      </c>
      <c r="C4527" s="5" t="str">
        <f>IFERROR(__xludf.DUMMYFUNCTION("GOOGLETRANSLATE(B4527,""en"",""it"")"),"Prende anche un nastro rosso e bacche rosse da aggiungere all'albero.")</f>
        <v>Prende anche un nastro rosso e bacche rosse da aggiungere all'albero.</v>
      </c>
    </row>
    <row r="4528">
      <c r="A4528" s="4" t="s">
        <v>5692</v>
      </c>
      <c r="B4528" s="4" t="s">
        <v>5699</v>
      </c>
      <c r="C4528" s="5" t="str">
        <f>IFERROR(__xludf.DUMMYFUNCTION("GOOGLETRANSLATE(B4528,""en"",""it"")"),"Si trova accanto all'albero completamente decorato mentre completa il suo tutorial.")</f>
        <v>Si trova accanto all'albero completamente decorato mentre completa il suo tutorial.</v>
      </c>
    </row>
    <row r="4529">
      <c r="A4529" s="4" t="s">
        <v>5700</v>
      </c>
      <c r="B4529" s="4" t="s">
        <v>5701</v>
      </c>
      <c r="C4529" s="5" t="str">
        <f>IFERROR(__xludf.DUMMYFUNCTION("GOOGLETRANSLATE(B4529,""en"",""it"")"),"Una donna versa ghiaccio in un bicchiere.")</f>
        <v>Una donna versa ghiaccio in un bicchiere.</v>
      </c>
    </row>
    <row r="4530">
      <c r="A4530" s="4" t="s">
        <v>5700</v>
      </c>
      <c r="B4530" s="4" t="s">
        <v>5702</v>
      </c>
      <c r="C4530" s="5" t="str">
        <f>IFERROR(__xludf.DUMMYFUNCTION("GOOGLETRANSLATE(B4530,""en"",""it"")"),"Mette colpi di alcol nel bicchiere.")</f>
        <v>Mette colpi di alcol nel bicchiere.</v>
      </c>
    </row>
    <row r="4531">
      <c r="A4531" s="4" t="s">
        <v>5700</v>
      </c>
      <c r="B4531" s="4" t="s">
        <v>5703</v>
      </c>
      <c r="C4531" s="5" t="str">
        <f>IFERROR(__xludf.DUMMYFUNCTION("GOOGLETRANSLATE(B4531,""en"",""it"")"),"Lo scuote e lo versa in un altro bicchiere.")</f>
        <v>Lo scuote e lo versa in un altro bicchiere.</v>
      </c>
    </row>
    <row r="4532">
      <c r="A4532" s="4" t="s">
        <v>5700</v>
      </c>
      <c r="B4532" s="4" t="s">
        <v>5704</v>
      </c>
      <c r="C4532" s="5" t="str">
        <f>IFERROR(__xludf.DUMMYFUNCTION("GOOGLETRANSLATE(B4532,""en"",""it"")"),"Ci mette una cannuccia e la solleva.")</f>
        <v>Ci mette una cannuccia e la solleva.</v>
      </c>
    </row>
    <row r="4533">
      <c r="A4533" s="4" t="s">
        <v>5705</v>
      </c>
      <c r="B4533" s="4" t="s">
        <v>5706</v>
      </c>
      <c r="C4533" s="5" t="str">
        <f>IFERROR(__xludf.DUMMYFUNCTION("GOOGLETRANSLATE(B4533,""en"",""it"")"),"Un uomo in onde arancioni quindi monta un cavallo da pomolo.")</f>
        <v>Un uomo in onde arancioni quindi monta un cavallo da pomolo.</v>
      </c>
    </row>
    <row r="4534">
      <c r="A4534" s="4" t="s">
        <v>5705</v>
      </c>
      <c r="B4534" s="4" t="s">
        <v>5707</v>
      </c>
      <c r="C4534" s="5" t="str">
        <f>IFERROR(__xludf.DUMMYFUNCTION("GOOGLETRANSLATE(B4534,""en"",""it"")"),"L'uomo gira intorno e intorno al cavallo di pomolo.")</f>
        <v>L'uomo gira intorno e intorno al cavallo di pomolo.</v>
      </c>
    </row>
    <row r="4535">
      <c r="A4535" s="4" t="s">
        <v>5705</v>
      </c>
      <c r="B4535" s="4" t="s">
        <v>5708</v>
      </c>
      <c r="C4535" s="5" t="str">
        <f>IFERROR(__xludf.DUMMYFUNCTION("GOOGLETRANSLATE(B4535,""en"",""it"")"),"Un uomo a destra scatta una foto.")</f>
        <v>Un uomo a destra scatta una foto.</v>
      </c>
    </row>
    <row r="4536">
      <c r="A4536" s="4" t="s">
        <v>5705</v>
      </c>
      <c r="B4536" s="4" t="s">
        <v>5709</v>
      </c>
      <c r="C4536" s="5" t="str">
        <f>IFERROR(__xludf.DUMMYFUNCTION("GOOGLETRANSLATE(B4536,""en"",""it"")"),"L'uomo fa oscillare una gamba alla volta.")</f>
        <v>L'uomo fa oscillare una gamba alla volta.</v>
      </c>
    </row>
    <row r="4537">
      <c r="A4537" s="4" t="s">
        <v>5705</v>
      </c>
      <c r="B4537" s="4" t="s">
        <v>5710</v>
      </c>
      <c r="C4537" s="5" t="str">
        <f>IFERROR(__xludf.DUMMYFUNCTION("GOOGLETRANSLATE(B4537,""en"",""it"")"),"L'uomo fa una verticale, quindi smontare.")</f>
        <v>L'uomo fa una verticale, quindi smontare.</v>
      </c>
    </row>
    <row r="4538">
      <c r="A4538" s="4" t="s">
        <v>5705</v>
      </c>
      <c r="B4538" s="4" t="s">
        <v>5711</v>
      </c>
      <c r="C4538" s="5" t="str">
        <f>IFERROR(__xludf.DUMMYFUNCTION("GOOGLETRANSLATE(B4538,""en"",""it"")"),"L'uomo si allontana mentre un altro cammina verso il cavallo.")</f>
        <v>L'uomo si allontana mentre un altro cammina verso il cavallo.</v>
      </c>
    </row>
    <row r="4539">
      <c r="A4539" s="4" t="s">
        <v>5705</v>
      </c>
      <c r="B4539" s="4" t="s">
        <v>5712</v>
      </c>
      <c r="C4539" s="5" t="str">
        <f>IFERROR(__xludf.DUMMYFUNCTION("GOOGLETRANSLATE(B4539,""en"",""it"")"),"Vengono visualizzate le schermate finali e il video termina.")</f>
        <v>Vengono visualizzate le schermate finali e il video termina.</v>
      </c>
    </row>
    <row r="4540">
      <c r="A4540" s="4" t="s">
        <v>5713</v>
      </c>
      <c r="B4540" s="4" t="s">
        <v>5714</v>
      </c>
      <c r="C4540" s="5" t="str">
        <f>IFERROR(__xludf.DUMMYFUNCTION("GOOGLETRANSLATE(B4540,""en"",""it"")"),"Un uomo con una camicia rossa si batte le mani.")</f>
        <v>Un uomo con una camicia rossa si batte le mani.</v>
      </c>
    </row>
    <row r="4541">
      <c r="A4541" s="4" t="s">
        <v>5713</v>
      </c>
      <c r="B4541" s="4" t="s">
        <v>5715</v>
      </c>
      <c r="C4541" s="5" t="str">
        <f>IFERROR(__xludf.DUMMYFUNCTION("GOOGLETRANSLATE(B4541,""en"",""it"")"),"Corre giù per una pista e salta nella sabbia.")</f>
        <v>Corre giù per una pista e salta nella sabbia.</v>
      </c>
    </row>
    <row r="4542">
      <c r="A4542" s="4" t="s">
        <v>5713</v>
      </c>
      <c r="B4542" s="4" t="s">
        <v>5716</v>
      </c>
      <c r="C4542" s="5" t="str">
        <f>IFERROR(__xludf.DUMMYFUNCTION("GOOGLETRANSLATE(B4542,""en"",""it"")"),"Le persone rastrellano la sabbia in seguito.")</f>
        <v>Le persone rastrellano la sabbia in seguito.</v>
      </c>
    </row>
    <row r="4543">
      <c r="A4543" s="4" t="s">
        <v>5717</v>
      </c>
      <c r="B4543" s="4" t="s">
        <v>5718</v>
      </c>
      <c r="C4543" s="5" t="str">
        <f>IFERROR(__xludf.DUMMYFUNCTION("GOOGLETRANSLATE(B4543,""en"",""it"")"),"Viene visualizzato uno schermo nero introduttivo e la parola poweriser lampeggia.")</f>
        <v>Viene visualizzato uno schermo nero introduttivo e la parola poweriser lampeggia.</v>
      </c>
    </row>
    <row r="4544">
      <c r="A4544" s="4" t="s">
        <v>5717</v>
      </c>
      <c r="B4544" s="6" t="s">
        <v>5719</v>
      </c>
      <c r="C4544" s="5" t="str">
        <f>IFERROR(__xludf.DUMMYFUNCTION("GOOGLETRANSLATE(B4544,""en"",""it"")"),"Un uomo di nome Prvni Kroky è su palafitte di metallo fuori e inizia, camminando, saltando, correndo e muovendosi e facendo vari movimenti mentre erano sulle sue trampoli e le persone intorno a lui sono sedute o camminando facendo le loro cose.")</f>
        <v>Un uomo di nome Prvni Kroky è su palafitte di metallo fuori e inizia, camminando, saltando, correndo e muovendosi e facendo vari movimenti mentre erano sulle sue trampoli e le persone intorno a lui sono sedute o camminando facendo le loro cose.</v>
      </c>
    </row>
    <row r="4545">
      <c r="A4545" s="4" t="s">
        <v>5717</v>
      </c>
      <c r="B4545" s="6" t="s">
        <v>5720</v>
      </c>
      <c r="C4545" s="5" t="str">
        <f>IFERROR(__xludf.DUMMYFUNCTION("GOOGLETRANSLATE(B4545,""en"",""it"")"),"Quando l'uomo ha finito di dimostrare ciò che può fare sui palafitte, si ferma nel suo posto originale per parlare di più, onde e poi scappa.")</f>
        <v>Quando l'uomo ha finito di dimostrare ciò che può fare sui palafitte, si ferma nel suo posto originale per parlare di più, onde e poi scappa.</v>
      </c>
    </row>
    <row r="4546">
      <c r="A4546" s="4" t="s">
        <v>5717</v>
      </c>
      <c r="B4546" s="4" t="s">
        <v>5721</v>
      </c>
      <c r="C4546" s="5" t="str">
        <f>IFERROR(__xludf.DUMMYFUNCTION("GOOGLETRANSLATE(B4546,""en"",""it"")"),"L'outro appare ed è esattamente come l'intro.")</f>
        <v>L'outro appare ed è esattamente come l'intro.</v>
      </c>
    </row>
    <row r="4547">
      <c r="A4547" s="4" t="s">
        <v>5722</v>
      </c>
      <c r="B4547" s="4" t="s">
        <v>5723</v>
      </c>
      <c r="C4547" s="5" t="str">
        <f>IFERROR(__xludf.DUMMYFUNCTION("GOOGLETRANSLATE(B4547,""en"",""it"")"),"Una donna con una camicia bianca è seduta.")</f>
        <v>Una donna con una camicia bianca è seduta.</v>
      </c>
    </row>
    <row r="4548">
      <c r="A4548" s="4" t="s">
        <v>5722</v>
      </c>
      <c r="B4548" s="4" t="s">
        <v>5724</v>
      </c>
      <c r="C4548" s="5" t="str">
        <f>IFERROR(__xludf.DUMMYFUNCTION("GOOGLETRANSLATE(B4548,""en"",""it"")"),"Si riversa un prodotto nel palmo.")</f>
        <v>Si riversa un prodotto nel palmo.</v>
      </c>
    </row>
    <row r="4549">
      <c r="A4549" s="4" t="s">
        <v>5722</v>
      </c>
      <c r="B4549" s="4" t="s">
        <v>5725</v>
      </c>
      <c r="C4549" s="5" t="str">
        <f>IFERROR(__xludf.DUMMYFUNCTION("GOOGLETRANSLATE(B4549,""en"",""it"")"),"Comincia a asciugare il prodotto sul viso.")</f>
        <v>Comincia a asciugare il prodotto sul viso.</v>
      </c>
    </row>
    <row r="4550">
      <c r="A4550" s="4" t="s">
        <v>5726</v>
      </c>
      <c r="B4550" s="4" t="s">
        <v>5727</v>
      </c>
      <c r="C4550" s="5" t="str">
        <f>IFERROR(__xludf.DUMMYFUNCTION("GOOGLETRANSLATE(B4550,""en"",""it"")"),"Una donna si prepara il corpo giusto di un cavallo, spazzola il collo, il corpo e le gambe.")</f>
        <v>Una donna si prepara il corpo giusto di un cavallo, spazzola il collo, il corpo e le gambe.</v>
      </c>
    </row>
    <row r="4551">
      <c r="A4551" s="4" t="s">
        <v>5726</v>
      </c>
      <c r="B4551" s="6" t="s">
        <v>5728</v>
      </c>
      <c r="C4551" s="5" t="str">
        <f>IFERROR(__xludf.DUMMYFUNCTION("GOOGLETRANSLATE(B4551,""en"",""it"")"),"Quindi, la donna va sul lato sinistro del cavallo e si inginocchia per governare le gambe, quindi spazzola le altre parti del corpo.")</f>
        <v>Quindi, la donna va sul lato sinistro del cavallo e si inginocchia per governare le gambe, quindi spazzola le altre parti del corpo.</v>
      </c>
    </row>
    <row r="4552">
      <c r="A4552" s="4" t="s">
        <v>5729</v>
      </c>
      <c r="B4552" s="4" t="s">
        <v>5730</v>
      </c>
      <c r="C4552" s="5" t="str">
        <f>IFERROR(__xludf.DUMMYFUNCTION("GOOGLETRANSLATE(B4552,""en"",""it"")"),"Uno chef sta fornendo istruzioni dettagliate su come preparare un piatto a un altro uomo in cucina.")</f>
        <v>Uno chef sta fornendo istruzioni dettagliate su come preparare un piatto a un altro uomo in cucina.</v>
      </c>
    </row>
    <row r="4553">
      <c r="A4553" s="4" t="s">
        <v>5729</v>
      </c>
      <c r="B4553" s="4" t="s">
        <v>5731</v>
      </c>
      <c r="C4553" s="5" t="str">
        <f>IFERROR(__xludf.DUMMYFUNCTION("GOOGLETRANSLATE(B4553,""en"",""it"")"),"L'uomo cammina intorno a lui casualmente e raccoglie un pezzo di uno degli ingredienti e lo mangia.")</f>
        <v>L'uomo cammina intorno a lui casualmente e raccoglie un pezzo di uno degli ingredienti e lo mangia.</v>
      </c>
    </row>
    <row r="4554">
      <c r="A4554" s="4" t="s">
        <v>5729</v>
      </c>
      <c r="B4554" s="6" t="s">
        <v>5732</v>
      </c>
      <c r="C4554" s="5" t="str">
        <f>IFERROR(__xludf.DUMMYFUNCTION("GOOGLETRANSLATE(B4554,""en"",""it"")"),"Nel frattempo, lo chef sta mettendo gli ingredienti e spiegando il processo di ciò che sta facendo e perché nella padella.")</f>
        <v>Nel frattempo, lo chef sta mettendo gli ingredienti e spiegando il processo di ciò che sta facendo e perché nella padella.</v>
      </c>
    </row>
    <row r="4555">
      <c r="A4555" s="4" t="s">
        <v>5729</v>
      </c>
      <c r="B4555" s="6" t="s">
        <v>5733</v>
      </c>
      <c r="C4555" s="5" t="str">
        <f>IFERROR(__xludf.DUMMYFUNCTION("GOOGLETRANSLATE(B4555,""en"",""it"")"),"Una volta che la salsa che sta creando inizia a riunirsi, si mescola negli spaghetti e si fonde tutto insieme.")</f>
        <v>Una volta che la salsa che sta creando inizia a riunirsi, si mescola negli spaghetti e si fonde tutto insieme.</v>
      </c>
    </row>
    <row r="4556">
      <c r="A4556" s="4" t="s">
        <v>5734</v>
      </c>
      <c r="B4556" s="4" t="s">
        <v>5735</v>
      </c>
      <c r="C4556" s="5" t="str">
        <f>IFERROR(__xludf.DUMMYFUNCTION("GOOGLETRANSLATE(B4556,""en"",""it"")"),"Un uomo con una camicia rossa cammina attorno a una scala.")</f>
        <v>Un uomo con una camicia rossa cammina attorno a una scala.</v>
      </c>
    </row>
    <row r="4557">
      <c r="A4557" s="4" t="s">
        <v>5734</v>
      </c>
      <c r="B4557" s="4" t="s">
        <v>5736</v>
      </c>
      <c r="C4557" s="5" t="str">
        <f>IFERROR(__xludf.DUMMYFUNCTION("GOOGLETRANSLATE(B4557,""en"",""it"")"),"Posa il braccio sulla scala.")</f>
        <v>Posa il braccio sulla scala.</v>
      </c>
    </row>
    <row r="4558">
      <c r="A4558" s="4" t="s">
        <v>5734</v>
      </c>
      <c r="B4558" s="4" t="s">
        <v>5737</v>
      </c>
      <c r="C4558" s="5" t="str">
        <f>IFERROR(__xludf.DUMMYFUNCTION("GOOGLETRANSLATE(B4558,""en"",""it"")"),"Una donna pone una carta da parati rossa contro un muro.")</f>
        <v>Una donna pone una carta da parati rossa contro un muro.</v>
      </c>
    </row>
    <row r="4559">
      <c r="A4559" s="4" t="s">
        <v>5734</v>
      </c>
      <c r="B4559" s="4" t="s">
        <v>5738</v>
      </c>
      <c r="C4559" s="5" t="str">
        <f>IFERROR(__xludf.DUMMYFUNCTION("GOOGLETRANSLATE(B4559,""en"",""it"")"),"Lei leviga la carta da parete rossa con le mani e con uno strumento.")</f>
        <v>Lei leviga la carta da parete rossa con le mani e con uno strumento.</v>
      </c>
    </row>
    <row r="4560">
      <c r="A4560" s="4" t="s">
        <v>5734</v>
      </c>
      <c r="B4560" s="4" t="s">
        <v>5739</v>
      </c>
      <c r="C4560" s="5" t="str">
        <f>IFERROR(__xludf.DUMMYFUNCTION("GOOGLETRANSLATE(B4560,""en"",""it"")"),"Misura lo sfondo per assicurarsi che sia dritto.")</f>
        <v>Misura lo sfondo per assicurarsi che sia dritto.</v>
      </c>
    </row>
    <row r="4561">
      <c r="A4561" s="4" t="s">
        <v>5734</v>
      </c>
      <c r="B4561" s="6" t="s">
        <v>5740</v>
      </c>
      <c r="C4561" s="5" t="str">
        <f>IFERROR(__xludf.DUMMYFUNCTION("GOOGLETRANSLATE(B4561,""en"",""it"")"),"La donna posiziona uno strumento nella parte superiore e inferiore dello sfondo e rimuove qualsiasi sfondo extra.")</f>
        <v>La donna posiziona uno strumento nella parte superiore e inferiore dello sfondo e rimuove qualsiasi sfondo extra.</v>
      </c>
    </row>
    <row r="4562">
      <c r="A4562" s="4" t="s">
        <v>5734</v>
      </c>
      <c r="B4562" s="4" t="s">
        <v>5741</v>
      </c>
      <c r="C4562" s="5" t="str">
        <f>IFERROR(__xludf.DUMMYFUNCTION("GOOGLETRANSLATE(B4562,""en"",""it"")"),"L'uomo nella camicia rossa sta parlando.")</f>
        <v>L'uomo nella camicia rossa sta parlando.</v>
      </c>
    </row>
    <row r="4563">
      <c r="A4563" s="4" t="s">
        <v>5742</v>
      </c>
      <c r="B4563" s="4" t="s">
        <v>5743</v>
      </c>
      <c r="C4563" s="5" t="str">
        <f>IFERROR(__xludf.DUMMYFUNCTION("GOOGLETRANSLATE(B4563,""en"",""it"")"),"Vediamo l'emblema nella schermata di apertura.")</f>
        <v>Vediamo l'emblema nella schermata di apertura.</v>
      </c>
    </row>
    <row r="4564">
      <c r="A4564" s="4" t="s">
        <v>5742</v>
      </c>
      <c r="B4564" s="4" t="s">
        <v>5744</v>
      </c>
      <c r="C4564" s="5" t="str">
        <f>IFERROR(__xludf.DUMMYFUNCTION("GOOGLETRANSLATE(B4564,""en"",""it"")"),"Passiamo alle immagini di due donne con cavalli.")</f>
        <v>Passiamo alle immagini di due donne con cavalli.</v>
      </c>
    </row>
    <row r="4565">
      <c r="A4565" s="4" t="s">
        <v>5742</v>
      </c>
      <c r="B4565" s="4" t="s">
        <v>5745</v>
      </c>
      <c r="C4565" s="5" t="str">
        <f>IFERROR(__xludf.DUMMYFUNCTION("GOOGLETRANSLATE(B4565,""en"",""it"")"),"Vediamo una signora in un campo soleggiato con un tubo.")</f>
        <v>Vediamo una signora in un campo soleggiato con un tubo.</v>
      </c>
    </row>
    <row r="4566">
      <c r="A4566" s="4" t="s">
        <v>5742</v>
      </c>
      <c r="B4566" s="4" t="s">
        <v>5746</v>
      </c>
      <c r="C4566" s="5" t="str">
        <f>IFERROR(__xludf.DUMMYFUNCTION("GOOGLETRANSLATE(B4566,""en"",""it"")"),"Vediamo un piccolo cane sul retro del cavallo.")</f>
        <v>Vediamo un piccolo cane sul retro del cavallo.</v>
      </c>
    </row>
    <row r="4567">
      <c r="A4567" s="4" t="s">
        <v>5742</v>
      </c>
      <c r="B4567" s="4" t="s">
        <v>5747</v>
      </c>
      <c r="C4567" s="5" t="str">
        <f>IFERROR(__xludf.DUMMYFUNCTION("GOOGLETRANSLATE(B4567,""en"",""it"")"),"Vediamo il cagnolino, poi due donne e il cagnolino.")</f>
        <v>Vediamo il cagnolino, poi due donne e il cagnolino.</v>
      </c>
    </row>
    <row r="4568">
      <c r="A4568" s="4" t="s">
        <v>5742</v>
      </c>
      <c r="B4568" s="4" t="s">
        <v>5748</v>
      </c>
      <c r="C4568" s="5" t="str">
        <f>IFERROR(__xludf.DUMMYFUNCTION("GOOGLETRANSLATE(B4568,""en"",""it"")"),"La signora è seduta a giocare con il cane.")</f>
        <v>La signora è seduta a giocare con il cane.</v>
      </c>
    </row>
    <row r="4569">
      <c r="A4569" s="4" t="s">
        <v>5742</v>
      </c>
      <c r="B4569" s="4" t="s">
        <v>5749</v>
      </c>
      <c r="C4569" s="5" t="str">
        <f>IFERROR(__xludf.DUMMYFUNCTION("GOOGLETRANSLATE(B4569,""en"",""it"")"),"Vediamo un sacco di persone in una stalla con un cavallo.")</f>
        <v>Vediamo un sacco di persone in una stalla con un cavallo.</v>
      </c>
    </row>
    <row r="4570">
      <c r="A4570" s="4" t="s">
        <v>5742</v>
      </c>
      <c r="B4570" s="4" t="s">
        <v>5750</v>
      </c>
      <c r="C4570" s="5" t="str">
        <f>IFERROR(__xludf.DUMMYFUNCTION("GOOGLETRANSLATE(B4570,""en"",""it"")"),"Vediamo l'emblema del credito finale.")</f>
        <v>Vediamo l'emblema del credito finale.</v>
      </c>
    </row>
    <row r="4571">
      <c r="A4571" s="4" t="s">
        <v>5751</v>
      </c>
      <c r="B4571" s="4" t="s">
        <v>5752</v>
      </c>
      <c r="C4571" s="5" t="str">
        <f>IFERROR(__xludf.DUMMYFUNCTION("GOOGLETRANSLATE(B4571,""en"",""it"")"),"Un uomo è visto in piedi pronto tenendo un dardo e si guarda in lontananza.")</f>
        <v>Un uomo è visto in piedi pronto tenendo un dardo e si guarda in lontananza.</v>
      </c>
    </row>
    <row r="4572">
      <c r="A4572" s="4" t="s">
        <v>5751</v>
      </c>
      <c r="B4572" s="4" t="s">
        <v>5753</v>
      </c>
      <c r="C4572" s="5" t="str">
        <f>IFERROR(__xludf.DUMMYFUNCTION("GOOGLETRANSLATE(B4572,""en"",""it"")"),"L'uomo quindi lancia il dardo al rallentatore mentre la telecamera continua a seguirlo.")</f>
        <v>L'uomo quindi lancia il dardo al rallentatore mentre la telecamera continua a seguirlo.</v>
      </c>
    </row>
    <row r="4573">
      <c r="A4573" s="4" t="s">
        <v>5754</v>
      </c>
      <c r="B4573" s="4" t="s">
        <v>5755</v>
      </c>
      <c r="C4573" s="5" t="str">
        <f>IFERROR(__xludf.DUMMYFUNCTION("GOOGLETRANSLATE(B4573,""en"",""it"")"),"Un uomo posiziona una piastrella sul pavimento e la spinge verso il basso.")</f>
        <v>Un uomo posiziona una piastrella sul pavimento e la spinge verso il basso.</v>
      </c>
    </row>
    <row r="4574">
      <c r="A4574" s="4" t="s">
        <v>5754</v>
      </c>
      <c r="B4574" s="4" t="s">
        <v>5756</v>
      </c>
      <c r="C4574" s="5" t="str">
        <f>IFERROR(__xludf.DUMMYFUNCTION("GOOGLETRANSLATE(B4574,""en"",""it"")"),"Lo liscia con le mani.")</f>
        <v>Lo liscia con le mani.</v>
      </c>
    </row>
    <row r="4575">
      <c r="A4575" s="4" t="s">
        <v>5754</v>
      </c>
      <c r="B4575" s="4" t="s">
        <v>5757</v>
      </c>
      <c r="C4575" s="5" t="str">
        <f>IFERROR(__xludf.DUMMYFUNCTION("GOOGLETRANSLATE(B4575,""en"",""it"")"),"Sposta lo sfiato che si trova sul pavimento accanto alla piastrella.")</f>
        <v>Sposta lo sfiato che si trova sul pavimento accanto alla piastrella.</v>
      </c>
    </row>
    <row r="4576">
      <c r="A4576" s="4" t="s">
        <v>5758</v>
      </c>
      <c r="B4576" s="4" t="s">
        <v>5759</v>
      </c>
      <c r="C4576" s="5" t="str">
        <f>IFERROR(__xludf.DUMMYFUNCTION("GOOGLETRANSLATE(B4576,""en"",""it"")"),"Un piccolo gruppo di uomini è visto seduto a un tavolo giocando a vari giochi a mano l'uno con l'altro.")</f>
        <v>Un piccolo gruppo di uomini è visto seduto a un tavolo giocando a vari giochi a mano l'uno con l'altro.</v>
      </c>
    </row>
    <row r="4577">
      <c r="A4577" s="4" t="s">
        <v>5758</v>
      </c>
      <c r="B4577" s="6" t="s">
        <v>5760</v>
      </c>
      <c r="C4577" s="5" t="str">
        <f>IFERROR(__xludf.DUMMYFUNCTION("GOOGLETRANSLATE(B4577,""en"",""it"")"),"Quindi muove le mani che vengono mostrate al rallentatore e conducono a parlare al telefono e lasciando la stanza.")</f>
        <v>Quindi muove le mani che vengono mostrate al rallentatore e conducono a parlare al telefono e lasciando la stanza.</v>
      </c>
    </row>
    <row r="4578">
      <c r="A4578" s="4" t="s">
        <v>5758</v>
      </c>
      <c r="B4578" s="4" t="s">
        <v>5761</v>
      </c>
      <c r="C4578" s="5" t="str">
        <f>IFERROR(__xludf.DUMMYFUNCTION("GOOGLETRANSLATE(B4578,""en"",""it"")"),"La telecamera si muove intorno alle altre persone mentre ridono.")</f>
        <v>La telecamera si muove intorno alle altre persone mentre ridono.</v>
      </c>
    </row>
    <row r="4579">
      <c r="A4579" s="4" t="s">
        <v>5762</v>
      </c>
      <c r="B4579" s="4" t="s">
        <v>5763</v>
      </c>
      <c r="C4579" s="5" t="str">
        <f>IFERROR(__xludf.DUMMYFUNCTION("GOOGLETRANSLATE(B4579,""en"",""it"")"),"Vediamo due uomini schermare in uno stadio.")</f>
        <v>Vediamo due uomini schermare in uno stadio.</v>
      </c>
    </row>
    <row r="4580">
      <c r="A4580" s="4" t="s">
        <v>5762</v>
      </c>
      <c r="B4580" s="4" t="s">
        <v>5764</v>
      </c>
      <c r="C4580" s="5" t="str">
        <f>IFERROR(__xludf.DUMMYFUNCTION("GOOGLETRANSLATE(B4580,""en"",""it"")"),"Un uomo getta le braccia in aria.")</f>
        <v>Un uomo getta le braccia in aria.</v>
      </c>
    </row>
    <row r="4581">
      <c r="A4581" s="4" t="s">
        <v>5762</v>
      </c>
      <c r="B4581" s="4" t="s">
        <v>5765</v>
      </c>
      <c r="C4581" s="5" t="str">
        <f>IFERROR(__xludf.DUMMYFUNCTION("GOOGLETRANSLATE(B4581,""en"",""it"")"),"L'uomo sinistro cade a terra.")</f>
        <v>L'uomo sinistro cade a terra.</v>
      </c>
    </row>
    <row r="4582">
      <c r="A4582" s="4" t="s">
        <v>5762</v>
      </c>
      <c r="B4582" s="4" t="s">
        <v>5766</v>
      </c>
      <c r="C4582" s="5" t="str">
        <f>IFERROR(__xludf.DUMMYFUNCTION("GOOGLETRANSLATE(B4582,""en"",""it"")"),"L'uomo sinistro lancia una mano in aria.")</f>
        <v>L'uomo sinistro lancia una mano in aria.</v>
      </c>
    </row>
    <row r="4583">
      <c r="A4583" s="4" t="s">
        <v>5762</v>
      </c>
      <c r="B4583" s="4" t="s">
        <v>777</v>
      </c>
      <c r="C4583" s="5" t="str">
        <f>IFERROR(__xludf.DUMMYFUNCTION("GOOGLETRANSLATE(B4583,""en"",""it"")"),"Vediamo la schermata del titolo finale.")</f>
        <v>Vediamo la schermata del titolo finale.</v>
      </c>
    </row>
    <row r="4584">
      <c r="A4584" s="4" t="s">
        <v>5767</v>
      </c>
      <c r="B4584" s="4" t="s">
        <v>5768</v>
      </c>
      <c r="C4584" s="5" t="str">
        <f>IFERROR(__xludf.DUMMYFUNCTION("GOOGLETRANSLATE(B4584,""en"",""it"")"),"Una donna balla e pulisce in cucina.")</f>
        <v>Una donna balla e pulisce in cucina.</v>
      </c>
    </row>
    <row r="4585">
      <c r="A4585" s="4" t="s">
        <v>5767</v>
      </c>
      <c r="B4585" s="4" t="s">
        <v>5769</v>
      </c>
      <c r="C4585" s="5" t="str">
        <f>IFERROR(__xludf.DUMMYFUNCTION("GOOGLETRANSLATE(B4585,""en"",""it"")"),"Un'altra donna la sta registrando e ridendo.")</f>
        <v>Un'altra donna la sta registrando e ridendo.</v>
      </c>
    </row>
    <row r="4586">
      <c r="A4586" s="4" t="s">
        <v>5767</v>
      </c>
      <c r="B4586" s="4" t="s">
        <v>5770</v>
      </c>
      <c r="C4586" s="5" t="str">
        <f>IFERROR(__xludf.DUMMYFUNCTION("GOOGLETRANSLATE(B4586,""en"",""it"")"),"La donna nota la telecamera e ride, ma continua a ballare.")</f>
        <v>La donna nota la telecamera e ride, ma continua a ballare.</v>
      </c>
    </row>
    <row r="4587">
      <c r="A4587" s="4" t="s">
        <v>5771</v>
      </c>
      <c r="B4587" s="4" t="s">
        <v>5772</v>
      </c>
      <c r="C4587" s="5" t="str">
        <f>IFERROR(__xludf.DUMMYFUNCTION("GOOGLETRANSLATE(B4587,""en"",""it"")"),"Un tecnico cammina lungo un tetto e lo spruzza usando una bacchetta attaccata a un tubo.")</f>
        <v>Un tecnico cammina lungo un tetto e lo spruzza usando una bacchetta attaccata a un tubo.</v>
      </c>
    </row>
    <row r="4588">
      <c r="A4588" s="4" t="s">
        <v>5771</v>
      </c>
      <c r="B4588" s="4" t="s">
        <v>5773</v>
      </c>
      <c r="C4588" s="5" t="str">
        <f>IFERROR(__xludf.DUMMYFUNCTION("GOOGLETRANSLATE(B4588,""en"",""it"")"),"L'uomo spegne il tubo, quindi cammina lungo la cima del tetto.")</f>
        <v>L'uomo spegne il tubo, quindi cammina lungo la cima del tetto.</v>
      </c>
    </row>
    <row r="4589">
      <c r="A4589" s="4" t="s">
        <v>5771</v>
      </c>
      <c r="B4589" s="4" t="s">
        <v>5774</v>
      </c>
      <c r="C4589" s="5" t="str">
        <f>IFERROR(__xludf.DUMMYFUNCTION("GOOGLETRANSLATE(B4589,""en"",""it"")"),"L'uomo spruzza intorno alle grondaie con la bacchetta.")</f>
        <v>L'uomo spruzza intorno alle grondaie con la bacchetta.</v>
      </c>
    </row>
    <row r="4590">
      <c r="A4590" s="4" t="s">
        <v>5771</v>
      </c>
      <c r="B4590" s="4" t="s">
        <v>5775</v>
      </c>
      <c r="C4590" s="5" t="str">
        <f>IFERROR(__xludf.DUMMYFUNCTION("GOOGLETRANSLATE(B4590,""en"",""it"")"),"L'acqua esce dalla grondaia sul cemento sottostante.")</f>
        <v>L'acqua esce dalla grondaia sul cemento sottostante.</v>
      </c>
    </row>
    <row r="4591">
      <c r="A4591" s="4" t="s">
        <v>5776</v>
      </c>
      <c r="B4591" s="4" t="s">
        <v>5777</v>
      </c>
      <c r="C4591" s="5" t="str">
        <f>IFERROR(__xludf.DUMMYFUNCTION("GOOGLETRANSLATE(B4591,""en"",""it"")"),"Una donna è vista seduta sulla sabbia accanto a una ragazza.")</f>
        <v>Una donna è vista seduta sulla sabbia accanto a una ragazza.</v>
      </c>
    </row>
    <row r="4592">
      <c r="A4592" s="4" t="s">
        <v>5776</v>
      </c>
      <c r="B4592" s="4" t="s">
        <v>5778</v>
      </c>
      <c r="C4592" s="5" t="str">
        <f>IFERROR(__xludf.DUMMYFUNCTION("GOOGLETRANSLATE(B4592,""en"",""it"")"),"La donna distoglie lo sguardo dalla telecamera e guarda la sabbia.")</f>
        <v>La donna distoglie lo sguardo dalla telecamera e guarda la sabbia.</v>
      </c>
    </row>
    <row r="4593">
      <c r="A4593" s="4" t="s">
        <v>5776</v>
      </c>
      <c r="B4593" s="4" t="s">
        <v>5779</v>
      </c>
      <c r="C4593" s="5" t="str">
        <f>IFERROR(__xludf.DUMMYFUNCTION("GOOGLETRANSLATE(B4593,""en"",""it"")"),"La ragazza e la donna iniziano quindi a scavare nella sabbia.")</f>
        <v>La ragazza e la donna iniziano quindi a scavare nella sabbia.</v>
      </c>
    </row>
    <row r="4594">
      <c r="A4594" s="4" t="s">
        <v>5780</v>
      </c>
      <c r="B4594" s="4" t="s">
        <v>5781</v>
      </c>
      <c r="C4594" s="5" t="str">
        <f>IFERROR(__xludf.DUMMYFUNCTION("GOOGLETRANSLATE(B4594,""en"",""it"")"),"Un folto gruppo di giocatori è allineato e visto parlare tra loro.")</f>
        <v>Un folto gruppo di giocatori è allineato e visto parlare tra loro.</v>
      </c>
    </row>
    <row r="4595">
      <c r="A4595" s="4" t="s">
        <v>5780</v>
      </c>
      <c r="B4595" s="4" t="s">
        <v>5782</v>
      </c>
      <c r="C4595" s="5" t="str">
        <f>IFERROR(__xludf.DUMMYFUNCTION("GOOGLETRANSLATE(B4595,""en"",""it"")"),"Quindi si spostano sul ghiaccio e iniziano a pattinare.")</f>
        <v>Quindi si spostano sul ghiaccio e iniziano a pattinare.</v>
      </c>
    </row>
    <row r="4596">
      <c r="A4596" s="4" t="s">
        <v>5780</v>
      </c>
      <c r="B4596" s="4" t="s">
        <v>5783</v>
      </c>
      <c r="C4596" s="5" t="str">
        <f>IFERROR(__xludf.DUMMYFUNCTION("GOOGLETRANSLATE(B4596,""en"",""it"")"),"Un uomo pugno colpisce un altro e finisce allontanandosi.")</f>
        <v>Un uomo pugno colpisce un altro e finisce allontanandosi.</v>
      </c>
    </row>
    <row r="4597">
      <c r="A4597" s="4" t="s">
        <v>5784</v>
      </c>
      <c r="B4597" s="4" t="s">
        <v>5785</v>
      </c>
      <c r="C4597" s="5" t="str">
        <f>IFERROR(__xludf.DUMMYFUNCTION("GOOGLETRANSLATE(B4597,""en"",""it"")"),"Una persona viene vista correre lungo un mazzo che spinge un disco con un bastone.")</f>
        <v>Una persona viene vista correre lungo un mazzo che spinge un disco con un bastone.</v>
      </c>
    </row>
    <row r="4598">
      <c r="A4598" s="4" t="s">
        <v>5784</v>
      </c>
      <c r="B4598" s="4" t="s">
        <v>5786</v>
      </c>
      <c r="C4598" s="5" t="str">
        <f>IFERROR(__xludf.DUMMYFUNCTION("GOOGLETRANSLATE(B4598,""en"",""it"")"),"Guarda indietro e ride alla telecamera mentre altre persone guardano sul lato.")</f>
        <v>Guarda indietro e ride alla telecamera mentre altre persone guardano sul lato.</v>
      </c>
    </row>
    <row r="4599">
      <c r="A4599" s="4" t="s">
        <v>5787</v>
      </c>
      <c r="B4599" s="4" t="s">
        <v>5788</v>
      </c>
      <c r="C4599" s="5" t="str">
        <f>IFERROR(__xludf.DUMMYFUNCTION("GOOGLETRANSLATE(B4599,""en"",""it"")"),"Un cane nero viene mostrato guardando nella telecamera.")</f>
        <v>Un cane nero viene mostrato guardando nella telecamera.</v>
      </c>
    </row>
    <row r="4600">
      <c r="A4600" s="4" t="s">
        <v>5787</v>
      </c>
      <c r="B4600" s="4" t="s">
        <v>5789</v>
      </c>
      <c r="C4600" s="5" t="str">
        <f>IFERROR(__xludf.DUMMYFUNCTION("GOOGLETRANSLATE(B4600,""en"",""it"")"),"Appare un uomo calvo che è in piedi accanto a una sedia che sembra aver bisogno di ripristinare.")</f>
        <v>Appare un uomo calvo che è in piedi accanto a una sedia che sembra aver bisogno di ripristinare.</v>
      </c>
    </row>
    <row r="4601">
      <c r="A4601" s="4" t="s">
        <v>5787</v>
      </c>
      <c r="B4601" s="4" t="s">
        <v>5790</v>
      </c>
      <c r="C4601" s="5" t="str">
        <f>IFERROR(__xludf.DUMMYFUNCTION("GOOGLETRANSLATE(B4601,""en"",""it"")"),"Si mostra che la sedia ha graffi.")</f>
        <v>Si mostra che la sedia ha graffi.</v>
      </c>
    </row>
    <row r="4602">
      <c r="A4602" s="4" t="s">
        <v>5787</v>
      </c>
      <c r="B4602" s="6" t="s">
        <v>5791</v>
      </c>
      <c r="C4602" s="5" t="str">
        <f>IFERROR(__xludf.DUMMYFUNCTION("GOOGLETRANSLATE(B4602,""en"",""it"")"),"L'uomo inizia ad applicare una sostanza alla sedia mentre l'uomo strofina la sostanza su tutte le superfici della sedia.")</f>
        <v>L'uomo inizia ad applicare una sostanza alla sedia mentre l'uomo strofina la sostanza su tutte le superfici della sedia.</v>
      </c>
    </row>
    <row r="4603">
      <c r="A4603" s="4" t="s">
        <v>5787</v>
      </c>
      <c r="B4603" s="6" t="s">
        <v>5792</v>
      </c>
      <c r="C4603" s="5" t="str">
        <f>IFERROR(__xludf.DUMMYFUNCTION("GOOGLETRANSLATE(B4603,""en"",""it"")"),"L'uomo quindi punta a un graffio sulla parte di una sedia e inizia a pulirlo con la sostanza.")</f>
        <v>L'uomo quindi punta a un graffio sulla parte di una sedia e inizia a pulirlo con la sostanza.</v>
      </c>
    </row>
    <row r="4604">
      <c r="A4604" s="4" t="s">
        <v>5787</v>
      </c>
      <c r="B4604" s="4" t="s">
        <v>5793</v>
      </c>
      <c r="C4604" s="5" t="str">
        <f>IFERROR(__xludf.DUMMYFUNCTION("GOOGLETRANSLATE(B4604,""en"",""it"")"),"L'uomo mostra quindi una gamba della sedia e la asciuga anche.")</f>
        <v>L'uomo mostra quindi una gamba della sedia e la asciuga anche.</v>
      </c>
    </row>
    <row r="4605">
      <c r="A4605" s="4" t="s">
        <v>5787</v>
      </c>
      <c r="B4605" s="6" t="s">
        <v>5794</v>
      </c>
      <c r="C4605" s="5" t="str">
        <f>IFERROR(__xludf.DUMMYFUNCTION("GOOGLETRANSLATE(B4605,""en"",""it"")"),"L'uomo sembra quindi riversare una sostanza in una lattina e immerge il pennello e lucida parte della gamba.")</f>
        <v>L'uomo sembra quindi riversare una sostanza in una lattina e immerge il pennello e lucida parte della gamba.</v>
      </c>
    </row>
    <row r="4606">
      <c r="A4606" s="4" t="s">
        <v>5787</v>
      </c>
      <c r="B4606" s="4" t="s">
        <v>5795</v>
      </c>
      <c r="C4606" s="5" t="str">
        <f>IFERROR(__xludf.DUMMYFUNCTION("GOOGLETRANSLATE(B4606,""en"",""it"")"),"L'uomo continua a pulire la sedia mentre sta diventando più pulito.")</f>
        <v>L'uomo continua a pulire la sedia mentre sta diventando più pulito.</v>
      </c>
    </row>
    <row r="4607">
      <c r="A4607" s="4" t="s">
        <v>5787</v>
      </c>
      <c r="B4607" s="6" t="s">
        <v>5796</v>
      </c>
      <c r="C4607" s="5" t="str">
        <f>IFERROR(__xludf.DUMMYFUNCTION("GOOGLETRANSLATE(B4607,""en"",""it"")"),"L'uomo torna più tardi dopo che la sedia si asciuga con una bottiglia gialla e ora indossa un cappello e occhiali.")</f>
        <v>L'uomo torna più tardi dopo che la sedia si asciuga con una bottiglia gialla e ora indossa un cappello e occhiali.</v>
      </c>
    </row>
    <row r="4608">
      <c r="A4608" s="4" t="s">
        <v>5787</v>
      </c>
      <c r="B4608" s="4" t="s">
        <v>5797</v>
      </c>
      <c r="C4608" s="5" t="str">
        <f>IFERROR(__xludf.DUMMYFUNCTION("GOOGLETRANSLATE(B4608,""en"",""it"")"),"L'uomo inizia a pulire di nuovo la sedia usando tutto ciò che era nella bottiglia gialla.")</f>
        <v>L'uomo inizia a pulire di nuovo la sedia usando tutto ciò che era nella bottiglia gialla.</v>
      </c>
    </row>
    <row r="4609">
      <c r="A4609" s="4" t="s">
        <v>5787</v>
      </c>
      <c r="B4609" s="4" t="s">
        <v>5798</v>
      </c>
      <c r="C4609" s="5" t="str">
        <f>IFERROR(__xludf.DUMMYFUNCTION("GOOGLETRANSLATE(B4609,""en"",""it"")"),"Dopo questo è completato, il cuscino viene rimesso sulla sedia in quanto viene cancellato ancora una volta.")</f>
        <v>Dopo questo è completato, il cuscino viene rimesso sulla sedia in quanto viene cancellato ancora una volta.</v>
      </c>
    </row>
    <row r="4610">
      <c r="A4610" s="4" t="s">
        <v>5799</v>
      </c>
      <c r="B4610" s="4" t="s">
        <v>5800</v>
      </c>
      <c r="C4610" s="5" t="str">
        <f>IFERROR(__xludf.DUMMYFUNCTION("GOOGLETRANSLATE(B4610,""en"",""it"")"),"Le persone fanno un buco sulla riva della spiaggia usando pale.")</f>
        <v>Le persone fanno un buco sulla riva della spiaggia usando pale.</v>
      </c>
    </row>
    <row r="4611">
      <c r="A4611" s="4" t="s">
        <v>5799</v>
      </c>
      <c r="B4611" s="4" t="s">
        <v>5801</v>
      </c>
      <c r="C4611" s="5" t="str">
        <f>IFERROR(__xludf.DUMMYFUNCTION("GOOGLETRANSLATE(B4611,""en"",""it"")"),"Quindi, le persone fanno un muro intorno al buco.")</f>
        <v>Quindi, le persone fanno un muro intorno al buco.</v>
      </c>
    </row>
    <row r="4612">
      <c r="A4612" s="4" t="s">
        <v>5802</v>
      </c>
      <c r="B4612" s="4" t="s">
        <v>5803</v>
      </c>
      <c r="C4612" s="5" t="str">
        <f>IFERROR(__xludf.DUMMYFUNCTION("GOOGLETRANSLATE(B4612,""en"",""it"")"),"Un uomo sta parlando mentre si trova davanti a un grande fiume.")</f>
        <v>Un uomo sta parlando mentre si trova davanti a un grande fiume.</v>
      </c>
    </row>
    <row r="4613">
      <c r="A4613" s="4" t="s">
        <v>5802</v>
      </c>
      <c r="B4613" s="4" t="s">
        <v>5804</v>
      </c>
      <c r="C4613" s="5" t="str">
        <f>IFERROR(__xludf.DUMMYFUNCTION("GOOGLETRANSLATE(B4613,""en"",""it"")"),"Un gruppo di maiali selvatici sta nuotando dietro la barca, cercando di tenere il passo.")</f>
        <v>Un gruppo di maiali selvatici sta nuotando dietro la barca, cercando di tenere il passo.</v>
      </c>
    </row>
    <row r="4614">
      <c r="A4614" s="4" t="s">
        <v>5802</v>
      </c>
      <c r="B4614" s="6" t="s">
        <v>5805</v>
      </c>
      <c r="C4614" s="5" t="str">
        <f>IFERROR(__xludf.DUMMYFUNCTION("GOOGLETRANSLATE(B4614,""en"",""it"")"),"L'uomo arriva a riva e lui e un compagno di barca corrono sulla spiaggia, cercando di sfuggire ai maiali.")</f>
        <v>L'uomo arriva a riva e lui e un compagno di barca corrono sulla spiaggia, cercando di sfuggire ai maiali.</v>
      </c>
    </row>
    <row r="4615">
      <c r="A4615" s="4" t="s">
        <v>5806</v>
      </c>
      <c r="B4615" s="4" t="s">
        <v>3714</v>
      </c>
      <c r="C4615" s="5" t="str">
        <f>IFERROR(__xludf.DUMMYFUNCTION("GOOGLETRANSLATE(B4615,""en"",""it"")"),"Vediamo uno schermo di apertura scuro.")</f>
        <v>Vediamo uno schermo di apertura scuro.</v>
      </c>
    </row>
    <row r="4616">
      <c r="A4616" s="4" t="s">
        <v>5806</v>
      </c>
      <c r="B4616" s="4" t="s">
        <v>5807</v>
      </c>
      <c r="C4616" s="5" t="str">
        <f>IFERROR(__xludf.DUMMYFUNCTION("GOOGLETRANSLATE(B4616,""en"",""it"")"),"Vediamo quindi due uomini che praticano arti marziali.")</f>
        <v>Vediamo quindi due uomini che praticano arti marziali.</v>
      </c>
    </row>
    <row r="4617">
      <c r="A4617" s="4" t="s">
        <v>5806</v>
      </c>
      <c r="B4617" s="4" t="s">
        <v>5808</v>
      </c>
      <c r="C4617" s="5" t="str">
        <f>IFERROR(__xludf.DUMMYFUNCTION("GOOGLETRANSLATE(B4617,""en"",""it"")"),"Il vecchio spinse i giovani a terra.")</f>
        <v>Il vecchio spinse i giovani a terra.</v>
      </c>
    </row>
    <row r="4618">
      <c r="A4618" s="4" t="s">
        <v>5806</v>
      </c>
      <c r="B4618" s="4" t="s">
        <v>5809</v>
      </c>
      <c r="C4618" s="5" t="str">
        <f>IFERROR(__xludf.DUMMYFUNCTION("GOOGLETRANSLATE(B4618,""en"",""it"")"),"L'uomo più anziano capovolge il giovane.")</f>
        <v>L'uomo più anziano capovolge il giovane.</v>
      </c>
    </row>
    <row r="4619">
      <c r="A4619" s="4" t="s">
        <v>5806</v>
      </c>
      <c r="B4619" s="4" t="s">
        <v>5810</v>
      </c>
      <c r="C4619" s="5" t="str">
        <f>IFERROR(__xludf.DUMMYFUNCTION("GOOGLETRANSLATE(B4619,""en"",""it"")"),"Il vecchio lo spinge in avanti.")</f>
        <v>Il vecchio lo spinge in avanti.</v>
      </c>
    </row>
    <row r="4620">
      <c r="A4620" s="4" t="s">
        <v>5806</v>
      </c>
      <c r="B4620" s="4" t="s">
        <v>5811</v>
      </c>
      <c r="C4620" s="5" t="str">
        <f>IFERROR(__xludf.DUMMYFUNCTION("GOOGLETRANSLATE(B4620,""en"",""it"")"),"Il giovane afferra la testa più anziana e più vecchio lo spinge verso il basso.")</f>
        <v>Il giovane afferra la testa più anziana e più vecchio lo spinge verso il basso.</v>
      </c>
    </row>
    <row r="4621">
      <c r="A4621" s="4" t="s">
        <v>5806</v>
      </c>
      <c r="B4621" s="4" t="s">
        <v>5812</v>
      </c>
      <c r="C4621" s="5" t="str">
        <f>IFERROR(__xludf.DUMMYFUNCTION("GOOGLETRANSLATE(B4621,""en"",""it"")"),"L'uomo in verde viene spinto attraverso il tappetino.")</f>
        <v>L'uomo in verde viene spinto attraverso il tappetino.</v>
      </c>
    </row>
    <row r="4622">
      <c r="A4622" s="4" t="s">
        <v>5806</v>
      </c>
      <c r="B4622" s="4" t="s">
        <v>5813</v>
      </c>
      <c r="C4622" s="5" t="str">
        <f>IFERROR(__xludf.DUMMYFUNCTION("GOOGLETRANSLATE(B4622,""en"",""it"")"),"Old Man Flip Man in Green.")</f>
        <v>Old Man Flip Man in Green.</v>
      </c>
    </row>
    <row r="4623">
      <c r="A4623" s="4" t="s">
        <v>5806</v>
      </c>
      <c r="B4623" s="4" t="s">
        <v>5814</v>
      </c>
      <c r="C4623" s="5" t="str">
        <f>IFERROR(__xludf.DUMMYFUNCTION("GOOGLETRANSLATE(B4623,""en"",""it"")"),"L'uomo in bianco è capovolto.")</f>
        <v>L'uomo in bianco è capovolto.</v>
      </c>
    </row>
    <row r="4624">
      <c r="A4624" s="4" t="s">
        <v>5806</v>
      </c>
      <c r="B4624" s="4" t="s">
        <v>5815</v>
      </c>
      <c r="C4624" s="5" t="str">
        <f>IFERROR(__xludf.DUMMYFUNCTION("GOOGLETRANSLATE(B4624,""en"",""it"")"),"L'uomo più anziano spinge l'uomo verde a terra.")</f>
        <v>L'uomo più anziano spinge l'uomo verde a terra.</v>
      </c>
    </row>
    <row r="4625">
      <c r="A4625" s="4" t="s">
        <v>5806</v>
      </c>
      <c r="B4625" s="4" t="s">
        <v>5816</v>
      </c>
      <c r="C4625" s="5" t="str">
        <f>IFERROR(__xludf.DUMMYFUNCTION("GOOGLETRANSLATE(B4625,""en"",""it"")"),"L'uomo più anziano rotola uomo in verde.")</f>
        <v>L'uomo più anziano rotola uomo in verde.</v>
      </c>
    </row>
    <row r="4626">
      <c r="A4626" s="4" t="s">
        <v>5817</v>
      </c>
      <c r="B4626" s="4" t="s">
        <v>5818</v>
      </c>
      <c r="C4626" s="5" t="str">
        <f>IFERROR(__xludf.DUMMYFUNCTION("GOOGLETRANSLATE(B4626,""en"",""it"")"),"Un uomo gioca da solo a colpire le palle con un palo mentre vanno attorno al tavolo da biliardo.")</f>
        <v>Un uomo gioca da solo a colpire le palle con un palo mentre vanno attorno al tavolo da biliardo.</v>
      </c>
    </row>
    <row r="4627">
      <c r="A4627" s="4" t="s">
        <v>5817</v>
      </c>
      <c r="B4627" s="4" t="s">
        <v>5819</v>
      </c>
      <c r="C4627" s="5" t="str">
        <f>IFERROR(__xludf.DUMMYFUNCTION("GOOGLETRANSLATE(B4627,""en"",""it"")"),"Quindi, l'uomo ha colpito una palla che entra nel cestino.")</f>
        <v>Quindi, l'uomo ha colpito una palla che entra nel cestino.</v>
      </c>
    </row>
    <row r="4628">
      <c r="A4628" s="4" t="s">
        <v>5817</v>
      </c>
      <c r="B4628" s="4" t="s">
        <v>5820</v>
      </c>
      <c r="C4628" s="5" t="str">
        <f>IFERROR(__xludf.DUMMYFUNCTION("GOOGLETRANSLATE(B4628,""en"",""it"")"),"Dopo, l'uomo si stringe la mano a persone del pubblico.")</f>
        <v>Dopo, l'uomo si stringe la mano a persone del pubblico.</v>
      </c>
    </row>
    <row r="4629">
      <c r="A4629" s="4" t="s">
        <v>5821</v>
      </c>
      <c r="B4629" s="4" t="s">
        <v>5822</v>
      </c>
      <c r="C4629" s="5" t="str">
        <f>IFERROR(__xludf.DUMMYFUNCTION("GOOGLETRANSLATE(B4629,""en"",""it"")"),"Due ragazzi si siedono a parlare mentre tengono i telefoni cellulari.")</f>
        <v>Due ragazzi si siedono a parlare mentre tengono i telefoni cellulari.</v>
      </c>
    </row>
    <row r="4630">
      <c r="A4630" s="4" t="s">
        <v>5821</v>
      </c>
      <c r="B4630" s="4" t="s">
        <v>5823</v>
      </c>
      <c r="C4630" s="5" t="str">
        <f>IFERROR(__xludf.DUMMYFUNCTION("GOOGLETRANSLATE(B4630,""en"",""it"")"),"I ragazzi stanno lottando in costumi di sumo mentre altri due ragazzi li filmano con la telecamera.")</f>
        <v>I ragazzi stanno lottando in costumi di sumo mentre altri due ragazzi li filmano con la telecamera.</v>
      </c>
    </row>
    <row r="4631">
      <c r="A4631" s="4" t="s">
        <v>5821</v>
      </c>
      <c r="B4631" s="4" t="s">
        <v>5824</v>
      </c>
      <c r="C4631" s="5" t="str">
        <f>IFERROR(__xludf.DUMMYFUNCTION("GOOGLETRANSLATE(B4631,""en"",""it"")"),"Un ragazzo ottiene e colpisce l'altro con una scala e si colpiscono.")</f>
        <v>Un ragazzo ottiene e colpisce l'altro con una scala e si colpiscono.</v>
      </c>
    </row>
    <row r="4632">
      <c r="A4632" s="4" t="s">
        <v>5821</v>
      </c>
      <c r="B4632" s="4" t="s">
        <v>5825</v>
      </c>
      <c r="C4632" s="5" t="str">
        <f>IFERROR(__xludf.DUMMYFUNCTION("GOOGLETRANSLATE(B4632,""en"",""it"")"),"Il ragazzo in rosso afferra e colpisce il ragazzo verde sulla scala con una chitarra.")</f>
        <v>Il ragazzo in rosso afferra e colpisce il ragazzo verde sulla scala con una chitarra.</v>
      </c>
    </row>
    <row r="4633">
      <c r="A4633" s="4" t="s">
        <v>5821</v>
      </c>
      <c r="B4633" s="4" t="s">
        <v>5826</v>
      </c>
      <c r="C4633" s="5" t="str">
        <f>IFERROR(__xludf.DUMMYFUNCTION("GOOGLETRANSLATE(B4633,""en"",""it"")"),"Il ragazzo rosso porta una tavola da stiro e salta sull'altro ragazzo dalla scala.")</f>
        <v>Il ragazzo rosso porta una tavola da stiro e salta sull'altro ragazzo dalla scala.</v>
      </c>
    </row>
    <row r="4634">
      <c r="A4634" s="4" t="s">
        <v>5821</v>
      </c>
      <c r="B4634" s="4" t="s">
        <v>5827</v>
      </c>
      <c r="C4634" s="5" t="str">
        <f>IFERROR(__xludf.DUMMYFUNCTION("GOOGLETRANSLATE(B4634,""en"",""it"")"),"Il ragazzo verde si imbatte nell'altro ragazzo con una minibike.")</f>
        <v>Il ragazzo verde si imbatte nell'altro ragazzo con una minibike.</v>
      </c>
    </row>
    <row r="4635">
      <c r="A4635" s="4" t="s">
        <v>5821</v>
      </c>
      <c r="B4635" s="4" t="s">
        <v>5828</v>
      </c>
      <c r="C4635" s="5" t="str">
        <f>IFERROR(__xludf.DUMMYFUNCTION("GOOGLETRANSLATE(B4635,""en"",""it"")"),"Una ragazza con una somma in su getta da una carriola delle ruote e l'arbitro conta la partita come rifinita.")</f>
        <v>Una ragazza con una somma in su getta da una carriola delle ruote e l'arbitro conta la partita come rifinita.</v>
      </c>
    </row>
    <row r="4636">
      <c r="A4636" s="4" t="s">
        <v>5821</v>
      </c>
      <c r="B4636" s="4" t="s">
        <v>777</v>
      </c>
      <c r="C4636" s="5" t="str">
        <f>IFERROR(__xludf.DUMMYFUNCTION("GOOGLETRANSLATE(B4636,""en"",""it"")"),"Vediamo la schermata del titolo finale.")</f>
        <v>Vediamo la schermata del titolo finale.</v>
      </c>
    </row>
    <row r="4637">
      <c r="A4637" s="4" t="s">
        <v>5829</v>
      </c>
      <c r="B4637" s="4" t="s">
        <v>5830</v>
      </c>
      <c r="C4637" s="5" t="str">
        <f>IFERROR(__xludf.DUMMYFUNCTION("GOOGLETRANSLATE(B4637,""en"",""it"")"),"Una donna si trova in cucina a parlare.")</f>
        <v>Una donna si trova in cucina a parlare.</v>
      </c>
    </row>
    <row r="4638">
      <c r="A4638" s="4" t="s">
        <v>5829</v>
      </c>
      <c r="B4638" s="4" t="s">
        <v>5831</v>
      </c>
      <c r="C4638" s="5" t="str">
        <f>IFERROR(__xludf.DUMMYFUNCTION("GOOGLETRANSLATE(B4638,""en"",""it"")"),"Si avvicina a un lavandino, indossa guanti e lava i piatti.")</f>
        <v>Si avvicina a un lavandino, indossa guanti e lava i piatti.</v>
      </c>
    </row>
    <row r="4639">
      <c r="A4639" s="4" t="s">
        <v>5832</v>
      </c>
      <c r="B4639" s="4" t="s">
        <v>5833</v>
      </c>
      <c r="C4639" s="5" t="str">
        <f>IFERROR(__xludf.DUMMYFUNCTION("GOOGLETRANSLATE(B4639,""en"",""it"")"),"Una donna è in piedi in una cucina.")</f>
        <v>Una donna è in piedi in una cucina.</v>
      </c>
    </row>
    <row r="4640">
      <c r="A4640" s="4" t="s">
        <v>5832</v>
      </c>
      <c r="B4640" s="4" t="s">
        <v>5834</v>
      </c>
      <c r="C4640" s="5" t="str">
        <f>IFERROR(__xludf.DUMMYFUNCTION("GOOGLETRANSLATE(B4640,""en"",""it"")"),"Mette gli ingredienti in una ciotola di vetro e la mescola insieme.")</f>
        <v>Mette gli ingredienti in una ciotola di vetro e la mescola insieme.</v>
      </c>
    </row>
    <row r="4641">
      <c r="A4641" s="4" t="s">
        <v>5832</v>
      </c>
      <c r="B4641" s="4" t="s">
        <v>5835</v>
      </c>
      <c r="C4641" s="5" t="str">
        <f>IFERROR(__xludf.DUMMYFUNCTION("GOOGLETRANSLATE(B4641,""en"",""it"")"),"Comincia a tagliare il cibo su un blocco.")</f>
        <v>Comincia a tagliare il cibo su un blocco.</v>
      </c>
    </row>
    <row r="4642">
      <c r="A4642" s="4" t="s">
        <v>5832</v>
      </c>
      <c r="B4642" s="4" t="s">
        <v>5836</v>
      </c>
      <c r="C4642" s="5" t="str">
        <f>IFERROR(__xludf.DUMMYFUNCTION("GOOGLETRANSLATE(B4642,""en"",""it"")"),"Unisce tutti gli ingredienti nella ciotola e la mescola insieme.")</f>
        <v>Unisce tutti gli ingredienti nella ciotola e la mescola insieme.</v>
      </c>
    </row>
    <row r="4643">
      <c r="A4643" s="4" t="s">
        <v>5832</v>
      </c>
      <c r="B4643" s="4" t="s">
        <v>5837</v>
      </c>
      <c r="C4643" s="5" t="str">
        <f>IFERROR(__xludf.DUMMYFUNCTION("GOOGLETRANSLATE(B4643,""en"",""it"")"),"Lei grate il formaggio sulla cima del cibo.")</f>
        <v>Lei grate il formaggio sulla cima del cibo.</v>
      </c>
    </row>
    <row r="4644">
      <c r="A4644" s="4" t="s">
        <v>5832</v>
      </c>
      <c r="B4644" s="4" t="s">
        <v>5838</v>
      </c>
      <c r="C4644" s="5" t="str">
        <f>IFERROR(__xludf.DUMMYFUNCTION("GOOGLETRANSLATE(B4644,""en"",""it"")"),"Quindi mette insalata sopra.")</f>
        <v>Quindi mette insalata sopra.</v>
      </c>
    </row>
    <row r="4645">
      <c r="A4645" s="4" t="s">
        <v>5839</v>
      </c>
      <c r="B4645" s="6" t="s">
        <v>5840</v>
      </c>
      <c r="C4645" s="5" t="str">
        <f>IFERROR(__xludf.DUMMYFUNCTION("GOOGLETRANSLATE(B4645,""en"",""it"")"),"Una donna dimostra da dietro un bancone in piedi all'interno di un bar, come mescolare bevande usando un bicchiere da tiro e diverse bottiglie di alcol.")</f>
        <v>Una donna dimostra da dietro un bancone in piedi all'interno di un bar, come mescolare bevande usando un bicchiere da tiro e diverse bottiglie di alcol.</v>
      </c>
    </row>
    <row r="4646">
      <c r="A4646" s="4" t="s">
        <v>5839</v>
      </c>
      <c r="B4646" s="6" t="s">
        <v>5841</v>
      </c>
      <c r="C4646" s="5" t="str">
        <f>IFERROR(__xludf.DUMMYFUNCTION("GOOGLETRANSLATE(B4646,""en"",""it"")"),"Una donna in piedi dietro un bar parla alla telecamera e versa una bottiglia di alcol in un bicchiere da tiro insieme a un'altra bottiglia di alcol.")</f>
        <v>Una donna in piedi dietro un bar parla alla telecamera e versa una bottiglia di alcol in un bicchiere da tiro insieme a un'altra bottiglia di alcol.</v>
      </c>
    </row>
    <row r="4647">
      <c r="A4647" s="4" t="s">
        <v>5839</v>
      </c>
      <c r="B4647" s="6" t="s">
        <v>5842</v>
      </c>
      <c r="C4647" s="5" t="str">
        <f>IFERROR(__xludf.DUMMYFUNCTION("GOOGLETRANSLATE(B4647,""en"",""it"")"),"La donna quindi tira una bottiglia più grande di alcol dalla parte superiore della barra e la versa anche nel vetro di tiro, la donna quindi spinge il vetro di tiro in avanti verso la telecamera prima che la scena svanisca sul nero.")</f>
        <v>La donna quindi tira una bottiglia più grande di alcol dalla parte superiore della barra e la versa anche nel vetro di tiro, la donna quindi spinge il vetro di tiro in avanti verso la telecamera prima che la scena svanisca sul nero.</v>
      </c>
    </row>
    <row r="4648">
      <c r="A4648" s="4" t="s">
        <v>5843</v>
      </c>
      <c r="B4648" s="4" t="s">
        <v>5844</v>
      </c>
      <c r="C4648" s="5" t="str">
        <f>IFERROR(__xludf.DUMMYFUNCTION("GOOGLETRANSLATE(B4648,""en"",""it"")"),"Un uomo viene visto parlare alla fotocamera mentre il testo appare sullo schermo.")</f>
        <v>Un uomo viene visto parlare alla fotocamera mentre il testo appare sullo schermo.</v>
      </c>
    </row>
    <row r="4649">
      <c r="A4649" s="4" t="s">
        <v>5843</v>
      </c>
      <c r="B4649" s="4" t="s">
        <v>5845</v>
      </c>
      <c r="C4649" s="5" t="str">
        <f>IFERROR(__xludf.DUMMYFUNCTION("GOOGLETRANSLATE(B4649,""en"",""it"")"),"L'uomo continua a parlare e conduce in lui suonando uno strumento.")</f>
        <v>L'uomo continua a parlare e conduce in lui suonando uno strumento.</v>
      </c>
    </row>
    <row r="4650">
      <c r="A4650" s="4" t="s">
        <v>5843</v>
      </c>
      <c r="B4650" s="4" t="s">
        <v>5846</v>
      </c>
      <c r="C4650" s="5" t="str">
        <f>IFERROR(__xludf.DUMMYFUNCTION("GOOGLETRANSLATE(B4650,""en"",""it"")"),"Fa una pausa giocando per sollevare la mano mentre gioca di nuovo e poi fermandosi.")</f>
        <v>Fa una pausa giocando per sollevare la mano mentre gioca di nuovo e poi fermandosi.</v>
      </c>
    </row>
    <row r="4651">
      <c r="A4651" s="4" t="s">
        <v>5847</v>
      </c>
      <c r="B4651" s="4" t="s">
        <v>5848</v>
      </c>
      <c r="C4651" s="5" t="str">
        <f>IFERROR(__xludf.DUMMYFUNCTION("GOOGLETRANSLATE(B4651,""en"",""it"")"),"Una persona tira la corda di un cammello su cui si siede un uomo.")</f>
        <v>Una persona tira la corda di un cammello su cui si siede un uomo.</v>
      </c>
    </row>
    <row r="4652">
      <c r="A4652" s="4" t="s">
        <v>5847</v>
      </c>
      <c r="B4652" s="4" t="s">
        <v>5849</v>
      </c>
      <c r="C4652" s="5" t="str">
        <f>IFERROR(__xludf.DUMMYFUNCTION("GOOGLETRANSLATE(B4652,""en"",""it"")"),"Un uomo tira un cammello con due persone nel deserto.")</f>
        <v>Un uomo tira un cammello con due persone nel deserto.</v>
      </c>
    </row>
    <row r="4653">
      <c r="A4653" s="4" t="s">
        <v>5847</v>
      </c>
      <c r="B4653" s="4" t="s">
        <v>5850</v>
      </c>
      <c r="C4653" s="5" t="str">
        <f>IFERROR(__xludf.DUMMYFUNCTION("GOOGLETRANSLATE(B4653,""en"",""it"")"),"Due donne sono vicine ai cammelli.")</f>
        <v>Due donne sono vicine ai cammelli.</v>
      </c>
    </row>
    <row r="4654">
      <c r="A4654" s="4" t="s">
        <v>5847</v>
      </c>
      <c r="B4654" s="4" t="s">
        <v>5851</v>
      </c>
      <c r="C4654" s="5" t="str">
        <f>IFERROR(__xludf.DUMMYFUNCTION("GOOGLETRANSLATE(B4654,""en"",""it"")"),"Un'auto passa dietro i cammelli.")</f>
        <v>Un'auto passa dietro i cammelli.</v>
      </c>
    </row>
    <row r="4655">
      <c r="A4655" s="4" t="s">
        <v>5852</v>
      </c>
      <c r="B4655" s="6" t="s">
        <v>5853</v>
      </c>
      <c r="C4655" s="5" t="str">
        <f>IFERROR(__xludf.DUMMYFUNCTION("GOOGLETRANSLATE(B4655,""en"",""it"")"),"Vengono mostrate diverse clip di persone che lanciano palle da bowling lungo una corsia e primi piani di palline e spille.")</f>
        <v>Vengono mostrate diverse clip di persone che lanciano palle da bowling lungo una corsia e primi piani di palline e spille.</v>
      </c>
    </row>
    <row r="4656">
      <c r="A4656" s="4" t="s">
        <v>5852</v>
      </c>
      <c r="B4656" s="6" t="s">
        <v>5854</v>
      </c>
      <c r="C4656" s="5" t="str">
        <f>IFERROR(__xludf.DUMMYFUNCTION("GOOGLETRANSLATE(B4656,""en"",""it"")"),"Le persone continuano a bowling e la macchina mostra come i perni girano e le palle tornano sul retro.")</f>
        <v>Le persone continuano a bowling e la macchina mostra come i perni girano e le palle tornano sul retro.</v>
      </c>
    </row>
    <row r="4657">
      <c r="A4657" s="4" t="s">
        <v>5855</v>
      </c>
      <c r="B4657" s="4" t="s">
        <v>5856</v>
      </c>
      <c r="C4657" s="5" t="str">
        <f>IFERROR(__xludf.DUMMYFUNCTION("GOOGLETRANSLATE(B4657,""en"",""it"")"),"Un mucchio di foglie marroni sull'erba verde sta facendo esplodere insieme.")</f>
        <v>Un mucchio di foglie marroni sull'erba verde sta facendo esplodere insieme.</v>
      </c>
    </row>
    <row r="4658">
      <c r="A4658" s="4" t="s">
        <v>5855</v>
      </c>
      <c r="B4658" s="6" t="s">
        <v>5857</v>
      </c>
      <c r="C4658" s="5" t="str">
        <f>IFERROR(__xludf.DUMMYFUNCTION("GOOGLETRANSLATE(B4658,""en"",""it"")"),"L'estremità del soffiatore di foglie è più vicina all'erba e sta soffiando un'area ancora più grande di foglie marroni.")</f>
        <v>L'estremità del soffiatore di foglie è più vicina all'erba e sta soffiando un'area ancora più grande di foglie marroni.</v>
      </c>
    </row>
    <row r="4659">
      <c r="A4659" s="4" t="s">
        <v>5855</v>
      </c>
      <c r="B4659" s="4" t="s">
        <v>5858</v>
      </c>
      <c r="C4659" s="5" t="str">
        <f>IFERROR(__xludf.DUMMYFUNCTION("GOOGLETRANSLATE(B4659,""en"",""it"")"),"La fine del ventilatore foglie appare e scompare dalla vista per tutto il tempo.")</f>
        <v>La fine del ventilatore foglie appare e scompare dalla vista per tutto il tempo.</v>
      </c>
    </row>
    <row r="4660">
      <c r="A4660" s="4" t="s">
        <v>5859</v>
      </c>
      <c r="B4660" s="4" t="s">
        <v>5860</v>
      </c>
      <c r="C4660" s="5" t="str">
        <f>IFERROR(__xludf.DUMMYFUNCTION("GOOGLETRANSLATE(B4660,""en"",""it"")"),"Le persone stanno cavalcando sul retro dei cammelli.")</f>
        <v>Le persone stanno cavalcando sul retro dei cammelli.</v>
      </c>
    </row>
    <row r="4661">
      <c r="A4661" s="4" t="s">
        <v>5859</v>
      </c>
      <c r="B4661" s="4" t="s">
        <v>5861</v>
      </c>
      <c r="C4661" s="5" t="str">
        <f>IFERROR(__xludf.DUMMYFUNCTION("GOOGLETRANSLATE(B4661,""en"",""it"")"),"Vengono condotti su un sentiero da una persona.")</f>
        <v>Vengono condotti su un sentiero da una persona.</v>
      </c>
    </row>
    <row r="4662">
      <c r="A4662" s="4" t="s">
        <v>5859</v>
      </c>
      <c r="B4662" s="4" t="s">
        <v>5862</v>
      </c>
      <c r="C4662" s="5" t="str">
        <f>IFERROR(__xludf.DUMMYFUNCTION("GOOGLETRANSLATE(B4662,""en"",""it"")"),"Le persone sono in piedi dietro una recinzione a guardarli.")</f>
        <v>Le persone sono in piedi dietro una recinzione a guardarli.</v>
      </c>
    </row>
    <row r="4663">
      <c r="A4663" s="4" t="s">
        <v>5859</v>
      </c>
      <c r="B4663" s="4" t="s">
        <v>5863</v>
      </c>
      <c r="C4663" s="5" t="str">
        <f>IFERROR(__xludf.DUMMYFUNCTION("GOOGLETRANSLATE(B4663,""en"",""it"")"),"I cammelli si sdraiarono a terra e le persone si scendono da loro.")</f>
        <v>I cammelli si sdraiarono a terra e le persone si scendono da loro.</v>
      </c>
    </row>
    <row r="4664">
      <c r="A4664" s="4" t="s">
        <v>5864</v>
      </c>
      <c r="B4664" s="4" t="s">
        <v>5865</v>
      </c>
      <c r="C4664" s="5" t="str">
        <f>IFERROR(__xludf.DUMMYFUNCTION("GOOGLETRANSLATE(B4664,""en"",""it"")"),"Una ragazza in un reggiseno è in piedi nel suo bagno e si sta lavando i capelli.")</f>
        <v>Una ragazza in un reggiseno è in piedi nel suo bagno e si sta lavando i capelli.</v>
      </c>
    </row>
    <row r="4665">
      <c r="A4665" s="4" t="s">
        <v>5864</v>
      </c>
      <c r="B4665" s="4" t="s">
        <v>5866</v>
      </c>
      <c r="C4665" s="5" t="str">
        <f>IFERROR(__xludf.DUMMYFUNCTION("GOOGLETRANSLATE(B4665,""en"",""it"")"),"Lo fa per un po 'e continua a risolverlo.")</f>
        <v>Lo fa per un po 'e continua a risolverlo.</v>
      </c>
    </row>
    <row r="4666">
      <c r="A4666" s="4" t="s">
        <v>5864</v>
      </c>
      <c r="B4666" s="4" t="s">
        <v>5867</v>
      </c>
      <c r="C4666" s="5" t="str">
        <f>IFERROR(__xludf.DUMMYFUNCTION("GOOGLETRANSLATE(B4666,""en"",""it"")"),"Quindi lo spazzola un po 'di più perché è molto lungo.")</f>
        <v>Quindi lo spazzola un po 'di più perché è molto lungo.</v>
      </c>
    </row>
    <row r="4667">
      <c r="A4667" s="4" t="s">
        <v>5864</v>
      </c>
      <c r="B4667" s="4" t="s">
        <v>5868</v>
      </c>
      <c r="C4667" s="5" t="str">
        <f>IFERROR(__xludf.DUMMYFUNCTION("GOOGLETRANSLATE(B4667,""en"",""it"")"),"Si gira per prenderne la parte posteriore.")</f>
        <v>Si gira per prenderne la parte posteriore.</v>
      </c>
    </row>
    <row r="4668">
      <c r="A4668" s="4" t="s">
        <v>5869</v>
      </c>
      <c r="B4668" s="4" t="s">
        <v>5870</v>
      </c>
      <c r="C4668" s="5" t="str">
        <f>IFERROR(__xludf.DUMMYFUNCTION("GOOGLETRANSLATE(B4668,""en"",""it"")"),"Un uomo è dentro un fienile ed è rilasciato su un cavallo per catturare una mucca attaccata al cavallo.")</f>
        <v>Un uomo è dentro un fienile ed è rilasciato su un cavallo per catturare una mucca attaccata al cavallo.</v>
      </c>
    </row>
    <row r="4669">
      <c r="A4669" s="4" t="s">
        <v>5869</v>
      </c>
      <c r="B4669" s="4" t="s">
        <v>5871</v>
      </c>
      <c r="C4669" s="5" t="str">
        <f>IFERROR(__xludf.DUMMYFUNCTION("GOOGLETRANSLATE(B4669,""en"",""it"")"),"Mentre lancia il suo lazo, gli manca la mucca e corre per ottenere qualcosa prima di tornare alla mucca.")</f>
        <v>Mentre lancia il suo lazo, gli manca la mucca e corre per ottenere qualcosa prima di tornare alla mucca.</v>
      </c>
    </row>
    <row r="4670">
      <c r="A4670" s="4" t="s">
        <v>5869</v>
      </c>
      <c r="B4670" s="6" t="s">
        <v>5872</v>
      </c>
      <c r="C4670" s="5" t="str">
        <f>IFERROR(__xludf.DUMMYFUNCTION("GOOGLETRANSLATE(B4670,""en"",""it"")"),"L'uomo finalmente si avvicina al vitello e un altro uomo esce per aiutarlo e torna al cavallo.")</f>
        <v>L'uomo finalmente si avvicina al vitello e un altro uomo esce per aiutarlo e torna al cavallo.</v>
      </c>
    </row>
    <row r="4671">
      <c r="A4671" s="4" t="s">
        <v>5873</v>
      </c>
      <c r="B4671" s="6" t="s">
        <v>5874</v>
      </c>
      <c r="C4671" s="5" t="str">
        <f>IFERROR(__xludf.DUMMYFUNCTION("GOOGLETRANSLATE(B4671,""en"",""it"")"),"Tre uomini seduti sul bancone sono seduti a guardare la TV e poi le donne in un outfit di Cheaging hanno iniziato a ballare mentre gli uomini li fissano.")</f>
        <v>Tre uomini seduti sul bancone sono seduti a guardare la TV e poi le donne in un outfit di Cheaging hanno iniziato a ballare mentre gli uomini li fissano.</v>
      </c>
    </row>
    <row r="4672">
      <c r="A4672" s="4" t="s">
        <v>5873</v>
      </c>
      <c r="B4672" s="4" t="s">
        <v>5875</v>
      </c>
      <c r="C4672" s="5" t="str">
        <f>IFERROR(__xludf.DUMMYFUNCTION("GOOGLETRANSLATE(B4672,""en"",""it"")"),"Le donne iniziarono a ballare, sollevando le braccia oscillando i loro corpi.")</f>
        <v>Le donne iniziarono a ballare, sollevando le braccia oscillando i loro corpi.</v>
      </c>
    </row>
    <row r="4673">
      <c r="A4673" s="4" t="s">
        <v>5873</v>
      </c>
      <c r="B4673" s="4" t="s">
        <v>5876</v>
      </c>
      <c r="C4673" s="5" t="str">
        <f>IFERROR(__xludf.DUMMYFUNCTION("GOOGLETRANSLATE(B4673,""en"",""it"")"),"Le ragazze giocano a biliardo e al calcio da tavolo con i ragazzi e ballano.")</f>
        <v>Le ragazze giocano a biliardo e al calcio da tavolo con i ragazzi e ballano.</v>
      </c>
    </row>
    <row r="4674">
      <c r="A4674" s="4" t="s">
        <v>5877</v>
      </c>
      <c r="B4674" s="4" t="s">
        <v>5878</v>
      </c>
      <c r="C4674" s="5" t="str">
        <f>IFERROR(__xludf.DUMMYFUNCTION("GOOGLETRANSLATE(B4674,""en"",""it"")"),"Viene mostrata una grande macchia di erba.")</f>
        <v>Viene mostrata una grande macchia di erba.</v>
      </c>
    </row>
    <row r="4675">
      <c r="A4675" s="4" t="s">
        <v>5877</v>
      </c>
      <c r="B4675" s="4" t="s">
        <v>5879</v>
      </c>
      <c r="C4675" s="5" t="str">
        <f>IFERROR(__xludf.DUMMYFUNCTION("GOOGLETRANSLATE(B4675,""en"",""it"")"),"Un uomo sta falciando il cortile accanto ai cespugli.")</f>
        <v>Un uomo sta falciando il cortile accanto ai cespugli.</v>
      </c>
    </row>
    <row r="4676">
      <c r="A4676" s="4" t="s">
        <v>5877</v>
      </c>
      <c r="B4676" s="4" t="s">
        <v>5880</v>
      </c>
      <c r="C4676" s="5" t="str">
        <f>IFERROR(__xludf.DUMMYFUNCTION("GOOGLETRANSLATE(B4676,""en"",""it"")"),"Si ferma e parla con la telecamera.")</f>
        <v>Si ferma e parla con la telecamera.</v>
      </c>
    </row>
    <row r="4677">
      <c r="A4677" s="4" t="s">
        <v>5881</v>
      </c>
      <c r="B4677" s="6" t="s">
        <v>5882</v>
      </c>
      <c r="C4677" s="5" t="str">
        <f>IFERROR(__xludf.DUMMYFUNCTION("GOOGLETRANSLATE(B4677,""en"",""it"")"),"Un uomo con una camicia rossa inizia a parlare di fronte a una parete di strumento composta da chiave, viti, ascia e trapani.")</f>
        <v>Un uomo con una camicia rossa inizia a parlare di fronte a una parete di strumento composta da chiave, viti, ascia e trapani.</v>
      </c>
    </row>
    <row r="4678">
      <c r="A4678" s="4" t="s">
        <v>5881</v>
      </c>
      <c r="B4678" s="4" t="s">
        <v>5883</v>
      </c>
      <c r="C4678" s="5" t="str">
        <f>IFERROR(__xludf.DUMMYFUNCTION("GOOGLETRANSLATE(B4678,""en"",""it"")"),"Quindi solleva un piccolo pezzo d'argento e inizia a infilarlo nella catena della bici.")</f>
        <v>Quindi solleva un piccolo pezzo d'argento e inizia a infilarlo nella catena della bici.</v>
      </c>
    </row>
    <row r="4679">
      <c r="A4679" s="4" t="s">
        <v>5881</v>
      </c>
      <c r="B4679" s="4" t="s">
        <v>5884</v>
      </c>
      <c r="C4679" s="5" t="str">
        <f>IFERROR(__xludf.DUMMYFUNCTION("GOOGLETRANSLATE(B4679,""en"",""it"")"),"Successivamente, prende un utensile nero, sposta i pedali e toglie completamente la catena.")</f>
        <v>Successivamente, prende un utensile nero, sposta i pedali e toglie completamente la catena.</v>
      </c>
    </row>
    <row r="4680">
      <c r="A4680" s="4" t="s">
        <v>5881</v>
      </c>
      <c r="B4680" s="6" t="s">
        <v>5885</v>
      </c>
      <c r="C4680" s="5" t="str">
        <f>IFERROR(__xludf.DUMMYFUNCTION("GOOGLETRANSLATE(B4680,""en"",""it"")"),"Quindi prende una scatola con una nuova catena e la rimette sulla bici e inizia a stringere la catena.")</f>
        <v>Quindi prende una scatola con una nuova catena e la rimette sulla bici e inizia a stringere la catena.</v>
      </c>
    </row>
    <row r="4681">
      <c r="A4681" s="4" t="s">
        <v>5886</v>
      </c>
      <c r="B4681" s="6" t="s">
        <v>5887</v>
      </c>
      <c r="C4681" s="5" t="str">
        <f>IFERROR(__xludf.DUMMYFUNCTION("GOOGLETRANSLATE(B4681,""en"",""it"")"),"Diverse persone che cavalcano lo skateboard si vedono cavalcando una lunga collina mentre la telecamera li segue da dietro.")</f>
        <v>Diverse persone che cavalcano lo skateboard si vedono cavalcando una lunga collina mentre la telecamera li segue da dietro.</v>
      </c>
    </row>
    <row r="4682">
      <c r="A4682" s="4" t="s">
        <v>5886</v>
      </c>
      <c r="B4682" s="6" t="s">
        <v>5888</v>
      </c>
      <c r="C4682" s="5" t="str">
        <f>IFERROR(__xludf.DUMMYFUNCTION("GOOGLETRANSLATE(B4682,""en"",""it"")"),"Il cameraman cavalca continuamente lungo una strada tortuosa oltre un gruppo di alberi e si ferma in fondo per incontrarsi con un altro.")</f>
        <v>Il cameraman cavalca continuamente lungo una strada tortuosa oltre un gruppo di alberi e si ferma in fondo per incontrarsi con un altro.</v>
      </c>
    </row>
    <row r="4683">
      <c r="A4683" s="4" t="s">
        <v>5886</v>
      </c>
      <c r="B4683" s="4" t="s">
        <v>5889</v>
      </c>
      <c r="C4683" s="5" t="str">
        <f>IFERROR(__xludf.DUMMYFUNCTION("GOOGLETRANSLATE(B4683,""en"",""it"")"),"Più cavalcata viene mostrata giù per la collina e termina con il Camerman che si gira.")</f>
        <v>Più cavalcata viene mostrata giù per la collina e termina con il Camerman che si gira.</v>
      </c>
    </row>
    <row r="4684">
      <c r="A4684" s="4" t="s">
        <v>5890</v>
      </c>
      <c r="B4684" s="4" t="s">
        <v>5891</v>
      </c>
      <c r="C4684" s="5" t="str">
        <f>IFERROR(__xludf.DUMMYFUNCTION("GOOGLETRANSLATE(B4684,""en"",""it"")"),"Una signora in palestra dà un pugno entrambe le braccia sul petto.")</f>
        <v>Una signora in palestra dà un pugno entrambe le braccia sul petto.</v>
      </c>
    </row>
    <row r="4685">
      <c r="A4685" s="4" t="s">
        <v>5890</v>
      </c>
      <c r="B4685" s="4" t="s">
        <v>5892</v>
      </c>
      <c r="C4685" s="5" t="str">
        <f>IFERROR(__xludf.DUMMYFUNCTION("GOOGLETRANSLATE(B4685,""en"",""it"")"),"La signora poi prende a calci la gamba sinistra in aria e poi quella destra dietro di lei.")</f>
        <v>La signora poi prende a calci la gamba sinistra in aria e poi quella destra dietro di lei.</v>
      </c>
    </row>
    <row r="4686">
      <c r="A4686" s="4" t="s">
        <v>5890</v>
      </c>
      <c r="B4686" s="4" t="s">
        <v>5893</v>
      </c>
      <c r="C4686" s="5" t="str">
        <f>IFERROR(__xludf.DUMMYFUNCTION("GOOGLETRANSLATE(B4686,""en"",""it"")"),"La signora ripete questa sequenza più e più volte.")</f>
        <v>La signora ripete questa sequenza più e più volte.</v>
      </c>
    </row>
    <row r="4687">
      <c r="A4687" s="4" t="s">
        <v>5894</v>
      </c>
      <c r="B4687" s="4" t="s">
        <v>5895</v>
      </c>
      <c r="C4687" s="5" t="str">
        <f>IFERROR(__xludf.DUMMYFUNCTION("GOOGLETRANSLATE(B4687,""en"",""it"")"),"I giocatori di hockey stanno giocando una partita di hockey sul ghiaccio.")</f>
        <v>I giocatori di hockey stanno giocando una partita di hockey sul ghiaccio.</v>
      </c>
    </row>
    <row r="4688">
      <c r="A4688" s="4" t="s">
        <v>5894</v>
      </c>
      <c r="B4688" s="4" t="s">
        <v>5896</v>
      </c>
      <c r="C4688" s="5" t="str">
        <f>IFERROR(__xludf.DUMMYFUNCTION("GOOGLETRANSLATE(B4688,""en"",""it"")"),"Una folla li sta guardando giocare.")</f>
        <v>Una folla li sta guardando giocare.</v>
      </c>
    </row>
    <row r="4689">
      <c r="A4689" s="4" t="s">
        <v>5894</v>
      </c>
      <c r="B4689" s="4" t="s">
        <v>5897</v>
      </c>
      <c r="C4689" s="5" t="str">
        <f>IFERROR(__xludf.DUMMYFUNCTION("GOOGLETRANSLATE(B4689,""en"",""it"")"),"Un uomo in giallo cade sul ghiaccio.")</f>
        <v>Un uomo in giallo cade sul ghiaccio.</v>
      </c>
    </row>
    <row r="4690">
      <c r="A4690" s="4" t="s">
        <v>5894</v>
      </c>
      <c r="B4690" s="4" t="s">
        <v>5898</v>
      </c>
      <c r="C4690" s="5" t="str">
        <f>IFERROR(__xludf.DUMMYFUNCTION("GOOGLETRANSLATE(B4690,""en"",""it"")"),"Un uomo in giacca e cravatta sta parlando con i giocatori di hockey.")</f>
        <v>Un uomo in giacca e cravatta sta parlando con i giocatori di hockey.</v>
      </c>
    </row>
    <row r="4691">
      <c r="A4691" s="4" t="s">
        <v>5899</v>
      </c>
      <c r="B4691" s="4" t="s">
        <v>1487</v>
      </c>
      <c r="C4691" s="5" t="str">
        <f>IFERROR(__xludf.DUMMYFUNCTION("GOOGLETRANSLATE(B4691,""en"",""it"")"),"Vediamo una schermata del titolo di apertura.")</f>
        <v>Vediamo una schermata del titolo di apertura.</v>
      </c>
    </row>
    <row r="4692">
      <c r="A4692" s="4" t="s">
        <v>5899</v>
      </c>
      <c r="B4692" s="4" t="s">
        <v>5900</v>
      </c>
      <c r="C4692" s="5" t="str">
        <f>IFERROR(__xludf.DUMMYFUNCTION("GOOGLETRANSLATE(B4692,""en"",""it"")"),"Un uomo sta spruzzando un lavandino con una rondella di pressione.")</f>
        <v>Un uomo sta spruzzando un lavandino con una rondella di pressione.</v>
      </c>
    </row>
    <row r="4693">
      <c r="A4693" s="4" t="s">
        <v>5899</v>
      </c>
      <c r="B4693" s="4" t="s">
        <v>5901</v>
      </c>
      <c r="C4693" s="5" t="str">
        <f>IFERROR(__xludf.DUMMYFUNCTION("GOOGLETRANSLATE(B4693,""en"",""it"")"),"L'uomo spruzza un bagno e poi spruzza di nuovo il lavandino.")</f>
        <v>L'uomo spruzza un bagno e poi spruzza di nuovo il lavandino.</v>
      </c>
    </row>
    <row r="4694">
      <c r="A4694" s="4" t="s">
        <v>5899</v>
      </c>
      <c r="B4694" s="6" t="s">
        <v>5902</v>
      </c>
      <c r="C4694" s="5" t="str">
        <f>IFERROR(__xludf.DUMMYFUNCTION("GOOGLETRANSLATE(B4694,""en"",""it"")"),"Vediamo una schermata del titolo che l'uomo mostra la macchina e gira un quadrante e rossa il pavimento, il lavandino, il gabinetto e lo specchio.")</f>
        <v>Vediamo una schermata del titolo che l'uomo mostra la macchina e gira un quadrante e rossa il pavimento, il lavandino, il gabinetto e lo specchio.</v>
      </c>
    </row>
    <row r="4695">
      <c r="A4695" s="4" t="s">
        <v>5899</v>
      </c>
      <c r="B4695" s="4" t="s">
        <v>5903</v>
      </c>
      <c r="C4695" s="5" t="str">
        <f>IFERROR(__xludf.DUMMYFUNCTION("GOOGLETRANSLATE(B4695,""en"",""it"")"),"L'uomo usa uno spremuto allo specchio.")</f>
        <v>L'uomo usa uno spremuto allo specchio.</v>
      </c>
    </row>
    <row r="4696">
      <c r="A4696" s="4" t="s">
        <v>5899</v>
      </c>
      <c r="B4696" s="6" t="s">
        <v>5904</v>
      </c>
      <c r="C4696" s="5" t="str">
        <f>IFERROR(__xludf.DUMMYFUNCTION("GOOGLETRANSLATE(B4696,""en"",""it"")"),"L'uomo regola la macchina e aggancia un tubo e usa aria per asciugare il lavandino e mopare il pavimento.")</f>
        <v>L'uomo regola la macchina e aggancia un tubo e usa aria per asciugare il lavandino e mopare il pavimento.</v>
      </c>
    </row>
    <row r="4697">
      <c r="A4697" s="4" t="s">
        <v>5905</v>
      </c>
      <c r="B4697" s="4" t="s">
        <v>5906</v>
      </c>
      <c r="C4697" s="5" t="str">
        <f>IFERROR(__xludf.DUMMYFUNCTION("GOOGLETRANSLATE(B4697,""en"",""it"")"),"Vediamo un uomo che oscilla in un parco.")</f>
        <v>Vediamo un uomo che oscilla in un parco.</v>
      </c>
    </row>
    <row r="4698">
      <c r="A4698" s="4" t="s">
        <v>5905</v>
      </c>
      <c r="B4698" s="4" t="s">
        <v>5907</v>
      </c>
      <c r="C4698" s="5" t="str">
        <f>IFERROR(__xludf.DUMMYFUNCTION("GOOGLETRANSLATE(B4698,""en"",""it"")"),"L'uomo si trova mentre si tiene sull'oscillazione.")</f>
        <v>L'uomo si trova mentre si tiene sull'oscillazione.</v>
      </c>
    </row>
    <row r="4699">
      <c r="A4699" s="4" t="s">
        <v>5905</v>
      </c>
      <c r="B4699" s="4" t="s">
        <v>5908</v>
      </c>
      <c r="C4699" s="5" t="str">
        <f>IFERROR(__xludf.DUMMYFUNCTION("GOOGLETRANSLATE(B4699,""en"",""it"")"),"L'uomo si alza di nuovo e vediamo una bambina.")</f>
        <v>L'uomo si alza di nuovo e vediamo una bambina.</v>
      </c>
    </row>
    <row r="4700">
      <c r="A4700" s="4" t="s">
        <v>5905</v>
      </c>
      <c r="B4700" s="4" t="s">
        <v>5909</v>
      </c>
      <c r="C4700" s="5" t="str">
        <f>IFERROR(__xludf.DUMMYFUNCTION("GOOGLETRANSLATE(B4700,""en"",""it"")"),"Una signora cerca di mettere la ragazza nell'altalena, ma finisce per oscillare da sola.")</f>
        <v>Una signora cerca di mettere la ragazza nell'altalena, ma finisce per oscillare da sola.</v>
      </c>
    </row>
    <row r="4701">
      <c r="A4701" s="4" t="s">
        <v>5910</v>
      </c>
      <c r="B4701" s="4" t="s">
        <v>5911</v>
      </c>
      <c r="C4701" s="5" t="str">
        <f>IFERROR(__xludf.DUMMYFUNCTION("GOOGLETRANSLATE(B4701,""en"",""it"")"),"L'uomo è sul palco facendo ginnastica in una competizione.")</f>
        <v>L'uomo è sul palco facendo ginnastica in una competizione.</v>
      </c>
    </row>
    <row r="4702">
      <c r="A4702" s="4" t="s">
        <v>5910</v>
      </c>
      <c r="B4702" s="4" t="s">
        <v>5912</v>
      </c>
      <c r="C4702" s="5" t="str">
        <f>IFERROR(__xludf.DUMMYFUNCTION("GOOGLETRANSLATE(B4702,""en"",""it"")"),"L'uomo tiene un videoregistratore.")</f>
        <v>L'uomo tiene un videoregistratore.</v>
      </c>
    </row>
    <row r="4703">
      <c r="A4703" s="4" t="s">
        <v>5913</v>
      </c>
      <c r="B4703" s="4" t="s">
        <v>5914</v>
      </c>
      <c r="C4703" s="5" t="str">
        <f>IFERROR(__xludf.DUMMYFUNCTION("GOOGLETRANSLATE(B4703,""en"",""it"")"),"Un ragazzo tiene un cono gelato a un bambino seduto su un sedile seggiolone.")</f>
        <v>Un ragazzo tiene un cono gelato a un bambino seduto su un sedile seggiolone.</v>
      </c>
    </row>
    <row r="4704">
      <c r="A4704" s="4" t="s">
        <v>5913</v>
      </c>
      <c r="B4704" s="4" t="s">
        <v>5915</v>
      </c>
      <c r="C4704" s="5" t="str">
        <f>IFERROR(__xludf.DUMMYFUNCTION("GOOGLETRANSLATE(B4704,""en"",""it"")"),"Il bambino ama il cono gelato.")</f>
        <v>Il bambino ama il cono gelato.</v>
      </c>
    </row>
    <row r="4705">
      <c r="A4705" s="4" t="s">
        <v>5916</v>
      </c>
      <c r="B4705" s="4" t="s">
        <v>5917</v>
      </c>
      <c r="C4705" s="5" t="str">
        <f>IFERROR(__xludf.DUMMYFUNCTION("GOOGLETRANSLATE(B4705,""en"",""it"")"),"Un uomo con una camicia nera parla fuori vicino a una pista e un campo.")</f>
        <v>Un uomo con una camicia nera parla fuori vicino a una pista e un campo.</v>
      </c>
    </row>
    <row r="4706">
      <c r="A4706" s="4" t="s">
        <v>5916</v>
      </c>
      <c r="B4706" s="4" t="s">
        <v>5918</v>
      </c>
      <c r="C4706" s="5" t="str">
        <f>IFERROR(__xludf.DUMMYFUNCTION("GOOGLETRANSLATE(B4706,""en"",""it"")"),"Quindi si avvicina a uno studente atleta della Florida State University.")</f>
        <v>Quindi si avvicina a uno studente atleta della Florida State University.</v>
      </c>
    </row>
    <row r="4707">
      <c r="A4707" s="4" t="s">
        <v>5916</v>
      </c>
      <c r="B4707" s="4" t="s">
        <v>5919</v>
      </c>
      <c r="C4707" s="5" t="str">
        <f>IFERROR(__xludf.DUMMYFUNCTION("GOOGLETRANSLATE(B4707,""en"",""it"")"),"L'atleta inizia quindi a parlare e mostrare varie tecniche che usa.")</f>
        <v>L'atleta inizia quindi a parlare e mostrare varie tecniche che usa.</v>
      </c>
    </row>
    <row r="4708">
      <c r="A4708" s="4" t="s">
        <v>5916</v>
      </c>
      <c r="B4708" s="6" t="s">
        <v>5920</v>
      </c>
      <c r="C4708" s="5" t="str">
        <f>IFERROR(__xludf.DUMMYFUNCTION("GOOGLETRANSLATE(B4708,""en"",""it"")"),"Una volta terminata, inizia a fare un triplo salto nella fossa, ci prova di nuovo, e poi l'uomo che le interviene inizia a fare lo stesso salto.")</f>
        <v>Una volta terminata, inizia a fare un triplo salto nella fossa, ci prova di nuovo, e poi l'uomo che le interviene inizia a fare lo stesso salto.</v>
      </c>
    </row>
    <row r="4709">
      <c r="A4709" s="4" t="s">
        <v>5916</v>
      </c>
      <c r="B4709" s="4" t="s">
        <v>5921</v>
      </c>
      <c r="C4709" s="5" t="str">
        <f>IFERROR(__xludf.DUMMYFUNCTION("GOOGLETRANSLATE(B4709,""en"",""it"")"),"I due tornano alla telecamera e finiscono di parlare, le lampeggia i pollici in su e poi se ne va.")</f>
        <v>I due tornano alla telecamera e finiscono di parlare, le lampeggia i pollici in su e poi se ne va.</v>
      </c>
    </row>
    <row r="4710">
      <c r="A4710" s="4" t="s">
        <v>5922</v>
      </c>
      <c r="B4710" s="6" t="s">
        <v>5923</v>
      </c>
      <c r="C4710" s="5" t="str">
        <f>IFERROR(__xludf.DUMMYFUNCTION("GOOGLETRANSLATE(B4710,""en"",""it"")"),"Due persone si vedono fare giri e calci l'uno intorno all'altro in un grande cerchio circondato da persone.")</f>
        <v>Due persone si vedono fare giri e calci l'uno intorno all'altro in un grande cerchio circondato da persone.</v>
      </c>
    </row>
    <row r="4711">
      <c r="A4711" s="4" t="s">
        <v>5922</v>
      </c>
      <c r="B4711" s="4" t="s">
        <v>5924</v>
      </c>
      <c r="C4711" s="5" t="str">
        <f>IFERROR(__xludf.DUMMYFUNCTION("GOOGLETRANSLATE(B4711,""en"",""it"")"),"Più persone si uniscono ai calci e si lanciano mentre gli altri li guardano sul lato e afferrano.")</f>
        <v>Più persone si uniscono ai calci e si lanciano mentre gli altri li guardano sul lato e afferrano.</v>
      </c>
    </row>
    <row r="4712">
      <c r="A4712" s="4" t="s">
        <v>5925</v>
      </c>
      <c r="B4712" s="4" t="s">
        <v>5926</v>
      </c>
      <c r="C4712" s="5" t="str">
        <f>IFERROR(__xludf.DUMMYFUNCTION("GOOGLETRANSLATE(B4712,""en"",""it"")"),"Vediamo un titolo su un'immagine di un'auto.")</f>
        <v>Vediamo un titolo su un'immagine di un'auto.</v>
      </c>
    </row>
    <row r="4713">
      <c r="A4713" s="4" t="s">
        <v>5925</v>
      </c>
      <c r="B4713" s="4" t="s">
        <v>5927</v>
      </c>
      <c r="C4713" s="5" t="str">
        <f>IFERROR(__xludf.DUMMYFUNCTION("GOOGLETRANSLATE(B4713,""en"",""it"")"),"Vediamo un uomo seduto dopo e parlare della macchina.")</f>
        <v>Vediamo un uomo seduto dopo e parlare della macchina.</v>
      </c>
    </row>
    <row r="4714">
      <c r="A4714" s="4" t="s">
        <v>5925</v>
      </c>
      <c r="B4714" s="4" t="s">
        <v>5928</v>
      </c>
      <c r="C4714" s="5" t="str">
        <f>IFERROR(__xludf.DUMMYFUNCTION("GOOGLETRANSLATE(B4714,""en"",""it"")"),"L'uomo mette un mattone dietro la sua gomma e afferra le sue provviste per cambiare la sua gomma.")</f>
        <v>L'uomo mette un mattone dietro la sua gomma e afferra le sue provviste per cambiare la sua gomma.</v>
      </c>
    </row>
    <row r="4715">
      <c r="A4715" s="4" t="s">
        <v>5925</v>
      </c>
      <c r="B4715" s="4" t="s">
        <v>5929</v>
      </c>
      <c r="C4715" s="5" t="str">
        <f>IFERROR(__xludf.DUMMYFUNCTION("GOOGLETRANSLATE(B4715,""en"",""it"")"),"L'uomo allenta i bulloni e solleva l'auto e rimuove lo pneumatico.")</f>
        <v>L'uomo allenta i bulloni e solleva l'auto e rimuove lo pneumatico.</v>
      </c>
    </row>
    <row r="4716">
      <c r="A4716" s="4" t="s">
        <v>5925</v>
      </c>
      <c r="B4716" s="4" t="s">
        <v>5930</v>
      </c>
      <c r="C4716" s="5" t="str">
        <f>IFERROR(__xludf.DUMMYFUNCTION("GOOGLETRANSLATE(B4716,""en"",""it"")"),"L'uomo si mette a terra e abbassa l'auto a terra.")</f>
        <v>L'uomo si mette a terra e abbassa l'auto a terra.</v>
      </c>
    </row>
    <row r="4717">
      <c r="A4717" s="4" t="s">
        <v>5925</v>
      </c>
      <c r="B4717" s="4" t="s">
        <v>5931</v>
      </c>
      <c r="C4717" s="5" t="str">
        <f>IFERROR(__xludf.DUMMYFUNCTION("GOOGLETRANSLATE(B4717,""en"",""it"")"),"L'uomo mette via le sue provviste e si allontana.")</f>
        <v>L'uomo mette via le sue provviste e si allontana.</v>
      </c>
    </row>
    <row r="4718">
      <c r="A4718" s="4" t="s">
        <v>5925</v>
      </c>
      <c r="B4718" s="4" t="s">
        <v>5932</v>
      </c>
      <c r="C4718" s="5" t="str">
        <f>IFERROR(__xludf.DUMMYFUNCTION("GOOGLETRANSLATE(B4718,""en"",""it"")"),"L'uomo si ferma vicino alla telecamera e parla prima di scappare.")</f>
        <v>L'uomo si ferma vicino alla telecamera e parla prima di scappare.</v>
      </c>
    </row>
    <row r="4719">
      <c r="A4719" s="4" t="s">
        <v>5925</v>
      </c>
      <c r="B4719" s="4" t="s">
        <v>777</v>
      </c>
      <c r="C4719" s="5" t="str">
        <f>IFERROR(__xludf.DUMMYFUNCTION("GOOGLETRANSLATE(B4719,""en"",""it"")"),"Vediamo la schermata del titolo finale.")</f>
        <v>Vediamo la schermata del titolo finale.</v>
      </c>
    </row>
    <row r="4720">
      <c r="A4720" s="4" t="s">
        <v>5933</v>
      </c>
      <c r="B4720" s="6" t="s">
        <v>5934</v>
      </c>
      <c r="C4720" s="5" t="str">
        <f>IFERROR(__xludf.DUMMYFUNCTION("GOOGLETRANSLATE(B4720,""en"",""it"")"),"Una telecamera si panoramica intorno a una piscina riscaldata e conduce a una persona che si arrampica su un kayak e si muove in piscina.")</f>
        <v>Una telecamera si panoramica intorno a una piscina riscaldata e conduce a una persona che si arrampica su un kayak e si muove in piscina.</v>
      </c>
    </row>
    <row r="4721">
      <c r="A4721" s="4" t="s">
        <v>5933</v>
      </c>
      <c r="B4721" s="6" t="s">
        <v>5935</v>
      </c>
      <c r="C4721" s="5" t="str">
        <f>IFERROR(__xludf.DUMMYFUNCTION("GOOGLETRANSLATE(B4721,""en"",""it"")"),"Diverse persone hanno visto cavalcare kayak in piscina e persone che nuotano e guardano a margine.")</f>
        <v>Diverse persone hanno visto cavalcare kayak in piscina e persone che nuotano e guardano a margine.</v>
      </c>
    </row>
    <row r="4722">
      <c r="A4722" s="4" t="s">
        <v>5933</v>
      </c>
      <c r="B4722" s="6" t="s">
        <v>5936</v>
      </c>
      <c r="C4722" s="5" t="str">
        <f>IFERROR(__xludf.DUMMYFUNCTION("GOOGLETRANSLATE(B4722,""en"",""it"")"),"Gli uomini continuano a muoversi in vari angoli e vengono mostrati nuotare sott'acqua e giocare tra loro.")</f>
        <v>Gli uomini continuano a muoversi in vari angoli e vengono mostrati nuotare sott'acqua e giocare tra loro.</v>
      </c>
    </row>
    <row r="4723">
      <c r="A4723" s="4" t="s">
        <v>5937</v>
      </c>
      <c r="B4723" s="4" t="s">
        <v>5938</v>
      </c>
      <c r="C4723" s="5" t="str">
        <f>IFERROR(__xludf.DUMMYFUNCTION("GOOGLETRANSLATE(B4723,""en"",""it"")"),"Il logo Howcast è sullo schermo.")</f>
        <v>Il logo Howcast è sullo schermo.</v>
      </c>
    </row>
    <row r="4724">
      <c r="A4724" s="4" t="s">
        <v>5937</v>
      </c>
      <c r="B4724" s="4" t="s">
        <v>5939</v>
      </c>
      <c r="C4724" s="5" t="str">
        <f>IFERROR(__xludf.DUMMYFUNCTION("GOOGLETRANSLATE(B4724,""en"",""it"")"),"Due uomini sono seduti nel mezzo della batteria e spiegano gli strumenti.")</f>
        <v>Due uomini sono seduti nel mezzo della batteria e spiegano gli strumenti.</v>
      </c>
    </row>
    <row r="4725">
      <c r="A4725" s="4" t="s">
        <v>5937</v>
      </c>
      <c r="B4725" s="4" t="s">
        <v>5940</v>
      </c>
      <c r="C4725" s="5" t="str">
        <f>IFERROR(__xludf.DUMMYFUNCTION("GOOGLETRANSLATE(B4725,""en"",""it"")"),"Gli uomini iniziano a suonare la batteria.")</f>
        <v>Gli uomini iniziano a suonare la batteria.</v>
      </c>
    </row>
    <row r="4726">
      <c r="A4726" s="4" t="s">
        <v>5937</v>
      </c>
      <c r="B4726" s="4" t="s">
        <v>5941</v>
      </c>
      <c r="C4726" s="5" t="str">
        <f>IFERROR(__xludf.DUMMYFUNCTION("GOOGLETRANSLATE(B4726,""en"",""it"")"),"Tornano a parlare della batteria.")</f>
        <v>Tornano a parlare della batteria.</v>
      </c>
    </row>
    <row r="4727">
      <c r="A4727" s="4" t="s">
        <v>5942</v>
      </c>
      <c r="B4727" s="4" t="s">
        <v>5943</v>
      </c>
      <c r="C4727" s="5" t="str">
        <f>IFERROR(__xludf.DUMMYFUNCTION("GOOGLETRANSLATE(B4727,""en"",""it"")"),"Le persone sciano giù da una collina e continuano a cadere e scivolano giù per la collina.")</f>
        <v>Le persone sciano giù da una collina e continuano a cadere e scivolano giù per la collina.</v>
      </c>
    </row>
    <row r="4728">
      <c r="A4728" s="4" t="s">
        <v>5942</v>
      </c>
      <c r="B4728" s="4" t="s">
        <v>5944</v>
      </c>
      <c r="C4728" s="5" t="str">
        <f>IFERROR(__xludf.DUMMYFUNCTION("GOOGLETRANSLATE(B4728,""en"",""it"")"),"Una persona si schianta contro una recinzione.")</f>
        <v>Una persona si schianta contro una recinzione.</v>
      </c>
    </row>
    <row r="4729">
      <c r="A4729" s="4" t="s">
        <v>5945</v>
      </c>
      <c r="B4729" s="4" t="s">
        <v>5946</v>
      </c>
      <c r="C4729" s="5" t="str">
        <f>IFERROR(__xludf.DUMMYFUNCTION("GOOGLETRANSLATE(B4729,""en"",""it"")"),"Un pennello e due tipi di vernice sono su un tavolo.")</f>
        <v>Un pennello e due tipi di vernice sono su un tavolo.</v>
      </c>
    </row>
    <row r="4730">
      <c r="A4730" s="4" t="s">
        <v>5945</v>
      </c>
      <c r="B4730" s="4" t="s">
        <v>5947</v>
      </c>
      <c r="C4730" s="5" t="str">
        <f>IFERROR(__xludf.DUMMYFUNCTION("GOOGLETRANSLATE(B4730,""en"",""it"")"),"Un cerchio di maglia è mostrato sdraiato su un panno e una donna dipinge un design nel panno.")</f>
        <v>Un cerchio di maglia è mostrato sdraiato su un panno e una donna dipinge un design nel panno.</v>
      </c>
    </row>
    <row r="4731">
      <c r="A4731" s="4" t="s">
        <v>5945</v>
      </c>
      <c r="B4731" s="4" t="s">
        <v>5948</v>
      </c>
      <c r="C4731" s="5" t="str">
        <f>IFERROR(__xludf.DUMMYFUNCTION("GOOGLETRANSLATE(B4731,""en"",""it"")"),"Forma molte foglie e fiori in tonalità arancioni.")</f>
        <v>Forma molte foglie e fiori in tonalità arancioni.</v>
      </c>
    </row>
    <row r="4732">
      <c r="A4732" s="4" t="s">
        <v>5945</v>
      </c>
      <c r="B4732" s="4" t="s">
        <v>5949</v>
      </c>
      <c r="C4732" s="5" t="str">
        <f>IFERROR(__xludf.DUMMYFUNCTION("GOOGLETRANSLATE(B4732,""en"",""it"")"),"Quando ha finito, mostra il design dei fiori.")</f>
        <v>Quando ha finito, mostra il design dei fiori.</v>
      </c>
    </row>
    <row r="4733">
      <c r="A4733" s="4" t="s">
        <v>5950</v>
      </c>
      <c r="B4733" s="4" t="s">
        <v>5951</v>
      </c>
      <c r="C4733" s="5" t="str">
        <f>IFERROR(__xludf.DUMMYFUNCTION("GOOGLETRANSLATE(B4733,""en"",""it"")"),"Un uomo si siede e suona un pianoforte nero in un auditorium vuoto.")</f>
        <v>Un uomo si siede e suona un pianoforte nero in un auditorium vuoto.</v>
      </c>
    </row>
    <row r="4734">
      <c r="A4734" s="4" t="s">
        <v>5950</v>
      </c>
      <c r="B4734" s="6" t="s">
        <v>5952</v>
      </c>
      <c r="C4734" s="5" t="str">
        <f>IFERROR(__xludf.DUMMYFUNCTION("GOOGLETRANSLATE(B4734,""en"",""it"")"),"Vediamo tre persone in prima fila che guardano e ascoltano l'uomo mentre gioca e una persona una fila dietro di loro.")</f>
        <v>Vediamo tre persone in prima fila che guardano e ascoltano l'uomo mentre gioca e una persona una fila dietro di loro.</v>
      </c>
    </row>
    <row r="4735">
      <c r="A4735" s="4" t="s">
        <v>5950</v>
      </c>
      <c r="B4735" s="4" t="s">
        <v>5953</v>
      </c>
      <c r="C4735" s="5" t="str">
        <f>IFERROR(__xludf.DUMMYFUNCTION("GOOGLETRANSLATE(B4735,""en"",""it"")"),"Vediamo le tre persone, due donne e uno.")</f>
        <v>Vediamo le tre persone, due donne e uno.</v>
      </c>
    </row>
    <row r="4736">
      <c r="A4736" s="4" t="s">
        <v>5950</v>
      </c>
      <c r="B4736" s="4" t="s">
        <v>5954</v>
      </c>
      <c r="C4736" s="5" t="str">
        <f>IFERROR(__xludf.DUMMYFUNCTION("GOOGLETRANSLATE(B4736,""en"",""it"")"),"Il giocatore si alza e gioca.")</f>
        <v>Il giocatore si alza e gioca.</v>
      </c>
    </row>
    <row r="4737">
      <c r="A4737" s="4" t="s">
        <v>5950</v>
      </c>
      <c r="B4737" s="4" t="s">
        <v>5955</v>
      </c>
      <c r="C4737" s="5" t="str">
        <f>IFERROR(__xludf.DUMMYFUNCTION("GOOGLETRANSLATE(B4737,""en"",""it"")"),"Il giocatore finisce e si alza.")</f>
        <v>Il giocatore finisce e si alza.</v>
      </c>
    </row>
    <row r="4738">
      <c r="A4738" s="4" t="s">
        <v>5956</v>
      </c>
      <c r="B4738" s="4" t="s">
        <v>5957</v>
      </c>
      <c r="C4738" s="5" t="str">
        <f>IFERROR(__xludf.DUMMYFUNCTION("GOOGLETRANSLATE(B4738,""en"",""it"")"),"Una persona sta tagliando il pane con un coltello.")</f>
        <v>Una persona sta tagliando il pane con un coltello.</v>
      </c>
    </row>
    <row r="4739">
      <c r="A4739" s="4" t="s">
        <v>5956</v>
      </c>
      <c r="B4739" s="4" t="s">
        <v>5958</v>
      </c>
      <c r="C4739" s="5" t="str">
        <f>IFERROR(__xludf.DUMMYFUNCTION("GOOGLETRANSLATE(B4739,""en"",""it"")"),"Mescolano gli ingredienti in una ciotola.")</f>
        <v>Mescolano gli ingredienti in una ciotola.</v>
      </c>
    </row>
    <row r="4740">
      <c r="A4740" s="4" t="s">
        <v>5956</v>
      </c>
      <c r="B4740" s="4" t="s">
        <v>5959</v>
      </c>
      <c r="C4740" s="5" t="str">
        <f>IFERROR(__xludf.DUMMYFUNCTION("GOOGLETRANSLATE(B4740,""en"",""it"")"),"Cuocano il pane su una griglia.")</f>
        <v>Cuocano il pane su una griglia.</v>
      </c>
    </row>
    <row r="4741">
      <c r="A4741" s="4" t="s">
        <v>5956</v>
      </c>
      <c r="B4741" s="4" t="s">
        <v>5960</v>
      </c>
      <c r="C4741" s="5" t="str">
        <f>IFERROR(__xludf.DUMMYFUNCTION("GOOGLETRANSLATE(B4741,""en"",""it"")"),"Aggiungono una pallina di gelato al cioccolato accanto al panino.")</f>
        <v>Aggiungono una pallina di gelato al cioccolato accanto al panino.</v>
      </c>
    </row>
    <row r="4742">
      <c r="A4742" s="4" t="s">
        <v>5961</v>
      </c>
      <c r="B4742" s="4" t="s">
        <v>5962</v>
      </c>
      <c r="C4742" s="5" t="str">
        <f>IFERROR(__xludf.DUMMYFUNCTION("GOOGLETRANSLATE(B4742,""en"",""it"")"),"Una bici statica rustica di legno è in una stanza.")</f>
        <v>Una bici statica rustica di legno è in una stanza.</v>
      </c>
    </row>
    <row r="4743">
      <c r="A4743" s="4" t="s">
        <v>5961</v>
      </c>
      <c r="B4743" s="4" t="s">
        <v>5963</v>
      </c>
      <c r="C4743" s="5" t="str">
        <f>IFERROR(__xludf.DUMMYFUNCTION("GOOGLETRANSLATE(B4743,""en"",""it"")"),"Quindi, un uomo pedala la bici mentre mostra la maniglia.")</f>
        <v>Quindi, un uomo pedala la bici mentre mostra la maniglia.</v>
      </c>
    </row>
    <row r="4744">
      <c r="A4744" s="4" t="s">
        <v>5961</v>
      </c>
      <c r="B4744" s="4" t="s">
        <v>5964</v>
      </c>
      <c r="C4744" s="5" t="str">
        <f>IFERROR(__xludf.DUMMYFUNCTION("GOOGLETRANSLATE(B4744,""en"",""it"")"),"Quindi l'uomo si siede sulla bici per pedalare e poi si trova.")</f>
        <v>Quindi l'uomo si siede sulla bici per pedalare e poi si trova.</v>
      </c>
    </row>
    <row r="4745">
      <c r="A4745" s="4" t="s">
        <v>5965</v>
      </c>
      <c r="B4745" s="4" t="s">
        <v>5966</v>
      </c>
      <c r="C4745" s="5" t="str">
        <f>IFERROR(__xludf.DUMMYFUNCTION("GOOGLETRANSLATE(B4745,""en"",""it"")"),"Un uomo usa un trimmer per la barba per tagliare le guance e il collo.")</f>
        <v>Un uomo usa un trimmer per la barba per tagliare le guance e il collo.</v>
      </c>
    </row>
    <row r="4746">
      <c r="A4746" s="4" t="s">
        <v>5965</v>
      </c>
      <c r="B4746" s="4" t="s">
        <v>5967</v>
      </c>
      <c r="C4746" s="5" t="str">
        <f>IFERROR(__xludf.DUMMYFUNCTION("GOOGLETRANSLATE(B4746,""en"",""it"")"),"L'uomo accarezza il pizzetto ed lo esamina.")</f>
        <v>L'uomo accarezza il pizzetto ed lo esamina.</v>
      </c>
    </row>
    <row r="4747">
      <c r="A4747" s="4" t="s">
        <v>5965</v>
      </c>
      <c r="B4747" s="4" t="s">
        <v>5968</v>
      </c>
      <c r="C4747" s="5" t="str">
        <f>IFERROR(__xludf.DUMMYFUNCTION("GOOGLETRANSLATE(B4747,""en"",""it"")"),"L'uomo tagli la zona del mento per fare i baffi.")</f>
        <v>L'uomo tagli la zona del mento per fare i baffi.</v>
      </c>
    </row>
    <row r="4748">
      <c r="A4748" s="4" t="s">
        <v>5969</v>
      </c>
      <c r="B4748" s="6" t="s">
        <v>5970</v>
      </c>
      <c r="C4748" s="5" t="str">
        <f>IFERROR(__xludf.DUMMYFUNCTION("GOOGLETRANSLATE(B4748,""en"",""it"")"),"Un maschio è in piedi vicino alla porta bianca, tiene il legno rettangolare e d'altra parte c'è una tavola che contiene un grosso pezzo di argilla marrone.")</f>
        <v>Un maschio è in piedi vicino alla porta bianca, tiene il legno rettangolare e d'altra parte c'è una tavola che contiene un grosso pezzo di argilla marrone.</v>
      </c>
    </row>
    <row r="4749">
      <c r="A4749" s="4" t="s">
        <v>5969</v>
      </c>
      <c r="B4749" s="6" t="s">
        <v>5971</v>
      </c>
      <c r="C4749" s="5" t="str">
        <f>IFERROR(__xludf.DUMMYFUNCTION("GOOGLETRANSLATE(B4749,""en"",""it"")"),"Puntò il muro e iniziò a diffondere l'argilla marrone sul muro, lo spargiva strofinandolo senza intoppi e in un semicerchio.")</f>
        <v>Puntò il muro e iniziò a diffondere l'argilla marrone sul muro, lo spargiva strofinandolo senza intoppi e in un semicerchio.</v>
      </c>
    </row>
    <row r="4750">
      <c r="A4750" s="4" t="s">
        <v>5969</v>
      </c>
      <c r="B4750" s="6" t="s">
        <v>5972</v>
      </c>
      <c r="C4750" s="5" t="str">
        <f>IFERROR(__xludf.DUMMYFUNCTION("GOOGLETRANSLATE(B4750,""en"",""it"")"),"Si avvicinò al soffitto, bussò al soffitto, lo spinse, lo bussò di nuovo, levigò usando le dita.")</f>
        <v>Si avvicinò al soffitto, bussò al soffitto, lo spinse, lo bussò di nuovo, levigò usando le dita.</v>
      </c>
    </row>
    <row r="4751">
      <c r="A4751" s="4" t="s">
        <v>5973</v>
      </c>
      <c r="B4751" s="4" t="s">
        <v>5974</v>
      </c>
      <c r="C4751" s="5" t="str">
        <f>IFERROR(__xludf.DUMMYFUNCTION("GOOGLETRANSLATE(B4751,""en"",""it"")"),"Vediamo una schermata del titolo di apertura.")</f>
        <v>Vediamo una schermata del titolo di apertura.</v>
      </c>
    </row>
    <row r="4752">
      <c r="A4752" s="4" t="s">
        <v>5973</v>
      </c>
      <c r="B4752" s="4" t="s">
        <v>5975</v>
      </c>
      <c r="C4752" s="5" t="str">
        <f>IFERROR(__xludf.DUMMYFUNCTION("GOOGLETRANSLATE(B4752,""en"",""it"")"),"Le persone si trovano nei boschi con palette mentre indossavano attrezzature per il rafting.")</f>
        <v>Le persone si trovano nei boschi con palette mentre indossavano attrezzature per il rafting.</v>
      </c>
    </row>
    <row r="4753">
      <c r="A4753" s="4" t="s">
        <v>5973</v>
      </c>
      <c r="B4753" s="4" t="s">
        <v>5976</v>
      </c>
      <c r="C4753" s="5" t="str">
        <f>IFERROR(__xludf.DUMMYFUNCTION("GOOGLETRANSLATE(B4753,""en"",""it"")"),"La gente cammina verso il lago con le zattere e entrano.")</f>
        <v>La gente cammina verso il lago con le zattere e entrano.</v>
      </c>
    </row>
    <row r="4754">
      <c r="A4754" s="4" t="s">
        <v>5973</v>
      </c>
      <c r="B4754" s="4" t="s">
        <v>5977</v>
      </c>
      <c r="C4754" s="5" t="str">
        <f>IFERROR(__xludf.DUMMYFUNCTION("GOOGLETRANSLATE(B4754,""en"",""it"")"),"Vediamo persone che cavalcano zattere lungo un fiume.")</f>
        <v>Vediamo persone che cavalcano zattere lungo un fiume.</v>
      </c>
    </row>
    <row r="4755">
      <c r="A4755" s="4" t="s">
        <v>5973</v>
      </c>
      <c r="B4755" s="4" t="s">
        <v>5978</v>
      </c>
      <c r="C4755" s="5" t="str">
        <f>IFERROR(__xludf.DUMMYFUNCTION("GOOGLETRANSLATE(B4755,""en"",""it"")"),"La gente supera una piccola cascata e la loro zattera viene rovesciata.")</f>
        <v>La gente supera una piccola cascata e la loro zattera viene rovesciata.</v>
      </c>
    </row>
    <row r="4756">
      <c r="A4756" s="4" t="s">
        <v>5973</v>
      </c>
      <c r="B4756" s="4" t="s">
        <v>5979</v>
      </c>
      <c r="C4756" s="5" t="str">
        <f>IFERROR(__xludf.DUMMYFUNCTION("GOOGLETRANSLATE(B4756,""en"",""it"")"),"Le persone vengono immerse nell'acqua mentre superano una cascata e un uomo pompa il pugno.")</f>
        <v>Le persone vengono immerse nell'acqua mentre superano una cascata e un uomo pompa il pugno.</v>
      </c>
    </row>
    <row r="4757">
      <c r="A4757" s="4" t="s">
        <v>5973</v>
      </c>
      <c r="B4757" s="4" t="s">
        <v>5980</v>
      </c>
      <c r="C4757" s="5" t="str">
        <f>IFERROR(__xludf.DUMMYFUNCTION("GOOGLETRANSLATE(B4757,""en"",""it"")"),"La fotocamera si pone per mostrare la natura e svanisce al bianco.")</f>
        <v>La fotocamera si pone per mostrare la natura e svanisce al bianco.</v>
      </c>
    </row>
    <row r="4758">
      <c r="A4758" s="4" t="s">
        <v>5973</v>
      </c>
      <c r="B4758" s="4" t="s">
        <v>777</v>
      </c>
      <c r="C4758" s="5" t="str">
        <f>IFERROR(__xludf.DUMMYFUNCTION("GOOGLETRANSLATE(B4758,""en"",""it"")"),"Vediamo la schermata del titolo finale.")</f>
        <v>Vediamo la schermata del titolo finale.</v>
      </c>
    </row>
    <row r="4759">
      <c r="A4759" s="4" t="s">
        <v>5981</v>
      </c>
      <c r="B4759" s="6" t="s">
        <v>5982</v>
      </c>
      <c r="C4759" s="5" t="str">
        <f>IFERROR(__xludf.DUMMYFUNCTION("GOOGLETRANSLATE(B4759,""en"",""it"")"),"C'è un giocatore di basket che dimostra vari tipi di tecniche di tiro a cerchio da basket per conto di World of Hoops.")</f>
        <v>C'è un giocatore di basket che dimostra vari tipi di tecniche di tiro a cerchio da basket per conto di World of Hoops.</v>
      </c>
    </row>
    <row r="4760">
      <c r="A4760" s="4" t="s">
        <v>5981</v>
      </c>
      <c r="B4760" s="6" t="s">
        <v>5983</v>
      </c>
      <c r="C4760" s="5" t="str">
        <f>IFERROR(__xludf.DUMMYFUNCTION("GOOGLETRANSLATE(B4760,""en"",""it"")"),"Comincia mostrando la tecnica di base del normale tiro di lay-up, spara la palla direttamente nel cerchio.")</f>
        <v>Comincia mostrando la tecnica di base del normale tiro di lay-up, spara la palla direttamente nel cerchio.</v>
      </c>
    </row>
    <row r="4761">
      <c r="A4761" s="4" t="s">
        <v>5981</v>
      </c>
      <c r="B4761" s="6" t="s">
        <v>5984</v>
      </c>
      <c r="C4761" s="5" t="str">
        <f>IFERROR(__xludf.DUMMYFUNCTION("GOOGLETRANSLATE(B4761,""en"",""it"")"),"Quindi mostra un'altra tecnica in cui arriva a correre e spara la palla da molto vicino al cerchio saltando in alto.")</f>
        <v>Quindi mostra un'altra tecnica in cui arriva a correre e spara la palla da molto vicino al cerchio saltando in alto.</v>
      </c>
    </row>
    <row r="4762">
      <c r="A4762" s="4" t="s">
        <v>5981</v>
      </c>
      <c r="B4762" s="6" t="s">
        <v>5985</v>
      </c>
      <c r="C4762" s="5" t="str">
        <f>IFERROR(__xludf.DUMMYFUNCTION("GOOGLETRANSLATE(B4762,""en"",""it"")"),"Continua a mostrare vari altri modi per sparare al cestino mentre corre e schiaccia la palla direttamente nel cestino.")</f>
        <v>Continua a mostrare vari altri modi per sparare al cestino mentre corre e schiaccia la palla direttamente nel cestino.</v>
      </c>
    </row>
    <row r="4763">
      <c r="A4763" s="4" t="s">
        <v>5981</v>
      </c>
      <c r="B4763" s="6" t="s">
        <v>5986</v>
      </c>
      <c r="C4763" s="5" t="str">
        <f>IFERROR(__xludf.DUMMYFUNCTION("GOOGLETRANSLATE(B4763,""en"",""it"")"),"Dimostra diverse tecniche di sparare la palla nel cerchio senza perdere un singolo cestino.")</f>
        <v>Dimostra diverse tecniche di sparare la palla nel cerchio senza perdere un singolo cestino.</v>
      </c>
    </row>
    <row r="4764">
      <c r="A4764" s="4" t="s">
        <v>5987</v>
      </c>
      <c r="B4764" s="4" t="s">
        <v>5988</v>
      </c>
      <c r="C4764" s="5" t="str">
        <f>IFERROR(__xludf.DUMMYFUNCTION("GOOGLETRANSLATE(B4764,""en"",""it"")"),"Un adolescente sta bilanciando nel bar irregolare più alto.")</f>
        <v>Un adolescente sta bilanciando nel bar irregolare più alto.</v>
      </c>
    </row>
    <row r="4765">
      <c r="A4765" s="4" t="s">
        <v>5987</v>
      </c>
      <c r="B4765" s="4" t="s">
        <v>5989</v>
      </c>
      <c r="C4765" s="5" t="str">
        <f>IFERROR(__xludf.DUMMYFUNCTION("GOOGLETRANSLATE(B4765,""en"",""it"")"),"Quindi, l'adolescente capovolge e un uomo la aiuta a passare alla barra irregolare irregolare.")</f>
        <v>Quindi, l'adolescente capovolge e un uomo la aiuta a passare alla barra irregolare irregolare.</v>
      </c>
    </row>
    <row r="4766">
      <c r="A4766" s="4" t="s">
        <v>5987</v>
      </c>
      <c r="B4766" s="4" t="s">
        <v>5990</v>
      </c>
      <c r="C4766" s="5" t="str">
        <f>IFERROR(__xludf.DUMMYFUNCTION("GOOGLETRANSLATE(B4766,""en"",""it"")"),"Due una ragazza si esercita sui bar irregolari dietro l'adolescente.")</f>
        <v>Due una ragazza si esercita sui bar irregolari dietro l'adolescente.</v>
      </c>
    </row>
    <row r="4767">
      <c r="A4767" s="4" t="s">
        <v>5991</v>
      </c>
      <c r="B4767" s="4" t="s">
        <v>5992</v>
      </c>
      <c r="C4767" s="5" t="str">
        <f>IFERROR(__xludf.DUMMYFUNCTION("GOOGLETRANSLATE(B4767,""en"",""it"")"),"Le persone stanno giocando a Ping Pong.")</f>
        <v>Le persone stanno giocando a Ping Pong.</v>
      </c>
    </row>
    <row r="4768">
      <c r="A4768" s="4" t="s">
        <v>5991</v>
      </c>
      <c r="B4768" s="4" t="s">
        <v>5993</v>
      </c>
      <c r="C4768" s="5" t="str">
        <f>IFERROR(__xludf.DUMMYFUNCTION("GOOGLETRANSLATE(B4768,""en"",""it"")"),"Un uomo con una camicia rossa sta giocando con una sola scarpa.")</f>
        <v>Un uomo con una camicia rossa sta giocando con una sola scarpa.</v>
      </c>
    </row>
    <row r="4769">
      <c r="A4769" s="4" t="s">
        <v>5991</v>
      </c>
      <c r="B4769" s="4" t="s">
        <v>2042</v>
      </c>
      <c r="C4769" s="5" t="str">
        <f>IFERROR(__xludf.DUMMYFUNCTION("GOOGLETRANSLATE(B4769,""en"",""it"")"),"Le parole arrivano sullo schermo alla fine.")</f>
        <v>Le parole arrivano sullo schermo alla fine.</v>
      </c>
    </row>
    <row r="4770">
      <c r="A4770" s="4" t="s">
        <v>5994</v>
      </c>
      <c r="B4770" s="6" t="s">
        <v>5995</v>
      </c>
      <c r="C4770" s="5" t="str">
        <f>IFERROR(__xludf.DUMMYFUNCTION("GOOGLETRANSLATE(B4770,""en"",""it"")"),"Un uomo viene visto indossare un'uniforme divertente e uscire su un grande palcoscenico mentre intervenga per parlare alla telecamera.")</f>
        <v>Un uomo viene visto indossare un'uniforme divertente e uscire su un grande palcoscenico mentre intervenga per parlare alla telecamera.</v>
      </c>
    </row>
    <row r="4771">
      <c r="A4771" s="4" t="s">
        <v>5994</v>
      </c>
      <c r="B4771" s="6" t="s">
        <v>5996</v>
      </c>
      <c r="C4771" s="5" t="str">
        <f>IFERROR(__xludf.DUMMYFUNCTION("GOOGLETRANSLATE(B4771,""en"",""it"")"),"L'uomo esegue la ginnastica si muove attorno a un raggio in modo sciocco e termina con il pubblico che applaude e l'uomo che saluta.")</f>
        <v>L'uomo esegue la ginnastica si muove attorno a un raggio in modo sciocco e termina con il pubblico che applaude e l'uomo che saluta.</v>
      </c>
    </row>
    <row r="4772">
      <c r="A4772" s="4" t="s">
        <v>5997</v>
      </c>
      <c r="B4772" s="4" t="s">
        <v>5998</v>
      </c>
      <c r="C4772" s="5" t="str">
        <f>IFERROR(__xludf.DUMMYFUNCTION("GOOGLETRANSLATE(B4772,""en"",""it"")"),"Le persone stanno giocando a pallavolo su un campo.")</f>
        <v>Le persone stanno giocando a pallavolo su un campo.</v>
      </c>
    </row>
    <row r="4773">
      <c r="A4773" s="4" t="s">
        <v>5997</v>
      </c>
      <c r="B4773" s="4" t="s">
        <v>5999</v>
      </c>
      <c r="C4773" s="5" t="str">
        <f>IFERROR(__xludf.DUMMYFUNCTION("GOOGLETRANSLATE(B4773,""en"",""it"")"),"Le persone sono sedute lungo le panchine contro un muro che guarda.")</f>
        <v>Le persone sono sedute lungo le panchine contro un muro che guarda.</v>
      </c>
    </row>
    <row r="4774">
      <c r="A4774" s="4" t="s">
        <v>5997</v>
      </c>
      <c r="B4774" s="4" t="s">
        <v>6000</v>
      </c>
      <c r="C4774" s="5" t="str">
        <f>IFERROR(__xludf.DUMMYFUNCTION("GOOGLETRANSLATE(B4774,""en"",""it"")"),"Un ragazzo serve la pallavolo.")</f>
        <v>Un ragazzo serve la pallavolo.</v>
      </c>
    </row>
    <row r="4775">
      <c r="A4775" s="4" t="s">
        <v>6001</v>
      </c>
      <c r="B4775" s="4" t="s">
        <v>6002</v>
      </c>
      <c r="C4775" s="5" t="str">
        <f>IFERROR(__xludf.DUMMYFUNCTION("GOOGLETRANSLATE(B4775,""en"",""it"")"),"Un cavallo si trova da solo, attaccato a un tronco di legno.")</f>
        <v>Un cavallo si trova da solo, attaccato a un tronco di legno.</v>
      </c>
    </row>
    <row r="4776">
      <c r="A4776" s="4" t="s">
        <v>6001</v>
      </c>
      <c r="B4776" s="4" t="s">
        <v>6003</v>
      </c>
      <c r="C4776" s="5" t="str">
        <f>IFERROR(__xludf.DUMMYFUNCTION("GOOGLETRANSLATE(B4776,""en"",""it"")"),"Un uomo si avvicina al cavallo che tiene in mano due pennelli e parla per un po '.")</f>
        <v>Un uomo si avvicina al cavallo che tiene in mano due pennelli e parla per un po '.</v>
      </c>
    </row>
    <row r="4777">
      <c r="A4777" s="4" t="s">
        <v>6001</v>
      </c>
      <c r="B4777" s="6" t="s">
        <v>6004</v>
      </c>
      <c r="C4777" s="5" t="str">
        <f>IFERROR(__xludf.DUMMYFUNCTION("GOOGLETRANSLATE(B4777,""en"",""it"")"),"Si avvicina al cavallo e spazzola i capelli del cavallo, rimuovendo i capelli del cavallo che si attacca al pennello.")</f>
        <v>Si avvicina al cavallo e spazzola i capelli del cavallo, rimuovendo i capelli del cavallo che si attacca al pennello.</v>
      </c>
    </row>
    <row r="4778">
      <c r="A4778" s="4" t="s">
        <v>6001</v>
      </c>
      <c r="B4778" s="4" t="s">
        <v>6005</v>
      </c>
      <c r="C4778" s="5" t="str">
        <f>IFERROR(__xludf.DUMMYFUNCTION("GOOGLETRANSLATE(B4778,""en"",""it"")"),"Fa una pausa per parlare un po '.")</f>
        <v>Fa una pausa per parlare un po '.</v>
      </c>
    </row>
    <row r="4779">
      <c r="A4779" s="4" t="s">
        <v>6001</v>
      </c>
      <c r="B4779" s="4" t="s">
        <v>6006</v>
      </c>
      <c r="C4779" s="5" t="str">
        <f>IFERROR(__xludf.DUMMYFUNCTION("GOOGLETRANSLATE(B4779,""en"",""it"")"),"Torna a rimuovere i capelli in eccesso dal cavallo.")</f>
        <v>Torna a rimuovere i capelli in eccesso dal cavallo.</v>
      </c>
    </row>
    <row r="4780">
      <c r="A4780" s="4" t="s">
        <v>6001</v>
      </c>
      <c r="B4780" s="4" t="s">
        <v>6007</v>
      </c>
      <c r="C4780" s="5" t="str">
        <f>IFERROR(__xludf.DUMMYFUNCTION("GOOGLETRANSLATE(B4780,""en"",""it"")"),"Fa di nuovo una pausa e parla per un po '.")</f>
        <v>Fa di nuovo una pausa e parla per un po '.</v>
      </c>
    </row>
    <row r="4781">
      <c r="A4781" s="4" t="s">
        <v>6001</v>
      </c>
      <c r="B4781" s="4" t="s">
        <v>6008</v>
      </c>
      <c r="C4781" s="5" t="str">
        <f>IFERROR(__xludf.DUMMYFUNCTION("GOOGLETRANSLATE(B4781,""en"",""it"")"),"Ritorna a spazzolare il cavallo.")</f>
        <v>Ritorna a spazzolare il cavallo.</v>
      </c>
    </row>
    <row r="4782">
      <c r="A4782" s="4" t="s">
        <v>6001</v>
      </c>
      <c r="B4782" s="4" t="s">
        <v>6009</v>
      </c>
      <c r="C4782" s="5" t="str">
        <f>IFERROR(__xludf.DUMMYFUNCTION("GOOGLETRANSLATE(B4782,""en"",""it"")"),"Smette di sfiorare i capelli e parla.")</f>
        <v>Smette di sfiorare i capelli e parla.</v>
      </c>
    </row>
    <row r="4783">
      <c r="A4783" s="4" t="s">
        <v>6010</v>
      </c>
      <c r="B4783" s="4" t="s">
        <v>6011</v>
      </c>
      <c r="C4783" s="5" t="str">
        <f>IFERROR(__xludf.DUMMYFUNCTION("GOOGLETRANSLATE(B4783,""en"",""it"")"),"Una ginnasta femminile monta un raggio alto in palestra.")</f>
        <v>Una ginnasta femminile monta un raggio alto in palestra.</v>
      </c>
    </row>
    <row r="4784">
      <c r="A4784" s="4" t="s">
        <v>6010</v>
      </c>
      <c r="B4784" s="4" t="s">
        <v>6012</v>
      </c>
      <c r="C4784" s="5" t="str">
        <f>IFERROR(__xludf.DUMMYFUNCTION("GOOGLETRANSLATE(B4784,""en"",""it"")"),"Fa molti salti in avanti, molle e divisioni in aria.")</f>
        <v>Fa molti salti in avanti, molle e divisioni in aria.</v>
      </c>
    </row>
    <row r="4785">
      <c r="A4785" s="4" t="s">
        <v>6010</v>
      </c>
      <c r="B4785" s="4" t="s">
        <v>6013</v>
      </c>
      <c r="C4785" s="5" t="str">
        <f>IFERROR(__xludf.DUMMYFUNCTION("GOOGLETRANSLATE(B4785,""en"",""it"")"),"Un ragazzo sullo sfondo sale una corda mentre sconta.")</f>
        <v>Un ragazzo sullo sfondo sale una corda mentre sconta.</v>
      </c>
    </row>
    <row r="4786">
      <c r="A4786" s="4" t="s">
        <v>6014</v>
      </c>
      <c r="B4786" s="4" t="s">
        <v>6015</v>
      </c>
      <c r="C4786" s="5" t="str">
        <f>IFERROR(__xludf.DUMMYFUNCTION("GOOGLETRANSLATE(B4786,""en"",""it"")"),"Una donna con una camicia bianca è in piedi accanto a una macchina da esercizio.")</f>
        <v>Una donna con una camicia bianca è in piedi accanto a una macchina da esercizio.</v>
      </c>
    </row>
    <row r="4787">
      <c r="A4787" s="4" t="s">
        <v>6014</v>
      </c>
      <c r="B4787" s="4" t="s">
        <v>6016</v>
      </c>
      <c r="C4787" s="5" t="str">
        <f>IFERROR(__xludf.DUMMYFUNCTION("GOOGLETRANSLATE(B4787,""en"",""it"")"),"Comincia ad allenarti sulla macchina per l'esercizio.")</f>
        <v>Comincia ad allenarti sulla macchina per l'esercizio.</v>
      </c>
    </row>
    <row r="4788">
      <c r="A4788" s="4" t="s">
        <v>6014</v>
      </c>
      <c r="B4788" s="4" t="s">
        <v>6017</v>
      </c>
      <c r="C4788" s="5" t="str">
        <f>IFERROR(__xludf.DUMMYFUNCTION("GOOGLETRANSLATE(B4788,""en"",""it"")"),"Le informazioni sulla macchina sono posizionate sullo schermo.")</f>
        <v>Le informazioni sulla macchina sono posizionate sullo schermo.</v>
      </c>
    </row>
    <row r="4789">
      <c r="A4789" s="4" t="s">
        <v>6018</v>
      </c>
      <c r="B4789" s="4" t="s">
        <v>6019</v>
      </c>
      <c r="C4789" s="5" t="str">
        <f>IFERROR(__xludf.DUMMYFUNCTION("GOOGLETRANSLATE(B4789,""en"",""it"")"),"Un uomo lancia freccette all'interno di una stanza.")</f>
        <v>Un uomo lancia freccette all'interno di una stanza.</v>
      </c>
    </row>
    <row r="4790">
      <c r="A4790" s="4" t="s">
        <v>6018</v>
      </c>
      <c r="B4790" s="4" t="s">
        <v>6020</v>
      </c>
      <c r="C4790" s="5" t="str">
        <f>IFERROR(__xludf.DUMMYFUNCTION("GOOGLETRANSLATE(B4790,""en"",""it"")"),"Un altro uomo si abbatte, quindi non viene colpito.")</f>
        <v>Un altro uomo si abbatte, quindi non viene colpito.</v>
      </c>
    </row>
    <row r="4791">
      <c r="A4791" s="4" t="s">
        <v>6018</v>
      </c>
      <c r="B4791" s="4" t="s">
        <v>6021</v>
      </c>
      <c r="C4791" s="5" t="str">
        <f>IFERROR(__xludf.DUMMYFUNCTION("GOOGLETRANSLATE(B4791,""en"",""it"")"),"Le freccette colpiscono la tavola da darda al rallentatore.")</f>
        <v>Le freccette colpiscono la tavola da darda al rallentatore.</v>
      </c>
    </row>
    <row r="4792">
      <c r="A4792" s="4" t="s">
        <v>6022</v>
      </c>
      <c r="B4792" s="4" t="s">
        <v>6023</v>
      </c>
      <c r="C4792" s="5" t="str">
        <f>IFERROR(__xludf.DUMMYFUNCTION("GOOGLETRANSLATE(B4792,""en"",""it"")"),"Si vede un primo piano di cavallo seguito da diverse persone che cavalcano su una spiaggia.")</f>
        <v>Si vede un primo piano di cavallo seguito da diverse persone che cavalcano su una spiaggia.</v>
      </c>
    </row>
    <row r="4793">
      <c r="A4793" s="4" t="s">
        <v>6022</v>
      </c>
      <c r="B4793" s="6" t="s">
        <v>6024</v>
      </c>
      <c r="C4793" s="5" t="str">
        <f>IFERROR(__xludf.DUMMYFUNCTION("GOOGLETRANSLATE(B4793,""en"",""it"")"),"Una persona è vista in piedi sul cavallo e la telecamera continua a seguire le persone che cavalcano i cavalli.")</f>
        <v>Una persona è vista in piedi sul cavallo e la telecamera continua a seguire le persone che cavalcano i cavalli.</v>
      </c>
    </row>
    <row r="4794">
      <c r="A4794" s="4" t="s">
        <v>6025</v>
      </c>
      <c r="B4794" s="6" t="s">
        <v>6026</v>
      </c>
      <c r="C4794" s="5" t="str">
        <f>IFERROR(__xludf.DUMMYFUNCTION("GOOGLETRANSLATE(B4794,""en"",""it"")"),"Un uomo e una donna in una sala pesi in stile garage dimostrano come sollevare una barra di peso con la donna che mostra il sollevamento dei pesi.")</f>
        <v>Un uomo e una donna in una sala pesi in stile garage dimostrano come sollevare una barra di peso con la donna che mostra il sollevamento dei pesi.</v>
      </c>
    </row>
    <row r="4795">
      <c r="A4795" s="4" t="s">
        <v>6025</v>
      </c>
      <c r="B4795" s="4" t="s">
        <v>6027</v>
      </c>
      <c r="C4795" s="5" t="str">
        <f>IFERROR(__xludf.DUMMYFUNCTION("GOOGLETRANSLATE(B4795,""en"",""it"")"),"Un uomo con una maglietta nera e sandali si trova accanto a una donna in una sala pesi in stile garage.")</f>
        <v>Un uomo con una maglietta nera e sandali si trova accanto a una donna in una sala pesi in stile garage.</v>
      </c>
    </row>
    <row r="4796">
      <c r="A4796" s="4" t="s">
        <v>6025</v>
      </c>
      <c r="B4796" s="6" t="s">
        <v>6028</v>
      </c>
      <c r="C4796" s="5" t="str">
        <f>IFERROR(__xludf.DUMMYFUNCTION("GOOGLETRANSLATE(B4796,""en"",""it"")"),"La donna raccoglie una barra di peso usando le ginocchia per piegarsi mentre l'uomo parla e indica i suoi gruppi muscolari.")</f>
        <v>La donna raccoglie una barra di peso usando le ginocchia per piegarsi mentre l'uomo parla e indica i suoi gruppi muscolari.</v>
      </c>
    </row>
    <row r="4797">
      <c r="A4797" s="4" t="s">
        <v>6025</v>
      </c>
      <c r="B4797" s="6" t="s">
        <v>6029</v>
      </c>
      <c r="C4797" s="5" t="str">
        <f>IFERROR(__xludf.DUMMYFUNCTION("GOOGLETRANSLATE(B4797,""en"",""it"")"),"La donna solleva la barra sopra la sua testa in una mossa di sollevamento pesi più volte prima di abbassare la barra sul pavimento.")</f>
        <v>La donna solleva la barra sopra la sua testa in una mossa di sollevamento pesi più volte prima di abbassare la barra sul pavimento.</v>
      </c>
    </row>
    <row r="4798">
      <c r="A4798" s="4" t="s">
        <v>6030</v>
      </c>
      <c r="B4798" s="4" t="s">
        <v>6031</v>
      </c>
      <c r="C4798" s="5" t="str">
        <f>IFERROR(__xludf.DUMMYFUNCTION("GOOGLETRANSLATE(B4798,""en"",""it"")"),"Alcuni testi compaiono sullo schermo.")</f>
        <v>Alcuni testi compaiono sullo schermo.</v>
      </c>
    </row>
    <row r="4799">
      <c r="A4799" s="4" t="s">
        <v>6030</v>
      </c>
      <c r="B4799" s="4" t="s">
        <v>6032</v>
      </c>
      <c r="C4799" s="5" t="str">
        <f>IFERROR(__xludf.DUMMYFUNCTION("GOOGLETRANSLATE(B4799,""en"",""it"")"),"Un video di tori feriti dalle persone inizia a giocare.")</f>
        <v>Un video di tori feriti dalle persone inizia a giocare.</v>
      </c>
    </row>
    <row r="4800">
      <c r="A4800" s="4" t="s">
        <v>6030</v>
      </c>
      <c r="B4800" s="4" t="s">
        <v>6033</v>
      </c>
      <c r="C4800" s="5" t="str">
        <f>IFERROR(__xludf.DUMMYFUNCTION("GOOGLETRANSLATE(B4800,""en"",""it"")"),"Il testo si presenta di nuovo sullo schermo.")</f>
        <v>Il testo si presenta di nuovo sullo schermo.</v>
      </c>
    </row>
    <row r="4801">
      <c r="A4801" s="4" t="s">
        <v>6030</v>
      </c>
      <c r="B4801" s="4" t="s">
        <v>6034</v>
      </c>
      <c r="C4801" s="5" t="str">
        <f>IFERROR(__xludf.DUMMYFUNCTION("GOOGLETRANSLATE(B4801,""en"",""it"")"),"Vengono mostrate immagini di persone pugnalate con frecce e piene di sangue.")</f>
        <v>Vengono mostrate immagini di persone pugnalate con frecce e piene di sangue.</v>
      </c>
    </row>
    <row r="4802">
      <c r="A4802" s="4" t="s">
        <v>6030</v>
      </c>
      <c r="B4802" s="4" t="s">
        <v>6035</v>
      </c>
      <c r="C4802" s="5" t="str">
        <f>IFERROR(__xludf.DUMMYFUNCTION("GOOGLETRANSLATE(B4802,""en"",""it"")"),"Viene visualizzato più testo con messaggi anti -bullfighting.")</f>
        <v>Viene visualizzato più testo con messaggi anti -bullfighting.</v>
      </c>
    </row>
    <row r="4803">
      <c r="A4803" s="4" t="s">
        <v>6030</v>
      </c>
      <c r="B4803" s="4" t="s">
        <v>6036</v>
      </c>
      <c r="C4803" s="5" t="str">
        <f>IFERROR(__xludf.DUMMYFUNCTION("GOOGLETRANSLATE(B4803,""en"",""it"")"),"Vengono mostrate immagini di tori Hurts.")</f>
        <v>Vengono mostrate immagini di tori Hurts.</v>
      </c>
    </row>
    <row r="4804">
      <c r="A4804" s="4" t="s">
        <v>6030</v>
      </c>
      <c r="B4804" s="4" t="s">
        <v>6037</v>
      </c>
      <c r="C4804" s="5" t="str">
        <f>IFERROR(__xludf.DUMMYFUNCTION("GOOGLETRANSLATE(B4804,""en"",""it"")"),"Appare il testo di crudeltà anti animale.")</f>
        <v>Appare il testo di crudeltà anti animale.</v>
      </c>
    </row>
    <row r="4805">
      <c r="A4805" s="4" t="s">
        <v>6030</v>
      </c>
      <c r="B4805" s="4" t="s">
        <v>6038</v>
      </c>
      <c r="C4805" s="5" t="str">
        <f>IFERROR(__xludf.DUMMYFUNCTION("GOOGLETRANSLATE(B4805,""en"",""it"")"),"Un combattente toro viene mostrato a combattere un toro.")</f>
        <v>Un combattente toro viene mostrato a combattere un toro.</v>
      </c>
    </row>
    <row r="4806">
      <c r="A4806" s="4" t="s">
        <v>6030</v>
      </c>
      <c r="B4806" s="4" t="s">
        <v>6039</v>
      </c>
      <c r="C4806" s="5" t="str">
        <f>IFERROR(__xludf.DUMMYFUNCTION("GOOGLETRANSLATE(B4806,""en"",""it"")"),"Viene riprodotto un video di Bullfighters che si prendono cura.")</f>
        <v>Viene riprodotto un video di Bullfighters che si prendono cura.</v>
      </c>
    </row>
    <row r="4807">
      <c r="A4807" s="4" t="s">
        <v>6030</v>
      </c>
      <c r="B4807" s="4" t="s">
        <v>6040</v>
      </c>
      <c r="C4807" s="5" t="str">
        <f>IFERROR(__xludf.DUMMYFUNCTION("GOOGLETRANSLATE(B4807,""en"",""it"")"),"Un nuovo video che mostra gli animali morti suona.")</f>
        <v>Un nuovo video che mostra gli animali morti suona.</v>
      </c>
    </row>
    <row r="4808">
      <c r="A4808" s="4" t="s">
        <v>6030</v>
      </c>
      <c r="B4808" s="6" t="s">
        <v>6041</v>
      </c>
      <c r="C4808" s="5" t="str">
        <f>IFERROR(__xludf.DUMMYFUNCTION("GOOGLETRANSLATE(B4808,""en"",""it"")"),"Il testo condiscendente appare nel video che castiga le persone per aver mangiato carne e è crudele con gli animali.")</f>
        <v>Il testo condiscendente appare nel video che castiga le persone per aver mangiato carne e è crudele con gli animali.</v>
      </c>
    </row>
    <row r="4809">
      <c r="A4809" s="4" t="s">
        <v>6042</v>
      </c>
      <c r="B4809" s="4" t="s">
        <v>6043</v>
      </c>
      <c r="C4809" s="5" t="str">
        <f>IFERROR(__xludf.DUMMYFUNCTION("GOOGLETRANSLATE(B4809,""en"",""it"")"),"Un tosaerba viene spinto attraverso l'erba.")</f>
        <v>Un tosaerba viene spinto attraverso l'erba.</v>
      </c>
    </row>
    <row r="4810">
      <c r="A4810" s="4" t="s">
        <v>6042</v>
      </c>
      <c r="B4810" s="4" t="s">
        <v>6044</v>
      </c>
      <c r="C4810" s="5" t="str">
        <f>IFERROR(__xludf.DUMMYFUNCTION("GOOGLETRANSLATE(B4810,""en"",""it"")"),"Viene spinto lungo un marciapiede.")</f>
        <v>Viene spinto lungo un marciapiede.</v>
      </c>
    </row>
    <row r="4811">
      <c r="A4811" s="4" t="s">
        <v>6042</v>
      </c>
      <c r="B4811" s="4" t="s">
        <v>6045</v>
      </c>
      <c r="C4811" s="5" t="str">
        <f>IFERROR(__xludf.DUMMYFUNCTION("GOOGLETRANSLATE(B4811,""en"",""it"")"),"Viene spinto lungo un aiuola.")</f>
        <v>Viene spinto lungo un aiuola.</v>
      </c>
    </row>
    <row r="4812">
      <c r="A4812" s="4" t="s">
        <v>6046</v>
      </c>
      <c r="B4812" s="4" t="s">
        <v>6047</v>
      </c>
      <c r="C4812" s="5" t="str">
        <f>IFERROR(__xludf.DUMMYFUNCTION("GOOGLETRANSLATE(B4812,""en"",""it"")"),"Una persona mostra il fondo di una grande mop di polvere.")</f>
        <v>Una persona mostra il fondo di una grande mop di polvere.</v>
      </c>
    </row>
    <row r="4813">
      <c r="A4813" s="4" t="s">
        <v>6046</v>
      </c>
      <c r="B4813" s="4" t="s">
        <v>6048</v>
      </c>
      <c r="C4813" s="5" t="str">
        <f>IFERROR(__xludf.DUMMYFUNCTION("GOOGLETRANSLATE(B4813,""en"",""it"")"),"Quindi, la persona pulisce una palestra con la grande scopa di polvere.")</f>
        <v>Quindi, la persona pulisce una palestra con la grande scopa di polvere.</v>
      </c>
    </row>
    <row r="4814">
      <c r="A4814" s="4" t="s">
        <v>6049</v>
      </c>
      <c r="B4814" s="4" t="s">
        <v>6050</v>
      </c>
      <c r="C4814" s="5" t="str">
        <f>IFERROR(__xludf.DUMMYFUNCTION("GOOGLETRANSLATE(B4814,""en"",""it"")"),"La ragazza nell'altalena sta oscillando e poi saltò a terra.")</f>
        <v>La ragazza nell'altalena sta oscillando e poi saltò a terra.</v>
      </c>
    </row>
    <row r="4815">
      <c r="A4815" s="4" t="s">
        <v>6049</v>
      </c>
      <c r="B4815" s="6" t="s">
        <v>6051</v>
      </c>
      <c r="C4815" s="5" t="str">
        <f>IFERROR(__xludf.DUMMYFUNCTION("GOOGLETRANSLATE(B4815,""en"",""it"")"),"La fotocamera si voltò, poi si voltò di nuovo verso la ragazza che oscillava, sta torcendo le catene dell'oscillazione e sta turbinando con l'oscillazione.")</f>
        <v>La fotocamera si voltò, poi si voltò di nuovo verso la ragazza che oscillava, sta torcendo le catene dell'oscillazione e sta turbinando con l'oscillazione.</v>
      </c>
    </row>
    <row r="4816">
      <c r="A4816" s="4" t="s">
        <v>6049</v>
      </c>
      <c r="B4816" s="6" t="s">
        <v>6052</v>
      </c>
      <c r="C4816" s="5" t="str">
        <f>IFERROR(__xludf.DUMMYFUNCTION("GOOGLETRANSLATE(B4816,""en"",""it"")"),"La ragazza con camicia nera e gonna nera e collant continuano a oscillare così velocemente e in alto e poi saltò sul terreno sabbioso.")</f>
        <v>La ragazza con camicia nera e gonna nera e collant continuano a oscillare così velocemente e in alto e poi saltò sul terreno sabbioso.</v>
      </c>
    </row>
    <row r="4817">
      <c r="A4817" s="4" t="s">
        <v>6049</v>
      </c>
      <c r="B4817" s="4" t="s">
        <v>6053</v>
      </c>
      <c r="C4817" s="5" t="str">
        <f>IFERROR(__xludf.DUMMYFUNCTION("GOOGLETRANSLATE(B4817,""en"",""it"")"),"La ragazza si arrampicò sullo scalatore, alzò i piedi mentre le braccia e le mani tengono il bar.")</f>
        <v>La ragazza si arrampicò sullo scalatore, alzò i piedi mentre le braccia e le mani tengono il bar.</v>
      </c>
    </row>
    <row r="4818">
      <c r="A4818" s="4" t="s">
        <v>6049</v>
      </c>
      <c r="B4818" s="6" t="s">
        <v>6054</v>
      </c>
      <c r="C4818" s="5" t="str">
        <f>IFERROR(__xludf.DUMMYFUNCTION("GOOGLETRANSLATE(B4818,""en"",""it"")"),"La ragazza cadde a terra, si alzò, poi andò dall'altra parte dello scalatore, raggiunse il bar e si trasferì nell'altro bar successivo.")</f>
        <v>La ragazza cadde a terra, si alzò, poi andò dall'altra parte dello scalatore, raggiunse il bar e si trasferì nell'altro bar successivo.</v>
      </c>
    </row>
    <row r="4819">
      <c r="A4819" s="4" t="s">
        <v>6049</v>
      </c>
      <c r="B4819" s="6" t="s">
        <v>6055</v>
      </c>
      <c r="C4819" s="5" t="str">
        <f>IFERROR(__xludf.DUMMYFUNCTION("GOOGLETRANSLATE(B4819,""en"",""it"")"),"La ragazza è seduta su sedia a rimbalzo blu mentre guarda da parte sua, si alzava, continua a tirare il suo peso in avanti e indietro.")</f>
        <v>La ragazza è seduta su sedia a rimbalzo blu mentre guarda da parte sua, si alzava, continua a tirare il suo peso in avanti e indietro.</v>
      </c>
    </row>
    <row r="4820">
      <c r="A4820" s="4" t="s">
        <v>6049</v>
      </c>
      <c r="B4820" s="6" t="s">
        <v>6056</v>
      </c>
      <c r="C4820" s="5" t="str">
        <f>IFERROR(__xludf.DUMMYFUNCTION("GOOGLETRANSLATE(B4820,""en"",""it"")"),"La ragazza si sedette sopra la diapositiva, quindi scivola verso il basso, indossò le pantofole, quindi tornò in cima alla diapositiva e scivolava verso il basso.")</f>
        <v>La ragazza si sedette sopra la diapositiva, quindi scivola verso il basso, indossò le pantofole, quindi tornò in cima alla diapositiva e scivolava verso il basso.</v>
      </c>
    </row>
    <row r="4821">
      <c r="A4821" s="4" t="s">
        <v>6057</v>
      </c>
      <c r="B4821" s="4" t="s">
        <v>6058</v>
      </c>
      <c r="C4821" s="5" t="str">
        <f>IFERROR(__xludf.DUMMYFUNCTION("GOOGLETRANSLATE(B4821,""en"",""it"")"),"Uno sfondo blu è raffigurato con parole bianche che dicono titoli, ""falciare il prato maggio 2009"".")</f>
        <v>Uno sfondo blu è raffigurato con parole bianche che dicono titoli, "falciare il prato maggio 2009".</v>
      </c>
    </row>
    <row r="4822">
      <c r="A4822" s="4" t="s">
        <v>6057</v>
      </c>
      <c r="B4822" s="6" t="s">
        <v>6059</v>
      </c>
      <c r="C4822" s="5" t="str">
        <f>IFERROR(__xludf.DUMMYFUNCTION("GOOGLETRANSLATE(B4822,""en"",""it"")"),"Un uomo di mezza età è fuori, indossa un muscolo bianco corto e pantaloncini rossi che spingono un tosaerba nel suo cortile.")</f>
        <v>Un uomo di mezza età è fuori, indossa un muscolo bianco corto e pantaloncini rossi che spingono un tosaerba nel suo cortile.</v>
      </c>
    </row>
    <row r="4823">
      <c r="A4823" s="4" t="s">
        <v>6057</v>
      </c>
      <c r="B4823" s="6" t="s">
        <v>6060</v>
      </c>
      <c r="C4823" s="5" t="str">
        <f>IFERROR(__xludf.DUMMYFUNCTION("GOOGLETRANSLATE(B4823,""en"",""it"")"),"Mentre l'uomo gira il tosaerba per andare in una direzione diversa, inizia a lottare e si confonde perché la fontana d'acqua è sulla sua strada.")</f>
        <v>Mentre l'uomo gira il tosaerba per andare in una direzione diversa, inizia a lottare e si confonde perché la fontana d'acqua è sulla sua strada.</v>
      </c>
    </row>
    <row r="4824">
      <c r="A4824" s="4" t="s">
        <v>6057</v>
      </c>
      <c r="B4824" s="6" t="s">
        <v>6061</v>
      </c>
      <c r="C4824" s="5" t="str">
        <f>IFERROR(__xludf.DUMMYFUNCTION("GOOGLETRANSLATE(B4824,""en"",""it"")"),"Una volta, il maschio è diventato abbastanza frustrato, ha appena deciso di non falciarlo e torna nel suo luogo di taglio originale.")</f>
        <v>Una volta, il maschio è diventato abbastanza frustrato, ha appena deciso di non falciarlo e torna nel suo luogo di taglio originale.</v>
      </c>
    </row>
    <row r="4825">
      <c r="A4825" s="4" t="s">
        <v>6062</v>
      </c>
      <c r="B4825" s="4" t="s">
        <v>6063</v>
      </c>
      <c r="C4825" s="5" t="str">
        <f>IFERROR(__xludf.DUMMYFUNCTION("GOOGLETRANSLATE(B4825,""en"",""it"")"),"Viene mostrato un primo piano di mani seguito da una ragazza che si lava i capelli e sorride alla telecamera.")</f>
        <v>Viene mostrato un primo piano di mani seguito da una ragazza che si lava i capelli e sorride alla telecamera.</v>
      </c>
    </row>
    <row r="4826">
      <c r="A4826" s="4" t="s">
        <v>6062</v>
      </c>
      <c r="B4826" s="4" t="s">
        <v>6064</v>
      </c>
      <c r="C4826" s="5" t="str">
        <f>IFERROR(__xludf.DUMMYFUNCTION("GOOGLETRANSLATE(B4826,""en"",""it"")"),"La ragazza continua a lavarsi i capelli e guardando in lontananza.")</f>
        <v>La ragazza continua a lavarsi i capelli e guardando in lontananza.</v>
      </c>
    </row>
    <row r="4827">
      <c r="A4827" s="4" t="s">
        <v>6065</v>
      </c>
      <c r="B4827" s="6" t="s">
        <v>6066</v>
      </c>
      <c r="C4827" s="5" t="str">
        <f>IFERROR(__xludf.DUMMYFUNCTION("GOOGLETRANSLATE(B4827,""en"",""it"")"),"Un evento sportivo competitivo si svolge in un'arena all'aperto e i concorrenti sono a terra mentre gli spettatori sono sugli spalti.")</f>
        <v>Un evento sportivo competitivo si svolge in un'arena all'aperto e i concorrenti sono a terra mentre gli spettatori sono sugli spalti.</v>
      </c>
    </row>
    <row r="4828">
      <c r="A4828" s="4" t="s">
        <v>6065</v>
      </c>
      <c r="B4828" s="6" t="s">
        <v>6067</v>
      </c>
      <c r="C4828" s="5" t="str">
        <f>IFERROR(__xludf.DUMMYFUNCTION("GOOGLETRANSLATE(B4828,""en"",""it"")"),"Un uomo è ora in piedi in un cerchio sul campo e tiene una palla e il display banner sullo schermo indica che il suo nome è Krisztian Pars e che sta per fare un lancio a martello mentre fa oscillare la palla che è attaccata alla corda , oscilla il suo cor"&amp;"po e poi lascia andare la corda mentre vola molto lontano sul campo.")</f>
        <v>Un uomo è ora in piedi in un cerchio sul campo e tiene una palla e il display banner sullo schermo indica che il suo nome è Krisztian Pars e che sta per fare un lancio a martello mentre fa oscillare la palla che è attaccata alla corda , oscilla il suo corpo e poi lascia andare la corda mentre vola molto lontano sul campo.</v>
      </c>
    </row>
    <row r="4829">
      <c r="A4829" s="4" t="s">
        <v>6065</v>
      </c>
      <c r="B4829" s="6" t="s">
        <v>6068</v>
      </c>
      <c r="C4829" s="5" t="str">
        <f>IFERROR(__xludf.DUMMYFUNCTION("GOOGLETRANSLATE(B4829,""en"",""it"")"),"L'uomo è molto orgoglioso del suo tiro mentre applaude e altri concorrenti, nonché persone sugli spalti e tirano per lui, così come si allontana dall'area in cui si trovava e continua a rallegrarsi un po 'di più mentre dà mentre dà da un po' di più mentre"&amp;" danno Un pollice in alto a un gruppo di uomini della telecamera che scattava la sua foto.")</f>
        <v>L'uomo è molto orgoglioso del suo tiro mentre applaude e altri concorrenti, nonché persone sugli spalti e tirano per lui, così come si allontana dall'area in cui si trovava e continua a rallegrarsi un po 'di più mentre dà mentre dà da un po' di più mentre danno Un pollice in alto a un gruppo di uomini della telecamera che scattava la sua foto.</v>
      </c>
    </row>
    <row r="4830">
      <c r="A4830" s="4" t="s">
        <v>6065</v>
      </c>
      <c r="B4830" s="4" t="s">
        <v>6069</v>
      </c>
      <c r="C4830" s="5" t="str">
        <f>IFERROR(__xludf.DUMMYFUNCTION("GOOGLETRANSLATE(B4830,""en"",""it"")"),"Un replay del suo tiro ricomincia e poi termina con un ampio scatto angolato dell'intera arena.")</f>
        <v>Un replay del suo tiro ricomincia e poi termina con un ampio scatto angolato dell'intera arena.</v>
      </c>
    </row>
    <row r="4831">
      <c r="A4831" s="4" t="s">
        <v>6070</v>
      </c>
      <c r="B4831" s="4" t="s">
        <v>6071</v>
      </c>
      <c r="C4831" s="5" t="str">
        <f>IFERROR(__xludf.DUMMYFUNCTION("GOOGLETRANSLATE(B4831,""en"",""it"")"),"Viene mostrato un video della squadra di hockey su prato femminile UConn.")</f>
        <v>Viene mostrato un video della squadra di hockey su prato femminile UConn.</v>
      </c>
    </row>
    <row r="4832">
      <c r="A4832" s="4" t="s">
        <v>6070</v>
      </c>
      <c r="B4832" s="4" t="s">
        <v>6072</v>
      </c>
      <c r="C4832" s="5" t="str">
        <f>IFERROR(__xludf.DUMMYFUNCTION("GOOGLETRANSLATE(B4832,""en"",""it"")"),"L'allenatore parla con i giocatori e hanno una pratica.")</f>
        <v>L'allenatore parla con i giocatori e hanno una pratica.</v>
      </c>
    </row>
    <row r="4833">
      <c r="A4833" s="4" t="s">
        <v>6073</v>
      </c>
      <c r="B4833" s="4" t="s">
        <v>6074</v>
      </c>
      <c r="C4833" s="5" t="str">
        <f>IFERROR(__xludf.DUMMYFUNCTION("GOOGLETRANSLATE(B4833,""en"",""it"")"),"Due uomini vengono mostrati giocando a calcio in palestra seguita da una padella che mostra più giocatori.")</f>
        <v>Due uomini vengono mostrati giocando a calcio in palestra seguita da una padella che mostra più giocatori.</v>
      </c>
    </row>
    <row r="4834">
      <c r="A4834" s="4" t="s">
        <v>6073</v>
      </c>
      <c r="B4834" s="6" t="s">
        <v>6075</v>
      </c>
      <c r="C4834" s="5" t="str">
        <f>IFERROR(__xludf.DUMMYFUNCTION("GOOGLETRANSLATE(B4834,""en"",""it"")"),"L'uomo è bianco conduce la palla in palestra più volte ed eseguendo vari trucchi e goal.")</f>
        <v>L'uomo è bianco conduce la palla in palestra più volte ed eseguendo vari trucchi e goal.</v>
      </c>
    </row>
    <row r="4835">
      <c r="A4835" s="4" t="s">
        <v>6073</v>
      </c>
      <c r="B4835" s="4" t="s">
        <v>6076</v>
      </c>
      <c r="C4835" s="5" t="str">
        <f>IFERROR(__xludf.DUMMYFUNCTION("GOOGLETRANSLATE(B4835,""en"",""it"")"),"Il gioco continua con gli uomini che fanno indietro e il quarto giocando con il pallone da calcio.")</f>
        <v>Il gioco continua con gli uomini che fanno indietro e il quarto giocando con il pallone da calcio.</v>
      </c>
    </row>
    <row r="4836">
      <c r="A4836" s="4" t="s">
        <v>6077</v>
      </c>
      <c r="B4836" s="4" t="s">
        <v>6078</v>
      </c>
      <c r="C4836" s="5" t="str">
        <f>IFERROR(__xludf.DUMMYFUNCTION("GOOGLETRANSLATE(B4836,""en"",""it"")"),"Una donna si blocca il sopracciglio.")</f>
        <v>Una donna si blocca il sopracciglio.</v>
      </c>
    </row>
    <row r="4837">
      <c r="A4837" s="4" t="s">
        <v>6077</v>
      </c>
      <c r="B4837" s="4" t="s">
        <v>6079</v>
      </c>
      <c r="C4837" s="5" t="str">
        <f>IFERROR(__xludf.DUMMYFUNCTION("GOOGLETRANSLATE(B4837,""en"",""it"")"),"Una persona spinge un ago attraverso il sopracciglio.")</f>
        <v>Una persona spinge un ago attraverso il sopracciglio.</v>
      </c>
    </row>
    <row r="4838">
      <c r="A4838" s="4" t="s">
        <v>6077</v>
      </c>
      <c r="B4838" s="4" t="s">
        <v>6080</v>
      </c>
      <c r="C4838" s="5" t="str">
        <f>IFERROR(__xludf.DUMMYFUNCTION("GOOGLETRANSLATE(B4838,""en"",""it"")"),"Dolcano un orecchino nel sopracciglio.")</f>
        <v>Dolcano un orecchino nel sopracciglio.</v>
      </c>
    </row>
    <row r="4839">
      <c r="A4839" s="4" t="s">
        <v>6077</v>
      </c>
      <c r="B4839" s="4" t="s">
        <v>6081</v>
      </c>
      <c r="C4839" s="5" t="str">
        <f>IFERROR(__xludf.DUMMYFUNCTION("GOOGLETRANSLATE(B4839,""en"",""it"")"),"Puliscono intorno all'orecchio con un QTIP.")</f>
        <v>Puliscono intorno all'orecchio con un QTIP.</v>
      </c>
    </row>
    <row r="4840">
      <c r="A4840" s="4" t="s">
        <v>6082</v>
      </c>
      <c r="B4840" s="4" t="s">
        <v>6083</v>
      </c>
      <c r="C4840" s="5" t="str">
        <f>IFERROR(__xludf.DUMMYFUNCTION("GOOGLETRANSLATE(B4840,""en"",""it"")"),"Un uomo sta cercando di sollevare pesi in palestra.")</f>
        <v>Un uomo sta cercando di sollevare pesi in palestra.</v>
      </c>
    </row>
    <row r="4841">
      <c r="A4841" s="4" t="s">
        <v>6082</v>
      </c>
      <c r="B4841" s="4" t="s">
        <v>6084</v>
      </c>
      <c r="C4841" s="5" t="str">
        <f>IFERROR(__xludf.DUMMYFUNCTION("GOOGLETRANSLATE(B4841,""en"",""it"")"),"Solleva il bilanciere fino al petto.")</f>
        <v>Solleva il bilanciere fino al petto.</v>
      </c>
    </row>
    <row r="4842">
      <c r="A4842" s="4" t="s">
        <v>6082</v>
      </c>
      <c r="B4842" s="4" t="s">
        <v>6085</v>
      </c>
      <c r="C4842" s="5" t="str">
        <f>IFERROR(__xludf.DUMMYFUNCTION("GOOGLETRANSLATE(B4842,""en"",""it"")"),"Quindi lo solleva sopra la testa prima di lasciarlo a terra.")</f>
        <v>Quindi lo solleva sopra la testa prima di lasciarlo a terra.</v>
      </c>
    </row>
    <row r="4843">
      <c r="A4843" s="4" t="s">
        <v>6086</v>
      </c>
      <c r="B4843" s="4" t="s">
        <v>6087</v>
      </c>
      <c r="C4843" s="5" t="str">
        <f>IFERROR(__xludf.DUMMYFUNCTION("GOOGLETRANSLATE(B4843,""en"",""it"")"),"Viene vista una band suonare diversi strumenti su un palco mentre le persone ballano intorno a loro.")</f>
        <v>Viene vista una band suonare diversi strumenti su un palco mentre le persone ballano intorno a loro.</v>
      </c>
    </row>
    <row r="4844">
      <c r="A4844" s="4" t="s">
        <v>6086</v>
      </c>
      <c r="B4844" s="4" t="s">
        <v>6088</v>
      </c>
      <c r="C4844" s="5" t="str">
        <f>IFERROR(__xludf.DUMMYFUNCTION("GOOGLETRANSLATE(B4844,""en"",""it"")"),"La band continua a suonare mentre le luci lampeggiano intorno a loro e le persone continuano a ballare.")</f>
        <v>La band continua a suonare mentre le luci lampeggiano intorno a loro e le persone continuano a ballare.</v>
      </c>
    </row>
    <row r="4845">
      <c r="A4845" s="4" t="s">
        <v>6089</v>
      </c>
      <c r="B4845" s="4" t="s">
        <v>6090</v>
      </c>
      <c r="C4845" s="5" t="str">
        <f>IFERROR(__xludf.DUMMYFUNCTION("GOOGLETRANSLATE(B4845,""en"",""it"")"),"Una custodia per le scale all'aperto in legno è mostrata al di fuori di un cavallo bianco e marrone.")</f>
        <v>Una custodia per le scale all'aperto in legno è mostrata al di fuori di un cavallo bianco e marrone.</v>
      </c>
    </row>
    <row r="4846">
      <c r="A4846" s="4" t="s">
        <v>6089</v>
      </c>
      <c r="B4846" s="6" t="s">
        <v>6091</v>
      </c>
      <c r="C4846" s="5" t="str">
        <f>IFERROR(__xludf.DUMMYFUNCTION("GOOGLETRANSLATE(B4846,""en"",""it"")"),"All'improvviso, un cane nero si avvicina all'angolo e viene mostrato su per le scale e più replay.")</f>
        <v>All'improvviso, un cane nero si avvicina all'angolo e viene mostrato su per le scale e più replay.</v>
      </c>
    </row>
    <row r="4847">
      <c r="A4847" s="4" t="s">
        <v>6089</v>
      </c>
      <c r="B4847" s="4" t="s">
        <v>6092</v>
      </c>
      <c r="C4847" s="5" t="str">
        <f>IFERROR(__xludf.DUMMYFUNCTION("GOOGLETRANSLATE(B4847,""en"",""it"")"),"Una volta che il cane arriva effettivamente in cima, inizia a leccare la persona dietro la scarpa della telecamera.")</f>
        <v>Una volta che il cane arriva effettivamente in cima, inizia a leccare la persona dietro la scarpa della telecamera.</v>
      </c>
    </row>
    <row r="4848">
      <c r="A4848" s="4" t="s">
        <v>6093</v>
      </c>
      <c r="B4848" s="4" t="s">
        <v>6094</v>
      </c>
      <c r="C4848" s="5" t="str">
        <f>IFERROR(__xludf.DUMMYFUNCTION("GOOGLETRANSLATE(B4848,""en"",""it"")"),"Una persona è vista in piedi su una sveglia e si muove.")</f>
        <v>Una persona è vista in piedi su una sveglia e si muove.</v>
      </c>
    </row>
    <row r="4849">
      <c r="A4849" s="4" t="s">
        <v>6093</v>
      </c>
      <c r="B4849" s="4" t="s">
        <v>6095</v>
      </c>
      <c r="C4849" s="5" t="str">
        <f>IFERROR(__xludf.DUMMYFUNCTION("GOOGLETRANSLATE(B4849,""en"",""it"")"),"La telecamera lo segue scivolare in acqua andando gradualmente sempre più.")</f>
        <v>La telecamera lo segue scivolare in acqua andando gradualmente sempre più.</v>
      </c>
    </row>
    <row r="4850">
      <c r="A4850" s="4" t="s">
        <v>6096</v>
      </c>
      <c r="B4850" s="4" t="s">
        <v>6097</v>
      </c>
      <c r="C4850" s="5" t="str">
        <f>IFERROR(__xludf.DUMMYFUNCTION("GOOGLETRANSLATE(B4850,""en"",""it"")"),"Vediamo uno schermo di apertura nero.")</f>
        <v>Vediamo uno schermo di apertura nero.</v>
      </c>
    </row>
    <row r="4851">
      <c r="A4851" s="4" t="s">
        <v>6096</v>
      </c>
      <c r="B4851" s="4" t="s">
        <v>6098</v>
      </c>
      <c r="C4851" s="5" t="str">
        <f>IFERROR(__xludf.DUMMYFUNCTION("GOOGLETRANSLATE(B4851,""en"",""it"")"),"Vediamo una pista blu con persone che ci corrono.")</f>
        <v>Vediamo una pista blu con persone che ci corrono.</v>
      </c>
    </row>
    <row r="4852">
      <c r="A4852" s="4" t="s">
        <v>6096</v>
      </c>
      <c r="B4852" s="4" t="s">
        <v>6099</v>
      </c>
      <c r="C4852" s="5" t="str">
        <f>IFERROR(__xludf.DUMMYFUNCTION("GOOGLETRANSLATE(B4852,""en"",""it"")"),"Vediamo quindi un uomo fare un salto in alto a 5'9 "".")</f>
        <v>Vediamo quindi un uomo fare un salto in alto a 5'9 ".</v>
      </c>
    </row>
    <row r="4853">
      <c r="A4853" s="4" t="s">
        <v>6096</v>
      </c>
      <c r="B4853" s="4" t="s">
        <v>6100</v>
      </c>
      <c r="C4853" s="5" t="str">
        <f>IFERROR(__xludf.DUMMYFUNCTION("GOOGLETRANSLATE(B4853,""en"",""it"")"),"Vediamo quindi l'uomo saltare a 6 '.")</f>
        <v>Vediamo quindi l'uomo saltare a 6 '.</v>
      </c>
    </row>
    <row r="4854">
      <c r="A4854" s="4" t="s">
        <v>6096</v>
      </c>
      <c r="B4854" s="4" t="s">
        <v>6101</v>
      </c>
      <c r="C4854" s="5" t="str">
        <f>IFERROR(__xludf.DUMMYFUNCTION("GOOGLETRANSLATE(B4854,""en"",""it"")"),"Vediamo quindi l'uomo saltare a 6'2 ""e fa cadere il palo.")</f>
        <v>Vediamo quindi l'uomo saltare a 6'2 "e fa cadere il palo.</v>
      </c>
    </row>
    <row r="4855">
      <c r="A4855" s="4" t="s">
        <v>6096</v>
      </c>
      <c r="B4855" s="4" t="s">
        <v>6102</v>
      </c>
      <c r="C4855" s="5" t="str">
        <f>IFERROR(__xludf.DUMMYFUNCTION("GOOGLETRANSLATE(B4855,""en"",""it"")"),"Lo vediamo provare di nuovo 6'2 ""e non colpire il palo.")</f>
        <v>Lo vediamo provare di nuovo 6'2 "e non colpire il palo.</v>
      </c>
    </row>
    <row r="4856">
      <c r="A4856" s="4" t="s">
        <v>6096</v>
      </c>
      <c r="B4856" s="4" t="s">
        <v>6103</v>
      </c>
      <c r="C4856" s="5" t="str">
        <f>IFERROR(__xludf.DUMMYFUNCTION("GOOGLETRANSLATE(B4856,""en"",""it"")"),"L'uomo cammina verso la telecamera e lo spegne.")</f>
        <v>L'uomo cammina verso la telecamera e lo spegne.</v>
      </c>
    </row>
    <row r="4857">
      <c r="A4857" s="4" t="s">
        <v>6104</v>
      </c>
      <c r="B4857" s="4" t="s">
        <v>6105</v>
      </c>
      <c r="C4857" s="5" t="str">
        <f>IFERROR(__xludf.DUMMYFUNCTION("GOOGLETRANSLATE(B4857,""en"",""it"")"),"Un bambino tiene in mano un pennello nel cortile.")</f>
        <v>Un bambino tiene in mano un pennello nel cortile.</v>
      </c>
    </row>
    <row r="4858">
      <c r="A4858" s="4" t="s">
        <v>6104</v>
      </c>
      <c r="B4858" s="4" t="s">
        <v>6106</v>
      </c>
      <c r="C4858" s="5" t="str">
        <f>IFERROR(__xludf.DUMMYFUNCTION("GOOGLETRANSLATE(B4858,""en"",""it"")"),"Sta facendo scorrere un pennello coperto di acqua sul recinto.")</f>
        <v>Sta facendo scorrere un pennello coperto di acqua sul recinto.</v>
      </c>
    </row>
    <row r="4859">
      <c r="A4859" s="4" t="s">
        <v>6104</v>
      </c>
      <c r="B4859" s="4" t="s">
        <v>6107</v>
      </c>
      <c r="C4859" s="5" t="str">
        <f>IFERROR(__xludf.DUMMYFUNCTION("GOOGLETRANSLATE(B4859,""en"",""it"")"),"Lo immerge nel secchio, continuando a fingere di dipingere.")</f>
        <v>Lo immerge nel secchio, continuando a fingere di dipingere.</v>
      </c>
    </row>
    <row r="4860">
      <c r="A4860" s="4" t="s">
        <v>6108</v>
      </c>
      <c r="B4860" s="4" t="s">
        <v>6109</v>
      </c>
      <c r="C4860" s="5" t="str">
        <f>IFERROR(__xludf.DUMMYFUNCTION("GOOGLETRANSLATE(B4860,""en"",""it"")"),"Un uomo lava una macchina con un pennello, mentre tre persone sciacquano l'auto con i tubi.")</f>
        <v>Un uomo lava una macchina con un pennello, mentre tre persone sciacquano l'auto con i tubi.</v>
      </c>
    </row>
    <row r="4861">
      <c r="A4861" s="4" t="s">
        <v>6108</v>
      </c>
      <c r="B4861" s="4" t="s">
        <v>6110</v>
      </c>
      <c r="C4861" s="5" t="str">
        <f>IFERROR(__xludf.DUMMYFUNCTION("GOOGLETRANSLATE(B4861,""en"",""it"")"),"Un uomo spruzza il detergente su un'auto.")</f>
        <v>Un uomo spruzza il detergente su un'auto.</v>
      </c>
    </row>
    <row r="4862">
      <c r="A4862" s="4" t="s">
        <v>6108</v>
      </c>
      <c r="B4862" s="6" t="s">
        <v>6111</v>
      </c>
      <c r="C4862" s="5" t="str">
        <f>IFERROR(__xludf.DUMMYFUNCTION("GOOGLETRANSLATE(B4862,""en"",""it"")"),"Una persona che indossa una maglietta rossa spruzza il detergente su un'auto, quindi due uomini sciacquano l'auto con tubi, mentre altre auto sono coperte di detergente bianco.")</f>
        <v>Una persona che indossa una maglietta rossa spruzza il detergente su un'auto, quindi due uomini sciacquano l'auto con tubi, mentre altre auto sono coperte di detergente bianco.</v>
      </c>
    </row>
    <row r="4863">
      <c r="A4863" s="4" t="s">
        <v>6112</v>
      </c>
      <c r="B4863" s="4" t="s">
        <v>6113</v>
      </c>
      <c r="C4863" s="5" t="str">
        <f>IFERROR(__xludf.DUMMYFUNCTION("GOOGLETRANSLATE(B4863,""en"",""it"")"),"Un bambino è visto in piedi davanti a un tappetino che guarda il pavimento.")</f>
        <v>Un bambino è visto in piedi davanti a un tappetino che guarda il pavimento.</v>
      </c>
    </row>
    <row r="4864">
      <c r="A4864" s="4" t="s">
        <v>6112</v>
      </c>
      <c r="B4864" s="4" t="s">
        <v>6114</v>
      </c>
      <c r="C4864" s="5" t="str">
        <f>IFERROR(__xludf.DUMMYFUNCTION("GOOGLETRANSLATE(B4864,""en"",""it"")"),"Quindi inizia a camminare lungo il tappeto fino alla fine.")</f>
        <v>Quindi inizia a camminare lungo il tappeto fino alla fine.</v>
      </c>
    </row>
    <row r="4865">
      <c r="A4865" s="4" t="s">
        <v>6112</v>
      </c>
      <c r="B4865" s="4" t="s">
        <v>6115</v>
      </c>
      <c r="C4865" s="5" t="str">
        <f>IFERROR(__xludf.DUMMYFUNCTION("GOOGLETRANSLATE(B4865,""en"",""it"")"),"Torna di nuovo indietro e quarto mentre guarda alla telecamera.")</f>
        <v>Torna di nuovo indietro e quarto mentre guarda alla telecamera.</v>
      </c>
    </row>
    <row r="4866">
      <c r="A4866" s="4" t="s">
        <v>6116</v>
      </c>
      <c r="B4866" s="6" t="s">
        <v>6117</v>
      </c>
      <c r="C4866" s="5" t="str">
        <f>IFERROR(__xludf.DUMMYFUNCTION("GOOGLETRANSLATE(B4866,""en"",""it"")"),"Viene visto un uomo parlare con la telecamera accanto a un cavallo e conduce in clip di lui che cavalcava il cavallo e i primi piani di altri cavalli.")</f>
        <v>Viene visto un uomo parlare con la telecamera accanto a un cavallo e conduce in clip di lui che cavalcava il cavallo e i primi piani di altri cavalli.</v>
      </c>
    </row>
    <row r="4867">
      <c r="A4867" s="4" t="s">
        <v>6116</v>
      </c>
      <c r="B4867" s="6" t="s">
        <v>6118</v>
      </c>
      <c r="C4867" s="5" t="str">
        <f>IFERROR(__xludf.DUMMYFUNCTION("GOOGLETRANSLATE(B4867,""en"",""it"")"),"L'ospite parla con un altro uomo mentre vengono mostrati più colpi di cavalli e un uomo che colpisce una palla.")</f>
        <v>L'ospite parla con un altro uomo mentre vengono mostrati più colpi di cavalli e un uomo che colpisce una palla.</v>
      </c>
    </row>
    <row r="4868">
      <c r="A4868" s="4" t="s">
        <v>6116</v>
      </c>
      <c r="B4868" s="4" t="s">
        <v>6119</v>
      </c>
      <c r="C4868" s="5" t="str">
        <f>IFERROR(__xludf.DUMMYFUNCTION("GOOGLETRANSLATE(B4868,""en"",""it"")"),"Gli uomini quindi cavalcano i cavalli e imparano a praticare uno sport e finiscono con l'ospite che parla in uniforme.")</f>
        <v>Gli uomini quindi cavalcano i cavalli e imparano a praticare uno sport e finiscono con l'ospite che parla in uniforme.</v>
      </c>
    </row>
    <row r="4869">
      <c r="A4869" s="4" t="s">
        <v>6120</v>
      </c>
      <c r="B4869" s="4" t="s">
        <v>1251</v>
      </c>
      <c r="C4869" s="5" t="str">
        <f>IFERROR(__xludf.DUMMYFUNCTION("GOOGLETRANSLATE(B4869,""en"",""it"")"),"Vengono visualizzati i crediti della clip.")</f>
        <v>Vengono visualizzati i crediti della clip.</v>
      </c>
    </row>
    <row r="4870">
      <c r="A4870" s="4" t="s">
        <v>6120</v>
      </c>
      <c r="B4870" s="4" t="s">
        <v>6121</v>
      </c>
      <c r="C4870" s="5" t="str">
        <f>IFERROR(__xludf.DUMMYFUNCTION("GOOGLETRANSLATE(B4870,""en"",""it"")"),"Un ragazzo cavalca una bici da ginnastica.")</f>
        <v>Un ragazzo cavalca una bici da ginnastica.</v>
      </c>
    </row>
    <row r="4871">
      <c r="A4871" s="4" t="s">
        <v>6120</v>
      </c>
      <c r="B4871" s="4" t="s">
        <v>6122</v>
      </c>
      <c r="C4871" s="5" t="str">
        <f>IFERROR(__xludf.DUMMYFUNCTION("GOOGLETRANSLATE(B4871,""en"",""it"")"),"Il ragazzo regola il sedile per bici da esercizio.")</f>
        <v>Il ragazzo regola il sedile per bici da esercizio.</v>
      </c>
    </row>
    <row r="4872">
      <c r="A4872" s="4" t="s">
        <v>6120</v>
      </c>
      <c r="B4872" s="4" t="s">
        <v>573</v>
      </c>
      <c r="C4872" s="5" t="str">
        <f>IFERROR(__xludf.DUMMYFUNCTION("GOOGLETRANSLATE(B4872,""en"",""it"")"),"Vengono visualizzati i crediti del video.")</f>
        <v>Vengono visualizzati i crediti del video.</v>
      </c>
    </row>
    <row r="4873">
      <c r="A4873" s="4" t="s">
        <v>6123</v>
      </c>
      <c r="B4873" s="4" t="s">
        <v>6124</v>
      </c>
      <c r="C4873" s="5" t="str">
        <f>IFERROR(__xludf.DUMMYFUNCTION("GOOGLETRANSLATE(B4873,""en"",""it"")"),"Una donna è seduta alla scrivania.")</f>
        <v>Una donna è seduta alla scrivania.</v>
      </c>
    </row>
    <row r="4874">
      <c r="A4874" s="4" t="s">
        <v>6123</v>
      </c>
      <c r="B4874" s="4" t="s">
        <v>6125</v>
      </c>
      <c r="C4874" s="5" t="str">
        <f>IFERROR(__xludf.DUMMYFUNCTION("GOOGLETRANSLATE(B4874,""en"",""it"")"),"Un uomo seduto di fronte a lei sta suonando un'armonica.")</f>
        <v>Un uomo seduto di fronte a lei sta suonando un'armonica.</v>
      </c>
    </row>
    <row r="4875">
      <c r="A4875" s="4" t="s">
        <v>6123</v>
      </c>
      <c r="B4875" s="4" t="s">
        <v>6126</v>
      </c>
      <c r="C4875" s="5" t="str">
        <f>IFERROR(__xludf.DUMMYFUNCTION("GOOGLETRANSLATE(B4875,""en"",""it"")"),"La donna sta giocando con i capelli.")</f>
        <v>La donna sta giocando con i capelli.</v>
      </c>
    </row>
    <row r="4876">
      <c r="A4876" s="4" t="s">
        <v>6127</v>
      </c>
      <c r="B4876" s="6" t="s">
        <v>6128</v>
      </c>
      <c r="C4876" s="5" t="str">
        <f>IFERROR(__xludf.DUMMYFUNCTION("GOOGLETRANSLATE(B4876,""en"",""it"")"),"Viene mostrata una serie di strumenti che brillano di scarpe che includono diversi tipi e colori del lucido per scarpe, uno straccio lucidante e una scarpa nera lucida.")</f>
        <v>Viene mostrata una serie di strumenti che brillano di scarpe che includono diversi tipi e colori del lucido per scarpe, uno straccio lucidante e una scarpa nera lucida.</v>
      </c>
    </row>
    <row r="4877">
      <c r="A4877" s="4" t="s">
        <v>6127</v>
      </c>
      <c r="B4877" s="6" t="s">
        <v>6129</v>
      </c>
      <c r="C4877" s="5" t="str">
        <f>IFERROR(__xludf.DUMMYFUNCTION("GOOGLETRANSLATE(B4877,""en"",""it"")"),"Un gruppo di studenti adulti si siede in una stanza in stile classe e guarda la parte anteriore della classe come se frequentasse una classe e ascoltasse intensamente.")</f>
        <v>Un gruppo di studenti adulti si siede in una stanza in stile classe e guarda la parte anteriore della classe come se frequentasse una classe e ascoltasse intensamente.</v>
      </c>
    </row>
    <row r="4878">
      <c r="A4878" s="4" t="s">
        <v>6127</v>
      </c>
      <c r="B4878" s="6" t="s">
        <v>6130</v>
      </c>
      <c r="C4878" s="5" t="str">
        <f>IFERROR(__xludf.DUMMYFUNCTION("GOOGLETRANSLATE(B4878,""en"",""it"")"),"Una dimostrazione di brillantezza si svolge con un uomo in ginocchio di fronte a un gruppo di studenti e che usa una scarpa campione come esempio.")</f>
        <v>Una dimostrazione di brillantezza si svolge con un uomo in ginocchio di fronte a un gruppo di studenti e che usa una scarpa campione come esempio.</v>
      </c>
    </row>
    <row r="4879">
      <c r="A4879" s="4" t="s">
        <v>6127</v>
      </c>
      <c r="B4879" s="6" t="s">
        <v>6131</v>
      </c>
      <c r="C4879" s="5" t="str">
        <f>IFERROR(__xludf.DUMMYFUNCTION("GOOGLETRANSLATE(B4879,""en"",""it"")"),"Diverse persone in grembiuli, poi inginocchiati davanti alle persone che indossano scarpe e brillano le scarpe della gente su secchi rossi con abiti da lucidatura e smalto.")</f>
        <v>Diverse persone in grembiuli, poi inginocchiati davanti alle persone che indossano scarpe e brillano le scarpe della gente su secchi rossi con abiti da lucidatura e smalto.</v>
      </c>
    </row>
    <row r="4880">
      <c r="A4880" s="4" t="s">
        <v>6127</v>
      </c>
      <c r="B4880" s="4" t="s">
        <v>6132</v>
      </c>
      <c r="C4880" s="5" t="str">
        <f>IFERROR(__xludf.DUMMYFUNCTION("GOOGLETRANSLATE(B4880,""en"",""it"")"),"Le scarpe scintillano poi si trovano all'unisono, con i loro grembiuli, e si inchina e si stringono la mano.")</f>
        <v>Le scarpe scintillano poi si trovano all'unisono, con i loro grembiuli, e si inchina e si stringono la mano.</v>
      </c>
    </row>
    <row r="4881">
      <c r="A4881" s="4" t="s">
        <v>6133</v>
      </c>
      <c r="B4881" s="4" t="s">
        <v>6134</v>
      </c>
      <c r="C4881" s="5" t="str">
        <f>IFERROR(__xludf.DUMMYFUNCTION("GOOGLETRANSLATE(B4881,""en"",""it"")"),"Un uomo solleva un peso molto pesante sopra la sua testa e lo lascia cadere.")</f>
        <v>Un uomo solleva un peso molto pesante sopra la sua testa e lo lascia cadere.</v>
      </c>
    </row>
    <row r="4882">
      <c r="A4882" s="4" t="s">
        <v>6133</v>
      </c>
      <c r="B4882" s="4" t="s">
        <v>6135</v>
      </c>
      <c r="C4882" s="5" t="str">
        <f>IFERROR(__xludf.DUMMYFUNCTION("GOOGLETRANSLATE(B4882,""en"",""it"")"),"Fa questo più tempo per la ripetizione, questa è una routine di allenamento.")</f>
        <v>Fa questo più tempo per la ripetizione, questa è una routine di allenamento.</v>
      </c>
    </row>
    <row r="4883">
      <c r="A4883" s="4" t="s">
        <v>6133</v>
      </c>
      <c r="B4883" s="4" t="s">
        <v>6136</v>
      </c>
      <c r="C4883" s="5" t="str">
        <f>IFERROR(__xludf.DUMMYFUNCTION("GOOGLETRANSLATE(B4883,""en"",""it"")"),"Poi se ne va prendendo una pausa per un po 'e cammina da persone sedute e chiacchierate.")</f>
        <v>Poi se ne va prendendo una pausa per un po 'e cammina da persone sedute e chiacchierate.</v>
      </c>
    </row>
    <row r="4884">
      <c r="A4884" s="4" t="s">
        <v>6133</v>
      </c>
      <c r="B4884" s="4" t="s">
        <v>6137</v>
      </c>
      <c r="C4884" s="5" t="str">
        <f>IFERROR(__xludf.DUMMYFUNCTION("GOOGLETRANSLATE(B4884,""en"",""it"")"),"Una volta che ha finito con la sua pausa, continua alla sua routine.")</f>
        <v>Una volta che ha finito con la sua pausa, continua alla sua routine.</v>
      </c>
    </row>
    <row r="4885">
      <c r="A4885" s="4" t="s">
        <v>6138</v>
      </c>
      <c r="B4885" s="4" t="s">
        <v>6139</v>
      </c>
      <c r="C4885" s="5" t="str">
        <f>IFERROR(__xludf.DUMMYFUNCTION("GOOGLETRANSLATE(B4885,""en"",""it"")"),"Due lottatori di sumo si stanno combattendo a vicenda mentre l'arbitro si muove attorno a loro.")</f>
        <v>Due lottatori di sumo si stanno combattendo a vicenda mentre l'arbitro si muove attorno a loro.</v>
      </c>
    </row>
    <row r="4886">
      <c r="A4886" s="4" t="s">
        <v>6138</v>
      </c>
      <c r="B4886" s="4" t="s">
        <v>6140</v>
      </c>
      <c r="C4886" s="5" t="str">
        <f>IFERROR(__xludf.DUMMYFUNCTION("GOOGLETRANSLATE(B4886,""en"",""it"")"),"Una persona viene quindi gettata dal tappetino e viene mostrata un'altra serie di persone.")</f>
        <v>Una persona viene quindi gettata dal tappetino e viene mostrata un'altra serie di persone.</v>
      </c>
    </row>
    <row r="4887">
      <c r="A4887" s="4" t="s">
        <v>6138</v>
      </c>
      <c r="B4887" s="4" t="s">
        <v>6141</v>
      </c>
      <c r="C4887" s="5" t="str">
        <f>IFERROR(__xludf.DUMMYFUNCTION("GOOGLETRANSLATE(B4887,""en"",""it"")"),"Il più piccolo dei due e poi lancia il ragazzo grande dall'aria e poi la partita è finita.")</f>
        <v>Il più piccolo dei due e poi lancia il ragazzo grande dall'aria e poi la partita è finita.</v>
      </c>
    </row>
    <row r="4888">
      <c r="A4888" s="4" t="s">
        <v>6138</v>
      </c>
      <c r="B4888" s="6" t="s">
        <v>6142</v>
      </c>
      <c r="C4888" s="5" t="str">
        <f>IFERROR(__xludf.DUMMYFUNCTION("GOOGLETRANSLATE(B4888,""en"",""it"")"),"La sequenza continua e molti altri uomini vengono mostrati si combattono a vicenda e si danno a vicenda.")</f>
        <v>La sequenza continua e molti altri uomini vengono mostrati si combattono a vicenda e si danno a vicenda.</v>
      </c>
    </row>
    <row r="4889">
      <c r="A4889" s="4" t="s">
        <v>6138</v>
      </c>
      <c r="B4889" s="6" t="s">
        <v>6143</v>
      </c>
      <c r="C4889" s="5" t="str">
        <f>IFERROR(__xludf.DUMMYFUNCTION("GOOGLETRANSLATE(B4889,""en"",""it"")"),"Quando la partita è completa, due uomini vengono mostrati seduti a una scrivania con un numero di telefono su una scheda bianca.")</f>
        <v>Quando la partita è completa, due uomini vengono mostrati seduti a una scrivania con un numero di telefono su una scheda bianca.</v>
      </c>
    </row>
    <row r="4890">
      <c r="A4890" s="4" t="s">
        <v>6144</v>
      </c>
      <c r="B4890" s="4" t="s">
        <v>6145</v>
      </c>
      <c r="C4890" s="5" t="str">
        <f>IFERROR(__xludf.DUMMYFUNCTION("GOOGLETRANSLATE(B4890,""en"",""it"")"),"Un uomo si sta lavando le mani nel lavandino.")</f>
        <v>Un uomo si sta lavando le mani nel lavandino.</v>
      </c>
    </row>
    <row r="4891">
      <c r="A4891" s="4" t="s">
        <v>6144</v>
      </c>
      <c r="B4891" s="4" t="s">
        <v>6146</v>
      </c>
      <c r="C4891" s="5" t="str">
        <f>IFERROR(__xludf.DUMMYFUNCTION("GOOGLETRANSLATE(B4891,""en"",""it"")"),"Prende uno straccio giallo e pulisce il lavandino e il rubinetto.")</f>
        <v>Prende uno straccio giallo e pulisce il lavandino e il rubinetto.</v>
      </c>
    </row>
    <row r="4892">
      <c r="A4892" s="4" t="s">
        <v>6144</v>
      </c>
      <c r="B4892" s="4" t="s">
        <v>6147</v>
      </c>
      <c r="C4892" s="5" t="str">
        <f>IFERROR(__xludf.DUMMYFUNCTION("GOOGLETRANSLATE(B4892,""en"",""it"")"),"Viene mostrata una bottiglia bianca di detergente.")</f>
        <v>Viene mostrata una bottiglia bianca di detergente.</v>
      </c>
    </row>
    <row r="4893">
      <c r="A4893" s="4" t="s">
        <v>6148</v>
      </c>
      <c r="B4893" s="4" t="s">
        <v>6149</v>
      </c>
      <c r="C4893" s="5" t="str">
        <f>IFERROR(__xludf.DUMMYFUNCTION("GOOGLETRANSLATE(B4893,""en"",""it"")"),"Una ragazza che indossa un bikini sulla spiaggia viene mostrata facendo diversi seduti su una palla e fissando i capelli.")</f>
        <v>Una ragazza che indossa un bikini sulla spiaggia viene mostrata facendo diversi seduti su una palla e fissando i capelli.</v>
      </c>
    </row>
    <row r="4894">
      <c r="A4894" s="4" t="s">
        <v>6148</v>
      </c>
      <c r="B4894" s="4" t="s">
        <v>6150</v>
      </c>
      <c r="C4894" s="5" t="str">
        <f>IFERROR(__xludf.DUMMYFUNCTION("GOOGLETRANSLATE(B4894,""en"",""it"")"),"Continua a eseguire l'esercizio mentre sorride alla telecamera.")</f>
        <v>Continua a eseguire l'esercizio mentre sorride alla telecamera.</v>
      </c>
    </row>
    <row r="4895">
      <c r="A4895" s="4" t="s">
        <v>6151</v>
      </c>
      <c r="B4895" s="4" t="s">
        <v>6152</v>
      </c>
      <c r="C4895" s="5" t="str">
        <f>IFERROR(__xludf.DUMMYFUNCTION("GOOGLETRANSLATE(B4895,""en"",""it"")"),"Un uomo tiene una pesa sulla schiena, poi si inginocchia sul pavimento.")</f>
        <v>Un uomo tiene una pesa sulla schiena, poi si inginocchia sul pavimento.</v>
      </c>
    </row>
    <row r="4896">
      <c r="A4896" s="4" t="s">
        <v>6151</v>
      </c>
      <c r="B4896" s="4" t="s">
        <v>6153</v>
      </c>
      <c r="C4896" s="5" t="str">
        <f>IFERROR(__xludf.DUMMYFUNCTION("GOOGLETRANSLATE(B4896,""en"",""it"")"),"Dopo, salta dal pavimento per stare in piedi mentre il peso è sulla schiena.")</f>
        <v>Dopo, salta dal pavimento per stare in piedi mentre il peso è sulla schiena.</v>
      </c>
    </row>
    <row r="4897">
      <c r="A4897" s="4" t="s">
        <v>6154</v>
      </c>
      <c r="B4897" s="4" t="s">
        <v>6155</v>
      </c>
      <c r="C4897" s="5" t="str">
        <f>IFERROR(__xludf.DUMMYFUNCTION("GOOGLETRANSLATE(B4897,""en"",""it"")"),"Una donna dimostra come avvolgere correttamente un regalo da dietro il bancone di un negozio di articoli da regalo.")</f>
        <v>Una donna dimostra come avvolgere correttamente un regalo da dietro il bancone di un negozio di articoli da regalo.</v>
      </c>
    </row>
    <row r="4898">
      <c r="A4898" s="4" t="s">
        <v>6154</v>
      </c>
      <c r="B4898" s="6" t="s">
        <v>6156</v>
      </c>
      <c r="C4898" s="5" t="str">
        <f>IFERROR(__xludf.DUMMYFUNCTION("GOOGLETRANSLATE(B4898,""en"",""it"")"),"Una donna si trova dietro un bancone delle vendite di fronte a diversi regali avvolti e materiali di avvolgimento regalo.")</f>
        <v>Una donna si trova dietro un bancone delle vendite di fronte a diversi regali avvolti e materiali di avvolgimento regalo.</v>
      </c>
    </row>
    <row r="4899">
      <c r="A4899" s="4" t="s">
        <v>6154</v>
      </c>
      <c r="B4899" s="4" t="s">
        <v>6157</v>
      </c>
      <c r="C4899" s="5" t="str">
        <f>IFERROR(__xludf.DUMMYFUNCTION("GOOGLETRANSLATE(B4899,""en"",""it"")"),"I materiali di avvolgimento regalo sono mostrati seduti sul bancone tra cui un involucro regalo, le forbici e il nastro.")</f>
        <v>I materiali di avvolgimento regalo sono mostrati seduti sul bancone tra cui un involucro regalo, le forbici e il nastro.</v>
      </c>
    </row>
    <row r="4900">
      <c r="A4900" s="4" t="s">
        <v>6154</v>
      </c>
      <c r="B4900" s="6" t="s">
        <v>6158</v>
      </c>
      <c r="C4900" s="5" t="str">
        <f>IFERROR(__xludf.DUMMYFUNCTION("GOOGLETRANSLATE(B4900,""en"",""it"")"),"La donna parla con la fotocamera e inizia a avvolgere la scatola in carta da imballaggio regalo usando un paio di forbici per tagliare la carta da imballaggio regalo e un nastro trasparente per registrarsi i bordi della carta da imballaggio.")</f>
        <v>La donna parla con la fotocamera e inizia a avvolgere la scatola in carta da imballaggio regalo usando un paio di forbici per tagliare la carta da imballaggio regalo e un nastro trasparente per registrarsi i bordi della carta da imballaggio.</v>
      </c>
    </row>
    <row r="4901">
      <c r="A4901" s="4" t="s">
        <v>6154</v>
      </c>
      <c r="B4901" s="6" t="s">
        <v>6159</v>
      </c>
      <c r="C4901" s="5" t="str">
        <f>IFERROR(__xludf.DUMMYFUNCTION("GOOGLETRANSLATE(B4901,""en"",""it"")"),"La donna quindi avvolge il regalo con il nastro finale e la fotocamera si chiude sulle finiture, avvolte, prodotto.")</f>
        <v>La donna quindi avvolge il regalo con il nastro finale e la fotocamera si chiude sulle finiture, avvolte, prodotto.</v>
      </c>
    </row>
    <row r="4902">
      <c r="A4902" s="4" t="s">
        <v>6160</v>
      </c>
      <c r="B4902" s="4" t="s">
        <v>6161</v>
      </c>
      <c r="C4902" s="5" t="str">
        <f>IFERROR(__xludf.DUMMYFUNCTION("GOOGLETRANSLATE(B4902,""en"",""it"")"),"Un uomo pesante con una camicia blu sta giocando i tubi della borsa.")</f>
        <v>Un uomo pesante con una camicia blu sta giocando i tubi della borsa.</v>
      </c>
    </row>
    <row r="4903">
      <c r="A4903" s="4" t="s">
        <v>6160</v>
      </c>
      <c r="B4903" s="4" t="s">
        <v>6162</v>
      </c>
      <c r="C4903" s="5" t="str">
        <f>IFERROR(__xludf.DUMMYFUNCTION("GOOGLETRANSLATE(B4903,""en"",""it"")"),"Soffia nella pipa mentre fa le note con le dita.")</f>
        <v>Soffia nella pipa mentre fa le note con le dita.</v>
      </c>
    </row>
    <row r="4904">
      <c r="A4904" s="4" t="s">
        <v>6160</v>
      </c>
      <c r="B4904" s="4" t="s">
        <v>6163</v>
      </c>
      <c r="C4904" s="5" t="str">
        <f>IFERROR(__xludf.DUMMYFUNCTION("GOOGLETRANSLATE(B4904,""en"",""it"")"),"Balla leggermente mentre gioca.")</f>
        <v>Balla leggermente mentre gioca.</v>
      </c>
    </row>
    <row r="4905">
      <c r="A4905" s="4" t="s">
        <v>6160</v>
      </c>
      <c r="B4905" s="4" t="s">
        <v>6164</v>
      </c>
      <c r="C4905" s="5" t="str">
        <f>IFERROR(__xludf.DUMMYFUNCTION("GOOGLETRANSLATE(B4905,""en"",""it"")"),"Regola il tubo della borsa e continua a giocare.")</f>
        <v>Regola il tubo della borsa e continua a giocare.</v>
      </c>
    </row>
    <row r="4906">
      <c r="A4906" s="4" t="s">
        <v>6160</v>
      </c>
      <c r="B4906" s="4" t="s">
        <v>6165</v>
      </c>
      <c r="C4906" s="5" t="str">
        <f>IFERROR(__xludf.DUMMYFUNCTION("GOOGLETRANSLATE(B4906,""en"",""it"")"),"Finisce la sua canzone e raggiunge per spegnere la telecamera.")</f>
        <v>Finisce la sua canzone e raggiunge per spegnere la telecamera.</v>
      </c>
    </row>
    <row r="4907">
      <c r="A4907" s="4" t="s">
        <v>6166</v>
      </c>
      <c r="B4907" s="4" t="s">
        <v>6167</v>
      </c>
      <c r="C4907" s="5" t="str">
        <f>IFERROR(__xludf.DUMMYFUNCTION("GOOGLETRANSLATE(B4907,""en"",""it"")"),"Un uomo è seduto con una maschera chirurgica.")</f>
        <v>Un uomo è seduto con una maschera chirurgica.</v>
      </c>
    </row>
    <row r="4908">
      <c r="A4908" s="4" t="s">
        <v>6166</v>
      </c>
      <c r="B4908" s="4" t="s">
        <v>6168</v>
      </c>
      <c r="C4908" s="5" t="str">
        <f>IFERROR(__xludf.DUMMYFUNCTION("GOOGLETRANSLATE(B4908,""en"",""it"")"),"Sta tagliando i limoni.")</f>
        <v>Sta tagliando i limoni.</v>
      </c>
    </row>
    <row r="4909">
      <c r="A4909" s="4" t="s">
        <v>6169</v>
      </c>
      <c r="B4909" s="4" t="s">
        <v>6170</v>
      </c>
      <c r="C4909" s="5" t="str">
        <f>IFERROR(__xludf.DUMMYFUNCTION("GOOGLETRANSLATE(B4909,""en"",""it"")"),"Vengono visualizzati il ​​titolo e i crediti del video.")</f>
        <v>Vengono visualizzati il ​​titolo e i crediti del video.</v>
      </c>
    </row>
    <row r="4910">
      <c r="A4910" s="4" t="s">
        <v>6169</v>
      </c>
      <c r="B4910" s="4" t="s">
        <v>6171</v>
      </c>
      <c r="C4910" s="5" t="str">
        <f>IFERROR(__xludf.DUMMYFUNCTION("GOOGLETRANSLATE(B4910,""en"",""it"")"),"Un uomo cavalca una bicicletta lungo un percorso con le auto sullo sfondo.")</f>
        <v>Un uomo cavalca una bicicletta lungo un percorso con le auto sullo sfondo.</v>
      </c>
    </row>
    <row r="4911">
      <c r="A4911" s="4" t="s">
        <v>6169</v>
      </c>
      <c r="B4911" s="4" t="s">
        <v>6172</v>
      </c>
      <c r="C4911" s="5" t="str">
        <f>IFERROR(__xludf.DUMMYFUNCTION("GOOGLETRANSLATE(B4911,""en"",""it"")"),"L'uomo scoraggia e ripara la bicicletta.")</f>
        <v>L'uomo scoraggia e ripara la bicicletta.</v>
      </c>
    </row>
    <row r="4912">
      <c r="A4912" s="4" t="s">
        <v>6169</v>
      </c>
      <c r="B4912" s="4" t="s">
        <v>6173</v>
      </c>
      <c r="C4912" s="5" t="str">
        <f>IFERROR(__xludf.DUMMYFUNCTION("GOOGLETRANSLATE(B4912,""en"",""it"")"),"L'uomo cavalca la bicicletta lungo un sentiero pavimentato in pietra.")</f>
        <v>L'uomo cavalca la bicicletta lungo un sentiero pavimentato in pietra.</v>
      </c>
    </row>
    <row r="4913">
      <c r="A4913" s="4" t="s">
        <v>6169</v>
      </c>
      <c r="B4913" s="4" t="s">
        <v>6174</v>
      </c>
      <c r="C4913" s="5" t="str">
        <f>IFERROR(__xludf.DUMMYFUNCTION("GOOGLETRANSLATE(B4913,""en"",""it"")"),"L'uomo cavalca la bicicletta lungo una strada accanto alle auto parcheggiate.")</f>
        <v>L'uomo cavalca la bicicletta lungo una strada accanto alle auto parcheggiate.</v>
      </c>
    </row>
    <row r="4914">
      <c r="A4914" s="4" t="s">
        <v>6175</v>
      </c>
      <c r="B4914" s="4" t="s">
        <v>6176</v>
      </c>
      <c r="C4914" s="5" t="str">
        <f>IFERROR(__xludf.DUMMYFUNCTION("GOOGLETRANSLATE(B4914,""en"",""it"")"),"Un uomo parla su un microfono.")</f>
        <v>Un uomo parla su un microfono.</v>
      </c>
    </row>
    <row r="4915">
      <c r="A4915" s="4" t="s">
        <v>6175</v>
      </c>
      <c r="B4915" s="4" t="s">
        <v>6177</v>
      </c>
      <c r="C4915" s="5" t="str">
        <f>IFERROR(__xludf.DUMMYFUNCTION("GOOGLETRANSLATE(B4915,""en"",""it"")"),"Improvvisamente, un uomo salta sul collo di una persona e lo getta a terra.")</f>
        <v>Improvvisamente, un uomo salta sul collo di una persona e lo getta a terra.</v>
      </c>
    </row>
    <row r="4916">
      <c r="A4916" s="4" t="s">
        <v>6175</v>
      </c>
      <c r="B4916" s="4" t="s">
        <v>6178</v>
      </c>
      <c r="C4916" s="5" t="str">
        <f>IFERROR(__xludf.DUMMYFUNCTION("GOOGLETRANSLATE(B4916,""en"",""it"")"),"Altri uomini compete di wrestling e un uomo salta e atterra al confine con un anello di wrestling.")</f>
        <v>Altri uomini compete di wrestling e un uomo salta e atterra al confine con un anello di wrestling.</v>
      </c>
    </row>
    <row r="4917">
      <c r="A4917" s="4" t="s">
        <v>6175</v>
      </c>
      <c r="B4917" s="4" t="s">
        <v>6179</v>
      </c>
      <c r="C4917" s="5" t="str">
        <f>IFERROR(__xludf.DUMMYFUNCTION("GOOGLETRANSLATE(B4917,""en"",""it"")"),"Un lottatore salta sul retro di un uomo per rimanere sottosopra mentre il giudice guarda.")</f>
        <v>Un lottatore salta sul retro di un uomo per rimanere sottosopra mentre il giudice guarda.</v>
      </c>
    </row>
    <row r="4918">
      <c r="A4918" s="4" t="s">
        <v>6175</v>
      </c>
      <c r="B4918" s="4" t="s">
        <v>6180</v>
      </c>
      <c r="C4918" s="5" t="str">
        <f>IFERROR(__xludf.DUMMYFUNCTION("GOOGLETRANSLATE(B4918,""en"",""it"")"),"Un grande uomo prende a calci un altro wrestler, poi afferra la testa a pavimento.")</f>
        <v>Un grande uomo prende a calci un altro wrestler, poi afferra la testa a pavimento.</v>
      </c>
    </row>
    <row r="4919">
      <c r="A4919" s="4" t="s">
        <v>6175</v>
      </c>
      <c r="B4919" s="4" t="s">
        <v>6181</v>
      </c>
      <c r="C4919" s="5" t="str">
        <f>IFERROR(__xludf.DUMMYFUNCTION("GOOGLETRANSLATE(B4919,""en"",""it"")"),"Un bambino e una persona saltano per festeggiare.")</f>
        <v>Un bambino e una persona saltano per festeggiare.</v>
      </c>
    </row>
    <row r="4920">
      <c r="A4920" s="4" t="s">
        <v>6182</v>
      </c>
      <c r="B4920" s="4" t="s">
        <v>6183</v>
      </c>
      <c r="C4920" s="5" t="str">
        <f>IFERROR(__xludf.DUMMYFUNCTION("GOOGLETRANSLATE(B4920,""en"",""it"")"),"La carta pergamena è posizionata sulla teglia.")</f>
        <v>La carta pergamena è posizionata sulla teglia.</v>
      </c>
    </row>
    <row r="4921">
      <c r="A4921" s="4" t="s">
        <v>6182</v>
      </c>
      <c r="B4921" s="4" t="s">
        <v>6184</v>
      </c>
      <c r="C4921" s="5" t="str">
        <f>IFERROR(__xludf.DUMMYFUNCTION("GOOGLETRANSLATE(B4921,""en"",""it"")"),"Il burro ammorbidito viene posizionato in una ciotola.")</f>
        <v>Il burro ammorbidito viene posizionato in una ciotola.</v>
      </c>
    </row>
    <row r="4922">
      <c r="A4922" s="4" t="s">
        <v>6182</v>
      </c>
      <c r="B4922" s="4" t="s">
        <v>6185</v>
      </c>
      <c r="C4922" s="5" t="str">
        <f>IFERROR(__xludf.DUMMYFUNCTION("GOOGLETRANSLATE(B4922,""en"",""it"")"),"Il mixer inizia quindi a crema il burro.")</f>
        <v>Il mixer inizia quindi a crema il burro.</v>
      </c>
    </row>
    <row r="4923">
      <c r="A4923" s="4" t="s">
        <v>6182</v>
      </c>
      <c r="B4923" s="4" t="s">
        <v>6186</v>
      </c>
      <c r="C4923" s="5" t="str">
        <f>IFERROR(__xludf.DUMMYFUNCTION("GOOGLETRANSLATE(B4923,""en"",""it"")"),"Lo zucchero viene aggiunto alla ciotola da battere.")</f>
        <v>Lo zucchero viene aggiunto alla ciotola da battere.</v>
      </c>
    </row>
    <row r="4924">
      <c r="A4924" s="4" t="s">
        <v>6182</v>
      </c>
      <c r="B4924" s="4" t="s">
        <v>6187</v>
      </c>
      <c r="C4924" s="5" t="str">
        <f>IFERROR(__xludf.DUMMYFUNCTION("GOOGLETRANSLATE(B4924,""en"",""it"")"),"La farina viene misurata e combinata con l'amido di mais che viene misurata quindi mescolata nella ciotola.")</f>
        <v>La farina viene misurata e combinata con l'amido di mais che viene misurata quindi mescolata nella ciotola.</v>
      </c>
    </row>
    <row r="4925">
      <c r="A4925" s="4" t="s">
        <v>6182</v>
      </c>
      <c r="B4925" s="4" t="s">
        <v>6188</v>
      </c>
      <c r="C4925" s="5" t="str">
        <f>IFERROR(__xludf.DUMMYFUNCTION("GOOGLETRANSLATE(B4925,""en"",""it"")"),"L'impasto è misurato da cucchiaio, arrotolato e posizionato sulla teglia.")</f>
        <v>L'impasto è misurato da cucchiaio, arrotolato e posizionato sulla teglia.</v>
      </c>
    </row>
    <row r="4926">
      <c r="A4926" s="4" t="s">
        <v>6182</v>
      </c>
      <c r="B4926" s="4" t="s">
        <v>6189</v>
      </c>
      <c r="C4926" s="5" t="str">
        <f>IFERROR(__xludf.DUMMYFUNCTION("GOOGLETRANSLATE(B4926,""en"",""it"")"),"L'impasto è appiattito e cotto in biscotti.")</f>
        <v>L'impasto è appiattito e cotto in biscotti.</v>
      </c>
    </row>
    <row r="4927">
      <c r="A4927" s="4" t="s">
        <v>6182</v>
      </c>
      <c r="B4927" s="4" t="s">
        <v>6190</v>
      </c>
      <c r="C4927" s="5" t="str">
        <f>IFERROR(__xludf.DUMMYFUNCTION("GOOGLETRANSLATE(B4927,""en"",""it"")"),"I biscotti vengono quindi posizionati su una teglia, quindi rastrella per raffreddare con una spatola.")</f>
        <v>I biscotti vengono quindi posizionati su una teglia, quindi rastrella per raffreddare con una spatola.</v>
      </c>
    </row>
    <row r="4928">
      <c r="A4928" s="4" t="s">
        <v>6182</v>
      </c>
      <c r="B4928" s="4" t="s">
        <v>6191</v>
      </c>
      <c r="C4928" s="5" t="str">
        <f>IFERROR(__xludf.DUMMYFUNCTION("GOOGLETRANSLATE(B4928,""en"",""it"")"),"I biscotti vengono raffreddati per essere apprezzati.")</f>
        <v>I biscotti vengono raffreddati per essere apprezzati.</v>
      </c>
    </row>
    <row r="4929">
      <c r="A4929" s="4" t="s">
        <v>6192</v>
      </c>
      <c r="B4929" s="4" t="s">
        <v>6193</v>
      </c>
      <c r="C4929" s="5" t="str">
        <f>IFERROR(__xludf.DUMMYFUNCTION("GOOGLETRANSLATE(B4929,""en"",""it"")"),"Un barista sta parlando da dietro un bar.")</f>
        <v>Un barista sta parlando da dietro un bar.</v>
      </c>
    </row>
    <row r="4930">
      <c r="A4930" s="4" t="s">
        <v>6192</v>
      </c>
      <c r="B4930" s="4" t="s">
        <v>6194</v>
      </c>
      <c r="C4930" s="5" t="str">
        <f>IFERROR(__xludf.DUMMYFUNCTION("GOOGLETRANSLATE(B4930,""en"",""it"")"),"Si mostra a fare diverse bevande.")</f>
        <v>Si mostra a fare diverse bevande.</v>
      </c>
    </row>
    <row r="4931">
      <c r="A4931" s="4" t="s">
        <v>6192</v>
      </c>
      <c r="B4931" s="4" t="s">
        <v>6195</v>
      </c>
      <c r="C4931" s="5" t="str">
        <f>IFERROR(__xludf.DUMMYFUNCTION("GOOGLETRANSLATE(B4931,""en"",""it"")"),"Quindi viene mostrato preparando una bevanda rossa specifica, scuotendola prima di versarlo in un bicchiere.")</f>
        <v>Quindi viene mostrato preparando una bevanda rossa specifica, scuotendola prima di versarlo in un bicchiere.</v>
      </c>
    </row>
    <row r="4932">
      <c r="A4932" s="4" t="s">
        <v>6196</v>
      </c>
      <c r="B4932" s="4" t="s">
        <v>6197</v>
      </c>
      <c r="C4932" s="5" t="str">
        <f>IFERROR(__xludf.DUMMYFUNCTION("GOOGLETRANSLATE(B4932,""en"",""it"")"),"Due Tam Tam sono in un soggiorno.")</f>
        <v>Due Tam Tam sono in un soggiorno.</v>
      </c>
    </row>
    <row r="4933">
      <c r="A4933" s="4" t="s">
        <v>6196</v>
      </c>
      <c r="B4933" s="4" t="s">
        <v>6198</v>
      </c>
      <c r="C4933" s="5" t="str">
        <f>IFERROR(__xludf.DUMMYFUNCTION("GOOGLETRANSLATE(B4933,""en"",""it"")"),"Quindi, un uomo viene e parla davanti al Tam Tams.")</f>
        <v>Quindi, un uomo viene e parla davanti al Tam Tams.</v>
      </c>
    </row>
    <row r="4934">
      <c r="A4934" s="4" t="s">
        <v>6196</v>
      </c>
      <c r="B4934" s="4" t="s">
        <v>6199</v>
      </c>
      <c r="C4934" s="5" t="str">
        <f>IFERROR(__xludf.DUMMYFUNCTION("GOOGLETRANSLATE(B4934,""en"",""it"")"),"Dopo, l'uomo interpreta il Tam Tam in un soggiorno.")</f>
        <v>Dopo, l'uomo interpreta il Tam Tam in un soggiorno.</v>
      </c>
    </row>
    <row r="4935">
      <c r="A4935" s="4" t="s">
        <v>6200</v>
      </c>
      <c r="B4935" s="4" t="s">
        <v>6201</v>
      </c>
      <c r="C4935" s="5" t="str">
        <f>IFERROR(__xludf.DUMMYFUNCTION("GOOGLETRANSLATE(B4935,""en"",""it"")"),"Un uomo sul molo consegna una corda a uno sciatore d'acqua.")</f>
        <v>Un uomo sul molo consegna una corda a uno sciatore d'acqua.</v>
      </c>
    </row>
    <row r="4936">
      <c r="A4936" s="4" t="s">
        <v>6200</v>
      </c>
      <c r="B4936" s="4" t="s">
        <v>6202</v>
      </c>
      <c r="C4936" s="5" t="str">
        <f>IFERROR(__xludf.DUMMYFUNCTION("GOOGLETRANSLATE(B4936,""en"",""it"")"),"Una persona si sciocca e fa saltare le rampe nell'acqua di un lago.")</f>
        <v>Una persona si sciocca e fa saltare le rampe nell'acqua di un lago.</v>
      </c>
    </row>
    <row r="4937">
      <c r="A4937" s="4" t="s">
        <v>6200</v>
      </c>
      <c r="B4937" s="4" t="s">
        <v>6203</v>
      </c>
      <c r="C4937" s="5" t="str">
        <f>IFERROR(__xludf.DUMMYFUNCTION("GOOGLETRANSLATE(B4937,""en"",""it"")"),"Lo sciatore d'acqua cade ma si riprende quindi lascia andare la corda e si sposta sul litorale.")</f>
        <v>Lo sciatore d'acqua cade ma si riprende quindi lascia andare la corda e si sposta sul litorale.</v>
      </c>
    </row>
    <row r="4938">
      <c r="A4938" s="4" t="s">
        <v>6204</v>
      </c>
      <c r="B4938" s="4" t="s">
        <v>6205</v>
      </c>
      <c r="C4938" s="5" t="str">
        <f>IFERROR(__xludf.DUMMYFUNCTION("GOOGLETRANSLATE(B4938,""en"",""it"")"),"Vediamo un uomo camminare e si siede su un vogatore.")</f>
        <v>Vediamo un uomo camminare e si siede su un vogatore.</v>
      </c>
    </row>
    <row r="4939">
      <c r="A4939" s="4" t="s">
        <v>6204</v>
      </c>
      <c r="B4939" s="4" t="s">
        <v>6206</v>
      </c>
      <c r="C4939" s="5" t="str">
        <f>IFERROR(__xludf.DUMMYFUNCTION("GOOGLETRANSLATE(B4939,""en"",""it"")"),"L'uomo beve dalla sua acqua.")</f>
        <v>L'uomo beve dalla sua acqua.</v>
      </c>
    </row>
    <row r="4940">
      <c r="A4940" s="4" t="s">
        <v>6204</v>
      </c>
      <c r="B4940" s="4" t="s">
        <v>6207</v>
      </c>
      <c r="C4940" s="5" t="str">
        <f>IFERROR(__xludf.DUMMYFUNCTION("GOOGLETRANSLATE(B4940,""en"",""it"")"),"L'uomo riga rapidamente sulla macchina.")</f>
        <v>L'uomo riga rapidamente sulla macchina.</v>
      </c>
    </row>
    <row r="4941">
      <c r="A4941" s="4" t="s">
        <v>6204</v>
      </c>
      <c r="B4941" s="4" t="s">
        <v>6208</v>
      </c>
      <c r="C4941" s="5" t="str">
        <f>IFERROR(__xludf.DUMMYFUNCTION("GOOGLETRANSLATE(B4941,""en"",""it"")"),"Vediamo una schermata del titolo.")</f>
        <v>Vediamo una schermata del titolo.</v>
      </c>
    </row>
    <row r="4942">
      <c r="A4942" s="4" t="s">
        <v>6204</v>
      </c>
      <c r="B4942" s="4" t="s">
        <v>6209</v>
      </c>
      <c r="C4942" s="5" t="str">
        <f>IFERROR(__xludf.DUMMYFUNCTION("GOOGLETRANSLATE(B4942,""en"",""it"")"),"Vediamo l'uomo smettere di remare e camminare e ottiene la fotocamera.")</f>
        <v>Vediamo l'uomo smettere di remare e camminare e ottiene la fotocamera.</v>
      </c>
    </row>
    <row r="4943">
      <c r="A4943" s="4" t="s">
        <v>6204</v>
      </c>
      <c r="B4943" s="4" t="s">
        <v>6210</v>
      </c>
      <c r="C4943" s="5" t="str">
        <f>IFERROR(__xludf.DUMMYFUNCTION("GOOGLETRANSLATE(B4943,""en"",""it"")"),"L'uomo mostra quindi lo schermo sulla macchina del remi.")</f>
        <v>L'uomo mostra quindi lo schermo sulla macchina del remi.</v>
      </c>
    </row>
    <row r="4944">
      <c r="A4944" s="4" t="s">
        <v>6204</v>
      </c>
      <c r="B4944" s="4" t="s">
        <v>6211</v>
      </c>
      <c r="C4944" s="5" t="str">
        <f>IFERROR(__xludf.DUMMYFUNCTION("GOOGLETRANSLATE(B4944,""en"",""it"")"),"L'uomo si bacia le dita e la telecamera cade a terra.")</f>
        <v>L'uomo si bacia le dita e la telecamera cade a terra.</v>
      </c>
    </row>
    <row r="4945">
      <c r="A4945" s="4" t="s">
        <v>6212</v>
      </c>
      <c r="B4945" s="4" t="s">
        <v>6213</v>
      </c>
      <c r="C4945" s="5" t="str">
        <f>IFERROR(__xludf.DUMMYFUNCTION("GOOGLETRANSLATE(B4945,""en"",""it"")"),"Un uomo si trova di fronte a un logo aziendale e discute.")</f>
        <v>Un uomo si trova di fronte a un logo aziendale e discute.</v>
      </c>
    </row>
    <row r="4946">
      <c r="A4946" s="4" t="s">
        <v>6212</v>
      </c>
      <c r="B4946" s="4" t="s">
        <v>6214</v>
      </c>
      <c r="C4946" s="5" t="str">
        <f>IFERROR(__xludf.DUMMYFUNCTION("GOOGLETRANSLATE(B4946,""en"",""it"")"),"Un pilota gira intorno e pianta il piede nella terra per stabilizzarsi.")</f>
        <v>Un pilota gira intorno e pianta il piede nella terra per stabilizzarsi.</v>
      </c>
    </row>
    <row r="4947">
      <c r="A4947" s="4" t="s">
        <v>6212</v>
      </c>
      <c r="B4947" s="4" t="s">
        <v>6215</v>
      </c>
      <c r="C4947" s="5" t="str">
        <f>IFERROR(__xludf.DUMMYFUNCTION("GOOGLETRANSLATE(B4947,""en"",""it"")"),"Il pilota accelera da una svolta sulla sua moto.")</f>
        <v>Il pilota accelera da una svolta sulla sua moto.</v>
      </c>
    </row>
    <row r="4948">
      <c r="A4948" s="4" t="s">
        <v>6212</v>
      </c>
      <c r="B4948" s="4" t="s">
        <v>6216</v>
      </c>
      <c r="C4948" s="5" t="str">
        <f>IFERROR(__xludf.DUMMYFUNCTION("GOOGLETRANSLATE(B4948,""en"",""it"")"),"Il pilota va oltre la sua moto.")</f>
        <v>Il pilota va oltre la sua moto.</v>
      </c>
    </row>
    <row r="4949">
      <c r="A4949" s="4" t="s">
        <v>6217</v>
      </c>
      <c r="B4949" s="4" t="s">
        <v>6218</v>
      </c>
      <c r="C4949" s="5" t="str">
        <f>IFERROR(__xludf.DUMMYFUNCTION("GOOGLETRANSLATE(B4949,""en"",""it"")"),"Un gatto è seduto sul pavimento alzando lo sguardo mentre il suo proprietario cercava di afferrarlo.")</f>
        <v>Un gatto è seduto sul pavimento alzando lo sguardo mentre il suo proprietario cercava di afferrarlo.</v>
      </c>
    </row>
    <row r="4950">
      <c r="A4950" s="4" t="s">
        <v>6217</v>
      </c>
      <c r="B4950" s="4" t="s">
        <v>6219</v>
      </c>
      <c r="C4950" s="5" t="str">
        <f>IFERROR(__xludf.DUMMYFUNCTION("GOOGLETRANSLATE(B4950,""en"",""it"")"),"Il proprietario lo raccoglie e si siede con lui e inizia a tagliare le unghie.")</f>
        <v>Il proprietario lo raccoglie e si siede con lui e inizia a tagliare le unghie.</v>
      </c>
    </row>
    <row r="4951">
      <c r="A4951" s="4" t="s">
        <v>6217</v>
      </c>
      <c r="B4951" s="4" t="s">
        <v>6220</v>
      </c>
      <c r="C4951" s="5" t="str">
        <f>IFERROR(__xludf.DUMMYFUNCTION("GOOGLETRANSLATE(B4951,""en"",""it"")"),"Il gatto sta muovendo la testa agitando la coda ma non dà difficoltà.")</f>
        <v>Il gatto sta muovendo la testa agitando la coda ma non dà difficoltà.</v>
      </c>
    </row>
    <row r="4952">
      <c r="A4952" s="4" t="s">
        <v>6217</v>
      </c>
      <c r="B4952" s="6" t="s">
        <v>6221</v>
      </c>
      <c r="C4952" s="5" t="str">
        <f>IFERROR(__xludf.DUMMYFUNCTION("GOOGLETRANSLATE(B4952,""en"",""it"")"),"Il proprietario inizia quindi a strofinarti la pancia e giocare con i suoi piedi, prima di rimettere il gatto a terra.")</f>
        <v>Il proprietario inizia quindi a strofinarti la pancia e giocare con i suoi piedi, prima di rimettere il gatto a terra.</v>
      </c>
    </row>
    <row r="4953">
      <c r="A4953" s="4" t="s">
        <v>6222</v>
      </c>
      <c r="B4953" s="4" t="s">
        <v>6223</v>
      </c>
      <c r="C4953" s="5" t="str">
        <f>IFERROR(__xludf.DUMMYFUNCTION("GOOGLETRANSLATE(B4953,""en"",""it"")"),"Vediamo uomini che giocano a cricket.")</f>
        <v>Vediamo uomini che giocano a cricket.</v>
      </c>
    </row>
    <row r="4954">
      <c r="A4954" s="4" t="s">
        <v>6222</v>
      </c>
      <c r="B4954" s="4" t="s">
        <v>6224</v>
      </c>
      <c r="C4954" s="5" t="str">
        <f>IFERROR(__xludf.DUMMYFUNCTION("GOOGLETRANSLATE(B4954,""en"",""it"")"),"Il lanciatore lancia e gli uomini iniziano tutti a correre.")</f>
        <v>Il lanciatore lancia e gli uomini iniziano tutti a correre.</v>
      </c>
    </row>
    <row r="4955">
      <c r="A4955" s="4" t="s">
        <v>6222</v>
      </c>
      <c r="B4955" s="4" t="s">
        <v>6225</v>
      </c>
      <c r="C4955" s="5" t="str">
        <f>IFERROR(__xludf.DUMMYFUNCTION("GOOGLETRANSLATE(B4955,""en"",""it"")"),"Vediamo un uomo sdraiato a terra, con medici intorno.")</f>
        <v>Vediamo un uomo sdraiato a terra, con medici intorno.</v>
      </c>
    </row>
    <row r="4956">
      <c r="A4956" s="4" t="s">
        <v>6222</v>
      </c>
      <c r="B4956" s="4" t="s">
        <v>6226</v>
      </c>
      <c r="C4956" s="5" t="str">
        <f>IFERROR(__xludf.DUMMYFUNCTION("GOOGLETRANSLATE(B4956,""en"",""it"")"),"Vediamo uomini che camminano sul campo e un medico mette un pacchetto di ghiaccio sulla testa dell'uomo.")</f>
        <v>Vediamo uomini che camminano sul campo e un medico mette un pacchetto di ghiaccio sulla testa dell'uomo.</v>
      </c>
    </row>
    <row r="4957">
      <c r="A4957" s="4" t="s">
        <v>6222</v>
      </c>
      <c r="B4957" s="4" t="s">
        <v>6227</v>
      </c>
      <c r="C4957" s="5" t="str">
        <f>IFERROR(__xludf.DUMMYFUNCTION("GOOGLETRANSLATE(B4957,""en"",""it"")"),"Vediamo al rallentatore la collisione che ha ferito l'uomo.")</f>
        <v>Vediamo al rallentatore la collisione che ha ferito l'uomo.</v>
      </c>
    </row>
    <row r="4958">
      <c r="A4958" s="4" t="s">
        <v>6228</v>
      </c>
      <c r="B4958" s="4" t="s">
        <v>6229</v>
      </c>
      <c r="C4958" s="5" t="str">
        <f>IFERROR(__xludf.DUMMYFUNCTION("GOOGLETRANSLATE(B4958,""en"",""it"")"),"L'uomo è seduto in un soggiorno a parlare con la telecamera.")</f>
        <v>L'uomo è seduto in un soggiorno a parlare con la telecamera.</v>
      </c>
    </row>
    <row r="4959">
      <c r="A4959" s="4" t="s">
        <v>6228</v>
      </c>
      <c r="B4959" s="4" t="s">
        <v>6230</v>
      </c>
      <c r="C4959" s="5" t="str">
        <f>IFERROR(__xludf.DUMMYFUNCTION("GOOGLETRANSLATE(B4959,""en"",""it"")"),"L'uomo inizia a suonare il flauto e continua a talknig.")</f>
        <v>L'uomo inizia a suonare il flauto e continua a talknig.</v>
      </c>
    </row>
    <row r="4960">
      <c r="A4960" s="4" t="s">
        <v>6231</v>
      </c>
      <c r="B4960" s="4" t="s">
        <v>1251</v>
      </c>
      <c r="C4960" s="5" t="str">
        <f>IFERROR(__xludf.DUMMYFUNCTION("GOOGLETRANSLATE(B4960,""en"",""it"")"),"Vengono visualizzati i crediti della clip.")</f>
        <v>Vengono visualizzati i crediti della clip.</v>
      </c>
    </row>
    <row r="4961">
      <c r="A4961" s="4" t="s">
        <v>6231</v>
      </c>
      <c r="B4961" s="4" t="s">
        <v>6232</v>
      </c>
      <c r="C4961" s="5" t="str">
        <f>IFERROR(__xludf.DUMMYFUNCTION("GOOGLETRANSLATE(B4961,""en"",""it"")"),"Gli uomini usano le scale per salire sul tetto per lavorare.")</f>
        <v>Gli uomini usano le scale per salire sul tetto per lavorare.</v>
      </c>
    </row>
    <row r="4962">
      <c r="A4962" s="4" t="s">
        <v>6231</v>
      </c>
      <c r="B4962" s="4" t="s">
        <v>6233</v>
      </c>
      <c r="C4962" s="5" t="str">
        <f>IFERROR(__xludf.DUMMYFUNCTION("GOOGLETRANSLATE(B4962,""en"",""it"")"),"Gli uomini mettono un telo in casa.")</f>
        <v>Gli uomini mettono un telo in casa.</v>
      </c>
    </row>
    <row r="4963">
      <c r="A4963" s="4" t="s">
        <v>6231</v>
      </c>
      <c r="B4963" s="4" t="s">
        <v>6234</v>
      </c>
      <c r="C4963" s="5" t="str">
        <f>IFERROR(__xludf.DUMMYFUNCTION("GOOGLETRANSLATE(B4963,""en"",""it"")"),"Gli uomini stanno rimuovendo i pezzi del tetto e gettando giù sul telo.")</f>
        <v>Gli uomini stanno rimuovendo i pezzi del tetto e gettando giù sul telo.</v>
      </c>
    </row>
    <row r="4964">
      <c r="A4964" s="4" t="s">
        <v>6231</v>
      </c>
      <c r="B4964" s="4" t="s">
        <v>573</v>
      </c>
      <c r="C4964" s="5" t="str">
        <f>IFERROR(__xludf.DUMMYFUNCTION("GOOGLETRANSLATE(B4964,""en"",""it"")"),"Vengono visualizzati i crediti del video.")</f>
        <v>Vengono visualizzati i crediti del video.</v>
      </c>
    </row>
    <row r="4965">
      <c r="A4965" s="4" t="s">
        <v>6235</v>
      </c>
      <c r="B4965" s="4" t="s">
        <v>6236</v>
      </c>
      <c r="C4965" s="5" t="str">
        <f>IFERROR(__xludf.DUMMYFUNCTION("GOOGLETRANSLATE(B4965,""en"",""it"")"),"Una squadra di ginnastica pratica routine che comportano il salto e il lancio.")</f>
        <v>Una squadra di ginnastica pratica routine che comportano il salto e il lancio.</v>
      </c>
    </row>
    <row r="4966">
      <c r="A4966" s="4" t="s">
        <v>6235</v>
      </c>
      <c r="B4966" s="4" t="s">
        <v>6237</v>
      </c>
      <c r="C4966" s="5" t="str">
        <f>IFERROR(__xludf.DUMMYFUNCTION("GOOGLETRANSLATE(B4966,""en"",""it"")"),"Quindi passano alla cheerleader all'esterno.")</f>
        <v>Quindi passano alla cheerleader all'esterno.</v>
      </c>
    </row>
    <row r="4967">
      <c r="A4967" s="4" t="s">
        <v>6238</v>
      </c>
      <c r="B4967" s="4" t="s">
        <v>6239</v>
      </c>
      <c r="C4967" s="5" t="str">
        <f>IFERROR(__xludf.DUMMYFUNCTION("GOOGLETRANSLATE(B4967,""en"",""it"")"),"Una donna e un uomo si combattono a vicenda in una partita di braccio.")</f>
        <v>Una donna e un uomo si combattono a vicenda in una partita di braccio.</v>
      </c>
    </row>
    <row r="4968">
      <c r="A4968" s="4" t="s">
        <v>6238</v>
      </c>
      <c r="B4968" s="4" t="s">
        <v>6240</v>
      </c>
      <c r="C4968" s="5" t="str">
        <f>IFERROR(__xludf.DUMMYFUNCTION("GOOGLETRANSLATE(B4968,""en"",""it"")"),"Lo picchia e mette in mostra i suoi muscoli.")</f>
        <v>Lo picchia e mette in mostra i suoi muscoli.</v>
      </c>
    </row>
    <row r="4969">
      <c r="A4969" s="4" t="s">
        <v>6238</v>
      </c>
      <c r="B4969" s="4" t="s">
        <v>6241</v>
      </c>
      <c r="C4969" s="5" t="str">
        <f>IFERROR(__xludf.DUMMYFUNCTION("GOOGLETRANSLATE(B4969,""en"",""it"")"),"Lo fanno di nuovo, vince di nuovo e mostra i suoi muscoli.")</f>
        <v>Lo fanno di nuovo, vince di nuovo e mostra i suoi muscoli.</v>
      </c>
    </row>
    <row r="4970">
      <c r="A4970" s="4" t="s">
        <v>6242</v>
      </c>
      <c r="B4970" s="6" t="s">
        <v>6243</v>
      </c>
      <c r="C4970" s="5" t="str">
        <f>IFERROR(__xludf.DUMMYFUNCTION("GOOGLETRANSLATE(B4970,""en"",""it"")"),"Un allenatore di basket femminile viene visto istruire un gruppo di giocatrici di basket che si trovano in fila su un campo da basket.")</f>
        <v>Un allenatore di basket femminile viene visto istruire un gruppo di giocatrici di basket che si trovano in fila su un campo da basket.</v>
      </c>
    </row>
    <row r="4971">
      <c r="A4971" s="4" t="s">
        <v>6242</v>
      </c>
      <c r="B4971" s="4" t="s">
        <v>6244</v>
      </c>
      <c r="C4971" s="5" t="str">
        <f>IFERROR(__xludf.DUMMYFUNCTION("GOOGLETRANSLATE(B4971,""en"",""it"")"),"La prima ragazza passa a un altro allenatore e poi corre in rete e prende un layup.")</f>
        <v>La prima ragazza passa a un altro allenatore e poi corre in rete e prende un layup.</v>
      </c>
    </row>
    <row r="4972">
      <c r="A4972" s="4" t="s">
        <v>6242</v>
      </c>
      <c r="B4972" s="4" t="s">
        <v>6245</v>
      </c>
      <c r="C4972" s="5" t="str">
        <f>IFERROR(__xludf.DUMMYFUNCTION("GOOGLETRANSLATE(B4972,""en"",""it"")"),"Le ragazze continuano a fare il trapano sul lato destro.")</f>
        <v>Le ragazze continuano a fare il trapano sul lato destro.</v>
      </c>
    </row>
    <row r="4973">
      <c r="A4973" s="4" t="s">
        <v>6242</v>
      </c>
      <c r="B4973" s="4" t="s">
        <v>6246</v>
      </c>
      <c r="C4973" s="5" t="str">
        <f>IFERROR(__xludf.DUMMYFUNCTION("GOOGLETRANSLATE(B4973,""en"",""it"")"),"Le ragazze si spostano sul lato sinistro e eseguono lo stesso trapano sul lato sinistro del campo.")</f>
        <v>Le ragazze si spostano sul lato sinistro e eseguono lo stesso trapano sul lato sinistro del campo.</v>
      </c>
    </row>
    <row r="4974">
      <c r="A4974" s="4" t="s">
        <v>6247</v>
      </c>
      <c r="B4974" s="4" t="s">
        <v>6248</v>
      </c>
      <c r="C4974" s="5" t="str">
        <f>IFERROR(__xludf.DUMMYFUNCTION("GOOGLETRANSLATE(B4974,""en"",""it"")"),"La donna è in piedi in una palestra coperta a sollevare il peso.")</f>
        <v>La donna è in piedi in una palestra coperta a sollevare il peso.</v>
      </c>
    </row>
    <row r="4975">
      <c r="A4975" s="4" t="s">
        <v>6247</v>
      </c>
      <c r="B4975" s="4" t="s">
        <v>6249</v>
      </c>
      <c r="C4975" s="5" t="str">
        <f>IFERROR(__xludf.DUMMYFUNCTION("GOOGLETRANSLATE(B4975,""en"",""it"")"),"L'allenatore è in piedi accanto al gril che la allena e la aiuta.")</f>
        <v>L'allenatore è in piedi accanto al gril che la allena e la aiuta.</v>
      </c>
    </row>
    <row r="4976">
      <c r="A4976" s="4" t="s">
        <v>6247</v>
      </c>
      <c r="B4976" s="4" t="s">
        <v>6250</v>
      </c>
      <c r="C4976" s="5" t="str">
        <f>IFERROR(__xludf.DUMMYFUNCTION("GOOGLETRANSLATE(B4976,""en"",""it"")"),"Dopo alcuni consigli, la donna solleva di nuovo il peso.")</f>
        <v>Dopo alcuni consigli, la donna solleva di nuovo il peso.</v>
      </c>
    </row>
    <row r="4977">
      <c r="A4977" s="4" t="s">
        <v>6251</v>
      </c>
      <c r="B4977" s="4" t="s">
        <v>6252</v>
      </c>
      <c r="C4977" s="5" t="str">
        <f>IFERROR(__xludf.DUMMYFUNCTION("GOOGLETRANSLATE(B4977,""en"",""it"")"),"Un gruppo di bambini sta giocando a calcio indoor.")</f>
        <v>Un gruppo di bambini sta giocando a calcio indoor.</v>
      </c>
    </row>
    <row r="4978">
      <c r="A4978" s="4" t="s">
        <v>6251</v>
      </c>
      <c r="B4978" s="4" t="s">
        <v>6253</v>
      </c>
      <c r="C4978" s="5" t="str">
        <f>IFERROR(__xludf.DUMMYFUNCTION("GOOGLETRANSLATE(B4978,""en"",""it"")"),"I ragazzi corrono, inseguendo la palla e combattendo per allontanarla l'uno dall'altro.")</f>
        <v>I ragazzi corrono, inseguendo la palla e combattendo per allontanarla l'uno dall'altro.</v>
      </c>
    </row>
    <row r="4979">
      <c r="A4979" s="4" t="s">
        <v>6251</v>
      </c>
      <c r="B4979" s="4" t="s">
        <v>6254</v>
      </c>
      <c r="C4979" s="5" t="str">
        <f>IFERROR(__xludf.DUMMYFUNCTION("GOOGLETRANSLATE(B4979,""en"",""it"")"),"Un ragazzo prende il via all'obiettivo della squadra avversaria.")</f>
        <v>Un ragazzo prende il via all'obiettivo della squadra avversaria.</v>
      </c>
    </row>
    <row r="4980">
      <c r="A4980" s="4" t="s">
        <v>6251</v>
      </c>
      <c r="B4980" s="4" t="s">
        <v>6255</v>
      </c>
      <c r="C4980" s="5" t="str">
        <f>IFERROR(__xludf.DUMMYFUNCTION("GOOGLETRANSLATE(B4980,""en"",""it"")"),"Viene riprodotto al rallentatore.")</f>
        <v>Viene riprodotto al rallentatore.</v>
      </c>
    </row>
    <row r="4981">
      <c r="A4981" s="4" t="s">
        <v>6251</v>
      </c>
      <c r="B4981" s="4" t="s">
        <v>6256</v>
      </c>
      <c r="C4981" s="5" t="str">
        <f>IFERROR(__xludf.DUMMYFUNCTION("GOOGLETRANSLATE(B4981,""en"",""it"")"),"I ragazzi continuano a giocare per il resto del gioco.")</f>
        <v>I ragazzi continuano a giocare per il resto del gioco.</v>
      </c>
    </row>
    <row r="4982">
      <c r="A4982" s="4" t="s">
        <v>6251</v>
      </c>
      <c r="B4982" s="4" t="s">
        <v>6257</v>
      </c>
      <c r="C4982" s="5" t="str">
        <f>IFERROR(__xludf.DUMMYFUNCTION("GOOGLETRANSLATE(B4982,""en"",""it"")"),"Sullo schermo finale, un uomo più anziano viene mostrato con in mano un ragazzino tra le braccia.")</f>
        <v>Sullo schermo finale, un uomo più anziano viene mostrato con in mano un ragazzino tra le braccia.</v>
      </c>
    </row>
    <row r="4983">
      <c r="A4983" s="4" t="s">
        <v>6258</v>
      </c>
      <c r="B4983" s="6" t="s">
        <v>6259</v>
      </c>
      <c r="C4983" s="5" t="str">
        <f>IFERROR(__xludf.DUMMYFUNCTION("GOOGLETRANSLATE(B4983,""en"",""it"")"),"Una donna parla su un telefono cordless mentre si trova su un trono e mentre un'altra donna si inginocchia ai suoi piedi e li asciuga con i suoi vestiti.")</f>
        <v>Una donna parla su un telefono cordless mentre si trova su un trono e mentre un'altra donna si inginocchia ai suoi piedi e li asciuga con i suoi vestiti.</v>
      </c>
    </row>
    <row r="4984">
      <c r="A4984" s="4" t="s">
        <v>6258</v>
      </c>
      <c r="B4984" s="6" t="s">
        <v>6260</v>
      </c>
      <c r="C4984" s="5" t="str">
        <f>IFERROR(__xludf.DUMMYFUNCTION("GOOGLETRANSLATE(B4984,""en"",""it"")"),"Una donna con un sari viola si inginocchia ai piedi di un'altra donna che è seduta su un trono d'oro e indossa una corona d'oro con piume rosse tra i capelli.")</f>
        <v>Una donna con un sari viola si inginocchia ai piedi di un'altra donna che è seduta su un trono d'oro e indossa una corona d'oro con piume rosse tra i capelli.</v>
      </c>
    </row>
    <row r="4985">
      <c r="A4985" s="4" t="s">
        <v>6258</v>
      </c>
      <c r="B4985" s="6" t="s">
        <v>6261</v>
      </c>
      <c r="C4985" s="5" t="str">
        <f>IFERROR(__xludf.DUMMYFUNCTION("GOOGLETRANSLATE(B4985,""en"",""it"")"),"La donna sul trono mette il piede davanti alla donna in ginocchio e la donna in ginocchio inizia a asciugare i piedi della donna con il sari.")</f>
        <v>La donna sul trono mette il piede davanti alla donna in ginocchio e la donna in ginocchio inizia a asciugare i piedi della donna con il sari.</v>
      </c>
    </row>
    <row r="4986">
      <c r="A4986" s="4" t="s">
        <v>6258</v>
      </c>
      <c r="B4986" s="6" t="s">
        <v>6262</v>
      </c>
      <c r="C4986" s="5" t="str">
        <f>IFERROR(__xludf.DUMMYFUNCTION("GOOGLETRANSLATE(B4986,""en"",""it"")"),"La donna sul trono fa una telefonata al telefono a cordone nero e inizia a parlare prima che la scena finalmente svanisce con un'immagine sfocata di un'altra donna che parla al telefono.")</f>
        <v>La donna sul trono fa una telefonata al telefono a cordone nero e inizia a parlare prima che la scena finalmente svanisce con un'immagine sfocata di un'altra donna che parla al telefono.</v>
      </c>
    </row>
    <row r="4987">
      <c r="A4987" s="4" t="s">
        <v>6263</v>
      </c>
      <c r="B4987" s="4" t="s">
        <v>6264</v>
      </c>
      <c r="C4987" s="5" t="str">
        <f>IFERROR(__xludf.DUMMYFUNCTION("GOOGLETRANSLATE(B4987,""en"",""it"")"),"Un uomo parla mentre si trova davanti a un'auto intelligente.")</f>
        <v>Un uomo parla mentre si trova davanti a un'auto intelligente.</v>
      </c>
    </row>
    <row r="4988">
      <c r="A4988" s="4" t="s">
        <v>6263</v>
      </c>
      <c r="B4988" s="4" t="s">
        <v>6265</v>
      </c>
      <c r="C4988" s="5" t="str">
        <f>IFERROR(__xludf.DUMMYFUNCTION("GOOGLETRANSLATE(B4988,""en"",""it"")"),"Entra, continua a parlare mentre mostra il diverso componente dell'auto, incluso il tronco.")</f>
        <v>Entra, continua a parlare mentre mostra il diverso componente dell'auto, incluso il tronco.</v>
      </c>
    </row>
    <row r="4989">
      <c r="A4989" s="4" t="s">
        <v>6263</v>
      </c>
      <c r="B4989" s="4" t="s">
        <v>6266</v>
      </c>
      <c r="C4989" s="5" t="str">
        <f>IFERROR(__xludf.DUMMYFUNCTION("GOOGLETRANSLATE(B4989,""en"",""it"")"),"L'uomo ritorna dalla parte anteriore del veicolo, finendo con le sue ultime parole.")</f>
        <v>L'uomo ritorna dalla parte anteriore del veicolo, finendo con le sue ultime parole.</v>
      </c>
    </row>
    <row r="4990">
      <c r="A4990" s="4" t="s">
        <v>6267</v>
      </c>
      <c r="B4990" s="6" t="s">
        <v>6268</v>
      </c>
      <c r="C4990" s="5" t="str">
        <f>IFERROR(__xludf.DUMMYFUNCTION("GOOGLETRANSLATE(B4990,""en"",""it"")"),"Una raccolta del wrestler professionista Kevin Owens che esegue bombe di potenza su molti lottatori, all'inizio del video che entra nell'edificio con uno sguardo fiducioso, mentre procede per entrare, esegue più bombe di potenza.")</f>
        <v>Una raccolta del wrestler professionista Kevin Owens che esegue bombe di potenza su molti lottatori, all'inizio del video che entra nell'edificio con uno sguardo fiducioso, mentre procede per entrare, esegue più bombe di potenza.</v>
      </c>
    </row>
    <row r="4991">
      <c r="A4991" s="4" t="s">
        <v>6267</v>
      </c>
      <c r="B4991" s="4" t="s">
        <v>6269</v>
      </c>
      <c r="C4991" s="5" t="str">
        <f>IFERROR(__xludf.DUMMYFUNCTION("GOOGLETRANSLATE(B4991,""en"",""it"")"),"La fine del video ha un messaggio di abbonato.")</f>
        <v>La fine del video ha un messaggio di abbonato.</v>
      </c>
    </row>
    <row r="4992">
      <c r="A4992" s="4" t="s">
        <v>6270</v>
      </c>
      <c r="B4992" s="4" t="s">
        <v>6271</v>
      </c>
      <c r="C4992" s="5" t="str">
        <f>IFERROR(__xludf.DUMMYFUNCTION("GOOGLETRANSLATE(B4992,""en"",""it"")"),"Un uomo su una sedia da ufficio è seduto con un qualche tipo di penna.")</f>
        <v>Un uomo su una sedia da ufficio è seduto con un qualche tipo di penna.</v>
      </c>
    </row>
    <row r="4993">
      <c r="A4993" s="4" t="s">
        <v>6270</v>
      </c>
      <c r="B4993" s="4" t="s">
        <v>6272</v>
      </c>
      <c r="C4993" s="5" t="str">
        <f>IFERROR(__xludf.DUMMYFUNCTION("GOOGLETRANSLATE(B4993,""en"",""it"")"),"Ne parla per un po 'e poi se lo ha messo in bocca, si scopre che è un e-pen.")</f>
        <v>Ne parla per un po 'e poi se lo ha messo in bocca, si scopre che è un e-pen.</v>
      </c>
    </row>
    <row r="4994">
      <c r="A4994" s="4" t="s">
        <v>6270</v>
      </c>
      <c r="B4994" s="4" t="s">
        <v>6273</v>
      </c>
      <c r="C4994" s="5" t="str">
        <f>IFERROR(__xludf.DUMMYFUNCTION("GOOGLETRANSLATE(B4994,""en"",""it"")"),"È una nuova tecnologia che puoi fumare come una sigaretta.")</f>
        <v>È una nuova tecnologia che puoi fumare come una sigaretta.</v>
      </c>
    </row>
    <row r="4995">
      <c r="A4995" s="4" t="s">
        <v>6270</v>
      </c>
      <c r="B4995" s="4" t="s">
        <v>6274</v>
      </c>
      <c r="C4995" s="5" t="str">
        <f>IFERROR(__xludf.DUMMYFUNCTION("GOOGLETRANSLATE(B4995,""en"",""it"")"),"Lo tiene tra le mani come una sigaretta e se la mette in bocca ed espira il fumo.")</f>
        <v>Lo tiene tra le mani come una sigaretta e se la mette in bocca ed espira il fumo.</v>
      </c>
    </row>
    <row r="4996">
      <c r="A4996" s="4" t="s">
        <v>6275</v>
      </c>
      <c r="B4996" s="6" t="s">
        <v>6276</v>
      </c>
      <c r="C4996" s="5" t="str">
        <f>IFERROR(__xludf.DUMMYFUNCTION("GOOGLETRANSLATE(B4996,""en"",""it"")"),"Una donna con i capelli scuri e gli occhiali incorniciati in argento si guarda in modo pensamente fino a quando il suo sguardo non atterra sulla telecamera e finge di sorpresa alla presenza della telecamera e inizia a parlare con la telecamera.")</f>
        <v>Una donna con i capelli scuri e gli occhiali incorniciati in argento si guarda in modo pensamente fino a quando il suo sguardo non atterra sulla telecamera e finge di sorpresa alla presenza della telecamera e inizia a parlare con la telecamera.</v>
      </c>
    </row>
    <row r="4997">
      <c r="A4997" s="4" t="s">
        <v>6275</v>
      </c>
      <c r="B4997" s="6" t="s">
        <v>6277</v>
      </c>
      <c r="C4997" s="5" t="str">
        <f>IFERROR(__xludf.DUMMYFUNCTION("GOOGLETRANSLATE(B4997,""en"",""it"")"),"La donna inizia a contenere un paio di lenti a contatto e soluzione di lenti alla fotocamera e poi procede a togliere gli obiettivi e parla di nuovo con la sola fotocamera.")</f>
        <v>La donna inizia a contenere un paio di lenti a contatto e soluzione di lenti alla fotocamera e poi procede a togliere gli obiettivi e parla di nuovo con la sola fotocamera.</v>
      </c>
    </row>
    <row r="4998">
      <c r="A4998" s="4" t="s">
        <v>6275</v>
      </c>
      <c r="B4998" s="6" t="s">
        <v>6278</v>
      </c>
      <c r="C4998" s="5" t="str">
        <f>IFERROR(__xludf.DUMMYFUNCTION("GOOGLETRANSLATE(B4998,""en"",""it"")"),"La donna le riversa soluzione nella sua mano e pulisce la lente in mano prima di farne due negli occhi e esibendo occhi completamente neri sulla telecamera mentre parlava.")</f>
        <v>La donna le riversa soluzione nella sua mano e pulisce la lente in mano prima di farne due negli occhi e esibendo occhi completamente neri sulla telecamera mentre parlava.</v>
      </c>
    </row>
    <row r="4999">
      <c r="A4999" s="4" t="s">
        <v>6275</v>
      </c>
      <c r="B4999" s="4" t="s">
        <v>6279</v>
      </c>
      <c r="C4999" s="5" t="str">
        <f>IFERROR(__xludf.DUMMYFUNCTION("GOOGLETRANSLATE(B4999,""en"",""it"")"),"La donna quindi toglie il contatto dagli occhi, poi li rimette sulla dissolvenza.")</f>
        <v>La donna quindi toglie il contatto dagli occhi, poi li rimette sulla dissolvenza.</v>
      </c>
    </row>
    <row r="5000">
      <c r="A5000" s="4" t="s">
        <v>6280</v>
      </c>
      <c r="B5000" s="6" t="s">
        <v>6281</v>
      </c>
      <c r="C5000" s="5" t="str">
        <f>IFERROR(__xludf.DUMMYFUNCTION("GOOGLETRANSLATE(B5000,""en"",""it"")"),"Due ragazze vengono viste parlare con la telecamera seguita da una persona che sta gettando la frutta e la mescola in un frullatore.")</f>
        <v>Due ragazze vengono viste parlare con la telecamera seguita da una persona che sta gettando la frutta e la mescola in un frullatore.</v>
      </c>
    </row>
    <row r="5001">
      <c r="A5001" s="4" t="s">
        <v>6280</v>
      </c>
      <c r="B5001" s="6" t="s">
        <v>6282</v>
      </c>
      <c r="C5001" s="5" t="str">
        <f>IFERROR(__xludf.DUMMYFUNCTION("GOOGLETRANSLATE(B5001,""en"",""it"")"),"Le ragazze continuano a mettere il frutto in un frullatore mentre prendono i morsi sul lato e si spingono più in basso nel frullatore.")</f>
        <v>Le ragazze continuano a mettere il frutto in un frullatore mentre prendono i morsi sul lato e si spingono più in basso nel frullatore.</v>
      </c>
    </row>
    <row r="5002">
      <c r="A5002" s="4" t="s">
        <v>6283</v>
      </c>
      <c r="B5002" s="6" t="s">
        <v>6284</v>
      </c>
      <c r="C5002" s="5" t="str">
        <f>IFERROR(__xludf.DUMMYFUNCTION("GOOGLETRANSLATE(B5002,""en"",""it"")"),"Un gruppo di cheerleader viene visto urlare insieme tutto in una volta e porta a loro eseguire una routine di fronte a un vasto pubblico.")</f>
        <v>Un gruppo di cheerleader viene visto urlare insieme tutto in una volta e porta a loro eseguire una routine di fronte a un vasto pubblico.</v>
      </c>
    </row>
    <row r="5003">
      <c r="A5003" s="4" t="s">
        <v>6283</v>
      </c>
      <c r="B5003" s="6" t="s">
        <v>6285</v>
      </c>
      <c r="C5003" s="5" t="str">
        <f>IFERROR(__xludf.DUMMYFUNCTION("GOOGLETRANSLATE(B5003,""en"",""it"")"),"Le persone continuano a eseguire la loro routine sul tappeto mentre eseguono vari lanci e trucchi e finiscono con loro scappando fuori dal palco mentre il pubblico applaude.")</f>
        <v>Le persone continuano a eseguire la loro routine sul tappeto mentre eseguono vari lanci e trucchi e finiscono con loro scappando fuori dal palco mentre il pubblico applaude.</v>
      </c>
    </row>
    <row r="5004">
      <c r="A5004" s="4" t="s">
        <v>6286</v>
      </c>
      <c r="B5004" s="4" t="s">
        <v>6287</v>
      </c>
      <c r="C5004" s="5" t="str">
        <f>IFERROR(__xludf.DUMMYFUNCTION("GOOGLETRANSLATE(B5004,""en"",""it"")"),"Due uomini sono seduti a un tavolo.")</f>
        <v>Due uomini sono seduti a un tavolo.</v>
      </c>
    </row>
    <row r="5005">
      <c r="A5005" s="4" t="s">
        <v>6286</v>
      </c>
      <c r="B5005" s="4" t="s">
        <v>6288</v>
      </c>
      <c r="C5005" s="5" t="str">
        <f>IFERROR(__xludf.DUMMYFUNCTION("GOOGLETRANSLATE(B5005,""en"",""it"")"),"Gli uomini si impegnano in un gioco di braccio.")</f>
        <v>Gli uomini si impegnano in un gioco di braccio.</v>
      </c>
    </row>
    <row r="5006">
      <c r="A5006" s="4" t="s">
        <v>6286</v>
      </c>
      <c r="B5006" s="4" t="s">
        <v>6289</v>
      </c>
      <c r="C5006" s="5" t="str">
        <f>IFERROR(__xludf.DUMMYFUNCTION("GOOGLETRANSLATE(B5006,""en"",""it"")"),"Uno di loro batte l'altro.")</f>
        <v>Uno di loro batte l'altro.</v>
      </c>
    </row>
    <row r="5007">
      <c r="A5007" s="4" t="s">
        <v>6290</v>
      </c>
      <c r="B5007" s="4" t="s">
        <v>6291</v>
      </c>
      <c r="C5007" s="5" t="str">
        <f>IFERROR(__xludf.DUMMYFUNCTION("GOOGLETRANSLATE(B5007,""en"",""it"")"),"Vediamo bambini con i piedi su skateboard.")</f>
        <v>Vediamo bambini con i piedi su skateboard.</v>
      </c>
    </row>
    <row r="5008">
      <c r="A5008" s="4" t="s">
        <v>6290</v>
      </c>
      <c r="B5008" s="4" t="s">
        <v>6292</v>
      </c>
      <c r="C5008" s="5" t="str">
        <f>IFERROR(__xludf.DUMMYFUNCTION("GOOGLETRANSLATE(B5008,""en"",""it"")"),"Vediamo i bambini che cavalcano per la strada da un pattinatore POV.")</f>
        <v>Vediamo i bambini che cavalcano per la strada da un pattinatore POV.</v>
      </c>
    </row>
    <row r="5009">
      <c r="A5009" s="4" t="s">
        <v>6290</v>
      </c>
      <c r="B5009" s="4" t="s">
        <v>6293</v>
      </c>
      <c r="C5009" s="5" t="str">
        <f>IFERROR(__xludf.DUMMYFUNCTION("GOOGLETRANSLATE(B5009,""en"",""it"")"),"Un bambino si schianta e fa fatica a riprendersi.")</f>
        <v>Un bambino si schianta e fa fatica a riprendersi.</v>
      </c>
    </row>
    <row r="5010">
      <c r="A5010" s="4" t="s">
        <v>6290</v>
      </c>
      <c r="B5010" s="4" t="s">
        <v>6294</v>
      </c>
      <c r="C5010" s="5" t="str">
        <f>IFERROR(__xludf.DUMMYFUNCTION("GOOGLETRANSLATE(B5010,""en"",""it"")"),"Un ragazzo perde la sua tavola e deve correre dopo di essa.")</f>
        <v>Un ragazzo perde la sua tavola e deve correre dopo di essa.</v>
      </c>
    </row>
    <row r="5011">
      <c r="A5011" s="4" t="s">
        <v>6290</v>
      </c>
      <c r="B5011" s="4" t="s">
        <v>6295</v>
      </c>
      <c r="C5011" s="5" t="str">
        <f>IFERROR(__xludf.DUMMYFUNCTION("GOOGLETRANSLATE(B5011,""en"",""it"")"),"Vediamo che la persona con un selfie stick cade nell'erba.")</f>
        <v>Vediamo che la persona con un selfie stick cade nell'erba.</v>
      </c>
    </row>
    <row r="5012">
      <c r="A5012" s="4" t="s">
        <v>6296</v>
      </c>
      <c r="B5012" s="4" t="s">
        <v>6297</v>
      </c>
      <c r="C5012" s="5" t="str">
        <f>IFERROR(__xludf.DUMMYFUNCTION("GOOGLETRANSLATE(B5012,""en"",""it"")"),"Vengono mostrati vari colpi di atleti che tengono in mano un palo e si appoggiano all'indietro.")</f>
        <v>Vengono mostrati vari colpi di atleti che tengono in mano un palo e si appoggiano all'indietro.</v>
      </c>
    </row>
    <row r="5013">
      <c r="A5013" s="4" t="s">
        <v>6296</v>
      </c>
      <c r="B5013" s="4" t="s">
        <v>6298</v>
      </c>
      <c r="C5013" s="5" t="str">
        <f>IFERROR(__xludf.DUMMYFUNCTION("GOOGLETRANSLATE(B5013,""en"",""it"")"),"Questo porta a diverse clip di più atleti che gettano i giavellotti in lontananza.")</f>
        <v>Questo porta a diverse clip di più atleti che gettano i giavellotti in lontananza.</v>
      </c>
    </row>
    <row r="5014">
      <c r="A5014" s="4" t="s">
        <v>6296</v>
      </c>
      <c r="B5014" s="4" t="s">
        <v>6299</v>
      </c>
      <c r="C5014" s="5" t="str">
        <f>IFERROR(__xludf.DUMMYFUNCTION("GOOGLETRANSLATE(B5014,""en"",""it"")"),"Sempre più persone vengono mostrate lanciando giavellotti.")</f>
        <v>Sempre più persone vengono mostrate lanciando giavellotti.</v>
      </c>
    </row>
    <row r="5015">
      <c r="A5015" s="4" t="s">
        <v>6300</v>
      </c>
      <c r="B5015" s="4" t="s">
        <v>6301</v>
      </c>
      <c r="C5015" s="5" t="str">
        <f>IFERROR(__xludf.DUMMYFUNCTION("GOOGLETRANSLATE(B5015,""en"",""it"")"),"Una ragazza suona un tamburo ambientato in una piazza della città per aver superato le persone.")</f>
        <v>Una ragazza suona un tamburo ambientato in una piazza della città per aver superato le persone.</v>
      </c>
    </row>
    <row r="5016">
      <c r="A5016" s="4" t="s">
        <v>6300</v>
      </c>
      <c r="B5016" s="4" t="s">
        <v>6302</v>
      </c>
      <c r="C5016" s="5" t="str">
        <f>IFERROR(__xludf.DUMMYFUNCTION("GOOGLETRANSLATE(B5016,""en"",""it"")"),"Una signora si avvicina a guardare il batterista suonare.")</f>
        <v>Una signora si avvicina a guardare il batterista suonare.</v>
      </c>
    </row>
    <row r="5017">
      <c r="A5017" s="4" t="s">
        <v>6300</v>
      </c>
      <c r="B5017" s="4" t="s">
        <v>6303</v>
      </c>
      <c r="C5017" s="5" t="str">
        <f>IFERROR(__xludf.DUMMYFUNCTION("GOOGLETRANSLATE(B5017,""en"",""it"")"),"Il batterista suona un assolo sul piatto.")</f>
        <v>Il batterista suona un assolo sul piatto.</v>
      </c>
    </row>
    <row r="5018">
      <c r="A5018" s="4" t="s">
        <v>6300</v>
      </c>
      <c r="B5018" s="4" t="s">
        <v>6304</v>
      </c>
      <c r="C5018" s="5" t="str">
        <f>IFERROR(__xludf.DUMMYFUNCTION("GOOGLETRANSLATE(B5018,""en"",""it"")"),"Il batterista termina la canzone e si inchina al pubblico.")</f>
        <v>Il batterista termina la canzone e si inchina al pubblico.</v>
      </c>
    </row>
    <row r="5019">
      <c r="A5019" s="4" t="s">
        <v>6305</v>
      </c>
      <c r="B5019" s="4" t="s">
        <v>6306</v>
      </c>
      <c r="C5019" s="5" t="str">
        <f>IFERROR(__xludf.DUMMYFUNCTION("GOOGLETRANSLATE(B5019,""en"",""it"")"),"Una persona sta schiuminando la pelliccia di un cane con una doccia viola attaccata a un tubo verde.")</f>
        <v>Una persona sta schiuminando la pelliccia di un cane con una doccia viola attaccata a un tubo verde.</v>
      </c>
    </row>
    <row r="5020">
      <c r="A5020" s="4" t="s">
        <v>6305</v>
      </c>
      <c r="B5020" s="4" t="s">
        <v>6307</v>
      </c>
      <c r="C5020" s="5" t="str">
        <f>IFERROR(__xludf.DUMMYFUNCTION("GOOGLETRANSLATE(B5020,""en"",""it"")"),"Il cane scuote la sua pelliccia.")</f>
        <v>Il cane scuote la sua pelliccia.</v>
      </c>
    </row>
    <row r="5021">
      <c r="A5021" s="4" t="s">
        <v>6305</v>
      </c>
      <c r="B5021" s="4" t="s">
        <v>6308</v>
      </c>
      <c r="C5021" s="5" t="str">
        <f>IFERROR(__xludf.DUMMYFUNCTION("GOOGLETRANSLATE(B5021,""en"",""it"")"),"La persona continua a bagnare il cane.")</f>
        <v>La persona continua a bagnare il cane.</v>
      </c>
    </row>
    <row r="5022">
      <c r="A5022" s="4" t="s">
        <v>6309</v>
      </c>
      <c r="B5022" s="4" t="s">
        <v>6310</v>
      </c>
      <c r="C5022" s="5" t="str">
        <f>IFERROR(__xludf.DUMMYFUNCTION("GOOGLETRANSLATE(B5022,""en"",""it"")"),"Un bambino piccolo viene visto in piedi a terra e inizia la boxe con un altro.")</f>
        <v>Un bambino piccolo viene visto in piedi a terra e inizia la boxe con un altro.</v>
      </c>
    </row>
    <row r="5023">
      <c r="A5023" s="4" t="s">
        <v>6309</v>
      </c>
      <c r="B5023" s="4" t="s">
        <v>6311</v>
      </c>
      <c r="C5023" s="5" t="str">
        <f>IFERROR(__xludf.DUMMYFUNCTION("GOOGLETRANSLATE(B5023,""en"",""it"")"),"Il ragazzo usa guanti da boxe per colpire un uomo davanti a lui che indossa anche guanti.")</f>
        <v>Il ragazzo usa guanti da boxe per colpire un uomo davanti a lui che indossa anche guanti.</v>
      </c>
    </row>
    <row r="5024">
      <c r="A5024" s="4" t="s">
        <v>6309</v>
      </c>
      <c r="B5024" s="4" t="s">
        <v>6312</v>
      </c>
      <c r="C5024" s="5" t="str">
        <f>IFERROR(__xludf.DUMMYFUNCTION("GOOGLETRANSLATE(B5024,""en"",""it"")"),"I due continuano ad andare e se ne vanno con l'uomo in piedi.")</f>
        <v>I due continuano ad andare e se ne vanno con l'uomo in piedi.</v>
      </c>
    </row>
    <row r="5025">
      <c r="A5025" s="4" t="s">
        <v>6313</v>
      </c>
      <c r="B5025" s="4" t="s">
        <v>6314</v>
      </c>
      <c r="C5025" s="5" t="str">
        <f>IFERROR(__xludf.DUMMYFUNCTION("GOOGLETRANSLATE(B5025,""en"",""it"")"),"Un uomo con una giacca nera è in piedi fuori parlando.")</f>
        <v>Un uomo con una giacca nera è in piedi fuori parlando.</v>
      </c>
    </row>
    <row r="5026">
      <c r="A5026" s="4" t="s">
        <v>6313</v>
      </c>
      <c r="B5026" s="4" t="s">
        <v>6315</v>
      </c>
      <c r="C5026" s="5" t="str">
        <f>IFERROR(__xludf.DUMMYFUNCTION("GOOGLETRANSLATE(B5026,""en"",""it"")"),"Le persone pattinano su una pista di pattinaggio.")</f>
        <v>Le persone pattinano su una pista di pattinaggio.</v>
      </c>
    </row>
    <row r="5027">
      <c r="A5027" s="4" t="s">
        <v>6313</v>
      </c>
      <c r="B5027" s="4" t="s">
        <v>6316</v>
      </c>
      <c r="C5027" s="5" t="str">
        <f>IFERROR(__xludf.DUMMYFUNCTION("GOOGLETRANSLATE(B5027,""en"",""it"")"),"Un uomo in un cappello rosso sta giocando a hockey e fa diversi gol.")</f>
        <v>Un uomo in un cappello rosso sta giocando a hockey e fa diversi gol.</v>
      </c>
    </row>
    <row r="5028">
      <c r="A5028" s="4" t="s">
        <v>6317</v>
      </c>
      <c r="B5028" s="4" t="s">
        <v>6318</v>
      </c>
      <c r="C5028" s="5" t="str">
        <f>IFERROR(__xludf.DUMMYFUNCTION("GOOGLETRANSLATE(B5028,""en"",""it"")"),"Un uomo più anziano viene mostrato per la pulizia di un'auto davanti a una casa con un raschietto da neve.")</f>
        <v>Un uomo più anziano viene mostrato per la pulizia di un'auto davanti a una casa con un raschietto da neve.</v>
      </c>
    </row>
    <row r="5029">
      <c r="A5029" s="4" t="s">
        <v>6317</v>
      </c>
      <c r="B5029" s="4" t="s">
        <v>6319</v>
      </c>
      <c r="C5029" s="5" t="str">
        <f>IFERROR(__xludf.DUMMYFUNCTION("GOOGLETRANSLATE(B5029,""en"",""it"")"),"La telecamera si muove intorno all'auto mentre l'uomo più anziano continua a allontanarla la neve.")</f>
        <v>La telecamera si muove intorno all'auto mentre l'uomo più anziano continua a allontanarla la neve.</v>
      </c>
    </row>
    <row r="5030">
      <c r="A5030" s="4" t="s">
        <v>6320</v>
      </c>
      <c r="B5030" s="4" t="s">
        <v>6321</v>
      </c>
      <c r="C5030" s="5" t="str">
        <f>IFERROR(__xludf.DUMMYFUNCTION("GOOGLETRANSLATE(B5030,""en"",""it"")"),"Una donna è in cucina facendo una salsa di pomodoro in cucina.")</f>
        <v>Una donna è in cucina facendo una salsa di pomodoro in cucina.</v>
      </c>
    </row>
    <row r="5031">
      <c r="A5031" s="4" t="s">
        <v>6320</v>
      </c>
      <c r="B5031" s="4" t="s">
        <v>6322</v>
      </c>
      <c r="C5031" s="5" t="str">
        <f>IFERROR(__xludf.DUMMYFUNCTION("GOOGLETRANSLATE(B5031,""en"",""it"")"),"La donna sta mostrando alla telecamera il suo cibo placcato.")</f>
        <v>La donna sta mostrando alla telecamera il suo cibo placcato.</v>
      </c>
    </row>
    <row r="5032">
      <c r="A5032" s="4" t="s">
        <v>6320</v>
      </c>
      <c r="B5032" s="4" t="s">
        <v>6323</v>
      </c>
      <c r="C5032" s="5" t="str">
        <f>IFERROR(__xludf.DUMMYFUNCTION("GOOGLETRANSLATE(B5032,""en"",""it"")"),"La donna quindi afferra un verde e una scatola di pasta.")</f>
        <v>La donna quindi afferra un verde e una scatola di pasta.</v>
      </c>
    </row>
    <row r="5033">
      <c r="A5033" s="4" t="s">
        <v>6320</v>
      </c>
      <c r="B5033" s="4" t="s">
        <v>6324</v>
      </c>
      <c r="C5033" s="5" t="str">
        <f>IFERROR(__xludf.DUMMYFUNCTION("GOOGLETRANSLATE(B5033,""en"",""it"")"),"La signora inizia quindi a mescolare la salsa di pomodoro e ci mette in verdura.")</f>
        <v>La signora inizia quindi a mescolare la salsa di pomodoro e ci mette in verdura.</v>
      </c>
    </row>
    <row r="5034">
      <c r="A5034" s="4" t="s">
        <v>6320</v>
      </c>
      <c r="B5034" s="4" t="s">
        <v>6325</v>
      </c>
      <c r="C5034" s="5" t="str">
        <f>IFERROR(__xludf.DUMMYFUNCTION("GOOGLETRANSLATE(B5034,""en"",""it"")"),"Infine, la signora versa la pasta nella salsa.")</f>
        <v>Infine, la signora versa la pasta nella salsa.</v>
      </c>
    </row>
    <row r="5035">
      <c r="A5035" s="4" t="s">
        <v>6326</v>
      </c>
      <c r="B5035" s="6" t="s">
        <v>6327</v>
      </c>
      <c r="C5035" s="5" t="str">
        <f>IFERROR(__xludf.DUMMYFUNCTION("GOOGLETRANSLATE(B5035,""en"",""it"")"),"Una vetrina in scarpe da ginnastica e un berretto si blocca e pulisce una finestra con un asciugamano, con altri detergenti dietro di lui al lavoro.")</f>
        <v>Una vetrina in scarpe da ginnastica e un berretto si blocca e pulisce una finestra con un asciugamano, con altri detergenti dietro di lui al lavoro.</v>
      </c>
    </row>
    <row r="5036">
      <c r="A5036" s="4" t="s">
        <v>6326</v>
      </c>
      <c r="B5036" s="4" t="s">
        <v>6328</v>
      </c>
      <c r="C5036" s="5" t="str">
        <f>IFERROR(__xludf.DUMMYFUNCTION("GOOGLETRANSLATE(B5036,""en"",""it"")"),"Si abbassa in un'altra sezione della finestra e la asciuga con una lama.")</f>
        <v>Si abbassa in un'altra sezione della finestra e la asciuga con una lama.</v>
      </c>
    </row>
    <row r="5037">
      <c r="A5037" s="4" t="s">
        <v>6326</v>
      </c>
      <c r="B5037" s="4" t="s">
        <v>6329</v>
      </c>
      <c r="C5037" s="5" t="str">
        <f>IFERROR(__xludf.DUMMYFUNCTION("GOOGLETRANSLATE(B5037,""en"",""it"")"),"La persona della telecamera si muove intorno all'ambiente.")</f>
        <v>La persona della telecamera si muove intorno all'ambiente.</v>
      </c>
    </row>
    <row r="5038">
      <c r="A5038" s="4" t="s">
        <v>6330</v>
      </c>
      <c r="B5038" s="4" t="s">
        <v>6331</v>
      </c>
      <c r="C5038" s="5" t="str">
        <f>IFERROR(__xludf.DUMMYFUNCTION("GOOGLETRANSLATE(B5038,""en"",""it"")"),"Vediamo ragazzi che giocano a tiro alla fune in un campo.")</f>
        <v>Vediamo ragazzi che giocano a tiro alla fune in un campo.</v>
      </c>
    </row>
    <row r="5039">
      <c r="A5039" s="4" t="s">
        <v>6330</v>
      </c>
      <c r="B5039" s="4" t="s">
        <v>6332</v>
      </c>
      <c r="C5039" s="5" t="str">
        <f>IFERROR(__xludf.DUMMYFUNCTION("GOOGLETRANSLATE(B5039,""en"",""it"")"),"Un uomo in nero cammina oltre i bambini.")</f>
        <v>Un uomo in nero cammina oltre i bambini.</v>
      </c>
    </row>
    <row r="5040">
      <c r="A5040" s="4" t="s">
        <v>6330</v>
      </c>
      <c r="B5040" s="4" t="s">
        <v>6333</v>
      </c>
      <c r="C5040" s="5" t="str">
        <f>IFERROR(__xludf.DUMMYFUNCTION("GOOGLETRANSLATE(B5040,""en"",""it"")"),"Il bambino con la camicia bianca lascia andare la corda e mette le mani in aria.")</f>
        <v>Il bambino con la camicia bianca lascia andare la corda e mette le mani in aria.</v>
      </c>
    </row>
    <row r="5041">
      <c r="A5041" s="4" t="s">
        <v>6330</v>
      </c>
      <c r="B5041" s="4" t="s">
        <v>6334</v>
      </c>
      <c r="C5041" s="5" t="str">
        <f>IFERROR(__xludf.DUMMYFUNCTION("GOOGLETRANSLATE(B5041,""en"",""it"")"),"Una signora si avvicina e parla con i bambini.")</f>
        <v>Una signora si avvicina e parla con i bambini.</v>
      </c>
    </row>
    <row r="5042">
      <c r="A5042" s="4" t="s">
        <v>6335</v>
      </c>
      <c r="B5042" s="4" t="s">
        <v>6336</v>
      </c>
      <c r="C5042" s="5" t="str">
        <f>IFERROR(__xludf.DUMMYFUNCTION("GOOGLETRANSLATE(B5042,""en"",""it"")"),"Una pila di bastoncini è mostrata in una pila seguita da una persona che parla e che solleva un oggetto.")</f>
        <v>Una pila di bastoncini è mostrata in una pila seguita da una persona che parla e che solleva un oggetto.</v>
      </c>
    </row>
    <row r="5043">
      <c r="A5043" s="4" t="s">
        <v>6335</v>
      </c>
      <c r="B5043" s="6" t="s">
        <v>6337</v>
      </c>
      <c r="C5043" s="5" t="str">
        <f>IFERROR(__xludf.DUMMYFUNCTION("GOOGLETRANSLATE(B5043,""en"",""it"")"),"Le mani di una persona vengono quindi viste illuminare una partita nella pila e creare un fuoco quando mostra la sua faccia ancora una volta alla fine.")</f>
        <v>Le mani di una persona vengono quindi viste illuminare una partita nella pila e creare un fuoco quando mostra la sua faccia ancora una volta alla fine.</v>
      </c>
    </row>
    <row r="5044">
      <c r="A5044" s="4" t="s">
        <v>6338</v>
      </c>
      <c r="B5044" s="4" t="s">
        <v>6339</v>
      </c>
      <c r="C5044" s="5" t="str">
        <f>IFERROR(__xludf.DUMMYFUNCTION("GOOGLETRANSLATE(B5044,""en"",""it"")"),"Un uomo è visto in piedi dietro un grande animale con in mano un rasoio e parla alla telecamera.")</f>
        <v>Un uomo è visto in piedi dietro un grande animale con in mano un rasoio e parla alla telecamera.</v>
      </c>
    </row>
    <row r="5045">
      <c r="A5045" s="4" t="s">
        <v>6338</v>
      </c>
      <c r="B5045" s="4" t="s">
        <v>6340</v>
      </c>
      <c r="C5045" s="5" t="str">
        <f>IFERROR(__xludf.DUMMYFUNCTION("GOOGLETRANSLATE(B5045,""en"",""it"")"),"L'uomo si rade quindi intorno al cane mentre si ferma per parlare con la telecamera e accarezzare il cane.")</f>
        <v>L'uomo si rade quindi intorno al cane mentre si ferma per parlare con la telecamera e accarezzare il cane.</v>
      </c>
    </row>
    <row r="5046">
      <c r="A5046" s="4" t="s">
        <v>6341</v>
      </c>
      <c r="B5046" s="4" t="s">
        <v>6342</v>
      </c>
      <c r="C5046" s="5" t="str">
        <f>IFERROR(__xludf.DUMMYFUNCTION("GOOGLETRANSLATE(B5046,""en"",""it"")"),"Una donna sta facendo trucchi con la sua corda per saltare.")</f>
        <v>Una donna sta facendo trucchi con la sua corda per saltare.</v>
      </c>
    </row>
    <row r="5047">
      <c r="A5047" s="4" t="s">
        <v>6341</v>
      </c>
      <c r="B5047" s="4" t="s">
        <v>6343</v>
      </c>
      <c r="C5047" s="5" t="str">
        <f>IFERROR(__xludf.DUMMYFUNCTION("GOOGLETRANSLATE(B5047,""en"",""it"")"),"Fa un supporto a mano mentre salta la corda.")</f>
        <v>Fa un supporto a mano mentre salta la corda.</v>
      </c>
    </row>
    <row r="5048">
      <c r="A5048" s="4" t="s">
        <v>6341</v>
      </c>
      <c r="B5048" s="4" t="s">
        <v>6344</v>
      </c>
      <c r="C5048" s="5" t="str">
        <f>IFERROR(__xludf.DUMMYFUNCTION("GOOGLETRANSLATE(B5048,""en"",""it"")"),"Fa un capovolgimento anteriore mentre salta la corda.")</f>
        <v>Fa un capovolgimento anteriore mentre salta la corda.</v>
      </c>
    </row>
    <row r="5049">
      <c r="A5049" s="4" t="s">
        <v>6341</v>
      </c>
      <c r="B5049" s="4" t="s">
        <v>6345</v>
      </c>
      <c r="C5049" s="5" t="str">
        <f>IFERROR(__xludf.DUMMYFUNCTION("GOOGLETRANSLATE(B5049,""en"",""it"")"),"Si ferma e cammina in avanti.")</f>
        <v>Si ferma e cammina in avanti.</v>
      </c>
    </row>
    <row r="5050">
      <c r="A5050" s="4" t="s">
        <v>6346</v>
      </c>
      <c r="B5050" s="4" t="s">
        <v>1251</v>
      </c>
      <c r="C5050" s="5" t="str">
        <f>IFERROR(__xludf.DUMMYFUNCTION("GOOGLETRANSLATE(B5050,""en"",""it"")"),"Vengono visualizzati i crediti della clip.")</f>
        <v>Vengono visualizzati i crediti della clip.</v>
      </c>
    </row>
    <row r="5051">
      <c r="A5051" s="4" t="s">
        <v>6346</v>
      </c>
      <c r="B5051" s="4" t="s">
        <v>6347</v>
      </c>
      <c r="C5051" s="5" t="str">
        <f>IFERROR(__xludf.DUMMYFUNCTION("GOOGLETRANSLATE(B5051,""en"",""it"")"),"Le persone stanno caricando pneumatici gonfiati nel corpo dell'acqua.")</f>
        <v>Le persone stanno caricando pneumatici gonfiati nel corpo dell'acqua.</v>
      </c>
    </row>
    <row r="5052">
      <c r="A5052" s="4" t="s">
        <v>6346</v>
      </c>
      <c r="B5052" s="4" t="s">
        <v>6348</v>
      </c>
      <c r="C5052" s="5" t="str">
        <f>IFERROR(__xludf.DUMMYFUNCTION("GOOGLETRANSLATE(B5052,""en"",""it"")"),"Le persone fluttuano su pneumatici gonfiati.")</f>
        <v>Le persone fluttuano su pneumatici gonfiati.</v>
      </c>
    </row>
    <row r="5053">
      <c r="A5053" s="4" t="s">
        <v>6346</v>
      </c>
      <c r="B5053" s="4" t="s">
        <v>6349</v>
      </c>
      <c r="C5053" s="5" t="str">
        <f>IFERROR(__xludf.DUMMYFUNCTION("GOOGLETRANSLATE(B5053,""en"",""it"")"),"Le persone stanno spruzzando pistole d'acqua allungate.")</f>
        <v>Le persone stanno spruzzando pistole d'acqua allungate.</v>
      </c>
    </row>
    <row r="5054">
      <c r="A5054" s="4" t="s">
        <v>6346</v>
      </c>
      <c r="B5054" s="4" t="s">
        <v>6350</v>
      </c>
      <c r="C5054" s="5" t="str">
        <f>IFERROR(__xludf.DUMMYFUNCTION("GOOGLETRANSLATE(B5054,""en"",""it"")"),"Le persone pagano le canoe lungo il corpo idrico.")</f>
        <v>Le persone pagano le canoe lungo il corpo idrico.</v>
      </c>
    </row>
    <row r="5055">
      <c r="A5055" s="4" t="s">
        <v>6346</v>
      </c>
      <c r="B5055" s="4" t="s">
        <v>6351</v>
      </c>
      <c r="C5055" s="5" t="str">
        <f>IFERROR(__xludf.DUMMYFUNCTION("GOOGLETRANSLATE(B5055,""en"",""it"")"),"Un ragazzo presenta la sua lattina di birra.")</f>
        <v>Un ragazzo presenta la sua lattina di birra.</v>
      </c>
    </row>
    <row r="5056">
      <c r="A5056" s="4" t="s">
        <v>6346</v>
      </c>
      <c r="B5056" s="4" t="s">
        <v>6352</v>
      </c>
      <c r="C5056" s="5" t="str">
        <f>IFERROR(__xludf.DUMMYFUNCTION("GOOGLETRANSLATE(B5056,""en"",""it"")"),"La velocità del video è accelerata.")</f>
        <v>La velocità del video è accelerata.</v>
      </c>
    </row>
    <row r="5057">
      <c r="A5057" s="4" t="s">
        <v>6353</v>
      </c>
      <c r="B5057" s="4" t="s">
        <v>6354</v>
      </c>
      <c r="C5057" s="5" t="str">
        <f>IFERROR(__xludf.DUMMYFUNCTION("GOOGLETRANSLATE(B5057,""en"",""it"")"),"I bambini giocano a lacrosse su un campo.")</f>
        <v>I bambini giocano a lacrosse su un campo.</v>
      </c>
    </row>
    <row r="5058">
      <c r="A5058" s="4" t="s">
        <v>6353</v>
      </c>
      <c r="B5058" s="4" t="s">
        <v>6355</v>
      </c>
      <c r="C5058" s="5" t="str">
        <f>IFERROR(__xludf.DUMMYFUNCTION("GOOGLETRANSLATE(B5058,""en"",""it"")"),"Una donna in una giacca blu è in piedi sul campo a guardarli.")</f>
        <v>Una donna in una giacca blu è in piedi sul campo a guardarli.</v>
      </c>
    </row>
    <row r="5059">
      <c r="A5059" s="4" t="s">
        <v>6353</v>
      </c>
      <c r="B5059" s="4" t="s">
        <v>6356</v>
      </c>
      <c r="C5059" s="5" t="str">
        <f>IFERROR(__xludf.DUMMYFUNCTION("GOOGLETRANSLATE(B5059,""en"",""it"")"),"I bambini stanno inseguendo una palla gialla.")</f>
        <v>I bambini stanno inseguendo una palla gialla.</v>
      </c>
    </row>
    <row r="5060">
      <c r="A5060" s="4" t="s">
        <v>6357</v>
      </c>
      <c r="B5060" s="4" t="s">
        <v>6358</v>
      </c>
      <c r="C5060" s="5" t="str">
        <f>IFERROR(__xludf.DUMMYFUNCTION("GOOGLETRANSLATE(B5060,""en"",""it"")"),"Una donna inizia a correre lungo una pista.")</f>
        <v>Una donna inizia a correre lungo una pista.</v>
      </c>
    </row>
    <row r="5061">
      <c r="A5061" s="4" t="s">
        <v>6357</v>
      </c>
      <c r="B5061" s="4" t="s">
        <v>6359</v>
      </c>
      <c r="C5061" s="5" t="str">
        <f>IFERROR(__xludf.DUMMYFUNCTION("GOOGLETRANSLATE(B5061,""en"",""it"")"),"Lancia un giavellotto sul campo.")</f>
        <v>Lancia un giavellotto sul campo.</v>
      </c>
    </row>
    <row r="5062">
      <c r="A5062" s="4" t="s">
        <v>6357</v>
      </c>
      <c r="B5062" s="4" t="s">
        <v>6360</v>
      </c>
      <c r="C5062" s="5" t="str">
        <f>IFERROR(__xludf.DUMMYFUNCTION("GOOGLETRANSLATE(B5062,""en"",""it"")"),"Dà a qualcuno dietro di lei un alto cinque.")</f>
        <v>Dà a qualcuno dietro di lei un alto cinque.</v>
      </c>
    </row>
    <row r="5063">
      <c r="A5063" s="4" t="s">
        <v>6361</v>
      </c>
      <c r="B5063" s="4" t="s">
        <v>6362</v>
      </c>
      <c r="C5063" s="5" t="str">
        <f>IFERROR(__xludf.DUMMYFUNCTION("GOOGLETRANSLATE(B5063,""en"",""it"")"),"Queste persone sono mostrate esercitarsi sulle bici da esercizio.")</f>
        <v>Queste persone sono mostrate esercitarsi sulle bici da esercizio.</v>
      </c>
    </row>
    <row r="5064">
      <c r="A5064" s="4" t="s">
        <v>6361</v>
      </c>
      <c r="B5064" s="6" t="s">
        <v>6363</v>
      </c>
      <c r="C5064" s="5" t="str">
        <f>IFERROR(__xludf.DUMMYFUNCTION("GOOGLETRANSLATE(B5064,""en"",""it"")"),"Queste persone pedalano usando solo una gamba e sono in piedi nel mezzo della bici con l'altra che tiene le mani in alto.")</f>
        <v>Queste persone pedalano usando solo una gamba e sono in piedi nel mezzo della bici con l'altra che tiene le mani in alto.</v>
      </c>
    </row>
    <row r="5065">
      <c r="A5065" s="4" t="s">
        <v>6361</v>
      </c>
      <c r="B5065" s="6" t="s">
        <v>6364</v>
      </c>
      <c r="C5065" s="5" t="str">
        <f>IFERROR(__xludf.DUMMYFUNCTION("GOOGLETRANSLATE(B5065,""en"",""it"")"),"Successivamente fanno un esercizio diverso in cui mettono un piede sul pedale, mentre hanno un piede fuori e rimbalzano su e giù.")</f>
        <v>Successivamente fanno un esercizio diverso in cui mettono un piede sul pedale, mentre hanno un piede fuori e rimbalzano su e giù.</v>
      </c>
    </row>
    <row r="5066">
      <c r="A5066" s="4" t="s">
        <v>6365</v>
      </c>
      <c r="B5066" s="4" t="s">
        <v>6366</v>
      </c>
      <c r="C5066" s="5" t="str">
        <f>IFERROR(__xludf.DUMMYFUNCTION("GOOGLETRANSLATE(B5066,""en"",""it"")"),"Una donna sta davanti una giovane donna e parla.")</f>
        <v>Una donna sta davanti una giovane donna e parla.</v>
      </c>
    </row>
    <row r="5067">
      <c r="A5067" s="4" t="s">
        <v>6365</v>
      </c>
      <c r="B5067" s="4" t="s">
        <v>6367</v>
      </c>
      <c r="C5067" s="5" t="str">
        <f>IFERROR(__xludf.DUMMYFUNCTION("GOOGLETRANSLATE(B5067,""en"",""it"")"),"Quindi, la donna e la giovane donna eseguono l'esercizio di fitness mentre la donna parla.")</f>
        <v>Quindi, la donna e la giovane donna eseguono l'esercizio di fitness mentre la donna parla.</v>
      </c>
    </row>
    <row r="5068">
      <c r="A5068" s="4" t="s">
        <v>6365</v>
      </c>
      <c r="B5068" s="6" t="s">
        <v>6368</v>
      </c>
      <c r="C5068" s="5" t="str">
        <f>IFERROR(__xludf.DUMMYFUNCTION("GOOGLETRANSLATE(B5068,""en"",""it"")"),"Dopo, la donna e la giovane donna smettono di esercitarsi e la donna parla mentre fa i gesti con le mani.")</f>
        <v>Dopo, la donna e la giovane donna smettono di esercitarsi e la donna parla mentre fa i gesti con le mani.</v>
      </c>
    </row>
    <row r="5069">
      <c r="A5069" s="4" t="s">
        <v>6369</v>
      </c>
      <c r="B5069" s="4" t="s">
        <v>6370</v>
      </c>
      <c r="C5069" s="5" t="str">
        <f>IFERROR(__xludf.DUMMYFUNCTION("GOOGLETRANSLATE(B5069,""en"",""it"")"),"Una signora che lavora in un casinò ti mostra come suonare Black Jack.")</f>
        <v>Una signora che lavora in un casinò ti mostra come suonare Black Jack.</v>
      </c>
    </row>
    <row r="5070">
      <c r="A5070" s="4" t="s">
        <v>6369</v>
      </c>
      <c r="B5070" s="4" t="s">
        <v>6371</v>
      </c>
      <c r="C5070" s="5" t="str">
        <f>IFERROR(__xludf.DUMMYFUNCTION("GOOGLETRANSLATE(B5070,""en"",""it"")"),"La signora tratta due carte ogni 5 volte e si occupa di sé.")</f>
        <v>La signora tratta due carte ogni 5 volte e si occupa di sé.</v>
      </c>
    </row>
    <row r="5071">
      <c r="A5071" s="4" t="s">
        <v>6369</v>
      </c>
      <c r="B5071" s="6" t="s">
        <v>6372</v>
      </c>
      <c r="C5071" s="5" t="str">
        <f>IFERROR(__xludf.DUMMYFUNCTION("GOOGLETRANSLATE(B5071,""en"",""it"")"),"La signora spiega quindi cosa ti è permesso fare con le carte con cui hai affrontato, tratta anche altre due carte una ogni mazzo.")</f>
        <v>La signora spiega quindi cosa ti è permesso fare con le carte con cui hai affrontato, tratta anche altre due carte una ogni mazzo.</v>
      </c>
    </row>
    <row r="5072">
      <c r="A5072" s="4" t="s">
        <v>6369</v>
      </c>
      <c r="B5072" s="6" t="s">
        <v>6373</v>
      </c>
      <c r="C5072" s="5" t="str">
        <f>IFERROR(__xludf.DUMMYFUNCTION("GOOGLETRANSLATE(B5072,""en"",""it"")"),"Alla fine tratta altre due carte a se stesso e mostra il risultato dall'aggiunta di patatine alle aree che ha distribuito la carta dall'inizio.")</f>
        <v>Alla fine tratta altre due carte a se stesso e mostra il risultato dall'aggiunta di patatine alle aree che ha distribuito la carta dall'inizio.</v>
      </c>
    </row>
    <row r="5073">
      <c r="A5073" s="4" t="s">
        <v>6369</v>
      </c>
      <c r="B5073" s="4" t="s">
        <v>6374</v>
      </c>
      <c r="C5073" s="5" t="str">
        <f>IFERROR(__xludf.DUMMYFUNCTION("GOOGLETRANSLATE(B5073,""en"",""it"")"),"La signora quindi raccoglie tutte le carte sul tavolo e il round è finito.")</f>
        <v>La signora quindi raccoglie tutte le carte sul tavolo e il round è finito.</v>
      </c>
    </row>
    <row r="5074">
      <c r="A5074" s="4" t="s">
        <v>6375</v>
      </c>
      <c r="B5074" s="4" t="s">
        <v>6376</v>
      </c>
      <c r="C5074" s="5" t="str">
        <f>IFERROR(__xludf.DUMMYFUNCTION("GOOGLETRANSLATE(B5074,""en"",""it"")"),"La prima clip del video mostra la sequenza del titolo.")</f>
        <v>La prima clip del video mostra la sequenza del titolo.</v>
      </c>
    </row>
    <row r="5075">
      <c r="A5075" s="4" t="s">
        <v>6375</v>
      </c>
      <c r="B5075" s="4" t="s">
        <v>6377</v>
      </c>
      <c r="C5075" s="5" t="str">
        <f>IFERROR(__xludf.DUMMYFUNCTION("GOOGLETRANSLATE(B5075,""en"",""it"")"),"Un uomo viene quindi mostrato in un negozio di bowling che parla alla telecamera.")</f>
        <v>Un uomo viene quindi mostrato in un negozio di bowling che parla alla telecamera.</v>
      </c>
    </row>
    <row r="5076">
      <c r="A5076" s="4" t="s">
        <v>6375</v>
      </c>
      <c r="B5076" s="4" t="s">
        <v>6378</v>
      </c>
      <c r="C5076" s="5" t="str">
        <f>IFERROR(__xludf.DUMMYFUNCTION("GOOGLETRANSLATE(B5076,""en"",""it"")"),"Un'altra diapositiva del titolo introduce la clip successiva.")</f>
        <v>Un'altra diapositiva del titolo introduce la clip successiva.</v>
      </c>
    </row>
    <row r="5077">
      <c r="A5077" s="4" t="s">
        <v>6375</v>
      </c>
      <c r="B5077" s="6" t="s">
        <v>6379</v>
      </c>
      <c r="C5077" s="5" t="str">
        <f>IFERROR(__xludf.DUMMYFUNCTION("GOOGLETRANSLATE(B5077,""en"",""it"")"),"Mentre l'uomo parla alla fotocamera, vengono mostrate diverse clip da un uomo che rotola una palla da bowling lungo la corsia.")</f>
        <v>Mentre l'uomo parla alla fotocamera, vengono mostrate diverse clip da un uomo che rotola una palla da bowling lungo la corsia.</v>
      </c>
    </row>
    <row r="5078">
      <c r="A5078" s="4" t="s">
        <v>6375</v>
      </c>
      <c r="B5078" s="4" t="s">
        <v>6380</v>
      </c>
      <c r="C5078" s="5" t="str">
        <f>IFERROR(__xludf.DUMMYFUNCTION("GOOGLETRANSLATE(B5078,""en"",""it"")"),"Il video termina con una clip che mostra il logo del titolo e le informazioni sul sito Web.")</f>
        <v>Il video termina con una clip che mostra il logo del titolo e le informazioni sul sito Web.</v>
      </c>
    </row>
    <row r="5079">
      <c r="A5079" s="4" t="s">
        <v>6381</v>
      </c>
      <c r="B5079" s="4" t="s">
        <v>6382</v>
      </c>
      <c r="C5079" s="5" t="str">
        <f>IFERROR(__xludf.DUMMYFUNCTION("GOOGLETRANSLATE(B5079,""en"",""it"")"),"Un uomo spinge un bambino sul set di oscillazioni di una grande area del parco.")</f>
        <v>Un uomo spinge un bambino sul set di oscillazioni di una grande area del parco.</v>
      </c>
    </row>
    <row r="5080">
      <c r="A5080" s="4" t="s">
        <v>6381</v>
      </c>
      <c r="B5080" s="4" t="s">
        <v>6383</v>
      </c>
      <c r="C5080" s="5" t="str">
        <f>IFERROR(__xludf.DUMMYFUNCTION("GOOGLETRANSLATE(B5080,""en"",""it"")"),"L'uomo tiene l'oscillazione e porta il bambino a fermarsi.")</f>
        <v>L'uomo tiene l'oscillazione e porta il bambino a fermarsi.</v>
      </c>
    </row>
    <row r="5081">
      <c r="A5081" s="4" t="s">
        <v>6381</v>
      </c>
      <c r="B5081" s="4" t="s">
        <v>6384</v>
      </c>
      <c r="C5081" s="5" t="str">
        <f>IFERROR(__xludf.DUMMYFUNCTION("GOOGLETRANSLATE(B5081,""en"",""it"")"),"L'uomo spinge l'oscillazione per ricominciare il bambino.")</f>
        <v>L'uomo spinge l'oscillazione per ricominciare il bambino.</v>
      </c>
    </row>
    <row r="5082">
      <c r="A5082" s="4" t="s">
        <v>6385</v>
      </c>
      <c r="B5082" s="4" t="s">
        <v>6386</v>
      </c>
      <c r="C5082" s="5" t="str">
        <f>IFERROR(__xludf.DUMMYFUNCTION("GOOGLETRANSLATE(B5082,""en"",""it"")"),"Un uomo in un top di costruzione giallo è dentro dipingendo il beige del muro.")</f>
        <v>Un uomo in un top di costruzione giallo è dentro dipingendo il beige del muro.</v>
      </c>
    </row>
    <row r="5083">
      <c r="A5083" s="4" t="s">
        <v>6385</v>
      </c>
      <c r="B5083" s="4" t="s">
        <v>6387</v>
      </c>
      <c r="C5083" s="5" t="str">
        <f>IFERROR(__xludf.DUMMYFUNCTION("GOOGLETRANSLATE(B5083,""en"",""it"")"),"Va dal basso verso l'alto e prende più vernice sul suo strumento.")</f>
        <v>Va dal basso verso l'alto e prende più vernice sul suo strumento.</v>
      </c>
    </row>
    <row r="5084">
      <c r="A5084" s="4" t="s">
        <v>6385</v>
      </c>
      <c r="B5084" s="4" t="s">
        <v>6388</v>
      </c>
      <c r="C5084" s="5" t="str">
        <f>IFERROR(__xludf.DUMMYFUNCTION("GOOGLETRANSLATE(B5084,""en"",""it"")"),"Sta facendo progressi attraverso il muro abbastanza rapidamente nel modo in cui lo sta facendo.")</f>
        <v>Sta facendo progressi attraverso il muro abbastanza rapidamente nel modo in cui lo sta facendo.</v>
      </c>
    </row>
    <row r="5085">
      <c r="A5085" s="4" t="s">
        <v>6385</v>
      </c>
      <c r="B5085" s="4" t="s">
        <v>6389</v>
      </c>
      <c r="C5085" s="5" t="str">
        <f>IFERROR(__xludf.DUMMYFUNCTION("GOOGLETRANSLATE(B5085,""en"",""it"")"),"Lo fa a metà del muro ma il fondo del muro è ancora bianco.")</f>
        <v>Lo fa a metà del muro ma il fondo del muro è ancora bianco.</v>
      </c>
    </row>
    <row r="5086">
      <c r="A5086" s="4" t="s">
        <v>6390</v>
      </c>
      <c r="B5086" s="4" t="s">
        <v>6391</v>
      </c>
      <c r="C5086" s="5" t="str">
        <f>IFERROR(__xludf.DUMMYFUNCTION("GOOGLETRANSLATE(B5086,""en"",""it"")"),"Un grafico introduce il video di autolavaggio a mano.")</f>
        <v>Un grafico introduce il video di autolavaggio a mano.</v>
      </c>
    </row>
    <row r="5087">
      <c r="A5087" s="4" t="s">
        <v>6390</v>
      </c>
      <c r="B5087" s="4" t="s">
        <v>6392</v>
      </c>
      <c r="C5087" s="5" t="str">
        <f>IFERROR(__xludf.DUMMYFUNCTION("GOOGLETRANSLATE(B5087,""en"",""it"")"),"L'auto viene lavata delicatamente con sapone.")</f>
        <v>L'auto viene lavata delicatamente con sapone.</v>
      </c>
    </row>
    <row r="5088">
      <c r="A5088" s="4" t="s">
        <v>6390</v>
      </c>
      <c r="B5088" s="4" t="s">
        <v>6393</v>
      </c>
      <c r="C5088" s="5" t="str">
        <f>IFERROR(__xludf.DUMMYFUNCTION("GOOGLETRANSLATE(B5088,""en"",""it"")"),"Successivamente, i pneumatici vengono in sapone e lavati accuratamente.")</f>
        <v>Successivamente, i pneumatici vengono in sapone e lavati accuratamente.</v>
      </c>
    </row>
    <row r="5089">
      <c r="A5089" s="4" t="s">
        <v>6390</v>
      </c>
      <c r="B5089" s="4" t="s">
        <v>6394</v>
      </c>
      <c r="C5089" s="5" t="str">
        <f>IFERROR(__xludf.DUMMYFUNCTION("GOOGLETRANSLATE(B5089,""en"",""it"")"),"Successivamente, il motore dell'auto è pulito a vapore.")</f>
        <v>Successivamente, il motore dell'auto è pulito a vapore.</v>
      </c>
    </row>
    <row r="5090">
      <c r="A5090" s="4" t="s">
        <v>6390</v>
      </c>
      <c r="B5090" s="4" t="s">
        <v>6395</v>
      </c>
      <c r="C5090" s="5" t="str">
        <f>IFERROR(__xludf.DUMMYFUNCTION("GOOGLETRANSLATE(B5090,""en"",""it"")"),"Viene applicato un risciacquo senza spot finale e l'auto viene essiccata.")</f>
        <v>Viene applicato un risciacquo senza spot finale e l'auto viene essiccata.</v>
      </c>
    </row>
    <row r="5091">
      <c r="A5091" s="4" t="s">
        <v>6396</v>
      </c>
      <c r="B5091" s="6" t="s">
        <v>6397</v>
      </c>
      <c r="C5091" s="5" t="str">
        <f>IFERROR(__xludf.DUMMYFUNCTION("GOOGLETRANSLATE(B5091,""en"",""it"")"),"Un uomo viene visto in piedi all'interno di una grande stanza e inizia a colpire una palla contro un muro con una racchetta da tennis.")</f>
        <v>Un uomo viene visto in piedi all'interno di una grande stanza e inizia a colpire una palla contro un muro con una racchetta da tennis.</v>
      </c>
    </row>
    <row r="5092">
      <c r="A5092" s="4" t="s">
        <v>6396</v>
      </c>
      <c r="B5092" s="4" t="s">
        <v>6398</v>
      </c>
      <c r="C5092" s="5" t="str">
        <f>IFERROR(__xludf.DUMMYFUNCTION("GOOGLETRANSLATE(B5092,""en"",""it"")"),"Altri colpi di lui che colpiscono la palla sono mostrati nella stanza e alla fine la palla gli torna indietro.")</f>
        <v>Altri colpi di lui che colpiscono la palla sono mostrati nella stanza e alla fine la palla gli torna indietro.</v>
      </c>
    </row>
    <row r="5093">
      <c r="A5093" s="4" t="s">
        <v>6399</v>
      </c>
      <c r="B5093" s="4" t="s">
        <v>6400</v>
      </c>
      <c r="C5093" s="5" t="str">
        <f>IFERROR(__xludf.DUMMYFUNCTION("GOOGLETRANSLATE(B5093,""en"",""it"")"),"Viene mostrato un bicchiere di alba in tequila.")</f>
        <v>Viene mostrato un bicchiere di alba in tequila.</v>
      </c>
    </row>
    <row r="5094">
      <c r="A5094" s="4" t="s">
        <v>6399</v>
      </c>
      <c r="B5094" s="4" t="s">
        <v>6401</v>
      </c>
      <c r="C5094" s="5" t="str">
        <f>IFERROR(__xludf.DUMMYFUNCTION("GOOGLETRANSLATE(B5094,""en"",""it"")"),"Un uomo sta parlando di fronte a un'esibizione di bevande alcoliche.")</f>
        <v>Un uomo sta parlando di fronte a un'esibizione di bevande alcoliche.</v>
      </c>
    </row>
    <row r="5095">
      <c r="A5095" s="4" t="s">
        <v>6399</v>
      </c>
      <c r="B5095" s="6" t="s">
        <v>6402</v>
      </c>
      <c r="C5095" s="5" t="str">
        <f>IFERROR(__xludf.DUMMYFUNCTION("GOOGLETRANSLATE(B5095,""en"",""it"")"),"Mette gli ingredienti di alcol e succo su un tavolo, ha aggiunto gli ingredienti e la granadina a un bicchiere alto con ghiaccio.")</f>
        <v>Mette gli ingredienti di alcol e succo su un tavolo, ha aggiunto gli ingredienti e la granadina a un bicchiere alto con ghiaccio.</v>
      </c>
    </row>
    <row r="5096">
      <c r="A5096" s="4" t="s">
        <v>6399</v>
      </c>
      <c r="B5096" s="4" t="s">
        <v>6403</v>
      </c>
      <c r="C5096" s="5" t="str">
        <f>IFERROR(__xludf.DUMMYFUNCTION("GOOGLETRANSLATE(B5096,""en"",""it"")"),"Mostra la bellissima bevanda sul tavolo.")</f>
        <v>Mostra la bellissima bevanda sul tavolo.</v>
      </c>
    </row>
    <row r="5097">
      <c r="A5097" s="4" t="s">
        <v>6404</v>
      </c>
      <c r="B5097" s="4" t="s">
        <v>6405</v>
      </c>
      <c r="C5097" s="5" t="str">
        <f>IFERROR(__xludf.DUMMYFUNCTION("GOOGLETRANSLATE(B5097,""en"",""it"")"),"Un ragazzo sta parlando davanti a una macchina fotografica nella sua stanza.")</f>
        <v>Un ragazzo sta parlando davanti a una macchina fotografica nella sua stanza.</v>
      </c>
    </row>
    <row r="5098">
      <c r="A5098" s="4" t="s">
        <v>6404</v>
      </c>
      <c r="B5098" s="4" t="s">
        <v>6406</v>
      </c>
      <c r="C5098" s="5" t="str">
        <f>IFERROR(__xludf.DUMMYFUNCTION("GOOGLETRANSLATE(B5098,""en"",""it"")"),"Fuma una sigaretta, poi gli soffia il fumo dalla bocca.")</f>
        <v>Fuma una sigaretta, poi gli soffia il fumo dalla bocca.</v>
      </c>
    </row>
    <row r="5099">
      <c r="A5099" s="4" t="s">
        <v>6404</v>
      </c>
      <c r="B5099" s="4" t="s">
        <v>6407</v>
      </c>
      <c r="C5099" s="5" t="str">
        <f>IFERROR(__xludf.DUMMYFUNCTION("GOOGLETRANSLATE(B5099,""en"",""it"")"),"Comincia a fare anelli mentre soffia il fumo.")</f>
        <v>Comincia a fare anelli mentre soffia il fumo.</v>
      </c>
    </row>
    <row r="5100">
      <c r="A5100" s="4" t="s">
        <v>6408</v>
      </c>
      <c r="B5100" s="4" t="s">
        <v>6409</v>
      </c>
      <c r="C5100" s="5" t="str">
        <f>IFERROR(__xludf.DUMMYFUNCTION("GOOGLETRANSLATE(B5100,""en"",""it"")"),"Una donna è seduta come una persona con le mani guantate inserisce un buco nella lingua.")</f>
        <v>Una donna è seduta come una persona con le mani guantate inserisce un buco nella lingua.</v>
      </c>
    </row>
    <row r="5101">
      <c r="A5101" s="4" t="s">
        <v>6408</v>
      </c>
      <c r="B5101" s="4" t="s">
        <v>6410</v>
      </c>
      <c r="C5101" s="5" t="str">
        <f>IFERROR(__xludf.DUMMYFUNCTION("GOOGLETRANSLATE(B5101,""en"",""it"")"),"La persona si stringe la lingua, quindi inserisce un piercing.")</f>
        <v>La persona si stringe la lingua, quindi inserisce un piercing.</v>
      </c>
    </row>
    <row r="5102">
      <c r="A5102" s="4" t="s">
        <v>6408</v>
      </c>
      <c r="B5102" s="4" t="s">
        <v>6411</v>
      </c>
      <c r="C5102" s="5" t="str">
        <f>IFERROR(__xludf.DUMMYFUNCTION("GOOGLETRANSLATE(B5102,""en"",""it"")"),"Viene quindi mostrata sorridendo e mostra il suo stallone.")</f>
        <v>Viene quindi mostrata sorridendo e mostra il suo stallone.</v>
      </c>
    </row>
    <row r="5103">
      <c r="A5103" s="4" t="s">
        <v>6412</v>
      </c>
      <c r="B5103" s="4" t="s">
        <v>6413</v>
      </c>
      <c r="C5103" s="5" t="str">
        <f>IFERROR(__xludf.DUMMYFUNCTION("GOOGLETRANSLATE(B5103,""en"",""it"")"),"Diversi lottatori sono mostrati in un gioco con una persona che sceglie i suoi personaggi.")</f>
        <v>Diversi lottatori sono mostrati in un gioco con una persona che sceglie i suoi personaggi.</v>
      </c>
    </row>
    <row r="5104">
      <c r="A5104" s="4" t="s">
        <v>6412</v>
      </c>
      <c r="B5104" s="4" t="s">
        <v>6414</v>
      </c>
      <c r="C5104" s="5" t="str">
        <f>IFERROR(__xludf.DUMMYFUNCTION("GOOGLETRANSLATE(B5104,""en"",""it"")"),"Il gioco si carica in persone che lottano tra loro su un anello.")</f>
        <v>Il gioco si carica in persone che lottano tra loro su un anello.</v>
      </c>
    </row>
    <row r="5105">
      <c r="A5105" s="4" t="s">
        <v>6412</v>
      </c>
      <c r="B5105" s="4" t="s">
        <v>6415</v>
      </c>
      <c r="C5105" s="5" t="str">
        <f>IFERROR(__xludf.DUMMYFUNCTION("GOOGLETRANSLATE(B5105,""en"",""it"")"),"Gli uomini continuano a lottare nel gioco e finiscono guardando un giocatore.")</f>
        <v>Gli uomini continuano a lottare nel gioco e finiscono guardando un giocatore.</v>
      </c>
    </row>
    <row r="5106">
      <c r="A5106" s="4" t="s">
        <v>6416</v>
      </c>
      <c r="B5106" s="4" t="s">
        <v>6417</v>
      </c>
      <c r="C5106" s="5" t="str">
        <f>IFERROR(__xludf.DUMMYFUNCTION("GOOGLETRANSLATE(B5106,""en"",""it"")"),"C'è un uomo che dimostra come sciogliere le superfici di cera e rivestimento con cera usando un ferro.")</f>
        <v>C'è un uomo che dimostra come sciogliere le superfici di cera e rivestimento con cera usando un ferro.</v>
      </c>
    </row>
    <row r="5107">
      <c r="A5107" s="4" t="s">
        <v>6416</v>
      </c>
      <c r="B5107" s="4" t="s">
        <v>6418</v>
      </c>
      <c r="C5107" s="5" t="str">
        <f>IFERROR(__xludf.DUMMYFUNCTION("GOOGLETRANSLATE(B5107,""en"",""it"")"),"Si scioglie un pezzo di cera contro la superficie riscaldata del ferro.")</f>
        <v>Si scioglie un pezzo di cera contro la superficie riscaldata del ferro.</v>
      </c>
    </row>
    <row r="5108">
      <c r="A5108" s="4" t="s">
        <v>6416</v>
      </c>
      <c r="B5108" s="4" t="s">
        <v>6419</v>
      </c>
      <c r="C5108" s="5" t="str">
        <f>IFERROR(__xludf.DUMMYFUNCTION("GOOGLETRANSLATE(B5108,""en"",""it"")"),"Quindi spalma la cera e si ricopre su una superficie.")</f>
        <v>Quindi spalma la cera e si ricopre su una superficie.</v>
      </c>
    </row>
    <row r="5109">
      <c r="A5109" s="4" t="s">
        <v>6416</v>
      </c>
      <c r="B5109" s="4" t="s">
        <v>6420</v>
      </c>
      <c r="C5109" s="5" t="str">
        <f>IFERROR(__xludf.DUMMYFUNCTION("GOOGLETRANSLATE(B5109,""en"",""it"")"),"Dopo che la cera si raffredda e si solidifica, la graffia dalla superficie.")</f>
        <v>Dopo che la cera si raffredda e si solidifica, la graffia dalla superficie.</v>
      </c>
    </row>
    <row r="5110">
      <c r="A5110" s="4" t="s">
        <v>6421</v>
      </c>
      <c r="B5110" s="4" t="s">
        <v>6422</v>
      </c>
      <c r="C5110" s="5" t="str">
        <f>IFERROR(__xludf.DUMMYFUNCTION("GOOGLETRANSLATE(B5110,""en"",""it"")"),"Un gruppo di uomini sta correndo attraverso una palestra.")</f>
        <v>Un gruppo di uomini sta correndo attraverso una palestra.</v>
      </c>
    </row>
    <row r="5111">
      <c r="A5111" s="4" t="s">
        <v>6421</v>
      </c>
      <c r="B5111" s="4" t="s">
        <v>6423</v>
      </c>
      <c r="C5111" s="5" t="str">
        <f>IFERROR(__xludf.DUMMYFUNCTION("GOOGLETRANSLATE(B5111,""en"",""it"")"),"Si esauriscono su un anello insieme.")</f>
        <v>Si esauriscono su un anello insieme.</v>
      </c>
    </row>
    <row r="5112">
      <c r="A5112" s="4" t="s">
        <v>6421</v>
      </c>
      <c r="B5112" s="4" t="s">
        <v>6424</v>
      </c>
      <c r="C5112" s="5" t="str">
        <f>IFERROR(__xludf.DUMMYFUNCTION("GOOGLETRANSLATE(B5112,""en"",""it"")"),"Si impegnano quindi in una partita di wrestling.")</f>
        <v>Si impegnano quindi in una partita di wrestling.</v>
      </c>
    </row>
    <row r="5113">
      <c r="A5113" s="4" t="s">
        <v>6425</v>
      </c>
      <c r="B5113" s="4" t="s">
        <v>6426</v>
      </c>
      <c r="C5113" s="5" t="str">
        <f>IFERROR(__xludf.DUMMYFUNCTION("GOOGLETRANSLATE(B5113,""en"",""it"")"),"Un ragazzo parla alla telecamera su una spiaggia.")</f>
        <v>Un ragazzo parla alla telecamera su una spiaggia.</v>
      </c>
    </row>
    <row r="5114">
      <c r="A5114" s="4" t="s">
        <v>6425</v>
      </c>
      <c r="B5114" s="4" t="s">
        <v>6427</v>
      </c>
      <c r="C5114" s="5" t="str">
        <f>IFERROR(__xludf.DUMMYFUNCTION("GOOGLETRANSLATE(B5114,""en"",""it"")"),"Un uomo cammina da destra a sinistra sullo sfondo.")</f>
        <v>Un uomo cammina da destra a sinistra sullo sfondo.</v>
      </c>
    </row>
    <row r="5115">
      <c r="A5115" s="4" t="s">
        <v>6425</v>
      </c>
      <c r="B5115" s="4" t="s">
        <v>6428</v>
      </c>
      <c r="C5115" s="5" t="str">
        <f>IFERROR(__xludf.DUMMYFUNCTION("GOOGLETRANSLATE(B5115,""en"",""it"")"),"Il ragazzo interagisce con un uomo davanti a un castello di sabbia.")</f>
        <v>Il ragazzo interagisce con un uomo davanti a un castello di sabbia.</v>
      </c>
    </row>
    <row r="5116">
      <c r="A5116" s="4" t="s">
        <v>6425</v>
      </c>
      <c r="B5116" s="4" t="s">
        <v>6429</v>
      </c>
      <c r="C5116" s="5" t="str">
        <f>IFERROR(__xludf.DUMMYFUNCTION("GOOGLETRANSLATE(B5116,""en"",""it"")"),"Una donna cammina da destra a sinistra sullo sfondo.")</f>
        <v>Una donna cammina da destra a sinistra sullo sfondo.</v>
      </c>
    </row>
    <row r="5117">
      <c r="A5117" s="4" t="s">
        <v>6425</v>
      </c>
      <c r="B5117" s="6" t="s">
        <v>6430</v>
      </c>
      <c r="C5117" s="5" t="str">
        <f>IFERROR(__xludf.DUMMYFUNCTION("GOOGLETRANSLATE(B5117,""en"",""it"")"),"Diverse immagini fisse del ragazzo e dell'uomo, a volte con altre persone, sono mostrate di fronte al castello di sabbia in varie fasi di completamento.")</f>
        <v>Diverse immagini fisse del ragazzo e dell'uomo, a volte con altre persone, sono mostrate di fronte al castello di sabbia in varie fasi di completamento.</v>
      </c>
    </row>
    <row r="5118">
      <c r="A5118" s="4" t="s">
        <v>6425</v>
      </c>
      <c r="B5118" s="6" t="s">
        <v>6431</v>
      </c>
      <c r="C5118" s="5" t="str">
        <f>IFERROR(__xludf.DUMMYFUNCTION("GOOGLETRANSLATE(B5118,""en"",""it"")"),"Il ragazzo, ora con due bambini più piccoli, interagisce con l'uomo che sta ancora lavorando sul castello di sabbia.")</f>
        <v>Il ragazzo, ora con due bambini più piccoli, interagisce con l'uomo che sta ancora lavorando sul castello di sabbia.</v>
      </c>
    </row>
    <row r="5119">
      <c r="A5119" s="4" t="s">
        <v>6425</v>
      </c>
      <c r="B5119" s="4" t="s">
        <v>6432</v>
      </c>
      <c r="C5119" s="5" t="str">
        <f>IFERROR(__xludf.DUMMYFUNCTION("GOOGLETRANSLATE(B5119,""en"",""it"")"),"Vengono mostrate altre immagini fisse di vari gruppi di persone accanto al castello di sabbia.")</f>
        <v>Vengono mostrate altre immagini fisse di vari gruppi di persone accanto al castello di sabbia.</v>
      </c>
    </row>
    <row r="5120">
      <c r="A5120" s="4" t="s">
        <v>6433</v>
      </c>
      <c r="B5120" s="4" t="s">
        <v>6434</v>
      </c>
      <c r="C5120" s="5" t="str">
        <f>IFERROR(__xludf.DUMMYFUNCTION("GOOGLETRANSLATE(B5120,""en"",""it"")"),"Vediamo i bambini che lavare le mani in una sala a classe ai lavandini per bambini.")</f>
        <v>Vediamo i bambini che lavare le mani in una sala a classe ai lavandini per bambini.</v>
      </c>
    </row>
    <row r="5121">
      <c r="A5121" s="4" t="s">
        <v>6433</v>
      </c>
      <c r="B5121" s="4" t="s">
        <v>6435</v>
      </c>
      <c r="C5121" s="5" t="str">
        <f>IFERROR(__xludf.DUMMYFUNCTION("GOOGLETRANSLATE(B5121,""en"",""it"")"),"Guardiamo il ragazzo provare a prendere il sapone.")</f>
        <v>Guardiamo il ragazzo provare a prendere il sapone.</v>
      </c>
    </row>
    <row r="5122">
      <c r="A5122" s="4" t="s">
        <v>6433</v>
      </c>
      <c r="B5122" s="4" t="s">
        <v>6436</v>
      </c>
      <c r="C5122" s="5" t="str">
        <f>IFERROR(__xludf.DUMMYFUNCTION("GOOGLETRANSLATE(B5122,""en"",""it"")"),"Il ragazzo usa di nuovo il distributore di sapone.")</f>
        <v>Il ragazzo usa di nuovo il distributore di sapone.</v>
      </c>
    </row>
    <row r="5123">
      <c r="A5123" s="4" t="s">
        <v>6433</v>
      </c>
      <c r="B5123" s="4" t="s">
        <v>6437</v>
      </c>
      <c r="C5123" s="5" t="str">
        <f>IFERROR(__xludf.DUMMYFUNCTION("GOOGLETRANSLATE(B5123,""en"",""it"")"),"Il ragazzo guarda la telecamera e parla.")</f>
        <v>Il ragazzo guarda la telecamera e parla.</v>
      </c>
    </row>
    <row r="5124">
      <c r="A5124" s="4" t="s">
        <v>6433</v>
      </c>
      <c r="B5124" s="4" t="s">
        <v>6438</v>
      </c>
      <c r="C5124" s="5" t="str">
        <f>IFERROR(__xludf.DUMMYFUNCTION("GOOGLETRANSLATE(B5124,""en"",""it"")"),"Un adulto gli afferra la mano quando tenta di ottenere più sapone.")</f>
        <v>Un adulto gli afferra la mano quando tenta di ottenere più sapone.</v>
      </c>
    </row>
    <row r="5125">
      <c r="A5125" s="4" t="s">
        <v>6439</v>
      </c>
      <c r="B5125" s="4" t="s">
        <v>6440</v>
      </c>
      <c r="C5125" s="5" t="str">
        <f>IFERROR(__xludf.DUMMYFUNCTION("GOOGLETRANSLATE(B5125,""en"",""it"")"),"Un'introduzione conduce in diversi scatti di una pista per biciclette e persone che si muovono lungo la pista per correre.")</f>
        <v>Un'introduzione conduce in diversi scatti di una pista per biciclette e persone che si muovono lungo la pista per correre.</v>
      </c>
    </row>
    <row r="5126">
      <c r="A5126" s="4" t="s">
        <v>6439</v>
      </c>
      <c r="B5126" s="6" t="s">
        <v>6441</v>
      </c>
      <c r="C5126" s="5" t="str">
        <f>IFERROR(__xludf.DUMMYFUNCTION("GOOGLETRANSLATE(B5126,""en"",""it"")"),"La fotocamera continua a catturare le persone che cavalcano la pista al rallentatore con una persona che cade e molti guardano sui lati.")</f>
        <v>La fotocamera continua a catturare le persone che cavalcano la pista al rallentatore con una persona che cade e molti guardano sui lati.</v>
      </c>
    </row>
    <row r="5127">
      <c r="A5127" s="4" t="s">
        <v>6439</v>
      </c>
      <c r="B5127" s="4" t="s">
        <v>6442</v>
      </c>
      <c r="C5127" s="5" t="str">
        <f>IFERROR(__xludf.DUMMYFUNCTION("GOOGLETRANSLATE(B5127,""en"",""it"")"),"La gente quindi attraversa il traguardo e getta le braccia in aria.")</f>
        <v>La gente quindi attraversa il traguardo e getta le braccia in aria.</v>
      </c>
    </row>
    <row r="5128">
      <c r="A5128" s="4" t="s">
        <v>6443</v>
      </c>
      <c r="B5128" s="4" t="s">
        <v>6444</v>
      </c>
      <c r="C5128" s="5" t="str">
        <f>IFERROR(__xludf.DUMMYFUNCTION("GOOGLETRANSLATE(B5128,""en"",""it"")"),"Una bicicletta capovolta è capovolta contro il muro quando viene mostrato un cambiamento arancione.")</f>
        <v>Una bicicletta capovolta è capovolta contro il muro quando viene mostrato un cambiamento arancione.</v>
      </c>
    </row>
    <row r="5129">
      <c r="A5129" s="4" t="s">
        <v>6443</v>
      </c>
      <c r="B5129" s="4" t="s">
        <v>6445</v>
      </c>
      <c r="C5129" s="5" t="str">
        <f>IFERROR(__xludf.DUMMYFUNCTION("GOOGLETRANSLATE(B5129,""en"",""it"")"),"Una persona viene quindi e rimuove la catena dalla bici e la posiziona a terra.")</f>
        <v>Una persona viene quindi e rimuove la catena dalla bici e la posiziona a terra.</v>
      </c>
    </row>
    <row r="5130">
      <c r="A5130" s="4" t="s">
        <v>6443</v>
      </c>
      <c r="B5130" s="4" t="s">
        <v>6446</v>
      </c>
      <c r="C5130" s="5" t="str">
        <f>IFERROR(__xludf.DUMMYFUNCTION("GOOGLETRANSLATE(B5130,""en"",""it"")"),"L'uomo quindi elimina un metro e inizia a misurare alcune parti della bici.")</f>
        <v>L'uomo quindi elimina un metro e inizia a misurare alcune parti della bici.</v>
      </c>
    </row>
    <row r="5131">
      <c r="A5131" s="4" t="s">
        <v>6443</v>
      </c>
      <c r="B5131" s="6" t="s">
        <v>6447</v>
      </c>
      <c r="C5131" s="5" t="str">
        <f>IFERROR(__xludf.DUMMYFUNCTION("GOOGLETRANSLATE(B5131,""en"",""it"")"),"I pezzi vengono quindi rimossi e serrati con la chiave e gli anelli vengono posizionati all'interno da dove va la catena.")</f>
        <v>I pezzi vengono quindi rimossi e serrati con la chiave e gli anelli vengono posizionati all'interno da dove va la catena.</v>
      </c>
    </row>
    <row r="5132">
      <c r="A5132" s="4" t="s">
        <v>6448</v>
      </c>
      <c r="B5132" s="4" t="s">
        <v>6449</v>
      </c>
      <c r="C5132" s="5" t="str">
        <f>IFERROR(__xludf.DUMMYFUNCTION("GOOGLETRANSLATE(B5132,""en"",""it"")"),"Un uomo sta facendo il tai chi si muove su una spiaggia da solo davanti al sole.")</f>
        <v>Un uomo sta facendo il tai chi si muove su una spiaggia da solo davanti al sole.</v>
      </c>
    </row>
    <row r="5133">
      <c r="A5133" s="4" t="s">
        <v>6448</v>
      </c>
      <c r="B5133" s="6" t="s">
        <v>6450</v>
      </c>
      <c r="C5133" s="5" t="str">
        <f>IFERROR(__xludf.DUMMYFUNCTION("GOOGLETRANSLATE(B5133,""en"",""it"")"),"Un gruppo di persone vestite di bianco si unisce all'uomo sulla spiaggia e fa le mosse delle arti marziali.")</f>
        <v>Un gruppo di persone vestite di bianco si unisce all'uomo sulla spiaggia e fa le mosse delle arti marziali.</v>
      </c>
    </row>
    <row r="5134">
      <c r="A5134" s="4" t="s">
        <v>6448</v>
      </c>
      <c r="B5134" s="4" t="s">
        <v>6451</v>
      </c>
      <c r="C5134" s="5" t="str">
        <f>IFERROR(__xludf.DUMMYFUNCTION("GOOGLETRANSLATE(B5134,""en"",""it"")"),"L'uomo è di nuovo solo a fare le mosse.")</f>
        <v>L'uomo è di nuovo solo a fare le mosse.</v>
      </c>
    </row>
    <row r="5135">
      <c r="A5135" s="4" t="s">
        <v>6448</v>
      </c>
      <c r="B5135" s="4" t="s">
        <v>6452</v>
      </c>
      <c r="C5135" s="5" t="str">
        <f>IFERROR(__xludf.DUMMYFUNCTION("GOOGLETRANSLATE(B5135,""en"",""it"")"),"Le persone sono con l'uomo che fa il Tai Chi di nuovo sulla spiaggia.")</f>
        <v>Le persone sono con l'uomo che fa il Tai Chi di nuovo sulla spiaggia.</v>
      </c>
    </row>
    <row r="5136">
      <c r="A5136" s="4" t="s">
        <v>6448</v>
      </c>
      <c r="B5136" s="4" t="s">
        <v>6453</v>
      </c>
      <c r="C5136" s="5" t="str">
        <f>IFERROR(__xludf.DUMMYFUNCTION("GOOGLETRANSLATE(B5136,""en"",""it"")"),"L'uomo è solo su una collina che fa le mosse.")</f>
        <v>L'uomo è solo su una collina che fa le mosse.</v>
      </c>
    </row>
    <row r="5137">
      <c r="A5137" s="4" t="s">
        <v>6448</v>
      </c>
      <c r="B5137" s="4" t="s">
        <v>6454</v>
      </c>
      <c r="C5137" s="5" t="str">
        <f>IFERROR(__xludf.DUMMYFUNCTION("GOOGLETRANSLATE(B5137,""en"",""it"")"),"L'uomo è tornato sulla spiaggia facendo le mosse mentre il sole inizia a tramontare.")</f>
        <v>L'uomo è tornato sulla spiaggia facendo le mosse mentre il sole inizia a tramontare.</v>
      </c>
    </row>
    <row r="5138">
      <c r="A5138" s="4" t="s">
        <v>6448</v>
      </c>
      <c r="B5138" s="4" t="s">
        <v>6455</v>
      </c>
      <c r="C5138" s="5" t="str">
        <f>IFERROR(__xludf.DUMMYFUNCTION("GOOGLETRANSLATE(B5138,""en"",""it"")"),"La gente sta facendo le mosse con lui sulla spiaggia.")</f>
        <v>La gente sta facendo le mosse con lui sulla spiaggia.</v>
      </c>
    </row>
    <row r="5139">
      <c r="A5139" s="4" t="s">
        <v>6448</v>
      </c>
      <c r="B5139" s="4" t="s">
        <v>6456</v>
      </c>
      <c r="C5139" s="5" t="str">
        <f>IFERROR(__xludf.DUMMYFUNCTION("GOOGLETRANSLATE(B5139,""en"",""it"")"),"Le parole si imbattono nello schermo.")</f>
        <v>Le parole si imbattono nello schermo.</v>
      </c>
    </row>
    <row r="5140">
      <c r="A5140" s="4" t="s">
        <v>6457</v>
      </c>
      <c r="B5140" s="4" t="s">
        <v>6458</v>
      </c>
      <c r="C5140" s="5" t="str">
        <f>IFERROR(__xludf.DUMMYFUNCTION("GOOGLETRANSLATE(B5140,""en"",""it"")"),"Un ragazzo con un cappello sta parlando.")</f>
        <v>Un ragazzo con un cappello sta parlando.</v>
      </c>
    </row>
    <row r="5141">
      <c r="A5141" s="4" t="s">
        <v>6457</v>
      </c>
      <c r="B5141" s="4" t="s">
        <v>6459</v>
      </c>
      <c r="C5141" s="5" t="str">
        <f>IFERROR(__xludf.DUMMYFUNCTION("GOOGLETRANSLATE(B5141,""en"",""it"")"),"Fuisce qualcosa e soffia il fumo in aria.")</f>
        <v>Fuisce qualcosa e soffia il fumo in aria.</v>
      </c>
    </row>
    <row r="5142">
      <c r="A5142" s="4" t="s">
        <v>6457</v>
      </c>
      <c r="B5142" s="4" t="s">
        <v>6460</v>
      </c>
      <c r="C5142" s="5" t="str">
        <f>IFERROR(__xludf.DUMMYFUNCTION("GOOGLETRANSLATE(B5142,""en"",""it"")"),"Continua a parlare con la telecamera.")</f>
        <v>Continua a parlare con la telecamera.</v>
      </c>
    </row>
    <row r="5143">
      <c r="A5143" s="4" t="s">
        <v>6457</v>
      </c>
      <c r="B5143" s="4" t="s">
        <v>6461</v>
      </c>
      <c r="C5143" s="5" t="str">
        <f>IFERROR(__xludf.DUMMYFUNCTION("GOOGLETRANSLATE(B5143,""en"",""it"")"),"Fumisce di nuovo dal tubo e fa esplodere il fumo ancora più volte.")</f>
        <v>Fumisce di nuovo dal tubo e fa esplodere il fumo ancora più volte.</v>
      </c>
    </row>
    <row r="5144">
      <c r="A5144" s="4" t="s">
        <v>6462</v>
      </c>
      <c r="B5144" s="4" t="s">
        <v>6463</v>
      </c>
      <c r="C5144" s="5" t="str">
        <f>IFERROR(__xludf.DUMMYFUNCTION("GOOGLETRANSLATE(B5144,""en"",""it"")"),"Un bambino di ferro su una tavola da giocattolo.")</f>
        <v>Un bambino di ferro su una tavola da giocattolo.</v>
      </c>
    </row>
    <row r="5145">
      <c r="A5145" s="4" t="s">
        <v>6462</v>
      </c>
      <c r="B5145" s="4" t="s">
        <v>6464</v>
      </c>
      <c r="C5145" s="5" t="str">
        <f>IFERROR(__xludf.DUMMYFUNCTION("GOOGLETRANSLATE(B5145,""en"",""it"")"),"Il bambino spruzza il capo e si piega, quindi continua a stirare.")</f>
        <v>Il bambino spruzza il capo e si piega, quindi continua a stirare.</v>
      </c>
    </row>
    <row r="5146">
      <c r="A5146" s="4" t="s">
        <v>6462</v>
      </c>
      <c r="B5146" s="4" t="s">
        <v>6465</v>
      </c>
      <c r="C5146" s="5" t="str">
        <f>IFERROR(__xludf.DUMMYFUNCTION("GOOGLETRANSLATE(B5146,""en"",""it"")"),"Quindi, il bambino piega di nuovo il capo e lo stira.")</f>
        <v>Quindi, il bambino piega di nuovo il capo e lo stira.</v>
      </c>
    </row>
    <row r="5147">
      <c r="A5147" s="4" t="s">
        <v>6466</v>
      </c>
      <c r="B5147" s="4" t="s">
        <v>6467</v>
      </c>
      <c r="C5147" s="5" t="str">
        <f>IFERROR(__xludf.DUMMYFUNCTION("GOOGLETRANSLATE(B5147,""en"",""it"")"),"Viene vista una persona che indossa attrezzatura e vaga per una zona erbosa.")</f>
        <v>Viene vista una persona che indossa attrezzatura e vaga per una zona erbosa.</v>
      </c>
    </row>
    <row r="5148">
      <c r="A5148" s="4" t="s">
        <v>6466</v>
      </c>
      <c r="B5148" s="4" t="s">
        <v>6468</v>
      </c>
      <c r="C5148" s="5" t="str">
        <f>IFERROR(__xludf.DUMMYFUNCTION("GOOGLETRANSLATE(B5148,""en"",""it"")"),"L'uomo usa uno strumento per tagliare lungo l'erba.")</f>
        <v>L'uomo usa uno strumento per tagliare lungo l'erba.</v>
      </c>
    </row>
    <row r="5149">
      <c r="A5149" s="4" t="s">
        <v>6466</v>
      </c>
      <c r="B5149" s="4" t="s">
        <v>6469</v>
      </c>
      <c r="C5149" s="5" t="str">
        <f>IFERROR(__xludf.DUMMYFUNCTION("GOOGLETRANSLATE(B5149,""en"",""it"")"),"Continua a muoversi lungo l'erba e mostra lo strumento alla fine.")</f>
        <v>Continua a muoversi lungo l'erba e mostra lo strumento alla fine.</v>
      </c>
    </row>
    <row r="5150">
      <c r="A5150" s="4" t="s">
        <v>6470</v>
      </c>
      <c r="B5150" s="4" t="s">
        <v>6471</v>
      </c>
      <c r="C5150" s="5" t="str">
        <f>IFERROR(__xludf.DUMMYFUNCTION("GOOGLETRANSLATE(B5150,""en"",""it"")"),"Una persona sta andando in bici da terra sopra una collina.")</f>
        <v>Una persona sta andando in bici da terra sopra una collina.</v>
      </c>
    </row>
    <row r="5151">
      <c r="A5151" s="4" t="s">
        <v>6470</v>
      </c>
      <c r="B5151" s="4" t="s">
        <v>6472</v>
      </c>
      <c r="C5151" s="5" t="str">
        <f>IFERROR(__xludf.DUMMYFUNCTION("GOOGLETRANSLATE(B5151,""en"",""it"")"),"Qualcuno si trova in cima a una collina sterrata.")</f>
        <v>Qualcuno si trova in cima a una collina sterrata.</v>
      </c>
    </row>
    <row r="5152">
      <c r="A5152" s="4" t="s">
        <v>6470</v>
      </c>
      <c r="B5152" s="4" t="s">
        <v>6473</v>
      </c>
      <c r="C5152" s="5" t="str">
        <f>IFERROR(__xludf.DUMMYFUNCTION("GOOGLETRANSLATE(B5152,""en"",""it"")"),"Le persone sono in piedi sul lato della collina.")</f>
        <v>Le persone sono in piedi sul lato della collina.</v>
      </c>
    </row>
    <row r="5153">
      <c r="A5153" s="4" t="s">
        <v>6474</v>
      </c>
      <c r="B5153" s="4" t="s">
        <v>6475</v>
      </c>
      <c r="C5153" s="5" t="str">
        <f>IFERROR(__xludf.DUMMYFUNCTION("GOOGLETRANSLATE(B5153,""en"",""it"")"),"Un uomo sta mescolando una pentola su una stufa.")</f>
        <v>Un uomo sta mescolando una pentola su una stufa.</v>
      </c>
    </row>
    <row r="5154">
      <c r="A5154" s="4" t="s">
        <v>6474</v>
      </c>
      <c r="B5154" s="4" t="s">
        <v>6476</v>
      </c>
      <c r="C5154" s="5" t="str">
        <f>IFERROR(__xludf.DUMMYFUNCTION("GOOGLETRANSLATE(B5154,""en"",""it"")"),"Un piatto viene portato nella stufa.")</f>
        <v>Un piatto viene portato nella stufa.</v>
      </c>
    </row>
    <row r="5155">
      <c r="A5155" s="4" t="s">
        <v>6474</v>
      </c>
      <c r="B5155" s="4" t="s">
        <v>6477</v>
      </c>
      <c r="C5155" s="5" t="str">
        <f>IFERROR(__xludf.DUMMYFUNCTION("GOOGLETRANSLATE(B5155,""en"",""it"")"),"Dispone di ciò che era nella padella sul piatto.")</f>
        <v>Dispone di ciò che era nella padella sul piatto.</v>
      </c>
    </row>
    <row r="5156">
      <c r="A5156" s="4" t="s">
        <v>6478</v>
      </c>
      <c r="B5156" s="6" t="s">
        <v>6479</v>
      </c>
      <c r="C5156" s="5" t="str">
        <f>IFERROR(__xludf.DUMMYFUNCTION("GOOGLETRANSLATE(B5156,""en"",""it"")"),"Molte donne diverse che indossano molte scarpe diverse stanno camminando un cane sul marciapiede, una che indossa spicchi sale alcune scale.")</f>
        <v>Molte donne diverse che indossano molte scarpe diverse stanno camminando un cane sul marciapiede, una che indossa spicchi sale alcune scale.</v>
      </c>
    </row>
    <row r="5157">
      <c r="A5157" s="4" t="s">
        <v>6478</v>
      </c>
      <c r="B5157" s="4" t="s">
        <v>6480</v>
      </c>
      <c r="C5157" s="5" t="str">
        <f>IFERROR(__xludf.DUMMYFUNCTION("GOOGLETRANSLATE(B5157,""en"",""it"")"),"Un uomo inizia a parlare di quello che sembra un salotto per cani.")</f>
        <v>Un uomo inizia a parlare di quello che sembra un salotto per cani.</v>
      </c>
    </row>
    <row r="5158">
      <c r="A5158" s="4" t="s">
        <v>6478</v>
      </c>
      <c r="B5158" s="4" t="s">
        <v>6481</v>
      </c>
      <c r="C5158" s="5" t="str">
        <f>IFERROR(__xludf.DUMMYFUNCTION("GOOGLETRANSLATE(B5158,""en"",""it"")"),"Ci sono molti cani che vengono curati e che ricevono gravi tagli di capelli fantasiosi.")</f>
        <v>Ci sono molti cani che vengono curati e che ricevono gravi tagli di capelli fantasiosi.</v>
      </c>
    </row>
    <row r="5159">
      <c r="A5159" s="4" t="s">
        <v>6478</v>
      </c>
      <c r="B5159" s="4" t="s">
        <v>6482</v>
      </c>
      <c r="C5159" s="5" t="str">
        <f>IFERROR(__xludf.DUMMYFUNCTION("GOOGLETRANSLATE(B5159,""en"",""it"")"),"Uno di questi è agitare le code molto entusiaste di godersi la situazione.")</f>
        <v>Uno di questi è agitare le code molto entusiaste di godersi la situazione.</v>
      </c>
    </row>
    <row r="5160">
      <c r="A5160" s="4" t="s">
        <v>6483</v>
      </c>
      <c r="B5160" s="4" t="s">
        <v>6484</v>
      </c>
      <c r="C5160" s="5" t="str">
        <f>IFERROR(__xludf.DUMMYFUNCTION("GOOGLETRANSLATE(B5160,""en"",""it"")"),"Fuori da un jack lombare è in piedi con un'ascia, è vestito con un cappotto per stare al caldo.")</f>
        <v>Fuori da un jack lombare è in piedi con un'ascia, è vestito con un cappotto per stare al caldo.</v>
      </c>
    </row>
    <row r="5161">
      <c r="A5161" s="4" t="s">
        <v>6483</v>
      </c>
      <c r="B5161" s="4" t="s">
        <v>6485</v>
      </c>
      <c r="C5161" s="5" t="str">
        <f>IFERROR(__xludf.DUMMYFUNCTION("GOOGLETRANSLATE(B5161,""en"",""it"")"),"Ci sono molti tronchi ammucchiati al fianco di lui.")</f>
        <v>Ci sono molti tronchi ammucchiati al fianco di lui.</v>
      </c>
    </row>
    <row r="5162">
      <c r="A5162" s="4" t="s">
        <v>6483</v>
      </c>
      <c r="B5162" s="4" t="s">
        <v>6486</v>
      </c>
      <c r="C5162" s="5" t="str">
        <f>IFERROR(__xludf.DUMMYFUNCTION("GOOGLETRANSLATE(B5162,""en"",""it"")"),"Tutto tagliato e raccolto molto probabilmente da lui per gli incendi per mantenere la casa calda durante le notti invernali.")</f>
        <v>Tutto tagliato e raccolto molto probabilmente da lui per gli incendi per mantenere la casa calda durante le notti invernali.</v>
      </c>
    </row>
    <row r="5163">
      <c r="A5163" s="4" t="s">
        <v>6483</v>
      </c>
      <c r="B5163" s="4" t="s">
        <v>6487</v>
      </c>
      <c r="C5163" s="5" t="str">
        <f>IFERROR(__xludf.DUMMYFUNCTION("GOOGLETRANSLATE(B5163,""en"",""it"")"),"Prende la sua ascia e colpisce il ramo con essa.")</f>
        <v>Prende la sua ascia e colpisce il ramo con essa.</v>
      </c>
    </row>
    <row r="5164">
      <c r="A5164" s="4" t="s">
        <v>6488</v>
      </c>
      <c r="B5164" s="4" t="s">
        <v>6489</v>
      </c>
      <c r="C5164" s="5" t="str">
        <f>IFERROR(__xludf.DUMMYFUNCTION("GOOGLETRANSLATE(B5164,""en"",""it"")"),"Una grande arena viene mostrata con un grande schermo che mostra gli atleti sul campo.")</f>
        <v>Una grande arena viene mostrata con un grande schermo che mostra gli atleti sul campo.</v>
      </c>
    </row>
    <row r="5165">
      <c r="A5165" s="4" t="s">
        <v>6488</v>
      </c>
      <c r="B5165" s="6" t="s">
        <v>6490</v>
      </c>
      <c r="C5165" s="5" t="str">
        <f>IFERROR(__xludf.DUMMYFUNCTION("GOOGLETRANSLATE(B5165,""en"",""it"")"),"Un uomo viene quindi mostrato in una gabbia che gira intorno a lanciare un colpo che la gente inizia a misurare.")</f>
        <v>Un uomo viene quindi mostrato in una gabbia che gira intorno a lanciare un colpo che la gente inizia a misurare.</v>
      </c>
    </row>
    <row r="5166">
      <c r="A5166" s="4" t="s">
        <v>6488</v>
      </c>
      <c r="B5166" s="4" t="s">
        <v>6491</v>
      </c>
      <c r="C5166" s="5" t="str">
        <f>IFERROR(__xludf.DUMMYFUNCTION("GOOGLETRANSLATE(B5166,""en"",""it"")"),"Un altro uomo si avvicina al cerchio, ripete l'azione e inizia a saltare in allegria.")</f>
        <v>Un altro uomo si avvicina al cerchio, ripete l'azione e inizia a saltare in allegria.</v>
      </c>
    </row>
    <row r="5167">
      <c r="A5167" s="4" t="s">
        <v>6488</v>
      </c>
      <c r="B5167" s="6" t="s">
        <v>6492</v>
      </c>
      <c r="C5167" s="5" t="str">
        <f>IFERROR(__xludf.DUMMYFUNCTION("GOOGLETRANSLATE(B5167,""en"",""it"")"),"Più uomini si avvicinano allo stand e continuano fino a quando non hanno completato ciascuno dei loro turni, quindi si rivolgono al pubblico e salutano.")</f>
        <v>Più uomini si avvicinano allo stand e continuano fino a quando non hanno completato ciascuno dei loro turni, quindi si rivolgono al pubblico e salutano.</v>
      </c>
    </row>
    <row r="5168">
      <c r="A5168" s="4" t="s">
        <v>6493</v>
      </c>
      <c r="B5168" s="4" t="s">
        <v>6494</v>
      </c>
      <c r="C5168" s="5" t="str">
        <f>IFERROR(__xludf.DUMMYFUNCTION("GOOGLETRANSLATE(B5168,""en"",""it"")"),"C'è un uomo che lavora una ruota per biciclette con vari strumenti.")</f>
        <v>C'è un uomo che lavora una ruota per biciclette con vari strumenti.</v>
      </c>
    </row>
    <row r="5169">
      <c r="A5169" s="4" t="s">
        <v>6493</v>
      </c>
      <c r="B5169" s="6" t="s">
        <v>6495</v>
      </c>
      <c r="C5169" s="5" t="str">
        <f>IFERROR(__xludf.DUMMYFUNCTION("GOOGLETRANSLATE(B5169,""en"",""it"")"),"Comincia girando l'asse della ruota con una coppia di pinze per posizionare l'asse al centro.")</f>
        <v>Comincia girando l'asse della ruota con una coppia di pinze per posizionare l'asse al centro.</v>
      </c>
    </row>
    <row r="5170">
      <c r="A5170" s="4" t="s">
        <v>6493</v>
      </c>
      <c r="B5170" s="4" t="s">
        <v>6496</v>
      </c>
      <c r="C5170" s="5" t="str">
        <f>IFERROR(__xludf.DUMMYFUNCTION("GOOGLETRANSLATE(B5170,""en"",""it"")"),"Quindi corregge il dado centrale e usa una chiave per allentarlo.")</f>
        <v>Quindi corregge il dado centrale e usa una chiave per allentarlo.</v>
      </c>
    </row>
    <row r="5171">
      <c r="A5171" s="4" t="s">
        <v>6493</v>
      </c>
      <c r="B5171" s="4" t="s">
        <v>6497</v>
      </c>
      <c r="C5171" s="5" t="str">
        <f>IFERROR(__xludf.DUMMYFUNCTION("GOOGLETRANSLATE(B5171,""en"",""it"")"),"Quindi usa le mani per rimuovere l'asse.")</f>
        <v>Quindi usa le mani per rimuovere l'asse.</v>
      </c>
    </row>
    <row r="5172">
      <c r="A5172" s="4" t="s">
        <v>6493</v>
      </c>
      <c r="B5172" s="4" t="s">
        <v>6498</v>
      </c>
      <c r="C5172" s="5" t="str">
        <f>IFERROR(__xludf.DUMMYFUNCTION("GOOGLETRANSLATE(B5172,""en"",""it"")"),"Usa un altro strumento per svitare una lavatrice dall'asse.")</f>
        <v>Usa un altro strumento per svitare una lavatrice dall'asse.</v>
      </c>
    </row>
    <row r="5173">
      <c r="A5173" s="4" t="s">
        <v>6493</v>
      </c>
      <c r="B5173" s="4" t="s">
        <v>6499</v>
      </c>
      <c r="C5173" s="5" t="str">
        <f>IFERROR(__xludf.DUMMYFUNCTION("GOOGLETRANSLATE(B5173,""en"",""it"")"),"Quindi usa uno strumento con un'estremità magnetica per rimuovere le piccole particelle metalliche dall'asse.")</f>
        <v>Quindi usa uno strumento con un'estremità magnetica per rimuovere le piccole particelle metalliche dall'asse.</v>
      </c>
    </row>
    <row r="5174">
      <c r="A5174" s="4" t="s">
        <v>6493</v>
      </c>
      <c r="B5174" s="4" t="s">
        <v>6500</v>
      </c>
      <c r="C5174" s="5" t="str">
        <f>IFERROR(__xludf.DUMMYFUNCTION("GOOGLETRANSLATE(B5174,""en"",""it"")"),"Dopodiché pulisce il bordo interno dell'asse grasso con il dito.")</f>
        <v>Dopodiché pulisce il bordo interno dell'asse grasso con il dito.</v>
      </c>
    </row>
    <row r="5175">
      <c r="A5175" s="4" t="s">
        <v>6493</v>
      </c>
      <c r="B5175" s="4" t="s">
        <v>6501</v>
      </c>
      <c r="C5175" s="5" t="str">
        <f>IFERROR(__xludf.DUMMYFUNCTION("GOOGLETRANSLATE(B5175,""en"",""it"")"),"Quindi prende la lavatrice e la pulisce ulteriormente per ripararla nell'asse.")</f>
        <v>Quindi prende la lavatrice e la pulisce ulteriormente per ripararla nell'asse.</v>
      </c>
    </row>
    <row r="5176">
      <c r="A5176" s="4" t="s">
        <v>6502</v>
      </c>
      <c r="B5176" s="4" t="s">
        <v>6503</v>
      </c>
      <c r="C5176" s="5" t="str">
        <f>IFERROR(__xludf.DUMMYFUNCTION("GOOGLETRANSLATE(B5176,""en"",""it"")"),"Un primo piano di frutta viene visto seduto su un piatto quando la mano di una persona li mette in un contenitore.")</f>
        <v>Un primo piano di frutta viene visto seduto su un piatto quando la mano di una persona li mette in un contenitore.</v>
      </c>
    </row>
    <row r="5177">
      <c r="A5177" s="4" t="s">
        <v>6502</v>
      </c>
      <c r="B5177" s="4" t="s">
        <v>6504</v>
      </c>
      <c r="C5177" s="5" t="str">
        <f>IFERROR(__xludf.DUMMYFUNCTION("GOOGLETRANSLATE(B5177,""en"",""it"")"),"La persona quindi spinge il frutto intorno alla ciotola con un cucchiaio ancora e ancora.")</f>
        <v>La persona quindi spinge il frutto intorno alla ciotola con un cucchiaio ancora e ancora.</v>
      </c>
    </row>
    <row r="5178">
      <c r="A5178" s="4" t="s">
        <v>6502</v>
      </c>
      <c r="B5178" s="4" t="s">
        <v>6505</v>
      </c>
      <c r="C5178" s="5" t="str">
        <f>IFERROR(__xludf.DUMMYFUNCTION("GOOGLETRANSLATE(B5178,""en"",""it"")"),"La persona lascia cadere il cucchiaio nella miscela e termina con il testo sullo schermo.")</f>
        <v>La persona lascia cadere il cucchiaio nella miscela e termina con il testo sullo schermo.</v>
      </c>
    </row>
    <row r="5179">
      <c r="A5179" s="4" t="s">
        <v>6506</v>
      </c>
      <c r="B5179" s="4" t="s">
        <v>6507</v>
      </c>
      <c r="C5179" s="5" t="str">
        <f>IFERROR(__xludf.DUMMYFUNCTION("GOOGLETRANSLATE(B5179,""en"",""it"")"),"Una donna è mostrata in un cortile, parlando con la telecamera.")</f>
        <v>Una donna è mostrata in un cortile, parlando con la telecamera.</v>
      </c>
    </row>
    <row r="5180">
      <c r="A5180" s="4" t="s">
        <v>6506</v>
      </c>
      <c r="B5180" s="4" t="s">
        <v>6508</v>
      </c>
      <c r="C5180" s="5" t="str">
        <f>IFERROR(__xludf.DUMMYFUNCTION("GOOGLETRANSLATE(B5180,""en"",""it"")"),"È quindi a cavallo e una donna viene mostrata in diverse scene che parlano di tecnica.")</f>
        <v>È quindi a cavallo e una donna viene mostrata in diverse scene che parlano di tecnica.</v>
      </c>
    </row>
    <row r="5181">
      <c r="A5181" s="4" t="s">
        <v>6506</v>
      </c>
      <c r="B5181" s="4" t="s">
        <v>6509</v>
      </c>
      <c r="C5181" s="5" t="str">
        <f>IFERROR(__xludf.DUMMYFUNCTION("GOOGLETRANSLATE(B5181,""en"",""it"")"),"La ragazza cavalca il cavallo da sola, poi con altre persone lungo i sentieri.")</f>
        <v>La ragazza cavalca il cavallo da sola, poi con altre persone lungo i sentieri.</v>
      </c>
    </row>
    <row r="5182">
      <c r="A5182" s="4" t="s">
        <v>6510</v>
      </c>
      <c r="B5182" s="4" t="s">
        <v>6511</v>
      </c>
      <c r="C5182" s="5" t="str">
        <f>IFERROR(__xludf.DUMMYFUNCTION("GOOGLETRANSLATE(B5182,""en"",""it"")"),"C'è un uomo in palestra che utilizza una macchina ellittica.")</f>
        <v>C'è un uomo in palestra che utilizza una macchina ellittica.</v>
      </c>
    </row>
    <row r="5183">
      <c r="A5183" s="4" t="s">
        <v>6510</v>
      </c>
      <c r="B5183" s="4" t="s">
        <v>6512</v>
      </c>
      <c r="C5183" s="5" t="str">
        <f>IFERROR(__xludf.DUMMYFUNCTION("GOOGLETRANSLATE(B5183,""en"",""it"")"),"Indossa un paio di pantaloni neri, camicia nera e un berretto.")</f>
        <v>Indossa un paio di pantaloni neri, camicia nera e un berretto.</v>
      </c>
    </row>
    <row r="5184">
      <c r="A5184" s="4" t="s">
        <v>6510</v>
      </c>
      <c r="B5184" s="4" t="s">
        <v>6513</v>
      </c>
      <c r="C5184" s="5" t="str">
        <f>IFERROR(__xludf.DUMMYFUNCTION("GOOGLETRANSLATE(B5184,""en"",""it"")"),"Dimostra come utilizzare correttamente l'ellittica per mantenere una velocità coerente.")</f>
        <v>Dimostra come utilizzare correttamente l'ellittica per mantenere una velocità coerente.</v>
      </c>
    </row>
    <row r="5185">
      <c r="A5185" s="4" t="s">
        <v>6514</v>
      </c>
      <c r="B5185" s="6" t="s">
        <v>6515</v>
      </c>
      <c r="C5185" s="5" t="str">
        <f>IFERROR(__xludf.DUMMYFUNCTION("GOOGLETRANSLATE(B5185,""en"",""it"")"),"Si vede un cucchiaio che gira attorno a vari cibi e liquidi e conduce in una mano che taglia le verdure su un tagliere.")</f>
        <v>Si vede un cucchiaio che gira attorno a vari cibi e liquidi e conduce in una mano che taglia le verdure su un tagliere.</v>
      </c>
    </row>
    <row r="5186">
      <c r="A5186" s="4" t="s">
        <v>6514</v>
      </c>
      <c r="B5186" s="6" t="s">
        <v>6516</v>
      </c>
      <c r="C5186" s="5" t="str">
        <f>IFERROR(__xludf.DUMMYFUNCTION("GOOGLETRANSLATE(B5186,""en"",""it"")"),"Un bambino viene visto guardare da dietro e la telecamera si ingrandisce su vari siti Web e alimenti presenti.")</f>
        <v>Un bambino viene visto guardare da dietro e la telecamera si ingrandisce su vari siti Web e alimenti presenti.</v>
      </c>
    </row>
    <row r="5187">
      <c r="A5187" s="4" t="s">
        <v>6514</v>
      </c>
      <c r="B5187" s="4" t="s">
        <v>6517</v>
      </c>
      <c r="C5187" s="5" t="str">
        <f>IFERROR(__xludf.DUMMYFUNCTION("GOOGLETRANSLATE(B5187,""en"",""it"")"),"La pasta è vista seduta in una pentola e la persona usa un cucchiaio per girarlo.")</f>
        <v>La pasta è vista seduta in una pentola e la persona usa un cucchiaio per girarlo.</v>
      </c>
    </row>
    <row r="5188">
      <c r="A5188" s="4" t="s">
        <v>6514</v>
      </c>
      <c r="B5188" s="6" t="s">
        <v>6518</v>
      </c>
      <c r="C5188" s="5" t="str">
        <f>IFERROR(__xludf.DUMMYFUNCTION("GOOGLETRANSLATE(B5188,""en"",""it"")"),"Versano gli ingredienti in una pentola per ciotola e aggiungono più verdure, terminando con tutti gli ingredienti messi insieme su un piatto da presentare.")</f>
        <v>Versano gli ingredienti in una pentola per ciotola e aggiungono più verdure, terminando con tutti gli ingredienti messi insieme su un piatto da presentare.</v>
      </c>
    </row>
    <row r="5189">
      <c r="A5189" s="4" t="s">
        <v>6519</v>
      </c>
      <c r="B5189" s="4" t="s">
        <v>6520</v>
      </c>
      <c r="C5189" s="5" t="str">
        <f>IFERROR(__xludf.DUMMYFUNCTION("GOOGLETRANSLATE(B5189,""en"",""it"")"),"Un primo piano di un uomo viene visto con una fisarmonica e seduto davanti a una macchina fotografica.")</f>
        <v>Un primo piano di un uomo viene visto con una fisarmonica e seduto davanti a una macchina fotografica.</v>
      </c>
    </row>
    <row r="5190">
      <c r="A5190" s="4" t="s">
        <v>6519</v>
      </c>
      <c r="B5190" s="4" t="s">
        <v>6521</v>
      </c>
      <c r="C5190" s="5" t="str">
        <f>IFERROR(__xludf.DUMMYFUNCTION("GOOGLETRANSLATE(B5190,""en"",""it"")"),"L'uomo inizia a suonare lo strumento mentre guarda alla telecamera.")</f>
        <v>L'uomo inizia a suonare lo strumento mentre guarda alla telecamera.</v>
      </c>
    </row>
    <row r="5191">
      <c r="A5191" s="4" t="s">
        <v>6519</v>
      </c>
      <c r="B5191" s="4" t="s">
        <v>6522</v>
      </c>
      <c r="C5191" s="5" t="str">
        <f>IFERROR(__xludf.DUMMYFUNCTION("GOOGLETRANSLATE(B5191,""en"",""it"")"),"Fa una pausa per parlare per un momento, poi continua a suonare.")</f>
        <v>Fa una pausa per parlare per un momento, poi continua a suonare.</v>
      </c>
    </row>
    <row r="5192">
      <c r="A5192" s="4" t="s">
        <v>6523</v>
      </c>
      <c r="B5192" s="4" t="s">
        <v>6524</v>
      </c>
      <c r="C5192" s="5" t="str">
        <f>IFERROR(__xludf.DUMMYFUNCTION("GOOGLETRANSLATE(B5192,""en"",""it"")"),"Un uomo che indossa una camicia gialla e un uomo che indossa una camicia nera gioca a palla.")</f>
        <v>Un uomo che indossa una camicia gialla e un uomo che indossa una camicia nera gioca a palla.</v>
      </c>
    </row>
    <row r="5193">
      <c r="A5193" s="4" t="s">
        <v>6523</v>
      </c>
      <c r="B5193" s="4" t="s">
        <v>6525</v>
      </c>
      <c r="C5193" s="5" t="str">
        <f>IFERROR(__xludf.DUMMYFUNCTION("GOOGLETRANSLATE(B5193,""en"",""it"")"),"L'uomo in nero serve la palla.")</f>
        <v>L'uomo in nero serve la palla.</v>
      </c>
    </row>
    <row r="5194">
      <c r="A5194" s="4" t="s">
        <v>6523</v>
      </c>
      <c r="B5194" s="4" t="s">
        <v>6526</v>
      </c>
      <c r="C5194" s="5" t="str">
        <f>IFERROR(__xludf.DUMMYFUNCTION("GOOGLETRANSLATE(B5194,""en"",""it"")"),"L'uomo in giallo serve la palla.")</f>
        <v>L'uomo in giallo serve la palla.</v>
      </c>
    </row>
    <row r="5195">
      <c r="A5195" s="4" t="s">
        <v>6523</v>
      </c>
      <c r="B5195" s="4" t="s">
        <v>6527</v>
      </c>
      <c r="C5195" s="5" t="str">
        <f>IFERROR(__xludf.DUMMYFUNCTION("GOOGLETRANSLATE(B5195,""en"",""it"")"),"L'uomo in giallo serve di nuovo la palla.")</f>
        <v>L'uomo in giallo serve di nuovo la palla.</v>
      </c>
    </row>
    <row r="5196">
      <c r="A5196" s="4" t="s">
        <v>6523</v>
      </c>
      <c r="B5196" s="4" t="s">
        <v>6528</v>
      </c>
      <c r="C5196" s="5" t="str">
        <f>IFERROR(__xludf.DUMMYFUNCTION("GOOGLETRANSLATE(B5196,""en"",""it"")"),"L'uomo in giallo gioca da solo mentre l'uomo in nero sta accanto.")</f>
        <v>L'uomo in giallo gioca da solo mentre l'uomo in nero sta accanto.</v>
      </c>
    </row>
    <row r="5197">
      <c r="A5197" s="4" t="s">
        <v>6523</v>
      </c>
      <c r="B5197" s="4" t="s">
        <v>6529</v>
      </c>
      <c r="C5197" s="5" t="str">
        <f>IFERROR(__xludf.DUMMYFUNCTION("GOOGLETRANSLATE(B5197,""en"",""it"")"),"Una mano copre l'obiettivo della fotocamera.")</f>
        <v>Una mano copre l'obiettivo della fotocamera.</v>
      </c>
    </row>
    <row r="5198">
      <c r="A5198" s="4" t="s">
        <v>6530</v>
      </c>
      <c r="B5198" s="4" t="s">
        <v>6531</v>
      </c>
      <c r="C5198" s="5" t="str">
        <f>IFERROR(__xludf.DUMMYFUNCTION("GOOGLETRANSLATE(B5198,""en"",""it"")"),"Un uomo si trova in cima a una formazione rocciosa.")</f>
        <v>Un uomo si trova in cima a una formazione rocciosa.</v>
      </c>
    </row>
    <row r="5199">
      <c r="A5199" s="4" t="s">
        <v>6530</v>
      </c>
      <c r="B5199" s="6" t="s">
        <v>6532</v>
      </c>
      <c r="C5199" s="5" t="str">
        <f>IFERROR(__xludf.DUMMYFUNCTION("GOOGLETRANSLATE(B5199,""en"",""it"")"),"Diverse scene dell'arrampicata sugli individui sono mostrate da vari angoli e ambientazioni, intervallate da brevi colpi di primo piano degli scalatori.")</f>
        <v>Diverse scene dell'arrampicata sugli individui sono mostrate da vari angoli e ambientazioni, intervallate da brevi colpi di primo piano degli scalatori.</v>
      </c>
    </row>
    <row r="5200">
      <c r="A5200" s="4" t="s">
        <v>6530</v>
      </c>
      <c r="B5200" s="4" t="s">
        <v>6533</v>
      </c>
      <c r="C5200" s="5" t="str">
        <f>IFERROR(__xludf.DUMMYFUNCTION("GOOGLETRANSLATE(B5200,""en"",""it"")"),"Diversi crediti sono mostrati su uno schermo nero.")</f>
        <v>Diversi crediti sono mostrati su uno schermo nero.</v>
      </c>
    </row>
    <row r="5201">
      <c r="A5201" s="4" t="s">
        <v>6534</v>
      </c>
      <c r="B5201" s="4" t="s">
        <v>6535</v>
      </c>
      <c r="C5201" s="5" t="str">
        <f>IFERROR(__xludf.DUMMYFUNCTION("GOOGLETRANSLATE(B5201,""en"",""it"")"),"L'acqua si sta precipitando tra le rocce in un fiume.")</f>
        <v>L'acqua si sta precipitando tra le rocce in un fiume.</v>
      </c>
    </row>
    <row r="5202">
      <c r="A5202" s="4" t="s">
        <v>6534</v>
      </c>
      <c r="B5202" s="4" t="s">
        <v>6536</v>
      </c>
      <c r="C5202" s="5" t="str">
        <f>IFERROR(__xludf.DUMMYFUNCTION("GOOGLETRANSLATE(B5202,""en"",""it"")"),"Appaiono le travi, che pagavano attraverso le correnti precipitanti.")</f>
        <v>Appaiono le travi, che pagavano attraverso le correnti precipitanti.</v>
      </c>
    </row>
    <row r="5203">
      <c r="A5203" s="4" t="s">
        <v>6534</v>
      </c>
      <c r="B5203" s="4" t="s">
        <v>6537</v>
      </c>
      <c r="C5203" s="5" t="str">
        <f>IFERROR(__xludf.DUMMYFUNCTION("GOOGLETRANSLATE(B5203,""en"",""it"")"),"La trave continua mentre naviga sul fiume.")</f>
        <v>La trave continua mentre naviga sul fiume.</v>
      </c>
    </row>
    <row r="5204">
      <c r="A5204" s="4" t="s">
        <v>6538</v>
      </c>
      <c r="B5204" s="4" t="s">
        <v>6539</v>
      </c>
      <c r="C5204" s="5" t="str">
        <f>IFERROR(__xludf.DUMMYFUNCTION("GOOGLETRANSLATE(B5204,""en"",""it"")"),"Un logo blu appare sullo schermo con parole bianche al suo interno.")</f>
        <v>Un logo blu appare sullo schermo con parole bianche al suo interno.</v>
      </c>
    </row>
    <row r="5205">
      <c r="A5205" s="4" t="s">
        <v>6538</v>
      </c>
      <c r="B5205" s="4" t="s">
        <v>6540</v>
      </c>
      <c r="C5205" s="5" t="str">
        <f>IFERROR(__xludf.DUMMYFUNCTION("GOOGLETRANSLATE(B5205,""en"",""it"")"),"Una giovane ginnasta maschile viene quindi mostrata in una stanza di fronte a un raggio di equilibrio.")</f>
        <v>Una giovane ginnasta maschile viene quindi mostrata in una stanza di fronte a un raggio di equilibrio.</v>
      </c>
    </row>
    <row r="5206">
      <c r="A5206" s="4" t="s">
        <v>6538</v>
      </c>
      <c r="B5206" s="4" t="s">
        <v>6541</v>
      </c>
      <c r="C5206" s="5" t="str">
        <f>IFERROR(__xludf.DUMMYFUNCTION("GOOGLETRANSLATE(B5206,""en"",""it"")"),"La ginnasta inizia quindi a usare le mani per descrivere i movimenti che sta per fare.")</f>
        <v>La ginnasta inizia quindi a usare le mani per descrivere i movimenti che sta per fare.</v>
      </c>
    </row>
    <row r="5207">
      <c r="A5207" s="4" t="s">
        <v>6538</v>
      </c>
      <c r="B5207" s="6" t="s">
        <v>6542</v>
      </c>
      <c r="C5207" s="5" t="str">
        <f>IFERROR(__xludf.DUMMYFUNCTION("GOOGLETRANSLATE(B5207,""en"",""it"")"),"Dopo, il maschio afferra le due barre e si tira su e tiene il corpo prima di andare in un banco delle mani, scende e ne fa un altro.")</f>
        <v>Dopo, il maschio afferra le due barre e si tira su e tiene il corpo prima di andare in un banco delle mani, scende e ne fa un altro.</v>
      </c>
    </row>
    <row r="5208">
      <c r="A5208" s="4" t="s">
        <v>6538</v>
      </c>
      <c r="B5208" s="4" t="s">
        <v>6543</v>
      </c>
      <c r="C5208" s="5" t="str">
        <f>IFERROR(__xludf.DUMMYFUNCTION("GOOGLETRANSLATE(B5208,""en"",""it"")"),"La ginnasta fa molti altri trucchi e poi fa un capovolgimento dalle barre.")</f>
        <v>La ginnasta fa molti altri trucchi e poi fa un capovolgimento dalle barre.</v>
      </c>
    </row>
    <row r="5209">
      <c r="A5209" s="4" t="s">
        <v>6544</v>
      </c>
      <c r="B5209" s="4" t="s">
        <v>6545</v>
      </c>
      <c r="C5209" s="5" t="str">
        <f>IFERROR(__xludf.DUMMYFUNCTION("GOOGLETRANSLATE(B5209,""en"",""it"")"),"Una donna vestita con una camicia blu e un grembiule nero inizia a parlare dietro il tavolo.")</f>
        <v>Una donna vestita con una camicia blu e un grembiule nero inizia a parlare dietro il tavolo.</v>
      </c>
    </row>
    <row r="5210">
      <c r="A5210" s="4" t="s">
        <v>6544</v>
      </c>
      <c r="B5210" s="6" t="s">
        <v>6546</v>
      </c>
      <c r="C5210" s="5" t="str">
        <f>IFERROR(__xludf.DUMMYFUNCTION("GOOGLETRANSLATE(B5210,""en"",""it"")"),"Sul tavolo, ha cinque diversi tipi di vernice, pennelli e altre forniture necessarie per completare l'attività.")</f>
        <v>Sul tavolo, ha cinque diversi tipi di vernice, pennelli e altre forniture necessarie per completare l'attività.</v>
      </c>
    </row>
    <row r="5211">
      <c r="A5211" s="4" t="s">
        <v>6544</v>
      </c>
      <c r="B5211" s="4" t="s">
        <v>6547</v>
      </c>
      <c r="C5211" s="5" t="str">
        <f>IFERROR(__xludf.DUMMYFUNCTION("GOOGLETRANSLATE(B5211,""en"",""it"")"),"Quindi inizia a parlare mentre si appoggia su un banco da tavolo in legno accanto a lei.")</f>
        <v>Quindi inizia a parlare mentre si appoggia su un banco da tavolo in legno accanto a lei.</v>
      </c>
    </row>
    <row r="5212">
      <c r="A5212" s="4" t="s">
        <v>6544</v>
      </c>
      <c r="B5212" s="6" t="s">
        <v>6548</v>
      </c>
      <c r="C5212" s="5" t="str">
        <f>IFERROR(__xludf.DUMMYFUNCTION("GOOGLETRANSLATE(B5212,""en"",""it"")"),"La signora inizia prendendo un cacciavite e rimuovendo la manopola dal cassetto e asciugandolo con un panno bagnato.")</f>
        <v>La signora inizia prendendo un cacciavite e rimuovendo la manopola dal cassetto e asciugandolo con un panno bagnato.</v>
      </c>
    </row>
    <row r="5213">
      <c r="A5213" s="4" t="s">
        <v>6544</v>
      </c>
      <c r="B5213" s="4" t="s">
        <v>6549</v>
      </c>
      <c r="C5213" s="5" t="str">
        <f>IFERROR(__xludf.DUMMYFUNCTION("GOOGLETRANSLATE(B5213,""en"",""it"")"),"Successivamente arriva la vernice marrone mentre inizia a metterlo su vari colpi per finirla.")</f>
        <v>Successivamente arriva la vernice marrone mentre inizia a metterlo su vari colpi per finirla.</v>
      </c>
    </row>
    <row r="5214">
      <c r="A5214" s="4" t="s">
        <v>6544</v>
      </c>
      <c r="B5214" s="4" t="s">
        <v>6550</v>
      </c>
      <c r="C5214" s="5" t="str">
        <f>IFERROR(__xludf.DUMMYFUNCTION("GOOGLETRANSLATE(B5214,""en"",""it"")"),"Lo stand è fatto ma poi torna indietro e inizia ad aggiungere una finitura.")</f>
        <v>Lo stand è fatto ma poi torna indietro e inizia ad aggiungere una finitura.</v>
      </c>
    </row>
    <row r="5215">
      <c r="A5215" s="4" t="s">
        <v>6551</v>
      </c>
      <c r="B5215" s="4" t="s">
        <v>6552</v>
      </c>
      <c r="C5215" s="5" t="str">
        <f>IFERROR(__xludf.DUMMYFUNCTION("GOOGLETRANSLATE(B5215,""en"",""it"")"),"Vediamo tronchi in una pila nel bosco.")</f>
        <v>Vediamo tronchi in una pila nel bosco.</v>
      </c>
    </row>
    <row r="5216">
      <c r="A5216" s="4" t="s">
        <v>6551</v>
      </c>
      <c r="B5216" s="4" t="s">
        <v>6553</v>
      </c>
      <c r="C5216" s="5" t="str">
        <f>IFERROR(__xludf.DUMMYFUNCTION("GOOGLETRANSLATE(B5216,""en"",""it"")"),"Un uomo con un cappello da cowboy si avvicina e afferra un'ascia.")</f>
        <v>Un uomo con un cappello da cowboy si avvicina e afferra un'ascia.</v>
      </c>
    </row>
    <row r="5217">
      <c r="A5217" s="4" t="s">
        <v>6551</v>
      </c>
      <c r="B5217" s="4" t="s">
        <v>6554</v>
      </c>
      <c r="C5217" s="5" t="str">
        <f>IFERROR(__xludf.DUMMYFUNCTION("GOOGLETRANSLATE(B5217,""en"",""it"")"),"L'uomo quindi va in giro a colpire i tronchi con l'ascia e dividendoli in due colpi.")</f>
        <v>L'uomo quindi va in giro a colpire i tronchi con l'ascia e dividendoli in due colpi.</v>
      </c>
    </row>
    <row r="5218">
      <c r="A5218" s="4" t="s">
        <v>6551</v>
      </c>
      <c r="B5218" s="4" t="s">
        <v>6555</v>
      </c>
      <c r="C5218" s="5" t="str">
        <f>IFERROR(__xludf.DUMMYFUNCTION("GOOGLETRANSLATE(B5218,""en"",""it"")"),"L'uomo lascia cadere l'ascia e spegne la fotocamera.")</f>
        <v>L'uomo lascia cadere l'ascia e spegne la fotocamera.</v>
      </c>
    </row>
    <row r="5219">
      <c r="A5219" s="4" t="s">
        <v>6556</v>
      </c>
      <c r="B5219" s="4" t="s">
        <v>6557</v>
      </c>
      <c r="C5219" s="5" t="str">
        <f>IFERROR(__xludf.DUMMYFUNCTION("GOOGLETRANSLATE(B5219,""en"",""it"")"),"Una persona sta camminando intorno a un campo da tennis.")</f>
        <v>Una persona sta camminando intorno a un campo da tennis.</v>
      </c>
    </row>
    <row r="5220">
      <c r="A5220" s="4" t="s">
        <v>6556</v>
      </c>
      <c r="B5220" s="4" t="s">
        <v>6558</v>
      </c>
      <c r="C5220" s="5" t="str">
        <f>IFERROR(__xludf.DUMMYFUNCTION("GOOGLETRANSLATE(B5220,""en"",""it"")"),"Un altro uomo sembra oscillare attorno a una racchetta da tennis.")</f>
        <v>Un altro uomo sembra oscillare attorno a una racchetta da tennis.</v>
      </c>
    </row>
    <row r="5221">
      <c r="A5221" s="4" t="s">
        <v>6556</v>
      </c>
      <c r="B5221" s="4" t="s">
        <v>6559</v>
      </c>
      <c r="C5221" s="5" t="str">
        <f>IFERROR(__xludf.DUMMYFUNCTION("GOOGLETRANSLATE(B5221,""en"",""it"")"),"Rimbalda una palla da tennis sul pavimento mentre l'altro uomo entra in telaio.")</f>
        <v>Rimbalda una palla da tennis sul pavimento mentre l'altro uomo entra in telaio.</v>
      </c>
    </row>
    <row r="5222">
      <c r="A5222" s="4" t="s">
        <v>6556</v>
      </c>
      <c r="B5222" s="4" t="s">
        <v>6560</v>
      </c>
      <c r="C5222" s="5" t="str">
        <f>IFERROR(__xludf.DUMMYFUNCTION("GOOGLETRANSLATE(B5222,""en"",""it"")"),"Parlano per un po 'mentre camminano e si preparano a giocare.")</f>
        <v>Parlano per un po 'mentre camminano e si preparano a giocare.</v>
      </c>
    </row>
    <row r="5223">
      <c r="A5223" s="4" t="s">
        <v>6556</v>
      </c>
      <c r="B5223" s="4" t="s">
        <v>6561</v>
      </c>
      <c r="C5223" s="5" t="str">
        <f>IFERROR(__xludf.DUMMYFUNCTION("GOOGLETRANSLATE(B5223,""en"",""it"")"),"L'uomo corre indietro e quarto e colpisce la palla dal muro.")</f>
        <v>L'uomo corre indietro e quarto e colpisce la palla dal muro.</v>
      </c>
    </row>
    <row r="5224">
      <c r="A5224" s="4" t="s">
        <v>6562</v>
      </c>
      <c r="B5224" s="4" t="s">
        <v>6563</v>
      </c>
      <c r="C5224" s="5" t="str">
        <f>IFERROR(__xludf.DUMMYFUNCTION("GOOGLETRANSLATE(B5224,""en"",""it"")"),"C'è un uomo su palafitte che salta e fa acrobazie in una palestra interna.")</f>
        <v>C'è un uomo su palafitte che salta e fa acrobazie in una palestra interna.</v>
      </c>
    </row>
    <row r="5225">
      <c r="A5225" s="4" t="s">
        <v>6562</v>
      </c>
      <c r="B5225" s="4" t="s">
        <v>6564</v>
      </c>
      <c r="C5225" s="5" t="str">
        <f>IFERROR(__xludf.DUMMYFUNCTION("GOOGLETRANSLATE(B5225,""en"",""it"")"),"Ci sono diversi spettatori e giudici che lo guardano esibirsi.")</f>
        <v>Ci sono diversi spettatori e giudici che lo guardano esibirsi.</v>
      </c>
    </row>
    <row r="5226">
      <c r="A5226" s="4" t="s">
        <v>6562</v>
      </c>
      <c r="B5226" s="4" t="s">
        <v>6565</v>
      </c>
      <c r="C5226" s="5" t="str">
        <f>IFERROR(__xludf.DUMMYFUNCTION("GOOGLETRANSLATE(B5226,""en"",""it"")"),"Dopo che l'uomo ha terminato le sue acrobazie, scende dalle trampoli e i giudici scrivono i punteggi.")</f>
        <v>Dopo che l'uomo ha terminato le sue acrobazie, scende dalle trampoli e i giudici scrivono i punteggi.</v>
      </c>
    </row>
    <row r="5227">
      <c r="A5227" s="4" t="s">
        <v>6566</v>
      </c>
      <c r="B5227" s="4" t="s">
        <v>6567</v>
      </c>
      <c r="C5227" s="5" t="str">
        <f>IFERROR(__xludf.DUMMYFUNCTION("GOOGLETRANSLATE(B5227,""en"",""it"")"),"Una band suona la batteria in un cerchio attorno a un batterista di piombo.")</f>
        <v>Una band suona la batteria in un cerchio attorno a un batterista di piombo.</v>
      </c>
    </row>
    <row r="5228">
      <c r="A5228" s="4" t="s">
        <v>6566</v>
      </c>
      <c r="B5228" s="4" t="s">
        <v>6568</v>
      </c>
      <c r="C5228" s="5" t="str">
        <f>IFERROR(__xludf.DUMMYFUNCTION("GOOGLETRANSLATE(B5228,""en"",""it"")"),"Le batterische femminili che girano i loro bastoncini mentre giocano.")</f>
        <v>Le batterische femminili che girano i loro bastoncini mentre giocano.</v>
      </c>
    </row>
    <row r="5229">
      <c r="A5229" s="4" t="s">
        <v>6566</v>
      </c>
      <c r="B5229" s="4" t="s">
        <v>6569</v>
      </c>
      <c r="C5229" s="5" t="str">
        <f>IFERROR(__xludf.DUMMYFUNCTION("GOOGLETRANSLATE(B5229,""en"",""it"")"),"I batteristi reggono i loro bastoncini dopo aver completato la canzone.")</f>
        <v>I batteristi reggono i loro bastoncini dopo aver completato la canzone.</v>
      </c>
    </row>
    <row r="5230">
      <c r="A5230" s="4" t="s">
        <v>6570</v>
      </c>
      <c r="B5230" s="4" t="s">
        <v>6571</v>
      </c>
      <c r="C5230" s="5" t="str">
        <f>IFERROR(__xludf.DUMMYFUNCTION("GOOGLETRANSLATE(B5230,""en"",""it"")"),"Un paio di gabbie sono a terra.")</f>
        <v>Un paio di gabbie sono a terra.</v>
      </c>
    </row>
    <row r="5231">
      <c r="A5231" s="4" t="s">
        <v>6570</v>
      </c>
      <c r="B5231" s="4" t="s">
        <v>6572</v>
      </c>
      <c r="C5231" s="5" t="str">
        <f>IFERROR(__xludf.DUMMYFUNCTION("GOOGLETRANSLATE(B5231,""en"",""it"")"),"Ci sono cani che dormono in ogni gabbia.")</f>
        <v>Ci sono cani che dormono in ogni gabbia.</v>
      </c>
    </row>
    <row r="5232">
      <c r="A5232" s="4" t="s">
        <v>6570</v>
      </c>
      <c r="B5232" s="4" t="s">
        <v>6573</v>
      </c>
      <c r="C5232" s="5" t="str">
        <f>IFERROR(__xludf.DUMMYFUNCTION("GOOGLETRANSLATE(B5232,""en"",""it"")"),"Un uomo viene mostrato su un campo che esegue trucchi con un cane e un mucchio di frisbees.")</f>
        <v>Un uomo viene mostrato su un campo che esegue trucchi con un cane e un mucchio di frisbees.</v>
      </c>
    </row>
    <row r="5233">
      <c r="A5233" s="4" t="s">
        <v>6570</v>
      </c>
      <c r="B5233" s="4" t="s">
        <v>6574</v>
      </c>
      <c r="C5233" s="5" t="str">
        <f>IFERROR(__xludf.DUMMYFUNCTION("GOOGLETRANSLATE(B5233,""en"",""it"")"),"Il cane cattura, lancia e insegue i frisbee.")</f>
        <v>Il cane cattura, lancia e insegue i frisbee.</v>
      </c>
    </row>
    <row r="5234">
      <c r="A5234" s="4" t="s">
        <v>6575</v>
      </c>
      <c r="B5234" s="4" t="s">
        <v>6576</v>
      </c>
      <c r="C5234" s="5" t="str">
        <f>IFERROR(__xludf.DUMMYFUNCTION("GOOGLETRANSLATE(B5234,""en"",""it"")"),"C'è un bambino che indossa un bavaglino viola seduto su un seggiolone che tiene e succhia un ghiacciolo.")</f>
        <v>C'è un bambino che indossa un bavaglino viola seduto su un seggiolone che tiene e succhia un ghiacciolo.</v>
      </c>
    </row>
    <row r="5235">
      <c r="A5235" s="4" t="s">
        <v>6575</v>
      </c>
      <c r="B5235" s="4" t="s">
        <v>6577</v>
      </c>
      <c r="C5235" s="5" t="str">
        <f>IFERROR(__xludf.DUMMYFUNCTION("GOOGLETRANSLATE(B5235,""en"",""it"")"),"Il bambino lecca il ghiacciolo più volte e poi lo butta giù.")</f>
        <v>Il bambino lecca il ghiacciolo più volte e poi lo butta giù.</v>
      </c>
    </row>
    <row r="5236">
      <c r="A5236" s="4" t="s">
        <v>6578</v>
      </c>
      <c r="B5236" s="4" t="s">
        <v>6579</v>
      </c>
      <c r="C5236" s="5" t="str">
        <f>IFERROR(__xludf.DUMMYFUNCTION("GOOGLETRANSLATE(B5236,""en"",""it"")"),"La donna che indossa abiti neri sta giocando a squash in una piccola stanza di legno.")</f>
        <v>La donna che indossa abiti neri sta giocando a squash in una piccola stanza di legno.</v>
      </c>
    </row>
    <row r="5237">
      <c r="A5237" s="4" t="s">
        <v>6578</v>
      </c>
      <c r="B5237" s="4" t="s">
        <v>6580</v>
      </c>
      <c r="C5237" s="5" t="str">
        <f>IFERROR(__xludf.DUMMYFUNCTION("GOOGLETRANSLATE(B5237,""en"",""it"")"),"L'uomo con una camicia spogliata è in piedi in un'aula di tribunale che gioca a squash.")</f>
        <v>L'uomo con una camicia spogliata è in piedi in un'aula di tribunale che gioca a squash.</v>
      </c>
    </row>
    <row r="5238">
      <c r="A5238" s="4" t="s">
        <v>6578</v>
      </c>
      <c r="B5238" s="4" t="s">
        <v>6581</v>
      </c>
      <c r="C5238" s="5" t="str">
        <f>IFERROR(__xludf.DUMMYFUNCTION("GOOGLETRANSLATE(B5238,""en"",""it"")"),"Un uomo e una donna sono in piedi un campo di legno che gioca a squash.")</f>
        <v>Un uomo e una donna sono in piedi un campo di legno che gioca a squash.</v>
      </c>
    </row>
    <row r="5239">
      <c r="A5239" s="4" t="s">
        <v>6582</v>
      </c>
      <c r="B5239" s="4" t="s">
        <v>6583</v>
      </c>
      <c r="C5239" s="5" t="str">
        <f>IFERROR(__xludf.DUMMYFUNCTION("GOOGLETRANSLATE(B5239,""en"",""it"")"),"Un windsurfer cavalca lungo acqua mosse attraverso un canale con altri ciclisti sullo sfondo.")</f>
        <v>Un windsurfer cavalca lungo acqua mosse attraverso un canale con altri ciclisti sullo sfondo.</v>
      </c>
    </row>
    <row r="5240">
      <c r="A5240" s="4" t="s">
        <v>6582</v>
      </c>
      <c r="B5240" s="4" t="s">
        <v>6584</v>
      </c>
      <c r="C5240" s="5" t="str">
        <f>IFERROR(__xludf.DUMMYFUNCTION("GOOGLETRANSLATE(B5240,""en"",""it"")"),"La svolta di direzione sulla sua tavola da windsurf e pompa avanti e indietro per manovrarlo.")</f>
        <v>La svolta di direzione sulla sua tavola da windsurf e pompa avanti e indietro per manovrarlo.</v>
      </c>
    </row>
    <row r="5241">
      <c r="A5241" s="4" t="s">
        <v>6582</v>
      </c>
      <c r="B5241" s="4" t="s">
        <v>6585</v>
      </c>
      <c r="C5241" s="5" t="str">
        <f>IFERROR(__xludf.DUMMYFUNCTION("GOOGLETRANSLATE(B5241,""en"",""it"")"),"Un gruppo di windsurfers cavalcano insieme attorno a una piccola barca sporca.")</f>
        <v>Un gruppo di windsurfers cavalcano insieme attorno a una piccola barca sporca.</v>
      </c>
    </row>
    <row r="5242">
      <c r="A5242" s="4" t="s">
        <v>6586</v>
      </c>
      <c r="B5242" s="4" t="s">
        <v>6587</v>
      </c>
      <c r="C5242" s="5" t="str">
        <f>IFERROR(__xludf.DUMMYFUNCTION("GOOGLETRANSLATE(B5242,""en"",""it"")"),"Un gruppo di bambini sta oscillando su un pezzo di equipaggiamento.")</f>
        <v>Un gruppo di bambini sta oscillando su un pezzo di equipaggiamento.</v>
      </c>
    </row>
    <row r="5243">
      <c r="A5243" s="4" t="s">
        <v>6586</v>
      </c>
      <c r="B5243" s="4" t="s">
        <v>6588</v>
      </c>
      <c r="C5243" s="5" t="str">
        <f>IFERROR(__xludf.DUMMYFUNCTION("GOOGLETRANSLATE(B5243,""en"",""it"")"),"Sono mostrati in gruppo, oscillando avanti e indietro sulla piattaforma.")</f>
        <v>Sono mostrati in gruppo, oscillando avanti e indietro sulla piattaforma.</v>
      </c>
    </row>
    <row r="5244">
      <c r="A5244" s="4" t="s">
        <v>6586</v>
      </c>
      <c r="B5244" s="4" t="s">
        <v>6589</v>
      </c>
      <c r="C5244" s="5" t="str">
        <f>IFERROR(__xludf.DUMMYFUNCTION("GOOGLETRANSLATE(B5244,""en"",""it"")"),"Si trovano in un parco esterno.")</f>
        <v>Si trovano in un parco esterno.</v>
      </c>
    </row>
    <row r="5245">
      <c r="A5245" s="4" t="s">
        <v>6590</v>
      </c>
      <c r="B5245" s="4" t="s">
        <v>6591</v>
      </c>
      <c r="C5245" s="5" t="str">
        <f>IFERROR(__xludf.DUMMYFUNCTION("GOOGLETRANSLATE(B5245,""en"",""it"")"),"Un atleta maschio è in piedi fuori su un campo che si estende preparandosi a correre.")</f>
        <v>Un atleta maschio è in piedi fuori su un campo che si estende preparandosi a correre.</v>
      </c>
    </row>
    <row r="5246">
      <c r="A5246" s="4" t="s">
        <v>6590</v>
      </c>
      <c r="B5246" s="4" t="s">
        <v>6592</v>
      </c>
      <c r="C5246" s="5" t="str">
        <f>IFERROR(__xludf.DUMMYFUNCTION("GOOGLETRANSLATE(B5246,""en"",""it"")"),"Dopo che è pronto, l'uomo decolla correndo e fa diversi salti in lunghezza nella fossa.")</f>
        <v>Dopo che è pronto, l'uomo decolla correndo e fa diversi salti in lunghezza nella fossa.</v>
      </c>
    </row>
    <row r="5247">
      <c r="A5247" s="4" t="s">
        <v>6590</v>
      </c>
      <c r="B5247" s="4" t="s">
        <v>6593</v>
      </c>
      <c r="C5247" s="5" t="str">
        <f>IFERROR(__xludf.DUMMYFUNCTION("GOOGLETRANSLATE(B5247,""en"",""it"")"),"Mentre termina il suo ultimo salto, due persone vengono nella fossa e iniziano a misurare la distanza.")</f>
        <v>Mentre termina il suo ultimo salto, due persone vengono nella fossa e iniziano a misurare la distanza.</v>
      </c>
    </row>
    <row r="5248">
      <c r="A5248" s="4" t="s">
        <v>6594</v>
      </c>
      <c r="B5248" s="4" t="s">
        <v>6595</v>
      </c>
      <c r="C5248" s="5" t="str">
        <f>IFERROR(__xludf.DUMMYFUNCTION("GOOGLETRANSLATE(B5248,""en"",""it"")"),"Ci sono diverse persone che pattinano sulla strada principale nella zona del centro di una città di notte.")</f>
        <v>Ci sono diverse persone che pattinano sulla strada principale nella zona del centro di una città di notte.</v>
      </c>
    </row>
    <row r="5249">
      <c r="A5249" s="4" t="s">
        <v>6594</v>
      </c>
      <c r="B5249" s="4" t="s">
        <v>6596</v>
      </c>
      <c r="C5249" s="5" t="str">
        <f>IFERROR(__xludf.DUMMYFUNCTION("GOOGLETRANSLATE(B5249,""en"",""it"")"),"La strada è illuminata da lampioni e negozi lungo il marciapiede.")</f>
        <v>La strada è illuminata da lampioni e negozi lungo il marciapiede.</v>
      </c>
    </row>
    <row r="5250">
      <c r="A5250" s="4" t="s">
        <v>6594</v>
      </c>
      <c r="B5250" s="4" t="s">
        <v>6597</v>
      </c>
      <c r="C5250" s="5" t="str">
        <f>IFERROR(__xludf.DUMMYFUNCTION("GOOGLETRANSLATE(B5250,""en"",""it"")"),"Le persone pattinano attraverso la strada dove non ci sono auto che guidano.")</f>
        <v>Le persone pattinano attraverso la strada dove non ci sono auto che guidano.</v>
      </c>
    </row>
    <row r="5251">
      <c r="A5251" s="4" t="s">
        <v>6598</v>
      </c>
      <c r="B5251" s="4" t="s">
        <v>6599</v>
      </c>
      <c r="C5251" s="5" t="str">
        <f>IFERROR(__xludf.DUMMYFUNCTION("GOOGLETRANSLATE(B5251,""en"",""it"")"),"Un uomo viene visto camminare più vicino a una pinata mentre un folto gruppo di persone sta intorno a lui.")</f>
        <v>Un uomo viene visto camminare più vicino a una pinata mentre un folto gruppo di persone sta intorno a lui.</v>
      </c>
    </row>
    <row r="5252">
      <c r="A5252" s="4" t="s">
        <v>6598</v>
      </c>
      <c r="B5252" s="4" t="s">
        <v>6600</v>
      </c>
      <c r="C5252" s="5" t="str">
        <f>IFERROR(__xludf.DUMMYFUNCTION("GOOGLETRANSLATE(B5252,""en"",""it"")"),"L'uomo manca la Pinata e colpisce una persona dietro di lui, mostrata di nuovo al rallentatore.")</f>
        <v>L'uomo manca la Pinata e colpisce una persona dietro di lui, mostrata di nuovo al rallentatore.</v>
      </c>
    </row>
    <row r="5253">
      <c r="A5253" s="4" t="s">
        <v>6601</v>
      </c>
      <c r="B5253" s="4" t="s">
        <v>6602</v>
      </c>
      <c r="C5253" s="5" t="str">
        <f>IFERROR(__xludf.DUMMYFUNCTION("GOOGLETRANSLATE(B5253,""en"",""it"")"),"Ci sono molte piastrelle diverse che vengono mostrate e sono mostrati pavimenti in legno.")</f>
        <v>Ci sono molte piastrelle diverse che vengono mostrate e sono mostrati pavimenti in legno.</v>
      </c>
    </row>
    <row r="5254">
      <c r="A5254" s="4" t="s">
        <v>6601</v>
      </c>
      <c r="B5254" s="4" t="s">
        <v>6603</v>
      </c>
      <c r="C5254" s="5" t="str">
        <f>IFERROR(__xludf.DUMMYFUNCTION("GOOGLETRANSLATE(B5254,""en"",""it"")"),"Prima l'uomo rimuove il battiscopa, quindi ottiene un trapano e mette le viti sul pavimento.")</f>
        <v>Prima l'uomo rimuove il battiscopa, quindi ottiene un trapano e mette le viti sul pavimento.</v>
      </c>
    </row>
    <row r="5255">
      <c r="A5255" s="4" t="s">
        <v>6601</v>
      </c>
      <c r="B5255" s="4" t="s">
        <v>6604</v>
      </c>
      <c r="C5255" s="5" t="str">
        <f>IFERROR(__xludf.DUMMYFUNCTION("GOOGLETRANSLATE(B5255,""en"",""it"")"),"Quindi disegna linee per mettere piastrelle sul pavimento.")</f>
        <v>Quindi disegna linee per mettere piastrelle sul pavimento.</v>
      </c>
    </row>
    <row r="5256">
      <c r="A5256" s="4" t="s">
        <v>6601</v>
      </c>
      <c r="B5256" s="4" t="s">
        <v>6605</v>
      </c>
      <c r="C5256" s="5" t="str">
        <f>IFERROR(__xludf.DUMMYFUNCTION("GOOGLETRANSLATE(B5256,""en"",""it"")"),"Lo vedo quindi con una macchina che taglia le piastrelle a metà e mette metà di una piastrella sul pavimento.")</f>
        <v>Lo vedo quindi con una macchina che taglia le piastrelle a metà e mette metà di una piastrella sul pavimento.</v>
      </c>
    </row>
    <row r="5257">
      <c r="A5257" s="4" t="s">
        <v>6601</v>
      </c>
      <c r="B5257" s="4" t="s">
        <v>6606</v>
      </c>
      <c r="C5257" s="5" t="str">
        <f>IFERROR(__xludf.DUMMYFUNCTION("GOOGLETRANSLATE(B5257,""en"",""it"")"),"Quindi spalma il cemento sul pavimento e giace le piastrelle sopra.")</f>
        <v>Quindi spalma il cemento sul pavimento e giace le piastrelle sopra.</v>
      </c>
    </row>
    <row r="5258">
      <c r="A5258" s="4" t="s">
        <v>6601</v>
      </c>
      <c r="B5258" s="4" t="s">
        <v>6607</v>
      </c>
      <c r="C5258" s="5" t="str">
        <f>IFERROR(__xludf.DUMMYFUNCTION("GOOGLETRANSLATE(B5258,""en"",""it"")"),"Martella un po 'le piastrelle per farle sdraiarsi.")</f>
        <v>Martella un po 'le piastrelle per farle sdraiarsi.</v>
      </c>
    </row>
    <row r="5259">
      <c r="A5259" s="4" t="s">
        <v>6601</v>
      </c>
      <c r="B5259" s="4" t="s">
        <v>6608</v>
      </c>
      <c r="C5259" s="5" t="str">
        <f>IFERROR(__xludf.DUMMYFUNCTION("GOOGLETRANSLATE(B5259,""en"",""it"")"),"Quindi il pavimento è ora finito e si asciuga le piastrelle rendendole brillanti.")</f>
        <v>Quindi il pavimento è ora finito e si asciuga le piastrelle rendendole brillanti.</v>
      </c>
    </row>
    <row r="5260">
      <c r="A5260" s="4" t="s">
        <v>6609</v>
      </c>
      <c r="B5260" s="4" t="s">
        <v>6610</v>
      </c>
      <c r="C5260" s="5" t="str">
        <f>IFERROR(__xludf.DUMMYFUNCTION("GOOGLETRANSLATE(B5260,""en"",""it"")"),"Un bambino è in piedi sul tappeto.")</f>
        <v>Un bambino è in piedi sul tappeto.</v>
      </c>
    </row>
    <row r="5261">
      <c r="A5261" s="4" t="s">
        <v>6609</v>
      </c>
      <c r="B5261" s="4" t="s">
        <v>6611</v>
      </c>
      <c r="C5261" s="5" t="str">
        <f>IFERROR(__xludf.DUMMYFUNCTION("GOOGLETRANSLATE(B5261,""en"",""it"")"),"Una persona spazzola i denti del bambino con uno spazzolino blu.")</f>
        <v>Una persona spazzola i denti del bambino con uno spazzolino blu.</v>
      </c>
    </row>
    <row r="5262">
      <c r="A5262" s="4" t="s">
        <v>6609</v>
      </c>
      <c r="B5262" s="4" t="s">
        <v>6612</v>
      </c>
      <c r="C5262" s="5" t="str">
        <f>IFERROR(__xludf.DUMMYFUNCTION("GOOGLETRANSLATE(B5262,""en"",""it"")"),"Il bambino raggiunge la fotocamera.")</f>
        <v>Il bambino raggiunge la fotocamera.</v>
      </c>
    </row>
    <row r="5263">
      <c r="A5263" s="4" t="s">
        <v>6613</v>
      </c>
      <c r="B5263" s="4" t="s">
        <v>6614</v>
      </c>
      <c r="C5263" s="5" t="str">
        <f>IFERROR(__xludf.DUMMYFUNCTION("GOOGLETRANSLATE(B5263,""en"",""it"")"),"Vediamo una ragazza che si esibisce con manganelli.")</f>
        <v>Vediamo una ragazza che si esibisce con manganelli.</v>
      </c>
    </row>
    <row r="5264">
      <c r="A5264" s="4" t="s">
        <v>6613</v>
      </c>
      <c r="B5264" s="4" t="s">
        <v>6615</v>
      </c>
      <c r="C5264" s="5" t="str">
        <f>IFERROR(__xludf.DUMMYFUNCTION("GOOGLETRANSLATE(B5264,""en"",""it"")"),"La ragazza getta una gamba in aria e gira.")</f>
        <v>La ragazza getta una gamba in aria e gira.</v>
      </c>
    </row>
    <row r="5265">
      <c r="A5265" s="4" t="s">
        <v>6613</v>
      </c>
      <c r="B5265" s="4" t="s">
        <v>6616</v>
      </c>
      <c r="C5265" s="5" t="str">
        <f>IFERROR(__xludf.DUMMYFUNCTION("GOOGLETRANSLATE(B5265,""en"",""it"")"),"La ragazza fa una ruota del carrello.")</f>
        <v>La ragazza fa una ruota del carrello.</v>
      </c>
    </row>
    <row r="5266">
      <c r="A5266" s="4" t="s">
        <v>6613</v>
      </c>
      <c r="B5266" s="4" t="s">
        <v>6617</v>
      </c>
      <c r="C5266" s="5" t="str">
        <f>IFERROR(__xludf.DUMMYFUNCTION("GOOGLETRANSLATE(B5266,""en"",""it"")"),"La ragazza si inginocchia e raccoglie un testimone.")</f>
        <v>La ragazza si inginocchia e raccoglie un testimone.</v>
      </c>
    </row>
    <row r="5267">
      <c r="A5267" s="4" t="s">
        <v>6613</v>
      </c>
      <c r="B5267" s="4" t="s">
        <v>6618</v>
      </c>
      <c r="C5267" s="5" t="str">
        <f>IFERROR(__xludf.DUMMYFUNCTION("GOOGLETRANSLATE(B5267,""en"",""it"")"),"Le ragazze finiscono e gettano le braccia in aria.")</f>
        <v>Le ragazze finiscono e gettano le braccia in aria.</v>
      </c>
    </row>
    <row r="5268">
      <c r="A5268" s="4" t="s">
        <v>6613</v>
      </c>
      <c r="B5268" s="4" t="s">
        <v>6619</v>
      </c>
      <c r="C5268" s="5" t="str">
        <f>IFERROR(__xludf.DUMMYFUNCTION("GOOGLETRANSLATE(B5268,""en"",""it"")"),"La ragazza si avvicina e abbraccia suo padre.")</f>
        <v>La ragazza si avvicina e abbraccia suo padre.</v>
      </c>
    </row>
    <row r="5269">
      <c r="A5269" s="4" t="s">
        <v>6620</v>
      </c>
      <c r="B5269" s="4" t="s">
        <v>6621</v>
      </c>
      <c r="C5269" s="5" t="str">
        <f>IFERROR(__xludf.DUMMYFUNCTION("GOOGLETRANSLATE(B5269,""en"",""it"")"),"Un uomo sta guardando una partita che mangia un cono gelato.")</f>
        <v>Un uomo sta guardando una partita che mangia un cono gelato.</v>
      </c>
    </row>
    <row r="5270">
      <c r="A5270" s="4" t="s">
        <v>6620</v>
      </c>
      <c r="B5270" s="4" t="s">
        <v>6622</v>
      </c>
      <c r="C5270" s="5" t="str">
        <f>IFERROR(__xludf.DUMMYFUNCTION("GOOGLETRANSLATE(B5270,""en"",""it"")"),"Le persone sono sedute dietro una scrivania ridendo.")</f>
        <v>Le persone sono sedute dietro una scrivania ridendo.</v>
      </c>
    </row>
    <row r="5271">
      <c r="A5271" s="4" t="s">
        <v>6623</v>
      </c>
      <c r="B5271" s="4" t="s">
        <v>6624</v>
      </c>
      <c r="C5271" s="5" t="str">
        <f>IFERROR(__xludf.DUMMYFUNCTION("GOOGLETRANSLATE(B5271,""en"",""it"")"),"Un uomo si sta preparando a correre e saltare.")</f>
        <v>Un uomo si sta preparando a correre e saltare.</v>
      </c>
    </row>
    <row r="5272">
      <c r="A5272" s="4" t="s">
        <v>6623</v>
      </c>
      <c r="B5272" s="4" t="s">
        <v>6625</v>
      </c>
      <c r="C5272" s="5" t="str">
        <f>IFERROR(__xludf.DUMMYFUNCTION("GOOGLETRANSLATE(B5272,""en"",""it"")"),"Corre molto rapidamente lungo la pista.")</f>
        <v>Corre molto rapidamente lungo la pista.</v>
      </c>
    </row>
    <row r="5273">
      <c r="A5273" s="4" t="s">
        <v>6623</v>
      </c>
      <c r="B5273" s="4" t="s">
        <v>6626</v>
      </c>
      <c r="C5273" s="5" t="str">
        <f>IFERROR(__xludf.DUMMYFUNCTION("GOOGLETRANSLATE(B5273,""en"",""it"")"),"Fa un salto volante sopra la barra alta su un tappetino.")</f>
        <v>Fa un salto volante sopra la barra alta su un tappetino.</v>
      </c>
    </row>
    <row r="5274">
      <c r="A5274" s="4" t="s">
        <v>6627</v>
      </c>
      <c r="B5274" s="4" t="s">
        <v>6628</v>
      </c>
      <c r="C5274" s="5" t="str">
        <f>IFERROR(__xludf.DUMMYFUNCTION("GOOGLETRANSLATE(B5274,""en"",""it"")"),"Una ragazza è seduta su una sedia.")</f>
        <v>Una ragazza è seduta su una sedia.</v>
      </c>
    </row>
    <row r="5275">
      <c r="A5275" s="4" t="s">
        <v>6627</v>
      </c>
      <c r="B5275" s="4" t="s">
        <v>6629</v>
      </c>
      <c r="C5275" s="5" t="str">
        <f>IFERROR(__xludf.DUMMYFUNCTION("GOOGLETRANSLATE(B5275,""en"",""it"")"),"Un'altra persona è in piedi dietro di lei.")</f>
        <v>Un'altra persona è in piedi dietro di lei.</v>
      </c>
    </row>
    <row r="5276">
      <c r="A5276" s="4" t="s">
        <v>6627</v>
      </c>
      <c r="B5276" s="4" t="s">
        <v>6630</v>
      </c>
      <c r="C5276" s="5" t="str">
        <f>IFERROR(__xludf.DUMMYFUNCTION("GOOGLETRANSLATE(B5276,""en"",""it"")"),"La donna dietro di lei inizia a intrecciarsi i capelli.")</f>
        <v>La donna dietro di lei inizia a intrecciarsi i capelli.</v>
      </c>
    </row>
    <row r="5277">
      <c r="A5277" s="4" t="s">
        <v>6631</v>
      </c>
      <c r="B5277" s="6" t="s">
        <v>6632</v>
      </c>
      <c r="C5277" s="5" t="str">
        <f>IFERROR(__xludf.DUMMYFUNCTION("GOOGLETRANSLATE(B5277,""en"",""it"")"),"Due uomini sono visti inginocchiarsi e sedersi davanti a un muro con uno che parla alla telecamera e inizia a posare il metallo sul lato.")</f>
        <v>Due uomini sono visti inginocchiarsi e sedersi davanti a un muro con uno che parla alla telecamera e inizia a posare il metallo sul lato.</v>
      </c>
    </row>
    <row r="5278">
      <c r="A5278" s="4" t="s">
        <v>6631</v>
      </c>
      <c r="B5278" s="6" t="s">
        <v>6633</v>
      </c>
      <c r="C5278" s="5" t="str">
        <f>IFERROR(__xludf.DUMMYFUNCTION("GOOGLETRANSLATE(B5278,""en"",""it"")"),"I due si allineano e perfora il metallo in posizione continuando a praticare di più mentre l'uomo parla alla telecamera e mostra più scatti del suo equipaggio che lavora alla fine.")</f>
        <v>I due si allineano e perfora il metallo in posizione continuando a praticare di più mentre l'uomo parla alla telecamera e mostra più scatti del suo equipaggio che lavora alla fine.</v>
      </c>
    </row>
    <row r="5279">
      <c r="A5279" s="4" t="s">
        <v>6634</v>
      </c>
      <c r="B5279" s="4" t="s">
        <v>6635</v>
      </c>
      <c r="C5279" s="5" t="str">
        <f>IFERROR(__xludf.DUMMYFUNCTION("GOOGLETRANSLATE(B5279,""en"",""it"")"),"Una donna cuoci i biscotti su un tappetino in silicone.")</f>
        <v>Una donna cuoci i biscotti su un tappetino in silicone.</v>
      </c>
    </row>
    <row r="5280">
      <c r="A5280" s="4" t="s">
        <v>6634</v>
      </c>
      <c r="B5280" s="4" t="s">
        <v>6636</v>
      </c>
      <c r="C5280" s="5" t="str">
        <f>IFERROR(__xludf.DUMMYFUNCTION("GOOGLETRANSLATE(B5280,""en"",""it"")"),"Gli ingredienti sono preparati e i biscotti vengono tagliati.")</f>
        <v>Gli ingredienti sono preparati e i biscotti vengono tagliati.</v>
      </c>
    </row>
    <row r="5281">
      <c r="A5281" s="4" t="s">
        <v>6637</v>
      </c>
      <c r="B5281" s="4" t="s">
        <v>6638</v>
      </c>
      <c r="C5281" s="5" t="str">
        <f>IFERROR(__xludf.DUMMYFUNCTION("GOOGLETRANSLATE(B5281,""en"",""it"")"),"Viene mostrata una barriera corallina subacquea.")</f>
        <v>Viene mostrata una barriera corallina subacquea.</v>
      </c>
    </row>
    <row r="5282">
      <c r="A5282" s="4" t="s">
        <v>6637</v>
      </c>
      <c r="B5282" s="4" t="s">
        <v>6639</v>
      </c>
      <c r="C5282" s="5" t="str">
        <f>IFERROR(__xludf.DUMMYFUNCTION("GOOGLETRANSLATE(B5282,""en"",""it"")"),"Il subacqueo subacqueo cavalca un cavallo e poi guarda i raggi.")</f>
        <v>Il subacqueo subacqueo cavalca un cavallo e poi guarda i raggi.</v>
      </c>
    </row>
    <row r="5283">
      <c r="A5283" s="4" t="s">
        <v>6640</v>
      </c>
      <c r="B5283" s="6" t="s">
        <v>6641</v>
      </c>
      <c r="C5283" s="5" t="str">
        <f>IFERROR(__xludf.DUMMYFUNCTION("GOOGLETRANSLATE(B5283,""en"",""it"")"),"Viene visto un bambino che corre su e giù per un'area in muratura mentre si trova davanti a un gioco Scotch Hop.")</f>
        <v>Viene visto un bambino che corre su e giù per un'area in muratura mentre si trova davanti a un gioco Scotch Hop.</v>
      </c>
    </row>
    <row r="5284">
      <c r="A5284" s="4" t="s">
        <v>6640</v>
      </c>
      <c r="B5284" s="6" t="s">
        <v>6642</v>
      </c>
      <c r="C5284" s="5" t="str">
        <f>IFERROR(__xludf.DUMMYFUNCTION("GOOGLETRANSLATE(B5284,""en"",""it"")"),"La ragazza poi salta lungo il gesso mentre guarda la telecamera e si tiene i capelli fuori dal viso.")</f>
        <v>La ragazza poi salta lungo il gesso mentre guarda la telecamera e si tiene i capelli fuori dal viso.</v>
      </c>
    </row>
    <row r="5285">
      <c r="A5285" s="4" t="s">
        <v>6640</v>
      </c>
      <c r="B5285" s="4" t="s">
        <v>6643</v>
      </c>
      <c r="C5285" s="5" t="str">
        <f>IFERROR(__xludf.DUMMYFUNCTION("GOOGLETRANSLATE(B5285,""en"",""it"")"),"Alla fine dà alla persona che tiene la telecamera un dono alto.")</f>
        <v>Alla fine dà alla persona che tiene la telecamera un dono alto.</v>
      </c>
    </row>
    <row r="5286">
      <c r="A5286" s="4" t="s">
        <v>6644</v>
      </c>
      <c r="B5286" s="4" t="s">
        <v>6645</v>
      </c>
      <c r="C5286" s="5" t="str">
        <f>IFERROR(__xludf.DUMMYFUNCTION("GOOGLETRANSLATE(B5286,""en"",""it"")"),"Vengono mostrate varie clip da vicino e persone che parlano alla telecamera.")</f>
        <v>Vengono mostrate varie clip da vicino e persone che parlano alla telecamera.</v>
      </c>
    </row>
    <row r="5287">
      <c r="A5287" s="4" t="s">
        <v>6644</v>
      </c>
      <c r="B5287" s="6" t="s">
        <v>6646</v>
      </c>
      <c r="C5287" s="5" t="str">
        <f>IFERROR(__xludf.DUMMYFUNCTION("GOOGLETRANSLATE(B5287,""en"",""it"")"),"Vengono mostrati scatti all'esterno di un ristorante e chef che cucinano il cibo e le persone che mangiano il cibo.")</f>
        <v>Vengono mostrati scatti all'esterno di un ristorante e chef che cucinano il cibo e le persone che mangiano il cibo.</v>
      </c>
    </row>
    <row r="5288">
      <c r="A5288" s="4" t="s">
        <v>6647</v>
      </c>
      <c r="B5288" s="6" t="s">
        <v>6648</v>
      </c>
      <c r="C5288" s="5" t="str">
        <f>IFERROR(__xludf.DUMMYFUNCTION("GOOGLETRANSLATE(B5288,""en"",""it"")"),"Appare uno schermo bianco con un logo verde e appaiono parole verdi e grigie e dice ""Howdini prendi un guru"".")</f>
        <v>Appare uno schermo bianco con un logo verde e appaiono parole verdi e grigie e dice "Howdini prendi un guru".</v>
      </c>
    </row>
    <row r="5289">
      <c r="A5289" s="4" t="s">
        <v>6647</v>
      </c>
      <c r="B5289" s="6" t="s">
        <v>6649</v>
      </c>
      <c r="C5289" s="5" t="str">
        <f>IFERROR(__xludf.DUMMYFUNCTION("GOOGLETRANSLATE(B5289,""en"",""it"")"),"Una donna bruna in piedi in una cucina sta parlando e le parole sullo schermo dicono ""Howdini Guru Cricket chef e autrice Azima Azima"", quindi uno schermo verde appare rapidamente e dice ""Ricette di scambio di biscotti"", e torna alla donna che parla.")</f>
        <v>Una donna bruna in piedi in una cucina sta parlando e le parole sullo schermo dicono "Howdini Guru Cricket chef e autrice Azima Azima", quindi uno schermo verde appare rapidamente e dice "Ricette di scambio di biscotti", e torna alla donna che parla.</v>
      </c>
    </row>
    <row r="5290">
      <c r="A5290" s="4" t="s">
        <v>6647</v>
      </c>
      <c r="B5290" s="6" t="s">
        <v>6650</v>
      </c>
      <c r="C5290" s="5" t="str">
        <f>IFERROR(__xludf.DUMMYFUNCTION("GOOGLETRANSLATE(B5290,""en"",""it"")"),"Vengono mostrati biscotti su un piatto e le parole sullo schermo dicono che sono ""fiori di burro di arachidi"" e inizia a mostrare la donna che versano tutti gli ingredienti in una ciotola per farli, rotolandoli nello zucchero, mettendoli su un vassoio p"&amp;"er la cottura , quindi mostrando il prodotto finale quando hanno finito di cuocere e il sito Web per vedere la ricetta completa.")</f>
        <v>Vengono mostrati biscotti su un piatto e le parole sullo schermo dicono che sono "fiori di burro di arachidi" e inizia a mostrare la donna che versano tutti gli ingredienti in una ciotola per farli, rotolandoli nello zucchero, mettendoli su un vassoio per la cottura , quindi mostrando il prodotto finale quando hanno finito di cuocere e il sito Web per vedere la ricetta completa.</v>
      </c>
    </row>
    <row r="5291">
      <c r="A5291" s="4" t="s">
        <v>6647</v>
      </c>
      <c r="B5291" s="6" t="s">
        <v>6651</v>
      </c>
      <c r="C5291" s="5" t="str">
        <f>IFERROR(__xludf.DUMMYFUNCTION("GOOGLETRANSLATE(B5291,""en"",""it"")"),"La donna sta parlando di nuovo e il prossimo biscotto che viene mostrato si chiama ""BOokie Snowballs"" e mostra tutti gli ingredienti necessari, un elenco su quanto tempo per cucinarlo, e sta dimostrando passo dopo passo fino a quando non è tutto cotto e"&amp;" su un piastra accanto agli altri biscotti.")</f>
        <v>La donna sta parlando di nuovo e il prossimo biscotto che viene mostrato si chiama "BOokie Snowballs" e mostra tutti gli ingredienti necessari, un elenco su quanto tempo per cucinarlo, e sta dimostrando passo dopo passo fino a quando non è tutto cotto e su un piastra accanto agli altri biscotti.</v>
      </c>
    </row>
    <row r="5292">
      <c r="A5292" s="4" t="s">
        <v>6647</v>
      </c>
      <c r="B5292" s="6" t="s">
        <v>6652</v>
      </c>
      <c r="C5292" s="5" t="str">
        <f>IFERROR(__xludf.DUMMYFUNCTION("GOOGLETRANSLATE(B5292,""en"",""it"")"),"Il video termina con altre foto di altri cookie che non è stato mostrato, quindi su uno schermo verde che ha parole bianche che includono un messaggio per andare sul loro sito Web se vuoi vedere più video delle loro ricette di cookie.")</f>
        <v>Il video termina con altre foto di altri cookie che non è stato mostrato, quindi su uno schermo verde che ha parole bianche che includono un messaggio per andare sul loro sito Web se vuoi vedere più video delle loro ricette di cookie.</v>
      </c>
    </row>
    <row r="5293">
      <c r="A5293" s="4" t="s">
        <v>6653</v>
      </c>
      <c r="B5293" s="4" t="s">
        <v>6654</v>
      </c>
      <c r="C5293" s="5" t="str">
        <f>IFERROR(__xludf.DUMMYFUNCTION("GOOGLETRANSLATE(B5293,""en"",""it"")"),"Una signora su un vogatore in palestra si trova ancora.")</f>
        <v>Una signora su un vogatore in palestra si trova ancora.</v>
      </c>
    </row>
    <row r="5294">
      <c r="A5294" s="4" t="s">
        <v>6653</v>
      </c>
      <c r="B5294" s="4" t="s">
        <v>6655</v>
      </c>
      <c r="C5294" s="5" t="str">
        <f>IFERROR(__xludf.DUMMYFUNCTION("GOOGLETRANSLATE(B5294,""en"",""it"")"),"La signora si sporge in avanti e si allena lentamente sulla macchina.")</f>
        <v>La signora si sporge in avanti e si allena lentamente sulla macchina.</v>
      </c>
    </row>
    <row r="5295">
      <c r="A5295" s="4" t="s">
        <v>6653</v>
      </c>
      <c r="B5295" s="4" t="s">
        <v>6656</v>
      </c>
      <c r="C5295" s="5" t="str">
        <f>IFERROR(__xludf.DUMMYFUNCTION("GOOGLETRANSLATE(B5295,""en"",""it"")"),"La signora inizia a remare un po 'più velocemente e lo schermo si attenua al nero.")</f>
        <v>La signora inizia a remare un po 'più velocemente e lo schermo si attenua al nero.</v>
      </c>
    </row>
    <row r="5296">
      <c r="A5296" s="4" t="s">
        <v>6657</v>
      </c>
      <c r="B5296" s="6" t="s">
        <v>6658</v>
      </c>
      <c r="C5296" s="5" t="str">
        <f>IFERROR(__xludf.DUMMYFUNCTION("GOOGLETRANSLATE(B5296,""en"",""it"")"),"Si vedono due ballerini che tiene una posa nel mezzo di una grande palestra e iniziano a eseguire una routine usando manganelli.")</f>
        <v>Si vedono due ballerini che tiene una posa nel mezzo di una grande palestra e iniziano a eseguire una routine usando manganelli.</v>
      </c>
    </row>
    <row r="5297">
      <c r="A5297" s="4" t="s">
        <v>6657</v>
      </c>
      <c r="B5297" s="4" t="s">
        <v>6659</v>
      </c>
      <c r="C5297" s="5" t="str">
        <f>IFERROR(__xludf.DUMMYFUNCTION("GOOGLETRANSLATE(B5297,""en"",""it"")"),"Le ragazze continuano a ballare e girare con i bastoncini e finiscono tenendo una posa.")</f>
        <v>Le ragazze continuano a ballare e girare con i bastoncini e finiscono tenendo una posa.</v>
      </c>
    </row>
    <row r="5298">
      <c r="A5298" s="4" t="s">
        <v>6660</v>
      </c>
      <c r="B5298" s="4" t="s">
        <v>6661</v>
      </c>
      <c r="C5298" s="5" t="str">
        <f>IFERROR(__xludf.DUMMYFUNCTION("GOOGLETRANSLATE(B5298,""en"",""it"")"),"Vediamo i corridori BMX sul campo e in varie località e in sella alle loro bici.")</f>
        <v>Vediamo i corridori BMX sul campo e in varie località e in sella alle loro bici.</v>
      </c>
    </row>
    <row r="5299">
      <c r="A5299" s="4" t="s">
        <v>6660</v>
      </c>
      <c r="B5299" s="4" t="s">
        <v>6662</v>
      </c>
      <c r="C5299" s="5" t="str">
        <f>IFERROR(__xludf.DUMMYFUNCTION("GOOGLETRANSLATE(B5299,""en"",""it"")"),"Due uomini cadono dalle loro bici.")</f>
        <v>Due uomini cadono dalle loro bici.</v>
      </c>
    </row>
    <row r="5300">
      <c r="A5300" s="4" t="s">
        <v>6660</v>
      </c>
      <c r="B5300" s="4" t="s">
        <v>6663</v>
      </c>
      <c r="C5300" s="5" t="str">
        <f>IFERROR(__xludf.DUMMYFUNCTION("GOOGLETRANSLATE(B5300,""en"",""it"")"),"Vediamo che le gare iniziano in alto su una piattaforma.")</f>
        <v>Vediamo che le gare iniziano in alto su una piattaforma.</v>
      </c>
    </row>
    <row r="5301">
      <c r="A5301" s="4" t="s">
        <v>6660</v>
      </c>
      <c r="B5301" s="4" t="s">
        <v>6664</v>
      </c>
      <c r="C5301" s="5" t="str">
        <f>IFERROR(__xludf.DUMMYFUNCTION("GOOGLETRANSLATE(B5301,""en"",""it"")"),"Un uomo tiene una tavola da surf e un uomo porta una bici.")</f>
        <v>Un uomo tiene una tavola da surf e un uomo porta una bici.</v>
      </c>
    </row>
    <row r="5302">
      <c r="A5302" s="4" t="s">
        <v>6660</v>
      </c>
      <c r="B5302" s="4" t="s">
        <v>6665</v>
      </c>
      <c r="C5302" s="5" t="str">
        <f>IFERROR(__xludf.DUMMYFUNCTION("GOOGLETRANSLATE(B5302,""en"",""it"")"),"Vediamo un uomo che ride che tiene una tavola da surf.")</f>
        <v>Vediamo un uomo che ride che tiene una tavola da surf.</v>
      </c>
    </row>
    <row r="5303">
      <c r="A5303" s="4" t="s">
        <v>6660</v>
      </c>
      <c r="B5303" s="4" t="s">
        <v>6666</v>
      </c>
      <c r="C5303" s="5" t="str">
        <f>IFERROR(__xludf.DUMMYFUNCTION("GOOGLETRANSLATE(B5303,""en"",""it"")"),"Una signora lancia un cartello a mano alla telecamera.")</f>
        <v>Una signora lancia un cartello a mano alla telecamera.</v>
      </c>
    </row>
    <row r="5304">
      <c r="A5304" s="4" t="s">
        <v>6660</v>
      </c>
      <c r="B5304" s="4" t="s">
        <v>6667</v>
      </c>
      <c r="C5304" s="5" t="str">
        <f>IFERROR(__xludf.DUMMYFUNCTION("GOOGLETRANSLATE(B5304,""en"",""it"")"),"Vediamo scatti aerei dei campi.")</f>
        <v>Vediamo scatti aerei dei campi.</v>
      </c>
    </row>
    <row r="5305">
      <c r="A5305" s="4" t="s">
        <v>6660</v>
      </c>
      <c r="B5305" s="4" t="s">
        <v>6668</v>
      </c>
      <c r="C5305" s="5" t="str">
        <f>IFERROR(__xludf.DUMMYFUNCTION("GOOGLETRANSLATE(B5305,""en"",""it"")"),"Un uomo scatta una foto e un uomo tiene una nuova bandiera di Zeland.")</f>
        <v>Un uomo scatta una foto e un uomo tiene una nuova bandiera di Zeland.</v>
      </c>
    </row>
    <row r="5306">
      <c r="A5306" s="4" t="s">
        <v>6660</v>
      </c>
      <c r="B5306" s="4" t="s">
        <v>6669</v>
      </c>
      <c r="C5306" s="5" t="str">
        <f>IFERROR(__xludf.DUMMYFUNCTION("GOOGLETRANSLATE(B5306,""en"",""it"")"),"Un uomo cade forte dalla sua bici.")</f>
        <v>Un uomo cade forte dalla sua bici.</v>
      </c>
    </row>
    <row r="5307">
      <c r="A5307" s="4" t="s">
        <v>6660</v>
      </c>
      <c r="B5307" s="4" t="s">
        <v>6670</v>
      </c>
      <c r="C5307" s="5" t="str">
        <f>IFERROR(__xludf.DUMMYFUNCTION("GOOGLETRANSLATE(B5307,""en"",""it"")"),"Il video svanisce al nero.")</f>
        <v>Il video svanisce al nero.</v>
      </c>
    </row>
    <row r="5308">
      <c r="A5308" s="4" t="s">
        <v>6671</v>
      </c>
      <c r="B5308" s="6" t="s">
        <v>6672</v>
      </c>
      <c r="C5308" s="5" t="str">
        <f>IFERROR(__xludf.DUMMYFUNCTION("GOOGLETRANSLATE(B5308,""en"",""it"")"),"Vengono mostrate varie clip all'interno e all'esterno di un'arena, nonché la fotocamera che si panoramica dal ghiaccio e due persone che parlano l'un l'altro.")</f>
        <v>Vengono mostrate varie clip all'interno e all'esterno di un'arena, nonché la fotocamera che si panoramica dal ghiaccio e due persone che parlano l'un l'altro.</v>
      </c>
    </row>
    <row r="5309">
      <c r="A5309" s="4" t="s">
        <v>6671</v>
      </c>
      <c r="B5309" s="4" t="s">
        <v>6673</v>
      </c>
      <c r="C5309" s="5" t="str">
        <f>IFERROR(__xludf.DUMMYFUNCTION("GOOGLETRANSLATE(B5309,""en"",""it"")"),"Vengono quindi mostrati diversi colpi di persone che si arricciano e dai primi piani dei dischi.")</f>
        <v>Vengono quindi mostrati diversi colpi di persone che si arricciano e dai primi piani dei dischi.</v>
      </c>
    </row>
    <row r="5310">
      <c r="A5310" s="4" t="s">
        <v>6671</v>
      </c>
      <c r="B5310" s="4" t="s">
        <v>6674</v>
      </c>
      <c r="C5310" s="5" t="str">
        <f>IFERROR(__xludf.DUMMYFUNCTION("GOOGLETRANSLATE(B5310,""en"",""it"")"),"Vengono mostrate altre clip di persone che giocano e che i compagni di squadra guardano.")</f>
        <v>Vengono mostrate altre clip di persone che giocano e che i compagni di squadra guardano.</v>
      </c>
    </row>
    <row r="5311">
      <c r="A5311" s="4" t="s">
        <v>6675</v>
      </c>
      <c r="B5311" s="4" t="s">
        <v>6676</v>
      </c>
      <c r="C5311" s="5" t="str">
        <f>IFERROR(__xludf.DUMMYFUNCTION("GOOGLETRANSLATE(B5311,""en"",""it"")"),"Un uomo con una camicia bianca si piega e raccoglie un peso grande.")</f>
        <v>Un uomo con una camicia bianca si piega e raccoglie un peso grande.</v>
      </c>
    </row>
    <row r="5312">
      <c r="A5312" s="4" t="s">
        <v>6675</v>
      </c>
      <c r="B5312" s="4" t="s">
        <v>6677</v>
      </c>
      <c r="C5312" s="5" t="str">
        <f>IFERROR(__xludf.DUMMYFUNCTION("GOOGLETRANSLATE(B5312,""en"",""it"")"),"Solleva il peso fino alle spalle.")</f>
        <v>Solleva il peso fino alle spalle.</v>
      </c>
    </row>
    <row r="5313">
      <c r="A5313" s="4" t="s">
        <v>6675</v>
      </c>
      <c r="B5313" s="4" t="s">
        <v>6678</v>
      </c>
      <c r="C5313" s="5" t="str">
        <f>IFERROR(__xludf.DUMMYFUNCTION("GOOGLETRANSLATE(B5313,""en"",""it"")"),"Si china e solleva il peso sopra la testa.")</f>
        <v>Si china e solleva il peso sopra la testa.</v>
      </c>
    </row>
    <row r="5314">
      <c r="A5314" s="4" t="s">
        <v>6679</v>
      </c>
      <c r="B5314" s="6" t="s">
        <v>6680</v>
      </c>
      <c r="C5314" s="5" t="str">
        <f>IFERROR(__xludf.DUMMYFUNCTION("GOOGLETRANSLATE(B5314,""en"",""it"")"),"Un uomo di nome Alex Al-Ameen sta sorridendo e parla e le parole sotto il suo nome dicono che è stato ""selezionato per il Commonwealth Games 2014 Hurdles di 110 metri"".")</f>
        <v>Un uomo di nome Alex Al-Ameen sta sorridendo e parla e le parole sotto il suo nome dicono che è stato "selezionato per il Commonwealth Games 2014 Hurdles di 110 metri".</v>
      </c>
    </row>
    <row r="5315">
      <c r="A5315" s="4" t="s">
        <v>6679</v>
      </c>
      <c r="B5315" s="6" t="s">
        <v>6681</v>
      </c>
      <c r="C5315" s="5" t="str">
        <f>IFERROR(__xludf.DUMMYFUNCTION("GOOGLETRANSLATE(B5315,""en"",""it"")"),"Un uomo viene quindi mostrato sulla pista seduto a terra che prepara i piedi per le scarpe mentre si avvolge il nastro attorno al piede.")</f>
        <v>Un uomo viene quindi mostrato sulla pista seduto a terra che prepara i piedi per le scarpe mentre si avvolge il nastro attorno al piede.</v>
      </c>
    </row>
    <row r="5316">
      <c r="A5316" s="4" t="s">
        <v>6679</v>
      </c>
      <c r="B5316" s="6" t="s">
        <v>6682</v>
      </c>
      <c r="C5316" s="5" t="str">
        <f>IFERROR(__xludf.DUMMYFUNCTION("GOOGLETRANSLATE(B5316,""en"",""it"")"),"Tre uomini stanno camminando su una pista in cui vari persone corrono e si svolgono a turno facendo hop, salta e salti.")</f>
        <v>Tre uomini stanno camminando su una pista in cui vari persone corrono e si svolgono a turno facendo hop, salta e salti.</v>
      </c>
    </row>
    <row r="5317">
      <c r="A5317" s="4" t="s">
        <v>6679</v>
      </c>
      <c r="B5317" s="4" t="s">
        <v>6683</v>
      </c>
      <c r="C5317" s="5" t="str">
        <f>IFERROR(__xludf.DUMMYFUNCTION("GOOGLETRANSLATE(B5317,""en"",""it"")"),"Un uomo si ferma brevemente e parla alla telecamera mentre appare un po 'senza fiato.")</f>
        <v>Un uomo si ferma brevemente e parla alla telecamera mentre appare un po 'senza fiato.</v>
      </c>
    </row>
    <row r="5318">
      <c r="A5318" s="4" t="s">
        <v>6679</v>
      </c>
      <c r="B5318" s="4" t="s">
        <v>6684</v>
      </c>
      <c r="C5318" s="5" t="str">
        <f>IFERROR(__xludf.DUMMYFUNCTION("GOOGLETRANSLATE(B5318,""en"",""it"")"),"Un altro uomo ora è in ginocchio e sta applicando un nastro accanto alla zona sabbiosa del salto mentre parla.")</f>
        <v>Un altro uomo ora è in ginocchio e sta applicando un nastro accanto alla zona sabbiosa del salto mentre parla.</v>
      </c>
    </row>
    <row r="5319">
      <c r="A5319" s="4" t="s">
        <v>6679</v>
      </c>
      <c r="B5319" s="6" t="s">
        <v>6685</v>
      </c>
      <c r="C5319" s="5" t="str">
        <f>IFERROR(__xludf.DUMMYFUNCTION("GOOGLETRANSLATE(B5319,""en"",""it"")"),"L'uomo è ora in piedi a una campana da bar con pesi molto pesanti e inizia lentamente a sollevarlo, poi lo lascia cadere.")</f>
        <v>L'uomo è ora in piedi a una campana da bar con pesi molto pesanti e inizia lentamente a sollevarlo, poi lo lascia cadere.</v>
      </c>
    </row>
    <row r="5320">
      <c r="A5320" s="4" t="s">
        <v>6679</v>
      </c>
      <c r="B5320" s="6" t="s">
        <v>6686</v>
      </c>
      <c r="C5320" s="5" t="str">
        <f>IFERROR(__xludf.DUMMYFUNCTION("GOOGLETRANSLATE(B5320,""en"",""it"")"),"Una donna ora tiene manubri mentre calpesta alcune scale, e l'uomo è di nuovo mostrato, ma questa volta sta tirando su un'attrezzatura da esercizio.")</f>
        <v>Una donna ora tiene manubri mentre calpesta alcune scale, e l'uomo è di nuovo mostrato, ma questa volta sta tirando su un'attrezzatura da esercizio.</v>
      </c>
    </row>
    <row r="5321">
      <c r="A5321" s="4" t="s">
        <v>6679</v>
      </c>
      <c r="B5321" s="6" t="s">
        <v>6687</v>
      </c>
      <c r="C5321" s="5" t="str">
        <f>IFERROR(__xludf.DUMMYFUNCTION("GOOGLETRANSLATE(B5321,""en"",""it"")"),"La schermata Outro White appare con il loro logo e le parole che dicono di iscriversi al loro canale YouTube.")</f>
        <v>La schermata Outro White appare con il loro logo e le parole che dicono di iscriversi al loro canale YouTube.</v>
      </c>
    </row>
    <row r="5322">
      <c r="A5322" s="4" t="s">
        <v>6688</v>
      </c>
      <c r="B5322" s="4" t="s">
        <v>6689</v>
      </c>
      <c r="C5322" s="5" t="str">
        <f>IFERROR(__xludf.DUMMYFUNCTION("GOOGLETRANSLATE(B5322,""en"",""it"")"),"Tre ragazzi giocano una partita di croquet su un grande prato verde con mazze di croquet e palline di croquet.")</f>
        <v>Tre ragazzi giocano una partita di croquet su un grande prato verde con mazze di croquet e palline di croquet.</v>
      </c>
    </row>
    <row r="5323">
      <c r="A5323" s="4" t="s">
        <v>6688</v>
      </c>
      <c r="B5323" s="4" t="s">
        <v>6690</v>
      </c>
      <c r="C5323" s="5" t="str">
        <f>IFERROR(__xludf.DUMMYFUNCTION("GOOGLETRANSLATE(B5323,""en"",""it"")"),"Il ragazzo si siede su una panchina fuori con un sacchetto di mazze e palle di croquet e parla tra loro.")</f>
        <v>Il ragazzo si siede su una panchina fuori con un sacchetto di mazze e palle di croquet e parla tra loro.</v>
      </c>
    </row>
    <row r="5324">
      <c r="A5324" s="4" t="s">
        <v>6688</v>
      </c>
      <c r="B5324" s="4" t="s">
        <v>6691</v>
      </c>
      <c r="C5324" s="5" t="str">
        <f>IFERROR(__xludf.DUMMYFUNCTION("GOOGLETRANSLATE(B5324,""en"",""it"")"),"I ragazzi poi entrano nel campo e si feriscono cercando di districare gli strumenti di croquet.")</f>
        <v>I ragazzi poi entrano nel campo e si feriscono cercando di districare gli strumenti di croquet.</v>
      </c>
    </row>
    <row r="5325">
      <c r="A5325" s="4" t="s">
        <v>6688</v>
      </c>
      <c r="B5325" s="6" t="s">
        <v>6692</v>
      </c>
      <c r="C5325" s="5" t="str">
        <f>IFERROR(__xludf.DUMMYFUNCTION("GOOGLETRANSLATE(B5325,""en"",""it"")"),"I ragazzi iniziano quindi a giocare, parlando tra loro e finiscono per inseguirsi nel campo e affrontando l'un l'altro a terra.")</f>
        <v>I ragazzi iniziano quindi a giocare, parlando tra loro e finiscono per inseguirsi nel campo e affrontando l'un l'altro a terra.</v>
      </c>
    </row>
    <row r="5326">
      <c r="A5326" s="4" t="s">
        <v>6688</v>
      </c>
      <c r="B5326" s="6" t="s">
        <v>6693</v>
      </c>
      <c r="C5326" s="5" t="str">
        <f>IFERROR(__xludf.DUMMYFUNCTION("GOOGLETRANSLATE(B5326,""en"",""it"")"),"I ragazzi finalmente guardano un telefono cellulare insieme dal campo e poi strappano le loro mazze di croquet l'una sull'altra nel tentativo apparente di far passare le palle attraverso l'obiettivo del croquet guidandole attraverso i buchi nelle mazze a "&amp;"strati.")</f>
        <v>I ragazzi finalmente guardano un telefono cellulare insieme dal campo e poi strappano le loro mazze di croquet l'una sull'altra nel tentativo apparente di far passare le palle attraverso l'obiettivo del croquet guidandole attraverso i buchi nelle mazze a strati.</v>
      </c>
    </row>
    <row r="5327">
      <c r="A5327" s="4" t="s">
        <v>6694</v>
      </c>
      <c r="B5327" s="4" t="s">
        <v>6695</v>
      </c>
      <c r="C5327" s="5" t="str">
        <f>IFERROR(__xludf.DUMMYFUNCTION("GOOGLETRANSLATE(B5327,""en"",""it"")"),"Un folto gruppo di persone viene visto nuotare in una piscina con un uomo che parla sul lato.")</f>
        <v>Un folto gruppo di persone viene visto nuotare in una piscina con un uomo che parla sul lato.</v>
      </c>
    </row>
    <row r="5328">
      <c r="A5328" s="4" t="s">
        <v>6694</v>
      </c>
      <c r="B5328" s="4" t="s">
        <v>6696</v>
      </c>
      <c r="C5328" s="5" t="str">
        <f>IFERROR(__xludf.DUMMYFUNCTION("GOOGLETRANSLATE(B5328,""en"",""it"")"),"Il gruppo inizia a lanciare la palla mentre nuota l'uno intorno all'altro.")</f>
        <v>Il gruppo inizia a lanciare la palla mentre nuota l'uno intorno all'altro.</v>
      </c>
    </row>
    <row r="5329">
      <c r="A5329" s="4" t="s">
        <v>6694</v>
      </c>
      <c r="B5329" s="4" t="s">
        <v>6697</v>
      </c>
      <c r="C5329" s="5" t="str">
        <f>IFERROR(__xludf.DUMMYFUNCTION("GOOGLETRANSLATE(B5329,""en"",""it"")"),"Il gruppo continua a nuotare e giocare a palla tra loro.")</f>
        <v>Il gruppo continua a nuotare e giocare a palla tra loro.</v>
      </c>
    </row>
    <row r="5330">
      <c r="A5330" s="4" t="s">
        <v>6698</v>
      </c>
      <c r="B5330" s="4" t="s">
        <v>6699</v>
      </c>
      <c r="C5330" s="5" t="str">
        <f>IFERROR(__xludf.DUMMYFUNCTION("GOOGLETRANSLATE(B5330,""en"",""it"")"),"Un uomo è seduto in una cabina circondata da tubi, parlano e gesticolando.")</f>
        <v>Un uomo è seduto in una cabina circondata da tubi, parlano e gesticolando.</v>
      </c>
    </row>
    <row r="5331">
      <c r="A5331" s="4" t="s">
        <v>6698</v>
      </c>
      <c r="B5331" s="4" t="s">
        <v>6700</v>
      </c>
      <c r="C5331" s="5" t="str">
        <f>IFERROR(__xludf.DUMMYFUNCTION("GOOGLETRANSLATE(B5331,""en"",""it"")"),"L'uomo regge un'estremità del tubo.")</f>
        <v>L'uomo regge un'estremità del tubo.</v>
      </c>
    </row>
    <row r="5332">
      <c r="A5332" s="4" t="s">
        <v>6698</v>
      </c>
      <c r="B5332" s="4" t="s">
        <v>6701</v>
      </c>
      <c r="C5332" s="5" t="str">
        <f>IFERROR(__xludf.DUMMYFUNCTION("GOOGLETRANSLATE(B5332,""en"",""it"")"),"L'uomo dimostra come fumare usando la pipa, mentre soffiava il fumo dalla bocca.")</f>
        <v>L'uomo dimostra come fumare usando la pipa, mentre soffiava il fumo dalla bocca.</v>
      </c>
    </row>
    <row r="5333">
      <c r="A5333" s="4" t="s">
        <v>6698</v>
      </c>
      <c r="B5333" s="4" t="s">
        <v>6702</v>
      </c>
      <c r="C5333" s="5" t="str">
        <f>IFERROR(__xludf.DUMMYFUNCTION("GOOGLETRANSLATE(B5333,""en"",""it"")"),"Continua a parlare e gestire.")</f>
        <v>Continua a parlare e gestire.</v>
      </c>
    </row>
    <row r="5334">
      <c r="A5334" s="4" t="s">
        <v>6703</v>
      </c>
      <c r="B5334" s="4" t="s">
        <v>6704</v>
      </c>
      <c r="C5334" s="5" t="str">
        <f>IFERROR(__xludf.DUMMYFUNCTION("GOOGLETRANSLATE(B5334,""en"",""it"")"),"Immagine delle forniture necessarie per fare l'acconciatura.")</f>
        <v>Immagine delle forniture necessarie per fare l'acconciatura.</v>
      </c>
    </row>
    <row r="5335">
      <c r="A5335" s="4" t="s">
        <v>6703</v>
      </c>
      <c r="B5335" s="4" t="s">
        <v>6705</v>
      </c>
      <c r="C5335" s="5" t="str">
        <f>IFERROR(__xludf.DUMMYFUNCTION("GOOGLETRANSLATE(B5335,""en"",""it"")"),"Separare i capelli in due parti nel mezzo.")</f>
        <v>Separare i capelli in due parti nel mezzo.</v>
      </c>
    </row>
    <row r="5336">
      <c r="A5336" s="4" t="s">
        <v>6703</v>
      </c>
      <c r="B5336" s="4" t="s">
        <v>6706</v>
      </c>
      <c r="C5336" s="5" t="str">
        <f>IFERROR(__xludf.DUMMYFUNCTION("GOOGLETRANSLATE(B5336,""en"",""it"")"),"I capelli intrecciati francesi da sinistra a destra fino alla fine.")</f>
        <v>I capelli intrecciati francesi da sinistra a destra fino alla fine.</v>
      </c>
    </row>
    <row r="5337">
      <c r="A5337" s="4" t="s">
        <v>6703</v>
      </c>
      <c r="B5337" s="4" t="s">
        <v>6707</v>
      </c>
      <c r="C5337" s="5" t="str">
        <f>IFERROR(__xludf.DUMMYFUNCTION("GOOGLETRANSLATE(B5337,""en"",""it"")"),"French intreccia i capelli dalla parte posteriore che vanno da destra a sinistra fino alla fine.")</f>
        <v>French intreccia i capelli dalla parte posteriore che vanno da destra a sinistra fino alla fine.</v>
      </c>
    </row>
    <row r="5338">
      <c r="A5338" s="4" t="s">
        <v>6703</v>
      </c>
      <c r="B5338" s="4" t="s">
        <v>6708</v>
      </c>
      <c r="C5338" s="5" t="str">
        <f>IFERROR(__xludf.DUMMYFUNCTION("GOOGLETRANSLATE(B5338,""en"",""it"")"),"Collega le trecce insieme usando un perno Bobby.")</f>
        <v>Collega le trecce insieme usando un perno Bobby.</v>
      </c>
    </row>
    <row r="5339">
      <c r="A5339" s="4" t="s">
        <v>6703</v>
      </c>
      <c r="B5339" s="4" t="s">
        <v>6709</v>
      </c>
      <c r="C5339" s="5" t="str">
        <f>IFERROR(__xludf.DUMMYFUNCTION("GOOGLETRANSLATE(B5339,""en"",""it"")"),"Separare le trecce dappertutto per rendere le trecce più piene per formare una corona.")</f>
        <v>Separare le trecce dappertutto per rendere le trecce più piene per formare una corona.</v>
      </c>
    </row>
    <row r="5340">
      <c r="A5340" s="4" t="s">
        <v>6710</v>
      </c>
      <c r="B5340" s="4" t="s">
        <v>6711</v>
      </c>
      <c r="C5340" s="5" t="str">
        <f>IFERROR(__xludf.DUMMYFUNCTION("GOOGLETRANSLATE(B5340,""en"",""it"")"),"Cinque persone saltano su un tappetino blu.")</f>
        <v>Cinque persone saltano su un tappetino blu.</v>
      </c>
    </row>
    <row r="5341">
      <c r="A5341" s="4" t="s">
        <v>6710</v>
      </c>
      <c r="B5341" s="4" t="s">
        <v>6712</v>
      </c>
      <c r="C5341" s="5" t="str">
        <f>IFERROR(__xludf.DUMMYFUNCTION("GOOGLETRANSLATE(B5341,""en"",""it"")"),"Fanno giri e trucchi mentre saltano.")</f>
        <v>Fanno giri e trucchi mentre saltano.</v>
      </c>
    </row>
    <row r="5342">
      <c r="A5342" s="4" t="s">
        <v>6710</v>
      </c>
      <c r="B5342" s="4" t="s">
        <v>6713</v>
      </c>
      <c r="C5342" s="5" t="str">
        <f>IFERROR(__xludf.DUMMYFUNCTION("GOOGLETRANSLATE(B5342,""en"",""it"")"),"Finiscono e si abbracciano prima di camminare.")</f>
        <v>Finiscono e si abbracciano prima di camminare.</v>
      </c>
    </row>
    <row r="5343">
      <c r="A5343" s="4" t="s">
        <v>6714</v>
      </c>
      <c r="B5343" s="4" t="s">
        <v>6097</v>
      </c>
      <c r="C5343" s="5" t="str">
        <f>IFERROR(__xludf.DUMMYFUNCTION("GOOGLETRANSLATE(B5343,""en"",""it"")"),"Vediamo uno schermo di apertura nero.")</f>
        <v>Vediamo uno schermo di apertura nero.</v>
      </c>
    </row>
    <row r="5344">
      <c r="A5344" s="4" t="s">
        <v>6714</v>
      </c>
      <c r="B5344" s="4" t="s">
        <v>6715</v>
      </c>
      <c r="C5344" s="5" t="str">
        <f>IFERROR(__xludf.DUMMYFUNCTION("GOOGLETRANSLATE(B5344,""en"",""it"")"),"Una signora si siede su una sedia da tatuaggio a parlare.")</f>
        <v>Una signora si siede su una sedia da tatuaggio a parlare.</v>
      </c>
    </row>
    <row r="5345">
      <c r="A5345" s="4" t="s">
        <v>6714</v>
      </c>
      <c r="B5345" s="4" t="s">
        <v>2814</v>
      </c>
      <c r="C5345" s="5" t="str">
        <f>IFERROR(__xludf.DUMMYFUNCTION("GOOGLETRANSLATE(B5345,""en"",""it"")"),"Vediamo l'operatore della fotocamera.")</f>
        <v>Vediamo l'operatore della fotocamera.</v>
      </c>
    </row>
    <row r="5346">
      <c r="A5346" s="4" t="s">
        <v>6714</v>
      </c>
      <c r="B5346" s="4" t="s">
        <v>6716</v>
      </c>
      <c r="C5346" s="5" t="str">
        <f>IFERROR(__xludf.DUMMYFUNCTION("GOOGLETRANSLATE(B5346,""en"",""it"")"),"La signora ha un tatuaggio aggiunto alla schiena.")</f>
        <v>La signora ha un tatuaggio aggiunto alla schiena.</v>
      </c>
    </row>
    <row r="5347">
      <c r="A5347" s="4" t="s">
        <v>6714</v>
      </c>
      <c r="B5347" s="4" t="s">
        <v>6717</v>
      </c>
      <c r="C5347" s="5" t="str">
        <f>IFERROR(__xludf.DUMMYFUNCTION("GOOGLETRANSLATE(B5347,""en"",""it"")"),"L'altra signora si siede sulla sedia.")</f>
        <v>L'altra signora si siede sulla sedia.</v>
      </c>
    </row>
    <row r="5348">
      <c r="A5348" s="4" t="s">
        <v>6714</v>
      </c>
      <c r="B5348" s="4" t="s">
        <v>6718</v>
      </c>
      <c r="C5348" s="5" t="str">
        <f>IFERROR(__xludf.DUMMYFUNCTION("GOOGLETRANSLATE(B5348,""en"",""it"")"),"La seconda signora viene tatuata.")</f>
        <v>La seconda signora viene tatuata.</v>
      </c>
    </row>
    <row r="5349">
      <c r="A5349" s="4" t="s">
        <v>6714</v>
      </c>
      <c r="B5349" s="4" t="s">
        <v>6719</v>
      </c>
      <c r="C5349" s="5" t="str">
        <f>IFERROR(__xludf.DUMMYFUNCTION("GOOGLETRANSLATE(B5349,""en"",""it"")"),"Vediamo i tatuaggi finiti.")</f>
        <v>Vediamo i tatuaggi finiti.</v>
      </c>
    </row>
    <row r="5350">
      <c r="A5350" s="4" t="s">
        <v>6720</v>
      </c>
      <c r="B5350" s="4" t="s">
        <v>6721</v>
      </c>
      <c r="C5350" s="5" t="str">
        <f>IFERROR(__xludf.DUMMYFUNCTION("GOOGLETRANSLATE(B5350,""en"",""it"")"),"Due uomini spingono un piccolo elicottero privato fuori dal suo capannone.")</f>
        <v>Due uomini spingono un piccolo elicottero privato fuori dal suo capannone.</v>
      </c>
    </row>
    <row r="5351">
      <c r="A5351" s="4" t="s">
        <v>6720</v>
      </c>
      <c r="B5351" s="4" t="s">
        <v>6722</v>
      </c>
      <c r="C5351" s="5" t="str">
        <f>IFERROR(__xludf.DUMMYFUNCTION("GOOGLETRANSLATE(B5351,""en"",""it"")"),"Atterrano su una spiaggia, quindi lo volano sopra l'acqua dell'oceano limpida.")</f>
        <v>Atterrano su una spiaggia, quindi lo volano sopra l'acqua dell'oceano limpida.</v>
      </c>
    </row>
    <row r="5352">
      <c r="A5352" s="4" t="s">
        <v>6720</v>
      </c>
      <c r="B5352" s="4" t="s">
        <v>6723</v>
      </c>
      <c r="C5352" s="5" t="str">
        <f>IFERROR(__xludf.DUMMYFUNCTION("GOOGLETRANSLATE(B5352,""en"",""it"")"),"Si snodano, aprendo i loro paracadute mentre si avvicinano all'acqua.")</f>
        <v>Si snodano, aprendo i loro paracadute mentre si avvicinano all'acqua.</v>
      </c>
    </row>
    <row r="5353">
      <c r="A5353" s="4" t="s">
        <v>6720</v>
      </c>
      <c r="B5353" s="4" t="s">
        <v>6724</v>
      </c>
      <c r="C5353" s="5" t="str">
        <f>IFERROR(__xludf.DUMMYFUNCTION("GOOGLETRANSLATE(B5353,""en"",""it"")"),"Quindi si tuffano sul fondo e si mettono in marcia per esplorare il fondo dell'oceano.")</f>
        <v>Quindi si tuffano sul fondo e si mettono in marcia per esplorare il fondo dell'oceano.</v>
      </c>
    </row>
    <row r="5354">
      <c r="A5354" s="4" t="s">
        <v>6725</v>
      </c>
      <c r="B5354" s="4" t="s">
        <v>6726</v>
      </c>
      <c r="C5354" s="5" t="str">
        <f>IFERROR(__xludf.DUMMYFUNCTION("GOOGLETRANSLATE(B5354,""en"",""it"")"),"Un folto gruppo di persone è visto in giro per un'area e conducono a persone che giocano a rimorchiarsi della guerra.")</f>
        <v>Un folto gruppo di persone è visto in giro per un'area e conducono a persone che giocano a rimorchiarsi della guerra.</v>
      </c>
    </row>
    <row r="5355">
      <c r="A5355" s="4" t="s">
        <v>6725</v>
      </c>
      <c r="B5355" s="6" t="s">
        <v>6727</v>
      </c>
      <c r="C5355" s="5" t="str">
        <f>IFERROR(__xludf.DUMMYFUNCTION("GOOGLETRANSLATE(B5355,""en"",""it"")"),"Le persone in costume li rallegrano mentre continuano a giocare oltre a mostrare persone che ballano in città.")</f>
        <v>Le persone in costume li rallegrano mentre continuano a giocare oltre a mostrare persone che ballano in città.</v>
      </c>
    </row>
    <row r="5356">
      <c r="A5356" s="4" t="s">
        <v>6725</v>
      </c>
      <c r="B5356" s="4" t="s">
        <v>6728</v>
      </c>
      <c r="C5356" s="5" t="str">
        <f>IFERROR(__xludf.DUMMYFUNCTION("GOOGLETRANSLATE(B5356,""en"",""it"")"),"Altre immagini vengono mostrate dell'evento e delle persone che parlano tra loro.")</f>
        <v>Altre immagini vengono mostrate dell'evento e delle persone che parlano tra loro.</v>
      </c>
    </row>
    <row r="5357">
      <c r="A5357" s="4" t="s">
        <v>6729</v>
      </c>
      <c r="B5357" s="4" t="s">
        <v>6730</v>
      </c>
      <c r="C5357" s="5" t="str">
        <f>IFERROR(__xludf.DUMMYFUNCTION("GOOGLETRANSLATE(B5357,""en"",""it"")"),"Un tatuatore viene visto tatuare un piede per ragazze e conduce a un uomo che parla alla telecamera.")</f>
        <v>Un tatuatore viene visto tatuare un piede per ragazze e conduce a un uomo che parla alla telecamera.</v>
      </c>
    </row>
    <row r="5358">
      <c r="A5358" s="4" t="s">
        <v>6729</v>
      </c>
      <c r="B5358" s="4" t="s">
        <v>6731</v>
      </c>
      <c r="C5358" s="5" t="str">
        <f>IFERROR(__xludf.DUMMYFUNCTION("GOOGLETRANSLATE(B5358,""en"",""it"")"),"L'uomo continua a parlare con la telecamera, oltre a puntare e distogliere lo sguardo.")</f>
        <v>L'uomo continua a parlare con la telecamera, oltre a puntare e distogliere lo sguardo.</v>
      </c>
    </row>
    <row r="5359">
      <c r="A5359" s="4" t="s">
        <v>6732</v>
      </c>
      <c r="B5359" s="4" t="s">
        <v>6733</v>
      </c>
      <c r="C5359" s="5" t="str">
        <f>IFERROR(__xludf.DUMMYFUNCTION("GOOGLETRANSLATE(B5359,""en"",""it"")"),"Un ragazzo suona il violino.")</f>
        <v>Un ragazzo suona il violino.</v>
      </c>
    </row>
    <row r="5360">
      <c r="A5360" s="4" t="s">
        <v>6732</v>
      </c>
      <c r="B5360" s="4" t="s">
        <v>6734</v>
      </c>
      <c r="C5360" s="5" t="str">
        <f>IFERROR(__xludf.DUMMYFUNCTION("GOOGLETRANSLATE(B5360,""en"",""it"")"),"Smette di suonare il violino.")</f>
        <v>Smette di suonare il violino.</v>
      </c>
    </row>
    <row r="5361">
      <c r="A5361" s="4" t="s">
        <v>6735</v>
      </c>
      <c r="B5361" s="4" t="s">
        <v>6736</v>
      </c>
      <c r="C5361" s="5" t="str">
        <f>IFERROR(__xludf.DUMMYFUNCTION("GOOGLETRANSLATE(B5361,""en"",""it"")"),"Un uomo in grembiule bianco e pantaloni si trova su una scala con una matita e una carta da parati.")</f>
        <v>Un uomo in grembiule bianco e pantaloni si trova su una scala con una matita e una carta da parati.</v>
      </c>
    </row>
    <row r="5362">
      <c r="A5362" s="4" t="s">
        <v>6735</v>
      </c>
      <c r="B5362" s="4" t="s">
        <v>6737</v>
      </c>
      <c r="C5362" s="5" t="str">
        <f>IFERROR(__xludf.DUMMYFUNCTION("GOOGLETRANSLATE(B5362,""en"",""it"")"),"L'uomo applica una striscia di carta da parati a un muro e si liscia con la mano.")</f>
        <v>L'uomo applica una striscia di carta da parati a un muro e si liscia con la mano.</v>
      </c>
    </row>
    <row r="5363">
      <c r="A5363" s="4" t="s">
        <v>6735</v>
      </c>
      <c r="B5363" s="4" t="s">
        <v>6738</v>
      </c>
      <c r="C5363" s="5" t="str">
        <f>IFERROR(__xludf.DUMMYFUNCTION("GOOGLETRANSLATE(B5363,""en"",""it"")"),"L'uomo usa uno straccio e poi una spazzola per levigare la carta da parati sulla superficie del muro.")</f>
        <v>L'uomo usa uno straccio e poi una spazzola per levigare la carta da parati sulla superficie del muro.</v>
      </c>
    </row>
    <row r="5364">
      <c r="A5364" s="4" t="s">
        <v>6735</v>
      </c>
      <c r="B5364" s="6" t="s">
        <v>6739</v>
      </c>
      <c r="C5364" s="5" t="str">
        <f>IFERROR(__xludf.DUMMYFUNCTION("GOOGLETRANSLATE(B5364,""en"",""it"")"),"Il pittore usa una spatola e una lama per tagliare una linea retta sul bordo dei sfondi lungo il soffitto.")</f>
        <v>Il pittore usa una spatola e una lama per tagliare una linea retta sul bordo dei sfondi lungo il soffitto.</v>
      </c>
    </row>
    <row r="5365">
      <c r="A5365" s="4" t="s">
        <v>6735</v>
      </c>
      <c r="B5365" s="4" t="s">
        <v>6740</v>
      </c>
      <c r="C5365" s="5" t="str">
        <f>IFERROR(__xludf.DUMMYFUNCTION("GOOGLETRANSLATE(B5365,""en"",""it"")"),"L'uomo scende dalla scala e srotola lo sfondo sul pavimento.")</f>
        <v>L'uomo scende dalla scala e srotola lo sfondo sul pavimento.</v>
      </c>
    </row>
    <row r="5366">
      <c r="A5366" s="4" t="s">
        <v>6735</v>
      </c>
      <c r="B5366" s="6" t="s">
        <v>6741</v>
      </c>
      <c r="C5366" s="5" t="str">
        <f>IFERROR(__xludf.DUMMYFUNCTION("GOOGLETRANSLATE(B5366,""en"",""it"")"),"L'uomo continua a appianare la sezione inferiore dello sfondo con una spazzola verso il basso sul pavimento.")</f>
        <v>L'uomo continua a appianare la sezione inferiore dello sfondo con una spazzola verso il basso sul pavimento.</v>
      </c>
    </row>
    <row r="5367">
      <c r="A5367" s="4" t="s">
        <v>6735</v>
      </c>
      <c r="B5367" s="4" t="s">
        <v>6742</v>
      </c>
      <c r="C5367" s="5" t="str">
        <f>IFERROR(__xludf.DUMMYFUNCTION("GOOGLETRANSLATE(B5367,""en"",""it"")"),"L'uomo taglia il bordo inferiore della carta da muro con una lama contro la scheda del pavimento.")</f>
        <v>L'uomo taglia il bordo inferiore della carta da muro con una lama contro la scheda del pavimento.</v>
      </c>
    </row>
    <row r="5368">
      <c r="A5368" s="4" t="s">
        <v>6735</v>
      </c>
      <c r="B5368" s="4" t="s">
        <v>6743</v>
      </c>
      <c r="C5368" s="5" t="str">
        <f>IFERROR(__xludf.DUMMYFUNCTION("GOOGLETRANSLATE(B5368,""en"",""it"")"),"L'uomo taglia l'angolo della carta da parati dal soffitto lungo il pavimento.")</f>
        <v>L'uomo taglia l'angolo della carta da parati dal soffitto lungo il pavimento.</v>
      </c>
    </row>
    <row r="5369">
      <c r="A5369" s="4" t="s">
        <v>6744</v>
      </c>
      <c r="B5369" s="4" t="s">
        <v>6745</v>
      </c>
      <c r="C5369" s="5" t="str">
        <f>IFERROR(__xludf.DUMMYFUNCTION("GOOGLETRANSLATE(B5369,""en"",""it"")"),"Due bambini sono visti seduti in una vasca che si strofina il volto e le mani di un'altra persona interagiscono.")</f>
        <v>Due bambini sono visti seduti in una vasca che si strofina il volto e le mani di un'altra persona interagiscono.</v>
      </c>
    </row>
    <row r="5370">
      <c r="A5370" s="4" t="s">
        <v>6744</v>
      </c>
      <c r="B5370" s="6" t="s">
        <v>6746</v>
      </c>
      <c r="C5370" s="5" t="str">
        <f>IFERROR(__xludf.DUMMYFUNCTION("GOOGLETRANSLATE(B5370,""en"",""it"")"),"Il ragazzo continua a strofinarsi acqua su tutto il viso e giocare con giocattoli e sorridere al cameraman.")</f>
        <v>Il ragazzo continua a strofinarsi acqua su tutto il viso e giocare con giocattoli e sorridere al cameraman.</v>
      </c>
    </row>
    <row r="5371">
      <c r="A5371" s="4" t="s">
        <v>6747</v>
      </c>
      <c r="B5371" s="4" t="s">
        <v>6748</v>
      </c>
      <c r="C5371" s="5" t="str">
        <f>IFERROR(__xludf.DUMMYFUNCTION("GOOGLETRANSLATE(B5371,""en"",""it"")"),"Un uomo si avvicina a una corsia in una pista da bowling.")</f>
        <v>Un uomo si avvicina a una corsia in una pista da bowling.</v>
      </c>
    </row>
    <row r="5372">
      <c r="A5372" s="4" t="s">
        <v>6747</v>
      </c>
      <c r="B5372" s="4" t="s">
        <v>6749</v>
      </c>
      <c r="C5372" s="5" t="str">
        <f>IFERROR(__xludf.DUMMYFUNCTION("GOOGLETRANSLATE(B5372,""en"",""it"")"),"Lancia la palla e la osserva scivolare lungo la corsia più volte.")</f>
        <v>Lancia la palla e la osserva scivolare lungo la corsia più volte.</v>
      </c>
    </row>
    <row r="5373">
      <c r="A5373" s="4" t="s">
        <v>6747</v>
      </c>
      <c r="B5373" s="4" t="s">
        <v>6750</v>
      </c>
      <c r="C5373" s="5" t="str">
        <f>IFERROR(__xludf.DUMMYFUNCTION("GOOGLETRANSLATE(B5373,""en"",""it"")"),"Abbassa tutti tranne due pin, che gli manca la seconda volta.")</f>
        <v>Abbassa tutti tranne due pin, che gli manca la seconda volta.</v>
      </c>
    </row>
    <row r="5374">
      <c r="A5374" s="4" t="s">
        <v>6751</v>
      </c>
      <c r="B5374" s="6" t="s">
        <v>6752</v>
      </c>
      <c r="C5374" s="5" t="str">
        <f>IFERROR(__xludf.DUMMYFUNCTION("GOOGLETRANSLATE(B5374,""en"",""it"")"),"La bambina è sul palco in una competizione e fa un salto in un parallelo per fare ginnastica e capriole.")</f>
        <v>La bambina è sul palco in una competizione e fa un salto in un parallelo per fare ginnastica e capriole.</v>
      </c>
    </row>
    <row r="5375">
      <c r="A5375" s="4" t="s">
        <v>6751</v>
      </c>
      <c r="B5375" s="4" t="s">
        <v>6753</v>
      </c>
      <c r="C5375" s="5" t="str">
        <f>IFERROR(__xludf.DUMMYFUNCTION("GOOGLETRANSLATE(B5375,""en"",""it"")"),"Peolpe è in piedi dietro il palco a parlare.")</f>
        <v>Peolpe è in piedi dietro il palco a parlare.</v>
      </c>
    </row>
    <row r="5376">
      <c r="A5376" s="4" t="s">
        <v>6754</v>
      </c>
      <c r="B5376" s="4" t="s">
        <v>6755</v>
      </c>
      <c r="C5376" s="5" t="str">
        <f>IFERROR(__xludf.DUMMYFUNCTION("GOOGLETRANSLATE(B5376,""en"",""it"")"),"Una donna è a maglia a letto.")</f>
        <v>Una donna è a maglia a letto.</v>
      </c>
    </row>
    <row r="5377">
      <c r="A5377" s="4" t="s">
        <v>6754</v>
      </c>
      <c r="B5377" s="4" t="s">
        <v>6756</v>
      </c>
      <c r="C5377" s="5" t="str">
        <f>IFERROR(__xludf.DUMMYFUNCTION("GOOGLETRANSLATE(B5377,""en"",""it"")"),"La donna mette le braccia per prendere il filo.")</f>
        <v>La donna mette le braccia per prendere il filo.</v>
      </c>
    </row>
    <row r="5378">
      <c r="A5378" s="4" t="s">
        <v>6754</v>
      </c>
      <c r="B5378" s="4" t="s">
        <v>6757</v>
      </c>
      <c r="C5378" s="5" t="str">
        <f>IFERROR(__xludf.DUMMYFUNCTION("GOOGLETRANSLATE(B5378,""en"",""it"")"),"La donna mostra quello che stava facendo.")</f>
        <v>La donna mostra quello che stava facendo.</v>
      </c>
    </row>
    <row r="5379">
      <c r="A5379" s="4" t="s">
        <v>6758</v>
      </c>
      <c r="B5379" s="4" t="s">
        <v>6759</v>
      </c>
      <c r="C5379" s="5" t="str">
        <f>IFERROR(__xludf.DUMMYFUNCTION("GOOGLETRANSLATE(B5379,""en"",""it"")"),"Le persone sono in piedi su un campo d'erba.")</f>
        <v>Le persone sono in piedi su un campo d'erba.</v>
      </c>
    </row>
    <row r="5380">
      <c r="A5380" s="4" t="s">
        <v>6758</v>
      </c>
      <c r="B5380" s="4" t="s">
        <v>6760</v>
      </c>
      <c r="C5380" s="5" t="str">
        <f>IFERROR(__xludf.DUMMYFUNCTION("GOOGLETRANSLATE(B5380,""en"",""it"")"),"Un uomo tiene una palla vicino al collo e gira intorno.")</f>
        <v>Un uomo tiene una palla vicino al collo e gira intorno.</v>
      </c>
    </row>
    <row r="5381">
      <c r="A5381" s="4" t="s">
        <v>6758</v>
      </c>
      <c r="B5381" s="4" t="s">
        <v>6761</v>
      </c>
      <c r="C5381" s="5" t="str">
        <f>IFERROR(__xludf.DUMMYFUNCTION("GOOGLETRANSLATE(B5381,""en"",""it"")"),"Lo getta sul campo.")</f>
        <v>Lo getta sul campo.</v>
      </c>
    </row>
    <row r="5382">
      <c r="A5382" s="4" t="s">
        <v>6762</v>
      </c>
      <c r="B5382" s="4" t="s">
        <v>6763</v>
      </c>
      <c r="C5382" s="5" t="str">
        <f>IFERROR(__xludf.DUMMYFUNCTION("GOOGLETRANSLATE(B5382,""en"",""it"")"),"Una donna apre una porta dell'armadio bianco.")</f>
        <v>Una donna apre una porta dell'armadio bianco.</v>
      </c>
    </row>
    <row r="5383">
      <c r="A5383" s="4" t="s">
        <v>6762</v>
      </c>
      <c r="B5383" s="4" t="s">
        <v>6764</v>
      </c>
      <c r="C5383" s="5" t="str">
        <f>IFERROR(__xludf.DUMMYFUNCTION("GOOGLETRANSLATE(B5383,""en"",""it"")"),"Rimuove alcune scarpe dall'armadio.")</f>
        <v>Rimuove alcune scarpe dall'armadio.</v>
      </c>
    </row>
    <row r="5384">
      <c r="A5384" s="4" t="s">
        <v>6762</v>
      </c>
      <c r="B5384" s="4" t="s">
        <v>6765</v>
      </c>
      <c r="C5384" s="5" t="str">
        <f>IFERROR(__xludf.DUMMYFUNCTION("GOOGLETRANSLATE(B5384,""en"",""it"")"),"Mette le scarpe.")</f>
        <v>Mette le scarpe.</v>
      </c>
    </row>
    <row r="5385">
      <c r="A5385" s="4" t="s">
        <v>6762</v>
      </c>
      <c r="B5385" s="4" t="s">
        <v>6766</v>
      </c>
      <c r="C5385" s="5" t="str">
        <f>IFERROR(__xludf.DUMMYFUNCTION("GOOGLETRANSLATE(B5385,""en"",""it"")"),"Quindi li allaccia.")</f>
        <v>Quindi li allaccia.</v>
      </c>
    </row>
    <row r="5386">
      <c r="A5386" s="4" t="s">
        <v>6767</v>
      </c>
      <c r="B5386" s="4" t="s">
        <v>6768</v>
      </c>
      <c r="C5386" s="5" t="str">
        <f>IFERROR(__xludf.DUMMYFUNCTION("GOOGLETRANSLATE(B5386,""en"",""it"")"),"Una giovane signora bionda sta parlando con la telecamera nella sua stanza.")</f>
        <v>Una giovane signora bionda sta parlando con la telecamera nella sua stanza.</v>
      </c>
    </row>
    <row r="5387">
      <c r="A5387" s="4" t="s">
        <v>6767</v>
      </c>
      <c r="B5387" s="4" t="s">
        <v>6769</v>
      </c>
      <c r="C5387" s="5" t="str">
        <f>IFERROR(__xludf.DUMMYFUNCTION("GOOGLETRANSLATE(B5387,""en"",""it"")"),"Separa i capelli in sezioni.")</f>
        <v>Separa i capelli in sezioni.</v>
      </c>
    </row>
    <row r="5388">
      <c r="A5388" s="4" t="s">
        <v>6767</v>
      </c>
      <c r="B5388" s="4" t="s">
        <v>6770</v>
      </c>
      <c r="C5388" s="5" t="str">
        <f>IFERROR(__xludf.DUMMYFUNCTION("GOOGLETRANSLATE(B5388,""en"",""it"")"),"Quindi mostra come intrecciare le sezioni e appuntarle in posizione.")</f>
        <v>Quindi mostra come intrecciare le sezioni e appuntarle in posizione.</v>
      </c>
    </row>
    <row r="5389">
      <c r="A5389" s="4" t="s">
        <v>6771</v>
      </c>
      <c r="B5389" s="4" t="s">
        <v>6772</v>
      </c>
      <c r="C5389" s="5" t="str">
        <f>IFERROR(__xludf.DUMMYFUNCTION("GOOGLETRANSLATE(B5389,""en"",""it"")"),"Un uomo è in casa, indossa guanti da boxe.")</f>
        <v>Un uomo è in casa, indossa guanti da boxe.</v>
      </c>
    </row>
    <row r="5390">
      <c r="A5390" s="4" t="s">
        <v>6771</v>
      </c>
      <c r="B5390" s="4" t="s">
        <v>6773</v>
      </c>
      <c r="C5390" s="5" t="str">
        <f>IFERROR(__xludf.DUMMYFUNCTION("GOOGLETRANSLATE(B5390,""en"",""it"")"),"Sta Kickboxing con un grosso sacco da boxe, dando un calcio e un pugno ancora e ancora.")</f>
        <v>Sta Kickboxing con un grosso sacco da boxe, dando un calcio e un pugno ancora e ancora.</v>
      </c>
    </row>
    <row r="5391">
      <c r="A5391" s="4" t="s">
        <v>6774</v>
      </c>
      <c r="B5391" s="4" t="s">
        <v>6775</v>
      </c>
      <c r="C5391" s="5" t="str">
        <f>IFERROR(__xludf.DUMMYFUNCTION("GOOGLETRANSLATE(B5391,""en"",""it"")"),"Le persone camminano con tavole da surf, poi sali a bordo di una barca.")</f>
        <v>Le persone camminano con tavole da surf, poi sali a bordo di una barca.</v>
      </c>
    </row>
    <row r="5392">
      <c r="A5392" s="4" t="s">
        <v>6774</v>
      </c>
      <c r="B5392" s="4" t="s">
        <v>6776</v>
      </c>
      <c r="C5392" s="5" t="str">
        <f>IFERROR(__xludf.DUMMYFUNCTION("GOOGLETRANSLATE(B5392,""en"",""it"")"),"Un uomo d'acqua d'acqua dietro la barca salta in alto e girando.")</f>
        <v>Un uomo d'acqua d'acqua dietro la barca salta in alto e girando.</v>
      </c>
    </row>
    <row r="5393">
      <c r="A5393" s="4" t="s">
        <v>6774</v>
      </c>
      <c r="B5393" s="4" t="s">
        <v>6777</v>
      </c>
      <c r="C5393" s="5" t="str">
        <f>IFERROR(__xludf.DUMMYFUNCTION("GOOGLETRANSLATE(B5393,""en"",""it"")"),"Quindi, una donna e un uomo d'acqua che fanno salti acrobatici.")</f>
        <v>Quindi, una donna e un uomo d'acqua che fanno salti acrobatici.</v>
      </c>
    </row>
    <row r="5394">
      <c r="A5394" s="4" t="s">
        <v>6774</v>
      </c>
      <c r="B5394" s="4" t="s">
        <v>6778</v>
      </c>
      <c r="C5394" s="5" t="str">
        <f>IFERROR(__xludf.DUMMYFUNCTION("GOOGLETRANSLATE(B5394,""en"",""it"")"),"Una barca naviga nel fiume.")</f>
        <v>Una barca naviga nel fiume.</v>
      </c>
    </row>
    <row r="5395">
      <c r="A5395" s="4" t="s">
        <v>6774</v>
      </c>
      <c r="B5395" s="4" t="s">
        <v>6779</v>
      </c>
      <c r="C5395" s="5" t="str">
        <f>IFERROR(__xludf.DUMMYFUNCTION("GOOGLETRANSLATE(B5395,""en"",""it"")"),"Dopo, gli uomini saltano e si girano.")</f>
        <v>Dopo, gli uomini saltano e si girano.</v>
      </c>
    </row>
    <row r="5396">
      <c r="A5396" s="4" t="s">
        <v>6774</v>
      </c>
      <c r="B5396" s="6" t="s">
        <v>6780</v>
      </c>
      <c r="C5396" s="5" t="str">
        <f>IFERROR(__xludf.DUMMYFUNCTION("GOOGLETRANSLATE(B5396,""en"",""it"")"),"Successivamente, una persona naviga sulle onde create dalla barca, dopo il salto di sci d'acqua e lanciando in alto.")</f>
        <v>Successivamente, una persona naviga sulle onde create dalla barca, dopo il salto di sci d'acqua e lanciando in alto.</v>
      </c>
    </row>
    <row r="5397">
      <c r="A5397" s="4" t="s">
        <v>6781</v>
      </c>
      <c r="B5397" s="6" t="s">
        <v>6782</v>
      </c>
      <c r="C5397" s="5" t="str">
        <f>IFERROR(__xludf.DUMMYFUNCTION("GOOGLETRANSLATE(B5397,""en"",""it"")"),"Una persona viene vista in piedi davanti a un lavandino con acqua corrente e spingendo le mani sotto l'acqua.")</f>
        <v>Una persona viene vista in piedi davanti a un lavandino con acqua corrente e spingendo le mani sotto l'acqua.</v>
      </c>
    </row>
    <row r="5398">
      <c r="A5398" s="4" t="s">
        <v>6781</v>
      </c>
      <c r="B5398" s="4" t="s">
        <v>6783</v>
      </c>
      <c r="C5398" s="5" t="str">
        <f>IFERROR(__xludf.DUMMYFUNCTION("GOOGLETRANSLATE(B5398,""en"",""it"")"),"Quindi mettono il sapone nelle loro mani, scrub per un po 'e poi corrono le mani sotto l'acqua.")</f>
        <v>Quindi mettono il sapone nelle loro mani, scrub per un po 'e poi corrono le mani sotto l'acqua.</v>
      </c>
    </row>
    <row r="5399">
      <c r="A5399" s="4" t="s">
        <v>6781</v>
      </c>
      <c r="B5399" s="4" t="s">
        <v>6784</v>
      </c>
      <c r="C5399" s="5" t="str">
        <f>IFERROR(__xludf.DUMMYFUNCTION("GOOGLETRANSLATE(B5399,""en"",""it"")"),"Alla fine corre le mani sotto l'acqua e si asciuga la mano con un tovagliolo di carta.")</f>
        <v>Alla fine corre le mani sotto l'acqua e si asciuga la mano con un tovagliolo di carta.</v>
      </c>
    </row>
    <row r="5400">
      <c r="A5400" s="4" t="s">
        <v>6785</v>
      </c>
      <c r="B5400" s="4" t="s">
        <v>6786</v>
      </c>
      <c r="C5400" s="5" t="str">
        <f>IFERROR(__xludf.DUMMYFUNCTION("GOOGLETRANSLATE(B5400,""en"",""it"")"),"Su un fiume, la gente si riunisce per guardare le persone su ciambelle e barche kayak.")</f>
        <v>Su un fiume, la gente si riunisce per guardare le persone su ciambelle e barche kayak.</v>
      </c>
    </row>
    <row r="5401">
      <c r="A5401" s="4" t="s">
        <v>6785</v>
      </c>
      <c r="B5401" s="4" t="s">
        <v>6787</v>
      </c>
      <c r="C5401" s="5" t="str">
        <f>IFERROR(__xludf.DUMMYFUNCTION("GOOGLETRANSLATE(B5401,""en"",""it"")"),"Un paio di persone su un kayak vengono capovolte e cadono nel fiume.")</f>
        <v>Un paio di persone su un kayak vengono capovolte e cadono nel fiume.</v>
      </c>
    </row>
    <row r="5402">
      <c r="A5402" s="4" t="s">
        <v>6788</v>
      </c>
      <c r="B5402" s="4" t="s">
        <v>6789</v>
      </c>
      <c r="C5402" s="5" t="str">
        <f>IFERROR(__xludf.DUMMYFUNCTION("GOOGLETRANSLATE(B5402,""en"",""it"")"),"Una femmina con una lunga storia bionda inizia a correre attraverso un grande campo verde che lancia una palla.")</f>
        <v>Una femmina con una lunga storia bionda inizia a correre attraverso un grande campo verde che lancia una palla.</v>
      </c>
    </row>
    <row r="5403">
      <c r="A5403" s="4" t="s">
        <v>6788</v>
      </c>
      <c r="B5403" s="6" t="s">
        <v>6790</v>
      </c>
      <c r="C5403" s="5" t="str">
        <f>IFERROR(__xludf.DUMMYFUNCTION("GOOGLETRANSLATE(B5403,""en"",""it"")"),"Continua quindi a correre attraverso il campo e inizia a guardare le gradinate e anticipare una partita di softball.")</f>
        <v>Continua quindi a correre attraverso il campo e inizia a guardare le gradinate e anticipare una partita di softball.</v>
      </c>
    </row>
    <row r="5404">
      <c r="A5404" s="4" t="s">
        <v>6788</v>
      </c>
      <c r="B5404" s="6" t="s">
        <v>6791</v>
      </c>
      <c r="C5404" s="5" t="str">
        <f>IFERROR(__xludf.DUMMYFUNCTION("GOOGLETRANSLATE(B5404,""en"",""it"")"),"Mentre l'azione continua, avanza attraverso le gradinate e un URL appare sull'ultimo schermo per guardare i giochi di cricket dal vivo.")</f>
        <v>Mentre l'azione continua, avanza attraverso le gradinate e un URL appare sull'ultimo schermo per guardare i giochi di cricket dal vivo.</v>
      </c>
    </row>
    <row r="5405">
      <c r="A5405" s="4" t="s">
        <v>6792</v>
      </c>
      <c r="B5405" s="6" t="s">
        <v>6793</v>
      </c>
      <c r="C5405" s="5" t="str">
        <f>IFERROR(__xludf.DUMMYFUNCTION("GOOGLETRANSLATE(B5405,""en"",""it"")"),"Un video in bianco e nero suona e uno degli uomini è Bruce Lee e sta colpendo abilmente e creativamente la palla da ping Pong avanti e indietro a un altro uomo che tiene una paletta ping pong, mentre Bruce Lee colpisce la palla da ping con Nanchucks e L'u"&amp;"omo con una pagaia non può tenere la palla sul tavolo.")</f>
        <v>Un video in bianco e nero suona e uno degli uomini è Bruce Lee e sta colpendo abilmente e creativamente la palla da ping Pong avanti e indietro a un altro uomo che tiene una paletta ping pong, mentre Bruce Lee colpisce la palla da ping con Nanchucks e L'uomo con una pagaia non può tenere la palla sul tavolo.</v>
      </c>
    </row>
    <row r="5406">
      <c r="A5406" s="4" t="s">
        <v>6792</v>
      </c>
      <c r="B5406" s="6" t="s">
        <v>6794</v>
      </c>
      <c r="C5406" s="5" t="str">
        <f>IFERROR(__xludf.DUMMYFUNCTION("GOOGLETRANSLATE(B5406,""en"",""it"")"),"Ora ci sono due uomini alla fine del tavolo che tengono entrambi paddle e giocano contro Bruce Lee mentre tentano di mantenere la palla sul tavolo ma alla fine falliscono.")</f>
        <v>Ora ci sono due uomini alla fine del tavolo che tengono entrambi paddle e giocano contro Bruce Lee mentre tentano di mantenere la palla sul tavolo ma alla fine falliscono.</v>
      </c>
    </row>
    <row r="5407">
      <c r="A5407" s="4" t="s">
        <v>6792</v>
      </c>
      <c r="B5407" s="6" t="s">
        <v>6795</v>
      </c>
      <c r="C5407" s="5" t="str">
        <f>IFERROR(__xludf.DUMMYFUNCTION("GOOGLETRANSLATE(B5407,""en"",""it"")"),"Viene visualizzato uno schermo nero con le lettere asiatiche bianche nel mezzo, quindi un sito Web che dice ""Www Lee35 Come CN"".")</f>
        <v>Viene visualizzato uno schermo nero con le lettere asiatiche bianche nel mezzo, quindi un sito Web che dice "Www Lee35 Come CN".</v>
      </c>
    </row>
    <row r="5408">
      <c r="A5408" s="4" t="s">
        <v>6796</v>
      </c>
      <c r="B5408" s="4" t="s">
        <v>6797</v>
      </c>
      <c r="C5408" s="5" t="str">
        <f>IFERROR(__xludf.DUMMYFUNCTION("GOOGLETRANSLATE(B5408,""en"",""it"")"),"La telecamera segue diverse persone su una passerella dal punto di vista in prima persona.")</f>
        <v>La telecamera segue diverse persone su una passerella dal punto di vista in prima persona.</v>
      </c>
    </row>
    <row r="5409">
      <c r="A5409" s="4" t="s">
        <v>6796</v>
      </c>
      <c r="B5409" s="4" t="s">
        <v>6798</v>
      </c>
      <c r="C5409" s="5" t="str">
        <f>IFERROR(__xludf.DUMMYFUNCTION("GOOGLETRANSLATE(B5409,""en"",""it"")"),"La fotocamera mostra che scivola giù da un pendio nevoso da una prospettiva in prima persona insieme agli altri.")</f>
        <v>La fotocamera mostra che scivola giù da un pendio nevoso da una prospettiva in prima persona insieme agli altri.</v>
      </c>
    </row>
    <row r="5410">
      <c r="A5410" s="4" t="s">
        <v>6796</v>
      </c>
      <c r="B5410" s="4" t="s">
        <v>6799</v>
      </c>
      <c r="C5410" s="5" t="str">
        <f>IFERROR(__xludf.DUMMYFUNCTION("GOOGLETRANSLATE(B5410,""en"",""it"")"),"La fotocamera mostra che scivola giù da un pendio innevato dalla prospettiva in prima persona che guarda all'indietro.")</f>
        <v>La fotocamera mostra che scivola giù da un pendio innevato dalla prospettiva in prima persona che guarda all'indietro.</v>
      </c>
    </row>
    <row r="5411">
      <c r="A5411" s="4" t="s">
        <v>6796</v>
      </c>
      <c r="B5411" s="4" t="s">
        <v>6800</v>
      </c>
      <c r="C5411" s="5" t="str">
        <f>IFERROR(__xludf.DUMMYFUNCTION("GOOGLETRANSLATE(B5411,""en"",""it"")"),"La fotocamera mostra un altro scivolo lungo il pendio da una prospettiva in prima persona insieme agli altri.")</f>
        <v>La fotocamera mostra un altro scivolo lungo il pendio da una prospettiva in prima persona insieme agli altri.</v>
      </c>
    </row>
    <row r="5412">
      <c r="A5412" s="4" t="s">
        <v>6796</v>
      </c>
      <c r="B5412" s="4" t="s">
        <v>6801</v>
      </c>
      <c r="C5412" s="5" t="str">
        <f>IFERROR(__xludf.DUMMYFUNCTION("GOOGLETRANSLATE(B5412,""en"",""it"")"),"La fotocamera osserva mentre molte altre persone scivolano lungo il pendio.")</f>
        <v>La fotocamera osserva mentre molte altre persone scivolano lungo il pendio.</v>
      </c>
    </row>
    <row r="5413">
      <c r="A5413" s="4" t="s">
        <v>6796</v>
      </c>
      <c r="B5413" s="4" t="s">
        <v>6802</v>
      </c>
      <c r="C5413" s="5" t="str">
        <f>IFERROR(__xludf.DUMMYFUNCTION("GOOGLETRANSLATE(B5413,""en"",""it"")"),"La fotocamera cattura un altro scivolo lungo il pendio dalla prospettiva in prima persona mentre gira.")</f>
        <v>La fotocamera cattura un altro scivolo lungo il pendio dalla prospettiva in prima persona mentre gira.</v>
      </c>
    </row>
    <row r="5414">
      <c r="A5414" s="4" t="s">
        <v>6796</v>
      </c>
      <c r="B5414" s="6" t="s">
        <v>6803</v>
      </c>
      <c r="C5414" s="5" t="str">
        <f>IFERROR(__xludf.DUMMYFUNCTION("GOOGLETRANSLATE(B5414,""en"",""it"")"),"La fotocamera cattura più scivoli lungo il pendio dalla prospettiva in prima persona mentre guarda a destra e a destra.")</f>
        <v>La fotocamera cattura più scivoli lungo il pendio dalla prospettiva in prima persona mentre guarda a destra e a destra.</v>
      </c>
    </row>
    <row r="5415">
      <c r="A5415" s="4" t="s">
        <v>6804</v>
      </c>
      <c r="B5415" s="4" t="s">
        <v>6805</v>
      </c>
      <c r="C5415" s="5" t="str">
        <f>IFERROR(__xludf.DUMMYFUNCTION("GOOGLETRANSLATE(B5415,""en"",""it"")"),"Una persona è vista seduta su una sedia con il braccio fuori che si fa un tatuaggio da un artista maschio.")</f>
        <v>Una persona è vista seduta su una sedia con il braccio fuori che si fa un tatuaggio da un artista maschio.</v>
      </c>
    </row>
    <row r="5416">
      <c r="A5416" s="4" t="s">
        <v>6804</v>
      </c>
      <c r="B5416" s="4" t="s">
        <v>6806</v>
      </c>
      <c r="C5416" s="5" t="str">
        <f>IFERROR(__xludf.DUMMYFUNCTION("GOOGLETRANSLATE(B5416,""en"",""it"")"),"Gli uomini parlano e quarto l'uno all'altro e la fotocamera si ingrandisce sul braccio.")</f>
        <v>Gli uomini parlano e quarto l'uno all'altro e la fotocamera si ingrandisce sul braccio.</v>
      </c>
    </row>
    <row r="5417">
      <c r="A5417" s="4" t="s">
        <v>6804</v>
      </c>
      <c r="B5417" s="4" t="s">
        <v>6807</v>
      </c>
      <c r="C5417" s="5" t="str">
        <f>IFERROR(__xludf.DUMMYFUNCTION("GOOGLETRANSLATE(B5417,""en"",""it"")"),"Alla fine vengono mostrate le foto degli uomini in piedi insieme così come il tatuaggio.")</f>
        <v>Alla fine vengono mostrate le foto degli uomini in piedi insieme così come il tatuaggio.</v>
      </c>
    </row>
    <row r="5418">
      <c r="A5418" s="4" t="s">
        <v>6808</v>
      </c>
      <c r="B5418" s="6" t="s">
        <v>6809</v>
      </c>
      <c r="C5418" s="5" t="str">
        <f>IFERROR(__xludf.DUMMYFUNCTION("GOOGLETRANSLATE(B5418,""en"",""it"")"),"Un folto gruppo di persone viene visto nuotare attorno a un oceano mentre due uomini passano indietro a un pallone da calcio e quarto l'uno all'altro sulla riva.")</f>
        <v>Un folto gruppo di persone viene visto nuotare attorno a un oceano mentre due uomini passano indietro a un pallone da calcio e quarto l'uno all'altro sulla riva.</v>
      </c>
    </row>
    <row r="5419">
      <c r="A5419" s="4" t="s">
        <v>6808</v>
      </c>
      <c r="B5419" s="6" t="s">
        <v>6810</v>
      </c>
      <c r="C5419" s="5" t="str">
        <f>IFERROR(__xludf.DUMMYFUNCTION("GOOGLETRANSLATE(B5419,""en"",""it"")"),"Più persone entrano e fuori dal telaio mentre gli uomini continuano a calciare la palla e quarto l'uno contro l'altro.")</f>
        <v>Più persone entrano e fuori dal telaio mentre gli uomini continuano a calciare la palla e quarto l'uno contro l'altro.</v>
      </c>
    </row>
    <row r="5420">
      <c r="A5420" s="4" t="s">
        <v>6811</v>
      </c>
      <c r="B5420" s="4" t="s">
        <v>6812</v>
      </c>
      <c r="C5420" s="5" t="str">
        <f>IFERROR(__xludf.DUMMYFUNCTION("GOOGLETRANSLATE(B5420,""en"",""it"")"),"Una donna parla alla telecamera mentre tiene in mano una carta.")</f>
        <v>Una donna parla alla telecamera mentre tiene in mano una carta.</v>
      </c>
    </row>
    <row r="5421">
      <c r="A5421" s="4" t="s">
        <v>6811</v>
      </c>
      <c r="B5421" s="4" t="s">
        <v>6813</v>
      </c>
      <c r="C5421" s="5" t="str">
        <f>IFERROR(__xludf.DUMMYFUNCTION("GOOGLETRANSLATE(B5421,""en"",""it"")"),"Una coppia appare su un palcoscenico professionale sotto i riflettori e esegue una routine di danza.")</f>
        <v>Una coppia appare su un palcoscenico professionale sotto i riflettori e esegue una routine di danza.</v>
      </c>
    </row>
    <row r="5422">
      <c r="A5422" s="4" t="s">
        <v>6811</v>
      </c>
      <c r="B5422" s="4" t="s">
        <v>6814</v>
      </c>
      <c r="C5422" s="5" t="str">
        <f>IFERROR(__xludf.DUMMYFUNCTION("GOOGLETRANSLATE(B5422,""en"",""it"")"),"La coppia finisce la loro routine, le bacia la mano e il pubblico applaude.")</f>
        <v>La coppia finisce la loro routine, le bacia la mano e il pubblico applaude.</v>
      </c>
    </row>
    <row r="5423">
      <c r="A5423" s="4" t="s">
        <v>6815</v>
      </c>
      <c r="B5423" s="6" t="s">
        <v>6816</v>
      </c>
      <c r="C5423" s="5" t="str">
        <f>IFERROR(__xludf.DUMMYFUNCTION("GOOGLETRANSLATE(B5423,""en"",""it"")"),"Un uomo vestito con pantaloncini neri, maglietta, scarpe da ginnastica e berretto da baseball rosso cammina in una stanza murata arancione con pavimenti in legno e dimostra un esercizio di sollevamento del braccio con due manubri neri metallici.")</f>
        <v>Un uomo vestito con pantaloncini neri, maglietta, scarpe da ginnastica e berretto da baseball rosso cammina in una stanza murata arancione con pavimenti in legno e dimostra un esercizio di sollevamento del braccio con due manubri neri metallici.</v>
      </c>
    </row>
    <row r="5424">
      <c r="A5424" s="4" t="s">
        <v>6815</v>
      </c>
      <c r="B5424" s="4" t="s">
        <v>6817</v>
      </c>
      <c r="C5424" s="5" t="str">
        <f>IFERROR(__xludf.DUMMYFUNCTION("GOOGLETRANSLATE(B5424,""en"",""it"")"),"Una stanza murata arancione è vuota tranne due manubri neri che giacciono orizzontali sul pavimento.")</f>
        <v>Una stanza murata arancione è vuota tranne due manubri neri che giacciono orizzontali sul pavimento.</v>
      </c>
    </row>
    <row r="5425">
      <c r="A5425" s="4" t="s">
        <v>6815</v>
      </c>
      <c r="B5425" s="6" t="s">
        <v>6818</v>
      </c>
      <c r="C5425" s="5" t="str">
        <f>IFERROR(__xludf.DUMMYFUNCTION("GOOGLETRANSLATE(B5425,""en"",""it"")"),"L'uomo entra nella stanza e si trova davanti ai manubri e poi cade in ginocchio dove parla e mostra il suo profilo e poi si gira, di nuovo in ginocchio, per affrontare la testa della telecamera.")</f>
        <v>L'uomo entra nella stanza e si trova davanti ai manubri e poi cade in ginocchio dove parla e mostra il suo profilo e poi si gira, di nuovo in ginocchio, per affrontare la testa della telecamera.</v>
      </c>
    </row>
    <row r="5426">
      <c r="A5426" s="4" t="s">
        <v>6815</v>
      </c>
      <c r="B5426" s="6" t="s">
        <v>6819</v>
      </c>
      <c r="C5426" s="5" t="str">
        <f>IFERROR(__xludf.DUMMYFUNCTION("GOOGLETRANSLATE(B5426,""en"",""it"")"),"L'uomo quindi raccoglie i manubri e inizia a sollevarli direttamente sopra la sua testa, di fronte alla telecamera, e poi di nuovo da un angolo di profilo, prima di posizionare i manubri, verticalmente e lasciare la stanza.")</f>
        <v>L'uomo quindi raccoglie i manubri e inizia a sollevarli direttamente sopra la sua testa, di fronte alla telecamera, e poi di nuovo da un angolo di profilo, prima di posizionare i manubri, verticalmente e lasciare la stanza.</v>
      </c>
    </row>
    <row r="5427">
      <c r="A5427" s="4" t="s">
        <v>6820</v>
      </c>
      <c r="B5427" s="6" t="s">
        <v>6821</v>
      </c>
      <c r="C5427" s="5" t="str">
        <f>IFERROR(__xludf.DUMMYFUNCTION("GOOGLETRANSLATE(B5427,""en"",""it"")"),"Una ragazza parla con una videocamera con un bigodino nella frangia, di tanto in tanto tiene un cellulare in faccia e presentando una persona più giovane nella stanza con lei in sottofondo.")</f>
        <v>Una ragazza parla con una videocamera con un bigodino nella frangia, di tanto in tanto tiene un cellulare in faccia e presentando una persona più giovane nella stanza con lei in sottofondo.</v>
      </c>
    </row>
    <row r="5428">
      <c r="A5428" s="4" t="s">
        <v>6820</v>
      </c>
      <c r="B5428" s="4" t="s">
        <v>6822</v>
      </c>
      <c r="C5428" s="5" t="str">
        <f>IFERROR(__xludf.DUMMYFUNCTION("GOOGLETRANSLATE(B5428,""en"",""it"")"),"La ragazza con il briciolo nel suo bang parla alla telecamera in un angolo di primo piano.")</f>
        <v>La ragazza con il briciolo nel suo bang parla alla telecamera in un angolo di primo piano.</v>
      </c>
    </row>
    <row r="5429">
      <c r="A5429" s="4" t="s">
        <v>6820</v>
      </c>
      <c r="B5429" s="6" t="s">
        <v>6823</v>
      </c>
      <c r="C5429" s="5" t="str">
        <f>IFERROR(__xludf.DUMMYFUNCTION("GOOGLETRANSLATE(B5429,""en"",""it"")"),"La ragazza indica il bigodino nel suo botto e solleva un cellulare per gettarsi luce sul viso che avvicina alla telecamera.")</f>
        <v>La ragazza indica il bigodino nel suo botto e solleva un cellulare per gettarsi luce sul viso che avvicina alla telecamera.</v>
      </c>
    </row>
    <row r="5430">
      <c r="A5430" s="4" t="s">
        <v>6820</v>
      </c>
      <c r="B5430" s="6" t="s">
        <v>6824</v>
      </c>
      <c r="C5430" s="5" t="str">
        <f>IFERROR(__xludf.DUMMYFUNCTION("GOOGLETRANSLATE(B5430,""en"",""it"")"),"La ragazza ride quando una ragazza più giovane nella stanza con una parrucca rosa viene mostrata sullo sfondo, ride di nuovo quando la ragazza più giovane mette la parrucca rosa nella telecamera.")</f>
        <v>La ragazza ride quando una ragazza più giovane nella stanza con una parrucca rosa viene mostrata sullo sfondo, ride di nuovo quando la ragazza più giovane mette la parrucca rosa nella telecamera.</v>
      </c>
    </row>
    <row r="5431">
      <c r="A5431" s="4" t="s">
        <v>6825</v>
      </c>
      <c r="B5431" s="4" t="s">
        <v>6826</v>
      </c>
      <c r="C5431" s="5" t="str">
        <f>IFERROR(__xludf.DUMMYFUNCTION("GOOGLETRANSLATE(B5431,""en"",""it"")"),"Un mucchio di uomini è all'interno di una palestra di colore verde.")</f>
        <v>Un mucchio di uomini è all'interno di una palestra di colore verde.</v>
      </c>
    </row>
    <row r="5432">
      <c r="A5432" s="4" t="s">
        <v>6825</v>
      </c>
      <c r="B5432" s="4" t="s">
        <v>6827</v>
      </c>
      <c r="C5432" s="5" t="str">
        <f>IFERROR(__xludf.DUMMYFUNCTION("GOOGLETRANSLATE(B5432,""en"",""it"")"),"Stanno preparando una palla da tennis avanti e indietro.")</f>
        <v>Stanno preparando una palla da tennis avanti e indietro.</v>
      </c>
    </row>
    <row r="5433">
      <c r="A5433" s="4" t="s">
        <v>6825</v>
      </c>
      <c r="B5433" s="4" t="s">
        <v>6828</v>
      </c>
      <c r="C5433" s="5" t="str">
        <f>IFERROR(__xludf.DUMMYFUNCTION("GOOGLETRANSLATE(B5433,""en"",""it"")"),"Sono impegnati in una partita di tennis.")</f>
        <v>Sono impegnati in una partita di tennis.</v>
      </c>
    </row>
    <row r="5434">
      <c r="A5434" s="4" t="s">
        <v>6829</v>
      </c>
      <c r="B5434" s="4" t="s">
        <v>6830</v>
      </c>
      <c r="C5434" s="5" t="str">
        <f>IFERROR(__xludf.DUMMYFUNCTION("GOOGLETRANSLATE(B5434,""en"",""it"")"),"Un uomo è seduto su un tetto.")</f>
        <v>Un uomo è seduto su un tetto.</v>
      </c>
    </row>
    <row r="5435">
      <c r="A5435" s="4" t="s">
        <v>6829</v>
      </c>
      <c r="B5435" s="4" t="s">
        <v>6831</v>
      </c>
      <c r="C5435" s="5" t="str">
        <f>IFERROR(__xludf.DUMMYFUNCTION("GOOGLETRANSLATE(B5435,""en"",""it"")"),"Comincia a tirare su copertura su un tetto.")</f>
        <v>Comincia a tirare su copertura su un tetto.</v>
      </c>
    </row>
    <row r="5436">
      <c r="A5436" s="4" t="s">
        <v>6829</v>
      </c>
      <c r="B5436" s="4" t="s">
        <v>6832</v>
      </c>
      <c r="C5436" s="5" t="str">
        <f>IFERROR(__xludf.DUMMYFUNCTION("GOOGLETRANSLATE(B5436,""en"",""it"")"),"Un uomo sale una scala sul tetto.")</f>
        <v>Un uomo sale una scala sul tetto.</v>
      </c>
    </row>
    <row r="5437">
      <c r="A5437" s="4" t="s">
        <v>6833</v>
      </c>
      <c r="B5437" s="4" t="s">
        <v>6834</v>
      </c>
      <c r="C5437" s="5" t="str">
        <f>IFERROR(__xludf.DUMMYFUNCTION("GOOGLETRANSLATE(B5437,""en"",""it"")"),"Un ragazzo viene visto inginocchiarsi davanti a un muro e inizia a usare uno strumento sul tappeto.")</f>
        <v>Un ragazzo viene visto inginocchiarsi davanti a un muro e inizia a usare uno strumento sul tappeto.</v>
      </c>
    </row>
    <row r="5438">
      <c r="A5438" s="4" t="s">
        <v>6833</v>
      </c>
      <c r="B5438" s="4" t="s">
        <v>6835</v>
      </c>
      <c r="C5438" s="5" t="str">
        <f>IFERROR(__xludf.DUMMYFUNCTION("GOOGLETRANSLATE(B5438,""en"",""it"")"),"L'uomo si strofina la mano lungo il tappeto e continua a tagliare.")</f>
        <v>L'uomo si strofina la mano lungo il tappeto e continua a tagliare.</v>
      </c>
    </row>
    <row r="5439">
      <c r="A5439" s="4" t="s">
        <v>6833</v>
      </c>
      <c r="B5439" s="4" t="s">
        <v>6836</v>
      </c>
      <c r="C5439" s="5" t="str">
        <f>IFERROR(__xludf.DUMMYFUNCTION("GOOGLETRANSLATE(B5439,""en"",""it"")"),"L'uomo continua a tagliare lungo il tappeto mentre si strofina la mano.")</f>
        <v>L'uomo continua a tagliare lungo il tappeto mentre si strofina la mano.</v>
      </c>
    </row>
    <row r="5440">
      <c r="A5440" s="4" t="s">
        <v>6837</v>
      </c>
      <c r="B5440" s="6" t="s">
        <v>6838</v>
      </c>
      <c r="C5440" s="5" t="str">
        <f>IFERROR(__xludf.DUMMYFUNCTION("GOOGLETRANSLATE(B5440,""en"",""it"")"),"Un giovane ragazzo biondo è in piedi in un lavello della cucina con uno spruzzatore portatile in mano e sta spruzzando tutti i piatti.")</f>
        <v>Un giovane ragazzo biondo è in piedi in un lavello della cucina con uno spruzzatore portatile in mano e sta spruzzando tutti i piatti.</v>
      </c>
    </row>
    <row r="5441">
      <c r="A5441" s="4" t="s">
        <v>6837</v>
      </c>
      <c r="B5441" s="6" t="s">
        <v>6839</v>
      </c>
      <c r="C5441" s="5" t="str">
        <f>IFERROR(__xludf.DUMMYFUNCTION("GOOGLETRANSLATE(B5441,""en"",""it"")"),"Il ragazzo quindi mette lo spruzzatore in una pentola verde sul bancone e inizia a spruzzare l'acqua lì dentro.")</f>
        <v>Il ragazzo quindi mette lo spruzzatore in una pentola verde sul bancone e inizia a spruzzare l'acqua lì dentro.</v>
      </c>
    </row>
    <row r="5442">
      <c r="A5442" s="4" t="s">
        <v>6837</v>
      </c>
      <c r="B5442" s="6" t="s">
        <v>6840</v>
      </c>
      <c r="C5442" s="5" t="str">
        <f>IFERROR(__xludf.DUMMYFUNCTION("GOOGLETRANSLATE(B5442,""en"",""it"")"),"Il ragazzo lascia cadere lo spruzzatore, quindi prende una tazza dal lavandino, lo riempie di acqua, quindi versa l'acqua nella pentola, la riempie di nuovo e la versa in una ciotola sul bancone.")</f>
        <v>Il ragazzo lascia cadere lo spruzzatore, quindi prende una tazza dal lavandino, lo riempie di acqua, quindi versa l'acqua nella pentola, la riempie di nuovo e la versa in una ciotola sul bancone.</v>
      </c>
    </row>
    <row r="5443">
      <c r="A5443" s="4" t="s">
        <v>6837</v>
      </c>
      <c r="B5443" s="6" t="s">
        <v>6841</v>
      </c>
      <c r="C5443" s="5" t="str">
        <f>IFERROR(__xludf.DUMMYFUNCTION("GOOGLETRANSLATE(B5443,""en"",""it"")"),"Il ragazzo quindi raccoglie un bicchiere trasparente pieno di liquido rosso, beve un po ', lo mette sotto il rubinetto e aggiunge acqua, lo beve alcune volte, quindi lo scarica nel lavandino.")</f>
        <v>Il ragazzo quindi raccoglie un bicchiere trasparente pieno di liquido rosso, beve un po ', lo mette sotto il rubinetto e aggiunge acqua, lo beve alcune volte, quindi lo scarica nel lavandino.</v>
      </c>
    </row>
    <row r="5444">
      <c r="A5444" s="4" t="s">
        <v>6837</v>
      </c>
      <c r="B5444" s="6" t="s">
        <v>6842</v>
      </c>
      <c r="C5444" s="5" t="str">
        <f>IFERROR(__xludf.DUMMYFUNCTION("GOOGLETRANSLATE(B5444,""en"",""it"")"),"Il ragazzo quindi prende un piatto dal lavandino che ha il succo rosso e cerca di versarlo nella pentola sul bancone, ma invece si riversa su tutto il bancone e ottiene una spugna e cerca di ripulirlo.")</f>
        <v>Il ragazzo quindi prende un piatto dal lavandino che ha il succo rosso e cerca di versarlo nella pentola sul bancone, ma invece si riversa su tutto il bancone e ottiene una spugna e cerca di ripulirlo.</v>
      </c>
    </row>
    <row r="5445">
      <c r="A5445" s="4" t="s">
        <v>6843</v>
      </c>
      <c r="B5445" s="4" t="s">
        <v>6844</v>
      </c>
      <c r="C5445" s="5" t="str">
        <f>IFERROR(__xludf.DUMMYFUNCTION("GOOGLETRANSLATE(B5445,""en"",""it"")"),"Vediamo le cheerleader in piedi sul palco.")</f>
        <v>Vediamo le cheerleader in piedi sul palco.</v>
      </c>
    </row>
    <row r="5446">
      <c r="A5446" s="4" t="s">
        <v>6843</v>
      </c>
      <c r="B5446" s="4" t="s">
        <v>6845</v>
      </c>
      <c r="C5446" s="5" t="str">
        <f>IFERROR(__xludf.DUMMYFUNCTION("GOOGLETRANSLATE(B5446,""en"",""it"")"),"Le cheerleader eseguono una routine.")</f>
        <v>Le cheerleader eseguono una routine.</v>
      </c>
    </row>
    <row r="5447">
      <c r="A5447" s="4" t="s">
        <v>6843</v>
      </c>
      <c r="B5447" s="4" t="s">
        <v>6846</v>
      </c>
      <c r="C5447" s="5" t="str">
        <f>IFERROR(__xludf.DUMMYFUNCTION("GOOGLETRANSLATE(B5447,""en"",""it"")"),"Quattro ragazze vengono sollevate e tengono una ragazza tra loro sdraiate.")</f>
        <v>Quattro ragazze vengono sollevate e tengono una ragazza tra loro sdraiate.</v>
      </c>
    </row>
    <row r="5448">
      <c r="A5448" s="4" t="s">
        <v>6843</v>
      </c>
      <c r="B5448" s="4" t="s">
        <v>6847</v>
      </c>
      <c r="C5448" s="5" t="str">
        <f>IFERROR(__xludf.DUMMYFUNCTION("GOOGLETRANSLATE(B5448,""en"",""it"")"),"Le signore tengono le signore che tengono e scuotono i loro pom pom.")</f>
        <v>Le signore tengono le signore che tengono e scuotono i loro pom pom.</v>
      </c>
    </row>
    <row r="5449">
      <c r="A5449" s="4" t="s">
        <v>6843</v>
      </c>
      <c r="B5449" s="4" t="s">
        <v>6848</v>
      </c>
      <c r="C5449" s="5" t="str">
        <f>IFERROR(__xludf.DUMMYFUNCTION("GOOGLETRANSLATE(B5449,""en"",""it"")"),"Quattro donne vengono sollevate e tengono altre due donne poi una settima donna.")</f>
        <v>Quattro donne vengono sollevate e tengono altre due donne poi una settima donna.</v>
      </c>
    </row>
    <row r="5450">
      <c r="A5450" s="4" t="s">
        <v>6843</v>
      </c>
      <c r="B5450" s="4" t="s">
        <v>6849</v>
      </c>
      <c r="C5450" s="5" t="str">
        <f>IFERROR(__xludf.DUMMYFUNCTION("GOOGLETRANSLATE(B5450,""en"",""it"")"),"La squadra finisce e abbraccia.")</f>
        <v>La squadra finisce e abbraccia.</v>
      </c>
    </row>
    <row r="5451">
      <c r="A5451" s="4" t="s">
        <v>6843</v>
      </c>
      <c r="B5451" s="4" t="s">
        <v>6850</v>
      </c>
      <c r="C5451" s="5" t="str">
        <f>IFERROR(__xludf.DUMMYFUNCTION("GOOGLETRANSLATE(B5451,""en"",""it"")"),"Vediamo crediti finali e ancora colpi.")</f>
        <v>Vediamo crediti finali e ancora colpi.</v>
      </c>
    </row>
    <row r="5452">
      <c r="A5452" s="4" t="s">
        <v>6843</v>
      </c>
      <c r="B5452" s="4" t="s">
        <v>6851</v>
      </c>
      <c r="C5452" s="5" t="str">
        <f>IFERROR(__xludf.DUMMYFUNCTION("GOOGLETRANSLATE(B5452,""en"",""it"")"),"Sullo schermo appare un preventivo e un sito web.")</f>
        <v>Sullo schermo appare un preventivo e un sito web.</v>
      </c>
    </row>
    <row r="5453">
      <c r="A5453" s="4" t="s">
        <v>6852</v>
      </c>
      <c r="B5453" s="4" t="s">
        <v>6853</v>
      </c>
      <c r="C5453" s="5" t="str">
        <f>IFERROR(__xludf.DUMMYFUNCTION("GOOGLETRANSLATE(B5453,""en"",""it"")"),"Diversi colpi di un lago sono mostrati seguiti da una persona che si arrampica dietro una barca su una scia.")</f>
        <v>Diversi colpi di un lago sono mostrati seguiti da una persona che si arrampica dietro una barca su una scia.</v>
      </c>
    </row>
    <row r="5454">
      <c r="A5454" s="4" t="s">
        <v>6852</v>
      </c>
      <c r="B5454" s="6" t="s">
        <v>6854</v>
      </c>
      <c r="C5454" s="5" t="str">
        <f>IFERROR(__xludf.DUMMYFUNCTION("GOOGLETRANSLATE(B5454,""en"",""it"")"),"La persona cavalca la lavagna lungo l'acqua mentre diverse telecamere catturano i suoi movimenti e salta dietro la barca.")</f>
        <v>La persona cavalca la lavagna lungo l'acqua mentre diverse telecamere catturano i suoi movimenti e salta dietro la barca.</v>
      </c>
    </row>
    <row r="5455">
      <c r="A5455" s="4" t="s">
        <v>6852</v>
      </c>
      <c r="B5455" s="6" t="s">
        <v>6855</v>
      </c>
      <c r="C5455" s="5" t="str">
        <f>IFERROR(__xludf.DUMMYFUNCTION("GOOGLETRANSLATE(B5455,""en"",""it"")"),"La fotocamera cattura la persona che guida la barca e segue la Wake Boarder vicino alla barca.")</f>
        <v>La fotocamera cattura la persona che guida la barca e segue la Wake Boarder vicino alla barca.</v>
      </c>
    </row>
    <row r="5456">
      <c r="A5456" s="4" t="s">
        <v>6852</v>
      </c>
      <c r="B5456" s="4" t="s">
        <v>6856</v>
      </c>
      <c r="C5456" s="5" t="str">
        <f>IFERROR(__xludf.DUMMYFUNCTION("GOOGLETRANSLATE(B5456,""en"",""it"")"),"Alla fine tre ragazzi stanno cavalcando la barca e guidano.")</f>
        <v>Alla fine tre ragazzi stanno cavalcando la barca e guidano.</v>
      </c>
    </row>
    <row r="5457">
      <c r="A5457" s="4" t="s">
        <v>6857</v>
      </c>
      <c r="B5457" s="4" t="s">
        <v>6858</v>
      </c>
      <c r="C5457" s="5" t="str">
        <f>IFERROR(__xludf.DUMMYFUNCTION("GOOGLETRANSLATE(B5457,""en"",""it"")"),"Un uomo ferma la sua bici sul marciapiede.")</f>
        <v>Un uomo ferma la sua bici sul marciapiede.</v>
      </c>
    </row>
    <row r="5458">
      <c r="A5458" s="4" t="s">
        <v>6857</v>
      </c>
      <c r="B5458" s="4" t="s">
        <v>6859</v>
      </c>
      <c r="C5458" s="5" t="str">
        <f>IFERROR(__xludf.DUMMYFUNCTION("GOOGLETRANSLATE(B5458,""en"",""it"")"),"Salta giù per guardare il volante, quindi usa uno strumento per premere nella gomma.")</f>
        <v>Salta giù per guardare il volante, quindi usa uno strumento per premere nella gomma.</v>
      </c>
    </row>
    <row r="5459">
      <c r="A5459" s="4" t="s">
        <v>6857</v>
      </c>
      <c r="B5459" s="6" t="s">
        <v>6860</v>
      </c>
      <c r="C5459" s="5" t="str">
        <f>IFERROR(__xludf.DUMMYFUNCTION("GOOGLETRANSLATE(B5459,""en"",""it"")"),"Continua a parlare dello strumento prima di unirsi a una gara di biciclette, poi torna a parlare sul marciapiede.")</f>
        <v>Continua a parlare dello strumento prima di unirsi a una gara di biciclette, poi torna a parlare sul marciapiede.</v>
      </c>
    </row>
    <row r="5460">
      <c r="A5460" s="4" t="s">
        <v>6861</v>
      </c>
      <c r="B5460" s="4" t="s">
        <v>6862</v>
      </c>
      <c r="C5460" s="5" t="str">
        <f>IFERROR(__xludf.DUMMYFUNCTION("GOOGLETRANSLATE(B5460,""en"",""it"")"),"Gli uomini oscillano con una palla da lancio a martello prima di rilasciarla.")</f>
        <v>Gli uomini oscillano con una palla da lancio a martello prima di rilasciarla.</v>
      </c>
    </row>
    <row r="5461">
      <c r="A5461" s="4" t="s">
        <v>6861</v>
      </c>
      <c r="B5461" s="4" t="s">
        <v>6863</v>
      </c>
      <c r="C5461" s="5" t="str">
        <f>IFERROR(__xludf.DUMMYFUNCTION("GOOGLETRANSLATE(B5461,""en"",""it"")"),"Un uomo fa tiri su un bar.")</f>
        <v>Un uomo fa tiri su un bar.</v>
      </c>
    </row>
    <row r="5462">
      <c r="A5462" s="4" t="s">
        <v>6861</v>
      </c>
      <c r="B5462" s="4" t="s">
        <v>6864</v>
      </c>
      <c r="C5462" s="5" t="str">
        <f>IFERROR(__xludf.DUMMYFUNCTION("GOOGLETRANSLATE(B5462,""en"",""it"")"),"Un uomo solleva un grande peso sulle spalle e anche la spalla lo preme sopra la testa.")</f>
        <v>Un uomo solleva un grande peso sulle spalle e anche la spalla lo preme sopra la testa.</v>
      </c>
    </row>
    <row r="5463">
      <c r="A5463" s="4" t="s">
        <v>6861</v>
      </c>
      <c r="B5463" s="4" t="s">
        <v>6865</v>
      </c>
      <c r="C5463" s="5" t="str">
        <f>IFERROR(__xludf.DUMMYFUNCTION("GOOGLETRANSLATE(B5463,""en"",""it"")"),"Due uomini corrono insieme.")</f>
        <v>Due uomini corrono insieme.</v>
      </c>
    </row>
    <row r="5464">
      <c r="A5464" s="4" t="s">
        <v>6866</v>
      </c>
      <c r="B5464" s="4" t="s">
        <v>6867</v>
      </c>
      <c r="C5464" s="5" t="str">
        <f>IFERROR(__xludf.DUMMYFUNCTION("GOOGLETRANSLATE(B5464,""en"",""it"")"),"Una bandiera ondeggia su un palo in un campo.")</f>
        <v>Una bandiera ondeggia su un palo in un campo.</v>
      </c>
    </row>
    <row r="5465">
      <c r="A5465" s="4" t="s">
        <v>6866</v>
      </c>
      <c r="B5465" s="4" t="s">
        <v>6868</v>
      </c>
      <c r="C5465" s="5" t="str">
        <f>IFERROR(__xludf.DUMMYFUNCTION("GOOGLETRANSLATE(B5465,""en"",""it"")"),"Vediamo una mascotte rotolare una palla al piatto di casa e cadere quando è tornato indietro e lo colpisce.")</f>
        <v>Vediamo una mascotte rotolare una palla al piatto di casa e cadere quando è tornato indietro e lo colpisce.</v>
      </c>
    </row>
    <row r="5466">
      <c r="A5466" s="4" t="s">
        <v>6866</v>
      </c>
      <c r="B5466" s="4" t="s">
        <v>6869</v>
      </c>
      <c r="C5466" s="5" t="str">
        <f>IFERROR(__xludf.DUMMYFUNCTION("GOOGLETRANSLATE(B5466,""en"",""it"")"),"Vediamo quindi la mascotte calciare la palla e correre a casa.")</f>
        <v>Vediamo quindi la mascotte calciare la palla e correre a casa.</v>
      </c>
    </row>
    <row r="5467">
      <c r="A5467" s="4" t="s">
        <v>6866</v>
      </c>
      <c r="B5467" s="4" t="s">
        <v>6870</v>
      </c>
      <c r="C5467" s="5" t="str">
        <f>IFERROR(__xludf.DUMMYFUNCTION("GOOGLETRANSLATE(B5467,""en"",""it"")"),"La mascotte corre e cattura una palla in campo.")</f>
        <v>La mascotte corre e cattura una palla in campo.</v>
      </c>
    </row>
    <row r="5468">
      <c r="A5468" s="4" t="s">
        <v>6866</v>
      </c>
      <c r="B5468" s="4" t="s">
        <v>6871</v>
      </c>
      <c r="C5468" s="5" t="str">
        <f>IFERROR(__xludf.DUMMYFUNCTION("GOOGLETRANSLATE(B5468,""en"",""it"")"),"La mascotte alta alimenta una fila di persone e il torace si urta L'ultimo uomo che lo faceva cadere.")</f>
        <v>La mascotte alta alimenta una fila di persone e il torace si urta L'ultimo uomo che lo faceva cadere.</v>
      </c>
    </row>
    <row r="5469">
      <c r="A5469" s="4" t="s">
        <v>6872</v>
      </c>
      <c r="B5469" s="6" t="s">
        <v>6873</v>
      </c>
      <c r="C5469" s="5" t="str">
        <f>IFERROR(__xludf.DUMMYFUNCTION("GOOGLETRANSLATE(B5469,""en"",""it"")"),"Viene mostrato un primo piano di scarpe da ginnastica, seguito da una persona che regge vari oggetti e li mescola insieme in una ciotola.")</f>
        <v>Viene mostrato un primo piano di scarpe da ginnastica, seguito da una persona che regge vari oggetti e li mescola insieme in una ciotola.</v>
      </c>
    </row>
    <row r="5470">
      <c r="A5470" s="4" t="s">
        <v>6872</v>
      </c>
      <c r="B5470" s="6" t="s">
        <v>6874</v>
      </c>
      <c r="C5470" s="5" t="str">
        <f>IFERROR(__xludf.DUMMYFUNCTION("GOOGLETRANSLATE(B5470,""en"",""it"")"),"La persona usa quindi uno spazzolino da dente intorno alla scarpa usando gli ingredienti e mostra la scarpa.")</f>
        <v>La persona usa quindi uno spazzolino da dente intorno alla scarpa usando gli ingredienti e mostra la scarpa.</v>
      </c>
    </row>
    <row r="5471">
      <c r="A5471" s="4" t="s">
        <v>6875</v>
      </c>
      <c r="B5471" s="4" t="s">
        <v>6876</v>
      </c>
      <c r="C5471" s="5" t="str">
        <f>IFERROR(__xludf.DUMMYFUNCTION("GOOGLETRANSLATE(B5471,""en"",""it"")"),"Una persona spiega tenere una racchetta e fare mosse con una racchetta in un campo da tennis.")</f>
        <v>Una persona spiega tenere una racchetta e fare mosse con una racchetta in un campo da tennis.</v>
      </c>
    </row>
    <row r="5472">
      <c r="A5472" s="4" t="s">
        <v>6875</v>
      </c>
      <c r="B5472" s="4" t="s">
        <v>6877</v>
      </c>
      <c r="C5472" s="5" t="str">
        <f>IFERROR(__xludf.DUMMYFUNCTION("GOOGLETRANSLATE(B5472,""en"",""it"")"),"Quindi un uomo che indossa abiti neri serve una palla da tennis che viene restituita e la rimane indietro.")</f>
        <v>Quindi un uomo che indossa abiti neri serve una palla da tennis che viene restituita e la rimane indietro.</v>
      </c>
    </row>
    <row r="5473">
      <c r="A5473" s="4" t="s">
        <v>6875</v>
      </c>
      <c r="B5473" s="4" t="s">
        <v>6878</v>
      </c>
      <c r="C5473" s="5" t="str">
        <f>IFERROR(__xludf.DUMMYFUNCTION("GOOGLETRANSLATE(B5473,""en"",""it"")"),"Quindi, la persona parla con due palle, dopo che l'uomo serve di nuovo e la persona parla.")</f>
        <v>Quindi, la persona parla con due palle, dopo che l'uomo serve di nuovo e la persona parla.</v>
      </c>
    </row>
    <row r="5474">
      <c r="A5474" s="4" t="s">
        <v>6875</v>
      </c>
      <c r="B5474" s="4" t="s">
        <v>6879</v>
      </c>
      <c r="C5474" s="5" t="str">
        <f>IFERROR(__xludf.DUMMYFUNCTION("GOOGLETRANSLATE(B5474,""en"",""it"")"),"Dopo, l'uomo continua a parlare.")</f>
        <v>Dopo, l'uomo continua a parlare.</v>
      </c>
    </row>
    <row r="5475">
      <c r="A5475" s="4" t="s">
        <v>6880</v>
      </c>
      <c r="B5475" s="4" t="s">
        <v>6881</v>
      </c>
      <c r="C5475" s="5" t="str">
        <f>IFERROR(__xludf.DUMMYFUNCTION("GOOGLETRANSLATE(B5475,""en"",""it"")"),"Un portiere si vede in diverse clip che corre indietro e quarta e bloccando le palle da cavarsela.")</f>
        <v>Un portiere si vede in diverse clip che corre indietro e quarta e bloccando le palle da cavarsela.</v>
      </c>
    </row>
    <row r="5476">
      <c r="A5476" s="4" t="s">
        <v>6880</v>
      </c>
      <c r="B5476" s="4" t="s">
        <v>6882</v>
      </c>
      <c r="C5476" s="5" t="str">
        <f>IFERROR(__xludf.DUMMYFUNCTION("GOOGLETRANSLATE(B5476,""en"",""it"")"),"Il giocatore continua a correre indietro e quarto mentre un altro uomo si siede di fronte a lui.")</f>
        <v>Il giocatore continua a correre indietro e quarto mentre un altro uomo si siede di fronte a lui.</v>
      </c>
    </row>
    <row r="5477">
      <c r="A5477" s="4" t="s">
        <v>6883</v>
      </c>
      <c r="B5477" s="6" t="s">
        <v>6884</v>
      </c>
      <c r="C5477" s="5" t="str">
        <f>IFERROR(__xludf.DUMMYFUNCTION("GOOGLETRANSLATE(B5477,""en"",""it"")"),"Un giovane mette un olio di padella, cipolle, pomodori, foglie verdi e sale, quindi mescolare per cuocere le verdure.")</f>
        <v>Un giovane mette un olio di padella, cipolle, pomodori, foglie verdi e sale, quindi mescolare per cuocere le verdure.</v>
      </c>
    </row>
    <row r="5478">
      <c r="A5478" s="4" t="s">
        <v>6883</v>
      </c>
      <c r="B5478" s="4" t="s">
        <v>6885</v>
      </c>
      <c r="C5478" s="5" t="str">
        <f>IFERROR(__xludf.DUMMYFUNCTION("GOOGLETRANSLATE(B5478,""en"",""it"")"),"Dopo, l'uomo mette da parte le verdure e cucina una frittata nella padella.")</f>
        <v>Dopo, l'uomo mette da parte le verdure e cucina una frittata nella padella.</v>
      </c>
    </row>
    <row r="5479">
      <c r="A5479" s="4" t="s">
        <v>6883</v>
      </c>
      <c r="B5479" s="4" t="s">
        <v>6886</v>
      </c>
      <c r="C5479" s="5" t="str">
        <f>IFERROR(__xludf.DUMMYFUNCTION("GOOGLETRANSLATE(B5479,""en"",""it"")"),"Dopo, l'uomo mette le verdure sopra la frittata e la piega, quindi serve la frittata.")</f>
        <v>Dopo, l'uomo mette le verdure sopra la frittata e la piega, quindi serve la frittata.</v>
      </c>
    </row>
    <row r="5480">
      <c r="A5480" s="4" t="s">
        <v>6887</v>
      </c>
      <c r="B5480" s="4" t="s">
        <v>6888</v>
      </c>
      <c r="C5480" s="5" t="str">
        <f>IFERROR(__xludf.DUMMYFUNCTION("GOOGLETRANSLATE(B5480,""en"",""it"")"),"Un folto gruppo di soldati della Marina è mostrato su un dock che gioca una partita di Wug of War.")</f>
        <v>Un folto gruppo di soldati della Marina è mostrato su un dock che gioca una partita di Wug of War.</v>
      </c>
    </row>
    <row r="5481">
      <c r="A5481" s="4" t="s">
        <v>6887</v>
      </c>
      <c r="B5481" s="4" t="s">
        <v>6889</v>
      </c>
      <c r="C5481" s="5" t="str">
        <f>IFERROR(__xludf.DUMMYFUNCTION("GOOGLETRANSLATE(B5481,""en"",""it"")"),"Da un lato della corda c'è una squadra che tira più forte possibile mentre viene applaudita.")</f>
        <v>Da un lato della corda c'è una squadra che tira più forte possibile mentre viene applaudita.</v>
      </c>
    </row>
    <row r="5482">
      <c r="A5482" s="4" t="s">
        <v>6887</v>
      </c>
      <c r="B5482" s="4" t="s">
        <v>6890</v>
      </c>
      <c r="C5482" s="5" t="str">
        <f>IFERROR(__xludf.DUMMYFUNCTION("GOOGLETRANSLATE(B5482,""en"",""it"")"),"Un altro soldato della Marina viene mostrato scattare foto del gioco.")</f>
        <v>Un altro soldato della Marina viene mostrato scattare foto del gioco.</v>
      </c>
    </row>
    <row r="5483">
      <c r="A5483" s="4" t="s">
        <v>6887</v>
      </c>
      <c r="B5483" s="4" t="s">
        <v>6891</v>
      </c>
      <c r="C5483" s="5" t="str">
        <f>IFERROR(__xludf.DUMMYFUNCTION("GOOGLETRANSLATE(B5483,""en"",""it"")"),"Viene mostrato l'altro lato della corda.")</f>
        <v>Viene mostrato l'altro lato della corda.</v>
      </c>
    </row>
    <row r="5484">
      <c r="A5484" s="4" t="s">
        <v>6887</v>
      </c>
      <c r="B5484" s="4" t="s">
        <v>6892</v>
      </c>
      <c r="C5484" s="5" t="str">
        <f>IFERROR(__xludf.DUMMYFUNCTION("GOOGLETRANSLATE(B5484,""en"",""it"")"),"Una squadra viene tirata su una linea rossa a terra, terminando il gioco.")</f>
        <v>Una squadra viene tirata su una linea rossa a terra, terminando il gioco.</v>
      </c>
    </row>
    <row r="5485">
      <c r="A5485" s="4" t="s">
        <v>6887</v>
      </c>
      <c r="B5485" s="4" t="s">
        <v>6893</v>
      </c>
      <c r="C5485" s="5" t="str">
        <f>IFERROR(__xludf.DUMMYFUNCTION("GOOGLETRANSLATE(B5485,""en"",""it"")"),"Gli uomini si alzano per rilassarsi.")</f>
        <v>Gli uomini si alzano per rilassarsi.</v>
      </c>
    </row>
    <row r="5486">
      <c r="A5486" s="4" t="s">
        <v>6894</v>
      </c>
      <c r="B5486" s="4" t="s">
        <v>6895</v>
      </c>
      <c r="C5486" s="5" t="str">
        <f>IFERROR(__xludf.DUMMYFUNCTION("GOOGLETRANSLATE(B5486,""en"",""it"")"),"Un'introduzione arriva sullo schermo per una competizione di sollevamento pesi femminile.")</f>
        <v>Un'introduzione arriva sullo schermo per una competizione di sollevamento pesi femminile.</v>
      </c>
    </row>
    <row r="5487">
      <c r="A5487" s="4" t="s">
        <v>6894</v>
      </c>
      <c r="B5487" s="6" t="s">
        <v>6896</v>
      </c>
      <c r="C5487" s="5" t="str">
        <f>IFERROR(__xludf.DUMMYFUNCTION("GOOGLETRANSLATE(B5487,""en"",""it"")"),"Uno dei sollevatori di peso femminile è mostrato sullo schermo mentre attraversa diversi livelli crescenti di ascensori uno per uno.")</f>
        <v>Uno dei sollevatori di peso femminile è mostrato sullo schermo mentre attraversa diversi livelli crescenti di ascensori uno per uno.</v>
      </c>
    </row>
    <row r="5488">
      <c r="A5488" s="4" t="s">
        <v>6894</v>
      </c>
      <c r="B5488" s="4" t="s">
        <v>6897</v>
      </c>
      <c r="C5488" s="5" t="str">
        <f>IFERROR(__xludf.DUMMYFUNCTION("GOOGLETRANSLATE(B5488,""en"",""it"")"),"Quando finalmente raggiunge un peso che è troppo pesante da sollevare, lascia la sfida.")</f>
        <v>Quando finalmente raggiunge un peso che è troppo pesante da sollevare, lascia la sfida.</v>
      </c>
    </row>
    <row r="5489">
      <c r="A5489" s="4" t="s">
        <v>6898</v>
      </c>
      <c r="B5489" s="6" t="s">
        <v>6899</v>
      </c>
      <c r="C5489" s="5" t="str">
        <f>IFERROR(__xludf.DUMMYFUNCTION("GOOGLETRANSLATE(B5489,""en"",""it"")"),"Un uomo in polo si trova con una bici su una griglia e dimostra le sue diverse caratteristiche in un negozio di biciclette.")</f>
        <v>Un uomo in polo si trova con una bici su una griglia e dimostra le sue diverse caratteristiche in un negozio di biciclette.</v>
      </c>
    </row>
    <row r="5490">
      <c r="A5490" s="4" t="s">
        <v>6898</v>
      </c>
      <c r="B5490" s="6" t="s">
        <v>6900</v>
      </c>
      <c r="C5490" s="5" t="str">
        <f>IFERROR(__xludf.DUMMYFUNCTION("GOOGLETRANSLATE(B5490,""en"",""it"")"),"L'uomo elimina uno strumento e effettua una regolazione al pignone della ruota, quindi gira la ruota prima di regolare di più.")</f>
        <v>L'uomo elimina uno strumento e effettua una regolazione al pignone della ruota, quindi gira la ruota prima di regolare di più.</v>
      </c>
    </row>
    <row r="5491">
      <c r="A5491" s="4" t="s">
        <v>6898</v>
      </c>
      <c r="B5491" s="4" t="s">
        <v>6901</v>
      </c>
      <c r="C5491" s="5" t="str">
        <f>IFERROR(__xludf.DUMMYFUNCTION("GOOGLETRANSLATE(B5491,""en"",""it"")"),"L'uomo regola un cambio sul manubrio.")</f>
        <v>L'uomo regola un cambio sul manubrio.</v>
      </c>
    </row>
    <row r="5492">
      <c r="A5492" s="4" t="s">
        <v>6902</v>
      </c>
      <c r="B5492" s="4" t="s">
        <v>6903</v>
      </c>
      <c r="C5492" s="5" t="str">
        <f>IFERROR(__xludf.DUMMYFUNCTION("GOOGLETRANSLATE(B5492,""en"",""it"")"),"Un uomo sta stirando una camicia su una tavola da stiro.")</f>
        <v>Un uomo sta stirando una camicia su una tavola da stiro.</v>
      </c>
    </row>
    <row r="5493">
      <c r="A5493" s="4" t="s">
        <v>6902</v>
      </c>
      <c r="B5493" s="4" t="s">
        <v>6904</v>
      </c>
      <c r="C5493" s="5" t="str">
        <f>IFERROR(__xludf.DUMMYFUNCTION("GOOGLETRANSLATE(B5493,""en"",""it"")"),"Le borse sono mostrate sedute sul letto.")</f>
        <v>Le borse sono mostrate sedute sul letto.</v>
      </c>
    </row>
    <row r="5494">
      <c r="A5494" s="4" t="s">
        <v>6905</v>
      </c>
      <c r="B5494" s="6" t="s">
        <v>6906</v>
      </c>
      <c r="C5494" s="5" t="str">
        <f>IFERROR(__xludf.DUMMYFUNCTION("GOOGLETRANSLATE(B5494,""en"",""it"")"),"Un piccolo gruppo di persone viene visto nuotare attorno al muro mentre la telecamera si muove e li osserva.")</f>
        <v>Un piccolo gruppo di persone viene visto nuotare attorno al muro mentre la telecamera si muove e li osserva.</v>
      </c>
    </row>
    <row r="5495">
      <c r="A5495" s="4" t="s">
        <v>6905</v>
      </c>
      <c r="B5495" s="4" t="s">
        <v>6907</v>
      </c>
      <c r="C5495" s="5" t="str">
        <f>IFERROR(__xludf.DUMMYFUNCTION("GOOGLETRANSLATE(B5495,""en"",""it"")"),"Anche i bambini continuano a muoversi per l'acqua mentre passano gli adulti.")</f>
        <v>Anche i bambini continuano a muoversi per l'acqua mentre passano gli adulti.</v>
      </c>
    </row>
    <row r="5496">
      <c r="A5496" s="4" t="s">
        <v>6905</v>
      </c>
      <c r="B5496" s="4" t="s">
        <v>6908</v>
      </c>
      <c r="C5496" s="5" t="str">
        <f>IFERROR(__xludf.DUMMYFUNCTION("GOOGLETRANSLATE(B5496,""en"",""it"")"),"Vengono mostrati altri colpi di bambini che giocano nella sabbia.")</f>
        <v>Vengono mostrati altri colpi di bambini che giocano nella sabbia.</v>
      </c>
    </row>
    <row r="5497">
      <c r="A5497" s="4" t="s">
        <v>6909</v>
      </c>
      <c r="B5497" s="4" t="s">
        <v>6910</v>
      </c>
      <c r="C5497" s="5" t="str">
        <f>IFERROR(__xludf.DUMMYFUNCTION("GOOGLETRANSLATE(B5497,""en"",""it"")"),"Il video che viene girato in orizzontale mostra diverse persone che finiscono nell'oceano in una giornata di sole.")</f>
        <v>Il video che viene girato in orizzontale mostra diverse persone che finiscono nell'oceano in una giornata di sole.</v>
      </c>
    </row>
    <row r="5498">
      <c r="A5498" s="4" t="s">
        <v>6909</v>
      </c>
      <c r="B5498" s="4" t="s">
        <v>6911</v>
      </c>
      <c r="C5498" s="5" t="str">
        <f>IFERROR(__xludf.DUMMYFUNCTION("GOOGLETRANSLATE(B5498,""en"",""it"")"),"Uno dei surfisti sta andando ad alta velocità contro le onde.")</f>
        <v>Uno dei surfisti sta andando ad alta velocità contro le onde.</v>
      </c>
    </row>
    <row r="5499">
      <c r="A5499" s="4" t="s">
        <v>6909</v>
      </c>
      <c r="B5499" s="4" t="s">
        <v>6912</v>
      </c>
      <c r="C5499" s="5" t="str">
        <f>IFERROR(__xludf.DUMMYFUNCTION("GOOGLETRANSLATE(B5499,""en"",""it"")"),"Un surfista su un surf arancione arriva alla massima velocità e perde il controllo e cade nell'acqua.")</f>
        <v>Un surfista su un surf arancione arriva alla massima velocità e perde il controllo e cade nell'acqua.</v>
      </c>
    </row>
    <row r="5500">
      <c r="A5500" s="4" t="s">
        <v>6909</v>
      </c>
      <c r="B5500" s="4" t="s">
        <v>6913</v>
      </c>
      <c r="C5500" s="5" t="str">
        <f>IFERROR(__xludf.DUMMYFUNCTION("GOOGLETRANSLATE(B5500,""en"",""it"")"),"Il surfista con Blue Sails riesce a rimanere a bordo mentre naviga nell'oceano.")</f>
        <v>Il surfista con Blue Sails riesce a rimanere a bordo mentre naviga nell'oceano.</v>
      </c>
    </row>
    <row r="5501">
      <c r="A5501" s="4" t="s">
        <v>6914</v>
      </c>
      <c r="B5501" s="4" t="s">
        <v>6915</v>
      </c>
      <c r="C5501" s="5" t="str">
        <f>IFERROR(__xludf.DUMMYFUNCTION("GOOGLETRANSLATE(B5501,""en"",""it"")"),"Una donna più anziana viene vista seduta davanti a una batteria suonare una serie di tamburi.")</f>
        <v>Una donna più anziana viene vista seduta davanti a una batteria suonare una serie di tamburi.</v>
      </c>
    </row>
    <row r="5502">
      <c r="A5502" s="4" t="s">
        <v>6914</v>
      </c>
      <c r="B5502" s="6" t="s">
        <v>6916</v>
      </c>
      <c r="C5502" s="5" t="str">
        <f>IFERROR(__xludf.DUMMYFUNCTION("GOOGLETRANSLATE(B5502,""en"",""it"")"),"Gira i tamburi attraverso le punte delle dita e continua a suonare lo strumento mentre la telecamera la cattura.")</f>
        <v>Gira i tamburi attraverso le punte delle dita e continua a suonare lo strumento mentre la telecamera la cattura.</v>
      </c>
    </row>
    <row r="5503">
      <c r="A5503" s="4" t="s">
        <v>6917</v>
      </c>
      <c r="B5503" s="6" t="s">
        <v>6918</v>
      </c>
      <c r="C5503" s="5" t="str">
        <f>IFERROR(__xludf.DUMMYFUNCTION("GOOGLETRANSLATE(B5503,""en"",""it"")"),"Un uomo esegue un salto in alto con un palo, salta su tre linee orizzontali che ne tocca due.")</f>
        <v>Un uomo esegue un salto in alto con un palo, salta su tre linee orizzontali che ne tocca due.</v>
      </c>
    </row>
    <row r="5504">
      <c r="A5504" s="4" t="s">
        <v>6917</v>
      </c>
      <c r="B5504" s="4" t="s">
        <v>6919</v>
      </c>
      <c r="C5504" s="5" t="str">
        <f>IFERROR(__xludf.DUMMYFUNCTION("GOOGLETRANSLATE(B5504,""en"",""it"")"),"L'uomo tenta di saltare più in alto rispetto al salto con il palo.")</f>
        <v>L'uomo tenta di saltare più in alto rispetto al salto con il palo.</v>
      </c>
    </row>
    <row r="5505">
      <c r="A5505" s="4" t="s">
        <v>6917</v>
      </c>
      <c r="B5505" s="4" t="s">
        <v>6920</v>
      </c>
      <c r="C5505" s="5" t="str">
        <f>IFERROR(__xludf.DUMMYFUNCTION("GOOGLETRANSLATE(B5505,""en"",""it"")"),"Ancora una volta, l'uomo tenta di saltare più in alto ma fa cadere la linea orizzontale.")</f>
        <v>Ancora una volta, l'uomo tenta di saltare più in alto ma fa cadere la linea orizzontale.</v>
      </c>
    </row>
    <row r="5506">
      <c r="A5506" s="4" t="s">
        <v>6921</v>
      </c>
      <c r="B5506" s="4" t="s">
        <v>6922</v>
      </c>
      <c r="C5506" s="5" t="str">
        <f>IFERROR(__xludf.DUMMYFUNCTION("GOOGLETRANSLATE(B5506,""en"",""it"")"),"Vediamo un uomo seduto su un divano.")</f>
        <v>Vediamo un uomo seduto su un divano.</v>
      </c>
    </row>
    <row r="5507">
      <c r="A5507" s="4" t="s">
        <v>6921</v>
      </c>
      <c r="B5507" s="4" t="s">
        <v>6923</v>
      </c>
      <c r="C5507" s="5" t="str">
        <f>IFERROR(__xludf.DUMMYFUNCTION("GOOGLETRANSLATE(B5507,""en"",""it"")"),"L'uomo sta giocando la cornamusa.")</f>
        <v>L'uomo sta giocando la cornamusa.</v>
      </c>
    </row>
    <row r="5508">
      <c r="A5508" s="4" t="s">
        <v>6921</v>
      </c>
      <c r="B5508" s="4" t="s">
        <v>6924</v>
      </c>
      <c r="C5508" s="5" t="str">
        <f>IFERROR(__xludf.DUMMYFUNCTION("GOOGLETRANSLATE(B5508,""en"",""it"")"),"L'uomo ride e smette di giocare.")</f>
        <v>L'uomo ride e smette di giocare.</v>
      </c>
    </row>
    <row r="5509">
      <c r="A5509" s="4" t="s">
        <v>6921</v>
      </c>
      <c r="B5509" s="4" t="s">
        <v>6925</v>
      </c>
      <c r="C5509" s="5" t="str">
        <f>IFERROR(__xludf.DUMMYFUNCTION("GOOGLETRANSLATE(B5509,""en"",""it"")"),"L'uomo inizia a suonare di nuovo la cornamusa.")</f>
        <v>L'uomo inizia a suonare di nuovo la cornamusa.</v>
      </c>
    </row>
    <row r="5510">
      <c r="A5510" s="4" t="s">
        <v>6921</v>
      </c>
      <c r="B5510" s="4" t="s">
        <v>6926</v>
      </c>
      <c r="C5510" s="5" t="str">
        <f>IFERROR(__xludf.DUMMYFUNCTION("GOOGLETRANSLATE(B5510,""en"",""it"")"),"L'uomo ride di nuovo forte.")</f>
        <v>L'uomo ride di nuovo forte.</v>
      </c>
    </row>
    <row r="5511">
      <c r="A5511" s="4" t="s">
        <v>6921</v>
      </c>
      <c r="B5511" s="4" t="s">
        <v>6927</v>
      </c>
      <c r="C5511" s="5" t="str">
        <f>IFERROR(__xludf.DUMMYFUNCTION("GOOGLETRANSLATE(B5511,""en"",""it"")"),"L'uomo smette di suonare la cornamusa.")</f>
        <v>L'uomo smette di suonare la cornamusa.</v>
      </c>
    </row>
    <row r="5512">
      <c r="A5512" s="4" t="s">
        <v>6921</v>
      </c>
      <c r="B5512" s="4" t="s">
        <v>6928</v>
      </c>
      <c r="C5512" s="5" t="str">
        <f>IFERROR(__xludf.DUMMYFUNCTION("GOOGLETRANSLATE(B5512,""en"",""it"")"),"L'uomo agita la mano davanti alla telecamera.")</f>
        <v>L'uomo agita la mano davanti alla telecamera.</v>
      </c>
    </row>
    <row r="5513">
      <c r="A5513" s="4" t="s">
        <v>6929</v>
      </c>
      <c r="B5513" s="4" t="s">
        <v>6930</v>
      </c>
      <c r="C5513" s="5" t="str">
        <f>IFERROR(__xludf.DUMMYFUNCTION("GOOGLETRANSLATE(B5513,""en"",""it"")"),"Una donna è fuori a spalare con un robohandle.")</f>
        <v>Una donna è fuori a spalare con un robohandle.</v>
      </c>
    </row>
    <row r="5514">
      <c r="A5514" s="4" t="s">
        <v>6929</v>
      </c>
      <c r="B5514" s="6" t="s">
        <v>6931</v>
      </c>
      <c r="C5514" s="5" t="str">
        <f>IFERROR(__xludf.DUMMYFUNCTION("GOOGLETRANSLATE(B5514,""en"",""it"")"),"Sta rendendo il processo molto più veloce perché è di dimensioni decenti e raccoglie molta neve contemporaneamente.")</f>
        <v>Sta rendendo il processo molto più veloce perché è di dimensioni decenti e raccoglie molta neve contemporaneamente.</v>
      </c>
    </row>
    <row r="5515">
      <c r="A5515" s="4" t="s">
        <v>6929</v>
      </c>
      <c r="B5515" s="4" t="s">
        <v>6932</v>
      </c>
      <c r="C5515" s="5" t="str">
        <f>IFERROR(__xludf.DUMMYFUNCTION("GOOGLETRANSLATE(B5515,""en"",""it"")"),"Sta facendo molti progressi in una finestra di tempo così piccola usando questo robohandle di neve.")</f>
        <v>Sta facendo molti progressi in una finestra di tempo così piccola usando questo robohandle di neve.</v>
      </c>
    </row>
    <row r="5516">
      <c r="A5516" s="4" t="s">
        <v>6929</v>
      </c>
      <c r="B5516" s="4" t="s">
        <v>6933</v>
      </c>
      <c r="C5516" s="5" t="str">
        <f>IFERROR(__xludf.DUMMYFUNCTION("GOOGLETRANSLATE(B5516,""en"",""it"")"),"La maniglia onestamente sembra solo due grandi pale.")</f>
        <v>La maniglia onestamente sembra solo due grandi pale.</v>
      </c>
    </row>
    <row r="5517">
      <c r="A5517" s="4" t="s">
        <v>6934</v>
      </c>
      <c r="B5517" s="4" t="s">
        <v>6935</v>
      </c>
      <c r="C5517" s="5" t="str">
        <f>IFERROR(__xludf.DUMMYFUNCTION("GOOGLETRANSLATE(B5517,""en"",""it"")"),"Il testo appare brevemente sullo schermo.")</f>
        <v>Il testo appare brevemente sullo schermo.</v>
      </c>
    </row>
    <row r="5518">
      <c r="A5518" s="4" t="s">
        <v>6934</v>
      </c>
      <c r="B5518" s="4" t="s">
        <v>6936</v>
      </c>
      <c r="C5518" s="5" t="str">
        <f>IFERROR(__xludf.DUMMYFUNCTION("GOOGLETRANSLATE(B5518,""en"",""it"")"),"Un elefante supera una mucca.")</f>
        <v>Un elefante supera una mucca.</v>
      </c>
    </row>
    <row r="5519">
      <c r="A5519" s="4" t="s">
        <v>6934</v>
      </c>
      <c r="B5519" s="4" t="s">
        <v>6937</v>
      </c>
      <c r="C5519" s="5" t="str">
        <f>IFERROR(__xludf.DUMMYFUNCTION("GOOGLETRANSLATE(B5519,""en"",""it"")"),"Le persone sono in un tubo su un fiume.")</f>
        <v>Le persone sono in un tubo su un fiume.</v>
      </c>
    </row>
    <row r="5520">
      <c r="A5520" s="4" t="s">
        <v>6938</v>
      </c>
      <c r="B5520" s="4" t="s">
        <v>6939</v>
      </c>
      <c r="C5520" s="5" t="str">
        <f>IFERROR(__xludf.DUMMYFUNCTION("GOOGLETRANSLATE(B5520,""en"",""it"")"),"Le persone ballano su una pista da ballo a un matrimonio.")</f>
        <v>Le persone ballano su una pista da ballo a un matrimonio.</v>
      </c>
    </row>
    <row r="5521">
      <c r="A5521" s="4" t="s">
        <v>6938</v>
      </c>
      <c r="B5521" s="4" t="s">
        <v>6940</v>
      </c>
      <c r="C5521" s="5" t="str">
        <f>IFERROR(__xludf.DUMMYFUNCTION("GOOGLETRANSLATE(B5521,""en"",""it"")"),"Una donna in abito da sposa balla con un uomo in smoking.")</f>
        <v>Una donna in abito da sposa balla con un uomo in smoking.</v>
      </c>
    </row>
    <row r="5522">
      <c r="A5522" s="4" t="s">
        <v>6938</v>
      </c>
      <c r="B5522" s="4" t="s">
        <v>6941</v>
      </c>
      <c r="C5522" s="5" t="str">
        <f>IFERROR(__xludf.DUMMYFUNCTION("GOOGLETRANSLATE(B5522,""en"",""it"")"),"Un uomo con una camicia viola balla con una donna.")</f>
        <v>Un uomo con una camicia viola balla con una donna.</v>
      </c>
    </row>
    <row r="5523">
      <c r="A5523" s="4" t="s">
        <v>6942</v>
      </c>
      <c r="B5523" s="4" t="s">
        <v>6943</v>
      </c>
      <c r="C5523" s="5" t="str">
        <f>IFERROR(__xludf.DUMMYFUNCTION("GOOGLETRANSLATE(B5523,""en"",""it"")"),"Le persone si preparano per una corsa in bici BMX.")</f>
        <v>Le persone si preparano per una corsa in bici BMX.</v>
      </c>
    </row>
    <row r="5524">
      <c r="A5524" s="4" t="s">
        <v>6942</v>
      </c>
      <c r="B5524" s="4" t="s">
        <v>6944</v>
      </c>
      <c r="C5524" s="5" t="str">
        <f>IFERROR(__xludf.DUMMYFUNCTION("GOOGLETRANSLATE(B5524,""en"",""it"")"),"Una persona si schiera e poi va.")</f>
        <v>Una persona si schiera e poi va.</v>
      </c>
    </row>
    <row r="5525">
      <c r="A5525" s="4" t="s">
        <v>6945</v>
      </c>
      <c r="B5525" s="4" t="s">
        <v>6946</v>
      </c>
      <c r="C5525" s="5" t="str">
        <f>IFERROR(__xludf.DUMMYFUNCTION("GOOGLETRANSLATE(B5525,""en"",""it"")"),"Una ragazza con una camicia gialla si sta lavando i denti in un bagno.")</f>
        <v>Una ragazza con una camicia gialla si sta lavando i denti in un bagno.</v>
      </c>
    </row>
    <row r="5526">
      <c r="A5526" s="4" t="s">
        <v>6945</v>
      </c>
      <c r="B5526" s="4" t="s">
        <v>6947</v>
      </c>
      <c r="C5526" s="5" t="str">
        <f>IFERROR(__xludf.DUMMYFUNCTION("GOOGLETRANSLATE(B5526,""en"",""it"")"),"Una ragazza accanto a lei con una camicia blu si sta anche sfiorando i denti.")</f>
        <v>Una ragazza accanto a lei con una camicia blu si sta anche sfiorando i denti.</v>
      </c>
    </row>
    <row r="5527">
      <c r="A5527" s="4" t="s">
        <v>6945</v>
      </c>
      <c r="B5527" s="4" t="s">
        <v>6948</v>
      </c>
      <c r="C5527" s="5" t="str">
        <f>IFERROR(__xludf.DUMMYFUNCTION("GOOGLETRANSLATE(B5527,""en"",""it"")"),"Stanno entrambi guardando allo specchio.")</f>
        <v>Stanno entrambi guardando allo specchio.</v>
      </c>
    </row>
    <row r="5528">
      <c r="A5528" s="4" t="s">
        <v>6949</v>
      </c>
      <c r="B5528" s="4" t="s">
        <v>6950</v>
      </c>
      <c r="C5528" s="5" t="str">
        <f>IFERROR(__xludf.DUMMYFUNCTION("GOOGLETRANSLATE(B5528,""en"",""it"")"),"Una donna sta andando rapidamente una bici sdraiata in cucina.")</f>
        <v>Una donna sta andando rapidamente una bici sdraiata in cucina.</v>
      </c>
    </row>
    <row r="5529">
      <c r="A5529" s="4" t="s">
        <v>6949</v>
      </c>
      <c r="B5529" s="4" t="s">
        <v>6951</v>
      </c>
      <c r="C5529" s="5" t="str">
        <f>IFERROR(__xludf.DUMMYFUNCTION("GOOGLETRANSLATE(B5529,""en"",""it"")"),"Si siede vicino alla stufa, spezzando le uova in una padella e facendo una frittata mentre cavalca.")</f>
        <v>Si siede vicino alla stufa, spezzando le uova in una padella e facendo una frittata mentre cavalca.</v>
      </c>
    </row>
    <row r="5530">
      <c r="A5530" s="4" t="s">
        <v>6949</v>
      </c>
      <c r="B5530" s="4" t="s">
        <v>6952</v>
      </c>
      <c r="C5530" s="5" t="str">
        <f>IFERROR(__xludf.DUMMYFUNCTION("GOOGLETRANSLATE(B5530,""en"",""it"")"),"Muove l'uovo, poi lo piazza mentre continua a cavalcare.")</f>
        <v>Muove l'uovo, poi lo piazza mentre continua a cavalcare.</v>
      </c>
    </row>
    <row r="5531">
      <c r="A5531" s="4" t="s">
        <v>6949</v>
      </c>
      <c r="B5531" s="4" t="s">
        <v>6953</v>
      </c>
      <c r="C5531" s="5" t="str">
        <f>IFERROR(__xludf.DUMMYFUNCTION("GOOGLETRANSLATE(B5531,""en"",""it"")"),"Poi mangia mentre continua a cavalcare.")</f>
        <v>Poi mangia mentre continua a cavalcare.</v>
      </c>
    </row>
    <row r="5532">
      <c r="A5532" s="4" t="s">
        <v>6954</v>
      </c>
      <c r="B5532" s="6" t="s">
        <v>6955</v>
      </c>
      <c r="C5532" s="5" t="str">
        <f>IFERROR(__xludf.DUMMYFUNCTION("GOOGLETRANSLATE(B5532,""en"",""it"")"),"Una donna viene vista in ginocchio su un tappetino in un cortile e conduce nella sua flessione all'indietro usando le mani.")</f>
        <v>Una donna viene vista in ginocchio su un tappetino in un cortile e conduce nella sua flessione all'indietro usando le mani.</v>
      </c>
    </row>
    <row r="5533">
      <c r="A5533" s="4" t="s">
        <v>6954</v>
      </c>
      <c r="B5533" s="4" t="s">
        <v>6956</v>
      </c>
      <c r="C5533" s="5" t="str">
        <f>IFERROR(__xludf.DUMMYFUNCTION("GOOGLETRANSLATE(B5533,""en"",""it"")"),"Quindi mette le mani fino in fondo a terra mentre continua a alzare lo sguardo.")</f>
        <v>Quindi mette le mani fino in fondo a terra mentre continua a alzare lo sguardo.</v>
      </c>
    </row>
    <row r="5534">
      <c r="A5534" s="4" t="s">
        <v>6957</v>
      </c>
      <c r="B5534" s="4" t="s">
        <v>6958</v>
      </c>
      <c r="C5534" s="5" t="str">
        <f>IFERROR(__xludf.DUMMYFUNCTION("GOOGLETRANSLATE(B5534,""en"",""it"")"),"Vediamo uno schermo di apertura bianco.")</f>
        <v>Vediamo uno schermo di apertura bianco.</v>
      </c>
    </row>
    <row r="5535">
      <c r="A5535" s="4" t="s">
        <v>6957</v>
      </c>
      <c r="B5535" s="4" t="s">
        <v>6959</v>
      </c>
      <c r="C5535" s="5" t="str">
        <f>IFERROR(__xludf.DUMMYFUNCTION("GOOGLETRANSLATE(B5535,""en"",""it"")"),"Vediamo una signora stirare una camicia su una tavola da stiro e parlare con la telecamera.")</f>
        <v>Vediamo una signora stirare una camicia su una tavola da stiro e parlare con la telecamera.</v>
      </c>
    </row>
    <row r="5536">
      <c r="A5536" s="4" t="s">
        <v>6957</v>
      </c>
      <c r="B5536" s="4" t="s">
        <v>6960</v>
      </c>
      <c r="C5536" s="5" t="str">
        <f>IFERROR(__xludf.DUMMYFUNCTION("GOOGLETRANSLATE(B5536,""en"",""it"")"),"The Lady Irons una manica.")</f>
        <v>The Lady Irons una manica.</v>
      </c>
    </row>
    <row r="5537">
      <c r="A5537" s="4" t="s">
        <v>6957</v>
      </c>
      <c r="B5537" s="4" t="s">
        <v>6961</v>
      </c>
      <c r="C5537" s="5" t="str">
        <f>IFERROR(__xludf.DUMMYFUNCTION("GOOGLETRANSLATE(B5537,""en"",""it"")"),"La signora fa irruzione sul retro della camicia.")</f>
        <v>La signora fa irruzione sul retro della camicia.</v>
      </c>
    </row>
    <row r="5538">
      <c r="A5538" s="4" t="s">
        <v>6957</v>
      </c>
      <c r="B5538" s="4" t="s">
        <v>6962</v>
      </c>
      <c r="C5538" s="5" t="str">
        <f>IFERROR(__xludf.DUMMYFUNCTION("GOOGLETRANSLATE(B5538,""en"",""it"")"),"La signora finisce e tiene la maglietta.")</f>
        <v>La signora finisce e tiene la maglietta.</v>
      </c>
    </row>
    <row r="5539">
      <c r="A5539" s="4" t="s">
        <v>6957</v>
      </c>
      <c r="B5539" s="4" t="s">
        <v>6963</v>
      </c>
      <c r="C5539" s="5" t="str">
        <f>IFERROR(__xludf.DUMMYFUNCTION("GOOGLETRANSLATE(B5539,""en"",""it"")"),"Vediamo uno schermo di chiusura del titolo luminoso.")</f>
        <v>Vediamo uno schermo di chiusura del titolo luminoso.</v>
      </c>
    </row>
    <row r="5540">
      <c r="A5540" s="4" t="s">
        <v>6964</v>
      </c>
      <c r="B5540" s="4" t="s">
        <v>6965</v>
      </c>
      <c r="C5540" s="5" t="str">
        <f>IFERROR(__xludf.DUMMYFUNCTION("GOOGLETRANSLATE(B5540,""en"",""it"")"),"Vediamo la schermata del titolo per Howcast.")</f>
        <v>Vediamo la schermata del titolo per Howcast.</v>
      </c>
    </row>
    <row r="5541">
      <c r="A5541" s="4" t="s">
        <v>6964</v>
      </c>
      <c r="B5541" s="4" t="s">
        <v>6966</v>
      </c>
      <c r="C5541" s="5" t="str">
        <f>IFERROR(__xludf.DUMMYFUNCTION("GOOGLETRANSLATE(B5541,""en"",""it"")"),"Una signora è in piedi in una stanza bianca a parlare con la telecamera.")</f>
        <v>Una signora è in piedi in una stanza bianca a parlare con la telecamera.</v>
      </c>
    </row>
    <row r="5542">
      <c r="A5542" s="4" t="s">
        <v>6964</v>
      </c>
      <c r="B5542" s="4" t="s">
        <v>6967</v>
      </c>
      <c r="C5542" s="5" t="str">
        <f>IFERROR(__xludf.DUMMYFUNCTION("GOOGLETRANSLATE(B5542,""en"",""it"")"),"La signora ci mostra come ballare la danza danzando.")</f>
        <v>La signora ci mostra come ballare la danza danzando.</v>
      </c>
    </row>
    <row r="5543">
      <c r="A5543" s="4" t="s">
        <v>6964</v>
      </c>
      <c r="B5543" s="4" t="s">
        <v>6968</v>
      </c>
      <c r="C5543" s="5" t="str">
        <f>IFERROR(__xludf.DUMMYFUNCTION("GOOGLETRANSLATE(B5543,""en"",""it"")"),"Lei si sposta verso destra e si alza i fianchi mentre balla alla pancia.")</f>
        <v>Lei si sposta verso destra e si alza i fianchi mentre balla alla pancia.</v>
      </c>
    </row>
    <row r="5544">
      <c r="A5544" s="4" t="s">
        <v>6964</v>
      </c>
      <c r="B5544" s="4" t="s">
        <v>6969</v>
      </c>
      <c r="C5544" s="5" t="str">
        <f>IFERROR(__xludf.DUMMYFUNCTION("GOOGLETRANSLATE(B5544,""en"",""it"")"),"La signora mostra come sollevare i fianchi uno alla volta.")</f>
        <v>La signora mostra come sollevare i fianchi uno alla volta.</v>
      </c>
    </row>
    <row r="5545">
      <c r="A5545" s="4" t="s">
        <v>6964</v>
      </c>
      <c r="B5545" s="4" t="s">
        <v>6970</v>
      </c>
      <c r="C5545" s="5" t="str">
        <f>IFERROR(__xludf.DUMMYFUNCTION("GOOGLETRANSLATE(B5545,""en"",""it"")"),"Lei dà una pacca sulla testa e scuote i fianchi più velocemente.")</f>
        <v>Lei dà una pacca sulla testa e scuote i fianchi più velocemente.</v>
      </c>
    </row>
    <row r="5546">
      <c r="A5546" s="4" t="s">
        <v>6964</v>
      </c>
      <c r="B5546" s="4" t="s">
        <v>6971</v>
      </c>
      <c r="C5546" s="5" t="str">
        <f>IFERROR(__xludf.DUMMYFUNCTION("GOOGLETRANSLATE(B5546,""en"",""it"")"),"La signora le scuote i fianchi più velocemente e fa saltare le braccia sopra la testa.")</f>
        <v>La signora le scuote i fianchi più velocemente e fa saltare le braccia sopra la testa.</v>
      </c>
    </row>
    <row r="5547">
      <c r="A5547" s="4" t="s">
        <v>6964</v>
      </c>
      <c r="B5547" s="4" t="s">
        <v>6972</v>
      </c>
      <c r="C5547" s="5" t="str">
        <f>IFERROR(__xludf.DUMMYFUNCTION("GOOGLETRANSLATE(B5547,""en"",""it"")"),"Smette di ballare e si ferma.")</f>
        <v>Smette di ballare e si ferma.</v>
      </c>
    </row>
    <row r="5548">
      <c r="A5548" s="4" t="s">
        <v>6964</v>
      </c>
      <c r="B5548" s="4" t="s">
        <v>6973</v>
      </c>
      <c r="C5548" s="5" t="str">
        <f>IFERROR(__xludf.DUMMYFUNCTION("GOOGLETRANSLATE(B5548,""en"",""it"")"),"I crediti finali si caricano sullo schermo.")</f>
        <v>I crediti finali si caricano sullo schermo.</v>
      </c>
    </row>
    <row r="5549">
      <c r="A5549" s="4" t="s">
        <v>6974</v>
      </c>
      <c r="B5549" s="4" t="s">
        <v>6975</v>
      </c>
      <c r="C5549" s="5" t="str">
        <f>IFERROR(__xludf.DUMMYFUNCTION("GOOGLETRANSLATE(B5549,""en"",""it"")"),"Una ginnasta si esibisce sui bar irregolari mentre gli spettatori guardano la performance.")</f>
        <v>Una ginnasta si esibisce sui bar irregolari mentre gli spettatori guardano la performance.</v>
      </c>
    </row>
    <row r="5550">
      <c r="A5550" s="4" t="s">
        <v>6974</v>
      </c>
      <c r="B5550" s="6" t="s">
        <v>6976</v>
      </c>
      <c r="C5550" s="5" t="str">
        <f>IFERROR(__xludf.DUMMYFUNCTION("GOOGLETRANSLATE(B5550,""en"",""it"")"),"La ginnasta termina la performance e grande il pubblico, e poi si unisce ai suoi amici per aspettare il punteggio.")</f>
        <v>La ginnasta termina la performance e grande il pubblico, e poi si unisce ai suoi amici per aspettare il punteggio.</v>
      </c>
    </row>
    <row r="5551">
      <c r="A5551" s="4" t="s">
        <v>6974</v>
      </c>
      <c r="B5551" s="4" t="s">
        <v>6977</v>
      </c>
      <c r="C5551" s="5" t="str">
        <f>IFERROR(__xludf.DUMMYFUNCTION("GOOGLETRANSLATE(B5551,""en"",""it"")"),"Una donna guarda la ginnasta e applaude.")</f>
        <v>Una donna guarda la ginnasta e applaude.</v>
      </c>
    </row>
    <row r="5552">
      <c r="A5552" s="4" t="s">
        <v>6978</v>
      </c>
      <c r="B5552" s="4" t="s">
        <v>6979</v>
      </c>
      <c r="C5552" s="5" t="str">
        <f>IFERROR(__xludf.DUMMYFUNCTION("GOOGLETRANSLATE(B5552,""en"",""it"")"),"Un sollevatore di pesi è in palestra e solleva un bilanciere.")</f>
        <v>Un sollevatore di pesi è in palestra e solleva un bilanciere.</v>
      </c>
    </row>
    <row r="5553">
      <c r="A5553" s="4" t="s">
        <v>6978</v>
      </c>
      <c r="B5553" s="4" t="s">
        <v>6980</v>
      </c>
      <c r="C5553" s="5" t="str">
        <f>IFERROR(__xludf.DUMMYFUNCTION("GOOGLETRANSLATE(B5553,""en"",""it"")"),"Lo solleva sopra la testa, poi lo lascia cadere a terra prima di andarsene.")</f>
        <v>Lo solleva sopra la testa, poi lo lascia cadere a terra prima di andarsene.</v>
      </c>
    </row>
    <row r="5554">
      <c r="A5554" s="4" t="s">
        <v>6981</v>
      </c>
      <c r="B5554" s="4" t="s">
        <v>6982</v>
      </c>
      <c r="C5554" s="5" t="str">
        <f>IFERROR(__xludf.DUMMYFUNCTION("GOOGLETRANSLATE(B5554,""en"",""it"")"),"Si vede un primo piano di diverse auto che porta a una persona che pulisce le auto.")</f>
        <v>Si vede un primo piano di diverse auto che porta a una persona che pulisce le auto.</v>
      </c>
    </row>
    <row r="5555">
      <c r="A5555" s="4" t="s">
        <v>6981</v>
      </c>
      <c r="B5555" s="4" t="s">
        <v>6983</v>
      </c>
      <c r="C5555" s="5" t="str">
        <f>IFERROR(__xludf.DUMMYFUNCTION("GOOGLETRANSLATE(B5555,""en"",""it"")"),"La persona si asciuga la parte anteriore delle auto con uno straccio che include lungo le gomme.")</f>
        <v>La persona si asciuga la parte anteriore delle auto con uno straccio che include lungo le gomme.</v>
      </c>
    </row>
    <row r="5556">
      <c r="A5556" s="4" t="s">
        <v>6981</v>
      </c>
      <c r="B5556" s="4" t="s">
        <v>6984</v>
      </c>
      <c r="C5556" s="5" t="str">
        <f>IFERROR(__xludf.DUMMYFUNCTION("GOOGLETRANSLATE(B5556,""en"",""it"")"),"Le auto sono mostrate in fila in seguito e mostrate tutte pulite.")</f>
        <v>Le auto sono mostrate in fila in seguito e mostrate tutte pulite.</v>
      </c>
    </row>
    <row r="5557">
      <c r="A5557" s="4" t="s">
        <v>6985</v>
      </c>
      <c r="B5557" s="4" t="s">
        <v>6986</v>
      </c>
      <c r="C5557" s="5" t="str">
        <f>IFERROR(__xludf.DUMMYFUNCTION("GOOGLETRANSLATE(B5557,""en"",""it"")"),"Una banda musicale sfilava la strada.")</f>
        <v>Una banda musicale sfilava la strada.</v>
      </c>
    </row>
    <row r="5558">
      <c r="A5558" s="4" t="s">
        <v>6985</v>
      </c>
      <c r="B5558" s="4" t="s">
        <v>6987</v>
      </c>
      <c r="C5558" s="5" t="str">
        <f>IFERROR(__xludf.DUMMYFUNCTION("GOOGLETRANSLATE(B5558,""en"",""it"")"),"Le persone su entrambi i lati della strada guardano la sfilata e applaudono.")</f>
        <v>Le persone su entrambi i lati della strada guardano la sfilata e applaudono.</v>
      </c>
    </row>
    <row r="5559">
      <c r="A5559" s="4" t="s">
        <v>6988</v>
      </c>
      <c r="B5559" s="4" t="s">
        <v>6989</v>
      </c>
      <c r="C5559" s="5" t="str">
        <f>IFERROR(__xludf.DUMMYFUNCTION("GOOGLETRANSLATE(B5559,""en"",""it"")"),"Viene vista una persona posizionare palline di pasta su una padella e poi metterle in un forno.")</f>
        <v>Viene vista una persona posizionare palline di pasta su una padella e poi metterle in un forno.</v>
      </c>
    </row>
    <row r="5560">
      <c r="A5560" s="4" t="s">
        <v>6988</v>
      </c>
      <c r="B5560" s="4" t="s">
        <v>6990</v>
      </c>
      <c r="C5560" s="5" t="str">
        <f>IFERROR(__xludf.DUMMYFUNCTION("GOOGLETRANSLATE(B5560,""en"",""it"")"),"Quindi li porta fuori dal forno e mette i biscotti su un piatto.")</f>
        <v>Quindi li porta fuori dal forno e mette i biscotti su un piatto.</v>
      </c>
    </row>
    <row r="5561">
      <c r="A5561" s="4" t="s">
        <v>6991</v>
      </c>
      <c r="B5561" s="4" t="s">
        <v>6992</v>
      </c>
      <c r="C5561" s="5" t="str">
        <f>IFERROR(__xludf.DUMMYFUNCTION("GOOGLETRANSLATE(B5561,""en"",""it"")"),"Un bambino piccolo viene visto stirare una camicia su un tavolo e guardare nella telecamera.")</f>
        <v>Un bambino piccolo viene visto stirare una camicia su un tavolo e guardare nella telecamera.</v>
      </c>
    </row>
    <row r="5562">
      <c r="A5562" s="4" t="s">
        <v>6991</v>
      </c>
      <c r="B5562" s="4" t="s">
        <v>6993</v>
      </c>
      <c r="C5562" s="5" t="str">
        <f>IFERROR(__xludf.DUMMYFUNCTION("GOOGLETRANSLATE(B5562,""en"",""it"")"),"Il ragazzo continua a fingere di stirare la camicia e alla fine mette un vestito sul tavolo in ferro.")</f>
        <v>Il ragazzo continua a fingere di stirare la camicia e alla fine mette un vestito sul tavolo in ferro.</v>
      </c>
    </row>
    <row r="5563">
      <c r="A5563" s="4" t="s">
        <v>6991</v>
      </c>
      <c r="B5563" s="4" t="s">
        <v>6994</v>
      </c>
      <c r="C5563" s="5" t="str">
        <f>IFERROR(__xludf.DUMMYFUNCTION("GOOGLETRANSLATE(B5563,""en"",""it"")"),"Ironstra il vestito e lo fa oscillare.")</f>
        <v>Ironstra il vestito e lo fa oscillare.</v>
      </c>
    </row>
    <row r="5564">
      <c r="A5564" s="4" t="s">
        <v>6995</v>
      </c>
      <c r="B5564" s="4" t="s">
        <v>6996</v>
      </c>
      <c r="C5564" s="5" t="str">
        <f>IFERROR(__xludf.DUMMYFUNCTION("GOOGLETRANSLATE(B5564,""en"",""it"")"),"Un uomo cammina con un soffiatore di foglie.")</f>
        <v>Un uomo cammina con un soffiatore di foglie.</v>
      </c>
    </row>
    <row r="5565">
      <c r="A5565" s="4" t="s">
        <v>6995</v>
      </c>
      <c r="B5565" s="4" t="s">
        <v>6997</v>
      </c>
      <c r="C5565" s="5" t="str">
        <f>IFERROR(__xludf.DUMMYFUNCTION("GOOGLETRANSLATE(B5565,""en"",""it"")"),"Spazza le foglie a terra.")</f>
        <v>Spazza le foglie a terra.</v>
      </c>
    </row>
    <row r="5566">
      <c r="A5566" s="4" t="s">
        <v>6995</v>
      </c>
      <c r="B5566" s="4" t="s">
        <v>6998</v>
      </c>
      <c r="C5566" s="5" t="str">
        <f>IFERROR(__xludf.DUMMYFUNCTION("GOOGLETRANSLATE(B5566,""en"",""it"")"),"Le foglie si muovono contro l'asfalto.")</f>
        <v>Le foglie si muovono contro l'asfalto.</v>
      </c>
    </row>
    <row r="5567">
      <c r="A5567" s="4" t="s">
        <v>6995</v>
      </c>
      <c r="B5567" s="4" t="s">
        <v>6999</v>
      </c>
      <c r="C5567" s="5" t="str">
        <f>IFERROR(__xludf.DUMMYFUNCTION("GOOGLETRANSLATE(B5567,""en"",""it"")"),"L'uomo soffia un altro uomo con il soffiatore.")</f>
        <v>L'uomo soffia un altro uomo con il soffiatore.</v>
      </c>
    </row>
    <row r="5568">
      <c r="A5568" s="4" t="s">
        <v>7000</v>
      </c>
      <c r="B5568" s="6" t="s">
        <v>7001</v>
      </c>
      <c r="C5568" s="5" t="str">
        <f>IFERROR(__xludf.DUMMYFUNCTION("GOOGLETRANSLATE(B5568,""en"",""it"")"),"Un uomo viene visto in piedi dietro un bancone che parla alla telecamera e regge i prodotti per la pulizia.")</f>
        <v>Un uomo viene visto in piedi dietro un bancone che parla alla telecamera e regge i prodotti per la pulizia.</v>
      </c>
    </row>
    <row r="5569">
      <c r="A5569" s="4" t="s">
        <v>7000</v>
      </c>
      <c r="B5569" s="4" t="s">
        <v>7002</v>
      </c>
      <c r="C5569" s="5" t="str">
        <f>IFERROR(__xludf.DUMMYFUNCTION("GOOGLETRANSLATE(B5569,""en"",""it"")"),"Mette i prodotti in un lavandino e inizia a strofinarsi intorno ai lati.")</f>
        <v>Mette i prodotti in un lavandino e inizia a strofinarsi intorno ai lati.</v>
      </c>
    </row>
    <row r="5570">
      <c r="A5570" s="4" t="s">
        <v>7000</v>
      </c>
      <c r="B5570" s="4" t="s">
        <v>7003</v>
      </c>
      <c r="C5570" s="5" t="str">
        <f>IFERROR(__xludf.DUMMYFUNCTION("GOOGLETRANSLATE(B5570,""en"",""it"")"),"Si asciuga il bancone e mostra il lavandino finito.")</f>
        <v>Si asciuga il bancone e mostra il lavandino finito.</v>
      </c>
    </row>
    <row r="5571">
      <c r="A5571" s="4" t="s">
        <v>7004</v>
      </c>
      <c r="B5571" s="4" t="s">
        <v>7005</v>
      </c>
      <c r="C5571" s="5" t="str">
        <f>IFERROR(__xludf.DUMMYFUNCTION("GOOGLETRANSLATE(B5571,""en"",""it"")"),"Un uomo che lancia il frisbee al suo cane e il cane cattura.")</f>
        <v>Un uomo che lancia il frisbee al suo cane e il cane cattura.</v>
      </c>
    </row>
    <row r="5572">
      <c r="A5572" s="4" t="s">
        <v>7004</v>
      </c>
      <c r="B5572" s="4" t="s">
        <v>7006</v>
      </c>
      <c r="C5572" s="5" t="str">
        <f>IFERROR(__xludf.DUMMYFUNCTION("GOOGLETRANSLATE(B5572,""en"",""it"")"),"Un proprietario fa una mano in piedi, lancia il frisbee al suo cane, che è in grado di catturare.")</f>
        <v>Un proprietario fa una mano in piedi, lancia il frisbee al suo cane, che è in grado di catturare.</v>
      </c>
    </row>
    <row r="5573">
      <c r="A5573" s="4" t="s">
        <v>7004</v>
      </c>
      <c r="B5573" s="4" t="s">
        <v>7007</v>
      </c>
      <c r="C5573" s="5" t="str">
        <f>IFERROR(__xludf.DUMMYFUNCTION("GOOGLETRANSLATE(B5573,""en"",""it"")"),"Molti proprietari e cani che lanciano e catturano frisbees e fanno trucchi mentre lo fanno.")</f>
        <v>Molti proprietari e cani che lanciano e catturano frisbees e fanno trucchi mentre lo fanno.</v>
      </c>
    </row>
    <row r="5574">
      <c r="A5574" s="4" t="s">
        <v>7004</v>
      </c>
      <c r="B5574" s="4" t="s">
        <v>7008</v>
      </c>
      <c r="C5574" s="5" t="str">
        <f>IFERROR(__xludf.DUMMYFUNCTION("GOOGLETRANSLATE(B5574,""en"",""it"")"),"Una donna apre le braccia e i cani ci salta in loro, cattura il cane.")</f>
        <v>Una donna apre le braccia e i cani ci salta in loro, cattura il cane.</v>
      </c>
    </row>
    <row r="5575">
      <c r="A5575" s="4" t="s">
        <v>7009</v>
      </c>
      <c r="B5575" s="4" t="s">
        <v>1251</v>
      </c>
      <c r="C5575" s="5" t="str">
        <f>IFERROR(__xludf.DUMMYFUNCTION("GOOGLETRANSLATE(B5575,""en"",""it"")"),"Vengono visualizzati i crediti della clip.")</f>
        <v>Vengono visualizzati i crediti della clip.</v>
      </c>
    </row>
    <row r="5576">
      <c r="A5576" s="4" t="s">
        <v>7009</v>
      </c>
      <c r="B5576" s="4" t="s">
        <v>7010</v>
      </c>
      <c r="C5576" s="5" t="str">
        <f>IFERROR(__xludf.DUMMYFUNCTION("GOOGLETRANSLATE(B5576,""en"",""it"")"),"Un ragazzo tiene un bastoncino di lacrosse e istruisce.")</f>
        <v>Un ragazzo tiene un bastoncino di lacrosse e istruisce.</v>
      </c>
    </row>
    <row r="5577">
      <c r="A5577" s="4" t="s">
        <v>7009</v>
      </c>
      <c r="B5577" s="4" t="s">
        <v>7011</v>
      </c>
      <c r="C5577" s="5" t="str">
        <f>IFERROR(__xludf.DUMMYFUNCTION("GOOGLETRANSLATE(B5577,""en"",""it"")"),"Un ragazzo muove una palla con il bastoncino di lacrosse.")</f>
        <v>Un ragazzo muove una palla con il bastoncino di lacrosse.</v>
      </c>
    </row>
    <row r="5578">
      <c r="A5578" s="4" t="s">
        <v>7009</v>
      </c>
      <c r="B5578" s="4" t="s">
        <v>7012</v>
      </c>
      <c r="C5578" s="5" t="str">
        <f>IFERROR(__xludf.DUMMYFUNCTION("GOOGLETRANSLATE(B5578,""en"",""it"")"),"Un ragazzo lancia una palla in un goal.")</f>
        <v>Un ragazzo lancia una palla in un goal.</v>
      </c>
    </row>
    <row r="5579">
      <c r="A5579" s="4" t="s">
        <v>7013</v>
      </c>
      <c r="B5579" s="4" t="s">
        <v>7014</v>
      </c>
      <c r="C5579" s="5" t="str">
        <f>IFERROR(__xludf.DUMMYFUNCTION("GOOGLETRANSLATE(B5579,""en"",""it"")"),"Una persona sta guidando la bici sulla strada sterrata.")</f>
        <v>Una persona sta guidando la bici sulla strada sterrata.</v>
      </c>
    </row>
    <row r="5580">
      <c r="A5580" s="4" t="s">
        <v>7013</v>
      </c>
      <c r="B5580" s="4" t="s">
        <v>7015</v>
      </c>
      <c r="C5580" s="5" t="str">
        <f>IFERROR(__xludf.DUMMYFUNCTION("GOOGLETRANSLATE(B5580,""en"",""it"")"),"Il motociclista saltò in rampe alte.")</f>
        <v>Il motociclista saltò in rampe alte.</v>
      </c>
    </row>
    <row r="5581">
      <c r="A5581" s="4" t="s">
        <v>7013</v>
      </c>
      <c r="B5581" s="4" t="s">
        <v>7016</v>
      </c>
      <c r="C5581" s="5" t="str">
        <f>IFERROR(__xludf.DUMMYFUNCTION("GOOGLETRANSLATE(B5581,""en"",""it"")"),"Il motociclista ha guidato verso il percorso della curva, quindi guidare sulla rampa alta.")</f>
        <v>Il motociclista ha guidato verso il percorso della curva, quindi guidare sulla rampa alta.</v>
      </c>
    </row>
    <row r="5582">
      <c r="A5582" s="4" t="s">
        <v>7017</v>
      </c>
      <c r="B5582" s="6" t="s">
        <v>7018</v>
      </c>
      <c r="C5582" s="5" t="str">
        <f>IFERROR(__xludf.DUMMYFUNCTION("GOOGLETRANSLATE(B5582,""en"",""it"")"),"Ci sono due squadre rappresentate dal colore verde e bianco che giocano lacrosse l'uno contro l'altro in un campo all'aperto.")</f>
        <v>Ci sono due squadre rappresentate dal colore verde e bianco che giocano lacrosse l'uno contro l'altro in un campo all'aperto.</v>
      </c>
    </row>
    <row r="5583">
      <c r="A5583" s="4" t="s">
        <v>7017</v>
      </c>
      <c r="B5583" s="6" t="s">
        <v>7019</v>
      </c>
      <c r="C5583" s="5" t="str">
        <f>IFERROR(__xludf.DUMMYFUNCTION("GOOGLETRANSLATE(B5583,""en"",""it"")"),"Il giocatore della squadra verde inizia a correre con il suo bastone accanto al suo avversario per andare verso la palla.")</f>
        <v>Il giocatore della squadra verde inizia a correre con il suo bastone accanto al suo avversario per andare verso la palla.</v>
      </c>
    </row>
    <row r="5584">
      <c r="A5584" s="4" t="s">
        <v>7017</v>
      </c>
      <c r="B5584" s="4" t="s">
        <v>7020</v>
      </c>
      <c r="C5584" s="5" t="str">
        <f>IFERROR(__xludf.DUMMYFUNCTION("GOOGLETRANSLATE(B5584,""en"",""it"")"),"Le due squadre si avvicinano alla testa mentre si arrampicano per colpire la palla in porta.")</f>
        <v>Le due squadre si avvicinano alla testa mentre si arrampicano per colpire la palla in porta.</v>
      </c>
    </row>
    <row r="5585">
      <c r="A5585" s="4" t="s">
        <v>7017</v>
      </c>
      <c r="B5585" s="4" t="s">
        <v>7021</v>
      </c>
      <c r="C5585" s="5" t="str">
        <f>IFERROR(__xludf.DUMMYFUNCTION("GOOGLETRANSLATE(B5585,""en"",""it"")"),"I giocatori della squadra verde corrono velocemente per impedire alla squadra bianca di ottenere la palla.")</f>
        <v>I giocatori della squadra verde corrono velocemente per impedire alla squadra bianca di ottenere la palla.</v>
      </c>
    </row>
    <row r="5586">
      <c r="A5586" s="4" t="s">
        <v>7017</v>
      </c>
      <c r="B5586" s="6" t="s">
        <v>7022</v>
      </c>
      <c r="C5586" s="5" t="str">
        <f>IFERROR(__xludf.DUMMYFUNCTION("GOOGLETRANSLATE(B5586,""en"",""it"")"),"I giocatori della squadra bianca cercano di tenere il passo con i loro avversari e si concentrano sul colpire la palla in porta.")</f>
        <v>I giocatori della squadra bianca cercano di tenere il passo con i loro avversari e si concentrano sul colpire la palla in porta.</v>
      </c>
    </row>
    <row r="5587">
      <c r="A5587" s="4" t="s">
        <v>7017</v>
      </c>
      <c r="B5587" s="6" t="s">
        <v>7023</v>
      </c>
      <c r="C5587" s="5" t="str">
        <f>IFERROR(__xludf.DUMMYFUNCTION("GOOGLETRANSLATE(B5587,""en"",""it"")"),"Due giocatori di entrambe le squadre vengono correndo l'uno verso l'altro e combattono per la palla, causando la caduta di uno dei giocatori della squadra verde.")</f>
        <v>Due giocatori di entrambe le squadre vengono correndo l'uno verso l'altro e combattono per la palla, causando la caduta di uno dei giocatori della squadra verde.</v>
      </c>
    </row>
    <row r="5588">
      <c r="A5588" s="4" t="s">
        <v>7017</v>
      </c>
      <c r="B5588" s="4" t="s">
        <v>7024</v>
      </c>
      <c r="C5588" s="5" t="str">
        <f>IFERROR(__xludf.DUMMYFUNCTION("GOOGLETRANSLATE(B5588,""en"",""it"")"),"Si prendono una pausa prima che possano riavviare il gioco mentre camminano verso il lato del campo.")</f>
        <v>Si prendono una pausa prima che possano riavviare il gioco mentre camminano verso il lato del campo.</v>
      </c>
    </row>
    <row r="5589">
      <c r="A5589" s="4" t="s">
        <v>7025</v>
      </c>
      <c r="B5589" s="6" t="s">
        <v>7026</v>
      </c>
      <c r="C5589" s="5" t="str">
        <f>IFERROR(__xludf.DUMMYFUNCTION("GOOGLETRANSLATE(B5589,""en"",""it"")"),"Un rivenditore in un tavolo da casinò si occupa di diversi clienti mentre c'è un flusso costante di attività in background.")</f>
        <v>Un rivenditore in un tavolo da casinò si occupa di diversi clienti mentre c'è un flusso costante di attività in background.</v>
      </c>
    </row>
    <row r="5590">
      <c r="A5590" s="4" t="s">
        <v>7025</v>
      </c>
      <c r="B5590" s="4" t="s">
        <v>7027</v>
      </c>
      <c r="C5590" s="5" t="str">
        <f>IFERROR(__xludf.DUMMYFUNCTION("GOOGLETRANSLATE(B5590,""en"",""it"")"),"Uno dei giocatori inizia a ridere.")</f>
        <v>Uno dei giocatori inizia a ridere.</v>
      </c>
    </row>
    <row r="5591">
      <c r="A5591" s="4" t="s">
        <v>7028</v>
      </c>
      <c r="B5591" s="4" t="s">
        <v>7029</v>
      </c>
      <c r="C5591" s="5" t="str">
        <f>IFERROR(__xludf.DUMMYFUNCTION("GOOGLETRANSLATE(B5591,""en"",""it"")"),"Vediamo carte sedute sul tavolo con patatine.")</f>
        <v>Vediamo carte sedute sul tavolo con patatine.</v>
      </c>
    </row>
    <row r="5592">
      <c r="A5592" s="4" t="s">
        <v>7028</v>
      </c>
      <c r="B5592" s="4" t="s">
        <v>7030</v>
      </c>
      <c r="C5592" s="5" t="str">
        <f>IFERROR(__xludf.DUMMYFUNCTION("GOOGLETRANSLATE(B5592,""en"",""it"")"),"Il rivenditore tratta più carte.")</f>
        <v>Il rivenditore tratta più carte.</v>
      </c>
    </row>
    <row r="5593">
      <c r="A5593" s="4" t="s">
        <v>7028</v>
      </c>
      <c r="B5593" s="4" t="s">
        <v>7031</v>
      </c>
      <c r="C5593" s="5" t="str">
        <f>IFERROR(__xludf.DUMMYFUNCTION("GOOGLETRANSLATE(B5593,""en"",""it"")"),"Il rivenditore punta a due carte.")</f>
        <v>Il rivenditore punta a due carte.</v>
      </c>
    </row>
    <row r="5594">
      <c r="A5594" s="4" t="s">
        <v>7028</v>
      </c>
      <c r="B5594" s="4" t="s">
        <v>7032</v>
      </c>
      <c r="C5594" s="5" t="str">
        <f>IFERROR(__xludf.DUMMYFUNCTION("GOOGLETRANSLATE(B5594,""en"",""it"")"),"Il commerciante gira una carta e prende le patatine dell'uomo.")</f>
        <v>Il commerciante gira una carta e prende le patatine dell'uomo.</v>
      </c>
    </row>
    <row r="5595">
      <c r="A5595" s="4" t="s">
        <v>7033</v>
      </c>
      <c r="B5595" s="4" t="s">
        <v>7034</v>
      </c>
      <c r="C5595" s="5" t="str">
        <f>IFERROR(__xludf.DUMMYFUNCTION("GOOGLETRANSLATE(B5595,""en"",""it"")"),"Una pubblicità mostra la presentazione di due ballerini.")</f>
        <v>Una pubblicità mostra la presentazione di due ballerini.</v>
      </c>
    </row>
    <row r="5596">
      <c r="A5596" s="4" t="s">
        <v>7033</v>
      </c>
      <c r="B5596" s="4" t="s">
        <v>7035</v>
      </c>
      <c r="C5596" s="5" t="str">
        <f>IFERROR(__xludf.DUMMYFUNCTION("GOOGLETRANSLATE(B5596,""en"",""it"")"),"La coppia balla tenendo le mani girando entrambe.")</f>
        <v>La coppia balla tenendo le mani girando entrambe.</v>
      </c>
    </row>
    <row r="5597">
      <c r="A5597" s="4" t="s">
        <v>7033</v>
      </c>
      <c r="B5597" s="4" t="s">
        <v>7036</v>
      </c>
      <c r="C5597" s="5" t="str">
        <f>IFERROR(__xludf.DUMMYFUNCTION("GOOGLETRANSLATE(B5597,""en"",""it"")"),"La donna si gira tenendo la mano dell'uomo.")</f>
        <v>La donna si gira tenendo la mano dell'uomo.</v>
      </c>
    </row>
    <row r="5598">
      <c r="A5598" s="4" t="s">
        <v>7037</v>
      </c>
      <c r="B5598" s="4" t="s">
        <v>7038</v>
      </c>
      <c r="C5598" s="5" t="str">
        <f>IFERROR(__xludf.DUMMYFUNCTION("GOOGLETRANSLATE(B5598,""en"",""it"")"),"Le donne camminano su un lago e mettono le scarpe e l'imbracatura.")</f>
        <v>Le donne camminano su un lago e mettono le scarpe e l'imbracatura.</v>
      </c>
    </row>
    <row r="5599">
      <c r="A5599" s="4" t="s">
        <v>7037</v>
      </c>
      <c r="B5599" s="4" t="s">
        <v>7039</v>
      </c>
      <c r="C5599" s="5" t="str">
        <f>IFERROR(__xludf.DUMMYFUNCTION("GOOGLETRANSLATE(B5599,""en"",""it"")"),"Le donne stanno arrampicando una parete di roccia attaccata a un'imbracatura.")</f>
        <v>Le donne stanno arrampicando una parete di roccia attaccata a un'imbracatura.</v>
      </c>
    </row>
    <row r="5600">
      <c r="A5600" s="4" t="s">
        <v>7037</v>
      </c>
      <c r="B5600" s="4" t="s">
        <v>7040</v>
      </c>
      <c r="C5600" s="5" t="str">
        <f>IFERROR(__xludf.DUMMYFUNCTION("GOOGLETRANSLATE(B5600,""en"",""it"")"),"La donna sta scendendo e quando è a terra stringi la mano con l'altra donna.")</f>
        <v>La donna sta scendendo e quando è a terra stringi la mano con l'altra donna.</v>
      </c>
    </row>
    <row r="5601">
      <c r="A5601" s="4" t="s">
        <v>7041</v>
      </c>
      <c r="B5601" s="4" t="s">
        <v>7042</v>
      </c>
      <c r="C5601" s="5" t="str">
        <f>IFERROR(__xludf.DUMMYFUNCTION("GOOGLETRANSLATE(B5601,""en"",""it"")"),"Una donna è in piedi dietro un bancone con in mano un bicchiere di martini.")</f>
        <v>Una donna è in piedi dietro un bancone con in mano un bicchiere di martini.</v>
      </c>
    </row>
    <row r="5602">
      <c r="A5602" s="4" t="s">
        <v>7041</v>
      </c>
      <c r="B5602" s="4" t="s">
        <v>7043</v>
      </c>
      <c r="C5602" s="5" t="str">
        <f>IFERROR(__xludf.DUMMYFUNCTION("GOOGLETRANSLATE(B5602,""en"",""it"")"),"Scarica un po 'di ghiaccio nel vetro.")</f>
        <v>Scarica un po 'di ghiaccio nel vetro.</v>
      </c>
    </row>
    <row r="5603">
      <c r="A5603" s="4" t="s">
        <v>7041</v>
      </c>
      <c r="B5603" s="4" t="s">
        <v>7044</v>
      </c>
      <c r="C5603" s="5" t="str">
        <f>IFERROR(__xludf.DUMMYFUNCTION("GOOGLETRANSLATE(B5603,""en"",""it"")"),"Mette un po 'di ghiaccio in un altro bicchiere e aggiunge scatti di alcol.")</f>
        <v>Mette un po 'di ghiaccio in un altro bicchiere e aggiunge scatti di alcol.</v>
      </c>
    </row>
    <row r="5604">
      <c r="A5604" s="4" t="s">
        <v>7041</v>
      </c>
      <c r="B5604" s="4" t="s">
        <v>7045</v>
      </c>
      <c r="C5604" s="5" t="str">
        <f>IFERROR(__xludf.DUMMYFUNCTION("GOOGLETRANSLATE(B5604,""en"",""it"")"),"Scuote il drink in uno shaker nero.")</f>
        <v>Scuote il drink in uno shaker nero.</v>
      </c>
    </row>
    <row r="5605">
      <c r="A5605" s="4" t="s">
        <v>7041</v>
      </c>
      <c r="B5605" s="4" t="s">
        <v>7046</v>
      </c>
      <c r="C5605" s="5" t="str">
        <f>IFERROR(__xludf.DUMMYFUNCTION("GOOGLETRANSLATE(B5605,""en"",""it"")"),"Versa il ghiaccio da un bicchiere di martini.")</f>
        <v>Versa il ghiaccio da un bicchiere di martini.</v>
      </c>
    </row>
    <row r="5606">
      <c r="A5606" s="4" t="s">
        <v>7041</v>
      </c>
      <c r="B5606" s="4" t="s">
        <v>7047</v>
      </c>
      <c r="C5606" s="5" t="str">
        <f>IFERROR(__xludf.DUMMYFUNCTION("GOOGLETRANSLATE(B5606,""en"",""it"")"),"Versa la bevanda nel bicchiere di Martini.")</f>
        <v>Versa la bevanda nel bicchiere di Martini.</v>
      </c>
    </row>
    <row r="5607">
      <c r="A5607" s="4" t="s">
        <v>7041</v>
      </c>
      <c r="B5607" s="4" t="s">
        <v>7048</v>
      </c>
      <c r="C5607" s="5" t="str">
        <f>IFERROR(__xludf.DUMMYFUNCTION("GOOGLETRANSLATE(B5607,""en"",""it"")"),"Alza in mano il bicchiere di Martini.")</f>
        <v>Alza in mano il bicchiere di Martini.</v>
      </c>
    </row>
    <row r="5608">
      <c r="A5608" s="4" t="s">
        <v>7049</v>
      </c>
      <c r="B5608" s="6" t="s">
        <v>7050</v>
      </c>
      <c r="C5608" s="5" t="str">
        <f>IFERROR(__xludf.DUMMYFUNCTION("GOOGLETRANSLATE(B5608,""en"",""it"")"),"Due lottatori di sumo sono visti combattere che conducono a persone che entrano e altri ballano insieme.")</f>
        <v>Due lottatori di sumo sono visti combattere che conducono a persone che entrano e altri ballano insieme.</v>
      </c>
    </row>
    <row r="5609">
      <c r="A5609" s="4" t="s">
        <v>7049</v>
      </c>
      <c r="B5609" s="6" t="s">
        <v>7051</v>
      </c>
      <c r="C5609" s="5" t="str">
        <f>IFERROR(__xludf.DUMMYFUNCTION("GOOGLETRANSLATE(B5609,""en"",""it"")"),"Più lottatori si piegano l'uno verso l'altro e iniziano a lottare mentre le persone battono sul lato.")</f>
        <v>Più lottatori si piegano l'uno verso l'altro e iniziano a lottare mentre le persone battono sul lato.</v>
      </c>
    </row>
    <row r="5610">
      <c r="A5610" s="4" t="s">
        <v>7049</v>
      </c>
      <c r="B5610" s="4" t="s">
        <v>7052</v>
      </c>
      <c r="C5610" s="5" t="str">
        <f>IFERROR(__xludf.DUMMYFUNCTION("GOOGLETRANSLATE(B5610,""en"",""it"")"),"Più persone sono entrate e continuano a lottare sulla fossa.")</f>
        <v>Più persone sono entrate e continuano a lottare sulla fossa.</v>
      </c>
    </row>
    <row r="5611">
      <c r="A5611" s="4" t="s">
        <v>7053</v>
      </c>
      <c r="B5611" s="4" t="s">
        <v>7054</v>
      </c>
      <c r="C5611" s="5" t="str">
        <f>IFERROR(__xludf.DUMMYFUNCTION("GOOGLETRANSLATE(B5611,""en"",""it"")"),"Un uomo viene visto seduto su un pezzo di attrezzatura da esercizio che si sposta indietro e quarto.")</f>
        <v>Un uomo viene visto seduto su un pezzo di attrezzatura da esercizio che si sposta indietro e quarto.</v>
      </c>
    </row>
    <row r="5612">
      <c r="A5612" s="4" t="s">
        <v>7053</v>
      </c>
      <c r="B5612" s="4" t="s">
        <v>7055</v>
      </c>
      <c r="C5612" s="5" t="str">
        <f>IFERROR(__xludf.DUMMYFUNCTION("GOOGLETRANSLATE(B5612,""en"",""it"")"),"L'uomo continua a muoversi a velocità diverse e tornando indietro.")</f>
        <v>L'uomo continua a muoversi a velocità diverse e tornando indietro.</v>
      </c>
    </row>
    <row r="5613">
      <c r="A5613" s="4" t="s">
        <v>7056</v>
      </c>
      <c r="B5613" s="6" t="s">
        <v>7057</v>
      </c>
      <c r="C5613" s="5" t="str">
        <f>IFERROR(__xludf.DUMMYFUNCTION("GOOGLETRANSLATE(B5613,""en"",""it"")"),"Un gruppo di persone è in piedi nel mezzo di una foresta con una scia di ciottoli che li separano da una bellissima corpo idrico cristallina.")</f>
        <v>Un gruppo di persone è in piedi nel mezzo di una foresta con una scia di ciottoli che li separano da una bellissima corpo idrico cristallina.</v>
      </c>
    </row>
    <row r="5614">
      <c r="A5614" s="4" t="s">
        <v>7056</v>
      </c>
      <c r="B5614" s="6" t="s">
        <v>7058</v>
      </c>
      <c r="C5614" s="5" t="str">
        <f>IFERROR(__xludf.DUMMYFUNCTION("GOOGLETRANSLATE(B5614,""en"",""it"")"),"La telecamera si muove attraverso l'acqua e diverse persone su barche e ski a getto si muovono nell'acqua vicino a una grande ondata.")</f>
        <v>La telecamera si muove attraverso l'acqua e diverse persone su barche e ski a getto si muovono nell'acqua vicino a una grande ondata.</v>
      </c>
    </row>
    <row r="5615">
      <c r="A5615" s="4" t="s">
        <v>7056</v>
      </c>
      <c r="B5615" s="4" t="s">
        <v>7059</v>
      </c>
      <c r="C5615" s="5" t="str">
        <f>IFERROR(__xludf.DUMMYFUNCTION("GOOGLETRANSLATE(B5615,""en"",""it"")"),"Più onde più grandi iniziano a emergere e un uomo inizia a navigare sulle onde.")</f>
        <v>Più onde più grandi iniziano a emergere e un uomo inizia a navigare sulle onde.</v>
      </c>
    </row>
    <row r="5616">
      <c r="A5616" s="4" t="s">
        <v>7056</v>
      </c>
      <c r="B5616" s="6" t="s">
        <v>7060</v>
      </c>
      <c r="C5616" s="5" t="str">
        <f>IFERROR(__xludf.DUMMYFUNCTION("GOOGLETRANSLATE(B5616,""en"",""it"")"),"Viene quindi mostrata la foresta e vengono lavate le schede di surf che vengono lavate contro le rive dell'acqua.")</f>
        <v>Viene quindi mostrata la foresta e vengono lavate le schede di surf che vengono lavate contro le rive dell'acqua.</v>
      </c>
    </row>
    <row r="5617">
      <c r="A5617" s="4" t="s">
        <v>7061</v>
      </c>
      <c r="B5617" s="4" t="s">
        <v>7062</v>
      </c>
      <c r="C5617" s="5" t="str">
        <f>IFERROR(__xludf.DUMMYFUNCTION("GOOGLETRANSLATE(B5617,""en"",""it"")"),"Un'auto sta guidando lungo l'autostrada a una velocità rapida, prende un'uscita per parcheggiare.")</f>
        <v>Un'auto sta guidando lungo l'autostrada a una velocità rapida, prende un'uscita per parcheggiare.</v>
      </c>
    </row>
    <row r="5618">
      <c r="A5618" s="4" t="s">
        <v>7061</v>
      </c>
      <c r="B5618" s="4" t="s">
        <v>7063</v>
      </c>
      <c r="C5618" s="5" t="str">
        <f>IFERROR(__xludf.DUMMYFUNCTION("GOOGLETRANSLATE(B5618,""en"",""it"")"),"Quindi, sono in palestra ed è una classe piena di persone che saltano la corda.")</f>
        <v>Quindi, sono in palestra ed è una classe piena di persone che saltano la corda.</v>
      </c>
    </row>
    <row r="5619">
      <c r="A5619" s="4" t="s">
        <v>7061</v>
      </c>
      <c r="B5619" s="6" t="s">
        <v>7064</v>
      </c>
      <c r="C5619" s="5" t="str">
        <f>IFERROR(__xludf.DUMMYFUNCTION("GOOGLETRANSLATE(B5619,""en"",""it"")"),"Un allenatore di una donna e una corda di salto per bambini uno contro uno insieme, va in giro per istruire alcuni altri studenti della classe.")</f>
        <v>Un allenatore di una donna e una corda di salto per bambini uno contro uno insieme, va in giro per istruire alcuni altri studenti della classe.</v>
      </c>
    </row>
    <row r="5620">
      <c r="A5620" s="4" t="s">
        <v>7061</v>
      </c>
      <c r="B5620" s="4" t="s">
        <v>7065</v>
      </c>
      <c r="C5620" s="5" t="str">
        <f>IFERROR(__xludf.DUMMYFUNCTION("GOOGLETRANSLATE(B5620,""en"",""it"")"),"La classe termina con le foto dell'allenatore e dei suoi studenti.")</f>
        <v>La classe termina con le foto dell'allenatore e dei suoi studenti.</v>
      </c>
    </row>
    <row r="5621">
      <c r="A5621" s="4" t="s">
        <v>7066</v>
      </c>
      <c r="B5621" s="4" t="s">
        <v>7067</v>
      </c>
      <c r="C5621" s="5" t="str">
        <f>IFERROR(__xludf.DUMMYFUNCTION("GOOGLETRANSLATE(B5621,""en"",""it"")"),"Un uomo guida un tosaerba su un prato.")</f>
        <v>Un uomo guida un tosaerba su un prato.</v>
      </c>
    </row>
    <row r="5622">
      <c r="A5622" s="4" t="s">
        <v>7066</v>
      </c>
      <c r="B5622" s="4" t="s">
        <v>7068</v>
      </c>
      <c r="C5622" s="5" t="str">
        <f>IFERROR(__xludf.DUMMYFUNCTION("GOOGLETRANSLATE(B5622,""en"",""it"")"),"L'uomo si gira alla sua sinistra.")</f>
        <v>L'uomo si gira alla sua sinistra.</v>
      </c>
    </row>
    <row r="5623">
      <c r="A5623" s="4" t="s">
        <v>7066</v>
      </c>
      <c r="B5623" s="4" t="s">
        <v>7069</v>
      </c>
      <c r="C5623" s="5" t="str">
        <f>IFERROR(__xludf.DUMMYFUNCTION("GOOGLETRANSLATE(B5623,""en"",""it"")"),"Un vagone dietro l'uomo viene tirato con i bambini al seguito.")</f>
        <v>Un vagone dietro l'uomo viene tirato con i bambini al seguito.</v>
      </c>
    </row>
    <row r="5624">
      <c r="A5624" s="4" t="s">
        <v>7066</v>
      </c>
      <c r="B5624" s="4" t="s">
        <v>7070</v>
      </c>
      <c r="C5624" s="5" t="str">
        <f>IFERROR(__xludf.DUMMYFUNCTION("GOOGLETRANSLATE(B5624,""en"",""it"")"),"L'uomo quindi circonda il prato.")</f>
        <v>L'uomo quindi circonda il prato.</v>
      </c>
    </row>
    <row r="5625">
      <c r="A5625" s="4" t="s">
        <v>7071</v>
      </c>
      <c r="B5625" s="4" t="s">
        <v>7072</v>
      </c>
      <c r="C5625" s="5" t="str">
        <f>IFERROR(__xludf.DUMMYFUNCTION("GOOGLETRANSLATE(B5625,""en"",""it"")"),"Una donna e una ragazza stanno portando ciascuno un cane in una zona erbosa.")</f>
        <v>Una donna e una ragazza stanno portando ciascuno un cane in una zona erbosa.</v>
      </c>
    </row>
    <row r="5626">
      <c r="A5626" s="4" t="s">
        <v>7071</v>
      </c>
      <c r="B5626" s="4" t="s">
        <v>7073</v>
      </c>
      <c r="C5626" s="5" t="str">
        <f>IFERROR(__xludf.DUMMYFUNCTION("GOOGLETRANSLATE(B5626,""en"",""it"")"),"Si avvicinano a un'altra donna seduta su una sedia.")</f>
        <v>Si avvicinano a un'altra donna seduta su una sedia.</v>
      </c>
    </row>
    <row r="5627">
      <c r="A5627" s="4" t="s">
        <v>7071</v>
      </c>
      <c r="B5627" s="4" t="s">
        <v>7074</v>
      </c>
      <c r="C5627" s="5" t="str">
        <f>IFERROR(__xludf.DUMMYFUNCTION("GOOGLETRANSLATE(B5627,""en"",""it"")"),"Accoglie uno dei cani.")</f>
        <v>Accoglie uno dei cani.</v>
      </c>
    </row>
    <row r="5628">
      <c r="A5628" s="4" t="s">
        <v>7071</v>
      </c>
      <c r="B5628" s="4" t="s">
        <v>7075</v>
      </c>
      <c r="C5628" s="5" t="str">
        <f>IFERROR(__xludf.DUMMYFUNCTION("GOOGLETRANSLATE(B5628,""en"",""it"")"),"Un'altra donna è seduta dietro la donna che animali domestici.")</f>
        <v>Un'altra donna è seduta dietro la donna che animali domestici.</v>
      </c>
    </row>
    <row r="5629">
      <c r="A5629" s="4" t="s">
        <v>7071</v>
      </c>
      <c r="B5629" s="6" t="s">
        <v>7076</v>
      </c>
      <c r="C5629" s="5" t="str">
        <f>IFERROR(__xludf.DUMMYFUNCTION("GOOGLETRANSLATE(B5629,""en"",""it"")"),"La donna con il cane si avvicina e prende il guinzaglio del secondo cane dalla ragazza e si allontana con i cani e la ragazza che continuano a far parte di un guinzaglio.")</f>
        <v>La donna con il cane si avvicina e prende il guinzaglio del secondo cane dalla ragazza e si allontana con i cani e la ragazza che continuano a far parte di un guinzaglio.</v>
      </c>
    </row>
    <row r="5630">
      <c r="A5630" s="4" t="s">
        <v>7071</v>
      </c>
      <c r="B5630" s="4" t="s">
        <v>7077</v>
      </c>
      <c r="C5630" s="5" t="str">
        <f>IFERROR(__xludf.DUMMYFUNCTION("GOOGLETRANSLATE(B5630,""en"",""it"")"),"Un uomo è in piedi di lato a guardare.")</f>
        <v>Un uomo è in piedi di lato a guardare.</v>
      </c>
    </row>
    <row r="5631">
      <c r="A5631" s="4" t="s">
        <v>7071</v>
      </c>
      <c r="B5631" s="6" t="s">
        <v>7078</v>
      </c>
      <c r="C5631" s="5" t="str">
        <f>IFERROR(__xludf.DUMMYFUNCTION("GOOGLETRANSLATE(B5631,""en"",""it"")"),"La donna e la ragazza, ognuna di nuovo con un cane, si fermano nella zona erbosa, parlano e poi continuano a camminare.")</f>
        <v>La donna e la ragazza, ognuna di nuovo con un cane, si fermano nella zona erbosa, parlano e poi continuano a camminare.</v>
      </c>
    </row>
    <row r="5632">
      <c r="A5632" s="4" t="s">
        <v>7079</v>
      </c>
      <c r="B5632" s="4" t="s">
        <v>7080</v>
      </c>
      <c r="C5632" s="5" t="str">
        <f>IFERROR(__xludf.DUMMYFUNCTION("GOOGLETRANSLATE(B5632,""en"",""it"")"),"Vediamo uno schermo del titolo oscuro.")</f>
        <v>Vediamo uno schermo del titolo oscuro.</v>
      </c>
    </row>
    <row r="5633">
      <c r="A5633" s="4" t="s">
        <v>7079</v>
      </c>
      <c r="B5633" s="4" t="s">
        <v>7081</v>
      </c>
      <c r="C5633" s="5" t="str">
        <f>IFERROR(__xludf.DUMMYFUNCTION("GOOGLETRANSLATE(B5633,""en"",""it"")"),"Vediamo titoli sullo schermo e vediamo gli uomini.")</f>
        <v>Vediamo titoli sullo schermo e vediamo gli uomini.</v>
      </c>
    </row>
    <row r="5634">
      <c r="A5634" s="4" t="s">
        <v>7079</v>
      </c>
      <c r="B5634" s="4" t="s">
        <v>7082</v>
      </c>
      <c r="C5634" s="5" t="str">
        <f>IFERROR(__xludf.DUMMYFUNCTION("GOOGLETRANSLATE(B5634,""en"",""it"")"),"Vediamo due uomini che combattono MMA su un anello.")</f>
        <v>Vediamo due uomini che combattono MMA su un anello.</v>
      </c>
    </row>
    <row r="5635">
      <c r="A5635" s="4" t="s">
        <v>7079</v>
      </c>
      <c r="B5635" s="4" t="s">
        <v>7083</v>
      </c>
      <c r="C5635" s="5" t="str">
        <f>IFERROR(__xludf.DUMMYFUNCTION("GOOGLETRANSLATE(B5635,""en"",""it"")"),"Il grande uomo sta perdendo la presa sull'uomo più piccolo.")</f>
        <v>Il grande uomo sta perdendo la presa sull'uomo più piccolo.</v>
      </c>
    </row>
    <row r="5636">
      <c r="A5636" s="4" t="s">
        <v>7079</v>
      </c>
      <c r="B5636" s="4" t="s">
        <v>7084</v>
      </c>
      <c r="C5636" s="5" t="str">
        <f>IFERROR(__xludf.DUMMYFUNCTION("GOOGLETRANSLATE(B5636,""en"",""it"")"),"L'arbitro viene agli uomini e saluta le braccia.")</f>
        <v>L'arbitro viene agli uomini e saluta le braccia.</v>
      </c>
    </row>
    <row r="5637">
      <c r="A5637" s="4" t="s">
        <v>7079</v>
      </c>
      <c r="B5637" s="4" t="s">
        <v>7085</v>
      </c>
      <c r="C5637" s="5" t="str">
        <f>IFERROR(__xludf.DUMMYFUNCTION("GOOGLETRANSLATE(B5637,""en"",""it"")"),"Vediamo il risultato del gioco sullo schermo.")</f>
        <v>Vediamo il risultato del gioco sullo schermo.</v>
      </c>
    </row>
    <row r="5638">
      <c r="A5638" s="4" t="s">
        <v>7079</v>
      </c>
      <c r="B5638" s="4" t="s">
        <v>7086</v>
      </c>
      <c r="C5638" s="5" t="str">
        <f>IFERROR(__xludf.DUMMYFUNCTION("GOOGLETRANSLATE(B5638,""en"",""it"")"),"Il combattente più piccolo abbraccia un altro uomo.")</f>
        <v>Il combattente più piccolo abbraccia un altro uomo.</v>
      </c>
    </row>
    <row r="5639">
      <c r="A5639" s="4" t="s">
        <v>7079</v>
      </c>
      <c r="B5639" s="4" t="s">
        <v>7087</v>
      </c>
      <c r="C5639" s="5" t="str">
        <f>IFERROR(__xludf.DUMMYFUNCTION("GOOGLETRANSLATE(B5639,""en"",""it"")"),"Vediamo quindi i crediti finali di chiusura.")</f>
        <v>Vediamo quindi i crediti finali di chiusura.</v>
      </c>
    </row>
    <row r="5640">
      <c r="A5640" s="4" t="s">
        <v>7088</v>
      </c>
      <c r="B5640" s="4" t="s">
        <v>7089</v>
      </c>
      <c r="C5640" s="5" t="str">
        <f>IFERROR(__xludf.DUMMYFUNCTION("GOOGLETRANSLATE(B5640,""en"",""it"")"),"A un gruppo di persone viene mostrato a rotelle a Parigi.")</f>
        <v>A un gruppo di persone viene mostrato a rotelle a Parigi.</v>
      </c>
    </row>
    <row r="5641">
      <c r="A5641" s="4" t="s">
        <v>7088</v>
      </c>
      <c r="B5641" s="6" t="s">
        <v>7090</v>
      </c>
      <c r="C5641" s="5" t="str">
        <f>IFERROR(__xludf.DUMMYFUNCTION("GOOGLETRANSLATE(B5641,""en"",""it"")"),"Si stanno muovendo lentamente e ce ne sono molti mentre alcuni di loro guardano nella telecamera mentre passano.")</f>
        <v>Si stanno muovendo lentamente e ce ne sono molti mentre alcuni di loro guardano nella telecamera mentre passano.</v>
      </c>
    </row>
    <row r="5642">
      <c r="A5642" s="4" t="s">
        <v>7088</v>
      </c>
      <c r="B5642" s="4" t="s">
        <v>7091</v>
      </c>
      <c r="C5642" s="5" t="str">
        <f>IFERROR(__xludf.DUMMYFUNCTION("GOOGLETRANSLATE(B5642,""en"",""it"")"),"La processione continua mentre gli spettatori si guardano in avanti.")</f>
        <v>La processione continua mentre gli spettatori si guardano in avanti.</v>
      </c>
    </row>
    <row r="5643">
      <c r="A5643" s="4" t="s">
        <v>7088</v>
      </c>
      <c r="B5643" s="4" t="s">
        <v>7092</v>
      </c>
      <c r="C5643" s="5" t="str">
        <f>IFERROR(__xludf.DUMMYFUNCTION("GOOGLETRANSLATE(B5643,""en"",""it"")"),"Il video taglia l'angolo laterale dei rulli che passano.")</f>
        <v>Il video taglia l'angolo laterale dei rulli che passano.</v>
      </c>
    </row>
    <row r="5644">
      <c r="A5644" s="4" t="s">
        <v>7088</v>
      </c>
      <c r="B5644" s="6" t="s">
        <v>7093</v>
      </c>
      <c r="C5644" s="5" t="str">
        <f>IFERROR(__xludf.DUMMYFUNCTION("GOOGLETRANSLATE(B5644,""en"",""it"")"),"Viene mostrato un altro tiro laterale e vengono visualizzate una macchina per poliziotti e diversi veicoli di scorta mentre il video si attenua al nero.")</f>
        <v>Viene mostrato un altro tiro laterale e vengono visualizzate una macchina per poliziotti e diversi veicoli di scorta mentre il video si attenua al nero.</v>
      </c>
    </row>
    <row r="5645">
      <c r="A5645" s="4" t="s">
        <v>7094</v>
      </c>
      <c r="B5645" s="4" t="s">
        <v>7095</v>
      </c>
      <c r="C5645" s="5" t="str">
        <f>IFERROR(__xludf.DUMMYFUNCTION("GOOGLETRANSLATE(B5645,""en"",""it"")"),"Una persona sta registrando un evento di combattimento di tori dal suo televisore.")</f>
        <v>Una persona sta registrando un evento di combattimento di tori dal suo televisore.</v>
      </c>
    </row>
    <row r="5646">
      <c r="A5646" s="4" t="s">
        <v>7094</v>
      </c>
      <c r="B5646" s="6" t="s">
        <v>7096</v>
      </c>
      <c r="C5646" s="5" t="str">
        <f>IFERROR(__xludf.DUMMYFUNCTION("GOOGLETRANSLATE(B5646,""en"",""it"")"),"La scena del combattimento di tori si trova in una grande arena aperta che è piena di migliaia di spettatori che fanno il tifo.")</f>
        <v>La scena del combattimento di tori si trova in una grande arena aperta che è piena di migliaia di spettatori che fanno il tifo.</v>
      </c>
    </row>
    <row r="5647">
      <c r="A5647" s="4" t="s">
        <v>7094</v>
      </c>
      <c r="B5647" s="6" t="s">
        <v>7097</v>
      </c>
      <c r="C5647" s="5" t="str">
        <f>IFERROR(__xludf.DUMMYFUNCTION("GOOGLETRANSLATE(B5647,""en"",""it"")"),"I due tori in tempesta sono costantemente teste di tolleranza mentre i Matadors stanno cercando di contenere i tori all'interno di una zona specificata.")</f>
        <v>I due tori in tempesta sono costantemente teste di tolleranza mentre i Matadors stanno cercando di contenere i tori all'interno di una zona specificata.</v>
      </c>
    </row>
    <row r="5648">
      <c r="A5648" s="4" t="s">
        <v>7094</v>
      </c>
      <c r="B5648" s="4" t="s">
        <v>7098</v>
      </c>
      <c r="C5648" s="5" t="str">
        <f>IFERROR(__xludf.DUMMYFUNCTION("GOOGLETRANSLATE(B5648,""en"",""it"")"),"La folla continua a rallegrare mentre l'evento continua.")</f>
        <v>La folla continua a rallegrare mentre l'evento continua.</v>
      </c>
    </row>
    <row r="5649">
      <c r="A5649" s="4" t="s">
        <v>7099</v>
      </c>
      <c r="B5649" s="4" t="s">
        <v>7100</v>
      </c>
      <c r="C5649" s="5" t="str">
        <f>IFERROR(__xludf.DUMMYFUNCTION("GOOGLETRANSLATE(B5649,""en"",""it"")"),"Un'introduzione conduce in una donna che tiene una fisarmonica e una donna in un abito da sposa accanto a lei.")</f>
        <v>Un'introduzione conduce in una donna che tiene una fisarmonica e una donna in un abito da sposa accanto a lei.</v>
      </c>
    </row>
    <row r="5650">
      <c r="A5650" s="4" t="s">
        <v>7099</v>
      </c>
      <c r="B5650" s="6" t="s">
        <v>7101</v>
      </c>
      <c r="C5650" s="5" t="str">
        <f>IFERROR(__xludf.DUMMYFUNCTION("GOOGLETRANSLATE(B5650,""en"",""it"")"),"La donna inizia quindi a suonare lo strumento mentre altri la stanno intorno e guardano e altri suonano.")</f>
        <v>La donna inizia quindi a suonare lo strumento mentre altri la stanno intorno e guardano e altri suonano.</v>
      </c>
    </row>
    <row r="5651">
      <c r="A5651" s="4" t="s">
        <v>7102</v>
      </c>
      <c r="B5651" s="4" t="s">
        <v>7103</v>
      </c>
      <c r="C5651" s="5" t="str">
        <f>IFERROR(__xludf.DUMMYFUNCTION("GOOGLETRANSLATE(B5651,""en"",""it"")"),"Una donna si spalma una crema bianca sulla fronte e sulle guance.")</f>
        <v>Una donna si spalma una crema bianca sulla fronte e sulle guance.</v>
      </c>
    </row>
    <row r="5652">
      <c r="A5652" s="4" t="s">
        <v>7102</v>
      </c>
      <c r="B5652" s="4" t="s">
        <v>7104</v>
      </c>
      <c r="C5652" s="5" t="str">
        <f>IFERROR(__xludf.DUMMYFUNCTION("GOOGLETRANSLATE(B5652,""en"",""it"")"),"Lo allarga, levigandolo.")</f>
        <v>Lo allarga, levigandolo.</v>
      </c>
    </row>
    <row r="5653">
      <c r="A5653" s="4" t="s">
        <v>7105</v>
      </c>
      <c r="B5653" s="4" t="s">
        <v>7106</v>
      </c>
      <c r="C5653" s="5" t="str">
        <f>IFERROR(__xludf.DUMMYFUNCTION("GOOGLETRANSLATE(B5653,""en"",""it"")"),"Un uomo trafigge la guancia di una donna.")</f>
        <v>Un uomo trafigge la guancia di una donna.</v>
      </c>
    </row>
    <row r="5654">
      <c r="A5654" s="4" t="s">
        <v>7105</v>
      </c>
      <c r="B5654" s="4" t="s">
        <v>7107</v>
      </c>
      <c r="C5654" s="5" t="str">
        <f>IFERROR(__xludf.DUMMYFUNCTION("GOOGLETRANSLATE(B5654,""en"",""it"")"),"Lei tira fuori la lingua e poi il processo è completato.")</f>
        <v>Lei tira fuori la lingua e poi il processo è completato.</v>
      </c>
    </row>
    <row r="5655">
      <c r="A5655" s="4" t="s">
        <v>7108</v>
      </c>
      <c r="B5655" s="4" t="s">
        <v>7109</v>
      </c>
      <c r="C5655" s="5" t="str">
        <f>IFERROR(__xludf.DUMMYFUNCTION("GOOGLETRANSLATE(B5655,""en"",""it"")"),"Una persona sta facendo cerettare le gambe su un tavolo.")</f>
        <v>Una persona sta facendo cerettare le gambe su un tavolo.</v>
      </c>
    </row>
    <row r="5656">
      <c r="A5656" s="4" t="s">
        <v>7108</v>
      </c>
      <c r="B5656" s="4" t="s">
        <v>7110</v>
      </c>
      <c r="C5656" s="5" t="str">
        <f>IFERROR(__xludf.DUMMYFUNCTION("GOOGLETRANSLATE(B5656,""en"",""it"")"),"Dopo essersi strofinati sulle gambe.")</f>
        <v>Dopo essersi strofinati sulle gambe.</v>
      </c>
    </row>
    <row r="5657">
      <c r="A5657" s="4" t="s">
        <v>7108</v>
      </c>
      <c r="B5657" s="4" t="s">
        <v>7111</v>
      </c>
      <c r="C5657" s="5" t="str">
        <f>IFERROR(__xludf.DUMMYFUNCTION("GOOGLETRANSLATE(B5657,""en"",""it"")"),"Mostrano le loro gambe cerate pulite.")</f>
        <v>Mostrano le loro gambe cerate pulite.</v>
      </c>
    </row>
    <row r="5658">
      <c r="A5658" s="4" t="s">
        <v>7112</v>
      </c>
      <c r="B5658" s="4" t="s">
        <v>7113</v>
      </c>
      <c r="C5658" s="5" t="str">
        <f>IFERROR(__xludf.DUMMYFUNCTION("GOOGLETRANSLATE(B5658,""en"",""it"")"),"Un uomo viene visto ospitare un segmento di notizie che porta a lui parlando con altre due persone.")</f>
        <v>Un uomo viene visto ospitare un segmento di notizie che porta a lui parlando con altre due persone.</v>
      </c>
    </row>
    <row r="5659">
      <c r="A5659" s="4" t="s">
        <v>7112</v>
      </c>
      <c r="B5659" s="4" t="s">
        <v>7114</v>
      </c>
      <c r="C5659" s="5" t="str">
        <f>IFERROR(__xludf.DUMMYFUNCTION("GOOGLETRANSLATE(B5659,""en"",""it"")"),"I colpi sono mostrati da un giovane che gioca a pool con suo padre che guarda sul lato.")</f>
        <v>I colpi sono mostrati da un giovane che gioca a pool con suo padre che guarda sul lato.</v>
      </c>
    </row>
    <row r="5660">
      <c r="A5660" s="4" t="s">
        <v>7112</v>
      </c>
      <c r="B5660" s="4" t="s">
        <v>7115</v>
      </c>
      <c r="C5660" s="5" t="str">
        <f>IFERROR(__xludf.DUMMYFUNCTION("GOOGLETRANSLATE(B5660,""en"",""it"")"),"L'uomo continua a suonare mentre suo padre osserva e parla con l'ospite di notizie.")</f>
        <v>L'uomo continua a suonare mentre suo padre osserva e parla con l'ospite di notizie.</v>
      </c>
    </row>
    <row r="5661">
      <c r="A5661" s="4" t="s">
        <v>7116</v>
      </c>
      <c r="B5661" s="4" t="s">
        <v>7117</v>
      </c>
      <c r="C5661" s="5" t="str">
        <f>IFERROR(__xludf.DUMMYFUNCTION("GOOGLETRANSLATE(B5661,""en"",""it"")"),"Una donna viene vista camminare verso una swingset con un bambino e metterlo sull'altalena.")</f>
        <v>Una donna viene vista camminare verso una swingset con un bambino e metterlo sull'altalena.</v>
      </c>
    </row>
    <row r="5662">
      <c r="A5662" s="4" t="s">
        <v>7116</v>
      </c>
      <c r="B5662" s="6" t="s">
        <v>7118</v>
      </c>
      <c r="C5662" s="5" t="str">
        <f>IFERROR(__xludf.DUMMYFUNCTION("GOOGLETRANSLATE(B5662,""en"",""it"")"),"Diverse donne con i loro figli vengono viste oscillare e quarto tra loro e papà che giocano con i loro figli.")</f>
        <v>Diverse donne con i loro figli vengono viste oscillare e quarto tra loro e papà che giocano con i loro figli.</v>
      </c>
    </row>
    <row r="5663">
      <c r="A5663" s="4" t="s">
        <v>7119</v>
      </c>
      <c r="B5663" s="6" t="s">
        <v>7120</v>
      </c>
      <c r="C5663" s="5" t="str">
        <f>IFERROR(__xludf.DUMMYFUNCTION("GOOGLETRANSLATE(B5663,""en"",""it"")"),"Una donna chef dimostra, in una cucina, davanti a una coda di cucina e ingredienti, come preparare un'insalata.")</f>
        <v>Una donna chef dimostra, in una cucina, davanti a una coda di cucina e ingredienti, come preparare un'insalata.</v>
      </c>
    </row>
    <row r="5664">
      <c r="A5664" s="4" t="s">
        <v>7119</v>
      </c>
      <c r="B5664" s="6" t="s">
        <v>7121</v>
      </c>
      <c r="C5664" s="5" t="str">
        <f>IFERROR(__xludf.DUMMYFUNCTION("GOOGLETRANSLATE(B5664,""en"",""it"")"),"Una donna si trova di fronte a un bancone da cucina con verdure, formaggio, verdure e oli e parla con la telecamera.")</f>
        <v>Una donna si trova di fronte a un bancone da cucina con verdure, formaggio, verdure e oli e parla con la telecamera.</v>
      </c>
    </row>
    <row r="5665">
      <c r="A5665" s="4" t="s">
        <v>7119</v>
      </c>
      <c r="B5665" s="6" t="s">
        <v>7122</v>
      </c>
      <c r="C5665" s="5" t="str">
        <f>IFERROR(__xludf.DUMMYFUNCTION("GOOGLETRANSLATE(B5665,""en"",""it"")"),"La donna inizia a tagliare le verdure e metterle in una ciotola bianca prima di girare per estrarre i cavoletti di Bruxelles arrostiti dal forno.")</f>
        <v>La donna inizia a tagliare le verdure e metterle in una ciotola bianca prima di girare per estrarre i cavoletti di Bruxelles arrostiti dal forno.</v>
      </c>
    </row>
    <row r="5666">
      <c r="A5666" s="4" t="s">
        <v>7119</v>
      </c>
      <c r="B5666" s="6" t="s">
        <v>7123</v>
      </c>
      <c r="C5666" s="5" t="str">
        <f>IFERROR(__xludf.DUMMYFUNCTION("GOOGLETRANSLATE(B5666,""en"",""it"")"),"La donna poi stringe e versa il succo d'arancia sull'insalata con i cavoletti di Bruxelles e l'olio prima che la scena svanisca.")</f>
        <v>La donna poi stringe e versa il succo d'arancia sull'insalata con i cavoletti di Bruxelles e l'olio prima che la scena svanisca.</v>
      </c>
    </row>
    <row r="5667">
      <c r="A5667" s="4" t="s">
        <v>7124</v>
      </c>
      <c r="B5667" s="4" t="s">
        <v>7125</v>
      </c>
      <c r="C5667" s="5" t="str">
        <f>IFERROR(__xludf.DUMMYFUNCTION("GOOGLETRANSLATE(B5667,""en"",""it"")"),"Un uomo viene visto ballare in un club e afferra una donna.")</f>
        <v>Un uomo viene visto ballare in un club e afferra una donna.</v>
      </c>
    </row>
    <row r="5668">
      <c r="A5668" s="4" t="s">
        <v>7124</v>
      </c>
      <c r="B5668" s="4" t="s">
        <v>7126</v>
      </c>
      <c r="C5668" s="5" t="str">
        <f>IFERROR(__xludf.DUMMYFUNCTION("GOOGLETRANSLATE(B5668,""en"",""it"")"),"L'uomo e la donna iniziano quindi a ballare l'uno intorno all'altro nel mezzo del club.")</f>
        <v>L'uomo e la donna iniziano quindi a ballare l'uno intorno all'altro nel mezzo del club.</v>
      </c>
    </row>
    <row r="5669">
      <c r="A5669" s="4" t="s">
        <v>7124</v>
      </c>
      <c r="B5669" s="4" t="s">
        <v>7127</v>
      </c>
      <c r="C5669" s="5" t="str">
        <f>IFERROR(__xludf.DUMMYFUNCTION("GOOGLETRANSLATE(B5669,""en"",""it"")"),"Continuano a ballare l'uno intorno all'altro mentre altre persone ballano accanto a loro.")</f>
        <v>Continuano a ballare l'uno intorno all'altro mentre altre persone ballano accanto a loro.</v>
      </c>
    </row>
    <row r="5670">
      <c r="A5670" s="4" t="s">
        <v>7128</v>
      </c>
      <c r="B5670" s="4" t="s">
        <v>7129</v>
      </c>
      <c r="C5670" s="5" t="str">
        <f>IFERROR(__xludf.DUMMYFUNCTION("GOOGLETRANSLATE(B5670,""en"",""it"")"),"Un primo piano di una donna viene visto guardare in lontananza e tenere un dardo.")</f>
        <v>Un primo piano di una donna viene visto guardare in lontananza e tenere un dardo.</v>
      </c>
    </row>
    <row r="5671">
      <c r="A5671" s="4" t="s">
        <v>7128</v>
      </c>
      <c r="B5671" s="4" t="s">
        <v>7130</v>
      </c>
      <c r="C5671" s="5" t="str">
        <f>IFERROR(__xludf.DUMMYFUNCTION("GOOGLETRANSLATE(B5671,""en"",""it"")"),"Lancia il dardo sul tabellone che si mostra da vicino.")</f>
        <v>Lancia il dardo sul tabellone che si mostra da vicino.</v>
      </c>
    </row>
    <row r="5672">
      <c r="A5672" s="4" t="s">
        <v>7128</v>
      </c>
      <c r="B5672" s="4" t="s">
        <v>7131</v>
      </c>
      <c r="C5672" s="5" t="str">
        <f>IFERROR(__xludf.DUMMYFUNCTION("GOOGLETRANSLATE(B5672,""en"",""it"")"),"La donna quindi stringe i pugni e il lancio viene mostrato di nuovo.")</f>
        <v>La donna quindi stringe i pugni e il lancio viene mostrato di nuovo.</v>
      </c>
    </row>
    <row r="5673">
      <c r="A5673" s="4" t="s">
        <v>7132</v>
      </c>
      <c r="B5673" s="4" t="s">
        <v>7133</v>
      </c>
      <c r="C5673" s="5" t="str">
        <f>IFERROR(__xludf.DUMMYFUNCTION("GOOGLETRANSLATE(B5673,""en"",""it"")"),"Due squadre giocano a scagliare in uno stadio pieno di persone.")</f>
        <v>Due squadre giocano a scagliare in uno stadio pieno di persone.</v>
      </c>
    </row>
    <row r="5674">
      <c r="A5674" s="4" t="s">
        <v>7132</v>
      </c>
      <c r="B5674" s="4" t="s">
        <v>7134</v>
      </c>
      <c r="C5674" s="5" t="str">
        <f>IFERROR(__xludf.DUMMYFUNCTION("GOOGLETRANSLATE(B5674,""en"",""it"")"),"Un giocatore serve una palla con il bastone e le squadre continuano a giocare.")</f>
        <v>Un giocatore serve una palla con il bastone e le squadre continuano a giocare.</v>
      </c>
    </row>
    <row r="5675">
      <c r="A5675" s="4" t="s">
        <v>7132</v>
      </c>
      <c r="B5675" s="4" t="s">
        <v>7135</v>
      </c>
      <c r="C5675" s="5" t="str">
        <f>IFERROR(__xludf.DUMMYFUNCTION("GOOGLETRANSLATE(B5675,""en"",""it"")"),"Due giocatori contestano la palla in aria, quindi continuano a giocare.")</f>
        <v>Due giocatori contestano la palla in aria, quindi continuano a giocare.</v>
      </c>
    </row>
    <row r="5676">
      <c r="A5676" s="4" t="s">
        <v>7136</v>
      </c>
      <c r="B5676" s="6" t="s">
        <v>7137</v>
      </c>
      <c r="C5676" s="5" t="str">
        <f>IFERROR(__xludf.DUMMYFUNCTION("GOOGLETRANSLATE(B5676,""en"",""it"")"),"Un folto gruppo di persone si vede in piedi intorno a una fossa di sabbia che stringe la mano e parlano tra loro.")</f>
        <v>Un folto gruppo di persone si vede in piedi intorno a una fossa di sabbia che stringe la mano e parlano tra loro.</v>
      </c>
    </row>
    <row r="5677">
      <c r="A5677" s="4" t="s">
        <v>7136</v>
      </c>
      <c r="B5677" s="4" t="s">
        <v>7138</v>
      </c>
      <c r="C5677" s="5" t="str">
        <f>IFERROR(__xludf.DUMMYFUNCTION("GOOGLETRANSLATE(B5677,""en"",""it"")"),"Gli uomini iniziano quindi una partita di calcio l'uno con l'altro e il tifo quando segnano un goal.")</f>
        <v>Gli uomini iniziano quindi una partita di calcio l'uno con l'altro e il tifo quando segnano un goal.</v>
      </c>
    </row>
    <row r="5678">
      <c r="A5678" s="4" t="s">
        <v>7136</v>
      </c>
      <c r="B5678" s="6" t="s">
        <v>7139</v>
      </c>
      <c r="C5678" s="5" t="str">
        <f>IFERROR(__xludf.DUMMYFUNCTION("GOOGLETRANSLATE(B5678,""en"",""it"")"),"Gli uomini continuano a giocare l'uno contro l'altro mentre il pubblico applaude e l'arbitro si trova sul lato.")</f>
        <v>Gli uomini continuano a giocare l'uno contro l'altro mentre il pubblico applaude e l'arbitro si trova sul lato.</v>
      </c>
    </row>
    <row r="5679">
      <c r="A5679" s="4" t="s">
        <v>7140</v>
      </c>
      <c r="B5679" s="4" t="s">
        <v>7141</v>
      </c>
      <c r="C5679" s="5" t="str">
        <f>IFERROR(__xludf.DUMMYFUNCTION("GOOGLETRANSLATE(B5679,""en"",""it"")"),"L'uomo sta indossando palafitte in un parco skaet.")</f>
        <v>L'uomo sta indossando palafitte in un parco skaet.</v>
      </c>
    </row>
    <row r="5680">
      <c r="A5680" s="4" t="s">
        <v>7140</v>
      </c>
      <c r="B5680" s="4" t="s">
        <v>7142</v>
      </c>
      <c r="C5680" s="5" t="str">
        <f>IFERROR(__xludf.DUMMYFUNCTION("GOOGLETRANSLATE(B5680,""en"",""it"")"),"Un altro uomo sta saltando insieme al primo uomo nello skate park.")</f>
        <v>Un altro uomo sta saltando insieme al primo uomo nello skate park.</v>
      </c>
    </row>
    <row r="5681">
      <c r="A5681" s="4" t="s">
        <v>7140</v>
      </c>
      <c r="B5681" s="4" t="s">
        <v>7143</v>
      </c>
      <c r="C5681" s="5" t="str">
        <f>IFERROR(__xludf.DUMMYFUNCTION("GOOGLETRANSLATE(B5681,""en"",""it"")"),"L'uomo a Skate Park sta correndo mentre un'auto passa in strada.")</f>
        <v>L'uomo a Skate Park sta correndo mentre un'auto passa in strada.</v>
      </c>
    </row>
    <row r="5682">
      <c r="A5682" s="4" t="s">
        <v>7144</v>
      </c>
      <c r="B5682" s="4" t="s">
        <v>7145</v>
      </c>
      <c r="C5682" s="5" t="str">
        <f>IFERROR(__xludf.DUMMYFUNCTION("GOOGLETRANSLATE(B5682,""en"",""it"")"),"Le mani di una donna sono mostrate avvolgendo qualcosa.")</f>
        <v>Le mani di una donna sono mostrate avvolgendo qualcosa.</v>
      </c>
    </row>
    <row r="5683">
      <c r="A5683" s="4" t="s">
        <v>7144</v>
      </c>
      <c r="B5683" s="4" t="s">
        <v>7146</v>
      </c>
      <c r="C5683" s="5" t="str">
        <f>IFERROR(__xludf.DUMMYFUNCTION("GOOGLETRANSLATE(B5683,""en"",""it"")"),"La donna parla alla telecamera.")</f>
        <v>La donna parla alla telecamera.</v>
      </c>
    </row>
    <row r="5684">
      <c r="A5684" s="4" t="s">
        <v>7144</v>
      </c>
      <c r="B5684" s="4" t="s">
        <v>7147</v>
      </c>
      <c r="C5684" s="5" t="str">
        <f>IFERROR(__xludf.DUMMYFUNCTION("GOOGLETRANSLATE(B5684,""en"",""it"")"),"I primi piani dell'attrezzatura necessaria per questa operazione sono mostrati.")</f>
        <v>I primi piani dell'attrezzatura necessaria per questa operazione sono mostrati.</v>
      </c>
    </row>
    <row r="5685">
      <c r="A5685" s="4" t="s">
        <v>7144</v>
      </c>
      <c r="B5685" s="4" t="s">
        <v>7148</v>
      </c>
      <c r="C5685" s="5" t="str">
        <f>IFERROR(__xludf.DUMMYFUNCTION("GOOGLETRANSLATE(B5685,""en"",""it"")"),"La donna avvolge un libro con carta tissutale e nastro.")</f>
        <v>La donna avvolge un libro con carta tissutale e nastro.</v>
      </c>
    </row>
    <row r="5686">
      <c r="A5686" s="4" t="s">
        <v>7144</v>
      </c>
      <c r="B5686" s="4" t="s">
        <v>7149</v>
      </c>
      <c r="C5686" s="5" t="str">
        <f>IFERROR(__xludf.DUMMYFUNCTION("GOOGLETRANSLATE(B5686,""en"",""it"")"),"La donna taglia la carta da modellare per il libro.")</f>
        <v>La donna taglia la carta da modellare per il libro.</v>
      </c>
    </row>
    <row r="5687">
      <c r="A5687" s="4" t="s">
        <v>7144</v>
      </c>
      <c r="B5687" s="4" t="s">
        <v>7150</v>
      </c>
      <c r="C5687" s="5" t="str">
        <f>IFERROR(__xludf.DUMMYFUNCTION("GOOGLETRANSLATE(B5687,""en"",""it"")"),"La donna avvolge il libro con la carta e il nastro.")</f>
        <v>La donna avvolge il libro con la carta e il nastro.</v>
      </c>
    </row>
    <row r="5688">
      <c r="A5688" s="4" t="s">
        <v>7144</v>
      </c>
      <c r="B5688" s="4" t="s">
        <v>7151</v>
      </c>
      <c r="C5688" s="5" t="str">
        <f>IFERROR(__xludf.DUMMYFUNCTION("GOOGLETRANSLATE(B5688,""en"",""it"")"),"La donna parla con la telecamera intera con in mano il libro avvolto e nascosto.")</f>
        <v>La donna parla con la telecamera intera con in mano il libro avvolto e nascosto.</v>
      </c>
    </row>
    <row r="5689">
      <c r="A5689" s="4" t="s">
        <v>7144</v>
      </c>
      <c r="B5689" s="4" t="s">
        <v>7152</v>
      </c>
      <c r="C5689" s="5" t="str">
        <f>IFERROR(__xludf.DUMMYFUNCTION("GOOGLETRANSLATE(B5689,""en"",""it"")"),"Viene mostrato un primo piano del libro avvolto e a nastro.")</f>
        <v>Viene mostrato un primo piano del libro avvolto e a nastro.</v>
      </c>
    </row>
    <row r="5690">
      <c r="A5690" s="4" t="s">
        <v>7153</v>
      </c>
      <c r="B5690" s="6" t="s">
        <v>7154</v>
      </c>
      <c r="C5690" s="5" t="str">
        <f>IFERROR(__xludf.DUMMYFUNCTION("GOOGLETRANSLATE(B5690,""en"",""it"")"),"Un piccolo gruppo di persone è visto seduto attorno a un tavolo da casinò che parlava e gioca a poker.")</f>
        <v>Un piccolo gruppo di persone è visto seduto attorno a un tavolo da casinò che parlava e gioca a poker.</v>
      </c>
    </row>
    <row r="5691">
      <c r="A5691" s="4" t="s">
        <v>7153</v>
      </c>
      <c r="B5691" s="6" t="s">
        <v>7155</v>
      </c>
      <c r="C5691" s="5" t="str">
        <f>IFERROR(__xludf.DUMMYFUNCTION("GOOGLETRANSLATE(B5691,""en"",""it"")"),"Molte persone guardano ai lati mentre il rivenditore tratta le carte e le persone mettono le loro patatine nel mezzo.")</f>
        <v>Molte persone guardano ai lati mentre il rivenditore tratta le carte e le persone mettono le loro patatine nel mezzo.</v>
      </c>
    </row>
    <row r="5692">
      <c r="A5692" s="4" t="s">
        <v>7153</v>
      </c>
      <c r="B5692" s="4" t="s">
        <v>7156</v>
      </c>
      <c r="C5692" s="5" t="str">
        <f>IFERROR(__xludf.DUMMYFUNCTION("GOOGLETRANSLATE(B5692,""en"",""it"")"),"Altri scatti del gioco vengono mostrati mentre la telecamera si muove in faccia a una persona.")</f>
        <v>Altri scatti del gioco vengono mostrati mentre la telecamera si muove in faccia a una persona.</v>
      </c>
    </row>
    <row r="5693">
      <c r="A5693" s="4" t="s">
        <v>7157</v>
      </c>
      <c r="B5693" s="4" t="s">
        <v>7158</v>
      </c>
      <c r="C5693" s="5" t="str">
        <f>IFERROR(__xludf.DUMMYFUNCTION("GOOGLETRANSLATE(B5693,""en"",""it"")"),"Una signora sta parlando in un ufficio e tiene in mano un oggetto rosa.")</f>
        <v>Una signora sta parlando in un ufficio e tiene in mano un oggetto rosa.</v>
      </c>
    </row>
    <row r="5694">
      <c r="A5694" s="4" t="s">
        <v>7157</v>
      </c>
      <c r="B5694" s="4" t="s">
        <v>7159</v>
      </c>
      <c r="C5694" s="5" t="str">
        <f>IFERROR(__xludf.DUMMYFUNCTION("GOOGLETRANSLATE(B5694,""en"",""it"")"),"La signora lancia l'oggetto rosa su una tavola da gioco sul pavimento.")</f>
        <v>La signora lancia l'oggetto rosa su una tavola da gioco sul pavimento.</v>
      </c>
    </row>
    <row r="5695">
      <c r="A5695" s="4" t="s">
        <v>7157</v>
      </c>
      <c r="B5695" s="4" t="s">
        <v>7160</v>
      </c>
      <c r="C5695" s="5" t="str">
        <f>IFERROR(__xludf.DUMMYFUNCTION("GOOGLETRANSLATE(B5695,""en"",""it"")"),"Quindi salta Hopscotch e raccoglie l'oggetto rosa.")</f>
        <v>Quindi salta Hopscotch e raccoglie l'oggetto rosa.</v>
      </c>
    </row>
    <row r="5696">
      <c r="A5696" s="4" t="s">
        <v>7157</v>
      </c>
      <c r="B5696" s="4" t="s">
        <v>7161</v>
      </c>
      <c r="C5696" s="5" t="str">
        <f>IFERROR(__xludf.DUMMYFUNCTION("GOOGLETRANSLATE(B5696,""en"",""it"")"),"Lo lancia di nuovo e salta di nuovo e ritorna raccogliendo l'oggetto rosa.")</f>
        <v>Lo lancia di nuovo e salta di nuovo e ritorna raccogliendo l'oggetto rosa.</v>
      </c>
    </row>
    <row r="5697">
      <c r="A5697" s="4" t="s">
        <v>7162</v>
      </c>
      <c r="B5697" s="4" t="s">
        <v>7163</v>
      </c>
      <c r="C5697" s="5" t="str">
        <f>IFERROR(__xludf.DUMMYFUNCTION("GOOGLETRANSLATE(B5697,""en"",""it"")"),"Una persona è in esecuzione su una macchina di eccansione.")</f>
        <v>Una persona è in esecuzione su una macchina di eccansione.</v>
      </c>
    </row>
    <row r="5698">
      <c r="A5698" s="4" t="s">
        <v>7162</v>
      </c>
      <c r="B5698" s="4" t="s">
        <v>7164</v>
      </c>
      <c r="C5698" s="5" t="str">
        <f>IFERROR(__xludf.DUMMYFUNCTION("GOOGLETRANSLATE(B5698,""en"",""it"")"),"La fotocamera ingrandisce i piedi.")</f>
        <v>La fotocamera ingrandisce i piedi.</v>
      </c>
    </row>
    <row r="5699">
      <c r="A5699" s="4" t="s">
        <v>7162</v>
      </c>
      <c r="B5699" s="4" t="s">
        <v>7165</v>
      </c>
      <c r="C5699" s="5" t="str">
        <f>IFERROR(__xludf.DUMMYFUNCTION("GOOGLETRANSLATE(B5699,""en"",""it"")"),"La fotocamera piova a destra lentamente.")</f>
        <v>La fotocamera piova a destra lentamente.</v>
      </c>
    </row>
    <row r="5700">
      <c r="A5700" s="4" t="s">
        <v>7166</v>
      </c>
      <c r="B5700" s="4" t="s">
        <v>7167</v>
      </c>
      <c r="C5700" s="5" t="str">
        <f>IFERROR(__xludf.DUMMYFUNCTION("GOOGLETRANSLATE(B5700,""en"",""it"")"),"Un uomo mette un cappello da chef su una ragazza mentre uno chef le insegna a cucinare.")</f>
        <v>Un uomo mette un cappello da chef su una ragazza mentre uno chef le insegna a cucinare.</v>
      </c>
    </row>
    <row r="5701">
      <c r="A5701" s="4" t="s">
        <v>7166</v>
      </c>
      <c r="B5701" s="6" t="s">
        <v>7168</v>
      </c>
      <c r="C5701" s="5" t="str">
        <f>IFERROR(__xludf.DUMMYFUNCTION("GOOGLETRANSLATE(B5701,""en"",""it"")"),"Mescola insieme vari ingredienti seguendo gli ordini dello chef e prestando molta attenzione alle sue istruzioni.")</f>
        <v>Mescola insieme vari ingredienti seguendo gli ordini dello chef e prestando molta attenzione alle sue istruzioni.</v>
      </c>
    </row>
    <row r="5702">
      <c r="A5702" s="4" t="s">
        <v>7166</v>
      </c>
      <c r="B5702" s="6" t="s">
        <v>7169</v>
      </c>
      <c r="C5702" s="5" t="str">
        <f>IFERROR(__xludf.DUMMYFUNCTION("GOOGLETRANSLATE(B5702,""en"",""it"")"),"La ragazza fa un bel lotto di biscotti e alla fine si ritrova a goderne, così come la compagnia degli altri.")</f>
        <v>La ragazza fa un bel lotto di biscotti e alla fine si ritrova a goderne, così come la compagnia degli altri.</v>
      </c>
    </row>
    <row r="5703">
      <c r="A5703" s="4" t="s">
        <v>7170</v>
      </c>
      <c r="B5703" s="4" t="s">
        <v>7171</v>
      </c>
      <c r="C5703" s="5" t="str">
        <f>IFERROR(__xludf.DUMMYFUNCTION("GOOGLETRANSLATE(B5703,""en"",""it"")"),"Diversi uomini stanno insieme per la telecamera.")</f>
        <v>Diversi uomini stanno insieme per la telecamera.</v>
      </c>
    </row>
    <row r="5704">
      <c r="A5704" s="4" t="s">
        <v>7170</v>
      </c>
      <c r="B5704" s="6" t="s">
        <v>7172</v>
      </c>
      <c r="C5704" s="5" t="str">
        <f>IFERROR(__xludf.DUMMYFUNCTION("GOOGLETRANSLATE(B5704,""en"",""it"")"),"Scene di più persone che eseguono dimostrazioni di Capoeira sono mostrate con il pubblico in background e in primo piano.")</f>
        <v>Scene di più persone che eseguono dimostrazioni di Capoeira sono mostrate con il pubblico in background e in primo piano.</v>
      </c>
    </row>
    <row r="5705">
      <c r="A5705" s="4" t="s">
        <v>7173</v>
      </c>
      <c r="B5705" s="4" t="s">
        <v>7174</v>
      </c>
      <c r="C5705" s="5" t="str">
        <f>IFERROR(__xludf.DUMMYFUNCTION("GOOGLETRANSLATE(B5705,""en"",""it"")"),"Un uomo più anziano viene mostrato tagliare su un albero abbattuto con un'ascia.")</f>
        <v>Un uomo più anziano viene mostrato tagliare su un albero abbattuto con un'ascia.</v>
      </c>
    </row>
    <row r="5706">
      <c r="A5706" s="4" t="s">
        <v>7173</v>
      </c>
      <c r="B5706" s="4" t="s">
        <v>7175</v>
      </c>
      <c r="C5706" s="5" t="str">
        <f>IFERROR(__xludf.DUMMYFUNCTION("GOOGLETRANSLATE(B5706,""en"",""it"")"),"Sta provando molto e non fa molti progressi.")</f>
        <v>Sta provando molto e non fa molti progressi.</v>
      </c>
    </row>
    <row r="5707">
      <c r="A5707" s="4" t="s">
        <v>7173</v>
      </c>
      <c r="B5707" s="4" t="s">
        <v>7176</v>
      </c>
      <c r="C5707" s="5" t="str">
        <f>IFERROR(__xludf.DUMMYFUNCTION("GOOGLETRANSLATE(B5707,""en"",""it"")"),"Sembra essere frustrato e sta provando ancora e ancora a tagliare dell'albero.")</f>
        <v>Sembra essere frustrato e sta provando ancora e ancora a tagliare dell'albero.</v>
      </c>
    </row>
    <row r="5708">
      <c r="A5708" s="4" t="s">
        <v>7173</v>
      </c>
      <c r="B5708" s="4" t="s">
        <v>7177</v>
      </c>
      <c r="C5708" s="5" t="str">
        <f>IFERROR(__xludf.DUMMYFUNCTION("GOOGLETRANSLATE(B5708,""en"",""it"")"),"Quindi guarda la telecamera e sorride leggermente prima di continuare a cercare di tagliare l'albero.")</f>
        <v>Quindi guarda la telecamera e sorride leggermente prima di continuare a cercare di tagliare l'albero.</v>
      </c>
    </row>
    <row r="5709">
      <c r="A5709" s="4" t="s">
        <v>7173</v>
      </c>
      <c r="B5709" s="4" t="s">
        <v>7178</v>
      </c>
      <c r="C5709" s="5" t="str">
        <f>IFERROR(__xludf.DUMMYFUNCTION("GOOGLETRANSLATE(B5709,""en"",""it"")"),"Si ferma di nuovo e fissa la telecamera.")</f>
        <v>Si ferma di nuovo e fissa la telecamera.</v>
      </c>
    </row>
    <row r="5710">
      <c r="A5710" s="4" t="s">
        <v>7173</v>
      </c>
      <c r="B5710" s="4" t="s">
        <v>7179</v>
      </c>
      <c r="C5710" s="5" t="str">
        <f>IFERROR(__xludf.DUMMYFUNCTION("GOOGLETRANSLATE(B5710,""en"",""it"")"),"Viene mostrato un primo piano che ci prova più e più volte prima di zoom.")</f>
        <v>Viene mostrato un primo piano che ci prova più e più volte prima di zoom.</v>
      </c>
    </row>
    <row r="5711">
      <c r="A5711" s="4" t="s">
        <v>7173</v>
      </c>
      <c r="B5711" s="4" t="s">
        <v>7180</v>
      </c>
      <c r="C5711" s="5" t="str">
        <f>IFERROR(__xludf.DUMMYFUNCTION("GOOGLETRANSLATE(B5711,""en"",""it"")"),"La fotocamera quindi si zoom di nuovo in faccia mentre continua.")</f>
        <v>La fotocamera quindi si zoom di nuovo in faccia mentre continua.</v>
      </c>
    </row>
    <row r="5712">
      <c r="A5712" s="4" t="s">
        <v>7181</v>
      </c>
      <c r="B5712" s="4" t="s">
        <v>7182</v>
      </c>
      <c r="C5712" s="5" t="str">
        <f>IFERROR(__xludf.DUMMYFUNCTION("GOOGLETRANSLATE(B5712,""en"",""it"")"),"Tre donne si presentano sullo schermo facendo una danza tribale in uno studio di allenamento.")</f>
        <v>Tre donne si presentano sullo schermo facendo una danza tribale in uno studio di allenamento.</v>
      </c>
    </row>
    <row r="5713">
      <c r="A5713" s="4" t="s">
        <v>7181</v>
      </c>
      <c r="B5713" s="4" t="s">
        <v>7183</v>
      </c>
      <c r="C5713" s="5" t="str">
        <f>IFERROR(__xludf.DUMMYFUNCTION("GOOGLETRANSLATE(B5713,""en"",""it"")"),"Una delle donne fa un'esibizione da solista mentre la musica suona in sottofondo.")</f>
        <v>Una delle donne fa un'esibizione da solista mentre la musica suona in sottofondo.</v>
      </c>
    </row>
    <row r="5714">
      <c r="A5714" s="4" t="s">
        <v>7181</v>
      </c>
      <c r="B5714" s="6" t="s">
        <v>7184</v>
      </c>
      <c r="C5714" s="5" t="str">
        <f>IFERROR(__xludf.DUMMYFUNCTION("GOOGLETRANSLATE(B5714,""en"",""it"")"),"Le tre donne vengono mostrate di nuovo la danza sul palco mentre altre persone fanno la stessa danza davanti al palco.")</f>
        <v>Le tre donne vengono mostrate di nuovo la danza sul palco mentre altre persone fanno la stessa danza davanti al palco.</v>
      </c>
    </row>
    <row r="5715">
      <c r="A5715" s="4" t="s">
        <v>7181</v>
      </c>
      <c r="B5715" s="4" t="s">
        <v>7185</v>
      </c>
      <c r="C5715" s="5" t="str">
        <f>IFERROR(__xludf.DUMMYFUNCTION("GOOGLETRANSLATE(B5715,""en"",""it"")"),"Il trio di donne torna sullo schermo e continua la danza in studio.")</f>
        <v>Il trio di donne torna sullo schermo e continua la danza in studio.</v>
      </c>
    </row>
    <row r="5716">
      <c r="A5716" s="4" t="s">
        <v>7181</v>
      </c>
      <c r="B5716" s="4" t="s">
        <v>7186</v>
      </c>
      <c r="C5716" s="5" t="str">
        <f>IFERROR(__xludf.DUMMYFUNCTION("GOOGLETRANSLATE(B5716,""en"",""it"")"),"Si presentano sul palco facendo la danza mentre la telecamera li filma.")</f>
        <v>Si presentano sul palco facendo la danza mentre la telecamera li filma.</v>
      </c>
    </row>
    <row r="5717">
      <c r="A5717" s="4" t="s">
        <v>7181</v>
      </c>
      <c r="B5717" s="6" t="s">
        <v>7187</v>
      </c>
      <c r="C5717" s="5" t="str">
        <f>IFERROR(__xludf.DUMMYFUNCTION("GOOGLETRANSLATE(B5717,""en"",""it"")"),"La telecamera va avanti e indietro tra loro facendo la danza sul palco e fuori dal palco mostrando angoli diversi.")</f>
        <v>La telecamera va avanti e indietro tra loro facendo la danza sul palco e fuori dal palco mostrando angoli diversi.</v>
      </c>
    </row>
    <row r="5718">
      <c r="A5718" s="4" t="s">
        <v>7188</v>
      </c>
      <c r="B5718" s="4" t="s">
        <v>7189</v>
      </c>
      <c r="C5718" s="5" t="str">
        <f>IFERROR(__xludf.DUMMYFUNCTION("GOOGLETRANSLATE(B5718,""en"",""it"")"),"Due uomini sono in una palestra indoor.")</f>
        <v>Due uomini sono in una palestra indoor.</v>
      </c>
    </row>
    <row r="5719">
      <c r="A5719" s="4" t="s">
        <v>7188</v>
      </c>
      <c r="B5719" s="4" t="s">
        <v>7190</v>
      </c>
      <c r="C5719" s="5" t="str">
        <f>IFERROR(__xludf.DUMMYFUNCTION("GOOGLETRANSLATE(B5719,""en"",""it"")"),"Sono impegnati in un'arte marziale chiamata kickboxing.")</f>
        <v>Sono impegnati in un'arte marziale chiamata kickboxing.</v>
      </c>
    </row>
    <row r="5720">
      <c r="A5720" s="4" t="s">
        <v>7188</v>
      </c>
      <c r="B5720" s="4" t="s">
        <v>7191</v>
      </c>
      <c r="C5720" s="5" t="str">
        <f>IFERROR(__xludf.DUMMYFUNCTION("GOOGLETRANSLATE(B5720,""en"",""it"")"),"Si prendono a calci e si danno un pugno a vicenda, cercando di colpirsi.")</f>
        <v>Si prendono a calci e si danno un pugno a vicenda, cercando di colpirsi.</v>
      </c>
    </row>
    <row r="5721">
      <c r="A5721" s="4" t="s">
        <v>7192</v>
      </c>
      <c r="B5721" s="4" t="s">
        <v>7193</v>
      </c>
      <c r="C5721" s="5" t="str">
        <f>IFERROR(__xludf.DUMMYFUNCTION("GOOGLETRANSLATE(B5721,""en"",""it"")"),"Due tizi parlano sciocco nella telecamera con cose avvolte intorno alla testa.")</f>
        <v>Due tizi parlano sciocco nella telecamera con cose avvolte intorno alla testa.</v>
      </c>
    </row>
    <row r="5722">
      <c r="A5722" s="4" t="s">
        <v>7192</v>
      </c>
      <c r="B5722" s="4" t="s">
        <v>7194</v>
      </c>
      <c r="C5722" s="5" t="str">
        <f>IFERROR(__xludf.DUMMYFUNCTION("GOOGLETRANSLATE(B5722,""en"",""it"")"),"Poi vedi tutti giocare a Beer Pong che si divertono molto fuori scherzando e ballare.")</f>
        <v>Poi vedi tutti giocare a Beer Pong che si divertono molto fuori scherzando e ballare.</v>
      </c>
    </row>
    <row r="5723">
      <c r="A5723" s="4" t="s">
        <v>7192</v>
      </c>
      <c r="B5723" s="4" t="s">
        <v>7195</v>
      </c>
      <c r="C5723" s="5" t="str">
        <f>IFERROR(__xludf.DUMMYFUNCTION("GOOGLETRANSLATE(B5723,""en"",""it"")"),"Un gruppo inizia a fare selfie e tutti sono vestiti davvero divertenti.")</f>
        <v>Un gruppo inizia a fare selfie e tutti sono vestiti davvero divertenti.</v>
      </c>
    </row>
    <row r="5724">
      <c r="A5724" s="4" t="s">
        <v>7192</v>
      </c>
      <c r="B5724" s="6" t="s">
        <v>7196</v>
      </c>
      <c r="C5724" s="5" t="str">
        <f>IFERROR(__xludf.DUMMYFUNCTION("GOOGLETRANSLATE(B5724,""en"",""it"")"),"Uno dei tipi si toglie fuori dalla telecamera e tutti continuano a giocare a Bee Pong e si divertono a godersi il loro tempo.")</f>
        <v>Uno dei tipi si toglie fuori dalla telecamera e tutti continuano a giocare a Bee Pong e si divertono a godersi il loro tempo.</v>
      </c>
    </row>
    <row r="5725">
      <c r="A5725" s="4" t="s">
        <v>7197</v>
      </c>
      <c r="B5725" s="6" t="s">
        <v>7198</v>
      </c>
      <c r="C5725" s="5" t="str">
        <f>IFERROR(__xludf.DUMMYFUNCTION("GOOGLETRANSLATE(B5725,""en"",""it"")"),"Vengono mostrati diversi colpi di persone che giocano a basket e conducono in due uomini che dimostrano una mossa.")</f>
        <v>Vengono mostrati diversi colpi di persone che giocano a basket e conducono in due uomini che dimostrano una mossa.</v>
      </c>
    </row>
    <row r="5726">
      <c r="A5726" s="4" t="s">
        <v>7197</v>
      </c>
      <c r="B5726" s="4" t="s">
        <v>7199</v>
      </c>
      <c r="C5726" s="5" t="str">
        <f>IFERROR(__xludf.DUMMYFUNCTION("GOOGLETRANSLATE(B5726,""en"",""it"")"),"La stessa mossa viene nuovamente mostrata da vari angoli e istruttore l'utente come farlo.")</f>
        <v>La stessa mossa viene nuovamente mostrata da vari angoli e istruttore l'utente come farlo.</v>
      </c>
    </row>
    <row r="5727">
      <c r="A5727" s="4" t="s">
        <v>7197</v>
      </c>
      <c r="B5727" s="4" t="s">
        <v>7200</v>
      </c>
      <c r="C5727" s="5" t="str">
        <f>IFERROR(__xludf.DUMMYFUNCTION("GOOGLETRANSLATE(B5727,""en"",""it"")"),"Vengono mostrati più trucchi e istruzioni passo -passo su come farlo correttamente.")</f>
        <v>Vengono mostrati più trucchi e istruzioni passo -passo su come farlo correttamente.</v>
      </c>
    </row>
    <row r="5728">
      <c r="A5728" s="4" t="s">
        <v>7201</v>
      </c>
      <c r="B5728" s="4" t="s">
        <v>7202</v>
      </c>
      <c r="C5728" s="5" t="str">
        <f>IFERROR(__xludf.DUMMYFUNCTION("GOOGLETRANSLATE(B5728,""en"",""it"")"),"Una donna è in piedi dietro una serie di confezioni in cucina.")</f>
        <v>Una donna è in piedi dietro una serie di confezioni in cucina.</v>
      </c>
    </row>
    <row r="5729">
      <c r="A5729" s="4" t="s">
        <v>7201</v>
      </c>
      <c r="B5729" s="4" t="s">
        <v>7203</v>
      </c>
      <c r="C5729" s="5" t="str">
        <f>IFERROR(__xludf.DUMMYFUNCTION("GOOGLETRANSLATE(B5729,""en"",""it"")"),"Vengono mostrati diversi pop di torta.")</f>
        <v>Vengono mostrati diversi pop di torta.</v>
      </c>
    </row>
    <row r="5730">
      <c r="A5730" s="4" t="s">
        <v>7201</v>
      </c>
      <c r="B5730" s="4" t="s">
        <v>7204</v>
      </c>
      <c r="C5730" s="5" t="str">
        <f>IFERROR(__xludf.DUMMYFUNCTION("GOOGLETRANSLATE(B5730,""en"",""it"")"),"Gli ingredienti vengono visualizzati accanto alle azioni che mescolano gli ingredienti.")</f>
        <v>Gli ingredienti vengono visualizzati accanto alle azioni che mescolano gli ingredienti.</v>
      </c>
    </row>
    <row r="5731">
      <c r="A5731" s="4" t="s">
        <v>7201</v>
      </c>
      <c r="B5731" s="4" t="s">
        <v>7205</v>
      </c>
      <c r="C5731" s="5" t="str">
        <f>IFERROR(__xludf.DUMMYFUNCTION("GOOGLETRANSLATE(B5731,""en"",""it"")"),"La donna sgretola la torta in una ciotola, quindi aggiunge glassa mentre parla.")</f>
        <v>La donna sgretola la torta in una ciotola, quindi aggiunge glassa mentre parla.</v>
      </c>
    </row>
    <row r="5732">
      <c r="A5732" s="4" t="s">
        <v>7201</v>
      </c>
      <c r="B5732" s="4" t="s">
        <v>7206</v>
      </c>
      <c r="C5732" s="5" t="str">
        <f>IFERROR(__xludf.DUMMYFUNCTION("GOOGLETRANSLATE(B5732,""en"",""it"")"),"Permette loro di sedersi prima di sciogliere il rivestimento di caramelle, in cui poi immerge le palline da torta.")</f>
        <v>Permette loro di sedersi prima di sciogliere il rivestimento di caramelle, in cui poi immerge le palline da torta.</v>
      </c>
    </row>
    <row r="5733">
      <c r="A5733" s="4" t="s">
        <v>7201</v>
      </c>
      <c r="B5733" s="4" t="s">
        <v>7207</v>
      </c>
      <c r="C5733" s="5" t="str">
        <f>IFERROR(__xludf.DUMMYFUNCTION("GOOGLETRANSLATE(B5733,""en"",""it"")"),"Decora la palla da torta nelle fasi finali.")</f>
        <v>Decora la palla da torta nelle fasi finali.</v>
      </c>
    </row>
    <row r="5734">
      <c r="A5734" s="4" t="s">
        <v>7201</v>
      </c>
      <c r="B5734" s="4" t="s">
        <v>7208</v>
      </c>
      <c r="C5734" s="5" t="str">
        <f>IFERROR(__xludf.DUMMYFUNCTION("GOOGLETRANSLATE(B5734,""en"",""it"")"),"Viene mostrata un'ultima serie di pop di torta mentre termina il segmento.")</f>
        <v>Viene mostrata un'ultima serie di pop di torta mentre termina il segmento.</v>
      </c>
    </row>
    <row r="5735">
      <c r="A5735" s="4" t="s">
        <v>7209</v>
      </c>
      <c r="B5735" s="4" t="s">
        <v>7210</v>
      </c>
      <c r="C5735" s="5" t="str">
        <f>IFERROR(__xludf.DUMMYFUNCTION("GOOGLETRANSLATE(B5735,""en"",""it"")"),"Una donna solleva e si accovaccia all'interno di una palestra con un bilanciere sulle spalle.")</f>
        <v>Una donna solleva e si accovaccia all'interno di una palestra con un bilanciere sulle spalle.</v>
      </c>
    </row>
    <row r="5736">
      <c r="A5736" s="4" t="s">
        <v>7209</v>
      </c>
      <c r="B5736" s="4" t="s">
        <v>7211</v>
      </c>
      <c r="C5736" s="5" t="str">
        <f>IFERROR(__xludf.DUMMYFUNCTION("GOOGLETRANSLATE(B5736,""en"",""it"")"),"Solleva poi si siede ancora e ancora.")</f>
        <v>Solleva poi si siede ancora e ancora.</v>
      </c>
    </row>
    <row r="5737">
      <c r="A5737" s="4" t="s">
        <v>7212</v>
      </c>
      <c r="B5737" s="4" t="s">
        <v>7213</v>
      </c>
      <c r="C5737" s="5" t="str">
        <f>IFERROR(__xludf.DUMMYFUNCTION("GOOGLETRANSLATE(B5737,""en"",""it"")"),"Un uomo con una camicia nera tiene in mano un sassofono.")</f>
        <v>Un uomo con una camicia nera tiene in mano un sassofono.</v>
      </c>
    </row>
    <row r="5738">
      <c r="A5738" s="4" t="s">
        <v>7212</v>
      </c>
      <c r="B5738" s="4" t="s">
        <v>7214</v>
      </c>
      <c r="C5738" s="5" t="str">
        <f>IFERROR(__xludf.DUMMYFUNCTION("GOOGLETRANSLATE(B5738,""en"",""it"")"),"Comincia a suonare il sassofono.")</f>
        <v>Comincia a suonare il sassofono.</v>
      </c>
    </row>
    <row r="5739">
      <c r="A5739" s="4" t="s">
        <v>7212</v>
      </c>
      <c r="B5739" s="4" t="s">
        <v>7215</v>
      </c>
      <c r="C5739" s="5" t="str">
        <f>IFERROR(__xludf.DUMMYFUNCTION("GOOGLETRANSLATE(B5739,""en"",""it"")"),"Smette di giocare e continua a parlare.")</f>
        <v>Smette di giocare e continua a parlare.</v>
      </c>
    </row>
    <row r="5740">
      <c r="A5740" s="4" t="s">
        <v>7216</v>
      </c>
      <c r="B5740" s="6" t="s">
        <v>7217</v>
      </c>
      <c r="C5740" s="5" t="str">
        <f>IFERROR(__xludf.DUMMYFUNCTION("GOOGLETRANSLATE(B5740,""en"",""it"")"),"Un'introduzione conduce in diversi scatti di vari ingredienti disposti su una tavola di legno, seguita da una serie di mani che tagliano determinati ingredienti.")</f>
        <v>Un'introduzione conduce in diversi scatti di vari ingredienti disposti su una tavola di legno, seguita da una serie di mani che tagliano determinati ingredienti.</v>
      </c>
    </row>
    <row r="5741">
      <c r="A5741" s="4" t="s">
        <v>7216</v>
      </c>
      <c r="B5741" s="4" t="s">
        <v>7218</v>
      </c>
      <c r="C5741" s="5" t="str">
        <f>IFERROR(__xludf.DUMMYFUNCTION("GOOGLETRANSLATE(B5741,""en"",""it"")"),"Una persona quindi si classifica un po 'di formaggio in una ciotola e aprirà la pasta.")</f>
        <v>Una persona quindi si classifica un po 'di formaggio in una ciotola e aprirà la pasta.</v>
      </c>
    </row>
    <row r="5742">
      <c r="A5742" s="4" t="s">
        <v>7216</v>
      </c>
      <c r="B5742" s="6" t="s">
        <v>7219</v>
      </c>
      <c r="C5742" s="5" t="str">
        <f>IFERROR(__xludf.DUMMYFUNCTION("GOOGLETRANSLATE(B5742,""en"",""it"")"),"Mettono la pasta in una ciotola e friggono i gamberi e mettono insieme tutti gli ingredienti in una padella.")</f>
        <v>Mettono la pasta in una ciotola e friggono i gamberi e mettono insieme tutti gli ingredienti in una padella.</v>
      </c>
    </row>
    <row r="5743">
      <c r="A5743" s="4" t="s">
        <v>7216</v>
      </c>
      <c r="B5743" s="4" t="s">
        <v>7220</v>
      </c>
      <c r="C5743" s="5" t="str">
        <f>IFERROR(__xludf.DUMMYFUNCTION("GOOGLETRANSLATE(B5743,""en"",""it"")"),"La persona serve quindi il cibo su un piatto e il testo appare sullo schermo.")</f>
        <v>La persona serve quindi il cibo su un piatto e il testo appare sullo schermo.</v>
      </c>
    </row>
    <row r="5744">
      <c r="A5744" s="4" t="s">
        <v>7221</v>
      </c>
      <c r="B5744" s="4" t="s">
        <v>7222</v>
      </c>
      <c r="C5744" s="5" t="str">
        <f>IFERROR(__xludf.DUMMYFUNCTION("GOOGLETRANSLATE(B5744,""en"",""it"")"),"Il titolo appare e svanisce.")</f>
        <v>Il titolo appare e svanisce.</v>
      </c>
    </row>
    <row r="5745">
      <c r="A5745" s="4" t="s">
        <v>7221</v>
      </c>
      <c r="B5745" s="4" t="s">
        <v>7223</v>
      </c>
      <c r="C5745" s="5" t="str">
        <f>IFERROR(__xludf.DUMMYFUNCTION("GOOGLETRANSLATE(B5745,""en"",""it"")"),"Vediamo un uomo che tirava il peso vicino alla sua testa.")</f>
        <v>Vediamo un uomo che tirava il peso vicino alla sua testa.</v>
      </c>
    </row>
    <row r="5746">
      <c r="A5746" s="4" t="s">
        <v>7221</v>
      </c>
      <c r="B5746" s="4" t="s">
        <v>7224</v>
      </c>
      <c r="C5746" s="5" t="str">
        <f>IFERROR(__xludf.DUMMYFUNCTION("GOOGLETRANSLATE(B5746,""en"",""it"")"),"Tre uomini passano allo specchio.")</f>
        <v>Tre uomini passano allo specchio.</v>
      </c>
    </row>
    <row r="5747">
      <c r="A5747" s="4" t="s">
        <v>7221</v>
      </c>
      <c r="B5747" s="4" t="s">
        <v>7225</v>
      </c>
      <c r="C5747" s="5" t="str">
        <f>IFERROR(__xludf.DUMMYFUNCTION("GOOGLETRANSLATE(B5747,""en"",""it"")"),"La fotocamera si ingrandisce sull'argomento principale.")</f>
        <v>La fotocamera si ingrandisce sull'argomento principale.</v>
      </c>
    </row>
    <row r="5748">
      <c r="A5748" s="4" t="s">
        <v>7221</v>
      </c>
      <c r="B5748" s="4" t="s">
        <v>7226</v>
      </c>
      <c r="C5748" s="5" t="str">
        <f>IFERROR(__xludf.DUMMYFUNCTION("GOOGLETRANSLATE(B5748,""en"",""it"")"),"Un uomo in grigio passa allo specchio.")</f>
        <v>Un uomo in grigio passa allo specchio.</v>
      </c>
    </row>
    <row r="5749">
      <c r="A5749" s="4" t="s">
        <v>7221</v>
      </c>
      <c r="B5749" s="4" t="s">
        <v>7227</v>
      </c>
      <c r="C5749" s="5" t="str">
        <f>IFERROR(__xludf.DUMMYFUNCTION("GOOGLETRANSLATE(B5749,""en"",""it"")"),"Lo schermo diventa nero e vediamo i titoli di coda.")</f>
        <v>Lo schermo diventa nero e vediamo i titoli di coda.</v>
      </c>
    </row>
    <row r="5750">
      <c r="A5750" s="4" t="s">
        <v>7228</v>
      </c>
      <c r="B5750" s="4" t="s">
        <v>7229</v>
      </c>
      <c r="C5750" s="5" t="str">
        <f>IFERROR(__xludf.DUMMYFUNCTION("GOOGLETRANSLATE(B5750,""en"",""it"")"),"Viene mostrata una bottiglia di gel di pulizia profonda.")</f>
        <v>Viene mostrata una bottiglia di gel di pulizia profonda.</v>
      </c>
    </row>
    <row r="5751">
      <c r="A5751" s="4" t="s">
        <v>7228</v>
      </c>
      <c r="B5751" s="6" t="s">
        <v>7230</v>
      </c>
      <c r="C5751" s="5" t="str">
        <f>IFERROR(__xludf.DUMMYFUNCTION("GOOGLETRANSLATE(B5751,""en"",""it"")"),"Una donna regge la bottiglia, quindi viene mostrata usando diverse soluzioni che si allinea sul bancone.")</f>
        <v>Una donna regge la bottiglia, quindi viene mostrata usando diverse soluzioni che si allinea sul bancone.</v>
      </c>
    </row>
    <row r="5752">
      <c r="A5752" s="4" t="s">
        <v>7228</v>
      </c>
      <c r="B5752" s="4" t="s">
        <v>7231</v>
      </c>
      <c r="C5752" s="5" t="str">
        <f>IFERROR(__xludf.DUMMYFUNCTION("GOOGLETRANSLATE(B5752,""en"",""it"")"),"Usa ciascuna sul viso, poi li sciacqua.")</f>
        <v>Usa ciascuna sul viso, poi li sciacqua.</v>
      </c>
    </row>
    <row r="5753">
      <c r="A5753" s="4" t="s">
        <v>7232</v>
      </c>
      <c r="B5753" s="4" t="s">
        <v>7233</v>
      </c>
      <c r="C5753" s="5" t="str">
        <f>IFERROR(__xludf.DUMMYFUNCTION("GOOGLETRANSLATE(B5753,""en"",""it"")"),"Vediamo una schermata del titolo blu con lettere bianche.")</f>
        <v>Vediamo una schermata del titolo blu con lettere bianche.</v>
      </c>
    </row>
    <row r="5754">
      <c r="A5754" s="4" t="s">
        <v>7232</v>
      </c>
      <c r="B5754" s="4" t="s">
        <v>7234</v>
      </c>
      <c r="C5754" s="5" t="str">
        <f>IFERROR(__xludf.DUMMYFUNCTION("GOOGLETRANSLATE(B5754,""en"",""it"")"),"Vediamo due ragazze in una stanza, quindi eseguire un capovolgimento.")</f>
        <v>Vediamo due ragazze in una stanza, quindi eseguire un capovolgimento.</v>
      </c>
    </row>
    <row r="5755">
      <c r="A5755" s="4" t="s">
        <v>7232</v>
      </c>
      <c r="B5755" s="4" t="s">
        <v>7235</v>
      </c>
      <c r="C5755" s="5" t="str">
        <f>IFERROR(__xludf.DUMMYFUNCTION("GOOGLETRANSLATE(B5755,""en"",""it"")"),"Vediamo 2 ragazze diverse fare diversi lanci.")</f>
        <v>Vediamo 2 ragazze diverse fare diversi lanci.</v>
      </c>
    </row>
    <row r="5756">
      <c r="A5756" s="4" t="s">
        <v>7232</v>
      </c>
      <c r="B5756" s="4" t="s">
        <v>7236</v>
      </c>
      <c r="C5756" s="5" t="str">
        <f>IFERROR(__xludf.DUMMYFUNCTION("GOOGLETRANSLATE(B5756,""en"",""it"")"),"Una ragazza fa un capovolgimento della schiena.")</f>
        <v>Una ragazza fa un capovolgimento della schiena.</v>
      </c>
    </row>
    <row r="5757">
      <c r="A5757" s="4" t="s">
        <v>7232</v>
      </c>
      <c r="B5757" s="4" t="s">
        <v>7237</v>
      </c>
      <c r="C5757" s="5" t="str">
        <f>IFERROR(__xludf.DUMMYFUNCTION("GOOGLETRANSLATE(B5757,""en"",""it"")"),"Vediamo quindi quattro ragazze fare un capovolgimento della schiena.")</f>
        <v>Vediamo quindi quattro ragazze fare un capovolgimento della schiena.</v>
      </c>
    </row>
    <row r="5758">
      <c r="A5758" s="4" t="s">
        <v>7238</v>
      </c>
      <c r="B5758" s="4" t="s">
        <v>7239</v>
      </c>
      <c r="C5758" s="5" t="str">
        <f>IFERROR(__xludf.DUMMYFUNCTION("GOOGLETRANSLATE(B5758,""en"",""it"")"),"Vediamo uno schermo del titolo nero.")</f>
        <v>Vediamo uno schermo del titolo nero.</v>
      </c>
    </row>
    <row r="5759">
      <c r="A5759" s="4" t="s">
        <v>7238</v>
      </c>
      <c r="B5759" s="4" t="s">
        <v>7240</v>
      </c>
      <c r="C5759" s="5" t="str">
        <f>IFERROR(__xludf.DUMMYFUNCTION("GOOGLETRANSLATE(B5759,""en"",""it"")"),"Vediamo un uomo che ha i suoi peli sul viso tagliati con un rasoio elettrico.")</f>
        <v>Vediamo un uomo che ha i suoi peli sul viso tagliati con un rasoio elettrico.</v>
      </c>
    </row>
    <row r="5760">
      <c r="A5760" s="4" t="s">
        <v>7238</v>
      </c>
      <c r="B5760" s="4" t="s">
        <v>7241</v>
      </c>
      <c r="C5760" s="5" t="str">
        <f>IFERROR(__xludf.DUMMYFUNCTION("GOOGLETRANSLATE(B5760,""en"",""it"")"),"Vediamo un uomo rasato con un rasoio dritto.")</f>
        <v>Vediamo un uomo rasato con un rasoio dritto.</v>
      </c>
    </row>
    <row r="5761">
      <c r="A5761" s="4" t="s">
        <v>7238</v>
      </c>
      <c r="B5761" s="4" t="s">
        <v>7242</v>
      </c>
      <c r="C5761" s="5" t="str">
        <f>IFERROR(__xludf.DUMMYFUNCTION("GOOGLETRANSLATE(B5761,""en"",""it"")"),"Vediamo quindi lo schermo di chiusura.")</f>
        <v>Vediamo quindi lo schermo di chiusura.</v>
      </c>
    </row>
    <row r="5762">
      <c r="A5762" s="4" t="s">
        <v>7243</v>
      </c>
      <c r="B5762" s="4" t="s">
        <v>7244</v>
      </c>
      <c r="C5762" s="5" t="str">
        <f>IFERROR(__xludf.DUMMYFUNCTION("GOOGLETRANSLATE(B5762,""en"",""it"")"),"Un uomo si avvicina a un bilanciere e si piega, sollevandosi in ginocchio.")</f>
        <v>Un uomo si avvicina a un bilanciere e si piega, sollevandosi in ginocchio.</v>
      </c>
    </row>
    <row r="5763">
      <c r="A5763" s="4" t="s">
        <v>7243</v>
      </c>
      <c r="B5763" s="4" t="s">
        <v>7245</v>
      </c>
      <c r="C5763" s="5" t="str">
        <f>IFERROR(__xludf.DUMMYFUNCTION("GOOGLETRANSLATE(B5763,""en"",""it"")"),"Solleva il bilanciere sul petto, poggia per un momento, quindi se lo solleva sopra la testa.")</f>
        <v>Solleva il bilanciere sul petto, poggia per un momento, quindi se lo solleva sopra la testa.</v>
      </c>
    </row>
    <row r="5764">
      <c r="A5764" s="4" t="s">
        <v>7243</v>
      </c>
      <c r="B5764" s="4" t="s">
        <v>7246</v>
      </c>
      <c r="C5764" s="5" t="str">
        <f>IFERROR(__xludf.DUMMYFUNCTION("GOOGLETRANSLATE(B5764,""en"",""it"")"),"Tiene la posa per alcuni secondi prima di lasciarla a terra.")</f>
        <v>Tiene la posa per alcuni secondi prima di lasciarla a terra.</v>
      </c>
    </row>
    <row r="5765">
      <c r="A5765" s="4" t="s">
        <v>7247</v>
      </c>
      <c r="B5765" s="4" t="s">
        <v>7248</v>
      </c>
      <c r="C5765" s="5" t="str">
        <f>IFERROR(__xludf.DUMMYFUNCTION("GOOGLETRANSLATE(B5765,""en"",""it"")"),"Un'ombra è vista nella stanza fumosa.")</f>
        <v>Un'ombra è vista nella stanza fumosa.</v>
      </c>
    </row>
    <row r="5766">
      <c r="A5766" s="4" t="s">
        <v>7247</v>
      </c>
      <c r="B5766" s="4" t="s">
        <v>7249</v>
      </c>
      <c r="C5766" s="5" t="str">
        <f>IFERROR(__xludf.DUMMYFUNCTION("GOOGLETRANSLATE(B5766,""en"",""it"")"),"Una donna si sta facendo la doccia e si sta lavando i capelli.")</f>
        <v>Una donna si sta facendo la doccia e si sta lavando i capelli.</v>
      </c>
    </row>
    <row r="5767">
      <c r="A5767" s="4" t="s">
        <v>7247</v>
      </c>
      <c r="B5767" s="4" t="s">
        <v>7250</v>
      </c>
      <c r="C5767" s="5" t="str">
        <f>IFERROR(__xludf.DUMMYFUNCTION("GOOGLETRANSLATE(B5767,""en"",""it"")"),"Lo stacca a fili, mettendo su di esso.")</f>
        <v>Lo stacca a fili, mettendo su di esso.</v>
      </c>
    </row>
    <row r="5768">
      <c r="A5768" s="4" t="s">
        <v>7251</v>
      </c>
      <c r="B5768" s="4" t="s">
        <v>7252</v>
      </c>
      <c r="C5768" s="5" t="str">
        <f>IFERROR(__xludf.DUMMYFUNCTION("GOOGLETRANSLATE(B5768,""en"",""it"")"),"Una donna viene vista indossare un cappello divertente mentre parla alla telecamera e si siede su una sedia.")</f>
        <v>Una donna viene vista indossare un cappello divertente mentre parla alla telecamera e si siede su una sedia.</v>
      </c>
    </row>
    <row r="5769">
      <c r="A5769" s="4" t="s">
        <v>7251</v>
      </c>
      <c r="B5769" s="4" t="s">
        <v>7253</v>
      </c>
      <c r="C5769" s="5" t="str">
        <f>IFERROR(__xludf.DUMMYFUNCTION("GOOGLETRANSLATE(B5769,""en"",""it"")"),"La donna quindi si muove sulla sedia mentre termina con un'altra sua foto.")</f>
        <v>La donna quindi si muove sulla sedia mentre termina con un'altra sua foto.</v>
      </c>
    </row>
    <row r="5770">
      <c r="A5770" s="4" t="s">
        <v>7254</v>
      </c>
      <c r="B5770" s="6" t="s">
        <v>7255</v>
      </c>
      <c r="C5770" s="5" t="str">
        <f>IFERROR(__xludf.DUMMYFUNCTION("GOOGLETRANSLATE(B5770,""en"",""it"")"),"Un ragazzo si siede su una sedia con un abito protettivo e si taglia i capelli con tagliatori elettrici dalla mamma a casa.")</f>
        <v>Un ragazzo si siede su una sedia con un abito protettivo e si taglia i capelli con tagliatori elettrici dalla mamma a casa.</v>
      </c>
    </row>
    <row r="5771">
      <c r="A5771" s="4" t="s">
        <v>7254</v>
      </c>
      <c r="B5771" s="4" t="s">
        <v>7256</v>
      </c>
      <c r="C5771" s="5" t="str">
        <f>IFERROR(__xludf.DUMMYFUNCTION("GOOGLETRANSLATE(B5771,""en"",""it"")"),"La madre rimuove i peli tagliati dalla testa dei ragazzi con le dita.")</f>
        <v>La madre rimuove i peli tagliati dalla testa dei ragazzi con le dita.</v>
      </c>
    </row>
    <row r="5772">
      <c r="A5772" s="4" t="s">
        <v>7254</v>
      </c>
      <c r="B5772" s="4" t="s">
        <v>7257</v>
      </c>
      <c r="C5772" s="5" t="str">
        <f>IFERROR(__xludf.DUMMYFUNCTION("GOOGLETRANSLATE(B5772,""en"",""it"")"),"Una ragazza viene vista guardare nella stanza.")</f>
        <v>Una ragazza viene vista guardare nella stanza.</v>
      </c>
    </row>
    <row r="5773">
      <c r="A5773" s="4" t="s">
        <v>7258</v>
      </c>
      <c r="B5773" s="6" t="s">
        <v>7259</v>
      </c>
      <c r="C5773" s="5" t="str">
        <f>IFERROR(__xludf.DUMMYFUNCTION("GOOGLETRANSLATE(B5773,""en"",""it"")"),"Viene vista una donna parlare alla telecamera mentre tiene in mano una spilla e poi si lancia i capelli e inizia a intrecciare.")</f>
        <v>Viene vista una donna parlare alla telecamera mentre tiene in mano una spilla e poi si lancia i capelli e inizia a intrecciare.</v>
      </c>
    </row>
    <row r="5774">
      <c r="A5774" s="4" t="s">
        <v>7258</v>
      </c>
      <c r="B5774" s="4" t="s">
        <v>7260</v>
      </c>
      <c r="C5774" s="5" t="str">
        <f>IFERROR(__xludf.DUMMYFUNCTION("GOOGLETRANSLATE(B5774,""en"",""it"")"),"La ragazza si alza quindi i capelli in una coda di cavallo e avvolge i capelli per fare un gioco di parole.")</f>
        <v>La ragazza si alza quindi i capelli in una coda di cavallo e avvolge i capelli per fare un gioco di parole.</v>
      </c>
    </row>
    <row r="5775">
      <c r="A5775" s="4" t="s">
        <v>7258</v>
      </c>
      <c r="B5775" s="4" t="s">
        <v>7261</v>
      </c>
      <c r="C5775" s="5" t="str">
        <f>IFERROR(__xludf.DUMMYFUNCTION("GOOGLETRANSLATE(B5775,""en"",""it"")"),"Alla fine si stringe i capelli e poi si mostra i capelli mentre indicava la telecamera.")</f>
        <v>Alla fine si stringe i capelli e poi si mostra i capelli mentre indicava la telecamera.</v>
      </c>
    </row>
    <row r="5776">
      <c r="A5776" s="4" t="s">
        <v>7262</v>
      </c>
      <c r="B5776" s="4" t="s">
        <v>7263</v>
      </c>
      <c r="C5776" s="5" t="str">
        <f>IFERROR(__xludf.DUMMYFUNCTION("GOOGLETRANSLATE(B5776,""en"",""it"")"),"Una giornalista di notizie sta parlando in una sala da notizie.")</f>
        <v>Una giornalista di notizie sta parlando in una sala da notizie.</v>
      </c>
    </row>
    <row r="5777">
      <c r="A5777" s="4" t="s">
        <v>7262</v>
      </c>
      <c r="B5777" s="4" t="s">
        <v>7264</v>
      </c>
      <c r="C5777" s="5" t="str">
        <f>IFERROR(__xludf.DUMMYFUNCTION("GOOGLETRANSLATE(B5777,""en"",""it"")"),"Vediamo diverse persone che cavalcano i cavalli come una folla.")</f>
        <v>Vediamo diverse persone che cavalcano i cavalli come una folla.</v>
      </c>
    </row>
    <row r="5778">
      <c r="A5778" s="4" t="s">
        <v>7262</v>
      </c>
      <c r="B5778" s="4" t="s">
        <v>7265</v>
      </c>
      <c r="C5778" s="5" t="str">
        <f>IFERROR(__xludf.DUMMYFUNCTION("GOOGLETRANSLATE(B5778,""en"",""it"")"),"Le persone stanno colpendo borse con bastoncini mentre cavalcano.")</f>
        <v>Le persone stanno colpendo borse con bastoncini mentre cavalcano.</v>
      </c>
    </row>
    <row r="5779">
      <c r="A5779" s="4" t="s">
        <v>7262</v>
      </c>
      <c r="B5779" s="4" t="s">
        <v>7266</v>
      </c>
      <c r="C5779" s="5" t="str">
        <f>IFERROR(__xludf.DUMMYFUNCTION("GOOGLETRANSLATE(B5779,""en"",""it"")"),"Le persone vengono quindi intervistate sul gioco e un uomo viene mostrato frecce di sparare.")</f>
        <v>Le persone vengono quindi intervistate sul gioco e un uomo viene mostrato frecce di sparare.</v>
      </c>
    </row>
    <row r="5780">
      <c r="A5780" s="4" t="s">
        <v>7267</v>
      </c>
      <c r="B5780" s="4" t="s">
        <v>7268</v>
      </c>
      <c r="C5780" s="5" t="str">
        <f>IFERROR(__xludf.DUMMYFUNCTION("GOOGLETRANSLATE(B5780,""en"",""it"")"),"L'uomo è in palestra coperta di sollevamento pesi.")</f>
        <v>L'uomo è in palestra coperta di sollevamento pesi.</v>
      </c>
    </row>
    <row r="5781">
      <c r="A5781" s="4" t="s">
        <v>7267</v>
      </c>
      <c r="B5781" s="4" t="s">
        <v>7269</v>
      </c>
      <c r="C5781" s="5" t="str">
        <f>IFERROR(__xludf.DUMMYFUNCTION("GOOGLETRANSLATE(B5781,""en"",""it"")"),"La donna cammina dietro l'uomo che guarda l'uomo.")</f>
        <v>La donna cammina dietro l'uomo che guarda l'uomo.</v>
      </c>
    </row>
    <row r="5782">
      <c r="A5782" s="4" t="s">
        <v>7267</v>
      </c>
      <c r="B5782" s="4" t="s">
        <v>7270</v>
      </c>
      <c r="C5782" s="5" t="str">
        <f>IFERROR(__xludf.DUMMYFUNCTION("GOOGLETRANSLATE(B5782,""en"",""it"")"),"La donna solleva otto mentre l'uomo si siede per guardarla.")</f>
        <v>La donna solleva otto mentre l'uomo si siede per guardarla.</v>
      </c>
    </row>
    <row r="5783">
      <c r="A5783" s="4" t="s">
        <v>7271</v>
      </c>
      <c r="B5783" s="4" t="s">
        <v>7272</v>
      </c>
      <c r="C5783" s="5" t="str">
        <f>IFERROR(__xludf.DUMMYFUNCTION("GOOGLETRANSLATE(B5783,""en"",""it"")"),"Un uomo è in piedi fuori tenendo un violino.")</f>
        <v>Un uomo è in piedi fuori tenendo un violino.</v>
      </c>
    </row>
    <row r="5784">
      <c r="A5784" s="4" t="s">
        <v>7271</v>
      </c>
      <c r="B5784" s="4" t="s">
        <v>7273</v>
      </c>
      <c r="C5784" s="5" t="str">
        <f>IFERROR(__xludf.DUMMYFUNCTION("GOOGLETRANSLATE(B5784,""en"",""it"")"),"Comincia a suonare il violino.")</f>
        <v>Comincia a suonare il violino.</v>
      </c>
    </row>
    <row r="5785">
      <c r="A5785" s="4" t="s">
        <v>7271</v>
      </c>
      <c r="B5785" s="4" t="s">
        <v>7274</v>
      </c>
      <c r="C5785" s="5" t="str">
        <f>IFERROR(__xludf.DUMMYFUNCTION("GOOGLETRANSLATE(B5785,""en"",""it"")"),"Si ferma e mette il violino al suo fianco.")</f>
        <v>Si ferma e mette il violino al suo fianco.</v>
      </c>
    </row>
    <row r="5786">
      <c r="A5786" s="4" t="s">
        <v>7275</v>
      </c>
      <c r="B5786" s="6" t="s">
        <v>7276</v>
      </c>
      <c r="C5786" s="5" t="str">
        <f>IFERROR(__xludf.DUMMYFUNCTION("GOOGLETRANSLATE(B5786,""en"",""it"")"),"Ci sono due uomini vestiti con camicie bianche che indossano cappelli che fanno il wrestling freestyle in uno stadio indoor.")</f>
        <v>Ci sono due uomini vestiti con camicie bianche che indossano cappelli che fanno il wrestling freestyle in uno stadio indoor.</v>
      </c>
    </row>
    <row r="5787">
      <c r="A5787" s="4" t="s">
        <v>7275</v>
      </c>
      <c r="B5787" s="6" t="s">
        <v>7277</v>
      </c>
      <c r="C5787" s="5" t="str">
        <f>IFERROR(__xludf.DUMMYFUNCTION("GOOGLETRANSLATE(B5787,""en"",""it"")"),"Ci sono diversi spettatori che li guardano, alcuni seduti sulle sedie e altri seduti a terra.")</f>
        <v>Ci sono diversi spettatori che li guardano, alcuni seduti sulle sedie e altri seduti a terra.</v>
      </c>
    </row>
    <row r="5788">
      <c r="A5788" s="4" t="s">
        <v>7275</v>
      </c>
      <c r="B5788" s="6" t="s">
        <v>7278</v>
      </c>
      <c r="C5788" s="5" t="str">
        <f>IFERROR(__xludf.DUMMYFUNCTION("GOOGLETRANSLATE(B5788,""en"",""it"")"),"Ci sono alcune persone sedute su sedie che suonano vari strumenti a mano e cantano per rallegrare i combattenti.")</f>
        <v>Ci sono alcune persone sedute su sedie che suonano vari strumenti a mano e cantano per rallegrare i combattenti.</v>
      </c>
    </row>
    <row r="5789">
      <c r="A5789" s="4" t="s">
        <v>7275</v>
      </c>
      <c r="B5789" s="6" t="s">
        <v>7279</v>
      </c>
      <c r="C5789" s="5" t="str">
        <f>IFERROR(__xludf.DUMMYFUNCTION("GOOGLETRANSLATE(B5789,""en"",""it"")"),"I due uomini continuano a lottare in modo non aggressivo, prendendo a turno per attaccare l'avversario.")</f>
        <v>I due uomini continuano a lottare in modo non aggressivo, prendendo a turno per attaccare l'avversario.</v>
      </c>
    </row>
    <row r="5790">
      <c r="A5790" s="4" t="s">
        <v>7275</v>
      </c>
      <c r="B5790" s="4" t="s">
        <v>7280</v>
      </c>
      <c r="C5790" s="5" t="str">
        <f>IFERROR(__xludf.DUMMYFUNCTION("GOOGLETRANSLATE(B5790,""en"",""it"")"),"Continuano a combattere mentre un uomo fa un lancio davanti.")</f>
        <v>Continuano a combattere mentre un uomo fa un lancio davanti.</v>
      </c>
    </row>
    <row r="5791">
      <c r="A5791" s="4" t="s">
        <v>7275</v>
      </c>
      <c r="B5791" s="4" t="s">
        <v>7281</v>
      </c>
      <c r="C5791" s="5" t="str">
        <f>IFERROR(__xludf.DUMMYFUNCTION("GOOGLETRANSLATE(B5791,""en"",""it"")"),"Nel round finale, accelerano il combattimento con calci e movimenti più veloci.")</f>
        <v>Nel round finale, accelerano il combattimento con calci e movimenti più veloci.</v>
      </c>
    </row>
    <row r="5792">
      <c r="A5792" s="4" t="s">
        <v>7282</v>
      </c>
      <c r="B5792" s="4" t="s">
        <v>7283</v>
      </c>
      <c r="C5792" s="5" t="str">
        <f>IFERROR(__xludf.DUMMYFUNCTION("GOOGLETRANSLATE(B5792,""en"",""it"")"),"Un gruppo di ragazzi scalpella un nome nella sabbia sulla spiaggia con le mani.")</f>
        <v>Un gruppo di ragazzi scalpella un nome nella sabbia sulla spiaggia con le mani.</v>
      </c>
    </row>
    <row r="5793">
      <c r="A5793" s="4" t="s">
        <v>7282</v>
      </c>
      <c r="B5793" s="4" t="s">
        <v>7284</v>
      </c>
      <c r="C5793" s="5" t="str">
        <f>IFERROR(__xludf.DUMMYFUNCTION("GOOGLETRANSLATE(B5793,""en"",""it"")"),"I ragazzi lasciano il pezzo d'arte che lascia un solo ragazzo in una maglietta rossa per lavorarci da soli.")</f>
        <v>I ragazzi lasciano il pezzo d'arte che lascia un solo ragazzo in una maglietta rossa per lavorarci da soli.</v>
      </c>
    </row>
    <row r="5794">
      <c r="A5794" s="4" t="s">
        <v>7282</v>
      </c>
      <c r="B5794" s="6" t="s">
        <v>7285</v>
      </c>
      <c r="C5794" s="5" t="str">
        <f>IFERROR(__xludf.DUMMYFUNCTION("GOOGLETRANSLATE(B5794,""en"",""it"")"),"Due ragazzi tornano con due palline di sabbia in cerchio e si siedono accanto all'opera d'arte mentre lavorano per completare le palle di sabbia che hanno raccolto mentre un gruppo di bambini si riunisce per guardare.")</f>
        <v>Due ragazzi tornano con due palline di sabbia in cerchio e si siedono accanto all'opera d'arte mentre lavorano per completare le palle di sabbia che hanno raccolto mentre un gruppo di bambini si riunisce per guardare.</v>
      </c>
    </row>
    <row r="5795">
      <c r="A5795" s="4" t="s">
        <v>7286</v>
      </c>
      <c r="B5795" s="6" t="s">
        <v>7287</v>
      </c>
      <c r="C5795" s="5" t="str">
        <f>IFERROR(__xludf.DUMMYFUNCTION("GOOGLETRANSLATE(B5795,""en"",""it"")"),"Un'introduzione conduce in diversi scatti di graffiti su un muro e persone che si muovono e si parlano.")</f>
        <v>Un'introduzione conduce in diversi scatti di graffiti su un muro e persone che si muovono e si parlano.</v>
      </c>
    </row>
    <row r="5796">
      <c r="A5796" s="4" t="s">
        <v>7286</v>
      </c>
      <c r="B5796" s="6" t="s">
        <v>7288</v>
      </c>
      <c r="C5796" s="5" t="str">
        <f>IFERROR(__xludf.DUMMYFUNCTION("GOOGLETRANSLATE(B5796,""en"",""it"")"),"Un rapper viene quindi visto fare un tatuaggio da un uomo mentre la telecamera cattura diversi angoli e mostra opere d'arte.")</f>
        <v>Un rapper viene quindi visto fare un tatuaggio da un uomo mentre la telecamera cattura diversi angoli e mostra opere d'arte.</v>
      </c>
    </row>
    <row r="5797">
      <c r="A5797" s="4" t="s">
        <v>7286</v>
      </c>
      <c r="B5797" s="6" t="s">
        <v>7289</v>
      </c>
      <c r="C5797" s="5" t="str">
        <f>IFERROR(__xludf.DUMMYFUNCTION("GOOGLETRANSLATE(B5797,""en"",""it"")"),"Più persone mostrano i loro tatuaggi e il rapper punta alla telecamera e mostra il tatuaggio finito e la copertina dell'album.")</f>
        <v>Più persone mostrano i loro tatuaggi e il rapper punta alla telecamera e mostra il tatuaggio finito e la copertina dell'album.</v>
      </c>
    </row>
    <row r="5798">
      <c r="A5798" s="4" t="s">
        <v>7290</v>
      </c>
      <c r="B5798" s="4" t="s">
        <v>7291</v>
      </c>
      <c r="C5798" s="5" t="str">
        <f>IFERROR(__xludf.DUMMYFUNCTION("GOOGLETRANSLATE(B5798,""en"",""it"")"),"Una band si sta esercitando in palestra.")</f>
        <v>Una band si sta esercitando in palestra.</v>
      </c>
    </row>
    <row r="5799">
      <c r="A5799" s="4" t="s">
        <v>7290</v>
      </c>
      <c r="B5799" s="4" t="s">
        <v>7292</v>
      </c>
      <c r="C5799" s="5" t="str">
        <f>IFERROR(__xludf.DUMMYFUNCTION("GOOGLETRANSLATE(B5799,""en"",""it"")"),"Le persone fanno roteare bandiere mentre si trovano in linea.")</f>
        <v>Le persone fanno roteare bandiere mentre si trovano in linea.</v>
      </c>
    </row>
    <row r="5800">
      <c r="A5800" s="4" t="s">
        <v>7290</v>
      </c>
      <c r="B5800" s="4" t="s">
        <v>7293</v>
      </c>
      <c r="C5800" s="5" t="str">
        <f>IFERROR(__xludf.DUMMYFUNCTION("GOOGLETRANSLATE(B5800,""en"",""it"")"),"I batteristi stanno marciando in palestra.")</f>
        <v>I batteristi stanno marciando in palestra.</v>
      </c>
    </row>
    <row r="5801">
      <c r="A5801" s="4" t="s">
        <v>7290</v>
      </c>
      <c r="B5801" s="4" t="s">
        <v>7294</v>
      </c>
      <c r="C5801" s="5" t="str">
        <f>IFERROR(__xludf.DUMMYFUNCTION("GOOGLETRANSLATE(B5801,""en"",""it"")"),"Entrano in linea e ballano fuori dalla palestra.")</f>
        <v>Entrano in linea e ballano fuori dalla palestra.</v>
      </c>
    </row>
    <row r="5802">
      <c r="A5802" s="4" t="s">
        <v>7295</v>
      </c>
      <c r="B5802" s="4" t="s">
        <v>7296</v>
      </c>
      <c r="C5802" s="5" t="str">
        <f>IFERROR(__xludf.DUMMYFUNCTION("GOOGLETRANSLATE(B5802,""en"",""it"")"),"Viene vista una persona parlare alla telecamera e fumare da una pipa del narghilè.")</f>
        <v>Viene vista una persona parlare alla telecamera e fumare da una pipa del narghilè.</v>
      </c>
    </row>
    <row r="5803">
      <c r="A5803" s="4" t="s">
        <v>7295</v>
      </c>
      <c r="B5803" s="6" t="s">
        <v>7297</v>
      </c>
      <c r="C5803" s="5" t="str">
        <f>IFERROR(__xludf.DUMMYFUNCTION("GOOGLETRANSLATE(B5803,""en"",""it"")"),"La telecamera si lancia intorno all'area e continua a parlare con l'uomo e conduce a un colpo di una barca che passa e un fuoco ravvicinato.")</f>
        <v>La telecamera si lancia intorno all'area e continua a parlare con l'uomo e conduce a un colpo di una barca che passa e un fuoco ravvicinato.</v>
      </c>
    </row>
    <row r="5804">
      <c r="A5804" s="4" t="s">
        <v>7298</v>
      </c>
      <c r="B5804" s="4" t="s">
        <v>7299</v>
      </c>
      <c r="C5804" s="5" t="str">
        <f>IFERROR(__xludf.DUMMYFUNCTION("GOOGLETRANSLATE(B5804,""en"",""it"")"),"Una donna inizia a ballare accanto a un uomo di fronte a una folla raccolta.")</f>
        <v>Una donna inizia a ballare accanto a un uomo di fronte a una folla raccolta.</v>
      </c>
    </row>
    <row r="5805">
      <c r="A5805" s="4" t="s">
        <v>7298</v>
      </c>
      <c r="B5805" s="4" t="s">
        <v>7300</v>
      </c>
      <c r="C5805" s="5" t="str">
        <f>IFERROR(__xludf.DUMMYFUNCTION("GOOGLETRANSLATE(B5805,""en"",""it"")"),"Girano in cerchio mentre ballano.")</f>
        <v>Girano in cerchio mentre ballano.</v>
      </c>
    </row>
    <row r="5806">
      <c r="A5806" s="4" t="s">
        <v>7298</v>
      </c>
      <c r="B5806" s="4" t="s">
        <v>7301</v>
      </c>
      <c r="C5806" s="5" t="str">
        <f>IFERROR(__xludf.DUMMYFUNCTION("GOOGLETRANSLATE(B5806,""en"",""it"")"),"Si passa tra le gambe, scivolando verso l'esterno e ferendosi il collo.")</f>
        <v>Si passa tra le gambe, scivolando verso l'esterno e ferendosi il collo.</v>
      </c>
    </row>
    <row r="5807">
      <c r="A5807" s="4" t="s">
        <v>7298</v>
      </c>
      <c r="B5807" s="4" t="s">
        <v>7302</v>
      </c>
      <c r="C5807" s="5" t="str">
        <f>IFERROR(__xludf.DUMMYFUNCTION("GOOGLETRANSLATE(B5807,""en"",""it"")"),"Si alza a ridere e dà un abbraccio all'uomo.")</f>
        <v>Si alza a ridere e dà un abbraccio all'uomo.</v>
      </c>
    </row>
    <row r="5808">
      <c r="A5808" s="4" t="s">
        <v>7303</v>
      </c>
      <c r="B5808" s="6" t="s">
        <v>7304</v>
      </c>
      <c r="C5808" s="5" t="str">
        <f>IFERROR(__xludf.DUMMYFUNCTION("GOOGLETRANSLATE(B5808,""en"",""it"")"),"Una donna viene vista soffiare i capelli mentre usa un pettine in varie mode e usa prodotti diversi.")</f>
        <v>Una donna viene vista soffiare i capelli mentre usa un pettine in varie mode e usa prodotti diversi.</v>
      </c>
    </row>
    <row r="5809">
      <c r="A5809" s="4" t="s">
        <v>7303</v>
      </c>
      <c r="B5809" s="4" t="s">
        <v>7305</v>
      </c>
      <c r="C5809" s="5" t="str">
        <f>IFERROR(__xludf.DUMMYFUNCTION("GOOGLETRANSLATE(B5809,""en"",""it"")"),"La donna continua a usare l'asciugacapelli sui capelli e finisce mostrandosi i capelli finiti.")</f>
        <v>La donna continua a usare l'asciugacapelli sui capelli e finisce mostrandosi i capelli finiti.</v>
      </c>
    </row>
    <row r="5810">
      <c r="A5810" s="4" t="s">
        <v>7306</v>
      </c>
      <c r="B5810" s="4" t="s">
        <v>7307</v>
      </c>
      <c r="C5810" s="5" t="str">
        <f>IFERROR(__xludf.DUMMYFUNCTION("GOOGLETRANSLATE(B5810,""en"",""it"")"),"Un uomo in giallo e nero salda un acciaio.")</f>
        <v>Un uomo in giallo e nero salda un acciaio.</v>
      </c>
    </row>
    <row r="5811">
      <c r="A5811" s="4" t="s">
        <v>7306</v>
      </c>
      <c r="B5811" s="4" t="s">
        <v>7308</v>
      </c>
      <c r="C5811" s="5" t="str">
        <f>IFERROR(__xludf.DUMMYFUNCTION("GOOGLETRANSLATE(B5811,""en"",""it"")"),"Ferma il lavoro di saldatura.")</f>
        <v>Ferma il lavoro di saldatura.</v>
      </c>
    </row>
    <row r="5812">
      <c r="A5812" s="4" t="s">
        <v>7306</v>
      </c>
      <c r="B5812" s="4" t="s">
        <v>7309</v>
      </c>
      <c r="C5812" s="5" t="str">
        <f>IFERROR(__xludf.DUMMYFUNCTION("GOOGLETRANSLATE(B5812,""en"",""it"")"),"Quindi si allontana e lo ispeziona.")</f>
        <v>Quindi si allontana e lo ispeziona.</v>
      </c>
    </row>
    <row r="5813">
      <c r="A5813" s="4" t="s">
        <v>7310</v>
      </c>
      <c r="B5813" s="6" t="s">
        <v>7311</v>
      </c>
      <c r="C5813" s="5" t="str">
        <f>IFERROR(__xludf.DUMMYFUNCTION("GOOGLETRANSLATE(B5813,""en"",""it"")"),"Tre atleti di diversi paesi competono sollevamenti di pesi sul fronte della giuria, durante il primo turno, tutti gli atleti sollevano il peso con successo.")</f>
        <v>Tre atleti di diversi paesi competono sollevamenti di pesi sul fronte della giuria, durante il primo turno, tutti gli atleti sollevano il peso con successo.</v>
      </c>
    </row>
    <row r="5814">
      <c r="A5814" s="4" t="s">
        <v>7310</v>
      </c>
      <c r="B5814" s="6" t="s">
        <v>7312</v>
      </c>
      <c r="C5814" s="5" t="str">
        <f>IFERROR(__xludf.DUMMYFUNCTION("GOOGLETRANSLATE(B5814,""en"",""it"")"),"Nel secondo turno, l'atleta con uniforme blu si alza con successo e bacia la barra del peso, anche gli altri atleti hanno successo.")</f>
        <v>Nel secondo turno, l'atleta con uniforme blu si alza con successo e bacia la barra del peso, anche gli altri atleti hanno successo.</v>
      </c>
    </row>
    <row r="5815">
      <c r="A5815" s="4" t="s">
        <v>7310</v>
      </c>
      <c r="B5815" s="4" t="s">
        <v>7313</v>
      </c>
      <c r="C5815" s="5" t="str">
        <f>IFERROR(__xludf.DUMMYFUNCTION("GOOGLETRANSLATE(B5815,""en"",""it"")"),"Al terzo turno, l'atleta indiano ha lasciato cadere il peso.")</f>
        <v>Al terzo turno, l'atleta indiano ha lasciato cadere il peso.</v>
      </c>
    </row>
    <row r="5816">
      <c r="A5816" s="4" t="s">
        <v>7310</v>
      </c>
      <c r="B5816" s="6" t="s">
        <v>7314</v>
      </c>
      <c r="C5816" s="5" t="str">
        <f>IFERROR(__xludf.DUMMYFUNCTION("GOOGLETRANSLATE(B5816,""en"",""it"")"),"L'atleta con l'uniforme rossa si congratula, quindi si trova sul primo posto del podio e parla.")</f>
        <v>L'atleta con l'uniforme rossa si congratula, quindi si trova sul primo posto del podio e parla.</v>
      </c>
    </row>
    <row r="5817">
      <c r="A5817" s="4" t="s">
        <v>7315</v>
      </c>
      <c r="B5817" s="4" t="s">
        <v>7316</v>
      </c>
      <c r="C5817" s="5" t="str">
        <f>IFERROR(__xludf.DUMMYFUNCTION("GOOGLETRANSLATE(B5817,""en"",""it"")"),"Una stanza è coperta per evitare che la vernice venga schizzata su oggetti nella stanza.")</f>
        <v>Una stanza è coperta per evitare che la vernice venga schizzata su oggetti nella stanza.</v>
      </c>
    </row>
    <row r="5818">
      <c r="A5818" s="4" t="s">
        <v>7315</v>
      </c>
      <c r="B5818" s="4" t="s">
        <v>7317</v>
      </c>
      <c r="C5818" s="5" t="str">
        <f>IFERROR(__xludf.DUMMYFUNCTION("GOOGLETRANSLATE(B5818,""en"",""it"")"),"Una stanza è vista con nastro blu sui suoi bordi e pareti.")</f>
        <v>Una stanza è vista con nastro blu sui suoi bordi e pareti.</v>
      </c>
    </row>
    <row r="5819">
      <c r="A5819" s="4" t="s">
        <v>7315</v>
      </c>
      <c r="B5819" s="4" t="s">
        <v>7318</v>
      </c>
      <c r="C5819" s="5" t="str">
        <f>IFERROR(__xludf.DUMMYFUNCTION("GOOGLETRANSLATE(B5819,""en"",""it"")"),"I pavimenti della stanza hanno anche una borsa sul tappeto.")</f>
        <v>I pavimenti della stanza hanno anche una borsa sul tappeto.</v>
      </c>
    </row>
    <row r="5820">
      <c r="A5820" s="4" t="s">
        <v>7315</v>
      </c>
      <c r="B5820" s="4" t="s">
        <v>7319</v>
      </c>
      <c r="C5820" s="5" t="str">
        <f>IFERROR(__xludf.DUMMYFUNCTION("GOOGLETRANSLATE(B5820,""en"",""it"")"),"La scala di una casa ha borse sopra per evitare danni alla vernice.")</f>
        <v>La scala di una casa ha borse sopra per evitare danni alla vernice.</v>
      </c>
    </row>
    <row r="5821">
      <c r="A5821" s="4" t="s">
        <v>7315</v>
      </c>
      <c r="B5821" s="4" t="s">
        <v>7320</v>
      </c>
      <c r="C5821" s="5" t="str">
        <f>IFERROR(__xludf.DUMMYFUNCTION("GOOGLETRANSLATE(B5821,""en"",""it"")"),"Si vede un soffitto scintillante.")</f>
        <v>Si vede un soffitto scintillante.</v>
      </c>
    </row>
    <row r="5822">
      <c r="A5822" s="4" t="s">
        <v>7321</v>
      </c>
      <c r="B5822" s="4" t="s">
        <v>7322</v>
      </c>
      <c r="C5822" s="5" t="str">
        <f>IFERROR(__xludf.DUMMYFUNCTION("GOOGLETRANSLATE(B5822,""en"",""it"")"),"Viene vista una barca che cavalca lungo l'acqua con una persona che cavalca sugli sci dietro.")</f>
        <v>Viene vista una barca che cavalca lungo l'acqua con una persona che cavalca sugli sci dietro.</v>
      </c>
    </row>
    <row r="5823">
      <c r="A5823" s="4" t="s">
        <v>7321</v>
      </c>
      <c r="B5823" s="4" t="s">
        <v>7323</v>
      </c>
      <c r="C5823" s="5" t="str">
        <f>IFERROR(__xludf.DUMMYFUNCTION("GOOGLETRANSLATE(B5823,""en"",""it"")"),"La persona fa un capovolgimento e atterra all'indietro nell'acqua.")</f>
        <v>La persona fa un capovolgimento e atterra all'indietro nell'acqua.</v>
      </c>
    </row>
    <row r="5824">
      <c r="A5824" s="4" t="s">
        <v>7324</v>
      </c>
      <c r="B5824" s="4" t="s">
        <v>7325</v>
      </c>
      <c r="C5824" s="5" t="str">
        <f>IFERROR(__xludf.DUMMYFUNCTION("GOOGLETRANSLATE(B5824,""en"",""it"")"),"Una donna e un uomo sono dentro un'auto a parlare, poi l'uomo gira la testa.")</f>
        <v>Una donna e un uomo sono dentro un'auto a parlare, poi l'uomo gira la testa.</v>
      </c>
    </row>
    <row r="5825">
      <c r="A5825" s="4" t="s">
        <v>7324</v>
      </c>
      <c r="B5825" s="6" t="s">
        <v>7326</v>
      </c>
      <c r="C5825" s="5" t="str">
        <f>IFERROR(__xludf.DUMMYFUNCTION("GOOGLETRANSLATE(B5825,""en"",""it"")"),"Una giovane donna lava un'auto che indossa solo un reggiseno e pantaloncini, poi cosparge l'acqua in testa a girarla.")</f>
        <v>Una giovane donna lava un'auto che indossa solo un reggiseno e pantaloncini, poi cosparge l'acqua in testa a girarla.</v>
      </c>
    </row>
    <row r="5826">
      <c r="A5826" s="4" t="s">
        <v>7324</v>
      </c>
      <c r="B5826" s="4" t="s">
        <v>7327</v>
      </c>
      <c r="C5826" s="5" t="str">
        <f>IFERROR(__xludf.DUMMYFUNCTION("GOOGLETRANSLATE(B5826,""en"",""it"")"),"Dopo, l'uomo si gira per vedere la donna arrabbiata e urlare.")</f>
        <v>Dopo, l'uomo si gira per vedere la donna arrabbiata e urlare.</v>
      </c>
    </row>
    <row r="5827">
      <c r="A5827" s="4" t="s">
        <v>7328</v>
      </c>
      <c r="B5827" s="4" t="s">
        <v>7329</v>
      </c>
      <c r="C5827" s="5" t="str">
        <f>IFERROR(__xludf.DUMMYFUNCTION("GOOGLETRANSLATE(B5827,""en"",""it"")"),"Little Kid è nella sabbia facendo un castello usando una piccola pala giocattolo foglie per bambini.")</f>
        <v>Little Kid è nella sabbia facendo un castello usando una piccola pala giocattolo foglie per bambini.</v>
      </c>
    </row>
    <row r="5828">
      <c r="A5828" s="4" t="s">
        <v>7328</v>
      </c>
      <c r="B5828" s="6" t="s">
        <v>7330</v>
      </c>
      <c r="C5828" s="5" t="str">
        <f>IFERROR(__xludf.DUMMYFUNCTION("GOOGLETRANSLATE(B5828,""en"",""it"")"),"La bambina neona nel castello nella sabbia e inizia a giocare mentre il bambino porta più acqua dal mare.")</f>
        <v>La bambina neona nel castello nella sabbia e inizia a giocare mentre il bambino porta più acqua dal mare.</v>
      </c>
    </row>
    <row r="5829">
      <c r="A5829" s="4" t="s">
        <v>7331</v>
      </c>
      <c r="B5829" s="4" t="s">
        <v>7332</v>
      </c>
      <c r="C5829" s="5" t="str">
        <f>IFERROR(__xludf.DUMMYFUNCTION("GOOGLETRANSLATE(B5829,""en"",""it"")"),"Una donna è seduta con un bambino tra le braccia.")</f>
        <v>Una donna è seduta con un bambino tra le braccia.</v>
      </c>
    </row>
    <row r="5830">
      <c r="A5830" s="4" t="s">
        <v>7331</v>
      </c>
      <c r="B5830" s="4" t="s">
        <v>7333</v>
      </c>
      <c r="C5830" s="5" t="str">
        <f>IFERROR(__xludf.DUMMYFUNCTION("GOOGLETRANSLATE(B5830,""en"",""it"")"),"Prende leccate di un cono gelato e il bambino ride istericamente ogni volta.")</f>
        <v>Prende leccate di un cono gelato e il bambino ride istericamente ogni volta.</v>
      </c>
    </row>
    <row r="5831">
      <c r="A5831" s="4" t="s">
        <v>7331</v>
      </c>
      <c r="B5831" s="4" t="s">
        <v>7334</v>
      </c>
      <c r="C5831" s="5" t="str">
        <f>IFERROR(__xludf.DUMMYFUNCTION("GOOGLETRANSLATE(B5831,""en"",""it"")"),"Gli offre i morsi, tirando via il cono e facendolo ridere.")</f>
        <v>Gli offre i morsi, tirando via il cono e facendolo ridere.</v>
      </c>
    </row>
    <row r="5832">
      <c r="A5832" s="4" t="s">
        <v>7335</v>
      </c>
      <c r="B5832" s="4" t="s">
        <v>7336</v>
      </c>
      <c r="C5832" s="5" t="str">
        <f>IFERROR(__xludf.DUMMYFUNCTION("GOOGLETRANSLATE(B5832,""en"",""it"")"),"Un uomo fa girare una canoa lungo un fiume.")</f>
        <v>Un uomo fa girare una canoa lungo un fiume.</v>
      </c>
    </row>
    <row r="5833">
      <c r="A5833" s="4" t="s">
        <v>7335</v>
      </c>
      <c r="B5833" s="4" t="s">
        <v>7337</v>
      </c>
      <c r="C5833" s="5" t="str">
        <f>IFERROR(__xludf.DUMMYFUNCTION("GOOGLETRANSLATE(B5833,""en"",""it"")"),"Anche molte altre persone stanno remando.")</f>
        <v>Anche molte altre persone stanno remando.</v>
      </c>
    </row>
    <row r="5834">
      <c r="A5834" s="4" t="s">
        <v>7335</v>
      </c>
      <c r="B5834" s="4" t="s">
        <v>7338</v>
      </c>
      <c r="C5834" s="5" t="str">
        <f>IFERROR(__xludf.DUMMYFUNCTION("GOOGLETRANSLATE(B5834,""en"",""it"")"),"La sua canoa è colorata di rosso.")</f>
        <v>La sua canoa è colorata di rosso.</v>
      </c>
    </row>
    <row r="5835">
      <c r="A5835" s="4" t="s">
        <v>7335</v>
      </c>
      <c r="B5835" s="4" t="s">
        <v>7339</v>
      </c>
      <c r="C5835" s="5" t="str">
        <f>IFERROR(__xludf.DUMMYFUNCTION("GOOGLETRANSLATE(B5835,""en"",""it"")"),"Alla fine passa il punto.")</f>
        <v>Alla fine passa il punto.</v>
      </c>
    </row>
    <row r="5836">
      <c r="A5836" s="4" t="s">
        <v>7340</v>
      </c>
      <c r="B5836" s="4" t="s">
        <v>7341</v>
      </c>
      <c r="C5836" s="5" t="str">
        <f>IFERROR(__xludf.DUMMYFUNCTION("GOOGLETRANSLATE(B5836,""en"",""it"")"),"Una donna usa uno spillo rotolante per lanciare l'impasto sul bancone.")</f>
        <v>Una donna usa uno spillo rotolante per lanciare l'impasto sul bancone.</v>
      </c>
    </row>
    <row r="5837">
      <c r="A5837" s="4" t="s">
        <v>7340</v>
      </c>
      <c r="B5837" s="4" t="s">
        <v>7342</v>
      </c>
      <c r="C5837" s="5" t="str">
        <f>IFERROR(__xludf.DUMMYFUNCTION("GOOGLETRANSLATE(B5837,""en"",""it"")"),"Un'altra donna sta togliendo qualcosa da una teglia.")</f>
        <v>Un'altra donna sta togliendo qualcosa da una teglia.</v>
      </c>
    </row>
    <row r="5838">
      <c r="A5838" s="4" t="s">
        <v>7343</v>
      </c>
      <c r="B5838" s="4" t="s">
        <v>7344</v>
      </c>
      <c r="C5838" s="5" t="str">
        <f>IFERROR(__xludf.DUMMYFUNCTION("GOOGLETRANSLATE(B5838,""en"",""it"")"),"Le donne sono in piedi su un tavolo facendo il braccio di wrestling in una competizione.")</f>
        <v>Le donne sono in piedi su un tavolo facendo il braccio di wrestling in una competizione.</v>
      </c>
    </row>
    <row r="5839">
      <c r="A5839" s="4" t="s">
        <v>7343</v>
      </c>
      <c r="B5839" s="4" t="s">
        <v>7345</v>
      </c>
      <c r="C5839" s="5" t="str">
        <f>IFERROR(__xludf.DUMMYFUNCTION("GOOGLETRANSLATE(B5839,""en"",""it"")"),"Due arbitri sul lato dei tavoli e si guardano l'un l'altro.")</f>
        <v>Due arbitri sul lato dei tavoli e si guardano l'un l'altro.</v>
      </c>
    </row>
    <row r="5840">
      <c r="A5840" s="4" t="s">
        <v>7343</v>
      </c>
      <c r="B5840" s="4" t="s">
        <v>7346</v>
      </c>
      <c r="C5840" s="5" t="str">
        <f>IFERROR(__xludf.DUMMYFUNCTION("GOOGLETRANSLATE(B5840,""en"",""it"")"),"Le donne stanno di nuovo il braccio nel tavolo e alla fine si alzano.")</f>
        <v>Le donne stanno di nuovo il braccio nel tavolo e alla fine si alzano.</v>
      </c>
    </row>
    <row r="5841">
      <c r="A5841" s="4" t="s">
        <v>7347</v>
      </c>
      <c r="B5841" s="4" t="s">
        <v>7348</v>
      </c>
      <c r="C5841" s="5" t="str">
        <f>IFERROR(__xludf.DUMMYFUNCTION("GOOGLETRANSLATE(B5841,""en"",""it"")"),"Le persone giocano a croquet su un campo d'erba.")</f>
        <v>Le persone giocano a croquet su un campo d'erba.</v>
      </c>
    </row>
    <row r="5842">
      <c r="A5842" s="4" t="s">
        <v>7347</v>
      </c>
      <c r="B5842" s="4" t="s">
        <v>7349</v>
      </c>
      <c r="C5842" s="5" t="str">
        <f>IFERROR(__xludf.DUMMYFUNCTION("GOOGLETRANSLATE(B5842,""en"",""it"")"),"Viene mostrata una mappa del mondo.")</f>
        <v>Viene mostrata una mappa del mondo.</v>
      </c>
    </row>
    <row r="5843">
      <c r="A5843" s="4" t="s">
        <v>7347</v>
      </c>
      <c r="B5843" s="4" t="s">
        <v>7350</v>
      </c>
      <c r="C5843" s="5" t="str">
        <f>IFERROR(__xludf.DUMMYFUNCTION("GOOGLETRANSLATE(B5843,""en"",""it"")"),"I trofei sono mostrati sullo schermo.")</f>
        <v>I trofei sono mostrati sullo schermo.</v>
      </c>
    </row>
    <row r="5844">
      <c r="A5844" s="4" t="s">
        <v>7351</v>
      </c>
      <c r="B5844" s="4" t="s">
        <v>7352</v>
      </c>
      <c r="C5844" s="5" t="str">
        <f>IFERROR(__xludf.DUMMYFUNCTION("GOOGLETRANSLATE(B5844,""en"",""it"")"),"Un uomo indossa un cappello e si inginocchia su un tappetino blu.")</f>
        <v>Un uomo indossa un cappello e si inginocchia su un tappetino blu.</v>
      </c>
    </row>
    <row r="5845">
      <c r="A5845" s="4" t="s">
        <v>7351</v>
      </c>
      <c r="B5845" s="4" t="s">
        <v>7353</v>
      </c>
      <c r="C5845" s="5" t="str">
        <f>IFERROR(__xludf.DUMMYFUNCTION("GOOGLETRANSLATE(B5845,""en"",""it"")"),"Comincia a tirare una corda su una macchina da allenamento.")</f>
        <v>Comincia a tirare una corda su una macchina da allenamento.</v>
      </c>
    </row>
    <row r="5846">
      <c r="A5846" s="4" t="s">
        <v>7354</v>
      </c>
      <c r="B5846" s="4" t="s">
        <v>7355</v>
      </c>
      <c r="C5846" s="5" t="str">
        <f>IFERROR(__xludf.DUMMYFUNCTION("GOOGLETRANSLATE(B5846,""en"",""it"")"),"Una donna in top rosa tiene in mano un cerchio e parla con la telecamera.")</f>
        <v>Una donna in top rosa tiene in mano un cerchio e parla con la telecamera.</v>
      </c>
    </row>
    <row r="5847">
      <c r="A5847" s="4" t="s">
        <v>7354</v>
      </c>
      <c r="B5847" s="4" t="s">
        <v>7356</v>
      </c>
      <c r="C5847" s="5" t="str">
        <f>IFERROR(__xludf.DUMMYFUNCTION("GOOGLETRANSLATE(B5847,""en"",""it"")"),"La donna si mise il cerchio in vita e inizia a telaio.")</f>
        <v>La donna si mise il cerchio in vita e inizia a telaio.</v>
      </c>
    </row>
    <row r="5848">
      <c r="A5848" s="4" t="s">
        <v>7354</v>
      </c>
      <c r="B5848" s="6" t="s">
        <v>7357</v>
      </c>
      <c r="C5848" s="5" t="str">
        <f>IFERROR(__xludf.DUMMYFUNCTION("GOOGLETRANSLATE(B5848,""en"",""it"")"),"La donna si fermò e si voltò e inizia a scuotere i fianchi, cambiò i cerchi in uno più piccolo, ma quella piccola continua a cadere, poi cambiò i cerchi in uno più grande e iniziò a scuotere i fianchi con i cerchi.")</f>
        <v>La donna si fermò e si voltò e inizia a scuotere i fianchi, cambiò i cerchi in uno più piccolo, ma quella piccola continua a cadere, poi cambiò i cerchi in uno più grande e iniziò a scuotere i fianchi con i cerchi.</v>
      </c>
    </row>
    <row r="5849">
      <c r="A5849" s="4" t="s">
        <v>7358</v>
      </c>
      <c r="B5849" s="4" t="s">
        <v>7359</v>
      </c>
      <c r="C5849" s="5" t="str">
        <f>IFERROR(__xludf.DUMMYFUNCTION("GOOGLETRANSLATE(B5849,""en"",""it"")"),"Un gruppo di uomini si trova all'interno di un club oscuro.")</f>
        <v>Un gruppo di uomini si trova all'interno di un club oscuro.</v>
      </c>
    </row>
    <row r="5850">
      <c r="A5850" s="4" t="s">
        <v>7358</v>
      </c>
      <c r="B5850" s="4" t="s">
        <v>7360</v>
      </c>
      <c r="C5850" s="5" t="str">
        <f>IFERROR(__xludf.DUMMYFUNCTION("GOOGLETRANSLATE(B5850,""en"",""it"")"),"Un uomo inizia a lanciare freccette a qualcosa fuori dallo schermo.")</f>
        <v>Un uomo inizia a lanciare freccette a qualcosa fuori dallo schermo.</v>
      </c>
    </row>
    <row r="5851">
      <c r="A5851" s="4" t="s">
        <v>7358</v>
      </c>
      <c r="B5851" s="6" t="s">
        <v>7361</v>
      </c>
      <c r="C5851" s="5" t="str">
        <f>IFERROR(__xludf.DUMMYFUNCTION("GOOGLETRANSLATE(B5851,""en"",""it"")"),"Lo ripete molte volte prima di arrendersi, scrollare le spalle e girare la fotocamera verso la tavola da dardo.")</f>
        <v>Lo ripete molte volte prima di arrendersi, scrollare le spalle e girare la fotocamera verso la tavola da dardo.</v>
      </c>
    </row>
    <row r="5852">
      <c r="A5852" s="4" t="s">
        <v>7358</v>
      </c>
      <c r="B5852" s="4" t="s">
        <v>7362</v>
      </c>
      <c r="C5852" s="5" t="str">
        <f>IFERROR(__xludf.DUMMYFUNCTION("GOOGLETRANSLATE(B5852,""en"",""it"")"),"Vediamo che quattro delle freccette hanno colpito lo stesso punto.")</f>
        <v>Vediamo che quattro delle freccette hanno colpito lo stesso punto.</v>
      </c>
    </row>
    <row r="5853">
      <c r="A5853" s="4" t="s">
        <v>7363</v>
      </c>
      <c r="B5853" s="6" t="s">
        <v>7364</v>
      </c>
      <c r="C5853" s="5" t="str">
        <f>IFERROR(__xludf.DUMMYFUNCTION("GOOGLETRANSLATE(B5853,""en"",""it"")"),"Un piccolo gruppo di persone viene visto nuotare in una piscina e conduce in diversi colpi di un nuotatore che lancia una palla in una rete.")</f>
        <v>Un piccolo gruppo di persone viene visto nuotare in una piscina e conduce in diversi colpi di un nuotatore che lancia una palla in una rete.</v>
      </c>
    </row>
    <row r="5854">
      <c r="A5854" s="4" t="s">
        <v>7363</v>
      </c>
      <c r="B5854" s="6" t="s">
        <v>7365</v>
      </c>
      <c r="C5854" s="5" t="str">
        <f>IFERROR(__xludf.DUMMYFUNCTION("GOOGLETRANSLATE(B5854,""en"",""it"")"),"Il portiere blocca alcuni tiri e poi passa con un altro compagno di squadra mentre il pubblico applaude.")</f>
        <v>Il portiere blocca alcuni tiri e poi passa con un altro compagno di squadra mentre il pubblico applaude.</v>
      </c>
    </row>
    <row r="5855">
      <c r="A5855" s="4" t="s">
        <v>7363</v>
      </c>
      <c r="B5855" s="6" t="s">
        <v>7366</v>
      </c>
      <c r="C5855" s="5" t="str">
        <f>IFERROR(__xludf.DUMMYFUNCTION("GOOGLETRANSLATE(B5855,""en"",""it"")"),"Le persone passano continuamente e porta a una squadra che vince e celebra tutti insieme in acqua.")</f>
        <v>Le persone passano continuamente e porta a una squadra che vince e celebra tutti insieme in acqua.</v>
      </c>
    </row>
    <row r="5856">
      <c r="A5856" s="4" t="s">
        <v>7367</v>
      </c>
      <c r="B5856" s="6" t="s">
        <v>7368</v>
      </c>
      <c r="C5856" s="5" t="str">
        <f>IFERROR(__xludf.DUMMYFUNCTION("GOOGLETRANSLATE(B5856,""en"",""it"")"),"Diversi uomini sono mostrati in diversi rodeo che cavalcano cavalli e catturano il vitello attaccato alla corda.")</f>
        <v>Diversi uomini sono mostrati in diversi rodeo che cavalcano cavalli e catturano il vitello attaccato alla corda.</v>
      </c>
    </row>
    <row r="5857">
      <c r="A5857" s="4" t="s">
        <v>7367</v>
      </c>
      <c r="B5857" s="6" t="s">
        <v>7369</v>
      </c>
      <c r="C5857" s="5" t="str">
        <f>IFERROR(__xludf.DUMMYFUNCTION("GOOGLETRANSLATE(B5857,""en"",""it"")"),"Man mano che vengono mostrate più posizioni, vengono catturati più animali e più persone vengono mostrate guardando le azioni che si svolgono.")</f>
        <v>Man mano che vengono mostrate più posizioni, vengono catturati più animali e più persone vengono mostrate guardando le azioni che si svolgono.</v>
      </c>
    </row>
    <row r="5858">
      <c r="A5858" s="4" t="s">
        <v>7370</v>
      </c>
      <c r="B5858" s="4" t="s">
        <v>7371</v>
      </c>
      <c r="C5858" s="5" t="str">
        <f>IFERROR(__xludf.DUMMYFUNCTION("GOOGLETRANSLATE(B5858,""en"",""it"")"),"Una giovane donna sta facendo volti alla telecamera.")</f>
        <v>Una giovane donna sta facendo volti alla telecamera.</v>
      </c>
    </row>
    <row r="5859">
      <c r="A5859" s="4" t="s">
        <v>7370</v>
      </c>
      <c r="B5859" s="4" t="s">
        <v>7372</v>
      </c>
      <c r="C5859" s="5" t="str">
        <f>IFERROR(__xludf.DUMMYFUNCTION("GOOGLETRANSLATE(B5859,""en"",""it"")"),"Solleva una scatola che ha codici a barre e legge ""Sterling Grey"".")</f>
        <v>Solleva una scatola che ha codici a barre e legge "Sterling Grey".</v>
      </c>
    </row>
    <row r="5860">
      <c r="A5860" s="4" t="s">
        <v>7370</v>
      </c>
      <c r="B5860" s="4" t="s">
        <v>7373</v>
      </c>
      <c r="C5860" s="5" t="str">
        <f>IFERROR(__xludf.DUMMYFUNCTION("GOOGLETRANSLATE(B5860,""en"",""it"")"),"Mostra una bottiglia di custodie per le lenti a contatto con il rinnovo e gli occhi.")</f>
        <v>Mostra una bottiglia di custodie per le lenti a contatto con il rinnovo e gli occhi.</v>
      </c>
    </row>
    <row r="5861">
      <c r="A5861" s="4" t="s">
        <v>7370</v>
      </c>
      <c r="B5861" s="4" t="s">
        <v>7374</v>
      </c>
      <c r="C5861" s="5" t="str">
        <f>IFERROR(__xludf.DUMMYFUNCTION("GOOGLETRANSLATE(B5861,""en"",""it"")"),"Applica sia le lenti a contatto che le grida.")</f>
        <v>Applica sia le lenti a contatto che le grida.</v>
      </c>
    </row>
    <row r="5862">
      <c r="A5862" s="4" t="s">
        <v>7375</v>
      </c>
      <c r="B5862" s="4" t="s">
        <v>7376</v>
      </c>
      <c r="C5862" s="5" t="str">
        <f>IFERROR(__xludf.DUMMYFUNCTION("GOOGLETRANSLATE(B5862,""en"",""it"")"),"L'uomo sta aprendo una scatola con le forbici ed elimina una bici disarmata.")</f>
        <v>L'uomo sta aprendo una scatola con le forbici ed elimina una bici disarmata.</v>
      </c>
    </row>
    <row r="5863">
      <c r="A5863" s="4" t="s">
        <v>7375</v>
      </c>
      <c r="B5863" s="4" t="s">
        <v>7377</v>
      </c>
      <c r="C5863" s="5" t="str">
        <f>IFERROR(__xludf.DUMMYFUNCTION("GOOGLETRANSLATE(B5863,""en"",""it"")"),"L'uomo sta armando la bici all'interno di una stanza con pavimento in legno.")</f>
        <v>L'uomo sta armando la bici all'interno di una stanza con pavimento in legno.</v>
      </c>
    </row>
    <row r="5864">
      <c r="A5864" s="4" t="s">
        <v>7378</v>
      </c>
      <c r="B5864" s="4" t="s">
        <v>7379</v>
      </c>
      <c r="C5864" s="5" t="str">
        <f>IFERROR(__xludf.DUMMYFUNCTION("GOOGLETRANSLATE(B5864,""en"",""it"")"),"La persona tiene una lama per affilarla.")</f>
        <v>La persona tiene una lama per affilarla.</v>
      </c>
    </row>
    <row r="5865">
      <c r="A5865" s="4" t="s">
        <v>7378</v>
      </c>
      <c r="B5865" s="4" t="s">
        <v>7380</v>
      </c>
      <c r="C5865" s="5" t="str">
        <f>IFERROR(__xludf.DUMMYFUNCTION("GOOGLETRANSLATE(B5865,""en"",""it"")"),"La persona toglie la cintura dalla macchina.")</f>
        <v>La persona toglie la cintura dalla macchina.</v>
      </c>
    </row>
    <row r="5866">
      <c r="A5866" s="4" t="s">
        <v>7378</v>
      </c>
      <c r="B5866" s="4" t="s">
        <v>7381</v>
      </c>
      <c r="C5866" s="5" t="str">
        <f>IFERROR(__xludf.DUMMYFUNCTION("GOOGLETRANSLATE(B5866,""en"",""it"")"),"La persona mette una nuova cintura sulla macchina.")</f>
        <v>La persona mette una nuova cintura sulla macchina.</v>
      </c>
    </row>
    <row r="5867">
      <c r="A5867" s="4" t="s">
        <v>7378</v>
      </c>
      <c r="B5867" s="4" t="s">
        <v>7382</v>
      </c>
      <c r="C5867" s="5" t="str">
        <f>IFERROR(__xludf.DUMMYFUNCTION("GOOGLETRANSLATE(B5867,""en"",""it"")"),"La persona affila la lama sulla seconda cintura.")</f>
        <v>La persona affila la lama sulla seconda cintura.</v>
      </c>
    </row>
    <row r="5868">
      <c r="A5868" s="4" t="s">
        <v>7378</v>
      </c>
      <c r="B5868" s="4" t="s">
        <v>7383</v>
      </c>
      <c r="C5868" s="5" t="str">
        <f>IFERROR(__xludf.DUMMYFUNCTION("GOOGLETRANSLATE(B5868,""en"",""it"")"),"La persona toglie la seconda cintura.")</f>
        <v>La persona toglie la seconda cintura.</v>
      </c>
    </row>
    <row r="5869">
      <c r="A5869" s="4" t="s">
        <v>7378</v>
      </c>
      <c r="B5869" s="4" t="s">
        <v>7384</v>
      </c>
      <c r="C5869" s="5" t="str">
        <f>IFERROR(__xludf.DUMMYFUNCTION("GOOGLETRANSLATE(B5869,""en"",""it"")"),"La persona mette una terza cintura.")</f>
        <v>La persona mette una terza cintura.</v>
      </c>
    </row>
    <row r="5870">
      <c r="A5870" s="4" t="s">
        <v>7378</v>
      </c>
      <c r="B5870" s="4" t="s">
        <v>7385</v>
      </c>
      <c r="C5870" s="5" t="str">
        <f>IFERROR(__xludf.DUMMYFUNCTION("GOOGLETRANSLATE(B5870,""en"",""it"")"),"La persona affila la lama sulla terza cintura.")</f>
        <v>La persona affila la lama sulla terza cintura.</v>
      </c>
    </row>
    <row r="5871">
      <c r="A5871" s="4" t="s">
        <v>7378</v>
      </c>
      <c r="B5871" s="4" t="s">
        <v>7386</v>
      </c>
      <c r="C5871" s="5" t="str">
        <f>IFERROR(__xludf.DUMMYFUNCTION("GOOGLETRANSLATE(B5871,""en"",""it"")"),"La persona dimostra il bordo della lama.")</f>
        <v>La persona dimostra il bordo della lama.</v>
      </c>
    </row>
    <row r="5872">
      <c r="A5872" s="4" t="s">
        <v>7387</v>
      </c>
      <c r="B5872" s="4" t="s">
        <v>7388</v>
      </c>
      <c r="C5872" s="5" t="str">
        <f>IFERROR(__xludf.DUMMYFUNCTION("GOOGLETRANSLATE(B5872,""en"",""it"")"),"Si vede un'auto che guida e conduce in un uomo che pompano aria nella gomma.")</f>
        <v>Si vede un'auto che guida e conduce in un uomo che pompano aria nella gomma.</v>
      </c>
    </row>
    <row r="5873">
      <c r="A5873" s="4" t="s">
        <v>7387</v>
      </c>
      <c r="B5873" s="4" t="s">
        <v>7389</v>
      </c>
      <c r="C5873" s="5" t="str">
        <f>IFERROR(__xludf.DUMMYFUNCTION("GOOGLETRANSLATE(B5873,""en"",""it"")"),"L'uomo mette un filo lungo il pneumatico e continua a girarlo.")</f>
        <v>L'uomo mette un filo lungo il pneumatico e continua a girarlo.</v>
      </c>
    </row>
    <row r="5874">
      <c r="A5874" s="4" t="s">
        <v>7387</v>
      </c>
      <c r="B5874" s="4" t="s">
        <v>7390</v>
      </c>
      <c r="C5874" s="5" t="str">
        <f>IFERROR(__xludf.DUMMYFUNCTION("GOOGLETRANSLATE(B5874,""en"",""it"")"),"Pompa più capelli nella gomma e si toglie il jack guidandolo via.")</f>
        <v>Pompa più capelli nella gomma e si toglie il jack guidandolo via.</v>
      </c>
    </row>
    <row r="5875">
      <c r="A5875" s="4" t="s">
        <v>7391</v>
      </c>
      <c r="B5875" s="4" t="s">
        <v>7392</v>
      </c>
      <c r="C5875" s="5" t="str">
        <f>IFERROR(__xludf.DUMMYFUNCTION("GOOGLETRANSLATE(B5875,""en"",""it"")"),"Una donna si sta lavando i denti in un bagno.")</f>
        <v>Una donna si sta lavando i denti in un bagno.</v>
      </c>
    </row>
    <row r="5876">
      <c r="A5876" s="4" t="s">
        <v>7391</v>
      </c>
      <c r="B5876" s="4" t="s">
        <v>7393</v>
      </c>
      <c r="C5876" s="5" t="str">
        <f>IFERROR(__xludf.DUMMYFUNCTION("GOOGLETRANSLATE(B5876,""en"",""it"")"),"Qualcuno la sta girando dietro di lei.")</f>
        <v>Qualcuno la sta girando dietro di lei.</v>
      </c>
    </row>
    <row r="5877">
      <c r="A5877" s="4" t="s">
        <v>7391</v>
      </c>
      <c r="B5877" s="4" t="s">
        <v>7394</v>
      </c>
      <c r="C5877" s="5" t="str">
        <f>IFERROR(__xludf.DUMMYFUNCTION("GOOGLETRANSLATE(B5877,""en"",""it"")"),"Sputa il dentifricio nel lavandino di fronte a lei.")</f>
        <v>Sputa il dentifricio nel lavandino di fronte a lei.</v>
      </c>
    </row>
    <row r="5878">
      <c r="A5878" s="4" t="s">
        <v>7395</v>
      </c>
      <c r="B5878" s="4" t="s">
        <v>7396</v>
      </c>
      <c r="C5878" s="5" t="str">
        <f>IFERROR(__xludf.DUMMYFUNCTION("GOOGLETRANSLATE(B5878,""en"",""it"")"),"Un piccolo gruppo di uomini è visto in giro per una stanza con racchette da tennis.")</f>
        <v>Un piccolo gruppo di uomini è visto in giro per una stanza con racchette da tennis.</v>
      </c>
    </row>
    <row r="5879">
      <c r="A5879" s="4" t="s">
        <v>7395</v>
      </c>
      <c r="B5879" s="4" t="s">
        <v>7397</v>
      </c>
      <c r="C5879" s="5" t="str">
        <f>IFERROR(__xludf.DUMMYFUNCTION("GOOGLETRANSLATE(B5879,""en"",""it"")"),"Gli uomini quindi iniziano a giocare a tennis l'uno con l'altro mentre colpiscono la palla.")</f>
        <v>Gli uomini quindi iniziano a giocare a tennis l'uno con l'altro mentre colpiscono la palla.</v>
      </c>
    </row>
    <row r="5880">
      <c r="A5880" s="4" t="s">
        <v>7395</v>
      </c>
      <c r="B5880" s="4" t="s">
        <v>7398</v>
      </c>
      <c r="C5880" s="5" t="str">
        <f>IFERROR(__xludf.DUMMYFUNCTION("GOOGLETRANSLATE(B5880,""en"",""it"")"),"Gli uomini continuano a colpire la palla intorno alla stanza e finiscono con diversi usciti.")</f>
        <v>Gli uomini continuano a colpire la palla intorno alla stanza e finiscono con diversi usciti.</v>
      </c>
    </row>
    <row r="5881">
      <c r="A5881" s="4" t="s">
        <v>7399</v>
      </c>
      <c r="B5881" s="4" t="s">
        <v>7400</v>
      </c>
      <c r="C5881" s="5" t="str">
        <f>IFERROR(__xludf.DUMMYFUNCTION("GOOGLETRANSLATE(B5881,""en"",""it"")"),"Un uomo con una camicia bianca sta tagliando un pezzo di legno con un'ascia.")</f>
        <v>Un uomo con una camicia bianca sta tagliando un pezzo di legno con un'ascia.</v>
      </c>
    </row>
    <row r="5882">
      <c r="A5882" s="4" t="s">
        <v>7399</v>
      </c>
      <c r="B5882" s="4" t="s">
        <v>7401</v>
      </c>
      <c r="C5882" s="5" t="str">
        <f>IFERROR(__xludf.DUMMYFUNCTION("GOOGLETRANSLATE(B5882,""en"",""it"")"),"Si oscilla sul legno e manca e colpisce il terreno.")</f>
        <v>Si oscilla sul legno e manca e colpisce il terreno.</v>
      </c>
    </row>
    <row r="5883">
      <c r="A5883" s="4" t="s">
        <v>7399</v>
      </c>
      <c r="B5883" s="4" t="s">
        <v>7402</v>
      </c>
      <c r="C5883" s="5" t="str">
        <f>IFERROR(__xludf.DUMMYFUNCTION("GOOGLETRANSLATE(B5883,""en"",""it"")"),"Un altro uomo che porta una pentola si avvicina alle sue spalle.")</f>
        <v>Un altro uomo che porta una pentola si avvicina alle sue spalle.</v>
      </c>
    </row>
    <row r="5884">
      <c r="A5884" s="4" t="s">
        <v>7403</v>
      </c>
      <c r="B5884" s="4" t="s">
        <v>7404</v>
      </c>
      <c r="C5884" s="5" t="str">
        <f>IFERROR(__xludf.DUMMYFUNCTION("GOOGLETRANSLATE(B5884,""en"",""it"")"),"Vediamo una ginnasta da ragazza che parla alla telecamera.")</f>
        <v>Vediamo una ginnasta da ragazza che parla alla telecamera.</v>
      </c>
    </row>
    <row r="5885">
      <c r="A5885" s="4" t="s">
        <v>7403</v>
      </c>
      <c r="B5885" s="4" t="s">
        <v>991</v>
      </c>
      <c r="C5885" s="5" t="str">
        <f>IFERROR(__xludf.DUMMYFUNCTION("GOOGLETRANSLATE(B5885,""en"",""it"")"),"Vediamo quindi la schermata del titolo.")</f>
        <v>Vediamo quindi la schermata del titolo.</v>
      </c>
    </row>
    <row r="5886">
      <c r="A5886" s="4" t="s">
        <v>7403</v>
      </c>
      <c r="B5886" s="4" t="s">
        <v>7405</v>
      </c>
      <c r="C5886" s="5" t="str">
        <f>IFERROR(__xludf.DUMMYFUNCTION("GOOGLETRANSLATE(B5886,""en"",""it"")"),"Vediamo la ragazza esibirsi.")</f>
        <v>Vediamo la ragazza esibirsi.</v>
      </c>
    </row>
    <row r="5887">
      <c r="A5887" s="4" t="s">
        <v>7403</v>
      </c>
      <c r="B5887" s="4" t="s">
        <v>7406</v>
      </c>
      <c r="C5887" s="5" t="str">
        <f>IFERROR(__xludf.DUMMYFUNCTION("GOOGLETRANSLATE(B5887,""en"",""it"")"),"La ragazza gira su un trampolino.")</f>
        <v>La ragazza gira su un trampolino.</v>
      </c>
    </row>
    <row r="5888">
      <c r="A5888" s="4" t="s">
        <v>7403</v>
      </c>
      <c r="B5888" s="4" t="s">
        <v>7407</v>
      </c>
      <c r="C5888" s="5" t="str">
        <f>IFERROR(__xludf.DUMMYFUNCTION("GOOGLETRANSLATE(B5888,""en"",""it"")"),"Salta e fa una divisione in aria.")</f>
        <v>Salta e fa una divisione in aria.</v>
      </c>
    </row>
    <row r="5889">
      <c r="A5889" s="4" t="s">
        <v>7403</v>
      </c>
      <c r="B5889" s="4" t="s">
        <v>7408</v>
      </c>
      <c r="C5889" s="5" t="str">
        <f>IFERROR(__xludf.DUMMYFUNCTION("GOOGLETRANSLATE(B5889,""en"",""it"")"),"Vediamo i bloopers dove cade e uno schermo del titolo.")</f>
        <v>Vediamo i bloopers dove cade e uno schermo del titolo.</v>
      </c>
    </row>
    <row r="5890">
      <c r="A5890" s="4" t="s">
        <v>7403</v>
      </c>
      <c r="B5890" s="4" t="s">
        <v>7409</v>
      </c>
      <c r="C5890" s="5" t="str">
        <f>IFERROR(__xludf.DUMMYFUNCTION("GOOGLETRANSLATE(B5890,""en"",""it"")"),"Vediamo quindi gli schermi finali.")</f>
        <v>Vediamo quindi gli schermi finali.</v>
      </c>
    </row>
    <row r="5891">
      <c r="A5891" s="4" t="s">
        <v>7410</v>
      </c>
      <c r="B5891" s="4" t="s">
        <v>7411</v>
      </c>
      <c r="C5891" s="5" t="str">
        <f>IFERROR(__xludf.DUMMYFUNCTION("GOOGLETRANSLATE(B5891,""en"",""it"")"),"Vediamo uno schermo di apertura blu.")</f>
        <v>Vediamo uno schermo di apertura blu.</v>
      </c>
    </row>
    <row r="5892">
      <c r="A5892" s="4" t="s">
        <v>7410</v>
      </c>
      <c r="B5892" s="4" t="s">
        <v>7412</v>
      </c>
      <c r="C5892" s="5" t="str">
        <f>IFERROR(__xludf.DUMMYFUNCTION("GOOGLETRANSLATE(B5892,""en"",""it"")"),"Vediamo un uomo lanciare ed eseguire Capoeira tagliato con schermi del titolo blu.")</f>
        <v>Vediamo un uomo lanciare ed eseguire Capoeira tagliato con schermi del titolo blu.</v>
      </c>
    </row>
    <row r="5893">
      <c r="A5893" s="4" t="s">
        <v>7410</v>
      </c>
      <c r="B5893" s="4" t="s">
        <v>7413</v>
      </c>
      <c r="C5893" s="5" t="str">
        <f>IFERROR(__xludf.DUMMYFUNCTION("GOOGLETRANSLATE(B5893,""en"",""it"")"),"L'uomo fa un calcio.")</f>
        <v>L'uomo fa un calcio.</v>
      </c>
    </row>
    <row r="5894">
      <c r="A5894" s="4" t="s">
        <v>7410</v>
      </c>
      <c r="B5894" s="4" t="s">
        <v>7414</v>
      </c>
      <c r="C5894" s="5" t="str">
        <f>IFERROR(__xludf.DUMMYFUNCTION("GOOGLETRANSLATE(B5894,""en"",""it"")"),"L'uomo fa un giro e un anatra.")</f>
        <v>L'uomo fa un giro e un anatra.</v>
      </c>
    </row>
    <row r="5895">
      <c r="A5895" s="4" t="s">
        <v>7410</v>
      </c>
      <c r="B5895" s="4" t="s">
        <v>7415</v>
      </c>
      <c r="C5895" s="5" t="str">
        <f>IFERROR(__xludf.DUMMYFUNCTION("GOOGLETRANSLATE(B5895,""en"",""it"")"),"L'uomo fa una spazzatura sul pavimento.")</f>
        <v>L'uomo fa una spazzatura sul pavimento.</v>
      </c>
    </row>
    <row r="5896">
      <c r="A5896" s="4" t="s">
        <v>7416</v>
      </c>
      <c r="B5896" s="4" t="s">
        <v>7417</v>
      </c>
      <c r="C5896" s="5" t="str">
        <f>IFERROR(__xludf.DUMMYFUNCTION("GOOGLETRANSLATE(B5896,""en"",""it"")"),"Un piccolo bambino è in bagno a lavarsi i denti.")</f>
        <v>Un piccolo bambino è in bagno a lavarsi i denti.</v>
      </c>
    </row>
    <row r="5897">
      <c r="A5897" s="4" t="s">
        <v>7416</v>
      </c>
      <c r="B5897" s="6" t="s">
        <v>7418</v>
      </c>
      <c r="C5897" s="5" t="str">
        <f>IFERROR(__xludf.DUMMYFUNCTION("GOOGLETRANSLATE(B5897,""en"",""it"")"),"Mentre spazzola freneticamente, una donna viene ad aiutarlo mentre indica cose diverse sul bancone.")</f>
        <v>Mentre spazzola freneticamente, una donna viene ad aiutarlo mentre indica cose diverse sul bancone.</v>
      </c>
    </row>
    <row r="5898">
      <c r="A5898" s="4" t="s">
        <v>7416</v>
      </c>
      <c r="B5898" s="4" t="s">
        <v>7419</v>
      </c>
      <c r="C5898" s="5" t="str">
        <f>IFERROR(__xludf.DUMMYFUNCTION("GOOGLETRANSLATE(B5898,""en"",""it"")"),"Il ragazzo continua a spazzolare e poi finiscono per cambiare spazzole da denti.")</f>
        <v>Il ragazzo continua a spazzolare e poi finiscono per cambiare spazzole da denti.</v>
      </c>
    </row>
    <row r="5899">
      <c r="A5899" s="4" t="s">
        <v>7416</v>
      </c>
      <c r="B5899" s="4" t="s">
        <v>7420</v>
      </c>
      <c r="C5899" s="5" t="str">
        <f>IFERROR(__xludf.DUMMYFUNCTION("GOOGLETRANSLATE(B5899,""en"",""it"")"),"Alla fine, la donna mette il dentifricio sul pennello e il ragazzo pulisce i denti.")</f>
        <v>Alla fine, la donna mette il dentifricio sul pennello e il ragazzo pulisce i denti.</v>
      </c>
    </row>
    <row r="5900">
      <c r="A5900" s="4" t="s">
        <v>7416</v>
      </c>
      <c r="B5900" s="4" t="s">
        <v>7421</v>
      </c>
      <c r="C5900" s="5" t="str">
        <f>IFERROR(__xludf.DUMMYFUNCTION("GOOGLETRANSLATE(B5900,""en"",""it"")"),"Una volta che ha finito, gli viene data una barra di sapone e deve lavarsi le mani.")</f>
        <v>Una volta che ha finito, gli viene data una barra di sapone e deve lavarsi le mani.</v>
      </c>
    </row>
    <row r="5901">
      <c r="A5901" s="4" t="s">
        <v>7416</v>
      </c>
      <c r="B5901" s="4" t="s">
        <v>7422</v>
      </c>
      <c r="C5901" s="5" t="str">
        <f>IFERROR(__xludf.DUMMYFUNCTION("GOOGLETRANSLATE(B5901,""en"",""it"")"),"Alla fine ha finito e afferra il suo giocattolo e corre fuori dal bagno.")</f>
        <v>Alla fine ha finito e afferra il suo giocattolo e corre fuori dal bagno.</v>
      </c>
    </row>
    <row r="5902">
      <c r="A5902" s="4" t="s">
        <v>7423</v>
      </c>
      <c r="B5902" s="4" t="s">
        <v>7424</v>
      </c>
      <c r="C5902" s="5" t="str">
        <f>IFERROR(__xludf.DUMMYFUNCTION("GOOGLETRANSLATE(B5902,""en"",""it"")"),"Il video conduce in diversi scatti di persone che vanno in giro su skateboard ed eseguono trucchi.")</f>
        <v>Il video conduce in diversi scatti di persone che vanno in giro su skateboard ed eseguono trucchi.</v>
      </c>
    </row>
    <row r="5903">
      <c r="A5903" s="4" t="s">
        <v>7423</v>
      </c>
      <c r="B5903" s="6" t="s">
        <v>7425</v>
      </c>
      <c r="C5903" s="5" t="str">
        <f>IFERROR(__xludf.DUMMYFUNCTION("GOOGLETRANSLATE(B5903,""en"",""it"")"),"Vengono mostrate molte più persone che guidano e conducono a un giovane che parla alla telecamera e una foto di una maglietta.")</f>
        <v>Vengono mostrate molte più persone che guidano e conducono a un giovane che parla alla telecamera e una foto di una maglietta.</v>
      </c>
    </row>
    <row r="5904">
      <c r="A5904" s="4" t="s">
        <v>7426</v>
      </c>
      <c r="B5904" s="6" t="s">
        <v>7427</v>
      </c>
      <c r="C5904" s="5" t="str">
        <f>IFERROR(__xludf.DUMMYFUNCTION("GOOGLETRANSLATE(B5904,""en"",""it"")"),"Viene visto un uomo parlare alla telecamera e conduce a lui tagliando le piastrelle e misurarle lungo un muro.")</f>
        <v>Viene visto un uomo parlare alla telecamera e conduce a lui tagliando le piastrelle e misurarle lungo un muro.</v>
      </c>
    </row>
    <row r="5905">
      <c r="A5905" s="4" t="s">
        <v>7426</v>
      </c>
      <c r="B5905" s="6" t="s">
        <v>7428</v>
      </c>
      <c r="C5905" s="5" t="str">
        <f>IFERROR(__xludf.DUMMYFUNCTION("GOOGLETRANSLATE(B5905,""en"",""it"")"),"L'uomo usa una sega per tagliare il muro e la piastrella mentre usa vari altri strumenti per tagliare i lati.")</f>
        <v>L'uomo usa una sega per tagliare il muro e la piastrella mentre usa vari altri strumenti per tagliare i lati.</v>
      </c>
    </row>
    <row r="5906">
      <c r="A5906" s="4" t="s">
        <v>7426</v>
      </c>
      <c r="B5906" s="6" t="s">
        <v>7429</v>
      </c>
      <c r="C5906" s="5" t="str">
        <f>IFERROR(__xludf.DUMMYFUNCTION("GOOGLETRANSLATE(B5906,""en"",""it"")"),"Vengono mostrate più piastrelle mentre l'uomo continua a parlarle e posare sul pavimento.")</f>
        <v>Vengono mostrate più piastrelle mentre l'uomo continua a parlarle e posare sul pavimento.</v>
      </c>
    </row>
    <row r="5907">
      <c r="A5907" s="4" t="s">
        <v>7430</v>
      </c>
      <c r="B5907" s="4" t="s">
        <v>7431</v>
      </c>
      <c r="C5907" s="5" t="str">
        <f>IFERROR(__xludf.DUMMYFUNCTION("GOOGLETRANSLATE(B5907,""en"",""it"")"),"Una ragazza sta parlando con la telecamera mentre usa le mani.")</f>
        <v>Una ragazza sta parlando con la telecamera mentre usa le mani.</v>
      </c>
    </row>
    <row r="5908">
      <c r="A5908" s="4" t="s">
        <v>7430</v>
      </c>
      <c r="B5908" s="4" t="s">
        <v>7432</v>
      </c>
      <c r="C5908" s="5" t="str">
        <f>IFERROR(__xludf.DUMMYFUNCTION("GOOGLETRANSLATE(B5908,""en"",""it"")"),"La fotocamera fa un cambio di scena sfocata.")</f>
        <v>La fotocamera fa un cambio di scena sfocata.</v>
      </c>
    </row>
    <row r="5909">
      <c r="A5909" s="4" t="s">
        <v>7430</v>
      </c>
      <c r="B5909" s="4" t="s">
        <v>7433</v>
      </c>
      <c r="C5909" s="5" t="str">
        <f>IFERROR(__xludf.DUMMYFUNCTION("GOOGLETRANSLATE(B5909,""en"",""it"")"),"La ragazza indica e si asciuga i capelli.")</f>
        <v>La ragazza indica e si asciuga i capelli.</v>
      </c>
    </row>
    <row r="5910">
      <c r="A5910" s="4" t="s">
        <v>7430</v>
      </c>
      <c r="B5910" s="4" t="s">
        <v>7434</v>
      </c>
      <c r="C5910" s="5" t="str">
        <f>IFERROR(__xludf.DUMMYFUNCTION("GOOGLETRANSLATE(B5910,""en"",""it"")"),"La ragazza saluta lo schermo.")</f>
        <v>La ragazza saluta lo schermo.</v>
      </c>
    </row>
    <row r="5911">
      <c r="A5911" s="4" t="s">
        <v>7430</v>
      </c>
      <c r="B5911" s="4" t="s">
        <v>7435</v>
      </c>
      <c r="C5911" s="5" t="str">
        <f>IFERROR(__xludf.DUMMYFUNCTION("GOOGLETRANSLATE(B5911,""en"",""it"")"),"La scena cambia nella ragazza in piedi sotto la doccia.")</f>
        <v>La scena cambia nella ragazza in piedi sotto la doccia.</v>
      </c>
    </row>
    <row r="5912">
      <c r="A5912" s="4" t="s">
        <v>7430</v>
      </c>
      <c r="B5912" s="4" t="s">
        <v>7436</v>
      </c>
      <c r="C5912" s="5" t="str">
        <f>IFERROR(__xludf.DUMMYFUNCTION("GOOGLETRANSLATE(B5912,""en"",""it"")"),"La ragazza si rade le gambe sotto la doccia.")</f>
        <v>La ragazza si rade le gambe sotto la doccia.</v>
      </c>
    </row>
    <row r="5913">
      <c r="A5913" s="4" t="s">
        <v>7430</v>
      </c>
      <c r="B5913" s="4" t="s">
        <v>7437</v>
      </c>
      <c r="C5913" s="5" t="str">
        <f>IFERROR(__xludf.DUMMYFUNCTION("GOOGLETRANSLATE(B5913,""en"",""it"")"),"Ci mostra il suo prodotto rasatura nella lattina e sulle mani.")</f>
        <v>Ci mostra il suo prodotto rasatura nella lattina e sulle mani.</v>
      </c>
    </row>
    <row r="5914">
      <c r="A5914" s="4" t="s">
        <v>7430</v>
      </c>
      <c r="B5914" s="4" t="s">
        <v>7438</v>
      </c>
      <c r="C5914" s="5" t="str">
        <f>IFERROR(__xludf.DUMMYFUNCTION("GOOGLETRANSLATE(B5914,""en"",""it"")"),"La ragazza ci mostra il suo rasoio e poi inizia a radersi.")</f>
        <v>La ragazza ci mostra il suo rasoio e poi inizia a radersi.</v>
      </c>
    </row>
    <row r="5915">
      <c r="A5915" s="4" t="s">
        <v>7439</v>
      </c>
      <c r="B5915" s="4" t="s">
        <v>7440</v>
      </c>
      <c r="C5915" s="5" t="str">
        <f>IFERROR(__xludf.DUMMYFUNCTION("GOOGLETRANSLATE(B5915,""en"",""it"")"),"Due persone sono viste in piedi dietro una serie di tamburi che guardano la telecamera.")</f>
        <v>Due persone sono viste in piedi dietro una serie di tamburi che guardano la telecamera.</v>
      </c>
    </row>
    <row r="5916">
      <c r="A5916" s="4" t="s">
        <v>7439</v>
      </c>
      <c r="B5916" s="4" t="s">
        <v>7441</v>
      </c>
      <c r="C5916" s="5" t="str">
        <f>IFERROR(__xludf.DUMMYFUNCTION("GOOGLETRANSLATE(B5916,""en"",""it"")"),"I due iniziano quindi a suonare la batteria mentre una bambina entra e fuori dalla cornice.")</f>
        <v>I due iniziano quindi a suonare la batteria mentre una bambina entra e fuori dalla cornice.</v>
      </c>
    </row>
    <row r="5917">
      <c r="A5917" s="4" t="s">
        <v>7439</v>
      </c>
      <c r="B5917" s="4" t="s">
        <v>7442</v>
      </c>
      <c r="C5917" s="5" t="str">
        <f>IFERROR(__xludf.DUMMYFUNCTION("GOOGLETRANSLATE(B5917,""en"",""it"")"),"Le due si fermano per un momento, quindi continuano a giocare con un fermo e lasciando finire l'altro.")</f>
        <v>Le due si fermano per un momento, quindi continuano a giocare con un fermo e lasciando finire l'altro.</v>
      </c>
    </row>
    <row r="5918">
      <c r="A5918" s="4" t="s">
        <v>7443</v>
      </c>
      <c r="B5918" s="4" t="s">
        <v>7444</v>
      </c>
      <c r="C5918" s="5" t="str">
        <f>IFERROR(__xludf.DUMMYFUNCTION("GOOGLETRANSLATE(B5918,""en"",""it"")"),"Un uomo in un kilt si prepara a lanciare un grande martello in una competizione.")</f>
        <v>Un uomo in un kilt si prepara a lanciare un grande martello in una competizione.</v>
      </c>
    </row>
    <row r="5919">
      <c r="A5919" s="4" t="s">
        <v>7443</v>
      </c>
      <c r="B5919" s="4" t="s">
        <v>7445</v>
      </c>
      <c r="C5919" s="5" t="str">
        <f>IFERROR(__xludf.DUMMYFUNCTION("GOOGLETRANSLATE(B5919,""en"",""it"")"),"Dopo i suoi preparativi fa oscillare il martello in un cerchio e lo lancia il più lontano possibile.")</f>
        <v>Dopo i suoi preparativi fa oscillare il martello in un cerchio e lo lancia il più lontano possibile.</v>
      </c>
    </row>
    <row r="5920">
      <c r="A5920" s="4" t="s">
        <v>7446</v>
      </c>
      <c r="B5920" s="6" t="s">
        <v>7447</v>
      </c>
      <c r="C5920" s="5" t="str">
        <f>IFERROR(__xludf.DUMMYFUNCTION("GOOGLETRANSLATE(B5920,""en"",""it"")"),"Un piccolo gruppo di persone viene visto giocare a lacrosse su un campo che corre su e giù per il campo e spingendosi l'un l'altro.")</f>
        <v>Un piccolo gruppo di persone viene visto giocare a lacrosse su un campo che corre su e giù per il campo e spingendosi l'un l'altro.</v>
      </c>
    </row>
    <row r="5921">
      <c r="A5921" s="4" t="s">
        <v>7446</v>
      </c>
      <c r="B5921" s="4" t="s">
        <v>7448</v>
      </c>
      <c r="C5921" s="5" t="str">
        <f>IFERROR(__xludf.DUMMYFUNCTION("GOOGLETRANSLATE(B5921,""en"",""it"")"),"Vengono mostrati diversi colpi di giocatori che si colpiscono l'un l'altro, così come i giocatori che spingono altre persone.")</f>
        <v>Vengono mostrati diversi colpi di giocatori che si colpiscono l'un l'altro, così come i giocatori che spingono altre persone.</v>
      </c>
    </row>
    <row r="5922">
      <c r="A5922" s="4" t="s">
        <v>7446</v>
      </c>
      <c r="B5922" s="4" t="s">
        <v>7449</v>
      </c>
      <c r="C5922" s="5" t="str">
        <f>IFERROR(__xludf.DUMMYFUNCTION("GOOGLETRANSLATE(B5922,""en"",""it"")"),"Una squadra segna diversi goal e viene immediatamente seguita da compagni di squadra che il tifo.")</f>
        <v>Una squadra segna diversi goal e viene immediatamente seguita da compagni di squadra che il tifo.</v>
      </c>
    </row>
    <row r="5923">
      <c r="A5923" s="4" t="s">
        <v>7450</v>
      </c>
      <c r="B5923" s="4" t="s">
        <v>7451</v>
      </c>
      <c r="C5923" s="5" t="str">
        <f>IFERROR(__xludf.DUMMYFUNCTION("GOOGLETRANSLATE(B5923,""en"",""it"")"),"Un dottore entrò nella stanza, poi si lavava le mani, si asciuga le mani con un tovagliolo di carta.")</f>
        <v>Un dottore entrò nella stanza, poi si lavava le mani, si asciuga le mani con un tovagliolo di carta.</v>
      </c>
    </row>
    <row r="5924">
      <c r="A5924" s="4" t="s">
        <v>7450</v>
      </c>
      <c r="B5924" s="6" t="s">
        <v>7452</v>
      </c>
      <c r="C5924" s="5" t="str">
        <f>IFERROR(__xludf.DUMMYFUNCTION("GOOGLETRANSLATE(B5924,""en"",""it"")"),"Un medico sta lavando la mano con acqua e sapone, mentre l'altro medico in cappotto bianco è sul suo telefono.")</f>
        <v>Un medico sta lavando la mano con acqua e sapone, mentre l'altro medico in cappotto bianco è sul suo telefono.</v>
      </c>
    </row>
    <row r="5925">
      <c r="A5925" s="4" t="s">
        <v>7450</v>
      </c>
      <c r="B5925" s="4" t="s">
        <v>7453</v>
      </c>
      <c r="C5925" s="5" t="str">
        <f>IFERROR(__xludf.DUMMYFUNCTION("GOOGLETRANSLATE(B5925,""en"",""it"")"),"Un uomo con il cappotto giallo si sta lavando le mani, quindi l'uomo con la camicia blu sta dando un colloquio.")</f>
        <v>Un uomo con il cappotto giallo si sta lavando le mani, quindi l'uomo con la camicia blu sta dando un colloquio.</v>
      </c>
    </row>
    <row r="5926">
      <c r="A5926" s="4" t="s">
        <v>7454</v>
      </c>
      <c r="B5926" s="4" t="s">
        <v>7455</v>
      </c>
      <c r="C5926" s="5" t="str">
        <f>IFERROR(__xludf.DUMMYFUNCTION("GOOGLETRANSLATE(B5926,""en"",""it"")"),"Un uomo parla mentre tiene cornamusa.")</f>
        <v>Un uomo parla mentre tiene cornamusa.</v>
      </c>
    </row>
    <row r="5927">
      <c r="A5927" s="4" t="s">
        <v>7454</v>
      </c>
      <c r="B5927" s="4" t="s">
        <v>7456</v>
      </c>
      <c r="C5927" s="5" t="str">
        <f>IFERROR(__xludf.DUMMYFUNCTION("GOOGLETRANSLATE(B5927,""en"",""it"")"),"Quindi suona le cornamuse.")</f>
        <v>Quindi suona le cornamuse.</v>
      </c>
    </row>
    <row r="5928">
      <c r="A5928" s="4" t="s">
        <v>7454</v>
      </c>
      <c r="B5928" s="4" t="s">
        <v>7457</v>
      </c>
      <c r="C5928" s="5" t="str">
        <f>IFERROR(__xludf.DUMMYFUNCTION("GOOGLETRANSLATE(B5928,""en"",""it"")"),"L'uomo muove le dita per cambiare il suono mentre suona.")</f>
        <v>L'uomo muove le dita per cambiare il suono mentre suona.</v>
      </c>
    </row>
    <row r="5929">
      <c r="A5929" s="4" t="s">
        <v>7458</v>
      </c>
      <c r="B5929" s="4" t="s">
        <v>7459</v>
      </c>
      <c r="C5929" s="5" t="str">
        <f>IFERROR(__xludf.DUMMYFUNCTION("GOOGLETRANSLATE(B5929,""en"",""it"")"),"Una persona sta sciare lungo una collina di neve.")</f>
        <v>Una persona sta sciare lungo una collina di neve.</v>
      </c>
    </row>
    <row r="5930">
      <c r="A5930" s="4" t="s">
        <v>7458</v>
      </c>
      <c r="B5930" s="4" t="s">
        <v>7460</v>
      </c>
      <c r="C5930" s="5" t="str">
        <f>IFERROR(__xludf.DUMMYFUNCTION("GOOGLETRANSLATE(B5930,""en"",""it"")"),"Si spengono da un salto e volano in aria.")</f>
        <v>Si spengono da un salto e volano in aria.</v>
      </c>
    </row>
    <row r="5931">
      <c r="A5931" s="4" t="s">
        <v>7458</v>
      </c>
      <c r="B5931" s="4" t="s">
        <v>7461</v>
      </c>
      <c r="C5931" s="5" t="str">
        <f>IFERROR(__xludf.DUMMYFUNCTION("GOOGLETRANSLATE(B5931,""en"",""it"")"),"Tornano sulla neve e continuano a sciare giù per la collina.")</f>
        <v>Tornano sulla neve e continuano a sciare giù per la collina.</v>
      </c>
    </row>
    <row r="5932">
      <c r="A5932" s="4" t="s">
        <v>7462</v>
      </c>
      <c r="B5932" s="6" t="s">
        <v>7463</v>
      </c>
      <c r="C5932" s="5" t="str">
        <f>IFERROR(__xludf.DUMMYFUNCTION("GOOGLETRANSLATE(B5932,""en"",""it"")"),"Una fotocamera si zoomina su un grande camion che mostra una persona che cammina da dietro e un'altra.")</f>
        <v>Una fotocamera si zoomina su un grande camion che mostra una persona che cammina da dietro e un'altra.</v>
      </c>
    </row>
    <row r="5933">
      <c r="A5933" s="4" t="s">
        <v>7462</v>
      </c>
      <c r="B5933" s="6" t="s">
        <v>7464</v>
      </c>
      <c r="C5933" s="5" t="str">
        <f>IFERROR(__xludf.DUMMYFUNCTION("GOOGLETRANSLATE(B5933,""en"",""it"")"),"Gli uomini iniziano a tirare una corda e lavorare dalla parte posteriore mentre il cameraman parla alla telecamera.")</f>
        <v>Gli uomini iniziano a tirare una corda e lavorare dalla parte posteriore mentre il cameraman parla alla telecamera.</v>
      </c>
    </row>
    <row r="5934">
      <c r="A5934" s="4" t="s">
        <v>7462</v>
      </c>
      <c r="B5934" s="4" t="s">
        <v>7465</v>
      </c>
      <c r="C5934" s="5" t="str">
        <f>IFERROR(__xludf.DUMMYFUNCTION("GOOGLETRANSLATE(B5934,""en"",""it"")"),"L'uomo continua a fare il giro dell'area nevosa e guardare gli uomini lavorare da dietro.")</f>
        <v>L'uomo continua a fare il giro dell'area nevosa e guardare gli uomini lavorare da dietro.</v>
      </c>
    </row>
    <row r="5935">
      <c r="A5935" s="4" t="s">
        <v>7466</v>
      </c>
      <c r="B5935" s="4" t="s">
        <v>7467</v>
      </c>
      <c r="C5935" s="5" t="str">
        <f>IFERROR(__xludf.DUMMYFUNCTION("GOOGLETRANSLATE(B5935,""en"",""it"")"),"Un bambino piccolo viene visto seduto in cima a una scivolata mentre guarda un altro bambino che gioca.")</f>
        <v>Un bambino piccolo viene visto seduto in cima a una scivolata mentre guarda un altro bambino che gioca.</v>
      </c>
    </row>
    <row r="5936">
      <c r="A5936" s="4" t="s">
        <v>7466</v>
      </c>
      <c r="B5936" s="6" t="s">
        <v>7468</v>
      </c>
      <c r="C5936" s="5" t="str">
        <f>IFERROR(__xludf.DUMMYFUNCTION("GOOGLETRANSLATE(B5936,""en"",""it"")"),"Il ragazzo cavalca la diapositiva più volte con l'assistenza della ragazza e un uomo in piedi che tiene un bambino e guardando.")</f>
        <v>Il ragazzo cavalca la diapositiva più volte con l'assistenza della ragazza e un uomo in piedi che tiene un bambino e guardando.</v>
      </c>
    </row>
    <row r="5937">
      <c r="A5937" s="4" t="s">
        <v>7469</v>
      </c>
      <c r="B5937" s="4" t="s">
        <v>7470</v>
      </c>
      <c r="C5937" s="5" t="str">
        <f>IFERROR(__xludf.DUMMYFUNCTION("GOOGLETRANSLATE(B5937,""en"",""it"")"),"Una ragazza sta guardando la telecamera.")</f>
        <v>Una ragazza sta guardando la telecamera.</v>
      </c>
    </row>
    <row r="5938">
      <c r="A5938" s="4" t="s">
        <v>7469</v>
      </c>
      <c r="B5938" s="4" t="s">
        <v>7471</v>
      </c>
      <c r="C5938" s="5" t="str">
        <f>IFERROR(__xludf.DUMMYFUNCTION("GOOGLETRANSLATE(B5938,""en"",""it"")"),"Si gira e si sta spazzolando i capelli.")</f>
        <v>Si gira e si sta spazzolando i capelli.</v>
      </c>
    </row>
    <row r="5939">
      <c r="A5939" s="4" t="s">
        <v>7469</v>
      </c>
      <c r="B5939" s="4" t="s">
        <v>7472</v>
      </c>
      <c r="C5939" s="5" t="str">
        <f>IFERROR(__xludf.DUMMYFUNCTION("GOOGLETRANSLATE(B5939,""en"",""it"")"),"Sta guardando il suo telefono.")</f>
        <v>Sta guardando il suo telefono.</v>
      </c>
    </row>
    <row r="5940">
      <c r="A5940" s="4" t="s">
        <v>7473</v>
      </c>
      <c r="B5940" s="4" t="s">
        <v>7474</v>
      </c>
      <c r="C5940" s="5" t="str">
        <f>IFERROR(__xludf.DUMMYFUNCTION("GOOGLETRANSLATE(B5940,""en"",""it"")"),"I piedi di una donna vengono mostrati mentre si riscalda al balletto.")</f>
        <v>I piedi di una donna vengono mostrati mentre si riscalda al balletto.</v>
      </c>
    </row>
    <row r="5941">
      <c r="A5941" s="4" t="s">
        <v>7473</v>
      </c>
      <c r="B5941" s="6" t="s">
        <v>7475</v>
      </c>
      <c r="C5941" s="5" t="str">
        <f>IFERROR(__xludf.DUMMYFUNCTION("GOOGLETRANSLATE(B5941,""en"",""it"")"),"Una donna bionda sta parlando con la telecamera, che si trascina per eseguire varie mosse di danza mentre parla.")</f>
        <v>Una donna bionda sta parlando con la telecamera, che si trascina per eseguire varie mosse di danza mentre parla.</v>
      </c>
    </row>
    <row r="5942">
      <c r="A5942" s="4" t="s">
        <v>7473</v>
      </c>
      <c r="B5942" s="4" t="s">
        <v>7476</v>
      </c>
      <c r="C5942" s="5" t="str">
        <f>IFERROR(__xludf.DUMMYFUNCTION("GOOGLETRANSLATE(B5942,""en"",""it"")"),"Si muove lentamente ad ogni passo.")</f>
        <v>Si muove lentamente ad ogni passo.</v>
      </c>
    </row>
    <row r="5943">
      <c r="A5943" s="4" t="s">
        <v>7473</v>
      </c>
      <c r="B5943" s="4" t="s">
        <v>7477</v>
      </c>
      <c r="C5943" s="5" t="str">
        <f>IFERROR(__xludf.DUMMYFUNCTION("GOOGLETRANSLATE(B5943,""en"",""it"")"),"Quindi si ferma e parla le sue ultime parole.")</f>
        <v>Quindi si ferma e parla le sue ultime parole.</v>
      </c>
    </row>
    <row r="5944">
      <c r="A5944" s="4" t="s">
        <v>7478</v>
      </c>
      <c r="B5944" s="4" t="s">
        <v>7479</v>
      </c>
      <c r="C5944" s="5" t="str">
        <f>IFERROR(__xludf.DUMMYFUNCTION("GOOGLETRANSLATE(B5944,""en"",""it"")"),"Viene visto un grande uomo che si fa avanti in un cerchio e lancia diversi tiri messi in lontananza.")</f>
        <v>Viene visto un grande uomo che si fa avanti in un cerchio e lancia diversi tiri messi in lontananza.</v>
      </c>
    </row>
    <row r="5945">
      <c r="A5945" s="4" t="s">
        <v>7478</v>
      </c>
      <c r="B5945" s="4" t="s">
        <v>7480</v>
      </c>
      <c r="C5945" s="5" t="str">
        <f>IFERROR(__xludf.DUMMYFUNCTION("GOOGLETRANSLATE(B5945,""en"",""it"")"),"Diversi altri uomini si vedono salire sul cerchio gettando un tiro rimandato in lontananza.")</f>
        <v>Diversi altri uomini si vedono salire sul cerchio gettando un tiro rimandato in lontananza.</v>
      </c>
    </row>
    <row r="5946">
      <c r="A5946" s="4" t="s">
        <v>7478</v>
      </c>
      <c r="B5946" s="4" t="s">
        <v>7481</v>
      </c>
      <c r="C5946" s="5" t="str">
        <f>IFERROR(__xludf.DUMMYFUNCTION("GOOGLETRANSLATE(B5946,""en"",""it"")"),"Le persone tra il pubblico sono viste che si tirano tra loro mentre i loro punteggi sono mostrati alla fine.")</f>
        <v>Le persone tra il pubblico sono viste che si tirano tra loro mentre i loro punteggi sono mostrati alla fine.</v>
      </c>
    </row>
    <row r="5947">
      <c r="A5947" s="4" t="s">
        <v>7482</v>
      </c>
      <c r="B5947" s="4" t="s">
        <v>7483</v>
      </c>
      <c r="C5947" s="5" t="str">
        <f>IFERROR(__xludf.DUMMYFUNCTION("GOOGLETRANSLATE(B5947,""en"",""it"")"),"Un uomo parla alla telecamera mentre un altro uomo si siede su un pezzo di attrezzatura di allenamento dietro di lui.")</f>
        <v>Un uomo parla alla telecamera mentre un altro uomo si siede su un pezzo di attrezzatura di allenamento dietro di lui.</v>
      </c>
    </row>
    <row r="5948">
      <c r="A5948" s="4" t="s">
        <v>7482</v>
      </c>
      <c r="B5948" s="4" t="s">
        <v>7484</v>
      </c>
      <c r="C5948" s="5" t="str">
        <f>IFERROR(__xludf.DUMMYFUNCTION("GOOGLETRANSLATE(B5948,""en"",""it"")"),"L'istruttore continua a muoversi vicino all'uomo e gli fa mostrare come macchiare.")</f>
        <v>L'istruttore continua a muoversi vicino all'uomo e gli fa mostrare come macchiare.</v>
      </c>
    </row>
    <row r="5949">
      <c r="A5949" s="4" t="s">
        <v>7482</v>
      </c>
      <c r="B5949" s="4" t="s">
        <v>7485</v>
      </c>
      <c r="C5949" s="5" t="str">
        <f>IFERROR(__xludf.DUMMYFUNCTION("GOOGLETRANSLATE(B5949,""en"",""it"")"),"Indica il suo corpo mostrando che i muscoli lavoravano e cammina intorno all'uomo che si esercita.")</f>
        <v>Indica il suo corpo mostrando che i muscoli lavoravano e cammina intorno all'uomo che si esercita.</v>
      </c>
    </row>
    <row r="5950">
      <c r="A5950" s="4" t="s">
        <v>7486</v>
      </c>
      <c r="B5950" s="4" t="s">
        <v>7487</v>
      </c>
      <c r="C5950" s="5" t="str">
        <f>IFERROR(__xludf.DUMMYFUNCTION("GOOGLETRANSLATE(B5950,""en"",""it"")"),"Una ginnasta si asciuga il gesso sulle mani mentre si prepara.")</f>
        <v>Una ginnasta si asciuga il gesso sulle mani mentre si prepara.</v>
      </c>
    </row>
    <row r="5951">
      <c r="A5951" s="4" t="s">
        <v>7486</v>
      </c>
      <c r="B5951" s="4" t="s">
        <v>7488</v>
      </c>
      <c r="C5951" s="5" t="str">
        <f>IFERROR(__xludf.DUMMYFUNCTION("GOOGLETRANSLATE(B5951,""en"",""it"")"),"La ginnasta si trova su una piattaforma e si oscilla su una serie di doppi bar.")</f>
        <v>La ginnasta si trova su una piattaforma e si oscilla su una serie di doppi bar.</v>
      </c>
    </row>
    <row r="5952">
      <c r="A5952" s="4" t="s">
        <v>7486</v>
      </c>
      <c r="B5952" s="4" t="s">
        <v>7489</v>
      </c>
      <c r="C5952" s="5" t="str">
        <f>IFERROR(__xludf.DUMMYFUNCTION("GOOGLETRANSLATE(B5952,""en"",""it"")"),"La ginnasta fa una routine a doppio bar durante una competizione.")</f>
        <v>La ginnasta fa una routine a doppio bar durante una competizione.</v>
      </c>
    </row>
    <row r="5953">
      <c r="A5953" s="4" t="s">
        <v>7486</v>
      </c>
      <c r="B5953" s="4" t="s">
        <v>7490</v>
      </c>
      <c r="C5953" s="5" t="str">
        <f>IFERROR(__xludf.DUMMYFUNCTION("GOOGLETRANSLATE(B5953,""en"",""it"")"),"La ginnasta colpisce la gamba accidentalmente sui bar portandolo a fermarsi.")</f>
        <v>La ginnasta colpisce la gamba accidentalmente sui bar portandolo a fermarsi.</v>
      </c>
    </row>
    <row r="5954">
      <c r="A5954" s="4" t="s">
        <v>7486</v>
      </c>
      <c r="B5954" s="4" t="s">
        <v>7491</v>
      </c>
      <c r="C5954" s="5" t="str">
        <f>IFERROR(__xludf.DUMMYFUNCTION("GOOGLETRANSLATE(B5954,""en"",""it"")"),"La ginnasta smont delle doppie barre e atterra sul tappeto.")</f>
        <v>La ginnasta smont delle doppie barre e atterra sul tappeto.</v>
      </c>
    </row>
    <row r="5955">
      <c r="A5955" s="4" t="s">
        <v>7486</v>
      </c>
      <c r="B5955" s="4" t="s">
        <v>7492</v>
      </c>
      <c r="C5955" s="5" t="str">
        <f>IFERROR(__xludf.DUMMYFUNCTION("GOOGLETRANSLATE(B5955,""en"",""it"")"),"Una ginnasta femmina si siede su una sedia e aspetta il suo turno.")</f>
        <v>Una ginnasta femmina si siede su una sedia e aspetta il suo turno.</v>
      </c>
    </row>
    <row r="5956">
      <c r="A5956" s="4" t="s">
        <v>7486</v>
      </c>
      <c r="B5956" s="4" t="s">
        <v>7493</v>
      </c>
      <c r="C5956" s="5" t="str">
        <f>IFERROR(__xludf.DUMMYFUNCTION("GOOGLETRANSLATE(B5956,""en"",""it"")"),"Le ginnaste femminili allunga le braccia prima della routine.")</f>
        <v>Le ginnaste femminili allunga le braccia prima della routine.</v>
      </c>
    </row>
    <row r="5957">
      <c r="A5957" s="4" t="s">
        <v>7486</v>
      </c>
      <c r="B5957" s="4" t="s">
        <v>7494</v>
      </c>
      <c r="C5957" s="5" t="str">
        <f>IFERROR(__xludf.DUMMYFUNCTION("GOOGLETRANSLATE(B5957,""en"",""it"")"),"Un replay mostra i punti salienti della routine delle ginnaste sui doppi bar.")</f>
        <v>Un replay mostra i punti salienti della routine delle ginnaste sui doppi bar.</v>
      </c>
    </row>
    <row r="5958">
      <c r="A5958" s="4" t="s">
        <v>7495</v>
      </c>
      <c r="B5958" s="4" t="s">
        <v>7496</v>
      </c>
      <c r="C5958" s="5" t="str">
        <f>IFERROR(__xludf.DUMMYFUNCTION("GOOGLETRANSLATE(B5958,""en"",""it"")"),"Un uomo gli mette una lente nera negli occhi.")</f>
        <v>Un uomo gli mette una lente nera negli occhi.</v>
      </c>
    </row>
    <row r="5959">
      <c r="A5959" s="4" t="s">
        <v>7495</v>
      </c>
      <c r="B5959" s="4" t="s">
        <v>7497</v>
      </c>
      <c r="C5959" s="5" t="str">
        <f>IFERROR(__xludf.DUMMYFUNCTION("GOOGLETRANSLATE(B5959,""en"",""it"")"),"Quindi, l'uomo si toglie l'obiettivo e dopo lo mette di nuovo.")</f>
        <v>Quindi, l'uomo si toglie l'obiettivo e dopo lo mette di nuovo.</v>
      </c>
    </row>
    <row r="5960">
      <c r="A5960" s="4" t="s">
        <v>7498</v>
      </c>
      <c r="B5960" s="4" t="s">
        <v>7499</v>
      </c>
      <c r="C5960" s="5" t="str">
        <f>IFERROR(__xludf.DUMMYFUNCTION("GOOGLETRANSLATE(B5960,""en"",""it"")"),"Un uomo viene visto piegare in avanti afferrare una grande serie di pesi e sollevarlo sulle spalle.")</f>
        <v>Un uomo viene visto piegare in avanti afferrare una grande serie di pesi e sollevarlo sulle spalle.</v>
      </c>
    </row>
    <row r="5961">
      <c r="A5961" s="4" t="s">
        <v>7498</v>
      </c>
      <c r="B5961" s="4" t="s">
        <v>7500</v>
      </c>
      <c r="C5961" s="5" t="str">
        <f>IFERROR(__xludf.DUMMYFUNCTION("GOOGLETRANSLATE(B5961,""en"",""it"")"),"L'uomo quindi lo solleva sopra la testa e termina gettandolo indietro.")</f>
        <v>L'uomo quindi lo solleva sopra la testa e termina gettandolo indietro.</v>
      </c>
    </row>
    <row r="5962">
      <c r="A5962" s="4" t="s">
        <v>7501</v>
      </c>
      <c r="B5962" s="4" t="s">
        <v>7502</v>
      </c>
      <c r="C5962" s="5" t="str">
        <f>IFERROR(__xludf.DUMMYFUNCTION("GOOGLETRANSLATE(B5962,""en"",""it"")"),"Un atleta maschio nero correva sul campo, quindi saltò e saltò e atterrò sul campo sabbioso.")</f>
        <v>Un atleta maschio nero correva sul campo, quindi saltò e saltò e atterrò sul campo sabbioso.</v>
      </c>
    </row>
    <row r="5963">
      <c r="A5963" s="4" t="s">
        <v>7501</v>
      </c>
      <c r="B5963" s="4" t="s">
        <v>7503</v>
      </c>
      <c r="C5963" s="5" t="str">
        <f>IFERROR(__xludf.DUMMYFUNCTION("GOOGLETRANSLATE(B5963,""en"",""it"")"),"L'atleta correva, applaudiva e si inginocchiò e prega.")</f>
        <v>L'atleta correva, applaudiva e si inginocchiò e prega.</v>
      </c>
    </row>
    <row r="5964">
      <c r="A5964" s="4" t="s">
        <v>7501</v>
      </c>
      <c r="B5964" s="6" t="s">
        <v>7504</v>
      </c>
      <c r="C5964" s="5" t="str">
        <f>IFERROR(__xludf.DUMMYFUNCTION("GOOGLETRANSLATE(B5964,""en"",""it"")"),"L'atleta correva e strappò la camicia, mentre raggiungeva la donna e le abbracciava e applaudiva.")</f>
        <v>L'atleta correva e strappò la camicia, mentre raggiungeva la donna e le abbracciava e applaudiva.</v>
      </c>
    </row>
    <row r="5965">
      <c r="A5965" s="4" t="s">
        <v>7505</v>
      </c>
      <c r="B5965" s="4" t="s">
        <v>7506</v>
      </c>
      <c r="C5965" s="5" t="str">
        <f>IFERROR(__xludf.DUMMYFUNCTION("GOOGLETRANSLATE(B5965,""en"",""it"")"),"Un uomo si inginocchia davanti a un lavandino.")</f>
        <v>Un uomo si inginocchia davanti a un lavandino.</v>
      </c>
    </row>
    <row r="5966">
      <c r="A5966" s="4" t="s">
        <v>7505</v>
      </c>
      <c r="B5966" s="4" t="s">
        <v>7507</v>
      </c>
      <c r="C5966" s="5" t="str">
        <f>IFERROR(__xludf.DUMMYFUNCTION("GOOGLETRANSLATE(B5966,""en"",""it"")"),"Comincia a strofinare l'interno del lavandino con una spugna.")</f>
        <v>Comincia a strofinare l'interno del lavandino con una spugna.</v>
      </c>
    </row>
    <row r="5967">
      <c r="A5967" s="4" t="s">
        <v>7505</v>
      </c>
      <c r="B5967" s="4" t="s">
        <v>7508</v>
      </c>
      <c r="C5967" s="5" t="str">
        <f>IFERROR(__xludf.DUMMYFUNCTION("GOOGLETRANSLATE(B5967,""en"",""it"")"),"Si toglie un asciugamano bianco e si asciuga dal bancone e affonda.")</f>
        <v>Si toglie un asciugamano bianco e si asciuga dal bancone e affonda.</v>
      </c>
    </row>
    <row r="5968">
      <c r="A5968" s="4" t="s">
        <v>7505</v>
      </c>
      <c r="B5968" s="4" t="s">
        <v>7509</v>
      </c>
      <c r="C5968" s="5" t="str">
        <f>IFERROR(__xludf.DUMMYFUNCTION("GOOGLETRANSLATE(B5968,""en"",""it"")"),"Spruzza lo specchio con Windex e si asciuga lo specchio.")</f>
        <v>Spruzza lo specchio con Windex e si asciuga lo specchio.</v>
      </c>
    </row>
    <row r="5969">
      <c r="A5969" s="4" t="s">
        <v>7510</v>
      </c>
      <c r="B5969" s="4" t="s">
        <v>7511</v>
      </c>
      <c r="C5969" s="5" t="str">
        <f>IFERROR(__xludf.DUMMYFUNCTION("GOOGLETRANSLATE(B5969,""en"",""it"")"),"Un fiume rapido sta correndo oltre un albero.")</f>
        <v>Un fiume rapido sta correndo oltre un albero.</v>
      </c>
    </row>
    <row r="5970">
      <c r="A5970" s="4" t="s">
        <v>7510</v>
      </c>
      <c r="B5970" s="4" t="s">
        <v>7512</v>
      </c>
      <c r="C5970" s="5" t="str">
        <f>IFERROR(__xludf.DUMMYFUNCTION("GOOGLETRANSLATE(B5970,""en"",""it"")"),"Un gruppo di travi indossano la loro attrezzatura, spingendo la zattera in acqua.")</f>
        <v>Un gruppo di travi indossano la loro attrezzatura, spingendo la zattera in acqua.</v>
      </c>
    </row>
    <row r="5971">
      <c r="A5971" s="4" t="s">
        <v>7510</v>
      </c>
      <c r="B5971" s="4" t="s">
        <v>7513</v>
      </c>
      <c r="C5971" s="5" t="str">
        <f>IFERROR(__xludf.DUMMYFUNCTION("GOOGLETRANSLATE(B5971,""en"",""it"")"),"La pagaia attraverso le rapide, cercando di rimanere in posizione verticale e insieme.")</f>
        <v>La pagaia attraverso le rapide, cercando di rimanere in posizione verticale e insieme.</v>
      </c>
    </row>
    <row r="5972">
      <c r="A5972" s="4" t="s">
        <v>7514</v>
      </c>
      <c r="B5972" s="4" t="s">
        <v>7515</v>
      </c>
      <c r="C5972" s="5" t="str">
        <f>IFERROR(__xludf.DUMMYFUNCTION("GOOGLETRANSLATE(B5972,""en"",""it"")"),"Un folto gruppo di bambini è visto in piedi in un campo giocando tra loro.")</f>
        <v>Un folto gruppo di bambini è visto in piedi in un campo giocando tra loro.</v>
      </c>
    </row>
    <row r="5973">
      <c r="A5973" s="4" t="s">
        <v>7514</v>
      </c>
      <c r="B5973" s="4" t="s">
        <v>7516</v>
      </c>
      <c r="C5973" s="5" t="str">
        <f>IFERROR(__xludf.DUMMYFUNCTION("GOOGLETRANSLATE(B5973,""en"",""it"")"),"Un ragazzo lancia una palla a un altro e l'altro lo prende in lontananza.")</f>
        <v>Un ragazzo lancia una palla a un altro e l'altro lo prende in lontananza.</v>
      </c>
    </row>
    <row r="5974">
      <c r="A5974" s="4" t="s">
        <v>7514</v>
      </c>
      <c r="B5974" s="4" t="s">
        <v>7517</v>
      </c>
      <c r="C5974" s="5" t="str">
        <f>IFERROR(__xludf.DUMMYFUNCTION("GOOGLETRANSLATE(B5974,""en"",""it"")"),"I bambini continuano a giocare tra loro e corrono lungo il campo.")</f>
        <v>I bambini continuano a giocare tra loro e corrono lungo il campo.</v>
      </c>
    </row>
    <row r="5975">
      <c r="A5975" s="4" t="s">
        <v>7518</v>
      </c>
      <c r="B5975" s="4" t="s">
        <v>7519</v>
      </c>
      <c r="C5975" s="5" t="str">
        <f>IFERROR(__xludf.DUMMYFUNCTION("GOOGLETRANSLATE(B5975,""en"",""it"")"),"Tre uomini si trovano insieme indossando abiti pesantemente imbottiti con bretelle.")</f>
        <v>Tre uomini si trovano insieme indossando abiti pesantemente imbottiti con bretelle.</v>
      </c>
    </row>
    <row r="5976">
      <c r="A5976" s="4" t="s">
        <v>7518</v>
      </c>
      <c r="B5976" s="6" t="s">
        <v>7520</v>
      </c>
      <c r="C5976" s="5" t="str">
        <f>IFERROR(__xludf.DUMMYFUNCTION("GOOGLETRANSLATE(B5976,""en"",""it"")"),"I due uomini alla fine colpiscono quello nel mezzo sotto la cintura e cade a terra per il dolore.")</f>
        <v>I due uomini alla fine colpiscono quello nel mezzo sotto la cintura e cade a terra per il dolore.</v>
      </c>
    </row>
    <row r="5977">
      <c r="A5977" s="4" t="s">
        <v>7518</v>
      </c>
      <c r="B5977" s="4" t="s">
        <v>7521</v>
      </c>
      <c r="C5977" s="5" t="str">
        <f>IFERROR(__xludf.DUMMYFUNCTION("GOOGLETRANSLATE(B5977,""en"",""it"")"),"Uno degli uomini è visto da dietro camminare in un corridoio.")</f>
        <v>Uno degli uomini è visto da dietro camminare in un corridoio.</v>
      </c>
    </row>
    <row r="5978">
      <c r="A5978" s="4" t="s">
        <v>7518</v>
      </c>
      <c r="B5978" s="4" t="s">
        <v>7522</v>
      </c>
      <c r="C5978" s="5" t="str">
        <f>IFERROR(__xludf.DUMMYFUNCTION("GOOGLETRANSLATE(B5978,""en"",""it"")"),"L'uomo si siede su una bici BMX sulla parte superiore di una rampa che si prepara.")</f>
        <v>L'uomo si siede su una bici BMX sulla parte superiore di una rampa che si prepara.</v>
      </c>
    </row>
    <row r="5979">
      <c r="A5979" s="4" t="s">
        <v>7518</v>
      </c>
      <c r="B5979" s="4" t="s">
        <v>7523</v>
      </c>
      <c r="C5979" s="5" t="str">
        <f>IFERROR(__xludf.DUMMYFUNCTION("GOOGLETRANSLATE(B5979,""en"",""it"")"),"L'uomo cade nella rampa e cade forte che sbatte sul fondo.")</f>
        <v>L'uomo cade nella rampa e cade forte che sbatte sul fondo.</v>
      </c>
    </row>
    <row r="5980">
      <c r="A5980" s="4" t="s">
        <v>7518</v>
      </c>
      <c r="B5980" s="4" t="s">
        <v>7524</v>
      </c>
      <c r="C5980" s="5" t="str">
        <f>IFERROR(__xludf.DUMMYFUNCTION("GOOGLETRANSLATE(B5980,""en"",""it"")"),"L'uomo fa trucchi e salta sulla rampa in sella a una bici.")</f>
        <v>L'uomo fa trucchi e salta sulla rampa in sella a una bici.</v>
      </c>
    </row>
    <row r="5981">
      <c r="A5981" s="4" t="s">
        <v>7518</v>
      </c>
      <c r="B5981" s="4" t="s">
        <v>7525</v>
      </c>
      <c r="C5981" s="5" t="str">
        <f>IFERROR(__xludf.DUMMYFUNCTION("GOOGLETRANSLATE(B5981,""en"",""it"")"),"Uno degli uomini di viola cavalca attraverso un parco per skate bordo che indossa l'abito imbottito.")</f>
        <v>Uno degli uomini di viola cavalca attraverso un parco per skate bordo che indossa l'abito imbottito.</v>
      </c>
    </row>
    <row r="5982">
      <c r="A5982" s="4" t="s">
        <v>7518</v>
      </c>
      <c r="B5982" s="4" t="s">
        <v>7526</v>
      </c>
      <c r="C5982" s="5" t="str">
        <f>IFERROR(__xludf.DUMMYFUNCTION("GOOGLETRANSLATE(B5982,""en"",""it"")"),"Un altro uomo in camicia grigia cavalca uno skateboard sulla rampa di mezzo tubo e fa trucchi.")</f>
        <v>Un altro uomo in camicia grigia cavalca uno skateboard sulla rampa di mezzo tubo e fa trucchi.</v>
      </c>
    </row>
    <row r="5983">
      <c r="A5983" s="4" t="s">
        <v>7518</v>
      </c>
      <c r="B5983" s="4" t="s">
        <v>7527</v>
      </c>
      <c r="C5983" s="5" t="str">
        <f>IFERROR(__xludf.DUMMYFUNCTION("GOOGLETRANSLATE(B5983,""en"",""it"")"),"I tre uomini cavalcano insieme sulla grande rampa in formazione.")</f>
        <v>I tre uomini cavalcano insieme sulla grande rampa in formazione.</v>
      </c>
    </row>
    <row r="5984">
      <c r="A5984" s="4" t="s">
        <v>7518</v>
      </c>
      <c r="B5984" s="4" t="s">
        <v>7528</v>
      </c>
      <c r="C5984" s="5" t="str">
        <f>IFERROR(__xludf.DUMMYFUNCTION("GOOGLETRANSLATE(B5984,""en"",""it"")"),"L'uomo in viola cade e viene colpito in faccia con il suo skateboard.")</f>
        <v>L'uomo in viola cade e viene colpito in faccia con il suo skateboard.</v>
      </c>
    </row>
    <row r="5985">
      <c r="A5985" s="4" t="s">
        <v>7529</v>
      </c>
      <c r="B5985" s="4" t="s">
        <v>7530</v>
      </c>
      <c r="C5985" s="5" t="str">
        <f>IFERROR(__xludf.DUMMYFUNCTION("GOOGLETRANSLATE(B5985,""en"",""it"")"),"Due uomini si inginocchiano con pistole di paintball.")</f>
        <v>Due uomini si inginocchiano con pistole di paintball.</v>
      </c>
    </row>
    <row r="5986">
      <c r="A5986" s="4" t="s">
        <v>7529</v>
      </c>
      <c r="B5986" s="4" t="s">
        <v>7531</v>
      </c>
      <c r="C5986" s="5" t="str">
        <f>IFERROR(__xludf.DUMMYFUNCTION("GOOGLETRANSLATE(B5986,""en"",""it"")"),"Stanno camminando per la strada con le loro pistole da paintball.")</f>
        <v>Stanno camminando per la strada con le loro pistole da paintball.</v>
      </c>
    </row>
    <row r="5987">
      <c r="A5987" s="4" t="s">
        <v>7529</v>
      </c>
      <c r="B5987" s="4" t="s">
        <v>7532</v>
      </c>
      <c r="C5987" s="5" t="str">
        <f>IFERROR(__xludf.DUMMYFUNCTION("GOOGLETRANSLATE(B5987,""en"",""it"")"),"Cominciano a giocare a paintball.")</f>
        <v>Cominciano a giocare a paintball.</v>
      </c>
    </row>
    <row r="5988">
      <c r="A5988" s="4" t="s">
        <v>7533</v>
      </c>
      <c r="B5988" s="4" t="s">
        <v>7534</v>
      </c>
      <c r="C5988" s="5" t="str">
        <f>IFERROR(__xludf.DUMMYFUNCTION("GOOGLETRANSLATE(B5988,""en"",""it"")"),"Una persona viene vista indossare una camicia blu e stare in piedi davanti a una recinzione.")</f>
        <v>Una persona viene vista indossare una camicia blu e stare in piedi davanti a una recinzione.</v>
      </c>
    </row>
    <row r="5989">
      <c r="A5989" s="4" t="s">
        <v>7533</v>
      </c>
      <c r="B5989" s="4" t="s">
        <v>7535</v>
      </c>
      <c r="C5989" s="5" t="str">
        <f>IFERROR(__xludf.DUMMYFUNCTION("GOOGLETRANSLATE(B5989,""en"",""it"")"),"La persona si piega di fronte alla recinzione e inizia a spruzzarla.")</f>
        <v>La persona si piega di fronte alla recinzione e inizia a spruzzarla.</v>
      </c>
    </row>
    <row r="5990">
      <c r="A5990" s="4" t="s">
        <v>7533</v>
      </c>
      <c r="B5990" s="4" t="s">
        <v>7536</v>
      </c>
      <c r="C5990" s="5" t="str">
        <f>IFERROR(__xludf.DUMMYFUNCTION("GOOGLETRANSLATE(B5990,""en"",""it"")"),"La persona continua a spruzzare il recinto mentre la fotocamera cattura da dietro.")</f>
        <v>La persona continua a spruzzare il recinto mentre la fotocamera cattura da dietro.</v>
      </c>
    </row>
    <row r="5991">
      <c r="A5991" s="4" t="s">
        <v>7537</v>
      </c>
      <c r="B5991" s="6" t="s">
        <v>7538</v>
      </c>
      <c r="C5991" s="5" t="str">
        <f>IFERROR(__xludf.DUMMYFUNCTION("GOOGLETRANSLATE(B5991,""en"",""it"")"),"Tre uomini sono seduti su un divano con l'uomo nel mezzo sorridente, l'uomo a destra suonando un'armonica e l'uomo all'estrema sinistra che tiene il dito verso la zona del labbro superiore e fa un rumore con il labbro inferiore pizzicandolo con la sua man"&amp;"o.")</f>
        <v>Tre uomini sono seduti su un divano con l'uomo nel mezzo sorridente, l'uomo a destra suonando un'armonica e l'uomo all'estrema sinistra che tiene il dito verso la zona del labbro superiore e fa un rumore con il labbro inferiore pizzicandolo con la sua mano.</v>
      </c>
    </row>
    <row r="5992">
      <c r="A5992" s="4" t="s">
        <v>7537</v>
      </c>
      <c r="B5992" s="4" t="s">
        <v>7539</v>
      </c>
      <c r="C5992" s="5" t="str">
        <f>IFERROR(__xludf.DUMMYFUNCTION("GOOGLETRANSLATE(B5992,""en"",""it"")"),"L'uomo sulla destra tocca il piede mentre i due uomini suonano musica.")</f>
        <v>L'uomo sulla destra tocca il piede mentre i due uomini suonano musica.</v>
      </c>
    </row>
    <row r="5993">
      <c r="A5993" s="4" t="s">
        <v>7537</v>
      </c>
      <c r="B5993" s="4" t="s">
        <v>7540</v>
      </c>
      <c r="C5993" s="5" t="str">
        <f>IFERROR(__xludf.DUMMYFUNCTION("GOOGLETRANSLATE(B5993,""en"",""it"")"),"La telecamera si muove a uno spettatore in piedi sul lato della stanza a guardare e sorridere.")</f>
        <v>La telecamera si muove a uno spettatore in piedi sul lato della stanza a guardare e sorridere.</v>
      </c>
    </row>
    <row r="5994">
      <c r="A5994" s="4" t="s">
        <v>7537</v>
      </c>
      <c r="B5994" s="4" t="s">
        <v>7541</v>
      </c>
      <c r="C5994" s="5" t="str">
        <f>IFERROR(__xludf.DUMMYFUNCTION("GOOGLETRANSLATE(B5994,""en"",""it"")"),"I due uomini smettono di suonare e l'uomo nel mezzo scrolla le spalle mentre gli altri due uomini sorridono.")</f>
        <v>I due uomini smettono di suonare e l'uomo nel mezzo scrolla le spalle mentre gli altri due uomini sorridono.</v>
      </c>
    </row>
    <row r="5995">
      <c r="A5995" s="4" t="s">
        <v>7542</v>
      </c>
      <c r="B5995" s="6" t="s">
        <v>7543</v>
      </c>
      <c r="C5995" s="5" t="str">
        <f>IFERROR(__xludf.DUMMYFUNCTION("GOOGLETRANSLATE(B5995,""en"",""it"")"),"Tre bambini piccoli, 2 ragazze e un ragazzo, giocano in spiaggia e accumulano sabbia su una grande pila mentre le onde continuano ad entrare e uscire.")</f>
        <v>Tre bambini piccoli, 2 ragazze e un ragazzo, giocano in spiaggia e accumulano sabbia su una grande pila mentre le onde continuano ad entrare e uscire.</v>
      </c>
    </row>
    <row r="5996">
      <c r="A5996" s="4" t="s">
        <v>7542</v>
      </c>
      <c r="B5996" s="6" t="s">
        <v>7544</v>
      </c>
      <c r="C5996" s="5" t="str">
        <f>IFERROR(__xludf.DUMMYFUNCTION("GOOGLETRANSLATE(B5996,""en"",""it"")"),"La persona della telecamera si muove quindi intorno alla spiaggia per mostrare il resto della spiaggia e varie altre persone che sono lì.")</f>
        <v>La persona della telecamera si muove quindi intorno alla spiaggia per mostrare il resto della spiaggia e varie altre persone che sono lì.</v>
      </c>
    </row>
    <row r="5997">
      <c r="A5997" s="4" t="s">
        <v>7542</v>
      </c>
      <c r="B5997" s="4" t="s">
        <v>7545</v>
      </c>
      <c r="C5997" s="5" t="str">
        <f>IFERROR(__xludf.DUMMYFUNCTION("GOOGLETRANSLATE(B5997,""en"",""it"")"),"La persona della telecamera si concentra quindi su due donne che parlano e si trovano insieme.")</f>
        <v>La persona della telecamera si concentra quindi su due donne che parlano e si trovano insieme.</v>
      </c>
    </row>
    <row r="5998">
      <c r="A5998" s="4" t="s">
        <v>7542</v>
      </c>
      <c r="B5998" s="6" t="s">
        <v>7546</v>
      </c>
      <c r="C5998" s="5" t="str">
        <f>IFERROR(__xludf.DUMMYFUNCTION("GOOGLETRANSLATE(B5998,""en"",""it"")"),"Quindi si concentra sui bambini nella sabbia che continuano a scavare nella sabbia e impilare la sabbia in una grande pila.")</f>
        <v>Quindi si concentra sui bambini nella sabbia che continuano a scavare nella sabbia e impilare la sabbia in una grande pila.</v>
      </c>
    </row>
    <row r="5999">
      <c r="A5999" s="4" t="s">
        <v>7542</v>
      </c>
      <c r="B5999" s="6" t="s">
        <v>7547</v>
      </c>
      <c r="C5999" s="5" t="str">
        <f>IFERROR(__xludf.DUMMYFUNCTION("GOOGLETRANSLATE(B5999,""en"",""it"")"),"Una delle ragazze poi esaurisce il tiro e l'altra ragazza e l'unico ragazzo rimangono vicino alla loro piccola pila di sabbia.")</f>
        <v>Una delle ragazze poi esaurisce il tiro e l'altra ragazza e l'unico ragazzo rimangono vicino alla loro piccola pila di sabbia.</v>
      </c>
    </row>
    <row r="6000">
      <c r="A6000" s="4" t="s">
        <v>7548</v>
      </c>
      <c r="B6000" s="6" t="s">
        <v>7549</v>
      </c>
      <c r="C6000" s="5" t="str">
        <f>IFERROR(__xludf.DUMMYFUNCTION("GOOGLETRANSLATE(B6000,""en"",""it"")"),"Una ragazza con i capelli biondi e le unghie rosse si siede su una sedia in camera da letto e parla con la telecamera mentre fuma e mostra una bottiglia di unghie blu.")</f>
        <v>Una ragazza con i capelli biondi e le unghie rosse si siede su una sedia in camera da letto e parla con la telecamera mentre fuma e mostra una bottiglia di unghie blu.</v>
      </c>
    </row>
    <row r="6001">
      <c r="A6001" s="4" t="s">
        <v>7548</v>
      </c>
      <c r="B6001" s="6" t="s">
        <v>7550</v>
      </c>
      <c r="C6001" s="5" t="str">
        <f>IFERROR(__xludf.DUMMYFUNCTION("GOOGLETRANSLATE(B6001,""en"",""it"")"),"La ragazza rotola via dalla telecamera sulla sedia per ottenere una bottiglia di smalto blu e tenerla sullo schermo.")</f>
        <v>La ragazza rotola via dalla telecamera sulla sedia per ottenere una bottiglia di smalto blu e tenerla sullo schermo.</v>
      </c>
    </row>
    <row r="6002">
      <c r="A6002" s="4" t="s">
        <v>7548</v>
      </c>
      <c r="B6002" s="4" t="s">
        <v>7551</v>
      </c>
      <c r="C6002" s="5" t="str">
        <f>IFERROR(__xludf.DUMMYFUNCTION("GOOGLETRANSLATE(B6002,""en"",""it"")"),"La ragazza inizia quindi a fumare una sigaretta davanti alla telecamera mentre parla.")</f>
        <v>La ragazza inizia quindi a fumare una sigaretta davanti alla telecamera mentre parla.</v>
      </c>
    </row>
    <row r="6003">
      <c r="A6003" s="4" t="s">
        <v>7548</v>
      </c>
      <c r="B6003" s="4" t="s">
        <v>7552</v>
      </c>
      <c r="C6003" s="5" t="str">
        <f>IFERROR(__xludf.DUMMYFUNCTION("GOOGLETRANSLATE(B6003,""en"",""it"")"),"La ragazza, infine, fa una lunga inalazione e si sporge per espirare nella telecamera prima di ricadere.")</f>
        <v>La ragazza, infine, fa una lunga inalazione e si sporge per espirare nella telecamera prima di ricadere.</v>
      </c>
    </row>
    <row r="6004">
      <c r="A6004" s="4" t="s">
        <v>7553</v>
      </c>
      <c r="B6004" s="4" t="s">
        <v>7554</v>
      </c>
      <c r="C6004" s="5" t="str">
        <f>IFERROR(__xludf.DUMMYFUNCTION("GOOGLETRANSLATE(B6004,""en"",""it"")"),"Viene messa una telecamera per il casco e poi un uomo va a skateboard.")</f>
        <v>Viene messa una telecamera per il casco e poi un uomo va a skateboard.</v>
      </c>
    </row>
    <row r="6005">
      <c r="A6005" s="4" t="s">
        <v>7553</v>
      </c>
      <c r="B6005" s="4" t="s">
        <v>7555</v>
      </c>
      <c r="C6005" s="5" t="str">
        <f>IFERROR(__xludf.DUMMYFUNCTION("GOOGLETRANSLATE(B6005,""en"",""it"")"),"Si ingrandisce per la città e va in autostrada.")</f>
        <v>Si ingrandisce per la città e va in autostrada.</v>
      </c>
    </row>
    <row r="6006">
      <c r="A6006" s="4" t="s">
        <v>7553</v>
      </c>
      <c r="B6006" s="4" t="s">
        <v>7556</v>
      </c>
      <c r="C6006" s="5" t="str">
        <f>IFERROR(__xludf.DUMMYFUNCTION("GOOGLETRANSLATE(B6006,""en"",""it"")"),"Passa un camion e altre persone.")</f>
        <v>Passa un camion e altre persone.</v>
      </c>
    </row>
    <row r="6007">
      <c r="A6007" s="4" t="s">
        <v>7557</v>
      </c>
      <c r="B6007" s="4" t="s">
        <v>7558</v>
      </c>
      <c r="C6007" s="5" t="str">
        <f>IFERROR(__xludf.DUMMYFUNCTION("GOOGLETRANSLATE(B6007,""en"",""it"")"),"Un uomo si trova in un campo a parlare.")</f>
        <v>Un uomo si trova in un campo a parlare.</v>
      </c>
    </row>
    <row r="6008">
      <c r="A6008" s="4" t="s">
        <v>7557</v>
      </c>
      <c r="B6008" s="4" t="s">
        <v>7559</v>
      </c>
      <c r="C6008" s="5" t="str">
        <f>IFERROR(__xludf.DUMMYFUNCTION("GOOGLETRANSLATE(B6008,""en"",""it"")"),"Colpisce una palla da bowling con un martello di croquet e poi tiene su una palla da bowling con un grande 8 su di essa.")</f>
        <v>Colpisce una palla da bowling con un martello di croquet e poi tiene su una palla da bowling con un grande 8 su di essa.</v>
      </c>
    </row>
    <row r="6009">
      <c r="A6009" s="4" t="s">
        <v>7557</v>
      </c>
      <c r="B6009" s="4" t="s">
        <v>7560</v>
      </c>
      <c r="C6009" s="5" t="str">
        <f>IFERROR(__xludf.DUMMYFUNCTION("GOOGLETRANSLATE(B6009,""en"",""it"")"),"Una donna con un grande calice è nello stesso campo a parlare.")</f>
        <v>Una donna con un grande calice è nello stesso campo a parlare.</v>
      </c>
    </row>
    <row r="6010">
      <c r="A6010" s="4" t="s">
        <v>7557</v>
      </c>
      <c r="B6010" s="4" t="s">
        <v>7561</v>
      </c>
      <c r="C6010" s="5" t="str">
        <f>IFERROR(__xludf.DUMMYFUNCTION("GOOGLETRANSLATE(B6010,""en"",""it"")"),"Le auto passano e le persone vanno in giro in sottofondo.")</f>
        <v>Le auto passano e le persone vanno in giro in sottofondo.</v>
      </c>
    </row>
    <row r="6011">
      <c r="A6011" s="4" t="s">
        <v>7557</v>
      </c>
      <c r="B6011" s="4" t="s">
        <v>7562</v>
      </c>
      <c r="C6011" s="5" t="str">
        <f>IFERROR(__xludf.DUMMYFUNCTION("GOOGLETRANSLATE(B6011,""en"",""it"")"),"Una palla da bowling tagliata a metà è a terra.")</f>
        <v>Una palla da bowling tagliata a metà è a terra.</v>
      </c>
    </row>
    <row r="6012">
      <c r="A6012" s="4" t="s">
        <v>7557</v>
      </c>
      <c r="B6012" s="4" t="s">
        <v>7563</v>
      </c>
      <c r="C6012" s="5" t="str">
        <f>IFERROR(__xludf.DUMMYFUNCTION("GOOGLETRANSLATE(B6012,""en"",""it"")"),"Un paio di bambini guardano la mezza palla da bowling.")</f>
        <v>Un paio di bambini guardano la mezza palla da bowling.</v>
      </c>
    </row>
    <row r="6013">
      <c r="A6013" s="4" t="s">
        <v>7557</v>
      </c>
      <c r="B6013" s="4" t="s">
        <v>7564</v>
      </c>
      <c r="C6013" s="5" t="str">
        <f>IFERROR(__xludf.DUMMYFUNCTION("GOOGLETRANSLATE(B6013,""en"",""it"")"),"Un uomo colpisce la palla da ""8"" con un martello di croquet e fa un po 'di ballo.")</f>
        <v>Un uomo colpisce la palla da "8" con un martello di croquet e fa un po 'di ballo.</v>
      </c>
    </row>
    <row r="6014">
      <c r="A6014" s="4" t="s">
        <v>7557</v>
      </c>
      <c r="B6014" s="4" t="s">
        <v>7565</v>
      </c>
      <c r="C6014" s="5" t="str">
        <f>IFERROR(__xludf.DUMMYFUNCTION("GOOGLETRANSLATE(B6014,""en"",""it"")"),"Una donna colpisce 1 palla da bowling contro un'altra con un martello.")</f>
        <v>Una donna colpisce 1 palla da bowling contro un'altra con un martello.</v>
      </c>
    </row>
    <row r="6015">
      <c r="A6015" s="4" t="s">
        <v>7557</v>
      </c>
      <c r="B6015" s="4" t="s">
        <v>7566</v>
      </c>
      <c r="C6015" s="5" t="str">
        <f>IFERROR(__xludf.DUMMYFUNCTION("GOOGLETRANSLATE(B6015,""en"",""it"")"),"Un uomo diverso colpisce una palla da bowling con un martello.")</f>
        <v>Un uomo diverso colpisce una palla da bowling con un martello.</v>
      </c>
    </row>
    <row r="6016">
      <c r="A6016" s="4" t="s">
        <v>7557</v>
      </c>
      <c r="B6016" s="4" t="s">
        <v>7567</v>
      </c>
      <c r="C6016" s="5" t="str">
        <f>IFERROR(__xludf.DUMMYFUNCTION("GOOGLETRANSLATE(B6016,""en"",""it"")"),"Una ragazza colpisce la palla con il martello.")</f>
        <v>Una ragazza colpisce la palla con il martello.</v>
      </c>
    </row>
    <row r="6017">
      <c r="A6017" s="4" t="s">
        <v>7557</v>
      </c>
      <c r="B6017" s="6" t="s">
        <v>7568</v>
      </c>
      <c r="C6017" s="5" t="str">
        <f>IFERROR(__xludf.DUMMYFUNCTION("GOOGLETRANSLATE(B6017,""en"",""it"")"),"Un altro uomo colpisce una palla da bowling e fa una danza, le ragazze giocano mentre un uomo vestito come un joker parla.")</f>
        <v>Un altro uomo colpisce una palla da bowling e fa una danza, le ragazze giocano mentre un uomo vestito come un joker parla.</v>
      </c>
    </row>
    <row r="6018">
      <c r="A6018" s="4" t="s">
        <v>7557</v>
      </c>
      <c r="B6018" s="4" t="s">
        <v>7569</v>
      </c>
      <c r="C6018" s="5" t="str">
        <f>IFERROR(__xludf.DUMMYFUNCTION("GOOGLETRANSLATE(B6018,""en"",""it"")"),"Il gioco termina e tutti i materiali per il gioco sono raccolti.")</f>
        <v>Il gioco termina e tutti i materiali per il gioco sono raccolti.</v>
      </c>
    </row>
    <row r="6019">
      <c r="A6019" s="4" t="s">
        <v>7557</v>
      </c>
      <c r="B6019" s="4" t="s">
        <v>7570</v>
      </c>
      <c r="C6019" s="5" t="str">
        <f>IFERROR(__xludf.DUMMYFUNCTION("GOOGLETRANSLATE(B6019,""en"",""it"")"),"La donna le dà calice alle ragazze che sono molto eccitate.")</f>
        <v>La donna le dà calice alle ragazze che sono molto eccitate.</v>
      </c>
    </row>
    <row r="6020">
      <c r="A6020" s="4" t="s">
        <v>7571</v>
      </c>
      <c r="B6020" s="4" t="s">
        <v>7572</v>
      </c>
      <c r="C6020" s="5" t="str">
        <f>IFERROR(__xludf.DUMMYFUNCTION("GOOGLETRANSLATE(B6020,""en"",""it"")"),"Il testo afferma che il video mostrerà come la vernice a gesso.")</f>
        <v>Il testo afferma che il video mostrerà come la vernice a gesso.</v>
      </c>
    </row>
    <row r="6021">
      <c r="A6021" s="4" t="s">
        <v>7571</v>
      </c>
      <c r="B6021" s="4" t="s">
        <v>7573</v>
      </c>
      <c r="C6021" s="5" t="str">
        <f>IFERROR(__xludf.DUMMYFUNCTION("GOOGLETRANSLATE(B6021,""en"",""it"")"),"Viene mostrato un armadio e una donna tiene uno dei cassetti.")</f>
        <v>Viene mostrato un armadio e una donna tiene uno dei cassetti.</v>
      </c>
    </row>
    <row r="6022">
      <c r="A6022" s="4" t="s">
        <v>7571</v>
      </c>
      <c r="B6022" s="4" t="s">
        <v>7574</v>
      </c>
      <c r="C6022" s="5" t="str">
        <f>IFERROR(__xludf.DUMMYFUNCTION("GOOGLETRANSLATE(B6022,""en"",""it"")"),"Lei leviga lungo il legno prima di applicare una mano di vernice al gesso con un pennello.")</f>
        <v>Lei leviga lungo il legno prima di applicare una mano di vernice al gesso con un pennello.</v>
      </c>
    </row>
    <row r="6023">
      <c r="A6023" s="4" t="s">
        <v>7571</v>
      </c>
      <c r="B6023" s="4" t="s">
        <v>7575</v>
      </c>
      <c r="C6023" s="5" t="str">
        <f>IFERROR(__xludf.DUMMYFUNCTION("GOOGLETRANSLATE(B6023,""en"",""it"")"),"Tiene le lattine di vernice mentre parla del prodotto finito.")</f>
        <v>Tiene le lattine di vernice mentre parla del prodotto finito.</v>
      </c>
    </row>
    <row r="6024">
      <c r="A6024" s="4" t="s">
        <v>7571</v>
      </c>
      <c r="B6024" s="4" t="s">
        <v>7576</v>
      </c>
      <c r="C6024" s="5" t="str">
        <f>IFERROR(__xludf.DUMMYFUNCTION("GOOGLETRANSLATE(B6024,""en"",""it"")"),"L'Armoire dipinto viene mostrato un'ultima volta.")</f>
        <v>L'Armoire dipinto viene mostrato un'ultima volta.</v>
      </c>
    </row>
    <row r="6025">
      <c r="A6025" s="4" t="s">
        <v>7577</v>
      </c>
      <c r="B6025" s="4" t="s">
        <v>7578</v>
      </c>
      <c r="C6025" s="5" t="str">
        <f>IFERROR(__xludf.DUMMYFUNCTION("GOOGLETRANSLATE(B6025,""en"",""it"")"),"Viene mostrato uno spettacolo di un cassonetto, così come le donne in marcia in piedi di fronte.")</f>
        <v>Viene mostrato uno spettacolo di un cassonetto, così come le donne in marcia in piedi di fronte.</v>
      </c>
    </row>
    <row r="6026">
      <c r="A6026" s="4" t="s">
        <v>7577</v>
      </c>
      <c r="B6026" s="4" t="s">
        <v>7579</v>
      </c>
      <c r="C6026" s="5" t="str">
        <f>IFERROR(__xludf.DUMMYFUNCTION("GOOGLETRANSLATE(B6026,""en"",""it"")"),"La donna si sposta lungo il cassonetto mentre altre persone entrano nella cornice.")</f>
        <v>La donna si sposta lungo il cassonetto mentre altre persone entrano nella cornice.</v>
      </c>
    </row>
    <row r="6027">
      <c r="A6027" s="4" t="s">
        <v>7577</v>
      </c>
      <c r="B6027" s="6" t="s">
        <v>7580</v>
      </c>
      <c r="C6027" s="5" t="str">
        <f>IFERROR(__xludf.DUMMYFUNCTION("GOOGLETRANSLATE(B6027,""en"",""it"")"),"La donna quindi si muove sulle lame a rulli mentre la telecamera segue i suoi movimenti.")</f>
        <v>La donna quindi si muove sulle lame a rulli mentre la telecamera segue i suoi movimenti.</v>
      </c>
    </row>
    <row r="6028">
      <c r="A6028" s="4" t="s">
        <v>7581</v>
      </c>
      <c r="B6028" s="4" t="s">
        <v>7582</v>
      </c>
      <c r="C6028" s="5" t="str">
        <f>IFERROR(__xludf.DUMMYFUNCTION("GOOGLETRANSLATE(B6028,""en"",""it"")"),"Vediamo una rapida schermata del titolo.")</f>
        <v>Vediamo una rapida schermata del titolo.</v>
      </c>
    </row>
    <row r="6029">
      <c r="A6029" s="4" t="s">
        <v>7581</v>
      </c>
      <c r="B6029" s="4" t="s">
        <v>7583</v>
      </c>
      <c r="C6029" s="5" t="str">
        <f>IFERROR(__xludf.DUMMYFUNCTION("GOOGLETRANSLATE(B6029,""en"",""it"")"),"Vediamo quindi un uomo che lavora su varie cose in una fabbrica di biciclette.")</f>
        <v>Vediamo quindi un uomo che lavora su varie cose in una fabbrica di biciclette.</v>
      </c>
    </row>
    <row r="6030">
      <c r="A6030" s="4" t="s">
        <v>7581</v>
      </c>
      <c r="B6030" s="4" t="s">
        <v>7584</v>
      </c>
      <c r="C6030" s="5" t="str">
        <f>IFERROR(__xludf.DUMMYFUNCTION("GOOGLETRANSLATE(B6030,""en"",""it"")"),"L'uomo mette insieme una bici, la mette in una scatola, quindi su un trasportatore.")</f>
        <v>L'uomo mette insieme una bici, la mette in una scatola, quindi su un trasportatore.</v>
      </c>
    </row>
    <row r="6031">
      <c r="A6031" s="4" t="s">
        <v>7581</v>
      </c>
      <c r="B6031" s="4" t="s">
        <v>7585</v>
      </c>
      <c r="C6031" s="5" t="str">
        <f>IFERROR(__xludf.DUMMYFUNCTION("GOOGLETRANSLATE(B6031,""en"",""it"")"),"Vediamo quindi una persona che mette gli strumenti sulla bici.")</f>
        <v>Vediamo quindi una persona che mette gli strumenti sulla bici.</v>
      </c>
    </row>
    <row r="6032">
      <c r="A6032" s="4" t="s">
        <v>7581</v>
      </c>
      <c r="B6032" s="4" t="s">
        <v>7586</v>
      </c>
      <c r="C6032" s="5" t="str">
        <f>IFERROR(__xludf.DUMMYFUNCTION("GOOGLETRANSLATE(B6032,""en"",""it"")"),"L'uomo inizia a prendere la parte dei pezzi e mettere insieme la bici.")</f>
        <v>L'uomo inizia a prendere la parte dei pezzi e mettere insieme la bici.</v>
      </c>
    </row>
    <row r="6033">
      <c r="A6033" s="4" t="s">
        <v>7581</v>
      </c>
      <c r="B6033" s="4" t="s">
        <v>7587</v>
      </c>
      <c r="C6033" s="5" t="str">
        <f>IFERROR(__xludf.DUMMYFUNCTION("GOOGLETRANSLATE(B6033,""en"",""it"")"),"Vediamo brevemente la fabbrica.")</f>
        <v>Vediamo brevemente la fabbrica.</v>
      </c>
    </row>
    <row r="6034">
      <c r="A6034" s="4" t="s">
        <v>7581</v>
      </c>
      <c r="B6034" s="4" t="s">
        <v>7588</v>
      </c>
      <c r="C6034" s="5" t="str">
        <f>IFERROR(__xludf.DUMMYFUNCTION("GOOGLETRANSLATE(B6034,""en"",""it"")"),"Torniamo all'uomo mettendo insieme la bici.")</f>
        <v>Torniamo all'uomo mettendo insieme la bici.</v>
      </c>
    </row>
    <row r="6035">
      <c r="A6035" s="4" t="s">
        <v>7581</v>
      </c>
      <c r="B6035" s="4" t="s">
        <v>7589</v>
      </c>
      <c r="C6035" s="5" t="str">
        <f>IFERROR(__xludf.DUMMYFUNCTION("GOOGLETRANSLATE(B6035,""en"",""it"")"),"Finisce e vediamo il numero di telefono del servizio clienti.")</f>
        <v>Finisce e vediamo il numero di telefono del servizio clienti.</v>
      </c>
    </row>
    <row r="6036">
      <c r="A6036" s="4" t="s">
        <v>7581</v>
      </c>
      <c r="B6036" s="4" t="s">
        <v>7590</v>
      </c>
      <c r="C6036" s="5" t="str">
        <f>IFERROR(__xludf.DUMMYFUNCTION("GOOGLETRANSLATE(B6036,""en"",""it"")"),"Vediamo quindi la schermata del titolo finale.")</f>
        <v>Vediamo quindi la schermata del titolo finale.</v>
      </c>
    </row>
    <row r="6037">
      <c r="A6037" s="4" t="s">
        <v>7591</v>
      </c>
      <c r="B6037" s="4" t="s">
        <v>7592</v>
      </c>
      <c r="C6037" s="5" t="str">
        <f>IFERROR(__xludf.DUMMYFUNCTION("GOOGLETRANSLATE(B6037,""en"",""it"")"),"Un gruppo di un uomo e tre donne sono in palestra.")</f>
        <v>Un gruppo di un uomo e tre donne sono in palestra.</v>
      </c>
    </row>
    <row r="6038">
      <c r="A6038" s="4" t="s">
        <v>7591</v>
      </c>
      <c r="B6038" s="4" t="s">
        <v>7593</v>
      </c>
      <c r="C6038" s="5" t="str">
        <f>IFERROR(__xludf.DUMMYFUNCTION("GOOGLETRANSLATE(B6038,""en"",""it"")"),"Stanno ballando all'unisono, eseguendo diverse mosse.")</f>
        <v>Stanno ballando all'unisono, eseguendo diverse mosse.</v>
      </c>
    </row>
    <row r="6039">
      <c r="A6039" s="4" t="s">
        <v>7591</v>
      </c>
      <c r="B6039" s="4" t="s">
        <v>7594</v>
      </c>
      <c r="C6039" s="5" t="str">
        <f>IFERROR(__xludf.DUMMYFUNCTION("GOOGLETRANSLATE(B6039,""en"",""it"")"),"Quando hanno finito, una donna ride e scappa.")</f>
        <v>Quando hanno finito, una donna ride e scappa.</v>
      </c>
    </row>
    <row r="6040">
      <c r="A6040" s="4" t="s">
        <v>7595</v>
      </c>
      <c r="B6040" s="4" t="s">
        <v>7596</v>
      </c>
      <c r="C6040" s="5" t="str">
        <f>IFERROR(__xludf.DUMMYFUNCTION("GOOGLETRANSLATE(B6040,""en"",""it"")"),"Un uomo sta cavalcando uno skateboard all'interno e lo cavalca su un palo a corto di posizione a terra.")</f>
        <v>Un uomo sta cavalcando uno skateboard all'interno e lo cavalca su un palo a corto di posizione a terra.</v>
      </c>
    </row>
    <row r="6041">
      <c r="A6041" s="4" t="s">
        <v>7595</v>
      </c>
      <c r="B6041" s="6" t="s">
        <v>7597</v>
      </c>
      <c r="C6041" s="5" t="str">
        <f>IFERROR(__xludf.DUMMYFUNCTION("GOOGLETRANSLATE(B6041,""en"",""it"")"),"Lo stesso uomo è ora in piedi fuori parlando e le parole in fondo allo schermo dicono che il suo nome è ""Shawn Connelly"" ed è il fondatore di San Francisco Skate Club e mentre parla varie parole appaiono nella parte inferiore dello schermo in vari momen"&amp;"ti così come le clip di lui skateboard che mostrano diverse mosse che le parole menzionano.")</f>
        <v>Lo stesso uomo è ora in piedi fuori parlando e le parole in fondo allo schermo dicono che il suo nome è "Shawn Connelly" ed è il fondatore di San Francisco Skate Club e mentre parla varie parole appaiono nella parte inferiore dello schermo in vari momenti così come le clip di lui skateboard che mostrano diverse mosse che le parole menzionano.</v>
      </c>
    </row>
    <row r="6042">
      <c r="A6042" s="4" t="s">
        <v>7595</v>
      </c>
      <c r="B6042" s="6" t="s">
        <v>7598</v>
      </c>
      <c r="C6042" s="5" t="str">
        <f>IFERROR(__xludf.DUMMYFUNCTION("GOOGLETRANSLATE(B6042,""en"",""it"")"),"L'uomo termina il video solo di lui che parla, nessun testo sullo schermo e nessun altro clip che mostra mentre parla.")</f>
        <v>L'uomo termina il video solo di lui che parla, nessun testo sullo schermo e nessun altro clip che mostra mentre parla.</v>
      </c>
    </row>
    <row r="6043">
      <c r="A6043" s="4" t="s">
        <v>7599</v>
      </c>
      <c r="B6043" s="4" t="s">
        <v>7600</v>
      </c>
      <c r="C6043" s="5" t="str">
        <f>IFERROR(__xludf.DUMMYFUNCTION("GOOGLETRANSLATE(B6043,""en"",""it"")"),"Un uomo in un kayak rosso rotola nell'acqua e fuori dall'acqua.")</f>
        <v>Un uomo in un kayak rosso rotola nell'acqua e fuori dall'acqua.</v>
      </c>
    </row>
    <row r="6044">
      <c r="A6044" s="4" t="s">
        <v>7599</v>
      </c>
      <c r="B6044" s="4" t="s">
        <v>7601</v>
      </c>
      <c r="C6044" s="5" t="str">
        <f>IFERROR(__xludf.DUMMYFUNCTION("GOOGLETRANSLATE(B6044,""en"",""it"")"),"Rotola in acqua ancora una volta.")</f>
        <v>Rotola in acqua ancora una volta.</v>
      </c>
    </row>
    <row r="6045">
      <c r="A6045" s="4" t="s">
        <v>7599</v>
      </c>
      <c r="B6045" s="4" t="s">
        <v>7602</v>
      </c>
      <c r="C6045" s="5" t="str">
        <f>IFERROR(__xludf.DUMMYFUNCTION("GOOGLETRANSLATE(B6045,""en"",""it"")"),"Quindi è in un kayak blu e rotola nell'acqua e fuori dall'acqua.")</f>
        <v>Quindi è in un kayak blu e rotola nell'acqua e fuori dall'acqua.</v>
      </c>
    </row>
    <row r="6046">
      <c r="A6046" s="4" t="s">
        <v>7599</v>
      </c>
      <c r="B6046" s="4" t="s">
        <v>7603</v>
      </c>
      <c r="C6046" s="5" t="str">
        <f>IFERROR(__xludf.DUMMYFUNCTION("GOOGLETRANSLATE(B6046,""en"",""it"")"),"Lo fa ancora una volta.")</f>
        <v>Lo fa ancora una volta.</v>
      </c>
    </row>
    <row r="6047">
      <c r="A6047" s="4" t="s">
        <v>7604</v>
      </c>
      <c r="B6047" s="4" t="s">
        <v>7605</v>
      </c>
      <c r="C6047" s="5" t="str">
        <f>IFERROR(__xludf.DUMMYFUNCTION("GOOGLETRANSLATE(B6047,""en"",""it"")"),"Un uomo che indossa una camicia nera apre un sacchetto di pane e tira fuori tre fette di pane.")</f>
        <v>Un uomo che indossa una camicia nera apre un sacchetto di pane e tira fuori tre fette di pane.</v>
      </c>
    </row>
    <row r="6048">
      <c r="A6048" s="4" t="s">
        <v>7604</v>
      </c>
      <c r="B6048" s="4" t="s">
        <v>7606</v>
      </c>
      <c r="C6048" s="5" t="str">
        <f>IFERROR(__xludf.DUMMYFUNCTION("GOOGLETRANSLATE(B6048,""en"",""it"")"),"L'uomo solleva una bottiglia vuota di frusta miracolosa e la lancia a fondo.")</f>
        <v>L'uomo solleva una bottiglia vuota di frusta miracolosa e la lancia a fondo.</v>
      </c>
    </row>
    <row r="6049">
      <c r="A6049" s="4" t="s">
        <v>7604</v>
      </c>
      <c r="B6049" s="4" t="s">
        <v>7607</v>
      </c>
      <c r="C6049" s="5" t="str">
        <f>IFERROR(__xludf.DUMMYFUNCTION("GOOGLETRANSLATE(B6049,""en"",""it"")"),"L'uomo quindi apre il frigorifero e tira fuori una nuova bottiglia di frusta miracolosa.")</f>
        <v>L'uomo quindi apre il frigorifero e tira fuori una nuova bottiglia di frusta miracolosa.</v>
      </c>
    </row>
    <row r="6050">
      <c r="A6050" s="4" t="s">
        <v>7604</v>
      </c>
      <c r="B6050" s="4" t="s">
        <v>7608</v>
      </c>
      <c r="C6050" s="5" t="str">
        <f>IFERROR(__xludf.DUMMYFUNCTION("GOOGLETRANSLATE(B6050,""en"",""it"")"),"Quindi usa un coltello per raccogliere la frusta miracolosa sulle fette di pane.")</f>
        <v>Quindi usa un coltello per raccogliere la frusta miracolosa sulle fette di pane.</v>
      </c>
    </row>
    <row r="6051">
      <c r="A6051" s="4" t="s">
        <v>7604</v>
      </c>
      <c r="B6051" s="4" t="s">
        <v>7609</v>
      </c>
      <c r="C6051" s="5" t="str">
        <f>IFERROR(__xludf.DUMMYFUNCTION("GOOGLETRANSLATE(B6051,""en"",""it"")"),"L'uomo quindi apre un sacchetto di formaggio svizzero e pone una fetta su ogni fetta di pane.")</f>
        <v>L'uomo quindi apre un sacchetto di formaggio svizzero e pone una fetta su ogni fetta di pane.</v>
      </c>
    </row>
    <row r="6052">
      <c r="A6052" s="4" t="s">
        <v>7604</v>
      </c>
      <c r="B6052" s="6" t="s">
        <v>7610</v>
      </c>
      <c r="C6052" s="5" t="str">
        <f>IFERROR(__xludf.DUMMYFUNCTION("GOOGLETRANSLATE(B6052,""en"",""it"")"),"L'uomo ottiene quindi un contenitore di Genoa Salami dal frigorifero e le tagli di pile sulle fette di pane.")</f>
        <v>L'uomo ottiene quindi un contenitore di Genoa Salami dal frigorifero e le tagli di pile sulle fette di pane.</v>
      </c>
    </row>
    <row r="6053">
      <c r="A6053" s="4" t="s">
        <v>7604</v>
      </c>
      <c r="B6053" s="4" t="s">
        <v>7611</v>
      </c>
      <c r="C6053" s="5" t="str">
        <f>IFERROR(__xludf.DUMMYFUNCTION("GOOGLETRANSLATE(B6053,""en"",""it"")"),"Quindi mette le fette di pane l'una sull'altra e completa il panino.")</f>
        <v>Quindi mette le fette di pane l'una sull'altra e completa il panino.</v>
      </c>
    </row>
    <row r="6054">
      <c r="A6054" s="4" t="s">
        <v>7612</v>
      </c>
      <c r="B6054" s="4" t="s">
        <v>7613</v>
      </c>
      <c r="C6054" s="5" t="str">
        <f>IFERROR(__xludf.DUMMYFUNCTION("GOOGLETRANSLATE(B6054,""en"",""it"")"),"Vediamo un uomo e una donna in piedi insieme.")</f>
        <v>Vediamo un uomo e una donna in piedi insieme.</v>
      </c>
    </row>
    <row r="6055">
      <c r="A6055" s="4" t="s">
        <v>7612</v>
      </c>
      <c r="B6055" s="4" t="s">
        <v>7614</v>
      </c>
      <c r="C6055" s="5" t="str">
        <f>IFERROR(__xludf.DUMMYFUNCTION("GOOGLETRANSLATE(B6055,""en"",""it"")"),"Le persone quindi ballano insieme.")</f>
        <v>Le persone quindi ballano insieme.</v>
      </c>
    </row>
    <row r="6056">
      <c r="A6056" s="4" t="s">
        <v>7612</v>
      </c>
      <c r="B6056" s="4" t="s">
        <v>7615</v>
      </c>
      <c r="C6056" s="5" t="str">
        <f>IFERROR(__xludf.DUMMYFUNCTION("GOOGLETRANSLATE(B6056,""en"",""it"")"),"La signora tiene le gambe al suo fianco.")</f>
        <v>La signora tiene le gambe al suo fianco.</v>
      </c>
    </row>
    <row r="6057">
      <c r="A6057" s="4" t="s">
        <v>7612</v>
      </c>
      <c r="B6057" s="4" t="s">
        <v>7616</v>
      </c>
      <c r="C6057" s="5" t="str">
        <f>IFERROR(__xludf.DUMMYFUNCTION("GOOGLETRANSLATE(B6057,""en"",""it"")"),"L'uomo fa oscillare la donna intorno.")</f>
        <v>L'uomo fa oscillare la donna intorno.</v>
      </c>
    </row>
    <row r="6058">
      <c r="A6058" s="4" t="s">
        <v>7612</v>
      </c>
      <c r="B6058" s="4" t="s">
        <v>7617</v>
      </c>
      <c r="C6058" s="5" t="str">
        <f>IFERROR(__xludf.DUMMYFUNCTION("GOOGLETRANSLATE(B6058,""en"",""it"")"),"La signora scuote i fianchi.")</f>
        <v>La signora scuote i fianchi.</v>
      </c>
    </row>
    <row r="6059">
      <c r="A6059" s="4" t="s">
        <v>7612</v>
      </c>
      <c r="B6059" s="4" t="s">
        <v>7618</v>
      </c>
      <c r="C6059" s="5" t="str">
        <f>IFERROR(__xludf.DUMMYFUNCTION("GOOGLETRANSLATE(B6059,""en"",""it"")"),"La signora si china e l'uomo si avvolge le braccia attorno a lei.")</f>
        <v>La signora si china e l'uomo si avvolge le braccia attorno a lei.</v>
      </c>
    </row>
    <row r="6060">
      <c r="A6060" s="4" t="s">
        <v>7612</v>
      </c>
      <c r="B6060" s="4" t="s">
        <v>7619</v>
      </c>
      <c r="C6060" s="5" t="str">
        <f>IFERROR(__xludf.DUMMYFUNCTION("GOOGLETRANSLATE(B6060,""en"",""it"")"),"Le persone tornano l'una dall'altra.")</f>
        <v>Le persone tornano l'una dall'altra.</v>
      </c>
    </row>
    <row r="6061">
      <c r="A6061" s="4" t="s">
        <v>7620</v>
      </c>
      <c r="B6061" s="6" t="s">
        <v>7621</v>
      </c>
      <c r="C6061" s="5" t="str">
        <f>IFERROR(__xludf.DUMMYFUNCTION("GOOGLETRANSLATE(B6061,""en"",""it"")"),"Un giocatore di lacrosse che indossa una maglia bianca e con in mano un bastoncino di lacrosse parla delle posizioni del lacrosse.")</f>
        <v>Un giocatore di lacrosse che indossa una maglia bianca e con in mano un bastoncino di lacrosse parla delle posizioni del lacrosse.</v>
      </c>
    </row>
    <row r="6062">
      <c r="A6062" s="4" t="s">
        <v>7620</v>
      </c>
      <c r="B6062" s="4" t="s">
        <v>7622</v>
      </c>
      <c r="C6062" s="5" t="str">
        <f>IFERROR(__xludf.DUMMYFUNCTION("GOOGLETRANSLATE(B6062,""en"",""it"")"),"Si trova in un campo che si trova accanto a una strada trafficata con molte macchine che passano.")</f>
        <v>Si trova in un campo che si trova accanto a una strada trafficata con molte macchine che passano.</v>
      </c>
    </row>
    <row r="6063">
      <c r="A6063" s="4" t="s">
        <v>7620</v>
      </c>
      <c r="B6063" s="4" t="s">
        <v>7623</v>
      </c>
      <c r="C6063" s="5" t="str">
        <f>IFERROR(__xludf.DUMMYFUNCTION("GOOGLETRANSLATE(B6063,""en"",""it"")"),"Sta dimostrando le varie posizioni e i modi di usare il bastoncino di lacrosse con un altro uomo.")</f>
        <v>Sta dimostrando le varie posizioni e i modi di usare il bastoncino di lacrosse con un altro uomo.</v>
      </c>
    </row>
    <row r="6064">
      <c r="A6064" s="4" t="s">
        <v>7620</v>
      </c>
      <c r="B6064" s="4" t="s">
        <v>7624</v>
      </c>
      <c r="C6064" s="5" t="str">
        <f>IFERROR(__xludf.DUMMYFUNCTION("GOOGLETRANSLATE(B6064,""en"",""it"")"),"Spiega come gli obiettivi sono segnati in lacrosse.")</f>
        <v>Spiega come gli obiettivi sono segnati in lacrosse.</v>
      </c>
    </row>
    <row r="6065">
      <c r="A6065" s="4" t="s">
        <v>7625</v>
      </c>
      <c r="B6065" s="4" t="s">
        <v>7626</v>
      </c>
      <c r="C6065" s="5" t="str">
        <f>IFERROR(__xludf.DUMMYFUNCTION("GOOGLETRANSLATE(B6065,""en"",""it"")"),"Un ragazzo tiene una chitarra in una stanza.")</f>
        <v>Un ragazzo tiene una chitarra in una stanza.</v>
      </c>
    </row>
    <row r="6066">
      <c r="A6066" s="4" t="s">
        <v>7625</v>
      </c>
      <c r="B6066" s="4" t="s">
        <v>7627</v>
      </c>
      <c r="C6066" s="5" t="str">
        <f>IFERROR(__xludf.DUMMYFUNCTION("GOOGLETRANSLATE(B6066,""en"",""it"")"),"È seduto su un letto.")</f>
        <v>È seduto su un letto.</v>
      </c>
    </row>
    <row r="6067">
      <c r="A6067" s="4" t="s">
        <v>7625</v>
      </c>
      <c r="B6067" s="4" t="s">
        <v>7628</v>
      </c>
      <c r="C6067" s="5" t="str">
        <f>IFERROR(__xludf.DUMMYFUNCTION("GOOGLETRANSLATE(B6067,""en"",""it"")"),"Comincia a suonare la chitarra.")</f>
        <v>Comincia a suonare la chitarra.</v>
      </c>
    </row>
    <row r="6068">
      <c r="A6068" s="4" t="s">
        <v>7625</v>
      </c>
      <c r="B6068" s="4" t="s">
        <v>7629</v>
      </c>
      <c r="C6068" s="5" t="str">
        <f>IFERROR(__xludf.DUMMYFUNCTION("GOOGLETRANSLATE(B6068,""en"",""it"")"),"Alla fine finisce la canzone.")</f>
        <v>Alla fine finisce la canzone.</v>
      </c>
    </row>
    <row r="6069">
      <c r="A6069" s="4" t="s">
        <v>7630</v>
      </c>
      <c r="B6069" s="4" t="s">
        <v>7631</v>
      </c>
      <c r="C6069" s="5" t="str">
        <f>IFERROR(__xludf.DUMMYFUNCTION("GOOGLETRANSLATE(B6069,""en"",""it"")"),"C'è una persona che cammina su palafitte su un marciapiede dove sono parcheggiate diverse macchine.")</f>
        <v>C'è una persona che cammina su palafitte su un marciapiede dove sono parcheggiate diverse macchine.</v>
      </c>
    </row>
    <row r="6070">
      <c r="A6070" s="4" t="s">
        <v>7630</v>
      </c>
      <c r="B6070" s="4" t="s">
        <v>7632</v>
      </c>
      <c r="C6070" s="5" t="str">
        <f>IFERROR(__xludf.DUMMYFUNCTION("GOOGLETRANSLATE(B6070,""en"",""it"")"),"Sta dimostrando come camminare su palafitte.")</f>
        <v>Sta dimostrando come camminare su palafitte.</v>
      </c>
    </row>
    <row r="6071">
      <c r="A6071" s="4" t="s">
        <v>7630</v>
      </c>
      <c r="B6071" s="4" t="s">
        <v>7633</v>
      </c>
      <c r="C6071" s="5" t="str">
        <f>IFERROR(__xludf.DUMMYFUNCTION("GOOGLETRANSLATE(B6071,""en"",""it"")"),"È affiancato da altri due uomini che si uniscono anche a lui nel tutorial.")</f>
        <v>È affiancato da altri due uomini che si uniscono anche a lui nel tutorial.</v>
      </c>
    </row>
    <row r="6072">
      <c r="A6072" s="4" t="s">
        <v>7630</v>
      </c>
      <c r="B6072" s="4" t="s">
        <v>7634</v>
      </c>
      <c r="C6072" s="5" t="str">
        <f>IFERROR(__xludf.DUMMYFUNCTION("GOOGLETRANSLATE(B6072,""en"",""it"")"),"L'uomo su Stilts mostra quanto velocemente può correre mentre si tramonta e saltare in alto.")</f>
        <v>L'uomo su Stilts mostra quanto velocemente può correre mentre si tramonta e saltare in alto.</v>
      </c>
    </row>
    <row r="6073">
      <c r="A6073" s="4" t="s">
        <v>7630</v>
      </c>
      <c r="B6073" s="4" t="s">
        <v>7635</v>
      </c>
      <c r="C6073" s="5" t="str">
        <f>IFERROR(__xludf.DUMMYFUNCTION("GOOGLETRANSLATE(B6073,""en"",""it"")"),"Mentre corre sulle passioni, il suo amico guida accanto a lui in macchina.")</f>
        <v>Mentre corre sulle passioni, il suo amico guida accanto a lui in macchina.</v>
      </c>
    </row>
    <row r="6074">
      <c r="A6074" s="4" t="s">
        <v>7630</v>
      </c>
      <c r="B6074" s="4" t="s">
        <v>7636</v>
      </c>
      <c r="C6074" s="5" t="str">
        <f>IFERROR(__xludf.DUMMYFUNCTION("GOOGLETRANSLATE(B6074,""en"",""it"")"),"L'uomo continua a fare acrobazie sui palafitte.")</f>
        <v>L'uomo continua a fare acrobazie sui palafitte.</v>
      </c>
    </row>
    <row r="6075">
      <c r="A6075" s="4" t="s">
        <v>7637</v>
      </c>
      <c r="B6075" s="4" t="s">
        <v>7638</v>
      </c>
      <c r="C6075" s="5" t="str">
        <f>IFERROR(__xludf.DUMMYFUNCTION("GOOGLETRANSLATE(B6075,""en"",""it"")"),"Una ragazza viene vista in piedi in una barra di balletto che esegue mosse di balletto.")</f>
        <v>Una ragazza viene vista in piedi in una barra di balletto che esegue mosse di balletto.</v>
      </c>
    </row>
    <row r="6076">
      <c r="A6076" s="4" t="s">
        <v>7637</v>
      </c>
      <c r="B6076" s="4" t="s">
        <v>7639</v>
      </c>
      <c r="C6076" s="5" t="str">
        <f>IFERROR(__xludf.DUMMYFUNCTION("GOOGLETRANSLATE(B6076,""en"",""it"")"),"Una ragazza viene vista ballare sul palco seguito da un folto gruppo di ragazze che si scaldano.")</f>
        <v>Una ragazza viene vista ballare sul palco seguito da un folto gruppo di ragazze che si scaldano.</v>
      </c>
    </row>
    <row r="6077">
      <c r="A6077" s="4" t="s">
        <v>7637</v>
      </c>
      <c r="B6077" s="4" t="s">
        <v>7640</v>
      </c>
      <c r="C6077" s="5" t="str">
        <f>IFERROR(__xludf.DUMMYFUNCTION("GOOGLETRANSLATE(B6077,""en"",""it"")"),"Le ragazze continuano a allungarsi e conducono nella donna che punta il piede.")</f>
        <v>Le ragazze continuano a allungarsi e conducono nella donna che punta il piede.</v>
      </c>
    </row>
    <row r="6078">
      <c r="A6078" s="4" t="s">
        <v>7641</v>
      </c>
      <c r="B6078" s="4" t="s">
        <v>7642</v>
      </c>
      <c r="C6078" s="5" t="str">
        <f>IFERROR(__xludf.DUMMYFUNCTION("GOOGLETRANSLATE(B6078,""en"",""it"")"),"Un adolescente si compone a un uomo in faccia.")</f>
        <v>Un adolescente si compone a un uomo in faccia.</v>
      </c>
    </row>
    <row r="6079">
      <c r="A6079" s="4" t="s">
        <v>7641</v>
      </c>
      <c r="B6079" s="4" t="s">
        <v>7643</v>
      </c>
      <c r="C6079" s="5" t="str">
        <f>IFERROR(__xludf.DUMMYFUNCTION("GOOGLETRANSLATE(B6079,""en"",""it"")"),"Quindi, l'adolescente mette mascara, bastoncini per le labbra e dipinge la palpebra con un eyeliner.")</f>
        <v>Quindi, l'adolescente mette mascara, bastoncini per le labbra e dipinge la palpebra con un eyeliner.</v>
      </c>
    </row>
    <row r="6080">
      <c r="A6080" s="4" t="s">
        <v>7641</v>
      </c>
      <c r="B6080" s="4" t="s">
        <v>7644</v>
      </c>
      <c r="C6080" s="5" t="str">
        <f>IFERROR(__xludf.DUMMYFUNCTION("GOOGLETRANSLATE(B6080,""en"",""it"")"),"Quindi, l'adolescente mette il colore sulle guance, poi eyeliner delle palpebre.")</f>
        <v>Quindi, l'adolescente mette il colore sulle guance, poi eyeliner delle palpebre.</v>
      </c>
    </row>
    <row r="6081">
      <c r="A6081" s="4" t="s">
        <v>7641</v>
      </c>
      <c r="B6081" s="4" t="s">
        <v>7645</v>
      </c>
      <c r="C6081" s="5" t="str">
        <f>IFERROR(__xludf.DUMMYFUNCTION("GOOGLETRANSLATE(B6081,""en"",""it"")"),"Dopo, l'adolescente dipinge la bocca e mette il rossetto sulle guance e dipinge le palpebre.")</f>
        <v>Dopo, l'adolescente dipinge la bocca e mette il rossetto sulle guance e dipinge le palpebre.</v>
      </c>
    </row>
    <row r="6082">
      <c r="A6082" s="4" t="s">
        <v>7646</v>
      </c>
      <c r="B6082" s="4" t="s">
        <v>7647</v>
      </c>
      <c r="C6082" s="5" t="str">
        <f>IFERROR(__xludf.DUMMYFUNCTION("GOOGLETRANSLATE(B6082,""en"",""it"")"),"Due persone stanno scherzando in una stanza.")</f>
        <v>Due persone stanno scherzando in una stanza.</v>
      </c>
    </row>
    <row r="6083">
      <c r="A6083" s="4" t="s">
        <v>7646</v>
      </c>
      <c r="B6083" s="4" t="s">
        <v>7648</v>
      </c>
      <c r="C6083" s="5" t="str">
        <f>IFERROR(__xludf.DUMMYFUNCTION("GOOGLETRANSLATE(B6083,""en"",""it"")"),"Una persona è in piedi accanto a un muro a guardarli.")</f>
        <v>Una persona è in piedi accanto a un muro a guardarli.</v>
      </c>
    </row>
    <row r="6084">
      <c r="A6084" s="4" t="s">
        <v>7646</v>
      </c>
      <c r="B6084" s="4" t="s">
        <v>7649</v>
      </c>
      <c r="C6084" s="5" t="str">
        <f>IFERROR(__xludf.DUMMYFUNCTION("GOOGLETRANSLATE(B6084,""en"",""it"")"),"Smettono di schermare e se ne vanno.")</f>
        <v>Smettono di schermare e se ne vanno.</v>
      </c>
    </row>
    <row r="6085">
      <c r="A6085" s="4" t="s">
        <v>7650</v>
      </c>
      <c r="B6085" s="4" t="s">
        <v>7651</v>
      </c>
      <c r="C6085" s="5" t="str">
        <f>IFERROR(__xludf.DUMMYFUNCTION("GOOGLETRANSLATE(B6085,""en"",""it"")"),"Un ragazzo è su un campo da tennis fuori.")</f>
        <v>Un ragazzo è su un campo da tennis fuori.</v>
      </c>
    </row>
    <row r="6086">
      <c r="A6086" s="4" t="s">
        <v>7650</v>
      </c>
      <c r="B6086" s="4" t="s">
        <v>7652</v>
      </c>
      <c r="C6086" s="5" t="str">
        <f>IFERROR(__xludf.DUMMYFUNCTION("GOOGLETRANSLATE(B6086,""en"",""it"")"),"Serve la palla con una racchetta.")</f>
        <v>Serve la palla con una racchetta.</v>
      </c>
    </row>
    <row r="6087">
      <c r="A6087" s="4" t="s">
        <v>7650</v>
      </c>
      <c r="B6087" s="4" t="s">
        <v>7653</v>
      </c>
      <c r="C6087" s="5" t="str">
        <f>IFERROR(__xludf.DUMMYFUNCTION("GOOGLETRANSLATE(B6087,""en"",""it"")"),"Lo serve alcune volte in più, colpendolo ogni volta.")</f>
        <v>Lo serve alcune volte in più, colpendolo ogni volta.</v>
      </c>
    </row>
    <row r="6088">
      <c r="A6088" s="4" t="s">
        <v>7654</v>
      </c>
      <c r="B6088" s="4" t="s">
        <v>7655</v>
      </c>
      <c r="C6088" s="5" t="str">
        <f>IFERROR(__xludf.DUMMYFUNCTION("GOOGLETRANSLATE(B6088,""en"",""it"")"),"Il caffè è macinato in una smerigliatrice elettrica.")</f>
        <v>Il caffè è macinato in una smerigliatrice elettrica.</v>
      </c>
    </row>
    <row r="6089">
      <c r="A6089" s="4" t="s">
        <v>7654</v>
      </c>
      <c r="B6089" s="4" t="s">
        <v>7656</v>
      </c>
      <c r="C6089" s="5" t="str">
        <f>IFERROR(__xludf.DUMMYFUNCTION("GOOGLETRANSLATE(B6089,""en"",""it"")"),"Una tazza di caffè e pressa per caffè è impostata su un tavolo.")</f>
        <v>Una tazza di caffè e pressa per caffè è impostata su un tavolo.</v>
      </c>
    </row>
    <row r="6090">
      <c r="A6090" s="4" t="s">
        <v>7654</v>
      </c>
      <c r="B6090" s="4" t="s">
        <v>7657</v>
      </c>
      <c r="C6090" s="5" t="str">
        <f>IFERROR(__xludf.DUMMYFUNCTION("GOOGLETRANSLATE(B6090,""en"",""it"")"),"Il latte viene versato nella tazza di caffè.")</f>
        <v>Il latte viene versato nella tazza di caffè.</v>
      </c>
    </row>
    <row r="6091">
      <c r="A6091" s="4" t="s">
        <v>7654</v>
      </c>
      <c r="B6091" s="4" t="s">
        <v>7658</v>
      </c>
      <c r="C6091" s="5" t="str">
        <f>IFERROR(__xludf.DUMMYFUNCTION("GOOGLETRANSLATE(B6091,""en"",""it"")"),"La tazza di caffè viene raccolta e ripristinata sul piattino.")</f>
        <v>La tazza di caffè viene raccolta e ripristinata sul piattino.</v>
      </c>
    </row>
    <row r="6092">
      <c r="A6092" s="4" t="s">
        <v>7659</v>
      </c>
      <c r="B6092" s="6" t="s">
        <v>7660</v>
      </c>
      <c r="C6092" s="5" t="str">
        <f>IFERROR(__xludf.DUMMYFUNCTION("GOOGLETRANSLATE(B6092,""en"",""it"")"),"Una figura maschile si vede in una palestra piegata sul tappetino e esegue istruzioni alla fotocamera su come eseguire un esercizio.")</f>
        <v>Una figura maschile si vede in una palestra piegata sul tappetino e esegue istruzioni alla fotocamera su come eseguire un esercizio.</v>
      </c>
    </row>
    <row r="6093">
      <c r="A6093" s="4" t="s">
        <v>7659</v>
      </c>
      <c r="B6093" s="6" t="s">
        <v>7661</v>
      </c>
      <c r="C6093" s="5" t="str">
        <f>IFERROR(__xludf.DUMMYFUNCTION("GOOGLETRANSLATE(B6093,""en"",""it"")"),"Dimostra su come eseguire correttamente gli esercizi su una banda elastica che è attaccata a un palo fisso.")</f>
        <v>Dimostra su come eseguire correttamente gli esercizi su una banda elastica che è attaccata a un palo fisso.</v>
      </c>
    </row>
    <row r="6094">
      <c r="A6094" s="4" t="s">
        <v>7659</v>
      </c>
      <c r="B6094" s="4" t="s">
        <v>7662</v>
      </c>
      <c r="C6094" s="5" t="str">
        <f>IFERROR(__xludf.DUMMYFUNCTION("GOOGLETRANSLATE(B6094,""en"",""it"")"),"Afferra la fascia elastica e la tira verso se stesso.")</f>
        <v>Afferra la fascia elastica e la tira verso se stesso.</v>
      </c>
    </row>
    <row r="6095">
      <c r="A6095" s="4" t="s">
        <v>7659</v>
      </c>
      <c r="B6095" s="6" t="s">
        <v>7663</v>
      </c>
      <c r="C6095" s="5" t="str">
        <f>IFERROR(__xludf.DUMMYFUNCTION("GOOGLETRANSLATE(B6095,""en"",""it"")"),"Successivamente spinge la band da se stesso mentre lui e dimostra l'uso corretto dell'attrezzatura.")</f>
        <v>Successivamente spinge la band da se stesso mentre lui e dimostra l'uso corretto dell'attrezzatura.</v>
      </c>
    </row>
    <row r="6096">
      <c r="A6096" s="4" t="s">
        <v>7664</v>
      </c>
      <c r="B6096" s="4" t="s">
        <v>7665</v>
      </c>
      <c r="C6096" s="5" t="str">
        <f>IFERROR(__xludf.DUMMYFUNCTION("GOOGLETRANSLATE(B6096,""en"",""it"")"),"Una donna viene vista condurre un cammello in giro con due bambini piccoli che cavalcano sul retro.")</f>
        <v>Una donna viene vista condurre un cammello in giro con due bambini piccoli che cavalcano sul retro.</v>
      </c>
    </row>
    <row r="6097">
      <c r="A6097" s="4" t="s">
        <v>7664</v>
      </c>
      <c r="B6097" s="4" t="s">
        <v>7666</v>
      </c>
      <c r="C6097" s="5" t="str">
        <f>IFERROR(__xludf.DUMMYFUNCTION("GOOGLETRANSLATE(B6097,""en"",""it"")"),"I bambini salutano la telecamera mentre si muovono intorno al loro giro e il cammello sputava in aria.")</f>
        <v>I bambini salutano la telecamera mentre si muovono intorno al loro giro e il cammello sputava in aria.</v>
      </c>
    </row>
    <row r="6098">
      <c r="A6098" s="4" t="s">
        <v>7667</v>
      </c>
      <c r="B6098" s="4" t="s">
        <v>7668</v>
      </c>
      <c r="C6098" s="5" t="str">
        <f>IFERROR(__xludf.DUMMYFUNCTION("GOOGLETRANSLATE(B6098,""en"",""it"")"),"Una ginnasta femminile è inattiva mentre viene osservata da una folla.")</f>
        <v>Una ginnasta femminile è inattiva mentre viene osservata da una folla.</v>
      </c>
    </row>
    <row r="6099">
      <c r="A6099" s="4" t="s">
        <v>7667</v>
      </c>
      <c r="B6099" s="4" t="s">
        <v>7669</v>
      </c>
      <c r="C6099" s="5" t="str">
        <f>IFERROR(__xludf.DUMMYFUNCTION("GOOGLETRANSLATE(B6099,""en"",""it"")"),"Un primo piano di una seconda donna che dice che viene mostrato qualcosa.")</f>
        <v>Un primo piano di una seconda donna che dice che viene mostrato qualcosa.</v>
      </c>
    </row>
    <row r="6100">
      <c r="A6100" s="4" t="s">
        <v>7667</v>
      </c>
      <c r="B6100" s="4" t="s">
        <v>7670</v>
      </c>
      <c r="C6100" s="5" t="str">
        <f>IFERROR(__xludf.DUMMYFUNCTION("GOOGLETRANSLATE(B6100,""en"",""it"")"),"La ginnasta esegue una routine su un raggio.")</f>
        <v>La ginnasta esegue una routine su un raggio.</v>
      </c>
    </row>
    <row r="6101">
      <c r="A6101" s="4" t="s">
        <v>7667</v>
      </c>
      <c r="B6101" s="4" t="s">
        <v>7671</v>
      </c>
      <c r="C6101" s="5" t="str">
        <f>IFERROR(__xludf.DUMMYFUNCTION("GOOGLETRANSLATE(B6101,""en"",""it"")"),"La ginnasta femminile termina la sua routine e smont.")</f>
        <v>La ginnasta femminile termina la sua routine e smont.</v>
      </c>
    </row>
    <row r="6102">
      <c r="A6102" s="4" t="s">
        <v>7667</v>
      </c>
      <c r="B6102" s="4" t="s">
        <v>7672</v>
      </c>
      <c r="C6102" s="5" t="str">
        <f>IFERROR(__xludf.DUMMYFUNCTION("GOOGLETRANSLATE(B6102,""en"",""it"")"),"Le persone vengono mostrate applaudire la ginnasta.")</f>
        <v>Le persone vengono mostrate applaudire la ginnasta.</v>
      </c>
    </row>
    <row r="6103">
      <c r="A6103" s="4" t="s">
        <v>7667</v>
      </c>
      <c r="B6103" s="4" t="s">
        <v>7673</v>
      </c>
      <c r="C6103" s="5" t="str">
        <f>IFERROR(__xludf.DUMMYFUNCTION("GOOGLETRANSLATE(B6103,""en"",""it"")"),"La ginnasta si allontana dal raggio.")</f>
        <v>La ginnasta si allontana dal raggio.</v>
      </c>
    </row>
    <row r="6104">
      <c r="A6104" s="4" t="s">
        <v>7674</v>
      </c>
      <c r="B6104" s="4" t="s">
        <v>7675</v>
      </c>
      <c r="C6104" s="5" t="str">
        <f>IFERROR(__xludf.DUMMYFUNCTION("GOOGLETRANSLATE(B6104,""en"",""it"")"),"Un uomo viene visto piegarsi per una grande serie di pesi con un altro che cammina dietro di lui.")</f>
        <v>Un uomo viene visto piegarsi per una grande serie di pesi con un altro che cammina dietro di lui.</v>
      </c>
    </row>
    <row r="6105">
      <c r="A6105" s="4" t="s">
        <v>7674</v>
      </c>
      <c r="B6105" s="4" t="s">
        <v>7676</v>
      </c>
      <c r="C6105" s="5" t="str">
        <f>IFERROR(__xludf.DUMMYFUNCTION("GOOGLETRANSLATE(B6105,""en"",""it"")"),"L'uomo solleva la barra sopra la sua testa e la getta indietro.")</f>
        <v>L'uomo solleva la barra sopra la sua testa e la getta indietro.</v>
      </c>
    </row>
    <row r="6106">
      <c r="A6106" s="4" t="s">
        <v>7674</v>
      </c>
      <c r="B6106" s="4" t="s">
        <v>7677</v>
      </c>
      <c r="C6106" s="5" t="str">
        <f>IFERROR(__xludf.DUMMYFUNCTION("GOOGLETRANSLATE(B6106,""en"",""it"")"),"L'uomo lo fa di nuovo mentre le persone guardano sui lati.")</f>
        <v>L'uomo lo fa di nuovo mentre le persone guardano sui lati.</v>
      </c>
    </row>
    <row r="6107">
      <c r="A6107" s="4" t="s">
        <v>7678</v>
      </c>
      <c r="B6107" s="4" t="s">
        <v>7679</v>
      </c>
      <c r="C6107" s="5" t="str">
        <f>IFERROR(__xludf.DUMMYFUNCTION("GOOGLETRANSLATE(B6107,""en"",""it"")"),"Una pinata si vede oscillare intorno al mezzo delle persone seguite da una ragazza che afferra un bastone.")</f>
        <v>Una pinata si vede oscillare intorno al mezzo delle persone seguite da una ragazza che afferra un bastone.</v>
      </c>
    </row>
    <row r="6108">
      <c r="A6108" s="4" t="s">
        <v>7678</v>
      </c>
      <c r="B6108" s="6" t="s">
        <v>7680</v>
      </c>
      <c r="C6108" s="5" t="str">
        <f>IFERROR(__xludf.DUMMYFUNCTION("GOOGLETRANSLATE(B6108,""en"",""it"")"),"Si muove intorno alla stanza oscillando contro la Pinata e un'altra ragazza che oscilla con suo padre.")</f>
        <v>Si muove intorno alla stanza oscillando contro la Pinata e un'altra ragazza che oscilla con suo padre.</v>
      </c>
    </row>
    <row r="6109">
      <c r="A6109" s="4" t="s">
        <v>7678</v>
      </c>
      <c r="B6109" s="4" t="s">
        <v>7681</v>
      </c>
      <c r="C6109" s="5" t="str">
        <f>IFERROR(__xludf.DUMMYFUNCTION("GOOGLETRANSLATE(B6109,""en"",""it"")"),"Un ragazzo si avvicina per cercare di colpirlo così come un altro ragazzo.")</f>
        <v>Un ragazzo si avvicina per cercare di colpirlo così come un altro ragazzo.</v>
      </c>
    </row>
    <row r="6110">
      <c r="A6110" s="4" t="s">
        <v>7682</v>
      </c>
      <c r="B6110" s="4" t="s">
        <v>7683</v>
      </c>
      <c r="C6110" s="5" t="str">
        <f>IFERROR(__xludf.DUMMYFUNCTION("GOOGLETRANSLATE(B6110,""en"",""it"")"),"Un ragazzo saluta e poi parla.")</f>
        <v>Un ragazzo saluta e poi parla.</v>
      </c>
    </row>
    <row r="6111">
      <c r="A6111" s="4" t="s">
        <v>7682</v>
      </c>
      <c r="B6111" s="4" t="s">
        <v>7684</v>
      </c>
      <c r="C6111" s="5" t="str">
        <f>IFERROR(__xludf.DUMMYFUNCTION("GOOGLETRANSLATE(B6111,""en"",""it"")"),"Un maschio si avvicina e afferra un piatto.")</f>
        <v>Un maschio si avvicina e afferra un piatto.</v>
      </c>
    </row>
    <row r="6112">
      <c r="A6112" s="4" t="s">
        <v>7682</v>
      </c>
      <c r="B6112" s="4" t="s">
        <v>7685</v>
      </c>
      <c r="C6112" s="5" t="str">
        <f>IFERROR(__xludf.DUMMYFUNCTION("GOOGLETRANSLATE(B6112,""en"",""it"")"),"Il maschio porta il piatto nel lavandino.")</f>
        <v>Il maschio porta il piatto nel lavandino.</v>
      </c>
    </row>
    <row r="6113">
      <c r="A6113" s="4" t="s">
        <v>7682</v>
      </c>
      <c r="B6113" s="4" t="s">
        <v>7686</v>
      </c>
      <c r="C6113" s="5" t="str">
        <f>IFERROR(__xludf.DUMMYFUNCTION("GOOGLETRANSLATE(B6113,""en"",""it"")"),"Il maschio immerge il piatto nell'acqua e usa un tappeto bianco per lavarlo.")</f>
        <v>Il maschio immerge il piatto nell'acqua e usa un tappeto bianco per lavarlo.</v>
      </c>
    </row>
    <row r="6114">
      <c r="A6114" s="4" t="s">
        <v>7682</v>
      </c>
      <c r="B6114" s="4" t="s">
        <v>7687</v>
      </c>
      <c r="C6114" s="5" t="str">
        <f>IFERROR(__xludf.DUMMYFUNCTION("GOOGLETRANSLATE(B6114,""en"",""it"")"),"Il maschio risciacqua la piastra lavata.")</f>
        <v>Il maschio risciacqua la piastra lavata.</v>
      </c>
    </row>
    <row r="6115">
      <c r="A6115" s="4" t="s">
        <v>7682</v>
      </c>
      <c r="B6115" s="4" t="s">
        <v>7688</v>
      </c>
      <c r="C6115" s="5" t="str">
        <f>IFERROR(__xludf.DUMMYFUNCTION("GOOGLETRANSLATE(B6115,""en"",""it"")"),"Il maschio immerge il piatto bianco e poi lo mette su una griglia di asciugatura.")</f>
        <v>Il maschio immerge il piatto bianco e poi lo mette su una griglia di asciugatura.</v>
      </c>
    </row>
    <row r="6116">
      <c r="A6116" s="4" t="s">
        <v>7682</v>
      </c>
      <c r="B6116" s="4" t="s">
        <v>7689</v>
      </c>
      <c r="C6116" s="5" t="str">
        <f>IFERROR(__xludf.DUMMYFUNCTION("GOOGLETRANSLATE(B6116,""en"",""it"")"),"Il maschio dà un pollice in su.")</f>
        <v>Il maschio dà un pollice in su.</v>
      </c>
    </row>
    <row r="6117">
      <c r="A6117" s="4" t="s">
        <v>7690</v>
      </c>
      <c r="B6117" s="6" t="s">
        <v>7691</v>
      </c>
      <c r="C6117" s="5" t="str">
        <f>IFERROR(__xludf.DUMMYFUNCTION("GOOGLETRANSLATE(B6117,""en"",""it"")"),"Viene visto un uomo che gira un cubo Rubix nelle sue mani seguito da più persone che tentano di risolvere il puzzle e parlare con la telecamera.")</f>
        <v>Viene visto un uomo che gira un cubo Rubix nelle sue mani seguito da più persone che tentano di risolvere il puzzle e parlare con la telecamera.</v>
      </c>
    </row>
    <row r="6118">
      <c r="A6118" s="4" t="s">
        <v>7690</v>
      </c>
      <c r="B6118" s="6" t="s">
        <v>7692</v>
      </c>
      <c r="C6118" s="5" t="str">
        <f>IFERROR(__xludf.DUMMYFUNCTION("GOOGLETRANSLATE(B6118,""en"",""it"")"),"Più persone vengono mostrate nel tentativo di risolvere il puzzle e parlare con la telecamera e sorridere.")</f>
        <v>Più persone vengono mostrate nel tentativo di risolvere il puzzle e parlare con la telecamera e sorridere.</v>
      </c>
    </row>
    <row r="6119">
      <c r="A6119" s="4" t="s">
        <v>7693</v>
      </c>
      <c r="B6119" s="6" t="s">
        <v>7694</v>
      </c>
      <c r="C6119" s="5" t="str">
        <f>IFERROR(__xludf.DUMMYFUNCTION("GOOGLETRANSLATE(B6119,""en"",""it"")"),"Un folto gruppo di persone viene mostrato seduto in disparte e vari colpi di atleti che si preparano per un evento.")</f>
        <v>Un folto gruppo di persone viene mostrato seduto in disparte e vari colpi di atleti che si preparano per un evento.</v>
      </c>
    </row>
    <row r="6120">
      <c r="A6120" s="4" t="s">
        <v>7693</v>
      </c>
      <c r="B6120" s="4" t="s">
        <v>7695</v>
      </c>
      <c r="C6120" s="5" t="str">
        <f>IFERROR(__xludf.DUMMYFUNCTION("GOOGLETRANSLATE(B6120,""en"",""it"")"),"Una donna viene vista sollevare un bar più volte mentre il suo allenatore urla per incoraggiarla.")</f>
        <v>Una donna viene vista sollevare un bar più volte mentre il suo allenatore urla per incoraggiarla.</v>
      </c>
    </row>
    <row r="6121">
      <c r="A6121" s="4" t="s">
        <v>7693</v>
      </c>
      <c r="B6121" s="4" t="s">
        <v>7696</v>
      </c>
      <c r="C6121" s="5" t="str">
        <f>IFERROR(__xludf.DUMMYFUNCTION("GOOGLETRANSLATE(B6121,""en"",""it"")"),"Finisce il suo set e si allontana con molte altre persone nelle vicinanze.")</f>
        <v>Finisce il suo set e si allontana con molte altre persone nelle vicinanze.</v>
      </c>
    </row>
    <row r="6122">
      <c r="A6122" s="4" t="s">
        <v>7697</v>
      </c>
      <c r="B6122" s="4" t="s">
        <v>7698</v>
      </c>
      <c r="C6122" s="5" t="str">
        <f>IFERROR(__xludf.DUMMYFUNCTION("GOOGLETRANSLATE(B6122,""en"",""it"")"),"Un cameraman segue un uomo mentre cammina su una tavola da immersione.")</f>
        <v>Un cameraman segue un uomo mentre cammina su una tavola da immersione.</v>
      </c>
    </row>
    <row r="6123">
      <c r="A6123" s="4" t="s">
        <v>7697</v>
      </c>
      <c r="B6123" s="4" t="s">
        <v>7699</v>
      </c>
      <c r="C6123" s="5" t="str">
        <f>IFERROR(__xludf.DUMMYFUNCTION("GOOGLETRANSLATE(B6123,""en"",""it"")"),"Il subacqueo arriva al bordo della tavola e si estende prima di cadere in avanti nell'acqua.")</f>
        <v>Il subacqueo arriva al bordo della tavola e si estende prima di cadere in avanti nell'acqua.</v>
      </c>
    </row>
    <row r="6124">
      <c r="A6124" s="4" t="s">
        <v>7697</v>
      </c>
      <c r="B6124" s="4" t="s">
        <v>7700</v>
      </c>
      <c r="C6124" s="5" t="str">
        <f>IFERROR(__xludf.DUMMYFUNCTION("GOOGLETRANSLATE(B6124,""en"",""it"")"),"Il subacqueo si tuffa in acqua una seconda volta.")</f>
        <v>Il subacqueo si tuffa in acqua una seconda volta.</v>
      </c>
    </row>
    <row r="6125">
      <c r="A6125" s="4" t="s">
        <v>7697</v>
      </c>
      <c r="B6125" s="4" t="s">
        <v>7701</v>
      </c>
      <c r="C6125" s="5" t="str">
        <f>IFERROR(__xludf.DUMMYFUNCTION("GOOGLETRANSLATE(B6125,""en"",""it"")"),"Il subacqueo esce dall'acqua e si allontana mentre un cameraman lo segue.")</f>
        <v>Il subacqueo esce dall'acqua e si allontana mentre un cameraman lo segue.</v>
      </c>
    </row>
    <row r="6126">
      <c r="A6126" s="4" t="s">
        <v>7702</v>
      </c>
      <c r="B6126" s="4" t="s">
        <v>7703</v>
      </c>
      <c r="C6126" s="5" t="str">
        <f>IFERROR(__xludf.DUMMYFUNCTION("GOOGLETRANSLATE(B6126,""en"",""it"")"),"Un uomo oscilla e lancia ripetutamente il martello.")</f>
        <v>Un uomo oscilla e lancia ripetutamente il martello.</v>
      </c>
    </row>
    <row r="6127">
      <c r="A6127" s="4" t="s">
        <v>7702</v>
      </c>
      <c r="B6127" s="4" t="s">
        <v>7704</v>
      </c>
      <c r="C6127" s="5" t="str">
        <f>IFERROR(__xludf.DUMMYFUNCTION("GOOGLETRANSLATE(B6127,""en"",""it"")"),"L'uomo salta su una gamba alla fine e se ne va.")</f>
        <v>L'uomo salta su una gamba alla fine e se ne va.</v>
      </c>
    </row>
    <row r="6128">
      <c r="A6128" s="4" t="s">
        <v>7702</v>
      </c>
      <c r="B6128" s="4" t="s">
        <v>7705</v>
      </c>
      <c r="C6128" s="5" t="str">
        <f>IFERROR(__xludf.DUMMYFUNCTION("GOOGLETRANSLATE(B6128,""en"",""it"")"),"Passiamo a un tiro che lancia un uomo.")</f>
        <v>Passiamo a un tiro che lancia un uomo.</v>
      </c>
    </row>
    <row r="6129">
      <c r="A6129" s="4" t="s">
        <v>7702</v>
      </c>
      <c r="B6129" s="4" t="s">
        <v>7706</v>
      </c>
      <c r="C6129" s="5" t="str">
        <f>IFERROR(__xludf.DUMMYFUNCTION("GOOGLETRANSLATE(B6129,""en"",""it"")"),"Gli uomini a bordo campo hanno battuto e saltano.")</f>
        <v>Gli uomini a bordo campo hanno battuto e saltano.</v>
      </c>
    </row>
    <row r="6130">
      <c r="A6130" s="4" t="s">
        <v>7702</v>
      </c>
      <c r="B6130" s="4" t="s">
        <v>7707</v>
      </c>
      <c r="C6130" s="5" t="str">
        <f>IFERROR(__xludf.DUMMYFUNCTION("GOOGLETRANSLATE(B6130,""en"",""it"")"),"L'uomo in rosso e blu solleva una bandiera rossa.")</f>
        <v>L'uomo in rosso e blu solleva una bandiera rossa.</v>
      </c>
    </row>
    <row r="6131">
      <c r="A6131" s="4" t="s">
        <v>7702</v>
      </c>
      <c r="B6131" s="4" t="s">
        <v>7708</v>
      </c>
      <c r="C6131" s="5" t="str">
        <f>IFERROR(__xludf.DUMMYFUNCTION("GOOGLETRANSLATE(B6131,""en"",""it"")"),"Vediamo un uomo lanciare ripetutamente il martello.")</f>
        <v>Vediamo un uomo lanciare ripetutamente il martello.</v>
      </c>
    </row>
    <row r="6132">
      <c r="A6132" s="4" t="s">
        <v>7709</v>
      </c>
      <c r="B6132" s="4" t="s">
        <v>7710</v>
      </c>
      <c r="C6132" s="5" t="str">
        <f>IFERROR(__xludf.DUMMYFUNCTION("GOOGLETRANSLATE(B6132,""en"",""it"")"),"Ci sono due auto bianche che arrivano in una zona appartata dove ci sono magazzini.")</f>
        <v>Ci sono due auto bianche che arrivano in una zona appartata dove ci sono magazzini.</v>
      </c>
    </row>
    <row r="6133">
      <c r="A6133" s="4" t="s">
        <v>7709</v>
      </c>
      <c r="B6133" s="4" t="s">
        <v>7711</v>
      </c>
      <c r="C6133" s="5" t="str">
        <f>IFERROR(__xludf.DUMMYFUNCTION("GOOGLETRANSLATE(B6133,""en"",""it"")"),"Quattro uomini scendono dalla macchina e camminano verso un uomo che indossa una maschera per coprirsi il viso.")</f>
        <v>Quattro uomini scendono dalla macchina e camminano verso un uomo che indossa una maschera per coprirsi il viso.</v>
      </c>
    </row>
    <row r="6134">
      <c r="A6134" s="4" t="s">
        <v>7709</v>
      </c>
      <c r="B6134" s="4" t="s">
        <v>7712</v>
      </c>
      <c r="C6134" s="5" t="str">
        <f>IFERROR(__xludf.DUMMYFUNCTION("GOOGLETRANSLATE(B6134,""en"",""it"")"),"Ci sono alcune persone che si nascondono dietro i camion con le pistole in mano.")</f>
        <v>Ci sono alcune persone che si nascondono dietro i camion con le pistole in mano.</v>
      </c>
    </row>
    <row r="6135">
      <c r="A6135" s="4" t="s">
        <v>7709</v>
      </c>
      <c r="B6135" s="4" t="s">
        <v>7713</v>
      </c>
      <c r="C6135" s="5" t="str">
        <f>IFERROR(__xludf.DUMMYFUNCTION("GOOGLETRANSLATE(B6135,""en"",""it"")"),"Uno degli uomini esce e apre il fuoco.")</f>
        <v>Uno degli uomini esce e apre il fuoco.</v>
      </c>
    </row>
    <row r="6136">
      <c r="A6136" s="4" t="s">
        <v>7709</v>
      </c>
      <c r="B6136" s="4" t="s">
        <v>7714</v>
      </c>
      <c r="C6136" s="5" t="str">
        <f>IFERROR(__xludf.DUMMYFUNCTION("GOOGLETRANSLATE(B6136,""en"",""it"")"),"Spara la pistola in aria.")</f>
        <v>Spara la pistola in aria.</v>
      </c>
    </row>
    <row r="6137">
      <c r="A6137" s="4" t="s">
        <v>7709</v>
      </c>
      <c r="B6137" s="4" t="s">
        <v>7715</v>
      </c>
      <c r="C6137" s="5" t="str">
        <f>IFERROR(__xludf.DUMMYFUNCTION("GOOGLETRANSLATE(B6137,""en"",""it"")"),"Ciò provoca le altre persone e scoppia un'enorme lotta con armi da fuoco.")</f>
        <v>Ciò provoca le altre persone e scoppia un'enorme lotta con armi da fuoco.</v>
      </c>
    </row>
    <row r="6138">
      <c r="A6138" s="4" t="s">
        <v>7709</v>
      </c>
      <c r="B6138" s="4" t="s">
        <v>7716</v>
      </c>
      <c r="C6138" s="5" t="str">
        <f>IFERROR(__xludf.DUMMYFUNCTION("GOOGLETRANSLATE(B6138,""en"",""it"")"),"Gli uomini iniziano in modo casuale a spararsi l'un l'altro.")</f>
        <v>Gli uomini iniziano in modo casuale a spararsi l'un l'altro.</v>
      </c>
    </row>
    <row r="6139">
      <c r="A6139" s="4" t="s">
        <v>7709</v>
      </c>
      <c r="B6139" s="4" t="s">
        <v>7717</v>
      </c>
      <c r="C6139" s="5" t="str">
        <f>IFERROR(__xludf.DUMMYFUNCTION("GOOGLETRANSLATE(B6139,""en"",""it"")"),"Durante quel periodo, uno degli uomini viene colpito alla testa e crolla e cade.")</f>
        <v>Durante quel periodo, uno degli uomini viene colpito alla testa e crolla e cade.</v>
      </c>
    </row>
    <row r="6140">
      <c r="A6140" s="4" t="s">
        <v>7718</v>
      </c>
      <c r="B6140" s="6" t="s">
        <v>7719</v>
      </c>
      <c r="C6140" s="5" t="str">
        <f>IFERROR(__xludf.DUMMYFUNCTION("GOOGLETRANSLATE(B6140,""en"",""it"")"),"Un musicista suona una serie di tamburi su uno schermo jumbo elevato mentre una fotocamera si lancia dentro e fuori sulla performance.")</f>
        <v>Un musicista suona una serie di tamburi su uno schermo jumbo elevato mentre una fotocamera si lancia dentro e fuori sulla performance.</v>
      </c>
    </row>
    <row r="6141">
      <c r="A6141" s="4" t="s">
        <v>7718</v>
      </c>
      <c r="B6141" s="4" t="s">
        <v>7720</v>
      </c>
      <c r="C6141" s="5" t="str">
        <f>IFERROR(__xludf.DUMMYFUNCTION("GOOGLETRANSLATE(B6141,""en"",""it"")"),"Un musicista con un auricolare attaccato alle orecchie e sopra la bocca, inizia a suonare una serie di tamburi.")</f>
        <v>Un musicista con un auricolare attaccato alle orecchie e sopra la bocca, inizia a suonare una serie di tamburi.</v>
      </c>
    </row>
    <row r="6142">
      <c r="A6142" s="4" t="s">
        <v>7718</v>
      </c>
      <c r="B6142" s="4" t="s">
        <v>7721</v>
      </c>
      <c r="C6142" s="5" t="str">
        <f>IFERROR(__xludf.DUMMYFUNCTION("GOOGLETRANSLATE(B6142,""en"",""it"")"),"Mentre il musicista suona i tamburi in cui si pone la fotocamera per un primo piano e poi si faceva fuori.")</f>
        <v>Mentre il musicista suona i tamburi in cui si pone la fotocamera per un primo piano e poi si faceva fuori.</v>
      </c>
    </row>
    <row r="6143">
      <c r="A6143" s="4" t="s">
        <v>7718</v>
      </c>
      <c r="B6143" s="4" t="s">
        <v>7722</v>
      </c>
      <c r="C6143" s="5" t="str">
        <f>IFERROR(__xludf.DUMMYFUNCTION("GOOGLETRANSLATE(B6143,""en"",""it"")"),"Il musicista termina la performance, si erge e rinuncia a entrambi i bastoncini al pubblico.")</f>
        <v>Il musicista termina la performance, si erge e rinuncia a entrambi i bastoncini al pubblico.</v>
      </c>
    </row>
    <row r="6144">
      <c r="A6144" s="4" t="s">
        <v>7723</v>
      </c>
      <c r="B6144" s="4" t="s">
        <v>7724</v>
      </c>
      <c r="C6144" s="5" t="str">
        <f>IFERROR(__xludf.DUMMYFUNCTION("GOOGLETRANSLATE(B6144,""en"",""it"")"),"I maschi tirano una corda in una partita di guerra.")</f>
        <v>I maschi tirano una corda in una partita di guerra.</v>
      </c>
    </row>
    <row r="6145">
      <c r="A6145" s="4" t="s">
        <v>7723</v>
      </c>
      <c r="B6145" s="4" t="s">
        <v>7725</v>
      </c>
      <c r="C6145" s="5" t="str">
        <f>IFERROR(__xludf.DUMMYFUNCTION("GOOGLETRANSLATE(B6145,""en"",""it"")"),"I maschi prendono provvedimenti a destra.")</f>
        <v>I maschi prendono provvedimenti a destra.</v>
      </c>
    </row>
    <row r="6146">
      <c r="A6146" s="4" t="s">
        <v>7723</v>
      </c>
      <c r="B6146" s="4" t="s">
        <v>7726</v>
      </c>
      <c r="C6146" s="5" t="str">
        <f>IFERROR(__xludf.DUMMYFUNCTION("GOOGLETRANSLATE(B6146,""en"",""it"")"),"I maschi vengono tirati a sinistra.")</f>
        <v>I maschi vengono tirati a sinistra.</v>
      </c>
    </row>
    <row r="6147">
      <c r="A6147" s="4" t="s">
        <v>7723</v>
      </c>
      <c r="B6147" s="4" t="s">
        <v>7727</v>
      </c>
      <c r="C6147" s="5" t="str">
        <f>IFERROR(__xludf.DUMMYFUNCTION("GOOGLETRANSLATE(B6147,""en"",""it"")"),"I maschi si alzano e lasciano andare la corda ora più vicini a sinistra.")</f>
        <v>I maschi si alzano e lasciano andare la corda ora più vicini a sinistra.</v>
      </c>
    </row>
    <row r="6148">
      <c r="A6148" s="4" t="s">
        <v>7728</v>
      </c>
      <c r="B6148" s="4" t="s">
        <v>7729</v>
      </c>
      <c r="C6148" s="5" t="str">
        <f>IFERROR(__xludf.DUMMYFUNCTION("GOOGLETRANSLATE(B6148,""en"",""it"")"),"Un primo piano di una persona viene visto parlare con una persona dietro di loro e remare lungo l'acqua.")</f>
        <v>Un primo piano di una persona viene visto parlare con una persona dietro di loro e remare lungo l'acqua.</v>
      </c>
    </row>
    <row r="6149">
      <c r="A6149" s="4" t="s">
        <v>7728</v>
      </c>
      <c r="B6149" s="6" t="s">
        <v>7730</v>
      </c>
      <c r="C6149" s="5" t="str">
        <f>IFERROR(__xludf.DUMMYFUNCTION("GOOGLETRANSLATE(B6149,""en"",""it"")"),"Le persone continuano a guidare lungo l'acqua mentre l'acqua si tiene attorno a loro e la donna si ferma per asciugarsi il viso.")</f>
        <v>Le persone continuano a guidare lungo l'acqua mentre l'acqua si tiene attorno a loro e la donna si ferma per asciugarsi il viso.</v>
      </c>
    </row>
    <row r="6150">
      <c r="A6150" s="4" t="s">
        <v>7731</v>
      </c>
      <c r="B6150" s="4" t="s">
        <v>7732</v>
      </c>
      <c r="C6150" s="5" t="str">
        <f>IFERROR(__xludf.DUMMYFUNCTION("GOOGLETRANSLATE(B6150,""en"",""it"")"),"Un gruppo di atleti rega in canoa durante una gara tra le boe su una via navigabile.")</f>
        <v>Un gruppo di atleti rega in canoa durante una gara tra le boe su una via navigabile.</v>
      </c>
    </row>
    <row r="6151">
      <c r="A6151" s="4" t="s">
        <v>7731</v>
      </c>
      <c r="B6151" s="4" t="s">
        <v>7733</v>
      </c>
      <c r="C6151" s="5" t="str">
        <f>IFERROR(__xludf.DUMMYFUNCTION("GOOGLETRANSLATE(B6151,""en"",""it"")"),"Gli uomini attraversano le boe numerate finali e scivolano mentre rallentano dopo la gara.")</f>
        <v>Gli uomini attraversano le boe numerate finali e scivolano mentre rallentano dopo la gara.</v>
      </c>
    </row>
    <row r="6152">
      <c r="A6152" s="4" t="s">
        <v>7734</v>
      </c>
      <c r="B6152" s="6" t="s">
        <v>7735</v>
      </c>
      <c r="C6152" s="5" t="str">
        <f>IFERROR(__xludf.DUMMYFUNCTION("GOOGLETRANSLATE(B6152,""en"",""it"")"),"Una donna in un ambiente all'aperto insegna a un ragazzo e una ragazza come lavare i vestiti usando un tabellone e un secchio di metallo.")</f>
        <v>Una donna in un ambiente all'aperto insegna a un ragazzo e una ragazza come lavare i vestiti usando un tabellone e un secchio di metallo.</v>
      </c>
    </row>
    <row r="6153">
      <c r="A6153" s="4" t="s">
        <v>7734</v>
      </c>
      <c r="B6153" s="4" t="s">
        <v>7736</v>
      </c>
      <c r="C6153" s="5" t="str">
        <f>IFERROR(__xludf.DUMMYFUNCTION("GOOGLETRANSLATE(B6153,""en"",""it"")"),"Un ragazzo tira su una leva di metallo che sporge da un secchio di metallo con un lavaggio.")</f>
        <v>Un ragazzo tira su una leva di metallo che sporge da un secchio di metallo con un lavaggio.</v>
      </c>
    </row>
    <row r="6154">
      <c r="A6154" s="4" t="s">
        <v>7734</v>
      </c>
      <c r="B6154" s="6" t="s">
        <v>7737</v>
      </c>
      <c r="C6154" s="5" t="str">
        <f>IFERROR(__xludf.DUMMYFUNCTION("GOOGLETRANSLATE(B6154,""en"",""it"")"),"Due ragazze guardano come una donna in un grembiule bianco dimostra al ragazzo e alla ragazza come girare la leva e appendere i vestiti su una linea di vestiti.")</f>
        <v>Due ragazze guardano come una donna in un grembiule bianco dimostra al ragazzo e alla ragazza come girare la leva e appendere i vestiti su una linea di vestiti.</v>
      </c>
    </row>
    <row r="6155">
      <c r="A6155" s="4" t="s">
        <v>7734</v>
      </c>
      <c r="B6155" s="6" t="s">
        <v>7738</v>
      </c>
      <c r="C6155" s="5" t="str">
        <f>IFERROR(__xludf.DUMMYFUNCTION("GOOGLETRANSLATE(B6155,""en"",""it"")"),"La ragazza inizia a tirare la leva mentre il ragazzo aiuta la donna a appendere i vestiti, e poi tutti i bambini a turno gestiscono diverse parti del meccanismo di lavaggio.")</f>
        <v>La ragazza inizia a tirare la leva mentre il ragazzo aiuta la donna a appendere i vestiti, e poi tutti i bambini a turno gestiscono diverse parti del meccanismo di lavaggio.</v>
      </c>
    </row>
    <row r="6156">
      <c r="A6156" s="4" t="s">
        <v>7739</v>
      </c>
      <c r="B6156" s="4" t="s">
        <v>7740</v>
      </c>
      <c r="C6156" s="5" t="str">
        <f>IFERROR(__xludf.DUMMYFUNCTION("GOOGLETRANSLATE(B6156,""en"",""it"")"),"Il video si svolge in un teatro che mostra una canzone sinfonica.")</f>
        <v>Il video si svolge in un teatro che mostra una canzone sinfonica.</v>
      </c>
    </row>
    <row r="6157">
      <c r="A6157" s="4" t="s">
        <v>7739</v>
      </c>
      <c r="B6157" s="4" t="s">
        <v>7741</v>
      </c>
      <c r="C6157" s="5" t="str">
        <f>IFERROR(__xludf.DUMMYFUNCTION("GOOGLETRANSLATE(B6157,""en"",""it"")"),"Il video mostra i primi piani di molti membri della sinfonia mentre suonano i loro strumenti.")</f>
        <v>Il video mostra i primi piani di molti membri della sinfonia mentre suonano i loro strumenti.</v>
      </c>
    </row>
    <row r="6158">
      <c r="A6158" s="4" t="s">
        <v>7739</v>
      </c>
      <c r="B6158" s="4" t="s">
        <v>7742</v>
      </c>
      <c r="C6158" s="5" t="str">
        <f>IFERROR(__xludf.DUMMYFUNCTION("GOOGLETRANSLATE(B6158,""en"",""it"")"),"La fotocamera quindi si sposta per mostrare al pubblico.")</f>
        <v>La fotocamera quindi si sposta per mostrare al pubblico.</v>
      </c>
    </row>
    <row r="6159">
      <c r="A6159" s="4" t="s">
        <v>7739</v>
      </c>
      <c r="B6159" s="4" t="s">
        <v>7743</v>
      </c>
      <c r="C6159" s="5" t="str">
        <f>IFERROR(__xludf.DUMMYFUNCTION("GOOGLETRANSLATE(B6159,""en"",""it"")"),"La sinfonia continua a giocare mentre il direttore guida.")</f>
        <v>La sinfonia continua a giocare mentre il direttore guida.</v>
      </c>
    </row>
    <row r="6160">
      <c r="A6160" s="4" t="s">
        <v>7739</v>
      </c>
      <c r="B6160" s="4" t="s">
        <v>7744</v>
      </c>
      <c r="C6160" s="5" t="str">
        <f>IFERROR(__xludf.DUMMYFUNCTION("GOOGLETRANSLATE(B6160,""en"",""it"")"),"Il video termina mostrando l'intera sinfonia.")</f>
        <v>Il video termina mostrando l'intera sinfonia.</v>
      </c>
    </row>
    <row r="6161">
      <c r="A6161" s="4" t="s">
        <v>7745</v>
      </c>
      <c r="B6161" s="4" t="s">
        <v>7746</v>
      </c>
      <c r="C6161" s="5" t="str">
        <f>IFERROR(__xludf.DUMMYFUNCTION("GOOGLETRANSLATE(B6161,""en"",""it"")"),"Una donna è vista in piedi davanti a un bar e si piega di fronte a lui.")</f>
        <v>Una donna è vista in piedi davanti a un bar e si piega di fronte a lui.</v>
      </c>
    </row>
    <row r="6162">
      <c r="A6162" s="4" t="s">
        <v>7745</v>
      </c>
      <c r="B6162" s="4" t="s">
        <v>7747</v>
      </c>
      <c r="C6162" s="5" t="str">
        <f>IFERROR(__xludf.DUMMYFUNCTION("GOOGLETRANSLATE(B6162,""en"",""it"")"),"Afferra i pesi e se lo solleva sopra la testa e poi di nuovo.")</f>
        <v>Afferra i pesi e se lo solleva sopra la testa e poi di nuovo.</v>
      </c>
    </row>
    <row r="6163">
      <c r="A6163" s="4" t="s">
        <v>7745</v>
      </c>
      <c r="B6163" s="4" t="s">
        <v>7748</v>
      </c>
      <c r="C6163" s="5" t="str">
        <f>IFERROR(__xludf.DUMMYFUNCTION("GOOGLETRANSLATE(B6163,""en"",""it"")"),"Solleva continuamente il peso sopra la testa.")</f>
        <v>Solleva continuamente il peso sopra la testa.</v>
      </c>
    </row>
    <row r="6164">
      <c r="A6164" s="4" t="s">
        <v>7749</v>
      </c>
      <c r="B6164" s="4" t="s">
        <v>7750</v>
      </c>
      <c r="C6164" s="5" t="str">
        <f>IFERROR(__xludf.DUMMYFUNCTION("GOOGLETRANSLATE(B6164,""en"",""it"")"),"La giovane femmina è in piedi in cucina a parlare con la telecamera.")</f>
        <v>La giovane femmina è in piedi in cucina a parlare con la telecamera.</v>
      </c>
    </row>
    <row r="6165">
      <c r="A6165" s="4" t="s">
        <v>7749</v>
      </c>
      <c r="B6165" s="6" t="s">
        <v>7751</v>
      </c>
      <c r="C6165" s="5" t="str">
        <f>IFERROR(__xludf.DUMMYFUNCTION("GOOGLETRANSLATE(B6165,""en"",""it"")"),"La femmina mise la pasta in acqua bollente, tagliata l'aglio e versare olio d'oliva nella padella, fece tagliare la buccia d'arancia e mise nella padella e aggiunse pomodori e frutti di mare.")</f>
        <v>La femmina mise la pasta in acqua bollente, tagliata l'aglio e versare olio d'oliva nella padella, fece tagliare la buccia d'arancia e mise nella padella e aggiunse pomodori e frutti di mare.</v>
      </c>
    </row>
    <row r="6166">
      <c r="A6166" s="4" t="s">
        <v>7749</v>
      </c>
      <c r="B6166" s="4" t="s">
        <v>7752</v>
      </c>
      <c r="C6166" s="5" t="str">
        <f>IFERROR(__xludf.DUMMYFUNCTION("GOOGLETRANSLATE(B6166,""en"",""it"")"),"La donna drena la pasta, la mette sulla salsa e le mette nelle ciotole bianche.")</f>
        <v>La donna drena la pasta, la mette sulla salsa e le mette nelle ciotole bianche.</v>
      </c>
    </row>
    <row r="6167">
      <c r="A6167" s="4" t="s">
        <v>7753</v>
      </c>
      <c r="B6167" s="4" t="s">
        <v>7754</v>
      </c>
      <c r="C6167" s="5" t="str">
        <f>IFERROR(__xludf.DUMMYFUNCTION("GOOGLETRANSLATE(B6167,""en"",""it"")"),"Un folto gruppo di persone sta cavalcando in una zattera enorme.")</f>
        <v>Un folto gruppo di persone sta cavalcando in una zattera enorme.</v>
      </c>
    </row>
    <row r="6168">
      <c r="A6168" s="4" t="s">
        <v>7753</v>
      </c>
      <c r="B6168" s="4" t="s">
        <v>7755</v>
      </c>
      <c r="C6168" s="5" t="str">
        <f>IFERROR(__xludf.DUMMYFUNCTION("GOOGLETRANSLATE(B6168,""en"",""it"")"),"Pagcano le rapide, cercando di rimanere in posizione verticale.")</f>
        <v>Pagcano le rapide, cercando di rimanere in posizione verticale.</v>
      </c>
    </row>
    <row r="6169">
      <c r="A6169" s="4" t="s">
        <v>7753</v>
      </c>
      <c r="B6169" s="4" t="s">
        <v>7756</v>
      </c>
      <c r="C6169" s="5" t="str">
        <f>IFERROR(__xludf.DUMMYFUNCTION("GOOGLETRANSLATE(B6169,""en"",""it"")"),"Si capovolgono, cadendo fuori dalla zattera.")</f>
        <v>Si capovolgono, cadendo fuori dalla zattera.</v>
      </c>
    </row>
    <row r="6170">
      <c r="A6170" s="4" t="s">
        <v>7757</v>
      </c>
      <c r="B6170" s="4" t="s">
        <v>7758</v>
      </c>
      <c r="C6170" s="5" t="str">
        <f>IFERROR(__xludf.DUMMYFUNCTION("GOOGLETRANSLATE(B6170,""en"",""it"")"),"Vediamo la scheda del titolo e un comò doloroso.")</f>
        <v>Vediamo la scheda del titolo e un comò doloroso.</v>
      </c>
    </row>
    <row r="6171">
      <c r="A6171" s="4" t="s">
        <v>7757</v>
      </c>
      <c r="B6171" s="4" t="s">
        <v>7759</v>
      </c>
      <c r="C6171" s="5" t="str">
        <f>IFERROR(__xludf.DUMMYFUNCTION("GOOGLETRANSLATE(B6171,""en"",""it"")"),"Una signora si siede sul pavimento e discute della pittura.")</f>
        <v>Una signora si siede sul pavimento e discute della pittura.</v>
      </c>
    </row>
    <row r="6172">
      <c r="A6172" s="4" t="s">
        <v>7757</v>
      </c>
      <c r="B6172" s="4" t="s">
        <v>7760</v>
      </c>
      <c r="C6172" s="5" t="str">
        <f>IFERROR(__xludf.DUMMYFUNCTION("GOOGLETRANSLATE(B6172,""en"",""it"")"),"La signora dipinge il comò mentre ne parla.")</f>
        <v>La signora dipinge il comò mentre ne parla.</v>
      </c>
    </row>
    <row r="6173">
      <c r="A6173" s="4" t="s">
        <v>7757</v>
      </c>
      <c r="B6173" s="4" t="s">
        <v>7761</v>
      </c>
      <c r="C6173" s="5" t="str">
        <f>IFERROR(__xludf.DUMMYFUNCTION("GOOGLETRANSLATE(B6173,""en"",""it"")"),"Vediamo il prodotto finale dipinto.")</f>
        <v>Vediamo il prodotto finale dipinto.</v>
      </c>
    </row>
    <row r="6174">
      <c r="A6174" s="4" t="s">
        <v>7757</v>
      </c>
      <c r="B6174" s="4" t="s">
        <v>7762</v>
      </c>
      <c r="C6174" s="5" t="str">
        <f>IFERROR(__xludf.DUMMYFUNCTION("GOOGLETRANSLATE(B6174,""en"",""it"")"),"Vediamo le schede finali per il video.")</f>
        <v>Vediamo le schede finali per il video.</v>
      </c>
    </row>
    <row r="6175">
      <c r="A6175" s="4" t="s">
        <v>7763</v>
      </c>
      <c r="B6175" s="4" t="s">
        <v>7764</v>
      </c>
      <c r="C6175" s="5" t="str">
        <f>IFERROR(__xludf.DUMMYFUNCTION("GOOGLETRANSLATE(B6175,""en"",""it"")"),"Una signora cammina lungo un corridoio mentre trasporta un secchio di forniture per la pulizia.")</f>
        <v>Una signora cammina lungo un corridoio mentre trasporta un secchio di forniture per la pulizia.</v>
      </c>
    </row>
    <row r="6176">
      <c r="A6176" s="4" t="s">
        <v>7763</v>
      </c>
      <c r="B6176" s="4" t="s">
        <v>7765</v>
      </c>
      <c r="C6176" s="5" t="str">
        <f>IFERROR(__xludf.DUMMYFUNCTION("GOOGLETRANSLATE(B6176,""en"",""it"")"),"Una signora pulisce una finestra con i giornali.")</f>
        <v>Una signora pulisce una finestra con i giornali.</v>
      </c>
    </row>
    <row r="6177">
      <c r="A6177" s="4" t="s">
        <v>7763</v>
      </c>
      <c r="B6177" s="4" t="s">
        <v>7766</v>
      </c>
      <c r="C6177" s="5" t="str">
        <f>IFERROR(__xludf.DUMMYFUNCTION("GOOGLETRANSLATE(B6177,""en"",""it"")"),"La signora spruzza il giornale.")</f>
        <v>La signora spruzza il giornale.</v>
      </c>
    </row>
    <row r="6178">
      <c r="A6178" s="4" t="s">
        <v>7763</v>
      </c>
      <c r="B6178" s="4" t="s">
        <v>7767</v>
      </c>
      <c r="C6178" s="5" t="str">
        <f>IFERROR(__xludf.DUMMYFUNCTION("GOOGLETRANSLATE(B6178,""en"",""it"")"),"Gli ingredienti per realizzare lo spray sono mostrati.")</f>
        <v>Gli ingredienti per realizzare lo spray sono mostrati.</v>
      </c>
    </row>
    <row r="6179">
      <c r="A6179" s="4" t="s">
        <v>7763</v>
      </c>
      <c r="B6179" s="4" t="s">
        <v>7768</v>
      </c>
      <c r="C6179" s="5" t="str">
        <f>IFERROR(__xludf.DUMMYFUNCTION("GOOGLETRANSLATE(B6179,""en"",""it"")"),"La signora spruzza la finestra.")</f>
        <v>La signora spruzza la finestra.</v>
      </c>
    </row>
    <row r="6180">
      <c r="A6180" s="4" t="s">
        <v>7769</v>
      </c>
      <c r="B6180" s="4" t="s">
        <v>7770</v>
      </c>
      <c r="C6180" s="5" t="str">
        <f>IFERROR(__xludf.DUMMYFUNCTION("GOOGLETRANSLATE(B6180,""en"",""it"")"),"I tubi vengono mostrati su una roccia.")</f>
        <v>I tubi vengono mostrati su una roccia.</v>
      </c>
    </row>
    <row r="6181">
      <c r="A6181" s="4" t="s">
        <v>7769</v>
      </c>
      <c r="B6181" s="4" t="s">
        <v>7771</v>
      </c>
      <c r="C6181" s="5" t="str">
        <f>IFERROR(__xludf.DUMMYFUNCTION("GOOGLETRANSLATE(B6181,""en"",""it"")"),"Un uomo sta camminando su un sentiero.")</f>
        <v>Un uomo sta camminando su un sentiero.</v>
      </c>
    </row>
    <row r="6182">
      <c r="A6182" s="4" t="s">
        <v>7769</v>
      </c>
      <c r="B6182" s="4" t="s">
        <v>7772</v>
      </c>
      <c r="C6182" s="5" t="str">
        <f>IFERROR(__xludf.DUMMYFUNCTION("GOOGLETRANSLATE(B6182,""en"",""it"")"),"Viene mostrata una grande struttura dietro una recinzione.")</f>
        <v>Viene mostrata una grande struttura dietro una recinzione.</v>
      </c>
    </row>
    <row r="6183">
      <c r="A6183" s="4" t="s">
        <v>7769</v>
      </c>
      <c r="B6183" s="4" t="s">
        <v>7773</v>
      </c>
      <c r="C6183" s="5" t="str">
        <f>IFERROR(__xludf.DUMMYFUNCTION("GOOGLETRANSLATE(B6183,""en"",""it"")"),"Una barca è nell'acqua che circonda una roccia.")</f>
        <v>Una barca è nell'acqua che circonda una roccia.</v>
      </c>
    </row>
    <row r="6184">
      <c r="A6184" s="4" t="s">
        <v>7769</v>
      </c>
      <c r="B6184" s="4" t="s">
        <v>7774</v>
      </c>
      <c r="C6184" s="5" t="str">
        <f>IFERROR(__xludf.DUMMYFUNCTION("GOOGLETRANSLATE(B6184,""en"",""it"")"),"Un uomo si siede in cima a una roccia.")</f>
        <v>Un uomo si siede in cima a una roccia.</v>
      </c>
    </row>
    <row r="6185">
      <c r="A6185" s="4" t="s">
        <v>7769</v>
      </c>
      <c r="B6185" s="4" t="s">
        <v>7775</v>
      </c>
      <c r="C6185" s="5" t="str">
        <f>IFERROR(__xludf.DUMMYFUNCTION("GOOGLETRANSLATE(B6185,""en"",""it"")"),"Un uomo inizia a suonare uno strumento.")</f>
        <v>Un uomo inizia a suonare uno strumento.</v>
      </c>
    </row>
    <row r="6186">
      <c r="A6186" s="4" t="s">
        <v>7769</v>
      </c>
      <c r="B6186" s="4" t="s">
        <v>7776</v>
      </c>
      <c r="C6186" s="5" t="str">
        <f>IFERROR(__xludf.DUMMYFUNCTION("GOOGLETRANSLATE(B6186,""en"",""it"")"),"Viene mostrato una grande parete di roccia.")</f>
        <v>Viene mostrato una grande parete di roccia.</v>
      </c>
    </row>
    <row r="6187">
      <c r="A6187" s="4" t="s">
        <v>7769</v>
      </c>
      <c r="B6187" s="4" t="s">
        <v>7777</v>
      </c>
      <c r="C6187" s="5" t="str">
        <f>IFERROR(__xludf.DUMMYFUNCTION("GOOGLETRANSLATE(B6187,""en"",""it"")"),"L'uomo continua a suonare lo strumento.")</f>
        <v>L'uomo continua a suonare lo strumento.</v>
      </c>
    </row>
    <row r="6188">
      <c r="A6188" s="4" t="s">
        <v>7778</v>
      </c>
      <c r="B6188" s="4" t="s">
        <v>7779</v>
      </c>
      <c r="C6188" s="5" t="str">
        <f>IFERROR(__xludf.DUMMYFUNCTION("GOOGLETRANSLATE(B6188,""en"",""it"")"),"La telecamera guarda un uomo con un cappello che parla con qualcuno da un punto di vista basso.")</f>
        <v>La telecamera guarda un uomo con un cappello che parla con qualcuno da un punto di vista basso.</v>
      </c>
    </row>
    <row r="6189">
      <c r="A6189" s="4" t="s">
        <v>7778</v>
      </c>
      <c r="B6189" s="4" t="s">
        <v>7780</v>
      </c>
      <c r="C6189" s="5" t="str">
        <f>IFERROR(__xludf.DUMMYFUNCTION("GOOGLETRANSLATE(B6189,""en"",""it"")"),"L'impostazione cambia e l'uomo nel cappello parla con un altro uomo mentre i due guardano i documenti.")</f>
        <v>L'impostazione cambia e l'uomo nel cappello parla con un altro uomo mentre i due guardano i documenti.</v>
      </c>
    </row>
    <row r="6190">
      <c r="A6190" s="4" t="s">
        <v>7778</v>
      </c>
      <c r="B6190" s="4" t="s">
        <v>7781</v>
      </c>
      <c r="C6190" s="5" t="str">
        <f>IFERROR(__xludf.DUMMYFUNCTION("GOOGLETRANSLATE(B6190,""en"",""it"")"),"L'uomo con il cappello si siede e parla con la telecamera.")</f>
        <v>L'uomo con il cappello si siede e parla con la telecamera.</v>
      </c>
    </row>
    <row r="6191">
      <c r="A6191" s="4" t="s">
        <v>7778</v>
      </c>
      <c r="B6191" s="4" t="s">
        <v>7782</v>
      </c>
      <c r="C6191" s="5" t="str">
        <f>IFERROR(__xludf.DUMMYFUNCTION("GOOGLETRANSLATE(B6191,""en"",""it"")"),"L'uomo beve da una bottiglia d'acqua.")</f>
        <v>L'uomo beve da una bottiglia d'acqua.</v>
      </c>
    </row>
    <row r="6192">
      <c r="A6192" s="4" t="s">
        <v>7778</v>
      </c>
      <c r="B6192" s="4" t="s">
        <v>7783</v>
      </c>
      <c r="C6192" s="5" t="str">
        <f>IFERROR(__xludf.DUMMYFUNCTION("GOOGLETRANSLATE(B6192,""en"",""it"")"),"Una donna applica un modello di inchiostro per il corpo dell'uomo.")</f>
        <v>Una donna applica un modello di inchiostro per il corpo dell'uomo.</v>
      </c>
    </row>
    <row r="6193">
      <c r="A6193" s="4" t="s">
        <v>7778</v>
      </c>
      <c r="B6193" s="4" t="s">
        <v>7784</v>
      </c>
      <c r="C6193" s="5" t="str">
        <f>IFERROR(__xludf.DUMMYFUNCTION("GOOGLETRANSLATE(B6193,""en"",""it"")"),"L'uomo si distende su un fianco mentre la donna tatuaggi sul modello di inchiostro.")</f>
        <v>L'uomo si distende su un fianco mentre la donna tatuaggi sul modello di inchiostro.</v>
      </c>
    </row>
    <row r="6194">
      <c r="A6194" s="4" t="s">
        <v>7778</v>
      </c>
      <c r="B6194" s="4" t="s">
        <v>7785</v>
      </c>
      <c r="C6194" s="5" t="str">
        <f>IFERROR(__xludf.DUMMYFUNCTION("GOOGLETRANSLATE(B6194,""en"",""it"")"),"Vengono visualizzate le immagini ferme del tatuaggio completato.")</f>
        <v>Vengono visualizzate le immagini ferme del tatuaggio completato.</v>
      </c>
    </row>
    <row r="6195">
      <c r="A6195" s="4" t="s">
        <v>7786</v>
      </c>
      <c r="B6195" s="4" t="s">
        <v>7787</v>
      </c>
      <c r="C6195" s="5" t="str">
        <f>IFERROR(__xludf.DUMMYFUNCTION("GOOGLETRANSLATE(B6195,""en"",""it"")"),"Una donna viene mostrata con in mano un gatto mentre un cane si alza per i piedi.")</f>
        <v>Una donna viene mostrata con in mano un gatto mentre un cane si alza per i piedi.</v>
      </c>
    </row>
    <row r="6196">
      <c r="A6196" s="4" t="s">
        <v>7786</v>
      </c>
      <c r="B6196" s="4" t="s">
        <v>7788</v>
      </c>
      <c r="C6196" s="5" t="str">
        <f>IFERROR(__xludf.DUMMYFUNCTION("GOOGLETRANSLATE(B6196,""en"",""it"")"),"Parla con la telecamera e mostra le unghie del gatto.")</f>
        <v>Parla con la telecamera e mostra le unghie del gatto.</v>
      </c>
    </row>
    <row r="6197">
      <c r="A6197" s="4" t="s">
        <v>7786</v>
      </c>
      <c r="B6197" s="4" t="s">
        <v>7789</v>
      </c>
      <c r="C6197" s="5" t="str">
        <f>IFERROR(__xludf.DUMMYFUNCTION("GOOGLETRANSLATE(B6197,""en"",""it"")"),"Afferra uno strumento e inizia a tagliare gli artigli del gatto.")</f>
        <v>Afferra uno strumento e inizia a tagliare gli artigli del gatto.</v>
      </c>
    </row>
    <row r="6198">
      <c r="A6198" s="4" t="s">
        <v>7786</v>
      </c>
      <c r="B6198" s="4" t="s">
        <v>7790</v>
      </c>
      <c r="C6198" s="5" t="str">
        <f>IFERROR(__xludf.DUMMYFUNCTION("GOOGLETRANSLATE(B6198,""en"",""it"")"),"Regola un po 'il gatto ma finisce le unghie e la lascia andare.")</f>
        <v>Regola un po 'il gatto ma finisce le unghie e la lascia andare.</v>
      </c>
    </row>
    <row r="6199">
      <c r="A6199" s="4" t="s">
        <v>7791</v>
      </c>
      <c r="B6199" s="6" t="s">
        <v>7792</v>
      </c>
      <c r="C6199" s="5" t="str">
        <f>IFERROR(__xludf.DUMMYFUNCTION("GOOGLETRANSLATE(B6199,""en"",""it"")"),"Una classe di bambini vestiti di GI bianchi cammina, calcia e pugni in un'aula mentre il loro insegnante cammina intorno a loro.")</f>
        <v>Una classe di bambini vestiti di GI bianchi cammina, calcia e pugni in un'aula mentre il loro insegnante cammina intorno a loro.</v>
      </c>
    </row>
    <row r="6200">
      <c r="A6200" s="4" t="s">
        <v>7791</v>
      </c>
      <c r="B6200" s="4" t="s">
        <v>7793</v>
      </c>
      <c r="C6200" s="5" t="str">
        <f>IFERROR(__xludf.DUMMYFUNCTION("GOOGLETRANSLATE(B6200,""en"",""it"")"),"La classe si ferma e l'istruttore parla e cammina intorno a loro.")</f>
        <v>La classe si ferma e l'istruttore parla e cammina intorno a loro.</v>
      </c>
    </row>
    <row r="6201">
      <c r="A6201" s="4" t="s">
        <v>7791</v>
      </c>
      <c r="B6201" s="6" t="s">
        <v>7794</v>
      </c>
      <c r="C6201" s="5" t="str">
        <f>IFERROR(__xludf.DUMMYFUNCTION("GOOGLETRANSLATE(B6201,""en"",""it"")"),"La classe si gira quindi e inizia a camminare, calciare e colpire nella direzione da cui provenivano.")</f>
        <v>La classe si gira quindi e inizia a camminare, calciare e colpire nella direzione da cui provenivano.</v>
      </c>
    </row>
    <row r="6202">
      <c r="A6202" s="4" t="s">
        <v>7791</v>
      </c>
      <c r="B6202" s="6" t="s">
        <v>7795</v>
      </c>
      <c r="C6202" s="5" t="str">
        <f>IFERROR(__xludf.DUMMYFUNCTION("GOOGLETRANSLATE(B6202,""en"",""it"")"),"La classe si gira quando arrivano alla fine, si ferma e l'istruttore inizia a parlare e dimostrare un calcio e un pugno per loro, si allontana e la classe riprende.")</f>
        <v>La classe si gira quando arrivano alla fine, si ferma e l'istruttore inizia a parlare e dimostrare un calcio e un pugno per loro, si allontana e la classe riprende.</v>
      </c>
    </row>
    <row r="6203">
      <c r="A6203" s="4" t="s">
        <v>7791</v>
      </c>
      <c r="B6203" s="6" t="s">
        <v>7796</v>
      </c>
      <c r="C6203" s="5" t="str">
        <f>IFERROR(__xludf.DUMMYFUNCTION("GOOGLETRANSLATE(B6203,""en"",""it"")"),"Quando raggiungono la fine si girano di nuovo per camminare, calciare e colpire nella direzione da cui provenivano e ancora una volta l'istruttore smette di parlare e dimostrare le mosse e ancora una volta la classe riprende i loro movimenti e quando ehi "&amp;"arrivano alla fine Della stanza si girano e terminano la loro routine con le gambe a parte e le braccia di fronte a loro.")</f>
        <v>Quando raggiungono la fine si girano di nuovo per camminare, calciare e colpire nella direzione da cui provenivano e ancora una volta l'istruttore smette di parlare e dimostrare le mosse e ancora una volta la classe riprende i loro movimenti e quando ehi arrivano alla fine Della stanza si girano e terminano la loro routine con le gambe a parte e le braccia di fronte a loro.</v>
      </c>
    </row>
    <row r="6204">
      <c r="A6204" s="4" t="s">
        <v>7797</v>
      </c>
      <c r="B6204" s="4" t="s">
        <v>7798</v>
      </c>
      <c r="C6204" s="5" t="str">
        <f>IFERROR(__xludf.DUMMYFUNCTION("GOOGLETRANSLATE(B6204,""en"",""it"")"),"Viene visto un uomo con una fisarmonica mentre parla alla telecamera e sorride.")</f>
        <v>Viene visto un uomo con una fisarmonica mentre parla alla telecamera e sorride.</v>
      </c>
    </row>
    <row r="6205">
      <c r="A6205" s="4" t="s">
        <v>7797</v>
      </c>
      <c r="B6205" s="6" t="s">
        <v>7799</v>
      </c>
      <c r="C6205" s="5" t="str">
        <f>IFERROR(__xludf.DUMMYFUNCTION("GOOGLETRANSLATE(B6205,""en"",""it"")"),"Quindi suona lo strumento mentre guarda la telecamera e termina parlando di più alla telecamera.")</f>
        <v>Quindi suona lo strumento mentre guarda la telecamera e termina parlando di più alla telecamera.</v>
      </c>
    </row>
    <row r="6206">
      <c r="A6206" s="4" t="s">
        <v>7800</v>
      </c>
      <c r="B6206" s="4" t="s">
        <v>7801</v>
      </c>
      <c r="C6206" s="5" t="str">
        <f>IFERROR(__xludf.DUMMYFUNCTION("GOOGLETRANSLATE(B6206,""en"",""it"")"),"Un ragazzo è in piedi su uno sgabello di fronte a un lavello della cucina.")</f>
        <v>Un ragazzo è in piedi su uno sgabello di fronte a un lavello della cucina.</v>
      </c>
    </row>
    <row r="6207">
      <c r="A6207" s="4" t="s">
        <v>7800</v>
      </c>
      <c r="B6207" s="4" t="s">
        <v>7802</v>
      </c>
      <c r="C6207" s="5" t="str">
        <f>IFERROR(__xludf.DUMMYFUNCTION("GOOGLETRANSLATE(B6207,""en"",""it"")"),"Sta lavando i piatti sotto l'acqua.")</f>
        <v>Sta lavando i piatti sotto l'acqua.</v>
      </c>
    </row>
    <row r="6208">
      <c r="A6208" s="4" t="s">
        <v>7800</v>
      </c>
      <c r="B6208" s="4" t="s">
        <v>7803</v>
      </c>
      <c r="C6208" s="5" t="str">
        <f>IFERROR(__xludf.DUMMYFUNCTION("GOOGLETRANSLATE(B6208,""en"",""it"")"),"Mette i piatti in un colino nero.")</f>
        <v>Mette i piatti in un colino nero.</v>
      </c>
    </row>
    <row r="6209">
      <c r="A6209" s="4" t="s">
        <v>7804</v>
      </c>
      <c r="B6209" s="6" t="s">
        <v>7805</v>
      </c>
      <c r="C6209" s="5" t="str">
        <f>IFERROR(__xludf.DUMMYFUNCTION("GOOGLETRANSLATE(B6209,""en"",""it"")"),"Vengono mostrati diversi scatti di persone che cavalcano il surf di aquiloni così come le persone che parlano alla telecamera.")</f>
        <v>Vengono mostrati diversi scatti di persone che cavalcano il surf di aquiloni così come le persone che parlano alla telecamera.</v>
      </c>
    </row>
    <row r="6210">
      <c r="A6210" s="4" t="s">
        <v>7804</v>
      </c>
      <c r="B6210" s="6" t="s">
        <v>7806</v>
      </c>
      <c r="C6210" s="5" t="str">
        <f>IFERROR(__xludf.DUMMYFUNCTION("GOOGLETRANSLATE(B6210,""en"",""it"")"),"I bambini tentano il surf sul vento e si vedono muovere le braccia e le gambe e salutando la telecamera.")</f>
        <v>I bambini tentano il surf sul vento e si vedono muovere le braccia e le gambe e salutando la telecamera.</v>
      </c>
    </row>
    <row r="6211">
      <c r="A6211" s="4" t="s">
        <v>7804</v>
      </c>
      <c r="B6211" s="6" t="s">
        <v>7807</v>
      </c>
      <c r="C6211" s="5" t="str">
        <f>IFERROR(__xludf.DUMMYFUNCTION("GOOGLETRANSLATE(B6211,""en"",""it"")"),"Due ragazze vengono viste ballare e persone che parlano alla telecamera e ai bambini che guardano la telecamera.")</f>
        <v>Due ragazze vengono viste ballare e persone che parlano alla telecamera e ai bambini che guardano la telecamera.</v>
      </c>
    </row>
    <row r="6212">
      <c r="A6212" s="4" t="s">
        <v>7808</v>
      </c>
      <c r="B6212" s="4" t="s">
        <v>7809</v>
      </c>
      <c r="C6212" s="5" t="str">
        <f>IFERROR(__xludf.DUMMYFUNCTION("GOOGLETRANSLATE(B6212,""en"",""it"")"),"Una donna sta spiegando come rimuovere lo sfondo.")</f>
        <v>Una donna sta spiegando come rimuovere lo sfondo.</v>
      </c>
    </row>
    <row r="6213">
      <c r="A6213" s="4" t="s">
        <v>7808</v>
      </c>
      <c r="B6213" s="4" t="s">
        <v>7810</v>
      </c>
      <c r="C6213" s="5" t="str">
        <f>IFERROR(__xludf.DUMMYFUNCTION("GOOGLETRANSLATE(B6213,""en"",""it"")"),"Si gira e si piega per raccogliere un piroscafo.")</f>
        <v>Si gira e si piega per raccogliere un piroscafo.</v>
      </c>
    </row>
    <row r="6214">
      <c r="A6214" s="4" t="s">
        <v>7808</v>
      </c>
      <c r="B6214" s="4" t="s">
        <v>7811</v>
      </c>
      <c r="C6214" s="5" t="str">
        <f>IFERROR(__xludf.DUMMYFUNCTION("GOOGLETRANSLATE(B6214,""en"",""it"")"),"Mostra come cuocere a vapore lo sfondo in sezioni.")</f>
        <v>Mostra come cuocere a vapore lo sfondo in sezioni.</v>
      </c>
    </row>
    <row r="6215">
      <c r="A6215" s="4" t="s">
        <v>7808</v>
      </c>
      <c r="B6215" s="4" t="s">
        <v>7812</v>
      </c>
      <c r="C6215" s="5" t="str">
        <f>IFERROR(__xludf.DUMMYFUNCTION("GOOGLETRANSLATE(B6215,""en"",""it"")"),"Scende la scala e continua a cuocere a vapore lo sfondo.")</f>
        <v>Scende la scala e continua a cuocere a vapore lo sfondo.</v>
      </c>
    </row>
    <row r="6216">
      <c r="A6216" s="4" t="s">
        <v>7808</v>
      </c>
      <c r="B6216" s="6" t="s">
        <v>7813</v>
      </c>
      <c r="C6216" s="5" t="str">
        <f>IFERROR(__xludf.DUMMYFUNCTION("GOOGLETRANSLATE(B6216,""en"",""it"")"),"Si sposta la scala da parte, poi si fa a vapore più sfondi, fino al fondo, attraverso e nel mezzo.")</f>
        <v>Si sposta la scala da parte, poi si fa a vapore più sfondi, fino al fondo, attraverso e nel mezzo.</v>
      </c>
    </row>
    <row r="6217">
      <c r="A6217" s="4" t="s">
        <v>7808</v>
      </c>
      <c r="B6217" s="6" t="s">
        <v>7814</v>
      </c>
      <c r="C6217" s="5" t="str">
        <f>IFERROR(__xludf.DUMMYFUNCTION("GOOGLETRANSLATE(B6217,""en"",""it"")"),"Muove la scala, si arrampica su di essa e sbuccia la carta da parati dal muro, raccogliendo i pezzi che si attaccano dal muro.")</f>
        <v>Muove la scala, si arrampica su di essa e sbuccia la carta da parati dal muro, raccogliendo i pezzi che si attaccano dal muro.</v>
      </c>
    </row>
    <row r="6218">
      <c r="A6218" s="4" t="s">
        <v>7808</v>
      </c>
      <c r="B6218" s="4" t="s">
        <v>7815</v>
      </c>
      <c r="C6218" s="5" t="str">
        <f>IFERROR(__xludf.DUMMYFUNCTION("GOOGLETRANSLATE(B6218,""en"",""it"")"),"Tira il residuo dal muro.")</f>
        <v>Tira il residuo dal muro.</v>
      </c>
    </row>
    <row r="6219">
      <c r="A6219" s="4" t="s">
        <v>7808</v>
      </c>
      <c r="B6219" s="4" t="s">
        <v>7816</v>
      </c>
      <c r="C6219" s="5" t="str">
        <f>IFERROR(__xludf.DUMMYFUNCTION("GOOGLETRANSLATE(B6219,""en"",""it"")"),"Cammina dalla gamma di fotocamere e ritorna con un raschietto per rimuovere i pezzi di sinistra.")</f>
        <v>Cammina dalla gamma di fotocamere e ritorna con un raschietto per rimuovere i pezzi di sinistra.</v>
      </c>
    </row>
    <row r="6220">
      <c r="A6220" s="4" t="s">
        <v>7808</v>
      </c>
      <c r="B6220" s="4" t="s">
        <v>7817</v>
      </c>
      <c r="C6220" s="5" t="str">
        <f>IFERROR(__xludf.DUMMYFUNCTION("GOOGLETRANSLATE(B6220,""en"",""it"")"),"Si china di nuovo e uscirà di nuovo dalla gamma di fotocamere.")</f>
        <v>Si china di nuovo e uscirà di nuovo dalla gamma di fotocamere.</v>
      </c>
    </row>
    <row r="6221">
      <c r="A6221" s="4" t="s">
        <v>7808</v>
      </c>
      <c r="B6221" s="4" t="s">
        <v>7818</v>
      </c>
      <c r="C6221" s="5" t="str">
        <f>IFERROR(__xludf.DUMMYFUNCTION("GOOGLETRANSLATE(B6221,""en"",""it"")"),"Ha una spugna e sta pulendo il muro.")</f>
        <v>Ha una spugna e sta pulendo il muro.</v>
      </c>
    </row>
    <row r="6222">
      <c r="A6222" s="4" t="s">
        <v>7808</v>
      </c>
      <c r="B6222" s="4" t="s">
        <v>7819</v>
      </c>
      <c r="C6222" s="5" t="str">
        <f>IFERROR(__xludf.DUMMYFUNCTION("GOOGLETRANSLATE(B6222,""en"",""it"")"),"Fa più raschiatura e strofinamento.")</f>
        <v>Fa più raschiatura e strofinamento.</v>
      </c>
    </row>
    <row r="6223">
      <c r="A6223" s="4" t="s">
        <v>7808</v>
      </c>
      <c r="B6223" s="4" t="s">
        <v>7820</v>
      </c>
      <c r="C6223" s="5" t="str">
        <f>IFERROR(__xludf.DUMMYFUNCTION("GOOGLETRANSLATE(B6223,""en"",""it"")"),"Si gira e sorride.")</f>
        <v>Si gira e sorride.</v>
      </c>
    </row>
    <row r="6224">
      <c r="A6224" s="4" t="s">
        <v>7821</v>
      </c>
      <c r="B6224" s="4" t="s">
        <v>7822</v>
      </c>
      <c r="C6224" s="5" t="str">
        <f>IFERROR(__xludf.DUMMYFUNCTION("GOOGLETRANSLATE(B6224,""en"",""it"")"),"Ci sono fiocchi di neve che cadono su una foresta.")</f>
        <v>Ci sono fiocchi di neve che cadono su una foresta.</v>
      </c>
    </row>
    <row r="6225">
      <c r="A6225" s="4" t="s">
        <v>7821</v>
      </c>
      <c r="B6225" s="4" t="s">
        <v>7823</v>
      </c>
      <c r="C6225" s="5" t="str">
        <f>IFERROR(__xludf.DUMMYFUNCTION("GOOGLETRANSLATE(B6225,""en"",""it"")"),"Un uomo con motoslitte arancione attraverso un campo nevoso.")</f>
        <v>Un uomo con motoslitte arancione attraverso un campo nevoso.</v>
      </c>
    </row>
    <row r="6226">
      <c r="A6226" s="4" t="s">
        <v>7821</v>
      </c>
      <c r="B6226" s="4" t="s">
        <v>7824</v>
      </c>
      <c r="C6226" s="5" t="str">
        <f>IFERROR(__xludf.DUMMYFUNCTION("GOOGLETRANSLATE(B6226,""en"",""it"")"),"L'uomo snowboard lungo la montagna.")</f>
        <v>L'uomo snowboard lungo la montagna.</v>
      </c>
    </row>
    <row r="6227">
      <c r="A6227" s="4" t="s">
        <v>7821</v>
      </c>
      <c r="B6227" s="4" t="s">
        <v>7825</v>
      </c>
      <c r="C6227" s="5" t="str">
        <f>IFERROR(__xludf.DUMMYFUNCTION("GOOGLETRANSLATE(B6227,""en"",""it"")"),"Due uomini motoslitte per la foresta.")</f>
        <v>Due uomini motoslitte per la foresta.</v>
      </c>
    </row>
    <row r="6228">
      <c r="A6228" s="4" t="s">
        <v>7821</v>
      </c>
      <c r="B6228" s="4" t="s">
        <v>7826</v>
      </c>
      <c r="C6228" s="5" t="str">
        <f>IFERROR(__xludf.DUMMYFUNCTION("GOOGLETRANSLATE(B6228,""en"",""it"")"),"Un uomo in una giacca scura sugli snowboard attraverso un percorso pieno di alberi.")</f>
        <v>Un uomo in una giacca scura sugli snowboard attraverso un percorso pieno di alberi.</v>
      </c>
    </row>
    <row r="6229">
      <c r="A6229" s="4" t="s">
        <v>7821</v>
      </c>
      <c r="B6229" s="4" t="s">
        <v>7827</v>
      </c>
      <c r="C6229" s="5" t="str">
        <f>IFERROR(__xludf.DUMMYFUNCTION("GOOGLETRANSLATE(B6229,""en"",""it"")"),"L'uomo nella giacca arancione guarda la fotocamera.")</f>
        <v>L'uomo nella giacca arancione guarda la fotocamera.</v>
      </c>
    </row>
    <row r="6230">
      <c r="A6230" s="4" t="s">
        <v>7821</v>
      </c>
      <c r="B6230" s="4" t="s">
        <v>7828</v>
      </c>
      <c r="C6230" s="5" t="str">
        <f>IFERROR(__xludf.DUMMYFUNCTION("GOOGLETRANSLATE(B6230,""en"",""it"")"),"L'uomo con la giacca arancione motoslitte lungo una montagna molto ripida.")</f>
        <v>L'uomo con la giacca arancione motoslitte lungo una montagna molto ripida.</v>
      </c>
    </row>
    <row r="6231">
      <c r="A6231" s="4" t="s">
        <v>7821</v>
      </c>
      <c r="B6231" s="4" t="s">
        <v>7829</v>
      </c>
      <c r="C6231" s="5" t="str">
        <f>IFERROR(__xludf.DUMMYFUNCTION("GOOGLETRANSLATE(B6231,""en"",""it"")"),"L'uomo con motoslitte arancione da un salto e fa trucchi.")</f>
        <v>L'uomo con motoslitte arancione da un salto e fa trucchi.</v>
      </c>
    </row>
    <row r="6232">
      <c r="A6232" s="4" t="s">
        <v>7821</v>
      </c>
      <c r="B6232" s="4" t="s">
        <v>7830</v>
      </c>
      <c r="C6232" s="5" t="str">
        <f>IFERROR(__xludf.DUMMYFUNCTION("GOOGLETRANSLATE(B6232,""en"",""it"")"),"L'uomo con la giacca arancione inizia un fuoco.")</f>
        <v>L'uomo con la giacca arancione inizia un fuoco.</v>
      </c>
    </row>
    <row r="6233">
      <c r="A6233" s="4" t="s">
        <v>7821</v>
      </c>
      <c r="B6233" s="4" t="s">
        <v>7831</v>
      </c>
      <c r="C6233" s="5" t="str">
        <f>IFERROR(__xludf.DUMMYFUNCTION("GOOGLETRANSLATE(B6233,""en"",""it"")"),"L'uomo nella giacca scura continua a sciare attraverso aree insidiose piene di alberi.")</f>
        <v>L'uomo nella giacca scura continua a sciare attraverso aree insidiose piene di alberi.</v>
      </c>
    </row>
    <row r="6234">
      <c r="A6234" s="4" t="s">
        <v>7832</v>
      </c>
      <c r="B6234" s="4" t="s">
        <v>7833</v>
      </c>
      <c r="C6234" s="5" t="str">
        <f>IFERROR(__xludf.DUMMYFUNCTION("GOOGLETRANSLATE(B6234,""en"",""it"")"),"L'uomo salda una macchina in una stanza buia.")</f>
        <v>L'uomo salda una macchina in una stanza buia.</v>
      </c>
    </row>
    <row r="6235">
      <c r="A6235" s="4" t="s">
        <v>7832</v>
      </c>
      <c r="B6235" s="4" t="s">
        <v>7834</v>
      </c>
      <c r="C6235" s="5" t="str">
        <f>IFERROR(__xludf.DUMMYFUNCTION("GOOGLETRANSLATE(B6235,""en"",""it"")"),"L'uomo salda una pentola di metallo e il fumo si sta diffondendo dalla pentola.")</f>
        <v>L'uomo salda una pentola di metallo e il fumo si sta diffondendo dalla pentola.</v>
      </c>
    </row>
    <row r="6236">
      <c r="A6236" s="4" t="s">
        <v>7832</v>
      </c>
      <c r="B6236" s="4" t="s">
        <v>7835</v>
      </c>
      <c r="C6236" s="5" t="str">
        <f>IFERROR(__xludf.DUMMYFUNCTION("GOOGLETRANSLATE(B6236,""en"",""it"")"),"L'uomo indossa una maschera di saldatura in una stanza scura che salda qualcosa.")</f>
        <v>L'uomo indossa una maschera di saldatura in una stanza scura che salda qualcosa.</v>
      </c>
    </row>
    <row r="6237">
      <c r="A6237" s="4" t="s">
        <v>7836</v>
      </c>
      <c r="B6237" s="4" t="s">
        <v>7837</v>
      </c>
      <c r="C6237" s="5" t="str">
        <f>IFERROR(__xludf.DUMMYFUNCTION("GOOGLETRANSLATE(B6237,""en"",""it"")"),"Viene mostrato un colpo vicino di un uomo in giro e porta a lui togliersi parte dei suoi spettacoli.")</f>
        <v>Viene mostrato un colpo vicino di un uomo in giro e porta a lui togliersi parte dei suoi spettacoli.</v>
      </c>
    </row>
    <row r="6238">
      <c r="A6238" s="4" t="s">
        <v>7836</v>
      </c>
      <c r="B6238" s="6" t="s">
        <v>7838</v>
      </c>
      <c r="C6238" s="5" t="str">
        <f>IFERROR(__xludf.DUMMYFUNCTION("GOOGLETRANSLATE(B6238,""en"",""it"")"),"Mostra diversi oggetti e spinge un disco lungo un po 'di ghiaccio mentre la telecamera si trova sull'oggetto e l'uomo segue dietro.")</f>
        <v>Mostra diversi oggetti e spinge un disco lungo un po 'di ghiaccio mentre la telecamera si trova sull'oggetto e l'uomo segue dietro.</v>
      </c>
    </row>
    <row r="6239">
      <c r="A6239" s="4" t="s">
        <v>7839</v>
      </c>
      <c r="B6239" s="4" t="s">
        <v>7840</v>
      </c>
      <c r="C6239" s="5" t="str">
        <f>IFERROR(__xludf.DUMMYFUNCTION("GOOGLETRANSLATE(B6239,""en"",""it"")"),"Una barca estrae una persona dall'acqua.")</f>
        <v>Una barca estrae una persona dall'acqua.</v>
      </c>
    </row>
    <row r="6240">
      <c r="A6240" s="4" t="s">
        <v>7839</v>
      </c>
      <c r="B6240" s="4" t="s">
        <v>7841</v>
      </c>
      <c r="C6240" s="5" t="str">
        <f>IFERROR(__xludf.DUMMYFUNCTION("GOOGLETRANSLATE(B6240,""en"",""it"")"),"Si alzano e iniziano a sci d'acqua dietro la barca.")</f>
        <v>Si alzano e iniziano a sci d'acqua dietro la barca.</v>
      </c>
    </row>
    <row r="6241">
      <c r="A6241" s="4" t="s">
        <v>7839</v>
      </c>
      <c r="B6241" s="4" t="s">
        <v>7842</v>
      </c>
      <c r="C6241" s="5" t="str">
        <f>IFERROR(__xludf.DUMMYFUNCTION("GOOGLETRANSLATE(B6241,""en"",""it"")"),"La persona cade e lascia andare la corda.")</f>
        <v>La persona cade e lascia andare la corda.</v>
      </c>
    </row>
    <row r="6242">
      <c r="A6242" s="4" t="s">
        <v>7843</v>
      </c>
      <c r="B6242" s="4" t="s">
        <v>7844</v>
      </c>
      <c r="C6242" s="5" t="str">
        <f>IFERROR(__xludf.DUMMYFUNCTION("GOOGLETRANSLATE(B6242,""en"",""it"")"),"Viene mostrato una grande diapositiva con dozzine di bambini che si arrampicano e scendono.")</f>
        <v>Viene mostrato una grande diapositiva con dozzine di bambini che si arrampicano e scendono.</v>
      </c>
    </row>
    <row r="6243">
      <c r="A6243" s="4" t="s">
        <v>7843</v>
      </c>
      <c r="B6243" s="4" t="s">
        <v>7845</v>
      </c>
      <c r="C6243" s="5" t="str">
        <f>IFERROR(__xludf.DUMMYFUNCTION("GOOGLETRANSLATE(B6243,""en"",""it"")"),"I bambini corrono su e giù per un lato e continuano a cavalcare lungo la diapositiva.")</f>
        <v>I bambini corrono su e giù per un lato e continuano a cavalcare lungo la diapositiva.</v>
      </c>
    </row>
    <row r="6244">
      <c r="A6244" s="4" t="s">
        <v>7843</v>
      </c>
      <c r="B6244" s="4" t="s">
        <v>7846</v>
      </c>
      <c r="C6244" s="5" t="str">
        <f>IFERROR(__xludf.DUMMYFUNCTION("GOOGLETRANSLATE(B6244,""en"",""it"")"),"La fotocamera si panoramica intorno alle diapositive e mostra ai bambini che scendono.")</f>
        <v>La fotocamera si panoramica intorno alle diapositive e mostra ai bambini che scendono.</v>
      </c>
    </row>
    <row r="6245">
      <c r="A6245" s="4" t="s">
        <v>7847</v>
      </c>
      <c r="B6245" s="4" t="s">
        <v>7848</v>
      </c>
      <c r="C6245" s="5" t="str">
        <f>IFERROR(__xludf.DUMMYFUNCTION("GOOGLETRANSLATE(B6245,""en"",""it"")"),"Una donna fa una routine di condimento per capelli sfiorando i capelli.")</f>
        <v>Una donna fa una routine di condimento per capelli sfiorando i capelli.</v>
      </c>
    </row>
    <row r="6246">
      <c r="A6246" s="4" t="s">
        <v>7847</v>
      </c>
      <c r="B6246" s="4" t="s">
        <v>7849</v>
      </c>
      <c r="C6246" s="5" t="str">
        <f>IFERROR(__xludf.DUMMYFUNCTION("GOOGLETRANSLATE(B6246,""en"",""it"")"),"La donna si siede e ha il parrucchiere che lavora la sua magia in meno di dieci minuti.")</f>
        <v>La donna si siede e ha il parrucchiere che lavora la sua magia in meno di dieci minuti.</v>
      </c>
    </row>
    <row r="6247">
      <c r="A6247" s="4" t="s">
        <v>7850</v>
      </c>
      <c r="B6247" s="4" t="s">
        <v>7851</v>
      </c>
      <c r="C6247" s="5" t="str">
        <f>IFERROR(__xludf.DUMMYFUNCTION("GOOGLETRANSLATE(B6247,""en"",""it"")"),"Una donna dipinge una cornice quadrata con le gambe.")</f>
        <v>Una donna dipinge una cornice quadrata con le gambe.</v>
      </c>
    </row>
    <row r="6248">
      <c r="A6248" s="4" t="s">
        <v>7850</v>
      </c>
      <c r="B6248" s="4" t="s">
        <v>7852</v>
      </c>
      <c r="C6248" s="5" t="str">
        <f>IFERROR(__xludf.DUMMYFUNCTION("GOOGLETRANSLATE(B6248,""en"",""it"")"),"Lo gira e dipinge un altro lato.")</f>
        <v>Lo gira e dipinge un altro lato.</v>
      </c>
    </row>
    <row r="6249">
      <c r="A6249" s="4" t="s">
        <v>7850</v>
      </c>
      <c r="B6249" s="4" t="s">
        <v>7853</v>
      </c>
      <c r="C6249" s="5" t="str">
        <f>IFERROR(__xludf.DUMMYFUNCTION("GOOGLETRANSLATE(B6249,""en"",""it"")"),"La fotocamera si panoramica ai fiori.")</f>
        <v>La fotocamera si panoramica ai fiori.</v>
      </c>
    </row>
    <row r="6250">
      <c r="A6250" s="4" t="s">
        <v>7854</v>
      </c>
      <c r="B6250" s="4" t="s">
        <v>7855</v>
      </c>
      <c r="C6250" s="5" t="str">
        <f>IFERROR(__xludf.DUMMYFUNCTION("GOOGLETRANSLATE(B6250,""en"",""it"")"),"Una persona è vista seduta su una sedia con una donna in piedi dietro di lui che si taglia i capelli.")</f>
        <v>Una persona è vista seduta su una sedia con una donna in piedi dietro di lui che si taglia i capelli.</v>
      </c>
    </row>
    <row r="6251">
      <c r="A6251" s="4" t="s">
        <v>7854</v>
      </c>
      <c r="B6251" s="4" t="s">
        <v>7856</v>
      </c>
      <c r="C6251" s="5" t="str">
        <f>IFERROR(__xludf.DUMMYFUNCTION("GOOGLETRANSLATE(B6251,""en"",""it"")"),"Si abbraccia continuamente i capelli e li misura lungo il lato.")</f>
        <v>Si abbraccia continuamente i capelli e li misura lungo il lato.</v>
      </c>
    </row>
    <row r="6252">
      <c r="A6252" s="4" t="s">
        <v>7854</v>
      </c>
      <c r="B6252" s="4" t="s">
        <v>7857</v>
      </c>
      <c r="C6252" s="5" t="str">
        <f>IFERROR(__xludf.DUMMYFUNCTION("GOOGLETRANSLATE(B6252,""en"",""it"")"),"Alla fine finisce il taglio e si allontana dal suo viso.")</f>
        <v>Alla fine finisce il taglio e si allontana dal suo viso.</v>
      </c>
    </row>
    <row r="6253">
      <c r="A6253" s="4" t="s">
        <v>7858</v>
      </c>
      <c r="B6253" s="6" t="s">
        <v>7859</v>
      </c>
      <c r="C6253" s="5" t="str">
        <f>IFERROR(__xludf.DUMMYFUNCTION("GOOGLETRANSLATE(B6253,""en"",""it"")"),"Una persona pulisce uno schermo della finestra, quindi mette il detergente sulla parte inferiore della finestra e spazzola.")</f>
        <v>Una persona pulisce uno schermo della finestra, quindi mette il detergente sulla parte inferiore della finestra e spazzola.</v>
      </c>
    </row>
    <row r="6254">
      <c r="A6254" s="4" t="s">
        <v>7858</v>
      </c>
      <c r="B6254" s="4" t="s">
        <v>7860</v>
      </c>
      <c r="C6254" s="5" t="str">
        <f>IFERROR(__xludf.DUMMYFUNCTION("GOOGLETRANSLATE(B6254,""en"",""it"")"),"Quindi, la persona pulisce i bordi della finestra con un panno e mostra lo sporco nel panno.")</f>
        <v>Quindi, la persona pulisce i bordi della finestra con un panno e mostra lo sporco nel panno.</v>
      </c>
    </row>
    <row r="6255">
      <c r="A6255" s="4" t="s">
        <v>7858</v>
      </c>
      <c r="B6255" s="6" t="s">
        <v>7861</v>
      </c>
      <c r="C6255" s="5" t="str">
        <f>IFERROR(__xludf.DUMMYFUNCTION("GOOGLETRANSLATE(B6255,""en"",""it"")"),"Dopo, la persona prende una bottiglia dal davanzale e continua a pulire i bordi dello schermo della finestra.")</f>
        <v>Dopo, la persona prende una bottiglia dal davanzale e continua a pulire i bordi dello schermo della finestra.</v>
      </c>
    </row>
    <row r="6256">
      <c r="A6256" s="4" t="s">
        <v>7862</v>
      </c>
      <c r="B6256" s="4" t="s">
        <v>7863</v>
      </c>
      <c r="C6256" s="5" t="str">
        <f>IFERROR(__xludf.DUMMYFUNCTION("GOOGLETRANSLATE(B6256,""en"",""it"")"),"Una giovane donna è seduta su un passo e poi un poster che dice che posso farlo.")</f>
        <v>Una giovane donna è seduta su un passo e poi un poster che dice che posso farlo.</v>
      </c>
    </row>
    <row r="6257">
      <c r="A6257" s="4" t="s">
        <v>7862</v>
      </c>
      <c r="B6257" s="4" t="s">
        <v>7864</v>
      </c>
      <c r="C6257" s="5" t="str">
        <f>IFERROR(__xludf.DUMMYFUNCTION("GOOGLETRANSLATE(B6257,""en"",""it"")"),"La ragazza torna e continua a parlare di ciò che sta per fare.")</f>
        <v>La ragazza torna e continua a parlare di ciò che sta per fare.</v>
      </c>
    </row>
    <row r="6258">
      <c r="A6258" s="4" t="s">
        <v>7862</v>
      </c>
      <c r="B6258" s="4" t="s">
        <v>7865</v>
      </c>
      <c r="C6258" s="5" t="str">
        <f>IFERROR(__xludf.DUMMYFUNCTION("GOOGLETRANSLATE(B6258,""en"",""it"")"),"Quindi fa apparire un coltello e ne parla mentre la telecamera si ingrandisce.")</f>
        <v>Quindi fa apparire un coltello e ne parla mentre la telecamera si ingrandisce.</v>
      </c>
    </row>
    <row r="6259">
      <c r="A6259" s="4" t="s">
        <v>7862</v>
      </c>
      <c r="B6259" s="6" t="s">
        <v>7866</v>
      </c>
      <c r="C6259" s="5" t="str">
        <f>IFERROR(__xludf.DUMMYFUNCTION("GOOGLETRANSLATE(B6259,""en"",""it"")"),"Quindi inizia a tagliare un bastone e le parole vengono visualizzate nella parte inferiore che mostrano i passaggi necessari per completare il fuoco.")</f>
        <v>Quindi inizia a tagliare un bastone e le parole vengono visualizzate nella parte inferiore che mostrano i passaggi necessari per completare il fuoco.</v>
      </c>
    </row>
    <row r="6260">
      <c r="A6260" s="4" t="s">
        <v>7862</v>
      </c>
      <c r="B6260" s="4" t="s">
        <v>7867</v>
      </c>
      <c r="C6260" s="5" t="str">
        <f>IFERROR(__xludf.DUMMYFUNCTION("GOOGLETRANSLATE(B6260,""en"",""it"")"),"Viene tirato fuori un coltello tascabile e inizia a tagliare un piccolo pezzo di esca.")</f>
        <v>Viene tirato fuori un coltello tascabile e inizia a tagliare un piccolo pezzo di esca.</v>
      </c>
    </row>
    <row r="6261">
      <c r="A6261" s="4" t="s">
        <v>7868</v>
      </c>
      <c r="B6261" s="4" t="s">
        <v>7869</v>
      </c>
      <c r="C6261" s="5" t="str">
        <f>IFERROR(__xludf.DUMMYFUNCTION("GOOGLETRANSLATE(B6261,""en"",""it"")"),"Un uomo che indossa un orecchino guarda di lato.")</f>
        <v>Un uomo che indossa un orecchino guarda di lato.</v>
      </c>
    </row>
    <row r="6262">
      <c r="A6262" s="4" t="s">
        <v>7868</v>
      </c>
      <c r="B6262" s="4" t="s">
        <v>7870</v>
      </c>
      <c r="C6262" s="5" t="str">
        <f>IFERROR(__xludf.DUMMYFUNCTION("GOOGLETRANSLATE(B6262,""en"",""it"")"),"Viene mostrato alzare un arco e una freccia, mirando, quindi sparando al suo bersaglio.")</f>
        <v>Viene mostrato alzare un arco e una freccia, mirando, quindi sparando al suo bersaglio.</v>
      </c>
    </row>
    <row r="6263">
      <c r="A6263" s="4" t="s">
        <v>7868</v>
      </c>
      <c r="B6263" s="4" t="s">
        <v>7871</v>
      </c>
      <c r="C6263" s="5" t="str">
        <f>IFERROR(__xludf.DUMMYFUNCTION("GOOGLETRANSLATE(B6263,""en"",""it"")"),"La scena si ripete più volte.")</f>
        <v>La scena si ripete più volte.</v>
      </c>
    </row>
    <row r="6264">
      <c r="A6264" s="4" t="s">
        <v>7872</v>
      </c>
      <c r="B6264" s="4" t="s">
        <v>7873</v>
      </c>
      <c r="C6264" s="5" t="str">
        <f>IFERROR(__xludf.DUMMYFUNCTION("GOOGLETRANSLATE(B6264,""en"",""it"")"),"Viene mostrato un video di time lapse di persone che camminano in una casa.")</f>
        <v>Viene mostrato un video di time lapse di persone che camminano in una casa.</v>
      </c>
    </row>
    <row r="6265">
      <c r="A6265" s="4" t="s">
        <v>7872</v>
      </c>
      <c r="B6265" s="4" t="s">
        <v>7874</v>
      </c>
      <c r="C6265" s="5" t="str">
        <f>IFERROR(__xludf.DUMMYFUNCTION("GOOGLETRANSLATE(B6265,""en"",""it"")"),"Più tardi, iniziano a mettere su un albero di Natale con due persone coinvolte nel processo.")</f>
        <v>Più tardi, iniziano a mettere su un albero di Natale con due persone coinvolte nel processo.</v>
      </c>
    </row>
    <row r="6266">
      <c r="A6266" s="4" t="s">
        <v>7872</v>
      </c>
      <c r="B6266" s="4" t="s">
        <v>7875</v>
      </c>
      <c r="C6266" s="5" t="str">
        <f>IFERROR(__xludf.DUMMYFUNCTION("GOOGLETRANSLATE(B6266,""en"",""it"")"),"Mettono le luci sull'albero e le illuminano.")</f>
        <v>Mettono le luci sull'albero e le illuminano.</v>
      </c>
    </row>
    <row r="6267">
      <c r="A6267" s="4" t="s">
        <v>7872</v>
      </c>
      <c r="B6267" s="4" t="s">
        <v>7876</v>
      </c>
      <c r="C6267" s="5" t="str">
        <f>IFERROR(__xludf.DUMMYFUNCTION("GOOGLETRANSLATE(B6267,""en"",""it"")"),"Successivamente, iniziano a mettere diversi ornamenti sull'albero.")</f>
        <v>Successivamente, iniziano a mettere diversi ornamenti sull'albero.</v>
      </c>
    </row>
    <row r="6268">
      <c r="A6268" s="4" t="s">
        <v>7872</v>
      </c>
      <c r="B6268" s="4" t="s">
        <v>7877</v>
      </c>
      <c r="C6268" s="5" t="str">
        <f>IFERROR(__xludf.DUMMYFUNCTION("GOOGLETRANSLATE(B6268,""en"",""it"")"),"Infine, hanno messo la gonna sotto l'albero e terminano il video con un bacio.")</f>
        <v>Infine, hanno messo la gonna sotto l'albero e terminano il video con un bacio.</v>
      </c>
    </row>
    <row r="6269">
      <c r="A6269" s="4" t="s">
        <v>7878</v>
      </c>
      <c r="B6269" s="4" t="s">
        <v>7879</v>
      </c>
      <c r="C6269" s="5" t="str">
        <f>IFERROR(__xludf.DUMMYFUNCTION("GOOGLETRANSLATE(B6269,""en"",""it"")"),"La band è sul palco e il front man sta cantando.")</f>
        <v>La band è sul palco e il front man sta cantando.</v>
      </c>
    </row>
    <row r="6270">
      <c r="A6270" s="4" t="s">
        <v>7878</v>
      </c>
      <c r="B6270" s="4" t="s">
        <v>7880</v>
      </c>
      <c r="C6270" s="5" t="str">
        <f>IFERROR(__xludf.DUMMYFUNCTION("GOOGLETRANSLATE(B6270,""en"",""it"")"),"La donna suona la batteria indossando un berretto nero.")</f>
        <v>La donna suona la batteria indossando un berretto nero.</v>
      </c>
    </row>
    <row r="6271">
      <c r="A6271" s="4" t="s">
        <v>7881</v>
      </c>
      <c r="B6271" s="4" t="s">
        <v>7882</v>
      </c>
      <c r="C6271" s="5" t="str">
        <f>IFERROR(__xludf.DUMMYFUNCTION("GOOGLETRANSLATE(B6271,""en"",""it"")"),"Un giardino è mostrato dall'esterno di una casa.")</f>
        <v>Un giardino è mostrato dall'esterno di una casa.</v>
      </c>
    </row>
    <row r="6272">
      <c r="A6272" s="4" t="s">
        <v>7881</v>
      </c>
      <c r="B6272" s="4" t="s">
        <v>7883</v>
      </c>
      <c r="C6272" s="5" t="str">
        <f>IFERROR(__xludf.DUMMYFUNCTION("GOOGLETRANSLATE(B6272,""en"",""it"")"),"La fotocamera si gira per accogliere varie piante e fiori.")</f>
        <v>La fotocamera si gira per accogliere varie piante e fiori.</v>
      </c>
    </row>
    <row r="6273">
      <c r="A6273" s="4" t="s">
        <v>7881</v>
      </c>
      <c r="B6273" s="4" t="s">
        <v>7884</v>
      </c>
      <c r="C6273" s="5" t="str">
        <f>IFERROR(__xludf.DUMMYFUNCTION("GOOGLETRANSLATE(B6273,""en"",""it"")"),"Quindi diamo una buona occhiata all'erba.")</f>
        <v>Quindi diamo una buona occhiata all'erba.</v>
      </c>
    </row>
    <row r="6274">
      <c r="A6274" s="4" t="s">
        <v>7885</v>
      </c>
      <c r="B6274" s="4" t="s">
        <v>7886</v>
      </c>
      <c r="C6274" s="5" t="str">
        <f>IFERROR(__xludf.DUMMYFUNCTION("GOOGLETRANSLATE(B6274,""en"",""it"")"),"I ragazzi si bilanciano su linee e fanno vari trucchi.")</f>
        <v>I ragazzi si bilanciano su linee e fanno vari trucchi.</v>
      </c>
    </row>
    <row r="6275">
      <c r="A6275" s="4" t="s">
        <v>7885</v>
      </c>
      <c r="B6275" s="6" t="s">
        <v>7887</v>
      </c>
      <c r="C6275" s="5" t="str">
        <f>IFERROR(__xludf.DUMMYFUNCTION("GOOGLETRANSLATE(B6275,""en"",""it"")"),"La gente si bilancia su una linea allentata in un parco e cammina lentamente attraverso la lunghezza della corda tra due alberi.")</f>
        <v>La gente si bilancia su una linea allentata in un parco e cammina lentamente attraverso la lunghezza della corda tra due alberi.</v>
      </c>
    </row>
    <row r="6276">
      <c r="A6276" s="4" t="s">
        <v>7885</v>
      </c>
      <c r="B6276" s="4" t="s">
        <v>7888</v>
      </c>
      <c r="C6276" s="5" t="str">
        <f>IFERROR(__xludf.DUMMYFUNCTION("GOOGLETRANSLATE(B6276,""en"",""it"")"),"I ragazzi si bilanciano attraverso una linea allentata collocata su un piccolo stagno in un parco.")</f>
        <v>I ragazzi si bilanciano attraverso una linea allentata collocata su un piccolo stagno in un parco.</v>
      </c>
    </row>
    <row r="6277">
      <c r="A6277" s="4" t="s">
        <v>7889</v>
      </c>
      <c r="B6277" s="4" t="s">
        <v>7890</v>
      </c>
      <c r="C6277" s="5" t="str">
        <f>IFERROR(__xludf.DUMMYFUNCTION("GOOGLETRANSLATE(B6277,""en"",""it"")"),"La donna è seduta in un marciapiede a parlare con la telecamera accanto a un secchio verde.")</f>
        <v>La donna è seduta in un marciapiede a parlare con la telecamera accanto a un secchio verde.</v>
      </c>
    </row>
    <row r="6278">
      <c r="A6278" s="4" t="s">
        <v>7889</v>
      </c>
      <c r="B6278" s="4" t="s">
        <v>7891</v>
      </c>
      <c r="C6278" s="5" t="str">
        <f>IFERROR(__xludf.DUMMYFUNCTION("GOOGLETRANSLATE(B6278,""en"",""it"")"),"La donna sta saltando sul marciapiede giocando a trucco.")</f>
        <v>La donna sta saltando sul marciapiede giocando a trucco.</v>
      </c>
    </row>
    <row r="6279">
      <c r="A6279" s="4" t="s">
        <v>7889</v>
      </c>
      <c r="B6279" s="4" t="s">
        <v>7892</v>
      </c>
      <c r="C6279" s="5" t="str">
        <f>IFERROR(__xludf.DUMMYFUNCTION("GOOGLETRANSLATE(B6279,""en"",""it"")"),"Un'altra donna è nel marciapiede che salta il trucco.")</f>
        <v>Un'altra donna è nel marciapiede che salta il trucco.</v>
      </c>
    </row>
    <row r="6280">
      <c r="A6280" s="4" t="s">
        <v>7893</v>
      </c>
      <c r="B6280" s="4" t="s">
        <v>7894</v>
      </c>
      <c r="C6280" s="5" t="str">
        <f>IFERROR(__xludf.DUMMYFUNCTION("GOOGLETRANSLATE(B6280,""en"",""it"")"),"Una banda è seduta all'esterno sull'asfalto.")</f>
        <v>Una banda è seduta all'esterno sull'asfalto.</v>
      </c>
    </row>
    <row r="6281">
      <c r="A6281" s="4" t="s">
        <v>7893</v>
      </c>
      <c r="B6281" s="4" t="s">
        <v>7895</v>
      </c>
      <c r="C6281" s="5" t="str">
        <f>IFERROR(__xludf.DUMMYFUNCTION("GOOGLETRANSLATE(B6281,""en"",""it"")"),"Stanno suonando una serie di tamburi con bastoncini e le loro mani.")</f>
        <v>Stanno suonando una serie di tamburi con bastoncini e le loro mani.</v>
      </c>
    </row>
    <row r="6282">
      <c r="A6282" s="4" t="s">
        <v>7893</v>
      </c>
      <c r="B6282" s="4" t="s">
        <v>7896</v>
      </c>
      <c r="C6282" s="5" t="str">
        <f>IFERROR(__xludf.DUMMYFUNCTION("GOOGLETRANSLATE(B6282,""en"",""it"")"),"Numerose persone passano a piedi e in bicicletta.")</f>
        <v>Numerose persone passano a piedi e in bicicletta.</v>
      </c>
    </row>
    <row r="6283">
      <c r="A6283" s="4" t="s">
        <v>7897</v>
      </c>
      <c r="B6283" s="4" t="s">
        <v>7898</v>
      </c>
      <c r="C6283" s="5" t="str">
        <f>IFERROR(__xludf.DUMMYFUNCTION("GOOGLETRANSLATE(B6283,""en"",""it"")"),"Le persone saltano la corda su un palco.")</f>
        <v>Le persone saltano la corda su un palco.</v>
      </c>
    </row>
    <row r="6284">
      <c r="A6284" s="4" t="s">
        <v>7897</v>
      </c>
      <c r="B6284" s="4" t="s">
        <v>7899</v>
      </c>
      <c r="C6284" s="5" t="str">
        <f>IFERROR(__xludf.DUMMYFUNCTION("GOOGLETRANSLATE(B6284,""en"",""it"")"),"Cambiano luoghi e una persona diversa inizia a saltare.")</f>
        <v>Cambiano luoghi e una persona diversa inizia a saltare.</v>
      </c>
    </row>
    <row r="6285">
      <c r="A6285" s="4" t="s">
        <v>7897</v>
      </c>
      <c r="B6285" s="4" t="s">
        <v>7900</v>
      </c>
      <c r="C6285" s="5" t="str">
        <f>IFERROR(__xludf.DUMMYFUNCTION("GOOGLETRANSLATE(B6285,""en"",""it"")"),"Un uomo si alza e tiene la corda del salto.")</f>
        <v>Un uomo si alza e tiene la corda del salto.</v>
      </c>
    </row>
    <row r="6286">
      <c r="A6286" s="4" t="s">
        <v>7901</v>
      </c>
      <c r="B6286" s="4" t="s">
        <v>7902</v>
      </c>
      <c r="C6286" s="5" t="str">
        <f>IFERROR(__xludf.DUMMYFUNCTION("GOOGLETRANSLATE(B6286,""en"",""it"")"),"Viene mostrata la provincia di Albay Seal.")</f>
        <v>Viene mostrata la provincia di Albay Seal.</v>
      </c>
    </row>
    <row r="6287">
      <c r="A6287" s="4" t="s">
        <v>7901</v>
      </c>
      <c r="B6287" s="4" t="s">
        <v>7903</v>
      </c>
      <c r="C6287" s="5" t="str">
        <f>IFERROR(__xludf.DUMMYFUNCTION("GOOGLETRANSLATE(B6287,""en"",""it"")"),"Diversi membri del team sono in campo all'aperto, giocando a pallavolo.")</f>
        <v>Diversi membri del team sono in campo all'aperto, giocando a pallavolo.</v>
      </c>
    </row>
    <row r="6288">
      <c r="A6288" s="4" t="s">
        <v>7901</v>
      </c>
      <c r="B6288" s="4" t="s">
        <v>7904</v>
      </c>
      <c r="C6288" s="5" t="str">
        <f>IFERROR(__xludf.DUMMYFUNCTION("GOOGLETRANSLATE(B6288,""en"",""it"")"),"Lanciano la palla avanti e indietro sopra la rete di fronte a un pubblico.")</f>
        <v>Lanciano la palla avanti e indietro sopra la rete di fronte a un pubblico.</v>
      </c>
    </row>
    <row r="6289">
      <c r="A6289" s="4" t="s">
        <v>7901</v>
      </c>
      <c r="B6289" s="4" t="s">
        <v>7905</v>
      </c>
      <c r="C6289" s="5" t="str">
        <f>IFERROR(__xludf.DUMMYFUNCTION("GOOGLETRANSLATE(B6289,""en"",""it"")"),"Successivamente, festeggiano, ridono e sorridono.")</f>
        <v>Successivamente, festeggiano, ridono e sorridono.</v>
      </c>
    </row>
    <row r="6290">
      <c r="A6290" s="4" t="s">
        <v>7906</v>
      </c>
      <c r="B6290" s="4" t="s">
        <v>7907</v>
      </c>
      <c r="C6290" s="5" t="str">
        <f>IFERROR(__xludf.DUMMYFUNCTION("GOOGLETRANSLATE(B6290,""en"",""it"")"),"Ci sono due uomini in boxe in una sala boxe interna che ha specchi su un intero muro.")</f>
        <v>Ci sono due uomini in boxe in una sala boxe interna che ha specchi su un intero muro.</v>
      </c>
    </row>
    <row r="6291">
      <c r="A6291" s="4" t="s">
        <v>7906</v>
      </c>
      <c r="B6291" s="4" t="s">
        <v>7908</v>
      </c>
      <c r="C6291" s="5" t="str">
        <f>IFERROR(__xludf.DUMMYFUNCTION("GOOGLETRANSLATE(B6291,""en"",""it"")"),"C'è un'altra persona in piedi nella stessa stanza che sta registrando loro lotta.")</f>
        <v>C'è un'altra persona in piedi nella stessa stanza che sta registrando loro lotta.</v>
      </c>
    </row>
    <row r="6292">
      <c r="A6292" s="4" t="s">
        <v>7906</v>
      </c>
      <c r="B6292" s="4" t="s">
        <v>7909</v>
      </c>
      <c r="C6292" s="5" t="str">
        <f>IFERROR(__xludf.DUMMYFUNCTION("GOOGLETRANSLATE(B6292,""en"",""it"")"),"Il pugile nei pantaloncini rossi colpisce il pugile nei pantaloncini neri.")</f>
        <v>Il pugile nei pantaloncini rossi colpisce il pugile nei pantaloncini neri.</v>
      </c>
    </row>
    <row r="6293">
      <c r="A6293" s="4" t="s">
        <v>7906</v>
      </c>
      <c r="B6293" s="4" t="s">
        <v>7910</v>
      </c>
      <c r="C6293" s="5" t="str">
        <f>IFERROR(__xludf.DUMMYFUNCTION("GOOGLETRANSLATE(B6293,""en"",""it"")"),"Il pugile in nero cade e atterra sulla schiena e geme.")</f>
        <v>Il pugile in nero cade e atterra sulla schiena e geme.</v>
      </c>
    </row>
    <row r="6294">
      <c r="A6294" s="4" t="s">
        <v>7906</v>
      </c>
      <c r="B6294" s="4" t="s">
        <v>7911</v>
      </c>
      <c r="C6294" s="5" t="str">
        <f>IFERROR(__xludf.DUMMYFUNCTION("GOOGLETRANSLATE(B6294,""en"",""it"")"),"Quindi si alza mentre il pugile in rosso cammina intorno a lui.")</f>
        <v>Quindi si alza mentre il pugile in rosso cammina intorno a lui.</v>
      </c>
    </row>
    <row r="6295">
      <c r="A6295" s="4" t="s">
        <v>7912</v>
      </c>
      <c r="B6295" s="4" t="s">
        <v>7913</v>
      </c>
      <c r="C6295" s="5" t="str">
        <f>IFERROR(__xludf.DUMMYFUNCTION("GOOGLETRANSLATE(B6295,""en"",""it"")"),"Un giovane indossa cuffie e in piedi davanti a un microfono.")</f>
        <v>Un giovane indossa cuffie e in piedi davanti a un microfono.</v>
      </c>
    </row>
    <row r="6296">
      <c r="A6296" s="4" t="s">
        <v>7912</v>
      </c>
      <c r="B6296" s="4" t="s">
        <v>7914</v>
      </c>
      <c r="C6296" s="5" t="str">
        <f>IFERROR(__xludf.DUMMYFUNCTION("GOOGLETRANSLATE(B6296,""en"",""it"")"),"Comincia a suonare il violino.")</f>
        <v>Comincia a suonare il violino.</v>
      </c>
    </row>
    <row r="6297">
      <c r="A6297" s="4" t="s">
        <v>7912</v>
      </c>
      <c r="B6297" s="4" t="s">
        <v>7915</v>
      </c>
      <c r="C6297" s="5" t="str">
        <f>IFERROR(__xludf.DUMMYFUNCTION("GOOGLETRANSLATE(B6297,""en"",""it"")"),"Chiude gli occhi, ascoltando se stesso mentre gioca.")</f>
        <v>Chiude gli occhi, ascoltando se stesso mentre gioca.</v>
      </c>
    </row>
    <row r="6298">
      <c r="A6298" s="4" t="s">
        <v>7916</v>
      </c>
      <c r="B6298" s="4" t="s">
        <v>7917</v>
      </c>
      <c r="C6298" s="5" t="str">
        <f>IFERROR(__xludf.DUMMYFUNCTION("GOOGLETRANSLATE(B6298,""en"",""it"")"),"Viene mostrata una sala da palestra con diverse grandi borse da boxe allineate lungo il perimetro della stanza.")</f>
        <v>Viene mostrata una sala da palestra con diverse grandi borse da boxe allineate lungo il perimetro della stanza.</v>
      </c>
    </row>
    <row r="6299">
      <c r="A6299" s="4" t="s">
        <v>7916</v>
      </c>
      <c r="B6299" s="4" t="s">
        <v>7918</v>
      </c>
      <c r="C6299" s="5" t="str">
        <f>IFERROR(__xludf.DUMMYFUNCTION("GOOGLETRANSLATE(B6299,""en"",""it"")"),"Un gruppo di ragazzi viene quindi nell'edificio e iniziano a correre intorno alle borse come un riscaldamento.")</f>
        <v>Un gruppo di ragazzi viene quindi nell'edificio e iniziano a correre intorno alle borse come un riscaldamento.</v>
      </c>
    </row>
    <row r="6300">
      <c r="A6300" s="4" t="s">
        <v>7916</v>
      </c>
      <c r="B6300" s="6" t="s">
        <v>7919</v>
      </c>
      <c r="C6300" s="5" t="str">
        <f>IFERROR(__xludf.DUMMYFUNCTION("GOOGLETRANSLATE(B6300,""en"",""it"")"),"Una volta che sono finiti, gli uomini si accoppiano tra loro e tre gruppi vengono mostrati a bordo.")</f>
        <v>Una volta che sono finiti, gli uomini si accoppiano tra loro e tre gruppi vengono mostrati a bordo.</v>
      </c>
    </row>
    <row r="6301">
      <c r="A6301" s="4" t="s">
        <v>7916</v>
      </c>
      <c r="B6301" s="6" t="s">
        <v>7920</v>
      </c>
      <c r="C6301" s="5" t="str">
        <f>IFERROR(__xludf.DUMMYFUNCTION("GOOGLETRANSLATE(B6301,""en"",""it"")"),"Un adesivo per paraurti sembra quindi dire: ""Tieni gli occhi sul premio"" e poi più coppie di uomini iniziano a calciare la boxe.")</f>
        <v>Un adesivo per paraurti sembra quindi dire: "Tieni gli occhi sul premio" e poi più coppie di uomini iniziano a calciare la boxe.</v>
      </c>
    </row>
    <row r="6302">
      <c r="A6302" s="4" t="s">
        <v>7921</v>
      </c>
      <c r="B6302" s="4" t="s">
        <v>7922</v>
      </c>
      <c r="C6302" s="5" t="str">
        <f>IFERROR(__xludf.DUMMYFUNCTION("GOOGLETRANSLATE(B6302,""en"",""it"")"),"Un uomo è in un cortile con una mazza da cricket.")</f>
        <v>Un uomo è in un cortile con una mazza da cricket.</v>
      </c>
    </row>
    <row r="6303">
      <c r="A6303" s="4" t="s">
        <v>7921</v>
      </c>
      <c r="B6303" s="4" t="s">
        <v>7923</v>
      </c>
      <c r="C6303" s="5" t="str">
        <f>IFERROR(__xludf.DUMMYFUNCTION("GOOGLETRANSLATE(B6303,""en"",""it"")"),"Cappa la mazza ancora e ancora.")</f>
        <v>Cappa la mazza ancora e ancora.</v>
      </c>
    </row>
    <row r="6304">
      <c r="A6304" s="4" t="s">
        <v>7921</v>
      </c>
      <c r="B6304" s="4" t="s">
        <v>7924</v>
      </c>
      <c r="C6304" s="5" t="str">
        <f>IFERROR(__xludf.DUMMYFUNCTION("GOOGLETRANSLATE(B6304,""en"",""it"")"),"Incontra, poi calcia la palla in aria, colpendola.")</f>
        <v>Incontra, poi calcia la palla in aria, colpendola.</v>
      </c>
    </row>
    <row r="6305">
      <c r="A6305" s="4" t="s">
        <v>7925</v>
      </c>
      <c r="B6305" s="4" t="s">
        <v>7926</v>
      </c>
      <c r="C6305" s="5" t="str">
        <f>IFERROR(__xludf.DUMMYFUNCTION("GOOGLETRANSLATE(B6305,""en"",""it"")"),"Una donna è in piedi su una pista a parlare.")</f>
        <v>Una donna è in piedi su una pista a parlare.</v>
      </c>
    </row>
    <row r="6306">
      <c r="A6306" s="4" t="s">
        <v>7925</v>
      </c>
      <c r="B6306" s="4" t="s">
        <v>7927</v>
      </c>
      <c r="C6306" s="5" t="str">
        <f>IFERROR(__xludf.DUMMYFUNCTION("GOOGLETRANSLATE(B6306,""en"",""it"")"),"Salta in un mucchio di sabbia.")</f>
        <v>Salta in un mucchio di sabbia.</v>
      </c>
    </row>
    <row r="6307">
      <c r="A6307" s="4" t="s">
        <v>7925</v>
      </c>
      <c r="B6307" s="4" t="s">
        <v>7928</v>
      </c>
      <c r="C6307" s="5" t="str">
        <f>IFERROR(__xludf.DUMMYFUNCTION("GOOGLETRANSLATE(B6307,""en"",""it"")"),"Sta correndo lungo la pista.")</f>
        <v>Sta correndo lungo la pista.</v>
      </c>
    </row>
    <row r="6308">
      <c r="A6308" s="4" t="s">
        <v>7925</v>
      </c>
      <c r="B6308" s="4" t="s">
        <v>7929</v>
      </c>
      <c r="C6308" s="5" t="str">
        <f>IFERROR(__xludf.DUMMYFUNCTION("GOOGLETRANSLATE(B6308,""en"",""it"")"),"La mostra che si allunga e salta in un mucchio di sabbia.")</f>
        <v>La mostra che si allunga e salta in un mucchio di sabbia.</v>
      </c>
    </row>
    <row r="6309">
      <c r="A6309" s="4" t="s">
        <v>7930</v>
      </c>
      <c r="B6309" s="6" t="s">
        <v>7931</v>
      </c>
      <c r="C6309" s="5" t="str">
        <f>IFERROR(__xludf.DUMMYFUNCTION("GOOGLETRANSLATE(B6309,""en"",""it"")"),"La telecamera si lancia attorno a un folto gruppo di persone che vagano e conducono a persone che giocano una partita di calcio.")</f>
        <v>La telecamera si lancia attorno a un folto gruppo di persone che vagano e conducono a persone che giocano una partita di calcio.</v>
      </c>
    </row>
    <row r="6310">
      <c r="A6310" s="4" t="s">
        <v>7930</v>
      </c>
      <c r="B6310" s="4" t="s">
        <v>7932</v>
      </c>
      <c r="C6310" s="5" t="str">
        <f>IFERROR(__xludf.DUMMYFUNCTION("GOOGLETRANSLATE(B6310,""en"",""it"")"),"I giocatori vengono mostrati a guardare sul lato e mostrano più colpi della gente e della città.")</f>
        <v>I giocatori vengono mostrati a guardare sul lato e mostrano più colpi della gente e della città.</v>
      </c>
    </row>
    <row r="6311">
      <c r="A6311" s="4" t="s">
        <v>7933</v>
      </c>
      <c r="B6311" s="4" t="s">
        <v>7934</v>
      </c>
      <c r="C6311" s="5" t="str">
        <f>IFERROR(__xludf.DUMMYFUNCTION("GOOGLETRANSLATE(B6311,""en"",""it"")"),"Un ragazzo scherza seduto a un tamburo.")</f>
        <v>Un ragazzo scherza seduto a un tamburo.</v>
      </c>
    </row>
    <row r="6312">
      <c r="A6312" s="4" t="s">
        <v>7933</v>
      </c>
      <c r="B6312" s="4" t="s">
        <v>7935</v>
      </c>
      <c r="C6312" s="5" t="str">
        <f>IFERROR(__xludf.DUMMYFUNCTION("GOOGLETRANSLATE(B6312,""en"",""it"")"),"Un ragazzo suona un tamburo a casa.")</f>
        <v>Un ragazzo suona un tamburo a casa.</v>
      </c>
    </row>
    <row r="6313">
      <c r="A6313" s="4" t="s">
        <v>7933</v>
      </c>
      <c r="B6313" s="4" t="s">
        <v>7936</v>
      </c>
      <c r="C6313" s="5" t="str">
        <f>IFERROR(__xludf.DUMMYFUNCTION("GOOGLETRANSLATE(B6313,""en"",""it"")"),"I genitori guardano il ragazzo suonare la batteria.")</f>
        <v>I genitori guardano il ragazzo suonare la batteria.</v>
      </c>
    </row>
    <row r="6314">
      <c r="A6314" s="4" t="s">
        <v>7937</v>
      </c>
      <c r="B6314" s="4" t="s">
        <v>7938</v>
      </c>
      <c r="C6314" s="5" t="str">
        <f>IFERROR(__xludf.DUMMYFUNCTION("GOOGLETRANSLATE(B6314,""en"",""it"")"),"Una mano sta strofinando un gesso su una punta blu.")</f>
        <v>Una mano sta strofinando un gesso su una punta blu.</v>
      </c>
    </row>
    <row r="6315">
      <c r="A6315" s="4" t="s">
        <v>7937</v>
      </c>
      <c r="B6315" s="4" t="s">
        <v>7939</v>
      </c>
      <c r="C6315" s="5" t="str">
        <f>IFERROR(__xludf.DUMMYFUNCTION("GOOGLETRANSLATE(B6315,""en"",""it"")"),"L'uomo si sta concentrando sul tavolo da biliardo, colpendo lentamente la palla con il biliardo.")</f>
        <v>L'uomo si sta concentrando sul tavolo da biliardo, colpendo lentamente la palla con il biliardo.</v>
      </c>
    </row>
    <row r="6316">
      <c r="A6316" s="4" t="s">
        <v>7937</v>
      </c>
      <c r="B6316" s="4" t="s">
        <v>7940</v>
      </c>
      <c r="C6316" s="5" t="str">
        <f>IFERROR(__xludf.DUMMYFUNCTION("GOOGLETRANSLATE(B6316,""en"",""it"")"),"Un vecchio con la barba sta dando un colloquio.")</f>
        <v>Un vecchio con la barba sta dando un colloquio.</v>
      </c>
    </row>
    <row r="6317">
      <c r="A6317" s="4" t="s">
        <v>7937</v>
      </c>
      <c r="B6317" s="4" t="s">
        <v>7941</v>
      </c>
      <c r="C6317" s="5" t="str">
        <f>IFERROR(__xludf.DUMMYFUNCTION("GOOGLETRANSLATE(B6317,""en"",""it"")"),"L'uomo sta organizzando la palla sul tavolo e poi li ha colpiti e sono andati tutti nei buchi.")</f>
        <v>L'uomo sta organizzando la palla sul tavolo e poi li ha colpiti e sono andati tutti nei buchi.</v>
      </c>
    </row>
    <row r="6318">
      <c r="A6318" s="4" t="s">
        <v>7942</v>
      </c>
      <c r="B6318" s="6" t="s">
        <v>7943</v>
      </c>
      <c r="C6318" s="5" t="str">
        <f>IFERROR(__xludf.DUMMYFUNCTION("GOOGLETRANSLATE(B6318,""en"",""it"")"),"L'atleta che indossa collant grigi e camicia nera con il numero 2 su di esso è iniziato a andare sul raggio e ha iniziato a turbinare.")</f>
        <v>L'atleta che indossa collant grigi e camicia nera con il numero 2 su di esso è iniziato a andare sul raggio e ha iniziato a turbinare.</v>
      </c>
    </row>
    <row r="6319">
      <c r="A6319" s="4" t="s">
        <v>7942</v>
      </c>
      <c r="B6319" s="6" t="s">
        <v>7944</v>
      </c>
      <c r="C6319" s="5" t="str">
        <f>IFERROR(__xludf.DUMMYFUNCTION("GOOGLETRANSLATE(B6319,""en"",""it"")"),"Quando è arrivato dal raggio, camminò verso il contenitore giallo che contiene polvere bianca, poi tornò al raggio e fece i suoi trucchi turbinando.")</f>
        <v>Quando è arrivato dal raggio, camminò verso il contenitore giallo che contiene polvere bianca, poi tornò al raggio e fece i suoi trucchi turbinando.</v>
      </c>
    </row>
    <row r="6320">
      <c r="A6320" s="4" t="s">
        <v>7945</v>
      </c>
      <c r="B6320" s="4" t="s">
        <v>7946</v>
      </c>
      <c r="C6320" s="5" t="str">
        <f>IFERROR(__xludf.DUMMYFUNCTION("GOOGLETRANSLATE(B6320,""en"",""it"")"),"Una donna atletica viene mostrata che corre lungo una pista e salta in una grande buca di sabbia.")</f>
        <v>Una donna atletica viene mostrata che corre lungo una pista e salta in una grande buca di sabbia.</v>
      </c>
    </row>
    <row r="6321">
      <c r="A6321" s="4" t="s">
        <v>7945</v>
      </c>
      <c r="B6321" s="6" t="s">
        <v>7947</v>
      </c>
      <c r="C6321" s="5" t="str">
        <f>IFERROR(__xludf.DUMMYFUNCTION("GOOGLETRANSLATE(B6321,""en"",""it"")"),"Il suo salto viene quindi mostrato più volte al rallentatore e un altro corridore fa una svolta al salto.")</f>
        <v>Il suo salto viene quindi mostrato più volte al rallentatore e un altro corridore fa una svolta al salto.</v>
      </c>
    </row>
    <row r="6322">
      <c r="A6322" s="4" t="s">
        <v>7945</v>
      </c>
      <c r="B6322" s="4" t="s">
        <v>7948</v>
      </c>
      <c r="C6322" s="5" t="str">
        <f>IFERROR(__xludf.DUMMYFUNCTION("GOOGLETRANSLATE(B6322,""en"",""it"")"),"Il suo salto viene nuovamente mostrato al rallentatore e saluta il pubblico mentre sorride.")</f>
        <v>Il suo salto viene nuovamente mostrato al rallentatore e saluta il pubblico mentre sorride.</v>
      </c>
    </row>
    <row r="6323">
      <c r="A6323" s="4" t="s">
        <v>7949</v>
      </c>
      <c r="B6323" s="4" t="s">
        <v>7950</v>
      </c>
      <c r="C6323" s="5" t="str">
        <f>IFERROR(__xludf.DUMMYFUNCTION("GOOGLETRANSLATE(B6323,""en"",""it"")"),"Un uomo senza camicia sta spingendo la neve fuori sul marciapiede.")</f>
        <v>Un uomo senza camicia sta spingendo la neve fuori sul marciapiede.</v>
      </c>
    </row>
    <row r="6324">
      <c r="A6324" s="4" t="s">
        <v>7949</v>
      </c>
      <c r="B6324" s="4" t="s">
        <v>7951</v>
      </c>
      <c r="C6324" s="5" t="str">
        <f>IFERROR(__xludf.DUMMYFUNCTION("GOOGLETRANSLATE(B6324,""en"",""it"")"),"Accenda le mani e movide le macchine di passaggio.")</f>
        <v>Accenda le mani e movide le macchine di passaggio.</v>
      </c>
    </row>
    <row r="6325">
      <c r="A6325" s="4" t="s">
        <v>7949</v>
      </c>
      <c r="B6325" s="4" t="s">
        <v>7952</v>
      </c>
      <c r="C6325" s="5" t="str">
        <f>IFERROR(__xludf.DUMMYFUNCTION("GOOGLETRANSLATE(B6325,""en"",""it"")"),"Continua a salutare e rotolare le mani in aria mentre più macchine passano.")</f>
        <v>Continua a salutare e rotolare le mani in aria mentre più macchine passano.</v>
      </c>
    </row>
    <row r="6326">
      <c r="A6326" s="4" t="s">
        <v>7949</v>
      </c>
      <c r="B6326" s="4" t="s">
        <v>7953</v>
      </c>
      <c r="C6326" s="5" t="str">
        <f>IFERROR(__xludf.DUMMYFUNCTION("GOOGLETRANSLATE(B6326,""en"",""it"")"),"Continua a spalare la neve.")</f>
        <v>Continua a spalare la neve.</v>
      </c>
    </row>
    <row r="6327">
      <c r="A6327" s="4" t="s">
        <v>7954</v>
      </c>
      <c r="B6327" s="4" t="s">
        <v>7955</v>
      </c>
      <c r="C6327" s="5" t="str">
        <f>IFERROR(__xludf.DUMMYFUNCTION("GOOGLETRANSLATE(B6327,""en"",""it"")"),"Un piccolo gruppo di uomini è visto in piedi su un campo sabbioso che colpisce una palla indietro e quarto.")</f>
        <v>Un piccolo gruppo di uomini è visto in piedi su un campo sabbioso che colpisce una palla indietro e quarto.</v>
      </c>
    </row>
    <row r="6328">
      <c r="A6328" s="4" t="s">
        <v>7954</v>
      </c>
      <c r="B6328" s="4" t="s">
        <v>7956</v>
      </c>
      <c r="C6328" s="5" t="str">
        <f>IFERROR(__xludf.DUMMYFUNCTION("GOOGLETRANSLATE(B6328,""en"",""it"")"),"Gli uomini iniziano una partita di pallavolo e colpiscono la palla in tutta l'area.")</f>
        <v>Gli uomini iniziano una partita di pallavolo e colpiscono la palla in tutta l'area.</v>
      </c>
    </row>
    <row r="6329">
      <c r="A6329" s="4" t="s">
        <v>7954</v>
      </c>
      <c r="B6329" s="4" t="s">
        <v>7957</v>
      </c>
      <c r="C6329" s="5" t="str">
        <f>IFERROR(__xludf.DUMMYFUNCTION("GOOGLETRANSLATE(B6329,""en"",""it"")"),"Gli uomini continuano a suonare mentre la telecamera li cattura muovendosi.")</f>
        <v>Gli uomini continuano a suonare mentre la telecamera li cattura muovendosi.</v>
      </c>
    </row>
    <row r="6330">
      <c r="A6330" s="4" t="s">
        <v>7958</v>
      </c>
      <c r="B6330" s="6" t="s">
        <v>7959</v>
      </c>
      <c r="C6330" s="5" t="str">
        <f>IFERROR(__xludf.DUMMYFUNCTION("GOOGLETRANSLATE(B6330,""en"",""it"")"),"Un ragazzo viene visto aprire regali con l'aiuto di un altro e vari colpi di lui suonando un tamburo che ha ricevuto.")</f>
        <v>Un ragazzo viene visto aprire regali con l'aiuto di un altro e vari colpi di lui suonando un tamburo che ha ricevuto.</v>
      </c>
    </row>
    <row r="6331">
      <c r="A6331" s="4" t="s">
        <v>7958</v>
      </c>
      <c r="B6331" s="4" t="s">
        <v>7960</v>
      </c>
      <c r="C6331" s="5" t="str">
        <f>IFERROR(__xludf.DUMMYFUNCTION("GOOGLETRANSLATE(B6331,""en"",""it"")"),"La madre viene intervistata e mostra più scatti del ragazzo che suona diversi strumenti.")</f>
        <v>La madre viene intervistata e mostra più scatti del ragazzo che suona diversi strumenti.</v>
      </c>
    </row>
    <row r="6332">
      <c r="A6332" s="4" t="s">
        <v>7958</v>
      </c>
      <c r="B6332" s="4" t="s">
        <v>7961</v>
      </c>
      <c r="C6332" s="5" t="str">
        <f>IFERROR(__xludf.DUMMYFUNCTION("GOOGLETRANSLATE(B6332,""en"",""it"")"),"Finalmente mostra il ragazzo cresciuto e termina con informazioni per un trailer del cinema.")</f>
        <v>Finalmente mostra il ragazzo cresciuto e termina con informazioni per un trailer del cinema.</v>
      </c>
    </row>
    <row r="6333">
      <c r="A6333" s="4" t="s">
        <v>7962</v>
      </c>
      <c r="B6333" s="4" t="s">
        <v>7963</v>
      </c>
      <c r="C6333" s="5" t="str">
        <f>IFERROR(__xludf.DUMMYFUNCTION("GOOGLETRANSLATE(B6333,""en"",""it"")"),"Viene visto un uomo parlare alla telecamera e conduce gli attori intervistati su un film.")</f>
        <v>Viene visto un uomo parlare alla telecamera e conduce gli attori intervistati su un film.</v>
      </c>
    </row>
    <row r="6334">
      <c r="A6334" s="4" t="s">
        <v>7962</v>
      </c>
      <c r="B6334" s="4" t="s">
        <v>7964</v>
      </c>
      <c r="C6334" s="5" t="str">
        <f>IFERROR(__xludf.DUMMYFUNCTION("GOOGLETRANSLATE(B6334,""en"",""it"")"),"Vengono mostrati diversi scatti del film, nonché fisso di altri film e apparizioni insieme.")</f>
        <v>Vengono mostrati diversi scatti del film, nonché fisso di altri film e apparizioni insieme.</v>
      </c>
    </row>
    <row r="6335">
      <c r="A6335" s="4" t="s">
        <v>7962</v>
      </c>
      <c r="B6335" s="6" t="s">
        <v>7965</v>
      </c>
      <c r="C6335" s="5" t="str">
        <f>IFERROR(__xludf.DUMMYFUNCTION("GOOGLETRANSLATE(B6335,""en"",""it"")"),"La coppia viene quindi mostrata eseguendo una routine di tango su un grande palcoscenico e termina posando sul palco con il pubblico che tira.")</f>
        <v>La coppia viene quindi mostrata eseguendo una routine di tango su un grande palcoscenico e termina posando sul palco con il pubblico che tira.</v>
      </c>
    </row>
    <row r="6336">
      <c r="A6336" s="4" t="s">
        <v>7966</v>
      </c>
      <c r="B6336" s="4" t="s">
        <v>7967</v>
      </c>
      <c r="C6336" s="5" t="str">
        <f>IFERROR(__xludf.DUMMYFUNCTION("GOOGLETRANSLATE(B6336,""en"",""it"")"),"Una donna sta parlando di una macchina per esercizi ellittici appositamente progettata per le donne.")</f>
        <v>Una donna sta parlando di una macchina per esercizi ellittici appositamente progettata per le donne.</v>
      </c>
    </row>
    <row r="6337">
      <c r="A6337" s="4" t="s">
        <v>7966</v>
      </c>
      <c r="B6337" s="4" t="s">
        <v>7968</v>
      </c>
      <c r="C6337" s="5" t="str">
        <f>IFERROR(__xludf.DUMMYFUNCTION("GOOGLETRANSLATE(B6337,""en"",""it"")"),"Accanto a lei c'è l'esperto di fitness professionale che sta dimostrando come funziona la macchina.")</f>
        <v>Accanto a lei c'è l'esperto di fitness professionale che sta dimostrando come funziona la macchina.</v>
      </c>
    </row>
    <row r="6338">
      <c r="A6338" s="4" t="s">
        <v>7966</v>
      </c>
      <c r="B6338" s="4" t="s">
        <v>7969</v>
      </c>
      <c r="C6338" s="5" t="str">
        <f>IFERROR(__xludf.DUMMYFUNCTION("GOOGLETRANSLATE(B6338,""en"",""it"")"),"Mostra i pulsanti che devono essere premuti per avviare l'ellittico.")</f>
        <v>Mostra i pulsanti che devono essere premuti per avviare l'ellittico.</v>
      </c>
    </row>
    <row r="6339">
      <c r="A6339" s="4" t="s">
        <v>7966</v>
      </c>
      <c r="B6339" s="4" t="s">
        <v>7970</v>
      </c>
      <c r="C6339" s="5" t="str">
        <f>IFERROR(__xludf.DUMMYFUNCTION("GOOGLETRANSLATE(B6339,""en"",""it"")"),"Dopo aver avviato la macchina, la signora salta sulla macchina e inizia a usare l'ellittica.")</f>
        <v>Dopo aver avviato la macchina, la signora salta sulla macchina e inizia a usare l'ellittica.</v>
      </c>
    </row>
    <row r="6340">
      <c r="A6340" s="4" t="s">
        <v>7966</v>
      </c>
      <c r="B6340" s="6" t="s">
        <v>7971</v>
      </c>
      <c r="C6340" s="5" t="str">
        <f>IFERROR(__xludf.DUMMYFUNCTION("GOOGLETRANSLATE(B6340,""en"",""it"")"),"Continua a esercitare sulla macchina mentre l'allenatore di fitness dà i suoi consigli su come la macchina le andrà a beneficio.")</f>
        <v>Continua a esercitare sulla macchina mentre l'allenatore di fitness dà i suoi consigli su come la macchina le andrà a beneficio.</v>
      </c>
    </row>
    <row r="6341">
      <c r="A6341" s="4" t="s">
        <v>7972</v>
      </c>
      <c r="B6341" s="4" t="s">
        <v>7973</v>
      </c>
      <c r="C6341" s="5" t="str">
        <f>IFERROR(__xludf.DUMMYFUNCTION("GOOGLETRANSLATE(B6341,""en"",""it"")"),"Vediamo una schermata introduttiva con lenti a contatto.")</f>
        <v>Vediamo una schermata introduttiva con lenti a contatto.</v>
      </c>
    </row>
    <row r="6342">
      <c r="A6342" s="4" t="s">
        <v>7972</v>
      </c>
      <c r="B6342" s="4" t="s">
        <v>7974</v>
      </c>
      <c r="C6342" s="5" t="str">
        <f>IFERROR(__xludf.DUMMYFUNCTION("GOOGLETRANSLATE(B6342,""en"",""it"")"),"Vediamo un uomo lavare la mano e prendere un contatto da un nuovo pacchetto.")</f>
        <v>Vediamo un uomo lavare la mano e prendere un contatto da un nuovo pacchetto.</v>
      </c>
    </row>
    <row r="6343">
      <c r="A6343" s="4" t="s">
        <v>7972</v>
      </c>
      <c r="B6343" s="4" t="s">
        <v>7975</v>
      </c>
      <c r="C6343" s="5" t="str">
        <f>IFERROR(__xludf.DUMMYFUNCTION("GOOGLETRANSLATE(B6343,""en"",""it"")"),"La persona tiene gli occhi aperti e inserisce la lente a contatto.")</f>
        <v>La persona tiene gli occhi aperti e inserisce la lente a contatto.</v>
      </c>
    </row>
    <row r="6344">
      <c r="A6344" s="4" t="s">
        <v>7972</v>
      </c>
      <c r="B6344" s="4" t="s">
        <v>7976</v>
      </c>
      <c r="C6344" s="5" t="str">
        <f>IFERROR(__xludf.DUMMYFUNCTION("GOOGLETRANSLATE(B6344,""en"",""it"")"),"L'uomo sorride e vediamo la sua faccia.")</f>
        <v>L'uomo sorride e vediamo la sua faccia.</v>
      </c>
    </row>
    <row r="6345">
      <c r="A6345" s="4" t="s">
        <v>7972</v>
      </c>
      <c r="B6345" s="4" t="s">
        <v>7977</v>
      </c>
      <c r="C6345" s="5" t="str">
        <f>IFERROR(__xludf.DUMMYFUNCTION("GOOGLETRANSLATE(B6345,""en"",""it"")"),"Ci viene quindi mostrato come rimuovere le lenti a contatto con le istruzioni.")</f>
        <v>Ci viene quindi mostrato come rimuovere le lenti a contatto con le istruzioni.</v>
      </c>
    </row>
    <row r="6346">
      <c r="A6346" s="4" t="s">
        <v>7972</v>
      </c>
      <c r="B6346" s="4" t="s">
        <v>4452</v>
      </c>
      <c r="C6346" s="5" t="str">
        <f>IFERROR(__xludf.DUMMYFUNCTION("GOOGLETRANSLATE(B6346,""en"",""it"")"),"Vediamo quindi lo schermo finale.")</f>
        <v>Vediamo quindi lo schermo finale.</v>
      </c>
    </row>
    <row r="6347">
      <c r="A6347" s="4" t="s">
        <v>7978</v>
      </c>
      <c r="B6347" s="4" t="s">
        <v>7979</v>
      </c>
      <c r="C6347" s="5" t="str">
        <f>IFERROR(__xludf.DUMMYFUNCTION("GOOGLETRANSLATE(B6347,""en"",""it"")"),"Una corda viola è attaccata a una blu, che viene quindi allungata tra due alberi.")</f>
        <v>Una corda viola è attaccata a una blu, che viene quindi allungata tra due alberi.</v>
      </c>
    </row>
    <row r="6348">
      <c r="A6348" s="4" t="s">
        <v>7978</v>
      </c>
      <c r="B6348" s="4" t="s">
        <v>7980</v>
      </c>
      <c r="C6348" s="5" t="str">
        <f>IFERROR(__xludf.DUMMYFUNCTION("GOOGLETRANSLATE(B6348,""en"",""it"")"),"Un uomo rimbalza e si bilancia sulla corda mentre altri tre uomini guardano.")</f>
        <v>Un uomo rimbalza e si bilancia sulla corda mentre altri tre uomini guardano.</v>
      </c>
    </row>
    <row r="6349">
      <c r="A6349" s="4" t="s">
        <v>7978</v>
      </c>
      <c r="B6349" s="4" t="s">
        <v>7981</v>
      </c>
      <c r="C6349" s="5" t="str">
        <f>IFERROR(__xludf.DUMMYFUNCTION("GOOGLETRANSLATE(B6349,""en"",""it"")"),"Gli altri uomini si alternano, alcuni cadono e riequilibranti.")</f>
        <v>Gli altri uomini si alternano, alcuni cadono e riequilibranti.</v>
      </c>
    </row>
    <row r="6350">
      <c r="A6350" s="4" t="s">
        <v>7982</v>
      </c>
      <c r="B6350" s="4" t="s">
        <v>7983</v>
      </c>
      <c r="C6350" s="5" t="str">
        <f>IFERROR(__xludf.DUMMYFUNCTION("GOOGLETRANSLATE(B6350,""en"",""it"")"),"Per prima cosa viene mostrata la donna che le rintraccia il dito sul collo.")</f>
        <v>Per prima cosa viene mostrata la donna che le rintraccia il dito sul collo.</v>
      </c>
    </row>
    <row r="6351">
      <c r="A6351" s="4" t="s">
        <v>7982</v>
      </c>
      <c r="B6351" s="4" t="s">
        <v>7984</v>
      </c>
      <c r="C6351" s="5" t="str">
        <f>IFERROR(__xludf.DUMMYFUNCTION("GOOGLETRANSLATE(B6351,""en"",""it"")"),"Quindi si muove di mezzo una parte dei capelli e inizia a intrecciare una parte dei suoi capelli.")</f>
        <v>Quindi si muove di mezzo una parte dei capelli e inizia a intrecciare una parte dei suoi capelli.</v>
      </c>
    </row>
    <row r="6352">
      <c r="A6352" s="4" t="s">
        <v>7982</v>
      </c>
      <c r="B6352" s="6" t="s">
        <v>7985</v>
      </c>
      <c r="C6352" s="5" t="str">
        <f>IFERROR(__xludf.DUMMYFUNCTION("GOOGLETRANSLATE(B6352,""en"",""it"")"),"Quindi intreccia un'altra treccia che è più piccola della prima, ma collega i capelli, usando un paio di fili dell'ultima treccia.")</f>
        <v>Quindi intreccia un'altra treccia che è più piccola della prima, ma collega i capelli, usando un paio di fili dell'ultima treccia.</v>
      </c>
    </row>
    <row r="6353">
      <c r="A6353" s="4" t="s">
        <v>7986</v>
      </c>
      <c r="B6353" s="4" t="s">
        <v>7987</v>
      </c>
      <c r="C6353" s="5" t="str">
        <f>IFERROR(__xludf.DUMMYFUNCTION("GOOGLETRANSLATE(B6353,""en"",""it"")"),"Una donna fa una routine di karate con un partner e lancia un gruppo che è bloccato due volte.")</f>
        <v>Una donna fa una routine di karate con un partner e lancia un gruppo che è bloccato due volte.</v>
      </c>
    </row>
    <row r="6354">
      <c r="A6354" s="4" t="s">
        <v>7986</v>
      </c>
      <c r="B6354" s="4" t="s">
        <v>7988</v>
      </c>
      <c r="C6354" s="5" t="str">
        <f>IFERROR(__xludf.DUMMYFUNCTION("GOOGLETRANSLATE(B6354,""en"",""it"")"),"La donna pratica un karate che si alza il suo partner che guarda e alza le mani.")</f>
        <v>La donna pratica un karate che si alza il suo partner che guarda e alza le mani.</v>
      </c>
    </row>
    <row r="6355">
      <c r="A6355" s="4" t="s">
        <v>7986</v>
      </c>
      <c r="B6355" s="4" t="s">
        <v>7989</v>
      </c>
      <c r="C6355" s="5" t="str">
        <f>IFERROR(__xludf.DUMMYFUNCTION("GOOGLETRANSLATE(B6355,""en"",""it"")"),"La donna lancia un colpo al suo partner che lo cattura e la getta a terra.")</f>
        <v>La donna lancia un colpo al suo partner che lo cattura e la getta a terra.</v>
      </c>
    </row>
    <row r="6356">
      <c r="A6356" s="4" t="s">
        <v>7990</v>
      </c>
      <c r="B6356" s="4" t="s">
        <v>7991</v>
      </c>
      <c r="C6356" s="5" t="str">
        <f>IFERROR(__xludf.DUMMYFUNCTION("GOOGLETRANSLATE(B6356,""en"",""it"")"),"Un paio di strumenti sono seduti sul bordo di un tavolo.")</f>
        <v>Un paio di strumenti sono seduti sul bordo di un tavolo.</v>
      </c>
    </row>
    <row r="6357">
      <c r="A6357" s="4" t="s">
        <v>7990</v>
      </c>
      <c r="B6357" s="4" t="s">
        <v>7992</v>
      </c>
      <c r="C6357" s="5" t="str">
        <f>IFERROR(__xludf.DUMMYFUNCTION("GOOGLETRANSLATE(B6357,""en"",""it"")"),"Un uomo regola la posizione degli strumenti.")</f>
        <v>Un uomo regola la posizione degli strumenti.</v>
      </c>
    </row>
    <row r="6358">
      <c r="A6358" s="4" t="s">
        <v>7990</v>
      </c>
      <c r="B6358" s="4" t="s">
        <v>7993</v>
      </c>
      <c r="C6358" s="5" t="str">
        <f>IFERROR(__xludf.DUMMYFUNCTION("GOOGLETRANSLATE(B6358,""en"",""it"")"),"Usa un coltello tra le fessure, affilando il coltello.")</f>
        <v>Usa un coltello tra le fessure, affilando il coltello.</v>
      </c>
    </row>
    <row r="6359">
      <c r="A6359" s="4" t="s">
        <v>7994</v>
      </c>
      <c r="B6359" s="4" t="s">
        <v>7995</v>
      </c>
      <c r="C6359" s="5" t="str">
        <f>IFERROR(__xludf.DUMMYFUNCTION("GOOGLETRANSLATE(B6359,""en"",""it"")"),"Vassen Cloud Nove Contatti di colore rosso si trovano nel contenitore a cui appartengono.")</f>
        <v>Vassen Cloud Nove Contatti di colore rosso si trovano nel contenitore a cui appartengono.</v>
      </c>
    </row>
    <row r="6360">
      <c r="A6360" s="4" t="s">
        <v>7994</v>
      </c>
      <c r="B6360" s="4" t="s">
        <v>7996</v>
      </c>
      <c r="C6360" s="5" t="str">
        <f>IFERROR(__xludf.DUMMYFUNCTION("GOOGLETRANSLATE(B6360,""en"",""it"")"),"Una donna dai capelli biondi con gli occhi castani colloca uno di loro negli occhi.")</f>
        <v>Una donna dai capelli biondi con gli occhi castani colloca uno di loro negli occhi.</v>
      </c>
    </row>
    <row r="6361">
      <c r="A6361" s="4" t="s">
        <v>7994</v>
      </c>
      <c r="B6361" s="4" t="s">
        <v>7997</v>
      </c>
      <c r="C6361" s="5" t="str">
        <f>IFERROR(__xludf.DUMMYFUNCTION("GOOGLETRANSLATE(B6361,""en"",""it"")"),"Puoi vedere la differenza del marrone e del contatto in modo molto chiaro e sembra abbastanza grande.")</f>
        <v>Puoi vedere la differenza del marrone e del contatto in modo molto chiaro e sembra abbastanza grande.</v>
      </c>
    </row>
    <row r="6362">
      <c r="A6362" s="4" t="s">
        <v>7994</v>
      </c>
      <c r="B6362" s="4" t="s">
        <v>7998</v>
      </c>
      <c r="C6362" s="5" t="str">
        <f>IFERROR(__xludf.DUMMYFUNCTION("GOOGLETRANSLATE(B6362,""en"",""it"")"),"Ha quindi messo l'altro contatto in modo da poter vedere come le lenti guardano a distanza.")</f>
        <v>Ha quindi messo l'altro contatto in modo da poter vedere come le lenti guardano a distanza.</v>
      </c>
    </row>
    <row r="6363">
      <c r="A6363" s="4" t="s">
        <v>7999</v>
      </c>
      <c r="B6363" s="4" t="s">
        <v>8000</v>
      </c>
      <c r="C6363" s="5" t="str">
        <f>IFERROR(__xludf.DUMMYFUNCTION("GOOGLETRANSLATE(B6363,""en"",""it"")"),"Un giovane si trova in una zona circolare verde rete.")</f>
        <v>Un giovane si trova in una zona circolare verde rete.</v>
      </c>
    </row>
    <row r="6364">
      <c r="A6364" s="4" t="s">
        <v>7999</v>
      </c>
      <c r="B6364" s="6" t="s">
        <v>8001</v>
      </c>
      <c r="C6364" s="5" t="str">
        <f>IFERROR(__xludf.DUMMYFUNCTION("GOOGLETRANSLATE(B6364,""en"",""it"")"),"L'uomo tiene una palla e inizia a girare più volte e poi lancia la palla.")</f>
        <v>L'uomo tiene una palla e inizia a girare più volte e poi lancia la palla.</v>
      </c>
    </row>
    <row r="6365">
      <c r="A6365" s="4" t="s">
        <v>7999</v>
      </c>
      <c r="B6365" s="4" t="s">
        <v>8002</v>
      </c>
      <c r="C6365" s="5" t="str">
        <f>IFERROR(__xludf.DUMMYFUNCTION("GOOGLETRANSLATE(B6365,""en"",""it"")"),"Dopo aver lanciato la palla, cade forte e rapidamente a terra.")</f>
        <v>Dopo aver lanciato la palla, cade forte e rapidamente a terra.</v>
      </c>
    </row>
    <row r="6366">
      <c r="A6366" s="4" t="s">
        <v>8003</v>
      </c>
      <c r="B6366" s="4" t="s">
        <v>8004</v>
      </c>
      <c r="C6366" s="5" t="str">
        <f>IFERROR(__xludf.DUMMYFUNCTION("GOOGLETRANSLATE(B6366,""en"",""it"")"),"Il video di TMZ mostra diversi uomini in sovrappeso come parte dell'evento di distruzione di sumo.")</f>
        <v>Il video di TMZ mostra diversi uomini in sovrappeso come parte dell'evento di distruzione di sumo.</v>
      </c>
    </row>
    <row r="6367">
      <c r="A6367" s="4" t="s">
        <v>8003</v>
      </c>
      <c r="B6367" s="4" t="s">
        <v>8005</v>
      </c>
      <c r="C6367" s="5" t="str">
        <f>IFERROR(__xludf.DUMMYFUNCTION("GOOGLETRANSLATE(B6367,""en"",""it"")"),"Mostra anche una foto del cantante George Michael.")</f>
        <v>Mostra anche una foto del cantante George Michael.</v>
      </c>
    </row>
    <row r="6368">
      <c r="A6368" s="4" t="s">
        <v>8003</v>
      </c>
      <c r="B6368" s="4" t="s">
        <v>8006</v>
      </c>
      <c r="C6368" s="5" t="str">
        <f>IFERROR(__xludf.DUMMYFUNCTION("GOOGLETRANSLATE(B6368,""en"",""it"")"),"C'è un gruppo di persone sedute in uno studio che parla dell'evento.")</f>
        <v>C'è un gruppo di persone sedute in uno studio che parla dell'evento.</v>
      </c>
    </row>
    <row r="6369">
      <c r="A6369" s="4" t="s">
        <v>8003</v>
      </c>
      <c r="B6369" s="4" t="s">
        <v>8007</v>
      </c>
      <c r="C6369" s="5" t="str">
        <f>IFERROR(__xludf.DUMMYFUNCTION("GOOGLETRANSLATE(B6369,""en"",""it"")"),"Stanno leggendo una sceneggiatura e ridono.")</f>
        <v>Stanno leggendo una sceneggiatura e ridono.</v>
      </c>
    </row>
    <row r="6370">
      <c r="A6370" s="4" t="s">
        <v>8003</v>
      </c>
      <c r="B6370" s="4" t="s">
        <v>8008</v>
      </c>
      <c r="C6370" s="5" t="str">
        <f>IFERROR(__xludf.DUMMYFUNCTION("GOOGLETRANSLATE(B6370,""en"",""it"")"),"Ci sono anche immagini di lottatori di sumo mostrati.")</f>
        <v>Ci sono anche immagini di lottatori di sumo mostrati.</v>
      </c>
    </row>
    <row r="6371">
      <c r="A6371" s="4" t="s">
        <v>8003</v>
      </c>
      <c r="B6371" s="4" t="s">
        <v>8009</v>
      </c>
      <c r="C6371" s="5" t="str">
        <f>IFERROR(__xludf.DUMMYFUNCTION("GOOGLETRANSLATE(B6371,""en"",""it"")"),"Mostra anche i lottatori di sumo che lottano mentre gli spettatori guardano l'evento.")</f>
        <v>Mostra anche i lottatori di sumo che lottano mentre gli spettatori guardano l'evento.</v>
      </c>
    </row>
    <row r="6372">
      <c r="A6372" s="4" t="s">
        <v>8010</v>
      </c>
      <c r="B6372" s="4" t="s">
        <v>8011</v>
      </c>
      <c r="C6372" s="5" t="str">
        <f>IFERROR(__xludf.DUMMYFUNCTION("GOOGLETRANSLATE(B6372,""en"",""it"")"),"Tre donne camminano accanto a una casa in un parcheggio.")</f>
        <v>Tre donne camminano accanto a una casa in un parcheggio.</v>
      </c>
    </row>
    <row r="6373">
      <c r="A6373" s="4" t="s">
        <v>8010</v>
      </c>
      <c r="B6373" s="4" t="s">
        <v>8012</v>
      </c>
      <c r="C6373" s="5" t="str">
        <f>IFERROR(__xludf.DUMMYFUNCTION("GOOGLETRANSLATE(B6373,""en"",""it"")"),"Le persone stanno snowboard tra due recinzioni in una piccola sala che scende da un piccolo pendio.")</f>
        <v>Le persone stanno snowboard tra due recinzioni in una piccola sala che scende da un piccolo pendio.</v>
      </c>
    </row>
    <row r="6374">
      <c r="A6374" s="4" t="s">
        <v>8010</v>
      </c>
      <c r="B6374" s="4" t="s">
        <v>8013</v>
      </c>
      <c r="C6374" s="5" t="str">
        <f>IFERROR(__xludf.DUMMYFUNCTION("GOOGLETRANSLATE(B6374,""en"",""it"")"),"Le persone sono in piedi su una montagna innevata in snowboard.")</f>
        <v>Le persone sono in piedi su una montagna innevata in snowboard.</v>
      </c>
    </row>
    <row r="6375">
      <c r="A6375" s="4" t="s">
        <v>8010</v>
      </c>
      <c r="B6375" s="4" t="s">
        <v>8014</v>
      </c>
      <c r="C6375" s="5" t="str">
        <f>IFERROR(__xludf.DUMMYFUNCTION("GOOGLETRANSLATE(B6375,""en"",""it"")"),"Le persone mangiano sedute fuori da una tenda.")</f>
        <v>Le persone mangiano sedute fuori da una tenda.</v>
      </c>
    </row>
    <row r="6376">
      <c r="A6376" s="4" t="s">
        <v>8010</v>
      </c>
      <c r="B6376" s="4" t="s">
        <v>8015</v>
      </c>
      <c r="C6376" s="5" t="str">
        <f>IFERROR(__xludf.DUMMYFUNCTION("GOOGLETRANSLATE(B6376,""en"",""it"")"),"La gente sta snwoboarding scendendo un annuncio di pendenza innevato facendo trucchi in montagna.")</f>
        <v>La gente sta snwoboarding scendendo un annuncio di pendenza innevato facendo trucchi in montagna.</v>
      </c>
    </row>
    <row r="6377">
      <c r="A6377" s="4" t="s">
        <v>8016</v>
      </c>
      <c r="B6377" s="4" t="s">
        <v>8017</v>
      </c>
      <c r="C6377" s="5" t="str">
        <f>IFERROR(__xludf.DUMMYFUNCTION("GOOGLETRANSLATE(B6377,""en"",""it"")"),"Un uomo spara una freccia con l'arco.")</f>
        <v>Un uomo spara una freccia con l'arco.</v>
      </c>
    </row>
    <row r="6378">
      <c r="A6378" s="4" t="s">
        <v>8016</v>
      </c>
      <c r="B6378" s="4" t="s">
        <v>8018</v>
      </c>
      <c r="C6378" s="5" t="str">
        <f>IFERROR(__xludf.DUMMYFUNCTION("GOOGLETRANSLATE(B6378,""en"",""it"")"),"Afferra un'altra freccia e spara di nuovo.")</f>
        <v>Afferra un'altra freccia e spara di nuovo.</v>
      </c>
    </row>
    <row r="6379">
      <c r="A6379" s="4" t="s">
        <v>8016</v>
      </c>
      <c r="B6379" s="4" t="s">
        <v>8019</v>
      </c>
      <c r="C6379" s="5" t="str">
        <f>IFERROR(__xludf.DUMMYFUNCTION("GOOGLETRANSLATE(B6379,""en"",""it"")"),"Ancora una volta, lancia una freccia.")</f>
        <v>Ancora una volta, lancia una freccia.</v>
      </c>
    </row>
    <row r="6380">
      <c r="A6380" s="4" t="s">
        <v>8016</v>
      </c>
      <c r="B6380" s="4" t="s">
        <v>8020</v>
      </c>
      <c r="C6380" s="5" t="str">
        <f>IFERROR(__xludf.DUMMYFUNCTION("GOOGLETRANSLATE(B6380,""en"",""it"")"),"Trova un'altra freccia e spara.")</f>
        <v>Trova un'altra freccia e spara.</v>
      </c>
    </row>
    <row r="6381">
      <c r="A6381" s="4" t="s">
        <v>8016</v>
      </c>
      <c r="B6381" s="4" t="s">
        <v>8021</v>
      </c>
      <c r="C6381" s="5" t="str">
        <f>IFERROR(__xludf.DUMMYFUNCTION("GOOGLETRANSLATE(B6381,""en"",""it"")"),"Prende un altro colpo di freccia.")</f>
        <v>Prende un altro colpo di freccia.</v>
      </c>
    </row>
    <row r="6382">
      <c r="A6382" s="4" t="s">
        <v>8016</v>
      </c>
      <c r="B6382" s="4" t="s">
        <v>8022</v>
      </c>
      <c r="C6382" s="5" t="str">
        <f>IFERROR(__xludf.DUMMYFUNCTION("GOOGLETRANSLATE(B6382,""en"",""it"")"),"Un'altra freccia viene afferrata e spara.")</f>
        <v>Un'altra freccia viene afferrata e spara.</v>
      </c>
    </row>
    <row r="6383">
      <c r="A6383" s="4" t="s">
        <v>8016</v>
      </c>
      <c r="B6383" s="4" t="s">
        <v>8023</v>
      </c>
      <c r="C6383" s="5" t="str">
        <f>IFERROR(__xludf.DUMMYFUNCTION("GOOGLETRANSLATE(B6383,""en"",""it"")"),"Ne prende un altro e lo spara.")</f>
        <v>Ne prende un altro e lo spara.</v>
      </c>
    </row>
    <row r="6384">
      <c r="A6384" s="4" t="s">
        <v>8016</v>
      </c>
      <c r="B6384" s="4" t="s">
        <v>8024</v>
      </c>
      <c r="C6384" s="5" t="str">
        <f>IFERROR(__xludf.DUMMYFUNCTION("GOOGLETRANSLATE(B6384,""en"",""it"")"),"Prende un'altra freccia dalla vita e spara di nuovo.")</f>
        <v>Prende un'altra freccia dalla vita e spara di nuovo.</v>
      </c>
    </row>
    <row r="6385">
      <c r="A6385" s="4" t="s">
        <v>8016</v>
      </c>
      <c r="B6385" s="4" t="s">
        <v>8025</v>
      </c>
      <c r="C6385" s="5" t="str">
        <f>IFERROR(__xludf.DUMMYFUNCTION("GOOGLETRANSLATE(B6385,""en"",""it"")"),"Scatta una freccia ancora una volta.")</f>
        <v>Scatta una freccia ancora una volta.</v>
      </c>
    </row>
    <row r="6386">
      <c r="A6386" s="4" t="s">
        <v>8016</v>
      </c>
      <c r="B6386" s="4" t="s">
        <v>8026</v>
      </c>
      <c r="C6386" s="5" t="str">
        <f>IFERROR(__xludf.DUMMYFUNCTION("GOOGLETRANSLATE(B6386,""en"",""it"")"),"Afferra una freccia finale e spara.")</f>
        <v>Afferra una freccia finale e spara.</v>
      </c>
    </row>
    <row r="6387">
      <c r="A6387" s="4" t="s">
        <v>8016</v>
      </c>
      <c r="B6387" s="4" t="s">
        <v>8027</v>
      </c>
      <c r="C6387" s="5" t="str">
        <f>IFERROR(__xludf.DUMMYFUNCTION("GOOGLETRANSLATE(B6387,""en"",""it"")"),"Una persona cammina verso il fieno dove sono state girate le frecce.")</f>
        <v>Una persona cammina verso il fieno dove sono state girate le frecce.</v>
      </c>
    </row>
    <row r="6388">
      <c r="A6388" s="4" t="s">
        <v>8028</v>
      </c>
      <c r="B6388" s="4" t="s">
        <v>8029</v>
      </c>
      <c r="C6388" s="5" t="str">
        <f>IFERROR(__xludf.DUMMYFUNCTION("GOOGLETRANSLATE(B6388,""en"",""it"")"),"Un uomo si prepara a correre lungo una traccia.")</f>
        <v>Un uomo si prepara a correre lungo una traccia.</v>
      </c>
    </row>
    <row r="6389">
      <c r="A6389" s="4" t="s">
        <v>8028</v>
      </c>
      <c r="B6389" s="4" t="s">
        <v>8030</v>
      </c>
      <c r="C6389" s="5" t="str">
        <f>IFERROR(__xludf.DUMMYFUNCTION("GOOGLETRANSLATE(B6389,""en"",""it"")"),"Corre molto velocemente lungo il percorso.")</f>
        <v>Corre molto velocemente lungo il percorso.</v>
      </c>
    </row>
    <row r="6390">
      <c r="A6390" s="4" t="s">
        <v>8028</v>
      </c>
      <c r="B6390" s="4" t="s">
        <v>8031</v>
      </c>
      <c r="C6390" s="5" t="str">
        <f>IFERROR(__xludf.DUMMYFUNCTION("GOOGLETRANSLATE(B6390,""en"",""it"")"),"Fa un salto gigante, atterrando nella sabbia.")</f>
        <v>Fa un salto gigante, atterrando nella sabbia.</v>
      </c>
    </row>
    <row r="6391">
      <c r="A6391" s="4" t="s">
        <v>8032</v>
      </c>
      <c r="B6391" s="6" t="s">
        <v>8033</v>
      </c>
      <c r="C6391" s="5" t="str">
        <f>IFERROR(__xludf.DUMMYFUNCTION("GOOGLETRANSLATE(B6391,""en"",""it"")"),"Un uomo vestito in abbigliamento d'affari entra in cucina con alcuni bambini dietro di lui, stringe la mano a una donna, si strofina la spalla e poi introduce i bambini alla donna, e tutto il testo nero sulla parte superiore dello schermo legge ""liendo"""&amp;" Ryan ha qualche minuto per uccidere prima di un volo "".")</f>
        <v>Un uomo vestito in abbigliamento d'affari entra in cucina con alcuni bambini dietro di lui, stringe la mano a una donna, si strofina la spalla e poi introduce i bambini alla donna, e tutto il testo nero sulla parte superiore dello schermo legge "liendo" Ryan ha qualche minuto per uccidere prima di un volo ".</v>
      </c>
    </row>
    <row r="6392">
      <c r="A6392" s="4" t="s">
        <v>8032</v>
      </c>
      <c r="B6392" s="6" t="s">
        <v>8034</v>
      </c>
      <c r="C6392" s="5" t="str">
        <f>IFERROR(__xludf.DUMMYFUNCTION("GOOGLETRANSLATE(B6392,""en"",""it"")"),"Altre clip continuano a suonare l'uomo in cucina, parlare, gestire i prodotti di pulizia e lavare i piatti, ma molte parole negative su di lui appaiono sullo schermo.")</f>
        <v>Altre clip continuano a suonare l'uomo in cucina, parlare, gestire i prodotti di pulizia e lavare i piatti, ma molte parole negative su di lui appaiono sullo schermo.</v>
      </c>
    </row>
    <row r="6393">
      <c r="A6393" s="4" t="s">
        <v>8032</v>
      </c>
      <c r="B6393" s="6" t="s">
        <v>8035</v>
      </c>
      <c r="C6393" s="5" t="str">
        <f>IFERROR(__xludf.DUMMYFUNCTION("GOOGLETRANSLATE(B6393,""en"",""it"")"),"L'uomo è fuori dalla cucina ora e cammina quindi si ferma per stringere la mano e parlare con un uomo, ma un messaggio negativo su di lui appare ancora sullo schermo.")</f>
        <v>L'uomo è fuori dalla cucina ora e cammina quindi si ferma per stringere la mano e parlare con un uomo, ma un messaggio negativo su di lui appare ancora sullo schermo.</v>
      </c>
    </row>
    <row r="6394">
      <c r="A6394" s="4" t="s">
        <v>8036</v>
      </c>
      <c r="B6394" s="6" t="s">
        <v>8037</v>
      </c>
      <c r="C6394" s="5" t="str">
        <f>IFERROR(__xludf.DUMMYFUNCTION("GOOGLETRANSLATE(B6394,""en"",""it"")"),"Una donna viene vista correre lungo una strada mentre guarda l'orologio e indica le cose di fronte a lei.")</f>
        <v>Una donna viene vista correre lungo una strada mentre guarda l'orologio e indica le cose di fronte a lei.</v>
      </c>
    </row>
    <row r="6395">
      <c r="A6395" s="4" t="s">
        <v>8036</v>
      </c>
      <c r="B6395" s="4" t="s">
        <v>8038</v>
      </c>
      <c r="C6395" s="5" t="str">
        <f>IFERROR(__xludf.DUMMYFUNCTION("GOOGLETRANSLATE(B6395,""en"",""it"")"),"Continua a correre per strada mentre altre persone la applaudono e continua a correre.")</f>
        <v>Continua a correre per strada mentre altre persone la applaudono e continua a correre.</v>
      </c>
    </row>
    <row r="6396">
      <c r="A6396" s="4" t="s">
        <v>8039</v>
      </c>
      <c r="B6396" s="4" t="s">
        <v>8040</v>
      </c>
      <c r="C6396" s="5" t="str">
        <f>IFERROR(__xludf.DUMMYFUNCTION("GOOGLETRANSLATE(B6396,""en"",""it"")"),"L'uomo è seduto in un kayak accanto al marciapiede.")</f>
        <v>L'uomo è seduto in un kayak accanto al marciapiede.</v>
      </c>
    </row>
    <row r="6397">
      <c r="A6397" s="4" t="s">
        <v>8039</v>
      </c>
      <c r="B6397" s="4" t="s">
        <v>8041</v>
      </c>
      <c r="C6397" s="5" t="str">
        <f>IFERROR(__xludf.DUMMYFUNCTION("GOOGLETRANSLATE(B6397,""en"",""it"")"),"L'uomo sta eliminando il kayak dall'acqua.")</f>
        <v>L'uomo sta eliminando il kayak dall'acqua.</v>
      </c>
    </row>
    <row r="6398">
      <c r="A6398" s="4" t="s">
        <v>8039</v>
      </c>
      <c r="B6398" s="4" t="s">
        <v>8042</v>
      </c>
      <c r="C6398" s="5" t="str">
        <f>IFERROR(__xludf.DUMMYFUNCTION("GOOGLETRANSLATE(B6398,""en"",""it"")"),"L'uomo è nel fiume che tiene la fila e fa kayak e altri uomini sono accanto a lui.")</f>
        <v>L'uomo è nel fiume che tiene la fila e fa kayak e altri uomini sono accanto a lui.</v>
      </c>
    </row>
    <row r="6399">
      <c r="A6399" s="4" t="s">
        <v>8043</v>
      </c>
      <c r="B6399" s="4" t="s">
        <v>8044</v>
      </c>
      <c r="C6399" s="5" t="str">
        <f>IFERROR(__xludf.DUMMYFUNCTION("GOOGLETRANSLATE(B6399,""en"",""it"")"),"Un uomo si sta registrando in una leva con un altro uomo.")</f>
        <v>Un uomo si sta registrando in una leva con un altro uomo.</v>
      </c>
    </row>
    <row r="6400">
      <c r="A6400" s="4" t="s">
        <v>8043</v>
      </c>
      <c r="B6400" s="4" t="s">
        <v>8045</v>
      </c>
      <c r="C6400" s="5" t="str">
        <f>IFERROR(__xludf.DUMMYFUNCTION("GOOGLETRANSLATE(B6400,""en"",""it"")"),"La corsa sale più in alto e l'uomo con un cappello sta parlando con l'altro.")</f>
        <v>La corsa sale più in alto e l'uomo con un cappello sta parlando con l'altro.</v>
      </c>
    </row>
    <row r="6401">
      <c r="A6401" s="4" t="s">
        <v>8043</v>
      </c>
      <c r="B6401" s="4" t="s">
        <v>8046</v>
      </c>
      <c r="C6401" s="5" t="str">
        <f>IFERROR(__xludf.DUMMYFUNCTION("GOOGLETRANSLATE(B6401,""en"",""it"")"),"Il giro raggiunge la cima e l'uomo tiene le braccia.")</f>
        <v>Il giro raggiunge la cima e l'uomo tiene le braccia.</v>
      </c>
    </row>
    <row r="6402">
      <c r="A6402" s="4" t="s">
        <v>8043</v>
      </c>
      <c r="B6402" s="4" t="s">
        <v>8047</v>
      </c>
      <c r="C6402" s="5" t="str">
        <f>IFERROR(__xludf.DUMMYFUNCTION("GOOGLETRANSLATE(B6402,""en"",""it"")"),"Conta e lascia cadere l'uomo a Bungee Jump.")</f>
        <v>Conta e lascia cadere l'uomo a Bungee Jump.</v>
      </c>
    </row>
    <row r="6403">
      <c r="A6403" s="4" t="s">
        <v>8043</v>
      </c>
      <c r="B6403" s="4" t="s">
        <v>8048</v>
      </c>
      <c r="C6403" s="5" t="str">
        <f>IFERROR(__xludf.DUMMYFUNCTION("GOOGLETRANSLATE(B6403,""en"",""it"")"),"L'uomo arriva in fondo e la corsa torna giù.")</f>
        <v>L'uomo arriva in fondo e la corsa torna giù.</v>
      </c>
    </row>
    <row r="6404">
      <c r="A6404" s="4" t="s">
        <v>8049</v>
      </c>
      <c r="B6404" s="4" t="s">
        <v>8050</v>
      </c>
      <c r="C6404" s="5" t="str">
        <f>IFERROR(__xludf.DUMMYFUNCTION("GOOGLETRANSLATE(B6404,""en"",""it"")"),"Fuori a Oak Creek ci sono alcuni motociclisti che si preparano a correre lungo la terra.")</f>
        <v>Fuori a Oak Creek ci sono alcuni motociclisti che si preparano a correre lungo la terra.</v>
      </c>
    </row>
    <row r="6405">
      <c r="A6405" s="4" t="s">
        <v>8049</v>
      </c>
      <c r="B6405" s="4" t="s">
        <v>8051</v>
      </c>
      <c r="C6405" s="5" t="str">
        <f>IFERROR(__xludf.DUMMYFUNCTION("GOOGLETRANSLATE(B6405,""en"",""it"")"),"Quando le porte scendono, vanno tutti il ​​più velocemente possibile attraverso l'ostacolo della terra.")</f>
        <v>Quando le porte scendono, vanno tutti il ​​più velocemente possibile attraverso l'ostacolo della terra.</v>
      </c>
    </row>
    <row r="6406">
      <c r="A6406" s="4" t="s">
        <v>8049</v>
      </c>
      <c r="B6406" s="4" t="s">
        <v>8052</v>
      </c>
      <c r="C6406" s="5" t="str">
        <f>IFERROR(__xludf.DUMMYFUNCTION("GOOGLETRANSLATE(B6406,""en"",""it"")"),"Ci sono alcune persone sedute sugli spalti che guardano mentre i motociclisti si spengono.")</f>
        <v>Ci sono alcune persone sedute sugli spalti che guardano mentre i motociclisti si spengono.</v>
      </c>
    </row>
    <row r="6407">
      <c r="A6407" s="4" t="s">
        <v>8049</v>
      </c>
      <c r="B6407" s="4" t="s">
        <v>8053</v>
      </c>
      <c r="C6407" s="5" t="str">
        <f>IFERROR(__xludf.DUMMYFUNCTION("GOOGLETRANSLATE(B6407,""en"",""it"")"),"Mostrano persino alcuni bambini che aspettano e si divertono a guardare la gara.")</f>
        <v>Mostrano persino alcuni bambini che aspettano e si divertono a guardare la gara.</v>
      </c>
    </row>
    <row r="6408">
      <c r="A6408" s="4" t="s">
        <v>8054</v>
      </c>
      <c r="B6408" s="4" t="s">
        <v>8055</v>
      </c>
      <c r="C6408" s="5" t="str">
        <f>IFERROR(__xludf.DUMMYFUNCTION("GOOGLETRANSLATE(B6408,""en"",""it"")"),"Una donna pratica la ginnastica a terra mentre altri si impegnano in varie attività in background.")</f>
        <v>Una donna pratica la ginnastica a terra mentre altri si impegnano in varie attività in background.</v>
      </c>
    </row>
    <row r="6409">
      <c r="A6409" s="4" t="s">
        <v>8054</v>
      </c>
      <c r="B6409" s="4" t="s">
        <v>8056</v>
      </c>
      <c r="C6409" s="5" t="str">
        <f>IFERROR(__xludf.DUMMYFUNCTION("GOOGLETRANSLATE(B6409,""en"",""it"")"),"Una seconda donna pratica la ginnastica a terra.")</f>
        <v>Una seconda donna pratica la ginnastica a terra.</v>
      </c>
    </row>
    <row r="6410">
      <c r="A6410" s="4" t="s">
        <v>8054</v>
      </c>
      <c r="B6410" s="4" t="s">
        <v>8057</v>
      </c>
      <c r="C6410" s="5" t="str">
        <f>IFERROR(__xludf.DUMMYFUNCTION("GOOGLETRANSLATE(B6410,""en"",""it"")"),"Le due donne vengono mostrate eseguendo la stessa azione a turno.")</f>
        <v>Le due donne vengono mostrate eseguendo la stessa azione a turno.</v>
      </c>
    </row>
    <row r="6411">
      <c r="A6411" s="4" t="s">
        <v>8054</v>
      </c>
      <c r="B6411" s="6" t="s">
        <v>8058</v>
      </c>
      <c r="C6411" s="5" t="str">
        <f>IFERROR(__xludf.DUMMYFUNCTION("GOOGLETRANSLATE(B6411,""en"",""it"")"),"La prima donna viene mostrata a praticare più ginnastica del pavimento, con occasionali replay a rallentatore della sua azione.")</f>
        <v>La prima donna viene mostrata a praticare più ginnastica del pavimento, con occasionali replay a rallentatore della sua azione.</v>
      </c>
    </row>
    <row r="6412">
      <c r="A6412" s="4" t="s">
        <v>8054</v>
      </c>
      <c r="B6412" s="4" t="s">
        <v>8059</v>
      </c>
      <c r="C6412" s="5" t="str">
        <f>IFERROR(__xludf.DUMMYFUNCTION("GOOGLETRANSLATE(B6412,""en"",""it"")"),"La seconda donna viene mostrata eseguendo una sorta di posa.")</f>
        <v>La seconda donna viene mostrata eseguendo una sorta di posa.</v>
      </c>
    </row>
    <row r="6413">
      <c r="A6413" s="4" t="s">
        <v>8054</v>
      </c>
      <c r="B6413" s="4" t="s">
        <v>8060</v>
      </c>
      <c r="C6413" s="5" t="str">
        <f>IFERROR(__xludf.DUMMYFUNCTION("GOOGLETRANSLATE(B6413,""en"",""it"")"),"La prima donna viene mostrata ancora una volta eseguendo la ginnastica.")</f>
        <v>La prima donna viene mostrata ancora una volta eseguendo la ginnastica.</v>
      </c>
    </row>
    <row r="6414">
      <c r="A6414" s="4" t="s">
        <v>8054</v>
      </c>
      <c r="B6414" s="4" t="s">
        <v>8061</v>
      </c>
      <c r="C6414" s="5" t="str">
        <f>IFERROR(__xludf.DUMMYFUNCTION("GOOGLETRANSLATE(B6414,""en"",""it"")"),"La seconda donna viene mostrata allungando la gamba in aria.")</f>
        <v>La seconda donna viene mostrata allungando la gamba in aria.</v>
      </c>
    </row>
    <row r="6415">
      <c r="A6415" s="4" t="s">
        <v>8054</v>
      </c>
      <c r="B6415" s="4" t="s">
        <v>8062</v>
      </c>
      <c r="C6415" s="5" t="str">
        <f>IFERROR(__xludf.DUMMYFUNCTION("GOOGLETRANSLATE(B6415,""en"",""it"")"),"La prima donna viene mostrata ancora una volta eseguendo ginnastica.")</f>
        <v>La prima donna viene mostrata ancora una volta eseguendo ginnastica.</v>
      </c>
    </row>
    <row r="6416">
      <c r="A6416" s="4" t="s">
        <v>8054</v>
      </c>
      <c r="B6416" s="4" t="s">
        <v>8063</v>
      </c>
      <c r="C6416" s="5" t="str">
        <f>IFERROR(__xludf.DUMMYFUNCTION("GOOGLETRANSLATE(B6416,""en"",""it"")"),"La seconda donna è mostrata di nuovo in una sorta di posa.")</f>
        <v>La seconda donna è mostrata di nuovo in una sorta di posa.</v>
      </c>
    </row>
    <row r="6417">
      <c r="A6417" s="4" t="s">
        <v>8054</v>
      </c>
      <c r="B6417" s="4" t="s">
        <v>8064</v>
      </c>
      <c r="C6417" s="5" t="str">
        <f>IFERROR(__xludf.DUMMYFUNCTION("GOOGLETRANSLATE(B6417,""en"",""it"")"),"La prima donna viene mostrata di nuovo a esibirsi in ginnastica.")</f>
        <v>La prima donna viene mostrata di nuovo a esibirsi in ginnastica.</v>
      </c>
    </row>
    <row r="6418">
      <c r="A6418" s="4" t="s">
        <v>8065</v>
      </c>
      <c r="B6418" s="6" t="s">
        <v>8066</v>
      </c>
      <c r="C6418" s="5" t="str">
        <f>IFERROR(__xludf.DUMMYFUNCTION("GOOGLETRANSLATE(B6418,""en"",""it"")"),"Un'enorme nave rossa, in bianco e nero viene mostrata sull'acqua, quindi una nave più piccola viene mostrata rapidamente che si avvicina alla barca che si sta riprendendo e improvvisamente si schianta contro la barca e ha un fumo nero che provengono dalla"&amp;" cima.")</f>
        <v>Un'enorme nave rossa, in bianco e nero viene mostrata sull'acqua, quindi una nave più piccola viene mostrata rapidamente che si avvicina alla barca che si sta riprendendo e improvvisamente si schianta contro la barca e ha un fumo nero che provengono dalla cima.</v>
      </c>
    </row>
    <row r="6419">
      <c r="A6419" s="4" t="s">
        <v>8065</v>
      </c>
      <c r="B6419" s="6" t="s">
        <v>8067</v>
      </c>
      <c r="C6419" s="5" t="str">
        <f>IFERROR(__xludf.DUMMYFUNCTION("GOOGLETRANSLATE(B6419,""en"",""it"")"),"Molte persone sono mostrate sulla barca con giubbotti di salvataggio che si muovono rapidamente attorno alla nave e gli uomini tirano freneticamente la corda.")</f>
        <v>Molte persone sono mostrate sulla barca con giubbotti di salvataggio che si muovono rapidamente attorno alla nave e gli uomini tirano freneticamente la corda.</v>
      </c>
    </row>
    <row r="6420">
      <c r="A6420" s="4" t="s">
        <v>8065</v>
      </c>
      <c r="B6420" s="6" t="s">
        <v>8068</v>
      </c>
      <c r="C6420" s="5" t="str">
        <f>IFERROR(__xludf.DUMMYFUNCTION("GOOGLETRANSLATE(B6420,""en"",""it"")"),"Un uomo e una donna stanno ora spazzando l'area in cui la barca è stata colpita e un altro uomo sta aiutando a raccogliere pezzi rotti.")</f>
        <v>Un uomo e una donna stanno ora spazzando l'area in cui la barca è stata colpita e un altro uomo sta aiutando a raccogliere pezzi rotti.</v>
      </c>
    </row>
    <row r="6421">
      <c r="A6421" s="4" t="s">
        <v>8069</v>
      </c>
      <c r="B6421" s="6" t="s">
        <v>8070</v>
      </c>
      <c r="C6421" s="5" t="str">
        <f>IFERROR(__xludf.DUMMYFUNCTION("GOOGLETRANSLATE(B6421,""en"",""it"")"),"Una signora suona l'arpa e un'altra suona il flauto in un'orchestra e vediamo il direttore e torniamo alla signora del flauto.")</f>
        <v>Una signora suona l'arpa e un'altra suona il flauto in un'orchestra e vediamo il direttore e torniamo alla signora del flauto.</v>
      </c>
    </row>
    <row r="6422">
      <c r="A6422" s="4" t="s">
        <v>8069</v>
      </c>
      <c r="B6422" s="6" t="s">
        <v>8071</v>
      </c>
      <c r="C6422" s="5" t="str">
        <f>IFERROR(__xludf.DUMMYFUNCTION("GOOGLETRANSLATE(B6422,""en"",""it"")"),"Vediamo l'intera orchestra suonare e tornare alla signora del flauto e l'orchestra tagliata avanti e indietro.")</f>
        <v>Vediamo l'intera orchestra suonare e tornare alla signora del flauto e l'orchestra tagliata avanti e indietro.</v>
      </c>
    </row>
    <row r="6423">
      <c r="A6423" s="4" t="s">
        <v>8069</v>
      </c>
      <c r="B6423" s="4" t="s">
        <v>8072</v>
      </c>
      <c r="C6423" s="5" t="str">
        <f>IFERROR(__xludf.DUMMYFUNCTION("GOOGLETRANSLATE(B6423,""en"",""it"")"),"Guardiamo il direttore mentre lavora e vediamo l'orchestra.")</f>
        <v>Guardiamo il direttore mentre lavora e vediamo l'orchestra.</v>
      </c>
    </row>
    <row r="6424">
      <c r="A6424" s="4" t="s">
        <v>8069</v>
      </c>
      <c r="B6424" s="4" t="s">
        <v>8073</v>
      </c>
      <c r="C6424" s="5" t="str">
        <f>IFERROR(__xludf.DUMMYFUNCTION("GOOGLETRANSLATE(B6424,""en"",""it"")"),"Vediamo di nuovo l'arpa e l'orchestra prima di tornare all'arpa.")</f>
        <v>Vediamo di nuovo l'arpa e l'orchestra prima di tornare all'arpa.</v>
      </c>
    </row>
    <row r="6425">
      <c r="A6425" s="4" t="s">
        <v>8074</v>
      </c>
      <c r="B6425" s="4" t="s">
        <v>8075</v>
      </c>
      <c r="C6425" s="5" t="str">
        <f>IFERROR(__xludf.DUMMYFUNCTION("GOOGLETRANSLATE(B6425,""en"",""it"")"),"Una donna è seduta sul bordo di una vasca da bagno.")</f>
        <v>Una donna è seduta sul bordo di una vasca da bagno.</v>
      </c>
    </row>
    <row r="6426">
      <c r="A6426" s="4" t="s">
        <v>8074</v>
      </c>
      <c r="B6426" s="4" t="s">
        <v>8076</v>
      </c>
      <c r="C6426" s="5" t="str">
        <f>IFERROR(__xludf.DUMMYFUNCTION("GOOGLETRANSLATE(B6426,""en"",""it"")"),"Comincia a radersi la gamba con un rasoio.")</f>
        <v>Comincia a radersi la gamba con un rasoio.</v>
      </c>
    </row>
    <row r="6427">
      <c r="A6427" s="4" t="s">
        <v>8074</v>
      </c>
      <c r="B6427" s="4" t="s">
        <v>8077</v>
      </c>
      <c r="C6427" s="5" t="str">
        <f>IFERROR(__xludf.DUMMYFUNCTION("GOOGLETRANSLATE(B6427,""en"",""it"")"),"Guarda il fondo del rasoio.")</f>
        <v>Guarda il fondo del rasoio.</v>
      </c>
    </row>
    <row r="6428">
      <c r="A6428" s="4" t="s">
        <v>8078</v>
      </c>
      <c r="B6428" s="6" t="s">
        <v>8079</v>
      </c>
      <c r="C6428" s="5" t="str">
        <f>IFERROR(__xludf.DUMMYFUNCTION("GOOGLETRANSLATE(B6428,""en"",""it"")"),"C'è un atleta che fa il lancio del martello in un grande stadio con alcuni spettatori e pochi altri giocatori che lo guardano.")</f>
        <v>C'è un atleta che fa il lancio del martello in un grande stadio con alcuni spettatori e pochi altri giocatori che lo guardano.</v>
      </c>
    </row>
    <row r="6429">
      <c r="A6429" s="4" t="s">
        <v>8078</v>
      </c>
      <c r="B6429" s="4" t="s">
        <v>8080</v>
      </c>
      <c r="C6429" s="5" t="str">
        <f>IFERROR(__xludf.DUMMYFUNCTION("GOOGLETRANSLATE(B6429,""en"",""it"")"),"Comincia facendo oscillare la corda del martello tra le mani mentre ruota il suo corpo.")</f>
        <v>Comincia facendo oscillare la corda del martello tra le mani mentre ruota il suo corpo.</v>
      </c>
    </row>
    <row r="6430">
      <c r="A6430" s="4" t="s">
        <v>8078</v>
      </c>
      <c r="B6430" s="4" t="s">
        <v>8081</v>
      </c>
      <c r="C6430" s="5" t="str">
        <f>IFERROR(__xludf.DUMMYFUNCTION("GOOGLETRANSLATE(B6430,""en"",""it"")"),"Due persone si fanno avanti per vedere dove è atterrato la palla dell'atleta.")</f>
        <v>Due persone si fanno avanti per vedere dove è atterrato la palla dell'atleta.</v>
      </c>
    </row>
    <row r="6431">
      <c r="A6431" s="4" t="s">
        <v>8078</v>
      </c>
      <c r="B6431" s="6" t="s">
        <v>8082</v>
      </c>
      <c r="C6431" s="5" t="str">
        <f>IFERROR(__xludf.DUMMYFUNCTION("GOOGLETRANSLATE(B6431,""en"",""it"")"),"L'atleta fa un altro lancio di martello e la distanza del suo tiro viene misurata e le sue statistiche sono mostrate sullo schermo.")</f>
        <v>L'atleta fa un altro lancio di martello e la distanza del suo tiro viene misurata e le sue statistiche sono mostrate sullo schermo.</v>
      </c>
    </row>
    <row r="6432">
      <c r="A6432" s="4" t="s">
        <v>8078</v>
      </c>
      <c r="B6432" s="4" t="s">
        <v>8083</v>
      </c>
      <c r="C6432" s="5" t="str">
        <f>IFERROR(__xludf.DUMMYFUNCTION("GOOGLETRANSLATE(B6432,""en"",""it"")"),"Gli spettatori delle gradinate guardano l'evento sportivo.")</f>
        <v>Gli spettatori delle gradinate guardano l'evento sportivo.</v>
      </c>
    </row>
    <row r="6433">
      <c r="A6433" s="4" t="s">
        <v>8084</v>
      </c>
      <c r="B6433" s="4" t="s">
        <v>8085</v>
      </c>
      <c r="C6433" s="5" t="str">
        <f>IFERROR(__xludf.DUMMYFUNCTION("GOOGLETRANSLATE(B6433,""en"",""it"")"),"Una donna e un cane sono visti in piedi in un grande campo eseguendo trucchi con un frisbee.")</f>
        <v>Una donna e un cane sono visti in piedi in un grande campo eseguendo trucchi con un frisbee.</v>
      </c>
    </row>
    <row r="6434">
      <c r="A6434" s="4" t="s">
        <v>8084</v>
      </c>
      <c r="B6434" s="6" t="s">
        <v>8086</v>
      </c>
      <c r="C6434" s="5" t="str">
        <f>IFERROR(__xludf.DUMMYFUNCTION("GOOGLETRANSLATE(B6434,""en"",""it"")"),"La donna e il cane sono mostrati in molte altre clip che giocano con il frisbee ed eseguono trucchi.")</f>
        <v>La donna e il cane sono mostrati in molte altre clip che giocano con il frisbee ed eseguono trucchi.</v>
      </c>
    </row>
    <row r="6435">
      <c r="A6435" s="4" t="s">
        <v>8084</v>
      </c>
      <c r="B6435" s="6" t="s">
        <v>8087</v>
      </c>
      <c r="C6435" s="5" t="str">
        <f>IFERROR(__xludf.DUMMYFUNCTION("GOOGLETRANSLATE(B6435,""en"",""it"")"),"Il cane salta su e giù e insegue il frisbee mentre la donna guarda sul lato.")</f>
        <v>Il cane salta su e giù e insegue il frisbee mentre la donna guarda sul lato.</v>
      </c>
    </row>
    <row r="6436">
      <c r="A6436" s="4" t="s">
        <v>8088</v>
      </c>
      <c r="B6436" s="4" t="s">
        <v>8089</v>
      </c>
      <c r="C6436" s="5" t="str">
        <f>IFERROR(__xludf.DUMMYFUNCTION("GOOGLETRANSLATE(B6436,""en"",""it"")"),"Due coppie di femmine si trovano in una stanza giocando una partita di biliardo.")</f>
        <v>Due coppie di femmine si trovano in una stanza giocando una partita di biliardo.</v>
      </c>
    </row>
    <row r="6437">
      <c r="A6437" s="4" t="s">
        <v>8088</v>
      </c>
      <c r="B6437" s="4" t="s">
        <v>8090</v>
      </c>
      <c r="C6437" s="5" t="str">
        <f>IFERROR(__xludf.DUMMYFUNCTION("GOOGLETRANSLATE(B6437,""en"",""it"")"),"Le ragazze a sinistra fanno due gol e iniziano a tifare.")</f>
        <v>Le ragazze a sinistra fanno due gol e iniziano a tifare.</v>
      </c>
    </row>
    <row r="6438">
      <c r="A6438" s="4" t="s">
        <v>8091</v>
      </c>
      <c r="B6438" s="4" t="s">
        <v>8092</v>
      </c>
      <c r="C6438" s="5" t="str">
        <f>IFERROR(__xludf.DUMMYFUNCTION("GOOGLETRANSLATE(B6438,""en"",""it"")"),"Un uomo corre e si tuffa in acqua su una spiaggia.")</f>
        <v>Un uomo corre e si tuffa in acqua su una spiaggia.</v>
      </c>
    </row>
    <row r="6439">
      <c r="A6439" s="4" t="s">
        <v>8091</v>
      </c>
      <c r="B6439" s="4" t="s">
        <v>8093</v>
      </c>
      <c r="C6439" s="5" t="str">
        <f>IFERROR(__xludf.DUMMYFUNCTION("GOOGLETRANSLATE(B6439,""en"",""it"")"),"Un uomo che trasporta una tavola da surf cammina sulla spiaggia.")</f>
        <v>Un uomo che trasporta una tavola da surf cammina sulla spiaggia.</v>
      </c>
    </row>
    <row r="6440">
      <c r="A6440" s="4" t="s">
        <v>8091</v>
      </c>
      <c r="B6440" s="4" t="s">
        <v>8094</v>
      </c>
      <c r="C6440" s="5" t="str">
        <f>IFERROR(__xludf.DUMMYFUNCTION("GOOGLETRANSLATE(B6440,""en"",""it"")"),"Le persone navigano in acqua.")</f>
        <v>Le persone navigano in acqua.</v>
      </c>
    </row>
    <row r="6441">
      <c r="A6441" s="4" t="s">
        <v>8091</v>
      </c>
      <c r="B6441" s="4" t="s">
        <v>8095</v>
      </c>
      <c r="C6441" s="5" t="str">
        <f>IFERROR(__xludf.DUMMYFUNCTION("GOOGLETRANSLATE(B6441,""en"",""it"")"),"Un uomo è seduto nella sabbia.")</f>
        <v>Un uomo è seduto nella sabbia.</v>
      </c>
    </row>
    <row r="6442">
      <c r="A6442" s="4" t="s">
        <v>8091</v>
      </c>
      <c r="B6442" s="4" t="s">
        <v>8096</v>
      </c>
      <c r="C6442" s="5" t="str">
        <f>IFERROR(__xludf.DUMMYFUNCTION("GOOGLETRANSLATE(B6442,""en"",""it"")"),"Più persone navigano in acqua.")</f>
        <v>Più persone navigano in acqua.</v>
      </c>
    </row>
    <row r="6443">
      <c r="A6443" s="4" t="s">
        <v>8091</v>
      </c>
      <c r="B6443" s="4" t="s">
        <v>8097</v>
      </c>
      <c r="C6443" s="5" t="str">
        <f>IFERROR(__xludf.DUMMYFUNCTION("GOOGLETRANSLATE(B6443,""en"",""it"")"),"Due donne in bikini sono sulla spiaggia.")</f>
        <v>Due donne in bikini sono sulla spiaggia.</v>
      </c>
    </row>
    <row r="6444">
      <c r="A6444" s="4" t="s">
        <v>8091</v>
      </c>
      <c r="B6444" s="4" t="s">
        <v>8098</v>
      </c>
      <c r="C6444" s="5" t="str">
        <f>IFERROR(__xludf.DUMMYFUNCTION("GOOGLETRANSLATE(B6444,""en"",""it"")"),"Le persone cavalcano onde nel surf d'acqua.")</f>
        <v>Le persone cavalcano onde nel surf d'acqua.</v>
      </c>
    </row>
    <row r="6445">
      <c r="A6445" s="4" t="s">
        <v>8099</v>
      </c>
      <c r="B6445" s="4" t="s">
        <v>8100</v>
      </c>
      <c r="C6445" s="5" t="str">
        <f>IFERROR(__xludf.DUMMYFUNCTION("GOOGLETRANSLATE(B6445,""en"",""it"")"),"Il video conduce in diverse clip di bambini piccoli che praticano mosse di ginnastica in una grande palestra.")</f>
        <v>Il video conduce in diverse clip di bambini piccoli che praticano mosse di ginnastica in una grande palestra.</v>
      </c>
    </row>
    <row r="6446">
      <c r="A6446" s="4" t="s">
        <v>8099</v>
      </c>
      <c r="B6446" s="4" t="s">
        <v>8101</v>
      </c>
      <c r="C6446" s="5" t="str">
        <f>IFERROR(__xludf.DUMMYFUNCTION("GOOGLETRANSLATE(B6446,""en"",""it"")"),"Il video continua con i bambini che si lanciano e saltano sui tappetini.")</f>
        <v>Il video continua con i bambini che si lanciano e saltano sui tappetini.</v>
      </c>
    </row>
    <row r="6447">
      <c r="A6447" s="4" t="s">
        <v>8102</v>
      </c>
      <c r="B6447" s="4" t="s">
        <v>8103</v>
      </c>
      <c r="C6447" s="5" t="str">
        <f>IFERROR(__xludf.DUMMYFUNCTION("GOOGLETRANSLATE(B6447,""en"",""it"")"),"L'uomo si immerge sott'acqua e saluta la telecamera.")</f>
        <v>L'uomo si immerge sott'acqua e saluta la telecamera.</v>
      </c>
    </row>
    <row r="6448">
      <c r="A6448" s="4" t="s">
        <v>8102</v>
      </c>
      <c r="B6448" s="4" t="s">
        <v>8104</v>
      </c>
      <c r="C6448" s="5" t="str">
        <f>IFERROR(__xludf.DUMMYFUNCTION("GOOGLETRANSLATE(B6448,""en"",""it"")"),"Le persone si immergono subacquee a guardare i pesci nuotano tra le rocce.")</f>
        <v>Le persone si immergono subacquee a guardare i pesci nuotano tra le rocce.</v>
      </c>
    </row>
    <row r="6449">
      <c r="A6449" s="4" t="s">
        <v>8102</v>
      </c>
      <c r="B6449" s="4" t="s">
        <v>8105</v>
      </c>
      <c r="C6449" s="5" t="str">
        <f>IFERROR(__xludf.DUMMYFUNCTION("GOOGLETRANSLATE(B6449,""en"",""it"")"),"Le persone sono sotto il mare subacqueo che si immergono registrando tutto.")</f>
        <v>Le persone sono sotto il mare subacqueo che si immergono registrando tutto.</v>
      </c>
    </row>
    <row r="6450">
      <c r="A6450" s="4" t="s">
        <v>8106</v>
      </c>
      <c r="B6450" s="4" t="s">
        <v>8107</v>
      </c>
      <c r="C6450" s="5" t="str">
        <f>IFERROR(__xludf.DUMMYFUNCTION("GOOGLETRANSLATE(B6450,""en"",""it"")"),"Un uomo gira e lancia una palla sul campo.")</f>
        <v>Un uomo gira e lancia una palla sul campo.</v>
      </c>
    </row>
    <row r="6451">
      <c r="A6451" s="4" t="s">
        <v>8106</v>
      </c>
      <c r="B6451" s="4" t="s">
        <v>8108</v>
      </c>
      <c r="C6451" s="5" t="str">
        <f>IFERROR(__xludf.DUMMYFUNCTION("GOOGLETRANSLATE(B6451,""en"",""it"")"),"Un altro uomo gira e lancia una palla sul campo.")</f>
        <v>Un altro uomo gira e lancia una palla sul campo.</v>
      </c>
    </row>
    <row r="6452">
      <c r="A6452" s="4" t="s">
        <v>8106</v>
      </c>
      <c r="B6452" s="4" t="s">
        <v>8109</v>
      </c>
      <c r="C6452" s="5" t="str">
        <f>IFERROR(__xludf.DUMMYFUNCTION("GOOGLETRANSLATE(B6452,""en"",""it"")"),"Le persone sugli spalti stanno abbracciando l'atleta.")</f>
        <v>Le persone sugli spalti stanno abbracciando l'atleta.</v>
      </c>
    </row>
    <row r="6453">
      <c r="A6453" s="4" t="s">
        <v>8110</v>
      </c>
      <c r="B6453" s="6" t="s">
        <v>8111</v>
      </c>
      <c r="C6453" s="5" t="str">
        <f>IFERROR(__xludf.DUMMYFUNCTION("GOOGLETRANSLATE(B6453,""en"",""it"")"),"Un'introduzione arriva sullo schermo per un video su come riprodurre canzoni diverse sul violino.")</f>
        <v>Un'introduzione arriva sullo schermo per un video su come riprodurre canzoni diverse sul violino.</v>
      </c>
    </row>
    <row r="6454">
      <c r="A6454" s="4" t="s">
        <v>8110</v>
      </c>
      <c r="B6454" s="6" t="s">
        <v>8112</v>
      </c>
      <c r="C6454" s="5" t="str">
        <f>IFERROR(__xludf.DUMMYFUNCTION("GOOGLETRANSLATE(B6454,""en"",""it"")"),"Un uomo arriva sullo schermo con un violino e inizia a spiegare diverse tecniche per suonare il violino.")</f>
        <v>Un uomo arriva sullo schermo con un violino e inizia a spiegare diverse tecniche per suonare il violino.</v>
      </c>
    </row>
    <row r="6455">
      <c r="A6455" s="4" t="s">
        <v>8110</v>
      </c>
      <c r="B6455" s="4" t="s">
        <v>8113</v>
      </c>
      <c r="C6455" s="5" t="str">
        <f>IFERROR(__xludf.DUMMYFUNCTION("GOOGLETRANSLATE(B6455,""en"",""it"")"),"Si avvicina alla telecamera in modo da poter vedere i dettagli di ciò che sta facendo con le sue mani.")</f>
        <v>Si avvicina alla telecamera in modo da poter vedere i dettagli di ciò che sta facendo con le sue mani.</v>
      </c>
    </row>
    <row r="6456">
      <c r="A6456" s="4" t="s">
        <v>8110</v>
      </c>
      <c r="B6456" s="4" t="s">
        <v>8114</v>
      </c>
      <c r="C6456" s="5" t="str">
        <f>IFERROR(__xludf.DUMMYFUNCTION("GOOGLETRANSLATE(B6456,""en"",""it"")"),"Comincia a suonare diverse note sul violino mentre muove le dita.")</f>
        <v>Comincia a suonare diverse note sul violino mentre muove le dita.</v>
      </c>
    </row>
    <row r="6457">
      <c r="A6457" s="4" t="s">
        <v>8110</v>
      </c>
      <c r="B6457" s="4" t="s">
        <v>8115</v>
      </c>
      <c r="C6457" s="5" t="str">
        <f>IFERROR(__xludf.DUMMYFUNCTION("GOOGLETRANSLATE(B6457,""en"",""it"")"),"Il video termina con i crediti di chiusura mostrati sullo schermo.")</f>
        <v>Il video termina con i crediti di chiusura mostrati sullo schermo.</v>
      </c>
    </row>
    <row r="6458">
      <c r="A6458" s="4" t="s">
        <v>8116</v>
      </c>
      <c r="B6458" s="4" t="s">
        <v>8117</v>
      </c>
      <c r="C6458" s="5" t="str">
        <f>IFERROR(__xludf.DUMMYFUNCTION("GOOGLETRANSLATE(B6458,""en"",""it"")"),"Un uomo è in piedi davanti alla telecamera a parlare e poi si muove dietro il tavolo.")</f>
        <v>Un uomo è in piedi davanti alla telecamera a parlare e poi si muove dietro il tavolo.</v>
      </c>
    </row>
    <row r="6459">
      <c r="A6459" s="4" t="s">
        <v>8116</v>
      </c>
      <c r="B6459" s="6" t="s">
        <v>8118</v>
      </c>
      <c r="C6459" s="5" t="str">
        <f>IFERROR(__xludf.DUMMYFUNCTION("GOOGLETRANSLATE(B6459,""en"",""it"")"),"Sul tavolo, ha la carta da avvolgimento, un bastoncino, un nastro e una matita e li sposta dall'altra parte della scatola.")</f>
        <v>Sul tavolo, ha la carta da avvolgimento, un bastoncino, un nastro e una matita e li sposta dall'altra parte della scatola.</v>
      </c>
    </row>
    <row r="6460">
      <c r="A6460" s="4" t="s">
        <v>8116</v>
      </c>
      <c r="B6460" s="6" t="s">
        <v>8119</v>
      </c>
      <c r="C6460" s="5" t="str">
        <f>IFERROR(__xludf.DUMMYFUNCTION("GOOGLETRANSLATE(B6460,""en"",""it"")"),"La scatola viene quindi raccolta e posizionata sulla parte superiore della carta da involucro e l'uomo misura la carta da imballaggio.")</f>
        <v>La scatola viene quindi raccolta e posizionata sulla parte superiore della carta da involucro e l'uomo misura la carta da imballaggio.</v>
      </c>
    </row>
    <row r="6461">
      <c r="A6461" s="4" t="s">
        <v>8116</v>
      </c>
      <c r="B6461" s="4" t="s">
        <v>8120</v>
      </c>
      <c r="C6461" s="5" t="str">
        <f>IFERROR(__xludf.DUMMYFUNCTION("GOOGLETRANSLATE(B6461,""en"",""it"")"),"La carta da involucro viene quindi registrata e il resto viene misurato prima di registrarsi.")</f>
        <v>La carta da involucro viene quindi registrata e il resto viene misurato prima di registrarsi.</v>
      </c>
    </row>
    <row r="6462">
      <c r="A6462" s="4" t="s">
        <v>8121</v>
      </c>
      <c r="B6462" s="4" t="s">
        <v>8122</v>
      </c>
      <c r="C6462" s="5" t="str">
        <f>IFERROR(__xludf.DUMMYFUNCTION("GOOGLETRANSLATE(B6462,""en"",""it"")"),"Una donna e un uomo suonano shuffleboard fuori.")</f>
        <v>Una donna e un uomo suonano shuffleboard fuori.</v>
      </c>
    </row>
    <row r="6463">
      <c r="A6463" s="4" t="s">
        <v>8121</v>
      </c>
      <c r="B6463" s="4" t="s">
        <v>8123</v>
      </c>
      <c r="C6463" s="5" t="str">
        <f>IFERROR(__xludf.DUMMYFUNCTION("GOOGLETRANSLATE(B6463,""en"",""it"")"),"La donna va prima e poi l'uomo prende il suo turno.")</f>
        <v>La donna va prima e poi l'uomo prende il suo turno.</v>
      </c>
    </row>
    <row r="6464">
      <c r="A6464" s="4" t="s">
        <v>8124</v>
      </c>
      <c r="B6464" s="4" t="s">
        <v>8125</v>
      </c>
      <c r="C6464" s="5" t="str">
        <f>IFERROR(__xludf.DUMMYFUNCTION("GOOGLETRANSLATE(B6464,""en"",""it"")"),"Viene mostrato un uomo che indossa un casco e si arrampica su una parete di roccia.")</f>
        <v>Viene mostrato un uomo che indossa un casco e si arrampica su una parete di roccia.</v>
      </c>
    </row>
    <row r="6465">
      <c r="A6465" s="4" t="s">
        <v>8124</v>
      </c>
      <c r="B6465" s="6" t="s">
        <v>8126</v>
      </c>
      <c r="C6465" s="5" t="str">
        <f>IFERROR(__xludf.DUMMYFUNCTION("GOOGLETRANSLATE(B6465,""en"",""it"")"),"Continua a salire sul muro di roccia mentre la telecamera cattura i suoi movimenti e si muove intorno alle montagne e annaffia intorno a loro.")</f>
        <v>Continua a salire sul muro di roccia mentre la telecamera cattura i suoi movimenti e si muove intorno alle montagne e annaffia intorno a loro.</v>
      </c>
    </row>
    <row r="6466">
      <c r="A6466" s="4" t="s">
        <v>8124</v>
      </c>
      <c r="B6466" s="4" t="s">
        <v>8127</v>
      </c>
      <c r="C6466" s="5" t="str">
        <f>IFERROR(__xludf.DUMMYFUNCTION("GOOGLETRANSLATE(B6466,""en"",""it"")"),"Lo scalatore controlla la sua corda e scuote la clip dalla sua corda.")</f>
        <v>Lo scalatore controlla la sua corda e scuote la clip dalla sua corda.</v>
      </c>
    </row>
    <row r="6467">
      <c r="A6467" s="4" t="s">
        <v>8128</v>
      </c>
      <c r="B6467" s="4" t="s">
        <v>1251</v>
      </c>
      <c r="C6467" s="5" t="str">
        <f>IFERROR(__xludf.DUMMYFUNCTION("GOOGLETRANSLATE(B6467,""en"",""it"")"),"Vengono visualizzati i crediti della clip.")</f>
        <v>Vengono visualizzati i crediti della clip.</v>
      </c>
    </row>
    <row r="6468">
      <c r="A6468" s="4" t="s">
        <v>8128</v>
      </c>
      <c r="B6468" s="4" t="s">
        <v>8129</v>
      </c>
      <c r="C6468" s="5" t="str">
        <f>IFERROR(__xludf.DUMMYFUNCTION("GOOGLETRANSLATE(B6468,""en"",""it"")"),"Le persone caricano in canoe arancioni.")</f>
        <v>Le persone caricano in canoe arancioni.</v>
      </c>
    </row>
    <row r="6469">
      <c r="A6469" s="4" t="s">
        <v>8128</v>
      </c>
      <c r="B6469" s="4" t="s">
        <v>8130</v>
      </c>
      <c r="C6469" s="5" t="str">
        <f>IFERROR(__xludf.DUMMYFUNCTION("GOOGLETRANSLATE(B6469,""en"",""it"")"),"La gente rema canoe su un corpo idrico.")</f>
        <v>La gente rema canoe su un corpo idrico.</v>
      </c>
    </row>
    <row r="6470">
      <c r="A6470" s="4" t="s">
        <v>8128</v>
      </c>
      <c r="B6470" s="4" t="s">
        <v>8131</v>
      </c>
      <c r="C6470" s="5" t="str">
        <f>IFERROR(__xludf.DUMMYFUNCTION("GOOGLETRANSLATE(B6470,""en"",""it"")"),"Due ragazzi pagavano la loro canoa.")</f>
        <v>Due ragazzi pagavano la loro canoa.</v>
      </c>
    </row>
    <row r="6471">
      <c r="A6471" s="4" t="s">
        <v>8128</v>
      </c>
      <c r="B6471" s="4" t="s">
        <v>573</v>
      </c>
      <c r="C6471" s="5" t="str">
        <f>IFERROR(__xludf.DUMMYFUNCTION("GOOGLETRANSLATE(B6471,""en"",""it"")"),"Vengono visualizzati i crediti del video.")</f>
        <v>Vengono visualizzati i crediti del video.</v>
      </c>
    </row>
    <row r="6472">
      <c r="A6472" s="4" t="s">
        <v>8132</v>
      </c>
      <c r="B6472" s="6" t="s">
        <v>8133</v>
      </c>
      <c r="C6472" s="5" t="str">
        <f>IFERROR(__xludf.DUMMYFUNCTION("GOOGLETRANSLATE(B6472,""en"",""it"")"),"Una ragazza sorridente che indossa pareti e occhiali solleva una sacca rosa sopra la sua testa mentre si trova davanti al corpo medio di un cavallo e le parole ""toelettano con Erin"".")</f>
        <v>Una ragazza sorridente che indossa pareti e occhiali solleva una sacca rosa sopra la sua testa mentre si trova davanti al corpo medio di un cavallo e le parole "toelettano con Erin".</v>
      </c>
    </row>
    <row r="6473">
      <c r="A6473" s="4" t="s">
        <v>8132</v>
      </c>
      <c r="B6473" s="6" t="s">
        <v>8134</v>
      </c>
      <c r="C6473" s="5" t="str">
        <f>IFERROR(__xludf.DUMMYFUNCTION("GOOGLETRANSLATE(B6473,""en"",""it"")"),"Ora il cavallo è completamente visibile e la ragazza si allunga nella sua borsa rosa per afferrare un pennello e inizia a spazzolare il cavallo su tutto il corpo da davanti a dietro e su ogni lato.")</f>
        <v>Ora il cavallo è completamente visibile e la ragazza si allunga nella sua borsa rosa per afferrare un pennello e inizia a spazzolare il cavallo su tutto il corpo da davanti a dietro e su ogni lato.</v>
      </c>
    </row>
    <row r="6474">
      <c r="A6474" s="4" t="s">
        <v>8132</v>
      </c>
      <c r="B6474" s="6" t="s">
        <v>8135</v>
      </c>
      <c r="C6474" s="5" t="str">
        <f>IFERROR(__xludf.DUMMYFUNCTION("GOOGLETRANSLATE(B6474,""en"",""it"")"),"La ragazza torna alla borsa rosa, afferra un altro pennello e ricomincia a spazzolare il cavallo dalla testa ai piedi e tutto intorno al suo corpo su ogni lato.")</f>
        <v>La ragazza torna alla borsa rosa, afferra un altro pennello e ricomincia a spazzolare il cavallo dalla testa ai piedi e tutto intorno al suo corpo su ogni lato.</v>
      </c>
    </row>
    <row r="6475">
      <c r="A6475" s="4" t="s">
        <v>8132</v>
      </c>
      <c r="B6475" s="6" t="s">
        <v>8136</v>
      </c>
      <c r="C6475" s="5" t="str">
        <f>IFERROR(__xludf.DUMMYFUNCTION("GOOGLETRANSLATE(B6475,""en"",""it"")"),"La ragazza va ancora una volta al rosa per restituire il pennello che stava usando e afferra un altro pennello dove ancora una volta inizia a spazzolare il cavallo dalla testa ai piedi e su tutti i lati.")</f>
        <v>La ragazza va ancora una volta al rosa per restituire il pennello che stava usando e afferra un altro pennello dove ancora una volta inizia a spazzolare il cavallo dalla testa ai piedi e su tutti i lati.</v>
      </c>
    </row>
    <row r="6476">
      <c r="A6476" s="4" t="s">
        <v>8132</v>
      </c>
      <c r="B6476" s="6" t="s">
        <v>8137</v>
      </c>
      <c r="C6476" s="5" t="str">
        <f>IFERROR(__xludf.DUMMYFUNCTION("GOOGLETRANSLATE(B6476,""en"",""it"")"),"Le ragazze nella borsa per far cadere il pennello e poi afferrano uno strumento verde, si avvicina al piede sinistro davanti ai cavalli, lo raccolgono e inizia a pulire la scarpa, quindi cammina intorno al cavallo e fa il resto delle scarpe.")</f>
        <v>Le ragazze nella borsa per far cadere il pennello e poi afferrano uno strumento verde, si avvicina al piede sinistro davanti ai cavalli, lo raccolgono e inizia a pulire la scarpa, quindi cammina intorno al cavallo e fa il resto delle scarpe.</v>
      </c>
    </row>
    <row r="6477">
      <c r="A6477" s="4" t="s">
        <v>8132</v>
      </c>
      <c r="B6477" s="6" t="s">
        <v>8138</v>
      </c>
      <c r="C6477" s="5" t="str">
        <f>IFERROR(__xludf.DUMMYFUNCTION("GOOGLETRANSLATE(B6477,""en"",""it"")"),"Quando la ragazza ha finito con la pulizia delle scarpe, restituisce lo strumento alla borsa rosa e afferra un pennello dalla telecamera, spazzola la criniera, bacia il cavallo e poi restituisce il pennello sulla borsa rosa, cammina verso il telecamera e "&amp;"sorride in grande.")</f>
        <v>Quando la ragazza ha finito con la pulizia delle scarpe, restituisce lo strumento alla borsa rosa e afferra un pennello dalla telecamera, spazzola la criniera, bacia il cavallo e poi restituisce il pennello sulla borsa rosa, cammina verso il telecamera e sorride in grande.</v>
      </c>
    </row>
    <row r="6478">
      <c r="A6478" s="4" t="s">
        <v>8139</v>
      </c>
      <c r="B6478" s="6" t="s">
        <v>8140</v>
      </c>
      <c r="C6478" s="5" t="str">
        <f>IFERROR(__xludf.DUMMYFUNCTION("GOOGLETRANSLATE(B6478,""en"",""it"")"),"Una donna gira un'asta in aria mentre gira e balla, quindi lancia l'asta in alto e gira prima per catturare l'asta.")</f>
        <v>Una donna gira un'asta in aria mentre gira e balla, quindi lancia l'asta in alto e gira prima per catturare l'asta.</v>
      </c>
    </row>
    <row r="6479">
      <c r="A6479" s="4" t="s">
        <v>8139</v>
      </c>
      <c r="B6479" s="4" t="s">
        <v>8141</v>
      </c>
      <c r="C6479" s="5" t="str">
        <f>IFERROR(__xludf.DUMMYFUNCTION("GOOGLETRANSLATE(B6479,""en"",""it"")"),"La donna continua a girare l'asta intorno al corpo, getta anche l'asta in aria.")</f>
        <v>La donna continua a girare l'asta intorno al corpo, getta anche l'asta in aria.</v>
      </c>
    </row>
    <row r="6480">
      <c r="A6480" s="4" t="s">
        <v>8139</v>
      </c>
      <c r="B6480" s="6" t="s">
        <v>8142</v>
      </c>
      <c r="C6480" s="5" t="str">
        <f>IFERROR(__xludf.DUMMYFUNCTION("GOOGLETRANSLATE(B6480,""en"",""it"")"),"Quindi, la donna rotola l'asta sulle braccia, poi getta l'asta in aria e fa una ruota di carrello prima di prendere l'asta.")</f>
        <v>Quindi, la donna rotola l'asta sulle braccia, poi getta l'asta in aria e fa una ruota di carrello prima di prendere l'asta.</v>
      </c>
    </row>
    <row r="6481">
      <c r="A6481" s="4" t="s">
        <v>8139</v>
      </c>
      <c r="B6481" s="4" t="s">
        <v>8143</v>
      </c>
      <c r="C6481" s="5" t="str">
        <f>IFERROR(__xludf.DUMMYFUNCTION("GOOGLETRANSLATE(B6481,""en"",""it"")"),"Successivamente, la donna rotola con gentilmente l'asta sul collo e termina la sua esibizione.")</f>
        <v>Successivamente, la donna rotola con gentilmente l'asta sul collo e termina la sua esibizione.</v>
      </c>
    </row>
    <row r="6482">
      <c r="A6482" s="4" t="s">
        <v>8144</v>
      </c>
      <c r="B6482" s="6" t="s">
        <v>8145</v>
      </c>
      <c r="C6482" s="5" t="str">
        <f>IFERROR(__xludf.DUMMYFUNCTION("GOOGLETRANSLATE(B6482,""en"",""it"")"),"Prima la donna anziana va ad abbracciare il giovane e poi un uomo con una camicia blu suona il piano magnificamente di melodie diverse.")</f>
        <v>Prima la donna anziana va ad abbracciare il giovane e poi un uomo con una camicia blu suona il piano magnificamente di melodie diverse.</v>
      </c>
    </row>
    <row r="6483">
      <c r="A6483" s="4" t="s">
        <v>8144</v>
      </c>
      <c r="B6483" s="6" t="s">
        <v>8146</v>
      </c>
      <c r="C6483" s="5" t="str">
        <f>IFERROR(__xludf.DUMMYFUNCTION("GOOGLETRANSLATE(B6483,""en"",""it"")"),"Poi due ragazzini corrono fuori dalla porta mentre l'uomo che è in piedi vicino alla porta sembra stanco e pietoso.")</f>
        <v>Poi due ragazzini corrono fuori dalla porta mentre l'uomo che è in piedi vicino alla porta sembra stanco e pietoso.</v>
      </c>
    </row>
    <row r="6484">
      <c r="A6484" s="4" t="s">
        <v>8147</v>
      </c>
      <c r="B6484" s="4" t="s">
        <v>8148</v>
      </c>
      <c r="C6484" s="5" t="str">
        <f>IFERROR(__xludf.DUMMYFUNCTION("GOOGLETRANSLATE(B6484,""en"",""it"")"),"Un folto gruppo di persone è visto in piedi in un ampio campo che tiene strumenti.")</f>
        <v>Un folto gruppo di persone è visto in piedi in un ampio campo che tiene strumenti.</v>
      </c>
    </row>
    <row r="6485">
      <c r="A6485" s="4" t="s">
        <v>8147</v>
      </c>
      <c r="B6485" s="4" t="s">
        <v>8149</v>
      </c>
      <c r="C6485" s="5" t="str">
        <f>IFERROR(__xludf.DUMMYFUNCTION("GOOGLETRANSLATE(B6485,""en"",""it"")"),"Un uomo conduce davanti mentre il gruppo si allontana e inizia a suonare come una band.")</f>
        <v>Un uomo conduce davanti mentre il gruppo si allontana e inizia a suonare come una band.</v>
      </c>
    </row>
    <row r="6486">
      <c r="A6486" s="4" t="s">
        <v>8147</v>
      </c>
      <c r="B6486" s="4" t="s">
        <v>8150</v>
      </c>
      <c r="C6486" s="5" t="str">
        <f>IFERROR(__xludf.DUMMYFUNCTION("GOOGLETRANSLATE(B6486,""en"",""it"")"),"Il gruppo continua a suonare insieme e termina andando via.")</f>
        <v>Il gruppo continua a suonare insieme e termina andando via.</v>
      </c>
    </row>
    <row r="6487">
      <c r="A6487" s="4" t="s">
        <v>8151</v>
      </c>
      <c r="B6487" s="4" t="s">
        <v>8152</v>
      </c>
      <c r="C6487" s="5" t="str">
        <f>IFERROR(__xludf.DUMMYFUNCTION("GOOGLETRANSLATE(B6487,""en"",""it"")"),"Un giovane con uno zaino sta parlando e cammina attraverso una stazione.")</f>
        <v>Un giovane con uno zaino sta parlando e cammina attraverso una stazione.</v>
      </c>
    </row>
    <row r="6488">
      <c r="A6488" s="4" t="s">
        <v>8151</v>
      </c>
      <c r="B6488" s="4" t="s">
        <v>8153</v>
      </c>
      <c r="C6488" s="5" t="str">
        <f>IFERROR(__xludf.DUMMYFUNCTION("GOOGLETRANSLATE(B6488,""en"",""it"")"),"C'è un uomo seduto a terra che brilla una scarpa.")</f>
        <v>C'è un uomo seduto a terra che brilla una scarpa.</v>
      </c>
    </row>
    <row r="6489">
      <c r="A6489" s="4" t="s">
        <v>8151</v>
      </c>
      <c r="B6489" s="4" t="s">
        <v>8154</v>
      </c>
      <c r="C6489" s="5" t="str">
        <f>IFERROR(__xludf.DUMMYFUNCTION("GOOGLETRANSLATE(B6489,""en"",""it"")"),"Applica unguento alla scarpa e riprende la scarpa.")</f>
        <v>Applica unguento alla scarpa e riprende la scarpa.</v>
      </c>
    </row>
    <row r="6490">
      <c r="A6490" s="4" t="s">
        <v>8151</v>
      </c>
      <c r="B6490" s="6" t="s">
        <v>8155</v>
      </c>
      <c r="C6490" s="5" t="str">
        <f>IFERROR(__xludf.DUMMYFUNCTION("GOOGLETRANSLATE(B6490,""en"",""it"")"),"Il cliente muove il piede destro e posiziona il piede sinistro sul supporto e l'uomo inizia a lucidare la scarpa.")</f>
        <v>Il cliente muove il piede destro e posiziona il piede sinistro sul supporto e l'uomo inizia a lucidare la scarpa.</v>
      </c>
    </row>
    <row r="6491">
      <c r="A6491" s="4" t="s">
        <v>8151</v>
      </c>
      <c r="B6491" s="4" t="s">
        <v>8156</v>
      </c>
      <c r="C6491" s="5" t="str">
        <f>IFERROR(__xludf.DUMMYFUNCTION("GOOGLETRANSLATE(B6491,""en"",""it"")"),"Due uomini su entrambi i lati dello shiner di scarpe osservano la folla.")</f>
        <v>Due uomini su entrambi i lati dello shiner di scarpe osservano la folla.</v>
      </c>
    </row>
    <row r="6492">
      <c r="A6492" s="4" t="s">
        <v>8151</v>
      </c>
      <c r="B6492" s="4" t="s">
        <v>8157</v>
      </c>
      <c r="C6492" s="5" t="str">
        <f>IFERROR(__xludf.DUMMYFUNCTION("GOOGLETRANSLATE(B6492,""en"",""it"")"),"Lo shiner continua a lucidare la scarpa sinistra.")</f>
        <v>Lo shiner continua a lucidare la scarpa sinistra.</v>
      </c>
    </row>
    <row r="6493">
      <c r="A6493" s="4" t="s">
        <v>8151</v>
      </c>
      <c r="B6493" s="4" t="s">
        <v>8158</v>
      </c>
      <c r="C6493" s="5" t="str">
        <f>IFERROR(__xludf.DUMMYFUNCTION("GOOGLETRANSLATE(B6493,""en"",""it"")"),"Il treno si sta muovendo lungo la stazione mentre una folla cammina.")</f>
        <v>Il treno si sta muovendo lungo la stazione mentre una folla cammina.</v>
      </c>
    </row>
    <row r="6494">
      <c r="A6494" s="4" t="s">
        <v>8151</v>
      </c>
      <c r="B6494" s="4" t="s">
        <v>8159</v>
      </c>
      <c r="C6494" s="5" t="str">
        <f>IFERROR(__xludf.DUMMYFUNCTION("GOOGLETRANSLATE(B6494,""en"",""it"")"),"Lo shiner ritorna a lucidare la scarpa giusta.")</f>
        <v>Lo shiner ritorna a lucidare la scarpa giusta.</v>
      </c>
    </row>
    <row r="6495">
      <c r="A6495" s="4" t="s">
        <v>8151</v>
      </c>
      <c r="B6495" s="4" t="s">
        <v>8160</v>
      </c>
      <c r="C6495" s="5" t="str">
        <f>IFERROR(__xludf.DUMMYFUNCTION("GOOGLETRANSLATE(B6495,""en"",""it"")"),"Lo shiner si asciuga la scarpa con un panno.")</f>
        <v>Lo shiner si asciuga la scarpa con un panno.</v>
      </c>
    </row>
    <row r="6496">
      <c r="A6496" s="4" t="s">
        <v>8151</v>
      </c>
      <c r="B6496" s="4" t="s">
        <v>8161</v>
      </c>
      <c r="C6496" s="5" t="str">
        <f>IFERROR(__xludf.DUMMYFUNCTION("GOOGLETRANSLATE(B6496,""en"",""it"")"),"L'uomo riprende lucidando la scarpa sinistra.")</f>
        <v>L'uomo riprende lucidando la scarpa sinistra.</v>
      </c>
    </row>
    <row r="6497">
      <c r="A6497" s="4" t="s">
        <v>8151</v>
      </c>
      <c r="B6497" s="4" t="s">
        <v>8162</v>
      </c>
      <c r="C6497" s="5" t="str">
        <f>IFERROR(__xludf.DUMMYFUNCTION("GOOGLETRANSLATE(B6497,""en"",""it"")"),"L'uomo lascia cadere il suo blocco e riprende la lucidatura.")</f>
        <v>L'uomo lascia cadere il suo blocco e riprende la lucidatura.</v>
      </c>
    </row>
    <row r="6498">
      <c r="A6498" s="4" t="s">
        <v>8151</v>
      </c>
      <c r="B6498" s="4" t="s">
        <v>8163</v>
      </c>
      <c r="C6498" s="5" t="str">
        <f>IFERROR(__xludf.DUMMYFUNCTION("GOOGLETRANSLATE(B6498,""en"",""it"")"),"L'uomo prende il panno per brillare la scarpa sinistra.")</f>
        <v>L'uomo prende il panno per brillare la scarpa sinistra.</v>
      </c>
    </row>
    <row r="6499">
      <c r="A6499" s="4" t="s">
        <v>8151</v>
      </c>
      <c r="B6499" s="4" t="s">
        <v>8164</v>
      </c>
      <c r="C6499" s="5" t="str">
        <f>IFERROR(__xludf.DUMMYFUNCTION("GOOGLETRANSLATE(B6499,""en"",""it"")"),"Il cliente osserva le sue scarpe luccicanti.")</f>
        <v>Il cliente osserva le sue scarpe luccicanti.</v>
      </c>
    </row>
    <row r="6500">
      <c r="A6500" s="4" t="s">
        <v>8151</v>
      </c>
      <c r="B6500" s="4" t="s">
        <v>8165</v>
      </c>
      <c r="C6500" s="5" t="str">
        <f>IFERROR(__xludf.DUMMYFUNCTION("GOOGLETRANSLATE(B6500,""en"",""it"")"),"Il cliente si allontana dallo shiner di scarpe.")</f>
        <v>Il cliente si allontana dallo shiner di scarpe.</v>
      </c>
    </row>
    <row r="6501">
      <c r="A6501" s="4" t="s">
        <v>8166</v>
      </c>
      <c r="B6501" s="4" t="s">
        <v>8167</v>
      </c>
      <c r="C6501" s="5" t="str">
        <f>IFERROR(__xludf.DUMMYFUNCTION("GOOGLETRANSLATE(B6501,""en"",""it"")"),"Viene visto un uomo che indossa un soffiatore di barriera e soffia intorno a un trampolino.")</f>
        <v>Viene visto un uomo che indossa un soffiatore di barriera e soffia intorno a un trampolino.</v>
      </c>
    </row>
    <row r="6502">
      <c r="A6502" s="4" t="s">
        <v>8166</v>
      </c>
      <c r="B6502" s="4" t="s">
        <v>8168</v>
      </c>
      <c r="C6502" s="5" t="str">
        <f>IFERROR(__xludf.DUMMYFUNCTION("GOOGLETRANSLATE(B6502,""en"",""it"")"),"I bambini vengono visti saltare sul trampolino mentre l'uomo soffia attorno a loro.")</f>
        <v>I bambini vengono visti saltare sul trampolino mentre l'uomo soffia attorno a loro.</v>
      </c>
    </row>
    <row r="6503">
      <c r="A6503" s="4" t="s">
        <v>8166</v>
      </c>
      <c r="B6503" s="4" t="s">
        <v>8169</v>
      </c>
      <c r="C6503" s="5" t="str">
        <f>IFERROR(__xludf.DUMMYFUNCTION("GOOGLETRANSLATE(B6503,""en"",""it"")"),"L'uomo continua a soffiare mentre i bambini saltano in giro.")</f>
        <v>L'uomo continua a soffiare mentre i bambini saltano in giro.</v>
      </c>
    </row>
    <row r="6504">
      <c r="A6504" s="4" t="s">
        <v>8170</v>
      </c>
      <c r="B6504" s="4" t="s">
        <v>8171</v>
      </c>
      <c r="C6504" s="5" t="str">
        <f>IFERROR(__xludf.DUMMYFUNCTION("GOOGLETRANSLATE(B6504,""en"",""it"")"),"Una squadra di lacrosse si rannicchia e poi pratica.")</f>
        <v>Una squadra di lacrosse si rannicchia e poi pratica.</v>
      </c>
    </row>
    <row r="6505">
      <c r="A6505" s="4" t="s">
        <v>8170</v>
      </c>
      <c r="B6505" s="4" t="s">
        <v>8172</v>
      </c>
      <c r="C6505" s="5" t="str">
        <f>IFERROR(__xludf.DUMMYFUNCTION("GOOGLETRANSLATE(B6505,""en"",""it"")"),"Viene mostrato un bambino e poi ci sono persone intervistate.")</f>
        <v>Viene mostrato un bambino e poi ci sono persone intervistate.</v>
      </c>
    </row>
    <row r="6506">
      <c r="A6506" s="4" t="s">
        <v>8170</v>
      </c>
      <c r="B6506" s="4" t="s">
        <v>8173</v>
      </c>
      <c r="C6506" s="5" t="str">
        <f>IFERROR(__xludf.DUMMYFUNCTION("GOOGLETRANSLATE(B6506,""en"",""it"")"),"Viene mostrato un casco e vengono condotte più interviste.")</f>
        <v>Viene mostrato un casco e vengono condotte più interviste.</v>
      </c>
    </row>
    <row r="6507">
      <c r="A6507" s="4" t="s">
        <v>8174</v>
      </c>
      <c r="B6507" s="4" t="s">
        <v>8175</v>
      </c>
      <c r="C6507" s="5" t="str">
        <f>IFERROR(__xludf.DUMMYFUNCTION("GOOGLETRANSLATE(B6507,""en"",""it"")"),"Un uomo asiatico è in piedi vicino alla tastiera, indossa una camicia rossa con la parte superiore nera all'interno.")</f>
        <v>Un uomo asiatico è in piedi vicino alla tastiera, indossa una camicia rossa con la parte superiore nera all'interno.</v>
      </c>
    </row>
    <row r="6508">
      <c r="A6508" s="4" t="s">
        <v>8174</v>
      </c>
      <c r="B6508" s="6" t="s">
        <v>8176</v>
      </c>
      <c r="C6508" s="5" t="str">
        <f>IFERROR(__xludf.DUMMYFUNCTION("GOOGLETRANSLATE(B6508,""en"",""it"")"),"Due persone, una ragazza e un ragazzo sono seduti, la ragazza indossa un top bianco, mentre il ragazzo indossa un maglione a strisce bianche.")</f>
        <v>Due persone, una ragazza e un ragazzo sono seduti, la ragazza indossa un top bianco, mentre il ragazzo indossa un maglione a strisce bianche.</v>
      </c>
    </row>
    <row r="6509">
      <c r="A6509" s="4" t="s">
        <v>8174</v>
      </c>
      <c r="B6509" s="6" t="s">
        <v>8177</v>
      </c>
      <c r="C6509" s="5" t="str">
        <f>IFERROR(__xludf.DUMMYFUNCTION("GOOGLETRANSLATE(B6509,""en"",""it"")"),"L'uomo ha iniziato a suonare sulla tastiera, ha mostrato le mani, indossa un braccialetto di perline nero, quindi continua a suonare mentre le due persone in bianco stanno ascoltando.")</f>
        <v>L'uomo ha iniziato a suonare sulla tastiera, ha mostrato le mani, indossa un braccialetto di perline nero, quindi continua a suonare mentre le due persone in bianco stanno ascoltando.</v>
      </c>
    </row>
    <row r="6510">
      <c r="A6510" s="4" t="s">
        <v>8174</v>
      </c>
      <c r="B6510" s="4" t="s">
        <v>8178</v>
      </c>
      <c r="C6510" s="5" t="str">
        <f>IFERROR(__xludf.DUMMYFUNCTION("GOOGLETRANSLATE(B6510,""en"",""it"")"),"Quando l'uomo finì di suonare la tastiera, la gente applaudiva per lui.")</f>
        <v>Quando l'uomo finì di suonare la tastiera, la gente applaudiva per lui.</v>
      </c>
    </row>
    <row r="6511">
      <c r="A6511" s="4" t="s">
        <v>8179</v>
      </c>
      <c r="B6511" s="4" t="s">
        <v>8180</v>
      </c>
      <c r="C6511" s="5" t="str">
        <f>IFERROR(__xludf.DUMMYFUNCTION("GOOGLETRANSLATE(B6511,""en"",""it"")"),"Una telecamera si panoramica attorno a una grande specchio d'acqua seguita da persone che nuotano nell'acqua.")</f>
        <v>Una telecamera si panoramica attorno a una grande specchio d'acqua seguita da persone che nuotano nell'acqua.</v>
      </c>
    </row>
    <row r="6512">
      <c r="A6512" s="4" t="s">
        <v>8179</v>
      </c>
      <c r="B6512" s="4" t="s">
        <v>8181</v>
      </c>
      <c r="C6512" s="5" t="str">
        <f>IFERROR(__xludf.DUMMYFUNCTION("GOOGLETRANSLATE(B6512,""en"",""it"")"),"Le clip sono mostrate da persone che navigano e nuotano nell'acqua e sorridono alla telecamera.")</f>
        <v>Le clip sono mostrate da persone che navigano e nuotano nell'acqua e sorridono alla telecamera.</v>
      </c>
    </row>
    <row r="6513">
      <c r="A6513" s="4" t="s">
        <v>8179</v>
      </c>
      <c r="B6513" s="4" t="s">
        <v>8182</v>
      </c>
      <c r="C6513" s="5" t="str">
        <f>IFERROR(__xludf.DUMMYFUNCTION("GOOGLETRANSLATE(B6513,""en"",""it"")"),"Vengono mostrate altre clip di persone ravvicinate che si muovono lungo l'acqua.")</f>
        <v>Vengono mostrate altre clip di persone ravvicinate che si muovono lungo l'acqua.</v>
      </c>
    </row>
    <row r="6514">
      <c r="A6514" s="4" t="s">
        <v>8183</v>
      </c>
      <c r="B6514" s="4" t="s">
        <v>8184</v>
      </c>
      <c r="C6514" s="5" t="str">
        <f>IFERROR(__xludf.DUMMYFUNCTION("GOOGLETRANSLATE(B6514,""en"",""it"")"),"Un bambino scatola di un inginocchiato adulto guanciato sul pavimento.")</f>
        <v>Un bambino scatola di un inginocchiato adulto guanciato sul pavimento.</v>
      </c>
    </row>
    <row r="6515">
      <c r="A6515" s="4" t="s">
        <v>8183</v>
      </c>
      <c r="B6515" s="4" t="s">
        <v>8185</v>
      </c>
      <c r="C6515" s="5" t="str">
        <f>IFERROR(__xludf.DUMMYFUNCTION("GOOGLETRANSLATE(B6515,""en"",""it"")"),"Il bambino pratica anche i calci di karate.")</f>
        <v>Il bambino pratica anche i calci di karate.</v>
      </c>
    </row>
    <row r="6516">
      <c r="A6516" s="4" t="s">
        <v>8183</v>
      </c>
      <c r="B6516" s="4" t="s">
        <v>8186</v>
      </c>
      <c r="C6516" s="5" t="str">
        <f>IFERROR(__xludf.DUMMYFUNCTION("GOOGLETRANSLATE(B6516,""en"",""it"")"),"L'adulto e il bambino alto cinque con mani guantate.")</f>
        <v>L'adulto e il bambino alto cinque con mani guantate.</v>
      </c>
    </row>
    <row r="6517">
      <c r="A6517" s="4" t="s">
        <v>8183</v>
      </c>
      <c r="B6517" s="4" t="s">
        <v>8187</v>
      </c>
      <c r="C6517" s="5" t="str">
        <f>IFERROR(__xludf.DUMMYFUNCTION("GOOGLETRANSLATE(B6517,""en"",""it"")"),"L'adulto inizia a scendere dal pavimento.")</f>
        <v>L'adulto inizia a scendere dal pavimento.</v>
      </c>
    </row>
    <row r="6518">
      <c r="A6518" s="4" t="s">
        <v>8188</v>
      </c>
      <c r="B6518" s="4" t="s">
        <v>8189</v>
      </c>
      <c r="C6518" s="5" t="str">
        <f>IFERROR(__xludf.DUMMYFUNCTION("GOOGLETRANSLATE(B6518,""en"",""it"")"),"Un bambino gioca con un pezzo di attacco sotto vuoto in una camera da letto.")</f>
        <v>Un bambino gioca con un pezzo di attacco sotto vuoto in una camera da letto.</v>
      </c>
    </row>
    <row r="6519">
      <c r="A6519" s="4" t="s">
        <v>8188</v>
      </c>
      <c r="B6519" s="4" t="s">
        <v>8190</v>
      </c>
      <c r="C6519" s="5" t="str">
        <f>IFERROR(__xludf.DUMMYFUNCTION("GOOGLETRANSLATE(B6519,""en"",""it"")"),"La madre aspira il pavimento della camera da letto.")</f>
        <v>La madre aspira il pavimento della camera da letto.</v>
      </c>
    </row>
    <row r="6520">
      <c r="A6520" s="4" t="s">
        <v>8188</v>
      </c>
      <c r="B6520" s="4" t="s">
        <v>8191</v>
      </c>
      <c r="C6520" s="5" t="str">
        <f>IFERROR(__xludf.DUMMYFUNCTION("GOOGLETRANSLATE(B6520,""en"",""it"")"),"Il bambino porta l'attaccamento del vuoto nella camera da letto successiva.")</f>
        <v>Il bambino porta l'attaccamento del vuoto nella camera da letto successiva.</v>
      </c>
    </row>
    <row r="6521">
      <c r="A6521" s="4" t="s">
        <v>8192</v>
      </c>
      <c r="B6521" s="4" t="s">
        <v>8193</v>
      </c>
      <c r="C6521" s="5" t="str">
        <f>IFERROR(__xludf.DUMMYFUNCTION("GOOGLETRANSLATE(B6521,""en"",""it"")"),"Le persone stanno trasmettendo e fanno trucchi.")</f>
        <v>Le persone stanno trasmettendo e fanno trucchi.</v>
      </c>
    </row>
    <row r="6522">
      <c r="A6522" s="4" t="s">
        <v>8192</v>
      </c>
      <c r="B6522" s="4" t="s">
        <v>8194</v>
      </c>
      <c r="C6522" s="5" t="str">
        <f>IFERROR(__xludf.DUMMYFUNCTION("GOOGLETRANSLATE(B6522,""en"",""it"")"),"Una persona sta skateboard in uno skate park.")</f>
        <v>Una persona sta skateboard in uno skate park.</v>
      </c>
    </row>
    <row r="6523">
      <c r="A6523" s="4" t="s">
        <v>8192</v>
      </c>
      <c r="B6523" s="4" t="s">
        <v>8195</v>
      </c>
      <c r="C6523" s="5" t="str">
        <f>IFERROR(__xludf.DUMMYFUNCTION("GOOGLETRANSLATE(B6523,""en"",""it"")"),"Un'auto bianca è in strada.")</f>
        <v>Un'auto bianca è in strada.</v>
      </c>
    </row>
    <row r="6524">
      <c r="A6524" s="4" t="s">
        <v>8196</v>
      </c>
      <c r="B6524" s="6" t="s">
        <v>8197</v>
      </c>
      <c r="C6524" s="5" t="str">
        <f>IFERROR(__xludf.DUMMYFUNCTION("GOOGLETRANSLATE(B6524,""en"",""it"")"),"Fuori al parco giochi un ragazzo è salito in cima al set di swing mentre altri bambini oscillano.")</f>
        <v>Fuori al parco giochi un ragazzo è salito in cima al set di swing mentre altri bambini oscillano.</v>
      </c>
    </row>
    <row r="6525">
      <c r="A6525" s="4" t="s">
        <v>8196</v>
      </c>
      <c r="B6525" s="6" t="s">
        <v>8198</v>
      </c>
      <c r="C6525" s="5" t="str">
        <f>IFERROR(__xludf.DUMMYFUNCTION("GOOGLETRANSLATE(B6525,""en"",""it"")"),"Il ragazzo in cima è semplicemente seduto casualmente mentre un altro bambino viene spinto da un amico sull'altalena.")</f>
        <v>Il ragazzo in cima è semplicemente seduto casualmente mentre un altro bambino viene spinto da un amico sull'altalena.</v>
      </c>
    </row>
    <row r="6526">
      <c r="A6526" s="4" t="s">
        <v>8196</v>
      </c>
      <c r="B6526" s="4" t="s">
        <v>8199</v>
      </c>
      <c r="C6526" s="5" t="str">
        <f>IFERROR(__xludf.DUMMYFUNCTION("GOOGLETRANSLATE(B6526,""en"",""it"")"),"Sta costruendo molta velocità e sta andando molto in alto.")</f>
        <v>Sta costruendo molta velocità e sta andando molto in alto.</v>
      </c>
    </row>
    <row r="6527">
      <c r="A6527" s="4" t="s">
        <v>8196</v>
      </c>
      <c r="B6527" s="4" t="s">
        <v>8200</v>
      </c>
      <c r="C6527" s="5" t="str">
        <f>IFERROR(__xludf.DUMMYFUNCTION("GOOGLETRANSLATE(B6527,""en"",""it"")"),"Salta via ma non atterra molto bene, si è schiantata nell'erba.")</f>
        <v>Salta via ma non atterra molto bene, si è schiantata nell'erba.</v>
      </c>
    </row>
    <row r="6528">
      <c r="A6528" s="4" t="s">
        <v>8201</v>
      </c>
      <c r="B6528" s="4" t="s">
        <v>8202</v>
      </c>
      <c r="C6528" s="5" t="str">
        <f>IFERROR(__xludf.DUMMYFUNCTION("GOOGLETRANSLATE(B6528,""en"",""it"")"),"Un uomo si trova su un campo.")</f>
        <v>Un uomo si trova su un campo.</v>
      </c>
    </row>
    <row r="6529">
      <c r="A6529" s="4" t="s">
        <v>8201</v>
      </c>
      <c r="B6529" s="4" t="s">
        <v>8203</v>
      </c>
      <c r="C6529" s="5" t="str">
        <f>IFERROR(__xludf.DUMMYFUNCTION("GOOGLETRANSLATE(B6529,""en"",""it"")"),"La folla nello stadio applaude.")</f>
        <v>La folla nello stadio applaude.</v>
      </c>
    </row>
    <row r="6530">
      <c r="A6530" s="4" t="s">
        <v>8201</v>
      </c>
      <c r="B6530" s="4" t="s">
        <v>8204</v>
      </c>
      <c r="C6530" s="5" t="str">
        <f>IFERROR(__xludf.DUMMYFUNCTION("GOOGLETRANSLATE(B6530,""en"",""it"")"),"I giocatori sul campo si preparano a iniziare una partita.")</f>
        <v>I giocatori sul campo si preparano a iniziare una partita.</v>
      </c>
    </row>
    <row r="6531">
      <c r="A6531" s="4" t="s">
        <v>8201</v>
      </c>
      <c r="B6531" s="4" t="s">
        <v>8205</v>
      </c>
      <c r="C6531" s="5" t="str">
        <f>IFERROR(__xludf.DUMMYFUNCTION("GOOGLETRANSLATE(B6531,""en"",""it"")"),"Il lanciatore lancia la palla.")</f>
        <v>Il lanciatore lancia la palla.</v>
      </c>
    </row>
    <row r="6532">
      <c r="A6532" s="4" t="s">
        <v>8201</v>
      </c>
      <c r="B6532" s="4" t="s">
        <v>8206</v>
      </c>
      <c r="C6532" s="5" t="str">
        <f>IFERROR(__xludf.DUMMYFUNCTION("GOOGLETRANSLATE(B6532,""en"",""it"")"),"Il battitore cerca di colpire la palla ma manca.")</f>
        <v>Il battitore cerca di colpire la palla ma manca.</v>
      </c>
    </row>
    <row r="6533">
      <c r="A6533" s="4" t="s">
        <v>8201</v>
      </c>
      <c r="B6533" s="4" t="s">
        <v>8207</v>
      </c>
      <c r="C6533" s="5" t="str">
        <f>IFERROR(__xludf.DUMMYFUNCTION("GOOGLETRANSLATE(B6533,""en"",""it"")"),"La squadra dei lanciatori esce entusiasta del campo.")</f>
        <v>La squadra dei lanciatori esce entusiasta del campo.</v>
      </c>
    </row>
    <row r="6534">
      <c r="A6534" s="4" t="s">
        <v>8208</v>
      </c>
      <c r="B6534" s="4" t="s">
        <v>8209</v>
      </c>
      <c r="C6534" s="5" t="str">
        <f>IFERROR(__xludf.DUMMYFUNCTION("GOOGLETRANSLATE(B6534,""en"",""it"")"),"C'è un cavallo marrone legato in una stalla.")</f>
        <v>C'è un cavallo marrone legato in una stalla.</v>
      </c>
    </row>
    <row r="6535">
      <c r="A6535" s="4" t="s">
        <v>8208</v>
      </c>
      <c r="B6535" s="4" t="s">
        <v>8210</v>
      </c>
      <c r="C6535" s="5" t="str">
        <f>IFERROR(__xludf.DUMMYFUNCTION("GOOGLETRANSLATE(B6535,""en"",""it"")"),"Una donna con una camicia verde e stivali marroni entra e inizia a strofinare il cavallo.")</f>
        <v>Una donna con una camicia verde e stivali marroni entra e inizia a strofinare il cavallo.</v>
      </c>
    </row>
    <row r="6536">
      <c r="A6536" s="4" t="s">
        <v>8208</v>
      </c>
      <c r="B6536" s="4" t="s">
        <v>8211</v>
      </c>
      <c r="C6536" s="5" t="str">
        <f>IFERROR(__xludf.DUMMYFUNCTION("GOOGLETRANSLATE(B6536,""en"",""it"")"),"Continua a strofinare e pulire il cavallo sullo stomaco.")</f>
        <v>Continua a strofinare e pulire il cavallo sullo stomaco.</v>
      </c>
    </row>
    <row r="6537">
      <c r="A6537" s="4" t="s">
        <v>8208</v>
      </c>
      <c r="B6537" s="4" t="s">
        <v>8212</v>
      </c>
      <c r="C6537" s="5" t="str">
        <f>IFERROR(__xludf.DUMMYFUNCTION("GOOGLETRANSLATE(B6537,""en"",""it"")"),"Strofina a fondo la zona del collo del cavallo e la zona posteriore.")</f>
        <v>Strofina a fondo la zona del collo del cavallo e la zona posteriore.</v>
      </c>
    </row>
    <row r="6538">
      <c r="A6538" s="4" t="s">
        <v>8208</v>
      </c>
      <c r="B6538" s="4" t="s">
        <v>8213</v>
      </c>
      <c r="C6538" s="5" t="str">
        <f>IFERROR(__xludf.DUMMYFUNCTION("GOOGLETRANSLATE(B6538,""en"",""it"")"),"Quindi cammina dall'altra parte del cavallo e continua a strofinare.")</f>
        <v>Quindi cammina dall'altra parte del cavallo e continua a strofinare.</v>
      </c>
    </row>
    <row r="6539">
      <c r="A6539" s="4" t="s">
        <v>8208</v>
      </c>
      <c r="B6539" s="4" t="s">
        <v>8214</v>
      </c>
      <c r="C6539" s="5" t="str">
        <f>IFERROR(__xludf.DUMMYFUNCTION("GOOGLETRANSLATE(B6539,""en"",""it"")"),"Il cavallo inizia a muovere il collo e la testa mentre continua a strofinare.")</f>
        <v>Il cavallo inizia a muovere il collo e la testa mentre continua a strofinare.</v>
      </c>
    </row>
    <row r="6540">
      <c r="A6540" s="4" t="s">
        <v>8208</v>
      </c>
      <c r="B6540" s="4" t="s">
        <v>8215</v>
      </c>
      <c r="C6540" s="5" t="str">
        <f>IFERROR(__xludf.DUMMYFUNCTION("GOOGLETRANSLATE(B6540,""en"",""it"")"),"Quindi va di fronte al cavallo e pulisce la bocca.")</f>
        <v>Quindi va di fronte al cavallo e pulisce la bocca.</v>
      </c>
    </row>
    <row r="6541">
      <c r="A6541" s="4" t="s">
        <v>8216</v>
      </c>
      <c r="B6541" s="4" t="s">
        <v>8217</v>
      </c>
      <c r="C6541" s="5" t="str">
        <f>IFERROR(__xludf.DUMMYFUNCTION("GOOGLETRANSLATE(B6541,""en"",""it"")"),"Tre ragazze stanno andando in bici fisse.")</f>
        <v>Tre ragazze stanno andando in bici fisse.</v>
      </c>
    </row>
    <row r="6542">
      <c r="A6542" s="4" t="s">
        <v>8216</v>
      </c>
      <c r="B6542" s="4" t="s">
        <v>8218</v>
      </c>
      <c r="C6542" s="5" t="str">
        <f>IFERROR(__xludf.DUMMYFUNCTION("GOOGLETRANSLATE(B6542,""en"",""it"")"),"Un uomo è in piedi davanti a loro con in mano una macchina fotografica.")</f>
        <v>Un uomo è in piedi davanti a loro con in mano una macchina fotografica.</v>
      </c>
    </row>
    <row r="6543">
      <c r="A6543" s="4" t="s">
        <v>8216</v>
      </c>
      <c r="B6543" s="4" t="s">
        <v>8219</v>
      </c>
      <c r="C6543" s="5" t="str">
        <f>IFERROR(__xludf.DUMMYFUNCTION("GOOGLETRANSLATE(B6543,""en"",""it"")"),"Un altro uomo cammina di fronte a loro.")</f>
        <v>Un altro uomo cammina di fronte a loro.</v>
      </c>
    </row>
    <row r="6544">
      <c r="A6544" s="4" t="s">
        <v>8220</v>
      </c>
      <c r="B6544" s="4" t="s">
        <v>8221</v>
      </c>
      <c r="C6544" s="5" t="str">
        <f>IFERROR(__xludf.DUMMYFUNCTION("GOOGLETRANSLATE(B6544,""en"",""it"")"),"Una vista subacquea viene mostrata come una donna vestita come una sirena sta nuotando.")</f>
        <v>Una vista subacquea viene mostrata come una donna vestita come una sirena sta nuotando.</v>
      </c>
    </row>
    <row r="6545">
      <c r="A6545" s="4" t="s">
        <v>8220</v>
      </c>
      <c r="B6545" s="4" t="s">
        <v>8222</v>
      </c>
      <c r="C6545" s="5" t="str">
        <f>IFERROR(__xludf.DUMMYFUNCTION("GOOGLETRANSLATE(B6545,""en"",""it"")"),"Una grande balena infermiera nuota accanto a lei.")</f>
        <v>Una grande balena infermiera nuota accanto a lei.</v>
      </c>
    </row>
    <row r="6546">
      <c r="A6546" s="4" t="s">
        <v>8220</v>
      </c>
      <c r="B6546" s="4" t="s">
        <v>8223</v>
      </c>
      <c r="C6546" s="5" t="str">
        <f>IFERROR(__xludf.DUMMYFUNCTION("GOOGLETRANSLATE(B6546,""en"",""it"")"),"Vengono mostrate più immagini della sirena di nuoto.")</f>
        <v>Vengono mostrate più immagini della sirena di nuoto.</v>
      </c>
    </row>
    <row r="6547">
      <c r="A6547" s="4" t="s">
        <v>8224</v>
      </c>
      <c r="B6547" s="4" t="s">
        <v>8225</v>
      </c>
      <c r="C6547" s="5" t="str">
        <f>IFERROR(__xludf.DUMMYFUNCTION("GOOGLETRANSLATE(B6547,""en"",""it"")"),"Una foto di uno scrubber viene mostrata seguita da un uomo che utilizza l'elemento su una serie di finestre.")</f>
        <v>Una foto di uno scrubber viene mostrata seguita da un uomo che utilizza l'elemento su una serie di finestre.</v>
      </c>
    </row>
    <row r="6548">
      <c r="A6548" s="4" t="s">
        <v>8224</v>
      </c>
      <c r="B6548" s="6" t="s">
        <v>8226</v>
      </c>
      <c r="C6548" s="5" t="str">
        <f>IFERROR(__xludf.DUMMYFUNCTION("GOOGLETRANSLATE(B6548,""en"",""it"")"),"Quindi si asciuga il vetro con un altro straccio e punta alla finestra e chiude mentre i crediti rotolano.")</f>
        <v>Quindi si asciuga il vetro con un altro straccio e punta alla finestra e chiude mentre i crediti rotolano.</v>
      </c>
    </row>
    <row r="6549">
      <c r="A6549" s="4" t="s">
        <v>8227</v>
      </c>
      <c r="B6549" s="4" t="s">
        <v>8228</v>
      </c>
      <c r="C6549" s="5" t="str">
        <f>IFERROR(__xludf.DUMMYFUNCTION("GOOGLETRANSLATE(B6549,""en"",""it"")"),"La gente si riunisce in una mostra indoor.")</f>
        <v>La gente si riunisce in una mostra indoor.</v>
      </c>
    </row>
    <row r="6550">
      <c r="A6550" s="4" t="s">
        <v>8227</v>
      </c>
      <c r="B6550" s="4" t="s">
        <v>8229</v>
      </c>
      <c r="C6550" s="5" t="str">
        <f>IFERROR(__xludf.DUMMYFUNCTION("GOOGLETRANSLATE(B6550,""en"",""it"")"),"Un uomo e un robot suonano ping pong nella mostra.")</f>
        <v>Un uomo e un robot suonano ping pong nella mostra.</v>
      </c>
    </row>
    <row r="6551">
      <c r="A6551" s="4" t="s">
        <v>8227</v>
      </c>
      <c r="B6551" s="6" t="s">
        <v>8230</v>
      </c>
      <c r="C6551" s="5" t="str">
        <f>IFERROR(__xludf.DUMMYFUNCTION("GOOGLETRANSLATE(B6551,""en"",""it"")"),"Le persone indossano cordini e guardano intorno alle mostre, mentre un uomo spiega una persona che tiene due dischi.")</f>
        <v>Le persone indossano cordini e guardano intorno alle mostre, mentre un uomo spiega una persona che tiene due dischi.</v>
      </c>
    </row>
    <row r="6552">
      <c r="A6552" s="4" t="s">
        <v>8227</v>
      </c>
      <c r="B6552" s="4" t="s">
        <v>8231</v>
      </c>
      <c r="C6552" s="5" t="str">
        <f>IFERROR(__xludf.DUMMYFUNCTION("GOOGLETRANSLATE(B6552,""en"",""it"")"),"Altre persone si siedono in una zona alimentare durante la lettura e gli messaggi.")</f>
        <v>Altre persone si siedono in una zona alimentare durante la lettura e gli messaggi.</v>
      </c>
    </row>
    <row r="6553">
      <c r="A6553" s="4" t="s">
        <v>8232</v>
      </c>
      <c r="B6553" s="4" t="s">
        <v>8233</v>
      </c>
      <c r="C6553" s="5" t="str">
        <f>IFERROR(__xludf.DUMMYFUNCTION("GOOGLETRANSLATE(B6553,""en"",""it"")"),"Le persone mangiano coni gelato.")</f>
        <v>Le persone mangiano coni gelato.</v>
      </c>
    </row>
    <row r="6554">
      <c r="A6554" s="4" t="s">
        <v>8232</v>
      </c>
      <c r="B6554" s="4" t="s">
        <v>8234</v>
      </c>
      <c r="C6554" s="5" t="str">
        <f>IFERROR(__xludf.DUMMYFUNCTION("GOOGLETRANSLATE(B6554,""en"",""it"")"),"Una persona mette il gelato in un cono gelato.")</f>
        <v>Una persona mette il gelato in un cono gelato.</v>
      </c>
    </row>
    <row r="6555">
      <c r="A6555" s="4" t="s">
        <v>8232</v>
      </c>
      <c r="B6555" s="4" t="s">
        <v>8235</v>
      </c>
      <c r="C6555" s="5" t="str">
        <f>IFERROR(__xludf.DUMMYFUNCTION("GOOGLETRANSLATE(B6555,""en"",""it"")"),"Una donna in occhiali parla alla telecamera.")</f>
        <v>Una donna in occhiali parla alla telecamera.</v>
      </c>
    </row>
    <row r="6556">
      <c r="A6556" s="4" t="s">
        <v>8236</v>
      </c>
      <c r="B6556" s="4" t="s">
        <v>8237</v>
      </c>
      <c r="C6556" s="5" t="str">
        <f>IFERROR(__xludf.DUMMYFUNCTION("GOOGLETRANSLATE(B6556,""en"",""it"")"),"Due uomini molto grandi sono nel mezzo di un anello che indossano abiti di wrestling di sumo.")</f>
        <v>Due uomini molto grandi sono nel mezzo di un anello che indossano abiti di wrestling di sumo.</v>
      </c>
    </row>
    <row r="6557">
      <c r="A6557" s="4" t="s">
        <v>8236</v>
      </c>
      <c r="B6557" s="4" t="s">
        <v>8238</v>
      </c>
      <c r="C6557" s="5" t="str">
        <f>IFERROR(__xludf.DUMMYFUNCTION("GOOGLETRANSLATE(B6557,""en"",""it"")"),"Si stanno mettendo in posizione e stanno aspettando che l'arbitro dica loro di iniziare la partita.")</f>
        <v>Si stanno mettendo in posizione e stanno aspettando che l'arbitro dica loro di iniziare la partita.</v>
      </c>
    </row>
    <row r="6558">
      <c r="A6558" s="4" t="s">
        <v>8236</v>
      </c>
      <c r="B6558" s="4" t="s">
        <v>8239</v>
      </c>
      <c r="C6558" s="5" t="str">
        <f>IFERROR(__xludf.DUMMYFUNCTION("GOOGLETRANSLATE(B6558,""en"",""it"")"),"Una volta che l'arbitro dice di iniziare, iniziano la corrispondenza entrambi correndo l'uno verso l'altro immediatamente.")</f>
        <v>Una volta che l'arbitro dice di iniziare, iniziano la corrispondenza entrambi correndo l'uno verso l'altro immediatamente.</v>
      </c>
    </row>
    <row r="6559">
      <c r="A6559" s="4" t="s">
        <v>8236</v>
      </c>
      <c r="B6559" s="4" t="s">
        <v>8240</v>
      </c>
      <c r="C6559" s="5" t="str">
        <f>IFERROR(__xludf.DUMMYFUNCTION("GOOGLETRANSLATE(B6559,""en"",""it"")"),"L'uomo dalla pelle marrone chiaro fa cadere l'altro uomo per terra e vince la partita.")</f>
        <v>L'uomo dalla pelle marrone chiaro fa cadere l'altro uomo per terra e vince la partita.</v>
      </c>
    </row>
    <row r="6560">
      <c r="A6560" s="4" t="s">
        <v>8241</v>
      </c>
      <c r="B6560" s="4" t="s">
        <v>8242</v>
      </c>
      <c r="C6560" s="5" t="str">
        <f>IFERROR(__xludf.DUMMYFUNCTION("GOOGLETRANSLATE(B6560,""en"",""it"")"),"Una donna manipola un cubo di Rubik mentre un uomo guarda in un ambiente competitivo.")</f>
        <v>Una donna manipola un cubo di Rubik mentre un uomo guarda in un ambiente competitivo.</v>
      </c>
    </row>
    <row r="6561">
      <c r="A6561" s="4" t="s">
        <v>8241</v>
      </c>
      <c r="B6561" s="4" t="s">
        <v>8243</v>
      </c>
      <c r="C6561" s="5" t="str">
        <f>IFERROR(__xludf.DUMMYFUNCTION("GOOGLETRANSLATE(B6561,""en"",""it"")"),"Due uomini camminano attraverso la cornice della telecamera sullo sfondo.")</f>
        <v>Due uomini camminano attraverso la cornice della telecamera sullo sfondo.</v>
      </c>
    </row>
    <row r="6562">
      <c r="A6562" s="4" t="s">
        <v>8241</v>
      </c>
      <c r="B6562" s="4" t="s">
        <v>8244</v>
      </c>
      <c r="C6562" s="5" t="str">
        <f>IFERROR(__xludf.DUMMYFUNCTION("GOOGLETRANSLATE(B6562,""en"",""it"")"),"La donna mette il cubo di Rubik risolto sul tavolo davanti a lei.")</f>
        <v>La donna mette il cubo di Rubik risolto sul tavolo davanti a lei.</v>
      </c>
    </row>
    <row r="6563">
      <c r="A6563" s="4" t="s">
        <v>8245</v>
      </c>
      <c r="B6563" s="6" t="s">
        <v>8246</v>
      </c>
      <c r="C6563" s="5" t="str">
        <f>IFERROR(__xludf.DUMMYFUNCTION("GOOGLETRANSLATE(B6563,""en"",""it"")"),"Un'introduzione conduce in varie immagini di ragazze con capelli lunghi e ragazze che hanno i capelli intrecciati insieme.")</f>
        <v>Un'introduzione conduce in varie immagini di ragazze con capelli lunghi e ragazze che hanno i capelli intrecciati insieme.</v>
      </c>
    </row>
    <row r="6564">
      <c r="A6564" s="4" t="s">
        <v>8245</v>
      </c>
      <c r="B6564" s="6" t="s">
        <v>8247</v>
      </c>
      <c r="C6564" s="5" t="str">
        <f>IFERROR(__xludf.DUMMYFUNCTION("GOOGLETRANSLATE(B6564,""en"",""it"")"),"La lunghezza dei capelli di una ragazza viene misurata seguita da più foto dei suoi capelli lunghi e che parlano alla telecamera.")</f>
        <v>La lunghezza dei capelli di una ragazza viene misurata seguita da più foto dei suoi capelli lunghi e che parlano alla telecamera.</v>
      </c>
    </row>
    <row r="6565">
      <c r="A6565" s="4" t="s">
        <v>8245</v>
      </c>
      <c r="B6565" s="4" t="s">
        <v>8248</v>
      </c>
      <c r="C6565" s="5" t="str">
        <f>IFERROR(__xludf.DUMMYFUNCTION("GOOGLETRANSLATE(B6565,""en"",""it"")"),"Viene visto una serie di mani tagliare i capelli della ragazza e mostrare la sua coda di cavallo alla ragazza.")</f>
        <v>Viene visto una serie di mani tagliare i capelli della ragazza e mostrare la sua coda di cavallo alla ragazza.</v>
      </c>
    </row>
    <row r="6566">
      <c r="A6566" s="4" t="s">
        <v>8245</v>
      </c>
      <c r="B6566" s="4" t="s">
        <v>8249</v>
      </c>
      <c r="C6566" s="5" t="str">
        <f>IFERROR(__xludf.DUMMYFUNCTION("GOOGLETRANSLATE(B6566,""en"",""it"")"),"Vengono mostrate altre foto dei nuovi capelli della ragazza e vecchie foto di lei.")</f>
        <v>Vengono mostrate altre foto dei nuovi capelli della ragazza e vecchie foto di lei.</v>
      </c>
    </row>
    <row r="6567">
      <c r="A6567" s="4" t="s">
        <v>8250</v>
      </c>
      <c r="B6567" s="4" t="s">
        <v>8251</v>
      </c>
      <c r="C6567" s="5" t="str">
        <f>IFERROR(__xludf.DUMMYFUNCTION("GOOGLETRANSLATE(B6567,""en"",""it"")"),"Un uomo che indossa una camicia nera e pantaloncini neri è in piedi accanto a una macchina da esercizio.")</f>
        <v>Un uomo che indossa una camicia nera e pantaloncini neri è in piedi accanto a una macchina da esercizio.</v>
      </c>
    </row>
    <row r="6568">
      <c r="A6568" s="4" t="s">
        <v>8250</v>
      </c>
      <c r="B6568" s="4" t="s">
        <v>8252</v>
      </c>
      <c r="C6568" s="5" t="str">
        <f>IFERROR(__xludf.DUMMYFUNCTION("GOOGLETRANSLATE(B6568,""en"",""it"")"),"Si siede sull'esercizio e inizia ad allenarti.")</f>
        <v>Si siede sull'esercizio e inizia ad allenarti.</v>
      </c>
    </row>
    <row r="6569">
      <c r="A6569" s="4" t="s">
        <v>8250</v>
      </c>
      <c r="B6569" s="4" t="s">
        <v>8253</v>
      </c>
      <c r="C6569" s="5" t="str">
        <f>IFERROR(__xludf.DUMMYFUNCTION("GOOGLETRANSLATE(B6569,""en"",""it"")"),"Smette di allenarsi e rilascia il bar.")</f>
        <v>Smette di allenarsi e rilascia il bar.</v>
      </c>
    </row>
    <row r="6570">
      <c r="A6570" s="4" t="s">
        <v>8254</v>
      </c>
      <c r="B6570" s="4" t="s">
        <v>8255</v>
      </c>
      <c r="C6570" s="5" t="str">
        <f>IFERROR(__xludf.DUMMYFUNCTION("GOOGLETRANSLATE(B6570,""en"",""it"")"),"Un uomo friggi le verdure in una padella e mescola con un cucchiaio grande.")</f>
        <v>Un uomo friggi le verdure in una padella e mescola con un cucchiaio grande.</v>
      </c>
    </row>
    <row r="6571">
      <c r="A6571" s="4" t="s">
        <v>8254</v>
      </c>
      <c r="B6571" s="6" t="s">
        <v>8256</v>
      </c>
      <c r="C6571" s="5" t="str">
        <f>IFERROR(__xludf.DUMMYFUNCTION("GOOGLETRANSLATE(B6571,""en"",""it"")"),"Quindi l'uomo freni le uova in una ciotola e mescola bene, dopo che l'uomo ha aggiunto le uova nella padella per fare una frittata.")</f>
        <v>Quindi l'uomo freni le uova in una ciotola e mescola bene, dopo che l'uomo ha aggiunto le uova nella padella per fare una frittata.</v>
      </c>
    </row>
    <row r="6572">
      <c r="A6572" s="4" t="s">
        <v>8254</v>
      </c>
      <c r="B6572" s="4" t="s">
        <v>8257</v>
      </c>
      <c r="C6572" s="5" t="str">
        <f>IFERROR(__xludf.DUMMYFUNCTION("GOOGLETRANSLATE(B6572,""en"",""it"")"),"Rotola la frittata e la capovolge in aria, poi l'uomo serve la frittata su un piatto.")</f>
        <v>Rotola la frittata e la capovolge in aria, poi l'uomo serve la frittata su un piatto.</v>
      </c>
    </row>
    <row r="6573">
      <c r="A6573" s="4" t="s">
        <v>8258</v>
      </c>
      <c r="B6573" s="4" t="s">
        <v>8259</v>
      </c>
      <c r="C6573" s="5" t="str">
        <f>IFERROR(__xludf.DUMMYFUNCTION("GOOGLETRANSLATE(B6573,""en"",""it"")"),"Una donna sta ballando con un po 'di musica mentre si trova davanti a una televisione.")</f>
        <v>Una donna sta ballando con un po 'di musica mentre si trova davanti a una televisione.</v>
      </c>
    </row>
    <row r="6574">
      <c r="A6574" s="4" t="s">
        <v>8258</v>
      </c>
      <c r="B6574" s="4" t="s">
        <v>8260</v>
      </c>
      <c r="C6574" s="5" t="str">
        <f>IFERROR(__xludf.DUMMYFUNCTION("GOOGLETRANSLATE(B6574,""en"",""it"")"),"Mentre balla, inizia a fumare una pipa del narghilè.")</f>
        <v>Mentre balla, inizia a fumare una pipa del narghilè.</v>
      </c>
    </row>
    <row r="6575">
      <c r="A6575" s="4" t="s">
        <v>8258</v>
      </c>
      <c r="B6575" s="6" t="s">
        <v>8261</v>
      </c>
      <c r="C6575" s="5" t="str">
        <f>IFERROR(__xludf.DUMMYFUNCTION("GOOGLETRANSLATE(B6575,""en"",""it"")"),"La telecamera mostra altre due donne nella stanza mentre ballano e fumano la pipa del narghilè con lei.")</f>
        <v>La telecamera mostra altre due donne nella stanza mentre ballano e fumano la pipa del narghilè con lei.</v>
      </c>
    </row>
    <row r="6576">
      <c r="A6576" s="4" t="s">
        <v>8258</v>
      </c>
      <c r="B6576" s="4" t="s">
        <v>8262</v>
      </c>
      <c r="C6576" s="5" t="str">
        <f>IFERROR(__xludf.DUMMYFUNCTION("GOOGLETRANSLATE(B6576,""en"",""it"")"),"La fotocamera si rivolge a un uomo che si trova nella stanza con una fotocamera che scatta foto.")</f>
        <v>La fotocamera si rivolge a un uomo che si trova nella stanza con una fotocamera che scatta foto.</v>
      </c>
    </row>
    <row r="6577">
      <c r="A6577" s="4" t="s">
        <v>8263</v>
      </c>
      <c r="B6577" s="4" t="s">
        <v>8264</v>
      </c>
      <c r="C6577" s="5" t="str">
        <f>IFERROR(__xludf.DUMMYFUNCTION("GOOGLETRANSLATE(B6577,""en"",""it"")"),"Una bambina sta preparando i biscotti con sua madre nella sua cucina.")</f>
        <v>Una bambina sta preparando i biscotti con sua madre nella sua cucina.</v>
      </c>
    </row>
    <row r="6578">
      <c r="A6578" s="4" t="s">
        <v>8263</v>
      </c>
      <c r="B6578" s="4" t="s">
        <v>8265</v>
      </c>
      <c r="C6578" s="5" t="str">
        <f>IFERROR(__xludf.DUMMYFUNCTION("GOOGLETRANSLATE(B6578,""en"",""it"")"),"Vuole che sua madre fingi di essere Babbo Natale.")</f>
        <v>Vuole che sua madre fingi di essere Babbo Natale.</v>
      </c>
    </row>
    <row r="6579">
      <c r="A6579" s="4" t="s">
        <v>8263</v>
      </c>
      <c r="B6579" s="4" t="s">
        <v>8266</v>
      </c>
      <c r="C6579" s="5" t="str">
        <f>IFERROR(__xludf.DUMMYFUNCTION("GOOGLETRANSLATE(B6579,""en"",""it"")"),"Le ride e rotolano l'impasto per biscotti sul tagliere.")</f>
        <v>Le ride e rotolano l'impasto per biscotti sul tagliere.</v>
      </c>
    </row>
    <row r="6580">
      <c r="A6580" s="4" t="s">
        <v>8263</v>
      </c>
      <c r="B6580" s="4" t="s">
        <v>8267</v>
      </c>
      <c r="C6580" s="5" t="str">
        <f>IFERROR(__xludf.DUMMYFUNCTION("GOOGLETRANSLATE(B6580,""en"",""it"")"),"La madre apre il forno e mette il vassoio pieno di pasta per biscotti nel forno per la cottura.")</f>
        <v>La madre apre il forno e mette il vassoio pieno di pasta per biscotti nel forno per la cottura.</v>
      </c>
    </row>
    <row r="6581">
      <c r="A6581" s="4" t="s">
        <v>8263</v>
      </c>
      <c r="B6581" s="6" t="s">
        <v>8268</v>
      </c>
      <c r="C6581" s="5" t="str">
        <f>IFERROR(__xludf.DUMMYFUNCTION("GOOGLETRANSLATE(B6581,""en"",""it"")"),"La madre quindi prende il cutter per biscotti e fa più biscotti per la cottura, quindi sia madre che figlia attraversano la ricetta del biscotto mentre posizionano l'impasto per biscotti sul vassoio.")</f>
        <v>La madre quindi prende il cutter per biscotti e fa più biscotti per la cottura, quindi sia madre che figlia attraversano la ricetta del biscotto mentre posizionano l'impasto per biscotti sul vassoio.</v>
      </c>
    </row>
    <row r="6582">
      <c r="A6582" s="4" t="s">
        <v>8263</v>
      </c>
      <c r="B6582" s="4" t="s">
        <v>8269</v>
      </c>
      <c r="C6582" s="5" t="str">
        <f>IFERROR(__xludf.DUMMYFUNCTION("GOOGLETRANSLATE(B6582,""en"",""it"")"),"Dopo che i biscotti sono cotti, decorano i biscotti con spruzzi e glassa.")</f>
        <v>Dopo che i biscotti sono cotti, decorano i biscotti con spruzzi e glassa.</v>
      </c>
    </row>
    <row r="6583">
      <c r="A6583" s="4" t="s">
        <v>8263</v>
      </c>
      <c r="B6583" s="4" t="s">
        <v>8270</v>
      </c>
      <c r="C6583" s="5" t="str">
        <f>IFERROR(__xludf.DUMMYFUNCTION("GOOGLETRANSLATE(B6583,""en"",""it"")"),"La ragazza mostra con orgoglio il biscotto finito dopo che ha finito.")</f>
        <v>La ragazza mostra con orgoglio il biscotto finito dopo che ha finito.</v>
      </c>
    </row>
    <row r="6584">
      <c r="A6584" s="4" t="s">
        <v>8271</v>
      </c>
      <c r="B6584" s="4" t="s">
        <v>8272</v>
      </c>
      <c r="C6584" s="5" t="str">
        <f>IFERROR(__xludf.DUMMYFUNCTION("GOOGLETRANSLATE(B6584,""en"",""it"")"),"Due persone vengono mostrate che spingono attorno a un tosaerba e tagliano il prato.")</f>
        <v>Due persone vengono mostrate che spingono attorno a un tosaerba e tagliano il prato.</v>
      </c>
    </row>
    <row r="6585">
      <c r="A6585" s="4" t="s">
        <v>8271</v>
      </c>
      <c r="B6585" s="4" t="s">
        <v>8273</v>
      </c>
      <c r="C6585" s="5" t="str">
        <f>IFERROR(__xludf.DUMMYFUNCTION("GOOGLETRANSLATE(B6585,""en"",""it"")"),"Il bump l'uno nell'altro quando uno si gira intorno all'altro segue da vicino.")</f>
        <v>Il bump l'uno nell'altro quando uno si gira intorno all'altro segue da vicino.</v>
      </c>
    </row>
    <row r="6586">
      <c r="A6586" s="4" t="s">
        <v>8271</v>
      </c>
      <c r="B6586" s="4" t="s">
        <v>8274</v>
      </c>
      <c r="C6586" s="5" t="str">
        <f>IFERROR(__xludf.DUMMYFUNCTION("GOOGLETRANSLATE(B6586,""en"",""it"")"),"Il maschio si avvicina alla casa e continua a tornare verso la donna.")</f>
        <v>Il maschio si avvicina alla casa e continua a tornare verso la donna.</v>
      </c>
    </row>
    <row r="6587">
      <c r="A6587" s="4" t="s">
        <v>8275</v>
      </c>
      <c r="B6587" s="4" t="s">
        <v>8276</v>
      </c>
      <c r="C6587" s="5" t="str">
        <f>IFERROR(__xludf.DUMMYFUNCTION("GOOGLETRANSLATE(B6587,""en"",""it"")"),"Una persona viene vista andare lungo una pista ciclabile mentre una persona che indossa una telecamera che segue da dietro.")</f>
        <v>Una persona viene vista andare lungo una pista ciclabile mentre una persona che indossa una telecamera che segue da dietro.</v>
      </c>
    </row>
    <row r="6588">
      <c r="A6588" s="4" t="s">
        <v>8275</v>
      </c>
      <c r="B6588" s="6" t="s">
        <v>8277</v>
      </c>
      <c r="C6588" s="5" t="str">
        <f>IFERROR(__xludf.DUMMYFUNCTION("GOOGLETRANSLATE(B6588,""en"",""it"")"),"Vengono mostrate altre clip di persone che vanno in bici lungo il sentiero mentre la fotocamera la cattura da diversi angoli.")</f>
        <v>Vengono mostrate altre clip di persone che vanno in bici lungo il sentiero mentre la fotocamera la cattura da diversi angoli.</v>
      </c>
    </row>
    <row r="6589">
      <c r="A6589" s="4" t="s">
        <v>8278</v>
      </c>
      <c r="B6589" s="4" t="s">
        <v>8279</v>
      </c>
      <c r="C6589" s="5" t="str">
        <f>IFERROR(__xludf.DUMMYFUNCTION("GOOGLETRANSLATE(B6589,""en"",""it"")"),"Viene mostrato un primo piano di un gioco di lacrosse che porta a un uomo che parla alla telecamera.")</f>
        <v>Viene mostrato un primo piano di un gioco di lacrosse che porta a un uomo che parla alla telecamera.</v>
      </c>
    </row>
    <row r="6590">
      <c r="A6590" s="4" t="s">
        <v>8278</v>
      </c>
      <c r="B6590" s="6" t="s">
        <v>8280</v>
      </c>
      <c r="C6590" s="5" t="str">
        <f>IFERROR(__xludf.DUMMYFUNCTION("GOOGLETRANSLATE(B6590,""en"",""it"")"),"Altri colpi sono mostrati del gioco con i giocatori che corrono su e giù per il campo e molti altri che parlano alla telecamera.")</f>
        <v>Altri colpi sono mostrati del gioco con i giocatori che corrono su e giù per il campo e molti altri che parlano alla telecamera.</v>
      </c>
    </row>
    <row r="6591">
      <c r="A6591" s="4" t="s">
        <v>8281</v>
      </c>
      <c r="B6591" s="4" t="s">
        <v>8282</v>
      </c>
      <c r="C6591" s="5" t="str">
        <f>IFERROR(__xludf.DUMMYFUNCTION("GOOGLETRANSLATE(B6591,""en"",""it"")"),"Viene visto un uomo che indossa un casco e si inginocchia in una grande stanza.")</f>
        <v>Viene visto un uomo che indossa un casco e si inginocchia in una grande stanza.</v>
      </c>
    </row>
    <row r="6592">
      <c r="A6592" s="4" t="s">
        <v>8281</v>
      </c>
      <c r="B6592" s="4" t="s">
        <v>8283</v>
      </c>
      <c r="C6592" s="5" t="str">
        <f>IFERROR(__xludf.DUMMYFUNCTION("GOOGLETRANSLATE(B6592,""en"",""it"")"),"Usa una torcia su un oggetto mentre un'altra persona entra in telaio.")</f>
        <v>Usa una torcia su un oggetto mentre un'altra persona entra in telaio.</v>
      </c>
    </row>
    <row r="6593">
      <c r="A6593" s="4" t="s">
        <v>8281</v>
      </c>
      <c r="B6593" s="4" t="s">
        <v>8284</v>
      </c>
      <c r="C6593" s="5" t="str">
        <f>IFERROR(__xludf.DUMMYFUNCTION("GOOGLETRANSLATE(B6593,""en"",""it"")"),"Alla fine ingrandisce l'oggetto che ha forconato.")</f>
        <v>Alla fine ingrandisce l'oggetto che ha forconato.</v>
      </c>
    </row>
    <row r="6594">
      <c r="A6594" s="4" t="s">
        <v>8285</v>
      </c>
      <c r="B6594" s="4" t="s">
        <v>8286</v>
      </c>
      <c r="C6594" s="5" t="str">
        <f>IFERROR(__xludf.DUMMYFUNCTION("GOOGLETRANSLATE(B6594,""en"",""it"")"),"Una donna è in piedi dietro un tavolo.")</f>
        <v>Una donna è in piedi dietro un tavolo.</v>
      </c>
    </row>
    <row r="6595">
      <c r="A6595" s="4" t="s">
        <v>8285</v>
      </c>
      <c r="B6595" s="4" t="s">
        <v>8287</v>
      </c>
      <c r="C6595" s="5" t="str">
        <f>IFERROR(__xludf.DUMMYFUNCTION("GOOGLETRANSLATE(B6595,""en"",""it"")"),"Prende uno straccio e una bottiglia di olio.")</f>
        <v>Prende uno straccio e una bottiglia di olio.</v>
      </c>
    </row>
    <row r="6596">
      <c r="A6596" s="4" t="s">
        <v>8285</v>
      </c>
      <c r="B6596" s="4" t="s">
        <v>8288</v>
      </c>
      <c r="C6596" s="5" t="str">
        <f>IFERROR(__xludf.DUMMYFUNCTION("GOOGLETRANSLATE(B6596,""en"",""it"")"),"Mette l'olio sullo straccio e inizia a pulire gli stivali con esso.")</f>
        <v>Mette l'olio sullo straccio e inizia a pulire gli stivali con esso.</v>
      </c>
    </row>
    <row r="6597">
      <c r="A6597" s="4" t="s">
        <v>8289</v>
      </c>
      <c r="B6597" s="4" t="s">
        <v>8290</v>
      </c>
      <c r="C6597" s="5" t="str">
        <f>IFERROR(__xludf.DUMMYFUNCTION("GOOGLETRANSLATE(B6597,""en"",""it"")"),"Un ragazzo si siede a un tavolo con una ragazza accanto a lui.")</f>
        <v>Un ragazzo si siede a un tavolo con una ragazza accanto a lui.</v>
      </c>
    </row>
    <row r="6598">
      <c r="A6598" s="4" t="s">
        <v>8289</v>
      </c>
      <c r="B6598" s="4" t="s">
        <v>8291</v>
      </c>
      <c r="C6598" s="5" t="str">
        <f>IFERROR(__xludf.DUMMYFUNCTION("GOOGLETRANSLATE(B6598,""en"",""it"")"),"Sta cercando di risolvere un cubo di Rubik mentre lei lo fa.")</f>
        <v>Sta cercando di risolvere un cubo di Rubik mentre lei lo fa.</v>
      </c>
    </row>
    <row r="6599">
      <c r="A6599" s="4" t="s">
        <v>8289</v>
      </c>
      <c r="B6599" s="4" t="s">
        <v>8292</v>
      </c>
      <c r="C6599" s="5" t="str">
        <f>IFERROR(__xludf.DUMMYFUNCTION("GOOGLETRANSLATE(B6599,""en"",""it"")"),"Un contatore conta rapidamente mentre fa del suo meglio per risolvere il puzzle.")</f>
        <v>Un contatore conta rapidamente mentre fa del suo meglio per risolvere il puzzle.</v>
      </c>
    </row>
    <row r="6600">
      <c r="A6600" s="4" t="s">
        <v>8289</v>
      </c>
      <c r="B6600" s="4" t="s">
        <v>8293</v>
      </c>
      <c r="C6600" s="5" t="str">
        <f>IFERROR(__xludf.DUMMYFUNCTION("GOOGLETRANSLATE(B6600,""en"",""it"")"),"Alla fine risolve il cubo e si alza dal tavolo.")</f>
        <v>Alla fine risolve il cubo e si alza dal tavolo.</v>
      </c>
    </row>
    <row r="6601">
      <c r="A6601" s="4" t="s">
        <v>8294</v>
      </c>
      <c r="B6601" s="4" t="s">
        <v>8295</v>
      </c>
      <c r="C6601" s="5" t="str">
        <f>IFERROR(__xludf.DUMMYFUNCTION("GOOGLETRANSLATE(B6601,""en"",""it"")"),"Un uomo sta aiutando un ragazzo a far volare un aquilone.")</f>
        <v>Un uomo sta aiutando un ragazzo a far volare un aquilone.</v>
      </c>
    </row>
    <row r="6602">
      <c r="A6602" s="4" t="s">
        <v>8294</v>
      </c>
      <c r="B6602" s="4" t="s">
        <v>8296</v>
      </c>
      <c r="C6602" s="5" t="str">
        <f>IFERROR(__xludf.DUMMYFUNCTION("GOOGLETRANSLATE(B6602,""en"",""it"")"),"Una donna è in piedi accanto a loro.")</f>
        <v>Una donna è in piedi accanto a loro.</v>
      </c>
    </row>
    <row r="6603">
      <c r="A6603" s="4" t="s">
        <v>8294</v>
      </c>
      <c r="B6603" s="4" t="s">
        <v>8297</v>
      </c>
      <c r="C6603" s="5" t="str">
        <f>IFERROR(__xludf.DUMMYFUNCTION("GOOGLETRANSLATE(B6603,""en"",""it"")"),"Gli aquiloni stanno volando nel cielo sopra l'acqua.")</f>
        <v>Gli aquiloni stanno volando nel cielo sopra l'acqua.</v>
      </c>
    </row>
    <row r="6604">
      <c r="A6604" s="4" t="s">
        <v>8294</v>
      </c>
      <c r="B6604" s="4" t="s">
        <v>8298</v>
      </c>
      <c r="C6604" s="5" t="str">
        <f>IFERROR(__xludf.DUMMYFUNCTION("GOOGLETRANSLATE(B6604,""en"",""it"")"),"L'uomo cammina su per la collina.")</f>
        <v>L'uomo cammina su per la collina.</v>
      </c>
    </row>
    <row r="6605">
      <c r="A6605" s="4" t="s">
        <v>8299</v>
      </c>
      <c r="B6605" s="4" t="s">
        <v>8300</v>
      </c>
      <c r="C6605" s="5" t="str">
        <f>IFERROR(__xludf.DUMMYFUNCTION("GOOGLETRANSLATE(B6605,""en"",""it"")"),"La ginnasta femminile alzava il braccio mentre il giudice solleva la bandiera.")</f>
        <v>La ginnasta femminile alzava il braccio mentre il giudice solleva la bandiera.</v>
      </c>
    </row>
    <row r="6606">
      <c r="A6606" s="4" t="s">
        <v>8299</v>
      </c>
      <c r="B6606" s="6" t="s">
        <v>8301</v>
      </c>
      <c r="C6606" s="5" t="str">
        <f>IFERROR(__xludf.DUMMYFUNCTION("GOOGLETRANSLATE(B6606,""en"",""it"")"),"La ginnasta salta al raggio, si è bilanciata, si è schierata più volte correndo e si è bilanciata e si è schierando.")</f>
        <v>La ginnasta salta al raggio, si è bilanciata, si è schierata più volte correndo e si è bilanciata e si è schierando.</v>
      </c>
    </row>
    <row r="6607">
      <c r="A6607" s="4" t="s">
        <v>8299</v>
      </c>
      <c r="B6607" s="4" t="s">
        <v>8302</v>
      </c>
      <c r="C6607" s="5" t="str">
        <f>IFERROR(__xludf.DUMMYFUNCTION("GOOGLETRANSLATE(B6607,""en"",""it"")"),"La ragazza salta del raggio che atterra sul tappeto blu.")</f>
        <v>La ragazza salta del raggio che atterra sul tappeto blu.</v>
      </c>
    </row>
    <row r="6608">
      <c r="A6608" s="4" t="s">
        <v>8303</v>
      </c>
      <c r="B6608" s="4" t="s">
        <v>8304</v>
      </c>
      <c r="C6608" s="5" t="str">
        <f>IFERROR(__xludf.DUMMYFUNCTION("GOOGLETRANSLATE(B6608,""en"",""it"")"),"Un'autostrada con segni sopra la testa è mostrata prima di vedere una scena della spiaggia e una serie di trofei.")</f>
        <v>Un'autostrada con segni sopra la testa è mostrata prima di vedere una scena della spiaggia e una serie di trofei.</v>
      </c>
    </row>
    <row r="6609">
      <c r="A6609" s="4" t="s">
        <v>8303</v>
      </c>
      <c r="B6609" s="4" t="s">
        <v>8305</v>
      </c>
      <c r="C6609" s="5" t="str">
        <f>IFERROR(__xludf.DUMMYFUNCTION("GOOGLETRANSLATE(B6609,""en"",""it"")"),"Un mucchio di giocatori di pallavolo si riunisce per iniziare una partita.")</f>
        <v>Un mucchio di giocatori di pallavolo si riunisce per iniziare una partita.</v>
      </c>
    </row>
    <row r="6610">
      <c r="A6610" s="4" t="s">
        <v>8303</v>
      </c>
      <c r="B6610" s="4" t="s">
        <v>8306</v>
      </c>
      <c r="C6610" s="5" t="str">
        <f>IFERROR(__xludf.DUMMYFUNCTION("GOOGLETRANSLATE(B6610,""en"",""it"")"),"Il gioco inizia, le persone che fanno del loro meglio per vincere.")</f>
        <v>Il gioco inizia, le persone che fanno del loro meglio per vincere.</v>
      </c>
    </row>
    <row r="6611">
      <c r="A6611" s="4" t="s">
        <v>8307</v>
      </c>
      <c r="B6611" s="4" t="s">
        <v>8308</v>
      </c>
      <c r="C6611" s="5" t="str">
        <f>IFERROR(__xludf.DUMMYFUNCTION("GOOGLETRANSLATE(B6611,""en"",""it"")"),"Una telecamera si muove attorno ai volti di persona su una collina innevata e che cavalcano una montagna.")</f>
        <v>Una telecamera si muove attorno ai volti di persona su una collina innevata e che cavalcano una montagna.</v>
      </c>
    </row>
    <row r="6612">
      <c r="A6612" s="4" t="s">
        <v>8307</v>
      </c>
      <c r="B6612" s="6" t="s">
        <v>8309</v>
      </c>
      <c r="C6612" s="5" t="str">
        <f>IFERROR(__xludf.DUMMYFUNCTION("GOOGLETRANSLATE(B6612,""en"",""it"")"),"La gente continua a sciare lungo il sentiero innevato che si sposta indietro e quarto e finendo fermandosi in fondo.")</f>
        <v>La gente continua a sciare lungo il sentiero innevato che si sposta indietro e quarto e finendo fermandosi in fondo.</v>
      </c>
    </row>
    <row r="6613">
      <c r="A6613" s="4" t="s">
        <v>8310</v>
      </c>
      <c r="B6613" s="4" t="s">
        <v>8311</v>
      </c>
      <c r="C6613" s="5" t="str">
        <f>IFERROR(__xludf.DUMMYFUNCTION("GOOGLETRANSLATE(B6613,""en"",""it"")"),"Si vede un uomo che indossa un cappello che solleva un'armonica e inizia a giocare con le mani.")</f>
        <v>Si vede un uomo che indossa un cappello che solleva un'armonica e inizia a giocare con le mani.</v>
      </c>
    </row>
    <row r="6614">
      <c r="A6614" s="4" t="s">
        <v>8310</v>
      </c>
      <c r="B6614" s="6" t="s">
        <v>8312</v>
      </c>
      <c r="C6614" s="5" t="str">
        <f>IFERROR(__xludf.DUMMYFUNCTION("GOOGLETRANSLATE(B6614,""en"",""it"")"),"Continua a suonare lo strumento alla telecamera e termina con lui che mette giù lo strumento, quindi sollevandolo di nuovo.")</f>
        <v>Continua a suonare lo strumento alla telecamera e termina con lui che mette giù lo strumento, quindi sollevandolo di nuovo.</v>
      </c>
    </row>
    <row r="6615">
      <c r="A6615" s="4" t="s">
        <v>8313</v>
      </c>
      <c r="B6615" s="6" t="s">
        <v>8314</v>
      </c>
      <c r="C6615" s="5" t="str">
        <f>IFERROR(__xludf.DUMMYFUNCTION("GOOGLETRANSLATE(B6615,""en"",""it"")"),"Due bambini piccoli vengono visti disegnare con gesso su una passeggiata laterale mentre occasionalmente guardano indietro alla telecamera.")</f>
        <v>Due bambini piccoli vengono visti disegnare con gesso su una passeggiata laterale mentre occasionalmente guardano indietro alla telecamera.</v>
      </c>
    </row>
    <row r="6616">
      <c r="A6616" s="4" t="s">
        <v>8313</v>
      </c>
      <c r="B6616" s="4" t="s">
        <v>8315</v>
      </c>
      <c r="C6616" s="5" t="str">
        <f>IFERROR(__xludf.DUMMYFUNCTION("GOOGLETRANSLATE(B6616,""en"",""it"")"),"La ragazza viene quindi vista giocare a luppolo che salta giù dal gesso mentre il ragazzo guarda da dietro.")</f>
        <v>La ragazza viene quindi vista giocare a luppolo che salta giù dal gesso mentre il ragazzo guarda da dietro.</v>
      </c>
    </row>
    <row r="6617">
      <c r="A6617" s="4" t="s">
        <v>8313</v>
      </c>
      <c r="B6617" s="4" t="s">
        <v>8316</v>
      </c>
      <c r="C6617" s="5" t="str">
        <f>IFERROR(__xludf.DUMMYFUNCTION("GOOGLETRANSLATE(B6617,""en"",""it"")"),"Una donna quindi aiuta il ragazzo a saltare seguito dalla ragazza che aiuta.")</f>
        <v>Una donna quindi aiuta il ragazzo a saltare seguito dalla ragazza che aiuta.</v>
      </c>
    </row>
    <row r="6618">
      <c r="A6618" s="4" t="s">
        <v>8313</v>
      </c>
      <c r="B6618" s="4" t="s">
        <v>8317</v>
      </c>
      <c r="C6618" s="5" t="str">
        <f>IFERROR(__xludf.DUMMYFUNCTION("GOOGLETRANSLATE(B6618,""en"",""it"")"),"Il ragazzo salta da solo e poi conduce nei due camminando su un raggio del marciapiede.")</f>
        <v>Il ragazzo salta da solo e poi conduce nei due camminando su un raggio del marciapiede.</v>
      </c>
    </row>
    <row r="6619">
      <c r="A6619" s="4" t="s">
        <v>8313</v>
      </c>
      <c r="B6619" s="4" t="s">
        <v>8318</v>
      </c>
      <c r="C6619" s="5" t="str">
        <f>IFERROR(__xludf.DUMMYFUNCTION("GOOGLETRANSLATE(B6619,""en"",""it"")"),"La ragazza fa oscillare le braccia e poi i due saltano giù.")</f>
        <v>La ragazza fa oscillare le braccia e poi i due saltano giù.</v>
      </c>
    </row>
    <row r="6620">
      <c r="A6620" s="4" t="s">
        <v>8319</v>
      </c>
      <c r="B6620" s="4" t="s">
        <v>8320</v>
      </c>
      <c r="C6620" s="5" t="str">
        <f>IFERROR(__xludf.DUMMYFUNCTION("GOOGLETRANSLATE(B6620,""en"",""it"")"),"Un uomo atletico si fa avanti davanti a una pista mentre tiene pronto un annuncio giavellotto.")</f>
        <v>Un uomo atletico si fa avanti davanti a una pista mentre tiene pronto un annuncio giavellotto.</v>
      </c>
    </row>
    <row r="6621">
      <c r="A6621" s="4" t="s">
        <v>8319</v>
      </c>
      <c r="B6621" s="6" t="s">
        <v>8321</v>
      </c>
      <c r="C6621" s="5" t="str">
        <f>IFERROR(__xludf.DUMMYFUNCTION("GOOGLETRANSLATE(B6621,""en"",""it"")"),"L'uomo corre, getta il giavellotto e torna indietro mentre il suo tiro viene mostrato più volte al rallentatore.")</f>
        <v>L'uomo corre, getta il giavellotto e torna indietro mentre il suo tiro viene mostrato più volte al rallentatore.</v>
      </c>
    </row>
    <row r="6622">
      <c r="A6622" s="4" t="s">
        <v>8319</v>
      </c>
      <c r="B6622" s="4" t="s">
        <v>8322</v>
      </c>
      <c r="C6622" s="5" t="str">
        <f>IFERROR(__xludf.DUMMYFUNCTION("GOOGLETRANSLATE(B6622,""en"",""it"")"),"Alla fine viene visto festeggiare e correre per il campo.")</f>
        <v>Alla fine viene visto festeggiare e correre per il campo.</v>
      </c>
    </row>
    <row r="6623">
      <c r="A6623" s="4" t="s">
        <v>8323</v>
      </c>
      <c r="B6623" s="6" t="s">
        <v>8324</v>
      </c>
      <c r="C6623" s="5" t="str">
        <f>IFERROR(__xludf.DUMMYFUNCTION("GOOGLETRANSLATE(B6623,""en"",""it"")"),"Sei persone nei caschi corrono su bici da sporco attorno a una pista circolare e pavimentata circondata da erba, tende da gioco e curiosi.")</f>
        <v>Sei persone nei caschi corrono su bici da sporco attorno a una pista circolare e pavimentata circondata da erba, tende da gioco e curiosi.</v>
      </c>
    </row>
    <row r="6624">
      <c r="A6624" s="4" t="s">
        <v>8323</v>
      </c>
      <c r="B6624" s="6" t="s">
        <v>8325</v>
      </c>
      <c r="C6624" s="5" t="str">
        <f>IFERROR(__xludf.DUMMYFUNCTION("GOOGLETRANSLATE(B6624,""en"",""it"")"),"Le persone iniziano la gara dietro una recinzione chiusa e grattugiata, che poi si apre e consente loro di iniziare a correre da una piattaforma elevata sulla pista asfaltata.")</f>
        <v>Le persone iniziano la gara dietro una recinzione chiusa e grattugiata, che poi si apre e consente loro di iniziare a correre da una piattaforma elevata sulla pista asfaltata.</v>
      </c>
    </row>
    <row r="6625">
      <c r="A6625" s="4" t="s">
        <v>8323</v>
      </c>
      <c r="B6625" s="4" t="s">
        <v>8326</v>
      </c>
      <c r="C6625" s="5" t="str">
        <f>IFERROR(__xludf.DUMMYFUNCTION("GOOGLETRANSLATE(B6625,""en"",""it"")"),"I piloti pedalano con una persona in una giacca bianca in testa.")</f>
        <v>I piloti pedalano con una persona in una giacca bianca in testa.</v>
      </c>
    </row>
    <row r="6626">
      <c r="A6626" s="4" t="s">
        <v>8323</v>
      </c>
      <c r="B6626" s="6" t="s">
        <v>8327</v>
      </c>
      <c r="C6626" s="5" t="str">
        <f>IFERROR(__xludf.DUMMYFUNCTION("GOOGLETRANSLATE(B6626,""en"",""it"")"),"La gara termina con la stessa persona nella giacca bianca che rimane in testa fino a quando non si avvicinano alla fine della pista e un cono a strisce bianche arancioni.")</f>
        <v>La gara termina con la stessa persona nella giacca bianca che rimane in testa fino a quando non si avvicinano alla fine della pista e un cono a strisce bianche arancioni.</v>
      </c>
    </row>
    <row r="6627">
      <c r="A6627" s="4" t="s">
        <v>8328</v>
      </c>
      <c r="B6627" s="6" t="s">
        <v>8329</v>
      </c>
      <c r="C6627" s="5" t="str">
        <f>IFERROR(__xludf.DUMMYFUNCTION("GOOGLETRANSLATE(B6627,""en"",""it"")"),"Un giovane viene mostrato che oscilla più e più volte una racchetta da tennis mentre colpisce una palla allo stesso tempo.")</f>
        <v>Un giovane viene mostrato che oscilla più e più volte una racchetta da tennis mentre colpisce una palla allo stesso tempo.</v>
      </c>
    </row>
    <row r="6628">
      <c r="A6628" s="4" t="s">
        <v>8328</v>
      </c>
      <c r="B6628" s="4" t="s">
        <v>8330</v>
      </c>
      <c r="C6628" s="5" t="str">
        <f>IFERROR(__xludf.DUMMYFUNCTION("GOOGLETRANSLATE(B6628,""en"",""it"")"),"Continua a eseguire questo swing più volte e colpisce la palla ogni volta.")</f>
        <v>Continua a eseguire questo swing più volte e colpisce la palla ogni volta.</v>
      </c>
    </row>
    <row r="6629">
      <c r="A6629" s="4" t="s">
        <v>8331</v>
      </c>
      <c r="B6629" s="4" t="s">
        <v>8332</v>
      </c>
      <c r="C6629" s="5" t="str">
        <f>IFERROR(__xludf.DUMMYFUNCTION("GOOGLETRANSLATE(B6629,""en"",""it"")"),"Una macinino è mostrata in un patio.")</f>
        <v>Una macinino è mostrata in un patio.</v>
      </c>
    </row>
    <row r="6630">
      <c r="A6630" s="4" t="s">
        <v>8331</v>
      </c>
      <c r="B6630" s="4" t="s">
        <v>8333</v>
      </c>
      <c r="C6630" s="5" t="str">
        <f>IFERROR(__xludf.DUMMYFUNCTION("GOOGLETRANSLATE(B6630,""en"",""it"")"),"Un uomo parla mentre mostra le parti della macchina.")</f>
        <v>Un uomo parla mentre mostra le parti della macchina.</v>
      </c>
    </row>
    <row r="6631">
      <c r="A6631" s="4" t="s">
        <v>8331</v>
      </c>
      <c r="B6631" s="4" t="s">
        <v>8334</v>
      </c>
      <c r="C6631" s="5" t="str">
        <f>IFERROR(__xludf.DUMMYFUNCTION("GOOGLETRANSLATE(B6631,""en"",""it"")"),"Quindi dimostra come viene utilizzata la macchina.")</f>
        <v>Quindi dimostra come viene utilizzata la macchina.</v>
      </c>
    </row>
    <row r="6632">
      <c r="A6632" s="4" t="s">
        <v>8335</v>
      </c>
      <c r="B6632" s="4" t="s">
        <v>8336</v>
      </c>
      <c r="C6632" s="5" t="str">
        <f>IFERROR(__xludf.DUMMYFUNCTION("GOOGLETRANSLATE(B6632,""en"",""it"")"),"Un uomo si inginocchia in un garage guardando gli strumenti a terra.")</f>
        <v>Un uomo si inginocchia in un garage guardando gli strumenti a terra.</v>
      </c>
    </row>
    <row r="6633">
      <c r="A6633" s="4" t="s">
        <v>8335</v>
      </c>
      <c r="B6633" s="4" t="s">
        <v>8337</v>
      </c>
      <c r="C6633" s="5" t="str">
        <f>IFERROR(__xludf.DUMMYFUNCTION("GOOGLETRANSLATE(B6633,""en"",""it"")"),"Quindi afferra una maschera di metallo e si posiziona correttamente sul pavimento.")</f>
        <v>Quindi afferra una maschera di metallo e si posiziona correttamente sul pavimento.</v>
      </c>
    </row>
    <row r="6634">
      <c r="A6634" s="4" t="s">
        <v>8335</v>
      </c>
      <c r="B6634" s="6" t="s">
        <v>8338</v>
      </c>
      <c r="C6634" s="5" t="str">
        <f>IFERROR(__xludf.DUMMYFUNCTION("GOOGLETRANSLATE(B6634,""en"",""it"")"),"Una volta confortevole, la maschera si tiene in posizione e inizia a sparare all'oggetto a terra.")</f>
        <v>Una volta confortevole, la maschera si tiene in posizione e inizia a sparare all'oggetto a terra.</v>
      </c>
    </row>
    <row r="6635">
      <c r="A6635" s="4" t="s">
        <v>8335</v>
      </c>
      <c r="B6635" s="4" t="s">
        <v>8339</v>
      </c>
      <c r="C6635" s="5" t="str">
        <f>IFERROR(__xludf.DUMMYFUNCTION("GOOGLETRANSLATE(B6635,""en"",""it"")"),"Alla fine, lo toglie e inizia a scalpellare l'oggetto e picchiarlo.")</f>
        <v>Alla fine, lo toglie e inizia a scalpellare l'oggetto e picchiarlo.</v>
      </c>
    </row>
    <row r="6636">
      <c r="A6636" s="4" t="s">
        <v>8340</v>
      </c>
      <c r="B6636" s="4" t="s">
        <v>8341</v>
      </c>
      <c r="C6636" s="5" t="str">
        <f>IFERROR(__xludf.DUMMYFUNCTION("GOOGLETRANSLATE(B6636,""en"",""it"")"),"Viene vista una persona che indossa una maschera sul viso e tiene in mano un tubo in mano.")</f>
        <v>Viene vista una persona che indossa una maschera sul viso e tiene in mano un tubo in mano.</v>
      </c>
    </row>
    <row r="6637">
      <c r="A6637" s="4" t="s">
        <v>8340</v>
      </c>
      <c r="B6637" s="4" t="s">
        <v>8342</v>
      </c>
      <c r="C6637" s="5" t="str">
        <f>IFERROR(__xludf.DUMMYFUNCTION("GOOGLETRANSLATE(B6637,""en"",""it"")"),"La persona inizia quindi a spruzzare la recinzione con il tubo.")</f>
        <v>La persona inizia quindi a spruzzare la recinzione con il tubo.</v>
      </c>
    </row>
    <row r="6638">
      <c r="A6638" s="4" t="s">
        <v>8340</v>
      </c>
      <c r="B6638" s="4" t="s">
        <v>8343</v>
      </c>
      <c r="C6638" s="5" t="str">
        <f>IFERROR(__xludf.DUMMYFUNCTION("GOOGLETRANSLATE(B6638,""en"",""it"")"),"La persona spruzza continuamente lungo il recinto mentre la fotocamera cattura i suoi movimenti.")</f>
        <v>La persona spruzza continuamente lungo il recinto mentre la fotocamera cattura i suoi movimenti.</v>
      </c>
    </row>
    <row r="6639">
      <c r="A6639" s="4" t="s">
        <v>8344</v>
      </c>
      <c r="B6639" s="6" t="s">
        <v>8345</v>
      </c>
      <c r="C6639" s="5" t="str">
        <f>IFERROR(__xludf.DUMMYFUNCTION("GOOGLETRANSLATE(B6639,""en"",""it"")"),"Un'introduzione arriva sullo schermo che mostra una ragazza che dimostrerà come si asciuga i capelli.")</f>
        <v>Un'introduzione arriva sullo schermo che mostra una ragazza che dimostrerà come si asciuga i capelli.</v>
      </c>
    </row>
    <row r="6640">
      <c r="A6640" s="4" t="s">
        <v>8344</v>
      </c>
      <c r="B6640" s="4" t="s">
        <v>8346</v>
      </c>
      <c r="C6640" s="5" t="str">
        <f>IFERROR(__xludf.DUMMYFUNCTION("GOOGLETRANSLATE(B6640,""en"",""it"")"),"Si mette in mousse in mano e procede a lavorarci tra i capelli.")</f>
        <v>Si mette in mousse in mano e procede a lavorarci tra i capelli.</v>
      </c>
    </row>
    <row r="6641">
      <c r="A6641" s="4" t="s">
        <v>8344</v>
      </c>
      <c r="B6641" s="4" t="s">
        <v>8347</v>
      </c>
      <c r="C6641" s="5" t="str">
        <f>IFERROR(__xludf.DUMMYFUNCTION("GOOGLETRANSLATE(B6641,""en"",""it"")"),"Tira fuori un'asciugatrice e inizia a asciugare i capelli dalla parte posteriore alla parte anteriore.")</f>
        <v>Tira fuori un'asciugatrice e inizia a asciugare i capelli dalla parte posteriore alla parte anteriore.</v>
      </c>
    </row>
    <row r="6642">
      <c r="A6642" s="4" t="s">
        <v>8344</v>
      </c>
      <c r="B6642" s="4" t="s">
        <v>8348</v>
      </c>
      <c r="C6642" s="5" t="str">
        <f>IFERROR(__xludf.DUMMYFUNCTION("GOOGLETRANSLATE(B6642,""en"",""it"")"),"Sezioni i suoi capelli, tira fuori un pennello e inizia a asciugare i capelli con il pennello.")</f>
        <v>Sezioni i suoi capelli, tira fuori un pennello e inizia a asciugare i capelli con il pennello.</v>
      </c>
    </row>
    <row r="6643">
      <c r="A6643" s="4" t="s">
        <v>8344</v>
      </c>
      <c r="B6643" s="4" t="s">
        <v>8349</v>
      </c>
      <c r="C6643" s="5" t="str">
        <f>IFERROR(__xludf.DUMMYFUNCTION("GOOGLETRANSLATE(B6643,""en"",""it"")"),"Quando ha finito, i crediti di chiusura per lo spettacolo video sullo schermo.")</f>
        <v>Quando ha finito, i crediti di chiusura per lo spettacolo video sullo schermo.</v>
      </c>
    </row>
    <row r="6644">
      <c r="A6644" s="4" t="s">
        <v>8350</v>
      </c>
      <c r="B6644" s="4" t="s">
        <v>8351</v>
      </c>
      <c r="C6644" s="5" t="str">
        <f>IFERROR(__xludf.DUMMYFUNCTION("GOOGLETRANSLATE(B6644,""en"",""it"")"),"Una donna è in piedi fuori da un raggio.")</f>
        <v>Una donna è in piedi fuori da un raggio.</v>
      </c>
    </row>
    <row r="6645">
      <c r="A6645" s="4" t="s">
        <v>8350</v>
      </c>
      <c r="B6645" s="4" t="s">
        <v>8352</v>
      </c>
      <c r="C6645" s="5" t="str">
        <f>IFERROR(__xludf.DUMMYFUNCTION("GOOGLETRANSLATE(B6645,""en"",""it"")"),"Monta il raggio, quindi fa diversi lanci e molle a mano sopra la barra.")</f>
        <v>Monta il raggio, quindi fa diversi lanci e molle a mano sopra la barra.</v>
      </c>
    </row>
    <row r="6646">
      <c r="A6646" s="4" t="s">
        <v>8350</v>
      </c>
      <c r="B6646" s="4" t="s">
        <v>8353</v>
      </c>
      <c r="C6646" s="5" t="str">
        <f>IFERROR(__xludf.DUMMYFUNCTION("GOOGLETRANSLATE(B6646,""en"",""it"")"),"Smonta, alzando le braccia in aria.")</f>
        <v>Smonta, alzando le braccia in aria.</v>
      </c>
    </row>
    <row r="6647">
      <c r="A6647" s="4" t="s">
        <v>8354</v>
      </c>
      <c r="B6647" s="4" t="s">
        <v>8355</v>
      </c>
      <c r="C6647" s="5" t="str">
        <f>IFERROR(__xludf.DUMMYFUNCTION("GOOGLETRANSLATE(B6647,""en"",""it"")"),"Una persona viene mostrata nuotando attraverso una piscina mentre altri nuotano intorno a lei.")</f>
        <v>Una persona viene mostrata nuotando attraverso una piscina mentre altri nuotano intorno a lei.</v>
      </c>
    </row>
    <row r="6648">
      <c r="A6648" s="4" t="s">
        <v>8354</v>
      </c>
      <c r="B6648" s="4" t="s">
        <v>8356</v>
      </c>
      <c r="C6648" s="5" t="str">
        <f>IFERROR(__xludf.DUMMYFUNCTION("GOOGLETRANSLATE(B6648,""en"",""it"")"),"Le persone passano una palla in acqua mentre un'altra squadra di giocatori gioca a sfondo.")</f>
        <v>Le persone passano una palla in acqua mentre un'altra squadra di giocatori gioca a sfondo.</v>
      </c>
    </row>
    <row r="6649">
      <c r="A6649" s="4" t="s">
        <v>8357</v>
      </c>
      <c r="B6649" s="4" t="s">
        <v>8358</v>
      </c>
      <c r="C6649" s="5" t="str">
        <f>IFERROR(__xludf.DUMMYFUNCTION("GOOGLETRANSLATE(B6649,""en"",""it"")"),"Una signora tiene un gatto in grembo sul pavimento.")</f>
        <v>Una signora tiene un gatto in grembo sul pavimento.</v>
      </c>
    </row>
    <row r="6650">
      <c r="A6650" s="4" t="s">
        <v>8357</v>
      </c>
      <c r="B6650" s="4" t="s">
        <v>8359</v>
      </c>
      <c r="C6650" s="5" t="str">
        <f>IFERROR(__xludf.DUMMYFUNCTION("GOOGLETRANSLATE(B6650,""en"",""it"")"),"La signora quindi ritaglia gli artigli dei gatti.")</f>
        <v>La signora quindi ritaglia gli artigli dei gatti.</v>
      </c>
    </row>
    <row r="6651">
      <c r="A6651" s="4" t="s">
        <v>8357</v>
      </c>
      <c r="B6651" s="4" t="s">
        <v>8360</v>
      </c>
      <c r="C6651" s="5" t="str">
        <f>IFERROR(__xludf.DUMMYFUNCTION("GOOGLETRANSLATE(B6651,""en"",""it"")"),"Il gatto cerca di fuggire e la persona calma il gatto con un titolare di capelli.")</f>
        <v>Il gatto cerca di fuggire e la persona calma il gatto con un titolare di capelli.</v>
      </c>
    </row>
    <row r="6652">
      <c r="A6652" s="4" t="s">
        <v>8357</v>
      </c>
      <c r="B6652" s="4" t="s">
        <v>8361</v>
      </c>
      <c r="C6652" s="5" t="str">
        <f>IFERROR(__xludf.DUMMYFUNCTION("GOOGLETRANSLATE(B6652,""en"",""it"")"),"Il gatto si sforza di fuggire.")</f>
        <v>Il gatto si sforza di fuggire.</v>
      </c>
    </row>
    <row r="6653">
      <c r="A6653" s="4" t="s">
        <v>8357</v>
      </c>
      <c r="B6653" s="6" t="s">
        <v>8362</v>
      </c>
      <c r="C6653" s="5" t="str">
        <f>IFERROR(__xludf.DUMMYFUNCTION("GOOGLETRANSLATE(B6653,""en"",""it"")"),"La signora finisce un gatto scappa e vediamo un altro gatto seduto su un letto circondato da disordine.")</f>
        <v>La signora finisce un gatto scappa e vediamo un altro gatto seduto su un letto circondato da disordine.</v>
      </c>
    </row>
    <row r="6654">
      <c r="A6654" s="4" t="s">
        <v>8363</v>
      </c>
      <c r="B6654" s="4" t="s">
        <v>8364</v>
      </c>
      <c r="C6654" s="5" t="str">
        <f>IFERROR(__xludf.DUMMYFUNCTION("GOOGLETRANSLATE(B6654,""en"",""it"")"),"Due uomini stanno combattendo con archi e frecce in una stanza.")</f>
        <v>Due uomini stanno combattendo con archi e frecce in una stanza.</v>
      </c>
    </row>
    <row r="6655">
      <c r="A6655" s="4" t="s">
        <v>8363</v>
      </c>
      <c r="B6655" s="4" t="s">
        <v>8365</v>
      </c>
      <c r="C6655" s="5" t="str">
        <f>IFERROR(__xludf.DUMMYFUNCTION("GOOGLETRANSLATE(B6655,""en"",""it"")"),"Un uomo salta da una pila di stuoie.")</f>
        <v>Un uomo salta da una pila di stuoie.</v>
      </c>
    </row>
    <row r="6656">
      <c r="A6656" s="4" t="s">
        <v>8363</v>
      </c>
      <c r="B6656" s="4" t="s">
        <v>8366</v>
      </c>
      <c r="C6656" s="5" t="str">
        <f>IFERROR(__xludf.DUMMYFUNCTION("GOOGLETRANSLATE(B6656,""en"",""it"")"),"Un altro uomo fa un capovolgimento dal muro.")</f>
        <v>Un altro uomo fa un capovolgimento dal muro.</v>
      </c>
    </row>
    <row r="6657">
      <c r="A6657" s="4" t="s">
        <v>8367</v>
      </c>
      <c r="B6657" s="4" t="s">
        <v>8368</v>
      </c>
      <c r="C6657" s="5" t="str">
        <f>IFERROR(__xludf.DUMMYFUNCTION("GOOGLETRANSLATE(B6657,""en"",""it"")"),"Un uomo pulisce una piccola tavola di legno con un panno in un laboratorio.")</f>
        <v>Un uomo pulisce una piccola tavola di legno con un panno in un laboratorio.</v>
      </c>
    </row>
    <row r="6658">
      <c r="A6658" s="4" t="s">
        <v>8367</v>
      </c>
      <c r="B6658" s="4" t="s">
        <v>8369</v>
      </c>
      <c r="C6658" s="5" t="str">
        <f>IFERROR(__xludf.DUMMYFUNCTION("GOOGLETRANSLATE(B6658,""en"",""it"")"),"Quindi, l'uomo usa la flanella per lucidare accuratamente la scheda di legno.")</f>
        <v>Quindi, l'uomo usa la flanella per lucidare accuratamente la scheda di legno.</v>
      </c>
    </row>
    <row r="6659">
      <c r="A6659" s="4" t="s">
        <v>8370</v>
      </c>
      <c r="B6659" s="4" t="s">
        <v>8371</v>
      </c>
      <c r="C6659" s="5" t="str">
        <f>IFERROR(__xludf.DUMMYFUNCTION("GOOGLETRANSLATE(B6659,""en"",""it"")"),"I limoni sono spremuti uno alla volta e poi mettono in una pentola con lo zucchero.")</f>
        <v>I limoni sono spremuti uno alla volta e poi mettono in una pentola con lo zucchero.</v>
      </c>
    </row>
    <row r="6660">
      <c r="A6660" s="4" t="s">
        <v>8370</v>
      </c>
      <c r="B6660" s="4" t="s">
        <v>8372</v>
      </c>
      <c r="C6660" s="5" t="str">
        <f>IFERROR(__xludf.DUMMYFUNCTION("GOOGLETRANSLATE(B6660,""en"",""it"")"),"Viene aggiunta l'acqua scintillante e quindi la miscela viene aggiunta a questa creazione di limonata scintillante.")</f>
        <v>Viene aggiunta l'acqua scintillante e quindi la miscela viene aggiunta a questa creazione di limonata scintillante.</v>
      </c>
    </row>
    <row r="6661">
      <c r="A6661" s="4" t="s">
        <v>8373</v>
      </c>
      <c r="B6661" s="4" t="s">
        <v>8374</v>
      </c>
      <c r="C6661" s="5" t="str">
        <f>IFERROR(__xludf.DUMMYFUNCTION("GOOGLETRANSLATE(B6661,""en"",""it"")"),"Un uomo è fuori da un edificio.")</f>
        <v>Un uomo è fuori da un edificio.</v>
      </c>
    </row>
    <row r="6662">
      <c r="A6662" s="4" t="s">
        <v>8373</v>
      </c>
      <c r="B6662" s="4" t="s">
        <v>8375</v>
      </c>
      <c r="C6662" s="5" t="str">
        <f>IFERROR(__xludf.DUMMYFUNCTION("GOOGLETRANSLATE(B6662,""en"",""it"")"),"Sta usando attrezzature di falciatura per prato commerciali.")</f>
        <v>Sta usando attrezzature di falciatura per prato commerciali.</v>
      </c>
    </row>
    <row r="6663">
      <c r="A6663" s="4" t="s">
        <v>8373</v>
      </c>
      <c r="B6663" s="4" t="s">
        <v>8376</v>
      </c>
      <c r="C6663" s="5" t="str">
        <f>IFERROR(__xludf.DUMMYFUNCTION("GOOGLETRANSLATE(B6663,""en"",""it"")"),"Cammina avanti e indietro mentre falcia l'erba.")</f>
        <v>Cammina avanti e indietro mentre falcia l'erba.</v>
      </c>
    </row>
    <row r="6664">
      <c r="A6664" s="4" t="s">
        <v>8377</v>
      </c>
      <c r="B6664" s="4" t="s">
        <v>8378</v>
      </c>
      <c r="C6664" s="5" t="str">
        <f>IFERROR(__xludf.DUMMYFUNCTION("GOOGLETRANSLATE(B6664,""en"",""it"")"),"Una donna anziana che indossa gli occhiali è in piedi davanti a un'auto.")</f>
        <v>Una donna anziana che indossa gli occhiali è in piedi davanti a un'auto.</v>
      </c>
    </row>
    <row r="6665">
      <c r="A6665" s="4" t="s">
        <v>8377</v>
      </c>
      <c r="B6665" s="4" t="s">
        <v>8379</v>
      </c>
      <c r="C6665" s="5" t="str">
        <f>IFERROR(__xludf.DUMMYFUNCTION("GOOGLETRANSLATE(B6665,""en"",""it"")"),"Si avvicina alla macchina e all'inizio non può aprire la porta.")</f>
        <v>Si avvicina alla macchina e all'inizio non può aprire la porta.</v>
      </c>
    </row>
    <row r="6666">
      <c r="A6666" s="4" t="s">
        <v>8377</v>
      </c>
      <c r="B6666" s="6" t="s">
        <v>8380</v>
      </c>
      <c r="C6666" s="5" t="str">
        <f>IFERROR(__xludf.DUMMYFUNCTION("GOOGLETRANSLATE(B6666,""en"",""it"")"),"Entra nella macchina, poi esce e pulisce la neve dalla macchina prima di tornare e andare via.")</f>
        <v>Entra nella macchina, poi esce e pulisce la neve dalla macchina prima di tornare e andare via.</v>
      </c>
    </row>
    <row r="6667">
      <c r="A6667" s="4" t="s">
        <v>8381</v>
      </c>
      <c r="B6667" s="4" t="s">
        <v>8382</v>
      </c>
      <c r="C6667" s="5" t="str">
        <f>IFERROR(__xludf.DUMMYFUNCTION("GOOGLETRANSLATE(B6667,""en"",""it"")"),"Un primo piano della faccia di un uomo è visto seguito da un rasoio sul lato e la persona che pettina i suoi capelli.")</f>
        <v>Un primo piano della faccia di un uomo è visto seguito da un rasoio sul lato e la persona che pettina i suoi capelli.</v>
      </c>
    </row>
    <row r="6668">
      <c r="A6668" s="4" t="s">
        <v>8381</v>
      </c>
      <c r="B6668" s="6" t="s">
        <v>8383</v>
      </c>
      <c r="C6668" s="5" t="str">
        <f>IFERROR(__xludf.DUMMYFUNCTION("GOOGLETRANSLATE(B6668,""en"",""it"")"),"La persona continua a radersi e pettinare i capelli degli uomini e radersi la barba che copre la crema da barba.")</f>
        <v>La persona continua a radersi e pettinare i capelli degli uomini e radersi la barba che copre la crema da barba.</v>
      </c>
    </row>
    <row r="6669">
      <c r="A6669" s="4" t="s">
        <v>8381</v>
      </c>
      <c r="B6669" s="4" t="s">
        <v>8384</v>
      </c>
      <c r="C6669" s="5" t="str">
        <f>IFERROR(__xludf.DUMMYFUNCTION("GOOGLETRANSLATE(B6669,""en"",""it"")"),"L'uomo si asciuga il viso quando ha finito e mostra la rasatura pulita.")</f>
        <v>L'uomo si asciuga il viso quando ha finito e mostra la rasatura pulita.</v>
      </c>
    </row>
    <row r="6670">
      <c r="A6670" s="4" t="s">
        <v>8385</v>
      </c>
      <c r="B6670" s="4" t="s">
        <v>8386</v>
      </c>
      <c r="C6670" s="5" t="str">
        <f>IFERROR(__xludf.DUMMYFUNCTION("GOOGLETRANSLATE(B6670,""en"",""it"")"),"Vengono mostrati disegni di bottiglie di sapone a mano e umani.")</f>
        <v>Vengono mostrati disegni di bottiglie di sapone a mano e umani.</v>
      </c>
    </row>
    <row r="6671">
      <c r="A6671" s="4" t="s">
        <v>8385</v>
      </c>
      <c r="B6671" s="6" t="s">
        <v>8387</v>
      </c>
      <c r="C6671" s="5" t="str">
        <f>IFERROR(__xludf.DUMMYFUNCTION("GOOGLETRANSLATE(B6671,""en"",""it"")"),"Una bambina è in piedi accanto a un lavandino bianco, aprì il rubinetto, si lavasse la mano, si strofina la mano con il sapone, sciacquava la mano accuratamente, spense l'acqua e sorrise alla telecamera.")</f>
        <v>Una bambina è in piedi accanto a un lavandino bianco, aprì il rubinetto, si lavasse la mano, si strofina la mano con il sapone, sciacquava la mano accuratamente, spense l'acqua e sorrise alla telecamera.</v>
      </c>
    </row>
    <row r="6672">
      <c r="A6672" s="4" t="s">
        <v>8388</v>
      </c>
      <c r="B6672" s="4" t="s">
        <v>8389</v>
      </c>
      <c r="C6672" s="5" t="str">
        <f>IFERROR(__xludf.DUMMYFUNCTION("GOOGLETRANSLATE(B6672,""en"",""it"")"),"Vediamo un giocatore di bocce davanti a un supporto per la folla e teniamo la palla.")</f>
        <v>Vediamo un giocatore di bocce davanti a un supporto per la folla e teniamo la palla.</v>
      </c>
    </row>
    <row r="6673">
      <c r="A6673" s="4" t="s">
        <v>8388</v>
      </c>
      <c r="B6673" s="6" t="s">
        <v>8390</v>
      </c>
      <c r="C6673" s="5" t="str">
        <f>IFERROR(__xludf.DUMMYFUNCTION("GOOGLETRANSLATE(B6673,""en"",""it"")"),"Il giocatore di bombetta lancia uno sciopero e la folla applaude, una signora tiene le mani davanti al viso e il lanciatore si asciuga le mani.")</f>
        <v>Il giocatore di bombetta lancia uno sciopero e la folla applaude, una signora tiene le mani davanti al viso e il lanciatore si asciuga le mani.</v>
      </c>
    </row>
    <row r="6674">
      <c r="A6674" s="4" t="s">
        <v>8388</v>
      </c>
      <c r="B6674" s="4" t="s">
        <v>8391</v>
      </c>
      <c r="C6674" s="5" t="str">
        <f>IFERROR(__xludf.DUMMYFUNCTION("GOOGLETRANSLATE(B6674,""en"",""it"")"),"L'uomo lancia un altro colpo e cade.")</f>
        <v>L'uomo lancia un altro colpo e cade.</v>
      </c>
    </row>
    <row r="6675">
      <c r="A6675" s="4" t="s">
        <v>8388</v>
      </c>
      <c r="B6675" s="4" t="s">
        <v>8392</v>
      </c>
      <c r="C6675" s="5" t="str">
        <f>IFERROR(__xludf.DUMMYFUNCTION("GOOGLETRANSLATE(B6675,""en"",""it"")"),"Si alza da terra mentre la folla applaude.")</f>
        <v>Si alza da terra mentre la folla applaude.</v>
      </c>
    </row>
    <row r="6676">
      <c r="A6676" s="4" t="s">
        <v>8388</v>
      </c>
      <c r="B6676" s="4" t="s">
        <v>8393</v>
      </c>
      <c r="C6676" s="5" t="str">
        <f>IFERROR(__xludf.DUMMYFUNCTION("GOOGLETRANSLATE(B6676,""en"",""it"")"),"L'uomo lancia un terzo sciopero e si vede sdraiato a terra.")</f>
        <v>L'uomo lancia un terzo sciopero e si vede sdraiato a terra.</v>
      </c>
    </row>
    <row r="6677">
      <c r="A6677" s="4" t="s">
        <v>8388</v>
      </c>
      <c r="B6677" s="6" t="s">
        <v>8394</v>
      </c>
      <c r="C6677" s="5" t="str">
        <f>IFERROR(__xludf.DUMMYFUNCTION("GOOGLETRANSLATE(B6677,""en"",""it"")"),"Si alza e scuote la mano degli uomini intorno e vediamo una signora che le tiene le mani davanti al viso.")</f>
        <v>Si alza e scuote la mano degli uomini intorno e vediamo una signora che le tiene le mani davanti al viso.</v>
      </c>
    </row>
    <row r="6678">
      <c r="A6678" s="4" t="s">
        <v>8388</v>
      </c>
      <c r="B6678" s="4" t="s">
        <v>8395</v>
      </c>
      <c r="C6678" s="5" t="str">
        <f>IFERROR(__xludf.DUMMYFUNCTION("GOOGLETRANSLATE(B6678,""en"",""it"")"),"Vediamo quindi un uomo più anziano parlare da solo in una stanza.")</f>
        <v>Vediamo quindi un uomo più anziano parlare da solo in una stanza.</v>
      </c>
    </row>
    <row r="6679">
      <c r="A6679" s="4" t="s">
        <v>8396</v>
      </c>
      <c r="B6679" s="4" t="s">
        <v>8397</v>
      </c>
      <c r="C6679" s="5" t="str">
        <f>IFERROR(__xludf.DUMMYFUNCTION("GOOGLETRANSLATE(B6679,""en"",""it"")"),"C'è un ragazzo seduto su un castello di sabbia da costruzione di una spiaggia con una bottiglia d'acqua e un secchio di sabbia.")</f>
        <v>C'è un ragazzo seduto su un castello di sabbia da costruzione di una spiaggia con una bottiglia d'acqua e un secchio di sabbia.</v>
      </c>
    </row>
    <row r="6680">
      <c r="A6680" s="4" t="s">
        <v>8396</v>
      </c>
      <c r="B6680" s="4" t="s">
        <v>8398</v>
      </c>
      <c r="C6680" s="5" t="str">
        <f>IFERROR(__xludf.DUMMYFUNCTION("GOOGLETRANSLATE(B6680,""en"",""it"")"),"Un altro ragazzino che indossa un galleggiante rosa arriva correndo e si unisce a lui.")</f>
        <v>Un altro ragazzino che indossa un galleggiante rosa arriva correndo e si unisce a lui.</v>
      </c>
    </row>
    <row r="6681">
      <c r="A6681" s="4" t="s">
        <v>8396</v>
      </c>
      <c r="B6681" s="4" t="s">
        <v>8399</v>
      </c>
      <c r="C6681" s="5" t="str">
        <f>IFERROR(__xludf.DUMMYFUNCTION("GOOGLETRANSLATE(B6681,""en"",""it"")"),"Il ragazzo versa un po 'd'acqua sul castello di sabbia.")</f>
        <v>Il ragazzo versa un po 'd'acqua sul castello di sabbia.</v>
      </c>
    </row>
    <row r="6682">
      <c r="A6682" s="4" t="s">
        <v>8396</v>
      </c>
      <c r="B6682" s="4" t="s">
        <v>8400</v>
      </c>
      <c r="C6682" s="5" t="str">
        <f>IFERROR(__xludf.DUMMYFUNCTION("GOOGLETRANSLATE(B6682,""en"",""it"")"),"Quindi una ragazza che indossa un costume da bagno floreale rosa si unisce ai ragazzi e li aiuta a costruire il castello di sabbia.")</f>
        <v>Quindi una ragazza che indossa un costume da bagno floreale rosa si unisce ai ragazzi e li aiuta a costruire il castello di sabbia.</v>
      </c>
    </row>
    <row r="6683">
      <c r="A6683" s="4" t="s">
        <v>8401</v>
      </c>
      <c r="B6683" s="4" t="s">
        <v>8402</v>
      </c>
      <c r="C6683" s="5" t="str">
        <f>IFERROR(__xludf.DUMMYFUNCTION("GOOGLETRANSLATE(B6683,""en"",""it"")"),"Un uomo in occhiali e berretto parla.")</f>
        <v>Un uomo in occhiali e berretto parla.</v>
      </c>
    </row>
    <row r="6684">
      <c r="A6684" s="4" t="s">
        <v>8401</v>
      </c>
      <c r="B6684" s="4" t="s">
        <v>8403</v>
      </c>
      <c r="C6684" s="5" t="str">
        <f>IFERROR(__xludf.DUMMYFUNCTION("GOOGLETRANSLATE(B6684,""en"",""it"")"),"Viene mostrato suonare un'armonica mentre suona anche una tastiera.")</f>
        <v>Viene mostrato suonare un'armonica mentre suona anche una tastiera.</v>
      </c>
    </row>
    <row r="6685">
      <c r="A6685" s="4" t="s">
        <v>8401</v>
      </c>
      <c r="B6685" s="4" t="s">
        <v>8404</v>
      </c>
      <c r="C6685" s="5" t="str">
        <f>IFERROR(__xludf.DUMMYFUNCTION("GOOGLETRANSLATE(B6685,""en"",""it"")"),"Parla della meccanica dell'ormonica tra il gioco.")</f>
        <v>Parla della meccanica dell'ormonica tra il gioco.</v>
      </c>
    </row>
    <row r="6686">
      <c r="A6686" s="4" t="s">
        <v>8405</v>
      </c>
      <c r="B6686" s="4" t="s">
        <v>8406</v>
      </c>
      <c r="C6686" s="5" t="str">
        <f>IFERROR(__xludf.DUMMYFUNCTION("GOOGLETRANSLATE(B6686,""en"",""it"")"),"Un gruppo di uomini, ragazzi e cammelli si trovano in una zona desertica.")</f>
        <v>Un gruppo di uomini, ragazzi e cammelli si trovano in una zona desertica.</v>
      </c>
    </row>
    <row r="6687">
      <c r="A6687" s="4" t="s">
        <v>8405</v>
      </c>
      <c r="B6687" s="4" t="s">
        <v>8407</v>
      </c>
      <c r="C6687" s="5" t="str">
        <f>IFERROR(__xludf.DUMMYFUNCTION("GOOGLETRANSLATE(B6687,""en"",""it"")"),"Un uomo è seduto su un cammello.")</f>
        <v>Un uomo è seduto su un cammello.</v>
      </c>
    </row>
    <row r="6688">
      <c r="A6688" s="4" t="s">
        <v>8405</v>
      </c>
      <c r="B6688" s="4" t="s">
        <v>8408</v>
      </c>
      <c r="C6688" s="5" t="str">
        <f>IFERROR(__xludf.DUMMYFUNCTION("GOOGLETRANSLATE(B6688,""en"",""it"")"),"L'uomo spiega il modo corretto di guidare un cammello.")</f>
        <v>L'uomo spiega il modo corretto di guidare un cammello.</v>
      </c>
    </row>
    <row r="6689">
      <c r="A6689" s="4" t="s">
        <v>8405</v>
      </c>
      <c r="B6689" s="4" t="s">
        <v>8409</v>
      </c>
      <c r="C6689" s="5" t="str">
        <f>IFERROR(__xludf.DUMMYFUNCTION("GOOGLETRANSLATE(B6689,""en"",""it"")"),"Un uomo sullo sfondo contiene una videocamera.")</f>
        <v>Un uomo sullo sfondo contiene una videocamera.</v>
      </c>
    </row>
    <row r="6690">
      <c r="A6690" s="4" t="s">
        <v>8405</v>
      </c>
      <c r="B6690" s="4" t="s">
        <v>8410</v>
      </c>
      <c r="C6690" s="5" t="str">
        <f>IFERROR(__xludf.DUMMYFUNCTION("GOOGLETRANSLATE(B6690,""en"",""it"")"),"Un altro uomo consegna i cammelli regnano all'uomo che cavalcano e il cammello inizia a camminare.")</f>
        <v>Un altro uomo consegna i cammelli regnano all'uomo che cavalcano e il cammello inizia a camminare.</v>
      </c>
    </row>
    <row r="6691">
      <c r="A6691" s="4" t="s">
        <v>8405</v>
      </c>
      <c r="B6691" s="4" t="s">
        <v>8411</v>
      </c>
      <c r="C6691" s="5" t="str">
        <f>IFERROR(__xludf.DUMMYFUNCTION("GOOGLETRANSLATE(B6691,""en"",""it"")"),"Il cammello gira la testa e urla l'uomo che lo cavalca.")</f>
        <v>Il cammello gira la testa e urla l'uomo che lo cavalca.</v>
      </c>
    </row>
    <row r="6692">
      <c r="A6692" s="4" t="s">
        <v>8405</v>
      </c>
      <c r="B6692" s="4" t="s">
        <v>8412</v>
      </c>
      <c r="C6692" s="5" t="str">
        <f>IFERROR(__xludf.DUMMYFUNCTION("GOOGLETRANSLATE(B6692,""en"",""it"")"),"L'uomo che cavalca calcia il cammello sul lato e ricomincia a camminare.")</f>
        <v>L'uomo che cavalca calcia il cammello sul lato e ricomincia a camminare.</v>
      </c>
    </row>
    <row r="6693">
      <c r="A6693" s="4" t="s">
        <v>8413</v>
      </c>
      <c r="B6693" s="4" t="s">
        <v>8414</v>
      </c>
      <c r="C6693" s="5" t="str">
        <f>IFERROR(__xludf.DUMMYFUNCTION("GOOGLETRANSLATE(B6693,""en"",""it"")"),"Diversi uomini diversi sono visti nel tentativo di tavola da neve ma, cadendo ancora e ancora.")</f>
        <v>Diversi uomini diversi sono visti nel tentativo di tavola da neve ma, cadendo ancora e ancora.</v>
      </c>
    </row>
    <row r="6694">
      <c r="A6694" s="4" t="s">
        <v>8413</v>
      </c>
      <c r="B6694" s="4" t="s">
        <v>8415</v>
      </c>
      <c r="C6694" s="5" t="str">
        <f>IFERROR(__xludf.DUMMYFUNCTION("GOOGLETRANSLATE(B6694,""en"",""it"")"),"Molte persone diverse sono in background a guardare e fare cose diverse sulla neve.")</f>
        <v>Molte persone diverse sono in background a guardare e fare cose diverse sulla neve.</v>
      </c>
    </row>
    <row r="6695">
      <c r="A6695" s="4" t="s">
        <v>8413</v>
      </c>
      <c r="B6695" s="4" t="s">
        <v>8416</v>
      </c>
      <c r="C6695" s="5" t="str">
        <f>IFERROR(__xludf.DUMMYFUNCTION("GOOGLETRANSLATE(B6695,""en"",""it"")"),"L'uomo che stavano cadendo si arrende e rimane in posizione seduta.")</f>
        <v>L'uomo che stavano cadendo si arrende e rimane in posizione seduta.</v>
      </c>
    </row>
    <row r="6696">
      <c r="A6696" s="4" t="s">
        <v>8417</v>
      </c>
      <c r="B6696" s="4" t="s">
        <v>8418</v>
      </c>
      <c r="C6696" s="5" t="str">
        <f>IFERROR(__xludf.DUMMYFUNCTION("GOOGLETRANSLATE(B6696,""en"",""it"")"),"Un uomo viene visto parlare alla telecamera mentre tiene in mano una sigaretta.")</f>
        <v>Un uomo viene visto parlare alla telecamera mentre tiene in mano una sigaretta.</v>
      </c>
    </row>
    <row r="6697">
      <c r="A6697" s="4" t="s">
        <v>8417</v>
      </c>
      <c r="B6697" s="4" t="s">
        <v>8419</v>
      </c>
      <c r="C6697" s="5" t="str">
        <f>IFERROR(__xludf.DUMMYFUNCTION("GOOGLETRANSLATE(B6697,""en"",""it"")"),"L'uomo toglie diversi sbuffi dalla sigaretta mentre guardi ancora alla telecamera.")</f>
        <v>L'uomo toglie diversi sbuffi dalla sigaretta mentre guardi ancora alla telecamera.</v>
      </c>
    </row>
    <row r="6698">
      <c r="A6698" s="4" t="s">
        <v>8417</v>
      </c>
      <c r="B6698" s="4" t="s">
        <v>8420</v>
      </c>
      <c r="C6698" s="5" t="str">
        <f>IFERROR(__xludf.DUMMYFUNCTION("GOOGLETRANSLATE(B6698,""en"",""it"")"),"Continua a fumare e ripensando alla telecamera.")</f>
        <v>Continua a fumare e ripensando alla telecamera.</v>
      </c>
    </row>
    <row r="6699">
      <c r="A6699" s="4" t="s">
        <v>8421</v>
      </c>
      <c r="B6699" s="4" t="s">
        <v>8422</v>
      </c>
      <c r="C6699" s="5" t="str">
        <f>IFERROR(__xludf.DUMMYFUNCTION("GOOGLETRANSLATE(B6699,""en"",""it"")"),"Un uomo è visto in piedi su un campo che tiene giù una racchetta da tennis.")</f>
        <v>Un uomo è visto in piedi su un campo che tiene giù una racchetta da tennis.</v>
      </c>
    </row>
    <row r="6700">
      <c r="A6700" s="4" t="s">
        <v>8421</v>
      </c>
      <c r="B6700" s="4" t="s">
        <v>8423</v>
      </c>
      <c r="C6700" s="5" t="str">
        <f>IFERROR(__xludf.DUMMYFUNCTION("GOOGLETRANSLATE(B6700,""en"",""it"")"),"L'uomo quindi rimbalza la racchetta e colpisce il bilanciamento della palla da tennis in cima.")</f>
        <v>L'uomo quindi rimbalza la racchetta e colpisce il bilanciamento della palla da tennis in cima.</v>
      </c>
    </row>
    <row r="6701">
      <c r="A6701" s="4" t="s">
        <v>8421</v>
      </c>
      <c r="B6701" s="4" t="s">
        <v>8424</v>
      </c>
      <c r="C6701" s="5" t="str">
        <f>IFERROR(__xludf.DUMMYFUNCTION("GOOGLETRANSLATE(B6701,""en"",""it"")"),"Il suo successo viene nuovamente mostrato al rallentatore.")</f>
        <v>Il suo successo viene nuovamente mostrato al rallentatore.</v>
      </c>
    </row>
    <row r="6702">
      <c r="A6702" s="4" t="s">
        <v>8425</v>
      </c>
      <c r="B6702" s="4" t="s">
        <v>8426</v>
      </c>
      <c r="C6702" s="5" t="str">
        <f>IFERROR(__xludf.DUMMYFUNCTION("GOOGLETRANSLATE(B6702,""en"",""it"")"),"Vediamo un ragazzo con una giacca in piedi fuori e parlare.")</f>
        <v>Vediamo un ragazzo con una giacca in piedi fuori e parlare.</v>
      </c>
    </row>
    <row r="6703">
      <c r="A6703" s="4" t="s">
        <v>8425</v>
      </c>
      <c r="B6703" s="4" t="s">
        <v>8427</v>
      </c>
      <c r="C6703" s="5" t="str">
        <f>IFERROR(__xludf.DUMMYFUNCTION("GOOGLETRANSLATE(B6703,""en"",""it"")"),"Il ragazzo va in un edificio.")</f>
        <v>Il ragazzo va in un edificio.</v>
      </c>
    </row>
    <row r="6704">
      <c r="A6704" s="4" t="s">
        <v>8425</v>
      </c>
      <c r="B6704" s="4" t="s">
        <v>8428</v>
      </c>
      <c r="C6704" s="5" t="str">
        <f>IFERROR(__xludf.DUMMYFUNCTION("GOOGLETRANSLATE(B6704,""en"",""it"")"),"Il ragazzo si siede su una sedia e teste un taglio di capelli.")</f>
        <v>Il ragazzo si siede su una sedia e teste un taglio di capelli.</v>
      </c>
    </row>
    <row r="6705">
      <c r="A6705" s="4" t="s">
        <v>8425</v>
      </c>
      <c r="B6705" s="4" t="s">
        <v>8429</v>
      </c>
      <c r="C6705" s="5" t="str">
        <f>IFERROR(__xludf.DUMMYFUNCTION("GOOGLETRANSLATE(B6705,""en"",""it"")"),"La signora quindi usa le forbici.")</f>
        <v>La signora quindi usa le forbici.</v>
      </c>
    </row>
    <row r="6706">
      <c r="A6706" s="4" t="s">
        <v>8425</v>
      </c>
      <c r="B6706" s="4" t="s">
        <v>8430</v>
      </c>
      <c r="C6706" s="5" t="str">
        <f>IFERROR(__xludf.DUMMYFUNCTION("GOOGLETRANSLATE(B6706,""en"",""it"")"),"Vediamo il bambino con i suoi nuovi capelli tagliati.")</f>
        <v>Vediamo il bambino con i suoi nuovi capelli tagliati.</v>
      </c>
    </row>
    <row r="6707">
      <c r="A6707" s="4" t="s">
        <v>8425</v>
      </c>
      <c r="B6707" s="4" t="s">
        <v>8431</v>
      </c>
      <c r="C6707" s="5" t="str">
        <f>IFERROR(__xludf.DUMMYFUNCTION("GOOGLETRANSLATE(B6707,""en"",""it"")"),"La signora dà al bambino un pallone rosso.")</f>
        <v>La signora dà al bambino un pallone rosso.</v>
      </c>
    </row>
    <row r="6708">
      <c r="A6708" s="4" t="s">
        <v>8425</v>
      </c>
      <c r="B6708" s="4" t="s">
        <v>8432</v>
      </c>
      <c r="C6708" s="5" t="str">
        <f>IFERROR(__xludf.DUMMYFUNCTION("GOOGLETRANSLATE(B6708,""en"",""it"")"),"Vediamo il ragazzo mentre cammina verso la porta.")</f>
        <v>Vediamo il ragazzo mentre cammina verso la porta.</v>
      </c>
    </row>
    <row r="6709">
      <c r="A6709" s="4" t="s">
        <v>8433</v>
      </c>
      <c r="B6709" s="4" t="s">
        <v>8434</v>
      </c>
      <c r="C6709" s="5" t="str">
        <f>IFERROR(__xludf.DUMMYFUNCTION("GOOGLETRANSLATE(B6709,""en"",""it"")"),"Un uomo si presenta alla telecamera e dice che mostrerà come costruire un fuoco.")</f>
        <v>Un uomo si presenta alla telecamera e dice che mostrerà come costruire un fuoco.</v>
      </c>
    </row>
    <row r="6710">
      <c r="A6710" s="4" t="s">
        <v>8433</v>
      </c>
      <c r="B6710" s="4" t="s">
        <v>8435</v>
      </c>
      <c r="C6710" s="5" t="str">
        <f>IFERROR(__xludf.DUMMYFUNCTION("GOOGLETRANSLATE(B6710,""en"",""it"")"),"Comincia a rompere il suo bastone di partenza e mettere le foglie sul fondo della sua buca per il fuoco piena.")</f>
        <v>Comincia a rompere il suo bastone di partenza e mettere le foglie sul fondo della sua buca per il fuoco piena.</v>
      </c>
    </row>
    <row r="6711">
      <c r="A6711" s="4" t="s">
        <v>8433</v>
      </c>
      <c r="B6711" s="4" t="s">
        <v>8436</v>
      </c>
      <c r="C6711" s="5" t="str">
        <f>IFERROR(__xludf.DUMMYFUNCTION("GOOGLETRANSLATE(B6711,""en"",""it"")"),"Si accende più leggero e inizia in basso con le foglie.")</f>
        <v>Si accende più leggero e inizia in basso con le foglie.</v>
      </c>
    </row>
    <row r="6712">
      <c r="A6712" s="4" t="s">
        <v>8433</v>
      </c>
      <c r="B6712" s="4" t="s">
        <v>8437</v>
      </c>
      <c r="C6712" s="5" t="str">
        <f>IFERROR(__xludf.DUMMYFUNCTION("GOOGLETRANSLATE(B6712,""en"",""it"")"),"Vediamo il fuoco completo di notte.")</f>
        <v>Vediamo il fuoco completo di notte.</v>
      </c>
    </row>
    <row r="6713">
      <c r="A6713" s="4" t="s">
        <v>8438</v>
      </c>
      <c r="B6713" s="4" t="s">
        <v>8439</v>
      </c>
      <c r="C6713" s="5" t="str">
        <f>IFERROR(__xludf.DUMMYFUNCTION("GOOGLETRANSLATE(B6713,""en"",""it"")"),"Un ragazzo in tuta rossa sta giocando a hopscotch.")</f>
        <v>Un ragazzo in tuta rossa sta giocando a hopscotch.</v>
      </c>
    </row>
    <row r="6714">
      <c r="A6714" s="4" t="s">
        <v>8438</v>
      </c>
      <c r="B6714" s="4" t="s">
        <v>8440</v>
      </c>
      <c r="C6714" s="5" t="str">
        <f>IFERROR(__xludf.DUMMYFUNCTION("GOOGLETRANSLATE(B6714,""en"",""it"")"),"Una donna cammina dietro di lui e si siede.")</f>
        <v>Una donna cammina dietro di lui e si siede.</v>
      </c>
    </row>
    <row r="6715">
      <c r="A6715" s="4" t="s">
        <v>8438</v>
      </c>
      <c r="B6715" s="4" t="s">
        <v>8441</v>
      </c>
      <c r="C6715" s="5" t="str">
        <f>IFERROR(__xludf.DUMMYFUNCTION("GOOGLETRANSLATE(B6715,""en"",""it"")"),"Il ragazzo finisce e raggiunge le riprese della persona.")</f>
        <v>Il ragazzo finisce e raggiunge le riprese della persona.</v>
      </c>
    </row>
    <row r="6716">
      <c r="A6716" s="4" t="s">
        <v>8442</v>
      </c>
      <c r="B6716" s="6" t="s">
        <v>8443</v>
      </c>
      <c r="C6716" s="5" t="str">
        <f>IFERROR(__xludf.DUMMYFUNCTION("GOOGLETRANSLATE(B6716,""en"",""it"")"),"Quattro bambine, vestite con abiti bianchi con fasce rosse, sono in linea, su un palco e suonano insieme il violino.")</f>
        <v>Quattro bambine, vestite con abiti bianchi con fasce rosse, sono in linea, su un palco e suonano insieme il violino.</v>
      </c>
    </row>
    <row r="6717">
      <c r="A6717" s="4" t="s">
        <v>8442</v>
      </c>
      <c r="B6717" s="4" t="s">
        <v>8444</v>
      </c>
      <c r="C6717" s="5" t="str">
        <f>IFERROR(__xludf.DUMMYFUNCTION("GOOGLETRANSLATE(B6717,""en"",""it"")"),"Quattro bambine iniziano a suonare il violino su un palco su un palco con uno sfondo rosa.")</f>
        <v>Quattro bambine iniziano a suonare il violino su un palco su un palco con uno sfondo rosa.</v>
      </c>
    </row>
    <row r="6718">
      <c r="A6718" s="4" t="s">
        <v>8442</v>
      </c>
      <c r="B6718" s="6" t="s">
        <v>8445</v>
      </c>
      <c r="C6718" s="5" t="str">
        <f>IFERROR(__xludf.DUMMYFUNCTION("GOOGLETRANSLATE(B6718,""en"",""it"")"),"La ragazza gioca insieme usando entrambe le mani per suonare il violino prima di terminare la performance e fare un inchino insieme.")</f>
        <v>La ragazza gioca insieme usando entrambe le mani per suonare il violino prima di terminare la performance e fare un inchino insieme.</v>
      </c>
    </row>
    <row r="6719">
      <c r="A6719" s="4" t="s">
        <v>8446</v>
      </c>
      <c r="B6719" s="6" t="s">
        <v>8447</v>
      </c>
      <c r="C6719" s="5" t="str">
        <f>IFERROR(__xludf.DUMMYFUNCTION("GOOGLETRANSLATE(B6719,""en"",""it"")"),"Un piccolo gruppo di uomini viene visto in giro su vari cavalli che tengono in mano bastoncini e si preparano per una partita.")</f>
        <v>Un piccolo gruppo di uomini viene visto in giro su vari cavalli che tengono in mano bastoncini e si preparano per una partita.</v>
      </c>
    </row>
    <row r="6720">
      <c r="A6720" s="4" t="s">
        <v>8446</v>
      </c>
      <c r="B6720" s="6" t="s">
        <v>8448</v>
      </c>
      <c r="C6720" s="5" t="str">
        <f>IFERROR(__xludf.DUMMYFUNCTION("GOOGLETRANSLATE(B6720,""en"",""it"")"),"Gli uomini poi gettano la palla e tutti cavalcano i cavalli che tentano di colpire la palla e si segna un goal.")</f>
        <v>Gli uomini poi gettano la palla e tutti cavalcano i cavalli che tentano di colpire la palla e si segna un goal.</v>
      </c>
    </row>
    <row r="6721">
      <c r="A6721" s="4" t="s">
        <v>8446</v>
      </c>
      <c r="B6721" s="4" t="s">
        <v>8449</v>
      </c>
      <c r="C6721" s="5" t="str">
        <f>IFERROR(__xludf.DUMMYFUNCTION("GOOGLETRANSLATE(B6721,""en"",""it"")"),"Una persona regge una bandiera e mostra altre persone che guardano sui lati.")</f>
        <v>Una persona regge una bandiera e mostra altre persone che guardano sui lati.</v>
      </c>
    </row>
    <row r="6722">
      <c r="A6722" s="4" t="s">
        <v>8446</v>
      </c>
      <c r="B6722" s="4" t="s">
        <v>8450</v>
      </c>
      <c r="C6722" s="5" t="str">
        <f>IFERROR(__xludf.DUMMYFUNCTION("GOOGLETRANSLATE(B6722,""en"",""it"")"),"Una persona segna quindi altri due goal e i portieri alzano la loro bandiera ogni volta.")</f>
        <v>Una persona segna quindi altri due goal e i portieri alzano la loro bandiera ogni volta.</v>
      </c>
    </row>
    <row r="6723">
      <c r="A6723" s="4" t="s">
        <v>8451</v>
      </c>
      <c r="B6723" s="4" t="s">
        <v>8452</v>
      </c>
      <c r="C6723" s="5" t="str">
        <f>IFERROR(__xludf.DUMMYFUNCTION("GOOGLETRANSLATE(B6723,""en"",""it"")"),"Un ragazzo tiene un palo molto lungo.")</f>
        <v>Un ragazzo tiene un palo molto lungo.</v>
      </c>
    </row>
    <row r="6724">
      <c r="A6724" s="4" t="s">
        <v>8451</v>
      </c>
      <c r="B6724" s="4" t="s">
        <v>8453</v>
      </c>
      <c r="C6724" s="5" t="str">
        <f>IFERROR(__xludf.DUMMYFUNCTION("GOOGLETRANSLATE(B6724,""en"",""it"")"),"La fotocamera diventa in posizione verticale improvvisamente.")</f>
        <v>La fotocamera diventa in posizione verticale improvvisamente.</v>
      </c>
    </row>
    <row r="6725">
      <c r="A6725" s="4" t="s">
        <v>8451</v>
      </c>
      <c r="B6725" s="4" t="s">
        <v>8454</v>
      </c>
      <c r="C6725" s="5" t="str">
        <f>IFERROR(__xludf.DUMMYFUNCTION("GOOGLETRANSLATE(B6725,""en"",""it"")"),"Il ragazzo corre con il palo, che vaga su una barra e su un tappetino.")</f>
        <v>Il ragazzo corre con il palo, che vaga su una barra e su un tappetino.</v>
      </c>
    </row>
    <row r="6726">
      <c r="A6726" s="4" t="s">
        <v>8455</v>
      </c>
      <c r="B6726" s="4" t="s">
        <v>8456</v>
      </c>
      <c r="C6726" s="5" t="str">
        <f>IFERROR(__xludf.DUMMYFUNCTION("GOOGLETRANSLATE(B6726,""en"",""it"")"),"Un'introduzione arriva sullo schermo per un video sulla miscelazione di un drink chiamato ""Yah Yah"".")</f>
        <v>Un'introduzione arriva sullo schermo per un video sulla miscelazione di un drink chiamato "Yah Yah".</v>
      </c>
    </row>
    <row r="6727">
      <c r="A6727" s="4" t="s">
        <v>8455</v>
      </c>
      <c r="B6727" s="4" t="s">
        <v>8457</v>
      </c>
      <c r="C6727" s="5" t="str">
        <f>IFERROR(__xludf.DUMMYFUNCTION("GOOGLETRANSLATE(B6727,""en"",""it"")"),"Supera tutti gli ingredienti necessari per la bevanda.")</f>
        <v>Supera tutti gli ingredienti necessari per la bevanda.</v>
      </c>
    </row>
    <row r="6728">
      <c r="A6728" s="4" t="s">
        <v>8455</v>
      </c>
      <c r="B6728" s="4" t="s">
        <v>8458</v>
      </c>
      <c r="C6728" s="5" t="str">
        <f>IFERROR(__xludf.DUMMYFUNCTION("GOOGLETRANSLATE(B6728,""en"",""it"")"),"Comincia prendendo un bicchiere e riempiendolo di ghiaccio.")</f>
        <v>Comincia prendendo un bicchiere e riempiendolo di ghiaccio.</v>
      </c>
    </row>
    <row r="6729">
      <c r="A6729" s="4" t="s">
        <v>8455</v>
      </c>
      <c r="B6729" s="4" t="s">
        <v>8459</v>
      </c>
      <c r="C6729" s="5" t="str">
        <f>IFERROR(__xludf.DUMMYFUNCTION("GOOGLETRANSLATE(B6729,""en"",""it"")"),"Aggiunge tutti gli ingredienti al vetro sul ghiaccio.")</f>
        <v>Aggiunge tutti gli ingredienti al vetro sul ghiaccio.</v>
      </c>
    </row>
    <row r="6730">
      <c r="A6730" s="4" t="s">
        <v>8455</v>
      </c>
      <c r="B6730" s="4" t="s">
        <v>4959</v>
      </c>
      <c r="C6730" s="5" t="str">
        <f>IFERROR(__xludf.DUMMYFUNCTION("GOOGLETRANSLATE(B6730,""en"",""it"")"),"Il video termina con i crediti di chiusura.")</f>
        <v>Il video termina con i crediti di chiusura.</v>
      </c>
    </row>
    <row r="6731">
      <c r="A6731" s="4" t="s">
        <v>8460</v>
      </c>
      <c r="B6731" s="4" t="s">
        <v>8461</v>
      </c>
      <c r="C6731" s="5" t="str">
        <f>IFERROR(__xludf.DUMMYFUNCTION("GOOGLETRANSLATE(B6731,""en"",""it"")"),"Vediamo una persona che saluta qualcosa.")</f>
        <v>Vediamo una persona che saluta qualcosa.</v>
      </c>
    </row>
    <row r="6732">
      <c r="A6732" s="4" t="s">
        <v>8460</v>
      </c>
      <c r="B6732" s="4" t="s">
        <v>8462</v>
      </c>
      <c r="C6732" s="5" t="str">
        <f>IFERROR(__xludf.DUMMYFUNCTION("GOOGLETRANSLATE(B6732,""en"",""it"")"),"Uno schermo bianco quindi due ragazzi in cucina.")</f>
        <v>Uno schermo bianco quindi due ragazzi in cucina.</v>
      </c>
    </row>
    <row r="6733">
      <c r="A6733" s="4" t="s">
        <v>8460</v>
      </c>
      <c r="B6733" s="4" t="s">
        <v>8463</v>
      </c>
      <c r="C6733" s="5" t="str">
        <f>IFERROR(__xludf.DUMMYFUNCTION("GOOGLETRANSLATE(B6733,""en"",""it"")"),"Vediamo un contatore con ingrediente.")</f>
        <v>Vediamo un contatore con ingrediente.</v>
      </c>
    </row>
    <row r="6734">
      <c r="A6734" s="4" t="s">
        <v>8460</v>
      </c>
      <c r="B6734" s="4" t="s">
        <v>8464</v>
      </c>
      <c r="C6734" s="5" t="str">
        <f>IFERROR(__xludf.DUMMYFUNCTION("GOOGLETRANSLATE(B6734,""en"",""it"")"),"I ragazzi poi mescolano gli ingredienti in una ciotola.")</f>
        <v>I ragazzi poi mescolano gli ingredienti in una ciotola.</v>
      </c>
    </row>
    <row r="6735">
      <c r="A6735" s="4" t="s">
        <v>8460</v>
      </c>
      <c r="B6735" s="4" t="s">
        <v>8465</v>
      </c>
      <c r="C6735" s="5" t="str">
        <f>IFERROR(__xludf.DUMMYFUNCTION("GOOGLETRANSLATE(B6735,""en"",""it"")"),"Vediamo una persona sposta la farina in una ciotola.")</f>
        <v>Vediamo una persona sposta la farina in una ciotola.</v>
      </c>
    </row>
    <row r="6736">
      <c r="A6736" s="4" t="s">
        <v>8460</v>
      </c>
      <c r="B6736" s="4" t="s">
        <v>8466</v>
      </c>
      <c r="C6736" s="5" t="str">
        <f>IFERROR(__xludf.DUMMYFUNCTION("GOOGLETRANSLATE(B6736,""en"",""it"")"),"Qualcuno mescola l'impasto per biscotti in una ciotola.")</f>
        <v>Qualcuno mescola l'impasto per biscotti in una ciotola.</v>
      </c>
    </row>
    <row r="6737">
      <c r="A6737" s="4" t="s">
        <v>8460</v>
      </c>
      <c r="B6737" s="4" t="s">
        <v>8467</v>
      </c>
      <c r="C6737" s="5" t="str">
        <f>IFERROR(__xludf.DUMMYFUNCTION("GOOGLETRANSLATE(B6737,""en"",""it"")"),"L'impasto è messo su un foglio.")</f>
        <v>L'impasto è messo su un foglio.</v>
      </c>
    </row>
    <row r="6738">
      <c r="A6738" s="4" t="s">
        <v>8460</v>
      </c>
      <c r="B6738" s="4" t="s">
        <v>8468</v>
      </c>
      <c r="C6738" s="5" t="str">
        <f>IFERROR(__xludf.DUMMYFUNCTION("GOOGLETRANSLATE(B6738,""en"",""it"")"),"Un ragazzo lava i piatti.")</f>
        <v>Un ragazzo lava i piatti.</v>
      </c>
    </row>
    <row r="6739">
      <c r="A6739" s="4" t="s">
        <v>8460</v>
      </c>
      <c r="B6739" s="4" t="s">
        <v>8469</v>
      </c>
      <c r="C6739" s="5" t="str">
        <f>IFERROR(__xludf.DUMMYFUNCTION("GOOGLETRANSLATE(B6739,""en"",""it"")"),"I biscotti sono messi in un forno.")</f>
        <v>I biscotti sono messi in un forno.</v>
      </c>
    </row>
    <row r="6740">
      <c r="A6740" s="4" t="s">
        <v>8460</v>
      </c>
      <c r="B6740" s="4" t="s">
        <v>8470</v>
      </c>
      <c r="C6740" s="5" t="str">
        <f>IFERROR(__xludf.DUMMYFUNCTION("GOOGLETRANSLATE(B6740,""en"",""it"")"),"Un ragazzo suona una chitarra, l'altro ragazzo canta.")</f>
        <v>Un ragazzo suona una chitarra, l'altro ragazzo canta.</v>
      </c>
    </row>
    <row r="6741">
      <c r="A6741" s="4" t="s">
        <v>8460</v>
      </c>
      <c r="B6741" s="4" t="s">
        <v>8471</v>
      </c>
      <c r="C6741" s="5" t="str">
        <f>IFERROR(__xludf.DUMMYFUNCTION("GOOGLETRANSLATE(B6741,""en"",""it"")"),"Ogni ragazzo mangia un biscotto e li vediamo uscire dal forno.")</f>
        <v>Ogni ragazzo mangia un biscotto e li vediamo uscire dal forno.</v>
      </c>
    </row>
    <row r="6742">
      <c r="A6742" s="4" t="s">
        <v>8460</v>
      </c>
      <c r="B6742" s="4" t="s">
        <v>8472</v>
      </c>
      <c r="C6742" s="5" t="str">
        <f>IFERROR(__xludf.DUMMYFUNCTION("GOOGLETRANSLATE(B6742,""en"",""it"")"),"Un biscotto colpito si rompe.")</f>
        <v>Un biscotto colpito si rompe.</v>
      </c>
    </row>
    <row r="6743">
      <c r="A6743" s="4" t="s">
        <v>8460</v>
      </c>
      <c r="B6743" s="4" t="s">
        <v>8473</v>
      </c>
      <c r="C6743" s="5" t="str">
        <f>IFERROR(__xludf.DUMMYFUNCTION("GOOGLETRANSLATE(B6743,""en"",""it"")"),"Un ragazzo scuote la testa sì e gioca con un grosso cane nero.")</f>
        <v>Un ragazzo scuote la testa sì e gioca con un grosso cane nero.</v>
      </c>
    </row>
    <row r="6744">
      <c r="A6744" s="4" t="s">
        <v>8474</v>
      </c>
      <c r="B6744" s="4" t="s">
        <v>8475</v>
      </c>
      <c r="C6744" s="5" t="str">
        <f>IFERROR(__xludf.DUMMYFUNCTION("GOOGLETRANSLATE(B6744,""en"",""it"")"),"Un uomo mostra lavarsi il viso con acqua in un lavandino e gli mette la lozione in mano.")</f>
        <v>Un uomo mostra lavarsi il viso con acqua in un lavandino e gli mette la lozione in mano.</v>
      </c>
    </row>
    <row r="6745">
      <c r="A6745" s="4" t="s">
        <v>8474</v>
      </c>
      <c r="B6745" s="4" t="s">
        <v>8476</v>
      </c>
      <c r="C6745" s="5" t="str">
        <f>IFERROR(__xludf.DUMMYFUNCTION("GOOGLETRANSLATE(B6745,""en"",""it"")"),"Si strofina insieme il sapone tra le mani e si massaggia in faccia.")</f>
        <v>Si strofina insieme il sapone tra le mani e si massaggia in faccia.</v>
      </c>
    </row>
    <row r="6746">
      <c r="A6746" s="4" t="s">
        <v>8474</v>
      </c>
      <c r="B6746" s="4" t="s">
        <v>8477</v>
      </c>
      <c r="C6746" s="5" t="str">
        <f>IFERROR(__xludf.DUMMYFUNCTION("GOOGLETRANSLATE(B6746,""en"",""it"")"),"Quindi si asciuga il viso con un asciugamano e parla alla telecamera e versando più lozione.")</f>
        <v>Quindi si asciuga il viso con un asciugamano e parla alla telecamera e versando più lozione.</v>
      </c>
    </row>
    <row r="6747">
      <c r="A6747" s="4" t="s">
        <v>8474</v>
      </c>
      <c r="B6747" s="4" t="s">
        <v>8478</v>
      </c>
      <c r="C6747" s="5" t="str">
        <f>IFERROR(__xludf.DUMMYFUNCTION("GOOGLETRANSLATE(B6747,""en"",""it"")"),"Ancora una volta preme la lozione in faccia e viene mostrato un riepilogo del suo viso.")</f>
        <v>Ancora una volta preme la lozione in faccia e viene mostrato un riepilogo del suo viso.</v>
      </c>
    </row>
    <row r="6748">
      <c r="A6748" s="4" t="s">
        <v>8479</v>
      </c>
      <c r="B6748" s="6" t="s">
        <v>8480</v>
      </c>
      <c r="C6748" s="5" t="str">
        <f>IFERROR(__xludf.DUMMYFUNCTION("GOOGLETRANSLATE(B6748,""en"",""it"")"),"Un gruppo di giovani gioca a hockey in campo su un campo mentre un uomo guarda da una recinzione al confine con il campo di gioco.")</f>
        <v>Un gruppo di giovani gioca a hockey in campo su un campo mentre un uomo guarda da una recinzione al confine con il campo di gioco.</v>
      </c>
    </row>
    <row r="6749">
      <c r="A6749" s="4" t="s">
        <v>8479</v>
      </c>
      <c r="B6749" s="6" t="s">
        <v>8481</v>
      </c>
      <c r="C6749" s="5" t="str">
        <f>IFERROR(__xludf.DUMMYFUNCTION("GOOGLETRANSLATE(B6749,""en"",""it"")"),"Un uomo in campo di hockey in campo si trova al centro di un semi circolo formato da giovani vestiti in abbigliamento da hockey in campo.")</f>
        <v>Un uomo in campo di hockey in campo si trova al centro di un semi circolo formato da giovani vestiti in abbigliamento da hockey in campo.</v>
      </c>
    </row>
    <row r="6750">
      <c r="A6750" s="4" t="s">
        <v>8479</v>
      </c>
      <c r="B6750" s="6" t="s">
        <v>8482</v>
      </c>
      <c r="C6750" s="5" t="str">
        <f>IFERROR(__xludf.DUMMYFUNCTION("GOOGLETRANSLATE(B6750,""en"",""it"")"),"L'uomo intervista a margine mentre la gente gioca a hockey in campo e ad un certo punto viene presentata con una maglia bordeaux dai giocatori.")</f>
        <v>L'uomo intervista a margine mentre la gente gioca a hockey in campo e ad un certo punto viene presentata con una maglia bordeaux dai giocatori.</v>
      </c>
    </row>
    <row r="6751">
      <c r="A6751" s="4" t="s">
        <v>8479</v>
      </c>
      <c r="B6751" s="6" t="s">
        <v>8483</v>
      </c>
      <c r="C6751" s="5" t="str">
        <f>IFERROR(__xludf.DUMMYFUNCTION("GOOGLETRANSLATE(B6751,""en"",""it"")"),"L'uomo gioca quindi a una partita di hockey in campo in cui termina di nuovo in semi cerchio lanciando una palla su e giù e guardando nella telecamera mentre era circondato da giocatori.")</f>
        <v>L'uomo gioca quindi a una partita di hockey in campo in cui termina di nuovo in semi cerchio lanciando una palla su e giù e guardando nella telecamera mentre era circondato da giocatori.</v>
      </c>
    </row>
    <row r="6752">
      <c r="A6752" s="4" t="s">
        <v>8484</v>
      </c>
      <c r="B6752" s="4" t="s">
        <v>8485</v>
      </c>
      <c r="C6752" s="5" t="str">
        <f>IFERROR(__xludf.DUMMYFUNCTION("GOOGLETRANSLATE(B6752,""en"",""it"")"),"Un uomo entra in una stanza e si accumula gesso su una base.")</f>
        <v>Un uomo entra in una stanza e si accumula gesso su una base.</v>
      </c>
    </row>
    <row r="6753">
      <c r="A6753" s="4" t="s">
        <v>8484</v>
      </c>
      <c r="B6753" s="4" t="s">
        <v>8486</v>
      </c>
      <c r="C6753" s="5" t="str">
        <f>IFERROR(__xludf.DUMMYFUNCTION("GOOGLETRANSLATE(B6753,""en"",""it"")"),"L'uomo aggiunge scorrere l'intonaco sul muro, quindi ottiene di più e lo aggiunge.")</f>
        <v>L'uomo aggiunge scorrere l'intonaco sul muro, quindi ottiene di più e lo aggiunge.</v>
      </c>
    </row>
    <row r="6754">
      <c r="A6754" s="4" t="s">
        <v>8484</v>
      </c>
      <c r="B6754" s="4" t="s">
        <v>8487</v>
      </c>
      <c r="C6754" s="5" t="str">
        <f>IFERROR(__xludf.DUMMYFUNCTION("GOOGLETRANSLATE(B6754,""en"",""it"")"),"L'uomo ottiene più intonaco e lo fa scorrere sul muro.")</f>
        <v>L'uomo ottiene più intonaco e lo fa scorrere sul muro.</v>
      </c>
    </row>
    <row r="6755">
      <c r="A6755" s="4" t="s">
        <v>8484</v>
      </c>
      <c r="B6755" s="4" t="s">
        <v>8488</v>
      </c>
      <c r="C6755" s="5" t="str">
        <f>IFERROR(__xludf.DUMMYFUNCTION("GOOGLETRANSLATE(B6755,""en"",""it"")"),"L'uomo quindi cammina e spegne la telecamera.")</f>
        <v>L'uomo quindi cammina e spegne la telecamera.</v>
      </c>
    </row>
    <row r="6756">
      <c r="A6756" s="4" t="s">
        <v>8489</v>
      </c>
      <c r="B6756" s="4" t="s">
        <v>8490</v>
      </c>
      <c r="C6756" s="5" t="str">
        <f>IFERROR(__xludf.DUMMYFUNCTION("GOOGLETRANSLATE(B6756,""en"",""it"")"),"Uomo e donna sono in cima a una grande roccia saltando in un lago.")</f>
        <v>Uomo e donna sono in cima a una grande roccia saltando in un lago.</v>
      </c>
    </row>
    <row r="6757">
      <c r="A6757" s="4" t="s">
        <v>8489</v>
      </c>
      <c r="B6757" s="4" t="s">
        <v>8491</v>
      </c>
      <c r="C6757" s="5" t="str">
        <f>IFERROR(__xludf.DUMMYFUNCTION("GOOGLETRANSLATE(B6757,""en"",""it"")"),"Wo ragazzi sono seduti su un lato della roccia a parlare con una donna sul lago.")</f>
        <v>Wo ragazzi sono seduti su un lato della roccia a parlare con una donna sul lago.</v>
      </c>
    </row>
    <row r="6758">
      <c r="A6758" s="4" t="s">
        <v>8492</v>
      </c>
      <c r="B6758" s="4" t="s">
        <v>8493</v>
      </c>
      <c r="C6758" s="5" t="str">
        <f>IFERROR(__xludf.DUMMYFUNCTION("GOOGLETRANSLATE(B6758,""en"",""it"")"),"Una grande scogliera è vista vicino all'oceano.")</f>
        <v>Una grande scogliera è vista vicino all'oceano.</v>
      </c>
    </row>
    <row r="6759">
      <c r="A6759" s="4" t="s">
        <v>8492</v>
      </c>
      <c r="B6759" s="4" t="s">
        <v>8494</v>
      </c>
      <c r="C6759" s="5" t="str">
        <f>IFERROR(__xludf.DUMMYFUNCTION("GOOGLETRANSLATE(B6759,""en"",""it"")"),"Diverse barche si trovano nelle vicinanze e le persone stanno kayak nella zona.")</f>
        <v>Diverse barche si trovano nelle vicinanze e le persone stanno kayak nella zona.</v>
      </c>
    </row>
    <row r="6760">
      <c r="A6760" s="4" t="s">
        <v>8492</v>
      </c>
      <c r="B6760" s="4" t="s">
        <v>8495</v>
      </c>
      <c r="C6760" s="5" t="str">
        <f>IFERROR(__xludf.DUMMYFUNCTION("GOOGLETRANSLATE(B6760,""en"",""it"")"),"Un uomo sta dando il via al lato della scogliera.")</f>
        <v>Un uomo sta dando il via al lato della scogliera.</v>
      </c>
    </row>
    <row r="6761">
      <c r="A6761" s="4" t="s">
        <v>8492</v>
      </c>
      <c r="B6761" s="4" t="s">
        <v>8496</v>
      </c>
      <c r="C6761" s="5" t="str">
        <f>IFERROR(__xludf.DUMMYFUNCTION("GOOGLETRANSLATE(B6761,""en"",""it"")"),"Si trova trionfalmente sul retro di una piccola barca.")</f>
        <v>Si trova trionfalmente sul retro di una piccola barca.</v>
      </c>
    </row>
    <row r="6762">
      <c r="A6762" s="4" t="s">
        <v>8497</v>
      </c>
      <c r="B6762" s="4" t="s">
        <v>8498</v>
      </c>
      <c r="C6762" s="5" t="str">
        <f>IFERROR(__xludf.DUMMYFUNCTION("GOOGLETRANSLATE(B6762,""en"",""it"")"),"Un uomo dimostra il combattimento Tai Chi con l'altra persona.")</f>
        <v>Un uomo dimostra il combattimento Tai Chi con l'altra persona.</v>
      </c>
    </row>
    <row r="6763">
      <c r="A6763" s="4" t="s">
        <v>8497</v>
      </c>
      <c r="B6763" s="4" t="s">
        <v>8499</v>
      </c>
      <c r="C6763" s="5" t="str">
        <f>IFERROR(__xludf.DUMMYFUNCTION("GOOGLETRANSLATE(B6763,""en"",""it"")"),"L'uomo esegue Tai Chi mentre parla, quindi mostra i movimenti con l'uomo.")</f>
        <v>L'uomo esegue Tai Chi mentre parla, quindi mostra i movimenti con l'uomo.</v>
      </c>
    </row>
    <row r="6764">
      <c r="A6764" s="4" t="s">
        <v>8497</v>
      </c>
      <c r="B6764" s="4" t="s">
        <v>8500</v>
      </c>
      <c r="C6764" s="5" t="str">
        <f>IFERROR(__xludf.DUMMYFUNCTION("GOOGLETRANSLATE(B6764,""en"",""it"")"),"Dopo, l'uomo muove il corpo e le mani mentre spiega.")</f>
        <v>Dopo, l'uomo muove il corpo e le mani mentre spiega.</v>
      </c>
    </row>
    <row r="6765">
      <c r="A6765" s="4" t="s">
        <v>8501</v>
      </c>
      <c r="B6765" s="4" t="s">
        <v>8502</v>
      </c>
      <c r="C6765" s="5" t="str">
        <f>IFERROR(__xludf.DUMMYFUNCTION("GOOGLETRANSLATE(B6765,""en"",""it"")"),"Un paio di scarpe si trova sul pavimento e un uomo che indossa calze si trova dietro di loro.")</f>
        <v>Un paio di scarpe si trova sul pavimento e un uomo che indossa calze si trova dietro di loro.</v>
      </c>
    </row>
    <row r="6766">
      <c r="A6766" s="4" t="s">
        <v>8501</v>
      </c>
      <c r="B6766" s="4" t="s">
        <v>8503</v>
      </c>
      <c r="C6766" s="5" t="str">
        <f>IFERROR(__xludf.DUMMYFUNCTION("GOOGLETRANSLATE(B6766,""en"",""it"")"),"Tira fuori un rantolo e inizia a allacciarsi le scarpe.")</f>
        <v>Tira fuori un rantolo e inizia a allacciarsi le scarpe.</v>
      </c>
    </row>
    <row r="6767">
      <c r="A6767" s="4" t="s">
        <v>8501</v>
      </c>
      <c r="B6767" s="4" t="s">
        <v>8504</v>
      </c>
      <c r="C6767" s="5" t="str">
        <f>IFERROR(__xludf.DUMMYFUNCTION("GOOGLETRANSLATE(B6767,""en"",""it"")"),"Quindi mette le scarpe e mostra come sembrano.")</f>
        <v>Quindi mette le scarpe e mostra come sembrano.</v>
      </c>
    </row>
    <row r="6768">
      <c r="A6768" s="4" t="s">
        <v>8505</v>
      </c>
      <c r="B6768" s="4" t="s">
        <v>8506</v>
      </c>
      <c r="C6768" s="5" t="str">
        <f>IFERROR(__xludf.DUMMYFUNCTION("GOOGLETRANSLATE(B6768,""en"",""it"")"),"Vengono mostrate scene di un piccolo villaggio rurale sotto un forte temporale.")</f>
        <v>Vengono mostrate scene di un piccolo villaggio rurale sotto un forte temporale.</v>
      </c>
    </row>
    <row r="6769">
      <c r="A6769" s="4" t="s">
        <v>8505</v>
      </c>
      <c r="B6769" s="4" t="s">
        <v>8507</v>
      </c>
      <c r="C6769" s="5" t="str">
        <f>IFERROR(__xludf.DUMMYFUNCTION("GOOGLETRANSLATE(B6769,""en"",""it"")"),"Una donna lava gli oggetti da un contenitore sotto la pioggia mentre altre persone stanno intorno.")</f>
        <v>Una donna lava gli oggetti da un contenitore sotto la pioggia mentre altre persone stanno intorno.</v>
      </c>
    </row>
    <row r="6770">
      <c r="A6770" s="4" t="s">
        <v>8505</v>
      </c>
      <c r="B6770" s="4" t="s">
        <v>8508</v>
      </c>
      <c r="C6770" s="5" t="str">
        <f>IFERROR(__xludf.DUMMYFUNCTION("GOOGLETRANSLATE(B6770,""en"",""it"")"),"Viene mostrato un primo piano di un lavabo da parte del contenitore.")</f>
        <v>Viene mostrato un primo piano di un lavabo da parte del contenitore.</v>
      </c>
    </row>
    <row r="6771">
      <c r="A6771" s="4" t="s">
        <v>8509</v>
      </c>
      <c r="B6771" s="4" t="s">
        <v>8510</v>
      </c>
      <c r="C6771" s="5" t="str">
        <f>IFERROR(__xludf.DUMMYFUNCTION("GOOGLETRANSLATE(B6771,""en"",""it"")"),"Una donna è vista in piedi su un equipaggiamento di esercizio e si muove.")</f>
        <v>Una donna è vista in piedi su un equipaggiamento di esercizio e si muove.</v>
      </c>
    </row>
    <row r="6772">
      <c r="A6772" s="4" t="s">
        <v>8509</v>
      </c>
      <c r="B6772" s="4" t="s">
        <v>8511</v>
      </c>
      <c r="C6772" s="5" t="str">
        <f>IFERROR(__xludf.DUMMYFUNCTION("GOOGLETRANSLATE(B6772,""en"",""it"")"),"La donna muove i piedi sulla macchina e mostra come funziona la macchina.")</f>
        <v>La donna muove i piedi sulla macchina e mostra come funziona la macchina.</v>
      </c>
    </row>
    <row r="6773">
      <c r="A6773" s="4" t="s">
        <v>8509</v>
      </c>
      <c r="B6773" s="4" t="s">
        <v>8512</v>
      </c>
      <c r="C6773" s="5" t="str">
        <f>IFERROR(__xludf.DUMMYFUNCTION("GOOGLETRANSLATE(B6773,""en"",""it"")"),"Un altro uomo viene visto esercitarsi e termina con il testo sullo schermo.")</f>
        <v>Un altro uomo viene visto esercitarsi e termina con il testo sullo schermo.</v>
      </c>
    </row>
    <row r="6774">
      <c r="A6774" s="4" t="s">
        <v>8513</v>
      </c>
      <c r="B6774" s="4" t="s">
        <v>8514</v>
      </c>
      <c r="C6774" s="5" t="str">
        <f>IFERROR(__xludf.DUMMYFUNCTION("GOOGLETRANSLATE(B6774,""en"",""it"")"),"Una donna è vista seduta su una sedia che guarda in basso con gli altri accanto a lei.")</f>
        <v>Una donna è vista seduta su una sedia che guarda in basso con gli altri accanto a lei.</v>
      </c>
    </row>
    <row r="6775">
      <c r="A6775" s="4" t="s">
        <v>8513</v>
      </c>
      <c r="B6775" s="4" t="s">
        <v>8515</v>
      </c>
      <c r="C6775" s="5" t="str">
        <f>IFERROR(__xludf.DUMMYFUNCTION("GOOGLETRANSLATE(B6775,""en"",""it"")"),"La telecamera si muove intorno alle persone sedute e porta a uno che metteva oggetti sulla gamba.")</f>
        <v>La telecamera si muove intorno alle persone sedute e porta a uno che metteva oggetti sulla gamba.</v>
      </c>
    </row>
    <row r="6776">
      <c r="A6776" s="4" t="s">
        <v>8513</v>
      </c>
      <c r="B6776" s="4" t="s">
        <v>8516</v>
      </c>
      <c r="C6776" s="5" t="str">
        <f>IFERROR(__xludf.DUMMYFUNCTION("GOOGLETRANSLATE(B6776,""en"",""it"")"),"Strena dall'oggetto mostrando i capelli così come la sua gamba e altri che ridono.")</f>
        <v>Strena dall'oggetto mostrando i capelli così come la sua gamba e altri che ridono.</v>
      </c>
    </row>
    <row r="6777">
      <c r="A6777" s="4" t="s">
        <v>8517</v>
      </c>
      <c r="B6777" s="4" t="s">
        <v>8518</v>
      </c>
      <c r="C6777" s="5" t="str">
        <f>IFERROR(__xludf.DUMMYFUNCTION("GOOGLETRANSLATE(B6777,""en"",""it"")"),"Un agente di polizia gira in giro mentre balla.")</f>
        <v>Un agente di polizia gira in giro mentre balla.</v>
      </c>
    </row>
    <row r="6778">
      <c r="A6778" s="4" t="s">
        <v>8517</v>
      </c>
      <c r="B6778" s="4" t="s">
        <v>8519</v>
      </c>
      <c r="C6778" s="5" t="str">
        <f>IFERROR(__xludf.DUMMYFUNCTION("GOOGLETRANSLATE(B6778,""en"",""it"")"),"Il ragazzo fa una mano.")</f>
        <v>Il ragazzo fa una mano.</v>
      </c>
    </row>
    <row r="6779">
      <c r="A6779" s="4" t="s">
        <v>8517</v>
      </c>
      <c r="B6779" s="4" t="s">
        <v>8520</v>
      </c>
      <c r="C6779" s="5" t="str">
        <f>IFERROR(__xludf.DUMMYFUNCTION("GOOGLETRANSLATE(B6779,""en"",""it"")"),"L'agente di polizia fa una discoteca da discoteca John Travolta.")</f>
        <v>L'agente di polizia fa una discoteca da discoteca John Travolta.</v>
      </c>
    </row>
    <row r="6780">
      <c r="A6780" s="4" t="s">
        <v>8517</v>
      </c>
      <c r="B6780" s="4" t="s">
        <v>8521</v>
      </c>
      <c r="C6780" s="5" t="str">
        <f>IFERROR(__xludf.DUMMYFUNCTION("GOOGLETRANSLATE(B6780,""en"",""it"")"),"L'agente di polizia fa una routine di pausa danza.")</f>
        <v>L'agente di polizia fa una routine di pausa danza.</v>
      </c>
    </row>
    <row r="6781">
      <c r="A6781" s="4" t="s">
        <v>8517</v>
      </c>
      <c r="B6781" s="4" t="s">
        <v>8522</v>
      </c>
      <c r="C6781" s="5" t="str">
        <f>IFERROR(__xludf.DUMMYFUNCTION("GOOGLETRANSLATE(B6781,""en"",""it"")"),"Il gruppo di bambini cammina insieme sull'erba.")</f>
        <v>Il gruppo di bambini cammina insieme sull'erba.</v>
      </c>
    </row>
    <row r="6782">
      <c r="A6782" s="4" t="s">
        <v>8523</v>
      </c>
      <c r="B6782" s="6" t="s">
        <v>8524</v>
      </c>
      <c r="C6782" s="5" t="str">
        <f>IFERROR(__xludf.DUMMYFUNCTION("GOOGLETRANSLATE(B6782,""en"",""it"")"),"Un folto gruppo di persone è visto in piedi su ogni lato di una corda con molte persone che guardano sui lati.")</f>
        <v>Un folto gruppo di persone è visto in piedi su ogni lato di una corda con molte persone che guardano sui lati.</v>
      </c>
    </row>
    <row r="6783">
      <c r="A6783" s="4" t="s">
        <v>8523</v>
      </c>
      <c r="B6783" s="6" t="s">
        <v>8525</v>
      </c>
      <c r="C6783" s="5" t="str">
        <f>IFERROR(__xludf.DUMMYFUNCTION("GOOGLETRANSLATE(B6783,""en"",""it"")"),"Gli uomini iniziano quindi una partita di tiro alla fune l'uno con l'altro con un uomo che aiuta le squadre sul lato e termina con una squadra che cade.")</f>
        <v>Gli uomini iniziano quindi una partita di tiro alla fune l'uno con l'altro con un uomo che aiuta le squadre sul lato e termina con una squadra che cade.</v>
      </c>
    </row>
    <row r="6784">
      <c r="A6784" s="4" t="s">
        <v>8526</v>
      </c>
      <c r="B6784" s="4" t="s">
        <v>8527</v>
      </c>
      <c r="C6784" s="5" t="str">
        <f>IFERROR(__xludf.DUMMYFUNCTION("GOOGLETRANSLATE(B6784,""en"",""it"")"),"Un uomo è in piedi davanti a una rete.")</f>
        <v>Un uomo è in piedi davanti a una rete.</v>
      </c>
    </row>
    <row r="6785">
      <c r="A6785" s="4" t="s">
        <v>8526</v>
      </c>
      <c r="B6785" s="4" t="s">
        <v>8528</v>
      </c>
      <c r="C6785" s="5" t="str">
        <f>IFERROR(__xludf.DUMMYFUNCTION("GOOGLETRANSLATE(B6785,""en"",""it"")"),"Un uomo è in piedi davanti a una recinzione di legno.")</f>
        <v>Un uomo è in piedi davanti a una recinzione di legno.</v>
      </c>
    </row>
    <row r="6786">
      <c r="A6786" s="4" t="s">
        <v>8526</v>
      </c>
      <c r="B6786" s="4" t="s">
        <v>8529</v>
      </c>
      <c r="C6786" s="5" t="str">
        <f>IFERROR(__xludf.DUMMYFUNCTION("GOOGLETRANSLATE(B6786,""en"",""it"")"),"Gli uomini giocano a lacrosse su un campo.")</f>
        <v>Gli uomini giocano a lacrosse su un campo.</v>
      </c>
    </row>
    <row r="6787">
      <c r="A6787" s="4" t="s">
        <v>8530</v>
      </c>
      <c r="B6787" s="4" t="s">
        <v>8531</v>
      </c>
      <c r="C6787" s="5" t="str">
        <f>IFERROR(__xludf.DUMMYFUNCTION("GOOGLETRANSLATE(B6787,""en"",""it"")"),"Un uomo guida in cerchio una motocicletta a quattro ruote in un campo con alte erbacce mentre polvere.")</f>
        <v>Un uomo guida in cerchio una motocicletta a quattro ruote in un campo con alte erbacce mentre polvere.</v>
      </c>
    </row>
    <row r="6788">
      <c r="A6788" s="4" t="s">
        <v>8530</v>
      </c>
      <c r="B6788" s="4" t="s">
        <v>8532</v>
      </c>
      <c r="C6788" s="5" t="str">
        <f>IFERROR(__xludf.DUMMYFUNCTION("GOOGLETRANSLATE(B6788,""en"",""it"")"),"Quindi, l'uomo va in un altro posto per continuare a guidare in cerchio.")</f>
        <v>Quindi, l'uomo va in un altro posto per continuare a guidare in cerchio.</v>
      </c>
    </row>
    <row r="6789">
      <c r="A6789" s="4" t="s">
        <v>8533</v>
      </c>
      <c r="B6789" s="4" t="s">
        <v>8534</v>
      </c>
      <c r="C6789" s="5" t="str">
        <f>IFERROR(__xludf.DUMMYFUNCTION("GOOGLETRANSLATE(B6789,""en"",""it"")"),"Due persone sono viste sedute davanti alle telecamere che suonano strumenti mentre la telecamera ingrandisce.")</f>
        <v>Due persone sono viste sedute davanti alle telecamere che suonano strumenti mentre la telecamera ingrandisce.</v>
      </c>
    </row>
    <row r="6790">
      <c r="A6790" s="4" t="s">
        <v>8533</v>
      </c>
      <c r="B6790" s="6" t="s">
        <v>8535</v>
      </c>
      <c r="C6790" s="5" t="str">
        <f>IFERROR(__xludf.DUMMYFUNCTION("GOOGLETRANSLATE(B6790,""en"",""it"")"),"L'uomo quindi canta alla telecamera mentre suona il suo strumento e parla alla telecamera, finendo con i due che giocano di nuovo.")</f>
        <v>L'uomo quindi canta alla telecamera mentre suona il suo strumento e parla alla telecamera, finendo con i due che giocano di nuovo.</v>
      </c>
    </row>
    <row r="6791">
      <c r="A6791" s="4" t="s">
        <v>8536</v>
      </c>
      <c r="B6791" s="6" t="s">
        <v>8537</v>
      </c>
      <c r="C6791" s="5" t="str">
        <f>IFERROR(__xludf.DUMMYFUNCTION("GOOGLETRANSLATE(B6791,""en"",""it"")"),"C'è un uomo che indossa una camicia blu e un altro uomo in nero seduto su una roccia, che parla di arrampicata su roccia.")</f>
        <v>C'è un uomo che indossa una camicia blu e un altro uomo in nero seduto su una roccia, che parla di arrampicata su roccia.</v>
      </c>
    </row>
    <row r="6792">
      <c r="A6792" s="4" t="s">
        <v>8536</v>
      </c>
      <c r="B6792" s="4" t="s">
        <v>8538</v>
      </c>
      <c r="C6792" s="5" t="str">
        <f>IFERROR(__xludf.DUMMYFUNCTION("GOOGLETRANSLATE(B6792,""en"",""it"")"),"Sono seduti ad un'altitudine molto alta in montagna.")</f>
        <v>Sono seduti ad un'altitudine molto alta in montagna.</v>
      </c>
    </row>
    <row r="6793">
      <c r="A6793" s="4" t="s">
        <v>8536</v>
      </c>
      <c r="B6793" s="4" t="s">
        <v>8539</v>
      </c>
      <c r="C6793" s="5" t="str">
        <f>IFERROR(__xludf.DUMMYFUNCTION("GOOGLETRANSLATE(B6793,""en"",""it"")"),"La persona in blu sta dimostrando come la corda è fissata dalle rocce.")</f>
        <v>La persona in blu sta dimostrando come la corda è fissata dalle rocce.</v>
      </c>
    </row>
    <row r="6794">
      <c r="A6794" s="4" t="s">
        <v>8536</v>
      </c>
      <c r="B6794" s="4" t="s">
        <v>8540</v>
      </c>
      <c r="C6794" s="5" t="str">
        <f>IFERROR(__xludf.DUMMYFUNCTION("GOOGLETRANSLATE(B6794,""en"",""it"")"),"Sta anche mostrando una corda stretta che cammina da un'estremità all'altra.")</f>
        <v>Sta anche mostrando una corda stretta che cammina da un'estremità all'altra.</v>
      </c>
    </row>
    <row r="6795">
      <c r="A6795" s="4" t="s">
        <v>8536</v>
      </c>
      <c r="B6795" s="4" t="s">
        <v>8541</v>
      </c>
      <c r="C6795" s="5" t="str">
        <f>IFERROR(__xludf.DUMMYFUNCTION("GOOGLETRANSLATE(B6795,""en"",""it"")"),"Quindi la persona in nero cammina anche su una corda stretta.")</f>
        <v>Quindi la persona in nero cammina anche su una corda stretta.</v>
      </c>
    </row>
    <row r="6796">
      <c r="A6796" s="4" t="s">
        <v>8542</v>
      </c>
      <c r="B6796" s="4" t="s">
        <v>8543</v>
      </c>
      <c r="C6796" s="5" t="str">
        <f>IFERROR(__xludf.DUMMYFUNCTION("GOOGLETRANSLATE(B6796,""en"",""it"")"),"Un ragazzo è in palestra.")</f>
        <v>Un ragazzo è in palestra.</v>
      </c>
    </row>
    <row r="6797">
      <c r="A6797" s="4" t="s">
        <v>8542</v>
      </c>
      <c r="B6797" s="4" t="s">
        <v>8544</v>
      </c>
      <c r="C6797" s="5" t="str">
        <f>IFERROR(__xludf.DUMMYFUNCTION("GOOGLETRANSLATE(B6797,""en"",""it"")"),"Solleva un bilanciere fino al petto.")</f>
        <v>Solleva un bilanciere fino al petto.</v>
      </c>
    </row>
    <row r="6798">
      <c r="A6798" s="4" t="s">
        <v>8542</v>
      </c>
      <c r="B6798" s="4" t="s">
        <v>8545</v>
      </c>
      <c r="C6798" s="5" t="str">
        <f>IFERROR(__xludf.DUMMYFUNCTION("GOOGLETRANSLATE(B6798,""en"",""it"")"),"Fa una pausa, poi se lo solleva sopra la testa.")</f>
        <v>Fa una pausa, poi se lo solleva sopra la testa.</v>
      </c>
    </row>
    <row r="6799">
      <c r="A6799" s="4" t="s">
        <v>8546</v>
      </c>
      <c r="B6799" s="4" t="s">
        <v>8547</v>
      </c>
      <c r="C6799" s="5" t="str">
        <f>IFERROR(__xludf.DUMMYFUNCTION("GOOGLETRANSLATE(B6799,""en"",""it"")"),"Un gruppo di ragazzi è visto seduto a parlare tra loro e giocare a vari giochi.")</f>
        <v>Un gruppo di ragazzi è visto seduto a parlare tra loro e giocare a vari giochi.</v>
      </c>
    </row>
    <row r="6800">
      <c r="A6800" s="4" t="s">
        <v>8546</v>
      </c>
      <c r="B6800" s="4" t="s">
        <v>8548</v>
      </c>
      <c r="C6800" s="5" t="str">
        <f>IFERROR(__xludf.DUMMYFUNCTION("GOOGLETRANSLATE(B6800,""en"",""it"")"),"Gli uomini si colpiscono l'un l'altro mentre cambiano luoghi e continuano a giocare più partite.")</f>
        <v>Gli uomini si colpiscono l'un l'altro mentre cambiano luoghi e continuano a giocare più partite.</v>
      </c>
    </row>
    <row r="6801">
      <c r="A6801" s="4" t="s">
        <v>8549</v>
      </c>
      <c r="B6801" s="4" t="s">
        <v>8550</v>
      </c>
      <c r="C6801" s="5" t="str">
        <f>IFERROR(__xludf.DUMMYFUNCTION("GOOGLETRANSLATE(B6801,""en"",""it"")"),"Una famiglia viene mostrata a fare collutorio.")</f>
        <v>Una famiglia viene mostrata a fare collutorio.</v>
      </c>
    </row>
    <row r="6802">
      <c r="A6802" s="4" t="s">
        <v>8549</v>
      </c>
      <c r="B6802" s="4" t="s">
        <v>8551</v>
      </c>
      <c r="C6802" s="5" t="str">
        <f>IFERROR(__xludf.DUMMYFUNCTION("GOOGLETRANSLATE(B6802,""en"",""it"")"),"Una donna cerca di ridere e ha successo nel non sputarla.")</f>
        <v>Una donna cerca di ridere e ha successo nel non sputarla.</v>
      </c>
    </row>
    <row r="6803">
      <c r="A6803" s="4" t="s">
        <v>8552</v>
      </c>
      <c r="B6803" s="4" t="s">
        <v>8553</v>
      </c>
      <c r="C6803" s="5" t="str">
        <f>IFERROR(__xludf.DUMMYFUNCTION("GOOGLETRANSLATE(B6803,""en"",""it"")"),"Vengono mostrati diversi corpi d'acqua e un uomo sembra remare una piccola barca.")</f>
        <v>Vengono mostrati diversi corpi d'acqua e un uomo sembra remare una piccola barca.</v>
      </c>
    </row>
    <row r="6804">
      <c r="A6804" s="4" t="s">
        <v>8552</v>
      </c>
      <c r="B6804" s="6" t="s">
        <v>8554</v>
      </c>
      <c r="C6804" s="5" t="str">
        <f>IFERROR(__xludf.DUMMYFUNCTION("GOOGLETRANSLATE(B6804,""en"",""it"")"),"Diverse altre persone vengono quindi mostrate remare in tutta la città in piccole barche, passando diversi alberi e edifici della città.")</f>
        <v>Diverse altre persone vengono quindi mostrate remare in tutta la città in piccole barche, passando diversi alberi e edifici della città.</v>
      </c>
    </row>
    <row r="6805">
      <c r="A6805" s="4" t="s">
        <v>8552</v>
      </c>
      <c r="B6805" s="6" t="s">
        <v>8555</v>
      </c>
      <c r="C6805" s="5" t="str">
        <f>IFERROR(__xludf.DUMMYFUNCTION("GOOGLETRANSLATE(B6805,""en"",""it"")"),"Mentre continuano lì il viaggio, passano sotto ponti, ristoranti e altri punti di riferimento e poi i nomi appaiono attraverso lo schermo.")</f>
        <v>Mentre continuano lì il viaggio, passano sotto ponti, ristoranti e altri punti di riferimento e poi i nomi appaiono attraverso lo schermo.</v>
      </c>
    </row>
    <row r="6806">
      <c r="A6806" s="4" t="s">
        <v>8556</v>
      </c>
      <c r="B6806" s="4" t="s">
        <v>8557</v>
      </c>
      <c r="C6806" s="5" t="str">
        <f>IFERROR(__xludf.DUMMYFUNCTION("GOOGLETRANSLATE(B6806,""en"",""it"")"),"Una persona conduce un grosso cane al guinzaglio indietro e quarto su un pavimento in legno duro.")</f>
        <v>Una persona conduce un grosso cane al guinzaglio indietro e quarto su un pavimento in legno duro.</v>
      </c>
    </row>
    <row r="6807">
      <c r="A6807" s="4" t="s">
        <v>8556</v>
      </c>
      <c r="B6807" s="4" t="s">
        <v>8558</v>
      </c>
      <c r="C6807" s="5" t="str">
        <f>IFERROR(__xludf.DUMMYFUNCTION("GOOGLETRANSLATE(B6807,""en"",""it"")"),"Il cane trascina la persona dietro di lui e guarda fuori dalla porta e sorride.")</f>
        <v>Il cane trascina la persona dietro di lui e guarda fuori dalla porta e sorride.</v>
      </c>
    </row>
    <row r="6808">
      <c r="A6808" s="4" t="s">
        <v>8559</v>
      </c>
      <c r="B6808" s="4" t="s">
        <v>8560</v>
      </c>
      <c r="C6808" s="5" t="str">
        <f>IFERROR(__xludf.DUMMYFUNCTION("GOOGLETRANSLATE(B6808,""en"",""it"")"),"Due persone sono a cavallo su un sentiero nevoso.")</f>
        <v>Due persone sono a cavallo su un sentiero nevoso.</v>
      </c>
    </row>
    <row r="6809">
      <c r="A6809" s="4" t="s">
        <v>8559</v>
      </c>
      <c r="B6809" s="4" t="s">
        <v>8561</v>
      </c>
      <c r="C6809" s="5" t="str">
        <f>IFERROR(__xludf.DUMMYFUNCTION("GOOGLETRANSLATE(B6809,""en"",""it"")"),"Mentre stanno guidando, passano una serie di igloo di vetro piantati nella tenuta.")</f>
        <v>Mentre stanno guidando, passano una serie di igloo di vetro piantati nella tenuta.</v>
      </c>
    </row>
    <row r="6810">
      <c r="A6810" s="4" t="s">
        <v>8559</v>
      </c>
      <c r="B6810" s="4" t="s">
        <v>8562</v>
      </c>
      <c r="C6810" s="5" t="str">
        <f>IFERROR(__xludf.DUMMYFUNCTION("GOOGLETRANSLATE(B6810,""en"",""it"")"),"Raggiungono una radura dove c'è terra aperta e diversi alberi.")</f>
        <v>Raggiungono una radura dove c'è terra aperta e diversi alberi.</v>
      </c>
    </row>
    <row r="6811">
      <c r="A6811" s="4" t="s">
        <v>8563</v>
      </c>
      <c r="B6811" s="4" t="s">
        <v>8564</v>
      </c>
      <c r="C6811" s="5" t="str">
        <f>IFERROR(__xludf.DUMMYFUNCTION("GOOGLETRANSLATE(B6811,""en"",""it"")"),"Vediamo una signora che suona lentamente un tamburo.")</f>
        <v>Vediamo una signora che suona lentamente un tamburo.</v>
      </c>
    </row>
    <row r="6812">
      <c r="A6812" s="4" t="s">
        <v>8563</v>
      </c>
      <c r="B6812" s="4" t="s">
        <v>8565</v>
      </c>
      <c r="C6812" s="5" t="str">
        <f>IFERROR(__xludf.DUMMYFUNCTION("GOOGLETRANSLATE(B6812,""en"",""it"")"),"Siamo a destra e vediamo un uomo alla batteria.")</f>
        <v>Siamo a destra e vediamo un uomo alla batteria.</v>
      </c>
    </row>
    <row r="6813">
      <c r="A6813" s="4" t="s">
        <v>8563</v>
      </c>
      <c r="B6813" s="4" t="s">
        <v>8566</v>
      </c>
      <c r="C6813" s="5" t="str">
        <f>IFERROR(__xludf.DUMMYFUNCTION("GOOGLETRANSLATE(B6813,""en"",""it"")"),"Vediamo una persona in Orange Enter.")</f>
        <v>Vediamo una persona in Orange Enter.</v>
      </c>
    </row>
    <row r="6814">
      <c r="A6814" s="4" t="s">
        <v>8563</v>
      </c>
      <c r="B6814" s="4" t="s">
        <v>8567</v>
      </c>
      <c r="C6814" s="5" t="str">
        <f>IFERROR(__xludf.DUMMYFUNCTION("GOOGLETRANSLATE(B6814,""en"",""it"")"),"La signora smette di tagliare e mostra le mani.")</f>
        <v>La signora smette di tagliare e mostra le mani.</v>
      </c>
    </row>
    <row r="6815">
      <c r="A6815" s="4" t="s">
        <v>8563</v>
      </c>
      <c r="B6815" s="4" t="s">
        <v>8568</v>
      </c>
      <c r="C6815" s="5" t="str">
        <f>IFERROR(__xludf.DUMMYFUNCTION("GOOGLETRANSLATE(B6815,""en"",""it"")"),"Vediamo quindi l'operatore della fotocamera.")</f>
        <v>Vediamo quindi l'operatore della fotocamera.</v>
      </c>
    </row>
    <row r="6816">
      <c r="A6816" s="4" t="s">
        <v>8563</v>
      </c>
      <c r="B6816" s="4" t="s">
        <v>8569</v>
      </c>
      <c r="C6816" s="5" t="str">
        <f>IFERROR(__xludf.DUMMYFUNCTION("GOOGLETRANSLATE(B6816,""en"",""it"")"),"La signora e il ragazzo in arancione lottano per uno strumento.")</f>
        <v>La signora e il ragazzo in arancione lottano per uno strumento.</v>
      </c>
    </row>
    <row r="6817">
      <c r="A6817" s="4" t="s">
        <v>8563</v>
      </c>
      <c r="B6817" s="4" t="s">
        <v>8570</v>
      </c>
      <c r="C6817" s="5" t="str">
        <f>IFERROR(__xludf.DUMMYFUNCTION("GOOGLETRANSLATE(B6817,""en"",""it"")"),"La signora finge di mordere il ragazzo, poi ride.")</f>
        <v>La signora finge di mordere il ragazzo, poi ride.</v>
      </c>
    </row>
    <row r="6818">
      <c r="A6818" s="4" t="s">
        <v>8563</v>
      </c>
      <c r="B6818" s="4" t="s">
        <v>8571</v>
      </c>
      <c r="C6818" s="5" t="str">
        <f>IFERROR(__xludf.DUMMYFUNCTION("GOOGLETRANSLATE(B6818,""en"",""it"")"),"Vediamo un uomo entrare nella stanza.")</f>
        <v>Vediamo un uomo entrare nella stanza.</v>
      </c>
    </row>
    <row r="6819">
      <c r="A6819" s="4" t="s">
        <v>8572</v>
      </c>
      <c r="B6819" s="4" t="s">
        <v>8573</v>
      </c>
      <c r="C6819" s="5" t="str">
        <f>IFERROR(__xludf.DUMMYFUNCTION("GOOGLETRANSLATE(B6819,""en"",""it"")"),"I giocatori di hockey stanno uscendo dai comò in un campo.")</f>
        <v>I giocatori di hockey stanno uscendo dai comò in un campo.</v>
      </c>
    </row>
    <row r="6820">
      <c r="A6820" s="4" t="s">
        <v>8572</v>
      </c>
      <c r="B6820" s="4" t="s">
        <v>8574</v>
      </c>
      <c r="C6820" s="5" t="str">
        <f>IFERROR(__xludf.DUMMYFUNCTION("GOOGLETRANSLATE(B6820,""en"",""it"")"),"I giocatori di hockey stanno pattinando in un campo di ghiaccio in una palestra coperta.")</f>
        <v>I giocatori di hockey stanno pattinando in un campo di ghiaccio in una palestra coperta.</v>
      </c>
    </row>
    <row r="6821">
      <c r="A6821" s="4" t="s">
        <v>8572</v>
      </c>
      <c r="B6821" s="4" t="s">
        <v>8575</v>
      </c>
      <c r="C6821" s="5" t="str">
        <f>IFERROR(__xludf.DUMMYFUNCTION("GOOGLETRANSLATE(B6821,""en"",""it"")"),"Mani S salda qualcosa in una stanza buia e i giocatori stanno giocando in campo.")</f>
        <v>Mani S salda qualcosa in una stanza buia e i giocatori stanno giocando in campo.</v>
      </c>
    </row>
    <row r="6822">
      <c r="A6822" s="4" t="s">
        <v>8572</v>
      </c>
      <c r="B6822" s="6" t="s">
        <v>8576</v>
      </c>
      <c r="C6822" s="5" t="str">
        <f>IFERROR(__xludf.DUMMYFUNCTION("GOOGLETRANSLATE(B6822,""en"",""it"")"),"Gli uomini sono seduti sull'autobus guardando i suoi telefoni e vedono attraverso la finestra e nei comò si preparano a giocare e sul campo.")</f>
        <v>Gli uomini sono seduti sull'autobus guardando i suoi telefoni e vedono attraverso la finestra e nei comò si preparano a giocare e sul campo.</v>
      </c>
    </row>
    <row r="6823">
      <c r="A6823" s="4" t="s">
        <v>8577</v>
      </c>
      <c r="B6823" s="4" t="s">
        <v>8578</v>
      </c>
      <c r="C6823" s="5" t="str">
        <f>IFERROR(__xludf.DUMMYFUNCTION("GOOGLETRANSLATE(B6823,""en"",""it"")"),"Una persona gira su un'altra persona e viene gettata tra i cespugli.")</f>
        <v>Una persona gira su un'altra persona e viene gettata tra i cespugli.</v>
      </c>
    </row>
    <row r="6824">
      <c r="A6824" s="4" t="s">
        <v>8577</v>
      </c>
      <c r="B6824" s="4" t="s">
        <v>8579</v>
      </c>
      <c r="C6824" s="5" t="str">
        <f>IFERROR(__xludf.DUMMYFUNCTION("GOOGLETRANSLATE(B6824,""en"",""it"")"),"Una persona in una camicia rossa inizia a correre verso di loro.")</f>
        <v>Una persona in una camicia rossa inizia a correre verso di loro.</v>
      </c>
    </row>
    <row r="6825">
      <c r="A6825" s="4" t="s">
        <v>8580</v>
      </c>
      <c r="B6825" s="4" t="s">
        <v>8581</v>
      </c>
      <c r="C6825" s="5" t="str">
        <f>IFERROR(__xludf.DUMMYFUNCTION("GOOGLETRANSLATE(B6825,""en"",""it"")"),"Una donna tiene in mano un gatto nero rannicchiato in una coperta viola.")</f>
        <v>Una donna tiene in mano un gatto nero rannicchiato in una coperta viola.</v>
      </c>
    </row>
    <row r="6826">
      <c r="A6826" s="4" t="s">
        <v>8580</v>
      </c>
      <c r="B6826" s="4" t="s">
        <v>8582</v>
      </c>
      <c r="C6826" s="5" t="str">
        <f>IFERROR(__xludf.DUMMYFUNCTION("GOOGLETRANSLATE(B6826,""en"",""it"")"),"Il gatto sta miagola mentre la donna tiene le zampe.")</f>
        <v>Il gatto sta miagola mentre la donna tiene le zampe.</v>
      </c>
    </row>
    <row r="6827">
      <c r="A6827" s="4" t="s">
        <v>8580</v>
      </c>
      <c r="B6827" s="4" t="s">
        <v>8583</v>
      </c>
      <c r="C6827" s="5" t="str">
        <f>IFERROR(__xludf.DUMMYFUNCTION("GOOGLETRANSLATE(B6827,""en"",""it"")"),"C'è un altro uomo con le unghie, che scivolano le unghie del gatto.")</f>
        <v>C'è un altro uomo con le unghie, che scivolano le unghie del gatto.</v>
      </c>
    </row>
    <row r="6828">
      <c r="A6828" s="4" t="s">
        <v>8580</v>
      </c>
      <c r="B6828" s="4" t="s">
        <v>8584</v>
      </c>
      <c r="C6828" s="5" t="str">
        <f>IFERROR(__xludf.DUMMYFUNCTION("GOOGLETRANSLATE(B6828,""en"",""it"")"),"Il gatto miagola forte di dolore e la donna bacia il gatto per calmarla.")</f>
        <v>Il gatto miagola forte di dolore e la donna bacia il gatto per calmarla.</v>
      </c>
    </row>
    <row r="6829">
      <c r="A6829" s="4" t="s">
        <v>8580</v>
      </c>
      <c r="B6829" s="4" t="s">
        <v>8585</v>
      </c>
      <c r="C6829" s="5" t="str">
        <f>IFERROR(__xludf.DUMMYFUNCTION("GOOGLETRANSLATE(B6829,""en"",""it"")"),"L'uomo continua a tagliare le unghie del gatto mentre la donna fa il gatto e bacia le orecchie del gatto.")</f>
        <v>L'uomo continua a tagliare le unghie del gatto mentre la donna fa il gatto e bacia le orecchie del gatto.</v>
      </c>
    </row>
    <row r="6830">
      <c r="A6830" s="4" t="s">
        <v>8580</v>
      </c>
      <c r="B6830" s="4" t="s">
        <v>8586</v>
      </c>
      <c r="C6830" s="5" t="str">
        <f>IFERROR(__xludf.DUMMYFUNCTION("GOOGLETRANSLATE(B6830,""en"",""it"")"),"L'uomo continua a tagliare le unghie fino a quando non ha finito.")</f>
        <v>L'uomo continua a tagliare le unghie fino a quando non ha finito.</v>
      </c>
    </row>
    <row r="6831">
      <c r="A6831" s="4" t="s">
        <v>8587</v>
      </c>
      <c r="B6831" s="4" t="s">
        <v>8588</v>
      </c>
      <c r="C6831" s="5" t="str">
        <f>IFERROR(__xludf.DUMMYFUNCTION("GOOGLETRANSLATE(B6831,""en"",""it"")"),"Una bambina è seduta su una sedia a dondolo.")</f>
        <v>Una bambina è seduta su una sedia a dondolo.</v>
      </c>
    </row>
    <row r="6832">
      <c r="A6832" s="4" t="s">
        <v>8587</v>
      </c>
      <c r="B6832" s="4" t="s">
        <v>8589</v>
      </c>
      <c r="C6832" s="5" t="str">
        <f>IFERROR(__xludf.DUMMYFUNCTION("GOOGLETRANSLATE(B6832,""en"",""it"")"),"Si trucca compatta da un caso.")</f>
        <v>Si trucca compatta da un caso.</v>
      </c>
    </row>
    <row r="6833">
      <c r="A6833" s="4" t="s">
        <v>8587</v>
      </c>
      <c r="B6833" s="4" t="s">
        <v>8590</v>
      </c>
      <c r="C6833" s="5" t="str">
        <f>IFERROR(__xludf.DUMMYFUNCTION("GOOGLETRANSLATE(B6833,""en"",""it"")"),"Quindi applica ombretti e rossetto.")</f>
        <v>Quindi applica ombretti e rossetto.</v>
      </c>
    </row>
    <row r="6834">
      <c r="A6834" s="4" t="s">
        <v>8591</v>
      </c>
      <c r="B6834" s="6" t="s">
        <v>8592</v>
      </c>
      <c r="C6834" s="5" t="str">
        <f>IFERROR(__xludf.DUMMYFUNCTION("GOOGLETRANSLATE(B6834,""en"",""it"")"),"Diversi colpi di piloti in piedi attorno a una fossa di sabbia sono mostrati da molti angoli di persone che vanno in bici per salti.")</f>
        <v>Diversi colpi di piloti in piedi attorno a una fossa di sabbia sono mostrati da molti angoli di persone che vanno in bici per salti.</v>
      </c>
    </row>
    <row r="6835">
      <c r="A6835" s="4" t="s">
        <v>8591</v>
      </c>
      <c r="B6835" s="6" t="s">
        <v>8593</v>
      </c>
      <c r="C6835" s="5" t="str">
        <f>IFERROR(__xludf.DUMMYFUNCTION("GOOGLETRANSLATE(B6835,""en"",""it"")"),"La fotocamera cattura diversi angoli delle persone che vanno lungo una pista di bici e intervistandole tra i colpi.")</f>
        <v>La fotocamera cattura diversi angoli delle persone che vanno lungo una pista di bici e intervistandole tra i colpi.</v>
      </c>
    </row>
    <row r="6836">
      <c r="A6836" s="4" t="s">
        <v>8591</v>
      </c>
      <c r="B6836" s="6" t="s">
        <v>8594</v>
      </c>
      <c r="C6836" s="5" t="str">
        <f>IFERROR(__xludf.DUMMYFUNCTION("GOOGLETRANSLATE(B6836,""en"",""it"")"),"Alla fine tutti i ciclisti sono mostrati sullo schermo oltre ad essere intervistati e salti lungo un'ultima volta.")</f>
        <v>Alla fine tutti i ciclisti sono mostrati sullo schermo oltre ad essere intervistati e salti lungo un'ultima volta.</v>
      </c>
    </row>
    <row r="6837">
      <c r="A6837" s="4" t="s">
        <v>8595</v>
      </c>
      <c r="B6837" s="6" t="s">
        <v>8596</v>
      </c>
      <c r="C6837" s="5" t="str">
        <f>IFERROR(__xludf.DUMMYFUNCTION("GOOGLETRANSLATE(B6837,""en"",""it"")"),"Una femmina adulta e una giovane femmina sono in spiaggia, la femmina adulta sta scaricando la sabbia dal secchio a terra.")</f>
        <v>Una femmina adulta e una giovane femmina sono in spiaggia, la femmina adulta sta scaricando la sabbia dal secchio a terra.</v>
      </c>
    </row>
    <row r="6838">
      <c r="A6838" s="4" t="s">
        <v>8595</v>
      </c>
      <c r="B6838" s="4" t="s">
        <v>8597</v>
      </c>
      <c r="C6838" s="5" t="str">
        <f>IFERROR(__xludf.DUMMYFUNCTION("GOOGLETRANSLATE(B6838,""en"",""it"")"),"La donna in pois è seduta a terra e mostra i pantaloni.")</f>
        <v>La donna in pois è seduta a terra e mostra i pantaloni.</v>
      </c>
    </row>
    <row r="6839">
      <c r="A6839" s="4" t="s">
        <v>8595</v>
      </c>
      <c r="B6839" s="4" t="s">
        <v>8598</v>
      </c>
      <c r="C6839" s="5" t="str">
        <f>IFERROR(__xludf.DUMMYFUNCTION("GOOGLETRANSLATE(B6839,""en"",""it"")"),"La ragazza sta indicando qualcosa e saluta la telecamera.")</f>
        <v>La ragazza sta indicando qualcosa e saluta la telecamera.</v>
      </c>
    </row>
    <row r="6840">
      <c r="A6840" s="4" t="s">
        <v>8599</v>
      </c>
      <c r="B6840" s="6" t="s">
        <v>8600</v>
      </c>
      <c r="C6840" s="5" t="str">
        <f>IFERROR(__xludf.DUMMYFUNCTION("GOOGLETRANSLATE(B6840,""en"",""it"")"),"Tre uomini sono visti seduti a terra parlando tra loro e portandoli su una strada.")</f>
        <v>Tre uomini sono visti seduti a terra parlando tra loro e portandoli su una strada.</v>
      </c>
    </row>
    <row r="6841">
      <c r="A6841" s="4" t="s">
        <v>8599</v>
      </c>
      <c r="B6841" s="6" t="s">
        <v>8601</v>
      </c>
      <c r="C6841" s="5" t="str">
        <f>IFERROR(__xludf.DUMMYFUNCTION("GOOGLETRANSLATE(B6841,""en"",""it"")"),"Vengono mostrati altri colpi di persone che skateboard lungo una strada eseguendo diversi trucchi e si allontanano.")</f>
        <v>Vengono mostrati altri colpi di persone che skateboard lungo una strada eseguendo diversi trucchi e si allontanano.</v>
      </c>
    </row>
    <row r="6842">
      <c r="A6842" s="4" t="s">
        <v>8602</v>
      </c>
      <c r="B6842" s="4" t="s">
        <v>8603</v>
      </c>
      <c r="C6842" s="5" t="str">
        <f>IFERROR(__xludf.DUMMYFUNCTION("GOOGLETRANSLATE(B6842,""en"",""it"")"),"Un primo piano di un rasoio viene mostrato un piombo in diverse clip di cani che si tagliano tagliati.")</f>
        <v>Un primo piano di un rasoio viene mostrato un piombo in diverse clip di cani che si tagliano tagliati.</v>
      </c>
    </row>
    <row r="6843">
      <c r="A6843" s="4" t="s">
        <v>8602</v>
      </c>
      <c r="B6843" s="4" t="s">
        <v>8604</v>
      </c>
      <c r="C6843" s="5" t="str">
        <f>IFERROR(__xludf.DUMMYFUNCTION("GOOGLETRANSLATE(B6843,""en"",""it"")"),"Vengono mostrati diversi strumenti su gatti e i loro sdraiati sono animali domestici.")</f>
        <v>Vengono mostrati diversi strumenti su gatti e i loro sdraiati sono animali domestici.</v>
      </c>
    </row>
    <row r="6844">
      <c r="A6844" s="4" t="s">
        <v>8605</v>
      </c>
      <c r="B6844" s="4" t="s">
        <v>8606</v>
      </c>
      <c r="C6844" s="5" t="str">
        <f>IFERROR(__xludf.DUMMYFUNCTION("GOOGLETRANSLATE(B6844,""en"",""it"")"),"Un uomo sta correndo per una strada.")</f>
        <v>Un uomo sta correndo per una strada.</v>
      </c>
    </row>
    <row r="6845">
      <c r="A6845" s="4" t="s">
        <v>8605</v>
      </c>
      <c r="B6845" s="4" t="s">
        <v>8607</v>
      </c>
      <c r="C6845" s="5" t="str">
        <f>IFERROR(__xludf.DUMMYFUNCTION("GOOGLETRANSLATE(B6845,""en"",""it"")"),"Un'auto bianca è proprio dietro di lui per strada.")</f>
        <v>Un'auto bianca è proprio dietro di lui per strada.</v>
      </c>
    </row>
    <row r="6846">
      <c r="A6846" s="4" t="s">
        <v>8605</v>
      </c>
      <c r="B6846" s="4" t="s">
        <v>8608</v>
      </c>
      <c r="C6846" s="5" t="str">
        <f>IFERROR(__xludf.DUMMYFUNCTION("GOOGLETRANSLATE(B6846,""en"",""it"")"),"Le persone stanno andando in bicicletta accanto a lui.")</f>
        <v>Le persone stanno andando in bicicletta accanto a lui.</v>
      </c>
    </row>
    <row r="6847">
      <c r="A6847" s="4" t="s">
        <v>8609</v>
      </c>
      <c r="B6847" s="4" t="s">
        <v>8610</v>
      </c>
      <c r="C6847" s="5" t="str">
        <f>IFERROR(__xludf.DUMMYFUNCTION("GOOGLETRANSLATE(B6847,""en"",""it"")"),"Una fotocamera mostra un armadio che si muove in due ragazze viste cavalcare su un ellittico.")</f>
        <v>Una fotocamera mostra un armadio che si muove in due ragazze viste cavalcare su un ellittico.</v>
      </c>
    </row>
    <row r="6848">
      <c r="A6848" s="4" t="s">
        <v>8609</v>
      </c>
      <c r="B6848" s="6" t="s">
        <v>8611</v>
      </c>
      <c r="C6848" s="5" t="str">
        <f>IFERROR(__xludf.DUMMYFUNCTION("GOOGLETRANSLATE(B6848,""en"",""it"")"),"Una ragazza si muove su e giù sulla macchina mentre l'altra si aggrappa di fronte, portando a loro saltare e parlare con la fotocamera che si nasconde nell'armadio.")</f>
        <v>Una ragazza si muove su e giù sulla macchina mentre l'altra si aggrappa di fronte, portando a loro saltare e parlare con la fotocamera che si nasconde nell'armadio.</v>
      </c>
    </row>
    <row r="6849">
      <c r="A6849" s="4" t="s">
        <v>8612</v>
      </c>
      <c r="B6849" s="4" t="s">
        <v>8613</v>
      </c>
      <c r="C6849" s="5" t="str">
        <f>IFERROR(__xludf.DUMMYFUNCTION("GOOGLETRANSLATE(B6849,""en"",""it"")"),"Un logo viene mostrato con suoni di caduta d'acqua che giocano in background.")</f>
        <v>Un logo viene mostrato con suoni di caduta d'acqua che giocano in background.</v>
      </c>
    </row>
    <row r="6850">
      <c r="A6850" s="4" t="s">
        <v>8612</v>
      </c>
      <c r="B6850" s="4" t="s">
        <v>8614</v>
      </c>
      <c r="C6850" s="5" t="str">
        <f>IFERROR(__xludf.DUMMYFUNCTION("GOOGLETRANSLATE(B6850,""en"",""it"")"),"Viene quindi mostrato un uomo che indossa attrezzatura da scubba e dando vari segnali manuali alla fotocamera.")</f>
        <v>Viene quindi mostrato un uomo che indossa attrezzatura da scubba e dando vari segnali manuali alla fotocamera.</v>
      </c>
    </row>
    <row r="6851">
      <c r="A6851" s="4" t="s">
        <v>8612</v>
      </c>
      <c r="B6851" s="6" t="s">
        <v>8615</v>
      </c>
      <c r="C6851" s="5" t="str">
        <f>IFERROR(__xludf.DUMMYFUNCTION("GOOGLETRANSLATE(B6851,""en"",""it"")"),"I suoni dell'acqua giocano ancora e l'uomo ti mostra varie mosse e cosa significano sott'acqua.")</f>
        <v>I suoni dell'acqua giocano ancora e l'uomo ti mostra varie mosse e cosa significano sott'acqua.</v>
      </c>
    </row>
    <row r="6852">
      <c r="A6852" s="4" t="s">
        <v>8612</v>
      </c>
      <c r="B6852" s="4" t="s">
        <v>8616</v>
      </c>
      <c r="C6852" s="5" t="str">
        <f>IFERROR(__xludf.DUMMYFUNCTION("GOOGLETRANSLATE(B6852,""en"",""it"")"),"Il logo riappare quindi sullo schermo e il video termina.")</f>
        <v>Il logo riappare quindi sullo schermo e il video termina.</v>
      </c>
    </row>
    <row r="6853">
      <c r="A6853" s="4" t="s">
        <v>8617</v>
      </c>
      <c r="B6853" s="4" t="s">
        <v>8618</v>
      </c>
      <c r="C6853" s="5" t="str">
        <f>IFERROR(__xludf.DUMMYFUNCTION("GOOGLETRANSLATE(B6853,""en"",""it"")"),"Un bambino piccolo viene mostrato suonare la batteria mentre un gruppo di persone dietro di lui guarda e sorride.")</f>
        <v>Un bambino piccolo viene mostrato suonare la batteria mentre un gruppo di persone dietro di lui guarda e sorride.</v>
      </c>
    </row>
    <row r="6854">
      <c r="A6854" s="4" t="s">
        <v>8617</v>
      </c>
      <c r="B6854" s="6" t="s">
        <v>8619</v>
      </c>
      <c r="C6854" s="5" t="str">
        <f>IFERROR(__xludf.DUMMYFUNCTION("GOOGLETRANSLATE(B6854,""en"",""it"")"),"Il ragazzo continua a suonare i tamburi e un bambino tra le braccia di un uomo dietro di lui si arrampica dalle sue ginocchia.")</f>
        <v>Il ragazzo continua a suonare i tamburi e un bambino tra le braccia di un uomo dietro di lui si arrampica dalle sue ginocchia.</v>
      </c>
    </row>
    <row r="6855">
      <c r="A6855" s="4" t="s">
        <v>8620</v>
      </c>
      <c r="B6855" s="4" t="s">
        <v>8621</v>
      </c>
      <c r="C6855" s="5" t="str">
        <f>IFERROR(__xludf.DUMMYFUNCTION("GOOGLETRANSLATE(B6855,""en"",""it"")"),"Viene mostrato un primo piano di canoa seguito da un uomo che spinge la canoa in varie aree.")</f>
        <v>Viene mostrato un primo piano di canoa seguito da un uomo che spinge la canoa in varie aree.</v>
      </c>
    </row>
    <row r="6856">
      <c r="A6856" s="4" t="s">
        <v>8620</v>
      </c>
      <c r="B6856" s="6" t="s">
        <v>8622</v>
      </c>
      <c r="C6856" s="5" t="str">
        <f>IFERROR(__xludf.DUMMYFUNCTION("GOOGLETRANSLATE(B6856,""en"",""it"")"),"La sua pagaiata viene rallentata per dimostrare come remare correttamente mentre vengono mostrati più scatti dell'uomo che pagava in movimento veloce.")</f>
        <v>La sua pagaiata viene rallentata per dimostrare come remare correttamente mentre vengono mostrati più scatti dell'uomo che pagava in movimento veloce.</v>
      </c>
    </row>
    <row r="6857">
      <c r="A6857" s="4" t="s">
        <v>8620</v>
      </c>
      <c r="B6857" s="4" t="s">
        <v>8623</v>
      </c>
      <c r="C6857" s="5" t="str">
        <f>IFERROR(__xludf.DUMMYFUNCTION("GOOGLETRANSLATE(B6857,""en"",""it"")"),"Il finale mostra una bellissima foto di un tramonto.")</f>
        <v>Il finale mostra una bellissima foto di un tramonto.</v>
      </c>
    </row>
    <row r="6858">
      <c r="A6858" s="4" t="s">
        <v>8624</v>
      </c>
      <c r="B6858" s="4" t="s">
        <v>8625</v>
      </c>
      <c r="C6858" s="5" t="str">
        <f>IFERROR(__xludf.DUMMYFUNCTION("GOOGLETRANSLATE(B6858,""en"",""it"")"),"Una persona sta staccando un adesivo da una scarpa bianca.")</f>
        <v>Una persona sta staccando un adesivo da una scarpa bianca.</v>
      </c>
    </row>
    <row r="6859">
      <c r="A6859" s="4" t="s">
        <v>8624</v>
      </c>
      <c r="B6859" s="4" t="s">
        <v>8626</v>
      </c>
      <c r="C6859" s="5" t="str">
        <f>IFERROR(__xludf.DUMMYFUNCTION("GOOGLETRANSLATE(B6859,""en"",""it"")"),"Puliscono la scarpa con un asciugamano.")</f>
        <v>Puliscono la scarpa con un asciugamano.</v>
      </c>
    </row>
    <row r="6860">
      <c r="A6860" s="4" t="s">
        <v>8627</v>
      </c>
      <c r="B6860" s="6" t="s">
        <v>8628</v>
      </c>
      <c r="C6860" s="5" t="str">
        <f>IFERROR(__xludf.DUMMYFUNCTION("GOOGLETRANSLATE(B6860,""en"",""it"")"),"Una persona tira fuori il formaggio da una scatola, quindi prende un barattolo che mette sul bancone con due tovaglioli, quindi apre il frigorifero.")</f>
        <v>Una persona tira fuori il formaggio da una scatola, quindi prende un barattolo che mette sul bancone con due tovaglioli, quindi apre il frigorifero.</v>
      </c>
    </row>
    <row r="6861">
      <c r="A6861" s="4" t="s">
        <v>8627</v>
      </c>
      <c r="B6861" s="4" t="s">
        <v>8629</v>
      </c>
      <c r="C6861" s="5" t="str">
        <f>IFERROR(__xludf.DUMMYFUNCTION("GOOGLETRANSLATE(B6861,""en"",""it"")"),"Un uomo gli mette acqua sul viso mentre tiene un secchio, quindi prende una spugna e lancia sul tavolo.")</f>
        <v>Un uomo gli mette acqua sul viso mentre tiene un secchio, quindi prende una spugna e lancia sul tavolo.</v>
      </c>
    </row>
    <row r="6862">
      <c r="A6862" s="4" t="s">
        <v>8627</v>
      </c>
      <c r="B6862" s="4" t="s">
        <v>8630</v>
      </c>
      <c r="C6862" s="5" t="str">
        <f>IFERROR(__xludf.DUMMYFUNCTION("GOOGLETRANSLATE(B6862,""en"",""it"")"),"La persona mette due bottiglie e due fette di pane sul tavolo, quindi taglia il formaggio.")</f>
        <v>La persona mette due bottiglie e due fette di pane sul tavolo, quindi taglia il formaggio.</v>
      </c>
    </row>
    <row r="6863">
      <c r="A6863" s="4" t="s">
        <v>8627</v>
      </c>
      <c r="B6863" s="6" t="s">
        <v>8631</v>
      </c>
      <c r="C6863" s="5" t="str">
        <f>IFERROR(__xludf.DUMMYFUNCTION("GOOGLETRANSLATE(B6863,""en"",""it"")"),"Dopo, la persona mette il formaggio e la marmellata sul pane, quindi mangia il sandwich e beve soda dalla bottiglia.")</f>
        <v>Dopo, la persona mette il formaggio e la marmellata sul pane, quindi mangia il sandwich e beve soda dalla bottiglia.</v>
      </c>
    </row>
    <row r="6864">
      <c r="A6864" s="4" t="s">
        <v>8632</v>
      </c>
      <c r="B6864" s="4" t="s">
        <v>8633</v>
      </c>
      <c r="C6864" s="5" t="str">
        <f>IFERROR(__xludf.DUMMYFUNCTION("GOOGLETRANSLATE(B6864,""en"",""it"")"),"Una partita di scherma si svolge all'interno di un auditorium.")</f>
        <v>Una partita di scherma si svolge all'interno di un auditorium.</v>
      </c>
    </row>
    <row r="6865">
      <c r="A6865" s="4" t="s">
        <v>8632</v>
      </c>
      <c r="B6865" s="4" t="s">
        <v>8634</v>
      </c>
      <c r="C6865" s="5" t="str">
        <f>IFERROR(__xludf.DUMMYFUNCTION("GOOGLETRANSLATE(B6865,""en"",""it"")"),"Due uomini in piena attrezzatura da scherma iniziano a combattere.")</f>
        <v>Due uomini in piena attrezzatura da scherma iniziano a combattere.</v>
      </c>
    </row>
    <row r="6866">
      <c r="A6866" s="4" t="s">
        <v>8632</v>
      </c>
      <c r="B6866" s="4" t="s">
        <v>8635</v>
      </c>
      <c r="C6866" s="5" t="str">
        <f>IFERROR(__xludf.DUMMYFUNCTION("GOOGLETRANSLATE(B6866,""en"",""it"")"),"Pulnano e oscillano, scherza per la folla.")</f>
        <v>Pulnano e oscillano, scherza per la folla.</v>
      </c>
    </row>
    <row r="6867">
      <c r="A6867" s="4" t="s">
        <v>8632</v>
      </c>
      <c r="B6867" s="4" t="s">
        <v>8636</v>
      </c>
      <c r="C6867" s="5" t="str">
        <f>IFERROR(__xludf.DUMMYFUNCTION("GOOGLETRANSLATE(B6867,""en"",""it"")"),"Diverse persone vengono mostrate eseguendo vari sport nelle immagini di chiusura.")</f>
        <v>Diverse persone vengono mostrate eseguendo vari sport nelle immagini di chiusura.</v>
      </c>
    </row>
    <row r="6868">
      <c r="A6868" s="4" t="s">
        <v>8637</v>
      </c>
      <c r="B6868" s="4" t="s">
        <v>8638</v>
      </c>
      <c r="C6868" s="5" t="str">
        <f>IFERROR(__xludf.DUMMYFUNCTION("GOOGLETRANSLATE(B6868,""en"",""it"")"),"Un uomo viene mostrato con in mano un lungo trimmer.")</f>
        <v>Un uomo viene mostrato con in mano un lungo trimmer.</v>
      </c>
    </row>
    <row r="6869">
      <c r="A6869" s="4" t="s">
        <v>8637</v>
      </c>
      <c r="B6869" s="4" t="s">
        <v>8639</v>
      </c>
      <c r="C6869" s="5" t="str">
        <f>IFERROR(__xludf.DUMMYFUNCTION("GOOGLETRANSLATE(B6869,""en"",""it"")"),"Usa il trimmer per diserbare i cespugli.")</f>
        <v>Usa il trimmer per diserbare i cespugli.</v>
      </c>
    </row>
    <row r="6870">
      <c r="A6870" s="4" t="s">
        <v>8637</v>
      </c>
      <c r="B6870" s="4" t="s">
        <v>8640</v>
      </c>
      <c r="C6870" s="5" t="str">
        <f>IFERROR(__xludf.DUMMYFUNCTION("GOOGLETRANSLATE(B6870,""en"",""it"")"),"Le foglie cadono a terra a frotte mentre si taglia.")</f>
        <v>Le foglie cadono a terra a frotte mentre si taglia.</v>
      </c>
    </row>
    <row r="6871">
      <c r="A6871" s="4" t="s">
        <v>8641</v>
      </c>
      <c r="B6871" s="4" t="s">
        <v>1487</v>
      </c>
      <c r="C6871" s="5" t="str">
        <f>IFERROR(__xludf.DUMMYFUNCTION("GOOGLETRANSLATE(B6871,""en"",""it"")"),"Vediamo una schermata del titolo di apertura.")</f>
        <v>Vediamo una schermata del titolo di apertura.</v>
      </c>
    </row>
    <row r="6872">
      <c r="A6872" s="4" t="s">
        <v>8641</v>
      </c>
      <c r="B6872" s="4" t="s">
        <v>8642</v>
      </c>
      <c r="C6872" s="5" t="str">
        <f>IFERROR(__xludf.DUMMYFUNCTION("GOOGLETRANSLATE(B6872,""en"",""it"")"),"Standard di un uomo e dei ragazzi siedono sulla neve e sul pesce di ghiaccio.")</f>
        <v>Standard di un uomo e dei ragazzi siedono sulla neve e sul pesce di ghiaccio.</v>
      </c>
    </row>
    <row r="6873">
      <c r="A6873" s="4" t="s">
        <v>8641</v>
      </c>
      <c r="B6873" s="6" t="s">
        <v>8643</v>
      </c>
      <c r="C6873" s="5" t="str">
        <f>IFERROR(__xludf.DUMMYFUNCTION("GOOGLETRANSLATE(B6873,""en"",""it"")"),"Vediamo uno schermo di tetti e un aereo vola sopra il cielo e vediamo le persone sul ghiaccio e un camion in lontananza.")</f>
        <v>Vediamo uno schermo di tetti e un aereo vola sopra il cielo e vediamo le persone sul ghiaccio e un camion in lontananza.</v>
      </c>
    </row>
    <row r="6874">
      <c r="A6874" s="4" t="s">
        <v>8641</v>
      </c>
      <c r="B6874" s="4" t="s">
        <v>8644</v>
      </c>
      <c r="C6874" s="5" t="str">
        <f>IFERROR(__xludf.DUMMYFUNCTION("GOOGLETRANSLATE(B6874,""en"",""it"")"),"Un bambino si avvicina al camion dove una signora cucina hot dog nel letto di camion pieno di cibo.")</f>
        <v>Un bambino si avvicina al camion dove una signora cucina hot dog nel letto di camion pieno di cibo.</v>
      </c>
    </row>
    <row r="6875">
      <c r="A6875" s="4" t="s">
        <v>8641</v>
      </c>
      <c r="B6875" s="4" t="s">
        <v>8645</v>
      </c>
      <c r="C6875" s="5" t="str">
        <f>IFERROR(__xludf.DUMMYFUNCTION("GOOGLETRANSLATE(B6875,""en"",""it"")"),"Vediamo uno schermo del titolo e vediamo il pesce congelato seduto sulla neve.")</f>
        <v>Vediamo uno schermo del titolo e vediamo il pesce congelato seduto sulla neve.</v>
      </c>
    </row>
    <row r="6876">
      <c r="A6876" s="4" t="s">
        <v>8646</v>
      </c>
      <c r="B6876" s="4" t="s">
        <v>8647</v>
      </c>
      <c r="C6876" s="5" t="str">
        <f>IFERROR(__xludf.DUMMYFUNCTION("GOOGLETRANSLATE(B6876,""en"",""it"")"),"Una processione di sfilata cammina per strada in una sfilata.")</f>
        <v>Una processione di sfilata cammina per strada in una sfilata.</v>
      </c>
    </row>
    <row r="6877">
      <c r="A6877" s="4" t="s">
        <v>8646</v>
      </c>
      <c r="B6877" s="4" t="s">
        <v>8648</v>
      </c>
      <c r="C6877" s="5" t="str">
        <f>IFERROR(__xludf.DUMMYFUNCTION("GOOGLETRANSLATE(B6877,""en"",""it"")"),"Un gruppo di membri in uniforme verde cammina che agitano bandiere.")</f>
        <v>Un gruppo di membri in uniforme verde cammina che agitano bandiere.</v>
      </c>
    </row>
    <row r="6878">
      <c r="A6878" s="4" t="s">
        <v>8646</v>
      </c>
      <c r="B6878" s="4" t="s">
        <v>8649</v>
      </c>
      <c r="C6878" s="5" t="str">
        <f>IFERROR(__xludf.DUMMYFUNCTION("GOOGLETRANSLATE(B6878,""en"",""it"")"),"I membri della processione camminano lungo la strada con piccoli strumenti di ottone di corno.")</f>
        <v>I membri della processione camminano lungo la strada con piccoli strumenti di ottone di corno.</v>
      </c>
    </row>
    <row r="6879">
      <c r="A6879" s="4" t="s">
        <v>8646</v>
      </c>
      <c r="B6879" s="4" t="s">
        <v>8650</v>
      </c>
      <c r="C6879" s="5" t="str">
        <f>IFERROR(__xludf.DUMMYFUNCTION("GOOGLETRANSLATE(B6879,""en"",""it"")"),"Una linea di batteria passa camminando per strada suonando i loro strumenti.")</f>
        <v>Una linea di batteria passa camminando per strada suonando i loro strumenti.</v>
      </c>
    </row>
    <row r="6880">
      <c r="A6880" s="4" t="s">
        <v>8646</v>
      </c>
      <c r="B6880" s="4" t="s">
        <v>8651</v>
      </c>
      <c r="C6880" s="5" t="str">
        <f>IFERROR(__xludf.DUMMYFUNCTION("GOOGLETRANSLATE(B6880,""en"",""it"")"),"I membri della processione camminano lungo la strada con in strumento a corno svasato.")</f>
        <v>I membri della processione camminano lungo la strada con in strumento a corno svasato.</v>
      </c>
    </row>
    <row r="6881">
      <c r="A6881" s="4" t="s">
        <v>8652</v>
      </c>
      <c r="B6881" s="6" t="s">
        <v>8653</v>
      </c>
      <c r="C6881" s="5" t="str">
        <f>IFERROR(__xludf.DUMMYFUNCTION("GOOGLETRANSLATE(B6881,""en"",""it"")"),"Il video è di qualità molto scarsa e mostra un uomo che tiene la macchina fotografica ed è in un parco con altre persone che include un altro adulto e un bambino piccolo che sembra una ragazza.")</f>
        <v>Il video è di qualità molto scarsa e mostra un uomo che tiene la macchina fotografica ed è in un parco con altre persone che include un altro adulto e un bambino piccolo che sembra una ragazza.</v>
      </c>
    </row>
    <row r="6882">
      <c r="A6882" s="4" t="s">
        <v>8652</v>
      </c>
      <c r="B6882" s="4" t="s">
        <v>8654</v>
      </c>
      <c r="C6882" s="5" t="str">
        <f>IFERROR(__xludf.DUMMYFUNCTION("GOOGLETRANSLATE(B6882,""en"",""it"")"),"L'uomo si arrampica sull'attrezzatura del parco con la bambina.")</f>
        <v>L'uomo si arrampica sull'attrezzatura del parco con la bambina.</v>
      </c>
    </row>
    <row r="6883">
      <c r="A6883" s="4" t="s">
        <v>8652</v>
      </c>
      <c r="B6883" s="6" t="s">
        <v>8655</v>
      </c>
      <c r="C6883" s="5" t="str">
        <f>IFERROR(__xludf.DUMMYFUNCTION("GOOGLETRANSLATE(B6883,""en"",""it"")"),"Il bambino e l'uomo appaiono quindi sulla diapositiva e la bambina scende da sola sorridendo per tutto il tempo e l'uomo rimane nella parte superiore della diapositiva.")</f>
        <v>Il bambino e l'uomo appaiono quindi sulla diapositiva e la bambina scende da sola sorridendo per tutto il tempo e l'uomo rimane nella parte superiore della diapositiva.</v>
      </c>
    </row>
    <row r="6884">
      <c r="A6884" s="4" t="s">
        <v>8656</v>
      </c>
      <c r="B6884" s="6" t="s">
        <v>8657</v>
      </c>
      <c r="C6884" s="5" t="str">
        <f>IFERROR(__xludf.DUMMYFUNCTION("GOOGLETRANSLATE(B6884,""en"",""it"")"),"Una donna e un ragazzo vengono mostrati sorridendo e lavarsi le mani nel lavandino quando la donna inizia a lavarsi il viso.")</f>
        <v>Una donna e un ragazzo vengono mostrati sorridendo e lavarsi le mani nel lavandino quando la donna inizia a lavarsi il viso.</v>
      </c>
    </row>
    <row r="6885">
      <c r="A6885" s="4" t="s">
        <v>8656</v>
      </c>
      <c r="B6885" s="6" t="s">
        <v>8658</v>
      </c>
      <c r="C6885" s="5" t="str">
        <f>IFERROR(__xludf.DUMMYFUNCTION("GOOGLETRANSLATE(B6885,""en"",""it"")"),"Il ragazzo sorride con la donna che si lava la faccia e la donna si asciuga il viso con un tovagliolo di carta.")</f>
        <v>Il ragazzo sorride con la donna che si lava la faccia e la donna si asciuga il viso con un tovagliolo di carta.</v>
      </c>
    </row>
    <row r="6886">
      <c r="A6886" s="4" t="s">
        <v>8659</v>
      </c>
      <c r="B6886" s="6" t="s">
        <v>8660</v>
      </c>
      <c r="C6886" s="5" t="str">
        <f>IFERROR(__xludf.DUMMYFUNCTION("GOOGLETRANSLATE(B6886,""en"",""it"")"),"Si vede una vista di un tavolo da biliardo, delle palle che vengono triangole e numerose persone che sparano le palle nelle tasche d'angolo durante una competizione.")</f>
        <v>Si vede una vista di un tavolo da biliardo, delle palle che vengono triangole e numerose persone che sparano le palle nelle tasche d'angolo durante una competizione.</v>
      </c>
    </row>
    <row r="6887">
      <c r="A6887" s="4" t="s">
        <v>8659</v>
      </c>
      <c r="B6887" s="4" t="s">
        <v>8661</v>
      </c>
      <c r="C6887" s="5" t="str">
        <f>IFERROR(__xludf.DUMMYFUNCTION("GOOGLETRANSLATE(B6887,""en"",""it"")"),"Una donna cammina in giro con una scorecard mentre giocano.")</f>
        <v>Una donna cammina in giro con una scorecard mentre giocano.</v>
      </c>
    </row>
    <row r="6888">
      <c r="A6888" s="4" t="s">
        <v>8662</v>
      </c>
      <c r="B6888" s="4" t="s">
        <v>8663</v>
      </c>
      <c r="C6888" s="5" t="str">
        <f>IFERROR(__xludf.DUMMYFUNCTION("GOOGLETRANSLATE(B6888,""en"",""it"")"),"Le persone guidano macchine per paraurti su un pavimento marrone.")</f>
        <v>Le persone guidano macchine per paraurti su un pavimento marrone.</v>
      </c>
    </row>
    <row r="6889">
      <c r="A6889" s="4" t="s">
        <v>8662</v>
      </c>
      <c r="B6889" s="4" t="s">
        <v>8664</v>
      </c>
      <c r="C6889" s="5" t="str">
        <f>IFERROR(__xludf.DUMMYFUNCTION("GOOGLETRANSLATE(B6889,""en"",""it"")"),"Le auto del paraurti si scontrano tra loro.")</f>
        <v>Le auto del paraurti si scontrano tra loro.</v>
      </c>
    </row>
    <row r="6890">
      <c r="A6890" s="4" t="s">
        <v>8662</v>
      </c>
      <c r="B6890" s="4" t="s">
        <v>8665</v>
      </c>
      <c r="C6890" s="5" t="str">
        <f>IFERROR(__xludf.DUMMYFUNCTION("GOOGLETRANSLATE(B6890,""en"",""it"")"),"Una ragazza ride ad alta voce.")</f>
        <v>Una ragazza ride ad alta voce.</v>
      </c>
    </row>
    <row r="6891">
      <c r="A6891" s="4" t="s">
        <v>8666</v>
      </c>
      <c r="B6891" s="4" t="s">
        <v>8667</v>
      </c>
      <c r="C6891" s="5" t="str">
        <f>IFERROR(__xludf.DUMMYFUNCTION("GOOGLETRANSLATE(B6891,""en"",""it"")"),"Un mucchio di persone cavalcano cammelli.")</f>
        <v>Un mucchio di persone cavalcano cammelli.</v>
      </c>
    </row>
    <row r="6892">
      <c r="A6892" s="4" t="s">
        <v>8666</v>
      </c>
      <c r="B6892" s="4" t="s">
        <v>8668</v>
      </c>
      <c r="C6892" s="5" t="str">
        <f>IFERROR(__xludf.DUMMYFUNCTION("GOOGLETRANSLATE(B6892,""en"",""it"")"),"Il cammello scende e si inginocchia.")</f>
        <v>Il cammello scende e si inginocchia.</v>
      </c>
    </row>
    <row r="6893">
      <c r="A6893" s="4" t="s">
        <v>8669</v>
      </c>
      <c r="B6893" s="4" t="s">
        <v>8670</v>
      </c>
      <c r="C6893" s="5" t="str">
        <f>IFERROR(__xludf.DUMMYFUNCTION("GOOGLETRANSLATE(B6893,""en"",""it"")"),"Vediamo una signora e una ragazza su una zattera su una collina innevata.")</f>
        <v>Vediamo una signora e una ragazza su una zattera su una collina innevata.</v>
      </c>
    </row>
    <row r="6894">
      <c r="A6894" s="4" t="s">
        <v>8669</v>
      </c>
      <c r="B6894" s="4" t="s">
        <v>8671</v>
      </c>
      <c r="C6894" s="5" t="str">
        <f>IFERROR(__xludf.DUMMYFUNCTION("GOOGLETRANSLATE(B6894,""en"",""it"")"),"La signora e un uomo spingono le persone giù per la collina.")</f>
        <v>La signora e un uomo spingono le persone giù per la collina.</v>
      </c>
    </row>
    <row r="6895">
      <c r="A6895" s="4" t="s">
        <v>8669</v>
      </c>
      <c r="B6895" s="4" t="s">
        <v>8672</v>
      </c>
      <c r="C6895" s="5" t="str">
        <f>IFERROR(__xludf.DUMMYFUNCTION("GOOGLETRANSLATE(B6895,""en"",""it"")"),"Le persone scivolano in zattere giù per la collina.")</f>
        <v>Le persone scivolano in zattere giù per la collina.</v>
      </c>
    </row>
    <row r="6896">
      <c r="A6896" s="4" t="s">
        <v>8669</v>
      </c>
      <c r="B6896" s="4" t="s">
        <v>8673</v>
      </c>
      <c r="C6896" s="5" t="str">
        <f>IFERROR(__xludf.DUMMYFUNCTION("GOOGLETRANSLATE(B6896,""en"",""it"")"),"La bambina si alza e guarda dietro di lei.")</f>
        <v>La bambina si alza e guarda dietro di lei.</v>
      </c>
    </row>
    <row r="6897">
      <c r="A6897" s="4" t="s">
        <v>8674</v>
      </c>
      <c r="B6897" s="6" t="s">
        <v>8675</v>
      </c>
      <c r="C6897" s="5" t="str">
        <f>IFERROR(__xludf.DUMMYFUNCTION("GOOGLETRANSLATE(B6897,""en"",""it"")"),"Un gruppo di persone è seduto e applaudito mentre gli uomini in piedi vestiti di GI lungo un muro a specchio attraversano diversi movimenti di karate.")</f>
        <v>Un gruppo di persone è seduto e applaudito mentre gli uomini in piedi vestiti di GI lungo un muro a specchio attraversano diversi movimenti di karate.</v>
      </c>
    </row>
    <row r="6898">
      <c r="A6898" s="4" t="s">
        <v>8674</v>
      </c>
      <c r="B6898" s="6" t="s">
        <v>8676</v>
      </c>
      <c r="C6898" s="5" t="str">
        <f>IFERROR(__xludf.DUMMYFUNCTION("GOOGLETRANSLATE(B6898,""en"",""it"")"),"Elvis Presley è ora vestito con i suoi abiti da concerto, in piedi sul palco facendo le sue mosse di karate, e poi torna a lui in piedi davanti al muro specchio e dimostrando le sue mosse di karate mentre indossa il suo gi.")</f>
        <v>Elvis Presley è ora vestito con i suoi abiti da concerto, in piedi sul palco facendo le sue mosse di karate, e poi torna a lui in piedi davanti al muro specchio e dimostrando le sue mosse di karate mentre indossa il suo gi.</v>
      </c>
    </row>
    <row r="6899">
      <c r="A6899" s="4" t="s">
        <v>8674</v>
      </c>
      <c r="B6899" s="6" t="s">
        <v>8677</v>
      </c>
      <c r="C6899" s="5" t="str">
        <f>IFERROR(__xludf.DUMMYFUNCTION("GOOGLETRANSLATE(B6899,""en"",""it"")"),"Ancora una volta Elvis Presley è tornato sul palco nel suo abbigliamento da concerto, il video finisce con lui che fa le sue mosse di karate sul palco.")</f>
        <v>Ancora una volta Elvis Presley è tornato sul palco nel suo abbigliamento da concerto, il video finisce con lui che fa le sue mosse di karate sul palco.</v>
      </c>
    </row>
    <row r="6900">
      <c r="A6900" s="4" t="s">
        <v>8678</v>
      </c>
      <c r="B6900" s="6" t="s">
        <v>8679</v>
      </c>
      <c r="C6900" s="5" t="str">
        <f>IFERROR(__xludf.DUMMYFUNCTION("GOOGLETRANSLATE(B6900,""en"",""it"")"),"Un atleta che indossa una camicia bianca e pantaloncini rossi corre con un giavellotto in mano in uno stadio con diversi spettatori.")</f>
        <v>Un atleta che indossa una camicia bianca e pantaloncini rossi corre con un giavellotto in mano in uno stadio con diversi spettatori.</v>
      </c>
    </row>
    <row r="6901">
      <c r="A6901" s="4" t="s">
        <v>8678</v>
      </c>
      <c r="B6901" s="4" t="s">
        <v>8680</v>
      </c>
      <c r="C6901" s="5" t="str">
        <f>IFERROR(__xludf.DUMMYFUNCTION("GOOGLETRANSLATE(B6901,""en"",""it"")"),"C'è una persona seduta su una panca bianca che indossa un'uniforme blu, che lega i suoi lacci delle scarpe.")</f>
        <v>C'è una persona seduta su una panca bianca che indossa un'uniforme blu, che lega i suoi lacci delle scarpe.</v>
      </c>
    </row>
    <row r="6902">
      <c r="A6902" s="4" t="s">
        <v>8678</v>
      </c>
      <c r="B6902" s="4" t="s">
        <v>8681</v>
      </c>
      <c r="C6902" s="5" t="str">
        <f>IFERROR(__xludf.DUMMYFUNCTION("GOOGLETRANSLATE(B6902,""en"",""it"")"),"Il lanciatore di giavellotto corre e getta il giavellotto e cade a terra.")</f>
        <v>Il lanciatore di giavellotto corre e getta il giavellotto e cade a terra.</v>
      </c>
    </row>
    <row r="6903">
      <c r="A6903" s="4" t="s">
        <v>8678</v>
      </c>
      <c r="B6903" s="4" t="s">
        <v>8682</v>
      </c>
      <c r="C6903" s="5" t="str">
        <f>IFERROR(__xludf.DUMMYFUNCTION("GOOGLETRANSLATE(B6903,""en"",""it"")"),"Si alza e alza le mani in alto nella vittoria.")</f>
        <v>Si alza e alza le mani in alto nella vittoria.</v>
      </c>
    </row>
    <row r="6904">
      <c r="A6904" s="4" t="s">
        <v>8678</v>
      </c>
      <c r="B6904" s="4" t="s">
        <v>8683</v>
      </c>
      <c r="C6904" s="5" t="str">
        <f>IFERROR(__xludf.DUMMYFUNCTION("GOOGLETRANSLATE(B6904,""en"",""it"")"),"Viene di nuovo correndo e getta il giavellotto e cade a terra.")</f>
        <v>Viene di nuovo correndo e getta il giavellotto e cade a terra.</v>
      </c>
    </row>
    <row r="6905">
      <c r="A6905" s="4" t="s">
        <v>8678</v>
      </c>
      <c r="B6905" s="4" t="s">
        <v>8684</v>
      </c>
      <c r="C6905" s="5" t="str">
        <f>IFERROR(__xludf.DUMMYFUNCTION("GOOGLETRANSLATE(B6905,""en"",""it"")"),"La terza volta, la sua azione si ripete al rallentatore.")</f>
        <v>La terza volta, la sua azione si ripete al rallentatore.</v>
      </c>
    </row>
    <row r="6906">
      <c r="A6906" s="4" t="s">
        <v>8685</v>
      </c>
      <c r="B6906" s="4" t="s">
        <v>8686</v>
      </c>
      <c r="C6906" s="5" t="str">
        <f>IFERROR(__xludf.DUMMYFUNCTION("GOOGLETRANSLATE(B6906,""en"",""it"")"),"Giocatore pratica lacrosse in un campo.")</f>
        <v>Giocatore pratica lacrosse in un campo.</v>
      </c>
    </row>
    <row r="6907">
      <c r="A6907" s="4" t="s">
        <v>8685</v>
      </c>
      <c r="B6907" s="4" t="s">
        <v>8687</v>
      </c>
      <c r="C6907" s="5" t="str">
        <f>IFERROR(__xludf.DUMMYFUNCTION("GOOGLETRANSLATE(B6907,""en"",""it"")"),"Quindi, le squadre giocano a lacrosse e un punteggio giocatore per la sua squadra.")</f>
        <v>Quindi, le squadre giocano a lacrosse e un punteggio giocatore per la sua squadra.</v>
      </c>
    </row>
    <row r="6908">
      <c r="A6908" s="4" t="s">
        <v>8685</v>
      </c>
      <c r="B6908" s="4" t="s">
        <v>8688</v>
      </c>
      <c r="C6908" s="5" t="str">
        <f>IFERROR(__xludf.DUMMYFUNCTION("GOOGLETRANSLATE(B6908,""en"",""it"")"),"Un allenatore prende appunti e poi i giocatori si allenano il lacrosse.")</f>
        <v>Un allenatore prende appunti e poi i giocatori si allenano il lacrosse.</v>
      </c>
    </row>
    <row r="6909">
      <c r="A6909" s="4" t="s">
        <v>8685</v>
      </c>
      <c r="B6909" s="4" t="s">
        <v>8689</v>
      </c>
      <c r="C6909" s="5" t="str">
        <f>IFERROR(__xludf.DUMMYFUNCTION("GOOGLETRANSLATE(B6909,""en"",""it"")"),"Quindi due squadre giocano a lacrosse in un campo lanciando la chiamata con un bastone.")</f>
        <v>Quindi due squadre giocano a lacrosse in un campo lanciando la chiamata con un bastone.</v>
      </c>
    </row>
    <row r="6910">
      <c r="A6910" s="4" t="s">
        <v>8690</v>
      </c>
      <c r="B6910" s="4" t="s">
        <v>8691</v>
      </c>
      <c r="C6910" s="5" t="str">
        <f>IFERROR(__xludf.DUMMYFUNCTION("GOOGLETRANSLATE(B6910,""en"",""it"")"),"Un uomo cammina attraverso il suo cortile e recupera un soffiatore a foglie di spinta.")</f>
        <v>Un uomo cammina attraverso il suo cortile e recupera un soffiatore a foglie di spinta.</v>
      </c>
    </row>
    <row r="6911">
      <c r="A6911" s="4" t="s">
        <v>8690</v>
      </c>
      <c r="B6911" s="4" t="s">
        <v>8692</v>
      </c>
      <c r="C6911" s="5" t="str">
        <f>IFERROR(__xludf.DUMMYFUNCTION("GOOGLETRANSLATE(B6911,""en"",""it"")"),"L'uomo cammina il soffiatore attorno al cortile e soffia foglie di lato.")</f>
        <v>L'uomo cammina il soffiatore attorno al cortile e soffia foglie di lato.</v>
      </c>
    </row>
    <row r="6912">
      <c r="A6912" s="4" t="s">
        <v>8690</v>
      </c>
      <c r="B6912" s="6" t="s">
        <v>8693</v>
      </c>
      <c r="C6912" s="5" t="str">
        <f>IFERROR(__xludf.DUMMYFUNCTION("GOOGLETRANSLATE(B6912,""en"",""it"")"),"L'uomo finisce e spinge il soffiatore di foglie accanto alla recinzione con gli altri macchinari, quindi si allontana.")</f>
        <v>L'uomo finisce e spinge il soffiatore di foglie accanto alla recinzione con gli altri macchinari, quindi si allontana.</v>
      </c>
    </row>
    <row r="6913">
      <c r="A6913" s="4" t="s">
        <v>8694</v>
      </c>
      <c r="B6913" s="4" t="s">
        <v>8695</v>
      </c>
      <c r="C6913" s="5" t="str">
        <f>IFERROR(__xludf.DUMMYFUNCTION("GOOGLETRANSLATE(B6913,""en"",""it"")"),"La donna in rosa indica l'obiettivo.")</f>
        <v>La donna in rosa indica l'obiettivo.</v>
      </c>
    </row>
    <row r="6914">
      <c r="A6914" s="4" t="s">
        <v>8694</v>
      </c>
      <c r="B6914" s="4" t="s">
        <v>8696</v>
      </c>
      <c r="C6914" s="5" t="str">
        <f>IFERROR(__xludf.DUMMYFUNCTION("GOOGLETRANSLATE(B6914,""en"",""it"")"),"Girl in Black Shoots e segnare goal.")</f>
        <v>Girl in Black Shoots e segnare goal.</v>
      </c>
    </row>
    <row r="6915">
      <c r="A6915" s="4" t="s">
        <v>8694</v>
      </c>
      <c r="B6915" s="4" t="s">
        <v>8697</v>
      </c>
      <c r="C6915" s="5" t="str">
        <f>IFERROR(__xludf.DUMMYFUNCTION("GOOGLETRANSLATE(B6915,""en"",""it"")"),"I compagni di squadra si congratulano con la ragazza in nero per l'obiettivo.")</f>
        <v>I compagni di squadra si congratulano con la ragazza in nero per l'obiettivo.</v>
      </c>
    </row>
    <row r="6916">
      <c r="A6916" s="4" t="s">
        <v>8694</v>
      </c>
      <c r="B6916" s="4" t="s">
        <v>8698</v>
      </c>
      <c r="C6916" s="5" t="str">
        <f>IFERROR(__xludf.DUMMYFUNCTION("GOOGLETRANSLATE(B6916,""en"",""it"")"),"I giocatori entrano nelle loro posizioni.")</f>
        <v>I giocatori entrano nelle loro posizioni.</v>
      </c>
    </row>
    <row r="6917">
      <c r="A6917" s="4" t="s">
        <v>8694</v>
      </c>
      <c r="B6917" s="4" t="s">
        <v>8699</v>
      </c>
      <c r="C6917" s="5" t="str">
        <f>IFERROR(__xludf.DUMMYFUNCTION("GOOGLETRANSLATE(B6917,""en"",""it"")"),"La ragazza in nero corre dopo la palla.")</f>
        <v>La ragazza in nero corre dopo la palla.</v>
      </c>
    </row>
    <row r="6918">
      <c r="A6918" s="4" t="s">
        <v>8694</v>
      </c>
      <c r="B6918" s="4" t="s">
        <v>8700</v>
      </c>
      <c r="C6918" s="5" t="str">
        <f>IFERROR(__xludf.DUMMYFUNCTION("GOOGLETRANSLATE(B6918,""en"",""it"")"),"La ragazza in nero colpisce la palla al suo compagno di squadra.")</f>
        <v>La ragazza in nero colpisce la palla al suo compagno di squadra.</v>
      </c>
    </row>
    <row r="6919">
      <c r="A6919" s="4" t="s">
        <v>8694</v>
      </c>
      <c r="B6919" s="4" t="s">
        <v>8701</v>
      </c>
      <c r="C6919" s="5" t="str">
        <f>IFERROR(__xludf.DUMMYFUNCTION("GOOGLETRANSLATE(B6919,""en"",""it"")"),"Le ragazze corrono dopo la palla.")</f>
        <v>Le ragazze corrono dopo la palla.</v>
      </c>
    </row>
    <row r="6920">
      <c r="A6920" s="4" t="s">
        <v>8702</v>
      </c>
      <c r="B6920" s="4" t="s">
        <v>8703</v>
      </c>
      <c r="C6920" s="5" t="str">
        <f>IFERROR(__xludf.DUMMYFUNCTION("GOOGLETRANSLATE(B6920,""en"",""it"")"),"Un uomo è seduto in una stanza con due congas tra le gambe.")</f>
        <v>Un uomo è seduto in una stanza con due congas tra le gambe.</v>
      </c>
    </row>
    <row r="6921">
      <c r="A6921" s="4" t="s">
        <v>8702</v>
      </c>
      <c r="B6921" s="6" t="s">
        <v>8704</v>
      </c>
      <c r="C6921" s="5" t="str">
        <f>IFERROR(__xludf.DUMMYFUNCTION("GOOGLETRANSLATE(B6921,""en"",""it"")"),"Uno di questi è leggermente più piccolo dell'altro e tende a suonare quello e colpire solo il più grande ogni paio di battiti.")</f>
        <v>Uno di questi è leggermente più piccolo dell'altro e tende a suonare quello e colpire solo il più grande ogni paio di battiti.</v>
      </c>
    </row>
    <row r="6922">
      <c r="A6922" s="4" t="s">
        <v>8702</v>
      </c>
      <c r="B6922" s="6" t="s">
        <v>8705</v>
      </c>
      <c r="C6922" s="5" t="str">
        <f>IFERROR(__xludf.DUMMYFUNCTION("GOOGLETRANSLATE(B6922,""en"",""it"")"),"Tutta il suo viso appare nella cornice e puoi vederlo abbreviare la testa e concentrarti maggiormente sul suo suono.")</f>
        <v>Tutta il suo viso appare nella cornice e puoi vederlo abbreviare la testa e concentrarti maggiormente sul suo suono.</v>
      </c>
    </row>
    <row r="6923">
      <c r="A6923" s="4" t="s">
        <v>8706</v>
      </c>
      <c r="B6923" s="6" t="s">
        <v>8707</v>
      </c>
      <c r="C6923" s="5" t="str">
        <f>IFERROR(__xludf.DUMMYFUNCTION("GOOGLETRANSLATE(B6923,""en"",""it"")"),"Un'introduzione conduce in una donna con in mano un cane e un frisbee e poi lancia il fribee per il cane da catturare.")</f>
        <v>Un'introduzione conduce in una donna con in mano un cane e un frisbee e poi lancia il fribee per il cane da catturare.</v>
      </c>
    </row>
    <row r="6924">
      <c r="A6924" s="4" t="s">
        <v>8706</v>
      </c>
      <c r="B6924" s="6" t="s">
        <v>8708</v>
      </c>
      <c r="C6924" s="5" t="str">
        <f>IFERROR(__xludf.DUMMYFUNCTION("GOOGLETRANSLATE(B6924,""en"",""it"")"),"Il cane lo riporta indietro e la ragazza lancia l'oggetto più volte, con il cane che insegue e torna ogni volta.")</f>
        <v>Il cane lo riporta indietro e la ragazza lancia l'oggetto più volte, con il cane che insegue e torna ogni volta.</v>
      </c>
    </row>
    <row r="6925">
      <c r="A6925" s="4" t="s">
        <v>8709</v>
      </c>
      <c r="B6925" s="4" t="s">
        <v>1251</v>
      </c>
      <c r="C6925" s="5" t="str">
        <f>IFERROR(__xludf.DUMMYFUNCTION("GOOGLETRANSLATE(B6925,""en"",""it"")"),"Vengono visualizzati i crediti della clip.")</f>
        <v>Vengono visualizzati i crediti della clip.</v>
      </c>
    </row>
    <row r="6926">
      <c r="A6926" s="4" t="s">
        <v>8709</v>
      </c>
      <c r="B6926" s="4" t="s">
        <v>8710</v>
      </c>
      <c r="C6926" s="5" t="str">
        <f>IFERROR(__xludf.DUMMYFUNCTION("GOOGLETRANSLATE(B6926,""en"",""it"")"),"La signora mette il contenuto di una bottiglia nei palmi delle mani e la signora se la strofina sul viso.")</f>
        <v>La signora mette il contenuto di una bottiglia nei palmi delle mani e la signora se la strofina sul viso.</v>
      </c>
    </row>
    <row r="6927">
      <c r="A6927" s="4" t="s">
        <v>8709</v>
      </c>
      <c r="B6927" s="4" t="s">
        <v>8711</v>
      </c>
      <c r="C6927" s="5" t="str">
        <f>IFERROR(__xludf.DUMMYFUNCTION("GOOGLETRANSLATE(B6927,""en"",""it"")"),"La signora fa volti divertenti.")</f>
        <v>La signora fa volti divertenti.</v>
      </c>
    </row>
    <row r="6928">
      <c r="A6928" s="4" t="s">
        <v>8709</v>
      </c>
      <c r="B6928" s="4" t="s">
        <v>8712</v>
      </c>
      <c r="C6928" s="5" t="str">
        <f>IFERROR(__xludf.DUMMYFUNCTION("GOOGLETRANSLATE(B6928,""en"",""it"")"),"La signora si lava il viso.")</f>
        <v>La signora si lava il viso.</v>
      </c>
    </row>
    <row r="6929">
      <c r="A6929" s="4" t="s">
        <v>8709</v>
      </c>
      <c r="B6929" s="4" t="s">
        <v>8713</v>
      </c>
      <c r="C6929" s="5" t="str">
        <f>IFERROR(__xludf.DUMMYFUNCTION("GOOGLETRANSLATE(B6929,""en"",""it"")"),"L'asciugamano lady si asciuga il viso.")</f>
        <v>L'asciugamano lady si asciuga il viso.</v>
      </c>
    </row>
    <row r="6930">
      <c r="A6930" s="4" t="s">
        <v>8709</v>
      </c>
      <c r="B6930" s="4" t="s">
        <v>8714</v>
      </c>
      <c r="C6930" s="5" t="str">
        <f>IFERROR(__xludf.DUMMYFUNCTION("GOOGLETRANSLATE(B6930,""en"",""it"")"),"La signora mette macchie di lozione bianca sul viso e la strofina.")</f>
        <v>La signora mette macchie di lozione bianca sul viso e la strofina.</v>
      </c>
    </row>
    <row r="6931">
      <c r="A6931" s="4" t="s">
        <v>8709</v>
      </c>
      <c r="B6931" s="4" t="s">
        <v>8715</v>
      </c>
      <c r="C6931" s="5" t="str">
        <f>IFERROR(__xludf.DUMMYFUNCTION("GOOGLETRANSLATE(B6931,""en"",""it"")"),"La signora presenta un piccolo prodotto per tubi.")</f>
        <v>La signora presenta un piccolo prodotto per tubi.</v>
      </c>
    </row>
    <row r="6932">
      <c r="A6932" s="4" t="s">
        <v>8709</v>
      </c>
      <c r="B6932" s="4" t="s">
        <v>573</v>
      </c>
      <c r="C6932" s="5" t="str">
        <f>IFERROR(__xludf.DUMMYFUNCTION("GOOGLETRANSLATE(B6932,""en"",""it"")"),"Vengono visualizzati i crediti del video.")</f>
        <v>Vengono visualizzati i crediti del video.</v>
      </c>
    </row>
    <row r="6933">
      <c r="A6933" s="4" t="s">
        <v>8716</v>
      </c>
      <c r="B6933" s="4" t="s">
        <v>8717</v>
      </c>
      <c r="C6933" s="5" t="str">
        <f>IFERROR(__xludf.DUMMYFUNCTION("GOOGLETRANSLATE(B6933,""en"",""it"")"),"Un giovane si sta aggrappando a una corda mentre si imbarca sul fiume.")</f>
        <v>Un giovane si sta aggrappando a una corda mentre si imbarca sul fiume.</v>
      </c>
    </row>
    <row r="6934">
      <c r="A6934" s="4" t="s">
        <v>8716</v>
      </c>
      <c r="B6934" s="6" t="s">
        <v>8718</v>
      </c>
      <c r="C6934" s="5" t="str">
        <f>IFERROR(__xludf.DUMMYFUNCTION("GOOGLETRANSLATE(B6934,""en"",""it"")"),"Il giovane quindi fa un capovolgimento di 360 in acqua e continua e poco dopo, fa un altro trucco.")</f>
        <v>Il giovane quindi fa un capovolgimento di 360 in acqua e continua e poco dopo, fa un altro trucco.</v>
      </c>
    </row>
    <row r="6935">
      <c r="A6935" s="4" t="s">
        <v>8716</v>
      </c>
      <c r="B6935" s="4" t="s">
        <v>8719</v>
      </c>
      <c r="C6935" s="5" t="str">
        <f>IFERROR(__xludf.DUMMYFUNCTION("GOOGLETRANSLATE(B6935,""en"",""it"")"),"Quindi viene mostrata un'altra persona e inizia a fare trucchi più rigorosi in acqua.")</f>
        <v>Quindi viene mostrata un'altra persona e inizia a fare trucchi più rigorosi in acqua.</v>
      </c>
    </row>
    <row r="6936">
      <c r="A6936" s="4" t="s">
        <v>8716</v>
      </c>
      <c r="B6936" s="4" t="s">
        <v>8720</v>
      </c>
      <c r="C6936" s="5" t="str">
        <f>IFERROR(__xludf.DUMMYFUNCTION("GOOGLETRANSLATE(B6936,""en"",""it"")"),"Successivamente, vengono mostrate una serie di immagini di altre persone che fanno trucchi.")</f>
        <v>Successivamente, vengono mostrate una serie di immagini di altre persone che fanno trucchi.</v>
      </c>
    </row>
    <row r="6937">
      <c r="A6937" s="4" t="s">
        <v>8716</v>
      </c>
      <c r="B6937" s="6" t="s">
        <v>8721</v>
      </c>
      <c r="C6937" s="5" t="str">
        <f>IFERROR(__xludf.DUMMYFUNCTION("GOOGLETRANSLATE(B6937,""en"",""it"")"),"Successivamente, viene mostrato uno snowboarder e poi il giovane torna con un'immagine fissa di lui e dei suoi premi.")</f>
        <v>Successivamente, viene mostrato uno snowboarder e poi il giovane torna con un'immagine fissa di lui e dei suoi premi.</v>
      </c>
    </row>
    <row r="6938">
      <c r="A6938" s="4" t="s">
        <v>8722</v>
      </c>
      <c r="B6938" s="4" t="s">
        <v>8723</v>
      </c>
      <c r="C6938" s="5" t="str">
        <f>IFERROR(__xludf.DUMMYFUNCTION("GOOGLETRANSLATE(B6938,""en"",""it"")"),"Tre donne sono in piedi in un parco in un campo facendo yoga.")</f>
        <v>Tre donne sono in piedi in un parco in un campo facendo yoga.</v>
      </c>
    </row>
    <row r="6939">
      <c r="A6939" s="4" t="s">
        <v>8722</v>
      </c>
      <c r="B6939" s="4" t="s">
        <v>8724</v>
      </c>
      <c r="C6939" s="5" t="str">
        <f>IFERROR(__xludf.DUMMYFUNCTION("GOOGLETRANSLATE(B6939,""en"",""it"")"),"L'uomo corre nel parco dietro le donne.")</f>
        <v>L'uomo corre nel parco dietro le donne.</v>
      </c>
    </row>
    <row r="6940">
      <c r="A6940" s="4" t="s">
        <v>8722</v>
      </c>
      <c r="B6940" s="4" t="s">
        <v>8725</v>
      </c>
      <c r="C6940" s="5" t="str">
        <f>IFERROR(__xludf.DUMMYFUNCTION("GOOGLETRANSLATE(B6940,""en"",""it"")"),"Un vecchio sta camminando veloce nel parco.")</f>
        <v>Un vecchio sta camminando veloce nel parco.</v>
      </c>
    </row>
    <row r="6941">
      <c r="A6941" s="4" t="s">
        <v>8726</v>
      </c>
      <c r="B6941" s="6" t="s">
        <v>8727</v>
      </c>
      <c r="C6941" s="5" t="str">
        <f>IFERROR(__xludf.DUMMYFUNCTION("GOOGLETRANSLATE(B6941,""en"",""it"")"),"Un uomo viene visto trattenere un paio di scarpe mentre parla alla telecamera e spruzzale.")</f>
        <v>Un uomo viene visto trattenere un paio di scarpe mentre parla alla telecamera e spruzzale.</v>
      </c>
    </row>
    <row r="6942">
      <c r="A6942" s="4" t="s">
        <v>8726</v>
      </c>
      <c r="B6942" s="4" t="s">
        <v>8728</v>
      </c>
      <c r="C6942" s="5" t="str">
        <f>IFERROR(__xludf.DUMMYFUNCTION("GOOGLETRANSLATE(B6942,""en"",""it"")"),"L'uomo strofina le scarpe con uno straccio mentre continua a parlare con la telecamera.")</f>
        <v>L'uomo strofina le scarpe con uno straccio mentre continua a parlare con la telecamera.</v>
      </c>
    </row>
    <row r="6943">
      <c r="A6943" s="4" t="s">
        <v>8726</v>
      </c>
      <c r="B6943" s="4" t="s">
        <v>8729</v>
      </c>
      <c r="C6943" s="5" t="str">
        <f>IFERROR(__xludf.DUMMYFUNCTION("GOOGLETRANSLATE(B6943,""en"",""it"")"),"Alla fine tiene le scarpe mentre parla ancora e dà alla telecamera un pollice in su.")</f>
        <v>Alla fine tiene le scarpe mentre parla ancora e dà alla telecamera un pollice in su.</v>
      </c>
    </row>
    <row r="6944">
      <c r="A6944" s="4" t="s">
        <v>8730</v>
      </c>
      <c r="B6944" s="4" t="s">
        <v>8731</v>
      </c>
      <c r="C6944" s="5" t="str">
        <f>IFERROR(__xludf.DUMMYFUNCTION("GOOGLETRANSLATE(B6944,""en"",""it"")"),"Un paio di squadre sono in campo aperto.")</f>
        <v>Un paio di squadre sono in campo aperto.</v>
      </c>
    </row>
    <row r="6945">
      <c r="A6945" s="4" t="s">
        <v>8730</v>
      </c>
      <c r="B6945" s="4" t="s">
        <v>8732</v>
      </c>
      <c r="C6945" s="5" t="str">
        <f>IFERROR(__xludf.DUMMYFUNCTION("GOOGLETRANSLATE(B6945,""en"",""it"")"),"Stanno giocando a lacrosse insieme.")</f>
        <v>Stanno giocando a lacrosse insieme.</v>
      </c>
    </row>
    <row r="6946">
      <c r="A6946" s="4" t="s">
        <v>8730</v>
      </c>
      <c r="B6946" s="4" t="s">
        <v>8733</v>
      </c>
      <c r="C6946" s="5" t="str">
        <f>IFERROR(__xludf.DUMMYFUNCTION("GOOGLETRANSLATE(B6946,""en"",""it"")"),"Corrono in giro, cercando di colpire la palla.")</f>
        <v>Corrono in giro, cercando di colpire la palla.</v>
      </c>
    </row>
    <row r="6947">
      <c r="A6947" s="4" t="s">
        <v>8734</v>
      </c>
      <c r="B6947" s="4" t="s">
        <v>8735</v>
      </c>
      <c r="C6947" s="5" t="str">
        <f>IFERROR(__xludf.DUMMYFUNCTION("GOOGLETRANSLATE(B6947,""en"",""it"")"),"Un piccolo gruppo di bambini viene visto correre intorno a un campo interno che calcia un pallone da calcio.")</f>
        <v>Un piccolo gruppo di bambini viene visto correre intorno a un campo interno che calcia un pallone da calcio.</v>
      </c>
    </row>
    <row r="6948">
      <c r="A6948" s="4" t="s">
        <v>8734</v>
      </c>
      <c r="B6948" s="4" t="s">
        <v>8736</v>
      </c>
      <c r="C6948" s="5" t="str">
        <f>IFERROR(__xludf.DUMMYFUNCTION("GOOGLETRANSLATE(B6948,""en"",""it"")"),"I bambini si muovono su e giù tra i pali mentre continuano a calciare la palla.")</f>
        <v>I bambini si muovono su e giù tra i pali mentre continuano a calciare la palla.</v>
      </c>
    </row>
    <row r="6949">
      <c r="A6949" s="4" t="s">
        <v>8734</v>
      </c>
      <c r="B6949" s="4" t="s">
        <v>8737</v>
      </c>
      <c r="C6949" s="5" t="str">
        <f>IFERROR(__xludf.DUMMYFUNCTION("GOOGLETRANSLATE(B6949,""en"",""it"")"),"Ai bambini viene quindi mostrato calci a un goal in un goal dopo l'altro.")</f>
        <v>Ai bambini viene quindi mostrato calci a un goal in un goal dopo l'altro.</v>
      </c>
    </row>
    <row r="6950">
      <c r="A6950" s="4" t="s">
        <v>8738</v>
      </c>
      <c r="B6950" s="6" t="s">
        <v>8739</v>
      </c>
      <c r="C6950" s="5" t="str">
        <f>IFERROR(__xludf.DUMMYFUNCTION("GOOGLETRANSLATE(B6950,""en"",""it"")"),"Una ragazza è in piedi sul retro di una stanza che ha un ballo di aria di carta, e inizia a ballare muovendo le gambe avanti e indietro e muovendo leggermente le braccia.")</f>
        <v>Una ragazza è in piedi sul retro di una stanza che ha un ballo di aria di carta, e inizia a ballare muovendo le gambe avanti e indietro e muovendo leggermente le braccia.</v>
      </c>
    </row>
    <row r="6951">
      <c r="A6951" s="4" t="s">
        <v>8738</v>
      </c>
      <c r="B6951" s="6" t="s">
        <v>8740</v>
      </c>
      <c r="C6951" s="5" t="str">
        <f>IFERROR(__xludf.DUMMYFUNCTION("GOOGLETRANSLATE(B6951,""en"",""it"")"),"La ragazza poi lo raccoglie e inizia a muovere più braccia insieme alle gambe e balla in una piccola area nella stanza mentre si rivolge alla telecamera.")</f>
        <v>La ragazza poi lo raccoglie e inizia a muovere più braccia insieme alle gambe e balla in una piccola area nella stanza mentre si rivolge alla telecamera.</v>
      </c>
    </row>
    <row r="6952">
      <c r="A6952" s="4" t="s">
        <v>8738</v>
      </c>
      <c r="B6952" s="6" t="s">
        <v>8741</v>
      </c>
      <c r="C6952" s="5" t="str">
        <f>IFERROR(__xludf.DUMMYFUNCTION("GOOGLETRANSLATE(B6952,""en"",""it"")"),"La ragazza si gira quindi al suo fianco e la vediamo ballare di lato, si gira per affrontare la schiena e balla un po 'in quel modo, poi si gira ancora e ancora fino a quando non abbiamo visto ballare in tutte le diverse direzioni.")</f>
        <v>La ragazza si gira quindi al suo fianco e la vediamo ballare di lato, si gira per affrontare la schiena e balla un po 'in quel modo, poi si gira ancora e ancora fino a quando non abbiamo visto ballare in tutte le diverse direzioni.</v>
      </c>
    </row>
    <row r="6953">
      <c r="A6953" s="4" t="s">
        <v>8742</v>
      </c>
      <c r="B6953" s="6" t="s">
        <v>8743</v>
      </c>
      <c r="C6953" s="5" t="str">
        <f>IFERROR(__xludf.DUMMYFUNCTION("GOOGLETRANSLATE(B6953,""en"",""it"")"),"Quattro motociclisti all'inizio della linea indossano diversi colori di uniformi e caschi, stanno per iniziare la gara.")</f>
        <v>Quattro motociclisti all'inizio della linea indossano diversi colori di uniformi e caschi, stanno per iniziare la gara.</v>
      </c>
    </row>
    <row r="6954">
      <c r="A6954" s="4" t="s">
        <v>8742</v>
      </c>
      <c r="B6954" s="6" t="s">
        <v>8744</v>
      </c>
      <c r="C6954" s="5" t="str">
        <f>IFERROR(__xludf.DUMMYFUNCTION("GOOGLETRANSLATE(B6954,""en"",""it"")"),"La gara è iniziata, la bici per motociclisti e la gara in pista in cui saltarono e saltarono e andarono al marciapiede, l'unico giocatore, quando raggiunse il traguardo, cadde su un fianco e si alzò e camminava verso la gente.")</f>
        <v>La gara è iniziata, la bici per motociclisti e la gara in pista in cui saltarono e saltarono e andarono al marciapiede, l'unico giocatore, quando raggiunse il traguardo, cadde su un fianco e si alzò e camminava verso la gente.</v>
      </c>
    </row>
    <row r="6955">
      <c r="A6955" s="4" t="s">
        <v>8745</v>
      </c>
      <c r="B6955" s="6" t="s">
        <v>8746</v>
      </c>
      <c r="C6955" s="5" t="str">
        <f>IFERROR(__xludf.DUMMYFUNCTION("GOOGLETRANSLATE(B6955,""en"",""it"")"),"Una fotocamera si panoramica attorno a un comò seguito da diversi oggetti e ingredienti che vengono mostrati alla fotocamera.")</f>
        <v>Una fotocamera si panoramica attorno a un comò seguito da diversi oggetti e ingredienti che vengono mostrati alla fotocamera.</v>
      </c>
    </row>
    <row r="6956">
      <c r="A6956" s="4" t="s">
        <v>8745</v>
      </c>
      <c r="B6956" s="4" t="s">
        <v>8747</v>
      </c>
      <c r="C6956" s="5" t="str">
        <f>IFERROR(__xludf.DUMMYFUNCTION("GOOGLETRANSLATE(B6956,""en"",""it"")"),"Viene quindi vista una donna dipingere il comò con diversi cappotti e levigare.")</f>
        <v>Viene quindi vista una donna dipingere il comò con diversi cappotti e levigare.</v>
      </c>
    </row>
    <row r="6957">
      <c r="A6957" s="4" t="s">
        <v>8745</v>
      </c>
      <c r="B6957" s="4" t="s">
        <v>8748</v>
      </c>
      <c r="C6957" s="5" t="str">
        <f>IFERROR(__xludf.DUMMYFUNCTION("GOOGLETRANSLATE(B6957,""en"",""it"")"),"Mette insieme i pezzi e finisce sorridendo alla telecamera.")</f>
        <v>Mette insieme i pezzi e finisce sorridendo alla telecamera.</v>
      </c>
    </row>
    <row r="6958">
      <c r="A6958" s="4" t="s">
        <v>8749</v>
      </c>
      <c r="B6958" s="4" t="s">
        <v>8750</v>
      </c>
      <c r="C6958" s="5" t="str">
        <f>IFERROR(__xludf.DUMMYFUNCTION("GOOGLETRANSLATE(B6958,""en"",""it"")"),"Il cartone animato di eroi che combatte con un personaggio malvagio.")</f>
        <v>Il cartone animato di eroi che combatte con un personaggio malvagio.</v>
      </c>
    </row>
    <row r="6959">
      <c r="A6959" s="4" t="s">
        <v>8749</v>
      </c>
      <c r="B6959" s="4" t="s">
        <v>8751</v>
      </c>
      <c r="C6959" s="5" t="str">
        <f>IFERROR(__xludf.DUMMYFUNCTION("GOOGLETRANSLATE(B6959,""en"",""it"")"),"Gli eroi combattono e poi si siedono davanti a un tronco.")</f>
        <v>Gli eroi combattono e poi si siedono davanti a un tronco.</v>
      </c>
    </row>
    <row r="6960">
      <c r="A6960" s="4" t="s">
        <v>8752</v>
      </c>
      <c r="B6960" s="4" t="s">
        <v>8753</v>
      </c>
      <c r="C6960" s="5" t="str">
        <f>IFERROR(__xludf.DUMMYFUNCTION("GOOGLETRANSLATE(B6960,""en"",""it"")"),"Un logo rotante con uno sfondo viola, quindi viene visualizzato il testo sullo schermo.")</f>
        <v>Un logo rotante con uno sfondo viola, quindi viene visualizzato il testo sullo schermo.</v>
      </c>
    </row>
    <row r="6961">
      <c r="A6961" s="4" t="s">
        <v>8752</v>
      </c>
      <c r="B6961" s="4" t="s">
        <v>8754</v>
      </c>
      <c r="C6961" s="5" t="str">
        <f>IFERROR(__xludf.DUMMYFUNCTION("GOOGLETRANSLATE(B6961,""en"",""it"")"),"Una donna in abito blu suona un tamburo in studio.")</f>
        <v>Una donna in abito blu suona un tamburo in studio.</v>
      </c>
    </row>
    <row r="6962">
      <c r="A6962" s="4" t="s">
        <v>8755</v>
      </c>
      <c r="B6962" s="6" t="s">
        <v>8756</v>
      </c>
      <c r="C6962" s="5" t="str">
        <f>IFERROR(__xludf.DUMMYFUNCTION("GOOGLETRANSLATE(B6962,""en"",""it"")"),"Il video si apre con l'host usando il nastro per unghie viola per creare un motivo, applicando lentamente e assicurandoti che sia dritto.")</f>
        <v>Il video si apre con l'host usando il nastro per unghie viola per creare un motivo, applicando lentamente e assicurandoti che sia dritto.</v>
      </c>
    </row>
    <row r="6963">
      <c r="A6963" s="4" t="s">
        <v>8755</v>
      </c>
      <c r="B6963" s="4" t="s">
        <v>8757</v>
      </c>
      <c r="C6963" s="5" t="str">
        <f>IFERROR(__xludf.DUMMYFUNCTION("GOOGLETRANSLATE(B6963,""en"",""it"")"),"Successivamente viene applicato un cappotto opaco sul chiodo e sul nastro.")</f>
        <v>Successivamente viene applicato un cappotto opaco sul chiodo e sul nastro.</v>
      </c>
    </row>
    <row r="6964">
      <c r="A6964" s="4" t="s">
        <v>8755</v>
      </c>
      <c r="B6964" s="4" t="s">
        <v>8758</v>
      </c>
      <c r="C6964" s="5" t="str">
        <f>IFERROR(__xludf.DUMMYFUNCTION("GOOGLETRANSLATE(B6964,""en"",""it"")"),"Il nastro viene delicatamente staccato dall'unghia e un top coat viene applicato all'intersezione delle linee.")</f>
        <v>Il nastro viene delicatamente staccato dall'unghia e un top coat viene applicato all'intersezione delle linee.</v>
      </c>
    </row>
    <row r="6965">
      <c r="A6965" s="4" t="s">
        <v>8755</v>
      </c>
      <c r="B6965" s="4" t="s">
        <v>8759</v>
      </c>
      <c r="C6965" s="5" t="str">
        <f>IFERROR(__xludf.DUMMYFUNCTION("GOOGLETRANSLATE(B6965,""en"",""it"")"),"Successivamente, viene posizionata una micro perlina dove si incontrano le linee.")</f>
        <v>Successivamente, viene posizionata una micro perlina dove si incontrano le linee.</v>
      </c>
    </row>
    <row r="6966">
      <c r="A6966" s="4" t="s">
        <v>8755</v>
      </c>
      <c r="B6966" s="6" t="s">
        <v>8760</v>
      </c>
      <c r="C6966" s="5" t="str">
        <f>IFERROR(__xludf.DUMMYFUNCTION("GOOGLETRANSLATE(B6966,""en"",""it"")"),"Il prossimo progetto per unghie presenta un chiodo e host dipinti bianchi produce due C neri per imitare il logo Chanel.")</f>
        <v>Il prossimo progetto per unghie presenta un chiodo e host dipinti bianchi produce due C neri per imitare il logo Chanel.</v>
      </c>
    </row>
    <row r="6967">
      <c r="A6967" s="4" t="s">
        <v>8755</v>
      </c>
      <c r="B6967" s="4" t="s">
        <v>8761</v>
      </c>
      <c r="C6967" s="5" t="str">
        <f>IFERROR(__xludf.DUMMYFUNCTION("GOOGLETRANSLATE(B6967,""en"",""it"")"),"A poco a poco il logo viene reso più audace con più applicazione.")</f>
        <v>A poco a poco il logo viene reso più audace con più applicazione.</v>
      </c>
    </row>
    <row r="6968">
      <c r="A6968" s="4" t="s">
        <v>8755</v>
      </c>
      <c r="B6968" s="4" t="s">
        <v>8762</v>
      </c>
      <c r="C6968" s="5" t="str">
        <f>IFERROR(__xludf.DUMMYFUNCTION("GOOGLETRANSLATE(B6968,""en"",""it"")"),"Finalmente viene applicato un top coat opaco per finirlo.")</f>
        <v>Finalmente viene applicato un top coat opaco per finirlo.</v>
      </c>
    </row>
    <row r="6969">
      <c r="A6969" s="4" t="s">
        <v>8763</v>
      </c>
      <c r="B6969" s="4" t="s">
        <v>8764</v>
      </c>
      <c r="C6969" s="5" t="str">
        <f>IFERROR(__xludf.DUMMYFUNCTION("GOOGLETRANSLATE(B6969,""en"",""it"")"),"Una scopa si trova in posizione verticale accanto a un secchio.")</f>
        <v>Una scopa si trova in posizione verticale accanto a un secchio.</v>
      </c>
    </row>
    <row r="6970">
      <c r="A6970" s="4" t="s">
        <v>8763</v>
      </c>
      <c r="B6970" s="4" t="s">
        <v>8765</v>
      </c>
      <c r="C6970" s="5" t="str">
        <f>IFERROR(__xludf.DUMMYFUNCTION("GOOGLETRANSLATE(B6970,""en"",""it"")"),"Una persona assorbe tutta l'acqua da una ciotola usando un mop.")</f>
        <v>Una persona assorbe tutta l'acqua da una ciotola usando un mop.</v>
      </c>
    </row>
    <row r="6971">
      <c r="A6971" s="4" t="s">
        <v>8763</v>
      </c>
      <c r="B6971" s="4" t="s">
        <v>8766</v>
      </c>
      <c r="C6971" s="5" t="str">
        <f>IFERROR(__xludf.DUMMYFUNCTION("GOOGLETRANSLATE(B6971,""en"",""it"")"),"L'acqua viene versata in un grande secchio.")</f>
        <v>L'acqua viene versata in un grande secchio.</v>
      </c>
    </row>
    <row r="6972">
      <c r="A6972" s="4" t="s">
        <v>8763</v>
      </c>
      <c r="B6972" s="4" t="s">
        <v>8767</v>
      </c>
      <c r="C6972" s="5" t="str">
        <f>IFERROR(__xludf.DUMMYFUNCTION("GOOGLETRANSLATE(B6972,""en"",""it"")"),"La scopa in immersa nel secchio d'acqua, quindi si asciugò nel vassoio.")</f>
        <v>La scopa in immersa nel secchio d'acqua, quindi si asciugò nel vassoio.</v>
      </c>
    </row>
    <row r="6973">
      <c r="A6973" s="4" t="s">
        <v>8763</v>
      </c>
      <c r="B6973" s="4" t="s">
        <v>8768</v>
      </c>
      <c r="C6973" s="5" t="str">
        <f>IFERROR(__xludf.DUMMYFUNCTION("GOOGLETRANSLATE(B6973,""en"",""it"")"),"Una zona sporca di un pavimento in legno è pulito.")</f>
        <v>Una zona sporca di un pavimento in legno è pulito.</v>
      </c>
    </row>
    <row r="6974">
      <c r="A6974" s="4" t="s">
        <v>8763</v>
      </c>
      <c r="B6974" s="4" t="s">
        <v>8769</v>
      </c>
      <c r="C6974" s="5" t="str">
        <f>IFERROR(__xludf.DUMMYFUNCTION("GOOGLETRANSLATE(B6974,""en"",""it"")"),"Una scopa viene utilizzata attorno a vari mobili ed elettrodomestici per entrare negli angoli delle stanze.")</f>
        <v>Una scopa viene utilizzata attorno a vari mobili ed elettrodomestici per entrare negli angoli delle stanze.</v>
      </c>
    </row>
    <row r="6975">
      <c r="A6975" s="4" t="s">
        <v>8770</v>
      </c>
      <c r="B6975" s="6" t="s">
        <v>8771</v>
      </c>
      <c r="C6975" s="5" t="str">
        <f>IFERROR(__xludf.DUMMYFUNCTION("GOOGLETRANSLATE(B6975,""en"",""it"")"),"Viene visto uno chef parlare alla telecamera e conduce in lui con in mano una tavola seguita da un taglio dell'impasto.")</f>
        <v>Viene visto uno chef parlare alla telecamera e conduce in lui con in mano una tavola seguita da un taglio dell'impasto.</v>
      </c>
    </row>
    <row r="6976">
      <c r="A6976" s="4" t="s">
        <v>8770</v>
      </c>
      <c r="B6976" s="4" t="s">
        <v>8772</v>
      </c>
      <c r="C6976" s="5" t="str">
        <f>IFERROR(__xludf.DUMMYFUNCTION("GOOGLETRANSLATE(B6976,""en"",""it"")"),"L'uomo sbuccia i pezzi dell'impasto con una macchina e li getta in piano per lanciare l'impasto.")</f>
        <v>L'uomo sbuccia i pezzi dell'impasto con una macchina e li getta in piano per lanciare l'impasto.</v>
      </c>
    </row>
    <row r="6977">
      <c r="A6977" s="4" t="s">
        <v>8770</v>
      </c>
      <c r="B6977" s="4" t="s">
        <v>8773</v>
      </c>
      <c r="C6977" s="5" t="str">
        <f>IFERROR(__xludf.DUMMYFUNCTION("GOOGLETRANSLATE(B6977,""en"",""it"")"),"L'uomo quindi lancia l'impasto appiattito e mostra la sua pasta finita.")</f>
        <v>L'uomo quindi lancia l'impasto appiattito e mostra la sua pasta finita.</v>
      </c>
    </row>
    <row r="6978">
      <c r="A6978" s="4" t="s">
        <v>8774</v>
      </c>
      <c r="B6978" s="4" t="s">
        <v>8775</v>
      </c>
      <c r="C6978" s="5" t="str">
        <f>IFERROR(__xludf.DUMMYFUNCTION("GOOGLETRANSLATE(B6978,""en"",""it"")"),"Questo video mostra le persone che partecipano al World Artistic Pool Championship.")</f>
        <v>Questo video mostra le persone che partecipano al World Artistic Pool Championship.</v>
      </c>
    </row>
    <row r="6979">
      <c r="A6979" s="4" t="s">
        <v>8774</v>
      </c>
      <c r="B6979" s="6" t="s">
        <v>8776</v>
      </c>
      <c r="C6979" s="5" t="str">
        <f>IFERROR(__xludf.DUMMYFUNCTION("GOOGLETRANSLATE(B6979,""en"",""it"")"),"La musica liscia, ma suspense, suona in tutto il video mentre le persone sparano a pallo da sole.")</f>
        <v>La musica liscia, ma suspense, suona in tutto il video mentre le persone sparano a pallo da sole.</v>
      </c>
    </row>
    <row r="6980">
      <c r="A6980" s="4" t="s">
        <v>8774</v>
      </c>
      <c r="B6980" s="6" t="s">
        <v>8777</v>
      </c>
      <c r="C6980" s="5" t="str">
        <f>IFERROR(__xludf.DUMMYFUNCTION("GOOGLETRANSLATE(B6980,""en"",""it"")"),"Non tutti partecipano, alcune persone stanno solo guardando e altre stanno camminando per altri motivi.")</f>
        <v>Non tutti partecipano, alcune persone stanno solo guardando e altre stanno camminando per altri motivi.</v>
      </c>
    </row>
    <row r="6981">
      <c r="A6981" s="4" t="s">
        <v>8778</v>
      </c>
      <c r="B6981" s="4" t="s">
        <v>8779</v>
      </c>
      <c r="C6981" s="5" t="str">
        <f>IFERROR(__xludf.DUMMYFUNCTION("GOOGLETRANSLATE(B6981,""en"",""it"")"),"Una donna è seduta su una sedia a maglia.")</f>
        <v>Una donna è seduta su una sedia a maglia.</v>
      </c>
    </row>
    <row r="6982">
      <c r="A6982" s="4" t="s">
        <v>8778</v>
      </c>
      <c r="B6982" s="4" t="s">
        <v>8780</v>
      </c>
      <c r="C6982" s="5" t="str">
        <f>IFERROR(__xludf.DUMMYFUNCTION("GOOGLETRANSLATE(B6982,""en"",""it"")"),"Alza lo sguardo e parla con qualcuno.")</f>
        <v>Alza lo sguardo e parla con qualcuno.</v>
      </c>
    </row>
    <row r="6983">
      <c r="A6983" s="4" t="s">
        <v>8778</v>
      </c>
      <c r="B6983" s="4" t="s">
        <v>8781</v>
      </c>
      <c r="C6983" s="5" t="str">
        <f>IFERROR(__xludf.DUMMYFUNCTION("GOOGLETRANSLATE(B6983,""en"",""it"")"),"Continua a lavorare a maglia tra le mani.")</f>
        <v>Continua a lavorare a maglia tra le mani.</v>
      </c>
    </row>
    <row r="6984">
      <c r="A6984" s="4" t="s">
        <v>8782</v>
      </c>
      <c r="B6984" s="4" t="s">
        <v>3561</v>
      </c>
      <c r="C6984" s="5" t="str">
        <f>IFERROR(__xludf.DUMMYFUNCTION("GOOGLETRANSLATE(B6984,""en"",""it"")"),"Vengono visualizzati i crediti di una clip.")</f>
        <v>Vengono visualizzati i crediti di una clip.</v>
      </c>
    </row>
    <row r="6985">
      <c r="A6985" s="4" t="s">
        <v>8782</v>
      </c>
      <c r="B6985" s="4" t="s">
        <v>8783</v>
      </c>
      <c r="C6985" s="5" t="str">
        <f>IFERROR(__xludf.DUMMYFUNCTION("GOOGLETRANSLATE(B6985,""en"",""it"")"),"Una persona cielo e scivola su una piattaforma.")</f>
        <v>Una persona cielo e scivola su una piattaforma.</v>
      </c>
    </row>
    <row r="6986">
      <c r="A6986" s="4" t="s">
        <v>8782</v>
      </c>
      <c r="B6986" s="4" t="s">
        <v>8784</v>
      </c>
      <c r="C6986" s="5" t="str">
        <f>IFERROR(__xludf.DUMMYFUNCTION("GOOGLETRANSLATE(B6986,""en"",""it"")"),"Una persona cade sul ghiaccio.")</f>
        <v>Una persona cade sul ghiaccio.</v>
      </c>
    </row>
    <row r="6987">
      <c r="A6987" s="4" t="s">
        <v>8782</v>
      </c>
      <c r="B6987" s="4" t="s">
        <v>8785</v>
      </c>
      <c r="C6987" s="5" t="str">
        <f>IFERROR(__xludf.DUMMYFUNCTION("GOOGLETRANSLATE(B6987,""en"",""it"")"),"Una persona alza e fa capovolgendo.")</f>
        <v>Una persona alza e fa capovolgendo.</v>
      </c>
    </row>
    <row r="6988">
      <c r="A6988" s="4" t="s">
        <v>8782</v>
      </c>
      <c r="B6988" s="4" t="s">
        <v>8786</v>
      </c>
      <c r="C6988" s="5" t="str">
        <f>IFERROR(__xludf.DUMMYFUNCTION("GOOGLETRANSLATE(B6988,""en"",""it"")"),"Una persona mette la mano guantata sulla fotocamera.")</f>
        <v>Una persona mette la mano guantata sulla fotocamera.</v>
      </c>
    </row>
    <row r="6989">
      <c r="A6989" s="4" t="s">
        <v>8782</v>
      </c>
      <c r="B6989" s="4" t="s">
        <v>573</v>
      </c>
      <c r="C6989" s="5" t="str">
        <f>IFERROR(__xludf.DUMMYFUNCTION("GOOGLETRANSLATE(B6989,""en"",""it"")"),"Vengono visualizzati i crediti del video.")</f>
        <v>Vengono visualizzati i crediti del video.</v>
      </c>
    </row>
    <row r="6990">
      <c r="A6990" s="4" t="s">
        <v>8787</v>
      </c>
      <c r="B6990" s="6" t="s">
        <v>8788</v>
      </c>
      <c r="C6990" s="5" t="str">
        <f>IFERROR(__xludf.DUMMYFUNCTION("GOOGLETRANSLATE(B6990,""en"",""it"")"),"Viene visto un comico parlare alla telecamera e conduce in un toro che corre in una fossa e varie clip di uomini che combattono tori.")</f>
        <v>Viene visto un comico parlare alla telecamera e conduce in un toro che corre in una fossa e varie clip di uomini che combattono tori.</v>
      </c>
    </row>
    <row r="6991">
      <c r="A6991" s="4" t="s">
        <v>8787</v>
      </c>
      <c r="B6991" s="4" t="s">
        <v>8789</v>
      </c>
      <c r="C6991" s="5" t="str">
        <f>IFERROR(__xludf.DUMMYFUNCTION("GOOGLETRANSLATE(B6991,""en"",""it"")"),"Viene mostrato un primo piano di combattimenti di tori e torna al comico che parla alla telecamera.")</f>
        <v>Viene mostrato un primo piano di combattimenti di tori e torna al comico che parla alla telecamera.</v>
      </c>
    </row>
    <row r="6992">
      <c r="A6992" s="4" t="s">
        <v>8790</v>
      </c>
      <c r="B6992" s="6" t="s">
        <v>8791</v>
      </c>
      <c r="C6992" s="5" t="str">
        <f>IFERROR(__xludf.DUMMYFUNCTION("GOOGLETRANSLATE(B6992,""en"",""it"")"),"Due persone sono viste in piedi sul fondo di una collina innevata che si parla quando una persona si avvicina a un tubo.")</f>
        <v>Due persone sono viste in piedi sul fondo di una collina innevata che si parla quando una persona si avvicina a un tubo.</v>
      </c>
    </row>
    <row r="6993">
      <c r="A6993" s="4" t="s">
        <v>8790</v>
      </c>
      <c r="B6993" s="6" t="s">
        <v>8792</v>
      </c>
      <c r="C6993" s="5" t="str">
        <f>IFERROR(__xludf.DUMMYFUNCTION("GOOGLETRANSLATE(B6993,""en"",""it"")"),"Più persone vengono viste volare giù per la montagna con uno che si schiantava contro un altro e la persona che esce per trascinare i tubi.")</f>
        <v>Più persone vengono viste volare giù per la montagna con uno che si schiantava contro un altro e la persona che esce per trascinare i tubi.</v>
      </c>
    </row>
    <row r="6994">
      <c r="A6994" s="4" t="s">
        <v>8793</v>
      </c>
      <c r="B6994" s="4" t="s">
        <v>8794</v>
      </c>
      <c r="C6994" s="5" t="str">
        <f>IFERROR(__xludf.DUMMYFUNCTION("GOOGLETRANSLATE(B6994,""en"",""it"")"),"Una donna sta parlando all'interno di un ufficio alla telecamera mentre mostra il linguaggio dei segni.")</f>
        <v>Una donna sta parlando all'interno di un ufficio alla telecamera mentre mostra il linguaggio dei segni.</v>
      </c>
    </row>
    <row r="6995">
      <c r="A6995" s="4" t="s">
        <v>8793</v>
      </c>
      <c r="B6995" s="4" t="s">
        <v>8795</v>
      </c>
      <c r="C6995" s="5" t="str">
        <f>IFERROR(__xludf.DUMMYFUNCTION("GOOGLETRANSLATE(B6995,""en"",""it"")"),"Appaiono due mani, dimostrando diversi segni che indicano la roccia, la carta, il gioco delle forbici.")</f>
        <v>Appaiono due mani, dimostrando diversi segni che indicano la roccia, la carta, il gioco delle forbici.</v>
      </c>
    </row>
    <row r="6996">
      <c r="A6996" s="4" t="s">
        <v>8793</v>
      </c>
      <c r="B6996" s="6" t="s">
        <v>8796</v>
      </c>
      <c r="C6996" s="5" t="str">
        <f>IFERROR(__xludf.DUMMYFUNCTION("GOOGLETRANSLATE(B6996,""en"",""it"")"),"La donna continua a parlare del gioco, quindi mostra diverse clip di varie persone che usano il gioco per vincere o prendere decisioni.")</f>
        <v>La donna continua a parlare del gioco, quindi mostra diverse clip di varie persone che usano il gioco per vincere o prendere decisioni.</v>
      </c>
    </row>
    <row r="6997">
      <c r="A6997" s="4" t="s">
        <v>8793</v>
      </c>
      <c r="B6997" s="6" t="s">
        <v>8797</v>
      </c>
      <c r="C6997" s="5" t="str">
        <f>IFERROR(__xludf.DUMMYFUNCTION("GOOGLETRANSLATE(B6997,""en"",""it"")"),"Si taglia a un articolo relativo ai trucchi per aver vinto la partita prima di concludere con la donna che parla l'ultima volta.")</f>
        <v>Si taglia a un articolo relativo ai trucchi per aver vinto la partita prima di concludere con la donna che parla l'ultima volta.</v>
      </c>
    </row>
    <row r="6998">
      <c r="A6998" s="4" t="s">
        <v>8798</v>
      </c>
      <c r="B6998" s="6" t="s">
        <v>8799</v>
      </c>
      <c r="C6998" s="5" t="str">
        <f>IFERROR(__xludf.DUMMYFUNCTION("GOOGLETRANSLATE(B6998,""en"",""it"")"),"Un'immagine mostra un sacchetto di M&amp;M e un sacchetto di malvagi sospesi a mezz'aria, che sembrano versare su una torta.")</f>
        <v>Un'immagine mostra un sacchetto di M&amp;M e un sacchetto di malvagi sospesi a mezz'aria, che sembrano versare su una torta.</v>
      </c>
    </row>
    <row r="6999">
      <c r="A6999" s="4" t="s">
        <v>8798</v>
      </c>
      <c r="B6999" s="4" t="s">
        <v>8800</v>
      </c>
      <c r="C6999" s="5" t="str">
        <f>IFERROR(__xludf.DUMMYFUNCTION("GOOGLETRANSLATE(B6999,""en"",""it"")"),"Una donna cuoci una torta rotonda, glassarla e che la circonda da barrette di cioccolato.")</f>
        <v>Una donna cuoci una torta rotonda, glassarla e che la circonda da barrette di cioccolato.</v>
      </c>
    </row>
    <row r="7000">
      <c r="A7000" s="4" t="s">
        <v>8798</v>
      </c>
      <c r="B7000" s="4" t="s">
        <v>8801</v>
      </c>
      <c r="C7000" s="5" t="str">
        <f>IFERROR(__xludf.DUMMYFUNCTION("GOOGLETRANSLATE(B7000,""en"",""it"")"),"Quindi versa malteser e M &amp; M in ciotole.")</f>
        <v>Quindi versa malteser e M &amp; M in ciotole.</v>
      </c>
    </row>
    <row r="7001">
      <c r="A7001" s="4" t="s">
        <v>8798</v>
      </c>
      <c r="B7001" s="6" t="s">
        <v>8802</v>
      </c>
      <c r="C7001" s="5" t="str">
        <f>IFERROR(__xludf.DUMMYFUNCTION("GOOGLETRANSLATE(B7001,""en"",""it"")"),"Prepara le borse, facendole sembrare pulite prima di spruzzare le caramelle sulla parte superiore della torta, coprendola completamente.")</f>
        <v>Prepara le borse, facendole sembrare pulite prima di spruzzare le caramelle sulla parte superiore della torta, coprendola completamente.</v>
      </c>
    </row>
    <row r="7002">
      <c r="A7002" s="4" t="s">
        <v>8798</v>
      </c>
      <c r="B7002" s="6" t="s">
        <v>8803</v>
      </c>
      <c r="C7002" s="5" t="str">
        <f>IFERROR(__xludf.DUMMYFUNCTION("GOOGLETRANSLATE(B7002,""en"",""it"")"),"Poi mette i bastoncini nella torta e corre glacciando sui lati degli stuck prima di aderire alle candele ai bastoncini.")</f>
        <v>Poi mette i bastoncini nella torta e corre glacciando sui lati degli stuck prima di aderire alle candele ai bastoncini.</v>
      </c>
    </row>
    <row r="7003">
      <c r="A7003" s="4" t="s">
        <v>8798</v>
      </c>
      <c r="B7003" s="4" t="s">
        <v>8804</v>
      </c>
      <c r="C7003" s="5" t="str">
        <f>IFERROR(__xludf.DUMMYFUNCTION("GOOGLETRANSLATE(B7003,""en"",""it"")"),"Quindi bilancia le borse in cima ai bastoncini.")</f>
        <v>Quindi bilancia le borse in cima ai bastoncini.</v>
      </c>
    </row>
    <row r="7004">
      <c r="A7004" s="4" t="s">
        <v>8805</v>
      </c>
      <c r="B7004" s="4" t="s">
        <v>8806</v>
      </c>
      <c r="C7004" s="5" t="str">
        <f>IFERROR(__xludf.DUMMYFUNCTION("GOOGLETRANSLATE(B7004,""en"",""it"")"),"Diverse persone si stanno preparando a giocare a pallavolo sulla spiaggia.")</f>
        <v>Diverse persone si stanno preparando a giocare a pallavolo sulla spiaggia.</v>
      </c>
    </row>
    <row r="7005">
      <c r="A7005" s="4" t="s">
        <v>8805</v>
      </c>
      <c r="B7005" s="6" t="s">
        <v>8807</v>
      </c>
      <c r="C7005" s="5" t="str">
        <f>IFERROR(__xludf.DUMMYFUNCTION("GOOGLETRANSLATE(B7005,""en"",""it"")"),"La fotocamera si zoom e le persone iniziano a giocare, lanciandosi avanti e indietro.")</f>
        <v>La fotocamera si zoom e le persone iniziano a giocare, lanciandosi avanti e indietro.</v>
      </c>
    </row>
    <row r="7006">
      <c r="A7006" s="4" t="s">
        <v>8808</v>
      </c>
      <c r="B7006" s="4" t="s">
        <v>8809</v>
      </c>
      <c r="C7006" s="5" t="str">
        <f>IFERROR(__xludf.DUMMYFUNCTION("GOOGLETRANSLATE(B7006,""en"",""it"")"),"Un uomo viene visto in piedi prima di una siepe che si tiene su uno strumento.")</f>
        <v>Un uomo viene visto in piedi prima di una siepe che si tiene su uno strumento.</v>
      </c>
    </row>
    <row r="7007">
      <c r="A7007" s="4" t="s">
        <v>8808</v>
      </c>
      <c r="B7007" s="4" t="s">
        <v>8810</v>
      </c>
      <c r="C7007" s="5" t="str">
        <f>IFERROR(__xludf.DUMMYFUNCTION("GOOGLETRANSLATE(B7007,""en"",""it"")"),"L'uomo usa lo strumento lungo tutta la siepe mentre si taglia la parte superiore.")</f>
        <v>L'uomo usa lo strumento lungo tutta la siepe mentre si taglia la parte superiore.</v>
      </c>
    </row>
    <row r="7008">
      <c r="A7008" s="4" t="s">
        <v>8808</v>
      </c>
      <c r="B7008" s="4" t="s">
        <v>8811</v>
      </c>
      <c r="C7008" s="5" t="str">
        <f>IFERROR(__xludf.DUMMYFUNCTION("GOOGLETRANSLATE(B7008,""en"",""it"")"),"Continua a spingere lo strumento sopra la siepe mentre si allontana dalla telecamera.")</f>
        <v>Continua a spingere lo strumento sopra la siepe mentre si allontana dalla telecamera.</v>
      </c>
    </row>
    <row r="7009">
      <c r="A7009" s="4" t="s">
        <v>8812</v>
      </c>
      <c r="B7009" s="4" t="s">
        <v>8813</v>
      </c>
      <c r="C7009" s="5" t="str">
        <f>IFERROR(__xludf.DUMMYFUNCTION("GOOGLETRANSLATE(B7009,""en"",""it"")"),"Un folto gruppo di persone viene visto cavalcare in auto a paraurti e sbattere l'uno nell'altro.")</f>
        <v>Un folto gruppo di persone viene visto cavalcare in auto a paraurti e sbattere l'uno nell'altro.</v>
      </c>
    </row>
    <row r="7010">
      <c r="A7010" s="4" t="s">
        <v>8812</v>
      </c>
      <c r="B7010" s="4" t="s">
        <v>8814</v>
      </c>
      <c r="C7010" s="5" t="str">
        <f>IFERROR(__xludf.DUMMYFUNCTION("GOOGLETRANSLATE(B7010,""en"",""it"")"),"Le persone continuano a schiantarsi l'una contro l'altra mentre ridono e iniziano a uscire dalla macchina.")</f>
        <v>Le persone continuano a schiantarsi l'una contro l'altra mentre ridono e iniziano a uscire dalla macchina.</v>
      </c>
    </row>
    <row r="7011">
      <c r="A7011" s="4" t="s">
        <v>8815</v>
      </c>
      <c r="B7011" s="4" t="s">
        <v>8816</v>
      </c>
      <c r="C7011" s="5" t="str">
        <f>IFERROR(__xludf.DUMMYFUNCTION("GOOGLETRANSLATE(B7011,""en"",""it"")"),"Due uomini sono sumo che lottano su un anello.")</f>
        <v>Due uomini sono sumo che lottano su un anello.</v>
      </c>
    </row>
    <row r="7012">
      <c r="A7012" s="4" t="s">
        <v>8815</v>
      </c>
      <c r="B7012" s="4" t="s">
        <v>8817</v>
      </c>
      <c r="C7012" s="5" t="str">
        <f>IFERROR(__xludf.DUMMYFUNCTION("GOOGLETRANSLATE(B7012,""en"",""it"")"),"Un uomo in una veste è in piedi dietro di loro.")</f>
        <v>Un uomo in una veste è in piedi dietro di loro.</v>
      </c>
    </row>
    <row r="7013">
      <c r="A7013" s="4" t="s">
        <v>8815</v>
      </c>
      <c r="B7013" s="4" t="s">
        <v>8818</v>
      </c>
      <c r="C7013" s="5" t="str">
        <f>IFERROR(__xludf.DUMMYFUNCTION("GOOGLETRANSLATE(B7013,""en"",""it"")"),"Un uomo gira e cade nel pubblico.")</f>
        <v>Un uomo gira e cade nel pubblico.</v>
      </c>
    </row>
    <row r="7014">
      <c r="A7014" s="4" t="s">
        <v>8819</v>
      </c>
      <c r="B7014" s="4" t="s">
        <v>8820</v>
      </c>
      <c r="C7014" s="5" t="str">
        <f>IFERROR(__xludf.DUMMYFUNCTION("GOOGLETRANSLATE(B7014,""en"",""it"")"),"Un gruppo di uomini gioca a croquet su un grande campo coperto di erba in un evento sociale all'aperto.")</f>
        <v>Un gruppo di uomini gioca a croquet su un grande campo coperto di erba in un evento sociale all'aperto.</v>
      </c>
    </row>
    <row r="7015">
      <c r="A7015" s="4" t="s">
        <v>8819</v>
      </c>
      <c r="B7015" s="6" t="s">
        <v>8821</v>
      </c>
      <c r="C7015" s="5" t="str">
        <f>IFERROR(__xludf.DUMMYFUNCTION("GOOGLETRANSLATE(B7015,""en"",""it"")"),"Gli uomini iniziano a giocare a croquet con un uomo che fa un riferimento sessuale con il croquet stick mentre le persone camminano sull'erba.")</f>
        <v>Gli uomini iniziano a giocare a croquet con un uomo che fa un riferimento sessuale con il croquet stick mentre le persone camminano sull'erba.</v>
      </c>
    </row>
    <row r="7016">
      <c r="A7016" s="4" t="s">
        <v>8819</v>
      </c>
      <c r="B7016" s="6" t="s">
        <v>8822</v>
      </c>
      <c r="C7016" s="5" t="str">
        <f>IFERROR(__xludf.DUMMYFUNCTION("GOOGLETRANSLATE(B7016,""en"",""it"")"),"Il gruppo di uomini è accompagnato da curiosi mentre continuano a manovrare la palla di croquet con le loro mazze.")</f>
        <v>Il gruppo di uomini è accompagnato da curiosi mentre continuano a manovrare la palla di croquet con le loro mazze.</v>
      </c>
    </row>
    <row r="7017">
      <c r="A7017" s="4" t="s">
        <v>8819</v>
      </c>
      <c r="B7017" s="6" t="s">
        <v>8823</v>
      </c>
      <c r="C7017" s="5" t="str">
        <f>IFERROR(__xludf.DUMMYFUNCTION("GOOGLETRANSLATE(B7017,""en"",""it"")"),"Un gol di croquet si ottiene sull'erba da un giocatore con scarpe marroni e pantaloni blu nella clip finale.")</f>
        <v>Un gol di croquet si ottiene sull'erba da un giocatore con scarpe marroni e pantaloni blu nella clip finale.</v>
      </c>
    </row>
    <row r="7018">
      <c r="A7018" s="4" t="s">
        <v>8824</v>
      </c>
      <c r="B7018" s="4" t="s">
        <v>8825</v>
      </c>
      <c r="C7018" s="5" t="str">
        <f>IFERROR(__xludf.DUMMYFUNCTION("GOOGLETRANSLATE(B7018,""en"",""it"")"),"Un nastro di misurazione viene mostrato da vicino.")</f>
        <v>Un nastro di misurazione viene mostrato da vicino.</v>
      </c>
    </row>
    <row r="7019">
      <c r="A7019" s="4" t="s">
        <v>8824</v>
      </c>
      <c r="B7019" s="4" t="s">
        <v>8826</v>
      </c>
      <c r="C7019" s="5" t="str">
        <f>IFERROR(__xludf.DUMMYFUNCTION("GOOGLETRANSLATE(B7019,""en"",""it"")"),"Vediamo una persona in pista che si prepara a correre.")</f>
        <v>Vediamo una persona in pista che si prepara a correre.</v>
      </c>
    </row>
    <row r="7020">
      <c r="A7020" s="4" t="s">
        <v>8824</v>
      </c>
      <c r="B7020" s="4" t="s">
        <v>8827</v>
      </c>
      <c r="C7020" s="5" t="str">
        <f>IFERROR(__xludf.DUMMYFUNCTION("GOOGLETRANSLATE(B7020,""en"",""it"")"),"Corre, facendo un grande salto nella sabbia, atterrando sul numero 18.")</f>
        <v>Corre, facendo un grande salto nella sabbia, atterrando sul numero 18.</v>
      </c>
    </row>
    <row r="7021">
      <c r="A7021" s="4" t="s">
        <v>8828</v>
      </c>
      <c r="B7021" s="4" t="s">
        <v>8829</v>
      </c>
      <c r="C7021" s="5" t="str">
        <f>IFERROR(__xludf.DUMMYFUNCTION("GOOGLETRANSLATE(B7021,""en"",""it"")"),"Diverse clip di persone vengono mostrate salutando la telecamera e guardano le persone in bicicletta.")</f>
        <v>Diverse clip di persone vengono mostrate salutando la telecamera e guardano le persone in bicicletta.</v>
      </c>
    </row>
    <row r="7022">
      <c r="A7022" s="4" t="s">
        <v>8828</v>
      </c>
      <c r="B7022" s="6" t="s">
        <v>8830</v>
      </c>
      <c r="C7022" s="5" t="str">
        <f>IFERROR(__xludf.DUMMYFUNCTION("GOOGLETRANSLATE(B7022,""en"",""it"")"),"Molte persone vengono mostrate in giro per le bici attorno a una lunga pista e la fotocamera in giro.")</f>
        <v>Molte persone vengono mostrate in giro per le bici attorno a una lunga pista e la fotocamera in giro.</v>
      </c>
    </row>
    <row r="7023">
      <c r="A7023" s="4" t="s">
        <v>8831</v>
      </c>
      <c r="B7023" s="4" t="s">
        <v>8832</v>
      </c>
      <c r="C7023" s="5" t="str">
        <f>IFERROR(__xludf.DUMMYFUNCTION("GOOGLETRANSLATE(B7023,""en"",""it"")"),"Una signora si siede in una vasca e si strofina le gambe con acqua mentre indossa un guanto esfoliater.")</f>
        <v>Una signora si siede in una vasca e si strofina le gambe con acqua mentre indossa un guanto esfoliater.</v>
      </c>
    </row>
    <row r="7024">
      <c r="A7024" s="4" t="s">
        <v>8831</v>
      </c>
      <c r="B7024" s="4" t="s">
        <v>8833</v>
      </c>
      <c r="C7024" s="5" t="str">
        <f>IFERROR(__xludf.DUMMYFUNCTION("GOOGLETRANSLATE(B7024,""en"",""it"")"),"La fotocamera si ingrandisce e vediamo che è un set con l'attrezzatura della fotocamera in giro.")</f>
        <v>La fotocamera si ingrandisce e vediamo che è un set con l'attrezzatura della fotocamera in giro.</v>
      </c>
    </row>
    <row r="7025">
      <c r="A7025" s="4" t="s">
        <v>8831</v>
      </c>
      <c r="B7025" s="4" t="s">
        <v>8834</v>
      </c>
      <c r="C7025" s="5" t="str">
        <f>IFERROR(__xludf.DUMMYFUNCTION("GOOGLETRANSLATE(B7025,""en"",""it"")"),"La signora poi si rade le gambe con un rasoio elettrico.")</f>
        <v>La signora poi si rade le gambe con un rasoio elettrico.</v>
      </c>
    </row>
    <row r="7026">
      <c r="A7026" s="4" t="s">
        <v>8831</v>
      </c>
      <c r="B7026" s="4" t="s">
        <v>8835</v>
      </c>
      <c r="C7026" s="5" t="str">
        <f>IFERROR(__xludf.DUMMYFUNCTION("GOOGLETRANSLATE(B7026,""en"",""it"")"),"Vediamo la signora sorridere e continuiamo a radersi le gambe.")</f>
        <v>Vediamo la signora sorridere e continuiamo a radersi le gambe.</v>
      </c>
    </row>
    <row r="7027">
      <c r="A7027" s="4" t="s">
        <v>8836</v>
      </c>
      <c r="B7027" s="4" t="s">
        <v>8837</v>
      </c>
      <c r="C7027" s="5" t="str">
        <f>IFERROR(__xludf.DUMMYFUNCTION("GOOGLETRANSLATE(B7027,""en"",""it"")"),"Un uomo viene mostrato parlare con la telecamera mentre cammina lentamente sul campo con un gruppo di giocatori.")</f>
        <v>Un uomo viene mostrato parlare con la telecamera mentre cammina lentamente sul campo con un gruppo di giocatori.</v>
      </c>
    </row>
    <row r="7028">
      <c r="A7028" s="4" t="s">
        <v>8836</v>
      </c>
      <c r="B7028" s="4" t="s">
        <v>8838</v>
      </c>
      <c r="C7028" s="5" t="str">
        <f>IFERROR(__xludf.DUMMYFUNCTION("GOOGLETRANSLATE(B7028,""en"",""it"")"),"Vengono mostrati vari giocatori uno contro uno con diversi colpi di stadio e città.")</f>
        <v>Vengono mostrati vari giocatori uno contro uno con diversi colpi di stadio e città.</v>
      </c>
    </row>
    <row r="7029">
      <c r="A7029" s="4" t="s">
        <v>8836</v>
      </c>
      <c r="B7029" s="4" t="s">
        <v>8839</v>
      </c>
      <c r="C7029" s="5" t="str">
        <f>IFERROR(__xludf.DUMMYFUNCTION("GOOGLETRANSLATE(B7029,""en"",""it"")"),"Gli atleti si preparano per la partita e vengono mostrati giocando sul campo.")</f>
        <v>Gli atleti si preparano per la partita e vengono mostrati giocando sul campo.</v>
      </c>
    </row>
    <row r="7030">
      <c r="A7030" s="4" t="s">
        <v>8836</v>
      </c>
      <c r="B7030" s="4" t="s">
        <v>8840</v>
      </c>
      <c r="C7030" s="5" t="str">
        <f>IFERROR(__xludf.DUMMYFUNCTION("GOOGLETRANSLATE(B7030,""en"",""it"")"),"Gli uomini tifano quando segnano un goal e si siedono in panchina dopo essere stanchi.")</f>
        <v>Gli uomini tifano quando segnano un goal e si siedono in panchina dopo essere stanchi.</v>
      </c>
    </row>
    <row r="7031">
      <c r="A7031" s="4" t="s">
        <v>8836</v>
      </c>
      <c r="B7031" s="4" t="s">
        <v>8841</v>
      </c>
      <c r="C7031" s="5" t="str">
        <f>IFERROR(__xludf.DUMMYFUNCTION("GOOGLETRANSLATE(B7031,""en"",""it"")"),"Corre attraverso gli stadi e parlano alla telecamera di essere un atleta professionista.")</f>
        <v>Corre attraverso gli stadi e parlano alla telecamera di essere un atleta professionista.</v>
      </c>
    </row>
    <row r="7032">
      <c r="A7032" s="4" t="s">
        <v>8842</v>
      </c>
      <c r="B7032" s="6" t="s">
        <v>8843</v>
      </c>
      <c r="C7032" s="5" t="str">
        <f>IFERROR(__xludf.DUMMYFUNCTION("GOOGLETRANSLATE(B7032,""en"",""it"")"),"C'è una donna nella sua cucina che dimostra come usare la detergente per lavandino composito di Astra Clean, spruzza il lavello della cucina con la bottiglia di astra pulita e quindi usa un pennello per strofinare il lavandino.")</f>
        <v>C'è una donna nella sua cucina che dimostra come usare la detergente per lavandino composito di Astra Clean, spruzza il lavello della cucina con la bottiglia di astra pulita e quindi usa un pennello per strofinare il lavandino.</v>
      </c>
    </row>
    <row r="7033">
      <c r="A7033" s="4" t="s">
        <v>8842</v>
      </c>
      <c r="B7033" s="4" t="s">
        <v>8844</v>
      </c>
      <c r="C7033" s="5" t="str">
        <f>IFERROR(__xludf.DUMMYFUNCTION("GOOGLETRANSLATE(B7033,""en"",""it"")"),"Dopo aver finito, sembra colpita dal lavello della cucina pulito scintillante.")</f>
        <v>Dopo aver finito, sembra colpita dal lavello della cucina pulito scintillante.</v>
      </c>
    </row>
    <row r="7034">
      <c r="A7034" s="4" t="s">
        <v>8842</v>
      </c>
      <c r="B7034" s="4" t="s">
        <v>8845</v>
      </c>
      <c r="C7034" s="5" t="str">
        <f>IFERROR(__xludf.DUMMYFUNCTION("GOOGLETRANSLATE(B7034,""en"",""it"")"),"Mette la bottiglia sul lavandino e si allontana.")</f>
        <v>Mette la bottiglia sul lavandino e si allontana.</v>
      </c>
    </row>
    <row r="7035">
      <c r="A7035" s="4" t="s">
        <v>8846</v>
      </c>
      <c r="B7035" s="4" t="s">
        <v>8847</v>
      </c>
      <c r="C7035" s="5" t="str">
        <f>IFERROR(__xludf.DUMMYFUNCTION("GOOGLETRANSLATE(B7035,""en"",""it"")"),"L'uomo con il grembiule nero sta spazzolando il bancone.")</f>
        <v>L'uomo con il grembiule nero sta spazzolando il bancone.</v>
      </c>
    </row>
    <row r="7036">
      <c r="A7036" s="4" t="s">
        <v>8846</v>
      </c>
      <c r="B7036" s="4" t="s">
        <v>8848</v>
      </c>
      <c r="C7036" s="5" t="str">
        <f>IFERROR(__xludf.DUMMYFUNCTION("GOOGLETRANSLATE(B7036,""en"",""it"")"),"L'uomo in grembiule leviga la tavola da sci, quindi ha spazzato via la polvere.")</f>
        <v>L'uomo in grembiule leviga la tavola da sci, quindi ha spazzato via la polvere.</v>
      </c>
    </row>
    <row r="7037">
      <c r="A7037" s="4" t="s">
        <v>8846</v>
      </c>
      <c r="B7037" s="4" t="s">
        <v>8849</v>
      </c>
      <c r="C7037" s="5" t="str">
        <f>IFERROR(__xludf.DUMMYFUNCTION("GOOGLETRANSLATE(B7037,""en"",""it"")"),"L'uomo mise lo smalto sul tabellone e continua a raschiare e spazzolare la tavola.")</f>
        <v>L'uomo mise lo smalto sul tabellone e continua a raschiare e spazzolare la tavola.</v>
      </c>
    </row>
    <row r="7038">
      <c r="A7038" s="4" t="s">
        <v>8850</v>
      </c>
      <c r="B7038" s="4" t="s">
        <v>8851</v>
      </c>
      <c r="C7038" s="5" t="str">
        <f>IFERROR(__xludf.DUMMYFUNCTION("GOOGLETRANSLATE(B7038,""en"",""it"")"),"Un'introduzione conduce in diverse clip di una persona che cavalcano una collina innevata su uno snowboard.")</f>
        <v>Un'introduzione conduce in diverse clip di una persona che cavalcano una collina innevata su uno snowboard.</v>
      </c>
    </row>
    <row r="7039">
      <c r="A7039" s="4" t="s">
        <v>8850</v>
      </c>
      <c r="B7039" s="6" t="s">
        <v>8852</v>
      </c>
      <c r="C7039" s="5" t="str">
        <f>IFERROR(__xludf.DUMMYFUNCTION("GOOGLETRANSLATE(B7039,""en"",""it"")"),"La persona continua a cavalcare attraverso la neve e cadere a un certo punto ma pulire gli occhiali e parlare con gli altri.")</f>
        <v>La persona continua a cavalcare attraverso la neve e cadere a un certo punto ma pulire gli occhiali e parlare con gli altri.</v>
      </c>
    </row>
    <row r="7040">
      <c r="A7040" s="4" t="s">
        <v>8853</v>
      </c>
      <c r="B7040" s="4" t="s">
        <v>8854</v>
      </c>
      <c r="C7040" s="5" t="str">
        <f>IFERROR(__xludf.DUMMYFUNCTION("GOOGLETRANSLATE(B7040,""en"",""it"")"),"Un grande cortile è mostrato con foglie poste davanti e un uomo che parla alla telecamera.")</f>
        <v>Un grande cortile è mostrato con foglie poste davanti e un uomo che parla alla telecamera.</v>
      </c>
    </row>
    <row r="7041">
      <c r="A7041" s="4" t="s">
        <v>8853</v>
      </c>
      <c r="B7041" s="4" t="s">
        <v>8855</v>
      </c>
      <c r="C7041" s="5" t="str">
        <f>IFERROR(__xludf.DUMMYFUNCTION("GOOGLETRANSLATE(B7041,""en"",""it"")"),"L'uomo spinge le foglie intorno al cortile.")</f>
        <v>L'uomo spinge le foglie intorno al cortile.</v>
      </c>
    </row>
    <row r="7042">
      <c r="A7042" s="4" t="s">
        <v>8853</v>
      </c>
      <c r="B7042" s="4" t="s">
        <v>8856</v>
      </c>
      <c r="C7042" s="5" t="str">
        <f>IFERROR(__xludf.DUMMYFUNCTION("GOOGLETRANSLATE(B7042,""en"",""it"")"),"L'uomo solleva le foglie e parla alla fotocamera.")</f>
        <v>L'uomo solleva le foglie e parla alla fotocamera.</v>
      </c>
    </row>
    <row r="7043">
      <c r="A7043" s="4" t="s">
        <v>8857</v>
      </c>
      <c r="B7043" s="4" t="s">
        <v>8858</v>
      </c>
      <c r="C7043" s="5" t="str">
        <f>IFERROR(__xludf.DUMMYFUNCTION("GOOGLETRANSLATE(B7043,""en"",""it"")"),"Persona in un cane Costome sta camminando all'esterno di una casa innevata.")</f>
        <v>Persona in un cane Costome sta camminando all'esterno di una casa innevata.</v>
      </c>
    </row>
    <row r="7044">
      <c r="A7044" s="4" t="s">
        <v>8857</v>
      </c>
      <c r="B7044" s="4" t="s">
        <v>8859</v>
      </c>
      <c r="C7044" s="5" t="str">
        <f>IFERROR(__xludf.DUMMYFUNCTION("GOOGLETRANSLATE(B7044,""en"",""it"")"),"persona in costume e attraversare la strada verso un'auto.")</f>
        <v>persona in costume e attraversare la strada verso un'auto.</v>
      </c>
    </row>
    <row r="7045">
      <c r="A7045" s="4" t="s">
        <v>8857</v>
      </c>
      <c r="B7045" s="4" t="s">
        <v>8860</v>
      </c>
      <c r="C7045" s="5" t="str">
        <f>IFERROR(__xludf.DUMMYFUNCTION("GOOGLETRANSLATE(B7045,""en"",""it"")"),"Uomo Sart pulire, nevica dalla finestra del conducente e dalla finestra posteriore.")</f>
        <v>Uomo Sart pulire, nevica dalla finestra del conducente e dalla finestra posteriore.</v>
      </c>
    </row>
    <row r="7046">
      <c r="A7046" s="4" t="s">
        <v>8861</v>
      </c>
      <c r="B7046" s="4" t="s">
        <v>8862</v>
      </c>
      <c r="C7046" s="5" t="str">
        <f>IFERROR(__xludf.DUMMYFUNCTION("GOOGLETRANSLATE(B7046,""en"",""it"")"),"Una persona è in cima a una tavola da immersione in alto.")</f>
        <v>Una persona è in cima a una tavola da immersione in alto.</v>
      </c>
    </row>
    <row r="7047">
      <c r="A7047" s="4" t="s">
        <v>8861</v>
      </c>
      <c r="B7047" s="4" t="s">
        <v>8863</v>
      </c>
      <c r="C7047" s="5" t="str">
        <f>IFERROR(__xludf.DUMMYFUNCTION("GOOGLETRANSLATE(B7047,""en"",""it"")"),"Saltano via e si lanciano nell'acqua.")</f>
        <v>Saltano via e si lanciano nell'acqua.</v>
      </c>
    </row>
    <row r="7048">
      <c r="A7048" s="4" t="s">
        <v>8861</v>
      </c>
      <c r="B7048" s="4" t="s">
        <v>8864</v>
      </c>
      <c r="C7048" s="5" t="str">
        <f>IFERROR(__xludf.DUMMYFUNCTION("GOOGLETRANSLATE(B7048,""en"",""it"")"),"La folla osserva l'immersione della persona.")</f>
        <v>La folla osserva l'immersione della persona.</v>
      </c>
    </row>
    <row r="7049">
      <c r="A7049" s="4" t="s">
        <v>8865</v>
      </c>
      <c r="B7049" s="4" t="s">
        <v>8866</v>
      </c>
      <c r="C7049" s="5" t="str">
        <f>IFERROR(__xludf.DUMMYFUNCTION("GOOGLETRANSLATE(B7049,""en"",""it"")"),"Un uomo è visto seduto su un cavallo e cavalcando in una fossa che oscilla una corda.")</f>
        <v>Un uomo è visto seduto su un cavallo e cavalcando in una fossa che oscilla una corda.</v>
      </c>
    </row>
    <row r="7050">
      <c r="A7050" s="4" t="s">
        <v>8865</v>
      </c>
      <c r="B7050" s="4" t="s">
        <v>8867</v>
      </c>
      <c r="C7050" s="5" t="str">
        <f>IFERROR(__xludf.DUMMYFUNCTION("GOOGLETRANSLATE(B7050,""en"",""it"")"),"L'uomo getta la corda su un vitello e salta giù dal cavallo.")</f>
        <v>L'uomo getta la corda su un vitello e salta giù dal cavallo.</v>
      </c>
    </row>
    <row r="7051">
      <c r="A7051" s="4" t="s">
        <v>8865</v>
      </c>
      <c r="B7051" s="4" t="s">
        <v>8868</v>
      </c>
      <c r="C7051" s="5" t="str">
        <f>IFERROR(__xludf.DUMMYFUNCTION("GOOGLETRANSLATE(B7051,""en"",""it"")"),"Lega il polpaccio e termina correndo di nuovo al cavallo.")</f>
        <v>Lega il polpaccio e termina correndo di nuovo al cavallo.</v>
      </c>
    </row>
    <row r="7052">
      <c r="A7052" s="4" t="s">
        <v>8869</v>
      </c>
      <c r="B7052" s="6" t="s">
        <v>8870</v>
      </c>
      <c r="C7052" s="5" t="str">
        <f>IFERROR(__xludf.DUMMYFUNCTION("GOOGLETRANSLATE(B7052,""en"",""it"")"),"Una vista della campagna è vista in più immagini, tra cui edifici, alberi, campi e fiori vicino all'oceano.")</f>
        <v>Una vista della campagna è vista in più immagini, tra cui edifici, alberi, campi e fiori vicino all'oceano.</v>
      </c>
    </row>
    <row r="7053">
      <c r="A7053" s="4" t="s">
        <v>8869</v>
      </c>
      <c r="B7053" s="4" t="s">
        <v>8871</v>
      </c>
      <c r="C7053" s="5" t="str">
        <f>IFERROR(__xludf.DUMMYFUNCTION("GOOGLETRANSLATE(B7053,""en"",""it"")"),"Un uomo viene mostrato in montagna che si arrampica sul lato di una scogliera.")</f>
        <v>Un uomo viene mostrato in montagna che si arrampica sul lato di una scogliera.</v>
      </c>
    </row>
    <row r="7054">
      <c r="A7054" s="4" t="s">
        <v>8872</v>
      </c>
      <c r="B7054" s="4" t="s">
        <v>8873</v>
      </c>
      <c r="C7054" s="5" t="str">
        <f>IFERROR(__xludf.DUMMYFUNCTION("GOOGLETRANSLATE(B7054,""en"",""it"")"),"L'uomo sta mordando il pavimento in una lavanderia.")</f>
        <v>L'uomo sta mordando il pavimento in una lavanderia.</v>
      </c>
    </row>
    <row r="7055">
      <c r="A7055" s="4" t="s">
        <v>8872</v>
      </c>
      <c r="B7055" s="4" t="s">
        <v>8874</v>
      </c>
      <c r="C7055" s="5" t="str">
        <f>IFERROR(__xludf.DUMMYFUNCTION("GOOGLETRANSLATE(B7055,""en"",""it"")"),"L'uomo stringe la scopa in un secchio.")</f>
        <v>L'uomo stringe la scopa in un secchio.</v>
      </c>
    </row>
    <row r="7056">
      <c r="A7056" s="4" t="s">
        <v>8875</v>
      </c>
      <c r="B7056" s="6" t="s">
        <v>8876</v>
      </c>
      <c r="C7056" s="5" t="str">
        <f>IFERROR(__xludf.DUMMYFUNCTION("GOOGLETRANSLATE(B7056,""en"",""it"")"),"Una donna mostra una bambina per girare una maniglia, quindi la bambina sta puzzando un'arancia che gira la maniglia della macchina.")</f>
        <v>Una donna mostra una bambina per girare una maniglia, quindi la bambina sta puzzando un'arancia che gira la maniglia della macchina.</v>
      </c>
    </row>
    <row r="7057">
      <c r="A7057" s="4" t="s">
        <v>8875</v>
      </c>
      <c r="B7057" s="4" t="s">
        <v>8877</v>
      </c>
      <c r="C7057" s="5" t="str">
        <f>IFERROR(__xludf.DUMMYFUNCTION("GOOGLETRANSLATE(B7057,""en"",""it"")"),"Il manico si blocca e la donna cerca di aiutare la ragazza.")</f>
        <v>Il manico si blocca e la donna cerca di aiutare la ragazza.</v>
      </c>
    </row>
    <row r="7058">
      <c r="A7058" s="4" t="s">
        <v>8875</v>
      </c>
      <c r="B7058" s="4" t="s">
        <v>8878</v>
      </c>
      <c r="C7058" s="5" t="str">
        <f>IFERROR(__xludf.DUMMYFUNCTION("GOOGLETRANSLATE(B7058,""en"",""it"")"),"Dopo, la ragazza continua a girare la maniglia per sbucciare l'arancia.")</f>
        <v>Dopo, la ragazza continua a girare la maniglia per sbucciare l'arancia.</v>
      </c>
    </row>
    <row r="7059">
      <c r="A7059" s="4" t="s">
        <v>8879</v>
      </c>
      <c r="B7059" s="6" t="s">
        <v>8880</v>
      </c>
      <c r="C7059" s="5" t="str">
        <f>IFERROR(__xludf.DUMMYFUNCTION("GOOGLETRANSLATE(B7059,""en"",""it"")"),"Un folto gruppo di persone viene visto correre in un campo giocando tra loro mentre la telecamera si lancia nella zona.")</f>
        <v>Un folto gruppo di persone viene visto correre in un campo giocando tra loro mentre la telecamera si lancia nella zona.</v>
      </c>
    </row>
    <row r="7060">
      <c r="A7060" s="4" t="s">
        <v>8879</v>
      </c>
      <c r="B7060" s="6" t="s">
        <v>8881</v>
      </c>
      <c r="C7060" s="5" t="str">
        <f>IFERROR(__xludf.DUMMYFUNCTION("GOOGLETRANSLATE(B7060,""en"",""it"")"),"I giochi continuano mentre le persone tifano sui lati e gli uomini continuano a giocare tra loro.")</f>
        <v>I giochi continuano mentre le persone tifano sui lati e gli uomini continuano a giocare tra loro.</v>
      </c>
    </row>
    <row r="7061">
      <c r="A7061" s="4" t="s">
        <v>8882</v>
      </c>
      <c r="B7061" s="6" t="s">
        <v>8883</v>
      </c>
      <c r="C7061" s="5" t="str">
        <f>IFERROR(__xludf.DUMMYFUNCTION("GOOGLETRANSLATE(B7061,""en"",""it"")"),"Le persone cavalcano cammelli nella sabbia, il cammello si inginocchia e l'uomo e la donna scendono.")</f>
        <v>Le persone cavalcano cammelli nella sabbia, il cammello si inginocchia e l'uomo e la donna scendono.</v>
      </c>
    </row>
    <row r="7062">
      <c r="A7062" s="4" t="s">
        <v>8882</v>
      </c>
      <c r="B7062" s="6" t="s">
        <v>8884</v>
      </c>
      <c r="C7062" s="5" t="str">
        <f>IFERROR(__xludf.DUMMYFUNCTION("GOOGLETRANSLATE(B7062,""en"",""it"")"),"Il cammello nella parte posteriore si inginocchia e le persone scendono sul retro sono le macchine e le persone che camminano nel parcheggio e scattano foto.")</f>
        <v>Il cammello nella parte posteriore si inginocchia e le persone scendono sul retro sono le macchine e le persone che camminano nel parcheggio e scattano foto.</v>
      </c>
    </row>
    <row r="7063">
      <c r="A7063" s="4" t="s">
        <v>8882</v>
      </c>
      <c r="B7063" s="4" t="s">
        <v>8885</v>
      </c>
      <c r="C7063" s="5" t="str">
        <f>IFERROR(__xludf.DUMMYFUNCTION("GOOGLETRANSLATE(B7063,""en"",""it"")"),"Gli uomini vanno su un cammello e il cammello si alza.")</f>
        <v>Gli uomini vanno su un cammello e il cammello si alza.</v>
      </c>
    </row>
    <row r="7064">
      <c r="A7064" s="4" t="s">
        <v>8886</v>
      </c>
      <c r="B7064" s="4" t="s">
        <v>8887</v>
      </c>
      <c r="C7064" s="5" t="str">
        <f>IFERROR(__xludf.DUMMYFUNCTION("GOOGLETRANSLATE(B7064,""en"",""it"")"),"Un uomo si arrampica su una montagna cercando di trovare i punti giusti per tirarsi su.")</f>
        <v>Un uomo si arrampica su una montagna cercando di trovare i punti giusti per tirarsi su.</v>
      </c>
    </row>
    <row r="7065">
      <c r="A7065" s="4" t="s">
        <v>8886</v>
      </c>
      <c r="B7065" s="4" t="s">
        <v>8888</v>
      </c>
      <c r="C7065" s="5" t="str">
        <f>IFERROR(__xludf.DUMMYFUNCTION("GOOGLETRANSLATE(B7065,""en"",""it"")"),"Trova un buon posto per appendere la sua corda sulla montagna e ricomincia a salire.")</f>
        <v>Trova un buon posto per appendere la sua corda sulla montagna e ricomincia a salire.</v>
      </c>
    </row>
    <row r="7066">
      <c r="A7066" s="4" t="s">
        <v>8886</v>
      </c>
      <c r="B7066" s="4" t="s">
        <v>8889</v>
      </c>
      <c r="C7066" s="5" t="str">
        <f>IFERROR(__xludf.DUMMYFUNCTION("GOOGLETRANSLATE(B7066,""en"",""it"")"),"Decide di spostarlo un po 'di più in un posto migliore.")</f>
        <v>Decide di spostarlo un po 'di più in un posto migliore.</v>
      </c>
    </row>
    <row r="7067">
      <c r="A7067" s="4" t="s">
        <v>8886</v>
      </c>
      <c r="B7067" s="4" t="s">
        <v>8890</v>
      </c>
      <c r="C7067" s="5" t="str">
        <f>IFERROR(__xludf.DUMMYFUNCTION("GOOGLETRANSLATE(B7067,""en"",""it"")"),"Quindi, inizia a salire di nuovo lottando un po 'prima di superare finalmente il punto difficile.")</f>
        <v>Quindi, inizia a salire di nuovo lottando un po 'prima di superare finalmente il punto difficile.</v>
      </c>
    </row>
    <row r="7068">
      <c r="A7068" s="4" t="s">
        <v>8891</v>
      </c>
      <c r="B7068" s="4" t="s">
        <v>8892</v>
      </c>
      <c r="C7068" s="5" t="str">
        <f>IFERROR(__xludf.DUMMYFUNCTION("GOOGLETRANSLATE(B7068,""en"",""it"")"),"Un uomo con una camicia nera e guanti bianchi pone palle di biliardo su un tavolo da biliardo.")</f>
        <v>Un uomo con una camicia nera e guanti bianchi pone palle di biliardo su un tavolo da biliardo.</v>
      </c>
    </row>
    <row r="7069">
      <c r="A7069" s="4" t="s">
        <v>8891</v>
      </c>
      <c r="B7069" s="4" t="s">
        <v>8893</v>
      </c>
      <c r="C7069" s="5" t="str">
        <f>IFERROR(__xludf.DUMMYFUNCTION("GOOGLETRANSLATE(B7069,""en"",""it"")"),"Un uomo con una camicia azzurra ispeziona da vicino la posizione delle palline di biliardo.")</f>
        <v>Un uomo con una camicia azzurra ispeziona da vicino la posizione delle palline di biliardo.</v>
      </c>
    </row>
    <row r="7070">
      <c r="A7070" s="4" t="s">
        <v>8891</v>
      </c>
      <c r="B7070" s="6" t="s">
        <v>8894</v>
      </c>
      <c r="C7070" s="5" t="str">
        <f>IFERROR(__xludf.DUMMYFUNCTION("GOOGLETRANSLATE(B7070,""en"",""it"")"),"L'uomo nella camicia azzurra si mette in posizione con il cue stick e rompe le palle da biliardo e le palle vanno in molte direzioni.")</f>
        <v>L'uomo nella camicia azzurra si mette in posizione con il cue stick e rompe le palle da biliardo e le palle vanno in molte direzioni.</v>
      </c>
    </row>
    <row r="7071">
      <c r="A7071" s="4" t="s">
        <v>8891</v>
      </c>
      <c r="B7071" s="4" t="s">
        <v>8895</v>
      </c>
      <c r="C7071" s="5" t="str">
        <f>IFERROR(__xludf.DUMMYFUNCTION("GOOGLETRANSLATE(B7071,""en"",""it"")"),"L'uomo nella camicia nera ritorna e ispeziona il tavolo e poi fa un passo indietro.")</f>
        <v>L'uomo nella camicia nera ritorna e ispeziona il tavolo e poi fa un passo indietro.</v>
      </c>
    </row>
    <row r="7072">
      <c r="A7072" s="4" t="s">
        <v>8891</v>
      </c>
      <c r="B7072" s="6" t="s">
        <v>8896</v>
      </c>
      <c r="C7072" s="5" t="str">
        <f>IFERROR(__xludf.DUMMYFUNCTION("GOOGLETRANSLATE(B7072,""en"",""it"")"),"L'uomo nella camicia azzurra si prepara per il suo prossimo colpo camminando da un lato del tavolo da biliardo all'altro in cerca del suo prossimo colpo.")</f>
        <v>L'uomo nella camicia azzurra si prepara per il suo prossimo colpo camminando da un lato del tavolo da biliardo all'altro in cerca del suo prossimo colpo.</v>
      </c>
    </row>
    <row r="7073">
      <c r="A7073" s="4" t="s">
        <v>8891</v>
      </c>
      <c r="B7073" s="4" t="s">
        <v>8897</v>
      </c>
      <c r="C7073" s="5" t="str">
        <f>IFERROR(__xludf.DUMMYFUNCTION("GOOGLETRANSLATE(B7073,""en"",""it"")"),"Trasmette la punta del cue stick prima di scattare il suo tiro.")</f>
        <v>Trasmette la punta del cue stick prima di scattare il suo tiro.</v>
      </c>
    </row>
    <row r="7074">
      <c r="A7074" s="4" t="s">
        <v>8891</v>
      </c>
      <c r="B7074" s="4" t="s">
        <v>8898</v>
      </c>
      <c r="C7074" s="5" t="str">
        <f>IFERROR(__xludf.DUMMYFUNCTION("GOOGLETRANSLATE(B7074,""en"",""it"")"),"Quindi si prepara per il suo prossimo colpo che cammina attorno al tavolo da biliardo.")</f>
        <v>Quindi si prepara per il suo prossimo colpo che cammina attorno al tavolo da biliardo.</v>
      </c>
    </row>
    <row r="7075">
      <c r="A7075" s="4" t="s">
        <v>8899</v>
      </c>
      <c r="B7075" s="4" t="s">
        <v>8900</v>
      </c>
      <c r="C7075" s="5" t="str">
        <f>IFERROR(__xludf.DUMMYFUNCTION("GOOGLETRANSLATE(B7075,""en"",""it"")"),"L'allenatore sta allenando la sua squadra.")</f>
        <v>L'allenatore sta allenando la sua squadra.</v>
      </c>
    </row>
    <row r="7076">
      <c r="A7076" s="4" t="s">
        <v>8899</v>
      </c>
      <c r="B7076" s="4" t="s">
        <v>8901</v>
      </c>
      <c r="C7076" s="5" t="str">
        <f>IFERROR(__xludf.DUMMYFUNCTION("GOOGLETRANSLATE(B7076,""en"",""it"")"),"Il ragazzo nel nero nella parte posteriore se ne va.")</f>
        <v>Il ragazzo nel nero nella parte posteriore se ne va.</v>
      </c>
    </row>
    <row r="7077">
      <c r="A7077" s="4" t="s">
        <v>8899</v>
      </c>
      <c r="B7077" s="4" t="s">
        <v>8902</v>
      </c>
      <c r="C7077" s="5" t="str">
        <f>IFERROR(__xludf.DUMMYFUNCTION("GOOGLETRANSLATE(B7077,""en"",""it"")"),"L'allenatore sta quindi parlando con i genitori.")</f>
        <v>L'allenatore sta quindi parlando con i genitori.</v>
      </c>
    </row>
    <row r="7078">
      <c r="A7078" s="4" t="s">
        <v>8899</v>
      </c>
      <c r="B7078" s="4" t="s">
        <v>8903</v>
      </c>
      <c r="C7078" s="5" t="str">
        <f>IFERROR(__xludf.DUMMYFUNCTION("GOOGLETRANSLATE(B7078,""en"",""it"")"),"Due nuovi ragazzi arrivano alle spalle.")</f>
        <v>Due nuovi ragazzi arrivano alle spalle.</v>
      </c>
    </row>
    <row r="7079">
      <c r="A7079" s="4" t="s">
        <v>8899</v>
      </c>
      <c r="B7079" s="4" t="s">
        <v>8904</v>
      </c>
      <c r="C7079" s="5" t="str">
        <f>IFERROR(__xludf.DUMMYFUNCTION("GOOGLETRANSLATE(B7079,""en"",""it"")"),"L'allenatore è in campo con le squadre.")</f>
        <v>L'allenatore è in campo con le squadre.</v>
      </c>
    </row>
    <row r="7080">
      <c r="A7080" s="4" t="s">
        <v>8899</v>
      </c>
      <c r="B7080" s="4" t="s">
        <v>8905</v>
      </c>
      <c r="C7080" s="5" t="str">
        <f>IFERROR(__xludf.DUMMYFUNCTION("GOOGLETRANSLATE(B7080,""en"",""it"")"),"L'autobus giallo passa davanti.")</f>
        <v>L'autobus giallo passa davanti.</v>
      </c>
    </row>
    <row r="7081">
      <c r="A7081" s="4" t="s">
        <v>8899</v>
      </c>
      <c r="B7081" s="4" t="s">
        <v>8906</v>
      </c>
      <c r="C7081" s="5" t="str">
        <f>IFERROR(__xludf.DUMMYFUNCTION("GOOGLETRANSLATE(B7081,""en"",""it"")"),"La squadra rossa sta ascoltando l'allenatore.")</f>
        <v>La squadra rossa sta ascoltando l'allenatore.</v>
      </c>
    </row>
    <row r="7082">
      <c r="A7082" s="4" t="s">
        <v>8899</v>
      </c>
      <c r="B7082" s="4" t="s">
        <v>8907</v>
      </c>
      <c r="C7082" s="5" t="str">
        <f>IFERROR(__xludf.DUMMYFUNCTION("GOOGLETRANSLATE(B7082,""en"",""it"")"),"I bambini stanno giocando.")</f>
        <v>I bambini stanno giocando.</v>
      </c>
    </row>
    <row r="7083">
      <c r="A7083" s="4" t="s">
        <v>8899</v>
      </c>
      <c r="B7083" s="4" t="s">
        <v>8908</v>
      </c>
      <c r="C7083" s="5" t="str">
        <f>IFERROR(__xludf.DUMMYFUNCTION("GOOGLETRANSLATE(B7083,""en"",""it"")"),"I bambini stanno ascoltando l'allenatore.")</f>
        <v>I bambini stanno ascoltando l'allenatore.</v>
      </c>
    </row>
    <row r="7084">
      <c r="A7084" s="4" t="s">
        <v>8899</v>
      </c>
      <c r="B7084" s="4" t="s">
        <v>8909</v>
      </c>
      <c r="C7084" s="5" t="str">
        <f>IFERROR(__xludf.DUMMYFUNCTION("GOOGLETRANSLATE(B7084,""en"",""it"")"),"Il gioco è di nuovo acceso.")</f>
        <v>Il gioco è di nuovo acceso.</v>
      </c>
    </row>
    <row r="7085">
      <c r="A7085" s="4" t="s">
        <v>8899</v>
      </c>
      <c r="B7085" s="4" t="s">
        <v>8910</v>
      </c>
      <c r="C7085" s="5" t="str">
        <f>IFERROR(__xludf.DUMMYFUNCTION("GOOGLETRANSLATE(B7085,""en"",""it"")"),"Un autobus bianco passa davanti.")</f>
        <v>Un autobus bianco passa davanti.</v>
      </c>
    </row>
    <row r="7086">
      <c r="A7086" s="4" t="s">
        <v>8911</v>
      </c>
      <c r="B7086" s="4" t="s">
        <v>8912</v>
      </c>
      <c r="C7086" s="5" t="str">
        <f>IFERROR(__xludf.DUMMYFUNCTION("GOOGLETRANSLATE(B7086,""en"",""it"")"),"La parola surfer è sullo schermo.")</f>
        <v>La parola surfer è sullo schermo.</v>
      </c>
    </row>
    <row r="7087">
      <c r="A7087" s="4" t="s">
        <v>8911</v>
      </c>
      <c r="B7087" s="4" t="s">
        <v>8913</v>
      </c>
      <c r="C7087" s="5" t="str">
        <f>IFERROR(__xludf.DUMMYFUNCTION("GOOGLETRANSLATE(B7087,""en"",""it"")"),"Un surfista sta prendendo alla telecamera.")</f>
        <v>Un surfista sta prendendo alla telecamera.</v>
      </c>
    </row>
    <row r="7088">
      <c r="A7088" s="4" t="s">
        <v>8911</v>
      </c>
      <c r="B7088" s="4" t="s">
        <v>8914</v>
      </c>
      <c r="C7088" s="5" t="str">
        <f>IFERROR(__xludf.DUMMYFUNCTION("GOOGLETRANSLATE(B7088,""en"",""it"")"),"Un surfista sta camminando sulla spiaggia.")</f>
        <v>Un surfista sta camminando sulla spiaggia.</v>
      </c>
    </row>
    <row r="7089">
      <c r="A7089" s="4" t="s">
        <v>8911</v>
      </c>
      <c r="B7089" s="4" t="s">
        <v>8915</v>
      </c>
      <c r="C7089" s="5" t="str">
        <f>IFERROR(__xludf.DUMMYFUNCTION("GOOGLETRANSLATE(B7089,""en"",""it"")"),"Un uomo naviga nell'acqua mentre l'uomo sta riprendendo.")</f>
        <v>Un uomo naviga nell'acqua mentre l'uomo sta riprendendo.</v>
      </c>
    </row>
    <row r="7090">
      <c r="A7090" s="4" t="s">
        <v>8911</v>
      </c>
      <c r="B7090" s="4" t="s">
        <v>8916</v>
      </c>
      <c r="C7090" s="5" t="str">
        <f>IFERROR(__xludf.DUMMYFUNCTION("GOOGLETRANSLATE(B7090,""en"",""it"")"),"Ci sono una folla di surfisti sull'isola.")</f>
        <v>Ci sono una folla di surfisti sull'isola.</v>
      </c>
    </row>
    <row r="7091">
      <c r="A7091" s="4" t="s">
        <v>8911</v>
      </c>
      <c r="B7091" s="4" t="s">
        <v>8917</v>
      </c>
      <c r="C7091" s="5" t="str">
        <f>IFERROR(__xludf.DUMMYFUNCTION("GOOGLETRANSLATE(B7091,""en"",""it"")"),"Diversi surfisti sono in acqua e l'uomo è ancora in fase di intervista.")</f>
        <v>Diversi surfisti sono in acqua e l'uomo è ancora in fase di intervista.</v>
      </c>
    </row>
    <row r="7092">
      <c r="A7092" s="4" t="s">
        <v>8918</v>
      </c>
      <c r="B7092" s="6" t="s">
        <v>8919</v>
      </c>
      <c r="C7092" s="5" t="str">
        <f>IFERROR(__xludf.DUMMYFUNCTION("GOOGLETRANSLATE(B7092,""en"",""it"")"),"Due persone sono viste sedute davanti a una piscina e ne porta un'altra sull'acqua su una tavola.")</f>
        <v>Due persone sono viste sedute davanti a una piscina e ne porta un'altra sull'acqua su una tavola.</v>
      </c>
    </row>
    <row r="7093">
      <c r="A7093" s="4" t="s">
        <v>8918</v>
      </c>
      <c r="B7093" s="4" t="s">
        <v>8920</v>
      </c>
      <c r="C7093" s="5" t="str">
        <f>IFERROR(__xludf.DUMMYFUNCTION("GOOGLETRANSLATE(B7093,""en"",""it"")"),"La persona cade quando un altro tenta di cavalcare il tabellone sull'acqua.")</f>
        <v>La persona cade quando un altro tenta di cavalcare il tabellone sull'acqua.</v>
      </c>
    </row>
    <row r="7094">
      <c r="A7094" s="4" t="s">
        <v>8918</v>
      </c>
      <c r="B7094" s="6" t="s">
        <v>8921</v>
      </c>
      <c r="C7094" s="5" t="str">
        <f>IFERROR(__xludf.DUMMYFUNCTION("GOOGLETRANSLATE(B7094,""en"",""it"")"),"La persona continua a cavalcare lungo l'acqua e termina con la fotocamera che si panoramica intorno all'area e il ragazzo cade.")</f>
        <v>La persona continua a cavalcare lungo l'acqua e termina con la fotocamera che si panoramica intorno all'area e il ragazzo cade.</v>
      </c>
    </row>
    <row r="7095">
      <c r="A7095" s="4" t="s">
        <v>8922</v>
      </c>
      <c r="B7095" s="4" t="s">
        <v>8923</v>
      </c>
      <c r="C7095" s="5" t="str">
        <f>IFERROR(__xludf.DUMMYFUNCTION("GOOGLETRANSLATE(B7095,""en"",""it"")"),"Diverse coppie vengono mostrate che corrono fuori e svolgono varie attività all'esterno al sole.")</f>
        <v>Diverse coppie vengono mostrate che corrono fuori e svolgono varie attività all'esterno al sole.</v>
      </c>
    </row>
    <row r="7096">
      <c r="A7096" s="4" t="s">
        <v>8922</v>
      </c>
      <c r="B7096" s="6" t="s">
        <v>8924</v>
      </c>
      <c r="C7096" s="5" t="str">
        <f>IFERROR(__xludf.DUMMYFUNCTION("GOOGLETRANSLATE(B7096,""en"",""it"")"),"Sempre più persone iniziano a parlare e ognuna di esse ha una bottiglia di schermo solare e inizia a spruzzarlo sulle braccia nel tentativo di proteggere la loro pelle.")</f>
        <v>Sempre più persone iniziano a parlare e ognuna di esse ha una bottiglia di schermo solare e inizia a spruzzarlo sulle braccia nel tentativo di proteggere la loro pelle.</v>
      </c>
    </row>
    <row r="7097">
      <c r="A7097" s="4" t="s">
        <v>8922</v>
      </c>
      <c r="B7097" s="6" t="s">
        <v>8925</v>
      </c>
      <c r="C7097" s="5" t="str">
        <f>IFERROR(__xludf.DUMMYFUNCTION("GOOGLETRANSLATE(B7097,""en"",""it"")"),"Viene quindi mostrata una piccola bottiglia blu della schermata solare e molte altre persone iniziano a parlare del prodotto.")</f>
        <v>Viene quindi mostrata una piccola bottiglia blu della schermata solare e molte altre persone iniziano a parlare del prodotto.</v>
      </c>
    </row>
    <row r="7098">
      <c r="A7098" s="4" t="s">
        <v>8922</v>
      </c>
      <c r="B7098" s="4" t="s">
        <v>8926</v>
      </c>
      <c r="C7098" s="5" t="str">
        <f>IFERROR(__xludf.DUMMYFUNCTION("GOOGLETRANSLATE(B7098,""en"",""it"")"),"Viene mostrato il sito Web per acquistare il prodotto e l'intero video riproduce come se fosse il suo ciclo.")</f>
        <v>Viene mostrato il sito Web per acquistare il prodotto e l'intero video riproduce come se fosse il suo ciclo.</v>
      </c>
    </row>
    <row r="7099">
      <c r="A7099" s="4" t="s">
        <v>8927</v>
      </c>
      <c r="B7099" s="4" t="s">
        <v>8928</v>
      </c>
      <c r="C7099" s="5" t="str">
        <f>IFERROR(__xludf.DUMMYFUNCTION("GOOGLETRANSLATE(B7099,""en"",""it"")"),"Un ragazzo tiene uno scrub di piatti mentre parla.")</f>
        <v>Un ragazzo tiene uno scrub di piatti mentre parla.</v>
      </c>
    </row>
    <row r="7100">
      <c r="A7100" s="4" t="s">
        <v>8927</v>
      </c>
      <c r="B7100" s="4" t="s">
        <v>8929</v>
      </c>
      <c r="C7100" s="5" t="str">
        <f>IFERROR(__xludf.DUMMYFUNCTION("GOOGLETRANSLATE(B7100,""en"",""it"")"),"Si gira verso il lavandino dietro di lui dove ci sono piatti seduti in acqua.")</f>
        <v>Si gira verso il lavandino dietro di lui dove ci sono piatti seduti in acqua.</v>
      </c>
    </row>
    <row r="7101">
      <c r="A7101" s="4" t="s">
        <v>8927</v>
      </c>
      <c r="B7101" s="4" t="s">
        <v>8930</v>
      </c>
      <c r="C7101" s="5" t="str">
        <f>IFERROR(__xludf.DUMMYFUNCTION("GOOGLETRANSLATE(B7101,""en"",""it"")"),"Lascia cadere lo scrub nel lavandino e pone un vetro.")</f>
        <v>Lascia cadere lo scrub nel lavandino e pone un vetro.</v>
      </c>
    </row>
    <row r="7102">
      <c r="A7102" s="4" t="s">
        <v>8927</v>
      </c>
      <c r="B7102" s="4" t="s">
        <v>8931</v>
      </c>
      <c r="C7102" s="5" t="str">
        <f>IFERROR(__xludf.DUMMYFUNCTION("GOOGLETRANSLATE(B7102,""en"",""it"")"),"Afferra un asciugamano e pulisce il vetro e si muove anche per strofinare il vetro.")</f>
        <v>Afferra un asciugamano e pulisce il vetro e si muove anche per strofinare il vetro.</v>
      </c>
    </row>
    <row r="7103">
      <c r="A7103" s="4" t="s">
        <v>8927</v>
      </c>
      <c r="B7103" s="6" t="s">
        <v>8932</v>
      </c>
      <c r="C7103" s="5" t="str">
        <f>IFERROR(__xludf.DUMMYFUNCTION("GOOGLETRANSLATE(B7103,""en"",""it"")"),"Mette giù lo scrub e afferra il vetro per posizionarlo nel lato destro del lavandino dove bagna il vetro e lo mette via nella griglia.")</f>
        <v>Mette giù lo scrub e afferra il vetro per posizionarlo nel lato destro del lavandino dove bagna il vetro e lo mette via nella griglia.</v>
      </c>
    </row>
    <row r="7104">
      <c r="A7104" s="4" t="s">
        <v>8927</v>
      </c>
      <c r="B7104" s="4" t="s">
        <v>8933</v>
      </c>
      <c r="C7104" s="5" t="str">
        <f>IFERROR(__xludf.DUMMYFUNCTION("GOOGLETRANSLATE(B7104,""en"",""it"")"),"Si muove per afferrare l'asciugamano e pulire un piatto.")</f>
        <v>Si muove per afferrare l'asciugamano e pulire un piatto.</v>
      </c>
    </row>
    <row r="7105">
      <c r="A7105" s="4" t="s">
        <v>8927</v>
      </c>
      <c r="B7105" s="4" t="s">
        <v>8934</v>
      </c>
      <c r="C7105" s="5" t="str">
        <f>IFERROR(__xludf.DUMMYFUNCTION("GOOGLETRANSLATE(B7105,""en"",""it"")"),"Immerge il piatto in acqua e lo sposta sulla griglia.")</f>
        <v>Immerge il piatto in acqua e lo sposta sulla griglia.</v>
      </c>
    </row>
    <row r="7106">
      <c r="A7106" s="4" t="s">
        <v>8927</v>
      </c>
      <c r="B7106" s="4" t="s">
        <v>8935</v>
      </c>
      <c r="C7106" s="5" t="str">
        <f>IFERROR(__xludf.DUMMYFUNCTION("GOOGLETRANSLATE(B7106,""en"",""it"")"),"Ritorna per usare l'asciugamano e pulire un coltello.")</f>
        <v>Ritorna per usare l'asciugamano e pulire un coltello.</v>
      </c>
    </row>
    <row r="7107">
      <c r="A7107" s="4" t="s">
        <v>8927</v>
      </c>
      <c r="B7107" s="6" t="s">
        <v>8936</v>
      </c>
      <c r="C7107" s="5" t="str">
        <f>IFERROR(__xludf.DUMMYFUNCTION("GOOGLETRANSLATE(B7107,""en"",""it"")"),"Immerge il coltello nell'acqua e lo sposta sulla griglia, il ragazzo torna a pulire una forchetta con l'asciugamano.")</f>
        <v>Immerge il coltello nell'acqua e lo sposta sulla griglia, il ragazzo torna a pulire una forchetta con l'asciugamano.</v>
      </c>
    </row>
    <row r="7108">
      <c r="A7108" s="4" t="s">
        <v>8927</v>
      </c>
      <c r="B7108" s="4" t="s">
        <v>8937</v>
      </c>
      <c r="C7108" s="5" t="str">
        <f>IFERROR(__xludf.DUMMYFUNCTION("GOOGLETRANSLATE(B7108,""en"",""it"")"),"Sposta la forchetta in acqua per risciacquare il sapone.")</f>
        <v>Sposta la forchetta in acqua per risciacquare il sapone.</v>
      </c>
    </row>
    <row r="7109">
      <c r="A7109" s="4" t="s">
        <v>8927</v>
      </c>
      <c r="B7109" s="4" t="s">
        <v>8938</v>
      </c>
      <c r="C7109" s="5" t="str">
        <f>IFERROR(__xludf.DUMMYFUNCTION("GOOGLETRANSLATE(B7109,""en"",""it"")"),"Il ragazzo si trova di fronte alla telecamera, parlando.")</f>
        <v>Il ragazzo si trova di fronte alla telecamera, parlando.</v>
      </c>
    </row>
    <row r="7110">
      <c r="A7110" s="4" t="s">
        <v>8939</v>
      </c>
      <c r="B7110" s="6" t="s">
        <v>8940</v>
      </c>
      <c r="C7110" s="5" t="str">
        <f>IFERROR(__xludf.DUMMYFUNCTION("GOOGLETRANSLATE(B7110,""en"",""it"")"),"Un uomo viene visto registrare un bambino piccolo che si sta pettinando i capelli da una donna in piedi dietro di lei.")</f>
        <v>Un uomo viene visto registrare un bambino piccolo che si sta pettinando i capelli da una donna in piedi dietro di lei.</v>
      </c>
    </row>
    <row r="7111">
      <c r="A7111" s="4" t="s">
        <v>8939</v>
      </c>
      <c r="B7111" s="4" t="s">
        <v>8941</v>
      </c>
      <c r="C7111" s="5" t="str">
        <f>IFERROR(__xludf.DUMMYFUNCTION("GOOGLETRANSLATE(B7111,""en"",""it"")"),"Diverse persone e bambini guardano sul lato e la donna mette i capelli delle ragazze in coda di cavallo.")</f>
        <v>Diverse persone e bambini guardano sul lato e la donna mette i capelli delle ragazze in coda di cavallo.</v>
      </c>
    </row>
    <row r="7112">
      <c r="A7112" s="4" t="s">
        <v>8939</v>
      </c>
      <c r="B7112" s="6" t="s">
        <v>8942</v>
      </c>
      <c r="C7112" s="5" t="str">
        <f>IFERROR(__xludf.DUMMYFUNCTION("GOOGLETRANSLATE(B7112,""en"",""it"")"),"Parla alla telecamera e taglia i capelli delle ragazze quando il papà gli mette i capelli in testa e fa ridere i bambini.")</f>
        <v>Parla alla telecamera e taglia i capelli delle ragazze quando il papà gli mette i capelli in testa e fa ridere i bambini.</v>
      </c>
    </row>
    <row r="7113">
      <c r="A7113" s="4" t="s">
        <v>8939</v>
      </c>
      <c r="B7113" s="6" t="s">
        <v>8943</v>
      </c>
      <c r="C7113" s="5" t="str">
        <f>IFERROR(__xludf.DUMMYFUNCTION("GOOGLETRANSLATE(B7113,""en"",""it"")"),"La donna continua a tagliarsi i capelli mentre gli altri guardano e parlano alla telecamera, seguiti dalla donna che raddrizzano i capelli e la mostra al rallentatore.")</f>
        <v>La donna continua a tagliarsi i capelli mentre gli altri guardano e parlano alla telecamera, seguiti dalla donna che raddrizzano i capelli e la mostra al rallentatore.</v>
      </c>
    </row>
    <row r="7114">
      <c r="A7114" s="4" t="s">
        <v>8939</v>
      </c>
      <c r="B7114" s="4" t="s">
        <v>8944</v>
      </c>
      <c r="C7114" s="5" t="str">
        <f>IFERROR(__xludf.DUMMYFUNCTION("GOOGLETRANSLATE(B7114,""en"",""it"")"),"La ragazza tiene i capelli e urla per l'eccitazione per la telecamera.")</f>
        <v>La ragazza tiene i capelli e urla per l'eccitazione per la telecamera.</v>
      </c>
    </row>
    <row r="7115">
      <c r="A7115" s="4" t="s">
        <v>8945</v>
      </c>
      <c r="B7115" s="6" t="s">
        <v>8946</v>
      </c>
      <c r="C7115" s="5" t="str">
        <f>IFERROR(__xludf.DUMMYFUNCTION("GOOGLETRANSLATE(B7115,""en"",""it"")"),"Due ragazze vengono viste parlare alla telecamera mentre tiene le tazze in mano e ridono l'una con l'altra.")</f>
        <v>Due ragazze vengono viste parlare alla telecamera mentre tiene le tazze in mano e ridono l'una con l'altra.</v>
      </c>
    </row>
    <row r="7116">
      <c r="A7116" s="4" t="s">
        <v>8945</v>
      </c>
      <c r="B7116" s="6" t="s">
        <v>8947</v>
      </c>
      <c r="C7116" s="5" t="str">
        <f>IFERROR(__xludf.DUMMYFUNCTION("GOOGLETRANSLATE(B7116,""en"",""it"")"),"La telecamera si zoomina sulle tazze e la ragazza continua a ridere mentre finalmente beve dalla tazza.")</f>
        <v>La telecamera si zoomina sulle tazze e la ragazza continua a ridere mentre finalmente beve dalla tazza.</v>
      </c>
    </row>
    <row r="7117">
      <c r="A7117" s="4" t="s">
        <v>8945</v>
      </c>
      <c r="B7117" s="4" t="s">
        <v>8948</v>
      </c>
      <c r="C7117" s="5" t="str">
        <f>IFERROR(__xludf.DUMMYFUNCTION("GOOGLETRANSLATE(B7117,""en"",""it"")"),"Tiene il liquido in bocca e lo sputano e ridono alla fine.")</f>
        <v>Tiene il liquido in bocca e lo sputano e ridono alla fine.</v>
      </c>
    </row>
    <row r="7118">
      <c r="A7118" s="4" t="s">
        <v>8949</v>
      </c>
      <c r="B7118" s="4" t="s">
        <v>8950</v>
      </c>
      <c r="C7118" s="5" t="str">
        <f>IFERROR(__xludf.DUMMYFUNCTION("GOOGLETRANSLATE(B7118,""en"",""it"")"),"Viene visto un uomo parlare alla telecamera e inchinarsi alla telecamera.")</f>
        <v>Viene visto un uomo parlare alla telecamera e inchinarsi alla telecamera.</v>
      </c>
    </row>
    <row r="7119">
      <c r="A7119" s="4" t="s">
        <v>8949</v>
      </c>
      <c r="B7119" s="4" t="s">
        <v>8951</v>
      </c>
      <c r="C7119" s="5" t="str">
        <f>IFERROR(__xludf.DUMMYFUNCTION("GOOGLETRANSLATE(B7119,""en"",""it"")"),"L'uomo si inginocchia in ginocchio più volte e si inchina di nuovo.")</f>
        <v>L'uomo si inginocchia in ginocchio più volte e si inchina di nuovo.</v>
      </c>
    </row>
    <row r="7120">
      <c r="A7120" s="4" t="s">
        <v>8949</v>
      </c>
      <c r="B7120" s="4" t="s">
        <v>8952</v>
      </c>
      <c r="C7120" s="5" t="str">
        <f>IFERROR(__xludf.DUMMYFUNCTION("GOOGLETRANSLATE(B7120,""en"",""it"")"),"Si gira ancora inchinandosi e finisce alzandosi in piedi.")</f>
        <v>Si gira ancora inchinandosi e finisce alzandosi in piedi.</v>
      </c>
    </row>
    <row r="7121">
      <c r="A7121" s="4" t="s">
        <v>8953</v>
      </c>
      <c r="B7121" s="6" t="s">
        <v>8954</v>
      </c>
      <c r="C7121" s="5" t="str">
        <f>IFERROR(__xludf.DUMMYFUNCTION("GOOGLETRANSLATE(B7121,""en"",""it"")"),"Prima di un evento di sollevamento di pesi olimpici, viene mostrato un concorrente cinese preparando allenandosi in palestra.")</f>
        <v>Prima di un evento di sollevamento di pesi olimpici, viene mostrato un concorrente cinese preparando allenandosi in palestra.</v>
      </c>
    </row>
    <row r="7122">
      <c r="A7122" s="4" t="s">
        <v>8953</v>
      </c>
      <c r="B7122" s="4" t="s">
        <v>8955</v>
      </c>
      <c r="C7122" s="5" t="str">
        <f>IFERROR(__xludf.DUMMYFUNCTION("GOOGLETRANSLATE(B7122,""en"",""it"")"),"Quindi si esercita per l'evento sollevando i grandi pesi di dimensioni olimpiche.")</f>
        <v>Quindi si esercita per l'evento sollevando i grandi pesi di dimensioni olimpiche.</v>
      </c>
    </row>
    <row r="7123">
      <c r="A7123" s="4" t="s">
        <v>8953</v>
      </c>
      <c r="B7123" s="6" t="s">
        <v>8956</v>
      </c>
      <c r="C7123" s="5" t="str">
        <f>IFERROR(__xludf.DUMMYFUNCTION("GOOGLETRANSLATE(B7123,""en"",""it"")"),"Alla competizione, raccoglie i pesi da una posizione accovacciata prima di alzarsi e poi buttare i pesi al completamento.")</f>
        <v>Alla competizione, raccoglie i pesi da una posizione accovacciata prima di alzarsi e poi buttare i pesi al completamento.</v>
      </c>
    </row>
    <row r="7124">
      <c r="A7124" s="4" t="s">
        <v>8953</v>
      </c>
      <c r="B7124" s="4" t="s">
        <v>8957</v>
      </c>
      <c r="C7124" s="5" t="str">
        <f>IFERROR(__xludf.DUMMYFUNCTION("GOOGLETRANSLATE(B7124,""en"",""it"")"),"Vengono mostrati vari sollevamenti di successo e il concorrente abbraccia il suo allenatore.")</f>
        <v>Vengono mostrati vari sollevamenti di successo e il concorrente abbraccia il suo allenatore.</v>
      </c>
    </row>
    <row r="7125">
      <c r="A7125" s="4" t="s">
        <v>8958</v>
      </c>
      <c r="B7125" s="4" t="s">
        <v>8959</v>
      </c>
      <c r="C7125" s="5" t="str">
        <f>IFERROR(__xludf.DUMMYFUNCTION("GOOGLETRANSLATE(B7125,""en"",""it"")"),"Le montagne sono viste in lontananza con le nuvole che si muovono sopra durante il pomeriggio.")</f>
        <v>Le montagne sono viste in lontananza con le nuvole che si muovono sopra durante il pomeriggio.</v>
      </c>
    </row>
    <row r="7126">
      <c r="A7126" s="4" t="s">
        <v>8958</v>
      </c>
      <c r="B7126" s="4" t="s">
        <v>8960</v>
      </c>
      <c r="C7126" s="5" t="str">
        <f>IFERROR(__xludf.DUMMYFUNCTION("GOOGLETRANSLATE(B7126,""en"",""it"")"),"Gli alpinisti usano corde e ganci per clip di metallo lungo le crepe in una faccia rocciosa trasparente.")</f>
        <v>Gli alpinisti usano corde e ganci per clip di metallo lungo le crepe in una faccia rocciosa trasparente.</v>
      </c>
    </row>
    <row r="7127">
      <c r="A7127" s="4" t="s">
        <v>8958</v>
      </c>
      <c r="B7127" s="4" t="s">
        <v>8961</v>
      </c>
      <c r="C7127" s="5" t="str">
        <f>IFERROR(__xludf.DUMMYFUNCTION("GOOGLETRANSLATE(B7127,""en"",""it"")"),"Lo scalatore mette un tondo di metallo nella fessura della faccia di roccia.")</f>
        <v>Lo scalatore mette un tondo di metallo nella fessura della faccia di roccia.</v>
      </c>
    </row>
    <row r="7128">
      <c r="A7128" s="4" t="s">
        <v>8958</v>
      </c>
      <c r="B7128" s="4" t="s">
        <v>8962</v>
      </c>
      <c r="C7128" s="5" t="str">
        <f>IFERROR(__xludf.DUMMYFUNCTION("GOOGLETRANSLATE(B7128,""en"",""it"")"),"Le nuvole si muovono su una catena montuosa al tramonto.")</f>
        <v>Le nuvole si muovono su una catena montuosa al tramonto.</v>
      </c>
    </row>
    <row r="7129">
      <c r="A7129" s="4" t="s">
        <v>8963</v>
      </c>
      <c r="B7129" s="6" t="s">
        <v>8964</v>
      </c>
      <c r="C7129" s="5" t="str">
        <f>IFERROR(__xludf.DUMMYFUNCTION("GOOGLETRANSLATE(B7129,""en"",""it"")"),"Una donna viene vista ospitare un segmento di notizie che parla alla telecamera e passa a un gruppo di uomini che camminano in linea retta.")</f>
        <v>Una donna viene vista ospitare un segmento di notizie che parla alla telecamera e passa a un gruppo di uomini che camminano in linea retta.</v>
      </c>
    </row>
    <row r="7130">
      <c r="A7130" s="4" t="s">
        <v>8963</v>
      </c>
      <c r="B7130" s="6" t="s">
        <v>8965</v>
      </c>
      <c r="C7130" s="5" t="str">
        <f>IFERROR(__xludf.DUMMYFUNCTION("GOOGLETRANSLATE(B7130,""en"",""it"")"),"Le persone si esibiscono quindi di fronte a un folto gruppo di persone e un artista viene intervistato nel mezzo.")</f>
        <v>Le persone si esibiscono quindi di fronte a un folto gruppo di persone e un artista viene intervistato nel mezzo.</v>
      </c>
    </row>
    <row r="7131">
      <c r="A7131" s="4" t="s">
        <v>8963</v>
      </c>
      <c r="B7131" s="6" t="s">
        <v>8966</v>
      </c>
      <c r="C7131" s="5" t="str">
        <f>IFERROR(__xludf.DUMMYFUNCTION("GOOGLETRANSLATE(B7131,""en"",""it"")"),"Il segmento delle notizie inizia quindi a parlare con altre persone in studio che danno le loro opinioni e termina con l'ospite che ride e sorride.")</f>
        <v>Il segmento delle notizie inizia quindi a parlare con altre persone in studio che danno le loro opinioni e termina con l'ospite che ride e sorride.</v>
      </c>
    </row>
    <row r="7132">
      <c r="A7132" s="4" t="s">
        <v>8967</v>
      </c>
      <c r="B7132" s="6" t="s">
        <v>8968</v>
      </c>
      <c r="C7132" s="5" t="str">
        <f>IFERROR(__xludf.DUMMYFUNCTION("GOOGLETRANSLATE(B7132,""en"",""it"")"),"Una persona è vista in piedi pronta davanti a una grande pista con le persone sedute e in piedi a guardarlo.")</f>
        <v>Una persona è vista in piedi pronta davanti a una grande pista con le persone sedute e in piedi a guardarlo.</v>
      </c>
    </row>
    <row r="7133">
      <c r="A7133" s="4" t="s">
        <v>8967</v>
      </c>
      <c r="B7133" s="4" t="s">
        <v>8969</v>
      </c>
      <c r="C7133" s="5" t="str">
        <f>IFERROR(__xludf.DUMMYFUNCTION("GOOGLETRANSLATE(B7133,""en"",""it"")"),"Le persone spiccano le braccia e corre lungo la pista nella fossa Sit e si capovolge.")</f>
        <v>Le persone spiccano le braccia e corre lungo la pista nella fossa Sit e si capovolge.</v>
      </c>
    </row>
    <row r="7134">
      <c r="A7134" s="4" t="s">
        <v>8970</v>
      </c>
      <c r="B7134" s="4" t="s">
        <v>8971</v>
      </c>
      <c r="C7134" s="5" t="str">
        <f>IFERROR(__xludf.DUMMYFUNCTION("GOOGLETRANSLATE(B7134,""en"",""it"")"),"Un uomo con un cappello bianco tiene una palla nera e parla.")</f>
        <v>Un uomo con un cappello bianco tiene una palla nera e parla.</v>
      </c>
    </row>
    <row r="7135">
      <c r="A7135" s="4" t="s">
        <v>8970</v>
      </c>
      <c r="B7135" s="4" t="s">
        <v>8972</v>
      </c>
      <c r="C7135" s="5" t="str">
        <f>IFERROR(__xludf.DUMMYFUNCTION("GOOGLETRANSLATE(B7135,""en"",""it"")"),"Le persone stanno giocando a calcio indoor.")</f>
        <v>Le persone stanno giocando a calcio indoor.</v>
      </c>
    </row>
    <row r="7136">
      <c r="A7136" s="4" t="s">
        <v>8970</v>
      </c>
      <c r="B7136" s="4" t="s">
        <v>8973</v>
      </c>
      <c r="C7136" s="5" t="str">
        <f>IFERROR(__xludf.DUMMYFUNCTION("GOOGLETRANSLATE(B7136,""en"",""it"")"),"Un uomo con una giacca bianca sta parlando con la telecamera.")</f>
        <v>Un uomo con una giacca bianca sta parlando con la telecamera.</v>
      </c>
    </row>
    <row r="7137">
      <c r="A7137" s="4" t="s">
        <v>8974</v>
      </c>
      <c r="B7137" s="4" t="s">
        <v>8975</v>
      </c>
      <c r="C7137" s="5" t="str">
        <f>IFERROR(__xludf.DUMMYFUNCTION("GOOGLETRANSLATE(B7137,""en"",""it"")"),"Un uomo sta facendo una routine di ginnastica su bar parallele.")</f>
        <v>Un uomo sta facendo una routine di ginnastica su bar parallele.</v>
      </c>
    </row>
    <row r="7138">
      <c r="A7138" s="4" t="s">
        <v>8974</v>
      </c>
      <c r="B7138" s="4" t="s">
        <v>8976</v>
      </c>
      <c r="C7138" s="5" t="str">
        <f>IFERROR(__xludf.DUMMYFUNCTION("GOOGLETRANSLATE(B7138,""en"",""it"")"),"Smonta e atterra su un tappetino.")</f>
        <v>Smonta e atterra su un tappetino.</v>
      </c>
    </row>
    <row r="7139">
      <c r="A7139" s="4" t="s">
        <v>8974</v>
      </c>
      <c r="B7139" s="4" t="s">
        <v>8977</v>
      </c>
      <c r="C7139" s="5" t="str">
        <f>IFERROR(__xludf.DUMMYFUNCTION("GOOGLETRANSLATE(B7139,""en"",""it"")"),"Dà diverse persone alte cinque mentre scende dal tappeto.")</f>
        <v>Dà diverse persone alte cinque mentre scende dal tappeto.</v>
      </c>
    </row>
    <row r="7140">
      <c r="A7140" s="4" t="s">
        <v>8978</v>
      </c>
      <c r="B7140" s="4" t="s">
        <v>8979</v>
      </c>
      <c r="C7140" s="5" t="str">
        <f>IFERROR(__xludf.DUMMYFUNCTION("GOOGLETRANSLATE(B7140,""en"",""it"")"),"Una donna più anziana viene mostrata a parlare con la telecamera e inizia a lavorare a maglia su un divano.")</f>
        <v>Una donna più anziana viene mostrata a parlare con la telecamera e inizia a lavorare a maglia su un divano.</v>
      </c>
    </row>
    <row r="7141">
      <c r="A7141" s="4" t="s">
        <v>8978</v>
      </c>
      <c r="B7141" s="6" t="s">
        <v>8980</v>
      </c>
      <c r="C7141" s="5" t="str">
        <f>IFERROR(__xludf.DUMMYFUNCTION("GOOGLETRANSLATE(B7141,""en"",""it"")"),"Continua a parlare con la telecamera mentre l'obiettivo ingrandisce e si allontana dalle mani continuando a lavorare a maglia.")</f>
        <v>Continua a parlare con la telecamera mentre l'obiettivo ingrandisce e si allontana dalle mani continuando a lavorare a maglia.</v>
      </c>
    </row>
    <row r="7142">
      <c r="A7142" s="4" t="s">
        <v>8978</v>
      </c>
      <c r="B7142" s="4" t="s">
        <v>8981</v>
      </c>
      <c r="C7142" s="5" t="str">
        <f>IFERROR(__xludf.DUMMYFUNCTION("GOOGLETRANSLATE(B7142,""en"",""it"")"),"Mostra il suo maglione e alla fine mette giù la sua attrezzatura a maglia.")</f>
        <v>Mostra il suo maglione e alla fine mette giù la sua attrezzatura a maglia.</v>
      </c>
    </row>
    <row r="7143">
      <c r="A7143" s="4" t="s">
        <v>8982</v>
      </c>
      <c r="B7143" s="6" t="s">
        <v>8983</v>
      </c>
      <c r="C7143" s="5" t="str">
        <f>IFERROR(__xludf.DUMMYFUNCTION("GOOGLETRANSLATE(B7143,""en"",""it"")"),"C'è un ragazzo in piedi nella sua cucina con una brocca d'acqua, alcuni limoni e alcune mele dietro di lui sul bancone.")</f>
        <v>C'è un ragazzo in piedi nella sua cucina con una brocca d'acqua, alcuni limoni e alcune mele dietro di lui sul bancone.</v>
      </c>
    </row>
    <row r="7144">
      <c r="A7144" s="4" t="s">
        <v>8982</v>
      </c>
      <c r="B7144" s="4" t="s">
        <v>8984</v>
      </c>
      <c r="C7144" s="5" t="str">
        <f>IFERROR(__xludf.DUMMYFUNCTION("GOOGLETRANSLATE(B7144,""en"",""it"")"),"Sta indicando i limoni.")</f>
        <v>Sta indicando i limoni.</v>
      </c>
    </row>
    <row r="7145">
      <c r="A7145" s="4" t="s">
        <v>8982</v>
      </c>
      <c r="B7145" s="4" t="s">
        <v>8985</v>
      </c>
      <c r="C7145" s="5" t="str">
        <f>IFERROR(__xludf.DUMMYFUNCTION("GOOGLETRANSLATE(B7145,""en"",""it"")"),"Sua madre viene e lo aiuta a spremere il succo dai limoni.")</f>
        <v>Sua madre viene e lo aiuta a spremere il succo dai limoni.</v>
      </c>
    </row>
    <row r="7146">
      <c r="A7146" s="4" t="s">
        <v>8982</v>
      </c>
      <c r="B7146" s="4" t="s">
        <v>8986</v>
      </c>
      <c r="C7146" s="5" t="str">
        <f>IFERROR(__xludf.DUMMYFUNCTION("GOOGLETRANSLATE(B7146,""en"",""it"")"),"Sia la madre che il figlio usano uno spremiagrumi per spremere il succo e aggiungerlo alla brocca d'acqua.")</f>
        <v>Sia la madre che il figlio usano uno spremiagrumi per spremere il succo e aggiungerlo alla brocca d'acqua.</v>
      </c>
    </row>
    <row r="7147">
      <c r="A7147" s="4" t="s">
        <v>8982</v>
      </c>
      <c r="B7147" s="6" t="s">
        <v>8987</v>
      </c>
      <c r="C7147" s="5" t="str">
        <f>IFERROR(__xludf.DUMMYFUNCTION("GOOGLETRANSLATE(B7147,""en"",""it"")"),"La madre si assicura che tutto il succo sia correttamente spremuto dai limoni, quindi usa le mani.")</f>
        <v>La madre si assicura che tutto il succo sia correttamente spremuto dai limoni, quindi usa le mani.</v>
      </c>
    </row>
    <row r="7148">
      <c r="A7148" s="4" t="s">
        <v>8982</v>
      </c>
      <c r="B7148" s="4" t="s">
        <v>8988</v>
      </c>
      <c r="C7148" s="5" t="str">
        <f>IFERROR(__xludf.DUMMYFUNCTION("GOOGLETRANSLATE(B7148,""en"",""it"")"),"Quindi aggiunge un po 'di colorante alimentare alla limonata e la mescola bene.")</f>
        <v>Quindi aggiunge un po 'di colorante alimentare alla limonata e la mescola bene.</v>
      </c>
    </row>
    <row r="7149">
      <c r="A7149" s="4" t="s">
        <v>8982</v>
      </c>
      <c r="B7149" s="4" t="s">
        <v>8989</v>
      </c>
      <c r="C7149" s="5" t="str">
        <f>IFERROR(__xludf.DUMMYFUNCTION("GOOGLETRANSLATE(B7149,""en"",""it"")"),"Quindi versa la limonata in un bicchiere con ghiaccio e la dà a suo figlio.")</f>
        <v>Quindi versa la limonata in un bicchiere con ghiaccio e la dà a suo figlio.</v>
      </c>
    </row>
    <row r="7150">
      <c r="A7150" s="4" t="s">
        <v>8982</v>
      </c>
      <c r="B7150" s="4" t="s">
        <v>8990</v>
      </c>
      <c r="C7150" s="5" t="str">
        <f>IFERROR(__xludf.DUMMYFUNCTION("GOOGLETRANSLATE(B7150,""en"",""it"")"),"Prende un sorso di limonata e sorride.")</f>
        <v>Prende un sorso di limonata e sorride.</v>
      </c>
    </row>
    <row r="7151">
      <c r="A7151" s="4" t="s">
        <v>8991</v>
      </c>
      <c r="B7151" s="6" t="s">
        <v>8992</v>
      </c>
      <c r="C7151" s="5" t="str">
        <f>IFERROR(__xludf.DUMMYFUNCTION("GOOGLETRANSLATE(B7151,""en"",""it"")"),"Una foto di un uomo viene vista e conduce a un uomo che si piega su un prato e si esibisce in varie mosse di danza.")</f>
        <v>Una foto di un uomo viene vista e conduce a un uomo che si piega su un prato e si esibisce in varie mosse di danza.</v>
      </c>
    </row>
    <row r="7152">
      <c r="A7152" s="4" t="s">
        <v>8991</v>
      </c>
      <c r="B7152" s="6" t="s">
        <v>8993</v>
      </c>
      <c r="C7152" s="5" t="str">
        <f>IFERROR(__xludf.DUMMYFUNCTION("GOOGLETRANSLATE(B7152,""en"",""it"")"),"L'uomo canta mentre esegue la sua routine e viene quindi visto correre attraverso il cortile con un tosaerba.")</f>
        <v>L'uomo canta mentre esegue la sua routine e viene quindi visto correre attraverso il cortile con un tosaerba.</v>
      </c>
    </row>
    <row r="7153">
      <c r="A7153" s="4" t="s">
        <v>8991</v>
      </c>
      <c r="B7153" s="6" t="s">
        <v>8994</v>
      </c>
      <c r="C7153" s="5" t="str">
        <f>IFERROR(__xludf.DUMMYFUNCTION("GOOGLETRANSLATE(B7153,""en"",""it"")"),"Si vedono più balli e canti, viene mostrata una foto delle carte di tenuta e termina con lui che taglia l'erba e tiene premuto con un amico.")</f>
        <v>Si vedono più balli e canti, viene mostrata una foto delle carte di tenuta e termina con lui che taglia l'erba e tiene premuto con un amico.</v>
      </c>
    </row>
    <row r="7154">
      <c r="A7154" s="4" t="s">
        <v>8995</v>
      </c>
      <c r="B7154" s="4" t="s">
        <v>8996</v>
      </c>
      <c r="C7154" s="5" t="str">
        <f>IFERROR(__xludf.DUMMYFUNCTION("GOOGLETRANSLATE(B7154,""en"",""it"")"),"Una donna si avvicina a una letta aio e una carriola mentre parla.")</f>
        <v>Una donna si avvicina a una letta aio e una carriola mentre parla.</v>
      </c>
    </row>
    <row r="7155">
      <c r="A7155" s="4" t="s">
        <v>8995</v>
      </c>
      <c r="B7155" s="6" t="s">
        <v>8997</v>
      </c>
      <c r="C7155" s="5" t="str">
        <f>IFERROR(__xludf.DUMMYFUNCTION("GOOGLETRANSLATE(B7155,""en"",""it"")"),"Dimostra come pacciamare, raccogliere il materiale e mostrare come metterlo attorno alle piante.")</f>
        <v>Dimostra come pacciamare, raccogliere il materiale e mostrare come metterlo attorno alle piante.</v>
      </c>
    </row>
    <row r="7156">
      <c r="A7156" s="4" t="s">
        <v>8998</v>
      </c>
      <c r="B7156" s="4" t="s">
        <v>8999</v>
      </c>
      <c r="C7156" s="5" t="str">
        <f>IFERROR(__xludf.DUMMYFUNCTION("GOOGLETRANSLATE(B7156,""en"",""it"")"),"Due ragazze sono su un campo da basket al coperto.")</f>
        <v>Due ragazze sono su un campo da basket al coperto.</v>
      </c>
    </row>
    <row r="7157">
      <c r="A7157" s="4" t="s">
        <v>8998</v>
      </c>
      <c r="B7157" s="4" t="s">
        <v>9000</v>
      </c>
      <c r="C7157" s="5" t="str">
        <f>IFERROR(__xludf.DUMMYFUNCTION("GOOGLETRANSLATE(B7157,""en"",""it"")"),"Si esibiscono usando manganelli e indossano abiti viola.")</f>
        <v>Si esibiscono usando manganelli e indossano abiti viola.</v>
      </c>
    </row>
    <row r="7158">
      <c r="A7158" s="4" t="s">
        <v>8998</v>
      </c>
      <c r="B7158" s="4" t="s">
        <v>9001</v>
      </c>
      <c r="C7158" s="5" t="str">
        <f>IFERROR(__xludf.DUMMYFUNCTION("GOOGLETRANSLATE(B7158,""en"",""it"")"),"Girano e lanciano, gettando i manganelli in aria mentre si esibiscono.")</f>
        <v>Girano e lanciano, gettando i manganelli in aria mentre si esibiscono.</v>
      </c>
    </row>
    <row r="7159">
      <c r="A7159" s="4" t="s">
        <v>9002</v>
      </c>
      <c r="B7159" s="4" t="s">
        <v>9003</v>
      </c>
      <c r="C7159" s="5" t="str">
        <f>IFERROR(__xludf.DUMMYFUNCTION("GOOGLETRANSLATE(B7159,""en"",""it"")"),"Una fotocamera e un logo appaiono brevemente.")</f>
        <v>Una fotocamera e un logo appaiono brevemente.</v>
      </c>
    </row>
    <row r="7160">
      <c r="A7160" s="4" t="s">
        <v>9002</v>
      </c>
      <c r="B7160" s="4" t="s">
        <v>9004</v>
      </c>
      <c r="C7160" s="5" t="str">
        <f>IFERROR(__xludf.DUMMYFUNCTION("GOOGLETRANSLATE(B7160,""en"",""it"")"),"Una persona si sveglia su un lago mentre viene rimorchiata.")</f>
        <v>Una persona si sveglia su un lago mentre viene rimorchiata.</v>
      </c>
    </row>
    <row r="7161">
      <c r="A7161" s="4" t="s">
        <v>9002</v>
      </c>
      <c r="B7161" s="4" t="s">
        <v>9005</v>
      </c>
      <c r="C7161" s="5" t="str">
        <f>IFERROR(__xludf.DUMMYFUNCTION("GOOGLETRANSLATE(B7161,""en"",""it"")"),"Passano una persona in acqua.")</f>
        <v>Passano una persona in acqua.</v>
      </c>
    </row>
    <row r="7162">
      <c r="A7162" s="4" t="s">
        <v>9002</v>
      </c>
      <c r="B7162" s="4" t="s">
        <v>9006</v>
      </c>
      <c r="C7162" s="5" t="str">
        <f>IFERROR(__xludf.DUMMYFUNCTION("GOOGLETRANSLATE(B7162,""en"",""it"")"),"Si fermano da un molo.")</f>
        <v>Si fermano da un molo.</v>
      </c>
    </row>
    <row r="7163">
      <c r="A7163" s="4" t="s">
        <v>9007</v>
      </c>
      <c r="B7163" s="6" t="s">
        <v>9008</v>
      </c>
      <c r="C7163" s="5" t="str">
        <f>IFERROR(__xludf.DUMMYFUNCTION("GOOGLETRANSLATE(B7163,""en"",""it"")"),"Uno schermo nero viene mostrato con parole verdi su di esso e quindi lo schermo si sposta su una carta bianca con parole nere.")</f>
        <v>Uno schermo nero viene mostrato con parole verdi su di esso e quindi lo schermo si sposta su una carta bianca con parole nere.</v>
      </c>
    </row>
    <row r="7164">
      <c r="A7164" s="4" t="s">
        <v>9007</v>
      </c>
      <c r="B7164" s="4" t="s">
        <v>9009</v>
      </c>
      <c r="C7164" s="5" t="str">
        <f>IFERROR(__xludf.DUMMYFUNCTION("GOOGLETRANSLATE(B7164,""en"",""it"")"),"Dopo, appare una squadra di lacrosse verde e iniziano a competere.")</f>
        <v>Dopo, appare una squadra di lacrosse verde e iniziano a competere.</v>
      </c>
    </row>
    <row r="7165">
      <c r="A7165" s="4" t="s">
        <v>9007</v>
      </c>
      <c r="B7165" s="4" t="s">
        <v>9010</v>
      </c>
      <c r="C7165" s="5" t="str">
        <f>IFERROR(__xludf.DUMMYFUNCTION("GOOGLETRANSLATE(B7165,""en"",""it"")"),"Qualcuno fa un obiettivo e poi la palla viene riposta nel mezzo del campo.")</f>
        <v>Qualcuno fa un obiettivo e poi la palla viene riposta nel mezzo del campo.</v>
      </c>
    </row>
    <row r="7166">
      <c r="A7166" s="4" t="s">
        <v>9007</v>
      </c>
      <c r="B7166" s="4" t="s">
        <v>9011</v>
      </c>
      <c r="C7166" s="5" t="str">
        <f>IFERROR(__xludf.DUMMYFUNCTION("GOOGLETRANSLATE(B7166,""en"",""it"")"),"Quando sono finite le immagini fisse del gioco vengono visualizzate.")</f>
        <v>Quando sono finite le immagini fisse del gioco vengono visualizzate.</v>
      </c>
    </row>
    <row r="7167">
      <c r="A7167" s="4" t="s">
        <v>9007</v>
      </c>
      <c r="B7167" s="4" t="s">
        <v>9012</v>
      </c>
      <c r="C7167" s="5" t="str">
        <f>IFERROR(__xludf.DUMMYFUNCTION("GOOGLETRANSLATE(B7167,""en"",""it"")"),"Infine, appare uno schermo nero e il punteggio è mostrato in scrittura blu e verde.")</f>
        <v>Infine, appare uno schermo nero e il punteggio è mostrato in scrittura blu e verde.</v>
      </c>
    </row>
    <row r="7168">
      <c r="A7168" s="4" t="s">
        <v>9013</v>
      </c>
      <c r="B7168" s="4" t="s">
        <v>9014</v>
      </c>
      <c r="C7168" s="5" t="str">
        <f>IFERROR(__xludf.DUMMYFUNCTION("GOOGLETRANSLATE(B7168,""en"",""it"")"),"Le persone suonano strumenti che marciano lungo una strada.")</f>
        <v>Le persone suonano strumenti che marciano lungo una strada.</v>
      </c>
    </row>
    <row r="7169">
      <c r="A7169" s="4" t="s">
        <v>9013</v>
      </c>
      <c r="B7169" s="4" t="s">
        <v>9015</v>
      </c>
      <c r="C7169" s="5" t="str">
        <f>IFERROR(__xludf.DUMMYFUNCTION("GOOGLETRANSLATE(B7169,""en"",""it"")"),"Iniziano a marciare in un cerchio in una stanza.")</f>
        <v>Iniziano a marciare in un cerchio in una stanza.</v>
      </c>
    </row>
    <row r="7170">
      <c r="A7170" s="4" t="s">
        <v>9013</v>
      </c>
      <c r="B7170" s="4" t="s">
        <v>9016</v>
      </c>
      <c r="C7170" s="5" t="str">
        <f>IFERROR(__xludf.DUMMYFUNCTION("GOOGLETRANSLATE(B7170,""en"",""it"")"),"Una persona che tiene un bastone si trova di fronte alla band.")</f>
        <v>Una persona che tiene un bastone si trova di fronte alla band.</v>
      </c>
    </row>
    <row r="7171">
      <c r="A7171" s="4" t="s">
        <v>9017</v>
      </c>
      <c r="B7171" s="4" t="s">
        <v>9018</v>
      </c>
      <c r="C7171" s="5" t="str">
        <f>IFERROR(__xludf.DUMMYFUNCTION("GOOGLETRANSLATE(B7171,""en"",""it"")"),"Un uomo si trova sul tetto di un edificio e altri due appaiono.")</f>
        <v>Un uomo si trova sul tetto di un edificio e altri due appaiono.</v>
      </c>
    </row>
    <row r="7172">
      <c r="A7172" s="4" t="s">
        <v>9017</v>
      </c>
      <c r="B7172" s="4" t="s">
        <v>9019</v>
      </c>
      <c r="C7172" s="5" t="str">
        <f>IFERROR(__xludf.DUMMYFUNCTION("GOOGLETRANSLATE(B7172,""en"",""it"")"),"Stanno volando aquiloni in aria sopra l'edificio in mattoni.")</f>
        <v>Stanno volando aquiloni in aria sopra l'edificio in mattoni.</v>
      </c>
    </row>
    <row r="7173">
      <c r="A7173" s="4" t="s">
        <v>9017</v>
      </c>
      <c r="B7173" s="4" t="s">
        <v>9020</v>
      </c>
      <c r="C7173" s="5" t="str">
        <f>IFERROR(__xludf.DUMMYFUNCTION("GOOGLETRANSLATE(B7173,""en"",""it"")"),"Gli uomini fanno immergere gli aquiloni e si tuffano mentre parlano e interagiscono.")</f>
        <v>Gli uomini fanno immergere gli aquiloni e si tuffano mentre parlano e interagiscono.</v>
      </c>
    </row>
    <row r="7174">
      <c r="A7174" s="4" t="s">
        <v>9021</v>
      </c>
      <c r="B7174" s="4" t="s">
        <v>9022</v>
      </c>
      <c r="C7174" s="5" t="str">
        <f>IFERROR(__xludf.DUMMYFUNCTION("GOOGLETRANSLATE(B7174,""en"",""it"")"),"Una scena all'aperto in spiaggia mostra una grande folla vicino a un resort.")</f>
        <v>Una scena all'aperto in spiaggia mostra una grande folla vicino a un resort.</v>
      </c>
    </row>
    <row r="7175">
      <c r="A7175" s="4" t="s">
        <v>9021</v>
      </c>
      <c r="B7175" s="4" t="s">
        <v>9023</v>
      </c>
      <c r="C7175" s="5" t="str">
        <f>IFERROR(__xludf.DUMMYFUNCTION("GOOGLETRANSLATE(B7175,""en"",""it"")"),"Stanno incoraggiando mentre diversi skateboarder professionisti eseguono acrobazie in una buca della rampa.")</f>
        <v>Stanno incoraggiando mentre diversi skateboarder professionisti eseguono acrobazie in una buca della rampa.</v>
      </c>
    </row>
    <row r="7176">
      <c r="A7176" s="4" t="s">
        <v>9021</v>
      </c>
      <c r="B7176" s="4" t="s">
        <v>9024</v>
      </c>
      <c r="C7176" s="5" t="str">
        <f>IFERROR(__xludf.DUMMYFUNCTION("GOOGLETRANSLATE(B7176,""en"",""it"")"),"Il capovolgimento e gira in aria, scendendo su e giù per la rampa.")</f>
        <v>Il capovolgimento e gira in aria, scendendo su e giù per la rampa.</v>
      </c>
    </row>
    <row r="7177">
      <c r="A7177" s="4" t="s">
        <v>9021</v>
      </c>
      <c r="B7177" s="4" t="s">
        <v>9025</v>
      </c>
      <c r="C7177" s="5" t="str">
        <f>IFERROR(__xludf.DUMMYFUNCTION("GOOGLETRANSLATE(B7177,""en"",""it"")"),"I vincitori posano per le foto con le torte quando hanno finito.")</f>
        <v>I vincitori posano per le foto con le torte quando hanno finito.</v>
      </c>
    </row>
    <row r="7178">
      <c r="A7178" s="4" t="s">
        <v>9026</v>
      </c>
      <c r="B7178" s="4" t="s">
        <v>9027</v>
      </c>
      <c r="C7178" s="5" t="str">
        <f>IFERROR(__xludf.DUMMYFUNCTION("GOOGLETRANSLATE(B7178,""en"",""it"")"),"I bambini guidano su macchine per paraurti che girano e urtano.")</f>
        <v>I bambini guidano su macchine per paraurti che girano e urtano.</v>
      </c>
    </row>
    <row r="7179">
      <c r="A7179" s="4" t="s">
        <v>9026</v>
      </c>
      <c r="B7179" s="4" t="s">
        <v>9028</v>
      </c>
      <c r="C7179" s="5" t="str">
        <f>IFERROR(__xludf.DUMMYFUNCTION("GOOGLETRANSLATE(B7179,""en"",""it"")"),"Kid indossa una camicia blu e si scontra con la recinzione che tiene le maniglie con entrambe le mani.")</f>
        <v>Kid indossa una camicia blu e si scontra con la recinzione che tiene le maniglie con entrambe le mani.</v>
      </c>
    </row>
    <row r="7180">
      <c r="A7180" s="4" t="s">
        <v>9026</v>
      </c>
      <c r="B7180" s="4" t="s">
        <v>9029</v>
      </c>
      <c r="C7180" s="5" t="str">
        <f>IFERROR(__xludf.DUMMYFUNCTION("GOOGLETRANSLATE(B7180,""en"",""it"")"),"La ragazza indossa una giacca di pelle che gira in macchina per paraurti nell'auto di divertimento.")</f>
        <v>La ragazza indossa una giacca di pelle che gira in macchina per paraurti nell'auto di divertimento.</v>
      </c>
    </row>
    <row r="7181">
      <c r="A7181" s="4" t="s">
        <v>9030</v>
      </c>
      <c r="B7181" s="4" t="s">
        <v>9031</v>
      </c>
      <c r="C7181" s="5" t="str">
        <f>IFERROR(__xludf.DUMMYFUNCTION("GOOGLETRANSLATE(B7181,""en"",""it"")"),"C'è un giovane che indossa una camicia blu e uno skateboard di casco nero su una strada a due vie.")</f>
        <v>C'è un giovane che indossa una camicia blu e uno skateboard di casco nero su una strada a due vie.</v>
      </c>
    </row>
    <row r="7182">
      <c r="A7182" s="4" t="s">
        <v>9030</v>
      </c>
      <c r="B7182" s="4" t="s">
        <v>9032</v>
      </c>
      <c r="C7182" s="5" t="str">
        <f>IFERROR(__xludf.DUMMYFUNCTION("GOOGLETRANSLATE(B7182,""en"",""it"")"),"Sta andando a una velocità costante e veloce mentre attraversa alcune macchine e molti alberi.")</f>
        <v>Sta andando a una velocità costante e veloce mentre attraversa alcune macchine e molti alberi.</v>
      </c>
    </row>
    <row r="7183">
      <c r="A7183" s="4" t="s">
        <v>9030</v>
      </c>
      <c r="B7183" s="4" t="s">
        <v>9033</v>
      </c>
      <c r="C7183" s="5" t="str">
        <f>IFERROR(__xludf.DUMMYFUNCTION("GOOGLETRANSLATE(B7183,""en"",""it"")"),"Passa anche attraverso alcune aree residenziali mentre gli skateboard.")</f>
        <v>Passa anche attraverso alcune aree residenziali mentre gli skateboard.</v>
      </c>
    </row>
    <row r="7184">
      <c r="A7184" s="4" t="s">
        <v>9030</v>
      </c>
      <c r="B7184" s="4" t="s">
        <v>9034</v>
      </c>
      <c r="C7184" s="5" t="str">
        <f>IFERROR(__xludf.DUMMYFUNCTION("GOOGLETRANSLATE(B7184,""en"",""it"")"),"Alla fine rallenta mentre il cameraman si avvicina a un'auto grigia.")</f>
        <v>Alla fine rallenta mentre il cameraman si avvicina a un'auto grigia.</v>
      </c>
    </row>
    <row r="7185">
      <c r="A7185" s="4" t="s">
        <v>9030</v>
      </c>
      <c r="B7185" s="4" t="s">
        <v>9035</v>
      </c>
      <c r="C7185" s="5" t="str">
        <f>IFERROR(__xludf.DUMMYFUNCTION("GOOGLETRANSLATE(B7185,""en"",""it"")"),"Il cameraman sale in macchina e porta via lo skateboard.")</f>
        <v>Il cameraman sale in macchina e porta via lo skateboard.</v>
      </c>
    </row>
    <row r="7186">
      <c r="A7186" s="4" t="s">
        <v>9030</v>
      </c>
      <c r="B7186" s="4" t="s">
        <v>9036</v>
      </c>
      <c r="C7186" s="5" t="str">
        <f>IFERROR(__xludf.DUMMYFUNCTION("GOOGLETRANSLATE(B7186,""en"",""it"")"),"Lo skateboarder si inginocchia sul lato della strada principale.")</f>
        <v>Lo skateboarder si inginocchia sul lato della strada principale.</v>
      </c>
    </row>
    <row r="7187">
      <c r="A7187" s="4" t="s">
        <v>9030</v>
      </c>
      <c r="B7187" s="4" t="s">
        <v>9037</v>
      </c>
      <c r="C7187" s="5" t="str">
        <f>IFERROR(__xludf.DUMMYFUNCTION("GOOGLETRANSLATE(B7187,""en"",""it"")"),"Quindi si alza e si allontana.")</f>
        <v>Quindi si alza e si allontana.</v>
      </c>
    </row>
    <row r="7188">
      <c r="A7188" s="4" t="s">
        <v>9038</v>
      </c>
      <c r="B7188" s="4" t="s">
        <v>9039</v>
      </c>
      <c r="C7188" s="5" t="str">
        <f>IFERROR(__xludf.DUMMYFUNCTION("GOOGLETRANSLATE(B7188,""en"",""it"")"),"Vediamo una rivista su uno sfondo nero.")</f>
        <v>Vediamo una rivista su uno sfondo nero.</v>
      </c>
    </row>
    <row r="7189">
      <c r="A7189" s="4" t="s">
        <v>9038</v>
      </c>
      <c r="B7189" s="4" t="s">
        <v>9040</v>
      </c>
      <c r="C7189" s="5" t="str">
        <f>IFERROR(__xludf.DUMMYFUNCTION("GOOGLETRANSLATE(B7189,""en"",""it"")"),"La gente inizia a correre sulle strade di campagna in una maratona.")</f>
        <v>La gente inizia a correre sulle strade di campagna in una maratona.</v>
      </c>
    </row>
    <row r="7190">
      <c r="A7190" s="4" t="s">
        <v>9038</v>
      </c>
      <c r="B7190" s="4" t="s">
        <v>9041</v>
      </c>
      <c r="C7190" s="5" t="str">
        <f>IFERROR(__xludf.DUMMYFUNCTION("GOOGLETRANSLATE(B7190,""en"",""it"")"),"Li vediamo prendere drink a un tavolo.")</f>
        <v>Li vediamo prendere drink a un tavolo.</v>
      </c>
    </row>
    <row r="7191">
      <c r="A7191" s="4" t="s">
        <v>9038</v>
      </c>
      <c r="B7191" s="4" t="s">
        <v>9042</v>
      </c>
      <c r="C7191" s="5" t="str">
        <f>IFERROR(__xludf.DUMMYFUNCTION("GOOGLETRANSLATE(B7191,""en"",""it"")"),"Un uomo corre e tiene una macchina fotografica rivolta verso se stesso.")</f>
        <v>Un uomo corre e tiene una macchina fotografica rivolta verso se stesso.</v>
      </c>
    </row>
    <row r="7192">
      <c r="A7192" s="4" t="s">
        <v>9038</v>
      </c>
      <c r="B7192" s="4" t="s">
        <v>9043</v>
      </c>
      <c r="C7192" s="5" t="str">
        <f>IFERROR(__xludf.DUMMYFUNCTION("GOOGLETRANSLATE(B7192,""en"",""it"")"),"L'uomo che sta correndo viene di nuovo visto.")</f>
        <v>L'uomo che sta correndo viene di nuovo visto.</v>
      </c>
    </row>
    <row r="7193">
      <c r="A7193" s="4" t="s">
        <v>9038</v>
      </c>
      <c r="B7193" s="4" t="s">
        <v>9044</v>
      </c>
      <c r="C7193" s="5" t="str">
        <f>IFERROR(__xludf.DUMMYFUNCTION("GOOGLETRANSLATE(B7193,""en"",""it"")"),"Vediamo un punto di persona in un lago.")</f>
        <v>Vediamo un punto di persona in un lago.</v>
      </c>
    </row>
    <row r="7194">
      <c r="A7194" s="4" t="s">
        <v>9038</v>
      </c>
      <c r="B7194" s="4" t="s">
        <v>9045</v>
      </c>
      <c r="C7194" s="5" t="str">
        <f>IFERROR(__xludf.DUMMYFUNCTION("GOOGLETRANSLATE(B7194,""en"",""it"")"),"Attraggiamo il traguardo.")</f>
        <v>Attraggiamo il traguardo.</v>
      </c>
    </row>
    <row r="7195">
      <c r="A7195" s="4" t="s">
        <v>9038</v>
      </c>
      <c r="B7195" s="4" t="s">
        <v>9046</v>
      </c>
      <c r="C7195" s="5" t="str">
        <f>IFERROR(__xludf.DUMMYFUNCTION("GOOGLETRANSLATE(B7195,""en"",""it"")"),"Un uomo è in un lago raffreddamento.")</f>
        <v>Un uomo è in un lago raffreddamento.</v>
      </c>
    </row>
    <row r="7196">
      <c r="A7196" s="4" t="s">
        <v>9038</v>
      </c>
      <c r="B7196" s="4" t="s">
        <v>3608</v>
      </c>
      <c r="C7196" s="5" t="str">
        <f>IFERROR(__xludf.DUMMYFUNCTION("GOOGLETRANSLATE(B7196,""en"",""it"")"),"Vediamo lo schermo finale.")</f>
        <v>Vediamo lo schermo finale.</v>
      </c>
    </row>
    <row r="7197">
      <c r="A7197" s="4" t="s">
        <v>9047</v>
      </c>
      <c r="B7197" s="4" t="s">
        <v>9048</v>
      </c>
      <c r="C7197" s="5" t="str">
        <f>IFERROR(__xludf.DUMMYFUNCTION("GOOGLETRANSLATE(B7197,""en"",""it"")"),"Un primo piano è mostrato da una stanza con una finestra.")</f>
        <v>Un primo piano è mostrato da una stanza con una finestra.</v>
      </c>
    </row>
    <row r="7198">
      <c r="A7198" s="4" t="s">
        <v>9047</v>
      </c>
      <c r="B7198" s="4" t="s">
        <v>9049</v>
      </c>
      <c r="C7198" s="5" t="str">
        <f>IFERROR(__xludf.DUMMYFUNCTION("GOOGLETRANSLATE(B7198,""en"",""it"")"),"Un uomo sta levigando il fango sopra il muro.")</f>
        <v>Un uomo sta levigando il fango sopra il muro.</v>
      </c>
    </row>
    <row r="7199">
      <c r="A7199" s="4" t="s">
        <v>9047</v>
      </c>
      <c r="B7199" s="4" t="s">
        <v>9050</v>
      </c>
      <c r="C7199" s="5" t="str">
        <f>IFERROR(__xludf.DUMMYFUNCTION("GOOGLETRANSLATE(B7199,""en"",""it"")"),"Misura e tagli quindi si diffonde di nuovo.")</f>
        <v>Misura e tagli quindi si diffonde di nuovo.</v>
      </c>
    </row>
    <row r="7200">
      <c r="A7200" s="4" t="s">
        <v>9047</v>
      </c>
      <c r="B7200" s="4" t="s">
        <v>9051</v>
      </c>
      <c r="C7200" s="5" t="str">
        <f>IFERROR(__xludf.DUMMYFUNCTION("GOOGLETRANSLATE(B7200,""en"",""it"")"),"Quando ha finito, il muro è completamente liscio.")</f>
        <v>Quando ha finito, il muro è completamente liscio.</v>
      </c>
    </row>
    <row r="7201">
      <c r="A7201" s="4" t="s">
        <v>9052</v>
      </c>
      <c r="B7201" s="4" t="s">
        <v>9053</v>
      </c>
      <c r="C7201" s="5" t="str">
        <f>IFERROR(__xludf.DUMMYFUNCTION("GOOGLETRANSLATE(B7201,""en"",""it"")"),"Un bambino sta tornando indietro e quarto in un'altalena mentre ride e sorride alla telecamera.")</f>
        <v>Un bambino sta tornando indietro e quarto in un'altalena mentre ride e sorride alla telecamera.</v>
      </c>
    </row>
    <row r="7202">
      <c r="A7202" s="4" t="s">
        <v>9052</v>
      </c>
      <c r="B7202" s="4" t="s">
        <v>9054</v>
      </c>
      <c r="C7202" s="5" t="str">
        <f>IFERROR(__xludf.DUMMYFUNCTION("GOOGLETRANSLATE(B7202,""en"",""it"")"),"Il bambino continua a pompare le gambe e poi è rigido mentre guarda in lontananza.")</f>
        <v>Il bambino continua a pompare le gambe e poi è rigido mentre guarda in lontananza.</v>
      </c>
    </row>
    <row r="7203">
      <c r="A7203" s="4" t="s">
        <v>9055</v>
      </c>
      <c r="B7203" s="4" t="s">
        <v>9056</v>
      </c>
      <c r="C7203" s="5" t="str">
        <f>IFERROR(__xludf.DUMMYFUNCTION("GOOGLETRANSLATE(B7203,""en"",""it"")"),"Un sacco di persone giocano a birra di birra in diversi abiti.")</f>
        <v>Un sacco di persone giocano a birra di birra in diversi abiti.</v>
      </c>
    </row>
    <row r="7204">
      <c r="A7204" s="4" t="s">
        <v>9055</v>
      </c>
      <c r="B7204" s="4" t="s">
        <v>9057</v>
      </c>
      <c r="C7204" s="5" t="str">
        <f>IFERROR(__xludf.DUMMYFUNCTION("GOOGLETRANSLATE(B7204,""en"",""it"")"),"Quindi le persone bongano una birra.")</f>
        <v>Quindi le persone bongano una birra.</v>
      </c>
    </row>
    <row r="7205">
      <c r="A7205" s="4" t="s">
        <v>9055</v>
      </c>
      <c r="B7205" s="4" t="s">
        <v>9058</v>
      </c>
      <c r="C7205" s="5" t="str">
        <f>IFERROR(__xludf.DUMMYFUNCTION("GOOGLETRANSLATE(B7205,""en"",""it"")"),"Alla fine accade un sacco di danza.")</f>
        <v>Alla fine accade un sacco di danza.</v>
      </c>
    </row>
    <row r="7206">
      <c r="A7206" s="4" t="s">
        <v>9059</v>
      </c>
      <c r="B7206" s="4" t="s">
        <v>9060</v>
      </c>
      <c r="C7206" s="5" t="str">
        <f>IFERROR(__xludf.DUMMYFUNCTION("GOOGLETRANSLATE(B7206,""en"",""it"")"),"La donna è seduta davanti a un tavolo bianco con una zucca di Halloween.")</f>
        <v>La donna è seduta davanti a un tavolo bianco con una zucca di Halloween.</v>
      </c>
    </row>
    <row r="7207">
      <c r="A7207" s="4" t="s">
        <v>9059</v>
      </c>
      <c r="B7207" s="4" t="s">
        <v>9061</v>
      </c>
      <c r="C7207" s="5" t="str">
        <f>IFERROR(__xludf.DUMMYFUNCTION("GOOGLETRANSLATE(B7207,""en"",""it"")"),"La donna tiene un coltello e taglia la testa di zucca e rimuovi tutti i semi dall'interno.")</f>
        <v>La donna tiene un coltello e taglia la testa di zucca e rimuovi tutti i semi dall'interno.</v>
      </c>
    </row>
    <row r="7208">
      <c r="A7208" s="4" t="s">
        <v>9059</v>
      </c>
      <c r="B7208" s="4" t="s">
        <v>9062</v>
      </c>
      <c r="C7208" s="5" t="str">
        <f>IFERROR(__xludf.DUMMYFUNCTION("GOOGLETRANSLATE(B7208,""en"",""it"")"),"La donna si avvicina al viso con pennarelli neri e apri i buchi sulla zucca.")</f>
        <v>La donna si avvicina al viso con pennarelli neri e apri i buchi sulla zucca.</v>
      </c>
    </row>
    <row r="7209">
      <c r="A7209" s="4" t="s">
        <v>9063</v>
      </c>
      <c r="B7209" s="6" t="s">
        <v>9064</v>
      </c>
      <c r="C7209" s="5" t="str">
        <f>IFERROR(__xludf.DUMMYFUNCTION("GOOGLETRANSLATE(B7209,""en"",""it"")"),"Un uomo con camicia nera si sta stalking di fronte alla fotocamera, quindi viene mostrato il calendario e quindi il disegno.")</f>
        <v>Un uomo con camicia nera si sta stalking di fronte alla fotocamera, quindi viene mostrato il calendario e quindi il disegno.</v>
      </c>
    </row>
    <row r="7210">
      <c r="A7210" s="4" t="s">
        <v>9063</v>
      </c>
      <c r="B7210" s="6" t="s">
        <v>9065</v>
      </c>
      <c r="C7210" s="5" t="str">
        <f>IFERROR(__xludf.DUMMYFUNCTION("GOOGLETRANSLATE(B7210,""en"",""it"")"),"L'uomo biondo sta parlando davanti alla telecamera, mentre dietro di lui c'è una rampa vuota, quindi l'uomo skateboard in una rampa di legno, quindi sta mostrando come skateboard, quindi ha skateboard e ha fatto trucchi su una rampa di legno, quindi conti"&amp;"nua Per parlare, e poi di nuovo skateboard.")</f>
        <v>L'uomo biondo sta parlando davanti alla telecamera, mentre dietro di lui c'è una rampa vuota, quindi l'uomo skateboard in una rampa di legno, quindi sta mostrando come skateboard, quindi ha skateboard e ha fatto trucchi su una rampa di legno, quindi continua Per parlare, e poi di nuovo skateboard.</v>
      </c>
    </row>
    <row r="7211">
      <c r="A7211" s="4" t="s">
        <v>9066</v>
      </c>
      <c r="B7211" s="4" t="s">
        <v>9067</v>
      </c>
      <c r="C7211" s="5" t="str">
        <f>IFERROR(__xludf.DUMMYFUNCTION("GOOGLETRANSLATE(B7211,""en"",""it"")"),"La donna che indossa una camicia rossa è di nuovo braccio, anch'esso donna sdraiata sul pavimento.")</f>
        <v>La donna che indossa una camicia rossa è di nuovo braccio, anch'esso donna sdraiata sul pavimento.</v>
      </c>
    </row>
    <row r="7212">
      <c r="A7212" s="4" t="s">
        <v>9066</v>
      </c>
      <c r="B7212" s="4" t="s">
        <v>9068</v>
      </c>
      <c r="C7212" s="5" t="str">
        <f>IFERROR(__xludf.DUMMYFUNCTION("GOOGLETRANSLATE(B7212,""en"",""it"")"),"Una donna bionda che indossa una camicia grigia è il braccio che lotta con un'altra donna in una stanza.")</f>
        <v>Una donna bionda che indossa una camicia grigia è il braccio che lotta con un'altra donna in una stanza.</v>
      </c>
    </row>
    <row r="7213">
      <c r="A7213" s="4" t="s">
        <v>9066</v>
      </c>
      <c r="B7213" s="4" t="s">
        <v>9069</v>
      </c>
      <c r="C7213" s="5" t="str">
        <f>IFERROR(__xludf.DUMMYFUNCTION("GOOGLETRANSLATE(B7213,""en"",""it"")"),"La donna vincitrice sta facendo pose sdraiate sul pavimento.")</f>
        <v>La donna vincitrice sta facendo pose sdraiate sul pavimento.</v>
      </c>
    </row>
    <row r="7214">
      <c r="A7214" s="4" t="s">
        <v>9070</v>
      </c>
      <c r="B7214" s="4" t="s">
        <v>9071</v>
      </c>
      <c r="C7214" s="5" t="str">
        <f>IFERROR(__xludf.DUMMYFUNCTION("GOOGLETRANSLATE(B7214,""en"",""it"")"),"Una giovane donna viene vista guardare la telecamera mentre beve un drink e si aggira i capelli.")</f>
        <v>Una giovane donna viene vista guardare la telecamera mentre beve un drink e si aggira i capelli.</v>
      </c>
    </row>
    <row r="7215">
      <c r="A7215" s="4" t="s">
        <v>9070</v>
      </c>
      <c r="B7215" s="4" t="s">
        <v>9072</v>
      </c>
      <c r="C7215" s="5" t="str">
        <f>IFERROR(__xludf.DUMMYFUNCTION("GOOGLETRANSLATE(B7215,""en"",""it"")"),"La donna solleva quindi un pacchetto di sigarette e inizia a fumare una sigaretta.")</f>
        <v>La donna solleva quindi un pacchetto di sigarette e inizia a fumare una sigaretta.</v>
      </c>
    </row>
    <row r="7216">
      <c r="A7216" s="4" t="s">
        <v>9070</v>
      </c>
      <c r="B7216" s="6" t="s">
        <v>9073</v>
      </c>
      <c r="C7216" s="5" t="str">
        <f>IFERROR(__xludf.DUMMYFUNCTION("GOOGLETRANSLATE(B7216,""en"",""it"")"),"La donna fuma continuamente e beve una dopo l'altra mentre continua a guardare alla telecamera.")</f>
        <v>La donna fuma continuamente e beve una dopo l'altra mentre continua a guardare alla telecamera.</v>
      </c>
    </row>
    <row r="7217">
      <c r="A7217" s="4" t="s">
        <v>9074</v>
      </c>
      <c r="B7217" s="6" t="s">
        <v>9075</v>
      </c>
      <c r="C7217" s="5" t="str">
        <f>IFERROR(__xludf.DUMMYFUNCTION("GOOGLETRANSLATE(B7217,""en"",""it"")"),"Ci sono diversi atleti all'inizio del video, ma poi 2 persone vengono mostrate in acqua mentre un'enorme folla li guarda.")</f>
        <v>Ci sono diversi atleti all'inizio del video, ma poi 2 persone vengono mostrate in acqua mentre un'enorme folla li guarda.</v>
      </c>
    </row>
    <row r="7218">
      <c r="A7218" s="4" t="s">
        <v>9074</v>
      </c>
      <c r="B7218" s="4" t="s">
        <v>9076</v>
      </c>
      <c r="C7218" s="5" t="str">
        <f>IFERROR(__xludf.DUMMYFUNCTION("GOOGLETRANSLATE(B7218,""en"",""it"")"),"Alla fine, si tiene la piattaforma sincronizzata da 10 m maschili.")</f>
        <v>Alla fine, si tiene la piattaforma sincronizzata da 10 m maschili.</v>
      </c>
    </row>
    <row r="7219">
      <c r="A7219" s="4" t="s">
        <v>9077</v>
      </c>
      <c r="B7219" s="4" t="s">
        <v>9078</v>
      </c>
      <c r="C7219" s="5" t="str">
        <f>IFERROR(__xludf.DUMMYFUNCTION("GOOGLETRANSLATE(B7219,""en"",""it"")"),"Vari colpi di paesaggi sono dimostrati che gli interventi con le persone che cavalcano in una grande zattera.")</f>
        <v>Vari colpi di paesaggi sono dimostrati che gli interventi con le persone che cavalcano in una grande zattera.</v>
      </c>
    </row>
    <row r="7220">
      <c r="A7220" s="4" t="s">
        <v>9077</v>
      </c>
      <c r="B7220" s="4" t="s">
        <v>9079</v>
      </c>
      <c r="C7220" s="5" t="str">
        <f>IFERROR(__xludf.DUMMYFUNCTION("GOOGLETRANSLATE(B7220,""en"",""it"")"),"Ad un certo punto la zattera si lancia sopra gli uomini che cavalcano lungo il fiume.")</f>
        <v>Ad un certo punto la zattera si lancia sopra gli uomini che cavalcano lungo il fiume.</v>
      </c>
    </row>
    <row r="7221">
      <c r="A7221" s="4" t="s">
        <v>9077</v>
      </c>
      <c r="B7221" s="4" t="s">
        <v>9080</v>
      </c>
      <c r="C7221" s="5" t="str">
        <f>IFERROR(__xludf.DUMMYFUNCTION("GOOGLETRANSLATE(B7221,""en"",""it"")"),"Vengono mostrati altri scatti di persone che cavalcano il fiume così come le persone che parlano alla telecamera.")</f>
        <v>Vengono mostrati altri scatti di persone che cavalcano il fiume così come le persone che parlano alla telecamera.</v>
      </c>
    </row>
    <row r="7222">
      <c r="A7222" s="4" t="s">
        <v>9081</v>
      </c>
      <c r="B7222" s="4" t="s">
        <v>9082</v>
      </c>
      <c r="C7222" s="5" t="str">
        <f>IFERROR(__xludf.DUMMYFUNCTION("GOOGLETRANSLATE(B7222,""en"",""it"")"),"Una donna di notizie sta parlando in una sala da notizie.")</f>
        <v>Una donna di notizie sta parlando in una sala da notizie.</v>
      </c>
    </row>
    <row r="7223">
      <c r="A7223" s="4" t="s">
        <v>9081</v>
      </c>
      <c r="B7223" s="4" t="s">
        <v>9083</v>
      </c>
      <c r="C7223" s="5" t="str">
        <f>IFERROR(__xludf.DUMMYFUNCTION("GOOGLETRANSLATE(B7223,""en"",""it"")"),"I bullfighter sono mostrati all'interno di un anello.")</f>
        <v>I bullfighter sono mostrati all'interno di un anello.</v>
      </c>
    </row>
    <row r="7224">
      <c r="A7224" s="4" t="s">
        <v>9081</v>
      </c>
      <c r="B7224" s="4" t="s">
        <v>9084</v>
      </c>
      <c r="C7224" s="5" t="str">
        <f>IFERROR(__xludf.DUMMYFUNCTION("GOOGLETRANSLATE(B7224,""en"",""it"")"),"Stanno cercando di attirare il toro con manteni.")</f>
        <v>Stanno cercando di attirare il toro con manteni.</v>
      </c>
    </row>
    <row r="7225">
      <c r="A7225" s="4" t="s">
        <v>9085</v>
      </c>
      <c r="B7225" s="4" t="s">
        <v>9086</v>
      </c>
      <c r="C7225" s="5" t="str">
        <f>IFERROR(__xludf.DUMMYFUNCTION("GOOGLETRANSLATE(B7225,""en"",""it"")"),"Due persone ballano in una stanza.")</f>
        <v>Due persone ballano in una stanza.</v>
      </c>
    </row>
    <row r="7226">
      <c r="A7226" s="4" t="s">
        <v>9085</v>
      </c>
      <c r="B7226" s="4" t="s">
        <v>9087</v>
      </c>
      <c r="C7226" s="5" t="str">
        <f>IFERROR(__xludf.DUMMYFUNCTION("GOOGLETRANSLATE(B7226,""en"",""it"")"),"Si girano di lato e continuano a ballare.")</f>
        <v>Si girano di lato e continuano a ballare.</v>
      </c>
    </row>
    <row r="7227">
      <c r="A7227" s="4" t="s">
        <v>9085</v>
      </c>
      <c r="B7227" s="4" t="s">
        <v>9088</v>
      </c>
      <c r="C7227" s="5" t="str">
        <f>IFERROR(__xludf.DUMMYFUNCTION("GOOGLETRANSLATE(B7227,""en"",""it"")"),"Finiscono e posano alla fine.")</f>
        <v>Finiscono e posano alla fine.</v>
      </c>
    </row>
    <row r="7228">
      <c r="A7228" s="4" t="s">
        <v>9089</v>
      </c>
      <c r="B7228" s="4" t="s">
        <v>9090</v>
      </c>
      <c r="C7228" s="5" t="str">
        <f>IFERROR(__xludf.DUMMYFUNCTION("GOOGLETRANSLATE(B7228,""en"",""it"")"),"Una donna in piedi fuori sul tetto che fuma una sigaretta.")</f>
        <v>Una donna in piedi fuori sul tetto che fuma una sigaretta.</v>
      </c>
    </row>
    <row r="7229">
      <c r="A7229" s="4" t="s">
        <v>9089</v>
      </c>
      <c r="B7229" s="4" t="s">
        <v>9091</v>
      </c>
      <c r="C7229" s="5" t="str">
        <f>IFERROR(__xludf.DUMMYFUNCTION("GOOGLETRANSLATE(B7229,""en"",""it"")"),"Fa il fumo e gioca in giro con i capelli.")</f>
        <v>Fa il fumo e gioca in giro con i capelli.</v>
      </c>
    </row>
    <row r="7230">
      <c r="A7230" s="4" t="s">
        <v>9089</v>
      </c>
      <c r="B7230" s="4" t="s">
        <v>9092</v>
      </c>
      <c r="C7230" s="5" t="str">
        <f>IFERROR(__xludf.DUMMYFUNCTION("GOOGLETRANSLATE(B7230,""en"",""it"")"),"Continua a fumare e soffia fumando casualmente tutto da solo.")</f>
        <v>Continua a fumare e soffia fumando casualmente tutto da solo.</v>
      </c>
    </row>
    <row r="7231">
      <c r="A7231" s="4" t="s">
        <v>9089</v>
      </c>
      <c r="B7231" s="4" t="s">
        <v>9093</v>
      </c>
      <c r="C7231" s="5" t="str">
        <f>IFERROR(__xludf.DUMMYFUNCTION("GOOGLETRANSLATE(B7231,""en"",""it"")"),"Espira un'ultima volta e poi ha messo la sigaretta su un muro.")</f>
        <v>Espira un'ultima volta e poi ha messo la sigaretta su un muro.</v>
      </c>
    </row>
    <row r="7232">
      <c r="A7232" s="4" t="s">
        <v>9094</v>
      </c>
      <c r="B7232" s="4" t="s">
        <v>9095</v>
      </c>
      <c r="C7232" s="5" t="str">
        <f>IFERROR(__xludf.DUMMYFUNCTION("GOOGLETRANSLATE(B7232,""en"",""it"")"),"Un paio di squadre giocano a lacrosse su un campo aperto.")</f>
        <v>Un paio di squadre giocano a lacrosse su un campo aperto.</v>
      </c>
    </row>
    <row r="7233">
      <c r="A7233" s="4" t="s">
        <v>9094</v>
      </c>
      <c r="B7233" s="4" t="s">
        <v>9096</v>
      </c>
      <c r="C7233" s="5" t="str">
        <f>IFERROR(__xludf.DUMMYFUNCTION("GOOGLETRANSLATE(B7233,""en"",""it"")"),"Una folla guarda il gioco attentamente.")</f>
        <v>Una folla guarda il gioco attentamente.</v>
      </c>
    </row>
    <row r="7234">
      <c r="A7234" s="4" t="s">
        <v>9094</v>
      </c>
      <c r="B7234" s="4" t="s">
        <v>9097</v>
      </c>
      <c r="C7234" s="5" t="str">
        <f>IFERROR(__xludf.DUMMYFUNCTION("GOOGLETRANSLATE(B7234,""en"",""it"")"),"I giocatori corrono avanti e indietro attraverso il campo, colpendo la palla in gol.")</f>
        <v>I giocatori corrono avanti e indietro attraverso il campo, colpendo la palla in gol.</v>
      </c>
    </row>
    <row r="7235">
      <c r="A7235" s="4" t="s">
        <v>9098</v>
      </c>
      <c r="B7235" s="4" t="s">
        <v>9099</v>
      </c>
      <c r="C7235" s="5" t="str">
        <f>IFERROR(__xludf.DUMMYFUNCTION("GOOGLETRANSLATE(B7235,""en"",""it"")"),"Viene visto un uomo parlare alla telecamera mentre sbuccia le patate e guardano alla telecamera.")</f>
        <v>Viene visto un uomo parlare alla telecamera mentre sbuccia le patate e guardano alla telecamera.</v>
      </c>
    </row>
    <row r="7236">
      <c r="A7236" s="4" t="s">
        <v>9098</v>
      </c>
      <c r="B7236" s="4" t="s">
        <v>9100</v>
      </c>
      <c r="C7236" s="5" t="str">
        <f>IFERROR(__xludf.DUMMYFUNCTION("GOOGLETRANSLATE(B7236,""en"",""it"")"),"La telecamera si panoramica intorno all'uomo continuamente mentre continua a sbucciare le patate e parlare.")</f>
        <v>La telecamera si panoramica intorno all'uomo continuamente mentre continua a sbucciare le patate e parlare.</v>
      </c>
    </row>
    <row r="7237">
      <c r="A7237" s="4" t="s">
        <v>9101</v>
      </c>
      <c r="B7237" s="4" t="s">
        <v>9102</v>
      </c>
      <c r="C7237" s="5" t="str">
        <f>IFERROR(__xludf.DUMMYFUNCTION("GOOGLETRANSLATE(B7237,""en"",""it"")"),"Una donna sta parlando con una webcam nella sua camera da letto.")</f>
        <v>Una donna sta parlando con una webcam nella sua camera da letto.</v>
      </c>
    </row>
    <row r="7238">
      <c r="A7238" s="4" t="s">
        <v>9101</v>
      </c>
      <c r="B7238" s="4" t="s">
        <v>9103</v>
      </c>
      <c r="C7238" s="5" t="str">
        <f>IFERROR(__xludf.DUMMYFUNCTION("GOOGLETRANSLATE(B7238,""en"",""it"")"),"Comincia a giocare con i capelli, separando parte di esso e intrecciarli.")</f>
        <v>Comincia a giocare con i capelli, separando parte di esso e intrecciarli.</v>
      </c>
    </row>
    <row r="7239">
      <c r="A7239" s="4" t="s">
        <v>9101</v>
      </c>
      <c r="B7239" s="4" t="s">
        <v>9104</v>
      </c>
      <c r="C7239" s="5" t="str">
        <f>IFERROR(__xludf.DUMMYFUNCTION("GOOGLETRANSLATE(B7239,""en"",""it"")"),"Mette la prima treccia in bocca mentre ne crea un'altra.")</f>
        <v>Mette la prima treccia in bocca mentre ne crea un'altra.</v>
      </c>
    </row>
    <row r="7240">
      <c r="A7240" s="4" t="s">
        <v>9101</v>
      </c>
      <c r="B7240" s="4" t="s">
        <v>9105</v>
      </c>
      <c r="C7240" s="5" t="str">
        <f>IFERROR(__xludf.DUMMYFUNCTION("GOOGLETRANSLATE(B7240,""en"",""it"")"),"Attraversa le trecce e ci colloca un gomma.")</f>
        <v>Attraversa le trecce e ci colloca un gomma.</v>
      </c>
    </row>
    <row r="7241">
      <c r="A7241" s="4" t="s">
        <v>9101</v>
      </c>
      <c r="B7241" s="4" t="s">
        <v>9106</v>
      </c>
      <c r="C7241" s="5" t="str">
        <f>IFERROR(__xludf.DUMMYFUNCTION("GOOGLETRANSLATE(B7241,""en"",""it"")"),"Comincia a fare lo stesso processo con l'altra parte dei suoi capelli.")</f>
        <v>Comincia a fare lo stesso processo con l'altra parte dei suoi capelli.</v>
      </c>
    </row>
    <row r="7242">
      <c r="A7242" s="4" t="s">
        <v>9101</v>
      </c>
      <c r="B7242" s="4" t="s">
        <v>9107</v>
      </c>
      <c r="C7242" s="5" t="str">
        <f>IFERROR(__xludf.DUMMYFUNCTION("GOOGLETRANSLATE(B7242,""en"",""it"")"),"Il video termina tagliando un'immagine fissa della stessa ragazza e panning su e giù.")</f>
        <v>Il video termina tagliando un'immagine fissa della stessa ragazza e panning su e giù.</v>
      </c>
    </row>
    <row r="7243">
      <c r="A7243" s="4" t="s">
        <v>9108</v>
      </c>
      <c r="B7243" s="4" t="s">
        <v>9109</v>
      </c>
      <c r="C7243" s="5" t="str">
        <f>IFERROR(__xludf.DUMMYFUNCTION("GOOGLETRANSLATE(B7243,""en"",""it"")"),"Un uomo è in piedi davanti a uno schermo bianco.")</f>
        <v>Un uomo è in piedi davanti a uno schermo bianco.</v>
      </c>
    </row>
    <row r="7244">
      <c r="A7244" s="4" t="s">
        <v>9108</v>
      </c>
      <c r="B7244" s="4" t="s">
        <v>9110</v>
      </c>
      <c r="C7244" s="5" t="str">
        <f>IFERROR(__xludf.DUMMYFUNCTION("GOOGLETRANSLATE(B7244,""en"",""it"")"),"Sta parlando del sassofono tra le mani e mostra le posizioni della mano adeguate.")</f>
        <v>Sta parlando del sassofono tra le mani e mostra le posizioni della mano adeguate.</v>
      </c>
    </row>
    <row r="7245">
      <c r="A7245" s="4" t="s">
        <v>9108</v>
      </c>
      <c r="B7245" s="4" t="s">
        <v>9111</v>
      </c>
      <c r="C7245" s="5" t="str">
        <f>IFERROR(__xludf.DUMMYFUNCTION("GOOGLETRANSLATE(B7245,""en"",""it"")"),"Dimostra come suonare lo strumento.")</f>
        <v>Dimostra come suonare lo strumento.</v>
      </c>
    </row>
    <row r="7246">
      <c r="A7246" s="4" t="s">
        <v>9112</v>
      </c>
      <c r="B7246" s="4" t="s">
        <v>9113</v>
      </c>
      <c r="C7246" s="5" t="str">
        <f>IFERROR(__xludf.DUMMYFUNCTION("GOOGLETRANSLATE(B7246,""en"",""it"")"),"Una persona che indossa un abito bianco e bianco viene mostrata che spruzza una recinzione con acqua.")</f>
        <v>Una persona che indossa un abito bianco e bianco viene mostrata che spruzza una recinzione con acqua.</v>
      </c>
    </row>
    <row r="7247">
      <c r="A7247" s="4" t="s">
        <v>9112</v>
      </c>
      <c r="B7247" s="6" t="s">
        <v>9114</v>
      </c>
      <c r="C7247" s="5" t="str">
        <f>IFERROR(__xludf.DUMMYFUNCTION("GOOGLETRANSLATE(B7247,""en"",""it"")"),"La persona è mostrata da vari angoli che svolgono il compito e rende la recinzione nuova di zecca.")</f>
        <v>La persona è mostrata da vari angoli che svolgono il compito e rende la recinzione nuova di zecca.</v>
      </c>
    </row>
    <row r="7248">
      <c r="A7248" s="4" t="s">
        <v>9115</v>
      </c>
      <c r="B7248" s="4" t="s">
        <v>9116</v>
      </c>
      <c r="C7248" s="5" t="str">
        <f>IFERROR(__xludf.DUMMYFUNCTION("GOOGLETRANSLATE(B7248,""en"",""it"")"),"Una femmina sembra fare trucchi con un hula hooping pur essendo molto flessibile con il suo corpo.")</f>
        <v>Una femmina sembra fare trucchi con un hula hooping pur essendo molto flessibile con il suo corpo.</v>
      </c>
    </row>
    <row r="7249">
      <c r="A7249" s="4" t="s">
        <v>9115</v>
      </c>
      <c r="B7249" s="4" t="s">
        <v>9117</v>
      </c>
      <c r="C7249" s="5" t="str">
        <f>IFERROR(__xludf.DUMMYFUNCTION("GOOGLETRANSLATE(B7249,""en"",""it"")"),"La signora cavalca anche una bici da una ruota mentre si tende.")</f>
        <v>La signora cavalca anche una bici da una ruota mentre si tende.</v>
      </c>
    </row>
    <row r="7250">
      <c r="A7250" s="4" t="s">
        <v>9115</v>
      </c>
      <c r="B7250" s="6" t="s">
        <v>9118</v>
      </c>
      <c r="C7250" s="5" t="str">
        <f>IFERROR(__xludf.DUMMYFUNCTION("GOOGLETRANSLATE(B7250,""en"",""it"")"),"La ragazza quindi Hula Hoops mentre si trova su un tappetino, quindi Hula Hoops con due cerchi di hula in piedi nello stesso punto.")</f>
        <v>La ragazza quindi Hula Hoops mentre si trova su un tappetino, quindi Hula Hoops con due cerchi di hula in piedi nello stesso punto.</v>
      </c>
    </row>
    <row r="7251">
      <c r="A7251" s="4" t="s">
        <v>9115</v>
      </c>
      <c r="B7251" s="6" t="s">
        <v>9119</v>
      </c>
      <c r="C7251" s="5" t="str">
        <f>IFERROR(__xludf.DUMMYFUNCTION("GOOGLETRANSLATE(B7251,""en"",""it"")"),"La ragazza quindi Hula Hoops appese a testa in giù, anche Hula Hoop intorno alla sua mano mentre fa una divisione su un tappetino.")</f>
        <v>La ragazza quindi Hula Hoops appese a testa in giù, anche Hula Hoop intorno alla sua mano mentre fa una divisione su un tappetino.</v>
      </c>
    </row>
    <row r="7252">
      <c r="A7252" s="4" t="s">
        <v>9115</v>
      </c>
      <c r="B7252" s="6" t="s">
        <v>9120</v>
      </c>
      <c r="C7252" s="5" t="str">
        <f>IFERROR(__xludf.DUMMYFUNCTION("GOOGLETRANSLATE(B7252,""en"",""it"")"),"La ragazza Hula Hoops un grande tela di hula pneumatico e poi i cerchi di hula con tre cerchi di hula usando le sue due mani e un metro in aria.")</f>
        <v>La ragazza Hula Hoops un grande tela di hula pneumatico e poi i cerchi di hula con tre cerchi di hula usando le sue due mani e un metro in aria.</v>
      </c>
    </row>
    <row r="7253">
      <c r="A7253" s="4" t="s">
        <v>9115</v>
      </c>
      <c r="B7253" s="6" t="s">
        <v>9121</v>
      </c>
      <c r="C7253" s="5" t="str">
        <f>IFERROR(__xludf.DUMMYFUNCTION("GOOGLETRANSLATE(B7253,""en"",""it"")"),"La ragazza quindi prova a Hula Hoop un sacco di hula Hoops contemporaneamente mentre altre ragazze continuano ad aggiungerle di più.")</f>
        <v>La ragazza quindi prova a Hula Hoop un sacco di hula Hoops contemporaneamente mentre altre ragazze continuano ad aggiungerle di più.</v>
      </c>
    </row>
    <row r="7254">
      <c r="A7254" s="4" t="s">
        <v>9122</v>
      </c>
      <c r="B7254" s="4" t="s">
        <v>9123</v>
      </c>
      <c r="C7254" s="5" t="str">
        <f>IFERROR(__xludf.DUMMYFUNCTION("GOOGLETRANSLATE(B7254,""en"",""it"")"),"Tre uomini vestiti con attrezzatura da scherma sono in palestra.")</f>
        <v>Tre uomini vestiti con attrezzatura da scherma sono in palestra.</v>
      </c>
    </row>
    <row r="7255">
      <c r="A7255" s="4" t="s">
        <v>9122</v>
      </c>
      <c r="B7255" s="4" t="s">
        <v>9124</v>
      </c>
      <c r="C7255" s="5" t="str">
        <f>IFERROR(__xludf.DUMMYFUNCTION("GOOGLETRANSLATE(B7255,""en"",""it"")"),"L'uomo nel mezzo sta parlando e gli altri due rimangono fermi.")</f>
        <v>L'uomo nel mezzo sta parlando e gli altri due rimangono fermi.</v>
      </c>
    </row>
    <row r="7256">
      <c r="A7256" s="4" t="s">
        <v>9122</v>
      </c>
      <c r="B7256" s="6" t="s">
        <v>9125</v>
      </c>
      <c r="C7256" s="5" t="str">
        <f>IFERROR(__xludf.DUMMYFUNCTION("GOOGLETRANSLATE(B7256,""en"",""it"")"),"I due uomini iniziano a fare movimenti mentre l'uomo li istruisce, mostrando le diverse tecniche di scherma.")</f>
        <v>I due uomini iniziano a fare movimenti mentre l'uomo li istruisce, mostrando le diverse tecniche di scherma.</v>
      </c>
    </row>
    <row r="7257">
      <c r="A7257" s="4" t="s">
        <v>9122</v>
      </c>
      <c r="B7257" s="4" t="s">
        <v>9126</v>
      </c>
      <c r="C7257" s="5" t="str">
        <f>IFERROR(__xludf.DUMMYFUNCTION("GOOGLETRANSLATE(B7257,""en"",""it"")"),"Combattono lentamente, mostrando ogni passo prima di culminare nelle ultime parole dell'uomo sullo schermo.")</f>
        <v>Combattono lentamente, mostrando ogni passo prima di culminare nelle ultime parole dell'uomo sullo schermo.</v>
      </c>
    </row>
    <row r="7258">
      <c r="A7258" s="4" t="s">
        <v>9127</v>
      </c>
      <c r="B7258" s="4" t="s">
        <v>9128</v>
      </c>
      <c r="C7258" s="5" t="str">
        <f>IFERROR(__xludf.DUMMYFUNCTION("GOOGLETRANSLATE(B7258,""en"",""it"")"),"Un uomo sta parlando nella sua cucina.")</f>
        <v>Un uomo sta parlando nella sua cucina.</v>
      </c>
    </row>
    <row r="7259">
      <c r="A7259" s="4" t="s">
        <v>9127</v>
      </c>
      <c r="B7259" s="4" t="s">
        <v>9129</v>
      </c>
      <c r="C7259" s="5" t="str">
        <f>IFERROR(__xludf.DUMMYFUNCTION("GOOGLETRANSLATE(B7259,""en"",""it"")"),"Mostra come mescolare una salsa in pasta e condire.")</f>
        <v>Mostra come mescolare una salsa in pasta e condire.</v>
      </c>
    </row>
    <row r="7260">
      <c r="A7260" s="4" t="s">
        <v>9127</v>
      </c>
      <c r="B7260" s="4" t="s">
        <v>9130</v>
      </c>
      <c r="C7260" s="5" t="str">
        <f>IFERROR(__xludf.DUMMYFUNCTION("GOOGLETRANSLATE(B7260,""en"",""it"")"),"Quindi mostra come aprire e servire il cibo.")</f>
        <v>Quindi mostra come aprire e servire il cibo.</v>
      </c>
    </row>
    <row r="7261">
      <c r="A7261" s="4" t="s">
        <v>9131</v>
      </c>
      <c r="B7261" s="4" t="s">
        <v>9132</v>
      </c>
      <c r="C7261" s="5" t="str">
        <f>IFERROR(__xludf.DUMMYFUNCTION("GOOGLETRANSLATE(B7261,""en"",""it"")"),"Una palo da donna volta su una barra alta.")</f>
        <v>Una palo da donna volta su una barra alta.</v>
      </c>
    </row>
    <row r="7262">
      <c r="A7262" s="4" t="s">
        <v>9131</v>
      </c>
      <c r="B7262" s="4" t="s">
        <v>9133</v>
      </c>
      <c r="C7262" s="5" t="str">
        <f>IFERROR(__xludf.DUMMYFUNCTION("GOOGLETRANSLATE(B7262,""en"",""it"")"),"Atterra su un tappetino giallo sotto di lei.")</f>
        <v>Atterra su un tappetino giallo sotto di lei.</v>
      </c>
    </row>
    <row r="7263">
      <c r="A7263" s="4" t="s">
        <v>9131</v>
      </c>
      <c r="B7263" s="4" t="s">
        <v>2042</v>
      </c>
      <c r="C7263" s="5" t="str">
        <f>IFERROR(__xludf.DUMMYFUNCTION("GOOGLETRANSLATE(B7263,""en"",""it"")"),"Le parole arrivano sullo schermo alla fine.")</f>
        <v>Le parole arrivano sullo schermo alla fine.</v>
      </c>
    </row>
    <row r="7264">
      <c r="A7264" s="4" t="s">
        <v>9134</v>
      </c>
      <c r="B7264" s="4" t="s">
        <v>9135</v>
      </c>
      <c r="C7264" s="5" t="str">
        <f>IFERROR(__xludf.DUMMYFUNCTION("GOOGLETRANSLATE(B7264,""en"",""it"")"),"Un giovane sta parlando della telecamera.")</f>
        <v>Un giovane sta parlando della telecamera.</v>
      </c>
    </row>
    <row r="7265">
      <c r="A7265" s="4" t="s">
        <v>9134</v>
      </c>
      <c r="B7265" s="4" t="s">
        <v>9136</v>
      </c>
      <c r="C7265" s="5" t="str">
        <f>IFERROR(__xludf.DUMMYFUNCTION("GOOGLETRANSLATE(B7265,""en"",""it"")"),"L'uomo sta con un bastone in mano.")</f>
        <v>L'uomo sta con un bastone in mano.</v>
      </c>
    </row>
    <row r="7266">
      <c r="A7266" s="4" t="s">
        <v>9134</v>
      </c>
      <c r="B7266" s="4" t="s">
        <v>9137</v>
      </c>
      <c r="C7266" s="5" t="str">
        <f>IFERROR(__xludf.DUMMYFUNCTION("GOOGLETRANSLATE(B7266,""en"",""it"")"),"L'uomo punta lontano da se stesso.")</f>
        <v>L'uomo punta lontano da se stesso.</v>
      </c>
    </row>
    <row r="7267">
      <c r="A7267" s="4" t="s">
        <v>9134</v>
      </c>
      <c r="B7267" s="4" t="s">
        <v>9138</v>
      </c>
      <c r="C7267" s="5" t="str">
        <f>IFERROR(__xludf.DUMMYFUNCTION("GOOGLETRANSLATE(B7267,""en"",""it"")"),"L'uomo prende il bastone e spinge i dischi intorno al suolo.")</f>
        <v>L'uomo prende il bastone e spinge i dischi intorno al suolo.</v>
      </c>
    </row>
    <row r="7268">
      <c r="A7268" s="4" t="s">
        <v>9139</v>
      </c>
      <c r="B7268" s="4" t="s">
        <v>9140</v>
      </c>
      <c r="C7268" s="5" t="str">
        <f>IFERROR(__xludf.DUMMYFUNCTION("GOOGLETRANSLATE(B7268,""en"",""it"")"),"La donna ha messo un uovo su una ciotola e mescolalo con la vaniglia.")</f>
        <v>La donna ha messo un uovo su una ciotola e mescolalo con la vaniglia.</v>
      </c>
    </row>
    <row r="7269">
      <c r="A7269" s="4" t="s">
        <v>9139</v>
      </c>
      <c r="B7269" s="4" t="s">
        <v>9141</v>
      </c>
      <c r="C7269" s="5" t="str">
        <f>IFERROR(__xludf.DUMMYFUNCTION("GOOGLETRANSLATE(B7269,""en"",""it"")"),"Avena veloce e lievito, coccola e sale vengono mescolati in una ciotola.")</f>
        <v>Avena veloce e lievito, coccola e sale vengono mescolati in una ciotola.</v>
      </c>
    </row>
    <row r="7270">
      <c r="A7270" s="4" t="s">
        <v>9139</v>
      </c>
      <c r="B7270" s="4" t="s">
        <v>9142</v>
      </c>
      <c r="C7270" s="5" t="str">
        <f>IFERROR(__xludf.DUMMYFUNCTION("GOOGLETRANSLATE(B7270,""en"",""it"")"),"Una barretta di cioccolato viene tagliata a pezzi con noci e inserita in una ciotola.")</f>
        <v>Una barretta di cioccolato viene tagliata a pezzi con noci e inserita in una ciotola.</v>
      </c>
    </row>
    <row r="7271">
      <c r="A7271" s="4" t="s">
        <v>9139</v>
      </c>
      <c r="B7271" s="6" t="s">
        <v>9143</v>
      </c>
      <c r="C7271" s="5" t="str">
        <f>IFERROR(__xludf.DUMMYFUNCTION("GOOGLETRANSLATE(B7271,""en"",""it"")"),"Lo zucchero e il burro vengono mescolati in una ciotola fino alla panna e mettono la vaniglia e gli ingredienti in polvere con il cioccolato e lui.")</f>
        <v>Lo zucchero e il burro vengono mescolati in una ciotola fino alla panna e mettono la vaniglia e gli ingredienti in polvere con il cioccolato e lui.</v>
      </c>
    </row>
    <row r="7272">
      <c r="A7272" s="4" t="s">
        <v>9139</v>
      </c>
      <c r="B7272" s="4" t="s">
        <v>9144</v>
      </c>
      <c r="C7272" s="5" t="str">
        <f>IFERROR(__xludf.DUMMYFUNCTION("GOOGLETRANSLATE(B7272,""en"",""it"")"),"Themix è avvolto e messo in frigorifero.")</f>
        <v>Themix è avvolto e messo in frigorifero.</v>
      </c>
    </row>
    <row r="7273">
      <c r="A7273" s="4" t="s">
        <v>9139</v>
      </c>
      <c r="B7273" s="4" t="s">
        <v>9145</v>
      </c>
      <c r="C7273" s="5" t="str">
        <f>IFERROR(__xludf.DUMMYFUNCTION("GOOGLETRANSLATE(B7273,""en"",""it"")"),"Batch è in una padella e AR pronto a mangiare.")</f>
        <v>Batch è in una padella e AR pronto a mangiare.</v>
      </c>
    </row>
    <row r="7274">
      <c r="A7274" s="4" t="s">
        <v>9146</v>
      </c>
      <c r="B7274" s="4" t="s">
        <v>9147</v>
      </c>
      <c r="C7274" s="5" t="str">
        <f>IFERROR(__xludf.DUMMYFUNCTION("GOOGLETRANSLATE(B7274,""en"",""it"")"),"Un uomo è in piedi in uno spettacolo giocando a cornamuse mentre altri intorno a lui guardano con stupore.")</f>
        <v>Un uomo è in piedi in uno spettacolo giocando a cornamuse mentre altri intorno a lui guardano con stupore.</v>
      </c>
    </row>
    <row r="7275">
      <c r="A7275" s="4" t="s">
        <v>9146</v>
      </c>
      <c r="B7275" s="4" t="s">
        <v>9148</v>
      </c>
      <c r="C7275" s="5" t="str">
        <f>IFERROR(__xludf.DUMMYFUNCTION("GOOGLETRANSLATE(B7275,""en"",""it"")"),"L'uomo continua a suonare e il pubblico applaude quando finisce.")</f>
        <v>L'uomo continua a suonare e il pubblico applaude quando finisce.</v>
      </c>
    </row>
    <row r="7276">
      <c r="A7276" s="4" t="s">
        <v>9146</v>
      </c>
      <c r="B7276" s="4" t="s">
        <v>9149</v>
      </c>
      <c r="C7276" s="5" t="str">
        <f>IFERROR(__xludf.DUMMYFUNCTION("GOOGLETRANSLATE(B7276,""en"",""it"")"),"Passa lo strumento a un uomo che entra e dà all'ospite una stretta di mano.")</f>
        <v>Passa lo strumento a un uomo che entra e dà all'ospite una stretta di mano.</v>
      </c>
    </row>
    <row r="7277">
      <c r="A7277" s="4" t="s">
        <v>9146</v>
      </c>
      <c r="B7277" s="4" t="s">
        <v>9150</v>
      </c>
      <c r="C7277" s="5" t="str">
        <f>IFERROR(__xludf.DUMMYFUNCTION("GOOGLETRANSLATE(B7277,""en"",""it"")"),"Parla un po 'con l'host e colpisce una posa prima che l'host finisca con l'ospite.")</f>
        <v>Parla un po 'con l'host e colpisce una posa prima che l'host finisca con l'ospite.</v>
      </c>
    </row>
    <row r="7278">
      <c r="A7278" s="4" t="s">
        <v>9151</v>
      </c>
      <c r="B7278" s="6" t="s">
        <v>9152</v>
      </c>
      <c r="C7278" s="5" t="str">
        <f>IFERROR(__xludf.DUMMYFUNCTION("GOOGLETRANSLATE(B7278,""en"",""it"")"),"Una persona si esercita a dribblare e sparare alla palla camminando o corre in campo, mentre un uomo guarda l'allenamento.")</f>
        <v>Una persona si esercita a dribblare e sparare alla palla camminando o corre in campo, mentre un uomo guarda l'allenamento.</v>
      </c>
    </row>
    <row r="7279">
      <c r="A7279" s="4" t="s">
        <v>9151</v>
      </c>
      <c r="B7279" s="4" t="s">
        <v>9153</v>
      </c>
      <c r="C7279" s="5" t="str">
        <f>IFERROR(__xludf.DUMMYFUNCTION("GOOGLETRANSLATE(B7279,""en"",""it"")"),"L'uomo si alza e lascia il campo.")</f>
        <v>L'uomo si alza e lascia il campo.</v>
      </c>
    </row>
    <row r="7280">
      <c r="A7280" s="4" t="s">
        <v>9151</v>
      </c>
      <c r="B7280" s="4" t="s">
        <v>9154</v>
      </c>
      <c r="C7280" s="5" t="str">
        <f>IFERROR(__xludf.DUMMYFUNCTION("GOOGLETRANSLATE(B7280,""en"",""it"")"),"Dopo, diversi uomini praticano il basket in un campo.")</f>
        <v>Dopo, diversi uomini praticano il basket in un campo.</v>
      </c>
    </row>
    <row r="7281">
      <c r="A7281" s="4" t="s">
        <v>9155</v>
      </c>
      <c r="B7281" s="4" t="s">
        <v>9156</v>
      </c>
      <c r="C7281" s="5" t="str">
        <f>IFERROR(__xludf.DUMMYFUNCTION("GOOGLETRANSLATE(B7281,""en"",""it"")"),"La parola felice è scritta in ciottoli sul lato della sabbia.")</f>
        <v>La parola felice è scritta in ciottoli sul lato della sabbia.</v>
      </c>
    </row>
    <row r="7282">
      <c r="A7282" s="4" t="s">
        <v>9155</v>
      </c>
      <c r="B7282" s="4" t="s">
        <v>9157</v>
      </c>
      <c r="C7282" s="5" t="str">
        <f>IFERROR(__xludf.DUMMYFUNCTION("GOOGLETRANSLATE(B7282,""en"",""it"")"),"Viene mostrato un grande corpo di acqua azzurro e ci sono una grande barca con persone.")</f>
        <v>Viene mostrato un grande corpo di acqua azzurro e ci sono una grande barca con persone.</v>
      </c>
    </row>
    <row r="7283">
      <c r="A7283" s="4" t="s">
        <v>9155</v>
      </c>
      <c r="B7283" s="4" t="s">
        <v>9158</v>
      </c>
      <c r="C7283" s="5" t="str">
        <f>IFERROR(__xludf.DUMMYFUNCTION("GOOGLETRANSLATE(B7283,""en"",""it"")"),"Le persone hanno iniziato a ballare e saltare dalla barca e si sono divertiti in acqua.")</f>
        <v>Le persone hanno iniziato a ballare e saltare dalla barca e si sono divertiti in acqua.</v>
      </c>
    </row>
    <row r="7284">
      <c r="A7284" s="4" t="s">
        <v>9155</v>
      </c>
      <c r="B7284" s="4" t="s">
        <v>9159</v>
      </c>
      <c r="C7284" s="5" t="str">
        <f>IFERROR(__xludf.DUMMYFUNCTION("GOOGLETRANSLATE(B7284,""en"",""it"")"),"Mentre le persone continuano, tre o quattro persone sono in acqua nuotando con occhiali.")</f>
        <v>Mentre le persone continuano, tre o quattro persone sono in acqua nuotando con occhiali.</v>
      </c>
    </row>
    <row r="7285">
      <c r="A7285" s="4" t="s">
        <v>9160</v>
      </c>
      <c r="B7285" s="4" t="s">
        <v>9161</v>
      </c>
      <c r="C7285" s="5" t="str">
        <f>IFERROR(__xludf.DUMMYFUNCTION("GOOGLETRANSLATE(B7285,""en"",""it"")"),"Un uomo in rosso si trova su un palco.")</f>
        <v>Un uomo in rosso si trova su un palco.</v>
      </c>
    </row>
    <row r="7286">
      <c r="A7286" s="4" t="s">
        <v>9160</v>
      </c>
      <c r="B7286" s="4" t="s">
        <v>9162</v>
      </c>
      <c r="C7286" s="5" t="str">
        <f>IFERROR(__xludf.DUMMYFUNCTION("GOOGLETRANSLATE(B7286,""en"",""it"")"),"Solleva un bilanciere sopra la sua testa.")</f>
        <v>Solleva un bilanciere sopra la sua testa.</v>
      </c>
    </row>
    <row r="7287">
      <c r="A7287" s="4" t="s">
        <v>9160</v>
      </c>
      <c r="B7287" s="4" t="s">
        <v>9163</v>
      </c>
      <c r="C7287" s="5" t="str">
        <f>IFERROR(__xludf.DUMMYFUNCTION("GOOGLETRANSLATE(B7287,""en"",""it"")"),"Lascia cadere il bilanciere a terra.")</f>
        <v>Lascia cadere il bilanciere a terra.</v>
      </c>
    </row>
    <row r="7288">
      <c r="A7288" s="4" t="s">
        <v>9160</v>
      </c>
      <c r="B7288" s="4" t="s">
        <v>9164</v>
      </c>
      <c r="C7288" s="5" t="str">
        <f>IFERROR(__xludf.DUMMYFUNCTION("GOOGLETRANSLATE(B7288,""en"",""it"")"),"Diverse persone lo rallegrano.")</f>
        <v>Diverse persone lo rallegrano.</v>
      </c>
    </row>
    <row r="7289">
      <c r="A7289" s="4" t="s">
        <v>9165</v>
      </c>
      <c r="B7289" s="4" t="s">
        <v>9166</v>
      </c>
      <c r="C7289" s="5" t="str">
        <f>IFERROR(__xludf.DUMMYFUNCTION("GOOGLETRANSLATE(B7289,""en"",""it"")"),"La donna con camicia bianca è in piedi, quindi inginocchiarsi accanto a un grande sacchetto di plastica a terra.")</f>
        <v>La donna con camicia bianca è in piedi, quindi inginocchiarsi accanto a un grande sacchetto di plastica a terra.</v>
      </c>
    </row>
    <row r="7290">
      <c r="A7290" s="4" t="s">
        <v>9165</v>
      </c>
      <c r="B7290" s="6" t="s">
        <v>9167</v>
      </c>
      <c r="C7290" s="5" t="str">
        <f>IFERROR(__xludf.DUMMYFUNCTION("GOOGLETRANSLATE(B7290,""en"",""it"")"),"Aprì la borsa, mise il contenuto della borsa nel foro irregolare a terra e appiattì usando la sua mano guantata.")</f>
        <v>Aprì la borsa, mise il contenuto della borsa nel foro irregolare a terra e appiattì usando la sua mano guantata.</v>
      </c>
    </row>
    <row r="7291">
      <c r="A7291" s="4" t="s">
        <v>9165</v>
      </c>
      <c r="B7291" s="4" t="s">
        <v>9168</v>
      </c>
      <c r="C7291" s="5" t="str">
        <f>IFERROR(__xludf.DUMMYFUNCTION("GOOGLETRANSLATE(B7291,""en"",""it"")"),"Guardò la telecamera e parlava mentre si inginocchia accanto ai sacchetti di plastica.")</f>
        <v>Guardò la telecamera e parlava mentre si inginocchia accanto ai sacchetti di plastica.</v>
      </c>
    </row>
    <row r="7292">
      <c r="A7292" s="4" t="s">
        <v>9165</v>
      </c>
      <c r="B7292" s="4" t="s">
        <v>9169</v>
      </c>
      <c r="C7292" s="5" t="str">
        <f>IFERROR(__xludf.DUMMYFUNCTION("GOOGLETRANSLATE(B7292,""en"",""it"")"),"Mise un'altra borsa a terra, appiattirli usando la mano fino a quando l'area non è coperta.")</f>
        <v>Mise un'altra borsa a terra, appiattirli usando la mano fino a quando l'area non è coperta.</v>
      </c>
    </row>
    <row r="7293">
      <c r="A7293" s="4" t="s">
        <v>9165</v>
      </c>
      <c r="B7293" s="4" t="s">
        <v>9170</v>
      </c>
      <c r="C7293" s="5" t="str">
        <f>IFERROR(__xludf.DUMMYFUNCTION("GOOGLETRANSLATE(B7293,""en"",""it"")"),"Cammina in avanti, piega laterale per appiattire un po 'di più sporco.")</f>
        <v>Cammina in avanti, piega laterale per appiattire un po 'di più sporco.</v>
      </c>
    </row>
    <row r="7294">
      <c r="A7294" s="4" t="s">
        <v>9171</v>
      </c>
      <c r="B7294" s="4" t="s">
        <v>9172</v>
      </c>
      <c r="C7294" s="5" t="str">
        <f>IFERROR(__xludf.DUMMYFUNCTION("GOOGLETRANSLATE(B7294,""en"",""it"")"),"Due donne si trovano su uno stand di fronte all'altro a un tavolo che inizia a armare il wrestle.")</f>
        <v>Due donne si trovano su uno stand di fronte all'altro a un tavolo che inizia a armare il wrestle.</v>
      </c>
    </row>
    <row r="7295">
      <c r="A7295" s="4" t="s">
        <v>9171</v>
      </c>
      <c r="B7295" s="4" t="s">
        <v>9173</v>
      </c>
      <c r="C7295" s="5" t="str">
        <f>IFERROR(__xludf.DUMMYFUNCTION("GOOGLETRANSLATE(B7295,""en"",""it"")"),"C'è una breve presa prima che inizino, perché il loro pollice è inaccurato.")</f>
        <v>C'è una breve presa prima che inizino, perché il loro pollice è inaccurato.</v>
      </c>
    </row>
    <row r="7296">
      <c r="A7296" s="4" t="s">
        <v>9171</v>
      </c>
      <c r="B7296" s="6" t="s">
        <v>9174</v>
      </c>
      <c r="C7296" s="5" t="str">
        <f>IFERROR(__xludf.DUMMYFUNCTION("GOOGLETRANSLATE(B7296,""en"",""it"")"),"Una volta che finalmente iniziano, la ragazza a sinistra vince ma viene rapidamente fermata e devono riavviare e la stessa ragazza vince di nuovo.")</f>
        <v>Una volta che finalmente iniziano, la ragazza a sinistra vince ma viene rapidamente fermata e devono riavviare e la stessa ragazza vince di nuovo.</v>
      </c>
    </row>
    <row r="7297">
      <c r="A7297" s="4" t="s">
        <v>9175</v>
      </c>
      <c r="B7297" s="4" t="s">
        <v>9176</v>
      </c>
      <c r="C7297" s="5" t="str">
        <f>IFERROR(__xludf.DUMMYFUNCTION("GOOGLETRANSLATE(B7297,""en"",""it"")"),"Un bambino diffonde burro di arachidi in due fette di pane.")</f>
        <v>Un bambino diffonde burro di arachidi in due fette di pane.</v>
      </c>
    </row>
    <row r="7298">
      <c r="A7298" s="4" t="s">
        <v>9175</v>
      </c>
      <c r="B7298" s="4" t="s">
        <v>9177</v>
      </c>
      <c r="C7298" s="5" t="str">
        <f>IFERROR(__xludf.DUMMYFUNCTION("GOOGLETRANSLATE(B7298,""en"",""it"")"),"Quindi, il bambino aggiunge la gelatina.")</f>
        <v>Quindi, il bambino aggiunge la gelatina.</v>
      </c>
    </row>
    <row r="7299">
      <c r="A7299" s="4" t="s">
        <v>9175</v>
      </c>
      <c r="B7299" s="4" t="s">
        <v>9178</v>
      </c>
      <c r="C7299" s="5" t="str">
        <f>IFERROR(__xludf.DUMMYFUNCTION("GOOGLETRANSLATE(B7299,""en"",""it"")"),"Dopo, il bambino dà un boccone al burro di arachidi e al panino a gelatina.")</f>
        <v>Dopo, il bambino dà un boccone al burro di arachidi e al panino a gelatina.</v>
      </c>
    </row>
    <row r="7300">
      <c r="A7300" s="4" t="s">
        <v>9179</v>
      </c>
      <c r="B7300" s="6" t="s">
        <v>9180</v>
      </c>
      <c r="C7300" s="5" t="str">
        <f>IFERROR(__xludf.DUMMYFUNCTION("GOOGLETRANSLATE(B7300,""en"",""it"")"),"C'è una donna in una camicetta bianca insieme a un uomo con una camicia bianca in uno studio che esercita la sala da ballo.")</f>
        <v>C'è una donna in una camicetta bianca insieme a un uomo con una camicia bianca in uno studio che esercita la sala da ballo.</v>
      </c>
    </row>
    <row r="7301">
      <c r="A7301" s="4" t="s">
        <v>9179</v>
      </c>
      <c r="B7301" s="4" t="s">
        <v>9181</v>
      </c>
      <c r="C7301" s="5" t="str">
        <f>IFERROR(__xludf.DUMMYFUNCTION("GOOGLETRANSLATE(B7301,""en"",""it"")"),"Sono in una stanza con un muro pieno di specchi.")</f>
        <v>Sono in una stanza con un muro pieno di specchi.</v>
      </c>
    </row>
    <row r="7302">
      <c r="A7302" s="4" t="s">
        <v>9179</v>
      </c>
      <c r="B7302" s="6" t="s">
        <v>9182</v>
      </c>
      <c r="C7302" s="5" t="str">
        <f>IFERROR(__xludf.DUMMYFUNCTION("GOOGLETRANSLATE(B7302,""en"",""it"")"),"La signora sta spiegando i passi della danza mentre entrambi dimostrano le mosse e il lavoro del piede coinvolti nella danza.")</f>
        <v>La signora sta spiegando i passi della danza mentre entrambi dimostrano le mosse e il lavoro del piede coinvolti nella danza.</v>
      </c>
    </row>
    <row r="7303">
      <c r="A7303" s="4" t="s">
        <v>9179</v>
      </c>
      <c r="B7303" s="4" t="s">
        <v>9183</v>
      </c>
      <c r="C7303" s="5" t="str">
        <f>IFERROR(__xludf.DUMMYFUNCTION("GOOGLETRANSLATE(B7303,""en"",""it"")"),"Vanno avanti e indietro mentre fanno i loro passi mentre si tengono le mani reciproche.")</f>
        <v>Vanno avanti e indietro mentre fanno i loro passi mentre si tengono le mani reciproche.</v>
      </c>
    </row>
    <row r="7304">
      <c r="A7304" s="4" t="s">
        <v>9184</v>
      </c>
      <c r="B7304" s="4" t="s">
        <v>9185</v>
      </c>
      <c r="C7304" s="5" t="str">
        <f>IFERROR(__xludf.DUMMYFUNCTION("GOOGLETRANSLATE(B7304,""en"",""it"")"),"Un uomo attraversa una tempesta in avvicinamento.")</f>
        <v>Un uomo attraversa una tempesta in avvicinamento.</v>
      </c>
    </row>
    <row r="7305">
      <c r="A7305" s="4" t="s">
        <v>9184</v>
      </c>
      <c r="B7305" s="4" t="s">
        <v>9186</v>
      </c>
      <c r="C7305" s="5" t="str">
        <f>IFERROR(__xludf.DUMMYFUNCTION("GOOGLETRANSLATE(B7305,""en"",""it"")"),"I surfisti sono visti nell'acqua e le persone camminano con le loro tavole da surf.")</f>
        <v>I surfisti sono visti nell'acqua e le persone camminano con le loro tavole da surf.</v>
      </c>
    </row>
    <row r="7306">
      <c r="A7306" s="4" t="s">
        <v>9184</v>
      </c>
      <c r="B7306" s="4" t="s">
        <v>9187</v>
      </c>
      <c r="C7306" s="5" t="str">
        <f>IFERROR(__xludf.DUMMYFUNCTION("GOOGLETRANSLATE(B7306,""en"",""it"")"),"Un gruppo di donne si riunisce e si vede una mantide di preghiera.")</f>
        <v>Un gruppo di donne si riunisce e si vede una mantide di preghiera.</v>
      </c>
    </row>
    <row r="7307">
      <c r="A7307" s="4" t="s">
        <v>9184</v>
      </c>
      <c r="B7307" s="4" t="s">
        <v>9188</v>
      </c>
      <c r="C7307" s="5" t="str">
        <f>IFERROR(__xludf.DUMMYFUNCTION("GOOGLETRANSLATE(B7307,""en"",""it"")"),"Vengono quindi mostrati numerosi surfisti, attraversando e su varie onde.")</f>
        <v>Vengono quindi mostrati numerosi surfisti, attraversando e su varie onde.</v>
      </c>
    </row>
    <row r="7308">
      <c r="A7308" s="4" t="s">
        <v>9189</v>
      </c>
      <c r="B7308" s="4" t="s">
        <v>9190</v>
      </c>
      <c r="C7308" s="5" t="str">
        <f>IFERROR(__xludf.DUMMYFUNCTION("GOOGLETRANSLATE(B7308,""en"",""it"")"),"La donna sta dipingendo in una carta bianca foglie verdi in un albero cinese.")</f>
        <v>La donna sta dipingendo in una carta bianca foglie verdi in un albero cinese.</v>
      </c>
    </row>
    <row r="7309">
      <c r="A7309" s="4" t="s">
        <v>9189</v>
      </c>
      <c r="B7309" s="4" t="s">
        <v>9191</v>
      </c>
      <c r="C7309" s="5" t="str">
        <f>IFERROR(__xludf.DUMMYFUNCTION("GOOGLETRANSLATE(B7309,""en"",""it"")"),"Viene mostrata una vernice rossa e la donna mette un timbro sull'angolo della carta.")</f>
        <v>Viene mostrata una vernice rossa e la donna mette un timbro sull'angolo della carta.</v>
      </c>
    </row>
    <row r="7310">
      <c r="A7310" s="4" t="s">
        <v>9189</v>
      </c>
      <c r="B7310" s="4" t="s">
        <v>9192</v>
      </c>
      <c r="C7310" s="5" t="str">
        <f>IFERROR(__xludf.DUMMYFUNCTION("GOOGLETRANSLATE(B7310,""en"",""it"")"),"La donna sta dipingendo un fiore cinese blu e viola.")</f>
        <v>La donna sta dipingendo un fiore cinese blu e viola.</v>
      </c>
    </row>
    <row r="7311">
      <c r="A7311" s="4" t="s">
        <v>9189</v>
      </c>
      <c r="B7311" s="6" t="s">
        <v>9193</v>
      </c>
      <c r="C7311" s="5" t="str">
        <f>IFERROR(__xludf.DUMMYFUNCTION("GOOGLETRANSLATE(B7311,""en"",""it"")"),"I fiori rossi e neri sono dipinti su una carta bianca con molto dettaglio per la stessa donna in una stanza buia.")</f>
        <v>I fiori rossi e neri sono dipinti su una carta bianca con molto dettaglio per la stessa donna in una stanza buia.</v>
      </c>
    </row>
    <row r="7312">
      <c r="A7312" s="4" t="s">
        <v>9189</v>
      </c>
      <c r="B7312" s="6" t="s">
        <v>9194</v>
      </c>
      <c r="C7312" s="5" t="str">
        <f>IFERROR(__xludf.DUMMYFUNCTION("GOOGLETRANSLATE(B7312,""en"",""it"")"),"La donna ha usato un po 'di dipinto nero per fare i dettagli, mettere il timbro rosso sull'angolo e ha finito il dipinto con giallo e arrossamenti sui fiori.")</f>
        <v>La donna ha usato un po 'di dipinto nero per fare i dettagli, mettere il timbro rosso sull'angolo e ha finito il dipinto con giallo e arrossamenti sui fiori.</v>
      </c>
    </row>
    <row r="7313">
      <c r="A7313" s="4" t="s">
        <v>9195</v>
      </c>
      <c r="B7313" s="4" t="s">
        <v>9196</v>
      </c>
      <c r="C7313" s="5" t="str">
        <f>IFERROR(__xludf.DUMMYFUNCTION("GOOGLETRANSLATE(B7313,""en"",""it"")"),"Viene mostrato un primo piano di un uomo seguito da lui che fa una domanda a una donna sulla spiaggia.")</f>
        <v>Viene mostrato un primo piano di un uomo seguito da lui che fa una domanda a una donna sulla spiaggia.</v>
      </c>
    </row>
    <row r="7314">
      <c r="A7314" s="4" t="s">
        <v>9195</v>
      </c>
      <c r="B7314" s="4" t="s">
        <v>9197</v>
      </c>
      <c r="C7314" s="5" t="str">
        <f>IFERROR(__xludf.DUMMYFUNCTION("GOOGLETRANSLATE(B7314,""en"",""it"")"),"Viene quindi mostrato parlare a diverse persone che tengono un frisbee e giocano una partita.")</f>
        <v>Viene quindi mostrato parlare a diverse persone che tengono un frisbee e giocano una partita.</v>
      </c>
    </row>
    <row r="7315">
      <c r="A7315" s="4" t="s">
        <v>9195</v>
      </c>
      <c r="B7315" s="4" t="s">
        <v>9198</v>
      </c>
      <c r="C7315" s="5" t="str">
        <f>IFERROR(__xludf.DUMMYFUNCTION("GOOGLETRANSLATE(B7315,""en"",""it"")"),"Molte donne ridono con gli uomini e l'uomo dà a molti di loro un bacio.")</f>
        <v>Molte donne ridono con gli uomini e l'uomo dà a molti di loro un bacio.</v>
      </c>
    </row>
    <row r="7316">
      <c r="A7316" s="4" t="s">
        <v>9199</v>
      </c>
      <c r="B7316" s="4" t="s">
        <v>9200</v>
      </c>
      <c r="C7316" s="5" t="str">
        <f>IFERROR(__xludf.DUMMYFUNCTION("GOOGLETRANSLATE(B7316,""en"",""it"")"),"Due uomini vengono visti saltare e calciare l'uno intorno all'altro eseguendo vari lanci e trucchi.")</f>
        <v>Due uomini vengono visti saltare e calciare l'uno intorno all'altro eseguendo vari lanci e trucchi.</v>
      </c>
    </row>
    <row r="7317">
      <c r="A7317" s="4" t="s">
        <v>9199</v>
      </c>
      <c r="B7317" s="6" t="s">
        <v>9201</v>
      </c>
      <c r="C7317" s="5" t="str">
        <f>IFERROR(__xludf.DUMMYFUNCTION("GOOGLETRANSLATE(B7317,""en"",""it"")"),"Gli uomini continuano a girare l'uno intorno all'altro e eseguire mosse di ginnastica in luoghi diversi.")</f>
        <v>Gli uomini continuano a girare l'uno intorno all'altro e eseguire mosse di ginnastica in luoghi diversi.</v>
      </c>
    </row>
    <row r="7318">
      <c r="A7318" s="4" t="s">
        <v>9202</v>
      </c>
      <c r="B7318" s="4" t="s">
        <v>9203</v>
      </c>
      <c r="C7318" s="5" t="str">
        <f>IFERROR(__xludf.DUMMYFUNCTION("GOOGLETRANSLATE(B7318,""en"",""it"")"),"Una piantatrice di fiori è vista di fronte a una casa.")</f>
        <v>Una piantatrice di fiori è vista di fronte a una casa.</v>
      </c>
    </row>
    <row r="7319">
      <c r="A7319" s="4" t="s">
        <v>9202</v>
      </c>
      <c r="B7319" s="4" t="s">
        <v>9204</v>
      </c>
      <c r="C7319" s="5" t="str">
        <f>IFERROR(__xludf.DUMMYFUNCTION("GOOGLETRANSLATE(B7319,""en"",""it"")"),"Un tetto inchioda piastrelle nelle travi del tetto di una casa.")</f>
        <v>Un tetto inchioda piastrelle nelle travi del tetto di una casa.</v>
      </c>
    </row>
    <row r="7320">
      <c r="A7320" s="4" t="s">
        <v>9202</v>
      </c>
      <c r="B7320" s="4" t="s">
        <v>9205</v>
      </c>
      <c r="C7320" s="5" t="str">
        <f>IFERROR(__xludf.DUMMYFUNCTION("GOOGLETRANSLATE(B7320,""en"",""it"")"),"L'operaio edile fa scorrere le piastrelle in posizione su un tetto.")</f>
        <v>L'operaio edile fa scorrere le piastrelle in posizione su un tetto.</v>
      </c>
    </row>
    <row r="7321">
      <c r="A7321" s="4" t="s">
        <v>9202</v>
      </c>
      <c r="B7321" s="4" t="s">
        <v>9206</v>
      </c>
      <c r="C7321" s="5" t="str">
        <f>IFERROR(__xludf.DUMMYFUNCTION("GOOGLETRANSLATE(B7321,""en"",""it"")"),"Un equipaggio di operai edili si alza su un tetto.")</f>
        <v>Un equipaggio di operai edili si alza su un tetto.</v>
      </c>
    </row>
    <row r="7322">
      <c r="A7322" s="4" t="s">
        <v>9202</v>
      </c>
      <c r="B7322" s="4" t="s">
        <v>9207</v>
      </c>
      <c r="C7322" s="5" t="str">
        <f>IFERROR(__xludf.DUMMYFUNCTION("GOOGLETRANSLATE(B7322,""en"",""it"")"),"Un tetto di piastrelle finito si vede quando il lavoro è finito.")</f>
        <v>Un tetto di piastrelle finito si vede quando il lavoro è finito.</v>
      </c>
    </row>
    <row r="7323">
      <c r="A7323" s="4" t="s">
        <v>9202</v>
      </c>
      <c r="B7323" s="4" t="s">
        <v>9208</v>
      </c>
      <c r="C7323" s="5" t="str">
        <f>IFERROR(__xludf.DUMMYFUNCTION("GOOGLETRANSLATE(B7323,""en"",""it"")"),"Un lavoratore utilizza uno strumento spatola per applicare la malta tra le piastrelle sul tetto.")</f>
        <v>Un lavoratore utilizza uno strumento spatola per applicare la malta tra le piastrelle sul tetto.</v>
      </c>
    </row>
    <row r="7324">
      <c r="A7324" s="4" t="s">
        <v>9209</v>
      </c>
      <c r="B7324" s="4" t="s">
        <v>9210</v>
      </c>
      <c r="C7324" s="5" t="str">
        <f>IFERROR(__xludf.DUMMYFUNCTION("GOOGLETRANSLATE(B7324,""en"",""it"")"),"Un campo da basket viene mostrato all'aperto.")</f>
        <v>Un campo da basket viene mostrato all'aperto.</v>
      </c>
    </row>
    <row r="7325">
      <c r="A7325" s="4" t="s">
        <v>9209</v>
      </c>
      <c r="B7325" s="4" t="s">
        <v>9211</v>
      </c>
      <c r="C7325" s="5" t="str">
        <f>IFERROR(__xludf.DUMMYFUNCTION("GOOGLETRANSLATE(B7325,""en"",""it"")"),"Un uomo corre e fa diversi lay up consecutivi.")</f>
        <v>Un uomo corre e fa diversi lay up consecutivi.</v>
      </c>
    </row>
    <row r="7326">
      <c r="A7326" s="4" t="s">
        <v>9209</v>
      </c>
      <c r="B7326" s="4" t="s">
        <v>9212</v>
      </c>
      <c r="C7326" s="5" t="str">
        <f>IFERROR(__xludf.DUMMYFUNCTION("GOOGLETRANSLATE(B7326,""en"",""it"")"),"Fa alcuni cestini, poi prova ancora e ancora.")</f>
        <v>Fa alcuni cestini, poi prova ancora e ancora.</v>
      </c>
    </row>
    <row r="7327">
      <c r="A7327" s="4" t="s">
        <v>9209</v>
      </c>
      <c r="B7327" s="4" t="s">
        <v>9213</v>
      </c>
      <c r="C7327" s="5" t="str">
        <f>IFERROR(__xludf.DUMMYFUNCTION("GOOGLETRANSLATE(B7327,""en"",""it"")"),"Alcuni bambini corrono, salutando la telecamera.")</f>
        <v>Alcuni bambini corrono, salutando la telecamera.</v>
      </c>
    </row>
    <row r="7328">
      <c r="A7328" s="4" t="s">
        <v>9214</v>
      </c>
      <c r="B7328" s="4" t="s">
        <v>9215</v>
      </c>
      <c r="C7328" s="5" t="str">
        <f>IFERROR(__xludf.DUMMYFUNCTION("GOOGLETRANSLATE(B7328,""en"",""it"")"),"Un uomo è in piedi fuori parlando.")</f>
        <v>Un uomo è in piedi fuori parlando.</v>
      </c>
    </row>
    <row r="7329">
      <c r="A7329" s="4" t="s">
        <v>9214</v>
      </c>
      <c r="B7329" s="4" t="s">
        <v>9216</v>
      </c>
      <c r="C7329" s="5" t="str">
        <f>IFERROR(__xludf.DUMMYFUNCTION("GOOGLETRANSLATE(B7329,""en"",""it"")"),"Si mette su una linea di allentamento e inizia a attraversarla.")</f>
        <v>Si mette su una linea di allentamento e inizia a attraversarla.</v>
      </c>
    </row>
    <row r="7330">
      <c r="A7330" s="4" t="s">
        <v>9214</v>
      </c>
      <c r="B7330" s="4" t="s">
        <v>9217</v>
      </c>
      <c r="C7330" s="5" t="str">
        <f>IFERROR(__xludf.DUMMYFUNCTION("GOOGLETRANSLATE(B7330,""en"",""it"")"),"Cade sull'erba.")</f>
        <v>Cade sull'erba.</v>
      </c>
    </row>
    <row r="7331">
      <c r="A7331" s="4" t="s">
        <v>9218</v>
      </c>
      <c r="B7331" s="4" t="s">
        <v>9219</v>
      </c>
      <c r="C7331" s="5" t="str">
        <f>IFERROR(__xludf.DUMMYFUNCTION("GOOGLETRANSLATE(B7331,""en"",""it"")"),"Vediamo una clausola di Babbo Natale sott'acqua nell'oceano.")</f>
        <v>Vediamo una clausola di Babbo Natale sott'acqua nell'oceano.</v>
      </c>
    </row>
    <row r="7332">
      <c r="A7332" s="4" t="s">
        <v>9218</v>
      </c>
      <c r="B7332" s="4" t="s">
        <v>9220</v>
      </c>
      <c r="C7332" s="5" t="str">
        <f>IFERROR(__xludf.DUMMYFUNCTION("GOOGLETRANSLATE(B7332,""en"",""it"")"),"Vediamo pesci bianchi e gialli che nuotano intorno all'uomo.")</f>
        <v>Vediamo pesci bianchi e gialli che nuotano intorno all'uomo.</v>
      </c>
    </row>
    <row r="7333">
      <c r="A7333" s="4" t="s">
        <v>9218</v>
      </c>
      <c r="B7333" s="4" t="s">
        <v>9221</v>
      </c>
      <c r="C7333" s="5" t="str">
        <f>IFERROR(__xludf.DUMMYFUNCTION("GOOGLETRANSLATE(B7333,""en"",""it"")"),"Ci sediamo sopra l'uomo vedendo le sue bolle.")</f>
        <v>Ci sediamo sopra l'uomo vedendo le sue bolle.</v>
      </c>
    </row>
    <row r="7334">
      <c r="A7334" s="4" t="s">
        <v>9218</v>
      </c>
      <c r="B7334" s="4" t="s">
        <v>9222</v>
      </c>
      <c r="C7334" s="5" t="str">
        <f>IFERROR(__xludf.DUMMYFUNCTION("GOOGLETRANSLATE(B7334,""en"",""it"")"),"L'uomo nuota sotto un arco di roccia.")</f>
        <v>L'uomo nuota sotto un arco di roccia.</v>
      </c>
    </row>
    <row r="7335">
      <c r="A7335" s="4" t="s">
        <v>9223</v>
      </c>
      <c r="B7335" s="6" t="s">
        <v>9224</v>
      </c>
      <c r="C7335" s="5" t="str">
        <f>IFERROR(__xludf.DUMMYFUNCTION("GOOGLETRANSLATE(B7335,""en"",""it"")"),"L'uomo è in piedi nel botom di una scale e sta pulendo la neve, Hil nella strada, sta passando lo spazzaneve e l'uomo sta pulendo la neve e sta facendo un sentiero.")</f>
        <v>L'uomo è in piedi nel botom di una scale e sta pulendo la neve, Hil nella strada, sta passando lo spazzaneve e l'uomo sta pulendo la neve e sta facendo un sentiero.</v>
      </c>
    </row>
    <row r="7336">
      <c r="A7336" s="4" t="s">
        <v>9223</v>
      </c>
      <c r="B7336" s="4" t="s">
        <v>9225</v>
      </c>
      <c r="C7336" s="5" t="str">
        <f>IFERROR(__xludf.DUMMYFUNCTION("GOOGLETRANSLATE(B7336,""en"",""it"")"),"L'uomo è in piedi davanti a un'auto e sta pulendo il parabrezza e tutti i finestrini.")</f>
        <v>L'uomo è in piedi davanti a un'auto e sta pulendo il parabrezza e tutti i finestrini.</v>
      </c>
    </row>
    <row r="7337">
      <c r="A7337" s="4" t="s">
        <v>9226</v>
      </c>
      <c r="B7337" s="4" t="s">
        <v>9227</v>
      </c>
      <c r="C7337" s="5" t="str">
        <f>IFERROR(__xludf.DUMMYFUNCTION("GOOGLETRANSLATE(B7337,""en"",""it"")"),"Le persone si preparano ad andare in canoa e poi lanciano le loro barche.")</f>
        <v>Le persone si preparano ad andare in canoa e poi lanciano le loro barche.</v>
      </c>
    </row>
    <row r="7338">
      <c r="A7338" s="4" t="s">
        <v>9226</v>
      </c>
      <c r="B7338" s="4" t="s">
        <v>9228</v>
      </c>
      <c r="C7338" s="5" t="str">
        <f>IFERROR(__xludf.DUMMYFUNCTION("GOOGLETRANSLATE(B7338,""en"",""it"")"),"La gente quindi scende nel flusso.")</f>
        <v>La gente quindi scende nel flusso.</v>
      </c>
    </row>
    <row r="7339">
      <c r="A7339" s="4" t="s">
        <v>9229</v>
      </c>
      <c r="B7339" s="4" t="s">
        <v>9230</v>
      </c>
      <c r="C7339" s="5" t="str">
        <f>IFERROR(__xludf.DUMMYFUNCTION("GOOGLETRANSLATE(B7339,""en"",""it"")"),"Un uomo con una camicia di Batman è seduto a parlare.")</f>
        <v>Un uomo con una camicia di Batman è seduto a parlare.</v>
      </c>
    </row>
    <row r="7340">
      <c r="A7340" s="4" t="s">
        <v>9229</v>
      </c>
      <c r="B7340" s="4" t="s">
        <v>9231</v>
      </c>
      <c r="C7340" s="5" t="str">
        <f>IFERROR(__xludf.DUMMYFUNCTION("GOOGLETRANSLATE(B7340,""en"",""it"")"),"Una persona inizia a saldare un pezzo di metallo.")</f>
        <v>Una persona inizia a saldare un pezzo di metallo.</v>
      </c>
    </row>
    <row r="7341">
      <c r="A7341" s="4" t="s">
        <v>9229</v>
      </c>
      <c r="B7341" s="4" t="s">
        <v>9232</v>
      </c>
      <c r="C7341" s="5" t="str">
        <f>IFERROR(__xludf.DUMMYFUNCTION("GOOGLETRANSLATE(B7341,""en"",""it"")"),"Si toglie un pennello e spazzola il pezzo di metallo.")</f>
        <v>Si toglie un pennello e spazzola il pezzo di metallo.</v>
      </c>
    </row>
    <row r="7342">
      <c r="A7342" s="4" t="s">
        <v>9229</v>
      </c>
      <c r="B7342" s="4" t="s">
        <v>9233</v>
      </c>
      <c r="C7342" s="5" t="str">
        <f>IFERROR(__xludf.DUMMYFUNCTION("GOOGLETRANSLATE(B7342,""en"",""it"")"),"Mette tutti i pezzi in una borsa nera.")</f>
        <v>Mette tutti i pezzi in una borsa nera.</v>
      </c>
    </row>
    <row r="7343">
      <c r="A7343" s="4" t="s">
        <v>9234</v>
      </c>
      <c r="B7343" s="4" t="s">
        <v>9235</v>
      </c>
      <c r="C7343" s="5" t="str">
        <f>IFERROR(__xludf.DUMMYFUNCTION("GOOGLETRANSLATE(B7343,""en"",""it"")"),"Un piccolo gruppo di persone è visto in piedi su due lati di una rete.")</f>
        <v>Un piccolo gruppo di persone è visto in piedi su due lati di una rete.</v>
      </c>
    </row>
    <row r="7344">
      <c r="A7344" s="4" t="s">
        <v>9234</v>
      </c>
      <c r="B7344" s="4" t="s">
        <v>9236</v>
      </c>
      <c r="C7344" s="5" t="str">
        <f>IFERROR(__xludf.DUMMYFUNCTION("GOOGLETRANSLATE(B7344,""en"",""it"")"),"Le persone iniziano quindi a giocare a badminton l'uno con l'altro.")</f>
        <v>Le persone iniziano quindi a giocare a badminton l'uno con l'altro.</v>
      </c>
    </row>
    <row r="7345">
      <c r="A7345" s="4" t="s">
        <v>9234</v>
      </c>
      <c r="B7345" s="4" t="s">
        <v>9237</v>
      </c>
      <c r="C7345" s="5" t="str">
        <f>IFERROR(__xludf.DUMMYFUNCTION("GOOGLETRANSLATE(B7345,""en"",""it"")"),"Continuano a colpire l'uccello mentre lo servono dall'altra parte e lo colpiscono.")</f>
        <v>Continuano a colpire l'uccello mentre lo servono dall'altra parte e lo colpiscono.</v>
      </c>
    </row>
    <row r="7346">
      <c r="A7346" s="4" t="s">
        <v>9238</v>
      </c>
      <c r="B7346" s="4" t="s">
        <v>9239</v>
      </c>
      <c r="C7346" s="5" t="str">
        <f>IFERROR(__xludf.DUMMYFUNCTION("GOOGLETRANSLATE(B7346,""en"",""it"")"),"Una folla di circa mille persone è fuori e allo stadio a guardare un toro combattere.")</f>
        <v>Una folla di circa mille persone è fuori e allo stadio a guardare un toro combattere.</v>
      </c>
    </row>
    <row r="7347">
      <c r="A7347" s="4" t="s">
        <v>9238</v>
      </c>
      <c r="B7347" s="4" t="s">
        <v>9240</v>
      </c>
      <c r="C7347" s="5" t="str">
        <f>IFERROR(__xludf.DUMMYFUNCTION("GOOGLETRANSLATE(B7347,""en"",""it"")"),"Tre giovani sono al centro e iniziano a manomettere due tori in bianco e nero.")</f>
        <v>Tre giovani sono al centro e iniziano a manomettere due tori in bianco e nero.</v>
      </c>
    </row>
    <row r="7348">
      <c r="A7348" s="4" t="s">
        <v>9238</v>
      </c>
      <c r="B7348" s="6" t="s">
        <v>9241</v>
      </c>
      <c r="C7348" s="5" t="str">
        <f>IFERROR(__xludf.DUMMYFUNCTION("GOOGLETRANSLATE(B7348,""en"",""it"")"),"I due tori stanno combattendo l'uno con l'altro e la folla inizia a chiuderli per vedere l'azione.")</f>
        <v>I due tori stanno combattendo l'uno con l'altro e la folla inizia a chiuderli per vedere l'azione.</v>
      </c>
    </row>
    <row r="7349">
      <c r="A7349" s="4" t="s">
        <v>9242</v>
      </c>
      <c r="B7349" s="4" t="s">
        <v>9243</v>
      </c>
      <c r="C7349" s="5" t="str">
        <f>IFERROR(__xludf.DUMMYFUNCTION("GOOGLETRANSLATE(B7349,""en"",""it"")"),"Una telecamera si panoramica attorno a un lago e mostra una barca che si muove lungo l'acqua.")</f>
        <v>Una telecamera si panoramica attorno a un lago e mostra una barca che si muove lungo l'acqua.</v>
      </c>
    </row>
    <row r="7350">
      <c r="A7350" s="4" t="s">
        <v>9242</v>
      </c>
      <c r="B7350" s="4" t="s">
        <v>9244</v>
      </c>
      <c r="C7350" s="5" t="str">
        <f>IFERROR(__xludf.DUMMYFUNCTION("GOOGLETRANSLATE(B7350,""en"",""it"")"),"Una persona viene vista cavalcare dietro la barca su un paio di sci.")</f>
        <v>Una persona viene vista cavalcare dietro la barca su un paio di sci.</v>
      </c>
    </row>
    <row r="7351">
      <c r="A7351" s="4" t="s">
        <v>9242</v>
      </c>
      <c r="B7351" s="4" t="s">
        <v>9245</v>
      </c>
      <c r="C7351" s="5" t="str">
        <f>IFERROR(__xludf.DUMMYFUNCTION("GOOGLETRANSLATE(B7351,""en"",""it"")"),"Vengono mostrati altri colpi della barca in giro con una persona che sciare nella parte posteriore.")</f>
        <v>Vengono mostrati altri colpi della barca in giro con una persona che sciare nella parte posteriore.</v>
      </c>
    </row>
    <row r="7352">
      <c r="A7352" s="4" t="s">
        <v>9246</v>
      </c>
      <c r="B7352" s="6" t="s">
        <v>9247</v>
      </c>
      <c r="C7352" s="5" t="str">
        <f>IFERROR(__xludf.DUMMYFUNCTION("GOOGLETRANSLATE(B7352,""en"",""it"")"),"Un folto gruppo di persone è visto in piedi insieme vestito con un uomo che parla in un microfono e punta.")</f>
        <v>Un folto gruppo di persone è visto in piedi insieme vestito con un uomo che parla in un microfono e punta.</v>
      </c>
    </row>
    <row r="7353">
      <c r="A7353" s="4" t="s">
        <v>9246</v>
      </c>
      <c r="B7353" s="6" t="s">
        <v>9248</v>
      </c>
      <c r="C7353" s="5" t="str">
        <f>IFERROR(__xludf.DUMMYFUNCTION("GOOGLETRANSLATE(B7353,""en"",""it"")"),"L'uomo quindi entra nella canzone e balla con un altro uomo e indica gradualmente lo sposo.")</f>
        <v>L'uomo quindi entra nella canzone e balla con un altro uomo e indica gradualmente lo sposo.</v>
      </c>
    </row>
    <row r="7354">
      <c r="A7354" s="4" t="s">
        <v>9249</v>
      </c>
      <c r="B7354" s="4" t="s">
        <v>9250</v>
      </c>
      <c r="C7354" s="5" t="str">
        <f>IFERROR(__xludf.DUMMYFUNCTION("GOOGLETRANSLATE(B7354,""en"",""it"")"),"Gli uomini d'affari camminano attraverso una folla affollata.")</f>
        <v>Gli uomini d'affari camminano attraverso una folla affollata.</v>
      </c>
    </row>
    <row r="7355">
      <c r="A7355" s="4" t="s">
        <v>9249</v>
      </c>
      <c r="B7355" s="4" t="s">
        <v>9251</v>
      </c>
      <c r="C7355" s="5" t="str">
        <f>IFERROR(__xludf.DUMMYFUNCTION("GOOGLETRANSLATE(B7355,""en"",""it"")"),"Un uomo d'affari gioca contro un professionista del tennis da tavolo.")</f>
        <v>Un uomo d'affari gioca contro un professionista del tennis da tavolo.</v>
      </c>
    </row>
    <row r="7356">
      <c r="A7356" s="4" t="s">
        <v>9249</v>
      </c>
      <c r="B7356" s="4" t="s">
        <v>9252</v>
      </c>
      <c r="C7356" s="5" t="str">
        <f>IFERROR(__xludf.DUMMYFUNCTION("GOOGLETRANSLATE(B7356,""en"",""it"")"),"Due uomini d'affari giocano in una squadra contro il Table Tennis Pro.")</f>
        <v>Due uomini d'affari giocano in una squadra contro il Table Tennis Pro.</v>
      </c>
    </row>
    <row r="7357">
      <c r="A7357" s="4" t="s">
        <v>9249</v>
      </c>
      <c r="B7357" s="4" t="s">
        <v>9253</v>
      </c>
      <c r="C7357" s="5" t="str">
        <f>IFERROR(__xludf.DUMMYFUNCTION("GOOGLETRANSLATE(B7357,""en"",""it"")"),"La partita termina e gli uomini d'affari si stringono la mano all'atleta.")</f>
        <v>La partita termina e gli uomini d'affari si stringono la mano all'atleta.</v>
      </c>
    </row>
    <row r="7358">
      <c r="A7358" s="4" t="s">
        <v>9254</v>
      </c>
      <c r="B7358" s="4" t="s">
        <v>9255</v>
      </c>
      <c r="C7358" s="5" t="str">
        <f>IFERROR(__xludf.DUMMYFUNCTION("GOOGLETRANSLATE(B7358,""en"",""it"")"),"Un ragazzo del preteen è fuori in un parco aperto per le riprese delle barre delle scimmie che indica a sinistra.")</f>
        <v>Un ragazzo del preteen è fuori in un parco aperto per le riprese delle barre delle scimmie che indica a sinistra.</v>
      </c>
    </row>
    <row r="7359">
      <c r="A7359" s="4" t="s">
        <v>9254</v>
      </c>
      <c r="B7359" s="4" t="s">
        <v>9256</v>
      </c>
      <c r="C7359" s="5" t="str">
        <f>IFERROR(__xludf.DUMMYFUNCTION("GOOGLETRANSLATE(B7359,""en"",""it"")"),"La fotocamera si lancia a sinistra per mostrare lo scivolo in un'altra parte della palestra della giungla.")</f>
        <v>La fotocamera si lancia a sinistra per mostrare lo scivolo in un'altra parte della palestra della giungla.</v>
      </c>
    </row>
    <row r="7360">
      <c r="A7360" s="4" t="s">
        <v>9254</v>
      </c>
      <c r="B7360" s="4" t="s">
        <v>9257</v>
      </c>
      <c r="C7360" s="5" t="str">
        <f>IFERROR(__xludf.DUMMYFUNCTION("GOOGLETRANSLATE(B7360,""en"",""it"")"),"La fotocamera torna alle barre delle scimmie.")</f>
        <v>La fotocamera torna alle barre delle scimmie.</v>
      </c>
    </row>
    <row r="7361">
      <c r="A7361" s="4" t="s">
        <v>9254</v>
      </c>
      <c r="B7361" s="6" t="s">
        <v>9258</v>
      </c>
      <c r="C7361" s="5" t="str">
        <f>IFERROR(__xludf.DUMMYFUNCTION("GOOGLETRANSLATE(B7361,""en"",""it"")"),"Il ragazzo tenta di scalare le barre delle scimmie a partire dal secondo dal gradino superiore della scala all'interno e cade, si alza e va alla scala.")</f>
        <v>Il ragazzo tenta di scalare le barre delle scimmie a partire dal secondo dal gradino superiore della scala all'interno e cade, si alza e va alla scala.</v>
      </c>
    </row>
    <row r="7362">
      <c r="A7362" s="4" t="s">
        <v>9254</v>
      </c>
      <c r="B7362" s="6" t="s">
        <v>9259</v>
      </c>
      <c r="C7362" s="5" t="str">
        <f>IFERROR(__xludf.DUMMYFUNCTION("GOOGLETRANSLATE(B7362,""en"",""it"")"),"Il ragazzo tenta di nuovo la salita, questa volta dal gradino più alto della scala all'interno e cade, si alza e va di nuovo alla scala.")</f>
        <v>Il ragazzo tenta di nuovo la salita, questa volta dal gradino più alto della scala all'interno e cade, si alza e va di nuovo alla scala.</v>
      </c>
    </row>
    <row r="7363">
      <c r="A7363" s="4" t="s">
        <v>9254</v>
      </c>
      <c r="B7363" s="6" t="s">
        <v>9260</v>
      </c>
      <c r="C7363" s="5" t="str">
        <f>IFERROR(__xludf.DUMMYFUNCTION("GOOGLETRANSLATE(B7363,""en"",""it"")"),"Il ragazzo tenta di salire di nuovo, dalla barra superiore all'interno e cade di nuovo, si alza e va di nuovo alla scala.")</f>
        <v>Il ragazzo tenta di salire di nuovo, dalla barra superiore all'interno e cade di nuovo, si alza e va di nuovo alla scala.</v>
      </c>
    </row>
    <row r="7364">
      <c r="A7364" s="4" t="s">
        <v>9254</v>
      </c>
      <c r="B7364" s="6" t="s">
        <v>9261</v>
      </c>
      <c r="C7364" s="5" t="str">
        <f>IFERROR(__xludf.DUMMYFUNCTION("GOOGLETRANSLATE(B7364,""en"",""it"")"),"Il ragazzo tenta di arrampicarsi di nuovo, questa volta si adatta di nuovo in piedi sul secondo gradino all'interno e cade di nuovo quando tenta di arrampicarsi.")</f>
        <v>Il ragazzo tenta di arrampicarsi di nuovo, questa volta si adatta di nuovo in piedi sul secondo gradino all'interno e cade di nuovo quando tenta di arrampicarsi.</v>
      </c>
    </row>
    <row r="7365">
      <c r="A7365" s="4" t="s">
        <v>9254</v>
      </c>
      <c r="B7365" s="6" t="s">
        <v>9262</v>
      </c>
      <c r="C7365" s="5" t="str">
        <f>IFERROR(__xludf.DUMMYFUNCTION("GOOGLETRANSLATE(B7365,""en"",""it"")"),"Il ragazzo tenta di arrampicarsi di nuovo usando lo stesso punto di partenza e cade, si alza e va verso la scala ma decide che ha finito e saluta.")</f>
        <v>Il ragazzo tenta di arrampicarsi di nuovo usando lo stesso punto di partenza e cade, si alza e va verso la scala ma decide che ha finito e saluta.</v>
      </c>
    </row>
    <row r="7366">
      <c r="A7366" s="4" t="s">
        <v>9263</v>
      </c>
      <c r="B7366" s="4" t="s">
        <v>9264</v>
      </c>
      <c r="C7366" s="5" t="str">
        <f>IFERROR(__xludf.DUMMYFUNCTION("GOOGLETRANSLATE(B7366,""en"",""it"")"),"Un uomo viene visto andare in giro su un cavallo con in mano un bastone e poi fare una pausa per sedersi.")</f>
        <v>Un uomo viene visto andare in giro su un cavallo con in mano un bastone e poi fare una pausa per sedersi.</v>
      </c>
    </row>
    <row r="7367">
      <c r="A7367" s="4" t="s">
        <v>9263</v>
      </c>
      <c r="B7367" s="6" t="s">
        <v>9265</v>
      </c>
      <c r="C7367" s="5" t="str">
        <f>IFERROR(__xludf.DUMMYFUNCTION("GOOGLETRANSLATE(B7367,""en"",""it"")"),"Viene quindi visto camminare di nuovo con un folto gruppo di persone che bevevano acqua e poi scuote le mani di diverse persone mentre torna indietro.")</f>
        <v>Viene quindi visto camminare di nuovo con un folto gruppo di persone che bevevano acqua e poi scuote le mani di diverse persone mentre torna indietro.</v>
      </c>
    </row>
    <row r="7368">
      <c r="A7368" s="4" t="s">
        <v>9266</v>
      </c>
      <c r="B7368" s="4" t="s">
        <v>9267</v>
      </c>
      <c r="C7368" s="5" t="str">
        <f>IFERROR(__xludf.DUMMYFUNCTION("GOOGLETRANSLATE(B7368,""en"",""it"")"),"Viene mostrato un primo piano di un impasto e conduce a una persona che diffonde glassa su una pasta.")</f>
        <v>Viene mostrato un primo piano di un impasto e conduce a una persona che diffonde glassa su una pasta.</v>
      </c>
    </row>
    <row r="7369">
      <c r="A7369" s="4" t="s">
        <v>9266</v>
      </c>
      <c r="B7369" s="4" t="s">
        <v>9268</v>
      </c>
      <c r="C7369" s="5" t="str">
        <f>IFERROR(__xludf.DUMMYFUNCTION("GOOGLETRANSLATE(B7369,""en"",""it"")"),"Mette la pasta sulla torta e continua a mettere la glassa intorno alla torta.")</f>
        <v>Mette la pasta sulla torta e continua a mettere la glassa intorno alla torta.</v>
      </c>
    </row>
    <row r="7370">
      <c r="A7370" s="4" t="s">
        <v>9266</v>
      </c>
      <c r="B7370" s="6" t="s">
        <v>9269</v>
      </c>
      <c r="C7370" s="5" t="str">
        <f>IFERROR(__xludf.DUMMYFUNCTION("GOOGLETRANSLATE(B7370,""en"",""it"")"),"La fotocamera ingrandisce la torta e mostra la donna che mette una faccia sulla torta e mostra il risultato finito.")</f>
        <v>La fotocamera ingrandisce la torta e mostra la donna che mette una faccia sulla torta e mostra il risultato finito.</v>
      </c>
    </row>
    <row r="7371">
      <c r="A7371" s="4" t="s">
        <v>9270</v>
      </c>
      <c r="B7371" s="4" t="s">
        <v>9271</v>
      </c>
      <c r="C7371" s="5" t="str">
        <f>IFERROR(__xludf.DUMMYFUNCTION("GOOGLETRANSLATE(B7371,""en"",""it"")"),"Due ancore di notizie stanno parlando in una stanza.")</f>
        <v>Due ancore di notizie stanno parlando in una stanza.</v>
      </c>
    </row>
    <row r="7372">
      <c r="A7372" s="4" t="s">
        <v>9270</v>
      </c>
      <c r="B7372" s="4" t="s">
        <v>9272</v>
      </c>
      <c r="C7372" s="5" t="str">
        <f>IFERROR(__xludf.DUMMYFUNCTION("GOOGLETRANSLATE(B7372,""en"",""it"")"),"Un uomo sta preparando cibo in cucina.")</f>
        <v>Un uomo sta preparando cibo in cucina.</v>
      </c>
    </row>
    <row r="7373">
      <c r="A7373" s="4" t="s">
        <v>9270</v>
      </c>
      <c r="B7373" s="4" t="s">
        <v>9273</v>
      </c>
      <c r="C7373" s="5" t="str">
        <f>IFERROR(__xludf.DUMMYFUNCTION("GOOGLETRANSLATE(B7373,""en"",""it"")"),"Cucina i funghi in una padella.")</f>
        <v>Cucina i funghi in una padella.</v>
      </c>
    </row>
    <row r="7374">
      <c r="A7374" s="4" t="s">
        <v>9270</v>
      </c>
      <c r="B7374" s="4" t="s">
        <v>9274</v>
      </c>
      <c r="C7374" s="5" t="str">
        <f>IFERROR(__xludf.DUMMYFUNCTION("GOOGLETRANSLATE(B7374,""en"",""it"")"),"Aggiunge il cibo in una ciotola.")</f>
        <v>Aggiunge il cibo in una ciotola.</v>
      </c>
    </row>
    <row r="7375">
      <c r="A7375" s="4" t="s">
        <v>9275</v>
      </c>
      <c r="B7375" s="4" t="s">
        <v>9276</v>
      </c>
      <c r="C7375" s="5" t="str">
        <f>IFERROR(__xludf.DUMMYFUNCTION("GOOGLETRANSLATE(B7375,""en"",""it"")"),"Si vede una lunga sciarpa colorata che corre sopra le sedie.")</f>
        <v>Si vede una lunga sciarpa colorata che corre sopra le sedie.</v>
      </c>
    </row>
    <row r="7376">
      <c r="A7376" s="4" t="s">
        <v>9275</v>
      </c>
      <c r="B7376" s="4" t="s">
        <v>9277</v>
      </c>
      <c r="C7376" s="5" t="str">
        <f>IFERROR(__xludf.DUMMYFUNCTION("GOOGLETRANSLATE(B7376,""en"",""it"")"),"Una donna viene vista a lavorare a maglia la sciarpa in un abito viola.")</f>
        <v>Una donna viene vista a lavorare a maglia la sciarpa in un abito viola.</v>
      </c>
    </row>
    <row r="7377">
      <c r="A7377" s="4" t="s">
        <v>9275</v>
      </c>
      <c r="B7377" s="4" t="s">
        <v>9278</v>
      </c>
      <c r="C7377" s="5" t="str">
        <f>IFERROR(__xludf.DUMMYFUNCTION("GOOGLETRANSLATE(B7377,""en"",""it"")"),"Altre tre donne si siedono insieme e lavorano una sezione della sciarpa.")</f>
        <v>Altre tre donne si siedono insieme e lavorano una sezione della sciarpa.</v>
      </c>
    </row>
    <row r="7378">
      <c r="A7378" s="4" t="s">
        <v>9279</v>
      </c>
      <c r="B7378" s="4" t="s">
        <v>1487</v>
      </c>
      <c r="C7378" s="5" t="str">
        <f>IFERROR(__xludf.DUMMYFUNCTION("GOOGLETRANSLATE(B7378,""en"",""it"")"),"Vediamo una schermata del titolo di apertura.")</f>
        <v>Vediamo una schermata del titolo di apertura.</v>
      </c>
    </row>
    <row r="7379">
      <c r="A7379" s="4" t="s">
        <v>9279</v>
      </c>
      <c r="B7379" s="4" t="s">
        <v>9280</v>
      </c>
      <c r="C7379" s="5" t="str">
        <f>IFERROR(__xludf.DUMMYFUNCTION("GOOGLETRANSLATE(B7379,""en"",""it"")"),"Vediamo le immagini di un uomo che apri i ciechi e trasporta un imbarco fuori.")</f>
        <v>Vediamo le immagini di un uomo che apri i ciechi e trasporta un imbarco fuori.</v>
      </c>
    </row>
    <row r="7380">
      <c r="A7380" s="4" t="s">
        <v>9279</v>
      </c>
      <c r="B7380" s="4" t="s">
        <v>9281</v>
      </c>
      <c r="C7380" s="5" t="str">
        <f>IFERROR(__xludf.DUMMYFUNCTION("GOOGLETRANSLATE(B7380,""en"",""it"")"),"Vediamo un uomo che cavalca gli sci di jet ed eseguire lanci.")</f>
        <v>Vediamo un uomo che cavalca gli sci di jet ed eseguire lanci.</v>
      </c>
    </row>
    <row r="7381">
      <c r="A7381" s="4" t="s">
        <v>9279</v>
      </c>
      <c r="B7381" s="4" t="s">
        <v>9282</v>
      </c>
      <c r="C7381" s="5" t="str">
        <f>IFERROR(__xludf.DUMMYFUNCTION("GOOGLETRANSLATE(B7381,""en"",""it"")"),"Vediamo un uomo seduto sul molo.")</f>
        <v>Vediamo un uomo seduto sul molo.</v>
      </c>
    </row>
    <row r="7382">
      <c r="A7382" s="4" t="s">
        <v>9279</v>
      </c>
      <c r="B7382" s="4" t="s">
        <v>9283</v>
      </c>
      <c r="C7382" s="5" t="str">
        <f>IFERROR(__xludf.DUMMYFUNCTION("GOOGLETRANSLATE(B7382,""en"",""it"")"),"Vediamo il jet scier cavalca su una rampa.")</f>
        <v>Vediamo il jet scier cavalca su una rampa.</v>
      </c>
    </row>
    <row r="7383">
      <c r="A7383" s="4" t="s">
        <v>9279</v>
      </c>
      <c r="B7383" s="4" t="s">
        <v>9284</v>
      </c>
      <c r="C7383" s="5" t="str">
        <f>IFERROR(__xludf.DUMMYFUNCTION("GOOGLETRANSLATE(B7383,""en"",""it"")"),"Vediamo brevemente una scarpa.")</f>
        <v>Vediamo brevemente una scarpa.</v>
      </c>
    </row>
    <row r="7384">
      <c r="A7384" s="4" t="s">
        <v>9279</v>
      </c>
      <c r="B7384" s="4" t="s">
        <v>777</v>
      </c>
      <c r="C7384" s="5" t="str">
        <f>IFERROR(__xludf.DUMMYFUNCTION("GOOGLETRANSLATE(B7384,""en"",""it"")"),"Vediamo la schermata del titolo finale.")</f>
        <v>Vediamo la schermata del titolo finale.</v>
      </c>
    </row>
    <row r="7385">
      <c r="A7385" s="4" t="s">
        <v>9285</v>
      </c>
      <c r="B7385" s="4" t="s">
        <v>9286</v>
      </c>
      <c r="C7385" s="5" t="str">
        <f>IFERROR(__xludf.DUMMYFUNCTION("GOOGLETRANSLATE(B7385,""en"",""it"")"),"Gli individui si lanciano nelle loro corsie e abbattono i perni.")</f>
        <v>Gli individui si lanciano nelle loro corsie e abbattono i perni.</v>
      </c>
    </row>
    <row r="7386">
      <c r="A7386" s="4" t="s">
        <v>9285</v>
      </c>
      <c r="B7386" s="4" t="s">
        <v>9287</v>
      </c>
      <c r="C7386" s="5" t="str">
        <f>IFERROR(__xludf.DUMMYFUNCTION("GOOGLETRANSLATE(B7386,""en"",""it"")"),"Un ragazzo lancia uno sciopero e apri la bocca per esprimere l'angoscia.")</f>
        <v>Un ragazzo lancia uno sciopero e apri la bocca per esprimere l'angoscia.</v>
      </c>
    </row>
    <row r="7387">
      <c r="A7387" s="4" t="s">
        <v>9288</v>
      </c>
      <c r="B7387" s="4" t="s">
        <v>9289</v>
      </c>
      <c r="C7387" s="5" t="str">
        <f>IFERROR(__xludf.DUMMYFUNCTION("GOOGLETRANSLATE(B7387,""en"",""it"")"),"Gli studenti vengono intervistati e poi corrono una gara.")</f>
        <v>Gli studenti vengono intervistati e poi corrono una gara.</v>
      </c>
    </row>
    <row r="7388">
      <c r="A7388" s="4" t="s">
        <v>9288</v>
      </c>
      <c r="B7388" s="4" t="s">
        <v>9290</v>
      </c>
      <c r="C7388" s="5" t="str">
        <f>IFERROR(__xludf.DUMMYFUNCTION("GOOGLETRANSLATE(B7388,""en"",""it"")"),"Tutti sembrano felici di essere coinvolti nel Collegio di Charleston.")</f>
        <v>Tutti sembrano felici di essere coinvolti nel Collegio di Charleston.</v>
      </c>
    </row>
    <row r="7389">
      <c r="A7389" s="4" t="s">
        <v>9291</v>
      </c>
      <c r="B7389" s="6" t="s">
        <v>9292</v>
      </c>
      <c r="C7389" s="5" t="str">
        <f>IFERROR(__xludf.DUMMYFUNCTION("GOOGLETRANSLATE(B7389,""en"",""it"")"),"Uno chef dimostra come sbucciare una patata usando un pelapista di patate e una patata, in una cucina di fronte al tagliere.")</f>
        <v>Uno chef dimostra come sbucciare una patata usando un pelapista di patate e una patata, in una cucina di fronte al tagliere.</v>
      </c>
    </row>
    <row r="7390">
      <c r="A7390" s="4" t="s">
        <v>9291</v>
      </c>
      <c r="B7390" s="6" t="s">
        <v>9293</v>
      </c>
      <c r="C7390" s="5" t="str">
        <f>IFERROR(__xludf.DUMMYFUNCTION("GOOGLETRANSLATE(B7390,""en"",""it"")"),"L'uomo parla con la telecamera e inizia a sbucciare la patata con il pelapapo che si stacca di fette di pelle e gestindo al tavolo.")</f>
        <v>L'uomo parla con la telecamera e inizia a sbucciare la patata con il pelapapo che si stacca di fette di pelle e gestindo al tavolo.</v>
      </c>
    </row>
    <row r="7391">
      <c r="A7391" s="4" t="s">
        <v>9291</v>
      </c>
      <c r="B7391" s="4" t="s">
        <v>9294</v>
      </c>
      <c r="C7391" s="5" t="str">
        <f>IFERROR(__xludf.DUMMYFUNCTION("GOOGLETRANSLATE(B7391,""en"",""it"")"),"L'uomo sbuccia la patata fino a quando non ha più pelle.")</f>
        <v>L'uomo sbuccia la patata fino a quando non ha più pelle.</v>
      </c>
    </row>
    <row r="7392">
      <c r="A7392" s="4" t="s">
        <v>9295</v>
      </c>
      <c r="B7392" s="4" t="s">
        <v>9296</v>
      </c>
      <c r="C7392" s="5" t="str">
        <f>IFERROR(__xludf.DUMMYFUNCTION("GOOGLETRANSLATE(B7392,""en"",""it"")"),"Due uomini sono insieme su un tavolo con il pugno in alto mentre l'arbitro tiene il polso.")</f>
        <v>Due uomini sono insieme su un tavolo con il pugno in alto mentre l'arbitro tiene il polso.</v>
      </c>
    </row>
    <row r="7393">
      <c r="A7393" s="4" t="s">
        <v>9295</v>
      </c>
      <c r="B7393" s="6" t="s">
        <v>9297</v>
      </c>
      <c r="C7393" s="5" t="str">
        <f>IFERROR(__xludf.DUMMYFUNCTION("GOOGLETRANSLATE(B7393,""en"",""it"")"),"L'arbitro quindi lascia andare e quasi istantaneamente la partita di wrestling del braccio è finita e viene dichiarato un vincitore, il vincitore si sposta e molte altre partite iniziano a svolgere e anche loro sono finite bruscamente.")</f>
        <v>L'arbitro quindi lascia andare e quasi istantaneamente la partita di wrestling del braccio è finita e viene dichiarato un vincitore, il vincitore si sposta e molte altre partite iniziano a svolgere e anche loro sono finite bruscamente.</v>
      </c>
    </row>
    <row r="7394">
      <c r="A7394" s="4" t="s">
        <v>9295</v>
      </c>
      <c r="B7394" s="6" t="s">
        <v>9298</v>
      </c>
      <c r="C7394" s="5" t="str">
        <f>IFERROR(__xludf.DUMMYFUNCTION("GOOGLETRANSLATE(B7394,""en"",""it"")"),"Verso la fine, tuttavia, gli avversari finalmente si abbinano e ci vuole un'eternità per dichiarare un vincitore mentre lottano per muovere le mani.")</f>
        <v>Verso la fine, tuttavia, gli avversari finalmente si abbinano e ci vuole un'eternità per dichiarare un vincitore mentre lottano per muovere le mani.</v>
      </c>
    </row>
    <row r="7395">
      <c r="A7395" s="4" t="s">
        <v>9299</v>
      </c>
      <c r="B7395" s="4" t="s">
        <v>9300</v>
      </c>
      <c r="C7395" s="5" t="str">
        <f>IFERROR(__xludf.DUMMYFUNCTION("GOOGLETRANSLATE(B7395,""en"",""it"")"),"Gli uomini giocano a cestino in un campo di legno tetto.")</f>
        <v>Gli uomini giocano a cestino in un campo di legno tetto.</v>
      </c>
    </row>
    <row r="7396">
      <c r="A7396" s="4" t="s">
        <v>9299</v>
      </c>
      <c r="B7396" s="4" t="s">
        <v>9301</v>
      </c>
      <c r="C7396" s="5" t="str">
        <f>IFERROR(__xludf.DUMMYFUNCTION("GOOGLETRANSLATE(B7396,""en"",""it"")"),"L'uomo è solo a fare i ladri al cestino.")</f>
        <v>L'uomo è solo a fare i ladri al cestino.</v>
      </c>
    </row>
    <row r="7397">
      <c r="A7397" s="4" t="s">
        <v>9299</v>
      </c>
      <c r="B7397" s="4" t="s">
        <v>9302</v>
      </c>
      <c r="C7397" s="5" t="str">
        <f>IFERROR(__xludf.DUMMYFUNCTION("GOOGLETRANSLATE(B7397,""en"",""it"")"),"Un altro uomo arriva in campo e inizia a suonare insieme.")</f>
        <v>Un altro uomo arriva in campo e inizia a suonare insieme.</v>
      </c>
    </row>
    <row r="7398">
      <c r="A7398" s="4" t="s">
        <v>9303</v>
      </c>
      <c r="B7398" s="4" t="s">
        <v>9304</v>
      </c>
      <c r="C7398" s="5" t="str">
        <f>IFERROR(__xludf.DUMMYFUNCTION("GOOGLETRANSLATE(B7398,""en"",""it"")"),"Un registro dell'azienda è sullo schermo.")</f>
        <v>Un registro dell'azienda è sullo schermo.</v>
      </c>
    </row>
    <row r="7399">
      <c r="A7399" s="4" t="s">
        <v>9303</v>
      </c>
      <c r="B7399" s="4" t="s">
        <v>9305</v>
      </c>
      <c r="C7399" s="5" t="str">
        <f>IFERROR(__xludf.DUMMYFUNCTION("GOOGLETRANSLATE(B7399,""en"",""it"")"),"Una barca sta galleggiando sull'acqua.")</f>
        <v>Una barca sta galleggiando sull'acqua.</v>
      </c>
    </row>
    <row r="7400">
      <c r="A7400" s="4" t="s">
        <v>9303</v>
      </c>
      <c r="B7400" s="4" t="s">
        <v>9306</v>
      </c>
      <c r="C7400" s="5" t="str">
        <f>IFERROR(__xludf.DUMMYFUNCTION("GOOGLETRANSLATE(B7400,""en"",""it"")"),"Un tubo ha acqua che attraversa e ci sono galleggianti sull'acqua.")</f>
        <v>Un tubo ha acqua che attraversa e ci sono galleggianti sull'acqua.</v>
      </c>
    </row>
    <row r="7401">
      <c r="A7401" s="4" t="s">
        <v>9303</v>
      </c>
      <c r="B7401" s="4" t="s">
        <v>9307</v>
      </c>
      <c r="C7401" s="5" t="str">
        <f>IFERROR(__xludf.DUMMYFUNCTION("GOOGLETRANSLATE(B7401,""en"",""it"")"),"La fotocamera sta scansionando la barca.")</f>
        <v>La fotocamera sta scansionando la barca.</v>
      </c>
    </row>
    <row r="7402">
      <c r="A7402" s="4" t="s">
        <v>9303</v>
      </c>
      <c r="B7402" s="4" t="s">
        <v>9308</v>
      </c>
      <c r="C7402" s="5" t="str">
        <f>IFERROR(__xludf.DUMMYFUNCTION("GOOGLETRANSLATE(B7402,""en"",""it"")"),"Due donne sono sedute sulla barca, una sta colpendo l'altra.")</f>
        <v>Due donne sono sedute sulla barca, una sta colpendo l'altra.</v>
      </c>
    </row>
    <row r="7403">
      <c r="A7403" s="4" t="s">
        <v>9303</v>
      </c>
      <c r="B7403" s="4" t="s">
        <v>9309</v>
      </c>
      <c r="C7403" s="5" t="str">
        <f>IFERROR(__xludf.DUMMYFUNCTION("GOOGLETRANSLATE(B7403,""en"",""it"")"),"Un sedile di plastica viene gonfiato, quindi una tavola viene messa in acqua.")</f>
        <v>Un sedile di plastica viene gonfiato, quindi una tavola viene messa in acqua.</v>
      </c>
    </row>
    <row r="7404">
      <c r="A7404" s="4" t="s">
        <v>9303</v>
      </c>
      <c r="B7404" s="4" t="s">
        <v>9310</v>
      </c>
      <c r="C7404" s="5" t="str">
        <f>IFERROR(__xludf.DUMMYFUNCTION("GOOGLETRANSLATE(B7404,""en"",""it"")"),"Una donna è sul tabellone e si aggrappa a una linea attaccata alla barca.")</f>
        <v>Una donna è sul tabellone e si aggrappa a una linea attaccata alla barca.</v>
      </c>
    </row>
    <row r="7405">
      <c r="A7405" s="4" t="s">
        <v>9303</v>
      </c>
      <c r="B7405" s="4" t="s">
        <v>9311</v>
      </c>
      <c r="C7405" s="5" t="str">
        <f>IFERROR(__xludf.DUMMYFUNCTION("GOOGLETRANSLATE(B7405,""en"",""it"")"),"Una donna sta guidando la barca mentre l'altra donna si imbarca dietro di lei.")</f>
        <v>Una donna sta guidando la barca mentre l'altra donna si imbarca dietro di lei.</v>
      </c>
    </row>
    <row r="7406">
      <c r="A7406" s="4" t="s">
        <v>9303</v>
      </c>
      <c r="B7406" s="4" t="s">
        <v>9312</v>
      </c>
      <c r="C7406" s="5" t="str">
        <f>IFERROR(__xludf.DUMMYFUNCTION("GOOGLETRANSLATE(B7406,""en"",""it"")"),"Una donna sta facendo un selfie mentre era sulla barca.")</f>
        <v>Una donna sta facendo un selfie mentre era sulla barca.</v>
      </c>
    </row>
    <row r="7407">
      <c r="A7407" s="4" t="s">
        <v>9303</v>
      </c>
      <c r="B7407" s="4" t="s">
        <v>9313</v>
      </c>
      <c r="C7407" s="5" t="str">
        <f>IFERROR(__xludf.DUMMYFUNCTION("GOOGLETRANSLATE(B7407,""en"",""it"")"),"La donna sta facendo trucchi con il tabellone sull'acqua.")</f>
        <v>La donna sta facendo trucchi con il tabellone sull'acqua.</v>
      </c>
    </row>
    <row r="7408">
      <c r="A7408" s="4" t="s">
        <v>9303</v>
      </c>
      <c r="B7408" s="4" t="s">
        <v>9314</v>
      </c>
      <c r="C7408" s="5" t="str">
        <f>IFERROR(__xludf.DUMMYFUNCTION("GOOGLETRANSLATE(B7408,""en"",""it"")"),"Lasciò andare la linea e galleggiò liberamente.")</f>
        <v>Lasciò andare la linea e galleggiò liberamente.</v>
      </c>
    </row>
    <row r="7409">
      <c r="A7409" s="4" t="s">
        <v>9315</v>
      </c>
      <c r="B7409" s="4" t="s">
        <v>9316</v>
      </c>
      <c r="C7409" s="5" t="str">
        <f>IFERROR(__xludf.DUMMYFUNCTION("GOOGLETRANSLATE(B7409,""en"",""it"")"),"Una donna viene vista truccarsi sul viso e conduce in diverse foto di trucco.")</f>
        <v>Una donna viene vista truccarsi sul viso e conduce in diverse foto di trucco.</v>
      </c>
    </row>
    <row r="7410">
      <c r="A7410" s="4" t="s">
        <v>9315</v>
      </c>
      <c r="B7410" s="4" t="s">
        <v>9317</v>
      </c>
      <c r="C7410" s="5" t="str">
        <f>IFERROR(__xludf.DUMMYFUNCTION("GOOGLETRANSLATE(B7410,""en"",""it"")"),"Molte altre immagini di prodotti sono mostrate con il testo sullo schermo.")</f>
        <v>Molte altre immagini di prodotti sono mostrate con il testo sullo schermo.</v>
      </c>
    </row>
    <row r="7411">
      <c r="A7411" s="4" t="s">
        <v>9315</v>
      </c>
      <c r="B7411" s="6" t="s">
        <v>9318</v>
      </c>
      <c r="C7411" s="5" t="str">
        <f>IFERROR(__xludf.DUMMYFUNCTION("GOOGLETRANSLATE(B7411,""en"",""it"")"),"Vengono mostrate altre immagini di prodotti che finiscono con più testo e una donna che spinge via il trucco.")</f>
        <v>Vengono mostrate altre immagini di prodotti che finiscono con più testo e una donna che spinge via il trucco.</v>
      </c>
    </row>
    <row r="7412">
      <c r="A7412" s="4" t="s">
        <v>9319</v>
      </c>
      <c r="B7412" s="4" t="s">
        <v>9320</v>
      </c>
      <c r="C7412" s="5" t="str">
        <f>IFERROR(__xludf.DUMMYFUNCTION("GOOGLETRANSLATE(B7412,""en"",""it"")"),"Una grande montagna nevosa è vista mentre le persone si radunano sul ghiaccio.")</f>
        <v>Una grande montagna nevosa è vista mentre le persone si radunano sul ghiaccio.</v>
      </c>
    </row>
    <row r="7413">
      <c r="A7413" s="4" t="s">
        <v>9319</v>
      </c>
      <c r="B7413" s="4" t="s">
        <v>9321</v>
      </c>
      <c r="C7413" s="5" t="str">
        <f>IFERROR(__xludf.DUMMYFUNCTION("GOOGLETRANSLATE(B7413,""en"",""it"")"),"Hanno colpito diversi dischi, spazzandoli in una partita.")</f>
        <v>Hanno colpito diversi dischi, spazzandoli in una partita.</v>
      </c>
    </row>
    <row r="7414">
      <c r="A7414" s="4" t="s">
        <v>9322</v>
      </c>
      <c r="B7414" s="4" t="s">
        <v>9323</v>
      </c>
      <c r="C7414" s="5" t="str">
        <f>IFERROR(__xludf.DUMMYFUNCTION("GOOGLETRANSLATE(B7414,""en"",""it"")"),"Una ginnasta femminile sta dimostrando una performance di ginnastica sui bar.")</f>
        <v>Una ginnasta femminile sta dimostrando una performance di ginnastica sui bar.</v>
      </c>
    </row>
    <row r="7415">
      <c r="A7415" s="4" t="s">
        <v>9322</v>
      </c>
      <c r="B7415" s="4" t="s">
        <v>9324</v>
      </c>
      <c r="C7415" s="5" t="str">
        <f>IFERROR(__xludf.DUMMYFUNCTION("GOOGLETRANSLATE(B7415,""en"",""it"")"),"Altre ginnaste e un istruttore stanno guardando la ginnasta femminile esibirsi.")</f>
        <v>Altre ginnaste e un istruttore stanno guardando la ginnasta femminile esibirsi.</v>
      </c>
    </row>
    <row r="7416">
      <c r="A7416" s="4" t="s">
        <v>9322</v>
      </c>
      <c r="B7416" s="4" t="s">
        <v>9325</v>
      </c>
      <c r="C7416" s="5" t="str">
        <f>IFERROR(__xludf.DUMMYFUNCTION("GOOGLETRANSLATE(B7416,""en"",""it"")"),"Un'altra ginnasta femminile si sta esercitando in sottofondo.")</f>
        <v>Un'altra ginnasta femminile si sta esercitando in sottofondo.</v>
      </c>
    </row>
    <row r="7417">
      <c r="A7417" s="4" t="s">
        <v>9326</v>
      </c>
      <c r="B7417" s="4" t="s">
        <v>9327</v>
      </c>
      <c r="C7417" s="5" t="str">
        <f>IFERROR(__xludf.DUMMYFUNCTION("GOOGLETRANSLATE(B7417,""en"",""it"")"),"Un uomo sta sollevando pesi in palestra.")</f>
        <v>Un uomo sta sollevando pesi in palestra.</v>
      </c>
    </row>
    <row r="7418">
      <c r="A7418" s="4" t="s">
        <v>9326</v>
      </c>
      <c r="B7418" s="4" t="s">
        <v>9328</v>
      </c>
      <c r="C7418" s="5" t="str">
        <f>IFERROR(__xludf.DUMMYFUNCTION("GOOGLETRANSLATE(B7418,""en"",""it"")"),"La palla va al petto dell'uomo per la prima volta.")</f>
        <v>La palla va al petto dell'uomo per la prima volta.</v>
      </c>
    </row>
    <row r="7419">
      <c r="A7419" s="4" t="s">
        <v>9326</v>
      </c>
      <c r="B7419" s="4" t="s">
        <v>9329</v>
      </c>
      <c r="C7419" s="5" t="str">
        <f>IFERROR(__xludf.DUMMYFUNCTION("GOOGLETRANSLATE(B7419,""en"",""it"")"),"L'uomo si prende una pausa.")</f>
        <v>L'uomo si prende una pausa.</v>
      </c>
    </row>
    <row r="7420">
      <c r="A7420" s="4" t="s">
        <v>9330</v>
      </c>
      <c r="B7420" s="6" t="s">
        <v>9331</v>
      </c>
      <c r="C7420" s="5" t="str">
        <f>IFERROR(__xludf.DUMMYFUNCTION("GOOGLETRANSLATE(B7420,""en"",""it"")"),"Una ragazza viene vista ascoltare musica e passa a lei eseguendo una routine di danza fuori durante una passeggiata.")</f>
        <v>Una ragazza viene vista ascoltare musica e passa a lei eseguendo una routine di danza fuori durante una passeggiata.</v>
      </c>
    </row>
    <row r="7421">
      <c r="A7421" s="4" t="s">
        <v>9330</v>
      </c>
      <c r="B7421" s="6" t="s">
        <v>9332</v>
      </c>
      <c r="C7421" s="5" t="str">
        <f>IFERROR(__xludf.DUMMYFUNCTION("GOOGLETRANSLATE(B7421,""en"",""it"")"),"Continua a ballare mentre sorride alla telecamera e finisce allontanandosi e dando due segni di pace alla telecamera.")</f>
        <v>Continua a ballare mentre sorride alla telecamera e finisce allontanandosi e dando due segni di pace alla telecamera.</v>
      </c>
    </row>
    <row r="7422">
      <c r="A7422" s="4" t="s">
        <v>9333</v>
      </c>
      <c r="B7422" s="4" t="s">
        <v>9334</v>
      </c>
      <c r="C7422" s="5" t="str">
        <f>IFERROR(__xludf.DUMMYFUNCTION("GOOGLETRANSLATE(B7422,""en"",""it"")"),"Una persona viene vista entrare nella cornice di fronte a un paio di tamburi.")</f>
        <v>Una persona viene vista entrare nella cornice di fronte a un paio di tamburi.</v>
      </c>
    </row>
    <row r="7423">
      <c r="A7423" s="4" t="s">
        <v>9333</v>
      </c>
      <c r="B7423" s="4" t="s">
        <v>9335</v>
      </c>
      <c r="C7423" s="5" t="str">
        <f>IFERROR(__xludf.DUMMYFUNCTION("GOOGLETRANSLATE(B7423,""en"",""it"")"),"Quindi inizia a suonare la batteria e quarto.")</f>
        <v>Quindi inizia a suonare la batteria e quarto.</v>
      </c>
    </row>
    <row r="7424">
      <c r="A7424" s="4" t="s">
        <v>9333</v>
      </c>
      <c r="B7424" s="4" t="s">
        <v>9336</v>
      </c>
      <c r="C7424" s="5" t="str">
        <f>IFERROR(__xludf.DUMMYFUNCTION("GOOGLETRANSLATE(B7424,""en"",""it"")"),"Continua a giocare con la batteria e termina spegnendo la fotocamera.")</f>
        <v>Continua a giocare con la batteria e termina spegnendo la fotocamera.</v>
      </c>
    </row>
    <row r="7425">
      <c r="A7425" s="4" t="s">
        <v>9337</v>
      </c>
      <c r="B7425" s="4" t="s">
        <v>9338</v>
      </c>
      <c r="C7425" s="5" t="str">
        <f>IFERROR(__xludf.DUMMYFUNCTION("GOOGLETRANSLATE(B7425,""en"",""it"")"),"Una ragazza esegue la sua routine di ginnastica sul raggio di equilibrio.")</f>
        <v>Una ragazza esegue la sua routine di ginnastica sul raggio di equilibrio.</v>
      </c>
    </row>
    <row r="7426">
      <c r="A7426" s="4" t="s">
        <v>9337</v>
      </c>
      <c r="B7426" s="4" t="s">
        <v>9339</v>
      </c>
      <c r="C7426" s="5" t="str">
        <f>IFERROR(__xludf.DUMMYFUNCTION("GOOGLETRANSLATE(B7426,""en"",""it"")"),"La ragazza si mette sul raggio e continua la sua routine.")</f>
        <v>La ragazza si mette sul raggio e continua la sua routine.</v>
      </c>
    </row>
    <row r="7427">
      <c r="A7427" s="4" t="s">
        <v>9337</v>
      </c>
      <c r="B7427" s="4" t="s">
        <v>9340</v>
      </c>
      <c r="C7427" s="5" t="str">
        <f>IFERROR(__xludf.DUMMYFUNCTION("GOOGLETRANSLATE(B7427,""en"",""it"")"),"La ragazza cade dal raggio.")</f>
        <v>La ragazza cade dal raggio.</v>
      </c>
    </row>
    <row r="7428">
      <c r="A7428" s="4" t="s">
        <v>9337</v>
      </c>
      <c r="B7428" s="4" t="s">
        <v>9341</v>
      </c>
      <c r="C7428" s="5" t="str">
        <f>IFERROR(__xludf.DUMMYFUNCTION("GOOGLETRANSLATE(B7428,""en"",""it"")"),"La ragazza torna sul raggio e finisce la sua routine.")</f>
        <v>La ragazza torna sul raggio e finisce la sua routine.</v>
      </c>
    </row>
    <row r="7429">
      <c r="A7429" s="4" t="s">
        <v>9342</v>
      </c>
      <c r="B7429" s="4" t="s">
        <v>9343</v>
      </c>
      <c r="C7429" s="5" t="str">
        <f>IFERROR(__xludf.DUMMYFUNCTION("GOOGLETRANSLATE(B7429,""en"",""it"")"),"Un uomo con camicia bianca è in piedi davanti a una macchina.")</f>
        <v>Un uomo con camicia bianca è in piedi davanti a una macchina.</v>
      </c>
    </row>
    <row r="7430">
      <c r="A7430" s="4" t="s">
        <v>9342</v>
      </c>
      <c r="B7430" s="4" t="s">
        <v>9344</v>
      </c>
      <c r="C7430" s="5" t="str">
        <f>IFERROR(__xludf.DUMMYFUNCTION("GOOGLETRANSLATE(B7430,""en"",""it"")"),"Si voltò e puntò la macchina.")</f>
        <v>Si voltò e puntò la macchina.</v>
      </c>
    </row>
    <row r="7431">
      <c r="A7431" s="4" t="s">
        <v>9342</v>
      </c>
      <c r="B7431" s="4" t="s">
        <v>9345</v>
      </c>
      <c r="C7431" s="5" t="str">
        <f>IFERROR(__xludf.DUMMYFUNCTION("GOOGLETRANSLATE(B7431,""en"",""it"")"),"La macchina viene mostrata.")</f>
        <v>La macchina viene mostrata.</v>
      </c>
    </row>
    <row r="7432">
      <c r="A7432" s="4" t="s">
        <v>9342</v>
      </c>
      <c r="B7432" s="6" t="s">
        <v>9346</v>
      </c>
      <c r="C7432" s="5" t="str">
        <f>IFERROR(__xludf.DUMMYFUNCTION("GOOGLETRANSLATE(B7432,""en"",""it"")"),"Un uomo che indossa una camicia bianca continua a parlare, mentre dietro di lui un uomo con la camicia grigia camminava e raggiungeva qualcosa nella macchina.")</f>
        <v>Un uomo che indossa una camicia bianca continua a parlare, mentre dietro di lui un uomo con la camicia grigia camminava e raggiungeva qualcosa nella macchina.</v>
      </c>
    </row>
    <row r="7433">
      <c r="A7433" s="4" t="s">
        <v>9342</v>
      </c>
      <c r="B7433" s="4" t="s">
        <v>9347</v>
      </c>
      <c r="C7433" s="5" t="str">
        <f>IFERROR(__xludf.DUMMYFUNCTION("GOOGLETRANSLATE(B7433,""en"",""it"")"),"L'uomo con camicia grigia ha messo una roba polverosa nella macchina.")</f>
        <v>L'uomo con camicia grigia ha messo una roba polverosa nella macchina.</v>
      </c>
    </row>
    <row r="7434">
      <c r="A7434" s="4" t="s">
        <v>9342</v>
      </c>
      <c r="B7434" s="4" t="s">
        <v>9348</v>
      </c>
      <c r="C7434" s="5" t="str">
        <f>IFERROR(__xludf.DUMMYFUNCTION("GOOGLETRANSLATE(B7434,""en"",""it"")"),"Sta scuotendo la borsa.")</f>
        <v>Sta scuotendo la borsa.</v>
      </c>
    </row>
    <row r="7435">
      <c r="A7435" s="4" t="s">
        <v>9342</v>
      </c>
      <c r="B7435" s="4" t="s">
        <v>9349</v>
      </c>
      <c r="C7435" s="5" t="str">
        <f>IFERROR(__xludf.DUMMYFUNCTION("GOOGLETRANSLATE(B7435,""en"",""it"")"),"L'uomo con camicia bianca sta mettendo cemento sul muro.")</f>
        <v>L'uomo con camicia bianca sta mettendo cemento sul muro.</v>
      </c>
    </row>
    <row r="7436">
      <c r="A7436" s="4" t="s">
        <v>9342</v>
      </c>
      <c r="B7436" s="4" t="s">
        <v>9350</v>
      </c>
      <c r="C7436" s="5" t="str">
        <f>IFERROR(__xludf.DUMMYFUNCTION("GOOGLETRANSLATE(B7436,""en"",""it"")"),"L'uomo tiene in mano un tubo lungo blu che punta sul muro.")</f>
        <v>L'uomo tiene in mano un tubo lungo blu che punta sul muro.</v>
      </c>
    </row>
    <row r="7437">
      <c r="A7437" s="4" t="s">
        <v>9342</v>
      </c>
      <c r="B7437" s="4" t="s">
        <v>9351</v>
      </c>
      <c r="C7437" s="5" t="str">
        <f>IFERROR(__xludf.DUMMYFUNCTION("GOOGLETRANSLATE(B7437,""en"",""it"")"),"L'uniforme da uomo in grigio ha usato il tubo/pompa e spruzzare il cemento sulla parete.")</f>
        <v>L'uniforme da uomo in grigio ha usato il tubo/pompa e spruzzare il cemento sulla parete.</v>
      </c>
    </row>
    <row r="7438">
      <c r="A7438" s="4" t="s">
        <v>9342</v>
      </c>
      <c r="B7438" s="4" t="s">
        <v>9352</v>
      </c>
      <c r="C7438" s="5" t="str">
        <f>IFERROR(__xludf.DUMMYFUNCTION("GOOGLETRANSLATE(B7438,""en"",""it"")"),"Un vecchio sta levigando il cemento sul muro.")</f>
        <v>Un vecchio sta levigando il cemento sul muro.</v>
      </c>
    </row>
    <row r="7439">
      <c r="A7439" s="4" t="s">
        <v>9353</v>
      </c>
      <c r="B7439" s="6" t="s">
        <v>9354</v>
      </c>
      <c r="C7439" s="5" t="str">
        <f>IFERROR(__xludf.DUMMYFUNCTION("GOOGLETRANSLATE(B7439,""en"",""it"")"),"Una signora Hula Hoop con cinque cerchi di hula e uno ad uno che la prende e lo lancia fino a quando non ha gettato via tutti e cinque i cerchi di hula con cui era hula.")</f>
        <v>Una signora Hula Hoop con cinque cerchi di hula e uno ad uno che la prende e lo lancia fino a quando non ha gettato via tutti e cinque i cerchi di hula con cui era hula.</v>
      </c>
    </row>
    <row r="7440">
      <c r="A7440" s="4" t="s">
        <v>9353</v>
      </c>
      <c r="B7440" s="4" t="s">
        <v>9355</v>
      </c>
      <c r="C7440" s="5" t="str">
        <f>IFERROR(__xludf.DUMMYFUNCTION("GOOGLETRANSLATE(B7440,""en"",""it"")"),"La signora poi Hula Hoops con 300 hula Hoops con sarà un record mondiale.")</f>
        <v>La signora poi Hula Hoops con 300 hula Hoops con sarà un record mondiale.</v>
      </c>
    </row>
    <row r="7441">
      <c r="A7441" s="4" t="s">
        <v>9353</v>
      </c>
      <c r="B7441" s="6" t="s">
        <v>9356</v>
      </c>
      <c r="C7441" s="5" t="str">
        <f>IFERROR(__xludf.DUMMYFUNCTION("GOOGLETRANSLATE(B7441,""en"",""it"")"),"La signora inizia mettendo i 300 cerchi di hula intorno al suo corpo mentre si piega per ottenere una buona presa su di loro, poi si alza dritto e inizia a roteare tutti i 300 cerchi di hula attorno al suo corpo.")</f>
        <v>La signora inizia mettendo i 300 cerchi di hula intorno al suo corpo mentre si piega per ottenere una buona presa su di loro, poi si alza dritto e inizia a roteare tutti i 300 cerchi di hula attorno al suo corpo.</v>
      </c>
    </row>
    <row r="7442">
      <c r="A7442" s="4" t="s">
        <v>9353</v>
      </c>
      <c r="B7442" s="6" t="s">
        <v>9357</v>
      </c>
      <c r="C7442" s="5" t="str">
        <f>IFERROR(__xludf.DUMMYFUNCTION("GOOGLETRANSLATE(B7442,""en"",""it"")"),"Alla fine riesce a far roteare tutto il cerchio di hula attorno al suo buco e termina con i cerchi di hula a terra e si inchina alle persone che la guardano.")</f>
        <v>Alla fine riesce a far roteare tutto il cerchio di hula attorno al suo buco e termina con i cerchi di hula a terra e si inchina alle persone che la guardano.</v>
      </c>
    </row>
    <row r="7443">
      <c r="A7443" s="4" t="s">
        <v>9358</v>
      </c>
      <c r="B7443" s="4" t="s">
        <v>9359</v>
      </c>
      <c r="C7443" s="5" t="str">
        <f>IFERROR(__xludf.DUMMYFUNCTION("GOOGLETRANSLATE(B7443,""en"",""it"")"),"Un uomo viene visto fare jogging sul lato della strada e parlare con la telecamera.")</f>
        <v>Un uomo viene visto fare jogging sul lato della strada e parlare con la telecamera.</v>
      </c>
    </row>
    <row r="7444">
      <c r="A7444" s="4" t="s">
        <v>9358</v>
      </c>
      <c r="B7444" s="4" t="s">
        <v>9360</v>
      </c>
      <c r="C7444" s="5" t="str">
        <f>IFERROR(__xludf.DUMMYFUNCTION("GOOGLETRANSLATE(B7444,""en"",""it"")"),"Le clip sono mostrate da lui che si scalda sul lato e corre lungo le montagne.")</f>
        <v>Le clip sono mostrate da lui che si scalda sul lato e corre lungo le montagne.</v>
      </c>
    </row>
    <row r="7445">
      <c r="A7445" s="4" t="s">
        <v>9358</v>
      </c>
      <c r="B7445" s="6" t="s">
        <v>9361</v>
      </c>
      <c r="C7445" s="5" t="str">
        <f>IFERROR(__xludf.DUMMYFUNCTION("GOOGLETRANSLATE(B7445,""en"",""it"")"),"Continua a parlare con la telecamera mentre corre in un quartiere e le persone sfoggiano i suoi movimenti.")</f>
        <v>Continua a parlare con la telecamera mentre corre in un quartiere e le persone sfoggiano i suoi movimenti.</v>
      </c>
    </row>
    <row r="7446">
      <c r="A7446" s="4" t="s">
        <v>9362</v>
      </c>
      <c r="B7446" s="4" t="s">
        <v>9363</v>
      </c>
      <c r="C7446" s="5" t="str">
        <f>IFERROR(__xludf.DUMMYFUNCTION("GOOGLETRANSLATE(B7446,""en"",""it"")"),"Un uomo è in piedi dietro due tamburi invertiti.")</f>
        <v>Un uomo è in piedi dietro due tamburi invertiti.</v>
      </c>
    </row>
    <row r="7447">
      <c r="A7447" s="4" t="s">
        <v>9362</v>
      </c>
      <c r="B7447" s="4" t="s">
        <v>9364</v>
      </c>
      <c r="C7447" s="5" t="str">
        <f>IFERROR(__xludf.DUMMYFUNCTION("GOOGLETRANSLATE(B7447,""en"",""it"")"),"Comincia a suonarli con piccoli bastoncini.")</f>
        <v>Comincia a suonarli con piccoli bastoncini.</v>
      </c>
    </row>
    <row r="7448">
      <c r="A7448" s="4" t="s">
        <v>9362</v>
      </c>
      <c r="B7448" s="4" t="s">
        <v>9365</v>
      </c>
      <c r="C7448" s="5" t="str">
        <f>IFERROR(__xludf.DUMMYFUNCTION("GOOGLETRANSLATE(B7448,""en"",""it"")"),"Finisce di giocare e se ne va.")</f>
        <v>Finisce di giocare e se ne va.</v>
      </c>
    </row>
    <row r="7449">
      <c r="A7449" s="4" t="s">
        <v>9366</v>
      </c>
      <c r="B7449" s="4" t="s">
        <v>9367</v>
      </c>
      <c r="C7449" s="5" t="str">
        <f>IFERROR(__xludf.DUMMYFUNCTION("GOOGLETRANSLATE(B7449,""en"",""it"")"),"Un uomo atletico viene visto in piedi davanti a una trave e inizia a eseguire una routine di ginnastica.")</f>
        <v>Un uomo atletico viene visto in piedi davanti a una trave e inizia a eseguire una routine di ginnastica.</v>
      </c>
    </row>
    <row r="7450">
      <c r="A7450" s="4" t="s">
        <v>9366</v>
      </c>
      <c r="B7450" s="6" t="s">
        <v>9368</v>
      </c>
      <c r="C7450" s="5" t="str">
        <f>IFERROR(__xludf.DUMMYFUNCTION("GOOGLETRANSLATE(B7450,""en"",""it"")"),"Si oscilla intorno e intorno eseguendo lanci, trucchi e termina baciando la folla e allontanandosi.")</f>
        <v>Si oscilla intorno e intorno eseguendo lanci, trucchi e termina baciando la folla e allontanandosi.</v>
      </c>
    </row>
    <row r="7451">
      <c r="A7451" s="4" t="s">
        <v>9369</v>
      </c>
      <c r="B7451" s="6" t="s">
        <v>9370</v>
      </c>
      <c r="C7451" s="5" t="str">
        <f>IFERROR(__xludf.DUMMYFUNCTION("GOOGLETRANSLATE(B7451,""en"",""it"")"),"Appare uno schermo introduttivo a effetto speciale che è principalmente parole blu e bianche nel mezzo dello schermo e leggono ""Skipping Rope"".")</f>
        <v>Appare uno schermo introduttivo a effetto speciale che è principalmente parole blu e bianche nel mezzo dello schermo e leggono "Skipping Rope".</v>
      </c>
    </row>
    <row r="7452">
      <c r="A7452" s="4" t="s">
        <v>9369</v>
      </c>
      <c r="B7452" s="6" t="s">
        <v>9371</v>
      </c>
      <c r="C7452" s="5" t="str">
        <f>IFERROR(__xludf.DUMMYFUNCTION("GOOGLETRANSLATE(B7452,""en"",""it"")"),"Dietro le parole ci sono 4 ragazze con le loro corde di salto e sono tutte una corda che salta separatamente e alla fine saltano all'unisono.")</f>
        <v>Dietro le parole ci sono 4 ragazze con le loro corde di salto e sono tutte una corda che salta separatamente e alla fine saltano all'unisono.</v>
      </c>
    </row>
    <row r="7453">
      <c r="A7453" s="4" t="s">
        <v>9369</v>
      </c>
      <c r="B7453" s="6" t="s">
        <v>9372</v>
      </c>
      <c r="C7453" s="5" t="str">
        <f>IFERROR(__xludf.DUMMYFUNCTION("GOOGLETRANSLATE(B7453,""en"",""it"")"),"Le parole bianche appaiono sullo schermo che leggono ""Klasse 7C/FR Leifels"", le ragazze cadono a terra per porre fine alla loro routine e sorridono e si guardano intorno.")</f>
        <v>Le parole bianche appaiono sullo schermo che leggono "Klasse 7C/FR Leifels", le ragazze cadono a terra per porre fine alla loro routine e sorridono e si guardano intorno.</v>
      </c>
    </row>
    <row r="7454">
      <c r="A7454" s="4" t="s">
        <v>9373</v>
      </c>
      <c r="B7454" s="6" t="s">
        <v>9374</v>
      </c>
      <c r="C7454" s="5" t="str">
        <f>IFERROR(__xludf.DUMMYFUNCTION("GOOGLETRANSLATE(B7454,""en"",""it"")"),"Un uomo in una felpa con cappuccio di stampa grigia è contro un muro che si presenta e poi spiega che darà un tutorial per alcuni trucchi.")</f>
        <v>Un uomo in una felpa con cappuccio di stampa grigia è contro un muro che si presenta e poi spiega che darà un tutorial per alcuni trucchi.</v>
      </c>
    </row>
    <row r="7455">
      <c r="A7455" s="4" t="s">
        <v>9373</v>
      </c>
      <c r="B7455" s="6" t="s">
        <v>9375</v>
      </c>
      <c r="C7455" s="5" t="str">
        <f>IFERROR(__xludf.DUMMYFUNCTION("GOOGLETRANSLATE(B7455,""en"",""it"")"),"Viene mostrata un'animazione di stop start con un calendario della scrivania con disegni di animazione flip che si fondono in animazione incorniciata che porta al titolo del gruppo e al tutorial di skateboard che stanno per spiegare.")</f>
        <v>Viene mostrata un'animazione di stop start con un calendario della scrivania con disegni di animazione flip che si fondono in animazione incorniciata che porta al titolo del gruppo e al tutorial di skateboard che stanno per spiegare.</v>
      </c>
    </row>
    <row r="7456">
      <c r="A7456" s="4" t="s">
        <v>9373</v>
      </c>
      <c r="B7456" s="6" t="s">
        <v>9376</v>
      </c>
      <c r="C7456" s="5" t="str">
        <f>IFERROR(__xludf.DUMMYFUNCTION("GOOGLETRANSLATE(B7456,""en"",""it"")"),"Il filmato di uno skateboarder che fa un trucco davanti a una telecamera è seguito dall'uomo nella felpa grigia che spiega che mostrerà come fare un front 180 su uno skateboard e per cosa può essere usato così come i fondamenti. imparare il trucco.")</f>
        <v>Il filmato di uno skateboarder che fa un trucco davanti a una telecamera è seguito dall'uomo nella felpa grigia che spiega che mostrerà come fare un front 180 su uno skateboard e per cosa può essere usato così come i fondamenti. imparare il trucco.</v>
      </c>
    </row>
    <row r="7457">
      <c r="A7457" s="4" t="s">
        <v>9373</v>
      </c>
      <c r="B7457" s="6" t="s">
        <v>9377</v>
      </c>
      <c r="C7457" s="5" t="str">
        <f>IFERROR(__xludf.DUMMYFUNCTION("GOOGLETRANSLATE(B7457,""en"",""it"")"),"Poi entra nella spiegazione di come fare il trucco in profondità e dei filmati mostrati mentre parla del trucco.")</f>
        <v>Poi entra nella spiegazione di come fare il trucco in profondità e dei filmati mostrati mentre parla del trucco.</v>
      </c>
    </row>
    <row r="7458">
      <c r="A7458" s="4" t="s">
        <v>9373</v>
      </c>
      <c r="B7458" s="6" t="s">
        <v>9378</v>
      </c>
      <c r="C7458" s="5" t="str">
        <f>IFERROR(__xludf.DUMMYFUNCTION("GOOGLETRANSLATE(B7458,""en"",""it"")"),"La fotocamera si riversa e uno schermo nero appare con lettere bianche e un indirizzo del sito Web seguito da una società di film e da un canale del sito.")</f>
        <v>La fotocamera si riversa e uno schermo nero appare con lettere bianche e un indirizzo del sito Web seguito da una società di film e da un canale del sito.</v>
      </c>
    </row>
    <row r="7459">
      <c r="A7459" s="4" t="s">
        <v>9379</v>
      </c>
      <c r="B7459" s="4" t="s">
        <v>9380</v>
      </c>
      <c r="C7459" s="5" t="str">
        <f>IFERROR(__xludf.DUMMYFUNCTION("GOOGLETRANSLATE(B7459,""en"",""it"")"),"Viene mostrato un uomo a fumare una sigaretta mentre cammina diversi cani attaccati alle catene sulla cintura.")</f>
        <v>Viene mostrato un uomo a fumare una sigaretta mentre cammina diversi cani attaccati alle catene sulla cintura.</v>
      </c>
    </row>
    <row r="7460">
      <c r="A7460" s="4" t="s">
        <v>9379</v>
      </c>
      <c r="B7460" s="4" t="s">
        <v>9381</v>
      </c>
      <c r="C7460" s="5" t="str">
        <f>IFERROR(__xludf.DUMMYFUNCTION("GOOGLETRANSLATE(B7460,""en"",""it"")"),"Un uomo parla da dietro un tavolo.")</f>
        <v>Un uomo parla da dietro un tavolo.</v>
      </c>
    </row>
    <row r="7461">
      <c r="A7461" s="4" t="s">
        <v>9379</v>
      </c>
      <c r="B7461" s="4" t="s">
        <v>9382</v>
      </c>
      <c r="C7461" s="5" t="str">
        <f>IFERROR(__xludf.DUMMYFUNCTION("GOOGLETRANSLATE(B7461,""en"",""it"")"),"Vengono quindi mostrate diverse scene dell'attore mentre la persona di notizie parla di lui.")</f>
        <v>Vengono quindi mostrate diverse scene dell'attore mentre la persona di notizie parla di lui.</v>
      </c>
    </row>
    <row r="7462">
      <c r="A7462" s="4" t="s">
        <v>9383</v>
      </c>
      <c r="B7462" s="4" t="s">
        <v>9384</v>
      </c>
      <c r="C7462" s="5" t="str">
        <f>IFERROR(__xludf.DUMMYFUNCTION("GOOGLETRANSLATE(B7462,""en"",""it"")"),"Una donna si sta preparando a bagnare il suo cane nel suo cortile.")</f>
        <v>Una donna si sta preparando a bagnare il suo cane nel suo cortile.</v>
      </c>
    </row>
    <row r="7463">
      <c r="A7463" s="4" t="s">
        <v>9383</v>
      </c>
      <c r="B7463" s="4" t="s">
        <v>9385</v>
      </c>
      <c r="C7463" s="5" t="str">
        <f>IFERROR(__xludf.DUMMYFUNCTION("GOOGLETRANSLATE(B7463,""en"",""it"")"),"Prende un tubo e bagna prima il cane.")</f>
        <v>Prende un tubo e bagna prima il cane.</v>
      </c>
    </row>
    <row r="7464">
      <c r="A7464" s="4" t="s">
        <v>9383</v>
      </c>
      <c r="B7464" s="4" t="s">
        <v>9386</v>
      </c>
      <c r="C7464" s="5" t="str">
        <f>IFERROR(__xludf.DUMMYFUNCTION("GOOGLETRANSLATE(B7464,""en"",""it"")"),"C'è un altro cucciolo che corre intorno al cane e anche un piccolo gattino.")</f>
        <v>C'è un altro cucciolo che corre intorno al cane e anche un piccolo gattino.</v>
      </c>
    </row>
    <row r="7465">
      <c r="A7465" s="4" t="s">
        <v>9383</v>
      </c>
      <c r="B7465" s="4" t="s">
        <v>9387</v>
      </c>
      <c r="C7465" s="5" t="str">
        <f>IFERROR(__xludf.DUMMYFUNCTION("GOOGLETRANSLATE(B7465,""en"",""it"")"),"La donna prende un po 'di sapone liquido e lo strofina sul cane.")</f>
        <v>La donna prende un po 'di sapone liquido e lo strofina sul cane.</v>
      </c>
    </row>
    <row r="7466">
      <c r="A7466" s="4" t="s">
        <v>9383</v>
      </c>
      <c r="B7466" s="4" t="s">
        <v>9388</v>
      </c>
      <c r="C7466" s="5" t="str">
        <f>IFERROR(__xludf.DUMMYFUNCTION("GOOGLETRANSLATE(B7466,""en"",""it"")"),"Dopo aver finito di lavarsi, lo asciuga con un asciugamano.")</f>
        <v>Dopo aver finito di lavarsi, lo asciuga con un asciugamano.</v>
      </c>
    </row>
    <row r="7467">
      <c r="A7467" s="4" t="s">
        <v>9383</v>
      </c>
      <c r="B7467" s="4" t="s">
        <v>9389</v>
      </c>
      <c r="C7467" s="5" t="str">
        <f>IFERROR(__xludf.DUMMYFUNCTION("GOOGLETRANSLATE(B7467,""en"",""it"")"),"Quindi fa il bagno al cucciolo allo stesso modo con acqua e sapone.")</f>
        <v>Quindi fa il bagno al cucciolo allo stesso modo con acqua e sapone.</v>
      </c>
    </row>
    <row r="7468">
      <c r="A7468" s="4" t="s">
        <v>9383</v>
      </c>
      <c r="B7468" s="4" t="s">
        <v>9390</v>
      </c>
      <c r="C7468" s="5" t="str">
        <f>IFERROR(__xludf.DUMMYFUNCTION("GOOGLETRANSLATE(B7468,""en"",""it"")"),"Il cane sta giocando su un tappeto dopo che il bagno è finito con pelliccia bagnata sul suo corpo.")</f>
        <v>Il cane sta giocando su un tappeto dopo che il bagno è finito con pelliccia bagnata sul suo corpo.</v>
      </c>
    </row>
    <row r="7469">
      <c r="A7469" s="4" t="s">
        <v>9383</v>
      </c>
      <c r="B7469" s="4" t="s">
        <v>9391</v>
      </c>
      <c r="C7469" s="5" t="str">
        <f>IFERROR(__xludf.DUMMYFUNCTION("GOOGLETRANSLATE(B7469,""en"",""it"")"),"Anche il cucciolo sta correndo intorno al cane con pelliccia bagnata.")</f>
        <v>Anche il cucciolo sta correndo intorno al cane con pelliccia bagnata.</v>
      </c>
    </row>
    <row r="7470">
      <c r="A7470" s="4" t="s">
        <v>9392</v>
      </c>
      <c r="B7470" s="4" t="s">
        <v>9393</v>
      </c>
      <c r="C7470" s="5" t="str">
        <f>IFERROR(__xludf.DUMMYFUNCTION("GOOGLETRANSLATE(B7470,""en"",""it"")"),"Viene mostrato un vassoio di biscotti, seguito da burro battuto in una ciotola.")</f>
        <v>Viene mostrato un vassoio di biscotti, seguito da burro battuto in una ciotola.</v>
      </c>
    </row>
    <row r="7471">
      <c r="A7471" s="4" t="s">
        <v>9392</v>
      </c>
      <c r="B7471" s="4" t="s">
        <v>9394</v>
      </c>
      <c r="C7471" s="5" t="str">
        <f>IFERROR(__xludf.DUMMYFUNCTION("GOOGLETRANSLATE(B7471,""en"",""it"")"),"Gli ingredienti vengono aggiunti uno alla volta, mescolandoli tutti insieme.")</f>
        <v>Gli ingredienti vengono aggiunti uno alla volta, mescolandoli tutti insieme.</v>
      </c>
    </row>
    <row r="7472">
      <c r="A7472" s="4" t="s">
        <v>9392</v>
      </c>
      <c r="B7472" s="4" t="s">
        <v>9395</v>
      </c>
      <c r="C7472" s="5" t="str">
        <f>IFERROR(__xludf.DUMMYFUNCTION("GOOGLETRANSLATE(B7472,""en"",""it"")"),"L'impasto viene condotto sul vassoio, quindi cotto.")</f>
        <v>L'impasto viene condotto sul vassoio, quindi cotto.</v>
      </c>
    </row>
    <row r="7473">
      <c r="A7473" s="4" t="s">
        <v>9396</v>
      </c>
      <c r="B7473" s="4" t="s">
        <v>9397</v>
      </c>
      <c r="C7473" s="5" t="str">
        <f>IFERROR(__xludf.DUMMYFUNCTION("GOOGLETRANSLATE(B7473,""en"",""it"")"),"Una donna è in piedi in una stanza a parlare.")</f>
        <v>Una donna è in piedi in una stanza a parlare.</v>
      </c>
    </row>
    <row r="7474">
      <c r="A7474" s="4" t="s">
        <v>9396</v>
      </c>
      <c r="B7474" s="4" t="s">
        <v>9398</v>
      </c>
      <c r="C7474" s="5" t="str">
        <f>IFERROR(__xludf.DUMMYFUNCTION("GOOGLETRANSLATE(B7474,""en"",""it"")"),"Prende una bottiglia di plastica.")</f>
        <v>Prende una bottiglia di plastica.</v>
      </c>
    </row>
    <row r="7475">
      <c r="A7475" s="4" t="s">
        <v>9396</v>
      </c>
      <c r="B7475" s="4" t="s">
        <v>9399</v>
      </c>
      <c r="C7475" s="5" t="str">
        <f>IFERROR(__xludf.DUMMYFUNCTION("GOOGLETRANSLATE(B7475,""en"",""it"")"),"Comincia a spolverare un comò.")</f>
        <v>Comincia a spolverare un comò.</v>
      </c>
    </row>
    <row r="7476">
      <c r="A7476" s="4" t="s">
        <v>9396</v>
      </c>
      <c r="B7476" s="4" t="s">
        <v>9400</v>
      </c>
      <c r="C7476" s="5" t="str">
        <f>IFERROR(__xludf.DUMMYFUNCTION("GOOGLETRANSLATE(B7476,""en"",""it"")"),"Lo asciuga con un asciugamano.")</f>
        <v>Lo asciuga con un asciugamano.</v>
      </c>
    </row>
    <row r="7477">
      <c r="A7477" s="4" t="s">
        <v>9396</v>
      </c>
      <c r="B7477" s="4" t="s">
        <v>9401</v>
      </c>
      <c r="C7477" s="5" t="str">
        <f>IFERROR(__xludf.DUMMYFUNCTION("GOOGLETRANSLATE(B7477,""en"",""it"")"),"Scarica olio d'oliva su uno straccio e lo strofina sul comò.")</f>
        <v>Scarica olio d'oliva su uno straccio e lo strofina sul comò.</v>
      </c>
    </row>
    <row r="7478">
      <c r="A7478" s="4" t="s">
        <v>9402</v>
      </c>
      <c r="B7478" s="6" t="s">
        <v>9403</v>
      </c>
      <c r="C7478" s="5" t="str">
        <f>IFERROR(__xludf.DUMMYFUNCTION("GOOGLETRANSLATE(B7478,""en"",""it"")"),"La squadra è in un campo giocando a futsal, corre attraverso il campo, mentre le persone si stanno superando a guardare la partita.")</f>
        <v>La squadra è in un campo giocando a futsal, corre attraverso il campo, mentre le persone si stanno superando a guardare la partita.</v>
      </c>
    </row>
    <row r="7479">
      <c r="A7479" s="4" t="s">
        <v>9402</v>
      </c>
      <c r="B7479" s="4" t="s">
        <v>9404</v>
      </c>
      <c r="C7479" s="5" t="str">
        <f>IFERROR(__xludf.DUMMYFUNCTION("GOOGLETRANSLATE(B7479,""en"",""it"")"),"La squadra è in piedi sulle parti addebitando una penalità.")</f>
        <v>La squadra è in piedi sulle parti addebitando una penalità.</v>
      </c>
    </row>
    <row r="7480">
      <c r="A7480" s="4" t="s">
        <v>9402</v>
      </c>
      <c r="B7480" s="4" t="s">
        <v>9405</v>
      </c>
      <c r="C7480" s="5" t="str">
        <f>IFERROR(__xludf.DUMMYFUNCTION("GOOGLETRANSLATE(B7480,""en"",""it"")"),"Le persone sono in una palestra coperta giocando e waching del gioco.")</f>
        <v>Le persone sono in una palestra coperta giocando e waching del gioco.</v>
      </c>
    </row>
    <row r="7481">
      <c r="A7481" s="4" t="s">
        <v>9406</v>
      </c>
      <c r="B7481" s="4" t="s">
        <v>9407</v>
      </c>
      <c r="C7481" s="5" t="str">
        <f>IFERROR(__xludf.DUMMYFUNCTION("GOOGLETRANSLATE(B7481,""en"",""it"")"),"Vediamo un uomo parlare mentre cammini attraverso una casa.")</f>
        <v>Vediamo un uomo parlare mentre cammini attraverso una casa.</v>
      </c>
    </row>
    <row r="7482">
      <c r="A7482" s="4" t="s">
        <v>9406</v>
      </c>
      <c r="B7482" s="4" t="s">
        <v>9408</v>
      </c>
      <c r="C7482" s="5" t="str">
        <f>IFERROR(__xludf.DUMMYFUNCTION("GOOGLETRANSLATE(B7482,""en"",""it"")"),"Vediamo un altro uomo che lavora sul pavimento.")</f>
        <v>Vediamo un altro uomo che lavora sul pavimento.</v>
      </c>
    </row>
    <row r="7483">
      <c r="A7483" s="4" t="s">
        <v>9406</v>
      </c>
      <c r="B7483" s="4" t="s">
        <v>9409</v>
      </c>
      <c r="C7483" s="5" t="str">
        <f>IFERROR(__xludf.DUMMYFUNCTION("GOOGLETRANSLATE(B7483,""en"",""it"")"),"Vediamo un uomo che posa in un'altra stanza.")</f>
        <v>Vediamo un uomo che posa in un'altra stanza.</v>
      </c>
    </row>
    <row r="7484">
      <c r="A7484" s="4" t="s">
        <v>9406</v>
      </c>
      <c r="B7484" s="4" t="s">
        <v>9410</v>
      </c>
      <c r="C7484" s="5" t="str">
        <f>IFERROR(__xludf.DUMMYFUNCTION("GOOGLETRANSLATE(B7484,""en"",""it"")"),"Due uomini sono nella stessa stanza lavorando su progetti diversi.")</f>
        <v>Due uomini sono nella stessa stanza lavorando su progetti diversi.</v>
      </c>
    </row>
    <row r="7485">
      <c r="A7485" s="4" t="s">
        <v>9406</v>
      </c>
      <c r="B7485" s="4" t="s">
        <v>9411</v>
      </c>
      <c r="C7485" s="5" t="str">
        <f>IFERROR(__xludf.DUMMYFUNCTION("GOOGLETRANSLATE(B7485,""en"",""it"")"),"Vediamo l'uomo parlare di nuovo con la telecamera.")</f>
        <v>Vediamo l'uomo parlare di nuovo con la telecamera.</v>
      </c>
    </row>
    <row r="7486">
      <c r="A7486" s="4" t="s">
        <v>9412</v>
      </c>
      <c r="B7486" s="4" t="s">
        <v>9413</v>
      </c>
      <c r="C7486" s="5" t="str">
        <f>IFERROR(__xludf.DUMMYFUNCTION("GOOGLETRANSLATE(B7486,""en"",""it"")"),"Viene digitato un indirizzo del sito Web.")</f>
        <v>Viene digitato un indirizzo del sito Web.</v>
      </c>
    </row>
    <row r="7487">
      <c r="A7487" s="4" t="s">
        <v>9412</v>
      </c>
      <c r="B7487" s="4" t="s">
        <v>9414</v>
      </c>
      <c r="C7487" s="5" t="str">
        <f>IFERROR(__xludf.DUMMYFUNCTION("GOOGLETRANSLATE(B7487,""en"",""it"")"),"Gli skateboard pattinano e fanno trucchi giù per le scale e sulle panchine in una città.")</f>
        <v>Gli skateboard pattinano e fanno trucchi giù per le scale e sulle panchine in una città.</v>
      </c>
    </row>
    <row r="7488">
      <c r="A7488" s="4" t="s">
        <v>9412</v>
      </c>
      <c r="B7488" s="4" t="s">
        <v>9415</v>
      </c>
      <c r="C7488" s="5" t="str">
        <f>IFERROR(__xludf.DUMMYFUNCTION("GOOGLETRANSLATE(B7488,""en"",""it"")"),"Uno skateboarder cavalca una rampa di cemento in uno skate park.")</f>
        <v>Uno skateboarder cavalca una rampa di cemento in uno skate park.</v>
      </c>
    </row>
    <row r="7489">
      <c r="A7489" s="4" t="s">
        <v>9412</v>
      </c>
      <c r="B7489" s="4" t="s">
        <v>9416</v>
      </c>
      <c r="C7489" s="5" t="str">
        <f>IFERROR(__xludf.DUMMYFUNCTION("GOOGLETRANSLATE(B7489,""en"",""it"")"),"Gli skateboarder cavalcano le rive di un fossato di drenaggio.")</f>
        <v>Gli skateboarder cavalcano le rive di un fossato di drenaggio.</v>
      </c>
    </row>
    <row r="7490">
      <c r="A7490" s="4" t="s">
        <v>9412</v>
      </c>
      <c r="B7490" s="4" t="s">
        <v>9417</v>
      </c>
      <c r="C7490" s="5" t="str">
        <f>IFERROR(__xludf.DUMMYFUNCTION("GOOGLETRANSLATE(B7490,""en"",""it"")"),"Diversi skateboarder cavalcano in una rampa di cemento facendo trucchi.")</f>
        <v>Diversi skateboarder cavalcano in una rampa di cemento facendo trucchi.</v>
      </c>
    </row>
    <row r="7491">
      <c r="A7491" s="4" t="s">
        <v>9412</v>
      </c>
      <c r="B7491" s="4" t="s">
        <v>9418</v>
      </c>
      <c r="C7491" s="5" t="str">
        <f>IFERROR(__xludf.DUMMYFUNCTION("GOOGLETRANSLATE(B7491,""en"",""it"")"),"Le luci della città sono viste di notte con il passaggio del traffico in movimento veloce.")</f>
        <v>Le luci della città sono viste di notte con il passaggio del traffico in movimento veloce.</v>
      </c>
    </row>
    <row r="7492">
      <c r="A7492" s="4" t="s">
        <v>9419</v>
      </c>
      <c r="B7492" s="4" t="s">
        <v>9420</v>
      </c>
      <c r="C7492" s="5" t="str">
        <f>IFERROR(__xludf.DUMMYFUNCTION("GOOGLETRANSLATE(B7492,""en"",""it"")"),"Le persone ballano su un palco.")</f>
        <v>Le persone ballano su un palco.</v>
      </c>
    </row>
    <row r="7493">
      <c r="A7493" s="4" t="s">
        <v>9419</v>
      </c>
      <c r="B7493" s="4" t="s">
        <v>9421</v>
      </c>
      <c r="C7493" s="5" t="str">
        <f>IFERROR(__xludf.DUMMYFUNCTION("GOOGLETRANSLATE(B7493,""en"",""it"")"),"Le persone tra il pubblico stanno alzando le mani.")</f>
        <v>Le persone tra il pubblico stanno alzando le mani.</v>
      </c>
    </row>
    <row r="7494">
      <c r="A7494" s="4" t="s">
        <v>9419</v>
      </c>
      <c r="B7494" s="4" t="s">
        <v>9422</v>
      </c>
      <c r="C7494" s="5" t="str">
        <f>IFERROR(__xludf.DUMMYFUNCTION("GOOGLETRANSLATE(B7494,""en"",""it"")"),"Un uomo con una camicia bianca inizia a cantare e ballare sul palco.")</f>
        <v>Un uomo con una camicia bianca inizia a cantare e ballare sul palco.</v>
      </c>
    </row>
    <row r="7495">
      <c r="A7495" s="4" t="s">
        <v>9423</v>
      </c>
      <c r="B7495" s="6" t="s">
        <v>9424</v>
      </c>
      <c r="C7495" s="5" t="str">
        <f>IFERROR(__xludf.DUMMYFUNCTION("GOOGLETRANSLATE(B7495,""en"",""it"")"),"Uno chef dimostra come tagliare e tagliare diverse verdure mentre prepara un pasto ispirato asiatico.")</f>
        <v>Uno chef dimostra come tagliare e tagliare diverse verdure mentre prepara un pasto ispirato asiatico.</v>
      </c>
    </row>
    <row r="7496">
      <c r="A7496" s="4" t="s">
        <v>9423</v>
      </c>
      <c r="B7496" s="4" t="s">
        <v>9425</v>
      </c>
      <c r="C7496" s="5" t="str">
        <f>IFERROR(__xludf.DUMMYFUNCTION("GOOGLETRANSLATE(B7496,""en"",""it"")"),"Uno chef in un vestito da chef bianco in cucina, bolle patate e cipolle in una pentola.")</f>
        <v>Uno chef in un vestito da chef bianco in cucina, bolle patate e cipolle in una pentola.</v>
      </c>
    </row>
    <row r="7497">
      <c r="A7497" s="4" t="s">
        <v>9423</v>
      </c>
      <c r="B7497" s="4" t="s">
        <v>9426</v>
      </c>
      <c r="C7497" s="5" t="str">
        <f>IFERROR(__xludf.DUMMYFUNCTION("GOOGLETRANSLATE(B7497,""en"",""it"")"),"Lo chef parla con la telecamera e prende una serie di verdure e le fa un po 'su un bancone.")</f>
        <v>Lo chef parla con la telecamera e prende una serie di verdure e le fa un po 'su un bancone.</v>
      </c>
    </row>
    <row r="7498">
      <c r="A7498" s="4" t="s">
        <v>9423</v>
      </c>
      <c r="B7498" s="6" t="s">
        <v>9427</v>
      </c>
      <c r="C7498" s="5" t="str">
        <f>IFERROR(__xludf.DUMMYFUNCTION("GOOGLETRANSLATE(B7498,""en"",""it"")"),"Lo chef mette quindi le verdure insieme ad un po 'di olio in una ciotola e attacca due grandi bacchette per mostrare il prodotto finito.")</f>
        <v>Lo chef mette quindi le verdure insieme ad un po 'di olio in una ciotola e attacca due grandi bacchette per mostrare il prodotto finito.</v>
      </c>
    </row>
    <row r="7499">
      <c r="A7499" s="4" t="s">
        <v>9428</v>
      </c>
      <c r="B7499" s="4" t="s">
        <v>9429</v>
      </c>
      <c r="C7499" s="5" t="str">
        <f>IFERROR(__xludf.DUMMYFUNCTION("GOOGLETRANSLATE(B7499,""en"",""it"")"),"Una donna viene vista sdraiata su un tavolo con un uomo che la tatua da dietro.")</f>
        <v>Una donna viene vista sdraiata su un tavolo con un uomo che la tatua da dietro.</v>
      </c>
    </row>
    <row r="7500">
      <c r="A7500" s="4" t="s">
        <v>9428</v>
      </c>
      <c r="B7500" s="4" t="s">
        <v>9430</v>
      </c>
      <c r="C7500" s="5" t="str">
        <f>IFERROR(__xludf.DUMMYFUNCTION("GOOGLETRANSLATE(B7500,""en"",""it"")"),"Una donna osserva il lato mentre l'uomo continua a tatuare e la donna lo fa fermare.")</f>
        <v>Una donna osserva il lato mentre l'uomo continua a tatuare e la donna lo fa fermare.</v>
      </c>
    </row>
    <row r="7501">
      <c r="A7501" s="4" t="s">
        <v>9428</v>
      </c>
      <c r="B7501" s="6" t="s">
        <v>9431</v>
      </c>
      <c r="C7501" s="5" t="str">
        <f>IFERROR(__xludf.DUMMYFUNCTION("GOOGLETRANSLATE(B7501,""en"",""it"")"),"La donna continua a cercare di fare il tatuaggio, ma fermarsi e parlare alla telecamera perché faceva così male.")</f>
        <v>La donna continua a cercare di fare il tatuaggio, ma fermarsi e parlare alla telecamera perché faceva così male.</v>
      </c>
    </row>
    <row r="7502">
      <c r="A7502" s="4" t="s">
        <v>9432</v>
      </c>
      <c r="B7502" s="6" t="s">
        <v>9433</v>
      </c>
      <c r="C7502" s="5" t="str">
        <f>IFERROR(__xludf.DUMMYFUNCTION("GOOGLETRANSLATE(B7502,""en"",""it"")"),"Un uomo viene visto in piedi su una scala e conduce in diverse foto sulla scala e poi dipinge il muro con un altro.")</f>
        <v>Un uomo viene visto in piedi su una scala e conduce in diverse foto sulla scala e poi dipinge il muro con un altro.</v>
      </c>
    </row>
    <row r="7503">
      <c r="A7503" s="4" t="s">
        <v>9432</v>
      </c>
      <c r="B7503" s="6" t="s">
        <v>9434</v>
      </c>
      <c r="C7503" s="5" t="str">
        <f>IFERROR(__xludf.DUMMYFUNCTION("GOOGLETRANSLATE(B7503,""en"",""it"")"),"Sono visti appesi a manifesti, arrampicandosi su e giù per le scale e infine tagliando cibi cari su un grande bastone dopo.")</f>
        <v>Sono visti appesi a manifesti, arrampicandosi su e giù per le scale e infine tagliando cibi cari su un grande bastone dopo.</v>
      </c>
    </row>
    <row r="7504">
      <c r="A7504" s="4" t="s">
        <v>9435</v>
      </c>
      <c r="B7504" s="4" t="s">
        <v>9436</v>
      </c>
      <c r="C7504" s="5" t="str">
        <f>IFERROR(__xludf.DUMMYFUNCTION("GOOGLETRANSLATE(B7504,""en"",""it"")"),"Un uomo è seduto su una sedia.")</f>
        <v>Un uomo è seduto su una sedia.</v>
      </c>
    </row>
    <row r="7505">
      <c r="A7505" s="4" t="s">
        <v>9435</v>
      </c>
      <c r="B7505" s="4" t="s">
        <v>9437</v>
      </c>
      <c r="C7505" s="5" t="str">
        <f>IFERROR(__xludf.DUMMYFUNCTION("GOOGLETRANSLATE(B7505,""en"",""it"")"),"Comincia a suonare una fisarmonica in grembo.")</f>
        <v>Comincia a suonare una fisarmonica in grembo.</v>
      </c>
    </row>
    <row r="7506">
      <c r="A7506" s="4" t="s">
        <v>9435</v>
      </c>
      <c r="B7506" s="4" t="s">
        <v>9438</v>
      </c>
      <c r="C7506" s="5" t="str">
        <f>IFERROR(__xludf.DUMMYFUNCTION("GOOGLETRANSLATE(B7506,""en"",""it"")"),"Smette di giocare e guarda la telecamera.")</f>
        <v>Smette di giocare e guarda la telecamera.</v>
      </c>
    </row>
    <row r="7507">
      <c r="A7507" s="4" t="s">
        <v>9439</v>
      </c>
      <c r="B7507" s="4" t="s">
        <v>9440</v>
      </c>
      <c r="C7507" s="5" t="str">
        <f>IFERROR(__xludf.DUMMYFUNCTION("GOOGLETRANSLATE(B7507,""en"",""it"")"),"Un uomo viene visto andare avanti parlando alla telecamera e inizia a lavare un'auto.")</f>
        <v>Un uomo viene visto andare avanti parlando alla telecamera e inizia a lavare un'auto.</v>
      </c>
    </row>
    <row r="7508">
      <c r="A7508" s="4" t="s">
        <v>9439</v>
      </c>
      <c r="B7508" s="4" t="s">
        <v>9441</v>
      </c>
      <c r="C7508" s="5" t="str">
        <f>IFERROR(__xludf.DUMMYFUNCTION("GOOGLETRANSLATE(B7508,""en"",""it"")"),"L'uomo si strofina intorno all'auto mentre parla ancora alla telecamera.")</f>
        <v>L'uomo si strofina intorno all'auto mentre parla ancora alla telecamera.</v>
      </c>
    </row>
    <row r="7509">
      <c r="A7509" s="4" t="s">
        <v>9439</v>
      </c>
      <c r="B7509" s="4" t="s">
        <v>9442</v>
      </c>
      <c r="C7509" s="5" t="str">
        <f>IFERROR(__xludf.DUMMYFUNCTION("GOOGLETRANSLATE(B7509,""en"",""it"")"),"Continua a lavare la macchina e si ferma per un momento per parlare alla telecamera.")</f>
        <v>Continua a lavare la macchina e si ferma per un momento per parlare alla telecamera.</v>
      </c>
    </row>
    <row r="7510">
      <c r="A7510" s="4" t="s">
        <v>9443</v>
      </c>
      <c r="B7510" s="4" t="s">
        <v>9444</v>
      </c>
      <c r="C7510" s="5" t="str">
        <f>IFERROR(__xludf.DUMMYFUNCTION("GOOGLETRANSLATE(B7510,""en"",""it"")"),"Una donna sta cercando di giocare a malvagità.")</f>
        <v>Una donna sta cercando di giocare a malvagità.</v>
      </c>
    </row>
    <row r="7511">
      <c r="A7511" s="4" t="s">
        <v>9443</v>
      </c>
      <c r="B7511" s="4" t="s">
        <v>9445</v>
      </c>
      <c r="C7511" s="5" t="str">
        <f>IFERROR(__xludf.DUMMYFUNCTION("GOOGLETRANSLATE(B7511,""en"",""it"")"),"Sta colpendo il cazzo navetta.")</f>
        <v>Sta colpendo il cazzo navetta.</v>
      </c>
    </row>
    <row r="7512">
      <c r="A7512" s="4" t="s">
        <v>9443</v>
      </c>
      <c r="B7512" s="4" t="s">
        <v>9446</v>
      </c>
      <c r="C7512" s="5" t="str">
        <f>IFERROR(__xludf.DUMMYFUNCTION("GOOGLETRANSLATE(B7512,""en"",""it"")"),"Sta camminando per il campo, guardando intorno.")</f>
        <v>Sta camminando per il campo, guardando intorno.</v>
      </c>
    </row>
    <row r="7513">
      <c r="A7513" s="4" t="s">
        <v>9443</v>
      </c>
      <c r="B7513" s="4" t="s">
        <v>9447</v>
      </c>
      <c r="C7513" s="5" t="str">
        <f>IFERROR(__xludf.DUMMYFUNCTION("GOOGLETRANSLATE(B7513,""en"",""it"")"),"Sta cercando di giocare con non molto sforzo.")</f>
        <v>Sta cercando di giocare con non molto sforzo.</v>
      </c>
    </row>
    <row r="7514">
      <c r="A7514" s="4" t="s">
        <v>9443</v>
      </c>
      <c r="B7514" s="4" t="s">
        <v>9448</v>
      </c>
      <c r="C7514" s="5" t="str">
        <f>IFERROR(__xludf.DUMMYFUNCTION("GOOGLETRANSLATE(B7514,""en"",""it"")"),"Passa un'altra racchetta a un amico.")</f>
        <v>Passa un'altra racchetta a un amico.</v>
      </c>
    </row>
    <row r="7515">
      <c r="A7515" s="4" t="s">
        <v>9443</v>
      </c>
      <c r="B7515" s="4" t="s">
        <v>9449</v>
      </c>
      <c r="C7515" s="5" t="str">
        <f>IFERROR(__xludf.DUMMYFUNCTION("GOOGLETRANSLATE(B7515,""en"",""it"")"),"Non sta davvero giocando.")</f>
        <v>Non sta davvero giocando.</v>
      </c>
    </row>
    <row r="7516">
      <c r="A7516" s="4" t="s">
        <v>9443</v>
      </c>
      <c r="B7516" s="4" t="s">
        <v>9450</v>
      </c>
      <c r="C7516" s="5" t="str">
        <f>IFERROR(__xludf.DUMMYFUNCTION("GOOGLETRANSLATE(B7516,""en"",""it"")"),"L'altro giocatore è un giocatore più serio mentre serve.")</f>
        <v>L'altro giocatore è un giocatore più serio mentre serve.</v>
      </c>
    </row>
    <row r="7517">
      <c r="A7517" s="4" t="s">
        <v>9443</v>
      </c>
      <c r="B7517" s="4" t="s">
        <v>9451</v>
      </c>
      <c r="C7517" s="5" t="str">
        <f>IFERROR(__xludf.DUMMYFUNCTION("GOOGLETRANSLATE(B7517,""en"",""it"")"),"Il gioco di Bad-Mutten continua mentre il primo giocatore ha perso ancora e ancora.")</f>
        <v>Il gioco di Bad-Mutten continua mentre il primo giocatore ha perso ancora e ancora.</v>
      </c>
    </row>
    <row r="7518">
      <c r="A7518" s="4" t="s">
        <v>9443</v>
      </c>
      <c r="B7518" s="4" t="s">
        <v>9452</v>
      </c>
      <c r="C7518" s="5" t="str">
        <f>IFERROR(__xludf.DUMMYFUNCTION("GOOGLETRANSLATE(B7518,""en"",""it"")"),"Le persone camminano davanti alla telecamera.")</f>
        <v>Le persone camminano davanti alla telecamera.</v>
      </c>
    </row>
    <row r="7519">
      <c r="A7519" s="4" t="s">
        <v>9443</v>
      </c>
      <c r="B7519" s="4" t="s">
        <v>9453</v>
      </c>
      <c r="C7519" s="5" t="str">
        <f>IFERROR(__xludf.DUMMYFUNCTION("GOOGLETRANSLATE(B7519,""en"",""it"")"),"La fotocamera mostra gli altri due giocatori.")</f>
        <v>La fotocamera mostra gli altri due giocatori.</v>
      </c>
    </row>
    <row r="7520">
      <c r="A7520" s="4" t="s">
        <v>9443</v>
      </c>
      <c r="B7520" s="4" t="s">
        <v>9454</v>
      </c>
      <c r="C7520" s="5" t="str">
        <f>IFERROR(__xludf.DUMMYFUNCTION("GOOGLETRANSLATE(B7520,""en"",""it"")"),"Il gioco continua per un po 'più a lungo prima che finisca.")</f>
        <v>Il gioco continua per un po 'più a lungo prima che finisca.</v>
      </c>
    </row>
    <row r="7521">
      <c r="A7521" s="4" t="s">
        <v>9455</v>
      </c>
      <c r="B7521" s="4" t="s">
        <v>9456</v>
      </c>
      <c r="C7521" s="5" t="str">
        <f>IFERROR(__xludf.DUMMYFUNCTION("GOOGLETRANSLATE(B7521,""en"",""it"")"),"Una donna viene vista guardare la telecamera e sollevare un pezzo di trucco.")</f>
        <v>Una donna viene vista guardare la telecamera e sollevare un pezzo di trucco.</v>
      </c>
    </row>
    <row r="7522">
      <c r="A7522" s="4" t="s">
        <v>9455</v>
      </c>
      <c r="B7522" s="4" t="s">
        <v>9457</v>
      </c>
      <c r="C7522" s="5" t="str">
        <f>IFERROR(__xludf.DUMMYFUNCTION("GOOGLETRANSLATE(B7522,""en"",""it"")"),"Quindi tira fuori i suoi contatti e solleva un altro contenitore.")</f>
        <v>Quindi tira fuori i suoi contatti e solleva un altro contenitore.</v>
      </c>
    </row>
    <row r="7523">
      <c r="A7523" s="4" t="s">
        <v>9455</v>
      </c>
      <c r="B7523" s="4" t="s">
        <v>9458</v>
      </c>
      <c r="C7523" s="5" t="str">
        <f>IFERROR(__xludf.DUMMYFUNCTION("GOOGLETRANSLATE(B7523,""en"",""it"")"),"Quindi mette un'altra serie di contatti e sorride alla telecamera.")</f>
        <v>Quindi mette un'altra serie di contatti e sorride alla telecamera.</v>
      </c>
    </row>
    <row r="7524">
      <c r="A7524" s="4" t="s">
        <v>9459</v>
      </c>
      <c r="B7524" s="4" t="s">
        <v>9460</v>
      </c>
      <c r="C7524" s="5" t="str">
        <f>IFERROR(__xludf.DUMMYFUNCTION("GOOGLETRANSLATE(B7524,""en"",""it"")"),"Un uomo regola la macchina fotografica e cattura un primo piano della mano e del viso.")</f>
        <v>Un uomo regola la macchina fotografica e cattura un primo piano della mano e del viso.</v>
      </c>
    </row>
    <row r="7525">
      <c r="A7525" s="4" t="s">
        <v>9459</v>
      </c>
      <c r="B7525" s="4" t="s">
        <v>9461</v>
      </c>
      <c r="C7525" s="5" t="str">
        <f>IFERROR(__xludf.DUMMYFUNCTION("GOOGLETRANSLATE(B7525,""en"",""it"")"),"Un bambino che indossa una camicia verde suona alcuni strumenti a percussione conga.")</f>
        <v>Un bambino che indossa una camicia verde suona alcuni strumenti a percussione conga.</v>
      </c>
    </row>
    <row r="7526">
      <c r="A7526" s="4" t="s">
        <v>9459</v>
      </c>
      <c r="B7526" s="6" t="s">
        <v>9462</v>
      </c>
      <c r="C7526" s="5" t="str">
        <f>IFERROR(__xludf.DUMMYFUNCTION("GOOGLETRANSLATE(B7526,""en"",""it"")"),"Un ragazzo più grande che indossa una camicia bordeaux si muove nella foto dietro il bambino che suona la Conga e inizia a ballare.")</f>
        <v>Un ragazzo più grande che indossa una camicia bordeaux si muove nella foto dietro il bambino che suona la Conga e inizia a ballare.</v>
      </c>
    </row>
    <row r="7527">
      <c r="A7527" s="4" t="s">
        <v>9459</v>
      </c>
      <c r="B7527" s="6" t="s">
        <v>9463</v>
      </c>
      <c r="C7527" s="5" t="str">
        <f>IFERROR(__xludf.DUMMYFUNCTION("GOOGLETRANSLATE(B7527,""en"",""it"")"),"Il ragazzo con la camicia bordeaux esce dalla foto mentre anche il giovane conga si allontana mentre la telecamera lo segue.")</f>
        <v>Il ragazzo con la camicia bordeaux esce dalla foto mentre anche il giovane conga si allontana mentre la telecamera lo segue.</v>
      </c>
    </row>
    <row r="7528">
      <c r="A7528" s="4" t="s">
        <v>9459</v>
      </c>
      <c r="B7528" s="6" t="s">
        <v>9464</v>
      </c>
      <c r="C7528" s="5" t="str">
        <f>IFERROR(__xludf.DUMMYFUNCTION("GOOGLETRANSLATE(B7528,""en"",""it"")"),"Il bambino torna a continuare a suonare la conga da bambino che indossa una camicia blu cammina dietro il giovane conga.")</f>
        <v>Il bambino torna a continuare a suonare la conga da bambino che indossa una camicia blu cammina dietro il giovane conga.</v>
      </c>
    </row>
    <row r="7529">
      <c r="A7529" s="4" t="s">
        <v>9465</v>
      </c>
      <c r="B7529" s="4" t="s">
        <v>9466</v>
      </c>
      <c r="C7529" s="5" t="str">
        <f>IFERROR(__xludf.DUMMYFUNCTION("GOOGLETRANSLATE(B7529,""en"",""it"")"),"Un uomo di grandi dimensioni viene visto seduto nel mezzo di un cerchio che discesse lo sguardo dalla telecamera.")</f>
        <v>Un uomo di grandi dimensioni viene visto seduto nel mezzo di un cerchio che discesse lo sguardo dalla telecamera.</v>
      </c>
    </row>
    <row r="7530">
      <c r="A7530" s="4" t="s">
        <v>9465</v>
      </c>
      <c r="B7530" s="4" t="s">
        <v>9467</v>
      </c>
      <c r="C7530" s="5" t="str">
        <f>IFERROR(__xludf.DUMMYFUNCTION("GOOGLETRANSLATE(B7530,""en"",""it"")"),"L'uomo poi si gira in giro con una discussione nelle sue mani.")</f>
        <v>L'uomo poi si gira in giro con una discussione nelle sue mani.</v>
      </c>
    </row>
    <row r="7531">
      <c r="A7531" s="4" t="s">
        <v>9465</v>
      </c>
      <c r="B7531" s="4" t="s">
        <v>9468</v>
      </c>
      <c r="C7531" s="5" t="str">
        <f>IFERROR(__xludf.DUMMYFUNCTION("GOOGLETRANSLATE(B7531,""en"",""it"")"),"Alla fine getta l'oggetto in lontananza.")</f>
        <v>Alla fine getta l'oggetto in lontananza.</v>
      </c>
    </row>
    <row r="7532">
      <c r="A7532" s="4" t="s">
        <v>9469</v>
      </c>
      <c r="B7532" s="4" t="s">
        <v>9470</v>
      </c>
      <c r="C7532" s="5" t="str">
        <f>IFERROR(__xludf.DUMMYFUNCTION("GOOGLETRANSLATE(B7532,""en"",""it"")"),"Una donna sta versando ingredienti in un aiuto in cucina.")</f>
        <v>Una donna sta versando ingredienti in un aiuto in cucina.</v>
      </c>
    </row>
    <row r="7533">
      <c r="A7533" s="4" t="s">
        <v>9469</v>
      </c>
      <c r="B7533" s="4" t="s">
        <v>9471</v>
      </c>
      <c r="C7533" s="5" t="str">
        <f>IFERROR(__xludf.DUMMYFUNCTION("GOOGLETRANSLATE(B7533,""en"",""it"")"),"Lo accende e mescola gli ingredienti insieme.")</f>
        <v>Lo accende e mescola gli ingredienti insieme.</v>
      </c>
    </row>
    <row r="7534">
      <c r="A7534" s="4" t="s">
        <v>9469</v>
      </c>
      <c r="B7534" s="4" t="s">
        <v>9472</v>
      </c>
      <c r="C7534" s="5" t="str">
        <f>IFERROR(__xludf.DUMMYFUNCTION("GOOGLETRANSLATE(B7534,""en"",""it"")"),"Versa il composto in padelle per torte.")</f>
        <v>Versa il composto in padelle per torte.</v>
      </c>
    </row>
    <row r="7535">
      <c r="A7535" s="4" t="s">
        <v>9469</v>
      </c>
      <c r="B7535" s="4" t="s">
        <v>9473</v>
      </c>
      <c r="C7535" s="5" t="str">
        <f>IFERROR(__xludf.DUMMYFUNCTION("GOOGLETRANSLATE(B7535,""en"",""it"")"),"Un pezzo di torta è mostrato su un piatto.")</f>
        <v>Un pezzo di torta è mostrato su un piatto.</v>
      </c>
    </row>
    <row r="7536">
      <c r="A7536" s="4" t="s">
        <v>9474</v>
      </c>
      <c r="B7536" s="6" t="s">
        <v>9475</v>
      </c>
      <c r="C7536" s="5" t="str">
        <f>IFERROR(__xludf.DUMMYFUNCTION("GOOGLETRANSLATE(B7536,""en"",""it"")"),"Un uomo viene visto suonare la batteria su una serie di secchi mentre diverse persone superano lui e altre lo registrano.")</f>
        <v>Un uomo viene visto suonare la batteria su una serie di secchi mentre diverse persone superano lui e altre lo registrano.</v>
      </c>
    </row>
    <row r="7537">
      <c r="A7537" s="4" t="s">
        <v>9474</v>
      </c>
      <c r="B7537" s="6" t="s">
        <v>9476</v>
      </c>
      <c r="C7537" s="5" t="str">
        <f>IFERROR(__xludf.DUMMYFUNCTION("GOOGLETRANSLATE(B7537,""en"",""it"")"),"L'uomo continua a suonare mentre la telecamera piova tutto intorno a lui e la gente continua a camminare intorno a lui e mostrare la zona.")</f>
        <v>L'uomo continua a suonare mentre la telecamera piova tutto intorno a lui e la gente continua a camminare intorno a lui e mostrare la zona.</v>
      </c>
    </row>
    <row r="7538">
      <c r="A7538" s="4" t="s">
        <v>9477</v>
      </c>
      <c r="B7538" s="4" t="s">
        <v>9478</v>
      </c>
      <c r="C7538" s="5" t="str">
        <f>IFERROR(__xludf.DUMMYFUNCTION("GOOGLETRANSLATE(B7538,""en"",""it"")"),"Due squadre giocano a lacrosse all'aperto.")</f>
        <v>Due squadre giocano a lacrosse all'aperto.</v>
      </c>
    </row>
    <row r="7539">
      <c r="A7539" s="4" t="s">
        <v>9477</v>
      </c>
      <c r="B7539" s="4" t="s">
        <v>9479</v>
      </c>
      <c r="C7539" s="5" t="str">
        <f>IFERROR(__xludf.DUMMYFUNCTION("GOOGLETRANSLATE(B7539,""en"",""it"")"),"I giocatori segnano e saltano e corrono per celebrare i punteggi.")</f>
        <v>I giocatori segnano e saltano e corrono per celebrare i punteggi.</v>
      </c>
    </row>
    <row r="7540">
      <c r="A7540" s="4" t="s">
        <v>9477</v>
      </c>
      <c r="B7540" s="4" t="s">
        <v>9480</v>
      </c>
      <c r="C7540" s="5" t="str">
        <f>IFERROR(__xludf.DUMMYFUNCTION("GOOGLETRANSLATE(B7540,""en"",""it"")"),"Un giocatore prende la palla sul bastone e corre in porta per segnare, dove un giocatore segna.")</f>
        <v>Un giocatore prende la palla sul bastone e corre in porta per segnare, dove un giocatore segna.</v>
      </c>
    </row>
    <row r="7541">
      <c r="A7541" s="4" t="s">
        <v>9477</v>
      </c>
      <c r="B7541" s="4" t="s">
        <v>9481</v>
      </c>
      <c r="C7541" s="5" t="str">
        <f>IFERROR(__xludf.DUMMYFUNCTION("GOOGLETRANSLATE(B7541,""en"",""it"")"),"Il consiglio mostra il vincitore.")</f>
        <v>Il consiglio mostra il vincitore.</v>
      </c>
    </row>
    <row r="7542">
      <c r="A7542" s="4" t="s">
        <v>9482</v>
      </c>
      <c r="B7542" s="4" t="s">
        <v>9483</v>
      </c>
      <c r="C7542" s="5" t="str">
        <f>IFERROR(__xludf.DUMMYFUNCTION("GOOGLETRANSLATE(B7542,""en"",""it"")"),"C'è un uomo che indossa una camicia bianca che suona il set di tamburi in una stanza.")</f>
        <v>C'è un uomo che indossa una camicia bianca che suona il set di tamburi in una stanza.</v>
      </c>
    </row>
    <row r="7543">
      <c r="A7543" s="4" t="s">
        <v>9482</v>
      </c>
      <c r="B7543" s="4" t="s">
        <v>9484</v>
      </c>
      <c r="C7543" s="5" t="str">
        <f>IFERROR(__xludf.DUMMYFUNCTION("GOOGLETRANSLATE(B7543,""en"",""it"")"),"Comincia suonando il rullante e il tamburo di basso.")</f>
        <v>Comincia suonando il rullante e il tamburo di basso.</v>
      </c>
    </row>
    <row r="7544">
      <c r="A7544" s="4" t="s">
        <v>9482</v>
      </c>
      <c r="B7544" s="4" t="s">
        <v>9485</v>
      </c>
      <c r="C7544" s="5" t="str">
        <f>IFERROR(__xludf.DUMMYFUNCTION("GOOGLETRANSLATE(B7544,""en"",""it"")"),"Quindi continua a giocare colpendo i piatti e l'hit-hat.")</f>
        <v>Quindi continua a giocare colpendo i piatti e l'hit-hat.</v>
      </c>
    </row>
    <row r="7545">
      <c r="A7545" s="4" t="s">
        <v>9482</v>
      </c>
      <c r="B7545" s="4" t="s">
        <v>9486</v>
      </c>
      <c r="C7545" s="5" t="str">
        <f>IFERROR(__xludf.DUMMYFUNCTION("GOOGLETRANSLATE(B7545,""en"",""it"")"),"Si ferma per un po 'e poi riprende a suonare il set di batteria.")</f>
        <v>Si ferma per un po 'e poi riprende a suonare il set di batteria.</v>
      </c>
    </row>
    <row r="7546">
      <c r="A7546" s="4" t="s">
        <v>9482</v>
      </c>
      <c r="B7546" s="4" t="s">
        <v>9487</v>
      </c>
      <c r="C7546" s="5" t="str">
        <f>IFERROR(__xludf.DUMMYFUNCTION("GOOGLETRANSLATE(B7546,""en"",""it"")"),"Suona ritmicamente mentre raccoglie velocità e suona il set di batteria.")</f>
        <v>Suona ritmicamente mentre raccoglie velocità e suona il set di batteria.</v>
      </c>
    </row>
    <row r="7547">
      <c r="A7547" s="4" t="s">
        <v>9482</v>
      </c>
      <c r="B7547" s="4" t="s">
        <v>9488</v>
      </c>
      <c r="C7547" s="5" t="str">
        <f>IFERROR(__xludf.DUMMYFUNCTION("GOOGLETRANSLATE(B7547,""en"",""it"")"),"Quindi si ferma e si alza per spegnere la fotocamera.")</f>
        <v>Quindi si ferma e si alza per spegnere la fotocamera.</v>
      </c>
    </row>
    <row r="7548">
      <c r="A7548" s="4" t="s">
        <v>9489</v>
      </c>
      <c r="B7548" s="4" t="s">
        <v>9490</v>
      </c>
      <c r="C7548" s="5" t="str">
        <f>IFERROR(__xludf.DUMMYFUNCTION("GOOGLETRANSLATE(B7548,""en"",""it"")"),"Un uomo sta raggiungendo l'acqua e lavarsi il viso.")</f>
        <v>Un uomo sta raggiungendo l'acqua e lavarsi il viso.</v>
      </c>
    </row>
    <row r="7549">
      <c r="A7549" s="4" t="s">
        <v>9489</v>
      </c>
      <c r="B7549" s="4" t="s">
        <v>9491</v>
      </c>
      <c r="C7549" s="5" t="str">
        <f>IFERROR(__xludf.DUMMYFUNCTION("GOOGLETRANSLATE(B7549,""en"",""it"")"),"Una donna sta lavorando sull'altra parte dell'acqua.")</f>
        <v>Una donna sta lavorando sull'altra parte dell'acqua.</v>
      </c>
    </row>
    <row r="7550">
      <c r="A7550" s="4" t="s">
        <v>9489</v>
      </c>
      <c r="B7550" s="4" t="s">
        <v>9492</v>
      </c>
      <c r="C7550" s="5" t="str">
        <f>IFERROR(__xludf.DUMMYFUNCTION("GOOGLETRANSLATE(B7550,""en"",""it"")"),"L'uomo schizza il lavoratore con acqua.")</f>
        <v>L'uomo schizza il lavoratore con acqua.</v>
      </c>
    </row>
    <row r="7551">
      <c r="A7551" s="4" t="s">
        <v>9489</v>
      </c>
      <c r="B7551" s="4" t="s">
        <v>9493</v>
      </c>
      <c r="C7551" s="5" t="str">
        <f>IFERROR(__xludf.DUMMYFUNCTION("GOOGLETRANSLATE(B7551,""en"",""it"")"),"Una donna si guarda e ride dell'uomo.")</f>
        <v>Una donna si guarda e ride dell'uomo.</v>
      </c>
    </row>
    <row r="7552">
      <c r="A7552" s="4" t="s">
        <v>9494</v>
      </c>
      <c r="B7552" s="4" t="s">
        <v>9495</v>
      </c>
      <c r="C7552" s="5" t="str">
        <f>IFERROR(__xludf.DUMMYFUNCTION("GOOGLETRANSLATE(B7552,""en"",""it"")"),"Un piccolo Collie è in cima a un tavolo.")</f>
        <v>Un piccolo Collie è in cima a un tavolo.</v>
      </c>
    </row>
    <row r="7553">
      <c r="A7553" s="4" t="s">
        <v>9494</v>
      </c>
      <c r="B7553" s="4" t="s">
        <v>9496</v>
      </c>
      <c r="C7553" s="5" t="str">
        <f>IFERROR(__xludf.DUMMYFUNCTION("GOOGLETRANSLATE(B7553,""en"",""it"")"),"È legato in posizione e un uomo inizia a spazzolarlo dappertutto.")</f>
        <v>È legato in posizione e un uomo inizia a spazzolarlo dappertutto.</v>
      </c>
    </row>
    <row r="7554">
      <c r="A7554" s="4" t="s">
        <v>9494</v>
      </c>
      <c r="B7554" s="4" t="s">
        <v>9497</v>
      </c>
      <c r="C7554" s="5" t="str">
        <f>IFERROR(__xludf.DUMMYFUNCTION("GOOGLETRANSLATE(B7554,""en"",""it"")"),"Si ferma mentre viene curato.")</f>
        <v>Si ferma mentre viene curato.</v>
      </c>
    </row>
    <row r="7555">
      <c r="A7555" s="4" t="s">
        <v>9498</v>
      </c>
      <c r="B7555" s="4" t="s">
        <v>9499</v>
      </c>
      <c r="C7555" s="5" t="str">
        <f>IFERROR(__xludf.DUMMYFUNCTION("GOOGLETRANSLATE(B7555,""en"",""it"")"),"Una persona mette un casco di saldatura.")</f>
        <v>Una persona mette un casco di saldatura.</v>
      </c>
    </row>
    <row r="7556">
      <c r="A7556" s="4" t="s">
        <v>9498</v>
      </c>
      <c r="B7556" s="4" t="s">
        <v>9500</v>
      </c>
      <c r="C7556" s="5" t="str">
        <f>IFERROR(__xludf.DUMMYFUNCTION("GOOGLETRANSLATE(B7556,""en"",""it"")"),"Quindi, la persona ha saldato un pezzo di metallo.")</f>
        <v>Quindi, la persona ha saldato un pezzo di metallo.</v>
      </c>
    </row>
    <row r="7557">
      <c r="A7557" s="4" t="s">
        <v>9498</v>
      </c>
      <c r="B7557" s="4" t="s">
        <v>9501</v>
      </c>
      <c r="C7557" s="5" t="str">
        <f>IFERROR(__xludf.DUMMYFUNCTION("GOOGLETRANSLATE(B7557,""en"",""it"")"),"Quindi, la persona finisce per saldare e sollevare il casco ma si piega verso il basso.")</f>
        <v>Quindi, la persona finisce per saldare e sollevare il casco ma si piega verso il basso.</v>
      </c>
    </row>
    <row r="7558">
      <c r="A7558" s="4" t="s">
        <v>9502</v>
      </c>
      <c r="B7558" s="4" t="s">
        <v>9503</v>
      </c>
      <c r="C7558" s="5" t="str">
        <f>IFERROR(__xludf.DUMMYFUNCTION("GOOGLETRANSLATE(B7558,""en"",""it"")"),"C'è un evento di bombole di sporcizia che è sponsorizzato da Monster Energy Drink.")</f>
        <v>C'è un evento di bombole di sporcizia che è sponsorizzato da Monster Energy Drink.</v>
      </c>
    </row>
    <row r="7559">
      <c r="A7559" s="4" t="s">
        <v>9502</v>
      </c>
      <c r="B7559" s="4" t="s">
        <v>9504</v>
      </c>
      <c r="C7559" s="5" t="str">
        <f>IFERROR(__xludf.DUMMYFUNCTION("GOOGLETRANSLATE(B7559,""en"",""it"")"),"Ci sono diversi concorrenti che partecipano all'evento.")</f>
        <v>Ci sono diversi concorrenti che partecipano all'evento.</v>
      </c>
    </row>
    <row r="7560">
      <c r="A7560" s="4" t="s">
        <v>9502</v>
      </c>
      <c r="B7560" s="4" t="s">
        <v>9505</v>
      </c>
      <c r="C7560" s="5" t="str">
        <f>IFERROR(__xludf.DUMMYFUNCTION("GOOGLETRANSLATE(B7560,""en"",""it"")"),"Uno dei concorrenti cade dalla sua bici e sembra ferito.")</f>
        <v>Uno dei concorrenti cade dalla sua bici e sembra ferito.</v>
      </c>
    </row>
    <row r="7561">
      <c r="A7561" s="4" t="s">
        <v>9502</v>
      </c>
      <c r="B7561" s="4" t="s">
        <v>9506</v>
      </c>
      <c r="C7561" s="5" t="str">
        <f>IFERROR(__xludf.DUMMYFUNCTION("GOOGLETRANSLATE(B7561,""en"",""it"")"),"Si alza subito e cammina verso l'angolo.")</f>
        <v>Si alza subito e cammina verso l'angolo.</v>
      </c>
    </row>
    <row r="7562">
      <c r="A7562" s="4" t="s">
        <v>9507</v>
      </c>
      <c r="B7562" s="4" t="s">
        <v>9508</v>
      </c>
      <c r="C7562" s="5" t="str">
        <f>IFERROR(__xludf.DUMMYFUNCTION("GOOGLETRANSLATE(B7562,""en"",""it"")"),"Viene visto un uomo parlare con la telecamera seguita da lui che parlava con donne a caso sulla spiaggia.")</f>
        <v>Viene visto un uomo parlare con la telecamera seguita da lui che parlava con donne a caso sulla spiaggia.</v>
      </c>
    </row>
    <row r="7563">
      <c r="A7563" s="4" t="s">
        <v>9507</v>
      </c>
      <c r="B7563" s="4" t="s">
        <v>9509</v>
      </c>
      <c r="C7563" s="5" t="str">
        <f>IFERROR(__xludf.DUMMYFUNCTION("GOOGLETRANSLATE(B7563,""en"",""it"")"),"Giocano insieme e quando vince la ragazza gli dà un bacio.")</f>
        <v>Giocano insieme e quando vince la ragazza gli dà un bacio.</v>
      </c>
    </row>
    <row r="7564">
      <c r="A7564" s="4" t="s">
        <v>9507</v>
      </c>
      <c r="B7564" s="4" t="s">
        <v>9510</v>
      </c>
      <c r="C7564" s="5" t="str">
        <f>IFERROR(__xludf.DUMMYFUNCTION("GOOGLETRANSLATE(B7564,""en"",""it"")"),"Quando perdono la ragazza lo colpisce.")</f>
        <v>Quando perdono la ragazza lo colpisce.</v>
      </c>
    </row>
    <row r="7565">
      <c r="A7565" s="4" t="s">
        <v>9507</v>
      </c>
      <c r="B7565" s="4" t="s">
        <v>9511</v>
      </c>
      <c r="C7565" s="5" t="str">
        <f>IFERROR(__xludf.DUMMYFUNCTION("GOOGLETRANSLATE(B7565,""en"",""it"")"),"Diverse ragazze ridono e giocano mentre si baciano o schiaffeggiano l'uomo.")</f>
        <v>Diverse ragazze ridono e giocano mentre si baciano o schiaffeggiano l'uomo.</v>
      </c>
    </row>
    <row r="7566">
      <c r="A7566" s="4" t="s">
        <v>9512</v>
      </c>
      <c r="B7566" s="4" t="s">
        <v>9513</v>
      </c>
      <c r="C7566" s="5" t="str">
        <f>IFERROR(__xludf.DUMMYFUNCTION("GOOGLETRANSLATE(B7566,""en"",""it"")"),"Una persona viene vista indossare un costume divertente mentre si tiene su un macchinario.")</f>
        <v>Una persona viene vista indossare un costume divertente mentre si tiene su un macchinario.</v>
      </c>
    </row>
    <row r="7567">
      <c r="A7567" s="4" t="s">
        <v>9512</v>
      </c>
      <c r="B7567" s="4" t="s">
        <v>9514</v>
      </c>
      <c r="C7567" s="5" t="str">
        <f>IFERROR(__xludf.DUMMYFUNCTION("GOOGLETRANSLATE(B7567,""en"",""it"")"),"L'uomo spinge i macchinari attorno al prato mentre guarda nella telecamera.")</f>
        <v>L'uomo spinge i macchinari attorno al prato mentre guarda nella telecamera.</v>
      </c>
    </row>
    <row r="7568">
      <c r="A7568" s="4" t="s">
        <v>9512</v>
      </c>
      <c r="B7568" s="4" t="s">
        <v>9515</v>
      </c>
      <c r="C7568" s="5" t="str">
        <f>IFERROR(__xludf.DUMMYFUNCTION("GOOGLETRANSLATE(B7568,""en"",""it"")"),"L'uomo continua a usare la macchina mentre guarda nella fotocamera.")</f>
        <v>L'uomo continua a usare la macchina mentre guarda nella fotocamera.</v>
      </c>
    </row>
    <row r="7569">
      <c r="A7569" s="4" t="s">
        <v>9516</v>
      </c>
      <c r="B7569" s="4" t="s">
        <v>9517</v>
      </c>
      <c r="C7569" s="5" t="str">
        <f>IFERROR(__xludf.DUMMYFUNCTION("GOOGLETRANSLATE(B7569,""en"",""it"")"),"Un gruppo di uomini viene mostrato incoraggiando e saltando al rallentatore.")</f>
        <v>Un gruppo di uomini viene mostrato incoraggiando e saltando al rallentatore.</v>
      </c>
    </row>
    <row r="7570">
      <c r="A7570" s="4" t="s">
        <v>9516</v>
      </c>
      <c r="B7570" s="4" t="s">
        <v>9518</v>
      </c>
      <c r="C7570" s="5" t="str">
        <f>IFERROR(__xludf.DUMMYFUNCTION("GOOGLETRANSLATE(B7570,""en"",""it"")"),"Molte persone sono presenti quando vengono visualizzati i trofei.")</f>
        <v>Molte persone sono presenti quando vengono visualizzati i trofei.</v>
      </c>
    </row>
    <row r="7571">
      <c r="A7571" s="4" t="s">
        <v>9516</v>
      </c>
      <c r="B7571" s="4" t="s">
        <v>9519</v>
      </c>
      <c r="C7571" s="5" t="str">
        <f>IFERROR(__xludf.DUMMYFUNCTION("GOOGLETRANSLATE(B7571,""en"",""it"")"),"Un mucchio di persone si radunano per giocare a birra di birra e bere.")</f>
        <v>Un mucchio di persone si radunano per giocare a birra di birra e bere.</v>
      </c>
    </row>
    <row r="7572">
      <c r="A7572" s="4" t="s">
        <v>9516</v>
      </c>
      <c r="B7572" s="6" t="s">
        <v>9520</v>
      </c>
      <c r="C7572" s="5" t="str">
        <f>IFERROR(__xludf.DUMMYFUNCTION("GOOGLETRANSLATE(B7572,""en"",""it"")"),"Vengono visualizzati vari scatti dell'azione in diverse tabelle e quindi i video tagliano a un indirizzo Internet per scoprire ulteriori informazioni.")</f>
        <v>Vengono visualizzati vari scatti dell'azione in diverse tabelle e quindi i video tagliano a un indirizzo Internet per scoprire ulteriori informazioni.</v>
      </c>
    </row>
    <row r="7573">
      <c r="A7573" s="4" t="s">
        <v>9521</v>
      </c>
      <c r="B7573" s="6" t="s">
        <v>9522</v>
      </c>
      <c r="C7573" s="5" t="str">
        <f>IFERROR(__xludf.DUMMYFUNCTION("GOOGLETRANSLATE(B7573,""en"",""it"")"),"Ci sono due donne in un bagno che lava i vestiti in secchi blu pieni di acqua di sapone schiumosa.")</f>
        <v>Ci sono due donne in un bagno che lava i vestiti in secchi blu pieni di acqua di sapone schiumosa.</v>
      </c>
    </row>
    <row r="7574">
      <c r="A7574" s="4" t="s">
        <v>9521</v>
      </c>
      <c r="B7574" s="4" t="s">
        <v>9523</v>
      </c>
      <c r="C7574" s="5" t="str">
        <f>IFERROR(__xludf.DUMMYFUNCTION("GOOGLETRANSLATE(B7574,""en"",""it"")"),"Le donne immergono i vestiti nell'acqua del sapone e li risciacqua per pulirli.")</f>
        <v>Le donne immergono i vestiti nell'acqua del sapone e li risciacqua per pulirli.</v>
      </c>
    </row>
    <row r="7575">
      <c r="A7575" s="4" t="s">
        <v>9521</v>
      </c>
      <c r="B7575" s="4" t="s">
        <v>9524</v>
      </c>
      <c r="C7575" s="5" t="str">
        <f>IFERROR(__xludf.DUMMYFUNCTION("GOOGLETRANSLATE(B7575,""en"",""it"")"),"Quindi mise i vestiti in un grande tamburo di metallo che gira rapidamente per drenare l'acqua in eccesso.")</f>
        <v>Quindi mise i vestiti in un grande tamburo di metallo che gira rapidamente per drenare l'acqua in eccesso.</v>
      </c>
    </row>
    <row r="7576">
      <c r="A7576" s="4" t="s">
        <v>9521</v>
      </c>
      <c r="B7576" s="4" t="s">
        <v>9525</v>
      </c>
      <c r="C7576" s="5" t="str">
        <f>IFERROR(__xludf.DUMMYFUNCTION("GOOGLETRANSLATE(B7576,""en"",""it"")"),"Quindi vanno in cima al loro edificio in una terrazza aperta dove le corde sono legate attraverso le pareti.")</f>
        <v>Quindi vanno in cima al loro edificio in una terrazza aperta dove le corde sono legate attraverso le pareti.</v>
      </c>
    </row>
    <row r="7577">
      <c r="A7577" s="4" t="s">
        <v>9521</v>
      </c>
      <c r="B7577" s="4" t="s">
        <v>9526</v>
      </c>
      <c r="C7577" s="5" t="str">
        <f>IFERROR(__xludf.DUMMYFUNCTION("GOOGLETRANSLATE(B7577,""en"",""it"")"),"Cominciano a appendere i vestiti sul stendibiancheria per essiccarsi.")</f>
        <v>Cominciano a appendere i vestiti sul stendibiancheria per essiccarsi.</v>
      </c>
    </row>
    <row r="7578">
      <c r="A7578" s="4" t="s">
        <v>9527</v>
      </c>
      <c r="B7578" s="4" t="s">
        <v>9528</v>
      </c>
      <c r="C7578" s="5" t="str">
        <f>IFERROR(__xludf.DUMMYFUNCTION("GOOGLETRANSLATE(B7578,""en"",""it"")"),"Un ragazzo è appeso alle barre delle scimmie.")</f>
        <v>Un ragazzo è appeso alle barre delle scimmie.</v>
      </c>
    </row>
    <row r="7579">
      <c r="A7579" s="4" t="s">
        <v>9527</v>
      </c>
      <c r="B7579" s="4" t="s">
        <v>9529</v>
      </c>
      <c r="C7579" s="5" t="str">
        <f>IFERROR(__xludf.DUMMYFUNCTION("GOOGLETRANSLATE(B7579,""en"",""it"")"),"Attraversa facilmente l'ostacolo.")</f>
        <v>Attraversa facilmente l'ostacolo.</v>
      </c>
    </row>
    <row r="7580">
      <c r="A7580" s="4" t="s">
        <v>9527</v>
      </c>
      <c r="B7580" s="4" t="s">
        <v>9530</v>
      </c>
      <c r="C7580" s="5" t="str">
        <f>IFERROR(__xludf.DUMMYFUNCTION("GOOGLETRANSLATE(B7580,""en"",""it"")"),"Sembra orgoglioso di se stesso.")</f>
        <v>Sembra orgoglioso di se stesso.</v>
      </c>
    </row>
    <row r="7581">
      <c r="A7581" s="4" t="s">
        <v>9527</v>
      </c>
      <c r="B7581" s="4" t="s">
        <v>9531</v>
      </c>
      <c r="C7581" s="5" t="str">
        <f>IFERROR(__xludf.DUMMYFUNCTION("GOOGLETRANSLATE(B7581,""en"",""it"")"),"Sorride la telecamera.")</f>
        <v>Sorride la telecamera.</v>
      </c>
    </row>
    <row r="7582">
      <c r="A7582" s="4" t="s">
        <v>9532</v>
      </c>
      <c r="B7582" s="4" t="s">
        <v>9533</v>
      </c>
      <c r="C7582" s="5" t="str">
        <f>IFERROR(__xludf.DUMMYFUNCTION("GOOGLETRANSLATE(B7582,""en"",""it"")"),"Una donna che indossa uno scialle si trova di fronte a una pianta tropicale all'aperto.")</f>
        <v>Una donna che indossa uno scialle si trova di fronte a una pianta tropicale all'aperto.</v>
      </c>
    </row>
    <row r="7583">
      <c r="A7583" s="4" t="s">
        <v>9532</v>
      </c>
      <c r="B7583" s="4" t="s">
        <v>9534</v>
      </c>
      <c r="C7583" s="5" t="str">
        <f>IFERROR(__xludf.DUMMYFUNCTION("GOOGLETRANSLATE(B7583,""en"",""it"")"),"Una donna presenta una band sul palco per una performance.")</f>
        <v>Una donna presenta una band sul palco per una performance.</v>
      </c>
    </row>
    <row r="7584">
      <c r="A7584" s="4" t="s">
        <v>9532</v>
      </c>
      <c r="B7584" s="4" t="s">
        <v>9535</v>
      </c>
      <c r="C7584" s="5" t="str">
        <f>IFERROR(__xludf.DUMMYFUNCTION("GOOGLETRANSLATE(B7584,""en"",""it"")"),"Un giocatore di flauto gioca una parte di una canzone durante l'esibizione.")</f>
        <v>Un giocatore di flauto gioca una parte di una canzone durante l'esibizione.</v>
      </c>
    </row>
    <row r="7585">
      <c r="A7585" s="4" t="s">
        <v>9532</v>
      </c>
      <c r="B7585" s="4" t="s">
        <v>9536</v>
      </c>
      <c r="C7585" s="5" t="str">
        <f>IFERROR(__xludf.DUMMYFUNCTION("GOOGLETRANSLATE(B7585,""en"",""it"")"),"La band suona una canzone insieme durante l'esibizione.")</f>
        <v>La band suona una canzone insieme durante l'esibizione.</v>
      </c>
    </row>
    <row r="7586">
      <c r="A7586" s="4" t="s">
        <v>9537</v>
      </c>
      <c r="B7586" s="4" t="s">
        <v>9538</v>
      </c>
      <c r="C7586" s="5" t="str">
        <f>IFERROR(__xludf.DUMMYFUNCTION("GOOGLETRANSLATE(B7586,""en"",""it"")"),"La donna è in piedi in una stanza di tiro che tiene in fila e getta la freccia in una tavola.")</f>
        <v>La donna è in piedi in una stanza di tiro che tiene in fila e getta la freccia in una tavola.</v>
      </c>
    </row>
    <row r="7587">
      <c r="A7587" s="4" t="s">
        <v>9537</v>
      </c>
      <c r="B7587" s="4" t="s">
        <v>9539</v>
      </c>
      <c r="C7587" s="5" t="str">
        <f>IFERROR(__xludf.DUMMYFUNCTION("GOOGLETRANSLATE(B7587,""en"",""it"")"),"La donna si trova in un campo di grandi dimensioni BG che tiene un arco e una freccia a palco.")</f>
        <v>La donna si trova in un campo di grandi dimensioni BG che tiene un arco e una freccia a palco.</v>
      </c>
    </row>
    <row r="7588">
      <c r="A7588" s="4" t="s">
        <v>9537</v>
      </c>
      <c r="B7588" s="6" t="s">
        <v>9540</v>
      </c>
      <c r="C7588" s="5" t="str">
        <f>IFERROR(__xludf.DUMMYFUNCTION("GOOGLETRANSLATE(B7588,""en"",""it"")"),"La donna è in piedi in una piccola corte che tiene un arco e getta un arrow su una mela nella testa di un uomo.")</f>
        <v>La donna è in piedi in una piccola corte che tiene un arco e getta un arrow su una mela nella testa di un uomo.</v>
      </c>
    </row>
    <row r="7589">
      <c r="A7589" s="4" t="s">
        <v>9537</v>
      </c>
      <c r="B7589" s="6" t="s">
        <v>9541</v>
      </c>
      <c r="C7589" s="5" t="str">
        <f>IFERROR(__xludf.DUMMYFUNCTION("GOOGLETRANSLATE(B7589,""en"",""it"")"),"L'uomo è in piedi in un campo verde di Allge mostrando a una donna come sparare una freccia e la donna tira fuori una pistola dalle tasche e sparato al tabellone.")</f>
        <v>L'uomo è in piedi in un campo verde di Allge mostrando a una donna come sparare una freccia e la donna tira fuori una pistola dalle tasche e sparato al tabellone.</v>
      </c>
    </row>
    <row r="7590">
      <c r="A7590" s="4" t="s">
        <v>9537</v>
      </c>
      <c r="B7590" s="4" t="s">
        <v>9542</v>
      </c>
      <c r="C7590" s="5" t="str">
        <f>IFERROR(__xludf.DUMMYFUNCTION("GOOGLETRANSLATE(B7590,""en"",""it"")"),"L'uomo è in piedi accanto a un albero con in mano una macchina fotografica.")</f>
        <v>L'uomo è in piedi accanto a un albero con in mano una macchina fotografica.</v>
      </c>
    </row>
    <row r="7591">
      <c r="A7591" s="4" t="s">
        <v>9537</v>
      </c>
      <c r="B7591" s="4" t="s">
        <v>9543</v>
      </c>
      <c r="C7591" s="5" t="str">
        <f>IFERROR(__xludf.DUMMYFUNCTION("GOOGLETRANSLATE(B7591,""en"",""it"")"),"La donna sta gettando Arros in un'anguria.")</f>
        <v>La donna sta gettando Arros in un'anguria.</v>
      </c>
    </row>
    <row r="7592">
      <c r="A7592" s="4" t="s">
        <v>9537</v>
      </c>
      <c r="B7592" s="4" t="s">
        <v>9544</v>
      </c>
      <c r="C7592" s="5" t="str">
        <f>IFERROR(__xludf.DUMMYFUNCTION("GOOGLETRANSLATE(B7592,""en"",""it"")"),"La donna sta lanciando frecce ai poster dei film e parla con la telecamera.")</f>
        <v>La donna sta lanciando frecce ai poster dei film e parla con la telecamera.</v>
      </c>
    </row>
    <row r="7593">
      <c r="A7593" s="4" t="s">
        <v>9545</v>
      </c>
      <c r="B7593" s="4" t="s">
        <v>9546</v>
      </c>
      <c r="C7593" s="5" t="str">
        <f>IFERROR(__xludf.DUMMYFUNCTION("GOOGLETRANSLATE(B7593,""en"",""it"")"),"L'uomo sta parlando con la telecamera in piedi accanto a una scatola.")</f>
        <v>L'uomo sta parlando con la telecamera in piedi accanto a una scatola.</v>
      </c>
    </row>
    <row r="7594">
      <c r="A7594" s="4" t="s">
        <v>9545</v>
      </c>
      <c r="B7594" s="4" t="s">
        <v>9547</v>
      </c>
      <c r="C7594" s="5" t="str">
        <f>IFERROR(__xludf.DUMMYFUNCTION("GOOGLETRANSLATE(B7594,""en"",""it"")"),"L'uomo sta riunendo un campo da shuffleboard in un marciapiede.")</f>
        <v>L'uomo sta riunendo un campo da shuffleboard in un marciapiede.</v>
      </c>
    </row>
    <row r="7595">
      <c r="A7595" s="4" t="s">
        <v>9545</v>
      </c>
      <c r="B7595" s="4" t="s">
        <v>9548</v>
      </c>
      <c r="C7595" s="5" t="str">
        <f>IFERROR(__xludf.DUMMYFUNCTION("GOOGLETRANSLATE(B7595,""en"",""it"")"),"L'uomo inizia a giocare al Suffleboard colpendo i dischi.")</f>
        <v>L'uomo inizia a giocare al Suffleboard colpendo i dischi.</v>
      </c>
    </row>
    <row r="7596">
      <c r="A7596" s="4" t="s">
        <v>9549</v>
      </c>
      <c r="B7596" s="4" t="s">
        <v>9550</v>
      </c>
      <c r="C7596" s="5" t="str">
        <f>IFERROR(__xludf.DUMMYFUNCTION("GOOGLETRANSLATE(B7596,""en"",""it"")"),"Una ragazza cammina al limite del tabellone.")</f>
        <v>Una ragazza cammina al limite del tabellone.</v>
      </c>
    </row>
    <row r="7597">
      <c r="A7597" s="4" t="s">
        <v>9549</v>
      </c>
      <c r="B7597" s="4" t="s">
        <v>9551</v>
      </c>
      <c r="C7597" s="5" t="str">
        <f>IFERROR(__xludf.DUMMYFUNCTION("GOOGLETRANSLATE(B7597,""en"",""it"")"),"La ragazza estende le mani.")</f>
        <v>La ragazza estende le mani.</v>
      </c>
    </row>
    <row r="7598">
      <c r="A7598" s="4" t="s">
        <v>9549</v>
      </c>
      <c r="B7598" s="4" t="s">
        <v>9552</v>
      </c>
      <c r="C7598" s="5" t="str">
        <f>IFERROR(__xludf.DUMMYFUNCTION("GOOGLETRANSLATE(B7598,""en"",""it"")"),"La ragazza si tuffa in piscina.")</f>
        <v>La ragazza si tuffa in piscina.</v>
      </c>
    </row>
    <row r="7599">
      <c r="A7599" s="4" t="s">
        <v>9549</v>
      </c>
      <c r="B7599" s="4" t="s">
        <v>9553</v>
      </c>
      <c r="C7599" s="5" t="str">
        <f>IFERROR(__xludf.DUMMYFUNCTION("GOOGLETRANSLATE(B7599,""en"",""it"")"),"La ragazza nuota fino al bordo della piscina.")</f>
        <v>La ragazza nuota fino al bordo della piscina.</v>
      </c>
    </row>
    <row r="7600">
      <c r="A7600" s="4" t="s">
        <v>9554</v>
      </c>
      <c r="B7600" s="6" t="s">
        <v>9555</v>
      </c>
      <c r="C7600" s="5" t="str">
        <f>IFERROR(__xludf.DUMMYFUNCTION("GOOGLETRANSLATE(B7600,""en"",""it"")"),"Un alto edificio garage è mostrato al buio e poi diversi ragazzi di età adolescenziale appaiono nello skateboard all'interno di esso.")</f>
        <v>Un alto edificio garage è mostrato al buio e poi diversi ragazzi di età adolescenziale appaiono nello skateboard all'interno di esso.</v>
      </c>
    </row>
    <row r="7601">
      <c r="A7601" s="4" t="s">
        <v>9554</v>
      </c>
      <c r="B7601" s="6" t="s">
        <v>9556</v>
      </c>
      <c r="C7601" s="5" t="str">
        <f>IFERROR(__xludf.DUMMYFUNCTION("GOOGLETRANSLATE(B7601,""en"",""it"")"),"Mentre scendono l'angolo, si aggrappano alle camicie reciproche e scendono lungo la strada inclusa in una singola linea di file e un ragazzo viene mostrato con in mano una telecamera con un selfie stick che registra l'azione.")</f>
        <v>Mentre scendono l'angolo, si aggrappano alle camicie reciproche e scendono lungo la strada inclusa in una singola linea di file e un ragazzo viene mostrato con in mano una telecamera con un selfie stick che registra l'azione.</v>
      </c>
    </row>
    <row r="7602">
      <c r="A7602" s="4" t="s">
        <v>9554</v>
      </c>
      <c r="B7602" s="6" t="s">
        <v>9557</v>
      </c>
      <c r="C7602" s="5" t="str">
        <f>IFERROR(__xludf.DUMMYFUNCTION("GOOGLETRANSLATE(B7602,""en"",""it"")"),"Dopo, un maschio nero sembra parlare in macchina e i ragazzi vengono quindi mostrati a salire su una serie di scale.")</f>
        <v>Dopo, un maschio nero sembra parlare in macchina e i ragazzi vengono quindi mostrati a salire su una serie di scale.</v>
      </c>
    </row>
    <row r="7603">
      <c r="A7603" s="4" t="s">
        <v>9554</v>
      </c>
      <c r="B7603" s="6" t="s">
        <v>9558</v>
      </c>
      <c r="C7603" s="5" t="str">
        <f>IFERROR(__xludf.DUMMYFUNCTION("GOOGLETRANSLATE(B7603,""en"",""it"")"),"L'azione continua e tutti i ragazzi si uniscono l'uno all'altro nel garage e il maschio che parlava nel video viene visto pattinare con il resto dei ragazzi.")</f>
        <v>L'azione continua e tutti i ragazzi si uniscono l'uno all'altro nel garage e il maschio che parlava nel video viene visto pattinare con il resto dei ragazzi.</v>
      </c>
    </row>
    <row r="7604">
      <c r="A7604" s="4" t="s">
        <v>9559</v>
      </c>
      <c r="B7604" s="4" t="s">
        <v>9560</v>
      </c>
      <c r="C7604" s="5" t="str">
        <f>IFERROR(__xludf.DUMMYFUNCTION("GOOGLETRANSLATE(B7604,""en"",""it"")"),"Gli uomini con le maglie sono in piedi con le braccia incrociate semplicemente di fissare spazio.")</f>
        <v>Gli uomini con le maglie sono in piedi con le braccia incrociate semplicemente di fissare spazio.</v>
      </c>
    </row>
    <row r="7605">
      <c r="A7605" s="4" t="s">
        <v>9559</v>
      </c>
      <c r="B7605" s="4" t="s">
        <v>9561</v>
      </c>
      <c r="C7605" s="5" t="str">
        <f>IFERROR(__xludf.DUMMYFUNCTION("GOOGLETRANSLATE(B7605,""en"",""it"")"),"Quindi, li vedi sul campo giocare e in seguito ne parla un po '.")</f>
        <v>Quindi, li vedi sul campo giocare e in seguito ne parla un po '.</v>
      </c>
    </row>
    <row r="7606">
      <c r="A7606" s="4" t="s">
        <v>9559</v>
      </c>
      <c r="B7606" s="4" t="s">
        <v>9562</v>
      </c>
      <c r="C7606" s="5" t="str">
        <f>IFERROR(__xludf.DUMMYFUNCTION("GOOGLETRANSLATE(B7606,""en"",""it"")"),"Ognuno di essi sembrano ricordare i propri ricordi di volte in cui hanno vinto la medaglia e fissano le loro medaglie.")</f>
        <v>Ognuno di essi sembrano ricordare i propri ricordi di volte in cui hanno vinto la medaglia e fissano le loro medaglie.</v>
      </c>
    </row>
    <row r="7607">
      <c r="A7607" s="4" t="s">
        <v>9559</v>
      </c>
      <c r="B7607" s="4" t="s">
        <v>9563</v>
      </c>
      <c r="C7607" s="5" t="str">
        <f>IFERROR(__xludf.DUMMYFUNCTION("GOOGLETRANSLATE(B7607,""en"",""it"")"),"Si trovano in un piccolo gruppo a parlare e poi vedi un pubblico che tira e applaude.")</f>
        <v>Si trovano in un piccolo gruppo a parlare e poi vedi un pubblico che tira e applaude.</v>
      </c>
    </row>
    <row r="7608">
      <c r="A7608" s="4" t="s">
        <v>9564</v>
      </c>
      <c r="B7608" s="4" t="s">
        <v>9565</v>
      </c>
      <c r="C7608" s="5" t="str">
        <f>IFERROR(__xludf.DUMMYFUNCTION("GOOGLETRANSLATE(B7608,""en"",""it"")"),"Una persona si presenta su un palcoscenico che balla al buio con un cerchio di hula a LED.")</f>
        <v>Una persona si presenta su un palcoscenico che balla al buio con un cerchio di hula a LED.</v>
      </c>
    </row>
    <row r="7609">
      <c r="A7609" s="4" t="s">
        <v>9564</v>
      </c>
      <c r="B7609" s="4" t="s">
        <v>9566</v>
      </c>
      <c r="C7609" s="5" t="str">
        <f>IFERROR(__xludf.DUMMYFUNCTION("GOOGLETRANSLATE(B7609,""en"",""it"")"),"Mentre la persona balla le luci a LED sul cerchio hula iniziano a cambiare i colori.")</f>
        <v>Mentre la persona balla le luci a LED sul cerchio hula iniziano a cambiare i colori.</v>
      </c>
    </row>
    <row r="7610">
      <c r="A7610" s="4" t="s">
        <v>9564</v>
      </c>
      <c r="B7610" s="4" t="s">
        <v>9567</v>
      </c>
      <c r="C7610" s="5" t="str">
        <f>IFERROR(__xludf.DUMMYFUNCTION("GOOGLETRANSLATE(B7610,""en"",""it"")"),"I crediti di chiusura vengono visualizzati sullo schermo mentre il video termina.")</f>
        <v>I crediti di chiusura vengono visualizzati sullo schermo mentre il video termina.</v>
      </c>
    </row>
    <row r="7611">
      <c r="A7611" s="4" t="s">
        <v>9568</v>
      </c>
      <c r="B7611" s="4" t="s">
        <v>9569</v>
      </c>
      <c r="C7611" s="5" t="str">
        <f>IFERROR(__xludf.DUMMYFUNCTION("GOOGLETRANSLATE(B7611,""en"",""it"")"),"I bambini giocano nel parco giochi nel terreno della scuola.")</f>
        <v>I bambini giocano nel parco giochi nel terreno della scuola.</v>
      </c>
    </row>
    <row r="7612">
      <c r="A7612" s="4" t="s">
        <v>9568</v>
      </c>
      <c r="B7612" s="4" t="s">
        <v>9570</v>
      </c>
      <c r="C7612" s="5" t="str">
        <f>IFERROR(__xludf.DUMMYFUNCTION("GOOGLETRANSLATE(B7612,""en"",""it"")"),"I bambini stanno oscillando nell'altalena su un lato.")</f>
        <v>I bambini stanno oscillando nell'altalena su un lato.</v>
      </c>
    </row>
    <row r="7613">
      <c r="A7613" s="4" t="s">
        <v>9568</v>
      </c>
      <c r="B7613" s="4" t="s">
        <v>9571</v>
      </c>
      <c r="C7613" s="5" t="str">
        <f>IFERROR(__xludf.DUMMYFUNCTION("GOOGLETRANSLATE(B7613,""en"",""it"")"),"Little Kid si trova sul bordo della diapositiva.")</f>
        <v>Little Kid si trova sul bordo della diapositiva.</v>
      </c>
    </row>
    <row r="7614">
      <c r="A7614" s="4" t="s">
        <v>9572</v>
      </c>
      <c r="B7614" s="6" t="s">
        <v>9573</v>
      </c>
      <c r="C7614" s="5" t="str">
        <f>IFERROR(__xludf.DUMMYFUNCTION("GOOGLETRANSLATE(B7614,""en"",""it"")"),"Uno chef vestito con un outfit di uno chef bianco sta dimostrando come affinare i coltelli da cucina usando uno strumento chiamato affiliatore di coltelli Rada.")</f>
        <v>Uno chef vestito con un outfit di uno chef bianco sta dimostrando come affinare i coltelli da cucina usando uno strumento chiamato affiliatore di coltelli Rada.</v>
      </c>
    </row>
    <row r="7615">
      <c r="A7615" s="4" t="s">
        <v>9572</v>
      </c>
      <c r="B7615" s="4" t="s">
        <v>9574</v>
      </c>
      <c r="C7615" s="5" t="str">
        <f>IFERROR(__xludf.DUMMYFUNCTION("GOOGLETRANSLATE(B7615,""en"",""it"")"),"È in piedi in una cucina davanti al bancone che ha una varietà di verdure crude.")</f>
        <v>È in piedi in una cucina davanti al bancone che ha una varietà di verdure crude.</v>
      </c>
    </row>
    <row r="7616">
      <c r="A7616" s="4" t="s">
        <v>9572</v>
      </c>
      <c r="B7616" s="4" t="s">
        <v>9575</v>
      </c>
      <c r="C7616" s="5" t="str">
        <f>IFERROR(__xludf.DUMMYFUNCTION("GOOGLETRANSLATE(B7616,""en"",""it"")"),"Mette un tovagliolo da cucina sul bancone e poi posiziona il coltello sopra.")</f>
        <v>Mette un tovagliolo da cucina sul bancone e poi posiziona il coltello sopra.</v>
      </c>
    </row>
    <row r="7617">
      <c r="A7617" s="4" t="s">
        <v>9572</v>
      </c>
      <c r="B7617" s="6" t="s">
        <v>9576</v>
      </c>
      <c r="C7617" s="5" t="str">
        <f>IFERROR(__xludf.DUMMYFUNCTION("GOOGLETRANSLATE(B7617,""en"",""it"")"),"Dimostra quindi come usare lo strumento di affinamento di Rada per affinare il coltello da cucina correndo avanti e indietro con un movimento delicato e costante.")</f>
        <v>Dimostra quindi come usare lo strumento di affinamento di Rada per affinare il coltello da cucina correndo avanti e indietro con un movimento delicato e costante.</v>
      </c>
    </row>
    <row r="7618">
      <c r="A7618" s="4" t="s">
        <v>9577</v>
      </c>
      <c r="B7618" s="4" t="s">
        <v>9578</v>
      </c>
      <c r="C7618" s="5" t="str">
        <f>IFERROR(__xludf.DUMMYFUNCTION("GOOGLETRANSLATE(B7618,""en"",""it"")"),"Un ragazzo si alza in piedi.")</f>
        <v>Un ragazzo si alza in piedi.</v>
      </c>
    </row>
    <row r="7619">
      <c r="A7619" s="4" t="s">
        <v>9577</v>
      </c>
      <c r="B7619" s="4" t="s">
        <v>9579</v>
      </c>
      <c r="C7619" s="5" t="str">
        <f>IFERROR(__xludf.DUMMYFUNCTION("GOOGLETRANSLATE(B7619,""en"",""it"")"),"Il ragazzo cammina su una corda stretta.")</f>
        <v>Il ragazzo cammina su una corda stretta.</v>
      </c>
    </row>
    <row r="7620">
      <c r="A7620" s="4" t="s">
        <v>9577</v>
      </c>
      <c r="B7620" s="4" t="s">
        <v>9580</v>
      </c>
      <c r="C7620" s="5" t="str">
        <f>IFERROR(__xludf.DUMMYFUNCTION("GOOGLETRANSLATE(B7620,""en"",""it"")"),"Il ragazzo si gira per tornare indietro.")</f>
        <v>Il ragazzo si gira per tornare indietro.</v>
      </c>
    </row>
    <row r="7621">
      <c r="A7621" s="4" t="s">
        <v>9577</v>
      </c>
      <c r="B7621" s="4" t="s">
        <v>9581</v>
      </c>
      <c r="C7621" s="5" t="str">
        <f>IFERROR(__xludf.DUMMYFUNCTION("GOOGLETRANSLATE(B7621,""en"",""it"")"),"Il ragazzo cammina all'indietro sulla corda stretta.")</f>
        <v>Il ragazzo cammina all'indietro sulla corda stretta.</v>
      </c>
    </row>
    <row r="7622">
      <c r="A7622" s="4" t="s">
        <v>9577</v>
      </c>
      <c r="B7622" s="4" t="s">
        <v>9582</v>
      </c>
      <c r="C7622" s="5" t="str">
        <f>IFERROR(__xludf.DUMMYFUNCTION("GOOGLETRANSLATE(B7622,""en"",""it"")"),"Il ragazzo scende la corda stretta e sorride.")</f>
        <v>Il ragazzo scende la corda stretta e sorride.</v>
      </c>
    </row>
    <row r="7623">
      <c r="A7623" s="4" t="s">
        <v>9583</v>
      </c>
      <c r="B7623" s="6" t="s">
        <v>9584</v>
      </c>
      <c r="C7623" s="5" t="str">
        <f>IFERROR(__xludf.DUMMYFUNCTION("GOOGLETRANSLATE(B7623,""en"",""it"")"),"Viene visto un uomo parlare alla telecamera e conduce a vari ingredienti iniziano a mostrare una persona che taglia il formaggio.")</f>
        <v>Viene visto un uomo parlare alla telecamera e conduce a vari ingredienti iniziano a mostrare una persona che taglia il formaggio.</v>
      </c>
    </row>
    <row r="7624">
      <c r="A7624" s="4" t="s">
        <v>9583</v>
      </c>
      <c r="B7624" s="4" t="s">
        <v>9585</v>
      </c>
      <c r="C7624" s="5" t="str">
        <f>IFERROR(__xludf.DUMMYFUNCTION("GOOGLETRANSLATE(B7624,""en"",""it"")"),"La persona mescola gli ingredienti insieme e li pone a fette di pane per creare un panino.")</f>
        <v>La persona mescola gli ingredienti insieme e li pone a fette di pane per creare un panino.</v>
      </c>
    </row>
    <row r="7625">
      <c r="A7625" s="4" t="s">
        <v>9583</v>
      </c>
      <c r="B7625" s="4" t="s">
        <v>9586</v>
      </c>
      <c r="C7625" s="5" t="str">
        <f>IFERROR(__xludf.DUMMYFUNCTION("GOOGLETRANSLATE(B7625,""en"",""it"")"),"La persona preme il cibo in un presser e dopo prende un grosso morso.")</f>
        <v>La persona preme il cibo in un presser e dopo prende un grosso morso.</v>
      </c>
    </row>
    <row r="7626">
      <c r="A7626" s="4" t="s">
        <v>9587</v>
      </c>
      <c r="B7626" s="4" t="s">
        <v>9588</v>
      </c>
      <c r="C7626" s="5" t="str">
        <f>IFERROR(__xludf.DUMMYFUNCTION("GOOGLETRANSLATE(B7626,""en"",""it"")"),"Un uomo più anziano è seduto in un tubo mentre una donna più anziana si arrampica sul retro.")</f>
        <v>Un uomo più anziano è seduto in un tubo mentre una donna più anziana si arrampica sul retro.</v>
      </c>
    </row>
    <row r="7627">
      <c r="A7627" s="4" t="s">
        <v>9587</v>
      </c>
      <c r="B7627" s="4" t="s">
        <v>9589</v>
      </c>
      <c r="C7627" s="5" t="str">
        <f>IFERROR(__xludf.DUMMYFUNCTION("GOOGLETRANSLATE(B7627,""en"",""it"")"),"L'uomo nel tubo indossa Skiis e alla fine cavalca dietro la barca con la donna in cima.")</f>
        <v>L'uomo nel tubo indossa Skiis e alla fine cavalca dietro la barca con la donna in cima.</v>
      </c>
    </row>
    <row r="7628">
      <c r="A7628" s="4" t="s">
        <v>9587</v>
      </c>
      <c r="B7628" s="6" t="s">
        <v>9590</v>
      </c>
      <c r="C7628" s="5" t="str">
        <f>IFERROR(__xludf.DUMMYFUNCTION("GOOGLETRANSLATE(B7628,""en"",""it"")"),"La coppia continua a cavalcare uno sopra l'altro sugli sci mentre la fotocamera si zoomi dentro e fuori per catturare il movimento.")</f>
        <v>La coppia continua a cavalcare uno sopra l'altro sugli sci mentre la fotocamera si zoomi dentro e fuori per catturare il movimento.</v>
      </c>
    </row>
    <row r="7629">
      <c r="A7629" s="4" t="s">
        <v>9591</v>
      </c>
      <c r="B7629" s="4" t="s">
        <v>9592</v>
      </c>
      <c r="C7629" s="5" t="str">
        <f>IFERROR(__xludf.DUMMYFUNCTION("GOOGLETRANSLATE(B7629,""en"",""it"")"),"Una donna si trova in cucina, fissando la telecamera.")</f>
        <v>Una donna si trova in cucina, fissando la telecamera.</v>
      </c>
    </row>
    <row r="7630">
      <c r="A7630" s="4" t="s">
        <v>9591</v>
      </c>
      <c r="B7630" s="4" t="s">
        <v>9593</v>
      </c>
      <c r="C7630" s="5" t="str">
        <f>IFERROR(__xludf.DUMMYFUNCTION("GOOGLETRANSLATE(B7630,""en"",""it"")"),"La persona apre un forno e tira fuori un vassoio di biscotti al cioccolato.")</f>
        <v>La persona apre un forno e tira fuori un vassoio di biscotti al cioccolato.</v>
      </c>
    </row>
    <row r="7631">
      <c r="A7631" s="4" t="s">
        <v>9591</v>
      </c>
      <c r="B7631" s="4" t="s">
        <v>9594</v>
      </c>
      <c r="C7631" s="5" t="str">
        <f>IFERROR(__xludf.DUMMYFUNCTION("GOOGLETRANSLATE(B7631,""en"",""it"")"),"La donna fissa i biscotti e viene controllato un secondo lotto.")</f>
        <v>La donna fissa i biscotti e viene controllato un secondo lotto.</v>
      </c>
    </row>
    <row r="7632">
      <c r="A7632" s="4" t="s">
        <v>9591</v>
      </c>
      <c r="B7632" s="4" t="s">
        <v>9595</v>
      </c>
      <c r="C7632" s="5" t="str">
        <f>IFERROR(__xludf.DUMMYFUNCTION("GOOGLETRANSLATE(B7632,""en"",""it"")"),"La donna raccoglie i biscotti dal vassoio, allentandoli.")</f>
        <v>La donna raccoglie i biscotti dal vassoio, allentandoli.</v>
      </c>
    </row>
    <row r="7633">
      <c r="A7633" s="4" t="s">
        <v>9596</v>
      </c>
      <c r="B7633" s="4" t="s">
        <v>9597</v>
      </c>
      <c r="C7633" s="5" t="str">
        <f>IFERROR(__xludf.DUMMYFUNCTION("GOOGLETRANSLATE(B7633,""en"",""it"")"),"Un bambino sorride vicino alla telecamera.")</f>
        <v>Un bambino sorride vicino alla telecamera.</v>
      </c>
    </row>
    <row r="7634">
      <c r="A7634" s="4" t="s">
        <v>9596</v>
      </c>
      <c r="B7634" s="4" t="s">
        <v>9598</v>
      </c>
      <c r="C7634" s="5" t="str">
        <f>IFERROR(__xludf.DUMMYFUNCTION("GOOGLETRANSLATE(B7634,""en"",""it"")"),"Usa una chiave per rimuovere i bulloni dalle gomme da bici per bambini.")</f>
        <v>Usa una chiave per rimuovere i bulloni dalle gomme da bici per bambini.</v>
      </c>
    </row>
    <row r="7635">
      <c r="A7635" s="4" t="s">
        <v>9596</v>
      </c>
      <c r="B7635" s="4" t="s">
        <v>9599</v>
      </c>
      <c r="C7635" s="5" t="str">
        <f>IFERROR(__xludf.DUMMYFUNCTION("GOOGLETRANSLATE(B7635,""en"",""it"")"),"Quando ha finito, ride ad alta voce.")</f>
        <v>Quando ha finito, ride ad alta voce.</v>
      </c>
    </row>
    <row r="7636">
      <c r="A7636" s="4" t="s">
        <v>9600</v>
      </c>
      <c r="B7636" s="4" t="s">
        <v>9601</v>
      </c>
      <c r="C7636" s="5" t="str">
        <f>IFERROR(__xludf.DUMMYFUNCTION("GOOGLETRANSLATE(B7636,""en"",""it"")"),"Un uomo e una donna vestiti sul palco in attesa di iniziare la loro esibizione.")</f>
        <v>Un uomo e una donna vestiti sul palco in attesa di iniziare la loro esibizione.</v>
      </c>
    </row>
    <row r="7637">
      <c r="A7637" s="4" t="s">
        <v>9600</v>
      </c>
      <c r="B7637" s="4" t="s">
        <v>9602</v>
      </c>
      <c r="C7637" s="5" t="str">
        <f>IFERROR(__xludf.DUMMYFUNCTION("GOOGLETRANSLATE(B7637,""en"",""it"")"),"La performance inizia e inizia a ballare in modo molto bello.")</f>
        <v>La performance inizia e inizia a ballare in modo molto bello.</v>
      </c>
    </row>
    <row r="7638">
      <c r="A7638" s="4" t="s">
        <v>9600</v>
      </c>
      <c r="B7638" s="4" t="s">
        <v>9603</v>
      </c>
      <c r="C7638" s="5" t="str">
        <f>IFERROR(__xludf.DUMMYFUNCTION("GOOGLETRANSLATE(B7638,""en"",""it"")"),"Lavorano molto bene insieme, la prende sulle spalle.")</f>
        <v>Lavorano molto bene insieme, la prende sulle spalle.</v>
      </c>
    </row>
    <row r="7639">
      <c r="A7639" s="4" t="s">
        <v>9600</v>
      </c>
      <c r="B7639" s="4" t="s">
        <v>9604</v>
      </c>
      <c r="C7639" s="5" t="str">
        <f>IFERROR(__xludf.DUMMYFUNCTION("GOOGLETRANSLATE(B7639,""en"",""it"")"),"Usano la sedia come sostegno e ballano fino al momento di fermarsi e poi si abbracciano.")</f>
        <v>Usano la sedia come sostegno e ballano fino al momento di fermarsi e poi si abbracciano.</v>
      </c>
    </row>
    <row r="7640">
      <c r="A7640" s="4" t="s">
        <v>9605</v>
      </c>
      <c r="B7640" s="4" t="s">
        <v>1251</v>
      </c>
      <c r="C7640" s="5" t="str">
        <f>IFERROR(__xludf.DUMMYFUNCTION("GOOGLETRANSLATE(B7640,""en"",""it"")"),"Vengono visualizzati i crediti della clip.")</f>
        <v>Vengono visualizzati i crediti della clip.</v>
      </c>
    </row>
    <row r="7641">
      <c r="A7641" s="4" t="s">
        <v>9605</v>
      </c>
      <c r="B7641" s="4" t="s">
        <v>9606</v>
      </c>
      <c r="C7641" s="5" t="str">
        <f>IFERROR(__xludf.DUMMYFUNCTION("GOOGLETRANSLATE(B7641,""en"",""it"")"),"Una femmina atleta batte le mani.")</f>
        <v>Una femmina atleta batte le mani.</v>
      </c>
    </row>
    <row r="7642">
      <c r="A7642" s="4" t="s">
        <v>9605</v>
      </c>
      <c r="B7642" s="4" t="s">
        <v>9607</v>
      </c>
      <c r="C7642" s="5" t="str">
        <f>IFERROR(__xludf.DUMMYFUNCTION("GOOGLETRANSLATE(B7642,""en"",""it"")"),"L'atleta femminile corre e eleva il suo corpo su un aumento dell'ostacolo.")</f>
        <v>L'atleta femminile corre e eleva il suo corpo su un aumento dell'ostacolo.</v>
      </c>
    </row>
    <row r="7643">
      <c r="A7643" s="4" t="s">
        <v>9605</v>
      </c>
      <c r="B7643" s="4" t="s">
        <v>9608</v>
      </c>
      <c r="C7643" s="5" t="str">
        <f>IFERROR(__xludf.DUMMYFUNCTION("GOOGLETRANSLATE(B7643,""en"",""it"")"),"L'atleta femminile si alza e urla di gioia.")</f>
        <v>L'atleta femminile si alza e urla di gioia.</v>
      </c>
    </row>
    <row r="7644">
      <c r="A7644" s="4" t="s">
        <v>9605</v>
      </c>
      <c r="B7644" s="4" t="s">
        <v>9609</v>
      </c>
      <c r="C7644" s="5" t="str">
        <f>IFERROR(__xludf.DUMMYFUNCTION("GOOGLETRANSLATE(B7644,""en"",""it"")"),"La femmina atleta balla e gira.")</f>
        <v>La femmina atleta balla e gira.</v>
      </c>
    </row>
    <row r="7645">
      <c r="A7645" s="4" t="s">
        <v>9605</v>
      </c>
      <c r="B7645" s="4" t="s">
        <v>9610</v>
      </c>
      <c r="C7645" s="5" t="str">
        <f>IFERROR(__xludf.DUMMYFUNCTION("GOOGLETRANSLATE(B7645,""en"",""it"")"),"La femmina di atleta si allontana.")</f>
        <v>La femmina di atleta si allontana.</v>
      </c>
    </row>
    <row r="7646">
      <c r="A7646" s="4" t="s">
        <v>9605</v>
      </c>
      <c r="B7646" s="4" t="s">
        <v>573</v>
      </c>
      <c r="C7646" s="5" t="str">
        <f>IFERROR(__xludf.DUMMYFUNCTION("GOOGLETRANSLATE(B7646,""en"",""it"")"),"Vengono visualizzati i crediti del video.")</f>
        <v>Vengono visualizzati i crediti del video.</v>
      </c>
    </row>
    <row r="7647">
      <c r="A7647" s="4" t="s">
        <v>9611</v>
      </c>
      <c r="B7647" s="4" t="s">
        <v>9612</v>
      </c>
      <c r="C7647" s="5" t="str">
        <f>IFERROR(__xludf.DUMMYFUNCTION("GOOGLETRANSLATE(B7647,""en"",""it"")"),"Un percorso interno è fatto una volta con la fotocamera in un magazzino.")</f>
        <v>Un percorso interno è fatto una volta con la fotocamera in un magazzino.</v>
      </c>
    </row>
    <row r="7648">
      <c r="A7648" s="4" t="s">
        <v>9611</v>
      </c>
      <c r="B7648" s="4" t="s">
        <v>9613</v>
      </c>
      <c r="C7648" s="5" t="str">
        <f>IFERROR(__xludf.DUMMYFUNCTION("GOOGLETRANSLATE(B7648,""en"",""it"")"),"Un atleta corre lungo una pista e salto di palo su una barra alta e su una pad di atterraggio imbottita.")</f>
        <v>Un atleta corre lungo una pista e salto di palo su una barra alta e su una pad di atterraggio imbottita.</v>
      </c>
    </row>
    <row r="7649">
      <c r="A7649" s="4" t="s">
        <v>9611</v>
      </c>
      <c r="B7649" s="4" t="s">
        <v>9614</v>
      </c>
      <c r="C7649" s="5" t="str">
        <f>IFERROR(__xludf.DUMMYFUNCTION("GOOGLETRANSLATE(B7649,""en"",""it"")"),"Il palo Vaulter discute degli eventi e mette giù alcune piscine di legno prima dell'uso.")</f>
        <v>Il palo Vaulter discute degli eventi e mette giù alcune piscine di legno prima dell'uso.</v>
      </c>
    </row>
    <row r="7650">
      <c r="A7650" s="4" t="s">
        <v>9611</v>
      </c>
      <c r="B7650" s="4" t="s">
        <v>9615</v>
      </c>
      <c r="C7650" s="5" t="str">
        <f>IFERROR(__xludf.DUMMYFUNCTION("GOOGLETRANSLATE(B7650,""en"",""it"")"),"L'atleta discute di più ed è visto sugli schermi televisivi che fanno precedenti volte a palo.")</f>
        <v>L'atleta discute di più ed è visto sugli schermi televisivi che fanno precedenti volte a palo.</v>
      </c>
    </row>
    <row r="7651">
      <c r="A7651" s="4" t="s">
        <v>9611</v>
      </c>
      <c r="B7651" s="4" t="s">
        <v>9616</v>
      </c>
      <c r="C7651" s="5" t="str">
        <f>IFERROR(__xludf.DUMMYFUNCTION("GOOGLETRANSLATE(B7651,""en"",""it"")"),"L'atleta si siede con un allenatore e guarda uno schermo TV.")</f>
        <v>L'atleta si siede con un allenatore e guarda uno schermo TV.</v>
      </c>
    </row>
    <row r="7652">
      <c r="A7652" s="4" t="s">
        <v>9611</v>
      </c>
      <c r="B7652" s="4" t="s">
        <v>9617</v>
      </c>
      <c r="C7652" s="5" t="str">
        <f>IFERROR(__xludf.DUMMYFUNCTION("GOOGLETRANSLATE(B7652,""en"",""it"")"),"L'atleta si erge e parla in pista e fa una corsa di riscaldamento saltando sui tappetini.")</f>
        <v>L'atleta si erge e parla in pista e fa una corsa di riscaldamento saltando sui tappetini.</v>
      </c>
    </row>
    <row r="7653">
      <c r="A7653" s="4" t="s">
        <v>9611</v>
      </c>
      <c r="B7653" s="4" t="s">
        <v>9618</v>
      </c>
      <c r="C7653" s="5" t="str">
        <f>IFERROR(__xludf.DUMMYFUNCTION("GOOGLETRANSLATE(B7653,""en"",""it"")"),"L'atleta si trova su un tappetino accanto a un'atleta e si estende.")</f>
        <v>L'atleta si trova su un tappetino accanto a un'atleta e si estende.</v>
      </c>
    </row>
    <row r="7654">
      <c r="A7654" s="4" t="s">
        <v>9611</v>
      </c>
      <c r="B7654" s="4" t="s">
        <v>9619</v>
      </c>
      <c r="C7654" s="5" t="str">
        <f>IFERROR(__xludf.DUMMYFUNCTION("GOOGLETRANSLATE(B7654,""en"",""it"")"),"L'atleta esegue più volte pole durante le prove sul tappetino.")</f>
        <v>L'atleta esegue più volte pole durante le prove sul tappetino.</v>
      </c>
    </row>
    <row r="7655">
      <c r="A7655" s="4" t="s">
        <v>9611</v>
      </c>
      <c r="B7655" s="4" t="s">
        <v>9620</v>
      </c>
      <c r="C7655" s="5" t="str">
        <f>IFERROR(__xludf.DUMMYFUNCTION("GOOGLETRANSLATE(B7655,""en"",""it"")"),"L'esterno del magazzino è visto in un ambiente di città.")</f>
        <v>L'esterno del magazzino è visto in un ambiente di città.</v>
      </c>
    </row>
    <row r="7656">
      <c r="A7656" s="4" t="s">
        <v>9621</v>
      </c>
      <c r="B7656" s="4" t="s">
        <v>9622</v>
      </c>
      <c r="C7656" s="5" t="str">
        <f>IFERROR(__xludf.DUMMYFUNCTION("GOOGLETRANSLATE(B7656,""en"",""it"")"),"Un primo piano di un gatto è visto seduto in grembo a una persona.")</f>
        <v>Un primo piano di un gatto è visto seduto in grembo a una persona.</v>
      </c>
    </row>
    <row r="7657">
      <c r="A7657" s="4" t="s">
        <v>9621</v>
      </c>
      <c r="B7657" s="4" t="s">
        <v>9623</v>
      </c>
      <c r="C7657" s="5" t="str">
        <f>IFERROR(__xludf.DUMMYFUNCTION("GOOGLETRANSLATE(B7657,""en"",""it"")"),"La persona quindi afferra un paio di ritagli e inizia a tagliare le unghie del gatto.")</f>
        <v>La persona quindi afferra un paio di ritagli e inizia a tagliare le unghie del gatto.</v>
      </c>
    </row>
    <row r="7658">
      <c r="A7658" s="4" t="s">
        <v>9621</v>
      </c>
      <c r="B7658" s="4" t="s">
        <v>9624</v>
      </c>
      <c r="C7658" s="5" t="str">
        <f>IFERROR(__xludf.DUMMYFUNCTION("GOOGLETRANSLATE(B7658,""en"",""it"")"),"Continua a tagliare le unghie e mostra le zampe di gatto alla fine.")</f>
        <v>Continua a tagliare le unghie e mostra le zampe di gatto alla fine.</v>
      </c>
    </row>
    <row r="7659">
      <c r="A7659" s="4" t="s">
        <v>9625</v>
      </c>
      <c r="B7659" s="4" t="s">
        <v>9626</v>
      </c>
      <c r="C7659" s="5" t="str">
        <f>IFERROR(__xludf.DUMMYFUNCTION("GOOGLETRANSLATE(B7659,""en"",""it"")"),"Un'auto d'argento è parcheggiata in strada.")</f>
        <v>Un'auto d'argento è parcheggiata in strada.</v>
      </c>
    </row>
    <row r="7660">
      <c r="A7660" s="4" t="s">
        <v>9625</v>
      </c>
      <c r="B7660" s="4" t="s">
        <v>9627</v>
      </c>
      <c r="C7660" s="5" t="str">
        <f>IFERROR(__xludf.DUMMYFUNCTION("GOOGLETRANSLATE(B7660,""en"",""it"")"),"Un uomo di potere lava la macchina per strada.")</f>
        <v>Un uomo di potere lava la macchina per strada.</v>
      </c>
    </row>
    <row r="7661">
      <c r="A7661" s="4" t="s">
        <v>9625</v>
      </c>
      <c r="B7661" s="4" t="s">
        <v>9628</v>
      </c>
      <c r="C7661" s="5" t="str">
        <f>IFERROR(__xludf.DUMMYFUNCTION("GOOGLETRANSLATE(B7661,""en"",""it"")"),"Quindi lo asciuga.")</f>
        <v>Quindi lo asciuga.</v>
      </c>
    </row>
    <row r="7662">
      <c r="A7662" s="4" t="s">
        <v>9625</v>
      </c>
      <c r="B7662" s="4" t="s">
        <v>9629</v>
      </c>
      <c r="C7662" s="5" t="str">
        <f>IFERROR(__xludf.DUMMYFUNCTION("GOOGLETRANSLATE(B7662,""en"",""it"")"),"L'auto ora è completamente pulita.")</f>
        <v>L'auto ora è completamente pulita.</v>
      </c>
    </row>
    <row r="7663">
      <c r="A7663" s="4" t="s">
        <v>9630</v>
      </c>
      <c r="B7663" s="4" t="s">
        <v>9631</v>
      </c>
      <c r="C7663" s="5" t="str">
        <f>IFERROR(__xludf.DUMMYFUNCTION("GOOGLETRANSLATE(B7663,""en"",""it"")"),"Una donna parla alla telecamera in un ambiente di strada mentre passano pedoni e auto.")</f>
        <v>Una donna parla alla telecamera in un ambiente di strada mentre passano pedoni e auto.</v>
      </c>
    </row>
    <row r="7664">
      <c r="A7664" s="4" t="s">
        <v>9630</v>
      </c>
      <c r="B7664" s="4" t="s">
        <v>9632</v>
      </c>
      <c r="C7664" s="5" t="str">
        <f>IFERROR(__xludf.DUMMYFUNCTION("GOOGLETRANSLATE(B7664,""en"",""it"")"),"La donna sbircia da dietro un muro.")</f>
        <v>La donna sbircia da dietro un muro.</v>
      </c>
    </row>
    <row r="7665">
      <c r="A7665" s="4" t="s">
        <v>9630</v>
      </c>
      <c r="B7665" s="4" t="s">
        <v>9633</v>
      </c>
      <c r="C7665" s="5" t="str">
        <f>IFERROR(__xludf.DUMMYFUNCTION("GOOGLETRANSLATE(B7665,""en"",""it"")"),"La donna guarda uno schermo per laptop con un uomo.")</f>
        <v>La donna guarda uno schermo per laptop con un uomo.</v>
      </c>
    </row>
    <row r="7666">
      <c r="A7666" s="4" t="s">
        <v>9630</v>
      </c>
      <c r="B7666" s="6" t="s">
        <v>9634</v>
      </c>
      <c r="C7666" s="5" t="str">
        <f>IFERROR(__xludf.DUMMYFUNCTION("GOOGLETRANSLATE(B7666,""en"",""it"")"),"L'uomo applica uno schema del tatuaggio al braccio superiore della donna, con il video a volte che passa in tempo accelerato.")</f>
        <v>L'uomo applica uno schema del tatuaggio al braccio superiore della donna, con il video a volte che passa in tempo accelerato.</v>
      </c>
    </row>
    <row r="7667">
      <c r="A7667" s="4" t="s">
        <v>9630</v>
      </c>
      <c r="B7667" s="4" t="s">
        <v>9635</v>
      </c>
      <c r="C7667" s="5" t="str">
        <f>IFERROR(__xludf.DUMMYFUNCTION("GOOGLETRANSLATE(B7667,""en"",""it"")"),"La donna mostra il tatuaggio completato mentre parla alla telecamera.")</f>
        <v>La donna mostra il tatuaggio completato mentre parla alla telecamera.</v>
      </c>
    </row>
    <row r="7668">
      <c r="A7668" s="4" t="s">
        <v>9636</v>
      </c>
      <c r="B7668" s="4" t="s">
        <v>9637</v>
      </c>
      <c r="C7668" s="5" t="str">
        <f>IFERROR(__xludf.DUMMYFUNCTION("GOOGLETRANSLATE(B7668,""en"",""it"")"),"Una vasta vista sull'oceano viene mostrata mentre un'onda si schianta.")</f>
        <v>Una vasta vista sull'oceano viene mostrata mentre un'onda si schianta.</v>
      </c>
    </row>
    <row r="7669">
      <c r="A7669" s="4" t="s">
        <v>9636</v>
      </c>
      <c r="B7669" s="4" t="s">
        <v>9638</v>
      </c>
      <c r="C7669" s="5" t="str">
        <f>IFERROR(__xludf.DUMMYFUNCTION("GOOGLETRANSLATE(B7669,""en"",""it"")"),"Questo si ripete da diversi angoli.")</f>
        <v>Questo si ripete da diversi angoli.</v>
      </c>
    </row>
    <row r="7670">
      <c r="A7670" s="4" t="s">
        <v>9636</v>
      </c>
      <c r="B7670" s="4" t="s">
        <v>9639</v>
      </c>
      <c r="C7670" s="5" t="str">
        <f>IFERROR(__xludf.DUMMYFUNCTION("GOOGLETRANSLATE(B7670,""en"",""it"")"),"Le persone vengono quindi mostrate navigare attraverso le onde.")</f>
        <v>Le persone vengono quindi mostrate navigare attraverso le onde.</v>
      </c>
    </row>
    <row r="7671">
      <c r="A7671" s="4" t="s">
        <v>9640</v>
      </c>
      <c r="B7671" s="4" t="s">
        <v>9641</v>
      </c>
      <c r="C7671" s="5" t="str">
        <f>IFERROR(__xludf.DUMMYFUNCTION("GOOGLETRANSLATE(B7671,""en"",""it"")"),"Un uomo è in piedi davanti a un tavolo.")</f>
        <v>Un uomo è in piedi davanti a un tavolo.</v>
      </c>
    </row>
    <row r="7672">
      <c r="A7672" s="4" t="s">
        <v>9640</v>
      </c>
      <c r="B7672" s="4" t="s">
        <v>9642</v>
      </c>
      <c r="C7672" s="5" t="str">
        <f>IFERROR(__xludf.DUMMYFUNCTION("GOOGLETRANSLATE(B7672,""en"",""it"")"),"Tiene in mano una patata e pelapatrice su una ciotola.")</f>
        <v>Tiene in mano una patata e pelapatrice su una ciotola.</v>
      </c>
    </row>
    <row r="7673">
      <c r="A7673" s="4" t="s">
        <v>9640</v>
      </c>
      <c r="B7673" s="4" t="s">
        <v>9643</v>
      </c>
      <c r="C7673" s="5" t="str">
        <f>IFERROR(__xludf.DUMMYFUNCTION("GOOGLETRANSLATE(B7673,""en"",""it"")"),"Si sbuccia la patata una striscia alla volta.")</f>
        <v>Si sbuccia la patata una striscia alla volta.</v>
      </c>
    </row>
    <row r="7674">
      <c r="A7674" s="4" t="s">
        <v>9644</v>
      </c>
      <c r="B7674" s="4" t="s">
        <v>9645</v>
      </c>
      <c r="C7674" s="5" t="str">
        <f>IFERROR(__xludf.DUMMYFUNCTION("GOOGLETRANSLATE(B7674,""en"",""it"")"),"Le auto vengono lavate in auto -lavaggio.")</f>
        <v>Le auto vengono lavate in auto -lavaggio.</v>
      </c>
    </row>
    <row r="7675">
      <c r="A7675" s="4" t="s">
        <v>9644</v>
      </c>
      <c r="B7675" s="4" t="s">
        <v>9646</v>
      </c>
      <c r="C7675" s="5" t="str">
        <f>IFERROR(__xludf.DUMMYFUNCTION("GOOGLETRANSLATE(B7675,""en"",""it"")"),"Viene mostrata una sala giochi nell'autolavaggio.")</f>
        <v>Viene mostrata una sala giochi nell'autolavaggio.</v>
      </c>
    </row>
    <row r="7676">
      <c r="A7676" s="4" t="s">
        <v>9644</v>
      </c>
      <c r="B7676" s="4" t="s">
        <v>9647</v>
      </c>
      <c r="C7676" s="5" t="str">
        <f>IFERROR(__xludf.DUMMYFUNCTION("GOOGLETRANSLATE(B7676,""en"",""it"")"),"Viene mostrato l'esterno dell'edificio per autolavaggio.")</f>
        <v>Viene mostrato l'esterno dell'edificio per autolavaggio.</v>
      </c>
    </row>
    <row r="7677">
      <c r="A7677" s="4" t="s">
        <v>9648</v>
      </c>
      <c r="B7677" s="4" t="s">
        <v>9649</v>
      </c>
      <c r="C7677" s="5" t="str">
        <f>IFERROR(__xludf.DUMMYFUNCTION("GOOGLETRANSLATE(B7677,""en"",""it"")"),"Un'introduzione mostra i prodotti del video.")</f>
        <v>Un'introduzione mostra i prodotti del video.</v>
      </c>
    </row>
    <row r="7678">
      <c r="A7678" s="4" t="s">
        <v>9648</v>
      </c>
      <c r="B7678" s="4" t="s">
        <v>9650</v>
      </c>
      <c r="C7678" s="5" t="str">
        <f>IFERROR(__xludf.DUMMYFUNCTION("GOOGLETRANSLATE(B7678,""en"",""it"")"),"L'host mostra ogni prodotto e come aiutano a pulire una scarpa.")</f>
        <v>L'host mostra ogni prodotto e come aiutano a pulire una scarpa.</v>
      </c>
    </row>
    <row r="7679">
      <c r="A7679" s="4" t="s">
        <v>9648</v>
      </c>
      <c r="B7679" s="4" t="s">
        <v>9651</v>
      </c>
      <c r="C7679" s="5" t="str">
        <f>IFERROR(__xludf.DUMMYFUNCTION("GOOGLETRANSLATE(B7679,""en"",""it"")"),"Per prima cosa vediamo la sneaker pulita.")</f>
        <v>Per prima cosa vediamo la sneaker pulita.</v>
      </c>
    </row>
    <row r="7680">
      <c r="A7680" s="4" t="s">
        <v>9648</v>
      </c>
      <c r="B7680" s="4" t="s">
        <v>9652</v>
      </c>
      <c r="C7680" s="5" t="str">
        <f>IFERROR(__xludf.DUMMYFUNCTION("GOOGLETRANSLATE(B7680,""en"",""it"")"),"Una scarpa da basket viene pulita dopo.")</f>
        <v>Una scarpa da basket viene pulita dopo.</v>
      </c>
    </row>
    <row r="7681">
      <c r="A7681" s="4" t="s">
        <v>9648</v>
      </c>
      <c r="B7681" s="4" t="s">
        <v>9653</v>
      </c>
      <c r="C7681" s="5" t="str">
        <f>IFERROR(__xludf.DUMMYFUNCTION("GOOGLETRANSLATE(B7681,""en"",""it"")"),"Alcuni annunci riproducono per chiudere il video.")</f>
        <v>Alcuni annunci riproducono per chiudere il video.</v>
      </c>
    </row>
    <row r="7682">
      <c r="A7682" s="4" t="s">
        <v>9654</v>
      </c>
      <c r="B7682" s="4" t="s">
        <v>9655</v>
      </c>
      <c r="C7682" s="5" t="str">
        <f>IFERROR(__xludf.DUMMYFUNCTION("GOOGLETRANSLATE(B7682,""en"",""it"")"),"Un paio di balli in abiti rossi su un palco per un vasto pubblico su un palco illuminato con illuminazione colorata.")</f>
        <v>Un paio di balli in abiti rossi su un palco per un vasto pubblico su un palco illuminato con illuminazione colorata.</v>
      </c>
    </row>
    <row r="7683">
      <c r="A7683" s="4" t="s">
        <v>9654</v>
      </c>
      <c r="B7683" s="4" t="s">
        <v>9656</v>
      </c>
      <c r="C7683" s="5" t="str">
        <f>IFERROR(__xludf.DUMMYFUNCTION("GOOGLETRANSLATE(B7683,""en"",""it"")"),"Un uomo e una donna si tengono appassionatamente l'un l'altro in piedi in un abbraccio.")</f>
        <v>Un uomo e una donna si tengono appassionatamente l'un l'altro in piedi in un abbraccio.</v>
      </c>
    </row>
    <row r="7684">
      <c r="A7684" s="4" t="s">
        <v>9654</v>
      </c>
      <c r="B7684" s="4" t="s">
        <v>9657</v>
      </c>
      <c r="C7684" s="5" t="str">
        <f>IFERROR(__xludf.DUMMYFUNCTION("GOOGLETRANSLATE(B7684,""en"",""it"")"),"L'uomo scende la sua compagna femminile che fa le divisioni alla fine della danza.")</f>
        <v>L'uomo scende la sua compagna femminile che fa le divisioni alla fine della danza.</v>
      </c>
    </row>
    <row r="7685">
      <c r="A7685" s="4" t="s">
        <v>9658</v>
      </c>
      <c r="B7685" s="4" t="s">
        <v>9659</v>
      </c>
      <c r="C7685" s="5" t="str">
        <f>IFERROR(__xludf.DUMMYFUNCTION("GOOGLETRANSLATE(B7685,""en"",""it"")"),"Una donna con i capelli lunghi dipinti su un grande pannello nel video temporale.")</f>
        <v>Una donna con i capelli lunghi dipinti su un grande pannello nel video temporale.</v>
      </c>
    </row>
    <row r="7686">
      <c r="A7686" s="4" t="s">
        <v>9658</v>
      </c>
      <c r="B7686" s="4" t="s">
        <v>9660</v>
      </c>
      <c r="C7686" s="5" t="str">
        <f>IFERROR(__xludf.DUMMYFUNCTION("GOOGLETRANSLATE(B7686,""en"",""it"")"),"La donna sta ancora dipingendo il pannello, ma ora con un cambio di abbigliamento.")</f>
        <v>La donna sta ancora dipingendo il pannello, ma ora con un cambio di abbigliamento.</v>
      </c>
    </row>
    <row r="7687">
      <c r="A7687" s="4" t="s">
        <v>9658</v>
      </c>
      <c r="B7687" s="4" t="s">
        <v>9661</v>
      </c>
      <c r="C7687" s="5" t="str">
        <f>IFERROR(__xludf.DUMMYFUNCTION("GOOGLETRANSLATE(B7687,""en"",""it"")"),"La donna sta ancora dipingendo il pannello, ma con un altro cambio di abbigliamento.")</f>
        <v>La donna sta ancora dipingendo il pannello, ma con un altro cambio di abbigliamento.</v>
      </c>
    </row>
    <row r="7688">
      <c r="A7688" s="4" t="s">
        <v>9658</v>
      </c>
      <c r="B7688" s="4" t="s">
        <v>9662</v>
      </c>
      <c r="C7688" s="5" t="str">
        <f>IFERROR(__xludf.DUMMYFUNCTION("GOOGLETRANSLATE(B7688,""en"",""it"")"),"La donna dipinge con un quarto set di vestiti.")</f>
        <v>La donna dipinge con un quarto set di vestiti.</v>
      </c>
    </row>
    <row r="7689">
      <c r="A7689" s="4" t="s">
        <v>9658</v>
      </c>
      <c r="B7689" s="4" t="s">
        <v>9663</v>
      </c>
      <c r="C7689" s="5" t="str">
        <f>IFERROR(__xludf.DUMMYFUNCTION("GOOGLETRANSLATE(B7689,""en"",""it"")"),"La donna continua a dipingere con un quinto set di vestiti.")</f>
        <v>La donna continua a dipingere con un quinto set di vestiti.</v>
      </c>
    </row>
    <row r="7690">
      <c r="A7690" s="4" t="s">
        <v>9658</v>
      </c>
      <c r="B7690" s="4" t="s">
        <v>9664</v>
      </c>
      <c r="C7690" s="5" t="str">
        <f>IFERROR(__xludf.DUMMYFUNCTION("GOOGLETRANSLATE(B7690,""en"",""it"")"),"La donna continua a dipingere con un sesto set di vestiti.")</f>
        <v>La donna continua a dipingere con un sesto set di vestiti.</v>
      </c>
    </row>
    <row r="7691">
      <c r="A7691" s="4" t="s">
        <v>9658</v>
      </c>
      <c r="B7691" s="4" t="s">
        <v>9665</v>
      </c>
      <c r="C7691" s="5" t="str">
        <f>IFERROR(__xludf.DUMMYFUNCTION("GOOGLETRANSLATE(B7691,""en"",""it"")"),"Viene mostrato un primo piano dell'immagine completata.")</f>
        <v>Viene mostrato un primo piano dell'immagine completata.</v>
      </c>
    </row>
    <row r="7692">
      <c r="A7692" s="4" t="s">
        <v>9666</v>
      </c>
      <c r="B7692" s="4" t="s">
        <v>9667</v>
      </c>
      <c r="C7692" s="5" t="str">
        <f>IFERROR(__xludf.DUMMYFUNCTION("GOOGLETRANSLATE(B7692,""en"",""it"")"),"Un logo ""Iaaf"" appare con le parole ""Long Jump Men"".")</f>
        <v>Un logo "Iaaf" appare con le parole "Long Jump Men".</v>
      </c>
    </row>
    <row r="7693">
      <c r="A7693" s="4" t="s">
        <v>9666</v>
      </c>
      <c r="B7693" s="4" t="s">
        <v>9668</v>
      </c>
      <c r="C7693" s="5" t="str">
        <f>IFERROR(__xludf.DUMMYFUNCTION("GOOGLETRANSLATE(B7693,""en"",""it"")"),"Diversi uomini corrono in pista ed eseguono un salto in lungo in un luogo sportivo professionale.")</f>
        <v>Diversi uomini corrono in pista ed eseguono un salto in lungo in un luogo sportivo professionale.</v>
      </c>
    </row>
    <row r="7694">
      <c r="A7694" s="4" t="s">
        <v>9666</v>
      </c>
      <c r="B7694" s="4" t="s">
        <v>9669</v>
      </c>
      <c r="C7694" s="5" t="str">
        <f>IFERROR(__xludf.DUMMYFUNCTION("GOOGLETRANSLATE(B7694,""en"",""it"")"),"Viene mostrato un grafico del tabellone per tutti i giocatori partecipanti.")</f>
        <v>Viene mostrato un grafico del tabellone per tutti i giocatori partecipanti.</v>
      </c>
    </row>
    <row r="7695">
      <c r="A7695" s="4" t="s">
        <v>9670</v>
      </c>
      <c r="B7695" s="4" t="s">
        <v>9671</v>
      </c>
      <c r="C7695" s="5" t="str">
        <f>IFERROR(__xludf.DUMMYFUNCTION("GOOGLETRANSLATE(B7695,""en"",""it"")"),"Le persone sono in piedi su un tappetino blu.")</f>
        <v>Le persone sono in piedi su un tappetino blu.</v>
      </c>
    </row>
    <row r="7696">
      <c r="A7696" s="4" t="s">
        <v>9670</v>
      </c>
      <c r="B7696" s="4" t="s">
        <v>9672</v>
      </c>
      <c r="C7696" s="5" t="str">
        <f>IFERROR(__xludf.DUMMYFUNCTION("GOOGLETRANSLATE(B7696,""en"",""it"")"),"Cominciano a fare una routine di cheerleader sul tappeto.")</f>
        <v>Cominciano a fare una routine di cheerleader sul tappeto.</v>
      </c>
    </row>
    <row r="7697">
      <c r="A7697" s="4" t="s">
        <v>9670</v>
      </c>
      <c r="B7697" s="4" t="s">
        <v>9673</v>
      </c>
      <c r="C7697" s="5" t="str">
        <f>IFERROR(__xludf.DUMMYFUNCTION("GOOGLETRANSLATE(B7697,""en"",""it"")"),"Sollevano i segni davanti al tappeto.")</f>
        <v>Sollevano i segni davanti al tappeto.</v>
      </c>
    </row>
    <row r="7698">
      <c r="A7698" s="4" t="s">
        <v>9674</v>
      </c>
      <c r="B7698" s="4" t="s">
        <v>9675</v>
      </c>
      <c r="C7698" s="5" t="str">
        <f>IFERROR(__xludf.DUMMYFUNCTION("GOOGLETRANSLATE(B7698,""en"",""it"")"),"Viene mostrato uno schermo nero e vengono mostrate varie parole bianche.")</f>
        <v>Viene mostrato uno schermo nero e vengono mostrate varie parole bianche.</v>
      </c>
    </row>
    <row r="7699">
      <c r="A7699" s="4" t="s">
        <v>9674</v>
      </c>
      <c r="B7699" s="4" t="s">
        <v>9676</v>
      </c>
      <c r="C7699" s="5" t="str">
        <f>IFERROR(__xludf.DUMMYFUNCTION("GOOGLETRANSLATE(B7699,""en"",""it"")"),"Dopo, un uomo caucasico viene mostrato suonare i tamburi e calpesta il piede.")</f>
        <v>Dopo, un uomo caucasico viene mostrato suonare i tamburi e calpesta il piede.</v>
      </c>
    </row>
    <row r="7700">
      <c r="A7700" s="4" t="s">
        <v>9677</v>
      </c>
      <c r="B7700" s="4" t="s">
        <v>9678</v>
      </c>
      <c r="C7700" s="5" t="str">
        <f>IFERROR(__xludf.DUMMYFUNCTION("GOOGLETRANSLATE(B7700,""en"",""it"")"),"Una pala rastrella lungo il terreno coperto di neve di un cortile.")</f>
        <v>Una pala rastrella lungo il terreno coperto di neve di un cortile.</v>
      </c>
    </row>
    <row r="7701">
      <c r="A7701" s="4" t="s">
        <v>9677</v>
      </c>
      <c r="B7701" s="4" t="s">
        <v>9679</v>
      </c>
      <c r="C7701" s="5" t="str">
        <f>IFERROR(__xludf.DUMMYFUNCTION("GOOGLETRANSLATE(B7701,""en"",""it"")"),"Solleva la neve in grandi quantità.")</f>
        <v>Solleva la neve in grandi quantità.</v>
      </c>
    </row>
    <row r="7702">
      <c r="A7702" s="4" t="s">
        <v>9677</v>
      </c>
      <c r="B7702" s="4" t="s">
        <v>9680</v>
      </c>
      <c r="C7702" s="5" t="str">
        <f>IFERROR(__xludf.DUMMYFUNCTION("GOOGLETRANSLATE(B7702,""en"",""it"")"),"Un uomo tira su la pala e la mette da parte.")</f>
        <v>Un uomo tira su la pala e la mette da parte.</v>
      </c>
    </row>
    <row r="7703">
      <c r="A7703" s="4" t="s">
        <v>9681</v>
      </c>
      <c r="B7703" s="4" t="s">
        <v>9682</v>
      </c>
      <c r="C7703" s="5" t="str">
        <f>IFERROR(__xludf.DUMMYFUNCTION("GOOGLETRANSLATE(B7703,""en"",""it"")"),"Vediamo uno schermo introduttivo blu.")</f>
        <v>Vediamo uno schermo introduttivo blu.</v>
      </c>
    </row>
    <row r="7704">
      <c r="A7704" s="4" t="s">
        <v>9681</v>
      </c>
      <c r="B7704" s="4" t="s">
        <v>9683</v>
      </c>
      <c r="C7704" s="5" t="str">
        <f>IFERROR(__xludf.DUMMYFUNCTION("GOOGLETRANSLATE(B7704,""en"",""it"")"),"Vediamo i bambini che cavalcano bici da terra.")</f>
        <v>Vediamo i bambini che cavalcano bici da terra.</v>
      </c>
    </row>
    <row r="7705">
      <c r="A7705" s="4" t="s">
        <v>9681</v>
      </c>
      <c r="B7705" s="4" t="s">
        <v>9684</v>
      </c>
      <c r="C7705" s="5" t="str">
        <f>IFERROR(__xludf.DUMMYFUNCTION("GOOGLETRANSLATE(B7705,""en"",""it"")"),"Vediamo un altro schermo del titolo e sono visti i ciclisti intermedi.")</f>
        <v>Vediamo un altro schermo del titolo e sono visti i ciclisti intermedi.</v>
      </c>
    </row>
    <row r="7706">
      <c r="A7706" s="4" t="s">
        <v>9681</v>
      </c>
      <c r="B7706" s="4" t="s">
        <v>9685</v>
      </c>
      <c r="C7706" s="5" t="str">
        <f>IFERROR(__xludf.DUMMYFUNCTION("GOOGLETRANSLATE(B7706,""en"",""it"")"),"Vediamo di nuovo lo schermo blu e vediamo gli esperti.")</f>
        <v>Vediamo di nuovo lo schermo blu e vediamo gli esperti.</v>
      </c>
    </row>
    <row r="7707">
      <c r="A7707" s="4" t="s">
        <v>9681</v>
      </c>
      <c r="B7707" s="4" t="s">
        <v>9686</v>
      </c>
      <c r="C7707" s="5" t="str">
        <f>IFERROR(__xludf.DUMMYFUNCTION("GOOGLETRANSLATE(B7707,""en"",""it"")"),"Viene mostrato un altro schermo del titolo e vediamo i titoli di coda.")</f>
        <v>Viene mostrato un altro schermo del titolo e vediamo i titoli di coda.</v>
      </c>
    </row>
    <row r="7708">
      <c r="A7708" s="4" t="s">
        <v>9687</v>
      </c>
      <c r="B7708" s="6" t="s">
        <v>9688</v>
      </c>
      <c r="C7708" s="5" t="str">
        <f>IFERROR(__xludf.DUMMYFUNCTION("GOOGLETRANSLATE(B7708,""en"",""it"")"),"Viene visualizzato uno schermo nero e appare un testo bianco dall'aspetto scritto a mano sullo schermo e dice ""Bart Rollin"".")</f>
        <v>Viene visualizzato uno schermo nero e appare un testo bianco dall'aspetto scritto a mano sullo schermo e dice "Bart Rollin".</v>
      </c>
    </row>
    <row r="7709">
      <c r="A7709" s="4" t="s">
        <v>9687</v>
      </c>
      <c r="B7709" s="6" t="s">
        <v>9689</v>
      </c>
      <c r="C7709" s="5" t="str">
        <f>IFERROR(__xludf.DUMMYFUNCTION("GOOGLETRANSLATE(B7709,""en"",""it"")"),"Un uomo è all'aperto in una città che pattina con e senza camicia in luoghi diversi, cadendo alcune volte e pattinando sia di giorno che di notte mentre le persone guardano in luoghi diversi, e talvolta è solo.")</f>
        <v>Un uomo è all'aperto in una città che pattina con e senza camicia in luoghi diversi, cadendo alcune volte e pattinando sia di giorno che di notte mentre le persone guardano in luoghi diversi, e talvolta è solo.</v>
      </c>
    </row>
    <row r="7710">
      <c r="A7710" s="4" t="s">
        <v>9687</v>
      </c>
      <c r="B7710" s="6" t="s">
        <v>9690</v>
      </c>
      <c r="C7710" s="5" t="str">
        <f>IFERROR(__xludf.DUMMYFUNCTION("GOOGLETRANSLATE(B7710,""en"",""it"")"),"Quando l'uomo ha finito di pattinare, appare l'outro e include uno screenshot di quello che sembra un dito insanguinato, uno schermo bianco con un maschio disegnato su di esso e le parole nere scorrono da un basso fino a quando non è solo lo schermo bianc"&amp;"o con il disegno maschio solo visibile.")</f>
        <v>Quando l'uomo ha finito di pattinare, appare l'outro e include uno screenshot di quello che sembra un dito insanguinato, uno schermo bianco con un maschio disegnato su di esso e le parole nere scorrono da un basso fino a quando non è solo lo schermo bianco con il disegno maschio solo visibile.</v>
      </c>
    </row>
    <row r="7711">
      <c r="A7711" s="4" t="s">
        <v>9691</v>
      </c>
      <c r="B7711" s="4" t="s">
        <v>9692</v>
      </c>
      <c r="C7711" s="5" t="str">
        <f>IFERROR(__xludf.DUMMYFUNCTION("GOOGLETRANSLATE(B7711,""en"",""it"")"),"Viene visto un uomo parlare alla telecamera e conduce a clip di lui che si arrampica lungo un muro.")</f>
        <v>Viene visto un uomo parlare alla telecamera e conduce a clip di lui che si arrampica lungo un muro.</v>
      </c>
    </row>
    <row r="7712">
      <c r="A7712" s="4" t="s">
        <v>9691</v>
      </c>
      <c r="B7712" s="4" t="s">
        <v>9693</v>
      </c>
      <c r="C7712" s="5" t="str">
        <f>IFERROR(__xludf.DUMMYFUNCTION("GOOGLETRANSLATE(B7712,""en"",""it"")"),"L'uomo continua a arrampicarsi lungo la parete di roccia e termina guardando indietro alla telecamera.")</f>
        <v>L'uomo continua a arrampicarsi lungo la parete di roccia e termina guardando indietro alla telecamera.</v>
      </c>
    </row>
    <row r="7713">
      <c r="A7713" s="4" t="s">
        <v>9694</v>
      </c>
      <c r="B7713" s="4" t="s">
        <v>9695</v>
      </c>
      <c r="C7713" s="5" t="str">
        <f>IFERROR(__xludf.DUMMYFUNCTION("GOOGLETRANSLATE(B7713,""en"",""it"")"),"Due ragazzi sono seduti in uno stand all'interno di un edificio.")</f>
        <v>Due ragazzi sono seduti in uno stand all'interno di un edificio.</v>
      </c>
    </row>
    <row r="7714">
      <c r="A7714" s="4" t="s">
        <v>9694</v>
      </c>
      <c r="B7714" s="4" t="s">
        <v>9696</v>
      </c>
      <c r="C7714" s="5" t="str">
        <f>IFERROR(__xludf.DUMMYFUNCTION("GOOGLETRANSLATE(B7714,""en"",""it"")"),"Stanno parlando di fare clip.")</f>
        <v>Stanno parlando di fare clip.</v>
      </c>
    </row>
    <row r="7715">
      <c r="A7715" s="4" t="s">
        <v>9694</v>
      </c>
      <c r="B7715" s="4" t="s">
        <v>9697</v>
      </c>
      <c r="C7715" s="5" t="str">
        <f>IFERROR(__xludf.DUMMYFUNCTION("GOOGLETRANSLATE(B7715,""en"",""it"")"),"Parlano quindi mentre mangiano ciotole di gelato alla vaniglia.")</f>
        <v>Parlano quindi mentre mangiano ciotole di gelato alla vaniglia.</v>
      </c>
    </row>
    <row r="7716">
      <c r="A7716" s="4" t="s">
        <v>9698</v>
      </c>
      <c r="B7716" s="4" t="s">
        <v>9699</v>
      </c>
      <c r="C7716" s="5" t="str">
        <f>IFERROR(__xludf.DUMMYFUNCTION("GOOGLETRANSLATE(B7716,""en"",""it"")"),"Una donna è seduta su una sedia.")</f>
        <v>Una donna è seduta su una sedia.</v>
      </c>
    </row>
    <row r="7717">
      <c r="A7717" s="4" t="s">
        <v>9698</v>
      </c>
      <c r="B7717" s="4" t="s">
        <v>9700</v>
      </c>
      <c r="C7717" s="5" t="str">
        <f>IFERROR(__xludf.DUMMYFUNCTION("GOOGLETRANSLATE(B7717,""en"",""it"")"),"Un ragazzo gli sta lavando i capelli lunghi.")</f>
        <v>Un ragazzo gli sta lavando i capelli lunghi.</v>
      </c>
    </row>
    <row r="7718">
      <c r="A7718" s="4" t="s">
        <v>9698</v>
      </c>
      <c r="B7718" s="4" t="s">
        <v>9701</v>
      </c>
      <c r="C7718" s="5" t="str">
        <f>IFERROR(__xludf.DUMMYFUNCTION("GOOGLETRANSLATE(B7718,""en"",""it"")"),"Ride e copre la bocca con la mano.")</f>
        <v>Ride e copre la bocca con la mano.</v>
      </c>
    </row>
    <row r="7719">
      <c r="A7719" s="4" t="s">
        <v>9702</v>
      </c>
      <c r="B7719" s="4" t="s">
        <v>9703</v>
      </c>
      <c r="C7719" s="5" t="str">
        <f>IFERROR(__xludf.DUMMYFUNCTION("GOOGLETRANSLATE(B7719,""en"",""it"")"),"Il video inizia con un bambino in un casco da motocicletta, in un ristorante.")</f>
        <v>Il video inizia con un bambino in un casco da motocicletta, in un ristorante.</v>
      </c>
    </row>
    <row r="7720">
      <c r="A7720" s="4" t="s">
        <v>9702</v>
      </c>
      <c r="B7720" s="4" t="s">
        <v>9704</v>
      </c>
      <c r="C7720" s="5" t="str">
        <f>IFERROR(__xludf.DUMMYFUNCTION("GOOGLETRANSLATE(B7720,""en"",""it"")"),"Il cameraman gli spinge gli sci.")</f>
        <v>Il cameraman gli spinge gli sci.</v>
      </c>
    </row>
    <row r="7721">
      <c r="A7721" s="4" t="s">
        <v>9702</v>
      </c>
      <c r="B7721" s="4" t="s">
        <v>9705</v>
      </c>
      <c r="C7721" s="5" t="str">
        <f>IFERROR(__xludf.DUMMYFUNCTION("GOOGLETRANSLATE(B7721,""en"",""it"")"),"Una donna e un bambino si siedono vicino a lui e tenta di camminare, solo per cadere.")</f>
        <v>Una donna e un bambino si siedono vicino a lui e tenta di camminare, solo per cadere.</v>
      </c>
    </row>
    <row r="7722">
      <c r="A7722" s="4" t="s">
        <v>9702</v>
      </c>
      <c r="B7722" s="4" t="s">
        <v>9706</v>
      </c>
      <c r="C7722" s="5" t="str">
        <f>IFERROR(__xludf.DUMMYFUNCTION("GOOGLETRANSLATE(B7722,""en"",""it"")"),"I prossimi sono le clip del ragazzino che sciano con suo padre lungo un pendio innevato.")</f>
        <v>I prossimi sono le clip del ragazzino che sciano con suo padre lungo un pendio innevato.</v>
      </c>
    </row>
    <row r="7723">
      <c r="A7723" s="4" t="s">
        <v>9702</v>
      </c>
      <c r="B7723" s="4" t="s">
        <v>9707</v>
      </c>
      <c r="C7723" s="5" t="str">
        <f>IFERROR(__xludf.DUMMYFUNCTION("GOOGLETRANSLATE(B7723,""en"",""it"")"),"Ad un certo punto, scivola su una piccola rampa.")</f>
        <v>Ad un certo punto, scivola su una piccola rampa.</v>
      </c>
    </row>
    <row r="7724">
      <c r="A7724" s="4" t="s">
        <v>9702</v>
      </c>
      <c r="B7724" s="4" t="s">
        <v>9708</v>
      </c>
      <c r="C7724" s="5" t="str">
        <f>IFERROR(__xludf.DUMMYFUNCTION("GOOGLETRANSLATE(B7724,""en"",""it"")"),"Affronta anche una caduta.")</f>
        <v>Affronta anche una caduta.</v>
      </c>
    </row>
    <row r="7725">
      <c r="A7725" s="4" t="s">
        <v>9702</v>
      </c>
      <c r="B7725" s="4" t="s">
        <v>9709</v>
      </c>
      <c r="C7725" s="5" t="str">
        <f>IFERROR(__xludf.DUMMYFUNCTION("GOOGLETRANSLATE(B7725,""en"",""it"")"),"Presto il ragazzo e la sua famiglia caricano il loro veicolo per andarsene.")</f>
        <v>Presto il ragazzo e la sua famiglia caricano il loro veicolo per andarsene.</v>
      </c>
    </row>
    <row r="7726">
      <c r="A7726" s="4" t="s">
        <v>9702</v>
      </c>
      <c r="B7726" s="4" t="s">
        <v>9710</v>
      </c>
      <c r="C7726" s="5" t="str">
        <f>IFERROR(__xludf.DUMMYFUNCTION("GOOGLETRANSLATE(B7726,""en"",""it"")"),"Il video termina con una foto del ragazzino e di suo padre.")</f>
        <v>Il video termina con una foto del ragazzino e di suo padre.</v>
      </c>
    </row>
    <row r="7727">
      <c r="A7727" s="4" t="s">
        <v>9711</v>
      </c>
      <c r="B7727" s="6" t="s">
        <v>9712</v>
      </c>
      <c r="C7727" s="5" t="str">
        <f>IFERROR(__xludf.DUMMYFUNCTION("GOOGLETRANSLATE(B7727,""en"",""it"")"),"Una donna viene vista in ginocchio accanto a un vuoto seguito da diverse foto del suo aspirapolvere e che si muove attorno al tappeto.")</f>
        <v>Una donna viene vista in ginocchio accanto a un vuoto seguito da diverse foto del suo aspirapolvere e che si muove attorno al tappeto.</v>
      </c>
    </row>
    <row r="7728">
      <c r="A7728" s="4" t="s">
        <v>9711</v>
      </c>
      <c r="B7728" s="6" t="s">
        <v>9713</v>
      </c>
      <c r="C7728" s="5" t="str">
        <f>IFERROR(__xludf.DUMMYFUNCTION("GOOGLETRANSLATE(B7728,""en"",""it"")"),"Altre foto vengono mostrate dal tappeto e si inginocchiano e svuota un aspirapolvere mentre parla ancora alla telecamera.")</f>
        <v>Altre foto vengono mostrate dal tappeto e si inginocchiano e svuota un aspirapolvere mentre parla ancora alla telecamera.</v>
      </c>
    </row>
    <row r="7729">
      <c r="A7729" s="4" t="s">
        <v>9714</v>
      </c>
      <c r="B7729" s="4" t="s">
        <v>9715</v>
      </c>
      <c r="C7729" s="5" t="str">
        <f>IFERROR(__xludf.DUMMYFUNCTION("GOOGLETRANSLATE(B7729,""en"",""it"")"),"Un uomo viene mostrato in piedi accanto a un albero che tiene in mano decorazioni natalizie.")</f>
        <v>Un uomo viene mostrato in piedi accanto a un albero che tiene in mano decorazioni natalizie.</v>
      </c>
    </row>
    <row r="7730">
      <c r="A7730" s="4" t="s">
        <v>9714</v>
      </c>
      <c r="B7730" s="4" t="s">
        <v>9716</v>
      </c>
      <c r="C7730" s="5" t="str">
        <f>IFERROR(__xludf.DUMMYFUNCTION("GOOGLETRANSLATE(B7730,""en"",""it"")"),"Quindi appende le decorazioni intorno all'albero mentre guarda indietro e parla alla telecamera.")</f>
        <v>Quindi appende le decorazioni intorno all'albero mentre guarda indietro e parla alla telecamera.</v>
      </c>
    </row>
    <row r="7731">
      <c r="A7731" s="4" t="s">
        <v>9717</v>
      </c>
      <c r="B7731" s="4" t="s">
        <v>9718</v>
      </c>
      <c r="C7731" s="5" t="str">
        <f>IFERROR(__xludf.DUMMYFUNCTION("GOOGLETRANSLATE(B7731,""en"",""it"")"),"C'è un giovane con una camicia rossa che suona una chitarra acustica.")</f>
        <v>C'è un giovane con una camicia rossa che suona una chitarra acustica.</v>
      </c>
    </row>
    <row r="7732">
      <c r="A7732" s="4" t="s">
        <v>9717</v>
      </c>
      <c r="B7732" s="4" t="s">
        <v>9719</v>
      </c>
      <c r="C7732" s="5" t="str">
        <f>IFERROR(__xludf.DUMMYFUNCTION("GOOGLETRANSLATE(B7732,""en"",""it"")"),"Stringe la chitarra usando la sua scelta e muove le dita lungo gli accordi.")</f>
        <v>Stringe la chitarra usando la sua scelta e muove le dita lungo gli accordi.</v>
      </c>
    </row>
    <row r="7733">
      <c r="A7733" s="4" t="s">
        <v>9717</v>
      </c>
      <c r="B7733" s="4" t="s">
        <v>9720</v>
      </c>
      <c r="C7733" s="5" t="str">
        <f>IFERROR(__xludf.DUMMYFUNCTION("GOOGLETRANSLATE(B7733,""en"",""it"")"),"Dopo aver finito di giocare, alza lo sguardo e sorride.")</f>
        <v>Dopo aver finito di giocare, alza lo sguardo e sorride.</v>
      </c>
    </row>
    <row r="7734">
      <c r="A7734" s="4" t="s">
        <v>9721</v>
      </c>
      <c r="B7734" s="4" t="s">
        <v>9722</v>
      </c>
      <c r="C7734" s="5" t="str">
        <f>IFERROR(__xludf.DUMMYFUNCTION("GOOGLETRANSLATE(B7734,""en"",""it"")"),"Una scala si sporge contro una casa.")</f>
        <v>Una scala si sporge contro una casa.</v>
      </c>
    </row>
    <row r="7735">
      <c r="A7735" s="4" t="s">
        <v>9721</v>
      </c>
      <c r="B7735" s="4" t="s">
        <v>9723</v>
      </c>
      <c r="C7735" s="5" t="str">
        <f>IFERROR(__xludf.DUMMYFUNCTION("GOOGLETRANSLATE(B7735,""en"",""it"")"),"Un pezzo di legno va su e giù per la scala.")</f>
        <v>Un pezzo di legno va su e giù per la scala.</v>
      </c>
    </row>
    <row r="7736">
      <c r="A7736" s="4" t="s">
        <v>9724</v>
      </c>
      <c r="B7736" s="4" t="s">
        <v>9725</v>
      </c>
      <c r="C7736" s="5" t="str">
        <f>IFERROR(__xludf.DUMMYFUNCTION("GOOGLETRANSLATE(B7736,""en"",""it"")"),"Un uomo si trova di fronte a un set di tiri pull e doppi in un parco.")</f>
        <v>Un uomo si trova di fronte a un set di tiri pull e doppi in un parco.</v>
      </c>
    </row>
    <row r="7737">
      <c r="A7737" s="4" t="s">
        <v>9724</v>
      </c>
      <c r="B7737" s="4" t="s">
        <v>9726</v>
      </c>
      <c r="C7737" s="5" t="str">
        <f>IFERROR(__xludf.DUMMYFUNCTION("GOOGLETRANSLATE(B7737,""en"",""it"")"),"L'uomo fa cereali sul set di barre parallele.")</f>
        <v>L'uomo fa cereali sul set di barre parallele.</v>
      </c>
    </row>
    <row r="7738">
      <c r="A7738" s="4" t="s">
        <v>9724</v>
      </c>
      <c r="B7738" s="4" t="s">
        <v>9727</v>
      </c>
      <c r="C7738" s="5" t="str">
        <f>IFERROR(__xludf.DUMMYFUNCTION("GOOGLETRANSLATE(B7738,""en"",""it"")"),"L'uomo fa push up con i piedi sulle barre parallele.")</f>
        <v>L'uomo fa push up con i piedi sulle barre parallele.</v>
      </c>
    </row>
    <row r="7739">
      <c r="A7739" s="4" t="s">
        <v>9724</v>
      </c>
      <c r="B7739" s="4" t="s">
        <v>9728</v>
      </c>
      <c r="C7739" s="5" t="str">
        <f>IFERROR(__xludf.DUMMYFUNCTION("GOOGLETRANSLATE(B7739,""en"",""it"")"),"L'uomo si tira su uno dei bar.")</f>
        <v>L'uomo si tira su uno dei bar.</v>
      </c>
    </row>
    <row r="7740">
      <c r="A7740" s="4" t="s">
        <v>9724</v>
      </c>
      <c r="B7740" s="4" t="s">
        <v>9729</v>
      </c>
      <c r="C7740" s="5" t="str">
        <f>IFERROR(__xludf.DUMMYFUNCTION("GOOGLETRANSLATE(B7740,""en"",""it"")"),"L'uomo torna di fronte all'attrezzatura dopo la routine.")</f>
        <v>L'uomo torna di fronte all'attrezzatura dopo la routine.</v>
      </c>
    </row>
    <row r="7741">
      <c r="A7741" s="4" t="s">
        <v>9730</v>
      </c>
      <c r="B7741" s="4" t="s">
        <v>9731</v>
      </c>
      <c r="C7741" s="5" t="str">
        <f>IFERROR(__xludf.DUMMYFUNCTION("GOOGLETRANSLATE(B7741,""en"",""it"")"),"Una persona afferra un disco da una pila di dischi.")</f>
        <v>Una persona afferra un disco da una pila di dischi.</v>
      </c>
    </row>
    <row r="7742">
      <c r="A7742" s="4" t="s">
        <v>9730</v>
      </c>
      <c r="B7742" s="4" t="s">
        <v>9732</v>
      </c>
      <c r="C7742" s="5" t="str">
        <f>IFERROR(__xludf.DUMMYFUNCTION("GOOGLETRANSLATE(B7742,""en"",""it"")"),"Lo buttano su un shuffle board.")</f>
        <v>Lo buttano su un shuffle board.</v>
      </c>
    </row>
    <row r="7743">
      <c r="A7743" s="4" t="s">
        <v>9730</v>
      </c>
      <c r="B7743" s="4" t="s">
        <v>9733</v>
      </c>
      <c r="C7743" s="5" t="str">
        <f>IFERROR(__xludf.DUMMYFUNCTION("GOOGLETRANSLATE(B7743,""en"",""it"")"),"Continuano a buttare i dischi lungo lo shuffleboard.")</f>
        <v>Continuano a buttare i dischi lungo lo shuffleboard.</v>
      </c>
    </row>
    <row r="7744">
      <c r="A7744" s="4" t="s">
        <v>9734</v>
      </c>
      <c r="B7744" s="6" t="s">
        <v>9735</v>
      </c>
      <c r="C7744" s="5" t="str">
        <f>IFERROR(__xludf.DUMMYFUNCTION("GOOGLETRANSLATE(B7744,""en"",""it"")"),"Viene vista una persona parlare alla telecamera e porta a un primo piano del terreno e un'altra persona seduta sul lato.")</f>
        <v>Viene vista una persona parlare alla telecamera e porta a un primo piano del terreno e un'altra persona seduta sul lato.</v>
      </c>
    </row>
    <row r="7745">
      <c r="A7745" s="4" t="s">
        <v>9734</v>
      </c>
      <c r="B7745" s="4" t="s">
        <v>9736</v>
      </c>
      <c r="C7745" s="5" t="str">
        <f>IFERROR(__xludf.DUMMYFUNCTION("GOOGLETRANSLATE(B7745,""en"",""it"")"),"Vengono mostrati più colpi di tronchi e bastoncini, nonché una buca per il fuoco e un ragazzo che taglia un bastone.")</f>
        <v>Vengono mostrati più colpi di tronchi e bastoncini, nonché una buca per il fuoco e un ragazzo che taglia un bastone.</v>
      </c>
    </row>
    <row r="7746">
      <c r="A7746" s="4" t="s">
        <v>9737</v>
      </c>
      <c r="B7746" s="4" t="s">
        <v>9738</v>
      </c>
      <c r="C7746" s="5" t="str">
        <f>IFERROR(__xludf.DUMMYFUNCTION("GOOGLETRANSLATE(B7746,""en"",""it"")"),"Un uomo sta dimostrando come preparare una frittata di tre uova nella sua cucina.")</f>
        <v>Un uomo sta dimostrando come preparare una frittata di tre uova nella sua cucina.</v>
      </c>
    </row>
    <row r="7747">
      <c r="A7747" s="4" t="s">
        <v>9737</v>
      </c>
      <c r="B7747" s="4" t="s">
        <v>9739</v>
      </c>
      <c r="C7747" s="5" t="str">
        <f>IFERROR(__xludf.DUMMYFUNCTION("GOOGLETRANSLATE(B7747,""en"",""it"")"),"Comincia rompendo le uova in una ciotola di vetro trasparente.")</f>
        <v>Comincia rompendo le uova in una ciotola di vetro trasparente.</v>
      </c>
    </row>
    <row r="7748">
      <c r="A7748" s="4" t="s">
        <v>9737</v>
      </c>
      <c r="B7748" s="4" t="s">
        <v>9740</v>
      </c>
      <c r="C7748" s="5" t="str">
        <f>IFERROR(__xludf.DUMMYFUNCTION("GOOGLETRANSLATE(B7748,""en"",""it"")"),"Quindi batte bene le uova e aggiunge un po 'di burro nella casseruola.")</f>
        <v>Quindi batte bene le uova e aggiunge un po 'di burro nella casseruola.</v>
      </c>
    </row>
    <row r="7749">
      <c r="A7749" s="4" t="s">
        <v>9737</v>
      </c>
      <c r="B7749" s="4" t="s">
        <v>9741</v>
      </c>
      <c r="C7749" s="5" t="str">
        <f>IFERROR(__xludf.DUMMYFUNCTION("GOOGLETRANSLATE(B7749,""en"",""it"")"),"Versa la pastella di uova crude nella padella.")</f>
        <v>Versa la pastella di uova crude nella padella.</v>
      </c>
    </row>
    <row r="7750">
      <c r="A7750" s="4" t="s">
        <v>9737</v>
      </c>
      <c r="B7750" s="4" t="s">
        <v>9742</v>
      </c>
      <c r="C7750" s="5" t="str">
        <f>IFERROR(__xludf.DUMMYFUNCTION("GOOGLETRANSLATE(B7750,""en"",""it"")"),"Solleva la padella e la muove per mescolare le uova.")</f>
        <v>Solleva la padella e la muove per mescolare le uova.</v>
      </c>
    </row>
    <row r="7751">
      <c r="A7751" s="4" t="s">
        <v>9737</v>
      </c>
      <c r="B7751" s="4" t="s">
        <v>9743</v>
      </c>
      <c r="C7751" s="5" t="str">
        <f>IFERROR(__xludf.DUMMYFUNCTION("GOOGLETRANSLATE(B7751,""en"",""it"")"),"Quindi top è spento con un po 'di formaggio grattugiato.")</f>
        <v>Quindi top è spento con un po 'di formaggio grattugiato.</v>
      </c>
    </row>
    <row r="7752">
      <c r="A7752" s="4" t="s">
        <v>9737</v>
      </c>
      <c r="B7752" s="4" t="s">
        <v>9744</v>
      </c>
      <c r="C7752" s="5" t="str">
        <f>IFERROR(__xludf.DUMMYFUNCTION("GOOGLETRANSLATE(B7752,""en"",""it"")"),"Prende una forchetta e fa scivolare la frittata in un piatto bianco.")</f>
        <v>Prende una forchetta e fa scivolare la frittata in un piatto bianco.</v>
      </c>
    </row>
    <row r="7753">
      <c r="A7753" s="4" t="s">
        <v>9737</v>
      </c>
      <c r="B7753" s="4" t="s">
        <v>9745</v>
      </c>
      <c r="C7753" s="5" t="str">
        <f>IFERROR(__xludf.DUMMYFUNCTION("GOOGLETRANSLATE(B7753,""en"",""it"")"),"Quindi lo guarna con alcuni verdure in cima per un tocco sano.")</f>
        <v>Quindi lo guarna con alcuni verdure in cima per un tocco sano.</v>
      </c>
    </row>
    <row r="7754">
      <c r="A7754" s="4" t="s">
        <v>9746</v>
      </c>
      <c r="B7754" s="4" t="s">
        <v>9747</v>
      </c>
      <c r="C7754" s="5" t="str">
        <f>IFERROR(__xludf.DUMMYFUNCTION("GOOGLETRANSLATE(B7754,""en"",""it"")"),"Una squadra è su un campo mentre un corridore lancia la palla, che colpisce la pastella e viene catturata.")</f>
        <v>Una squadra è su un campo mentre un corridore lancia la palla, che colpisce la pastella e viene catturata.</v>
      </c>
    </row>
    <row r="7755">
      <c r="A7755" s="4" t="s">
        <v>9746</v>
      </c>
      <c r="B7755" s="4" t="s">
        <v>9748</v>
      </c>
      <c r="C7755" s="5" t="str">
        <f>IFERROR(__xludf.DUMMYFUNCTION("GOOGLETRANSLATE(B7755,""en"",""it"")"),"L'allenatore istruisce i giocatori mentre continuano la partita.")</f>
        <v>L'allenatore istruisce i giocatori mentre continuano la partita.</v>
      </c>
    </row>
    <row r="7756">
      <c r="A7756" s="4" t="s">
        <v>9746</v>
      </c>
      <c r="B7756" s="4" t="s">
        <v>9749</v>
      </c>
      <c r="C7756" s="5" t="str">
        <f>IFERROR(__xludf.DUMMYFUNCTION("GOOGLETRANSLATE(B7756,""en"",""it"")"),"Viene mostrato i giocatori, poi viene mostrata una vista della palla alla mazza.")</f>
        <v>Viene mostrato i giocatori, poi viene mostrata una vista della palla alla mazza.</v>
      </c>
    </row>
    <row r="7757">
      <c r="A7757" s="4" t="s">
        <v>9750</v>
      </c>
      <c r="B7757" s="4" t="s">
        <v>9751</v>
      </c>
      <c r="C7757" s="5" t="str">
        <f>IFERROR(__xludf.DUMMYFUNCTION("GOOGLETRANSLATE(B7757,""en"",""it"")"),"Viene mostrato un muro, coperto da strumenti appesi.")</f>
        <v>Viene mostrato un muro, coperto da strumenti appesi.</v>
      </c>
    </row>
    <row r="7758">
      <c r="A7758" s="4" t="s">
        <v>9750</v>
      </c>
      <c r="B7758" s="4" t="s">
        <v>9752</v>
      </c>
      <c r="C7758" s="5" t="str">
        <f>IFERROR(__xludf.DUMMYFUNCTION("GOOGLETRANSLATE(B7758,""en"",""it"")"),"Un uomo è in un laboratorio, parlando di tegole di copertura.")</f>
        <v>Un uomo è in un laboratorio, parlando di tegole di copertura.</v>
      </c>
    </row>
    <row r="7759">
      <c r="A7759" s="4" t="s">
        <v>9750</v>
      </c>
      <c r="B7759" s="4" t="s">
        <v>9753</v>
      </c>
      <c r="C7759" s="5" t="str">
        <f>IFERROR(__xludf.DUMMYFUNCTION("GOOGLETRANSLATE(B7759,""en"",""it"")"),"Dimostra come applicare colla, piastrelle e poi martellano e inchioda le piastrelle in posizione.")</f>
        <v>Dimostra come applicare colla, piastrelle e poi martellano e inchioda le piastrelle in posizione.</v>
      </c>
    </row>
    <row r="7760">
      <c r="A7760" s="4" t="s">
        <v>9754</v>
      </c>
      <c r="B7760" s="4" t="s">
        <v>9755</v>
      </c>
      <c r="C7760" s="5" t="str">
        <f>IFERROR(__xludf.DUMMYFUNCTION("GOOGLETRANSLATE(B7760,""en"",""it"")"),"Viene mostrata una bottiglia di crema che invecchia e una donna inizia ad applicarla sul viso nella sua zona T.")</f>
        <v>Viene mostrata una bottiglia di crema che invecchia e una donna inizia ad applicarla sul viso nella sua zona T.</v>
      </c>
    </row>
    <row r="7761">
      <c r="A7761" s="4" t="s">
        <v>9754</v>
      </c>
      <c r="B7761" s="6" t="s">
        <v>9756</v>
      </c>
      <c r="C7761" s="5" t="str">
        <f>IFERROR(__xludf.DUMMYFUNCTION("GOOGLETRANSLATE(B7761,""en"",""it"")"),"Una volta visualizzato uniformemente, diversi paragrafi iniziano a mostrare l'uso del prodotto e cosa dovrebbe essere ogni settimana.")</f>
        <v>Una volta visualizzato uniformemente, diversi paragrafi iniziano a mostrare l'uso del prodotto e cosa dovrebbe essere ogni settimana.</v>
      </c>
    </row>
    <row r="7762">
      <c r="A7762" s="4" t="s">
        <v>9754</v>
      </c>
      <c r="B7762" s="4" t="s">
        <v>9757</v>
      </c>
      <c r="C7762" s="5" t="str">
        <f>IFERROR(__xludf.DUMMYFUNCTION("GOOGLETRANSLATE(B7762,""en"",""it"")"),"Dopo, appare una breve frase e ti dice di andare sulla loro pagina web per ottenere maggiori dettagli.")</f>
        <v>Dopo, appare una breve frase e ti dice di andare sulla loro pagina web per ottenere maggiori dettagli.</v>
      </c>
    </row>
    <row r="7763">
      <c r="A7763" s="4" t="s">
        <v>9758</v>
      </c>
      <c r="B7763" s="4" t="s">
        <v>9759</v>
      </c>
      <c r="C7763" s="5" t="str">
        <f>IFERROR(__xludf.DUMMYFUNCTION("GOOGLETRANSLATE(B7763,""en"",""it"")"),"Le ginastiche sono in piedi in una sala da concorrenza.")</f>
        <v>Le ginastiche sono in piedi in una sala da concorrenza.</v>
      </c>
    </row>
    <row r="7764">
      <c r="A7764" s="4" t="s">
        <v>9758</v>
      </c>
      <c r="B7764" s="4" t="s">
        <v>9760</v>
      </c>
      <c r="C7764" s="5" t="str">
        <f>IFERROR(__xludf.DUMMYFUNCTION("GOOGLETRANSLATE(B7764,""en"",""it"")"),"Un uomo monta un raggio.")</f>
        <v>Un uomo monta un raggio.</v>
      </c>
    </row>
    <row r="7765">
      <c r="A7765" s="4" t="s">
        <v>9758</v>
      </c>
      <c r="B7765" s="4" t="s">
        <v>9761</v>
      </c>
      <c r="C7765" s="5" t="str">
        <f>IFERROR(__xludf.DUMMYFUNCTION("GOOGLETRANSLATE(B7765,""en"",""it"")"),"Comincia a girare, capovolgere e fare diversi trucchi.")</f>
        <v>Comincia a girare, capovolgere e fare diversi trucchi.</v>
      </c>
    </row>
    <row r="7766">
      <c r="A7766" s="4" t="s">
        <v>9758</v>
      </c>
      <c r="B7766" s="4" t="s">
        <v>9762</v>
      </c>
      <c r="C7766" s="5" t="str">
        <f>IFERROR(__xludf.DUMMYFUNCTION("GOOGLETRANSLATE(B7766,""en"",""it"")"),"Smonta, alzando le braccia in aria e inchinandosi.")</f>
        <v>Smonta, alzando le braccia in aria e inchinandosi.</v>
      </c>
    </row>
    <row r="7767">
      <c r="A7767" s="4" t="s">
        <v>9763</v>
      </c>
      <c r="B7767" s="4" t="s">
        <v>9764</v>
      </c>
      <c r="C7767" s="5" t="str">
        <f>IFERROR(__xludf.DUMMYFUNCTION("GOOGLETRANSLATE(B7767,""en"",""it"")"),"Un bambino viene visto oscillare indietro e quarto su un'altalena mentre ride e sorride alla telecamera.")</f>
        <v>Un bambino viene visto oscillare indietro e quarto su un'altalena mentre ride e sorride alla telecamera.</v>
      </c>
    </row>
    <row r="7768">
      <c r="A7768" s="4" t="s">
        <v>9763</v>
      </c>
      <c r="B7768" s="4" t="s">
        <v>9765</v>
      </c>
      <c r="C7768" s="5" t="str">
        <f>IFERROR(__xludf.DUMMYFUNCTION("GOOGLETRANSLATE(B7768,""en"",""it"")"),"Il bambino continua a tornare indietro e quarto mentre guarda la telecamera e sorride.")</f>
        <v>Il bambino continua a tornare indietro e quarto mentre guarda la telecamera e sorride.</v>
      </c>
    </row>
    <row r="7769">
      <c r="A7769" s="4" t="s">
        <v>9766</v>
      </c>
      <c r="B7769" s="4" t="s">
        <v>9767</v>
      </c>
      <c r="C7769" s="5" t="str">
        <f>IFERROR(__xludf.DUMMYFUNCTION("GOOGLETRANSLATE(B7769,""en"",""it"")"),"Una donna asiatica è seduta, poi cavalca lo skateboard e ha iniziato a pattinare sulla strada vuota.")</f>
        <v>Una donna asiatica è seduta, poi cavalca lo skateboard e ha iniziato a pattinare sulla strada vuota.</v>
      </c>
    </row>
    <row r="7770">
      <c r="A7770" s="4" t="s">
        <v>9766</v>
      </c>
      <c r="B7770" s="4" t="s">
        <v>9768</v>
      </c>
      <c r="C7770" s="5" t="str">
        <f>IFERROR(__xludf.DUMMYFUNCTION("GOOGLETRANSLATE(B7770,""en"",""it"")"),"La ragazza è da un lato all'altro e mentre tiene in mano un bastone da selfie.")</f>
        <v>La ragazza è da un lato all'altro e mentre tiene in mano un bastone da selfie.</v>
      </c>
    </row>
    <row r="7771">
      <c r="A7771" s="4" t="s">
        <v>9766</v>
      </c>
      <c r="B7771" s="4" t="s">
        <v>9769</v>
      </c>
      <c r="C7771" s="5" t="str">
        <f>IFERROR(__xludf.DUMMYFUNCTION("GOOGLETRANSLATE(B7771,""en"",""it"")"),"La ragazza skateboard sul marciapiede, vicino all'acqua, in uno stretto sentiero e nel parco.")</f>
        <v>La ragazza skateboard sul marciapiede, vicino all'acqua, in uno stretto sentiero e nel parco.</v>
      </c>
    </row>
    <row r="7772">
      <c r="A7772" s="4" t="s">
        <v>9770</v>
      </c>
      <c r="B7772" s="6" t="s">
        <v>9771</v>
      </c>
      <c r="C7772" s="5" t="str">
        <f>IFERROR(__xludf.DUMMYFUNCTION("GOOGLETRANSLATE(B7772,""en"",""it"")"),"Un gruppo di persone sedute su gradinate elevate, guarda un uomo su un cavallo lazo un piccolo vitello nero in un anello di rodeo coperto di sporco, interno, interno.")</f>
        <v>Un gruppo di persone sedute su gradinate elevate, guarda un uomo su un cavallo lazo un piccolo vitello nero in un anello di rodeo coperto di sporco, interno, interno.</v>
      </c>
    </row>
    <row r="7773">
      <c r="A7773" s="4" t="s">
        <v>9770</v>
      </c>
      <c r="B7773" s="4" t="s">
        <v>9772</v>
      </c>
      <c r="C7773" s="5" t="str">
        <f>IFERROR(__xludf.DUMMYFUNCTION("GOOGLETRANSLATE(B7773,""en"",""it"")"),"L'uomo emerge sul ring da una porta a livello del pavimento, su un cavallo, inseguendo un piccolo vitello nero.")</f>
        <v>L'uomo emerge sul ring da una porta a livello del pavimento, su un cavallo, inseguendo un piccolo vitello nero.</v>
      </c>
    </row>
    <row r="7774">
      <c r="A7774" s="4" t="s">
        <v>9770</v>
      </c>
      <c r="B7774" s="6" t="s">
        <v>9773</v>
      </c>
      <c r="C7774" s="5" t="str">
        <f>IFERROR(__xludf.DUMMYFUNCTION("GOOGLETRANSLATE(B7774,""en"",""it"")"),"L'uomo getta contemporaneamente una corda attorno al collo dei vitelli e sciolde il cavallo, mentre il cavallo è in movimento.")</f>
        <v>L'uomo getta contemporaneamente una corda attorno al collo dei vitelli e sciolde il cavallo, mentre il cavallo è in movimento.</v>
      </c>
    </row>
    <row r="7775">
      <c r="A7775" s="4" t="s">
        <v>9770</v>
      </c>
      <c r="B7775" s="6" t="s">
        <v>9774</v>
      </c>
      <c r="C7775" s="5" t="str">
        <f>IFERROR(__xludf.DUMMYFUNCTION("GOOGLETRANSLATE(B7775,""en"",""it"")"),"Dopo aver atterrato a terra dopo lo smontaggio, l'uomo corre al polpaccio e lega il vitello nella corda, quindi torna al cavallo e monta di nuovo il cavallo mentre due uomini entrano nell'anello e afferrano il polpaccio legato.")</f>
        <v>Dopo aver atterrato a terra dopo lo smontaggio, l'uomo corre al polpaccio e lega il vitello nella corda, quindi torna al cavallo e monta di nuovo il cavallo mentre due uomini entrano nell'anello e afferrano il polpaccio legato.</v>
      </c>
    </row>
    <row r="7776">
      <c r="A7776" s="4" t="s">
        <v>9775</v>
      </c>
      <c r="B7776" s="4" t="s">
        <v>9776</v>
      </c>
      <c r="C7776" s="5" t="str">
        <f>IFERROR(__xludf.DUMMYFUNCTION("GOOGLETRANSLATE(B7776,""en"",""it"")"),"Un uomo viene mostrato in un bagno che sceglie uno spazzolino da denti.")</f>
        <v>Un uomo viene mostrato in un bagno che sceglie uno spazzolino da denti.</v>
      </c>
    </row>
    <row r="7777">
      <c r="A7777" s="4" t="s">
        <v>9775</v>
      </c>
      <c r="B7777" s="4" t="s">
        <v>9777</v>
      </c>
      <c r="C7777" s="5" t="str">
        <f>IFERROR(__xludf.DUMMYFUNCTION("GOOGLETRANSLATE(B7777,""en"",""it"")"),"Quindi si lava i denti e vede il sangue.")</f>
        <v>Quindi si lava i denti e vede il sangue.</v>
      </c>
    </row>
    <row r="7778">
      <c r="A7778" s="4" t="s">
        <v>9775</v>
      </c>
      <c r="B7778" s="4" t="s">
        <v>9778</v>
      </c>
      <c r="C7778" s="5" t="str">
        <f>IFERROR(__xludf.DUMMYFUNCTION("GOOGLETRANSLATE(B7778,""en"",""it"")"),"Usa il lavaggio della bocca di Listerine per trenta secondi per uccidere i germi.")</f>
        <v>Usa il lavaggio della bocca di Listerine per trenta secondi per uccidere i germi.</v>
      </c>
    </row>
    <row r="7779">
      <c r="A7779" s="4" t="s">
        <v>9779</v>
      </c>
      <c r="B7779" s="4" t="s">
        <v>9780</v>
      </c>
      <c r="C7779" s="5" t="str">
        <f>IFERROR(__xludf.DUMMYFUNCTION("GOOGLETRANSLATE(B7779,""en"",""it"")"),"Viene mostrato un primo piano di un tavolo e un uomo in piedi attorno al tavolo e puntando di lato.")</f>
        <v>Viene mostrato un primo piano di un tavolo e un uomo in piedi attorno al tavolo e puntando di lato.</v>
      </c>
    </row>
    <row r="7780">
      <c r="A7780" s="4" t="s">
        <v>9779</v>
      </c>
      <c r="B7780" s="4" t="s">
        <v>9781</v>
      </c>
      <c r="C7780" s="5" t="str">
        <f>IFERROR(__xludf.DUMMYFUNCTION("GOOGLETRANSLATE(B7780,""en"",""it"")"),"Due uomini stanno guardando sul lato mentre il gioco continua e un altro uomo registra sul suo telefono.")</f>
        <v>Due uomini stanno guardando sul lato mentre il gioco continua e un altro uomo registra sul suo telefono.</v>
      </c>
    </row>
    <row r="7781">
      <c r="A7781" s="4" t="s">
        <v>9782</v>
      </c>
      <c r="B7781" s="4" t="s">
        <v>9783</v>
      </c>
      <c r="C7781" s="5" t="str">
        <f>IFERROR(__xludf.DUMMYFUNCTION("GOOGLETRANSLATE(B7781,""en"",""it"")"),"Un ragazzo si siede in un cammello.")</f>
        <v>Un ragazzo si siede in un cammello.</v>
      </c>
    </row>
    <row r="7782">
      <c r="A7782" s="4" t="s">
        <v>9782</v>
      </c>
      <c r="B7782" s="4" t="s">
        <v>9784</v>
      </c>
      <c r="C7782" s="5" t="str">
        <f>IFERROR(__xludf.DUMMYFUNCTION("GOOGLETRANSLATE(B7782,""en"",""it"")"),"Il cammello inizia a muoversi con l'aiuto di un gestore.")</f>
        <v>Il cammello inizia a muoversi con l'aiuto di un gestore.</v>
      </c>
    </row>
    <row r="7783">
      <c r="A7783" s="4" t="s">
        <v>9782</v>
      </c>
      <c r="B7783" s="4" t="s">
        <v>9785</v>
      </c>
      <c r="C7783" s="5" t="str">
        <f>IFERROR(__xludf.DUMMYFUNCTION("GOOGLETRANSLATE(B7783,""en"",""it"")"),"Le persone appaiono in background.")</f>
        <v>Le persone appaiono in background.</v>
      </c>
    </row>
    <row r="7784">
      <c r="A7784" s="4" t="s">
        <v>9786</v>
      </c>
      <c r="B7784" s="4" t="s">
        <v>9787</v>
      </c>
      <c r="C7784" s="5" t="str">
        <f>IFERROR(__xludf.DUMMYFUNCTION("GOOGLETRANSLATE(B7784,""en"",""it"")"),"Una madre e un bambino in costume da bagno costruiscono castelli di sabbia sulla spiaggia.")</f>
        <v>Una madre e un bambino in costume da bagno costruiscono castelli di sabbia sulla spiaggia.</v>
      </c>
    </row>
    <row r="7785">
      <c r="A7785" s="4" t="s">
        <v>9786</v>
      </c>
      <c r="B7785" s="4" t="s">
        <v>9788</v>
      </c>
      <c r="C7785" s="5" t="str">
        <f>IFERROR(__xludf.DUMMYFUNCTION("GOOGLETRANSLATE(B7785,""en"",""it"")"),"Il bambino distrugge i castelli di sabbia.")</f>
        <v>Il bambino distrugge i castelli di sabbia.</v>
      </c>
    </row>
    <row r="7786">
      <c r="A7786" s="4" t="s">
        <v>9786</v>
      </c>
      <c r="B7786" s="4" t="s">
        <v>9789</v>
      </c>
      <c r="C7786" s="5" t="str">
        <f>IFERROR(__xludf.DUMMYFUNCTION("GOOGLETRANSLATE(B7786,""en"",""it"")"),"La madre getta frustrata lo stampo di plastica.")</f>
        <v>La madre getta frustrata lo stampo di plastica.</v>
      </c>
    </row>
    <row r="7787">
      <c r="A7787" s="4" t="s">
        <v>9790</v>
      </c>
      <c r="B7787" s="4" t="s">
        <v>9791</v>
      </c>
      <c r="C7787" s="5" t="str">
        <f>IFERROR(__xludf.DUMMYFUNCTION("GOOGLETRANSLATE(B7787,""en"",""it"")"),"Una persona viene mostrata aspirare un grosso tappeto con un aspirapolvere verde.")</f>
        <v>Una persona viene mostrata aspirare un grosso tappeto con un aspirapolvere verde.</v>
      </c>
    </row>
    <row r="7788">
      <c r="A7788" s="4" t="s">
        <v>9790</v>
      </c>
      <c r="B7788" s="4" t="s">
        <v>9792</v>
      </c>
      <c r="C7788" s="5" t="str">
        <f>IFERROR(__xludf.DUMMYFUNCTION("GOOGLETRANSLATE(B7788,""en"",""it"")"),"Una didascalia si presenta sullo schermo mentre l'uomo continua a usare il vuoto su tutto il tappeto.")</f>
        <v>Una didascalia si presenta sullo schermo mentre l'uomo continua a usare il vuoto su tutto il tappeto.</v>
      </c>
    </row>
    <row r="7789">
      <c r="A7789" s="4" t="s">
        <v>9793</v>
      </c>
      <c r="B7789" s="4" t="s">
        <v>9794</v>
      </c>
      <c r="C7789" s="5" t="str">
        <f>IFERROR(__xludf.DUMMYFUNCTION("GOOGLETRANSLATE(B7789,""en"",""it"")"),"Viene mostrato un primo piano di un tavolo da biliardo seguito da una persona che cammina intorno ai lati.")</f>
        <v>Viene mostrato un primo piano di un tavolo da biliardo seguito da una persona che cammina intorno ai lati.</v>
      </c>
    </row>
    <row r="7790">
      <c r="A7790" s="4" t="s">
        <v>9793</v>
      </c>
      <c r="B7790" s="4" t="s">
        <v>9795</v>
      </c>
      <c r="C7790" s="5" t="str">
        <f>IFERROR(__xludf.DUMMYFUNCTION("GOOGLETRANSLATE(B7790,""en"",""it"")"),"La persona colpisce quindi una palla da piscina continuamente attorno al tavolo.")</f>
        <v>La persona colpisce quindi una palla da piscina continuamente attorno al tavolo.</v>
      </c>
    </row>
    <row r="7791">
      <c r="A7791" s="4" t="s">
        <v>9793</v>
      </c>
      <c r="B7791" s="4" t="s">
        <v>9796</v>
      </c>
      <c r="C7791" s="5" t="str">
        <f>IFERROR(__xludf.DUMMYFUNCTION("GOOGLETRANSLATE(B7791,""en"",""it"")"),"L'uomo affonda quindi l'ultima palla e celebra con un gruppo di persone.")</f>
        <v>L'uomo affonda quindi l'ultima palla e celebra con un gruppo di persone.</v>
      </c>
    </row>
    <row r="7792">
      <c r="A7792" s="4" t="s">
        <v>9797</v>
      </c>
      <c r="B7792" s="4" t="s">
        <v>9798</v>
      </c>
      <c r="C7792" s="5" t="str">
        <f>IFERROR(__xludf.DUMMYFUNCTION("GOOGLETRANSLATE(B7792,""en"",""it"")"),"Un uomo lancia una palla sul marciapiede.")</f>
        <v>Un uomo lancia una palla sul marciapiede.</v>
      </c>
    </row>
    <row r="7793">
      <c r="A7793" s="4" t="s">
        <v>9797</v>
      </c>
      <c r="B7793" s="4" t="s">
        <v>9799</v>
      </c>
      <c r="C7793" s="5" t="str">
        <f>IFERROR(__xludf.DUMMYFUNCTION("GOOGLETRANSLATE(B7793,""en"",""it"")"),"Gioca a Hopscotch per raccoglierlo.")</f>
        <v>Gioca a Hopscotch per raccoglierlo.</v>
      </c>
    </row>
    <row r="7794">
      <c r="A7794" s="4" t="s">
        <v>9797</v>
      </c>
      <c r="B7794" s="4" t="s">
        <v>9800</v>
      </c>
      <c r="C7794" s="5" t="str">
        <f>IFERROR(__xludf.DUMMYFUNCTION("GOOGLETRANSLATE(B7794,""en"",""it"")"),"Un ragazzino corre davanti a lui.")</f>
        <v>Un ragazzino corre davanti a lui.</v>
      </c>
    </row>
    <row r="7795">
      <c r="A7795" s="4" t="s">
        <v>9801</v>
      </c>
      <c r="B7795" s="4" t="s">
        <v>9802</v>
      </c>
      <c r="C7795" s="5" t="str">
        <f>IFERROR(__xludf.DUMMYFUNCTION("GOOGLETRANSLATE(B7795,""en"",""it"")"),"Un uomo che tiene un raschietto di ghiaccio sta spingendo il ghiaccio dalla sua auto mentre la telecamera ingrandisce.")</f>
        <v>Un uomo che tiene un raschietto di ghiaccio sta spingendo il ghiaccio dalla sua auto mentre la telecamera ingrandisce.</v>
      </c>
    </row>
    <row r="7796">
      <c r="A7796" s="4" t="s">
        <v>9801</v>
      </c>
      <c r="B7796" s="4" t="s">
        <v>9803</v>
      </c>
      <c r="C7796" s="5" t="str">
        <f>IFERROR(__xludf.DUMMYFUNCTION("GOOGLETRANSLATE(B7796,""en"",""it"")"),"La fotocamera mostra le sue mani mutiple volte vicino spingendo gradualmente un pezzo di ghiaccio.")</f>
        <v>La fotocamera mostra le sue mani mutiple volte vicino spingendo gradualmente un pezzo di ghiaccio.</v>
      </c>
    </row>
    <row r="7797">
      <c r="A7797" s="4" t="s">
        <v>9804</v>
      </c>
      <c r="B7797" s="4" t="s">
        <v>9805</v>
      </c>
      <c r="C7797" s="5" t="str">
        <f>IFERROR(__xludf.DUMMYFUNCTION("GOOGLETRANSLATE(B7797,""en"",""it"")"),"Una donna è in un soggiorno di fronte a un fuoco.")</f>
        <v>Una donna è in un soggiorno di fronte a un fuoco.</v>
      </c>
    </row>
    <row r="7798">
      <c r="A7798" s="4" t="s">
        <v>9804</v>
      </c>
      <c r="B7798" s="4" t="s">
        <v>9806</v>
      </c>
      <c r="C7798" s="5" t="str">
        <f>IFERROR(__xludf.DUMMYFUNCTION("GOOGLETRANSLATE(B7798,""en"",""it"")"),"Taglia la carta avvolgente in strisce, poi la avvolge ordinatamente attorno a una scatola.")</f>
        <v>Taglia la carta avvolgente in strisce, poi la avvolge ordinatamente attorno a una scatola.</v>
      </c>
    </row>
    <row r="7799">
      <c r="A7799" s="4" t="s">
        <v>9804</v>
      </c>
      <c r="B7799" s="4" t="s">
        <v>9807</v>
      </c>
      <c r="C7799" s="5" t="str">
        <f>IFERROR(__xludf.DUMMYFUNCTION("GOOGLETRANSLATE(B7799,""en"",""it"")"),"Lei registra la scatola, poi la posa delicatamente sul tavolo.")</f>
        <v>Lei registra la scatola, poi la posa delicatamente sul tavolo.</v>
      </c>
    </row>
    <row r="7800">
      <c r="A7800" s="4" t="s">
        <v>9808</v>
      </c>
      <c r="B7800" s="4" t="s">
        <v>9809</v>
      </c>
      <c r="C7800" s="5" t="str">
        <f>IFERROR(__xludf.DUMMYFUNCTION("GOOGLETRANSLATE(B7800,""en"",""it"")"),"Una donna che indossa una camicia nera inizia a parlare e poi appare qualcuno che fa la ceretta per le gambe.")</f>
        <v>Una donna che indossa una camicia nera inizia a parlare e poi appare qualcuno che fa la ceretta per le gambe.</v>
      </c>
    </row>
    <row r="7801">
      <c r="A7801" s="4" t="s">
        <v>9808</v>
      </c>
      <c r="B7801" s="4" t="s">
        <v>9810</v>
      </c>
      <c r="C7801" s="5" t="str">
        <f>IFERROR(__xludf.DUMMYFUNCTION("GOOGLETRANSLATE(B7801,""en"",""it"")"),"Mentre parla, uno strato di cera se posizionato sulla gamba e poi un pezzo di carta bianco.")</f>
        <v>Mentre parla, uno strato di cera se posizionato sulla gamba e poi un pezzo di carta bianco.</v>
      </c>
    </row>
    <row r="7802">
      <c r="A7802" s="4" t="s">
        <v>9811</v>
      </c>
      <c r="B7802" s="4" t="s">
        <v>9812</v>
      </c>
      <c r="C7802" s="5" t="str">
        <f>IFERROR(__xludf.DUMMYFUNCTION("GOOGLETRANSLATE(B7802,""en"",""it"")"),"Una ginnasta è in posa in attesa di iniziare la sua esibizione.")</f>
        <v>Una ginnasta è in posa in attesa di iniziare la sua esibizione.</v>
      </c>
    </row>
    <row r="7803">
      <c r="A7803" s="4" t="s">
        <v>9811</v>
      </c>
      <c r="B7803" s="4" t="s">
        <v>9813</v>
      </c>
      <c r="C7803" s="5" t="str">
        <f>IFERROR(__xludf.DUMMYFUNCTION("GOOGLETRANSLATE(B7803,""en"",""it"")"),"Comincia a roteare il suo testimone e muovere il suo corpo a lungo con le lanci e tutto il resto.")</f>
        <v>Comincia a roteare il suo testimone e muovere il suo corpo a lungo con le lanci e tutto il resto.</v>
      </c>
    </row>
    <row r="7804">
      <c r="A7804" s="4" t="s">
        <v>9811</v>
      </c>
      <c r="B7804" s="4" t="s">
        <v>9814</v>
      </c>
      <c r="C7804" s="5" t="str">
        <f>IFERROR(__xludf.DUMMYFUNCTION("GOOGLETRANSLATE(B7804,""en"",""it"")"),"Comincia a fare ruote a mano e facendo oscillare il testimone intorno al collo.")</f>
        <v>Comincia a fare ruote a mano e facendo oscillare il testimone intorno al collo.</v>
      </c>
    </row>
    <row r="7805">
      <c r="A7805" s="4" t="s">
        <v>9811</v>
      </c>
      <c r="B7805" s="4" t="s">
        <v>9815</v>
      </c>
      <c r="C7805" s="5" t="str">
        <f>IFERROR(__xludf.DUMMYFUNCTION("GOOGLETRANSLATE(B7805,""en"",""it"")"),"Fa una performance straordinaria e una volta che è finita si congela.")</f>
        <v>Fa una performance straordinaria e una volta che è finita si congela.</v>
      </c>
    </row>
    <row r="7806">
      <c r="A7806" s="4" t="s">
        <v>9816</v>
      </c>
      <c r="B7806" s="4" t="s">
        <v>9817</v>
      </c>
      <c r="C7806" s="5" t="str">
        <f>IFERROR(__xludf.DUMMYFUNCTION("GOOGLETRANSLATE(B7806,""en"",""it"")"),"Viene mostrato un uomo in marcia puntare due pistole.")</f>
        <v>Viene mostrato un uomo in marcia puntare due pistole.</v>
      </c>
    </row>
    <row r="7807">
      <c r="A7807" s="4" t="s">
        <v>9816</v>
      </c>
      <c r="B7807" s="4" t="s">
        <v>9818</v>
      </c>
      <c r="C7807" s="5" t="str">
        <f>IFERROR(__xludf.DUMMYFUNCTION("GOOGLETRANSLATE(B7807,""en"",""it"")"),"Si nasconde dietro le rocce, sgattaiolando su altri giocatori di paintball.")</f>
        <v>Si nasconde dietro le rocce, sgattaiolando su altri giocatori di paintball.</v>
      </c>
    </row>
    <row r="7808">
      <c r="A7808" s="4" t="s">
        <v>9816</v>
      </c>
      <c r="B7808" s="4" t="s">
        <v>9819</v>
      </c>
      <c r="C7808" s="5" t="str">
        <f>IFERROR(__xludf.DUMMYFUNCTION("GOOGLETRANSLATE(B7808,""en"",""it"")"),"Si sparano l'un l'altro mentre torna dietro le rocce per nascondersi.")</f>
        <v>Si sparano l'un l'altro mentre torna dietro le rocce per nascondersi.</v>
      </c>
    </row>
    <row r="7809">
      <c r="A7809" s="4" t="s">
        <v>9820</v>
      </c>
      <c r="B7809" s="6" t="s">
        <v>9821</v>
      </c>
      <c r="C7809" s="5" t="str">
        <f>IFERROR(__xludf.DUMMYFUNCTION("GOOGLETRANSLATE(B7809,""en"",""it"")"),"Una persona sta usando un ampio meccanismo di lavaggio delle finestre armate per lavare l'esterno, la parte anteriore, la finestra di vetro di un negozio di sandwich.")</f>
        <v>Una persona sta usando un ampio meccanismo di lavaggio delle finestre armate per lavare l'esterno, la parte anteriore, la finestra di vetro di un negozio di sandwich.</v>
      </c>
    </row>
    <row r="7810">
      <c r="A7810" s="4" t="s">
        <v>9820</v>
      </c>
      <c r="B7810" s="6" t="s">
        <v>9822</v>
      </c>
      <c r="C7810" s="5" t="str">
        <f>IFERROR(__xludf.DUMMYFUNCTION("GOOGLETRANSLATE(B7810,""en"",""it"")"),"La persona è un uomo con capelli grigi e occhiali e usa lo strumento per lavare la parte superiore della finestra fino alla base del vetro.")</f>
        <v>La persona è un uomo con capelli grigi e occhiali e usa lo strumento per lavare la parte superiore della finestra fino alla base del vetro.</v>
      </c>
    </row>
    <row r="7811">
      <c r="A7811" s="4" t="s">
        <v>9820</v>
      </c>
      <c r="B7811" s="6" t="s">
        <v>9823</v>
      </c>
      <c r="C7811" s="5" t="str">
        <f>IFERROR(__xludf.DUMMYFUNCTION("GOOGLETRANSLATE(B7811,""en"",""it"")"),"L'uomo continua a lavare tutti e quattro i vetri uno ad uno usando movimenti schifosi prima di lasciare la finestra e allontanarsi dal negozio.")</f>
        <v>L'uomo continua a lavare tutti e quattro i vetri uno ad uno usando movimenti schifosi prima di lasciare la finestra e allontanarsi dal negozio.</v>
      </c>
    </row>
    <row r="7812">
      <c r="A7812" s="4" t="s">
        <v>9824</v>
      </c>
      <c r="B7812" s="4" t="s">
        <v>9825</v>
      </c>
      <c r="C7812" s="5" t="str">
        <f>IFERROR(__xludf.DUMMYFUNCTION("GOOGLETRANSLATE(B7812,""en"",""it"")"),"Una bambina è seduta su un tamburo con le cuffie.")</f>
        <v>Una bambina è seduta su un tamburo con le cuffie.</v>
      </c>
    </row>
    <row r="7813">
      <c r="A7813" s="4" t="s">
        <v>9824</v>
      </c>
      <c r="B7813" s="4" t="s">
        <v>9826</v>
      </c>
      <c r="C7813" s="5" t="str">
        <f>IFERROR(__xludf.DUMMYFUNCTION("GOOGLETRANSLATE(B7813,""en"",""it"")"),"Suona la batteria e i piatti, mantenendo un battito rapido.")</f>
        <v>Suona la batteria e i piatti, mantenendo un battito rapido.</v>
      </c>
    </row>
    <row r="7814">
      <c r="A7814" s="4" t="s">
        <v>9824</v>
      </c>
      <c r="B7814" s="4" t="s">
        <v>9827</v>
      </c>
      <c r="C7814" s="5" t="str">
        <f>IFERROR(__xludf.DUMMYFUNCTION("GOOGLETRANSLATE(B7814,""en"",""it"")"),"Lei sbatte la testa avanti e indietro mentre gioca.")</f>
        <v>Lei sbatte la testa avanti e indietro mentre gioca.</v>
      </c>
    </row>
    <row r="7815">
      <c r="A7815" s="4" t="s">
        <v>9828</v>
      </c>
      <c r="B7815" s="4" t="s">
        <v>9829</v>
      </c>
      <c r="C7815" s="5" t="str">
        <f>IFERROR(__xludf.DUMMYFUNCTION("GOOGLETRANSLATE(B7815,""en"",""it"")"),"Una bambina sta giocando nella sabbia.")</f>
        <v>Una bambina sta giocando nella sabbia.</v>
      </c>
    </row>
    <row r="7816">
      <c r="A7816" s="4" t="s">
        <v>9828</v>
      </c>
      <c r="B7816" s="4" t="s">
        <v>9830</v>
      </c>
      <c r="C7816" s="5" t="str">
        <f>IFERROR(__xludf.DUMMYFUNCTION("GOOGLETRANSLATE(B7816,""en"",""it"")"),"La ragazza afferra una pala.")</f>
        <v>La ragazza afferra una pala.</v>
      </c>
    </row>
    <row r="7817">
      <c r="A7817" s="4" t="s">
        <v>9828</v>
      </c>
      <c r="B7817" s="4" t="s">
        <v>9831</v>
      </c>
      <c r="C7817" s="5" t="str">
        <f>IFERROR(__xludf.DUMMYFUNCTION("GOOGLETRANSLATE(B7817,""en"",""it"")"),"Una persona cammina davanti alla telecamera.")</f>
        <v>Una persona cammina davanti alla telecamera.</v>
      </c>
    </row>
    <row r="7818">
      <c r="A7818" s="4" t="s">
        <v>9828</v>
      </c>
      <c r="B7818" s="4" t="s">
        <v>9832</v>
      </c>
      <c r="C7818" s="5" t="str">
        <f>IFERROR(__xludf.DUMMYFUNCTION("GOOGLETRANSLATE(B7818,""en"",""it"")"),"La fotocamera piova in acqua.")</f>
        <v>La fotocamera piova in acqua.</v>
      </c>
    </row>
    <row r="7819">
      <c r="A7819" s="4" t="s">
        <v>9828</v>
      </c>
      <c r="B7819" s="4" t="s">
        <v>9833</v>
      </c>
      <c r="C7819" s="5" t="str">
        <f>IFERROR(__xludf.DUMMYFUNCTION("GOOGLETRANSLATE(B7819,""en"",""it"")"),"La ragazza cammina in acqua.")</f>
        <v>La ragazza cammina in acqua.</v>
      </c>
    </row>
    <row r="7820">
      <c r="A7820" s="4" t="s">
        <v>9828</v>
      </c>
      <c r="B7820" s="4" t="s">
        <v>9834</v>
      </c>
      <c r="C7820" s="5" t="str">
        <f>IFERROR(__xludf.DUMMYFUNCTION("GOOGLETRANSLATE(B7820,""en"",""it"")"),"La ragazza entra in acqua.")</f>
        <v>La ragazza entra in acqua.</v>
      </c>
    </row>
    <row r="7821">
      <c r="A7821" s="4" t="s">
        <v>9835</v>
      </c>
      <c r="B7821" s="4" t="s">
        <v>9836</v>
      </c>
      <c r="C7821" s="5" t="str">
        <f>IFERROR(__xludf.DUMMYFUNCTION("GOOGLETRANSLATE(B7821,""en"",""it"")"),"Un'introduzione arriva sullo schermo per una presentazione sulla riparazione automatica.")</f>
        <v>Un'introduzione arriva sullo schermo per una presentazione sulla riparazione automatica.</v>
      </c>
    </row>
    <row r="7822">
      <c r="A7822" s="4" t="s">
        <v>9835</v>
      </c>
      <c r="B7822" s="4" t="s">
        <v>9837</v>
      </c>
      <c r="C7822" s="5" t="str">
        <f>IFERROR(__xludf.DUMMYFUNCTION("GOOGLETRANSLATE(B7822,""en"",""it"")"),"Il video mostra diverse parti dell'auto su cui si sta lavorando.")</f>
        <v>Il video mostra diverse parti dell'auto su cui si sta lavorando.</v>
      </c>
    </row>
    <row r="7823">
      <c r="A7823" s="4" t="s">
        <v>9835</v>
      </c>
      <c r="B7823" s="4" t="s">
        <v>9838</v>
      </c>
      <c r="C7823" s="5" t="str">
        <f>IFERROR(__xludf.DUMMYFUNCTION("GOOGLETRANSLATE(B7823,""en"",""it"")"),"Il meccanismo di fissaggio di A Dent è collegato alle auto per mostrare come funziona per riparare una ruota.")</f>
        <v>Il meccanismo di fissaggio di A Dent è collegato alle auto per mostrare come funziona per riparare una ruota.</v>
      </c>
    </row>
    <row r="7824">
      <c r="A7824" s="4" t="s">
        <v>9835</v>
      </c>
      <c r="B7824" s="4" t="s">
        <v>9839</v>
      </c>
      <c r="C7824" s="5" t="str">
        <f>IFERROR(__xludf.DUMMYFUNCTION("GOOGLETRANSLATE(B7824,""en"",""it"")"),"Quindi mostra un'altra ruota riparata dallo stesso meccanismo.")</f>
        <v>Quindi mostra un'altra ruota riparata dallo stesso meccanismo.</v>
      </c>
    </row>
    <row r="7825">
      <c r="A7825" s="4" t="s">
        <v>9835</v>
      </c>
      <c r="B7825" s="4" t="s">
        <v>9840</v>
      </c>
      <c r="C7825" s="5" t="str">
        <f>IFERROR(__xludf.DUMMYFUNCTION("GOOGLETRANSLATE(B7825,""en"",""it"")"),"Successivamente, i crediti di chiusura per il video vengono visualizzati sullo schermo.")</f>
        <v>Successivamente, i crediti di chiusura per il video vengono visualizzati sullo schermo.</v>
      </c>
    </row>
    <row r="7826">
      <c r="A7826" s="4" t="s">
        <v>9841</v>
      </c>
      <c r="B7826" s="4" t="s">
        <v>1487</v>
      </c>
      <c r="C7826" s="5" t="str">
        <f>IFERROR(__xludf.DUMMYFUNCTION("GOOGLETRANSLATE(B7826,""en"",""it"")"),"Vediamo una schermata del titolo di apertura.")</f>
        <v>Vediamo una schermata del titolo di apertura.</v>
      </c>
    </row>
    <row r="7827">
      <c r="A7827" s="4" t="s">
        <v>9841</v>
      </c>
      <c r="B7827" s="4" t="s">
        <v>9842</v>
      </c>
      <c r="C7827" s="5" t="str">
        <f>IFERROR(__xludf.DUMMYFUNCTION("GOOGLETRANSLATE(B7827,""en"",""it"")"),"Vediamo due donne che ballano in un campo.")</f>
        <v>Vediamo due donne che ballano in un campo.</v>
      </c>
    </row>
    <row r="7828">
      <c r="A7828" s="4" t="s">
        <v>9841</v>
      </c>
      <c r="B7828" s="4" t="s">
        <v>9843</v>
      </c>
      <c r="C7828" s="5" t="str">
        <f>IFERROR(__xludf.DUMMYFUNCTION("GOOGLETRANSLATE(B7828,""en"",""it"")"),"Passiamo alle donne che ballano attorno a un toro in una scorza.")</f>
        <v>Passiamo alle donne che ballano attorno a un toro in una scorza.</v>
      </c>
    </row>
    <row r="7829">
      <c r="A7829" s="4" t="s">
        <v>9841</v>
      </c>
      <c r="B7829" s="4" t="s">
        <v>9844</v>
      </c>
      <c r="C7829" s="5" t="str">
        <f>IFERROR(__xludf.DUMMYFUNCTION("GOOGLETRANSLATE(B7829,""en"",""it"")"),"Vediamo che le donne si trovino una accanto all'altra.")</f>
        <v>Vediamo che le donne si trovino una accanto all'altra.</v>
      </c>
    </row>
    <row r="7830">
      <c r="A7830" s="4" t="s">
        <v>9841</v>
      </c>
      <c r="B7830" s="4" t="s">
        <v>9845</v>
      </c>
      <c r="C7830" s="5" t="str">
        <f>IFERROR(__xludf.DUMMYFUNCTION("GOOGLETRANSLATE(B7830,""en"",""it"")"),"Vediamo le donne in ginocchio sul campo.")</f>
        <v>Vediamo le donne in ginocchio sul campo.</v>
      </c>
    </row>
    <row r="7831">
      <c r="A7831" s="4" t="s">
        <v>9841</v>
      </c>
      <c r="B7831" s="4" t="s">
        <v>9846</v>
      </c>
      <c r="C7831" s="5" t="str">
        <f>IFERROR(__xludf.DUMMYFUNCTION("GOOGLETRANSLATE(B7831,""en"",""it"")"),"Vediamo tre donne sul campo.")</f>
        <v>Vediamo tre donne sul campo.</v>
      </c>
    </row>
    <row r="7832">
      <c r="A7832" s="4" t="s">
        <v>9841</v>
      </c>
      <c r="B7832" s="4" t="s">
        <v>9847</v>
      </c>
      <c r="C7832" s="5" t="str">
        <f>IFERROR(__xludf.DUMMYFUNCTION("GOOGLETRANSLATE(B7832,""en"",""it"")"),"Vediamo due signore ballare.")</f>
        <v>Vediamo due signore ballare.</v>
      </c>
    </row>
    <row r="7833">
      <c r="A7833" s="4" t="s">
        <v>9841</v>
      </c>
      <c r="B7833" s="4" t="s">
        <v>9848</v>
      </c>
      <c r="C7833" s="5" t="str">
        <f>IFERROR(__xludf.DUMMYFUNCTION("GOOGLETRANSLATE(B7833,""en"",""it"")"),"Vediamo gli schermi di chiusura.")</f>
        <v>Vediamo gli schermi di chiusura.</v>
      </c>
    </row>
    <row r="7834">
      <c r="A7834" s="4" t="s">
        <v>9849</v>
      </c>
      <c r="B7834" s="4" t="s">
        <v>9850</v>
      </c>
      <c r="C7834" s="5" t="str">
        <f>IFERROR(__xludf.DUMMYFUNCTION("GOOGLETRANSLATE(B7834,""en"",""it"")"),"Le persone stanno salendo le rocce.")</f>
        <v>Le persone stanno salendo le rocce.</v>
      </c>
    </row>
    <row r="7835">
      <c r="A7835" s="4" t="s">
        <v>9849</v>
      </c>
      <c r="B7835" s="4" t="s">
        <v>9851</v>
      </c>
      <c r="C7835" s="5" t="str">
        <f>IFERROR(__xludf.DUMMYFUNCTION("GOOGLETRANSLATE(B7835,""en"",""it"")"),"Una persona cade dalla roccia nell'acqua sottostante.")</f>
        <v>Una persona cade dalla roccia nell'acqua sottostante.</v>
      </c>
    </row>
    <row r="7836">
      <c r="A7836" s="4" t="s">
        <v>9852</v>
      </c>
      <c r="B7836" s="4" t="s">
        <v>9853</v>
      </c>
      <c r="C7836" s="5" t="str">
        <f>IFERROR(__xludf.DUMMYFUNCTION("GOOGLETRANSLATE(B7836,""en"",""it"")"),"Un uomo si siede con la gamba su una sedia.")</f>
        <v>Un uomo si siede con la gamba su una sedia.</v>
      </c>
    </row>
    <row r="7837">
      <c r="A7837" s="4" t="s">
        <v>9852</v>
      </c>
      <c r="B7837" s="4" t="s">
        <v>9854</v>
      </c>
      <c r="C7837" s="5" t="str">
        <f>IFERROR(__xludf.DUMMYFUNCTION("GOOGLETRANSLATE(B7837,""en"",""it"")"),"Una persona mette le strisce di ceretta sulla gamba e toglie i capelli.")</f>
        <v>Una persona mette le strisce di ceretta sulla gamba e toglie i capelli.</v>
      </c>
    </row>
    <row r="7838">
      <c r="A7838" s="4" t="s">
        <v>9852</v>
      </c>
      <c r="B7838" s="4" t="s">
        <v>9855</v>
      </c>
      <c r="C7838" s="5" t="str">
        <f>IFERROR(__xludf.DUMMYFUNCTION("GOOGLETRANSLATE(B7838,""en"",""it"")"),"Si mette la camicia sul viso.")</f>
        <v>Si mette la camicia sul viso.</v>
      </c>
    </row>
    <row r="7839">
      <c r="A7839" s="4" t="s">
        <v>9856</v>
      </c>
      <c r="B7839" s="6" t="s">
        <v>9857</v>
      </c>
      <c r="C7839" s="5" t="str">
        <f>IFERROR(__xludf.DUMMYFUNCTION("GOOGLETRANSLATE(B7839,""en"",""it"")"),"Una persona che indossa un costume si vede in piedi e si posa all'interno di una canoa e alla fine si spinge lungo il fiume.")</f>
        <v>Una persona che indossa un costume si vede in piedi e si posa all'interno di una canoa e alla fine si spinge lungo il fiume.</v>
      </c>
    </row>
    <row r="7840">
      <c r="A7840" s="4" t="s">
        <v>9856</v>
      </c>
      <c r="B7840" s="6" t="s">
        <v>9858</v>
      </c>
      <c r="C7840" s="5" t="str">
        <f>IFERROR(__xludf.DUMMYFUNCTION("GOOGLETRANSLATE(B7840,""en"",""it"")"),"La persona si muove lentamente sulla canoa e la telecamera lo segue muovendosi lungo l'acqua nella canoa.")</f>
        <v>La persona si muove lentamente sulla canoa e la telecamera lo segue muovendosi lungo l'acqua nella canoa.</v>
      </c>
    </row>
    <row r="7841">
      <c r="A7841" s="4" t="s">
        <v>9859</v>
      </c>
      <c r="B7841" s="6" t="s">
        <v>9860</v>
      </c>
      <c r="C7841" s="5" t="str">
        <f>IFERROR(__xludf.DUMMYFUNCTION("GOOGLETRANSLATE(B7841,""en"",""it"")"),"Due uomini vengono visti esibirsi l'arte marziale l'una contro l'altra e conduce a parlare di un uomo.")</f>
        <v>Due uomini vengono visti esibirsi l'arte marziale l'una contro l'altra e conduce a parlare di un uomo.</v>
      </c>
    </row>
    <row r="7842">
      <c r="A7842" s="4" t="s">
        <v>9859</v>
      </c>
      <c r="B7842" s="6" t="s">
        <v>9861</v>
      </c>
      <c r="C7842" s="5" t="str">
        <f>IFERROR(__xludf.DUMMYFUNCTION("GOOGLETRANSLATE(B7842,""en"",""it"")"),"L'uomo dimostra quindi diverse mosse di arti marziali con un altro uomo mentre parla ancora alla telecamera.")</f>
        <v>L'uomo dimostra quindi diverse mosse di arti marziali con un altro uomo mentre parla ancora alla telecamera.</v>
      </c>
    </row>
    <row r="7843">
      <c r="A7843" s="4" t="s">
        <v>9859</v>
      </c>
      <c r="B7843" s="4" t="s">
        <v>9862</v>
      </c>
      <c r="C7843" s="5" t="str">
        <f>IFERROR(__xludf.DUMMYFUNCTION("GOOGLETRANSLATE(B7843,""en"",""it"")"),"L'uomo continua questi movimenti mentre si ferma per dimostrare come viene fatto correttamente.")</f>
        <v>L'uomo continua questi movimenti mentre si ferma per dimostrare come viene fatto correttamente.</v>
      </c>
    </row>
    <row r="7844">
      <c r="A7844" s="4" t="s">
        <v>9863</v>
      </c>
      <c r="B7844" s="4" t="s">
        <v>9864</v>
      </c>
      <c r="C7844" s="5" t="str">
        <f>IFERROR(__xludf.DUMMYFUNCTION("GOOGLETRANSLATE(B7844,""en"",""it"")"),"Le persone stanno giocando a calcio in un'arena indoor.")</f>
        <v>Le persone stanno giocando a calcio in un'arena indoor.</v>
      </c>
    </row>
    <row r="7845">
      <c r="A7845" s="4" t="s">
        <v>9863</v>
      </c>
      <c r="B7845" s="4" t="s">
        <v>9865</v>
      </c>
      <c r="C7845" s="5" t="str">
        <f>IFERROR(__xludf.DUMMYFUNCTION("GOOGLETRANSLATE(B7845,""en"",""it"")"),"Un uomo raccoglie la palla e la lancia qualcun altro.")</f>
        <v>Un uomo raccoglie la palla e la lancia qualcun altro.</v>
      </c>
    </row>
    <row r="7846">
      <c r="A7846" s="4" t="s">
        <v>9863</v>
      </c>
      <c r="B7846" s="4" t="s">
        <v>9866</v>
      </c>
      <c r="C7846" s="5" t="str">
        <f>IFERROR(__xludf.DUMMYFUNCTION("GOOGLETRANSLATE(B7846,""en"",""it"")"),"Le persone cadono sul pavimento dell'arena.")</f>
        <v>Le persone cadono sul pavimento dell'arena.</v>
      </c>
    </row>
    <row r="7847">
      <c r="A7847" s="4" t="s">
        <v>9867</v>
      </c>
      <c r="B7847" s="4" t="s">
        <v>9868</v>
      </c>
      <c r="C7847" s="5" t="str">
        <f>IFERROR(__xludf.DUMMYFUNCTION("GOOGLETRANSLATE(B7847,""en"",""it"")"),"I ragazzi stanno in piedi in un campo indoor.")</f>
        <v>I ragazzi stanno in piedi in un campo indoor.</v>
      </c>
    </row>
    <row r="7848">
      <c r="A7848" s="4" t="s">
        <v>9867</v>
      </c>
      <c r="B7848" s="6" t="s">
        <v>9869</v>
      </c>
      <c r="C7848" s="5" t="str">
        <f>IFERROR(__xludf.DUMMYFUNCTION("GOOGLETRANSLATE(B7848,""en"",""it"")"),"Due ragazzi giocano a Relay Soccer, un atleta tocca le mani del suo avversario e di un portiere prima di calciare una palla servita.")</f>
        <v>Due ragazzi giocano a Relay Soccer, un atleta tocca le mani del suo avversario e di un portiere prima di calciare una palla servita.</v>
      </c>
    </row>
    <row r="7849">
      <c r="A7849" s="4" t="s">
        <v>9867</v>
      </c>
      <c r="B7849" s="4" t="s">
        <v>9870</v>
      </c>
      <c r="C7849" s="5" t="str">
        <f>IFERROR(__xludf.DUMMYFUNCTION("GOOGLETRANSLATE(B7849,""en"",""it"")"),"Un giocatore prende a calci la palla verso il portiere del Center Court.")</f>
        <v>Un giocatore prende a calci la palla verso il portiere del Center Court.</v>
      </c>
    </row>
    <row r="7850">
      <c r="A7850" s="4" t="s">
        <v>9867</v>
      </c>
      <c r="B7850" s="4" t="s">
        <v>9871</v>
      </c>
      <c r="C7850" s="5" t="str">
        <f>IFERROR(__xludf.DUMMYFUNCTION("GOOGLETRANSLATE(B7850,""en"",""it"")"),"I ragazzi si fermano per un breve periodo.")</f>
        <v>I ragazzi si fermano per un breve periodo.</v>
      </c>
    </row>
    <row r="7851">
      <c r="A7851" s="4" t="s">
        <v>9872</v>
      </c>
      <c r="B7851" s="4" t="s">
        <v>9873</v>
      </c>
      <c r="C7851" s="5" t="str">
        <f>IFERROR(__xludf.DUMMYFUNCTION("GOOGLETRANSLATE(B7851,""en"",""it"")"),"Un uomo spinge un tosaerba che taglia un'alta macchia di erbacce in un cortile.")</f>
        <v>Un uomo spinge un tosaerba che taglia un'alta macchia di erbacce in un cortile.</v>
      </c>
    </row>
    <row r="7852">
      <c r="A7852" s="4" t="s">
        <v>9872</v>
      </c>
      <c r="B7852" s="4" t="s">
        <v>9874</v>
      </c>
      <c r="C7852" s="5" t="str">
        <f>IFERROR(__xludf.DUMMYFUNCTION("GOOGLETRANSLATE(B7852,""en"",""it"")"),"L'uomo gira il tosaerba dalla sua parte, quindi elimina l'erba aggrovigliata.")</f>
        <v>L'uomo gira il tosaerba dalla sua parte, quindi elimina l'erba aggrovigliata.</v>
      </c>
    </row>
    <row r="7853">
      <c r="A7853" s="4" t="s">
        <v>9872</v>
      </c>
      <c r="B7853" s="6" t="s">
        <v>9875</v>
      </c>
      <c r="C7853" s="5" t="str">
        <f>IFERROR(__xludf.DUMMYFUNCTION("GOOGLETRANSLATE(B7853,""en"",""it"")"),"L'uomo fa il backup e fa oscillare il tosaerba in un cerchio e gira il tosaerba nella direzione opposta.")</f>
        <v>L'uomo fa il backup e fa oscillare il tosaerba in un cerchio e gira il tosaerba nella direzione opposta.</v>
      </c>
    </row>
    <row r="7854">
      <c r="A7854" s="4" t="s">
        <v>9876</v>
      </c>
      <c r="B7854" s="4" t="s">
        <v>9877</v>
      </c>
      <c r="C7854" s="5" t="str">
        <f>IFERROR(__xludf.DUMMYFUNCTION("GOOGLETRANSLATE(B7854,""en"",""it"")"),"Vengono mostrati vari cupcakes seduti su un piatto e si presentano le lettere affermando come realizzarli.")</f>
        <v>Vengono mostrati vari cupcakes seduti su un piatto e si presentano le lettere affermando come realizzarli.</v>
      </c>
    </row>
    <row r="7855">
      <c r="A7855" s="4" t="s">
        <v>9876</v>
      </c>
      <c r="B7855" s="4" t="s">
        <v>9878</v>
      </c>
      <c r="C7855" s="5" t="str">
        <f>IFERROR(__xludf.DUMMYFUNCTION("GOOGLETRANSLATE(B7855,""en"",""it"")"),"Vengono mostrati diversi ingredienti e la persona che mescola gli ingredienti in una ciotola.")</f>
        <v>Vengono mostrati diversi ingredienti e la persona che mescola gli ingredienti in una ciotola.</v>
      </c>
    </row>
    <row r="7856">
      <c r="A7856" s="4" t="s">
        <v>9876</v>
      </c>
      <c r="B7856" s="4" t="s">
        <v>9879</v>
      </c>
      <c r="C7856" s="5" t="str">
        <f>IFERROR(__xludf.DUMMYFUNCTION("GOOGLETRANSLATE(B7856,""en"",""it"")"),"La persona fonde tutti gli ingredienti e li mette in una padella per cucinare.")</f>
        <v>La persona fonde tutti gli ingredienti e li mette in una padella per cucinare.</v>
      </c>
    </row>
    <row r="7857">
      <c r="A7857" s="4" t="s">
        <v>9876</v>
      </c>
      <c r="B7857" s="4" t="s">
        <v>9880</v>
      </c>
      <c r="C7857" s="5" t="str">
        <f>IFERROR(__xludf.DUMMYFUNCTION("GOOGLETRANSLATE(B7857,""en"",""it"")"),"I cupcakes sono finalmente cotti e messi su un piatto per divertirsi.")</f>
        <v>I cupcakes sono finalmente cotti e messi su un piatto per divertirsi.</v>
      </c>
    </row>
    <row r="7858">
      <c r="A7858" s="4" t="s">
        <v>9881</v>
      </c>
      <c r="B7858" s="4" t="s">
        <v>9882</v>
      </c>
      <c r="C7858" s="5" t="str">
        <f>IFERROR(__xludf.DUMMYFUNCTION("GOOGLETRANSLATE(B7858,""en"",""it"")"),"Vengono mostrate diverse immagini di unghie ravvicinate e conducono in una persona che dipinge il testo su un chiodo.")</f>
        <v>Vengono mostrate diverse immagini di unghie ravvicinate e conducono in una persona che dipinge il testo su un chiodo.</v>
      </c>
    </row>
    <row r="7859">
      <c r="A7859" s="4" t="s">
        <v>9881</v>
      </c>
      <c r="B7859" s="4" t="s">
        <v>9883</v>
      </c>
      <c r="C7859" s="5" t="str">
        <f>IFERROR(__xludf.DUMMYFUNCTION("GOOGLETRANSLATE(B7859,""en"",""it"")"),"La persona mostra i primi piani di smalto e continua a dipingere sull'unghia.")</f>
        <v>La persona mostra i primi piani di smalto e continua a dipingere sull'unghia.</v>
      </c>
    </row>
    <row r="7860">
      <c r="A7860" s="4" t="s">
        <v>9881</v>
      </c>
      <c r="B7860" s="4" t="s">
        <v>9884</v>
      </c>
      <c r="C7860" s="5" t="str">
        <f>IFERROR(__xludf.DUMMYFUNCTION("GOOGLETRANSLATE(B7860,""en"",""it"")"),"La donna finisce il suo design e mostra un'altra foto di unghie.")</f>
        <v>La donna finisce il suo design e mostra un'altra foto di unghie.</v>
      </c>
    </row>
    <row r="7861">
      <c r="A7861" s="4" t="s">
        <v>9885</v>
      </c>
      <c r="B7861" s="4" t="s">
        <v>9886</v>
      </c>
      <c r="C7861" s="5" t="str">
        <f>IFERROR(__xludf.DUMMYFUNCTION("GOOGLETRANSLATE(B7861,""en"",""it"")"),"Un uomo si siede in un kayak e tiene il suo remo in un fiume che mostra come usarlo correttamente.")</f>
        <v>Un uomo si siede in un kayak e tiene il suo remo in un fiume che mostra come usarlo correttamente.</v>
      </c>
    </row>
    <row r="7862">
      <c r="A7862" s="4" t="s">
        <v>9885</v>
      </c>
      <c r="B7862" s="4" t="s">
        <v>9887</v>
      </c>
      <c r="C7862" s="5" t="str">
        <f>IFERROR(__xludf.DUMMYFUNCTION("GOOGLETRANSLATE(B7862,""en"",""it"")"),"L'uomo si appoggia nel suo kayak per mostrare tecniche di equilibrio.")</f>
        <v>L'uomo si appoggia nel suo kayak per mostrare tecniche di equilibrio.</v>
      </c>
    </row>
    <row r="7863">
      <c r="A7863" s="4" t="s">
        <v>9885</v>
      </c>
      <c r="B7863" s="6" t="s">
        <v>9888</v>
      </c>
      <c r="C7863" s="5" t="str">
        <f>IFERROR(__xludf.DUMMYFUNCTION("GOOGLETRANSLATE(B7863,""en"",""it"")"),"Il pilota di kayak pagava nel lavaggio bianco sotto una caduta d'acqua e si gira di nuovo di nuovo.")</f>
        <v>Il pilota di kayak pagava nel lavaggio bianco sotto una caduta d'acqua e si gira di nuovo di nuovo.</v>
      </c>
    </row>
    <row r="7864">
      <c r="A7864" s="4" t="s">
        <v>9889</v>
      </c>
      <c r="B7864" s="4" t="s">
        <v>9890</v>
      </c>
      <c r="C7864" s="5" t="str">
        <f>IFERROR(__xludf.DUMMYFUNCTION("GOOGLETRANSLATE(B7864,""en"",""it"")"),"Un uomo viene visto camminare con una sedia e lo mette nel mezzo di una corsia da bowling.")</f>
        <v>Un uomo viene visto camminare con una sedia e lo mette nel mezzo di una corsia da bowling.</v>
      </c>
    </row>
    <row r="7865">
      <c r="A7865" s="4" t="s">
        <v>9889</v>
      </c>
      <c r="B7865" s="4" t="s">
        <v>9891</v>
      </c>
      <c r="C7865" s="5" t="str">
        <f>IFERROR(__xludf.DUMMYFUNCTION("GOOGLETRANSLATE(B7865,""en"",""it"")"),"Allontana il pubblico e lancia la palla sulla sedia e colpisce tutti i perni.")</f>
        <v>Allontana il pubblico e lancia la palla sulla sedia e colpisce tutti i perni.</v>
      </c>
    </row>
    <row r="7866">
      <c r="A7866" s="4" t="s">
        <v>9889</v>
      </c>
      <c r="B7866" s="4" t="s">
        <v>9892</v>
      </c>
      <c r="C7866" s="5" t="str">
        <f>IFERROR(__xludf.DUMMYFUNCTION("GOOGLETRANSLATE(B7866,""en"",""it"")"),"Lo stesso tiro viene mostrato più volte e si siede sulla sedia ridendo.")</f>
        <v>Lo stesso tiro viene mostrato più volte e si siede sulla sedia ridendo.</v>
      </c>
    </row>
    <row r="7867">
      <c r="A7867" s="4" t="s">
        <v>9893</v>
      </c>
      <c r="B7867" s="4" t="s">
        <v>9894</v>
      </c>
      <c r="C7867" s="5" t="str">
        <f>IFERROR(__xludf.DUMMYFUNCTION("GOOGLETRANSLATE(B7867,""en"",""it"")"),"Una pagina del titolo piova nelle mani con un pennello con un ritratto sullo sfondo.")</f>
        <v>Una pagina del titolo piova nelle mani con un pennello con un ritratto sullo sfondo.</v>
      </c>
    </row>
    <row r="7868">
      <c r="A7868" s="4" t="s">
        <v>9893</v>
      </c>
      <c r="B7868" s="4" t="s">
        <v>9895</v>
      </c>
      <c r="C7868" s="5" t="str">
        <f>IFERROR(__xludf.DUMMYFUNCTION("GOOGLETRANSLATE(B7868,""en"",""it"")"),"Tiene un'altra foto accanto a lei e spinge il pennello in vernice.")</f>
        <v>Tiene un'altra foto accanto a lei e spinge il pennello in vernice.</v>
      </c>
    </row>
    <row r="7869">
      <c r="A7869" s="4" t="s">
        <v>9893</v>
      </c>
      <c r="B7869" s="4" t="s">
        <v>9896</v>
      </c>
      <c r="C7869" s="5" t="str">
        <f>IFERROR(__xludf.DUMMYFUNCTION("GOOGLETRANSLATE(B7869,""en"",""it"")"),"Quindi inizia a dipingere l'immagine e aggiungendo più colore al ritratto.")</f>
        <v>Quindi inizia a dipingere l'immagine e aggiungendo più colore al ritratto.</v>
      </c>
    </row>
    <row r="7870">
      <c r="A7870" s="4" t="s">
        <v>9897</v>
      </c>
      <c r="B7870" s="6" t="s">
        <v>9898</v>
      </c>
      <c r="C7870" s="5" t="str">
        <f>IFERROR(__xludf.DUMMYFUNCTION("GOOGLETRANSLATE(B7870,""en"",""it"")"),"Un folto gruppo di persone viene visto giocare a hockey in un'arena eseguendo vari trucchi con il disco.")</f>
        <v>Un folto gruppo di persone viene visto giocare a hockey in un'arena eseguendo vari trucchi con il disco.</v>
      </c>
    </row>
    <row r="7871">
      <c r="A7871" s="4" t="s">
        <v>9897</v>
      </c>
      <c r="B7871" s="6" t="s">
        <v>9899</v>
      </c>
      <c r="C7871" s="5" t="str">
        <f>IFERROR(__xludf.DUMMYFUNCTION("GOOGLETRANSLATE(B7871,""en"",""it"")"),"Gli uomini continuano a colpire il disco l'uno attorno all'altro mentre la telecamera li cattura da diversi lati.")</f>
        <v>Gli uomini continuano a colpire il disco l'uno attorno all'altro mentre la telecamera li cattura da diversi lati.</v>
      </c>
    </row>
    <row r="7872">
      <c r="A7872" s="4" t="s">
        <v>9897</v>
      </c>
      <c r="B7872" s="4" t="s">
        <v>9900</v>
      </c>
      <c r="C7872" s="5" t="str">
        <f>IFERROR(__xludf.DUMMYFUNCTION("GOOGLETRANSLATE(B7872,""en"",""it"")"),"L'uomo spinge il disco più sopra e sotto gli ostacoli.")</f>
        <v>L'uomo spinge il disco più sopra e sotto gli ostacoli.</v>
      </c>
    </row>
    <row r="7873">
      <c r="A7873" s="4" t="s">
        <v>9901</v>
      </c>
      <c r="B7873" s="6" t="s">
        <v>9902</v>
      </c>
      <c r="C7873" s="5" t="str">
        <f>IFERROR(__xludf.DUMMYFUNCTION("GOOGLETRANSLATE(B7873,""en"",""it"")"),"Innanzitutto c'è uno schermo mostrato per un piccolo tempo per far sapere agli spettatori di cosa si tratta.")</f>
        <v>Innanzitutto c'è uno schermo mostrato per un piccolo tempo per far sapere agli spettatori di cosa si tratta.</v>
      </c>
    </row>
    <row r="7874">
      <c r="A7874" s="4" t="s">
        <v>9901</v>
      </c>
      <c r="B7874" s="4" t="s">
        <v>9903</v>
      </c>
      <c r="C7874" s="5" t="str">
        <f>IFERROR(__xludf.DUMMYFUNCTION("GOOGLETRANSLATE(B7874,""en"",""it"")"),"Poi c'è un uomo che cavalca diversi cavalli in diverse impostazioni in cui le persone li guardano.")</f>
        <v>Poi c'è un uomo che cavalca diversi cavalli in diverse impostazioni in cui le persone li guardano.</v>
      </c>
    </row>
    <row r="7875">
      <c r="A7875" s="4" t="s">
        <v>9901</v>
      </c>
      <c r="B7875" s="6" t="s">
        <v>9904</v>
      </c>
      <c r="C7875" s="5" t="str">
        <f>IFERROR(__xludf.DUMMYFUNCTION("GOOGLETRANSLATE(B7875,""en"",""it"")"),"Nel primo, il cavallo corre con lui sulla schiena e cerca di saltare su un ostacolo di legno, ma fallisce e ci sono molti altri fallimenti.")</f>
        <v>Nel primo, il cavallo corre con lui sulla schiena e cerca di saltare su un ostacolo di legno, ma fallisce e ci sono molti altri fallimenti.</v>
      </c>
    </row>
    <row r="7876">
      <c r="A7876" s="4" t="s">
        <v>9905</v>
      </c>
      <c r="B7876" s="4" t="s">
        <v>9906</v>
      </c>
      <c r="C7876" s="5" t="str">
        <f>IFERROR(__xludf.DUMMYFUNCTION("GOOGLETRANSLATE(B7876,""en"",""it"")"),"Un uomo con i capelli ricci viene visto parlare alla telecamera con una seria convinzione.")</f>
        <v>Un uomo con i capelli ricci viene visto parlare alla telecamera con una seria convinzione.</v>
      </c>
    </row>
    <row r="7877">
      <c r="A7877" s="4" t="s">
        <v>9905</v>
      </c>
      <c r="B7877" s="4" t="s">
        <v>9907</v>
      </c>
      <c r="C7877" s="5" t="str">
        <f>IFERROR(__xludf.DUMMYFUNCTION("GOOGLETRANSLATE(B7877,""en"",""it"")"),"Quindi si sfiora tra i capelli con un cane in cornice e si mostra i suoi capelli poofy.")</f>
        <v>Quindi si sfiora tra i capelli con un cane in cornice e si mostra i suoi capelli poofy.</v>
      </c>
    </row>
    <row r="7878">
      <c r="A7878" s="4" t="s">
        <v>9905</v>
      </c>
      <c r="B7878" s="4" t="s">
        <v>9908</v>
      </c>
      <c r="C7878" s="5" t="str">
        <f>IFERROR(__xludf.DUMMYFUNCTION("GOOGLETRANSLATE(B7878,""en"",""it"")"),"Quindi viene visto di nuovo con i capelli bagnati e chiude gli occhi alla telecamera.")</f>
        <v>Quindi viene visto di nuovo con i capelli bagnati e chiude gli occhi alla telecamera.</v>
      </c>
    </row>
    <row r="7879">
      <c r="A7879" s="4" t="s">
        <v>9909</v>
      </c>
      <c r="B7879" s="4" t="s">
        <v>9910</v>
      </c>
      <c r="C7879" s="5" t="str">
        <f>IFERROR(__xludf.DUMMYFUNCTION("GOOGLETRANSLATE(B7879,""en"",""it"")"),"Un uomo salta su un raggio di equilibrio.")</f>
        <v>Un uomo salta su un raggio di equilibrio.</v>
      </c>
    </row>
    <row r="7880">
      <c r="A7880" s="4" t="s">
        <v>9909</v>
      </c>
      <c r="B7880" s="4" t="s">
        <v>9911</v>
      </c>
      <c r="C7880" s="5" t="str">
        <f>IFERROR(__xludf.DUMMYFUNCTION("GOOGLETRANSLATE(B7880,""en"",""it"")"),"Cominciano a fare una routine di ginnastica sul raggio di equilibrio.")</f>
        <v>Cominciano a fare una routine di ginnastica sul raggio di equilibrio.</v>
      </c>
    </row>
    <row r="7881">
      <c r="A7881" s="4" t="s">
        <v>9909</v>
      </c>
      <c r="B7881" s="4" t="s">
        <v>9912</v>
      </c>
      <c r="C7881" s="5" t="str">
        <f>IFERROR(__xludf.DUMMYFUNCTION("GOOGLETRANSLATE(B7881,""en"",""it"")"),"Saltano su un tappetino accanto.")</f>
        <v>Saltano su un tappetino accanto.</v>
      </c>
    </row>
    <row r="7882">
      <c r="A7882" s="4" t="s">
        <v>9913</v>
      </c>
      <c r="B7882" s="4" t="s">
        <v>9914</v>
      </c>
      <c r="C7882" s="5" t="str">
        <f>IFERROR(__xludf.DUMMYFUNCTION("GOOGLETRANSLATE(B7882,""en"",""it"")"),"Un uomo viene visto in piedi su una corda e inizia a camminare attraverso la corda.")</f>
        <v>Un uomo viene visto in piedi su una corda e inizia a camminare attraverso la corda.</v>
      </c>
    </row>
    <row r="7883">
      <c r="A7883" s="4" t="s">
        <v>9913</v>
      </c>
      <c r="B7883" s="4" t="s">
        <v>9915</v>
      </c>
      <c r="C7883" s="5" t="str">
        <f>IFERROR(__xludf.DUMMYFUNCTION("GOOGLETRANSLATE(B7883,""en"",""it"")"),"L'uomo continua a camminare mentre la telecamera cattura i suoi movimenti.")</f>
        <v>L'uomo continua a camminare mentre la telecamera cattura i suoi movimenti.</v>
      </c>
    </row>
    <row r="7884">
      <c r="A7884" s="4" t="s">
        <v>9913</v>
      </c>
      <c r="B7884" s="4" t="s">
        <v>9916</v>
      </c>
      <c r="C7884" s="5" t="str">
        <f>IFERROR(__xludf.DUMMYFUNCTION("GOOGLETRANSLATE(B7884,""en"",""it"")"),"Cammina lungo la corda fino alla fine e salta via.")</f>
        <v>Cammina lungo la corda fino alla fine e salta via.</v>
      </c>
    </row>
    <row r="7885">
      <c r="A7885" s="4" t="s">
        <v>9917</v>
      </c>
      <c r="B7885" s="4" t="s">
        <v>9918</v>
      </c>
      <c r="C7885" s="5" t="str">
        <f>IFERROR(__xludf.DUMMYFUNCTION("GOOGLETRANSLATE(B7885,""en"",""it"")"),"Un primo piano di un portico viene mostrato con la panoramica della fotocamera tutt'intorno.")</f>
        <v>Un primo piano di un portico viene mostrato con la panoramica della fotocamera tutt'intorno.</v>
      </c>
    </row>
    <row r="7886">
      <c r="A7886" s="4" t="s">
        <v>9917</v>
      </c>
      <c r="B7886" s="4" t="s">
        <v>9919</v>
      </c>
      <c r="C7886" s="5" t="str">
        <f>IFERROR(__xludf.DUMMYFUNCTION("GOOGLETRANSLATE(B7886,""en"",""it"")"),"La telecamera cammina fino alla fine del portico.")</f>
        <v>La telecamera cammina fino alla fine del portico.</v>
      </c>
    </row>
    <row r="7887">
      <c r="A7887" s="4" t="s">
        <v>9917</v>
      </c>
      <c r="B7887" s="4" t="s">
        <v>9920</v>
      </c>
      <c r="C7887" s="5" t="str">
        <f>IFERROR(__xludf.DUMMYFUNCTION("GOOGLETRANSLATE(B7887,""en"",""it"")"),"La fotocamera si gira mentre si guarda ancora al portico.")</f>
        <v>La fotocamera si gira mentre si guarda ancora al portico.</v>
      </c>
    </row>
    <row r="7888">
      <c r="A7888" s="4" t="s">
        <v>9921</v>
      </c>
      <c r="B7888" s="4" t="s">
        <v>9922</v>
      </c>
      <c r="C7888" s="5" t="str">
        <f>IFERROR(__xludf.DUMMYFUNCTION("GOOGLETRANSLATE(B7888,""en"",""it"")"),"I bambini giocano sulla spiaggia.")</f>
        <v>I bambini giocano sulla spiaggia.</v>
      </c>
    </row>
    <row r="7889">
      <c r="A7889" s="4" t="s">
        <v>9921</v>
      </c>
      <c r="B7889" s="4" t="s">
        <v>9923</v>
      </c>
      <c r="C7889" s="5" t="str">
        <f>IFERROR(__xludf.DUMMYFUNCTION("GOOGLETRANSLATE(B7889,""en"",""it"")"),"Stanno costruendo un castello di sabbia.")</f>
        <v>Stanno costruendo un castello di sabbia.</v>
      </c>
    </row>
    <row r="7890">
      <c r="A7890" s="4" t="s">
        <v>9921</v>
      </c>
      <c r="B7890" s="4" t="s">
        <v>9924</v>
      </c>
      <c r="C7890" s="5" t="str">
        <f>IFERROR(__xludf.DUMMYFUNCTION("GOOGLETRANSLATE(B7890,""en"",""it"")"),"Una ragazza scarica un secchio pieno di sabbia davanti a lei.")</f>
        <v>Una ragazza scarica un secchio pieno di sabbia davanti a lei.</v>
      </c>
    </row>
    <row r="7891">
      <c r="A7891" s="4" t="s">
        <v>9925</v>
      </c>
      <c r="B7891" s="4" t="s">
        <v>9926</v>
      </c>
      <c r="C7891" s="5" t="str">
        <f>IFERROR(__xludf.DUMMYFUNCTION("GOOGLETRANSLATE(B7891,""en"",""it"")"),"Un uomo con un cappello sta parlando con una macchina fotografica.")</f>
        <v>Un uomo con un cappello sta parlando con una macchina fotografica.</v>
      </c>
    </row>
    <row r="7892">
      <c r="A7892" s="4" t="s">
        <v>9925</v>
      </c>
      <c r="B7892" s="4" t="s">
        <v>9927</v>
      </c>
      <c r="C7892" s="5" t="str">
        <f>IFERROR(__xludf.DUMMYFUNCTION("GOOGLETRANSLATE(B7892,""en"",""it"")"),"È vestito con un vestito di wrestling di sumo e gioca a arricciarsi.")</f>
        <v>È vestito con un vestito di wrestling di sumo e gioca a arricciarsi.</v>
      </c>
    </row>
    <row r="7893">
      <c r="A7893" s="4" t="s">
        <v>9925</v>
      </c>
      <c r="B7893" s="4" t="s">
        <v>9928</v>
      </c>
      <c r="C7893" s="5" t="str">
        <f>IFERROR(__xludf.DUMMYFUNCTION("GOOGLETRANSLATE(B7893,""en"",""it"")"),"Sta giocando a tennis su un campo da tennis.")</f>
        <v>Sta giocando a tennis su un campo da tennis.</v>
      </c>
    </row>
    <row r="7894">
      <c r="A7894" s="4" t="s">
        <v>9929</v>
      </c>
      <c r="B7894" s="4" t="s">
        <v>9930</v>
      </c>
      <c r="C7894" s="5" t="str">
        <f>IFERROR(__xludf.DUMMYFUNCTION("GOOGLETRANSLATE(B7894,""en"",""it"")"),"Una vista della città è vista da un grattacielo.")</f>
        <v>Una vista della città è vista da un grattacielo.</v>
      </c>
    </row>
    <row r="7895">
      <c r="A7895" s="4" t="s">
        <v>9929</v>
      </c>
      <c r="B7895" s="4" t="s">
        <v>9931</v>
      </c>
      <c r="C7895" s="5" t="str">
        <f>IFERROR(__xludf.DUMMYFUNCTION("GOOGLETRANSLATE(B7895,""en"",""it"")"),"A due uomini vengono mostrate finestre di pulizia sul lato dell'edificio.")</f>
        <v>A due uomini vengono mostrate finestre di pulizia sul lato dell'edificio.</v>
      </c>
    </row>
    <row r="7896">
      <c r="A7896" s="4" t="s">
        <v>9929</v>
      </c>
      <c r="B7896" s="4" t="s">
        <v>9932</v>
      </c>
      <c r="C7896" s="5" t="str">
        <f>IFERROR(__xludf.DUMMYFUNCTION("GOOGLETRANSLATE(B7896,""en"",""it"")"),"Squeegee e asciugano il bicchiere professionalmente.")</f>
        <v>Squeegee e asciugano il bicchiere professionalmente.</v>
      </c>
    </row>
    <row r="7897">
      <c r="A7897" s="4" t="s">
        <v>9929</v>
      </c>
      <c r="B7897" s="4" t="s">
        <v>9933</v>
      </c>
      <c r="C7897" s="5" t="str">
        <f>IFERROR(__xludf.DUMMYFUNCTION("GOOGLETRANSLATE(B7897,""en"",""it"")"),"Quindi controllano il loro lavoro prima di finire.")</f>
        <v>Quindi controllano il loro lavoro prima di finire.</v>
      </c>
    </row>
    <row r="7898">
      <c r="A7898" s="4" t="s">
        <v>9934</v>
      </c>
      <c r="B7898" s="4" t="s">
        <v>9935</v>
      </c>
      <c r="C7898" s="5" t="str">
        <f>IFERROR(__xludf.DUMMYFUNCTION("GOOGLETRANSLATE(B7898,""en"",""it"")"),"Ci sono alcune oche che volano nel cielo sopra un parco.")</f>
        <v>Ci sono alcune oche che volano nel cielo sopra un parco.</v>
      </c>
    </row>
    <row r="7899">
      <c r="A7899" s="4" t="s">
        <v>9934</v>
      </c>
      <c r="B7899" s="4" t="s">
        <v>9936</v>
      </c>
      <c r="C7899" s="5" t="str">
        <f>IFERROR(__xludf.DUMMYFUNCTION("GOOGLETRANSLATE(B7899,""en"",""it"")"),"Un uomo sta parlando nel suo microfono mentre alcuni uomini giocano a cricket dietro di lui nel parco.")</f>
        <v>Un uomo sta parlando nel suo microfono mentre alcuni uomini giocano a cricket dietro di lui nel parco.</v>
      </c>
    </row>
    <row r="7900">
      <c r="A7900" s="4" t="s">
        <v>9934</v>
      </c>
      <c r="B7900" s="6" t="s">
        <v>9937</v>
      </c>
      <c r="C7900" s="5" t="str">
        <f>IFERROR(__xludf.DUMMYFUNCTION("GOOGLETRANSLATE(B7900,""en"",""it"")"),"È una giornata di sole con oche che camminano nel parco e persone che si godono una partita casuale di cricket.")</f>
        <v>È una giornata di sole con oche che camminano nel parco e persone che si godono una partita casuale di cricket.</v>
      </c>
    </row>
    <row r="7901">
      <c r="A7901" s="4" t="s">
        <v>9934</v>
      </c>
      <c r="B7901" s="4" t="s">
        <v>9938</v>
      </c>
      <c r="C7901" s="5" t="str">
        <f>IFERROR(__xludf.DUMMYFUNCTION("GOOGLETRANSLATE(B7901,""en"",""it"")"),"C'è un uomo che colpisce la palla con la sua mazza da cricket e un'altra persona che cerca di prendere la palla.")</f>
        <v>C'è un uomo che colpisce la palla con la sua mazza da cricket e un'altra persona che cerca di prendere la palla.</v>
      </c>
    </row>
    <row r="7902">
      <c r="A7902" s="4" t="s">
        <v>9934</v>
      </c>
      <c r="B7902" s="4" t="s">
        <v>9939</v>
      </c>
      <c r="C7902" s="5" t="str">
        <f>IFERROR(__xludf.DUMMYFUNCTION("GOOGLETRANSLATE(B7902,""en"",""it"")"),"Uno scoiattolo è seduto sulla panchina del parco e si gode anche il sole.")</f>
        <v>Uno scoiattolo è seduto sulla panchina del parco e si gode anche il sole.</v>
      </c>
    </row>
    <row r="7903">
      <c r="A7903" s="4" t="s">
        <v>9940</v>
      </c>
      <c r="B7903" s="4" t="s">
        <v>9941</v>
      </c>
      <c r="C7903" s="5" t="str">
        <f>IFERROR(__xludf.DUMMYFUNCTION("GOOGLETRANSLATE(B7903,""en"",""it"")"),"Viene visto un uomo suonare un sassofono nella telecamera e conduce in lui parlando.")</f>
        <v>Viene visto un uomo suonare un sassofono nella telecamera e conduce in lui parlando.</v>
      </c>
    </row>
    <row r="7904">
      <c r="A7904" s="4" t="s">
        <v>9940</v>
      </c>
      <c r="B7904" s="4" t="s">
        <v>9942</v>
      </c>
      <c r="C7904" s="5" t="str">
        <f>IFERROR(__xludf.DUMMYFUNCTION("GOOGLETRANSLATE(B7904,""en"",""it"")"),"Vengono mostrati più colpi che suona lo strumento mentre si ferma per suonare di più.")</f>
        <v>Vengono mostrati più colpi che suona lo strumento mentre si ferma per suonare di più.</v>
      </c>
    </row>
    <row r="7905">
      <c r="A7905" s="4" t="s">
        <v>9940</v>
      </c>
      <c r="B7905" s="4" t="s">
        <v>9943</v>
      </c>
      <c r="C7905" s="5" t="str">
        <f>IFERROR(__xludf.DUMMYFUNCTION("GOOGLETRANSLATE(B7905,""en"",""it"")"),"Continua a giocare e termina sorridendo alla telecamera.")</f>
        <v>Continua a giocare e termina sorridendo alla telecamera.</v>
      </c>
    </row>
    <row r="7906">
      <c r="A7906" s="4" t="s">
        <v>9944</v>
      </c>
      <c r="B7906" s="4" t="s">
        <v>9945</v>
      </c>
      <c r="C7906" s="5" t="str">
        <f>IFERROR(__xludf.DUMMYFUNCTION("GOOGLETRANSLATE(B7906,""en"",""it"")"),"Diverse persone sono mostrate nelle foto, riunite insieme in inverno sulla neve.")</f>
        <v>Diverse persone sono mostrate nelle foto, riunite insieme in inverno sulla neve.</v>
      </c>
    </row>
    <row r="7907">
      <c r="A7907" s="4" t="s">
        <v>9944</v>
      </c>
      <c r="B7907" s="4" t="s">
        <v>9946</v>
      </c>
      <c r="C7907" s="5" t="str">
        <f>IFERROR(__xludf.DUMMYFUNCTION("GOOGLETRANSLATE(B7907,""en"",""it"")"),"Cavalcano insieme in una collina, ridendo e parlando tra loro.")</f>
        <v>Cavalcano insieme in una collina, ridendo e parlando tra loro.</v>
      </c>
    </row>
    <row r="7908">
      <c r="A7908" s="4" t="s">
        <v>9944</v>
      </c>
      <c r="B7908" s="4" t="s">
        <v>9947</v>
      </c>
      <c r="C7908" s="5" t="str">
        <f>IFERROR(__xludf.DUMMYFUNCTION("GOOGLETRANSLATE(B7908,""en"",""it"")"),"Vengono quindi mostrati dopo anche foto celebrative, posando insieme.")</f>
        <v>Vengono quindi mostrati dopo anche foto celebrative, posando insieme.</v>
      </c>
    </row>
    <row r="7909">
      <c r="A7909" s="4" t="s">
        <v>9948</v>
      </c>
      <c r="B7909" s="4" t="s">
        <v>9949</v>
      </c>
      <c r="C7909" s="5" t="str">
        <f>IFERROR(__xludf.DUMMYFUNCTION("GOOGLETRANSLATE(B7909,""en"",""it"")"),"Una croce appare nello stile della piastrella sotto l'acqua in una piscina.")</f>
        <v>Una croce appare nello stile della piastrella sotto l'acqua in una piscina.</v>
      </c>
    </row>
    <row r="7910">
      <c r="A7910" s="4" t="s">
        <v>9948</v>
      </c>
      <c r="B7910" s="4" t="s">
        <v>9950</v>
      </c>
      <c r="C7910" s="5" t="str">
        <f>IFERROR(__xludf.DUMMYFUNCTION("GOOGLETRANSLATE(B7910,""en"",""it"")"),"Un uomo in un berretto da nuoto nuota attraverso l'acqua verso la telecamera.")</f>
        <v>Un uomo in un berretto da nuoto nuota attraverso l'acqua verso la telecamera.</v>
      </c>
    </row>
    <row r="7911">
      <c r="A7911" s="4" t="s">
        <v>9948</v>
      </c>
      <c r="B7911" s="4" t="s">
        <v>9951</v>
      </c>
      <c r="C7911" s="5" t="str">
        <f>IFERROR(__xludf.DUMMYFUNCTION("GOOGLETRANSLATE(B7911,""en"",""it"")"),"Viene mostrato nuotare da numerosi angoli.")</f>
        <v>Viene mostrato nuotare da numerosi angoli.</v>
      </c>
    </row>
    <row r="7912">
      <c r="A7912" s="4" t="s">
        <v>9952</v>
      </c>
      <c r="B7912" s="4" t="s">
        <v>9953</v>
      </c>
      <c r="C7912" s="5" t="str">
        <f>IFERROR(__xludf.DUMMYFUNCTION("GOOGLETRANSLATE(B7912,""en"",""it"")"),"Due persone sono vestite con tutto il nero in sella alle loro biciclette lungo la strada.")</f>
        <v>Due persone sono vestite con tutto il nero in sella alle loro biciclette lungo la strada.</v>
      </c>
    </row>
    <row r="7913">
      <c r="A7913" s="4" t="s">
        <v>9952</v>
      </c>
      <c r="B7913" s="4" t="s">
        <v>9954</v>
      </c>
      <c r="C7913" s="5" t="str">
        <f>IFERROR(__xludf.DUMMYFUNCTION("GOOGLETRANSLATE(B7913,""en"",""it"")"),"I due ragazzi sono quindi raffigurati su uno schermo diviso l'uno contro l'altro indossando i loro caschi.")</f>
        <v>I due ragazzi sono quindi raffigurati su uno schermo diviso l'uno contro l'altro indossando i loro caschi.</v>
      </c>
    </row>
    <row r="7914">
      <c r="A7914" s="4" t="s">
        <v>9952</v>
      </c>
      <c r="B7914" s="4" t="s">
        <v>9955</v>
      </c>
      <c r="C7914" s="5" t="str">
        <f>IFERROR(__xludf.DUMMYFUNCTION("GOOGLETRANSLATE(B7914,""en"",""it"")"),"I due quindi indossano i loro guanti in bicicletta e tornano in bicicletta.")</f>
        <v>I due quindi indossano i loro guanti in bicicletta e tornano in bicicletta.</v>
      </c>
    </row>
    <row r="7915">
      <c r="A7915" s="4" t="s">
        <v>9952</v>
      </c>
      <c r="B7915" s="4" t="s">
        <v>9956</v>
      </c>
      <c r="C7915" s="5" t="str">
        <f>IFERROR(__xludf.DUMMYFUNCTION("GOOGLETRANSLATE(B7915,""en"",""it"")"),"Viene quindi mostrato uno skate park e uno dei ragazzi inizia a fare trucchi per i dossi.")</f>
        <v>Viene quindi mostrato uno skate park e uno dei ragazzi inizia a fare trucchi per i dossi.</v>
      </c>
    </row>
    <row r="7916">
      <c r="A7916" s="4" t="s">
        <v>9952</v>
      </c>
      <c r="B7916" s="4" t="s">
        <v>9957</v>
      </c>
      <c r="C7916" s="5" t="str">
        <f>IFERROR(__xludf.DUMMYFUNCTION("GOOGLETRANSLATE(B7916,""en"",""it"")"),"Una volta completate, le bici vengono camminate e i ragazzi iniziano a stringersi a vicenda.")</f>
        <v>Una volta completate, le bici vengono camminate e i ragazzi iniziano a stringersi a vicenda.</v>
      </c>
    </row>
    <row r="7917">
      <c r="A7917" s="4" t="s">
        <v>9952</v>
      </c>
      <c r="B7917" s="4" t="s">
        <v>9958</v>
      </c>
      <c r="C7917" s="5" t="str">
        <f>IFERROR(__xludf.DUMMYFUNCTION("GOOGLETRANSLATE(B7917,""en"",""it"")"),"Dopo che i trucchi continuano e continuano a saltare e fare trucchi sulle colline.")</f>
        <v>Dopo che i trucchi continuano e continuano a saltare e fare trucchi sulle colline.</v>
      </c>
    </row>
    <row r="7918">
      <c r="A7918" s="4" t="s">
        <v>9959</v>
      </c>
      <c r="B7918" s="4" t="s">
        <v>9960</v>
      </c>
      <c r="C7918" s="5" t="str">
        <f>IFERROR(__xludf.DUMMYFUNCTION("GOOGLETRANSLATE(B7918,""en"",""it"")"),"La gente aspetta in una palestra indoor mentre l'istruttore esce.")</f>
        <v>La gente aspetta in una palestra indoor mentre l'istruttore esce.</v>
      </c>
    </row>
    <row r="7919">
      <c r="A7919" s="4" t="s">
        <v>9959</v>
      </c>
      <c r="B7919" s="4" t="s">
        <v>9961</v>
      </c>
      <c r="C7919" s="5" t="str">
        <f>IFERROR(__xludf.DUMMYFUNCTION("GOOGLETRANSLATE(B7919,""en"",""it"")"),"La classe avvia una classe di StepCize usando le scatole nere.")</f>
        <v>La classe avvia una classe di StepCize usando le scatole nere.</v>
      </c>
    </row>
    <row r="7920">
      <c r="A7920" s="4" t="s">
        <v>9959</v>
      </c>
      <c r="B7920" s="4" t="s">
        <v>9962</v>
      </c>
      <c r="C7920" s="5" t="str">
        <f>IFERROR(__xludf.DUMMYFUNCTION("GOOGLETRANSLATE(B7920,""en"",""it"")"),"La classe termina agitando le braccia e l'istruttore se ne va.")</f>
        <v>La classe termina agitando le braccia e l'istruttore se ne va.</v>
      </c>
    </row>
    <row r="7921">
      <c r="A7921" s="4" t="s">
        <v>9963</v>
      </c>
      <c r="B7921" s="4" t="s">
        <v>9964</v>
      </c>
      <c r="C7921" s="5" t="str">
        <f>IFERROR(__xludf.DUMMYFUNCTION("GOOGLETRANSLATE(B7921,""en"",""it"")"),"Due uomini sono visti il ​​braccio che lotta l'uno con l'altro mentre tengono le braccia ai lati.")</f>
        <v>Due uomini sono visti il ​​braccio che lotta l'uno con l'altro mentre tengono le braccia ai lati.</v>
      </c>
    </row>
    <row r="7922">
      <c r="A7922" s="4" t="s">
        <v>9963</v>
      </c>
      <c r="B7922" s="4" t="s">
        <v>9965</v>
      </c>
      <c r="C7922" s="5" t="str">
        <f>IFERROR(__xludf.DUMMYFUNCTION("GOOGLETRANSLATE(B7922,""en"",""it"")"),"Continuano a ricominciare fino a quando uno di loro alla fine vince.")</f>
        <v>Continuano a ricominciare fino a quando uno di loro alla fine vince.</v>
      </c>
    </row>
    <row r="7923">
      <c r="A7923" s="4" t="s">
        <v>9966</v>
      </c>
      <c r="B7923" s="4" t="s">
        <v>9967</v>
      </c>
      <c r="C7923" s="5" t="str">
        <f>IFERROR(__xludf.DUMMYFUNCTION("GOOGLETRANSLATE(B7923,""en"",""it"")"),"Un uomo è in piedi sotto un goal di basket.")</f>
        <v>Un uomo è in piedi sotto un goal di basket.</v>
      </c>
    </row>
    <row r="7924">
      <c r="A7924" s="4" t="s">
        <v>9966</v>
      </c>
      <c r="B7924" s="4" t="s">
        <v>9968</v>
      </c>
      <c r="C7924" s="5" t="str">
        <f>IFERROR(__xludf.DUMMYFUNCTION("GOOGLETRANSLATE(B7924,""en"",""it"")"),"Un gruppo di ragazzi sta ascoltando l'allenatore.")</f>
        <v>Un gruppo di ragazzi sta ascoltando l'allenatore.</v>
      </c>
    </row>
    <row r="7925">
      <c r="A7925" s="4" t="s">
        <v>9966</v>
      </c>
      <c r="B7925" s="4" t="s">
        <v>9969</v>
      </c>
      <c r="C7925" s="5" t="str">
        <f>IFERROR(__xludf.DUMMYFUNCTION("GOOGLETRANSLATE(B7925,""en"",""it"")"),"Cominciano a scaldarsi facendo i ladri.")</f>
        <v>Cominciano a scaldarsi facendo i ladri.</v>
      </c>
    </row>
    <row r="7926">
      <c r="A7926" s="4" t="s">
        <v>9966</v>
      </c>
      <c r="B7926" s="4" t="s">
        <v>9970</v>
      </c>
      <c r="C7926" s="5" t="str">
        <f>IFERROR(__xludf.DUMMYFUNCTION("GOOGLETRANSLATE(B7926,""en"",""it"")"),"I ragazzi si allineano, preparati a giocare.")</f>
        <v>I ragazzi si allineano, preparati a giocare.</v>
      </c>
    </row>
    <row r="7927">
      <c r="A7927" s="4" t="s">
        <v>9971</v>
      </c>
      <c r="B7927" s="4" t="s">
        <v>9972</v>
      </c>
      <c r="C7927" s="5" t="str">
        <f>IFERROR(__xludf.DUMMYFUNCTION("GOOGLETRANSLATE(B7927,""en"",""it"")"),"Le persone si trovano in un wakeboard del lago che viene tirato da una barca.")</f>
        <v>Le persone si trovano in un wakeboard del lago che viene tirato da una barca.</v>
      </c>
    </row>
    <row r="7928">
      <c r="A7928" s="4" t="s">
        <v>9971</v>
      </c>
      <c r="B7928" s="4" t="s">
        <v>9973</v>
      </c>
      <c r="C7928" s="5" t="str">
        <f>IFERROR(__xludf.DUMMYFUNCTION("GOOGLETRANSLATE(B7928,""en"",""it"")"),"Molte persone sono in piedi su un molo a guardare la competizione di wakeboard.")</f>
        <v>Molte persone sono in piedi su un molo a guardare la competizione di wakeboard.</v>
      </c>
    </row>
    <row r="7929">
      <c r="A7929" s="4" t="s">
        <v>9971</v>
      </c>
      <c r="B7929" s="4" t="s">
        <v>9974</v>
      </c>
      <c r="C7929" s="5" t="str">
        <f>IFERROR(__xludf.DUMMYFUNCTION("GOOGLETRANSLATE(B7929,""en"",""it"")"),"Le persone camminano sul molo indossando abiti invernali.")</f>
        <v>Le persone camminano sul molo indossando abiti invernali.</v>
      </c>
    </row>
    <row r="7930">
      <c r="A7930" s="4" t="s">
        <v>9975</v>
      </c>
      <c r="B7930" s="4" t="s">
        <v>9976</v>
      </c>
      <c r="C7930" s="5" t="str">
        <f>IFERROR(__xludf.DUMMYFUNCTION("GOOGLETRANSLATE(B7930,""en"",""it"")"),"C'è una donna che non indossa nient'altro che pantaloncini e maglietta.")</f>
        <v>C'è una donna che non indossa nient'altro che pantaloncini e maglietta.</v>
      </c>
    </row>
    <row r="7931">
      <c r="A7931" s="4" t="s">
        <v>9975</v>
      </c>
      <c r="B7931" s="4" t="s">
        <v>9977</v>
      </c>
      <c r="C7931" s="5" t="str">
        <f>IFERROR(__xludf.DUMMYFUNCTION("GOOGLETRANSLATE(B7931,""en"",""it"")"),"Viene mostrata seduta su una roccia mentre lava il po 'di vestiti che ha nel fiume.")</f>
        <v>Viene mostrata seduta su una roccia mentre lava il po 'di vestiti che ha nel fiume.</v>
      </c>
    </row>
    <row r="7932">
      <c r="A7932" s="4" t="s">
        <v>9978</v>
      </c>
      <c r="B7932" s="4" t="s">
        <v>9979</v>
      </c>
      <c r="C7932" s="5" t="str">
        <f>IFERROR(__xludf.DUMMYFUNCTION("GOOGLETRANSLATE(B7932,""en"",""it"")"),"Qualcuno è alla pista da bowling su una corsia con una palla rossa.")</f>
        <v>Qualcuno è alla pista da bowling su una corsia con una palla rossa.</v>
      </c>
    </row>
    <row r="7933">
      <c r="A7933" s="4" t="s">
        <v>9978</v>
      </c>
      <c r="B7933" s="4" t="s">
        <v>9980</v>
      </c>
      <c r="C7933" s="5" t="str">
        <f>IFERROR(__xludf.DUMMYFUNCTION("GOOGLETRANSLATE(B7933,""en"",""it"")"),"Lancia la palla, il piede sale e la palla rotola per colpire i perni.")</f>
        <v>Lancia la palla, il piede sale e la palla rotola per colpire i perni.</v>
      </c>
    </row>
    <row r="7934">
      <c r="A7934" s="4" t="s">
        <v>9978</v>
      </c>
      <c r="B7934" s="4" t="s">
        <v>9981</v>
      </c>
      <c r="C7934" s="5" t="str">
        <f>IFERROR(__xludf.DUMMYFUNCTION("GOOGLETRANSLATE(B7934,""en"",""it"")"),"Più persone fanno i loro turni facendo la stessa posizione e tutto più o meno.")</f>
        <v>Più persone fanno i loro turni facendo la stessa posizione e tutto più o meno.</v>
      </c>
    </row>
    <row r="7935">
      <c r="A7935" s="4" t="s">
        <v>9978</v>
      </c>
      <c r="B7935" s="4" t="s">
        <v>9982</v>
      </c>
      <c r="C7935" s="5" t="str">
        <f>IFERROR(__xludf.DUMMYFUNCTION("GOOGLETRANSLATE(B7935,""en"",""it"")"),"Non vedi mai le palle colpire i perni solo tutti lanciano la palla.")</f>
        <v>Non vedi mai le palle colpire i perni solo tutti lanciano la palla.</v>
      </c>
    </row>
    <row r="7936">
      <c r="A7936" s="4" t="s">
        <v>9983</v>
      </c>
      <c r="B7936" s="4" t="s">
        <v>9984</v>
      </c>
      <c r="C7936" s="5" t="str">
        <f>IFERROR(__xludf.DUMMYFUNCTION("GOOGLETRANSLATE(B7936,""en"",""it"")"),"Un cameraman cammina lungo un vialetto innevato per catturare un bambino che spala la neve.")</f>
        <v>Un cameraman cammina lungo un vialetto innevato per catturare un bambino che spala la neve.</v>
      </c>
    </row>
    <row r="7937">
      <c r="A7937" s="4" t="s">
        <v>9983</v>
      </c>
      <c r="B7937" s="4" t="s">
        <v>9985</v>
      </c>
      <c r="C7937" s="5" t="str">
        <f>IFERROR(__xludf.DUMMYFUNCTION("GOOGLETRANSLATE(B7937,""en"",""it"")"),"Il ragazzo parla nella telecamera e continua a spingere la neve con una pala.")</f>
        <v>Il ragazzo parla nella telecamera e continua a spingere la neve con una pala.</v>
      </c>
    </row>
    <row r="7938">
      <c r="A7938" s="4" t="s">
        <v>9986</v>
      </c>
      <c r="B7938" s="4" t="s">
        <v>9987</v>
      </c>
      <c r="C7938" s="5" t="str">
        <f>IFERROR(__xludf.DUMMYFUNCTION("GOOGLETRANSLATE(B7938,""en"",""it"")"),"Cinque donne stanno ballando in una stanza.")</f>
        <v>Cinque donne stanno ballando in una stanza.</v>
      </c>
    </row>
    <row r="7939">
      <c r="A7939" s="4" t="s">
        <v>9986</v>
      </c>
      <c r="B7939" s="4" t="s">
        <v>9988</v>
      </c>
      <c r="C7939" s="5" t="str">
        <f>IFERROR(__xludf.DUMMYFUNCTION("GOOGLETRANSLATE(B7939,""en"",""it"")"),"Ballano in cerchio.")</f>
        <v>Ballano in cerchio.</v>
      </c>
    </row>
    <row r="7940">
      <c r="A7940" s="4" t="s">
        <v>9986</v>
      </c>
      <c r="B7940" s="4" t="s">
        <v>9989</v>
      </c>
      <c r="C7940" s="5" t="str">
        <f>IFERROR(__xludf.DUMMYFUNCTION("GOOGLETRANSLATE(B7940,""en"",""it"")"),"Continuano a ballare insieme nella stanza.")</f>
        <v>Continuano a ballare insieme nella stanza.</v>
      </c>
    </row>
    <row r="7941">
      <c r="A7941" s="4" t="s">
        <v>9990</v>
      </c>
      <c r="B7941" s="4" t="s">
        <v>9991</v>
      </c>
      <c r="C7941" s="5" t="str">
        <f>IFERROR(__xludf.DUMMYFUNCTION("GOOGLETRANSLATE(B7941,""en"",""it"")"),"Una donna che indossa i guanti è di fronte a un lavandino.")</f>
        <v>Una donna che indossa i guanti è di fronte a un lavandino.</v>
      </c>
    </row>
    <row r="7942">
      <c r="A7942" s="4" t="s">
        <v>9990</v>
      </c>
      <c r="B7942" s="4" t="s">
        <v>9992</v>
      </c>
      <c r="C7942" s="5" t="str">
        <f>IFERROR(__xludf.DUMMYFUNCTION("GOOGLETRANSLATE(B7942,""en"",""it"")"),"Lo spruzza con una soluzione di pulizia.")</f>
        <v>Lo spruzza con una soluzione di pulizia.</v>
      </c>
    </row>
    <row r="7943">
      <c r="A7943" s="4" t="s">
        <v>9990</v>
      </c>
      <c r="B7943" s="4" t="s">
        <v>9993</v>
      </c>
      <c r="C7943" s="5" t="str">
        <f>IFERROR(__xludf.DUMMYFUNCTION("GOOGLETRANSLATE(B7943,""en"",""it"")"),"Quindi strofina il lavandino fino a quando non è pulito.")</f>
        <v>Quindi strofina il lavandino fino a quando non è pulito.</v>
      </c>
    </row>
    <row r="7944">
      <c r="A7944" s="4" t="s">
        <v>9994</v>
      </c>
      <c r="B7944" s="4" t="s">
        <v>9995</v>
      </c>
      <c r="C7944" s="5" t="str">
        <f>IFERROR(__xludf.DUMMYFUNCTION("GOOGLETRANSLATE(B7944,""en"",""it"")"),"Un uomo si trova di fronte alla telecamera, quindi inizia a pettinarti i capelli.")</f>
        <v>Un uomo si trova di fronte alla telecamera, quindi inizia a pettinarti i capelli.</v>
      </c>
    </row>
    <row r="7945">
      <c r="A7945" s="4" t="s">
        <v>9994</v>
      </c>
      <c r="B7945" s="4" t="s">
        <v>9996</v>
      </c>
      <c r="C7945" s="5" t="str">
        <f>IFERROR(__xludf.DUMMYFUNCTION("GOOGLETRANSLATE(B7945,""en"",""it"")"),"Si concentra quindi sui lati e sul retro dei suoi capelli, pettinandosi di nuovo.")</f>
        <v>Si concentra quindi sui lati e sul retro dei suoi capelli, pettinandosi di nuovo.</v>
      </c>
    </row>
    <row r="7946">
      <c r="A7946" s="4" t="s">
        <v>9994</v>
      </c>
      <c r="B7946" s="4" t="s">
        <v>9997</v>
      </c>
      <c r="C7946" s="5" t="str">
        <f>IFERROR(__xludf.DUMMYFUNCTION("GOOGLETRANSLATE(B7946,""en"",""it"")"),"Porta il pennello intorno ai capelli, aggiungendo la mano sinistra per scorrere lungo.")</f>
        <v>Porta il pennello intorno ai capelli, aggiungendo la mano sinistra per scorrere lungo.</v>
      </c>
    </row>
    <row r="7947">
      <c r="A7947" s="4" t="s">
        <v>9998</v>
      </c>
      <c r="B7947" s="4" t="s">
        <v>9999</v>
      </c>
      <c r="C7947" s="5" t="str">
        <f>IFERROR(__xludf.DUMMYFUNCTION("GOOGLETRANSLATE(B7947,""en"",""it"")"),"Vediamo un uomo regolare la telecamera e scuotere i capelli.")</f>
        <v>Vediamo un uomo regolare la telecamera e scuotere i capelli.</v>
      </c>
    </row>
    <row r="7948">
      <c r="A7948" s="4" t="s">
        <v>9998</v>
      </c>
      <c r="B7948" s="4" t="s">
        <v>10000</v>
      </c>
      <c r="C7948" s="5" t="str">
        <f>IFERROR(__xludf.DUMMYFUNCTION("GOOGLETRANSLATE(B7948,""en"",""it"")"),"Vediamo commenti sullo schermo.")</f>
        <v>Vediamo commenti sullo schermo.</v>
      </c>
    </row>
    <row r="7949">
      <c r="A7949" s="4" t="s">
        <v>9998</v>
      </c>
      <c r="B7949" s="4" t="s">
        <v>10001</v>
      </c>
      <c r="C7949" s="5" t="str">
        <f>IFERROR(__xludf.DUMMYFUNCTION("GOOGLETRANSLATE(B7949,""en"",""it"")"),"L'immagine è a colori e l'uomo soffia i capelli.")</f>
        <v>L'immagine è a colori e l'uomo soffia i capelli.</v>
      </c>
    </row>
    <row r="7950">
      <c r="A7950" s="4" t="s">
        <v>9998</v>
      </c>
      <c r="B7950" s="4" t="s">
        <v>10002</v>
      </c>
      <c r="C7950" s="5" t="str">
        <f>IFERROR(__xludf.DUMMYFUNCTION("GOOGLETRANSLATE(B7950,""en"",""it"")"),"L'uomo usa un pennello e appaiono le istruzioni.")</f>
        <v>L'uomo usa un pennello e appaiono le istruzioni.</v>
      </c>
    </row>
    <row r="7951">
      <c r="A7951" s="4" t="s">
        <v>9998</v>
      </c>
      <c r="B7951" s="4" t="s">
        <v>10003</v>
      </c>
      <c r="C7951" s="5" t="str">
        <f>IFERROR(__xludf.DUMMYFUNCTION("GOOGLETRANSLATE(B7951,""en"",""it"")"),"Vediamo più istruzioni sullo schermo.")</f>
        <v>Vediamo più istruzioni sullo schermo.</v>
      </c>
    </row>
    <row r="7952">
      <c r="A7952" s="4" t="s">
        <v>9998</v>
      </c>
      <c r="B7952" s="4" t="s">
        <v>10004</v>
      </c>
      <c r="C7952" s="5" t="str">
        <f>IFERROR(__xludf.DUMMYFUNCTION("GOOGLETRANSLATE(B7952,""en"",""it"")"),"Istruzioni raccontano viste per modellare i capelli.")</f>
        <v>Istruzioni raccontano viste per modellare i capelli.</v>
      </c>
    </row>
    <row r="7953">
      <c r="A7953" s="4" t="s">
        <v>9998</v>
      </c>
      <c r="B7953" s="4" t="s">
        <v>10005</v>
      </c>
      <c r="C7953" s="5" t="str">
        <f>IFERROR(__xludf.DUMMYFUNCTION("GOOGLETRANSLATE(B7953,""en"",""it"")"),"Altre istruzioni compaiono sullo schermo.")</f>
        <v>Altre istruzioni compaiono sullo schermo.</v>
      </c>
    </row>
    <row r="7954">
      <c r="A7954" s="4" t="s">
        <v>9998</v>
      </c>
      <c r="B7954" s="4" t="s">
        <v>10006</v>
      </c>
      <c r="C7954" s="5" t="str">
        <f>IFERROR(__xludf.DUMMYFUNCTION("GOOGLETRANSLATE(B7954,""en"",""it"")"),"L'uomo aggiunge pomate ai suoi capelli.")</f>
        <v>L'uomo aggiunge pomate ai suoi capelli.</v>
      </c>
    </row>
    <row r="7955">
      <c r="A7955" s="4" t="s">
        <v>9998</v>
      </c>
      <c r="B7955" s="4" t="s">
        <v>10007</v>
      </c>
      <c r="C7955" s="5" t="str">
        <f>IFERROR(__xludf.DUMMYFUNCTION("GOOGLETRANSLATE(B7955,""en"",""it"")"),"L'uomo si lava i capelli con un pennello.")</f>
        <v>L'uomo si lava i capelli con un pennello.</v>
      </c>
    </row>
    <row r="7956">
      <c r="A7956" s="4" t="s">
        <v>9998</v>
      </c>
      <c r="B7956" s="4" t="s">
        <v>10008</v>
      </c>
      <c r="C7956" s="5" t="str">
        <f>IFERROR(__xludf.DUMMYFUNCTION("GOOGLETRANSLATE(B7956,""en"",""it"")"),"Vediamo la scena diventare buio e la scrittura appare sullo schermo.")</f>
        <v>Vediamo la scena diventare buio e la scrittura appare sullo schermo.</v>
      </c>
    </row>
    <row r="7957">
      <c r="A7957" s="4" t="s">
        <v>10009</v>
      </c>
      <c r="B7957" s="4" t="s">
        <v>10010</v>
      </c>
      <c r="C7957" s="5" t="str">
        <f>IFERROR(__xludf.DUMMYFUNCTION("GOOGLETRANSLATE(B7957,""en"",""it"")"),"Un cavallo si scatena con un allenatore che insegue.")</f>
        <v>Un cavallo si scatena con un allenatore che insegue.</v>
      </c>
    </row>
    <row r="7958">
      <c r="A7958" s="4" t="s">
        <v>10009</v>
      </c>
      <c r="B7958" s="4" t="s">
        <v>10011</v>
      </c>
      <c r="C7958" s="5" t="str">
        <f>IFERROR(__xludf.DUMMYFUNCTION("GOOGLETRANSLATE(B7958,""en"",""it"")"),"Un cavallo corre dopo e confonde un toro che lo carica con le sue corna.")</f>
        <v>Un cavallo corre dopo e confonde un toro che lo carica con le sue corna.</v>
      </c>
    </row>
    <row r="7959">
      <c r="A7959" s="4" t="s">
        <v>10009</v>
      </c>
      <c r="B7959" s="4" t="s">
        <v>10012</v>
      </c>
      <c r="C7959" s="5" t="str">
        <f>IFERROR(__xludf.DUMMYFUNCTION("GOOGLETRANSLATE(B7959,""en"",""it"")"),"Il cavallo viene lasciato fuori dal corallo dai cowboy.")</f>
        <v>Il cavallo viene lasciato fuori dal corallo dai cowboy.</v>
      </c>
    </row>
    <row r="7960">
      <c r="A7960" s="4" t="s">
        <v>10009</v>
      </c>
      <c r="B7960" s="4" t="s">
        <v>10013</v>
      </c>
      <c r="C7960" s="5" t="str">
        <f>IFERROR(__xludf.DUMMYFUNCTION("GOOGLETRANSLATE(B7960,""en"",""it"")"),"L'intestino dei cavalli pende dal suo corpo dalla lesione.")</f>
        <v>L'intestino dei cavalli pende dal suo corpo dalla lesione.</v>
      </c>
    </row>
    <row r="7961">
      <c r="A7961" s="4" t="s">
        <v>10009</v>
      </c>
      <c r="B7961" s="4" t="s">
        <v>10014</v>
      </c>
      <c r="C7961" s="5" t="str">
        <f>IFERROR(__xludf.DUMMYFUNCTION("GOOGLETRANSLATE(B7961,""en"",""it"")"),"Il cavallo giace a terra con un attacco.")</f>
        <v>Il cavallo giace a terra con un attacco.</v>
      </c>
    </row>
    <row r="7962">
      <c r="A7962" s="4" t="s">
        <v>10009</v>
      </c>
      <c r="B7962" s="4" t="s">
        <v>10015</v>
      </c>
      <c r="C7962" s="5" t="str">
        <f>IFERROR(__xludf.DUMMYFUNCTION("GOOGLETRANSLATE(B7962,""en"",""it"")"),"Un toro insegue un cowboy su un cavallo che trasporta un lazo.")</f>
        <v>Un toro insegue un cowboy su un cavallo che trasporta un lazo.</v>
      </c>
    </row>
    <row r="7963">
      <c r="A7963" s="4" t="s">
        <v>10016</v>
      </c>
      <c r="B7963" s="4" t="s">
        <v>10017</v>
      </c>
      <c r="C7963" s="5" t="str">
        <f>IFERROR(__xludf.DUMMYFUNCTION("GOOGLETRANSLATE(B7963,""en"",""it"")"),"Un motociclista è nel letto e viene svegliato da una sveglia.")</f>
        <v>Un motociclista è nel letto e viene svegliato da una sveglia.</v>
      </c>
    </row>
    <row r="7964">
      <c r="A7964" s="4" t="s">
        <v>10016</v>
      </c>
      <c r="B7964" s="6" t="s">
        <v>10018</v>
      </c>
      <c r="C7964" s="5" t="str">
        <f>IFERROR(__xludf.DUMMYFUNCTION("GOOGLETRANSLATE(B7964,""en"",""it"")"),"Il motociclista si alza dal letto e si prepara a partire facendo il bagno usando il bagno e leggendo il giornale.")</f>
        <v>Il motociclista si alza dal letto e si prepara a partire facendo il bagno usando il bagno e leggendo il giornale.</v>
      </c>
    </row>
    <row r="7965">
      <c r="A7965" s="4" t="s">
        <v>10016</v>
      </c>
      <c r="B7965" s="4" t="s">
        <v>10019</v>
      </c>
      <c r="C7965" s="5" t="str">
        <f>IFERROR(__xludf.DUMMYFUNCTION("GOOGLETRANSLATE(B7965,""en"",""it"")"),"Guida la motocicletta lungo il corridoio e nell'ascensore.")</f>
        <v>Guida la motocicletta lungo il corridoio e nell'ascensore.</v>
      </c>
    </row>
    <row r="7966">
      <c r="A7966" s="4" t="s">
        <v>10016</v>
      </c>
      <c r="B7966" s="6" t="s">
        <v>10020</v>
      </c>
      <c r="C7966" s="5" t="str">
        <f>IFERROR(__xludf.DUMMYFUNCTION("GOOGLETRANSLATE(B7966,""en"",""it"")"),"Esce dall'edificio e cavalca la moto in un casinò dove esegue diversi trucchi mentre la gente guarda.")</f>
        <v>Esce dall'edificio e cavalca la moto in un casinò dove esegue diversi trucchi mentre la gente guarda.</v>
      </c>
    </row>
    <row r="7967">
      <c r="A7967" s="4" t="s">
        <v>10016</v>
      </c>
      <c r="B7967" s="4" t="s">
        <v>10021</v>
      </c>
      <c r="C7967" s="5" t="str">
        <f>IFERROR(__xludf.DUMMYFUNCTION("GOOGLETRANSLATE(B7967,""en"",""it"")"),"Esce dal casinò e i titoli di chiusura vengono visualizzati sullo schermo.")</f>
        <v>Esce dal casinò e i titoli di chiusura vengono visualizzati sullo schermo.</v>
      </c>
    </row>
    <row r="7968">
      <c r="A7968" s="4" t="s">
        <v>10022</v>
      </c>
      <c r="B7968" s="4" t="s">
        <v>10023</v>
      </c>
      <c r="C7968" s="5" t="str">
        <f>IFERROR(__xludf.DUMMYFUNCTION("GOOGLETRANSLATE(B7968,""en"",""it"")"),"Viene mostrato un primo piano di un peso.")</f>
        <v>Viene mostrato un primo piano di un peso.</v>
      </c>
    </row>
    <row r="7969">
      <c r="A7969" s="4" t="s">
        <v>10022</v>
      </c>
      <c r="B7969" s="6" t="s">
        <v>10024</v>
      </c>
      <c r="C7969" s="5" t="str">
        <f>IFERROR(__xludf.DUMMYFUNCTION("GOOGLETRANSLATE(B7969,""en"",""it"")"),"A diverse persone viene mostrata sollevare bilancieri con pesi in vari modi in una palestra mentre altre persone guardano o si esercitano in background.")</f>
        <v>A diverse persone viene mostrata sollevare bilancieri con pesi in vari modi in una palestra mentre altre persone guardano o si esercitano in background.</v>
      </c>
    </row>
    <row r="7970">
      <c r="A7970" s="4" t="s">
        <v>10022</v>
      </c>
      <c r="B7970" s="4" t="s">
        <v>10025</v>
      </c>
      <c r="C7970" s="5" t="str">
        <f>IFERROR(__xludf.DUMMYFUNCTION("GOOGLETRANSLATE(B7970,""en"",""it"")"),"Viene visualizzata una schermata con un logo e informazioni di contatto.")</f>
        <v>Viene visualizzata una schermata con un logo e informazioni di contatto.</v>
      </c>
    </row>
    <row r="7971">
      <c r="A7971" s="4" t="s">
        <v>10026</v>
      </c>
      <c r="B7971" s="4" t="s">
        <v>10027</v>
      </c>
      <c r="C7971" s="5" t="str">
        <f>IFERROR(__xludf.DUMMYFUNCTION("GOOGLETRANSLATE(B7971,""en"",""it"")"),"Vediamo una signora che cammina un cane.")</f>
        <v>Vediamo una signora che cammina un cane.</v>
      </c>
    </row>
    <row r="7972">
      <c r="A7972" s="4" t="s">
        <v>10026</v>
      </c>
      <c r="B7972" s="4" t="s">
        <v>10028</v>
      </c>
      <c r="C7972" s="5" t="str">
        <f>IFERROR(__xludf.DUMMYFUNCTION("GOOGLETRANSLATE(B7972,""en"",""it"")"),"Vediamo un uomo che cammina il cane.")</f>
        <v>Vediamo un uomo che cammina il cane.</v>
      </c>
    </row>
    <row r="7973">
      <c r="A7973" s="4" t="s">
        <v>10026</v>
      </c>
      <c r="B7973" s="4" t="s">
        <v>10029</v>
      </c>
      <c r="C7973" s="5" t="str">
        <f>IFERROR(__xludf.DUMMYFUNCTION("GOOGLETRANSLATE(B7973,""en"",""it"")"),"Torniamo alla signora che cammina il cane.")</f>
        <v>Torniamo alla signora che cammina il cane.</v>
      </c>
    </row>
    <row r="7974">
      <c r="A7974" s="4" t="s">
        <v>10026</v>
      </c>
      <c r="B7974" s="4" t="s">
        <v>10030</v>
      </c>
      <c r="C7974" s="5" t="str">
        <f>IFERROR(__xludf.DUMMYFUNCTION("GOOGLETRANSLATE(B7974,""en"",""it"")"),"Il cane tira la signora lungo la strada.")</f>
        <v>Il cane tira la signora lungo la strada.</v>
      </c>
    </row>
    <row r="7975">
      <c r="A7975" s="4" t="s">
        <v>10026</v>
      </c>
      <c r="B7975" s="4" t="s">
        <v>10031</v>
      </c>
      <c r="C7975" s="5" t="str">
        <f>IFERROR(__xludf.DUMMYFUNCTION("GOOGLETRANSLATE(B7975,""en"",""it"")"),"Vediamo la signora e l'uomo parlare.")</f>
        <v>Vediamo la signora e l'uomo parlare.</v>
      </c>
    </row>
    <row r="7976">
      <c r="A7976" s="4" t="s">
        <v>10026</v>
      </c>
      <c r="B7976" s="4" t="s">
        <v>10032</v>
      </c>
      <c r="C7976" s="5" t="str">
        <f>IFERROR(__xludf.DUMMYFUNCTION("GOOGLETRANSLATE(B7976,""en"",""it"")"),"L'uomo sale il cane su per le scale e nel vialetto.")</f>
        <v>L'uomo sale il cane su per le scale e nel vialetto.</v>
      </c>
    </row>
    <row r="7977">
      <c r="A7977" s="4" t="s">
        <v>10026</v>
      </c>
      <c r="B7977" s="4" t="s">
        <v>10033</v>
      </c>
      <c r="C7977" s="5" t="str">
        <f>IFERROR(__xludf.DUMMYFUNCTION("GOOGLETRANSLATE(B7977,""en"",""it"")"),"Vediamo che la signora metta un figlio di cablaggio e lo cammina mentre l'uomo guarda.")</f>
        <v>Vediamo che la signora metta un figlio di cablaggio e lo cammina mentre l'uomo guarda.</v>
      </c>
    </row>
    <row r="7978">
      <c r="A7978" s="4" t="s">
        <v>10026</v>
      </c>
      <c r="B7978" s="4" t="s">
        <v>10034</v>
      </c>
      <c r="C7978" s="5" t="str">
        <f>IFERROR(__xludf.DUMMYFUNCTION("GOOGLETRANSLATE(B7978,""en"",""it"")"),"Vediamo quindi lo schermo di chiusura nera.")</f>
        <v>Vediamo quindi lo schermo di chiusura nera.</v>
      </c>
    </row>
    <row r="7979">
      <c r="A7979" s="4" t="s">
        <v>10035</v>
      </c>
      <c r="B7979" s="4" t="s">
        <v>10036</v>
      </c>
      <c r="C7979" s="5" t="str">
        <f>IFERROR(__xludf.DUMMYFUNCTION("GOOGLETRANSLATE(B7979,""en"",""it"")"),"Il nuotatore femminile salta in acqua durante un incontro di nuoto.")</f>
        <v>Il nuotatore femminile salta in acqua durante un incontro di nuoto.</v>
      </c>
    </row>
    <row r="7980">
      <c r="A7980" s="4" t="s">
        <v>10035</v>
      </c>
      <c r="B7980" s="4" t="s">
        <v>10037</v>
      </c>
      <c r="C7980" s="5" t="str">
        <f>IFERROR(__xludf.DUMMYFUNCTION("GOOGLETRANSLATE(B7980,""en"",""it"")"),"Corse rapidamente lungo le corsie di nuoto.")</f>
        <v>Corse rapidamente lungo le corsie di nuoto.</v>
      </c>
    </row>
    <row r="7981">
      <c r="A7981" s="4" t="s">
        <v>10035</v>
      </c>
      <c r="B7981" s="6" t="s">
        <v>10038</v>
      </c>
      <c r="C7981" s="5" t="str">
        <f>IFERROR(__xludf.DUMMYFUNCTION("GOOGLETRANSLATE(B7981,""en"",""it"")"),"I nuotatori vanno ripetutamente avanti e indietro lungo le corsie di nuoto usando varie tecniche di nuoto.")</f>
        <v>I nuotatori vanno ripetutamente avanti e indietro lungo le corsie di nuoto usando varie tecniche di nuoto.</v>
      </c>
    </row>
    <row r="7982">
      <c r="A7982" s="4" t="s">
        <v>10039</v>
      </c>
      <c r="B7982" s="4" t="s">
        <v>10040</v>
      </c>
      <c r="C7982" s="5" t="str">
        <f>IFERROR(__xludf.DUMMYFUNCTION("GOOGLETRANSLATE(B7982,""en"",""it"")"),"Ci sono alcune persone che si arricciano in una pista di pattinaggio al coperto.")</f>
        <v>Ci sono alcune persone che si arricciano in una pista di pattinaggio al coperto.</v>
      </c>
    </row>
    <row r="7983">
      <c r="A7983" s="4" t="s">
        <v>10039</v>
      </c>
      <c r="B7983" s="4" t="s">
        <v>10041</v>
      </c>
      <c r="C7983" s="5" t="str">
        <f>IFERROR(__xludf.DUMMYFUNCTION("GOOGLETRANSLATE(B7983,""en"",""it"")"),"Ci sono alcune ragazze che si preparano con i bastoncini di curling e preparano la pista per giocare a curling.")</f>
        <v>Ci sono alcune ragazze che si preparano con i bastoncini di curling e preparano la pista per giocare a curling.</v>
      </c>
    </row>
    <row r="7984">
      <c r="A7984" s="4" t="s">
        <v>10039</v>
      </c>
      <c r="B7984" s="6" t="s">
        <v>10042</v>
      </c>
      <c r="C7984" s="5" t="str">
        <f>IFERROR(__xludf.DUMMYFUNCTION("GOOGLETRANSLATE(B7984,""en"",""it"")"),"Due ragazze vestite con attrezzatura nera stanno giocando mentre attraversano la pista con i loro bastoncini di arricciatura che spingono la roccia.")</f>
        <v>Due ragazze vestite con attrezzatura nera stanno giocando mentre attraversano la pista con i loro bastoncini di arricciatura che spingono la roccia.</v>
      </c>
    </row>
    <row r="7985">
      <c r="A7985" s="4" t="s">
        <v>10039</v>
      </c>
      <c r="B7985" s="4" t="s">
        <v>10043</v>
      </c>
      <c r="C7985" s="5" t="str">
        <f>IFERROR(__xludf.DUMMYFUNCTION("GOOGLETRANSLATE(B7985,""en"",""it"")"),"Uno dei giocatori scivola attraverso il pavimento e spinge la roccia fino alla fine della pista.")</f>
        <v>Uno dei giocatori scivola attraverso il pavimento e spinge la roccia fino alla fine della pista.</v>
      </c>
    </row>
    <row r="7986">
      <c r="A7986" s="4" t="s">
        <v>10039</v>
      </c>
      <c r="B7986" s="6" t="s">
        <v>10044</v>
      </c>
      <c r="C7986" s="5" t="str">
        <f>IFERROR(__xludf.DUMMYFUNCTION("GOOGLETRANSLATE(B7986,""en"",""it"")"),"I due giocatori continuano a giocare mentre attraversano la pista e fanno scivolare le rocce fino alla fine della linea.")</f>
        <v>I due giocatori continuano a giocare mentre attraversano la pista e fanno scivolare le rocce fino alla fine della linea.</v>
      </c>
    </row>
    <row r="7987">
      <c r="A7987" s="4" t="s">
        <v>10039</v>
      </c>
      <c r="B7987" s="4" t="s">
        <v>10045</v>
      </c>
      <c r="C7987" s="5" t="str">
        <f>IFERROR(__xludf.DUMMYFUNCTION("GOOGLETRANSLATE(B7987,""en"",""it"")"),"Altri due giocatori che indossano il gioco rosa mentre scivolano le rocce attraverso la pista.")</f>
        <v>Altri due giocatori che indossano il gioco rosa mentre scivolano le rocce attraverso la pista.</v>
      </c>
    </row>
    <row r="7988">
      <c r="A7988" s="4" t="s">
        <v>10046</v>
      </c>
      <c r="B7988" s="6" t="s">
        <v>10047</v>
      </c>
      <c r="C7988" s="5" t="str">
        <f>IFERROR(__xludf.DUMMYFUNCTION("GOOGLETRANSLATE(B7988,""en"",""it"")"),"La signora in nero sta facendo un tutorial di acconciatura e dimostrando un'altra donna che è seduta accanto a lei.")</f>
        <v>La signora in nero sta facendo un tutorial di acconciatura e dimostrando un'altra donna che è seduta accanto a lei.</v>
      </c>
    </row>
    <row r="7989">
      <c r="A7989" s="4" t="s">
        <v>10046</v>
      </c>
      <c r="B7989" s="4" t="s">
        <v>10048</v>
      </c>
      <c r="C7989" s="5" t="str">
        <f>IFERROR(__xludf.DUMMYFUNCTION("GOOGLETRANSLATE(B7989,""en"",""it"")"),"Mostra la lacca che ha usato sulla modella.")</f>
        <v>Mostra la lacca che ha usato sulla modella.</v>
      </c>
    </row>
    <row r="7990">
      <c r="A7990" s="4" t="s">
        <v>10046</v>
      </c>
      <c r="B7990" s="4" t="s">
        <v>10049</v>
      </c>
      <c r="C7990" s="5" t="str">
        <f>IFERROR(__xludf.DUMMYFUNCTION("GOOGLETRANSLATE(B7990,""en"",""it"")"),"Usa la lacca sui capelli della modella e lo spruzza.")</f>
        <v>Usa la lacca sui capelli della modella e lo spruzza.</v>
      </c>
    </row>
    <row r="7991">
      <c r="A7991" s="4" t="s">
        <v>10046</v>
      </c>
      <c r="B7991" s="4" t="s">
        <v>10050</v>
      </c>
      <c r="C7991" s="5" t="str">
        <f>IFERROR(__xludf.DUMMYFUNCTION("GOOGLETRANSLATE(B7991,""en"",""it"")"),"Quindi prende un paio di forbici e taglia l'elastico e spruzza di nuovo i capelli.")</f>
        <v>Quindi prende un paio di forbici e taglia l'elastico e spruzza di nuovo i capelli.</v>
      </c>
    </row>
    <row r="7992">
      <c r="A7992" s="4" t="s">
        <v>10046</v>
      </c>
      <c r="B7992" s="4" t="s">
        <v>10051</v>
      </c>
      <c r="C7992" s="5" t="str">
        <f>IFERROR(__xludf.DUMMYFUNCTION("GOOGLETRANSLATE(B7992,""en"",""it"")"),"Si separa la treccia e si strofina le dita su di esso.")</f>
        <v>Si separa la treccia e si strofina le dita su di esso.</v>
      </c>
    </row>
    <row r="7993">
      <c r="A7993" s="4" t="s">
        <v>10046</v>
      </c>
      <c r="B7993" s="4" t="s">
        <v>10052</v>
      </c>
      <c r="C7993" s="5" t="str">
        <f>IFERROR(__xludf.DUMMYFUNCTION("GOOGLETRANSLATE(B7993,""en"",""it"")"),"Poi gira la treccia e la stringe sulla testa della modella.")</f>
        <v>Poi gira la treccia e la stringe sulla testa della modella.</v>
      </c>
    </row>
    <row r="7994">
      <c r="A7994" s="4" t="s">
        <v>10046</v>
      </c>
      <c r="B7994" s="4" t="s">
        <v>10053</v>
      </c>
      <c r="C7994" s="5" t="str">
        <f>IFERROR(__xludf.DUMMYFUNCTION("GOOGLETRANSLATE(B7994,""en"",""it"")"),"Lo gira di nuovo e lo stringe e lo fissa di nuovo con un perno.")</f>
        <v>Lo gira di nuovo e lo stringe e lo fissa di nuovo con un perno.</v>
      </c>
    </row>
    <row r="7995">
      <c r="A7995" s="4" t="s">
        <v>10046</v>
      </c>
      <c r="B7995" s="4" t="s">
        <v>10054</v>
      </c>
      <c r="C7995" s="5" t="str">
        <f>IFERROR(__xludf.DUMMYFUNCTION("GOOGLETRANSLATE(B7995,""en"",""it"")"),"Fa anche un panino fuori dalla treccia per completare l'acconciatura.")</f>
        <v>Fa anche un panino fuori dalla treccia per completare l'acconciatura.</v>
      </c>
    </row>
    <row r="7996">
      <c r="A7996" s="4" t="s">
        <v>10046</v>
      </c>
      <c r="B7996" s="4" t="s">
        <v>10055</v>
      </c>
      <c r="C7996" s="5" t="str">
        <f>IFERROR(__xludf.DUMMYFUNCTION("GOOGLETRANSLATE(B7996,""en"",""it"")"),"Mostra di nuovo la bottiglia di Hairspray che ha usato sulla modella.")</f>
        <v>Mostra di nuovo la bottiglia di Hairspray che ha usato sulla modella.</v>
      </c>
    </row>
    <row r="7997">
      <c r="A7997" s="4" t="s">
        <v>10056</v>
      </c>
      <c r="B7997" s="4" t="s">
        <v>10057</v>
      </c>
      <c r="C7997" s="5" t="str">
        <f>IFERROR(__xludf.DUMMYFUNCTION("GOOGLETRANSLATE(B7997,""en"",""it"")"),"Un uomo e una donna sono in piedi in una stanza nettamente bianca.")</f>
        <v>Un uomo e una donna sono in piedi in una stanza nettamente bianca.</v>
      </c>
    </row>
    <row r="7998">
      <c r="A7998" s="4" t="s">
        <v>10056</v>
      </c>
      <c r="B7998" s="4" t="s">
        <v>10058</v>
      </c>
      <c r="C7998" s="5" t="str">
        <f>IFERROR(__xludf.DUMMYFUNCTION("GOOGLETRANSLATE(B7998,""en"",""it"")"),"Dono la plastica a terra e riempiono una vasca con vernice bianca.")</f>
        <v>Dono la plastica a terra e riempiono una vasca con vernice bianca.</v>
      </c>
    </row>
    <row r="7999">
      <c r="A7999" s="4" t="s">
        <v>10056</v>
      </c>
      <c r="B7999" s="4" t="s">
        <v>10059</v>
      </c>
      <c r="C7999" s="5" t="str">
        <f>IFERROR(__xludf.DUMMYFUNCTION("GOOGLETRANSLATE(B7999,""en"",""it"")"),"Dimostrano quindi come appendere una striscia di carta da parati sul muro.")</f>
        <v>Dimostrano quindi come appendere una striscia di carta da parati sul muro.</v>
      </c>
    </row>
    <row r="8000">
      <c r="A8000" s="4" t="s">
        <v>10060</v>
      </c>
      <c r="B8000" s="6" t="s">
        <v>10061</v>
      </c>
      <c r="C8000" s="5" t="str">
        <f>IFERROR(__xludf.DUMMYFUNCTION("GOOGLETRANSLATE(B8000,""en"",""it"")"),"Un uomo viene visto praticare le sue abilità ping pong seguite da lui che gioca contro un'altra persona.")</f>
        <v>Un uomo viene visto praticare le sue abilità ping pong seguite da lui che gioca contro un'altra persona.</v>
      </c>
    </row>
    <row r="8001">
      <c r="A8001" s="4" t="s">
        <v>10060</v>
      </c>
      <c r="B8001" s="4" t="s">
        <v>10062</v>
      </c>
      <c r="C8001" s="5" t="str">
        <f>IFERROR(__xludf.DUMMYFUNCTION("GOOGLETRANSLATE(B8001,""en"",""it"")"),"Un uomo guarda sul lato mentre gli uomini continuano a giocare con più persone che si fermano a guardare.")</f>
        <v>Un uomo guarda sul lato mentre gli uomini continuano a giocare con più persone che si fermano a guardare.</v>
      </c>
    </row>
    <row r="8002">
      <c r="A8002" s="4" t="s">
        <v>10063</v>
      </c>
      <c r="B8002" s="4" t="s">
        <v>10064</v>
      </c>
      <c r="C8002" s="5" t="str">
        <f>IFERROR(__xludf.DUMMYFUNCTION("GOOGLETRANSLATE(B8002,""en"",""it"")"),"Una donna in bikini è in piedi in una stanza.")</f>
        <v>Una donna in bikini è in piedi in una stanza.</v>
      </c>
    </row>
    <row r="8003">
      <c r="A8003" s="4" t="s">
        <v>10063</v>
      </c>
      <c r="B8003" s="4" t="s">
        <v>10065</v>
      </c>
      <c r="C8003" s="5" t="str">
        <f>IFERROR(__xludf.DUMMYFUNCTION("GOOGLETRANSLATE(B8003,""en"",""it"")"),"Comincia a Hula Hoop con un cerchio di hula illuminato.")</f>
        <v>Comincia a Hula Hoop con un cerchio di hula illuminato.</v>
      </c>
    </row>
    <row r="8004">
      <c r="A8004" s="4" t="s">
        <v>10063</v>
      </c>
      <c r="B8004" s="4" t="s">
        <v>10066</v>
      </c>
      <c r="C8004" s="5" t="str">
        <f>IFERROR(__xludf.DUMMYFUNCTION("GOOGLETRANSLATE(B8004,""en"",""it"")"),"L'hula Hoop è visto seduto accanto a una maglietta.")</f>
        <v>L'hula Hoop è visto seduto accanto a una maglietta.</v>
      </c>
    </row>
    <row r="8005">
      <c r="A8005" s="4" t="s">
        <v>10067</v>
      </c>
      <c r="B8005" s="4" t="s">
        <v>10068</v>
      </c>
      <c r="C8005" s="5" t="str">
        <f>IFERROR(__xludf.DUMMYFUNCTION("GOOGLETRANSLATE(B8005,""en"",""it"")"),"Una persona entra in un telaio con in mano uno strumento e taglia un albero su e giù.")</f>
        <v>Una persona entra in un telaio con in mano uno strumento e taglia un albero su e giù.</v>
      </c>
    </row>
    <row r="8006">
      <c r="A8006" s="4" t="s">
        <v>10067</v>
      </c>
      <c r="B8006" s="6" t="s">
        <v>10069</v>
      </c>
      <c r="C8006" s="5" t="str">
        <f>IFERROR(__xludf.DUMMYFUNCTION("GOOGLETRANSLATE(B8006,""en"",""it"")"),"La persona continua a usare lo strumento sull'albero e ne usa uno piccolo per finire i lati, presentando un piccolo albero alla fine.")</f>
        <v>La persona continua a usare lo strumento sull'albero e ne usa uno piccolo per finire i lati, presentando un piccolo albero alla fine.</v>
      </c>
    </row>
    <row r="8007">
      <c r="A8007" s="4" t="s">
        <v>10070</v>
      </c>
      <c r="B8007" s="4" t="s">
        <v>10071</v>
      </c>
      <c r="C8007" s="5" t="str">
        <f>IFERROR(__xludf.DUMMYFUNCTION("GOOGLETRANSLATE(B8007,""en"",""it"")"),"Una donna è in piedi di fronte a una tavola da stiro mentre parla.")</f>
        <v>Una donna è in piedi di fronte a una tavola da stiro mentre parla.</v>
      </c>
    </row>
    <row r="8008">
      <c r="A8008" s="4" t="s">
        <v>10070</v>
      </c>
      <c r="B8008" s="4" t="s">
        <v>10072</v>
      </c>
      <c r="C8008" s="5" t="str">
        <f>IFERROR(__xludf.DUMMYFUNCTION("GOOGLETRANSLATE(B8008,""en"",""it"")"),"Mostra una camicia bianca, che spruzza con qualcosa in lattina.")</f>
        <v>Mostra una camicia bianca, che spruzza con qualcosa in lattina.</v>
      </c>
    </row>
    <row r="8009">
      <c r="A8009" s="4" t="s">
        <v>10070</v>
      </c>
      <c r="B8009" s="4" t="s">
        <v>10073</v>
      </c>
      <c r="C8009" s="5" t="str">
        <f>IFERROR(__xludf.DUMMYFUNCTION("GOOGLETRANSLATE(B8009,""en"",""it"")"),"Organizza la camicia sulla tavola da stiro, quindi inizia a stirare la camicia.")</f>
        <v>Organizza la camicia sulla tavola da stiro, quindi inizia a stirare la camicia.</v>
      </c>
    </row>
    <row r="8010">
      <c r="A8010" s="4" t="s">
        <v>10070</v>
      </c>
      <c r="B8010" s="4" t="s">
        <v>10074</v>
      </c>
      <c r="C8010" s="5" t="str">
        <f>IFERROR(__xludf.DUMMYFUNCTION("GOOGLETRANSLATE(B8010,""en"",""it"")"),"Dopo aver stirato la maglietta, lo schermo va in una pubblicità per un villaggio esperto.")</f>
        <v>Dopo aver stirato la maglietta, lo schermo va in una pubblicità per un villaggio esperto.</v>
      </c>
    </row>
    <row r="8011">
      <c r="A8011" s="4" t="s">
        <v>10075</v>
      </c>
      <c r="B8011" s="4" t="s">
        <v>10076</v>
      </c>
      <c r="C8011" s="5" t="str">
        <f>IFERROR(__xludf.DUMMYFUNCTION("GOOGLETRANSLATE(B8011,""en"",""it"")"),"Due donne sono al lavaggio degli auto.")</f>
        <v>Due donne sono al lavaggio degli auto.</v>
      </c>
    </row>
    <row r="8012">
      <c r="A8012" s="4" t="s">
        <v>10075</v>
      </c>
      <c r="B8012" s="4" t="s">
        <v>10077</v>
      </c>
      <c r="C8012" s="5" t="str">
        <f>IFERROR(__xludf.DUMMYFUNCTION("GOOGLETRANSLATE(B8012,""en"",""it"")"),"Un'auto è coperta in schiuma di sapone.")</f>
        <v>Un'auto è coperta in schiuma di sapone.</v>
      </c>
    </row>
    <row r="8013">
      <c r="A8013" s="4" t="s">
        <v>10075</v>
      </c>
      <c r="B8013" s="4" t="s">
        <v>10078</v>
      </c>
      <c r="C8013" s="5" t="str">
        <f>IFERROR(__xludf.DUMMYFUNCTION("GOOGLETRANSLATE(B8013,""en"",""it"")"),"Le donne iniziano a usare un tubo d'acqua per pulire il sapone.")</f>
        <v>Le donne iniziano a usare un tubo d'acqua per pulire il sapone.</v>
      </c>
    </row>
    <row r="8014">
      <c r="A8014" s="4" t="s">
        <v>10075</v>
      </c>
      <c r="B8014" s="4" t="s">
        <v>10079</v>
      </c>
      <c r="C8014" s="5" t="str">
        <f>IFERROR(__xludf.DUMMYFUNCTION("GOOGLETRANSLATE(B8014,""en"",""it"")"),"Lavorano il tubo e il pennello su tutta la macchina.")</f>
        <v>Lavorano il tubo e il pennello su tutta la macchina.</v>
      </c>
    </row>
    <row r="8015">
      <c r="A8015" s="4" t="s">
        <v>10075</v>
      </c>
      <c r="B8015" s="4" t="s">
        <v>10080</v>
      </c>
      <c r="C8015" s="5" t="str">
        <f>IFERROR(__xludf.DUMMYFUNCTION("GOOGLETRANSLATE(B8015,""en"",""it"")"),"Finiscono che lo capisca.")</f>
        <v>Finiscono che lo capisca.</v>
      </c>
    </row>
    <row r="8016">
      <c r="A8016" s="4" t="s">
        <v>10081</v>
      </c>
      <c r="B8016" s="4" t="s">
        <v>10082</v>
      </c>
      <c r="C8016" s="5" t="str">
        <f>IFERROR(__xludf.DUMMYFUNCTION("GOOGLETRANSLATE(B8016,""en"",""it"")"),"Un giovane si prepara a completare una routine sulle barre parallele.")</f>
        <v>Un giovane si prepara a completare una routine sulle barre parallele.</v>
      </c>
    </row>
    <row r="8017">
      <c r="A8017" s="4" t="s">
        <v>10081</v>
      </c>
      <c r="B8017" s="4" t="s">
        <v>10083</v>
      </c>
      <c r="C8017" s="5" t="str">
        <f>IFERROR(__xludf.DUMMYFUNCTION("GOOGLETRANSLATE(B8017,""en"",""it"")"),"Molte persone sono in gradinate sullo sfondo che camminano, seduti e guardando.")</f>
        <v>Molte persone sono in gradinate sullo sfondo che camminano, seduti e guardando.</v>
      </c>
    </row>
    <row r="8018">
      <c r="A8018" s="4" t="s">
        <v>10081</v>
      </c>
      <c r="B8018" s="4" t="s">
        <v>10084</v>
      </c>
      <c r="C8018" s="5" t="str">
        <f>IFERROR(__xludf.DUMMYFUNCTION("GOOGLETRANSLATE(B8018,""en"",""it"")"),"Il giovane usa una molla per montare le barre.")</f>
        <v>Il giovane usa una molla per montare le barre.</v>
      </c>
    </row>
    <row r="8019">
      <c r="A8019" s="4" t="s">
        <v>10081</v>
      </c>
      <c r="B8019" s="4" t="s">
        <v>10085</v>
      </c>
      <c r="C8019" s="5" t="str">
        <f>IFERROR(__xludf.DUMMYFUNCTION("GOOGLETRANSLATE(B8019,""en"",""it"")"),"Un uomo in piedi vicino alle spalle tira via la molla.")</f>
        <v>Un uomo in piedi vicino alle spalle tira via la molla.</v>
      </c>
    </row>
    <row r="8020">
      <c r="A8020" s="4" t="s">
        <v>10081</v>
      </c>
      <c r="B8020" s="4" t="s">
        <v>10086</v>
      </c>
      <c r="C8020" s="5" t="str">
        <f>IFERROR(__xludf.DUMMYFUNCTION("GOOGLETRANSLATE(B8020,""en"",""it"")"),"Diversi giudici siedono a un tavolo di fronte alle gradinate che guardano.")</f>
        <v>Diversi giudici siedono a un tavolo di fronte alle gradinate che guardano.</v>
      </c>
    </row>
    <row r="8021">
      <c r="A8021" s="4" t="s">
        <v>10081</v>
      </c>
      <c r="B8021" s="4" t="s">
        <v>10087</v>
      </c>
      <c r="C8021" s="5" t="str">
        <f>IFERROR(__xludf.DUMMYFUNCTION("GOOGLETRANSLATE(B8021,""en"",""it"")"),"Il giovane completa la sua routine di bar parallela.")</f>
        <v>Il giovane completa la sua routine di bar parallela.</v>
      </c>
    </row>
    <row r="8022">
      <c r="A8022" s="4" t="s">
        <v>10081</v>
      </c>
      <c r="B8022" s="4" t="s">
        <v>10088</v>
      </c>
      <c r="C8022" s="5" t="str">
        <f>IFERROR(__xludf.DUMMYFUNCTION("GOOGLETRANSLATE(B8022,""en"",""it"")"),"Il giovane quindi smonde, atterra e si inchina.")</f>
        <v>Il giovane quindi smonde, atterra e si inchina.</v>
      </c>
    </row>
    <row r="8023">
      <c r="A8023" s="4" t="s">
        <v>10081</v>
      </c>
      <c r="B8023" s="4" t="s">
        <v>10089</v>
      </c>
      <c r="C8023" s="5" t="str">
        <f>IFERROR(__xludf.DUMMYFUNCTION("GOOGLETRANSLATE(B8023,""en"",""it"")"),"Si allontana mentre un altro uomo si avvicina alla stessa uniforme.")</f>
        <v>Si allontana mentre un altro uomo si avvicina alla stessa uniforme.</v>
      </c>
    </row>
    <row r="8024">
      <c r="A8024" s="4" t="s">
        <v>10090</v>
      </c>
      <c r="B8024" s="4" t="s">
        <v>10091</v>
      </c>
      <c r="C8024" s="5" t="str">
        <f>IFERROR(__xludf.DUMMYFUNCTION("GOOGLETRANSLATE(B8024,""en"",""it"")"),"Viene visto un primo piano di un tronco e una persona che fa oscillare un'ascia su e giù.")</f>
        <v>Viene visto un primo piano di un tronco e una persona che fa oscillare un'ascia su e giù.</v>
      </c>
    </row>
    <row r="8025">
      <c r="A8025" s="4" t="s">
        <v>10090</v>
      </c>
      <c r="B8025" s="4" t="s">
        <v>10092</v>
      </c>
      <c r="C8025" s="5" t="str">
        <f>IFERROR(__xludf.DUMMYFUNCTION("GOOGLETRANSLATE(B8025,""en"",""it"")"),"La persona fa oscillare l'ascia contro il cane e lo taglia a metà.")</f>
        <v>La persona fa oscillare l'ascia contro il cane e lo taglia a metà.</v>
      </c>
    </row>
    <row r="8026">
      <c r="A8026" s="4" t="s">
        <v>10090</v>
      </c>
      <c r="B8026" s="4" t="s">
        <v>10093</v>
      </c>
      <c r="C8026" s="5" t="str">
        <f>IFERROR(__xludf.DUMMYFUNCTION("GOOGLETRANSLATE(B8026,""en"",""it"")"),"La persona lo esegue diverse volte.")</f>
        <v>La persona lo esegue diverse volte.</v>
      </c>
    </row>
    <row r="8027">
      <c r="A8027" s="4" t="s">
        <v>10094</v>
      </c>
      <c r="B8027" s="6" t="s">
        <v>10095</v>
      </c>
      <c r="C8027" s="5" t="str">
        <f>IFERROR(__xludf.DUMMYFUNCTION("GOOGLETRANSLATE(B8027,""en"",""it"")"),"Vengono viste fare sede con l'aiuto di altri e le transizioni in diversi scatti di persone che svolgono compiti estenuanti.")</f>
        <v>Vengono viste fare sede con l'aiuto di altri e le transizioni in diversi scatti di persone che svolgono compiti estenuanti.</v>
      </c>
    </row>
    <row r="8028">
      <c r="A8028" s="4" t="s">
        <v>10094</v>
      </c>
      <c r="B8028" s="6" t="s">
        <v>10096</v>
      </c>
      <c r="C8028" s="5" t="str">
        <f>IFERROR(__xludf.DUMMYFUNCTION("GOOGLETRANSLATE(B8028,""en"",""it"")"),"Un uomo si arrampica su un muro e fa push up mentre un altro è intervistato dalla telecamera e diverse persone scalano un muro.")</f>
        <v>Un uomo si arrampica su un muro e fa push up mentre un altro è intervistato dalla telecamera e diverse persone scalano un muro.</v>
      </c>
    </row>
    <row r="8029">
      <c r="A8029" s="4" t="s">
        <v>10094</v>
      </c>
      <c r="B8029" s="6" t="s">
        <v>10097</v>
      </c>
      <c r="C8029" s="5" t="str">
        <f>IFERROR(__xludf.DUMMYFUNCTION("GOOGLETRANSLATE(B8029,""en"",""it"")"),"Vengono mostrati altri scatti delle persone che si esercitano, oltre a arrampicarsi su pareti di roccia e diversi push up.")</f>
        <v>Vengono mostrati altri scatti delle persone che si esercitano, oltre a arrampicarsi su pareti di roccia e diversi push up.</v>
      </c>
    </row>
    <row r="8030">
      <c r="A8030" s="4" t="s">
        <v>10098</v>
      </c>
      <c r="B8030" s="6" t="s">
        <v>10099</v>
      </c>
      <c r="C8030" s="5" t="str">
        <f>IFERROR(__xludf.DUMMYFUNCTION("GOOGLETRANSLATE(B8030,""en"",""it"")"),"Un uomo che indossa una camicia bianca e un copricapo di rana tocca i suoi capezzoli mentre tiene un registratore.")</f>
        <v>Un uomo che indossa una camicia bianca e un copricapo di rana tocca i suoi capezzoli mentre tiene un registratore.</v>
      </c>
    </row>
    <row r="8031">
      <c r="A8031" s="4" t="s">
        <v>10098</v>
      </c>
      <c r="B8031" s="4" t="s">
        <v>10100</v>
      </c>
      <c r="C8031" s="5" t="str">
        <f>IFERROR(__xludf.DUMMYFUNCTION("GOOGLETRANSLATE(B8031,""en"",""it"")"),"L'uomo porta il registratore alla sua narice destra.")</f>
        <v>L'uomo porta il registratore alla sua narice destra.</v>
      </c>
    </row>
    <row r="8032">
      <c r="A8032" s="4" t="s">
        <v>10098</v>
      </c>
      <c r="B8032" s="4" t="s">
        <v>10101</v>
      </c>
      <c r="C8032" s="5" t="str">
        <f>IFERROR(__xludf.DUMMYFUNCTION("GOOGLETRANSLATE(B8032,""en"",""it"")"),"L'uomo inizia a suonare il registratore.")</f>
        <v>L'uomo inizia a suonare il registratore.</v>
      </c>
    </row>
    <row r="8033">
      <c r="A8033" s="4" t="s">
        <v>10098</v>
      </c>
      <c r="B8033" s="4" t="s">
        <v>10102</v>
      </c>
      <c r="C8033" s="5" t="str">
        <f>IFERROR(__xludf.DUMMYFUNCTION("GOOGLETRANSLATE(B8033,""en"",""it"")"),"La scena si taglia all'uomo, dopo aver finito di suonare, inchinandosi mentre si toccava i capezzoli.")</f>
        <v>La scena si taglia all'uomo, dopo aver finito di suonare, inchinandosi mentre si toccava i capezzoli.</v>
      </c>
    </row>
    <row r="8034">
      <c r="A8034" s="4" t="s">
        <v>10103</v>
      </c>
      <c r="B8034" s="4" t="s">
        <v>10104</v>
      </c>
      <c r="C8034" s="5" t="str">
        <f>IFERROR(__xludf.DUMMYFUNCTION("GOOGLETRANSLATE(B8034,""en"",""it"")"),"Le persone giocano a piscina in una stanza.")</f>
        <v>Le persone giocano a piscina in una stanza.</v>
      </c>
    </row>
    <row r="8035">
      <c r="A8035" s="4" t="s">
        <v>10103</v>
      </c>
      <c r="B8035" s="4" t="s">
        <v>10105</v>
      </c>
      <c r="C8035" s="5" t="str">
        <f>IFERROR(__xludf.DUMMYFUNCTION("GOOGLETRANSLATE(B8035,""en"",""it"")"),"Un uomo spara alla palla e lo fa in tasca.")</f>
        <v>Un uomo spara alla palla e lo fa in tasca.</v>
      </c>
    </row>
    <row r="8036">
      <c r="A8036" s="4" t="s">
        <v>10103</v>
      </c>
      <c r="B8036" s="4" t="s">
        <v>10106</v>
      </c>
      <c r="C8036" s="5" t="str">
        <f>IFERROR(__xludf.DUMMYFUNCTION("GOOGLETRANSLATE(B8036,""en"",""it"")"),"Le persone sono dietro di lui giocando a piscina su un altro tavolo.")</f>
        <v>Le persone sono dietro di lui giocando a piscina su un altro tavolo.</v>
      </c>
    </row>
    <row r="8037">
      <c r="A8037" s="4" t="s">
        <v>10107</v>
      </c>
      <c r="B8037" s="4" t="s">
        <v>10108</v>
      </c>
      <c r="C8037" s="5" t="str">
        <f>IFERROR(__xludf.DUMMYFUNCTION("GOOGLETRANSLATE(B8037,""en"",""it"")"),"Vediamo che la scheda del titolo svanirà.")</f>
        <v>Vediamo che la scheda del titolo svanirà.</v>
      </c>
    </row>
    <row r="8038">
      <c r="A8038" s="4" t="s">
        <v>10107</v>
      </c>
      <c r="B8038" s="4" t="s">
        <v>10109</v>
      </c>
      <c r="C8038" s="5" t="str">
        <f>IFERROR(__xludf.DUMMYFUNCTION("GOOGLETRANSLATE(B8038,""en"",""it"")"),"Vediamo due bambini su un cammello in un carnevale.")</f>
        <v>Vediamo due bambini su un cammello in un carnevale.</v>
      </c>
    </row>
    <row r="8039">
      <c r="A8039" s="4" t="s">
        <v>10107</v>
      </c>
      <c r="B8039" s="4" t="s">
        <v>10110</v>
      </c>
      <c r="C8039" s="5" t="str">
        <f>IFERROR(__xludf.DUMMYFUNCTION("GOOGLETRANSLATE(B8039,""en"",""it"")"),"L'uomo conduce il cammello fuori dalla penna mentre fuma una sigaretta.")</f>
        <v>L'uomo conduce il cammello fuori dalla penna mentre fuma una sigaretta.</v>
      </c>
    </row>
    <row r="8040">
      <c r="A8040" s="4" t="s">
        <v>10107</v>
      </c>
      <c r="B8040" s="4" t="s">
        <v>10111</v>
      </c>
      <c r="C8040" s="5" t="str">
        <f>IFERROR(__xludf.DUMMYFUNCTION("GOOGLETRANSLATE(B8040,""en"",""it"")"),"Passano lo zoo per la cima.")</f>
        <v>Passano lo zoo per la cima.</v>
      </c>
    </row>
    <row r="8041">
      <c r="A8041" s="4" t="s">
        <v>10107</v>
      </c>
      <c r="B8041" s="4" t="s">
        <v>10112</v>
      </c>
      <c r="C8041" s="5" t="str">
        <f>IFERROR(__xludf.DUMMYFUNCTION("GOOGLETRANSLATE(B8041,""en"",""it"")"),"Vediamo la mamma scattare foto dei bambini.")</f>
        <v>Vediamo la mamma scattare foto dei bambini.</v>
      </c>
    </row>
    <row r="8042">
      <c r="A8042" s="4" t="s">
        <v>10107</v>
      </c>
      <c r="B8042" s="4" t="s">
        <v>10113</v>
      </c>
      <c r="C8042" s="5" t="str">
        <f>IFERROR(__xludf.DUMMYFUNCTION("GOOGLETRANSLATE(B8042,""en"",""it"")"),"Viene mostrata la scheda finale.")</f>
        <v>Viene mostrata la scheda finale.</v>
      </c>
    </row>
    <row r="8043">
      <c r="A8043" s="4" t="s">
        <v>10114</v>
      </c>
      <c r="B8043" s="6" t="s">
        <v>10115</v>
      </c>
      <c r="C8043" s="5" t="str">
        <f>IFERROR(__xludf.DUMMYFUNCTION("GOOGLETRANSLATE(B8043,""en"",""it"")"),"C'è un uomo che è nella stanza con altri due uomini e solleva un peso che pesa oltre 400 libbre.")</f>
        <v>C'è un uomo che è nella stanza con altri due uomini e solleva un peso che pesa oltre 400 libbre.</v>
      </c>
    </row>
    <row r="8044">
      <c r="A8044" s="4" t="s">
        <v>10114</v>
      </c>
      <c r="B8044" s="4" t="s">
        <v>10116</v>
      </c>
      <c r="C8044" s="5" t="str">
        <f>IFERROR(__xludf.DUMMYFUNCTION("GOOGLETRANSLATE(B8044,""en"",""it"")"),"Successivamente solleva un peso più pesante dell'ultimo.")</f>
        <v>Successivamente solleva un peso più pesante dell'ultimo.</v>
      </c>
    </row>
    <row r="8045">
      <c r="A8045" s="4" t="s">
        <v>10114</v>
      </c>
      <c r="B8045" s="4" t="s">
        <v>10117</v>
      </c>
      <c r="C8045" s="5" t="str">
        <f>IFERROR(__xludf.DUMMYFUNCTION("GOOGLETRANSLATE(B8045,""en"",""it"")"),"Ottiene, una stretta di mano e un abbraccio da un uomo anziano.")</f>
        <v>Ottiene, una stretta di mano e un abbraccio da un uomo anziano.</v>
      </c>
    </row>
    <row r="8046">
      <c r="A8046" s="4" t="s">
        <v>10114</v>
      </c>
      <c r="B8046" s="4" t="s">
        <v>10118</v>
      </c>
      <c r="C8046" s="5" t="str">
        <f>IFERROR(__xludf.DUMMYFUNCTION("GOOGLETRANSLATE(B8046,""en"",""it"")"),"Quindi qualcuno gli dà soldi e qualcun altro che è seduto su una sedia gli dà un alto.")</f>
        <v>Quindi qualcuno gli dà soldi e qualcun altro che è seduto su una sedia gli dà un alto.</v>
      </c>
    </row>
    <row r="8047">
      <c r="A8047" s="4" t="s">
        <v>10119</v>
      </c>
      <c r="B8047" s="4" t="s">
        <v>10120</v>
      </c>
      <c r="C8047" s="5" t="str">
        <f>IFERROR(__xludf.DUMMYFUNCTION("GOOGLETRANSLATE(B8047,""en"",""it"")"),"Un gruppo di bambini giocano su attrezzature da parco giochi osservate dai genitori.")</f>
        <v>Un gruppo di bambini giocano su attrezzature da parco giochi osservate dai genitori.</v>
      </c>
    </row>
    <row r="8048">
      <c r="A8048" s="4" t="s">
        <v>10119</v>
      </c>
      <c r="B8048" s="4" t="s">
        <v>10121</v>
      </c>
      <c r="C8048" s="5" t="str">
        <f>IFERROR(__xludf.DUMMYFUNCTION("GOOGLETRANSLATE(B8048,""en"",""it"")"),"Un bambino oscilla attraverso le barre delle scimmie.")</f>
        <v>Un bambino oscilla attraverso le barre delle scimmie.</v>
      </c>
    </row>
    <row r="8049">
      <c r="A8049" s="4" t="s">
        <v>10119</v>
      </c>
      <c r="B8049" s="4" t="s">
        <v>10122</v>
      </c>
      <c r="C8049" s="5" t="str">
        <f>IFERROR(__xludf.DUMMYFUNCTION("GOOGLETRANSLATE(B8049,""en"",""it"")"),"Il bambino arriva dall'altra parte degli archi e corre di nuovo alle barre delle scimmie che saltano e ridono.")</f>
        <v>Il bambino arriva dall'altra parte degli archi e corre di nuovo alle barre delle scimmie che saltano e ridono.</v>
      </c>
    </row>
    <row r="8050">
      <c r="A8050" s="4" t="s">
        <v>10119</v>
      </c>
      <c r="B8050" s="4" t="s">
        <v>10123</v>
      </c>
      <c r="C8050" s="5" t="str">
        <f>IFERROR(__xludf.DUMMYFUNCTION("GOOGLETRANSLATE(B8050,""en"",""it"")"),"Il bambino salta felice e cade ma torna subito.")</f>
        <v>Il bambino salta felice e cade ma torna subito.</v>
      </c>
    </row>
    <row r="8051">
      <c r="A8051" s="4" t="s">
        <v>10124</v>
      </c>
      <c r="B8051" s="4" t="s">
        <v>10125</v>
      </c>
      <c r="C8051" s="5" t="str">
        <f>IFERROR(__xludf.DUMMYFUNCTION("GOOGLETRANSLATE(B8051,""en"",""it"")"),"Una donna è vista su un allenatore ellittico in un annuncio.")</f>
        <v>Una donna è vista su un allenatore ellittico in un annuncio.</v>
      </c>
    </row>
    <row r="8052">
      <c r="A8052" s="4" t="s">
        <v>10124</v>
      </c>
      <c r="B8052" s="4" t="s">
        <v>10126</v>
      </c>
      <c r="C8052" s="5" t="str">
        <f>IFERROR(__xludf.DUMMYFUNCTION("GOOGLETRANSLATE(B8052,""en"",""it"")"),"Quindi vediamo i vari componenti e le opzioni per l'utilizzo della macchina.")</f>
        <v>Quindi vediamo i vari componenti e le opzioni per l'utilizzo della macchina.</v>
      </c>
    </row>
    <row r="8053">
      <c r="A8053" s="4" t="s">
        <v>10124</v>
      </c>
      <c r="B8053" s="4" t="s">
        <v>10127</v>
      </c>
      <c r="C8053" s="5" t="str">
        <f>IFERROR(__xludf.DUMMYFUNCTION("GOOGLETRANSLATE(B8053,""en"",""it"")"),"Una donna scorre attraverso uno schermo digitale, quindi viene vista cavalcare l'ellittico.")</f>
        <v>Una donna scorre attraverso uno schermo digitale, quindi viene vista cavalcare l'ellittico.</v>
      </c>
    </row>
    <row r="8054">
      <c r="A8054" s="4" t="s">
        <v>10128</v>
      </c>
      <c r="B8054" s="4" t="s">
        <v>10129</v>
      </c>
      <c r="C8054" s="5" t="str">
        <f>IFERROR(__xludf.DUMMYFUNCTION("GOOGLETRANSLATE(B8054,""en"",""it"")"),"Un uomo sta svolgendo vari compiti mentre fa scricchiolii.")</f>
        <v>Un uomo sta svolgendo vari compiti mentre fa scricchiolii.</v>
      </c>
    </row>
    <row r="8055">
      <c r="A8055" s="4" t="s">
        <v>10128</v>
      </c>
      <c r="B8055" s="4" t="s">
        <v>5880</v>
      </c>
      <c r="C8055" s="5" t="str">
        <f>IFERROR(__xludf.DUMMYFUNCTION("GOOGLETRANSLATE(B8055,""en"",""it"")"),"Si ferma e parla con la telecamera.")</f>
        <v>Si ferma e parla con la telecamera.</v>
      </c>
    </row>
    <row r="8056">
      <c r="A8056" s="4" t="s">
        <v>10128</v>
      </c>
      <c r="B8056" s="4" t="s">
        <v>10130</v>
      </c>
      <c r="C8056" s="5" t="str">
        <f>IFERROR(__xludf.DUMMYFUNCTION("GOOGLETRANSLATE(B8056,""en"",""it"")"),"Solleva la schiena sulla sua macchina da lavoro e ricomincia a fare scricchiolii.")</f>
        <v>Solleva la schiena sulla sua macchina da lavoro e ricomincia a fare scricchiolii.</v>
      </c>
    </row>
    <row r="8057">
      <c r="A8057" s="4" t="s">
        <v>10128</v>
      </c>
      <c r="B8057" s="4" t="s">
        <v>10131</v>
      </c>
      <c r="C8057" s="5" t="str">
        <f>IFERROR(__xludf.DUMMYFUNCTION("GOOGLETRANSLATE(B8057,""en"",""it"")"),"Si siede e continua a parlare con la telecamera.")</f>
        <v>Si siede e continua a parlare con la telecamera.</v>
      </c>
    </row>
    <row r="8058">
      <c r="A8058" s="4" t="s">
        <v>10132</v>
      </c>
      <c r="B8058" s="4" t="s">
        <v>10133</v>
      </c>
      <c r="C8058" s="5" t="str">
        <f>IFERROR(__xludf.DUMMYFUNCTION("GOOGLETRANSLATE(B8058,""en"",""it"")"),"Due uomini sono visti in piedi su un campo da tennis che tiene racchette e parlano alla telecamera.")</f>
        <v>Due uomini sono visti in piedi su un campo da tennis che tiene racchette e parlano alla telecamera.</v>
      </c>
    </row>
    <row r="8059">
      <c r="A8059" s="4" t="s">
        <v>10132</v>
      </c>
      <c r="B8059" s="6" t="s">
        <v>10134</v>
      </c>
      <c r="C8059" s="5" t="str">
        <f>IFERROR(__xludf.DUMMYFUNCTION("GOOGLETRANSLATE(B8059,""en"",""it"")"),"Vengono mostrate diverse scene a rallentatore che eseguono un servizio di tennis corretto con gli uomini che dimostrano subito dopo.")</f>
        <v>Vengono mostrate diverse scene a rallentatore che eseguono un servizio di tennis corretto con gli uomini che dimostrano subito dopo.</v>
      </c>
    </row>
    <row r="8060">
      <c r="A8060" s="4" t="s">
        <v>10132</v>
      </c>
      <c r="B8060" s="6" t="s">
        <v>10135</v>
      </c>
      <c r="C8060" s="5" t="str">
        <f>IFERROR(__xludf.DUMMYFUNCTION("GOOGLETRANSLATE(B8060,""en"",""it"")"),"Gli uomini lo fanno per diversi turni con un rallentatore di un uomo che esegue il trucco fatto in seguito.")</f>
        <v>Gli uomini lo fanno per diversi turni con un rallentatore di un uomo che esegue il trucco fatto in seguito.</v>
      </c>
    </row>
    <row r="8061">
      <c r="A8061" s="4" t="s">
        <v>10136</v>
      </c>
      <c r="B8061" s="4" t="s">
        <v>10137</v>
      </c>
      <c r="C8061" s="5" t="str">
        <f>IFERROR(__xludf.DUMMYFUNCTION("GOOGLETRANSLATE(B8061,""en"",""it"")"),"Un uomo viene visto parlare alla telecamera e inizia a lucidare una scarpa nera con un pennello.")</f>
        <v>Un uomo viene visto parlare alla telecamera e inizia a lucidare una scarpa nera con un pennello.</v>
      </c>
    </row>
    <row r="8062">
      <c r="A8062" s="4" t="s">
        <v>10136</v>
      </c>
      <c r="B8062" s="4" t="s">
        <v>10138</v>
      </c>
      <c r="C8062" s="5" t="str">
        <f>IFERROR(__xludf.DUMMYFUNCTION("GOOGLETRANSLATE(B8062,""en"",""it"")"),"Indica la scarpa e capovolge la scarpa con le mani.")</f>
        <v>Indica la scarpa e capovolge la scarpa con le mani.</v>
      </c>
    </row>
    <row r="8063">
      <c r="A8063" s="4" t="s">
        <v>10139</v>
      </c>
      <c r="B8063" s="4" t="s">
        <v>10140</v>
      </c>
      <c r="C8063" s="5" t="str">
        <f>IFERROR(__xludf.DUMMYFUNCTION("GOOGLETRANSLATE(B8063,""en"",""it"")"),"Un ragazzo parla in un campo, poi gioca con una persona che usa un bastone per colpire una palla.")</f>
        <v>Un ragazzo parla in un campo, poi gioca con una persona che usa un bastone per colpire una palla.</v>
      </c>
    </row>
    <row r="8064">
      <c r="A8064" s="4" t="s">
        <v>10139</v>
      </c>
      <c r="B8064" s="4" t="s">
        <v>10141</v>
      </c>
      <c r="C8064" s="5" t="str">
        <f>IFERROR(__xludf.DUMMYFUNCTION("GOOGLETRANSLATE(B8064,""en"",""it"")"),"Il ragazzo lancia la palla all'altro ragazzo e segna.")</f>
        <v>Il ragazzo lancia la palla all'altro ragazzo e segna.</v>
      </c>
    </row>
    <row r="8065">
      <c r="A8065" s="4" t="s">
        <v>10139</v>
      </c>
      <c r="B8065" s="4" t="s">
        <v>10142</v>
      </c>
      <c r="C8065" s="5" t="str">
        <f>IFERROR(__xludf.DUMMYFUNCTION("GOOGLETRANSLATE(B8065,""en"",""it"")"),"I ragazzi parlano sul campo.")</f>
        <v>I ragazzi parlano sul campo.</v>
      </c>
    </row>
    <row r="8066">
      <c r="A8066" s="4" t="s">
        <v>10143</v>
      </c>
      <c r="B8066" s="4" t="s">
        <v>6097</v>
      </c>
      <c r="C8066" s="5" t="str">
        <f>IFERROR(__xludf.DUMMYFUNCTION("GOOGLETRANSLATE(B8066,""en"",""it"")"),"Vediamo uno schermo di apertura nero.")</f>
        <v>Vediamo uno schermo di apertura nero.</v>
      </c>
    </row>
    <row r="8067">
      <c r="A8067" s="4" t="s">
        <v>10143</v>
      </c>
      <c r="B8067" s="4" t="s">
        <v>10144</v>
      </c>
      <c r="C8067" s="5" t="str">
        <f>IFERROR(__xludf.DUMMYFUNCTION("GOOGLETRANSLATE(B8067,""en"",""it"")"),"Vediamo persone che navigano nell'oceano due uomini stanno scattando immagini.")</f>
        <v>Vediamo persone che navigano nell'oceano due uomini stanno scattando immagini.</v>
      </c>
    </row>
    <row r="8068">
      <c r="A8068" s="4" t="s">
        <v>10143</v>
      </c>
      <c r="B8068" s="4" t="s">
        <v>10145</v>
      </c>
      <c r="C8068" s="5" t="str">
        <f>IFERROR(__xludf.DUMMYFUNCTION("GOOGLETRANSLATE(B8068,""en"",""it"")"),"Vediamo una schermata del titolo, quindi due uomini si trovano sulla spiaggia con una macchina fotografica.")</f>
        <v>Vediamo una schermata del titolo, quindi due uomini si trovano sulla spiaggia con una macchina fotografica.</v>
      </c>
    </row>
    <row r="8069">
      <c r="A8069" s="4" t="s">
        <v>10143</v>
      </c>
      <c r="B8069" s="4" t="s">
        <v>10146</v>
      </c>
      <c r="C8069" s="5" t="str">
        <f>IFERROR(__xludf.DUMMYFUNCTION("GOOGLETRANSLATE(B8069,""en"",""it"")"),"Vediamo i surfisti nell'oceano.")</f>
        <v>Vediamo i surfisti nell'oceano.</v>
      </c>
    </row>
    <row r="8070">
      <c r="A8070" s="4" t="s">
        <v>10143</v>
      </c>
      <c r="B8070" s="4" t="s">
        <v>10147</v>
      </c>
      <c r="C8070" s="5" t="str">
        <f>IFERROR(__xludf.DUMMYFUNCTION("GOOGLETRANSLATE(B8070,""en"",""it"")"),"Vediamo il terzo schermo del titolo e due uomini sulla spiaggia con una macchina fotografica.")</f>
        <v>Vediamo il terzo schermo del titolo e due uomini sulla spiaggia con una macchina fotografica.</v>
      </c>
    </row>
    <row r="8071">
      <c r="A8071" s="4" t="s">
        <v>10143</v>
      </c>
      <c r="B8071" s="4" t="s">
        <v>10148</v>
      </c>
      <c r="C8071" s="5" t="str">
        <f>IFERROR(__xludf.DUMMYFUNCTION("GOOGLETRANSLATE(B8071,""en"",""it"")"),"Vediamo quindi i surfisti nell'oceano.")</f>
        <v>Vediamo quindi i surfisti nell'oceano.</v>
      </c>
    </row>
    <row r="8072">
      <c r="A8072" s="4" t="s">
        <v>10143</v>
      </c>
      <c r="B8072" s="4" t="s">
        <v>10149</v>
      </c>
      <c r="C8072" s="5" t="str">
        <f>IFERROR(__xludf.DUMMYFUNCTION("GOOGLETRANSLATE(B8072,""en"",""it"")"),"Vediamo un uomo su una barca con una macchina fotografica.")</f>
        <v>Vediamo un uomo su una barca con una macchina fotografica.</v>
      </c>
    </row>
    <row r="8073">
      <c r="A8073" s="4" t="s">
        <v>10143</v>
      </c>
      <c r="B8073" s="4" t="s">
        <v>10150</v>
      </c>
      <c r="C8073" s="5" t="str">
        <f>IFERROR(__xludf.DUMMYFUNCTION("GOOGLETRANSLATE(B8073,""en"",""it"")"),"Vediamo quindi la schermata del titolo di chiusura.")</f>
        <v>Vediamo quindi la schermata del titolo di chiusura.</v>
      </c>
    </row>
    <row r="8074">
      <c r="A8074" s="4" t="s">
        <v>10151</v>
      </c>
      <c r="B8074" s="4" t="s">
        <v>10152</v>
      </c>
      <c r="C8074" s="5" t="str">
        <f>IFERROR(__xludf.DUMMYFUNCTION("GOOGLETRANSLATE(B8074,""en"",""it"")"),"Un uomo è seduto, parlando con la telecamera.")</f>
        <v>Un uomo è seduto, parlando con la telecamera.</v>
      </c>
    </row>
    <row r="8075">
      <c r="A8075" s="4" t="s">
        <v>10151</v>
      </c>
      <c r="B8075" s="4" t="s">
        <v>10153</v>
      </c>
      <c r="C8075" s="5" t="str">
        <f>IFERROR(__xludf.DUMMYFUNCTION("GOOGLETRANSLATE(B8075,""en"",""it"")"),"Indossa un abito e una cravatta con uno sfondo colorato.")</f>
        <v>Indossa un abito e una cravatta con uno sfondo colorato.</v>
      </c>
    </row>
    <row r="8076">
      <c r="A8076" s="4" t="s">
        <v>10151</v>
      </c>
      <c r="B8076" s="4" t="s">
        <v>10154</v>
      </c>
      <c r="C8076" s="5" t="str">
        <f>IFERROR(__xludf.DUMMYFUNCTION("GOOGLETRANSLATE(B8076,""en"",""it"")"),"Continua a parlare, usando le mani mentre procede.")</f>
        <v>Continua a parlare, usando le mani mentre procede.</v>
      </c>
    </row>
    <row r="8077">
      <c r="A8077" s="4" t="s">
        <v>10155</v>
      </c>
      <c r="B8077" s="4" t="s">
        <v>10156</v>
      </c>
      <c r="C8077" s="5" t="str">
        <f>IFERROR(__xludf.DUMMYFUNCTION("GOOGLETRANSLATE(B8077,""en"",""it"")"),"Una donna viene vista correre lungo una lunga pista e saltare in una fossa.")</f>
        <v>Una donna viene vista correre lungo una lunga pista e saltare in una fossa.</v>
      </c>
    </row>
    <row r="8078">
      <c r="A8078" s="4" t="s">
        <v>10155</v>
      </c>
      <c r="B8078" s="4" t="s">
        <v>10157</v>
      </c>
      <c r="C8078" s="5" t="str">
        <f>IFERROR(__xludf.DUMMYFUNCTION("GOOGLETRANSLATE(B8078,""en"",""it"")"),"La telecamera la guarda mentre si allontana e tira la lingua a un'altra persona.")</f>
        <v>La telecamera la guarda mentre si allontana e tira la lingua a un'altra persona.</v>
      </c>
    </row>
    <row r="8079">
      <c r="A8079" s="4" t="s">
        <v>10158</v>
      </c>
      <c r="B8079" s="6" t="s">
        <v>10159</v>
      </c>
      <c r="C8079" s="5" t="str">
        <f>IFERROR(__xludf.DUMMYFUNCTION("GOOGLETRANSLATE(B8079,""en"",""it"")"),"Un ragazzo salda un pezzo di metallo in un negozio al coperto mentre indossa un cappotto protettivo, un casco, occhiali e guanti.")</f>
        <v>Un ragazzo salda un pezzo di metallo in un negozio al coperto mentre indossa un cappotto protettivo, un casco, occhiali e guanti.</v>
      </c>
    </row>
    <row r="8080">
      <c r="A8080" s="4" t="s">
        <v>10158</v>
      </c>
      <c r="B8080" s="6" t="s">
        <v>10160</v>
      </c>
      <c r="C8080" s="5" t="str">
        <f>IFERROR(__xludf.DUMMYFUNCTION("GOOGLETRANSLATE(B8080,""en"",""it"")"),"Un ragazzo in un negozio parla alla telecamera mentre si trova davanti a un pezzo di metallo e maneggia gli strumenti di saldatura in preparazione alla saldatura.")</f>
        <v>Un ragazzo in un negozio parla alla telecamera mentre si trova davanti a un pezzo di metallo e maneggia gli strumenti di saldatura in preparazione alla saldatura.</v>
      </c>
    </row>
    <row r="8081">
      <c r="A8081" s="4" t="s">
        <v>10158</v>
      </c>
      <c r="B8081" s="6" t="s">
        <v>10161</v>
      </c>
      <c r="C8081" s="5" t="str">
        <f>IFERROR(__xludf.DUMMYFUNCTION("GOOGLETRANSLATE(B8081,""en"",""it"")"),"Il ragazzo inizia a saldare creando estreme scintille di fuoco come reazioni davanti a lui sopra il materiale saldato.")</f>
        <v>Il ragazzo inizia a saldare creando estreme scintille di fuoco come reazioni davanti a lui sopra il materiale saldato.</v>
      </c>
    </row>
    <row r="8082">
      <c r="A8082" s="4" t="s">
        <v>10158</v>
      </c>
      <c r="B8082" s="6" t="s">
        <v>10162</v>
      </c>
      <c r="C8082" s="5" t="str">
        <f>IFERROR(__xludf.DUMMYFUNCTION("GOOGLETRANSLATE(B8082,""en"",""it"")"),"Il ragazzo mostra un primo piano della punta calda rossa dello strumento, termina la saldatura e getta la telecamera a un altro ragazzo vestito con la stessa attrezzatura di saldatura protettiva dietro di lui.")</f>
        <v>Il ragazzo mostra un primo piano della punta calda rossa dello strumento, termina la saldatura e getta la telecamera a un altro ragazzo vestito con la stessa attrezzatura di saldatura protettiva dietro di lui.</v>
      </c>
    </row>
    <row r="8083">
      <c r="A8083" s="4" t="s">
        <v>10163</v>
      </c>
      <c r="B8083" s="4" t="s">
        <v>10164</v>
      </c>
      <c r="C8083" s="5" t="str">
        <f>IFERROR(__xludf.DUMMYFUNCTION("GOOGLETRANSLATE(B8083,""en"",""it"")"),"Numerosi primi piani sono mostrati da un rasoio che conduce a un uomo che rasa il viso di un altro.")</f>
        <v>Numerosi primi piani sono mostrati da un rasoio che conduce a un uomo che rasa il viso di un altro.</v>
      </c>
    </row>
    <row r="8084">
      <c r="A8084" s="4" t="s">
        <v>10163</v>
      </c>
      <c r="B8084" s="4" t="s">
        <v>10165</v>
      </c>
      <c r="C8084" s="5" t="str">
        <f>IFERROR(__xludf.DUMMYFUNCTION("GOOGLETRANSLATE(B8084,""en"",""it"")"),"L'uomo mostra di nuovo il suo viso con il rasoio che mette la crema e inizia a radersi.")</f>
        <v>L'uomo mostra di nuovo il suo viso con il rasoio che mette la crema e inizia a radersi.</v>
      </c>
    </row>
    <row r="8085">
      <c r="A8085" s="4" t="s">
        <v>10163</v>
      </c>
      <c r="B8085" s="4" t="s">
        <v>10166</v>
      </c>
      <c r="C8085" s="5" t="str">
        <f>IFERROR(__xludf.DUMMYFUNCTION("GOOGLETRANSLATE(B8085,""en"",""it"")"),"L'uomo usa vari strumenti sull'altro per radersi e parlare alla fotocamera.")</f>
        <v>L'uomo usa vari strumenti sull'altro per radersi e parlare alla fotocamera.</v>
      </c>
    </row>
    <row r="8086">
      <c r="A8086" s="4" t="s">
        <v>10167</v>
      </c>
      <c r="B8086" s="4" t="s">
        <v>10168</v>
      </c>
      <c r="C8086" s="5" t="str">
        <f>IFERROR(__xludf.DUMMYFUNCTION("GOOGLETRANSLATE(B8086,""en"",""it"")"),"Una giovane donna mostra una bottiglia di crema di bellezza.")</f>
        <v>Una giovane donna mostra una bottiglia di crema di bellezza.</v>
      </c>
    </row>
    <row r="8087">
      <c r="A8087" s="4" t="s">
        <v>10167</v>
      </c>
      <c r="B8087" s="4" t="s">
        <v>10169</v>
      </c>
      <c r="C8087" s="5" t="str">
        <f>IFERROR(__xludf.DUMMYFUNCTION("GOOGLETRANSLATE(B8087,""en"",""it"")"),"Quindi, la ragazza mette la crema sul dito delle ore e si strofina la spalla.")</f>
        <v>Quindi, la ragazza mette la crema sul dito delle ore e si strofina la spalla.</v>
      </c>
    </row>
    <row r="8088">
      <c r="A8088" s="4" t="s">
        <v>10170</v>
      </c>
      <c r="B8088" s="4" t="s">
        <v>10171</v>
      </c>
      <c r="C8088" s="5" t="str">
        <f>IFERROR(__xludf.DUMMYFUNCTION("GOOGLETRANSLATE(B8088,""en"",""it"")"),"Inizia un videogioco per WWE Professional Wrestling, mostrando un numero di tre su una partita.")</f>
        <v>Inizia un videogioco per WWE Professional Wrestling, mostrando un numero di tre su una partita.</v>
      </c>
    </row>
    <row r="8089">
      <c r="A8089" s="4" t="s">
        <v>10170</v>
      </c>
      <c r="B8089" s="6" t="s">
        <v>10172</v>
      </c>
      <c r="C8089" s="5" t="str">
        <f>IFERROR(__xludf.DUMMYFUNCTION("GOOGLETRANSLATE(B8089,""en"",""it"")"),"Il giocatore che controlla Roman Reigns colpisce una grande mossa sul suo avversario e la sua squadra arriva per un grande attacco coordinato.")</f>
        <v>Il giocatore che controlla Roman Reigns colpisce una grande mossa sul suo avversario e la sua squadra arriva per un grande attacco coordinato.</v>
      </c>
    </row>
    <row r="8090">
      <c r="A8090" s="4" t="s">
        <v>10173</v>
      </c>
      <c r="B8090" s="4" t="s">
        <v>10174</v>
      </c>
      <c r="C8090" s="5" t="str">
        <f>IFERROR(__xludf.DUMMYFUNCTION("GOOGLETRANSLATE(B8090,""en"",""it"")"),"L'uomo sta cavalcando un cavallo all'interno di un fienile e con una corda cattura un toro.")</f>
        <v>L'uomo sta cavalcando un cavallo all'interno di un fienile e con una corda cattura un toro.</v>
      </c>
    </row>
    <row r="8091">
      <c r="A8091" s="4" t="s">
        <v>10173</v>
      </c>
      <c r="B8091" s="4" t="s">
        <v>10175</v>
      </c>
      <c r="C8091" s="5" t="str">
        <f>IFERROR(__xludf.DUMMYFUNCTION("GOOGLETRANSLATE(B8091,""en"",""it"")"),"L'uomo è in piedi sul lato di Te Barn.")</f>
        <v>L'uomo è in piedi sul lato di Te Barn.</v>
      </c>
    </row>
    <row r="8092">
      <c r="A8092" s="4" t="s">
        <v>10176</v>
      </c>
      <c r="B8092" s="6" t="s">
        <v>10177</v>
      </c>
      <c r="C8092" s="5" t="str">
        <f>IFERROR(__xludf.DUMMYFUNCTION("GOOGLETRANSLATE(B8092,""en"",""it"")"),"Viene visto un uomo parlare con una macchina fotografica e conduce a versare liquido in una ciotola e strofinarlo in un oggetto di legno.")</f>
        <v>Viene visto un uomo parlare con una macchina fotografica e conduce a versare liquido in una ciotola e strofinarlo in un oggetto di legno.</v>
      </c>
    </row>
    <row r="8093">
      <c r="A8093" s="4" t="s">
        <v>10176</v>
      </c>
      <c r="B8093" s="6" t="s">
        <v>10178</v>
      </c>
      <c r="C8093" s="5" t="str">
        <f>IFERROR(__xludf.DUMMYFUNCTION("GOOGLETRANSLATE(B8093,""en"",""it"")"),"Quindi dipinge l'area con un tessuto a spazzola e unghie sul retro, creando una sedia e con la padella della fotocamera.")</f>
        <v>Quindi dipinge l'area con un tessuto a spazzola e unghie sul retro, creando una sedia e con la padella della fotocamera.</v>
      </c>
    </row>
    <row r="8094">
      <c r="A8094" s="4" t="s">
        <v>10179</v>
      </c>
      <c r="B8094" s="4" t="s">
        <v>10180</v>
      </c>
      <c r="C8094" s="5" t="str">
        <f>IFERROR(__xludf.DUMMYFUNCTION("GOOGLETRANSLATE(B8094,""en"",""it"")"),"Una donna gira un ragazzo in cerchio.")</f>
        <v>Una donna gira un ragazzo in cerchio.</v>
      </c>
    </row>
    <row r="8095">
      <c r="A8095" s="4" t="s">
        <v>10179</v>
      </c>
      <c r="B8095" s="4" t="s">
        <v>10181</v>
      </c>
      <c r="C8095" s="5" t="str">
        <f>IFERROR(__xludf.DUMMYFUNCTION("GOOGLETRANSLATE(B8095,""en"",""it"")"),"Il ragazzo tiene un lungo bastone e indossa una benda.")</f>
        <v>Il ragazzo tiene un lungo bastone e indossa una benda.</v>
      </c>
    </row>
    <row r="8096">
      <c r="A8096" s="4" t="s">
        <v>10179</v>
      </c>
      <c r="B8096" s="4" t="s">
        <v>10182</v>
      </c>
      <c r="C8096" s="5" t="str">
        <f>IFERROR(__xludf.DUMMYFUNCTION("GOOGLETRANSLATE(B8096,""en"",""it"")"),"La donna smette di girare il ragazzo e lo punta a una Pinata appesa al soffitto.")</f>
        <v>La donna smette di girare il ragazzo e lo punta a una Pinata appesa al soffitto.</v>
      </c>
    </row>
    <row r="8097">
      <c r="A8097" s="4" t="s">
        <v>10179</v>
      </c>
      <c r="B8097" s="4" t="s">
        <v>10183</v>
      </c>
      <c r="C8097" s="5" t="str">
        <f>IFERROR(__xludf.DUMMYFUNCTION("GOOGLETRANSLATE(B8097,""en"",""it"")"),"Il ragazzo oscilla e colpisce la Pinata una volta.")</f>
        <v>Il ragazzo oscilla e colpisce la Pinata una volta.</v>
      </c>
    </row>
    <row r="8098">
      <c r="A8098" s="4" t="s">
        <v>10179</v>
      </c>
      <c r="B8098" s="4" t="s">
        <v>10184</v>
      </c>
      <c r="C8098" s="5" t="str">
        <f>IFERROR(__xludf.DUMMYFUNCTION("GOOGLETRANSLATE(B8098,""en"",""it"")"),"Quindi oscilla e manca molte volte.")</f>
        <v>Quindi oscilla e manca molte volte.</v>
      </c>
    </row>
    <row r="8099">
      <c r="A8099" s="4" t="s">
        <v>10179</v>
      </c>
      <c r="B8099" s="4" t="s">
        <v>10185</v>
      </c>
      <c r="C8099" s="5" t="str">
        <f>IFERROR(__xludf.DUMMYFUNCTION("GOOGLETRANSLATE(B8099,""en"",""it"")"),"Il ragazzo finalmente si arrende e si toglie la benda.")</f>
        <v>Il ragazzo finalmente si arrende e si toglie la benda.</v>
      </c>
    </row>
    <row r="8100">
      <c r="A8100" s="4" t="s">
        <v>10179</v>
      </c>
      <c r="B8100" s="4" t="s">
        <v>10186</v>
      </c>
      <c r="C8100" s="5" t="str">
        <f>IFERROR(__xludf.DUMMYFUNCTION("GOOGLETRANSLATE(B8100,""en"",""it"")"),"Una donna diversa entra e si ferma vicino alla Pinata.")</f>
        <v>Una donna diversa entra e si ferma vicino alla Pinata.</v>
      </c>
    </row>
    <row r="8101">
      <c r="A8101" s="4" t="s">
        <v>10187</v>
      </c>
      <c r="B8101" s="6" t="s">
        <v>10188</v>
      </c>
      <c r="C8101" s="5" t="str">
        <f>IFERROR(__xludf.DUMMYFUNCTION("GOOGLETRANSLATE(B8101,""en"",""it"")"),"Un giovane ragazzo è fuori correndo attraverso un campo verde, quindi riappare indossando un casco verde e un bastone in mano a forma di pagaia.")</f>
        <v>Un giovane ragazzo è fuori correndo attraverso un campo verde, quindi riappare indossando un casco verde e un bastone in mano a forma di pagaia.</v>
      </c>
    </row>
    <row r="8102">
      <c r="A8102" s="4" t="s">
        <v>10187</v>
      </c>
      <c r="B8102" s="6" t="s">
        <v>10189</v>
      </c>
      <c r="C8102" s="5" t="str">
        <f>IFERROR(__xludf.DUMMYFUNCTION("GOOGLETRANSLATE(B8102,""en"",""it"")"),"Il ragazzo si raccoglie quindi con il resto della sua squadra, si trovano in linea e inizia scrimmage l'uno contro l'altro.")</f>
        <v>Il ragazzo si raccoglie quindi con il resto della sua squadra, si trovano in linea e inizia scrimmage l'uno contro l'altro.</v>
      </c>
    </row>
    <row r="8103">
      <c r="A8103" s="4" t="s">
        <v>10187</v>
      </c>
      <c r="B8103" s="6" t="s">
        <v>10190</v>
      </c>
      <c r="C8103" s="5" t="str">
        <f>IFERROR(__xludf.DUMMYFUNCTION("GOOGLETRANSLATE(B8103,""en"",""it"")"),"Mentre il gioco continua, i bambini corrono avanti e indietro attraverso il campo e gli allenatori si spostano dietro di loro.")</f>
        <v>Mentre il gioco continua, i bambini corrono avanti e indietro attraverso il campo e gli allenatori si spostano dietro di loro.</v>
      </c>
    </row>
    <row r="8104">
      <c r="A8104" s="4" t="s">
        <v>10191</v>
      </c>
      <c r="B8104" s="4" t="s">
        <v>10192</v>
      </c>
      <c r="C8104" s="5" t="str">
        <f>IFERROR(__xludf.DUMMYFUNCTION("GOOGLETRANSLATE(B8104,""en"",""it"")"),"Uno schermo dice il triplo salto su di esso.")</f>
        <v>Uno schermo dice il triplo salto su di esso.</v>
      </c>
    </row>
    <row r="8105">
      <c r="A8105" s="4" t="s">
        <v>10191</v>
      </c>
      <c r="B8105" s="4" t="s">
        <v>10193</v>
      </c>
      <c r="C8105" s="5" t="str">
        <f>IFERROR(__xludf.DUMMYFUNCTION("GOOGLETRANSLATE(B8105,""en"",""it"")"),"Un uomo è in piedi in un campo prima di correre e saltare in un quadrato di terra.")</f>
        <v>Un uomo è in piedi in un campo prima di correre e saltare in un quadrato di terra.</v>
      </c>
    </row>
    <row r="8106">
      <c r="A8106" s="4" t="s">
        <v>10191</v>
      </c>
      <c r="B8106" s="4" t="s">
        <v>10194</v>
      </c>
      <c r="C8106" s="5" t="str">
        <f>IFERROR(__xludf.DUMMYFUNCTION("GOOGLETRANSLATE(B8106,""en"",""it"")"),"Si allontana dal salto e parla alla telecamera.")</f>
        <v>Si allontana dal salto e parla alla telecamera.</v>
      </c>
    </row>
    <row r="8107">
      <c r="A8107" s="4" t="s">
        <v>10191</v>
      </c>
      <c r="B8107" s="4" t="s">
        <v>10195</v>
      </c>
      <c r="C8107" s="5" t="str">
        <f>IFERROR(__xludf.DUMMYFUNCTION("GOOGLETRANSLATE(B8107,""en"",""it"")"),"Viene mostrato di nuovo al rallentatore.")</f>
        <v>Viene mostrato di nuovo al rallentatore.</v>
      </c>
    </row>
    <row r="8108">
      <c r="A8108" s="4" t="s">
        <v>10196</v>
      </c>
      <c r="B8108" s="6" t="s">
        <v>10197</v>
      </c>
      <c r="C8108" s="5" t="str">
        <f>IFERROR(__xludf.DUMMYFUNCTION("GOOGLETRANSLATE(B8108,""en"",""it"")"),"Un uomo atletico vestito di blu si avvicina al cavallo da ginnastica e si trova lì e lo fissa per alcuni secondi.")</f>
        <v>Un uomo atletico vestito di blu si avvicina al cavallo da ginnastica e si trova lì e lo fissa per alcuni secondi.</v>
      </c>
    </row>
    <row r="8109">
      <c r="A8109" s="4" t="s">
        <v>10196</v>
      </c>
      <c r="B8109" s="6" t="s">
        <v>10198</v>
      </c>
      <c r="C8109" s="5" t="str">
        <f>IFERROR(__xludf.DUMMYFUNCTION("GOOGLETRANSLATE(B8109,""en"",""it"")"),"L'uomo quindi si avvicina e mette le sue due mani su di esso e inizia a fare varie mosse dove si gira, gira e manovra il suo corpo molto abilmente intorno al cavallo da ginnastica.")</f>
        <v>L'uomo quindi si avvicina e mette le sue due mani su di esso e inizia a fare varie mosse dove si gira, gira e manovra il suo corpo molto abilmente intorno al cavallo da ginnastica.</v>
      </c>
    </row>
    <row r="8110">
      <c r="A8110" s="4" t="s">
        <v>10196</v>
      </c>
      <c r="B8110" s="6" t="s">
        <v>10199</v>
      </c>
      <c r="C8110" s="5" t="str">
        <f>IFERROR(__xludf.DUMMYFUNCTION("GOOGLETRANSLATE(B8110,""en"",""it"")"),"L'uomo finisce la fine della sua routine e salta giù dal cavallo da ginnastica che atterra sui suoi due piedi, tiene le sue due braccia in aria, applaude le mani una volta e poi prende un inchino.")</f>
        <v>L'uomo finisce la fine della sua routine e salta giù dal cavallo da ginnastica che atterra sui suoi due piedi, tiene le sue due braccia in aria, applaude le mani una volta e poi prende un inchino.</v>
      </c>
    </row>
    <row r="8111">
      <c r="A8111" s="4" t="s">
        <v>10200</v>
      </c>
      <c r="B8111" s="4" t="s">
        <v>10201</v>
      </c>
      <c r="C8111" s="5" t="str">
        <f>IFERROR(__xludf.DUMMYFUNCTION("GOOGLETRANSLATE(B8111,""en"",""it"")"),"Le persone corrono ostacoli giocando a un gioco di paintball.")</f>
        <v>Le persone corrono ostacoli giocando a un gioco di paintball.</v>
      </c>
    </row>
    <row r="8112">
      <c r="A8112" s="4" t="s">
        <v>10200</v>
      </c>
      <c r="B8112" s="4" t="s">
        <v>10202</v>
      </c>
      <c r="C8112" s="5" t="str">
        <f>IFERROR(__xludf.DUMMYFUNCTION("GOOGLETRANSLATE(B8112,""en"",""it"")"),"Un ragazzo si guarda attorno e scende a terra.")</f>
        <v>Un ragazzo si guarda attorno e scende a terra.</v>
      </c>
    </row>
    <row r="8113">
      <c r="A8113" s="4" t="s">
        <v>10200</v>
      </c>
      <c r="B8113" s="4" t="s">
        <v>10203</v>
      </c>
      <c r="C8113" s="5" t="str">
        <f>IFERROR(__xludf.DUMMYFUNCTION("GOOGLETRANSLATE(B8113,""en"",""it"")"),"Una bandiera americana è mostrata sullo schermo.")</f>
        <v>Una bandiera americana è mostrata sullo schermo.</v>
      </c>
    </row>
    <row r="8114">
      <c r="A8114" s="4" t="s">
        <v>10204</v>
      </c>
      <c r="B8114" s="6" t="s">
        <v>10205</v>
      </c>
      <c r="C8114" s="5" t="str">
        <f>IFERROR(__xludf.DUMMYFUNCTION("GOOGLETRANSLATE(B8114,""en"",""it"")"),"C'è un uomo che indossa un giubbotto di colore bianco e un cappello duro blu che si rema in una barca a remi gialli con remo a doppia faccia.")</f>
        <v>C'è un uomo che indossa un giubbotto di colore bianco e un cappello duro blu che si rema in una barca a remi gialli con remo a doppia faccia.</v>
      </c>
    </row>
    <row r="8115">
      <c r="A8115" s="4" t="s">
        <v>10204</v>
      </c>
      <c r="B8115" s="4" t="s">
        <v>10206</v>
      </c>
      <c r="C8115" s="5" t="str">
        <f>IFERROR(__xludf.DUMMYFUNCTION("GOOGLETRANSLATE(B8115,""en"",""it"")"),"Sta dimostrando il modo corretto di remare la barca mentre rimane a galla.")</f>
        <v>Sta dimostrando il modo corretto di remare la barca mentre rimane a galla.</v>
      </c>
    </row>
    <row r="8116">
      <c r="A8116" s="4" t="s">
        <v>10204</v>
      </c>
      <c r="B8116" s="4" t="s">
        <v>10207</v>
      </c>
      <c r="C8116" s="5" t="str">
        <f>IFERROR(__xludf.DUMMYFUNCTION("GOOGLETRANSLATE(B8116,""en"",""it"")"),"È in un corpo idrico che ha alcune onde forti.")</f>
        <v>È in un corpo idrico che ha alcune onde forti.</v>
      </c>
    </row>
    <row r="8117">
      <c r="A8117" s="4" t="s">
        <v>10204</v>
      </c>
      <c r="B8117" s="4" t="s">
        <v>10208</v>
      </c>
      <c r="C8117" s="5" t="str">
        <f>IFERROR(__xludf.DUMMYFUNCTION("GOOGLETRANSLATE(B8117,""en"",""it"")"),"Sta mostrando come fare i colpi con i remi per andare contro la corrente d'acqua.")</f>
        <v>Sta mostrando come fare i colpi con i remi per andare contro la corrente d'acqua.</v>
      </c>
    </row>
    <row r="8118">
      <c r="A8118" s="4" t="s">
        <v>10204</v>
      </c>
      <c r="B8118" s="4" t="s">
        <v>10209</v>
      </c>
      <c r="C8118" s="5" t="str">
        <f>IFERROR(__xludf.DUMMYFUNCTION("GOOGLETRANSLATE(B8118,""en"",""it"")"),"Va in circolo mentre dimostra come remare contro onde potenti.")</f>
        <v>Va in circolo mentre dimostra come remare contro onde potenti.</v>
      </c>
    </row>
    <row r="8119">
      <c r="A8119" s="4" t="s">
        <v>10210</v>
      </c>
      <c r="B8119" s="4" t="s">
        <v>10211</v>
      </c>
      <c r="C8119" s="5" t="str">
        <f>IFERROR(__xludf.DUMMYFUNCTION("GOOGLETRANSLATE(B8119,""en"",""it"")"),"Gli uomini sono ai lati del tavolo che giocano alla birra.")</f>
        <v>Gli uomini sono ai lati del tavolo che giocano alla birra.</v>
      </c>
    </row>
    <row r="8120">
      <c r="A8120" s="4" t="s">
        <v>10210</v>
      </c>
      <c r="B8120" s="4" t="s">
        <v>10212</v>
      </c>
      <c r="C8120" s="5" t="str">
        <f>IFERROR(__xludf.DUMMYFUNCTION("GOOGLETRANSLATE(B8120,""en"",""it"")"),"Un uomo è seduto su una sedia accanto al tavolo a guardare gli uomini mentre giocano.")</f>
        <v>Un uomo è seduto su una sedia accanto al tavolo a guardare gli uomini mentre giocano.</v>
      </c>
    </row>
    <row r="8121">
      <c r="A8121" s="4" t="s">
        <v>10210</v>
      </c>
      <c r="B8121" s="4" t="s">
        <v>10213</v>
      </c>
      <c r="C8121" s="5" t="str">
        <f>IFERROR(__xludf.DUMMYFUNCTION("GOOGLETRANSLATE(B8121,""en"",""it"")"),"Gli uomini stanno accogliendo le tazze sul tavolo.")</f>
        <v>Gli uomini stanno accogliendo le tazze sul tavolo.</v>
      </c>
    </row>
    <row r="8122">
      <c r="A8122" s="4" t="s">
        <v>10214</v>
      </c>
      <c r="B8122" s="4" t="s">
        <v>10215</v>
      </c>
      <c r="C8122" s="5" t="str">
        <f>IFERROR(__xludf.DUMMYFUNCTION("GOOGLETRANSLATE(B8122,""en"",""it"")"),"Varie persone sono viste in piedi in un'area aperta eseguendo diversi trucchi con i loro cani.")</f>
        <v>Varie persone sono viste in piedi in un'area aperta eseguendo diversi trucchi con i loro cani.</v>
      </c>
    </row>
    <row r="8123">
      <c r="A8123" s="4" t="s">
        <v>10214</v>
      </c>
      <c r="B8123" s="4" t="s">
        <v>10216</v>
      </c>
      <c r="C8123" s="5" t="str">
        <f>IFERROR(__xludf.DUMMYFUNCTION("GOOGLETRANSLATE(B8123,""en"",""it"")"),"Molte persone guardano a margine e più persone continuano a mostrare trucchi con i loro cani.")</f>
        <v>Molte persone guardano a margine e più persone continuano a mostrare trucchi con i loro cani.</v>
      </c>
    </row>
    <row r="8124">
      <c r="A8124" s="4" t="s">
        <v>10214</v>
      </c>
      <c r="B8124" s="4" t="s">
        <v>10217</v>
      </c>
      <c r="C8124" s="5" t="str">
        <f>IFERROR(__xludf.DUMMYFUNCTION("GOOGLETRANSLATE(B8124,""en"",""it"")"),"Diverse persone vengono intervistate dalla telecamera e conducono a mostrare ancora più trucchi.")</f>
        <v>Diverse persone vengono intervistate dalla telecamera e conducono a mostrare ancora più trucchi.</v>
      </c>
    </row>
    <row r="8125">
      <c r="A8125" s="4" t="s">
        <v>10218</v>
      </c>
      <c r="B8125" s="4" t="s">
        <v>10219</v>
      </c>
      <c r="C8125" s="5" t="str">
        <f>IFERROR(__xludf.DUMMYFUNCTION("GOOGLETRANSLATE(B8125,""en"",""it"")"),"Una linea di batteristi gioca all'interno di un superdome.")</f>
        <v>Una linea di batteristi gioca all'interno di un superdome.</v>
      </c>
    </row>
    <row r="8126">
      <c r="A8126" s="4" t="s">
        <v>10218</v>
      </c>
      <c r="B8126" s="4" t="s">
        <v>10220</v>
      </c>
      <c r="C8126" s="5" t="str">
        <f>IFERROR(__xludf.DUMMYFUNCTION("GOOGLETRANSLATE(B8126,""en"",""it"")"),"Diversi batteristi dei bassi appaiono indossando maglie.")</f>
        <v>Diversi batteristi dei bassi appaiono indossando maglie.</v>
      </c>
    </row>
    <row r="8127">
      <c r="A8127" s="4" t="s">
        <v>10218</v>
      </c>
      <c r="B8127" s="4" t="s">
        <v>10221</v>
      </c>
      <c r="C8127" s="5" t="str">
        <f>IFERROR(__xludf.DUMMYFUNCTION("GOOGLETRANSLATE(B8127,""en"",""it"")"),"Giocano tutti un battito mentre le persone con telecamere camminano tra di loro.")</f>
        <v>Giocano tutti un battito mentre le persone con telecamere camminano tra di loro.</v>
      </c>
    </row>
    <row r="8128">
      <c r="A8128" s="4" t="s">
        <v>10222</v>
      </c>
      <c r="B8128" s="4" t="s">
        <v>10223</v>
      </c>
      <c r="C8128" s="5" t="str">
        <f>IFERROR(__xludf.DUMMYFUNCTION("GOOGLETRANSLATE(B8128,""en"",""it"")"),"Appare uno schermo nero con parole bianche che leggono ""Sport Bez Barier Curling Na Wozkach"".")</f>
        <v>Appare uno schermo nero con parole bianche che leggono "Sport Bez Barier Curling Na Wozkach".</v>
      </c>
    </row>
    <row r="8129">
      <c r="A8129" s="4" t="s">
        <v>10222</v>
      </c>
      <c r="B8129" s="6" t="s">
        <v>10224</v>
      </c>
      <c r="C8129" s="5" t="str">
        <f>IFERROR(__xludf.DUMMYFUNCTION("GOOGLETRANSLATE(B8129,""en"",""it"")"),"Un detergente per il ghiaccio ora sta cavalcando una pista di pattinaggio e poi le persone su sedia a rotelle iniziano a ruotare sulla pista.")</f>
        <v>Un detergente per il ghiaccio ora sta cavalcando una pista di pattinaggio e poi le persone su sedia a rotelle iniziano a ruotare sulla pista.</v>
      </c>
    </row>
    <row r="8130">
      <c r="A8130" s="4" t="s">
        <v>10222</v>
      </c>
      <c r="B8130" s="6" t="s">
        <v>10225</v>
      </c>
      <c r="C8130" s="5" t="str">
        <f>IFERROR(__xludf.DUMMYFUNCTION("GOOGLETRANSLATE(B8130,""en"",""it"")"),"Una donna su una sedia a rotelle inizia a parlare e le parole sullo schermo dicono che il suo nome è ""Agnieszka Kachel"".")</f>
        <v>Una donna su una sedia a rotelle inizia a parlare e le parole sullo schermo dicono che il suo nome è "Agnieszka Kachel".</v>
      </c>
    </row>
    <row r="8131">
      <c r="A8131" s="4" t="s">
        <v>10222</v>
      </c>
      <c r="B8131" s="6" t="s">
        <v>10226</v>
      </c>
      <c r="C8131" s="5" t="str">
        <f>IFERROR(__xludf.DUMMYFUNCTION("GOOGLETRANSLATE(B8131,""en"",""it"")"),"La pista viene nuovamente mostrata e mostra che gli oggetti grigi con top colorati vengono spinti sul ghiaccio con bastoncini che le persone sulle sedie a rotelle stanno tenendo e passa avanti e indietro alla donna che parla da sola e alle persone sul ghi"&amp;"accio che giocano.")</f>
        <v>La pista viene nuovamente mostrata e mostra che gli oggetti grigi con top colorati vengono spinti sul ghiaccio con bastoncini che le persone sulle sedie a rotelle stanno tenendo e passa avanti e indietro alla donna che parla da sola e alle persone sul ghiaccio che giocano.</v>
      </c>
    </row>
    <row r="8132">
      <c r="A8132" s="4" t="s">
        <v>10222</v>
      </c>
      <c r="B8132" s="4" t="s">
        <v>10227</v>
      </c>
      <c r="C8132" s="5" t="str">
        <f>IFERROR(__xludf.DUMMYFUNCTION("GOOGLETRANSLATE(B8132,""en"",""it"")"),"Viene visualizzata una schermata Outro White con lettere nere che includono un elenco di nomi, siti Web e loghi.")</f>
        <v>Viene visualizzata una schermata Outro White con lettere nere che includono un elenco di nomi, siti Web e loghi.</v>
      </c>
    </row>
    <row r="8133">
      <c r="A8133" s="4" t="s">
        <v>10228</v>
      </c>
      <c r="B8133" s="6" t="s">
        <v>10229</v>
      </c>
      <c r="C8133" s="5" t="str">
        <f>IFERROR(__xludf.DUMMYFUNCTION("GOOGLETRANSLATE(B8133,""en"",""it"")"),"Una ginnasta viene vista arrampicarsi su una serie di barre irregolari e eseguire una routine mentre molti guardano sul lato.")</f>
        <v>Una ginnasta viene vista arrampicarsi su una serie di barre irregolari e eseguire una routine mentre molti guardano sul lato.</v>
      </c>
    </row>
    <row r="8134">
      <c r="A8134" s="4" t="s">
        <v>10228</v>
      </c>
      <c r="B8134" s="4" t="s">
        <v>10230</v>
      </c>
      <c r="C8134" s="5" t="str">
        <f>IFERROR(__xludf.DUMMYFUNCTION("GOOGLETRANSLATE(B8134,""en"",""it"")"),"Esegue vari lanci, trucchi e termina saltando giù e alzando le braccia.")</f>
        <v>Esegue vari lanci, trucchi e termina saltando giù e alzando le braccia.</v>
      </c>
    </row>
    <row r="8135">
      <c r="A8135" s="4" t="s">
        <v>10231</v>
      </c>
      <c r="B8135" s="4" t="s">
        <v>10232</v>
      </c>
      <c r="C8135" s="5" t="str">
        <f>IFERROR(__xludf.DUMMYFUNCTION("GOOGLETRANSLATE(B8135,""en"",""it"")"),"Un uomo si lava la faccia davanti a uno specchio.")</f>
        <v>Un uomo si lava la faccia davanti a uno specchio.</v>
      </c>
    </row>
    <row r="8136">
      <c r="A8136" s="4" t="s">
        <v>10231</v>
      </c>
      <c r="B8136" s="4" t="s">
        <v>10233</v>
      </c>
      <c r="C8136" s="5" t="str">
        <f>IFERROR(__xludf.DUMMYFUNCTION("GOOGLETRANSLATE(B8136,""en"",""it"")"),"Ride alla telecamera.")</f>
        <v>Ride alla telecamera.</v>
      </c>
    </row>
    <row r="8137">
      <c r="A8137" s="4" t="s">
        <v>10231</v>
      </c>
      <c r="B8137" s="4" t="s">
        <v>10234</v>
      </c>
      <c r="C8137" s="5" t="str">
        <f>IFERROR(__xludf.DUMMYFUNCTION("GOOGLETRANSLATE(B8137,""en"",""it"")"),"Si strofina un po 'di più.")</f>
        <v>Si strofina un po 'di più.</v>
      </c>
    </row>
    <row r="8138">
      <c r="A8138" s="4" t="s">
        <v>10231</v>
      </c>
      <c r="B8138" s="4" t="s">
        <v>10235</v>
      </c>
      <c r="C8138" s="5" t="str">
        <f>IFERROR(__xludf.DUMMYFUNCTION("GOOGLETRANSLATE(B8138,""en"",""it"")"),"Si piega nel lavandino per sciacquarlo.")</f>
        <v>Si piega nel lavandino per sciacquarlo.</v>
      </c>
    </row>
    <row r="8139">
      <c r="A8139" s="4" t="s">
        <v>10236</v>
      </c>
      <c r="B8139" s="4" t="s">
        <v>10237</v>
      </c>
      <c r="C8139" s="5" t="str">
        <f>IFERROR(__xludf.DUMMYFUNCTION("GOOGLETRANSLATE(B8139,""en"",""it"")"),"Un uomo si sta allontanando la chitarra in modo aggressivo.")</f>
        <v>Un uomo si sta allontanando la chitarra in modo aggressivo.</v>
      </c>
    </row>
    <row r="8140">
      <c r="A8140" s="4" t="s">
        <v>10236</v>
      </c>
      <c r="B8140" s="4" t="s">
        <v>10238</v>
      </c>
      <c r="C8140" s="5" t="str">
        <f>IFERROR(__xludf.DUMMYFUNCTION("GOOGLETRANSLATE(B8140,""en"",""it"")"),"Un altro uomo con una chitarra blu è suonare e bussare in tutta la sua chitarra.")</f>
        <v>Un altro uomo con una chitarra blu è suonare e bussare in tutta la sua chitarra.</v>
      </c>
    </row>
    <row r="8141">
      <c r="A8141" s="4" t="s">
        <v>10236</v>
      </c>
      <c r="B8141" s="6" t="s">
        <v>10239</v>
      </c>
      <c r="C8141" s="5" t="str">
        <f>IFERROR(__xludf.DUMMYFUNCTION("GOOGLETRANSLATE(B8141,""en"",""it"")"),"Un uomo con una camicia rossa che ha una chitarra elettrica sta toccando il piede mantenendo il tempo e suona una melodia.")</f>
        <v>Un uomo con una camicia rossa che ha una chitarra elettrica sta toccando il piede mantenendo il tempo e suona una melodia.</v>
      </c>
    </row>
    <row r="8142">
      <c r="A8142" s="4" t="s">
        <v>10236</v>
      </c>
      <c r="B8142" s="4" t="s">
        <v>10240</v>
      </c>
      <c r="C8142" s="5" t="str">
        <f>IFERROR(__xludf.DUMMYFUNCTION("GOOGLETRANSLATE(B8142,""en"",""it"")"),"Suona su e giù per una scala o una melodia.")</f>
        <v>Suona su e giù per una scala o una melodia.</v>
      </c>
    </row>
    <row r="8143">
      <c r="A8143" s="4" t="s">
        <v>10241</v>
      </c>
      <c r="B8143" s="6" t="s">
        <v>10242</v>
      </c>
      <c r="C8143" s="5" t="str">
        <f>IFERROR(__xludf.DUMMYFUNCTION("GOOGLETRANSLATE(B8143,""en"",""it"")"),"Una donna che indossa un vestito rosso alza le mani e i piedi, alternandoli in modo lento e metodico.")</f>
        <v>Una donna che indossa un vestito rosso alza le mani e i piedi, alternandoli in modo lento e metodico.</v>
      </c>
    </row>
    <row r="8144">
      <c r="A8144" s="4" t="s">
        <v>10241</v>
      </c>
      <c r="B8144" s="4" t="s">
        <v>10243</v>
      </c>
      <c r="C8144" s="5" t="str">
        <f>IFERROR(__xludf.DUMMYFUNCTION("GOOGLETRANSLATE(B8144,""en"",""it"")"),"Mette su uno spettacolo su un palco, andando avanti e indietro in modo fluido.")</f>
        <v>Mette su uno spettacolo su un palco, andando avanti e indietro in modo fluido.</v>
      </c>
    </row>
    <row r="8145">
      <c r="A8145" s="4" t="s">
        <v>10241</v>
      </c>
      <c r="B8145" s="6" t="s">
        <v>10244</v>
      </c>
      <c r="C8145" s="5" t="str">
        <f>IFERROR(__xludf.DUMMYFUNCTION("GOOGLETRANSLATE(B8145,""en"",""it"")"),"La donna si gira in diverse direzioni, fornendo azioni diverse prima di stare dritto e ancora come il suo finale.")</f>
        <v>La donna si gira in diverse direzioni, fornendo azioni diverse prima di stare dritto e ancora come il suo finale.</v>
      </c>
    </row>
    <row r="8146">
      <c r="A8146" s="4" t="s">
        <v>10245</v>
      </c>
      <c r="B8146" s="4" t="s">
        <v>10246</v>
      </c>
      <c r="C8146" s="5" t="str">
        <f>IFERROR(__xludf.DUMMYFUNCTION("GOOGLETRANSLATE(B8146,""en"",""it"")"),"Uno schermo nero con testo zooming bianco di una performance di ragazze sulle barre irregolari.")</f>
        <v>Uno schermo nero con testo zooming bianco di una performance di ragazze sulle barre irregolari.</v>
      </c>
    </row>
    <row r="8147">
      <c r="A8147" s="4" t="s">
        <v>10245</v>
      </c>
      <c r="B8147" s="6" t="s">
        <v>10247</v>
      </c>
      <c r="C8147" s="5" t="str">
        <f>IFERROR(__xludf.DUMMYFUNCTION("GOOGLETRANSLATE(B8147,""en"",""it"")"),"Una ginnasta si sposta verso le barre irregolari salta giù da una tavola e afferra i bar e passa attraverso la sua routine.")</f>
        <v>Una ginnasta si sposta verso le barre irregolari salta giù da una tavola e afferra i bar e passa attraverso la sua routine.</v>
      </c>
    </row>
    <row r="8148">
      <c r="A8148" s="4" t="s">
        <v>10245</v>
      </c>
      <c r="B8148" s="4" t="s">
        <v>10248</v>
      </c>
      <c r="C8148" s="5" t="str">
        <f>IFERROR(__xludf.DUMMYFUNCTION("GOOGLETRANSLATE(B8148,""en"",""it"")"),"C'è un testo che appare sullo schermo che descrive ciò che deve fare.")</f>
        <v>C'è un testo che appare sullo schermo che descrive ciò che deve fare.</v>
      </c>
    </row>
    <row r="8149">
      <c r="A8149" s="4" t="s">
        <v>10245</v>
      </c>
      <c r="B8149" s="4" t="s">
        <v>10249</v>
      </c>
      <c r="C8149" s="5" t="str">
        <f>IFERROR(__xludf.DUMMYFUNCTION("GOOGLETRANSLATE(B8149,""en"",""it"")"),"Termina la sua routine e atterra sul tappeto mentre la folla esulta.")</f>
        <v>Termina la sua routine e atterra sul tappeto mentre la folla esulta.</v>
      </c>
    </row>
    <row r="8150">
      <c r="A8150" s="4" t="s">
        <v>10245</v>
      </c>
      <c r="B8150" s="4" t="s">
        <v>10250</v>
      </c>
      <c r="C8150" s="5" t="str">
        <f>IFERROR(__xludf.DUMMYFUNCTION("GOOGLETRANSLATE(B8150,""en"",""it"")"),"Viene visualizzato uno schermo nero con testo bianco seguito dal punteggio delle ginnaste.")</f>
        <v>Viene visualizzato uno schermo nero con testo bianco seguito dal punteggio delle ginnaste.</v>
      </c>
    </row>
    <row r="8151">
      <c r="A8151" s="4" t="s">
        <v>10251</v>
      </c>
      <c r="B8151" s="4" t="s">
        <v>10252</v>
      </c>
      <c r="C8151" s="5" t="str">
        <f>IFERROR(__xludf.DUMMYFUNCTION("GOOGLETRANSLATE(B8151,""en"",""it"")"),"Un gruppo di persone è visto seduto in bicicletta e in attesa davanti a una pista.")</f>
        <v>Un gruppo di persone è visto seduto in bicicletta e in attesa davanti a una pista.</v>
      </c>
    </row>
    <row r="8152">
      <c r="A8152" s="4" t="s">
        <v>10251</v>
      </c>
      <c r="B8152" s="4" t="s">
        <v>10253</v>
      </c>
      <c r="C8152" s="5" t="str">
        <f>IFERROR(__xludf.DUMMYFUNCTION("GOOGLETRANSLATE(B8152,""en"",""it"")"),"Un bar andiamo e gli uomini cavalcano una lunga pista sulle bici dietro di sé.")</f>
        <v>Un bar andiamo e gli uomini cavalcano una lunga pista sulle bici dietro di sé.</v>
      </c>
    </row>
    <row r="8153">
      <c r="A8153" s="4" t="s">
        <v>10254</v>
      </c>
      <c r="B8153" s="6" t="s">
        <v>10255</v>
      </c>
      <c r="C8153" s="5" t="str">
        <f>IFERROR(__xludf.DUMMYFUNCTION("GOOGLETRANSLATE(B8153,""en"",""it"")"),"Un uomo viene visto in piedi davanti a una bici che parla alla telecamera e porta a colpi di lui in giro.")</f>
        <v>Un uomo viene visto in piedi davanti a una bici che parla alla telecamera e porta a colpi di lui in giro.</v>
      </c>
    </row>
    <row r="8154">
      <c r="A8154" s="4" t="s">
        <v>10254</v>
      </c>
      <c r="B8154" s="6" t="s">
        <v>10256</v>
      </c>
      <c r="C8154" s="5" t="str">
        <f>IFERROR(__xludf.DUMMYFUNCTION("GOOGLETRANSLATE(B8154,""en"",""it"")"),"L'uomo continua a parlare con la telecamera mentre vengono mostrati più scatti che cavalca la bici da terra attorno a una pista.")</f>
        <v>L'uomo continua a parlare con la telecamera mentre vengono mostrati più scatti che cavalca la bici da terra attorno a una pista.</v>
      </c>
    </row>
    <row r="8155">
      <c r="A8155" s="4" t="s">
        <v>10257</v>
      </c>
      <c r="B8155" s="4" t="s">
        <v>10258</v>
      </c>
      <c r="C8155" s="5" t="str">
        <f>IFERROR(__xludf.DUMMYFUNCTION("GOOGLETRANSLATE(B8155,""en"",""it"")"),"Una donna viene vista parlare alla telecamera di fronte a un grosso cespuglio.")</f>
        <v>Una donna viene vista parlare alla telecamera di fronte a un grosso cespuglio.</v>
      </c>
    </row>
    <row r="8156">
      <c r="A8156" s="4" t="s">
        <v>10257</v>
      </c>
      <c r="B8156" s="4" t="s">
        <v>10259</v>
      </c>
      <c r="C8156" s="5" t="str">
        <f>IFERROR(__xludf.DUMMYFUNCTION("GOOGLETRANSLATE(B8156,""en"",""it"")"),"La donna quindi usa una pala lungo un po 'di terra.")</f>
        <v>La donna quindi usa una pala lungo un po 'di terra.</v>
      </c>
    </row>
    <row r="8157">
      <c r="A8157" s="4" t="s">
        <v>10257</v>
      </c>
      <c r="B8157" s="4" t="s">
        <v>10260</v>
      </c>
      <c r="C8157" s="5" t="str">
        <f>IFERROR(__xludf.DUMMYFUNCTION("GOOGLETRANSLATE(B8157,""en"",""it"")"),"La telecamera si muove intorno alla pianta quando è finita.")</f>
        <v>La telecamera si muove intorno alla pianta quando è finita.</v>
      </c>
    </row>
    <row r="8158">
      <c r="A8158" s="4" t="s">
        <v>10261</v>
      </c>
      <c r="B8158" s="4" t="s">
        <v>10262</v>
      </c>
      <c r="C8158" s="5" t="str">
        <f>IFERROR(__xludf.DUMMYFUNCTION("GOOGLETRANSLATE(B8158,""en"",""it"")"),"Un uomo più anziano con occhiali e capelli grigi si siede e canta mentre suona la chitarra.")</f>
        <v>Un uomo più anziano con occhiali e capelli grigi si siede e canta mentre suona la chitarra.</v>
      </c>
    </row>
    <row r="8159">
      <c r="A8159" s="4" t="s">
        <v>10261</v>
      </c>
      <c r="B8159" s="4" t="s">
        <v>10263</v>
      </c>
      <c r="C8159" s="5" t="str">
        <f>IFERROR(__xludf.DUMMYFUNCTION("GOOGLETRANSLATE(B8159,""en"",""it"")"),"L'uomo fa una pausa per un secondo.")</f>
        <v>L'uomo fa una pausa per un secondo.</v>
      </c>
    </row>
    <row r="8160">
      <c r="A8160" s="4" t="s">
        <v>10261</v>
      </c>
      <c r="B8160" s="4" t="s">
        <v>10264</v>
      </c>
      <c r="C8160" s="5" t="str">
        <f>IFERROR(__xludf.DUMMYFUNCTION("GOOGLETRANSLATE(B8160,""en"",""it"")"),"L'uomo finisce la sua canzone e si ferma.")</f>
        <v>L'uomo finisce la sua canzone e si ferma.</v>
      </c>
    </row>
    <row r="8161">
      <c r="A8161" s="4" t="s">
        <v>10261</v>
      </c>
      <c r="B8161" s="4" t="s">
        <v>10265</v>
      </c>
      <c r="C8161" s="5" t="str">
        <f>IFERROR(__xludf.DUMMYFUNCTION("GOOGLETRANSLATE(B8161,""en"",""it"")"),"Vediamo la schermata del titolo finale con un gatto.")</f>
        <v>Vediamo la schermata del titolo finale con un gatto.</v>
      </c>
    </row>
    <row r="8162">
      <c r="A8162" s="4" t="s">
        <v>10266</v>
      </c>
      <c r="B8162" s="4" t="s">
        <v>10267</v>
      </c>
      <c r="C8162" s="5" t="str">
        <f>IFERROR(__xludf.DUMMYFUNCTION("GOOGLETRANSLATE(B8162,""en"",""it"")"),"Un uomo calvo è in piedi accanto al bancone con vetro e agitatore di fronte a lui.")</f>
        <v>Un uomo calvo è in piedi accanto al bancone con vetro e agitatore di fronte a lui.</v>
      </c>
    </row>
    <row r="8163">
      <c r="A8163" s="4" t="s">
        <v>10266</v>
      </c>
      <c r="B8163" s="6" t="s">
        <v>10268</v>
      </c>
      <c r="C8163" s="5" t="str">
        <f>IFERROR(__xludf.DUMMYFUNCTION("GOOGLETRANSLATE(B8163,""en"",""it"")"),"L'uomo mise il ghiaccio nel vetro, mise un liquido chiaro nel vetro, aggiunse succo d'arancia, mescola il contenuto mentre versava il succo d'arancia, quindi aggiunge il liquido rosso che cadeva sotto il succo d'arancia.")</f>
        <v>L'uomo mise il ghiaccio nel vetro, mise un liquido chiaro nel vetro, aggiunse succo d'arancia, mescola il contenuto mentre versava il succo d'arancia, quindi aggiunge il liquido rosso che cadeva sotto il succo d'arancia.</v>
      </c>
    </row>
    <row r="8164">
      <c r="A8164" s="4" t="s">
        <v>10269</v>
      </c>
      <c r="B8164" s="4" t="s">
        <v>10270</v>
      </c>
      <c r="C8164" s="5" t="str">
        <f>IFERROR(__xludf.DUMMYFUNCTION("GOOGLETRANSLATE(B8164,""en"",""it"")"),"Una giovane donna pattina sulla strada nella foresta.")</f>
        <v>Una giovane donna pattina sulla strada nella foresta.</v>
      </c>
    </row>
    <row r="8165">
      <c r="A8165" s="4" t="s">
        <v>10269</v>
      </c>
      <c r="B8165" s="4" t="s">
        <v>10271</v>
      </c>
      <c r="C8165" s="5" t="str">
        <f>IFERROR(__xludf.DUMMYFUNCTION("GOOGLETRANSLATE(B8165,""en"",""it"")"),"Quindi arriva il passaggio davanti a un'auto abbandonata.")</f>
        <v>Quindi arriva il passaggio davanti a un'auto abbandonata.</v>
      </c>
    </row>
    <row r="8166">
      <c r="A8166" s="4" t="s">
        <v>10272</v>
      </c>
      <c r="B8166" s="6" t="s">
        <v>10273</v>
      </c>
      <c r="C8166" s="5" t="str">
        <f>IFERROR(__xludf.DUMMYFUNCTION("GOOGLETRANSLATE(B8166,""en"",""it"")"),"Un uomo viene visto cavalcare su un tapis roulant seguito da diverse immagini del tapis roulant e un uomo che scatta foto.")</f>
        <v>Un uomo viene visto cavalcare su un tapis roulant seguito da diverse immagini del tapis roulant e un uomo che scatta foto.</v>
      </c>
    </row>
    <row r="8167">
      <c r="A8167" s="4" t="s">
        <v>10272</v>
      </c>
      <c r="B8167" s="6" t="s">
        <v>10274</v>
      </c>
      <c r="C8167" s="5" t="str">
        <f>IFERROR(__xludf.DUMMYFUNCTION("GOOGLETRANSLATE(B8167,""en"",""it"")"),"Una persona annulla la macchina e poi cavalca sulla macchina e conduce a più persone che scattano foto della macchina e delle persone che cavalcano.")</f>
        <v>Una persona annulla la macchina e poi cavalca sulla macchina e conduce a più persone che scattano foto della macchina e delle persone che cavalcano.</v>
      </c>
    </row>
    <row r="8168">
      <c r="A8168" s="4" t="s">
        <v>10275</v>
      </c>
      <c r="B8168" s="6" t="s">
        <v>10276</v>
      </c>
      <c r="C8168" s="5" t="str">
        <f>IFERROR(__xludf.DUMMYFUNCTION("GOOGLETRANSLATE(B8168,""en"",""it"")"),"Due uomini sono seduti al tavolo con le braccia sul tavolo, sono posizionati per il wrestling del braccio.")</f>
        <v>Due uomini sono seduti al tavolo con le braccia sul tavolo, sono posizionati per il wrestling del braccio.</v>
      </c>
    </row>
    <row r="8169">
      <c r="A8169" s="4" t="s">
        <v>10275</v>
      </c>
      <c r="B8169" s="4" t="s">
        <v>10277</v>
      </c>
      <c r="C8169" s="5" t="str">
        <f>IFERROR(__xludf.DUMMYFUNCTION("GOOGLETRANSLATE(B8169,""en"",""it"")"),"Una camicia blu è al centro tenendo entrambe le mani del giocatore.")</f>
        <v>Una camicia blu è al centro tenendo entrambe le mani del giocatore.</v>
      </c>
    </row>
    <row r="8170">
      <c r="A8170" s="4" t="s">
        <v>10275</v>
      </c>
      <c r="B8170" s="4" t="s">
        <v>10278</v>
      </c>
      <c r="C8170" s="5" t="str">
        <f>IFERROR(__xludf.DUMMYFUNCTION("GOOGLETRANSLATE(B8170,""en"",""it"")"),"L'uomo con l'orso si spezzò il braccio dopo che l'altro uomo lo spinge verso il basso.")</f>
        <v>L'uomo con l'orso si spezzò il braccio dopo che l'altro uomo lo spinge verso il basso.</v>
      </c>
    </row>
    <row r="8171">
      <c r="A8171" s="4" t="s">
        <v>10279</v>
      </c>
      <c r="B8171" s="4" t="s">
        <v>10280</v>
      </c>
      <c r="C8171" s="5" t="str">
        <f>IFERROR(__xludf.DUMMYFUNCTION("GOOGLETRANSLATE(B8171,""en"",""it"")"),"I turisti cavalcano i cammelli mentre le persone tirano i cammelli con una corda.")</f>
        <v>I turisti cavalcano i cammelli mentre le persone tirano i cammelli con una corda.</v>
      </c>
    </row>
    <row r="8172">
      <c r="A8172" s="4" t="s">
        <v>10279</v>
      </c>
      <c r="B8172" s="4" t="s">
        <v>10281</v>
      </c>
      <c r="C8172" s="5" t="str">
        <f>IFERROR(__xludf.DUMMYFUNCTION("GOOGLETRANSLATE(B8172,""en"",""it"")"),"Gli uomini aiutano una coppia a scaricare i cammelli e dar loro da mangiare.")</f>
        <v>Gli uomini aiutano una coppia a scaricare i cammelli e dar loro da mangiare.</v>
      </c>
    </row>
    <row r="8173">
      <c r="A8173" s="4" t="s">
        <v>10282</v>
      </c>
      <c r="B8173" s="4" t="s">
        <v>10283</v>
      </c>
      <c r="C8173" s="5" t="str">
        <f>IFERROR(__xludf.DUMMYFUNCTION("GOOGLETRANSLATE(B8173,""en"",""it"")"),"Due uomini iniziano a ballare su un palco.")</f>
        <v>Due uomini iniziano a ballare su un palco.</v>
      </c>
    </row>
    <row r="8174">
      <c r="A8174" s="4" t="s">
        <v>10282</v>
      </c>
      <c r="B8174" s="4" t="s">
        <v>10284</v>
      </c>
      <c r="C8174" s="5" t="str">
        <f>IFERROR(__xludf.DUMMYFUNCTION("GOOGLETRANSLATE(B8174,""en"",""it"")"),"Alzarono le mani accanto al loro viso.")</f>
        <v>Alzarono le mani accanto al loro viso.</v>
      </c>
    </row>
    <row r="8175">
      <c r="A8175" s="4" t="s">
        <v>10282</v>
      </c>
      <c r="B8175" s="4" t="s">
        <v>10285</v>
      </c>
      <c r="C8175" s="5" t="str">
        <f>IFERROR(__xludf.DUMMYFUNCTION("GOOGLETRANSLATE(B8175,""en"",""it"")"),"Un album di una donna è mostrato sullo schermo.")</f>
        <v>Un album di una donna è mostrato sullo schermo.</v>
      </c>
    </row>
    <row r="8176">
      <c r="A8176" s="4" t="s">
        <v>10286</v>
      </c>
      <c r="B8176" s="4" t="s">
        <v>10287</v>
      </c>
      <c r="C8176" s="5" t="str">
        <f>IFERROR(__xludf.DUMMYFUNCTION("GOOGLETRANSLATE(B8176,""en"",""it"")"),"Un uomo si piega e raccoglie un peso grande.")</f>
        <v>Un uomo si piega e raccoglie un peso grande.</v>
      </c>
    </row>
    <row r="8177">
      <c r="A8177" s="4" t="s">
        <v>10286</v>
      </c>
      <c r="B8177" s="4" t="s">
        <v>10288</v>
      </c>
      <c r="C8177" s="5" t="str">
        <f>IFERROR(__xludf.DUMMYFUNCTION("GOOGLETRANSLATE(B8177,""en"",""it"")"),"Lo solleva sopra la sua testa.")</f>
        <v>Lo solleva sopra la sua testa.</v>
      </c>
    </row>
    <row r="8178">
      <c r="A8178" s="4" t="s">
        <v>10286</v>
      </c>
      <c r="B8178" s="4" t="s">
        <v>10289</v>
      </c>
      <c r="C8178" s="5" t="str">
        <f>IFERROR(__xludf.DUMMYFUNCTION("GOOGLETRANSLATE(B8178,""en"",""it"")"),"Quindi lo lascia cadere a terra.")</f>
        <v>Quindi lo lascia cadere a terra.</v>
      </c>
    </row>
    <row r="8179">
      <c r="A8179" s="4" t="s">
        <v>10290</v>
      </c>
      <c r="B8179" s="4" t="s">
        <v>10291</v>
      </c>
      <c r="C8179" s="5" t="str">
        <f>IFERROR(__xludf.DUMMYFUNCTION("GOOGLETRANSLATE(B8179,""en"",""it"")"),"Un uomo e una donna sono il braccio che lottano in cima a un tavolo in mezzo al palco e la donna vince.")</f>
        <v>Un uomo e una donna sono il braccio che lottano in cima a un tavolo in mezzo al palco e la donna vince.</v>
      </c>
    </row>
    <row r="8180">
      <c r="A8180" s="4" t="s">
        <v>10290</v>
      </c>
      <c r="B8180" s="4" t="s">
        <v>10292</v>
      </c>
      <c r="C8180" s="5" t="str">
        <f>IFERROR(__xludf.DUMMYFUNCTION("GOOGLETRANSLATE(B8180,""en"",""it"")"),"Le persone sono in piedi sul palco a guardare la competizione.")</f>
        <v>Le persone sono in piedi sul palco a guardare la competizione.</v>
      </c>
    </row>
    <row r="8181">
      <c r="A8181" s="4" t="s">
        <v>10293</v>
      </c>
      <c r="B8181" s="4" t="s">
        <v>10294</v>
      </c>
      <c r="C8181" s="5" t="str">
        <f>IFERROR(__xludf.DUMMYFUNCTION("GOOGLETRANSLATE(B8181,""en"",""it"")"),"Un logo Howcast è la scena di apertura del video.")</f>
        <v>Un logo Howcast è la scena di apertura del video.</v>
      </c>
    </row>
    <row r="8182">
      <c r="A8182" s="4" t="s">
        <v>10293</v>
      </c>
      <c r="B8182" s="4" t="s">
        <v>10295</v>
      </c>
      <c r="C8182" s="5" t="str">
        <f>IFERROR(__xludf.DUMMYFUNCTION("GOOGLETRANSLATE(B8182,""en"",""it"")"),"Una donna sta mostrando dipinti del suo lavoro.")</f>
        <v>Una donna sta mostrando dipinti del suo lavoro.</v>
      </c>
    </row>
    <row r="8183">
      <c r="A8183" s="4" t="s">
        <v>10293</v>
      </c>
      <c r="B8183" s="4" t="s">
        <v>10296</v>
      </c>
      <c r="C8183" s="5" t="str">
        <f>IFERROR(__xludf.DUMMYFUNCTION("GOOGLETRANSLATE(B8183,""en"",""it"")"),"Viene mostrata una diapositiva didattica.")</f>
        <v>Viene mostrata una diapositiva didattica.</v>
      </c>
    </row>
    <row r="8184">
      <c r="A8184" s="4" t="s">
        <v>10293</v>
      </c>
      <c r="B8184" s="4" t="s">
        <v>10297</v>
      </c>
      <c r="C8184" s="5" t="str">
        <f>IFERROR(__xludf.DUMMYFUNCTION("GOOGLETRANSLATE(B8184,""en"",""it"")"),"La donna sta spiegando i materiali utilizzati.")</f>
        <v>La donna sta spiegando i materiali utilizzati.</v>
      </c>
    </row>
    <row r="8185">
      <c r="A8185" s="4" t="s">
        <v>10293</v>
      </c>
      <c r="B8185" s="4" t="s">
        <v>10298</v>
      </c>
      <c r="C8185" s="5" t="str">
        <f>IFERROR(__xludf.DUMMYFUNCTION("GOOGLETRANSLATE(B8185,""en"",""it"")"),"Quindi descrive i pennelli che usa.")</f>
        <v>Quindi descrive i pennelli che usa.</v>
      </c>
    </row>
    <row r="8186">
      <c r="A8186" s="4" t="s">
        <v>10293</v>
      </c>
      <c r="B8186" s="4" t="s">
        <v>10299</v>
      </c>
      <c r="C8186" s="5" t="str">
        <f>IFERROR(__xludf.DUMMYFUNCTION("GOOGLETRANSLATE(B8186,""en"",""it"")"),"Mostra il pallet di vernice e vari colori di vernice.")</f>
        <v>Mostra il pallet di vernice e vari colori di vernice.</v>
      </c>
    </row>
    <row r="8187">
      <c r="A8187" s="4" t="s">
        <v>10293</v>
      </c>
      <c r="B8187" s="4" t="s">
        <v>10300</v>
      </c>
      <c r="C8187" s="5" t="str">
        <f>IFERROR(__xludf.DUMMYFUNCTION("GOOGLETRANSLATE(B8187,""en"",""it"")"),"Spiega le bottiglie di vernice.")</f>
        <v>Spiega le bottiglie di vernice.</v>
      </c>
    </row>
    <row r="8188">
      <c r="A8188" s="4" t="s">
        <v>10293</v>
      </c>
      <c r="B8188" s="4" t="s">
        <v>10301</v>
      </c>
      <c r="C8188" s="5" t="str">
        <f>IFERROR(__xludf.DUMMYFUNCTION("GOOGLETRANSLATE(B8188,""en"",""it"")"),"Quindi istruisce su come pulire i pennelli con asciugamani liquidi e di carta.")</f>
        <v>Quindi istruisce su come pulire i pennelli con asciugamani liquidi e di carta.</v>
      </c>
    </row>
    <row r="8189">
      <c r="A8189" s="4" t="s">
        <v>10293</v>
      </c>
      <c r="B8189" s="4" t="s">
        <v>10302</v>
      </c>
      <c r="C8189" s="5" t="str">
        <f>IFERROR(__xludf.DUMMYFUNCTION("GOOGLETRANSLATE(B8189,""en"",""it"")"),"Il video termina con lo stesso logo con cui è iniziato.")</f>
        <v>Il video termina con lo stesso logo con cui è iniziato.</v>
      </c>
    </row>
    <row r="8190">
      <c r="A8190" s="4" t="s">
        <v>10303</v>
      </c>
      <c r="B8190" s="4" t="s">
        <v>10304</v>
      </c>
      <c r="C8190" s="5" t="str">
        <f>IFERROR(__xludf.DUMMYFUNCTION("GOOGLETRANSLATE(B8190,""en"",""it"")"),"Un gruppo di ragazze in abiti da hockey in campo cammina su un campo verde in linea.")</f>
        <v>Un gruppo di ragazze in abiti da hockey in campo cammina su un campo verde in linea.</v>
      </c>
    </row>
    <row r="8191">
      <c r="A8191" s="4" t="s">
        <v>10303</v>
      </c>
      <c r="B8191" s="4" t="s">
        <v>10305</v>
      </c>
      <c r="C8191" s="5" t="str">
        <f>IFERROR(__xludf.DUMMYFUNCTION("GOOGLETRANSLATE(B8191,""en"",""it"")"),"Le ragazze vengono quindi viste di fronte a un allenatore maschio che parla con loro e indica i punti sul campo.")</f>
        <v>Le ragazze vengono quindi viste di fronte a un allenatore maschio che parla con loro e indica i punti sul campo.</v>
      </c>
    </row>
    <row r="8192">
      <c r="A8192" s="4" t="s">
        <v>10303</v>
      </c>
      <c r="B8192" s="6" t="s">
        <v>10306</v>
      </c>
      <c r="C8192" s="5" t="str">
        <f>IFERROR(__xludf.DUMMYFUNCTION("GOOGLETRANSLATE(B8192,""en"",""it"")"),"Diverse ragazze vengono intervistate dal campo e dalle gradinate prima e quando vengono mostrati video delle ragazze che praticano l'hockey sul campo.")</f>
        <v>Diverse ragazze vengono intervistate dal campo e dalle gradinate prima e quando vengono mostrati video delle ragazze che praticano l'hockey sul campo.</v>
      </c>
    </row>
    <row r="8193">
      <c r="A8193" s="4" t="s">
        <v>10303</v>
      </c>
      <c r="B8193" s="6" t="s">
        <v>10307</v>
      </c>
      <c r="C8193" s="5" t="str">
        <f>IFERROR(__xludf.DUMMYFUNCTION("GOOGLETRANSLATE(B8193,""en"",""it"")"),"Alle ragazze viene quindi mostrato l'hockey sul campo su un grande campo verde intervallato da un'intervista dall'allenatore.")</f>
        <v>Alle ragazze viene quindi mostrato l'hockey sul campo su un grande campo verde intervallato da un'intervista dall'allenatore.</v>
      </c>
    </row>
    <row r="8194">
      <c r="A8194" s="4" t="s">
        <v>10308</v>
      </c>
      <c r="B8194" s="4" t="s">
        <v>10309</v>
      </c>
      <c r="C8194" s="5" t="str">
        <f>IFERROR(__xludf.DUMMYFUNCTION("GOOGLETRANSLATE(B8194,""en"",""it"")"),"L'uomo è in piedi a parlare con la fotocamera che mostra un grosso pezzo di metallo.")</f>
        <v>L'uomo è in piedi a parlare con la fotocamera che mostra un grosso pezzo di metallo.</v>
      </c>
    </row>
    <row r="8195">
      <c r="A8195" s="4" t="s">
        <v>10308</v>
      </c>
      <c r="B8195" s="4" t="s">
        <v>10310</v>
      </c>
      <c r="C8195" s="5" t="str">
        <f>IFERROR(__xludf.DUMMYFUNCTION("GOOGLETRANSLATE(B8195,""en"",""it"")"),"Te Man nella stanza sta giocando l'armonica.")</f>
        <v>Te Man nella stanza sta giocando l'armonica.</v>
      </c>
    </row>
    <row r="8196">
      <c r="A8196" s="4" t="s">
        <v>10308</v>
      </c>
      <c r="B8196" s="4" t="s">
        <v>10311</v>
      </c>
      <c r="C8196" s="5" t="str">
        <f>IFERROR(__xludf.DUMMYFUNCTION("GOOGLETRANSLATE(B8196,""en"",""it"")"),"L'uomo smette di giocare e continua a parlare con la telecamera in una piccola stanza bianca.")</f>
        <v>L'uomo smette di giocare e continua a parlare con la telecamera in una piccola stanza bianca.</v>
      </c>
    </row>
    <row r="8197">
      <c r="A8197" s="4" t="s">
        <v>10312</v>
      </c>
      <c r="B8197" s="4" t="s">
        <v>10313</v>
      </c>
      <c r="C8197" s="5" t="str">
        <f>IFERROR(__xludf.DUMMYFUNCTION("GOOGLETRANSLATE(B8197,""en"",""it"")"),"Una serie BMW 3 bianca è in un garage pulito da due uomini che indossano giacche di sicurezza.")</f>
        <v>Una serie BMW 3 bianca è in un garage pulito da due uomini che indossano giacche di sicurezza.</v>
      </c>
    </row>
    <row r="8198">
      <c r="A8198" s="4" t="s">
        <v>10312</v>
      </c>
      <c r="B8198" s="6" t="s">
        <v>10314</v>
      </c>
      <c r="C8198" s="5" t="str">
        <f>IFERROR(__xludf.DUMMYFUNCTION("GOOGLETRANSLATE(B8198,""en"",""it"")"),"Una volta pulita la parte anteriore, gli uomini si muovono verso la parte posteriore che spruzza il veicolo e tornano per spruzzare il bordo e tornare al bagagliaio per ottenere tutte le macchie.")</f>
        <v>Una volta pulita la parte anteriore, gli uomini si muovono verso la parte posteriore che spruzza il veicolo e tornano per spruzzare il bordo e tornare al bagagliaio per ottenere tutte le macchie.</v>
      </c>
    </row>
    <row r="8199">
      <c r="A8199" s="4" t="s">
        <v>10315</v>
      </c>
      <c r="B8199" s="6" t="s">
        <v>10316</v>
      </c>
      <c r="C8199" s="5" t="str">
        <f>IFERROR(__xludf.DUMMYFUNCTION("GOOGLETRANSLATE(B8199,""en"",""it"")"),"Ci sono due ragazze che indossano canotte blu scintillanti e gonne nere che fanno una danza coordinata con bastoncini in mano in palestra.")</f>
        <v>Ci sono due ragazze che indossano canotte blu scintillanti e gonne nere che fanno una danza coordinata con bastoncini in mano in palestra.</v>
      </c>
    </row>
    <row r="8200">
      <c r="A8200" s="4" t="s">
        <v>10315</v>
      </c>
      <c r="B8200" s="6" t="s">
        <v>10317</v>
      </c>
      <c r="C8200" s="5" t="str">
        <f>IFERROR(__xludf.DUMMYFUNCTION("GOOGLETRANSLATE(B8200,""en"",""it"")"),"Cominciano affrontando le spalle alla telecamera e si rompono in una mossa di danza sollevando i loro attacchi in aria.")</f>
        <v>Cominciano affrontando le spalle alla telecamera e si rompono in una mossa di danza sollevando i loro attacchi in aria.</v>
      </c>
    </row>
    <row r="8201">
      <c r="A8201" s="4" t="s">
        <v>10315</v>
      </c>
      <c r="B8201" s="4" t="s">
        <v>10318</v>
      </c>
      <c r="C8201" s="5" t="str">
        <f>IFERROR(__xludf.DUMMYFUNCTION("GOOGLETRANSLATE(B8201,""en"",""it"")"),"Quindi si lanciano in aria e lo catturano e si girano per affrontare la fotocamera.")</f>
        <v>Quindi si lanciano in aria e lo catturano e si girano per affrontare la fotocamera.</v>
      </c>
    </row>
    <row r="8202">
      <c r="A8202" s="4" t="s">
        <v>10315</v>
      </c>
      <c r="B8202" s="4" t="s">
        <v>10319</v>
      </c>
      <c r="C8202" s="5" t="str">
        <f>IFERROR(__xludf.DUMMYFUNCTION("GOOGLETRANSLATE(B8202,""en"",""it"")"),"Continuano a ballare in coordinamento andando in tondo e facendo roteare i loro corpi contemporaneamente.")</f>
        <v>Continuano a ballare in coordinamento andando in tondo e facendo roteare i loro corpi contemporaneamente.</v>
      </c>
    </row>
    <row r="8203">
      <c r="A8203" s="4" t="s">
        <v>10315</v>
      </c>
      <c r="B8203" s="4" t="s">
        <v>10320</v>
      </c>
      <c r="C8203" s="5" t="str">
        <f>IFERROR(__xludf.DUMMYFUNCTION("GOOGLETRANSLATE(B8203,""en"",""it"")"),"Quindi fanno insieme frontali e continuano a roteare i loro corpi in movimento circolare.")</f>
        <v>Quindi fanno insieme frontali e continuano a roteare i loro corpi in movimento circolare.</v>
      </c>
    </row>
    <row r="8204">
      <c r="A8204" s="4" t="s">
        <v>10315</v>
      </c>
      <c r="B8204" s="4" t="s">
        <v>10321</v>
      </c>
      <c r="C8204" s="5" t="str">
        <f>IFERROR(__xludf.DUMMYFUNCTION("GOOGLETRANSLATE(B8204,""en"",""it"")"),"Uno dei ballerini fa un lancio anteriore mentre l'altro lancia il bastone in aria e lo prende.")</f>
        <v>Uno dei ballerini fa un lancio anteriore mentre l'altro lancia il bastone in aria e lo prende.</v>
      </c>
    </row>
    <row r="8205">
      <c r="A8205" s="4" t="s">
        <v>10315</v>
      </c>
      <c r="B8205" s="6" t="s">
        <v>10322</v>
      </c>
      <c r="C8205" s="5" t="str">
        <f>IFERROR(__xludf.DUMMYFUNCTION("GOOGLETRANSLATE(B8205,""en"",""it"")"),"Continuano a ballare mentre si lanciano i bastoncini e li catturano in mano mentre si coordinano da soli.")</f>
        <v>Continuano a ballare mentre si lanciano i bastoncini e li catturano in mano mentre si coordinano da soli.</v>
      </c>
    </row>
    <row r="8206">
      <c r="A8206" s="4" t="s">
        <v>10315</v>
      </c>
      <c r="B8206" s="4" t="s">
        <v>10323</v>
      </c>
      <c r="C8206" s="5" t="str">
        <f>IFERROR(__xludf.DUMMYFUNCTION("GOOGLETRANSLATE(B8206,""en"",""it"")"),"Dopo aver finito con la danza, stanno insieme e salutano la fotocamera.")</f>
        <v>Dopo aver finito con la danza, stanno insieme e salutano la fotocamera.</v>
      </c>
    </row>
    <row r="8207">
      <c r="A8207" s="4" t="s">
        <v>10324</v>
      </c>
      <c r="B8207" s="6" t="s">
        <v>10325</v>
      </c>
      <c r="C8207" s="5" t="str">
        <f>IFERROR(__xludf.DUMMYFUNCTION("GOOGLETRANSLATE(B8207,""en"",""it"")"),"Una donna con i capelli corti indossa un auricolare e gli occhiali mostra due clip, quindi si è tagliata entrambi i lati dei capelli, ha mostrato i suoi contenitori per le lenti a contatto blu e bianca e si è rimossa gli occhiali.")</f>
        <v>Una donna con i capelli corti indossa un auricolare e gli occhiali mostra due clip, quindi si è tagliata entrambi i lati dei capelli, ha mostrato i suoi contenitori per le lenti a contatto blu e bianca e si è rimossa gli occhiali.</v>
      </c>
    </row>
    <row r="8208">
      <c r="A8208" s="4" t="s">
        <v>10324</v>
      </c>
      <c r="B8208" s="6" t="s">
        <v>10326</v>
      </c>
      <c r="C8208" s="5" t="str">
        <f>IFERROR(__xludf.DUMMYFUNCTION("GOOGLETRANSLATE(B8208,""en"",""it"")"),"Mostrò la mano, poi mostrò le lenti della sclera e la mise sulla pupilla dell'occhio destro, si avvicinò alla telecamera per mostrare il suo occhio, quindi si rimosse le lenti a contatto dall'occhio pizzicandola.")</f>
        <v>Mostrò la mano, poi mostrò le lenti della sclera e la mise sulla pupilla dell'occhio destro, si avvicinò alla telecamera per mostrare il suo occhio, quindi si rimosse le lenti a contatto dall'occhio pizzicandola.</v>
      </c>
    </row>
    <row r="8209">
      <c r="A8209" s="4" t="s">
        <v>10327</v>
      </c>
      <c r="B8209" s="4" t="s">
        <v>10328</v>
      </c>
      <c r="C8209" s="5" t="str">
        <f>IFERROR(__xludf.DUMMYFUNCTION("GOOGLETRANSLATE(B8209,""en"",""it"")"),"Un uomo viene mostrato in una lezione di palestra che guida mentre le persone si avvicinano e scendono sulle stepper.")</f>
        <v>Un uomo viene mostrato in una lezione di palestra che guida mentre le persone si avvicinano e scendono sulle stepper.</v>
      </c>
    </row>
    <row r="8210">
      <c r="A8210" s="4" t="s">
        <v>10327</v>
      </c>
      <c r="B8210" s="4" t="s">
        <v>10329</v>
      </c>
      <c r="C8210" s="5" t="str">
        <f>IFERROR(__xludf.DUMMYFUNCTION("GOOGLETRANSLATE(B8210,""en"",""it"")"),"L'uomo è molto entusiasta di saltare su e giù cercando di mantenere la motivazione.")</f>
        <v>L'uomo è molto entusiasta di saltare su e giù cercando di mantenere la motivazione.</v>
      </c>
    </row>
    <row r="8211">
      <c r="A8211" s="4" t="s">
        <v>10327</v>
      </c>
      <c r="B8211" s="4" t="s">
        <v>10330</v>
      </c>
      <c r="C8211" s="5" t="str">
        <f>IFERROR(__xludf.DUMMYFUNCTION("GOOGLETRANSLATE(B8211,""en"",""it"")"),"È molto coinvolto come è la classe e stanno ballando in sintonia tra loro.")</f>
        <v>È molto coinvolto come è la classe e stanno ballando in sintonia tra loro.</v>
      </c>
    </row>
    <row r="8212">
      <c r="A8212" s="4" t="s">
        <v>10327</v>
      </c>
      <c r="B8212" s="4" t="s">
        <v>10331</v>
      </c>
      <c r="C8212" s="5" t="str">
        <f>IFERROR(__xludf.DUMMYFUNCTION("GOOGLETRANSLATE(B8212,""en"",""it"")"),"Concludono la routine battendo e celebrando il loro duro lavoro.")</f>
        <v>Concludono la routine battendo e celebrando il loro duro lavoro.</v>
      </c>
    </row>
    <row r="8213">
      <c r="A8213" s="4" t="s">
        <v>10332</v>
      </c>
      <c r="B8213" s="4" t="s">
        <v>10333</v>
      </c>
      <c r="C8213" s="5" t="str">
        <f>IFERROR(__xludf.DUMMYFUNCTION("GOOGLETRANSLATE(B8213,""en"",""it"")"),"Un primo piano di una corsia da bowling è visto con un uomo in piedi davanti.")</f>
        <v>Un primo piano di una corsia da bowling è visto con un uomo in piedi davanti.</v>
      </c>
    </row>
    <row r="8214">
      <c r="A8214" s="4" t="s">
        <v>10332</v>
      </c>
      <c r="B8214" s="4" t="s">
        <v>10334</v>
      </c>
      <c r="C8214" s="5" t="str">
        <f>IFERROR(__xludf.DUMMYFUNCTION("GOOGLETRANSLATE(B8214,""en"",""it"")"),"L'uomo lancia una palla lungo la corsia e colpisce diversi perni.")</f>
        <v>L'uomo lancia una palla lungo la corsia e colpisce diversi perni.</v>
      </c>
    </row>
    <row r="8215">
      <c r="A8215" s="4" t="s">
        <v>10332</v>
      </c>
      <c r="B8215" s="4" t="s">
        <v>10335</v>
      </c>
      <c r="C8215" s="5" t="str">
        <f>IFERROR(__xludf.DUMMYFUNCTION("GOOGLETRANSLATE(B8215,""en"",""it"")"),"Alla fine cammina su per la corsia.")</f>
        <v>Alla fine cammina su per la corsia.</v>
      </c>
    </row>
    <row r="8216">
      <c r="A8216" s="4" t="s">
        <v>10336</v>
      </c>
      <c r="B8216" s="4" t="s">
        <v>10337</v>
      </c>
      <c r="C8216" s="5" t="str">
        <f>IFERROR(__xludf.DUMMYFUNCTION("GOOGLETRANSLATE(B8216,""en"",""it"")"),"L'uomo che indossa una camicia verde sta assemblando una bicicletta nel mezzo di un soggiorno.")</f>
        <v>L'uomo che indossa una camicia verde sta assemblando una bicicletta nel mezzo di un soggiorno.</v>
      </c>
    </row>
    <row r="8217">
      <c r="A8217" s="4" t="s">
        <v>10336</v>
      </c>
      <c r="B8217" s="4" t="s">
        <v>10338</v>
      </c>
      <c r="C8217" s="5" t="str">
        <f>IFERROR(__xludf.DUMMYFUNCTION("GOOGLETRANSLATE(B8217,""en"",""it"")"),"Un altro uomo che indossa un maglione blu sta aiutando l'altro uomo a assemblare le biciclette.")</f>
        <v>Un altro uomo che indossa un maglione blu sta aiutando l'altro uomo a assemblare le biciclette.</v>
      </c>
    </row>
    <row r="8218">
      <c r="A8218" s="4" t="s">
        <v>10336</v>
      </c>
      <c r="B8218" s="4" t="s">
        <v>10339</v>
      </c>
      <c r="C8218" s="5" t="str">
        <f>IFERROR(__xludf.DUMMYFUNCTION("GOOGLETRANSLATE(B8218,""en"",""it"")"),"Gli uomini stanno assemblando tre biciclette in soggiorno.")</f>
        <v>Gli uomini stanno assemblando tre biciclette in soggiorno.</v>
      </c>
    </row>
    <row r="8219">
      <c r="A8219" s="4" t="s">
        <v>10340</v>
      </c>
      <c r="B8219" s="4" t="s">
        <v>10341</v>
      </c>
      <c r="C8219" s="5" t="str">
        <f>IFERROR(__xludf.DUMMYFUNCTION("GOOGLETRANSLATE(B8219,""en"",""it"")"),"Un uomo viene visto in piedi con le braccia e cammina tra un set di barre irregolari.")</f>
        <v>Un uomo viene visto in piedi con le braccia e cammina tra un set di barre irregolari.</v>
      </c>
    </row>
    <row r="8220">
      <c r="A8220" s="4" t="s">
        <v>10340</v>
      </c>
      <c r="B8220" s="4" t="s">
        <v>10342</v>
      </c>
      <c r="C8220" s="5" t="str">
        <f>IFERROR(__xludf.DUMMYFUNCTION("GOOGLETRANSLATE(B8220,""en"",""it"")"),"L'uomo spera quindi sui bar e inizia a girare.")</f>
        <v>L'uomo spera quindi sui bar e inizia a girare.</v>
      </c>
    </row>
    <row r="8221">
      <c r="A8221" s="4" t="s">
        <v>10340</v>
      </c>
      <c r="B8221" s="4" t="s">
        <v>10343</v>
      </c>
      <c r="C8221" s="5" t="str">
        <f>IFERROR(__xludf.DUMMYFUNCTION("GOOGLETRANSLATE(B8221,""en"",""it"")"),"Continua a girare sulle sbarre e termina saltando sui lati.")</f>
        <v>Continua a girare sulle sbarre e termina saltando sui lati.</v>
      </c>
    </row>
    <row r="8222">
      <c r="A8222" s="4" t="s">
        <v>10344</v>
      </c>
      <c r="B8222" s="4" t="s">
        <v>10345</v>
      </c>
      <c r="C8222" s="5" t="str">
        <f>IFERROR(__xludf.DUMMYFUNCTION("GOOGLETRANSLATE(B8222,""en"",""it"")"),"I giocatori stanno giocando a curling in un campo di ghiaccio.")</f>
        <v>I giocatori stanno giocando a curling in un campo di ghiaccio.</v>
      </c>
    </row>
    <row r="8223">
      <c r="A8223" s="4" t="s">
        <v>10344</v>
      </c>
      <c r="B8223" s="6" t="s">
        <v>10346</v>
      </c>
      <c r="C8223" s="5" t="str">
        <f>IFERROR(__xludf.DUMMYFUNCTION("GOOGLETRANSLATE(B8223,""en"",""it"")"),"I giocatori hanno spinto la pietra e due persone stanno spazzolando la parte anteriore della pietra fino a raggiungere il bersaglio.")</f>
        <v>I giocatori hanno spinto la pietra e due persone stanno spazzolando la parte anteriore della pietra fino a raggiungere il bersaglio.</v>
      </c>
    </row>
    <row r="8224">
      <c r="A8224" s="4" t="s">
        <v>10344</v>
      </c>
      <c r="B8224" s="6" t="s">
        <v>10347</v>
      </c>
      <c r="C8224" s="5" t="str">
        <f>IFERROR(__xludf.DUMMYFUNCTION("GOOGLETRANSLATE(B8224,""en"",""it"")"),"Una ragazza asiatica ha spinto la pietra e l'altra ragazza sta spazzolando la parte anteriore della pietra fino a quando non ha colpito altre pietre.")</f>
        <v>Una ragazza asiatica ha spinto la pietra e l'altra ragazza sta spazzolando la parte anteriore della pietra fino a quando non ha colpito altre pietre.</v>
      </c>
    </row>
    <row r="8225">
      <c r="A8225" s="4" t="s">
        <v>10348</v>
      </c>
      <c r="B8225" s="4" t="s">
        <v>10349</v>
      </c>
      <c r="C8225" s="5" t="str">
        <f>IFERROR(__xludf.DUMMYFUNCTION("GOOGLETRANSLATE(B8225,""en"",""it"")"),"Viene mostrato un uomo che getta una palla da bowling lungo una corsia.")</f>
        <v>Viene mostrato un uomo che getta una palla da bowling lungo una corsia.</v>
      </c>
    </row>
    <row r="8226">
      <c r="A8226" s="4" t="s">
        <v>10348</v>
      </c>
      <c r="B8226" s="4" t="s">
        <v>10350</v>
      </c>
      <c r="C8226" s="5" t="str">
        <f>IFERROR(__xludf.DUMMYFUNCTION("GOOGLETRANSLATE(B8226,""en"",""it"")"),"Quindi si interrompe a un sacco di diversi tiri della palla verso i perni.")</f>
        <v>Quindi si interrompe a un sacco di diversi tiri della palla verso i perni.</v>
      </c>
    </row>
    <row r="8227">
      <c r="A8227" s="4" t="s">
        <v>10348</v>
      </c>
      <c r="B8227" s="4" t="s">
        <v>10351</v>
      </c>
      <c r="C8227" s="5" t="str">
        <f>IFERROR(__xludf.DUMMYFUNCTION("GOOGLETRANSLATE(B8227,""en"",""it"")"),"Una donna intervista il bowler professionista e si è messa su un apparato al polso.")</f>
        <v>Una donna intervista il bowler professionista e si è messa su un apparato al polso.</v>
      </c>
    </row>
    <row r="8228">
      <c r="A8228" s="4" t="s">
        <v>10348</v>
      </c>
      <c r="B8228" s="4" t="s">
        <v>10352</v>
      </c>
      <c r="C8228" s="5" t="str">
        <f>IFERROR(__xludf.DUMMYFUNCTION("GOOGLETRANSLATE(B8228,""en"",""it"")"),"Viene quindi mostrato afferrare la palla e fa un lancio al rallentatore.")</f>
        <v>Viene quindi mostrato afferrare la palla e fa un lancio al rallentatore.</v>
      </c>
    </row>
    <row r="8229">
      <c r="A8229" s="4" t="s">
        <v>10348</v>
      </c>
      <c r="B8229" s="4" t="s">
        <v>10353</v>
      </c>
      <c r="C8229" s="5" t="str">
        <f>IFERROR(__xludf.DUMMYFUNCTION("GOOGLETRANSLATE(B8229,""en"",""it"")"),"Questo è mostrato più volte da diversi angoli.")</f>
        <v>Questo è mostrato più volte da diversi angoli.</v>
      </c>
    </row>
    <row r="8230">
      <c r="A8230" s="4" t="s">
        <v>10348</v>
      </c>
      <c r="B8230" s="6" t="s">
        <v>10354</v>
      </c>
      <c r="C8230" s="5" t="str">
        <f>IFERROR(__xludf.DUMMYFUNCTION("GOOGLETRANSLATE(B8230,""en"",""it"")"),"Dopo una serie di questi scatti d'azione, il video si sposta quindi su un uomo che parla direttamente nella fotocamera, con il logo dello spettacolo che appare mentre finisce.")</f>
        <v>Dopo una serie di questi scatti d'azione, il video si sposta quindi su un uomo che parla direttamente nella fotocamera, con il logo dello spettacolo che appare mentre finisce.</v>
      </c>
    </row>
    <row r="8231">
      <c r="A8231" s="4" t="s">
        <v>10355</v>
      </c>
      <c r="B8231" s="4" t="s">
        <v>10356</v>
      </c>
      <c r="C8231" s="5" t="str">
        <f>IFERROR(__xludf.DUMMYFUNCTION("GOOGLETRANSLATE(B8231,""en"",""it"")"),"Un uomo su un cavallo attraversa una recinzione di rodeo.")</f>
        <v>Un uomo su un cavallo attraversa una recinzione di rodeo.</v>
      </c>
    </row>
    <row r="8232">
      <c r="A8232" s="4" t="s">
        <v>10355</v>
      </c>
      <c r="B8232" s="4" t="s">
        <v>10357</v>
      </c>
      <c r="C8232" s="5" t="str">
        <f>IFERROR(__xludf.DUMMYFUNCTION("GOOGLETRANSLATE(B8232,""en"",""it"")"),"Smonta, corrido e legando un vitello.")</f>
        <v>Smonta, corrido e legando un vitello.</v>
      </c>
    </row>
    <row r="8233">
      <c r="A8233" s="4" t="s">
        <v>10355</v>
      </c>
      <c r="B8233" s="4" t="s">
        <v>10358</v>
      </c>
      <c r="C8233" s="5" t="str">
        <f>IFERROR(__xludf.DUMMYFUNCTION("GOOGLETRANSLATE(B8233,""en"",""it"")"),"Quando ha finito, torna a cavallo e torna.")</f>
        <v>Quando ha finito, torna a cavallo e torna.</v>
      </c>
    </row>
    <row r="8234">
      <c r="A8234" s="4" t="s">
        <v>10359</v>
      </c>
      <c r="B8234" s="4" t="s">
        <v>10360</v>
      </c>
      <c r="C8234" s="5" t="str">
        <f>IFERROR(__xludf.DUMMYFUNCTION("GOOGLETRANSLATE(B8234,""en"",""it"")"),"Un primo piano di un tatuatore si vede disegnare lungo la gamba di una persona.")</f>
        <v>Un primo piano di un tatuatore si vede disegnare lungo la gamba di una persona.</v>
      </c>
    </row>
    <row r="8235">
      <c r="A8235" s="4" t="s">
        <v>10359</v>
      </c>
      <c r="B8235" s="6" t="s">
        <v>10361</v>
      </c>
      <c r="C8235" s="5" t="str">
        <f>IFERROR(__xludf.DUMMYFUNCTION("GOOGLETRANSLATE(B8235,""en"",""it"")"),"L'artista continua a disegnare su tutta la gamba della persona mentre guarda ogni tanto alla telecamera.")</f>
        <v>L'artista continua a disegnare su tutta la gamba della persona mentre guarda ogni tanto alla telecamera.</v>
      </c>
    </row>
    <row r="8236">
      <c r="A8236" s="4" t="s">
        <v>10362</v>
      </c>
      <c r="B8236" s="4" t="s">
        <v>10363</v>
      </c>
      <c r="C8236" s="5" t="str">
        <f>IFERROR(__xludf.DUMMYFUNCTION("GOOGLETRANSLATE(B8236,""en"",""it"")"),"Un bambino piccolo viene visto camminare fino alla fine di una tavola da immersione e guardare nella telecamera.")</f>
        <v>Un bambino piccolo viene visto camminare fino alla fine di una tavola da immersione e guardare nella telecamera.</v>
      </c>
    </row>
    <row r="8237">
      <c r="A8237" s="4" t="s">
        <v>10362</v>
      </c>
      <c r="B8237" s="4" t="s">
        <v>10364</v>
      </c>
      <c r="C8237" s="5" t="str">
        <f>IFERROR(__xludf.DUMMYFUNCTION("GOOGLETRANSLATE(B8237,""en"",""it"")"),"Il ragazzo si tuffa quindi nell'acqua e la telecamera lo cattura spostandosi da sott'acqua.")</f>
        <v>Il ragazzo si tuffa quindi nell'acqua e la telecamera lo cattura spostandosi da sott'acqua.</v>
      </c>
    </row>
    <row r="8238">
      <c r="A8238" s="4" t="s">
        <v>10365</v>
      </c>
      <c r="B8238" s="4" t="s">
        <v>10366</v>
      </c>
      <c r="C8238" s="5" t="str">
        <f>IFERROR(__xludf.DUMMYFUNCTION("GOOGLETRANSLATE(B8238,""en"",""it"")"),"La donna è in piedi nel mezzo del palco suonando il flauto.")</f>
        <v>La donna è in piedi nel mezzo del palco suonando il flauto.</v>
      </c>
    </row>
    <row r="8239">
      <c r="A8239" s="4" t="s">
        <v>10365</v>
      </c>
      <c r="B8239" s="4" t="s">
        <v>10367</v>
      </c>
      <c r="C8239" s="5" t="str">
        <f>IFERROR(__xludf.DUMMYFUNCTION("GOOGLETRANSLATE(B8239,""en"",""it"")"),"Le donne si trovano nella salvia dietro la donna con il flauto in piedi con microfoni.")</f>
        <v>Le donne si trovano nella salvia dietro la donna con il flauto in piedi con microfoni.</v>
      </c>
    </row>
    <row r="8240">
      <c r="A8240" s="4" t="s">
        <v>10365</v>
      </c>
      <c r="B8240" s="4" t="s">
        <v>10368</v>
      </c>
      <c r="C8240" s="5" t="str">
        <f>IFERROR(__xludf.DUMMYFUNCTION("GOOGLETRANSLATE(B8240,""en"",""it"")"),"Gli uomini sono in piedi dietro le donne che suonano strumenti diversi.")</f>
        <v>Gli uomini sono in piedi dietro le donne che suonano strumenti diversi.</v>
      </c>
    </row>
    <row r="8241">
      <c r="A8241" s="4" t="s">
        <v>10369</v>
      </c>
      <c r="B8241" s="6" t="s">
        <v>10370</v>
      </c>
      <c r="C8241" s="5" t="str">
        <f>IFERROR(__xludf.DUMMYFUNCTION("GOOGLETRANSLATE(B8241,""en"",""it"")"),"C'è una bambina in una camicia rosa e collant neri e scarpe rosa che giocano a Scotch Hop in un parco giochi.")</f>
        <v>C'è una bambina in una camicia rosa e collant neri e scarpe rosa che giocano a Scotch Hop in un parco giochi.</v>
      </c>
    </row>
    <row r="8242">
      <c r="A8242" s="4" t="s">
        <v>10369</v>
      </c>
      <c r="B8242" s="4" t="s">
        <v>10371</v>
      </c>
      <c r="C8242" s="5" t="str">
        <f>IFERROR(__xludf.DUMMYFUNCTION("GOOGLETRANSLATE(B8242,""en"",""it"")"),"Salta nei quadrati colorati mentre si diverte.")</f>
        <v>Salta nei quadrati colorati mentre si diverte.</v>
      </c>
    </row>
    <row r="8243">
      <c r="A8243" s="4" t="s">
        <v>10369</v>
      </c>
      <c r="B8243" s="4" t="s">
        <v>10372</v>
      </c>
      <c r="C8243" s="5" t="str">
        <f>IFERROR(__xludf.DUMMYFUNCTION("GOOGLETRANSLATE(B8243,""en"",""it"")"),"Poi gira in una piccola fontana d'acqua che si trova accanto alle piazze di Scotch Hop.")</f>
        <v>Poi gira in una piccola fontana d'acqua che si trova accanto alle piazze di Scotch Hop.</v>
      </c>
    </row>
    <row r="8244">
      <c r="A8244" s="4" t="s">
        <v>10369</v>
      </c>
      <c r="B8244" s="4" t="s">
        <v>10373</v>
      </c>
      <c r="C8244" s="5" t="str">
        <f>IFERROR(__xludf.DUMMYFUNCTION("GOOGLETRANSLATE(B8244,""en"",""it"")"),"Si sta divertendo a correre nel parco giochi.")</f>
        <v>Si sta divertendo a correre nel parco giochi.</v>
      </c>
    </row>
    <row r="8245">
      <c r="A8245" s="4" t="s">
        <v>10374</v>
      </c>
      <c r="B8245" s="4" t="s">
        <v>10375</v>
      </c>
      <c r="C8245" s="5" t="str">
        <f>IFERROR(__xludf.DUMMYFUNCTION("GOOGLETRANSLATE(B8245,""en"",""it"")"),"Un uomo è seduto a un tavolo nero.")</f>
        <v>Un uomo è seduto a un tavolo nero.</v>
      </c>
    </row>
    <row r="8246">
      <c r="A8246" s="4" t="s">
        <v>10374</v>
      </c>
      <c r="B8246" s="4" t="s">
        <v>10376</v>
      </c>
      <c r="C8246" s="5" t="str">
        <f>IFERROR(__xludf.DUMMYFUNCTION("GOOGLETRANSLATE(B8246,""en"",""it"")"),"Sta parlando del gioco e mostra le carte e le patatine.")</f>
        <v>Sta parlando del gioco e mostra le carte e le patatine.</v>
      </c>
    </row>
    <row r="8247">
      <c r="A8247" s="4" t="s">
        <v>10374</v>
      </c>
      <c r="B8247" s="4" t="s">
        <v>10377</v>
      </c>
      <c r="C8247" s="5" t="str">
        <f>IFERROR(__xludf.DUMMYFUNCTION("GOOGLETRANSLATE(B8247,""en"",""it"")"),"Mostra come gestire ogni mano e come rinunciare ai chip ai vincitori.")</f>
        <v>Mostra come gestire ogni mano e come rinunciare ai chip ai vincitori.</v>
      </c>
    </row>
    <row r="8248">
      <c r="A8248" s="4" t="s">
        <v>10378</v>
      </c>
      <c r="B8248" s="4" t="s">
        <v>10379</v>
      </c>
      <c r="C8248" s="5" t="str">
        <f>IFERROR(__xludf.DUMMYFUNCTION("GOOGLETRANSLATE(B8248,""en"",""it"")"),"Una ginnasta maschile salta sui bar e inizia a eseguire una routine di ginnastica.")</f>
        <v>Una ginnasta maschile salta sui bar e inizia a eseguire una routine di ginnastica.</v>
      </c>
    </row>
    <row r="8249">
      <c r="A8249" s="4" t="s">
        <v>10378</v>
      </c>
      <c r="B8249" s="4" t="s">
        <v>10380</v>
      </c>
      <c r="C8249" s="5" t="str">
        <f>IFERROR(__xludf.DUMMYFUNCTION("GOOGLETRANSLATE(B8249,""en"",""it"")"),"Si oscilla ancora e ancora intorno ai bar mentre i giudici guardano e criticano.")</f>
        <v>Si oscilla ancora e ancora intorno ai bar mentre i giudici guardano e criticano.</v>
      </c>
    </row>
    <row r="8250">
      <c r="A8250" s="4" t="s">
        <v>10378</v>
      </c>
      <c r="B8250" s="4" t="s">
        <v>10381</v>
      </c>
      <c r="C8250" s="5" t="str">
        <f>IFERROR(__xludf.DUMMYFUNCTION("GOOGLETRANSLATE(B8250,""en"",""it"")"),"L'uomo alla fine salta via e il video svanisce in un effetto.")</f>
        <v>L'uomo alla fine salta via e il video svanisce in un effetto.</v>
      </c>
    </row>
    <row r="8251">
      <c r="A8251" s="4" t="s">
        <v>10382</v>
      </c>
      <c r="B8251" s="4" t="s">
        <v>10383</v>
      </c>
      <c r="C8251" s="5" t="str">
        <f>IFERROR(__xludf.DUMMYFUNCTION("GOOGLETRANSLATE(B8251,""en"",""it"")"),"Un uomo che indossa guanti da boxe viene visto colpire una borsa in una stanza vuota.")</f>
        <v>Un uomo che indossa guanti da boxe viene visto colpire una borsa in una stanza vuota.</v>
      </c>
    </row>
    <row r="8252">
      <c r="A8252" s="4" t="s">
        <v>10382</v>
      </c>
      <c r="B8252" s="6" t="s">
        <v>10384</v>
      </c>
      <c r="C8252" s="5" t="str">
        <f>IFERROR(__xludf.DUMMYFUNCTION("GOOGLETRANSLATE(B8252,""en"",""it"")"),"Colpisce continuamente la borsa mentre si ferma tra un pugno per riprendere fiato.")</f>
        <v>Colpisce continuamente la borsa mentre si ferma tra un pugno per riprendere fiato.</v>
      </c>
    </row>
    <row r="8253">
      <c r="A8253" s="4" t="s">
        <v>10385</v>
      </c>
      <c r="B8253" s="4" t="s">
        <v>10386</v>
      </c>
      <c r="C8253" s="5" t="str">
        <f>IFERROR(__xludf.DUMMYFUNCTION("GOOGLETRANSLATE(B8253,""en"",""it"")"),"Due coppie giocano a badminton in un campo.")</f>
        <v>Due coppie giocano a badminton in un campo.</v>
      </c>
    </row>
    <row r="8254">
      <c r="A8254" s="4" t="s">
        <v>10385</v>
      </c>
      <c r="B8254" s="4" t="s">
        <v>10387</v>
      </c>
      <c r="C8254" s="5" t="str">
        <f>IFERROR(__xludf.DUMMYFUNCTION("GOOGLETRANSLATE(B8254,""en"",""it"")"),"Un uomo entra in tribunale e va a sedersi a sinistra il tribunale con altre persone.")</f>
        <v>Un uomo entra in tribunale e va a sedersi a sinistra il tribunale con altre persone.</v>
      </c>
    </row>
    <row r="8255">
      <c r="A8255" s="4" t="s">
        <v>10388</v>
      </c>
      <c r="B8255" s="4" t="s">
        <v>10389</v>
      </c>
      <c r="C8255" s="5" t="str">
        <f>IFERROR(__xludf.DUMMYFUNCTION("GOOGLETRANSLATE(B8255,""en"",""it"")"),"C'è una donna lunghi capelli neri che si guardano allo specchio e si lava i capelli.")</f>
        <v>C'è una donna lunghi capelli neri che si guardano allo specchio e si lava i capelli.</v>
      </c>
    </row>
    <row r="8256">
      <c r="A8256" s="4" t="s">
        <v>10388</v>
      </c>
      <c r="B8256" s="4" t="s">
        <v>10390</v>
      </c>
      <c r="C8256" s="5" t="str">
        <f>IFERROR(__xludf.DUMMYFUNCTION("GOOGLETRANSLATE(B8256,""en"",""it"")"),"C'è un'altra donna con i capelli biondi che fa sembrare una faccia arrabbiata e disgustata.")</f>
        <v>C'è un'altra donna con i capelli biondi che fa sembrare una faccia arrabbiata e disgustata.</v>
      </c>
    </row>
    <row r="8257">
      <c r="A8257" s="4" t="s">
        <v>10391</v>
      </c>
      <c r="B8257" s="4" t="s">
        <v>10392</v>
      </c>
      <c r="C8257" s="5" t="str">
        <f>IFERROR(__xludf.DUMMYFUNCTION("GOOGLETRANSLATE(B8257,""en"",""it"")"),"Un barista inizia a parlare con la telecamera e versa ghiaccio in un bicchiere.")</f>
        <v>Un barista inizia a parlare con la telecamera e versa ghiaccio in un bicchiere.</v>
      </c>
    </row>
    <row r="8258">
      <c r="A8258" s="4" t="s">
        <v>10391</v>
      </c>
      <c r="B8258" s="4" t="s">
        <v>10393</v>
      </c>
      <c r="C8258" s="5" t="str">
        <f>IFERROR(__xludf.DUMMYFUNCTION("GOOGLETRANSLATE(B8258,""en"",""it"")"),"Pensa che chieda di mescolare rum e succo di limone nel vetro e un'oncia di rum diverso.")</f>
        <v>Pensa che chieda di mescolare rum e succo di limone nel vetro e un'oncia di rum diverso.</v>
      </c>
    </row>
    <row r="8259">
      <c r="A8259" s="4" t="s">
        <v>10391</v>
      </c>
      <c r="B8259" s="4" t="s">
        <v>10394</v>
      </c>
      <c r="C8259" s="5" t="str">
        <f>IFERROR(__xludf.DUMMYFUNCTION("GOOGLETRANSLATE(B8259,""en"",""it"")"),"Alla fine mescola la granadina con un po 'di mix dolce e aspro con acqua di soda.")</f>
        <v>Alla fine mescola la granadina con un po 'di mix dolce e aspro con acqua di soda.</v>
      </c>
    </row>
    <row r="8260">
      <c r="A8260" s="4" t="s">
        <v>10391</v>
      </c>
      <c r="B8260" s="4" t="s">
        <v>10395</v>
      </c>
      <c r="C8260" s="5" t="str">
        <f>IFERROR(__xludf.DUMMYFUNCTION("GOOGLETRANSLATE(B8260,""en"",""it"")"),"Alla fine mescola tutti i componenti insieme e crea una bella bevanda alcolica.")</f>
        <v>Alla fine mescola tutti i componenti insieme e crea una bella bevanda alcolica.</v>
      </c>
    </row>
    <row r="8261">
      <c r="A8261" s="4" t="s">
        <v>10396</v>
      </c>
      <c r="B8261" s="6" t="s">
        <v>10397</v>
      </c>
      <c r="C8261" s="5" t="str">
        <f>IFERROR(__xludf.DUMMYFUNCTION("GOOGLETRANSLATE(B8261,""en"",""it"")"),"Una ragazza è in piedi su un palco di fronte a 4 giudici che sono seduti lungo un tavolo e le stanno parlando.")</f>
        <v>Una ragazza è in piedi su un palco di fronte a 4 giudici che sono seduti lungo un tavolo e le stanno parlando.</v>
      </c>
    </row>
    <row r="8262">
      <c r="A8262" s="4" t="s">
        <v>10396</v>
      </c>
      <c r="B8262" s="6" t="s">
        <v>10398</v>
      </c>
      <c r="C8262" s="5" t="str">
        <f>IFERROR(__xludf.DUMMYFUNCTION("GOOGLETRANSLATE(B8262,""en"",""it"")"),"La ragazza inizia quindi la sua esibizione in cui ballerà balletto e canta e quando vanno ai giudici e al pubblico sembrano soddisfatti della sua esibizione.")</f>
        <v>La ragazza inizia quindi la sua esibizione in cui ballerà balletto e canta e quando vanno ai giudici e al pubblico sembrano soddisfatti della sua esibizione.</v>
      </c>
    </row>
    <row r="8263">
      <c r="A8263" s="4" t="s">
        <v>10396</v>
      </c>
      <c r="B8263" s="6" t="s">
        <v>10399</v>
      </c>
      <c r="C8263" s="5" t="str">
        <f>IFERROR(__xludf.DUMMYFUNCTION("GOOGLETRANSLATE(B8263,""en"",""it"")"),"Quando la ragazza ha finito di esibirsi, ottiene una standing ovation dal pubblico e da alcuni giudici.")</f>
        <v>Quando la ragazza ha finito di esibirsi, ottiene una standing ovation dal pubblico e da alcuni giudici.</v>
      </c>
    </row>
    <row r="8264">
      <c r="A8264" s="4" t="s">
        <v>10396</v>
      </c>
      <c r="B8264" s="6" t="s">
        <v>10400</v>
      </c>
      <c r="C8264" s="5" t="str">
        <f>IFERROR(__xludf.DUMMYFUNCTION("GOOGLETRANSLATE(B8264,""en"",""it"")"),"I giudici poi si alternano parlando con lei che esprime la loro approvazione e la ragazza ne è molto felice.")</f>
        <v>I giudici poi si alternano parlando con lei che esprime la loro approvazione e la ragazza ne è molto felice.</v>
      </c>
    </row>
    <row r="8265">
      <c r="A8265" s="4" t="s">
        <v>10396</v>
      </c>
      <c r="B8265" s="6" t="s">
        <v>10401</v>
      </c>
      <c r="C8265" s="5" t="str">
        <f>IFERROR(__xludf.DUMMYFUNCTION("GOOGLETRANSLATE(B8265,""en"",""it"")"),"La ragazza poi corre dal palco e dietro le tende dà a un uomo che è forse suo padre, un bacio e un abbraccio.")</f>
        <v>La ragazza poi corre dal palco e dietro le tende dà a un uomo che è forse suo padre, un bacio e un abbraccio.</v>
      </c>
    </row>
    <row r="8266">
      <c r="A8266" s="4" t="s">
        <v>10402</v>
      </c>
      <c r="B8266" s="6" t="s">
        <v>10403</v>
      </c>
      <c r="C8266" s="5" t="str">
        <f>IFERROR(__xludf.DUMMYFUNCTION("GOOGLETRANSLATE(B8266,""en"",""it"")"),"Un gruppo di donne viene visto passeggiare per una zona sabbiosa e iniziare a giocare una partita di pallavolo tra loro.")</f>
        <v>Un gruppo di donne viene visto passeggiare per una zona sabbiosa e iniziare a giocare una partita di pallavolo tra loro.</v>
      </c>
    </row>
    <row r="8267">
      <c r="A8267" s="4" t="s">
        <v>10402</v>
      </c>
      <c r="B8267" s="6" t="s">
        <v>10404</v>
      </c>
      <c r="C8267" s="5" t="str">
        <f>IFERROR(__xludf.DUMMYFUNCTION("GOOGLETRANSLATE(B8267,""en"",""it"")"),"Le ragazze continuano a giocare la partita mentre altre guardano a margine e alla fine tornano indietro.")</f>
        <v>Le ragazze continuano a giocare la partita mentre altre guardano a margine e alla fine tornano indietro.</v>
      </c>
    </row>
    <row r="8268">
      <c r="A8268" s="4" t="s">
        <v>10405</v>
      </c>
      <c r="B8268" s="4" t="s">
        <v>10406</v>
      </c>
      <c r="C8268" s="5" t="str">
        <f>IFERROR(__xludf.DUMMYFUNCTION("GOOGLETRANSLATE(B8268,""en"",""it"")"),"Una ragazza fa una routine del raggio di equilibrio e salta in giro.")</f>
        <v>Una ragazza fa una routine del raggio di equilibrio e salta in giro.</v>
      </c>
    </row>
    <row r="8269">
      <c r="A8269" s="4" t="s">
        <v>10405</v>
      </c>
      <c r="B8269" s="4" t="s">
        <v>10407</v>
      </c>
      <c r="C8269" s="5" t="str">
        <f>IFERROR(__xludf.DUMMYFUNCTION("GOOGLETRANSLATE(B8269,""en"",""it"")"),"Dopo lo stretching, la donna fa quattro lanci.")</f>
        <v>Dopo lo stretching, la donna fa quattro lanci.</v>
      </c>
    </row>
    <row r="8270">
      <c r="A8270" s="4" t="s">
        <v>10405</v>
      </c>
      <c r="B8270" s="4" t="s">
        <v>10408</v>
      </c>
      <c r="C8270" s="5" t="str">
        <f>IFERROR(__xludf.DUMMYFUNCTION("GOOGLETRANSLATE(B8270,""en"",""it"")"),"La donna smonta e termina la routine.")</f>
        <v>La donna smonta e termina la routine.</v>
      </c>
    </row>
    <row r="8271">
      <c r="A8271" s="4" t="s">
        <v>10409</v>
      </c>
      <c r="B8271" s="4" t="s">
        <v>10410</v>
      </c>
      <c r="C8271" s="5" t="str">
        <f>IFERROR(__xludf.DUMMYFUNCTION("GOOGLETRANSLATE(B8271,""en"",""it"")"),"Su un fiume fuori dai ragazzi camminano per strada mentre le macchine passano.")</f>
        <v>Su un fiume fuori dai ragazzi camminano per strada mentre le macchine passano.</v>
      </c>
    </row>
    <row r="8272">
      <c r="A8272" s="4" t="s">
        <v>10409</v>
      </c>
      <c r="B8272" s="4" t="s">
        <v>10411</v>
      </c>
      <c r="C8272" s="5" t="str">
        <f>IFERROR(__xludf.DUMMYFUNCTION("GOOGLETRANSLATE(B8272,""en"",""it"")"),"Ci sono molte persone che fanno molte attività diverse sull'acqua.")</f>
        <v>Ci sono molte persone che fanno molte attività diverse sull'acqua.</v>
      </c>
    </row>
    <row r="8273">
      <c r="A8273" s="4" t="s">
        <v>10409</v>
      </c>
      <c r="B8273" s="4" t="s">
        <v>10412</v>
      </c>
      <c r="C8273" s="5" t="str">
        <f>IFERROR(__xludf.DUMMYFUNCTION("GOOGLETRANSLATE(B8273,""en"",""it"")"),"Alcuni ragazzi saltano dal ponte e altri stanno cavalcando dietro una barca.")</f>
        <v>Alcuni ragazzi saltano dal ponte e altri stanno cavalcando dietro una barca.</v>
      </c>
    </row>
    <row r="8274">
      <c r="A8274" s="4" t="s">
        <v>10409</v>
      </c>
      <c r="B8274" s="4" t="s">
        <v>10413</v>
      </c>
      <c r="C8274" s="5" t="str">
        <f>IFERROR(__xludf.DUMMYFUNCTION("GOOGLETRANSLATE(B8274,""en"",""it"")"),"È una bella giornata estiva per essere fuori e divertirsi al sole per l'acqua.")</f>
        <v>È una bella giornata estiva per essere fuori e divertirsi al sole per l'acqua.</v>
      </c>
    </row>
    <row r="8275">
      <c r="A8275" s="4" t="s">
        <v>10414</v>
      </c>
      <c r="B8275" s="6" t="s">
        <v>10415</v>
      </c>
      <c r="C8275" s="5" t="str">
        <f>IFERROR(__xludf.DUMMYFUNCTION("GOOGLETRANSLATE(B8275,""en"",""it"")"),"Un ragazzo ti mostra come tenere in mano un piccolo bastone di fine acuto e tra le dita da usare come arma.")</f>
        <v>Un ragazzo ti mostra come tenere in mano un piccolo bastone di fine acuto e tra le dita da usare come arma.</v>
      </c>
    </row>
    <row r="8276">
      <c r="A8276" s="4" t="s">
        <v>10414</v>
      </c>
      <c r="B8276" s="6" t="s">
        <v>10416</v>
      </c>
      <c r="C8276" s="5" t="str">
        <f>IFERROR(__xludf.DUMMYFUNCTION("GOOGLETRANSLATE(B8276,""en"",""it"")"),"L'uomo ti mostra come gettare il bastone tagliente nel muro e farlo attaccare da diverse distanze.")</f>
        <v>L'uomo ti mostra come gettare il bastone tagliente nel muro e farlo attaccare da diverse distanze.</v>
      </c>
    </row>
    <row r="8277">
      <c r="A8277" s="4" t="s">
        <v>10417</v>
      </c>
      <c r="B8277" s="6" t="s">
        <v>10418</v>
      </c>
      <c r="C8277" s="5" t="str">
        <f>IFERROR(__xludf.DUMMYFUNCTION("GOOGLETRANSLATE(B8277,""en"",""it"")"),"Due uomini sono visti in piedi insieme a uno che parla con la telecamera e l'altro sdraiato sul pavimento.")</f>
        <v>Due uomini sono visti in piedi insieme a uno che parla con la telecamera e l'altro sdraiato sul pavimento.</v>
      </c>
    </row>
    <row r="8278">
      <c r="A8278" s="4" t="s">
        <v>10417</v>
      </c>
      <c r="B8278" s="6" t="s">
        <v>10419</v>
      </c>
      <c r="C8278" s="5" t="str">
        <f>IFERROR(__xludf.DUMMYFUNCTION("GOOGLETRANSLATE(B8278,""en"",""it"")"),"L'uomo si inginocchia dietro di lui e indica il suo corpo mentre l'uomo che posava muove le braccia e le gambe per dimostrare esercizi adeguati.")</f>
        <v>L'uomo si inginocchia dietro di lui e indica il suo corpo mentre l'uomo che posava muove le braccia e le gambe per dimostrare esercizi adeguati.</v>
      </c>
    </row>
    <row r="8279">
      <c r="A8279" s="4" t="s">
        <v>10420</v>
      </c>
      <c r="B8279" s="4" t="s">
        <v>10421</v>
      </c>
      <c r="C8279" s="5" t="str">
        <f>IFERROR(__xludf.DUMMYFUNCTION("GOOGLETRANSLATE(B8279,""en"",""it"")"),"Viene mostrato un primo piano di una pista seguita da una donna che cammina lentamente.")</f>
        <v>Viene mostrato un primo piano di una pista seguita da una donna che cammina lentamente.</v>
      </c>
    </row>
    <row r="8280">
      <c r="A8280" s="4" t="s">
        <v>10420</v>
      </c>
      <c r="B8280" s="4" t="s">
        <v>10422</v>
      </c>
      <c r="C8280" s="5" t="str">
        <f>IFERROR(__xludf.DUMMYFUNCTION("GOOGLETRANSLATE(B8280,""en"",""it"")"),"Vengono quindi mostrati diversi colpi del suo salto lungo in vari punti.")</f>
        <v>Vengono quindi mostrati diversi colpi del suo salto lungo in vari punti.</v>
      </c>
    </row>
    <row r="8281">
      <c r="A8281" s="4" t="s">
        <v>10420</v>
      </c>
      <c r="B8281" s="4" t="s">
        <v>10423</v>
      </c>
      <c r="C8281" s="5" t="str">
        <f>IFERROR(__xludf.DUMMYFUNCTION("GOOGLETRANSLATE(B8281,""en"",""it"")"),"Continua a saltare al rallentatore e termina con il suo atterraggio in un'ultima fossa.")</f>
        <v>Continua a saltare al rallentatore e termina con il suo atterraggio in un'ultima fossa.</v>
      </c>
    </row>
    <row r="8282">
      <c r="A8282" s="4" t="s">
        <v>10424</v>
      </c>
      <c r="B8282" s="6" t="s">
        <v>10425</v>
      </c>
      <c r="C8282" s="5" t="str">
        <f>IFERROR(__xludf.DUMMYFUNCTION("GOOGLETRANSLATE(B8282,""en"",""it"")"),"C'è una signora in verde levigare il bancone che dà biglietti per le persone che li acquistano per i tubi di neve.")</f>
        <v>C'è una signora in verde levigare il bancone che dà biglietti per le persone che li acquistano per i tubi di neve.</v>
      </c>
    </row>
    <row r="8283">
      <c r="A8283" s="4" t="s">
        <v>10424</v>
      </c>
      <c r="B8283" s="4" t="s">
        <v>10426</v>
      </c>
      <c r="C8283" s="5" t="str">
        <f>IFERROR(__xludf.DUMMYFUNCTION("GOOGLETRANSLATE(B8283,""en"",""it"")"),"Diverse persone sono fuori da neve a tubo lungo un pendio con tetto da neve.")</f>
        <v>Diverse persone sono fuori da neve a tubo lungo un pendio con tetto da neve.</v>
      </c>
    </row>
    <row r="8284">
      <c r="A8284" s="4" t="s">
        <v>10424</v>
      </c>
      <c r="B8284" s="4" t="s">
        <v>10427</v>
      </c>
      <c r="C8284" s="5" t="str">
        <f>IFERROR(__xludf.DUMMYFUNCTION("GOOGLETRANSLATE(B8284,""en"",""it"")"),"Le persone stanno andando in discesa sui loro tubi di neve che indossano attrezzature invernali e occhiali.")</f>
        <v>Le persone stanno andando in discesa sui loro tubi di neve che indossano attrezzature invernali e occhiali.</v>
      </c>
    </row>
    <row r="8285">
      <c r="A8285" s="4" t="s">
        <v>10424</v>
      </c>
      <c r="B8285" s="4" t="s">
        <v>10428</v>
      </c>
      <c r="C8285" s="5" t="str">
        <f>IFERROR(__xludf.DUMMYFUNCTION("GOOGLETRANSLATE(B8285,""en"",""it"")"),"Alcuni di loro sono tubi di neve in gruppi di tre.")</f>
        <v>Alcuni di loro sono tubi di neve in gruppi di tre.</v>
      </c>
    </row>
    <row r="8286">
      <c r="A8286" s="4" t="s">
        <v>10424</v>
      </c>
      <c r="B8286" s="4" t="s">
        <v>10429</v>
      </c>
      <c r="C8286" s="5" t="str">
        <f>IFERROR(__xludf.DUMMYFUNCTION("GOOGLETRANSLATE(B8286,""en"",""it"")"),"Si stanno divertendo a scendere rapidamente sul pendio.")</f>
        <v>Si stanno divertendo a scendere rapidamente sul pendio.</v>
      </c>
    </row>
    <row r="8287">
      <c r="A8287" s="4" t="s">
        <v>10430</v>
      </c>
      <c r="B8287" s="4" t="s">
        <v>10431</v>
      </c>
      <c r="C8287" s="5" t="str">
        <f>IFERROR(__xludf.DUMMYFUNCTION("GOOGLETRANSLATE(B8287,""en"",""it"")"),"Un atleta si arrampica sul cavallo di pomel per eseguire salti e lancia.")</f>
        <v>Un atleta si arrampica sul cavallo di pomel per eseguire salti e lancia.</v>
      </c>
    </row>
    <row r="8288">
      <c r="A8288" s="4" t="s">
        <v>10430</v>
      </c>
      <c r="B8288" s="4" t="s">
        <v>10432</v>
      </c>
      <c r="C8288" s="5" t="str">
        <f>IFERROR(__xludf.DUMMYFUNCTION("GOOGLETRANSLATE(B8288,""en"",""it"")"),"L'atleta gira all'indietro e poi continua con la sua routine.")</f>
        <v>L'atleta gira all'indietro e poi continua con la sua routine.</v>
      </c>
    </row>
    <row r="8289">
      <c r="A8289" s="4" t="s">
        <v>10430</v>
      </c>
      <c r="B8289" s="6" t="s">
        <v>10433</v>
      </c>
      <c r="C8289" s="5" t="str">
        <f>IFERROR(__xludf.DUMMYFUNCTION("GOOGLETRANSLATE(B8289,""en"",""it"")"),"L'atleta si trova sul confine sul cavallo del pomello e corre per saltare, quindi si lancia e cadono sul pavimento.")</f>
        <v>L'atleta si trova sul confine sul cavallo del pomello e corre per saltare, quindi si lancia e cadono sul pavimento.</v>
      </c>
    </row>
    <row r="8290">
      <c r="A8290" s="4" t="s">
        <v>10434</v>
      </c>
      <c r="B8290" s="6" t="s">
        <v>10435</v>
      </c>
      <c r="C8290" s="5" t="str">
        <f>IFERROR(__xludf.DUMMYFUNCTION("GOOGLETRANSLATE(B8290,""en"",""it"")"),"Due uomini e una donna sono visti salire su un palco mentre un gruppo di persone viene visto dietro di loro negli specchi.")</f>
        <v>Due uomini e una donna sono visti salire su un palco mentre un gruppo di persone viene visto dietro di loro negli specchi.</v>
      </c>
    </row>
    <row r="8291">
      <c r="A8291" s="4" t="s">
        <v>10434</v>
      </c>
      <c r="B8291" s="4" t="s">
        <v>10436</v>
      </c>
      <c r="C8291" s="5" t="str">
        <f>IFERROR(__xludf.DUMMYFUNCTION("GOOGLETRANSLATE(B8291,""en"",""it"")"),"I tre quindi eseguono una routine di danza mentre le persone tra il pubblico seguono da dietro.")</f>
        <v>I tre quindi eseguono una routine di danza mentre le persone tra il pubblico seguono da dietro.</v>
      </c>
    </row>
    <row r="8292">
      <c r="A8292" s="4" t="s">
        <v>10434</v>
      </c>
      <c r="B8292" s="4" t="s">
        <v>10437</v>
      </c>
      <c r="C8292" s="5" t="str">
        <f>IFERROR(__xludf.DUMMYFUNCTION("GOOGLETRANSLATE(B8292,""en"",""it"")"),"L'uomo pompa la folla e continua a ballare mentre gli altri seguono allo specchio.")</f>
        <v>L'uomo pompa la folla e continua a ballare mentre gli altri seguono allo specchio.</v>
      </c>
    </row>
    <row r="8293">
      <c r="A8293" s="4" t="s">
        <v>10438</v>
      </c>
      <c r="B8293" s="4" t="s">
        <v>10439</v>
      </c>
      <c r="C8293" s="5" t="str">
        <f>IFERROR(__xludf.DUMMYFUNCTION("GOOGLETRANSLATE(B8293,""en"",""it"")"),"Il vecchio sta rastrellando foglie fuori dalla sua casa in autunno.")</f>
        <v>Il vecchio sta rastrellando foglie fuori dalla sua casa in autunno.</v>
      </c>
    </row>
    <row r="8294">
      <c r="A8294" s="4" t="s">
        <v>10438</v>
      </c>
      <c r="B8294" s="4" t="s">
        <v>10440</v>
      </c>
      <c r="C8294" s="5" t="str">
        <f>IFERROR(__xludf.DUMMYFUNCTION("GOOGLETRANSLATE(B8294,""en"",""it"")"),"L'uomo sta raccontando l'azione.")</f>
        <v>L'uomo sta raccontando l'azione.</v>
      </c>
    </row>
    <row r="8295">
      <c r="A8295" s="4" t="s">
        <v>10438</v>
      </c>
      <c r="B8295" s="4" t="s">
        <v>10441</v>
      </c>
      <c r="C8295" s="5" t="str">
        <f>IFERROR(__xludf.DUMMYFUNCTION("GOOGLETRANSLATE(B8295,""en"",""it"")"),"C'è una bici parcheggiata vicino alla casa.")</f>
        <v>C'è una bici parcheggiata vicino alla casa.</v>
      </c>
    </row>
    <row r="8296">
      <c r="A8296" s="4" t="s">
        <v>10442</v>
      </c>
      <c r="B8296" s="4" t="s">
        <v>10443</v>
      </c>
      <c r="C8296" s="5" t="str">
        <f>IFERROR(__xludf.DUMMYFUNCTION("GOOGLETRANSLATE(B8296,""en"",""it"")"),"Un'allenatore e regista di allegria parla con la telecamera.")</f>
        <v>Un'allenatore e regista di allegria parla con la telecamera.</v>
      </c>
    </row>
    <row r="8297">
      <c r="A8297" s="4" t="s">
        <v>10442</v>
      </c>
      <c r="B8297" s="4" t="s">
        <v>10444</v>
      </c>
      <c r="C8297" s="5" t="str">
        <f>IFERROR(__xludf.DUMMYFUNCTION("GOOGLETRANSLATE(B8297,""en"",""it"")"),"Quindi vede una bambina attraverso un backflip.")</f>
        <v>Quindi vede una bambina attraverso un backflip.</v>
      </c>
    </row>
    <row r="8298">
      <c r="A8298" s="4" t="s">
        <v>10442</v>
      </c>
      <c r="B8298" s="4" t="s">
        <v>10445</v>
      </c>
      <c r="C8298" s="5" t="str">
        <f>IFERROR(__xludf.DUMMYFUNCTION("GOOGLETRANSLATE(B8298,""en"",""it"")"),"La aiuta a svolgere diversi compiti, spiegando il processo mentre vanno.")</f>
        <v>La aiuta a svolgere diversi compiti, spiegando il processo mentre vanno.</v>
      </c>
    </row>
    <row r="8299">
      <c r="A8299" s="4" t="s">
        <v>10446</v>
      </c>
      <c r="B8299" s="4" t="s">
        <v>10447</v>
      </c>
      <c r="C8299" s="5" t="str">
        <f>IFERROR(__xludf.DUMMYFUNCTION("GOOGLETRANSLATE(B8299,""en"",""it"")"),"Un folto gruppo di persone è visto in piedi su una spiaggia guardando in lontananza.")</f>
        <v>Un folto gruppo di persone è visto in piedi su una spiaggia guardando in lontananza.</v>
      </c>
    </row>
    <row r="8300">
      <c r="A8300" s="4" t="s">
        <v>10446</v>
      </c>
      <c r="B8300" s="4" t="s">
        <v>10448</v>
      </c>
      <c r="C8300" s="5" t="str">
        <f>IFERROR(__xludf.DUMMYFUNCTION("GOOGLETRANSLATE(B8300,""en"",""it"")"),"Vengono mostrati diversi scatti di persone che cavalcano una tavola da surf e altri che guardano sul lato.")</f>
        <v>Vengono mostrati diversi scatti di persone che cavalcano una tavola da surf e altri che guardano sul lato.</v>
      </c>
    </row>
    <row r="8301">
      <c r="A8301" s="4" t="s">
        <v>10446</v>
      </c>
      <c r="B8301" s="4" t="s">
        <v>10449</v>
      </c>
      <c r="C8301" s="5" t="str">
        <f>IFERROR(__xludf.DUMMYFUNCTION("GOOGLETRANSLATE(B8301,""en"",""it"")"),"Sono viste più persone a cavalcare le onde in vari colpi.")</f>
        <v>Sono viste più persone a cavalcare le onde in vari colpi.</v>
      </c>
    </row>
    <row r="8302">
      <c r="A8302" s="4" t="s">
        <v>10450</v>
      </c>
      <c r="B8302" s="4" t="s">
        <v>10451</v>
      </c>
      <c r="C8302" s="5" t="str">
        <f>IFERROR(__xludf.DUMMYFUNCTION("GOOGLETRANSLATE(B8302,""en"",""it"")"),"Un grande camion fuoristrada si avvicina lungo una pista sporca accanto a un corpo d'acqua e si ferma.")</f>
        <v>Un grande camion fuoristrada si avvicina lungo una pista sporca accanto a un corpo d'acqua e si ferma.</v>
      </c>
    </row>
    <row r="8303">
      <c r="A8303" s="4" t="s">
        <v>10450</v>
      </c>
      <c r="B8303" s="6" t="s">
        <v>10452</v>
      </c>
      <c r="C8303" s="5" t="str">
        <f>IFERROR(__xludf.DUMMYFUNCTION("GOOGLETRANSLATE(B8303,""en"",""it"")"),"Molti spettatori si avvicinano al veicolo, mentre il conducente esce dal veicolo e tenta di rimuovere una gomma dal retro del camion.")</f>
        <v>Molti spettatori si avvicinano al veicolo, mentre il conducente esce dal veicolo e tenta di rimuovere una gomma dal retro del camion.</v>
      </c>
    </row>
    <row r="8304">
      <c r="A8304" s="4" t="s">
        <v>10450</v>
      </c>
      <c r="B8304" s="6" t="s">
        <v>10453</v>
      </c>
      <c r="C8304" s="5" t="str">
        <f>IFERROR(__xludf.DUMMYFUNCTION("GOOGLETRANSLATE(B8304,""en"",""it"")"),"Un lavoratore e alcuni assistenti si avvicinano al veicolo con una ruota di scorta e alcuni uomini iniziano a sollevare la parte posteriore del camion per cercare di sostituire la gomma sul lato del passeggero posteriore.")</f>
        <v>Un lavoratore e alcuni assistenti si avvicinano al veicolo con una ruota di scorta e alcuni uomini iniziano a sollevare la parte posteriore del camion per cercare di sostituire la gomma sul lato del passeggero posteriore.</v>
      </c>
    </row>
    <row r="8305">
      <c r="A8305" s="4" t="s">
        <v>10450</v>
      </c>
      <c r="B8305" s="6" t="s">
        <v>10454</v>
      </c>
      <c r="C8305" s="5" t="str">
        <f>IFERROR(__xludf.DUMMYFUNCTION("GOOGLETRANSLATE(B8305,""en"",""it"")"),"Mentre la gomma viene sostituita, il conducente si arrampica sul camion e uno specchio scatta una foto del veicolo.")</f>
        <v>Mentre la gomma viene sostituita, il conducente si arrampica sul camion e uno specchio scatta una foto del veicolo.</v>
      </c>
    </row>
    <row r="8306">
      <c r="A8306" s="4" t="s">
        <v>10450</v>
      </c>
      <c r="B8306" s="4" t="s">
        <v>10455</v>
      </c>
      <c r="C8306" s="5" t="str">
        <f>IFERROR(__xludf.DUMMYFUNCTION("GOOGLETRANSLATE(B8306,""en"",""it"")"),"Altri spettatori vengono al lato del conducente per parlare con il conducente.")</f>
        <v>Altri spettatori vengono al lato del conducente per parlare con il conducente.</v>
      </c>
    </row>
    <row r="8307">
      <c r="A8307" s="4" t="s">
        <v>10450</v>
      </c>
      <c r="B8307" s="4" t="s">
        <v>10456</v>
      </c>
      <c r="C8307" s="5" t="str">
        <f>IFERROR(__xludf.DUMMYFUNCTION("GOOGLETRANSLATE(B8307,""en"",""it"")"),"Il pneumatico viene sostituito e il camion si allontana.")</f>
        <v>Il pneumatico viene sostituito e il camion si allontana.</v>
      </c>
    </row>
    <row r="8308">
      <c r="A8308" s="4" t="s">
        <v>10450</v>
      </c>
      <c r="B8308" s="4" t="s">
        <v>10457</v>
      </c>
      <c r="C8308" s="5" t="str">
        <f>IFERROR(__xludf.DUMMYFUNCTION("GOOGLETRANSLATE(B8308,""en"",""it"")"),"Viene mostrato uno sguardo dettagliato sul pneumatico che è stato sostituito.")</f>
        <v>Viene mostrato uno sguardo dettagliato sul pneumatico che è stato sostituito.</v>
      </c>
    </row>
    <row r="8309">
      <c r="A8309" s="4" t="s">
        <v>10458</v>
      </c>
      <c r="B8309" s="4" t="s">
        <v>10459</v>
      </c>
      <c r="C8309" s="5" t="str">
        <f>IFERROR(__xludf.DUMMYFUNCTION("GOOGLETRANSLATE(B8309,""en"",""it"")"),"Ci sono tre appaltatori che rimodellano una casa che viene demolita per il rinnovamento.")</f>
        <v>Ci sono tre appaltatori che rimodellano una casa che viene demolita per il rinnovamento.</v>
      </c>
    </row>
    <row r="8310">
      <c r="A8310" s="4" t="s">
        <v>10458</v>
      </c>
      <c r="B8310" s="4" t="s">
        <v>10460</v>
      </c>
      <c r="C8310" s="5" t="str">
        <f>IFERROR(__xludf.DUMMYFUNCTION("GOOGLETRANSLATE(B8310,""en"",""it"")"),"Uno degli appaltatori è consolidare un muro di mattoni.")</f>
        <v>Uno degli appaltatori è consolidare un muro di mattoni.</v>
      </c>
    </row>
    <row r="8311">
      <c r="A8311" s="4" t="s">
        <v>10458</v>
      </c>
      <c r="B8311" s="4" t="s">
        <v>10461</v>
      </c>
      <c r="C8311" s="5" t="str">
        <f>IFERROR(__xludf.DUMMYFUNCTION("GOOGLETRANSLATE(B8311,""en"",""it"")"),"L'altro appaltatore sta rompendo un muro esistente nel soggiorno.")</f>
        <v>L'altro appaltatore sta rompendo un muro esistente nel soggiorno.</v>
      </c>
    </row>
    <row r="8312">
      <c r="A8312" s="4" t="s">
        <v>10458</v>
      </c>
      <c r="B8312" s="4" t="s">
        <v>10462</v>
      </c>
      <c r="C8312" s="5" t="str">
        <f>IFERROR(__xludf.DUMMYFUNCTION("GOOGLETRANSLATE(B8312,""en"",""it"")"),"L'intera casa è in ristrutturazione con mobili e scatole che si trovano intorno alla casa con polvere.")</f>
        <v>L'intera casa è in ristrutturazione con mobili e scatole che si trovano intorno alla casa con polvere.</v>
      </c>
    </row>
    <row r="8313">
      <c r="A8313" s="4" t="s">
        <v>10463</v>
      </c>
      <c r="B8313" s="4" t="s">
        <v>10464</v>
      </c>
      <c r="C8313" s="5" t="str">
        <f>IFERROR(__xludf.DUMMYFUNCTION("GOOGLETRANSLATE(B8313,""en"",""it"")"),"Kid è seduto in una stanza rossa a parlare con la telecamera.")</f>
        <v>Kid è seduto in una stanza rossa a parlare con la telecamera.</v>
      </c>
    </row>
    <row r="8314">
      <c r="A8314" s="4" t="s">
        <v>10463</v>
      </c>
      <c r="B8314" s="4" t="s">
        <v>10465</v>
      </c>
      <c r="C8314" s="5" t="str">
        <f>IFERROR(__xludf.DUMMYFUNCTION("GOOGLETRANSLATE(B8314,""en"",""it"")"),"Il bambino afferra una chitarra e inizia a suonarla e cantare.")</f>
        <v>Il bambino afferra una chitarra e inizia a suonarla e cantare.</v>
      </c>
    </row>
    <row r="8315">
      <c r="A8315" s="4" t="s">
        <v>10463</v>
      </c>
      <c r="B8315" s="4" t="s">
        <v>10466</v>
      </c>
      <c r="C8315" s="5" t="str">
        <f>IFERROR(__xludf.DUMMYFUNCTION("GOOGLETRANSLATE(B8315,""en"",""it"")"),"Kid suona la chitarra e parla con la telecamera in una piccola stanza.")</f>
        <v>Kid suona la chitarra e parla con la telecamera in una piccola stanza.</v>
      </c>
    </row>
    <row r="8316">
      <c r="A8316" s="4" t="s">
        <v>10467</v>
      </c>
      <c r="B8316" s="4" t="s">
        <v>10468</v>
      </c>
      <c r="C8316" s="5" t="str">
        <f>IFERROR(__xludf.DUMMYFUNCTION("GOOGLETRANSLATE(B8316,""en"",""it"")"),"Una bambina è mostrata in diverse immagini che ricevono un taglio di capelli.")</f>
        <v>Una bambina è mostrata in diverse immagini che ricevono un taglio di capelli.</v>
      </c>
    </row>
    <row r="8317">
      <c r="A8317" s="4" t="s">
        <v>10467</v>
      </c>
      <c r="B8317" s="6" t="s">
        <v>10469</v>
      </c>
      <c r="C8317" s="5" t="str">
        <f>IFERROR(__xludf.DUMMYFUNCTION("GOOGLETRANSLATE(B8317,""en"",""it"")"),"Viene quindi mostrata in forma video mentre i suoi capelli lunghi vengono tagliati nello stile di una coda di cavallo, destinati a essere donato a un gruppo chiamato Locks of Love.")</f>
        <v>Viene quindi mostrata in forma video mentre i suoi capelli lunghi vengono tagliati nello stile di una coda di cavallo, destinati a essere donato a un gruppo chiamato Locks of Love.</v>
      </c>
    </row>
    <row r="8318">
      <c r="A8318" s="4" t="s">
        <v>10467</v>
      </c>
      <c r="B8318" s="4" t="s">
        <v>10470</v>
      </c>
      <c r="C8318" s="5" t="str">
        <f>IFERROR(__xludf.DUMMYFUNCTION("GOOGLETRANSLATE(B8318,""en"",""it"")"),"La ragazza è mostrata in varie foto, con i capelli che donerà.")</f>
        <v>La ragazza è mostrata in varie foto, con i capelli che donerà.</v>
      </c>
    </row>
    <row r="8319">
      <c r="A8319" s="4" t="s">
        <v>10471</v>
      </c>
      <c r="B8319" s="4" t="s">
        <v>1251</v>
      </c>
      <c r="C8319" s="5" t="str">
        <f>IFERROR(__xludf.DUMMYFUNCTION("GOOGLETRANSLATE(B8319,""en"",""it"")"),"Vengono visualizzati i crediti della clip.")</f>
        <v>Vengono visualizzati i crediti della clip.</v>
      </c>
    </row>
    <row r="8320">
      <c r="A8320" s="4" t="s">
        <v>10471</v>
      </c>
      <c r="B8320" s="4" t="s">
        <v>10472</v>
      </c>
      <c r="C8320" s="5" t="str">
        <f>IFERROR(__xludf.DUMMYFUNCTION("GOOGLETRANSLATE(B8320,""en"",""it"")"),"I ragazzi lanciano palle su un campo.")</f>
        <v>I ragazzi lanciano palle su un campo.</v>
      </c>
    </row>
    <row r="8321">
      <c r="A8321" s="4" t="s">
        <v>10471</v>
      </c>
      <c r="B8321" s="4" t="s">
        <v>10473</v>
      </c>
      <c r="C8321" s="5" t="str">
        <f>IFERROR(__xludf.DUMMYFUNCTION("GOOGLETRANSLATE(B8321,""en"",""it"")"),"Un ragazzo tiene alcune palle e parla.")</f>
        <v>Un ragazzo tiene alcune palle e parla.</v>
      </c>
    </row>
    <row r="8322">
      <c r="A8322" s="4" t="s">
        <v>10471</v>
      </c>
      <c r="B8322" s="4" t="s">
        <v>10474</v>
      </c>
      <c r="C8322" s="5" t="str">
        <f>IFERROR(__xludf.DUMMYFUNCTION("GOOGLETRANSLATE(B8322,""en"",""it"")"),"Un uomo che tiene una mazza piatta attraversa il campo seguito da un maschio che tiene una palla in ogni mano.")</f>
        <v>Un uomo che tiene una mazza piatta attraversa il campo seguito da un maschio che tiene una palla in ogni mano.</v>
      </c>
    </row>
    <row r="8323">
      <c r="A8323" s="4" t="s">
        <v>10471</v>
      </c>
      <c r="B8323" s="4" t="s">
        <v>10475</v>
      </c>
      <c r="C8323" s="5" t="str">
        <f>IFERROR(__xludf.DUMMYFUNCTION("GOOGLETRANSLATE(B8323,""en"",""it"")"),"Due uomini si siedono con un uomo con una mazza piatta.")</f>
        <v>Due uomini si siedono con un uomo con una mazza piatta.</v>
      </c>
    </row>
    <row r="8324">
      <c r="A8324" s="4" t="s">
        <v>10471</v>
      </c>
      <c r="B8324" s="4" t="s">
        <v>10476</v>
      </c>
      <c r="C8324" s="5" t="str">
        <f>IFERROR(__xludf.DUMMYFUNCTION("GOOGLETRANSLATE(B8324,""en"",""it"")"),"I ragazzi hanno colpito le palle con la mazza piatta.")</f>
        <v>I ragazzi hanno colpito le palle con la mazza piatta.</v>
      </c>
    </row>
    <row r="8325">
      <c r="A8325" s="4" t="s">
        <v>10471</v>
      </c>
      <c r="B8325" s="4" t="s">
        <v>573</v>
      </c>
      <c r="C8325" s="5" t="str">
        <f>IFERROR(__xludf.DUMMYFUNCTION("GOOGLETRANSLATE(B8325,""en"",""it"")"),"Vengono visualizzati i crediti del video.")</f>
        <v>Vengono visualizzati i crediti del video.</v>
      </c>
    </row>
    <row r="8326">
      <c r="A8326" s="4" t="s">
        <v>10477</v>
      </c>
      <c r="B8326" s="6" t="s">
        <v>10478</v>
      </c>
      <c r="C8326" s="5" t="str">
        <f>IFERROR(__xludf.DUMMYFUNCTION("GOOGLETRANSLATE(B8326,""en"",""it"")"),"Viene visto un uomo parlare alla telecamera dietro un tavolo con vari ingredienti e occhiali disposti.")</f>
        <v>Viene visto un uomo parlare alla telecamera dietro un tavolo con vari ingredienti e occhiali disposti.</v>
      </c>
    </row>
    <row r="8327">
      <c r="A8327" s="4" t="s">
        <v>10477</v>
      </c>
      <c r="B8327" s="4" t="s">
        <v>10479</v>
      </c>
      <c r="C8327" s="5" t="str">
        <f>IFERROR(__xludf.DUMMYFUNCTION("GOOGLETRANSLATE(B8327,""en"",""it"")"),"L'uomo mescola gli ingredienti in un bicchiere insieme e succhia un lime nel bicchiere.")</f>
        <v>L'uomo mescola gli ingredienti in un bicchiere insieme e succhia un lime nel bicchiere.</v>
      </c>
    </row>
    <row r="8328">
      <c r="A8328" s="4" t="s">
        <v>10477</v>
      </c>
      <c r="B8328" s="6" t="s">
        <v>10480</v>
      </c>
      <c r="C8328" s="5" t="str">
        <f>IFERROR(__xludf.DUMMYFUNCTION("GOOGLETRANSLATE(B8328,""en"",""it"")"),"Quindi spinge gli ingredienti e versa liquidi nel vetro, creando una bevanda alcolica.")</f>
        <v>Quindi spinge gli ingredienti e versa liquidi nel vetro, creando una bevanda alcolica.</v>
      </c>
    </row>
    <row r="8329">
      <c r="A8329" s="4" t="s">
        <v>10477</v>
      </c>
      <c r="B8329" s="4" t="s">
        <v>10481</v>
      </c>
      <c r="C8329" s="5" t="str">
        <f>IFERROR(__xludf.DUMMYFUNCTION("GOOGLETRANSLATE(B8329,""en"",""it"")"),"Presenta il vetro mentre la lista degli ingredienti è disposta e si allontana dalla cornice.")</f>
        <v>Presenta il vetro mentre la lista degli ingredienti è disposta e si allontana dalla cornice.</v>
      </c>
    </row>
    <row r="8330">
      <c r="A8330" s="4" t="s">
        <v>10482</v>
      </c>
      <c r="B8330" s="4" t="s">
        <v>10483</v>
      </c>
      <c r="C8330" s="5" t="str">
        <f>IFERROR(__xludf.DUMMYFUNCTION("GOOGLETRANSLATE(B8330,""en"",""it"")"),"Un uomo indossa un aggeggio che tiene il suo piccolo figlio sulla schiena mentre esce nei boschi.")</f>
        <v>Un uomo indossa un aggeggio che tiene il suo piccolo figlio sulla schiena mentre esce nei boschi.</v>
      </c>
    </row>
    <row r="8331">
      <c r="A8331" s="4" t="s">
        <v>10482</v>
      </c>
      <c r="B8331" s="4" t="s">
        <v>10484</v>
      </c>
      <c r="C8331" s="5" t="str">
        <f>IFERROR(__xludf.DUMMYFUNCTION("GOOGLETRANSLATE(B8331,""en"",""it"")"),"Vediamo il ragazzo che gioca in un portico indoor a casa.")</f>
        <v>Vediamo il ragazzo che gioca in un portico indoor a casa.</v>
      </c>
    </row>
    <row r="8332">
      <c r="A8332" s="4" t="s">
        <v>10482</v>
      </c>
      <c r="B8332" s="4" t="s">
        <v>10485</v>
      </c>
      <c r="C8332" s="5" t="str">
        <f>IFERROR(__xludf.DUMMYFUNCTION("GOOGLETRANSLATE(B8332,""en"",""it"")"),"Il ragazzo si imbatte nel cortile e suo padre gli mette un casco e lo aiuta a skateboard.")</f>
        <v>Il ragazzo si imbatte nel cortile e suo padre gli mette un casco e lo aiuta a skateboard.</v>
      </c>
    </row>
    <row r="8333">
      <c r="A8333" s="4" t="s">
        <v>10482</v>
      </c>
      <c r="B8333" s="4" t="s">
        <v>10486</v>
      </c>
      <c r="C8333" s="5" t="str">
        <f>IFERROR(__xludf.DUMMYFUNCTION("GOOGLETRANSLATE(B8333,""en"",""it"")"),"Il papà skateboard e tiene il ragazzo.")</f>
        <v>Il papà skateboard e tiene il ragazzo.</v>
      </c>
    </row>
    <row r="8334">
      <c r="A8334" s="4" t="s">
        <v>10482</v>
      </c>
      <c r="B8334" s="6" t="s">
        <v>10487</v>
      </c>
      <c r="C8334" s="5" t="str">
        <f>IFERROR(__xludf.DUMMYFUNCTION("GOOGLETRANSLATE(B8334,""en"",""it"")"),"Vediamo quindi lo schermo finale e passiamo al ragazzo seduto su una roccia in alto suo padre e torniamo allo schermo ravvicinato.")</f>
        <v>Vediamo quindi lo schermo finale e passiamo al ragazzo seduto su una roccia in alto suo padre e torniamo allo schermo ravvicinato.</v>
      </c>
    </row>
    <row r="8335">
      <c r="A8335" s="4" t="s">
        <v>10488</v>
      </c>
      <c r="B8335" s="4" t="s">
        <v>10489</v>
      </c>
      <c r="C8335" s="5" t="str">
        <f>IFERROR(__xludf.DUMMYFUNCTION("GOOGLETRANSLATE(B8335,""en"",""it"")"),"Un atleta cammina su un campo.")</f>
        <v>Un atleta cammina su un campo.</v>
      </c>
    </row>
    <row r="8336">
      <c r="A8336" s="4" t="s">
        <v>10488</v>
      </c>
      <c r="B8336" s="4" t="s">
        <v>10490</v>
      </c>
      <c r="C8336" s="5" t="str">
        <f>IFERROR(__xludf.DUMMYFUNCTION("GOOGLETRANSLATE(B8336,""en"",""it"")"),"Gira in cerchio attorno a una piattaforma.")</f>
        <v>Gira in cerchio attorno a una piattaforma.</v>
      </c>
    </row>
    <row r="8337">
      <c r="A8337" s="4" t="s">
        <v>10488</v>
      </c>
      <c r="B8337" s="4" t="s">
        <v>10491</v>
      </c>
      <c r="C8337" s="5" t="str">
        <f>IFERROR(__xludf.DUMMYFUNCTION("GOOGLETRANSLATE(B8337,""en"",""it"")"),"Lancia una palla una grande distanza e si allontana.")</f>
        <v>Lancia una palla una grande distanza e si allontana.</v>
      </c>
    </row>
    <row r="8338">
      <c r="A8338" s="4" t="s">
        <v>10492</v>
      </c>
      <c r="B8338" s="4" t="s">
        <v>10493</v>
      </c>
      <c r="C8338" s="5" t="str">
        <f>IFERROR(__xludf.DUMMYFUNCTION("GOOGLETRANSLATE(B8338,""en"",""it"")"),"C'è un adolescente che indossa un cappello da berretto nero che skateboard per le strade della città.")</f>
        <v>C'è un adolescente che indossa un cappello da berretto nero che skateboard per le strade della città.</v>
      </c>
    </row>
    <row r="8339">
      <c r="A8339" s="4" t="s">
        <v>10492</v>
      </c>
      <c r="B8339" s="4" t="s">
        <v>10494</v>
      </c>
      <c r="C8339" s="5" t="str">
        <f>IFERROR(__xludf.DUMMYFUNCTION("GOOGLETRANSLATE(B8339,""en"",""it"")"),"Skateboard che indossa una camicia bianca mentre salta su una piccola parete di cemento.")</f>
        <v>Skateboard che indossa una camicia bianca mentre salta su una piccola parete di cemento.</v>
      </c>
    </row>
    <row r="8340">
      <c r="A8340" s="4" t="s">
        <v>10492</v>
      </c>
      <c r="B8340" s="4" t="s">
        <v>10495</v>
      </c>
      <c r="C8340" s="5" t="str">
        <f>IFERROR(__xludf.DUMMYFUNCTION("GOOGLETRANSLATE(B8340,""en"",""it"")"),"Quindi salta su un altro muro mentre lo skateboard.")</f>
        <v>Quindi salta su un altro muro mentre lo skateboard.</v>
      </c>
    </row>
    <row r="8341">
      <c r="A8341" s="4" t="s">
        <v>10492</v>
      </c>
      <c r="B8341" s="6" t="s">
        <v>10496</v>
      </c>
      <c r="C8341" s="5" t="str">
        <f>IFERROR(__xludf.DUMMYFUNCTION("GOOGLETRANSLATE(B8341,""en"",""it"")"),"Poi in una camicia verde, pattina oltre una scuola, direttamente in un campo da basket e poi salta su una ringhiera di metallo.")</f>
        <v>Poi in una camicia verde, pattina oltre una scuola, direttamente in un campo da basket e poi salta su una ringhiera di metallo.</v>
      </c>
    </row>
    <row r="8342">
      <c r="A8342" s="4" t="s">
        <v>10492</v>
      </c>
      <c r="B8342" s="4" t="s">
        <v>10497</v>
      </c>
      <c r="C8342" s="5" t="str">
        <f>IFERROR(__xludf.DUMMYFUNCTION("GOOGLETRANSLATE(B8342,""en"",""it"")"),"Poi di nuovo in una camicia bianca, prova le acrobazie saltando su una mano di metallo sul suo skateboard.")</f>
        <v>Poi di nuovo in una camicia bianca, prova le acrobazie saltando su una mano di metallo sul suo skateboard.</v>
      </c>
    </row>
    <row r="8343">
      <c r="A8343" s="4" t="s">
        <v>10498</v>
      </c>
      <c r="B8343" s="4" t="s">
        <v>10499</v>
      </c>
      <c r="C8343" s="5" t="str">
        <f>IFERROR(__xludf.DUMMYFUNCTION("GOOGLETRANSLATE(B8343,""en"",""it"")"),"Una persona beve da una tazza di caffè e distoglie lo sguardo dalla telecamera.")</f>
        <v>Una persona beve da una tazza di caffè e distoglie lo sguardo dalla telecamera.</v>
      </c>
    </row>
    <row r="8344">
      <c r="A8344" s="4" t="s">
        <v>10498</v>
      </c>
      <c r="B8344" s="4" t="s">
        <v>10500</v>
      </c>
      <c r="C8344" s="5" t="str">
        <f>IFERROR(__xludf.DUMMYFUNCTION("GOOGLETRANSLATE(B8344,""en"",""it"")"),"I suoi occhi si alzano alla telecamera all'ultimo secondo e sorride.")</f>
        <v>I suoi occhi si alzano alla telecamera all'ultimo secondo e sorride.</v>
      </c>
    </row>
    <row r="8345">
      <c r="A8345" s="4" t="s">
        <v>10501</v>
      </c>
      <c r="B8345" s="6" t="s">
        <v>10502</v>
      </c>
      <c r="C8345" s="5" t="str">
        <f>IFERROR(__xludf.DUMMYFUNCTION("GOOGLETRANSLATE(B8345,""en"",""it"")"),"Una donna è seduta in un soggiorno su un divano a parlare con la telecamera che spiega cosa sta per fare.")</f>
        <v>Una donna è seduta in un soggiorno su un divano a parlare con la telecamera che spiega cosa sta per fare.</v>
      </c>
    </row>
    <row r="8346">
      <c r="A8346" s="4" t="s">
        <v>10501</v>
      </c>
      <c r="B8346" s="6" t="s">
        <v>10503</v>
      </c>
      <c r="C8346" s="5" t="str">
        <f>IFERROR(__xludf.DUMMYFUNCTION("GOOGLETRANSLATE(B8346,""en"",""it"")"),"La telecamera si panoramica e la signora inizia a mostrare aspetti importanti dell'oggetto che sta lavorando a maglia.")</f>
        <v>La telecamera si panoramica e la signora inizia a mostrare aspetti importanti dell'oggetto che sta lavorando a maglia.</v>
      </c>
    </row>
    <row r="8347">
      <c r="A8347" s="4" t="s">
        <v>10501</v>
      </c>
      <c r="B8347" s="4" t="s">
        <v>10504</v>
      </c>
      <c r="C8347" s="5" t="str">
        <f>IFERROR(__xludf.DUMMYFUNCTION("GOOGLETRANSLATE(B8347,""en"",""it"")"),"Quando ha finito, afferra l'ago, ci mette il filo e finisce a maglia.")</f>
        <v>Quando ha finito, afferra l'ago, ci mette il filo e finisce a maglia.</v>
      </c>
    </row>
    <row r="8348">
      <c r="A8348" s="4" t="s">
        <v>10505</v>
      </c>
      <c r="B8348" s="4" t="s">
        <v>10506</v>
      </c>
      <c r="C8348" s="5" t="str">
        <f>IFERROR(__xludf.DUMMYFUNCTION("GOOGLETRANSLATE(B8348,""en"",""it"")"),"Prima un ragazzo viene mostrato a mangiare un waffle sottile.")</f>
        <v>Prima un ragazzo viene mostrato a mangiare un waffle sottile.</v>
      </c>
    </row>
    <row r="8349">
      <c r="A8349" s="4" t="s">
        <v>10505</v>
      </c>
      <c r="B8349" s="4" t="s">
        <v>10507</v>
      </c>
      <c r="C8349" s="5" t="str">
        <f>IFERROR(__xludf.DUMMYFUNCTION("GOOGLETRANSLATE(B8349,""en"",""it"")"),"Quindi una signora anziana viene mostrata acqua potabile da un piccolo bicchiere.")</f>
        <v>Quindi una signora anziana viene mostrata acqua potabile da un piccolo bicchiere.</v>
      </c>
    </row>
    <row r="8350">
      <c r="A8350" s="4" t="s">
        <v>10505</v>
      </c>
      <c r="B8350" s="6" t="s">
        <v>10508</v>
      </c>
      <c r="C8350" s="5" t="str">
        <f>IFERROR(__xludf.DUMMYFUNCTION("GOOGLETRANSLATE(B8350,""en"",""it"")"),"Successivamente c'è un ragazzino che mostrava la mano in un parfait e poi afferra un cucchiaio da un altro ragazzo e poi mangia il pafait.")</f>
        <v>Successivamente c'è un ragazzino che mostrava la mano in un parfait e poi afferra un cucchiaio da un altro ragazzo e poi mangia il pafait.</v>
      </c>
    </row>
    <row r="8351">
      <c r="A8351" s="4" t="s">
        <v>10505</v>
      </c>
      <c r="B8351" s="4" t="s">
        <v>10509</v>
      </c>
      <c r="C8351" s="5" t="str">
        <f>IFERROR(__xludf.DUMMYFUNCTION("GOOGLETRANSLATE(B8351,""en"",""it"")"),"Finalmente un ragazzo viene mostrato di mangiare un cucchiaio di frappè da un bicchiere che contiene waffle.")</f>
        <v>Finalmente un ragazzo viene mostrato di mangiare un cucchiaio di frappè da un bicchiere che contiene waffle.</v>
      </c>
    </row>
    <row r="8352">
      <c r="A8352" s="4" t="s">
        <v>10510</v>
      </c>
      <c r="B8352" s="4" t="s">
        <v>10511</v>
      </c>
      <c r="C8352" s="5" t="str">
        <f>IFERROR(__xludf.DUMMYFUNCTION("GOOGLETRANSLATE(B8352,""en"",""it"")"),"Le donne mescolano una varietà di bevande alcoliche per il consumo.")</f>
        <v>Le donne mescolano una varietà di bevande alcoliche per il consumo.</v>
      </c>
    </row>
    <row r="8353">
      <c r="A8353" s="4" t="s">
        <v>10510</v>
      </c>
      <c r="B8353" s="4" t="s">
        <v>10512</v>
      </c>
      <c r="C8353" s="5" t="str">
        <f>IFERROR(__xludf.DUMMYFUNCTION("GOOGLETRANSLATE(B8353,""en"",""it"")"),"Vengono mostrati passi per un bellissimo whisky acido.")</f>
        <v>Vengono mostrati passi per un bellissimo whisky acido.</v>
      </c>
    </row>
    <row r="8354">
      <c r="A8354" s="4" t="s">
        <v>10513</v>
      </c>
      <c r="B8354" s="4" t="s">
        <v>10514</v>
      </c>
      <c r="C8354" s="5" t="str">
        <f>IFERROR(__xludf.DUMMYFUNCTION("GOOGLETRANSLATE(B8354,""en"",""it"")"),"Un uomo si trova di fronte a un bancone con le mani in basso davanti all'attrezzatura.")</f>
        <v>Un uomo si trova di fronte a un bancone con le mani in basso davanti all'attrezzatura.</v>
      </c>
    </row>
    <row r="8355">
      <c r="A8355" s="4" t="s">
        <v>10513</v>
      </c>
      <c r="B8355" s="4" t="s">
        <v>10515</v>
      </c>
      <c r="C8355" s="5" t="str">
        <f>IFERROR(__xludf.DUMMYFUNCTION("GOOGLETRANSLATE(B8355,""en"",""it"")"),"Usa la superficie per strofinare una lama di coltello avanti e indietro, affilandola.")</f>
        <v>Usa la superficie per strofinare una lama di coltello avanti e indietro, affilandola.</v>
      </c>
    </row>
    <row r="8356">
      <c r="A8356" s="4" t="s">
        <v>10513</v>
      </c>
      <c r="B8356" s="4" t="s">
        <v>10516</v>
      </c>
      <c r="C8356" s="5" t="str">
        <f>IFERROR(__xludf.DUMMYFUNCTION("GOOGLETRANSLATE(B8356,""en"",""it"")"),"Quando ha finito, controlla la lama prima di stendere il coltello.")</f>
        <v>Quando ha finito, controlla la lama prima di stendere il coltello.</v>
      </c>
    </row>
    <row r="8357">
      <c r="A8357" s="4" t="s">
        <v>10517</v>
      </c>
      <c r="B8357" s="4" t="s">
        <v>10518</v>
      </c>
      <c r="C8357" s="5" t="str">
        <f>IFERROR(__xludf.DUMMYFUNCTION("GOOGLETRANSLATE(B8357,""en"",""it"")"),"Un piccolo gruppo di persone viene visto trattenere una corda e giocare a tiro alla fune.")</f>
        <v>Un piccolo gruppo di persone viene visto trattenere una corda e giocare a tiro alla fune.</v>
      </c>
    </row>
    <row r="8358">
      <c r="A8358" s="4" t="s">
        <v>10517</v>
      </c>
      <c r="B8358" s="4" t="s">
        <v>10519</v>
      </c>
      <c r="C8358" s="5" t="str">
        <f>IFERROR(__xludf.DUMMYFUNCTION("GOOGLETRANSLATE(B8358,""en"",""it"")"),"La telecamera si lancia intorno all'altra squadra giocando con il gruppo mentre altri guardano sul lato.")</f>
        <v>La telecamera si lancia intorno all'altra squadra giocando con il gruppo mentre altri guardano sul lato.</v>
      </c>
    </row>
    <row r="8359">
      <c r="A8359" s="4" t="s">
        <v>10517</v>
      </c>
      <c r="B8359" s="4" t="s">
        <v>10520</v>
      </c>
      <c r="C8359" s="5" t="str">
        <f>IFERROR(__xludf.DUMMYFUNCTION("GOOGLETRANSLATE(B8359,""en"",""it"")"),"Le persone continuano a giocare e quarto e finiscono sorridendo alla telecamera.")</f>
        <v>Le persone continuano a giocare e quarto e finiscono sorridendo alla telecamera.</v>
      </c>
    </row>
    <row r="8360">
      <c r="A8360" s="4" t="s">
        <v>10521</v>
      </c>
      <c r="B8360" s="4" t="s">
        <v>10522</v>
      </c>
      <c r="C8360" s="5" t="str">
        <f>IFERROR(__xludf.DUMMYFUNCTION("GOOGLETRANSLATE(B8360,""en"",""it"")"),"La telecamera segue un bambino piccolo sugli sci mentre si muove oltre una folla di persone.")</f>
        <v>La telecamera segue un bambino piccolo sugli sci mentre si muove oltre una folla di persone.</v>
      </c>
    </row>
    <row r="8361">
      <c r="A8361" s="4" t="s">
        <v>10521</v>
      </c>
      <c r="B8361" s="4" t="s">
        <v>10523</v>
      </c>
      <c r="C8361" s="5" t="str">
        <f>IFERROR(__xludf.DUMMYFUNCTION("GOOGLETRANSLATE(B8361,""en"",""it"")"),"Il bambino scivolò lungo un pendio con altre persone in vari punti lungo il sentiero.")</f>
        <v>Il bambino scivolò lungo un pendio con altre persone in vari punti lungo il sentiero.</v>
      </c>
    </row>
    <row r="8362">
      <c r="A8362" s="4" t="s">
        <v>10521</v>
      </c>
      <c r="B8362" s="4" t="s">
        <v>10524</v>
      </c>
      <c r="C8362" s="5" t="str">
        <f>IFERROR(__xludf.DUMMYFUNCTION("GOOGLETRANSLATE(B8362,""en"",""it"")"),"Il bambino si ferma mentre il cameraperson si avvicina.")</f>
        <v>Il bambino si ferma mentre il cameraperson si avvicina.</v>
      </c>
    </row>
    <row r="8363">
      <c r="A8363" s="4" t="s">
        <v>10525</v>
      </c>
      <c r="B8363" s="4" t="s">
        <v>10526</v>
      </c>
      <c r="C8363" s="5" t="str">
        <f>IFERROR(__xludf.DUMMYFUNCTION("GOOGLETRANSLATE(B8363,""en"",""it"")"),"Le donne sono vestite con abiti eleganti.")</f>
        <v>Le donne sono vestite con abiti eleganti.</v>
      </c>
    </row>
    <row r="8364">
      <c r="A8364" s="4" t="s">
        <v>10525</v>
      </c>
      <c r="B8364" s="4" t="s">
        <v>10527</v>
      </c>
      <c r="C8364" s="5" t="str">
        <f>IFERROR(__xludf.DUMMYFUNCTION("GOOGLETRANSLATE(B8364,""en"",""it"")"),"Una donna sta mettendo qualcosa sul corpo di un'altra donna.")</f>
        <v>Una donna sta mettendo qualcosa sul corpo di un'altra donna.</v>
      </c>
    </row>
    <row r="8365">
      <c r="A8365" s="4" t="s">
        <v>10525</v>
      </c>
      <c r="B8365" s="4" t="s">
        <v>2018</v>
      </c>
      <c r="C8365" s="5" t="str">
        <f>IFERROR(__xludf.DUMMYFUNCTION("GOOGLETRANSLATE(B8365,""en"",""it"")"),"Le parole si alzano sullo schermo.")</f>
        <v>Le parole si alzano sullo schermo.</v>
      </c>
    </row>
    <row r="8366">
      <c r="A8366" s="4" t="s">
        <v>10528</v>
      </c>
      <c r="B8366" s="4" t="s">
        <v>10529</v>
      </c>
      <c r="C8366" s="5" t="str">
        <f>IFERROR(__xludf.DUMMYFUNCTION("GOOGLETRANSLATE(B8366,""en"",""it"")"),"Un uomo e una donna stanno fuori mentre la spruzza con la crema solare.")</f>
        <v>Un uomo e una donna stanno fuori mentre la spruzza con la crema solare.</v>
      </c>
    </row>
    <row r="8367">
      <c r="A8367" s="4" t="s">
        <v>10528</v>
      </c>
      <c r="B8367" s="4" t="s">
        <v>10530</v>
      </c>
      <c r="C8367" s="5" t="str">
        <f>IFERROR(__xludf.DUMMYFUNCTION("GOOGLETRANSLATE(B8367,""en"",""it"")"),"Stanno entrambi ridendo e si divertono.")</f>
        <v>Stanno entrambi ridendo e si divertono.</v>
      </c>
    </row>
    <row r="8368">
      <c r="A8368" s="4" t="s">
        <v>10528</v>
      </c>
      <c r="B8368" s="4" t="s">
        <v>10531</v>
      </c>
      <c r="C8368" s="5" t="str">
        <f>IFERROR(__xludf.DUMMYFUNCTION("GOOGLETRANSLATE(B8368,""en"",""it"")"),"Si gira in modo che possa riprenderla accuratamente mentre entrambi flirtano giocosamente l'uno con l'altro.")</f>
        <v>Si gira in modo che possa riprenderla accuratamente mentre entrambi flirtano giocosamente l'uno con l'altro.</v>
      </c>
    </row>
    <row r="8369">
      <c r="A8369" s="4" t="s">
        <v>10528</v>
      </c>
      <c r="B8369" s="4" t="s">
        <v>10532</v>
      </c>
      <c r="C8369" s="5" t="str">
        <f>IFERROR(__xludf.DUMMYFUNCTION("GOOGLETRANSLATE(B8369,""en"",""it"")"),"Comincia a spruzzarla e lei gli dà indicazioni su dove gli mancava applicarlo.")</f>
        <v>Comincia a spruzzarla e lei gli dà indicazioni su dove gli mancava applicarlo.</v>
      </c>
    </row>
    <row r="8370">
      <c r="A8370" s="4" t="s">
        <v>10528</v>
      </c>
      <c r="B8370" s="4" t="s">
        <v>10533</v>
      </c>
      <c r="C8370" s="5" t="str">
        <f>IFERROR(__xludf.DUMMYFUNCTION("GOOGLETRANSLATE(B8370,""en"",""it"")"),"Quindi si gira per lui per prendere le braccia, il viso e qualsiasi altra aree che gli mancava.")</f>
        <v>Quindi si gira per lui per prendere le braccia, il viso e qualsiasi altra aree che gli mancava.</v>
      </c>
    </row>
    <row r="8371">
      <c r="A8371" s="4" t="s">
        <v>10534</v>
      </c>
      <c r="B8371" s="6" t="s">
        <v>10535</v>
      </c>
      <c r="C8371" s="5" t="str">
        <f>IFERROR(__xludf.DUMMYFUNCTION("GOOGLETRANSLATE(B8371,""en"",""it"")"),"Family Day in spiaggia, padre e figlio stanno camminando e poi iniziano a giocare nella sabbia.")</f>
        <v>Family Day in spiaggia, padre e figlio stanno camminando e poi iniziano a giocare nella sabbia.</v>
      </c>
    </row>
    <row r="8372">
      <c r="A8372" s="4" t="s">
        <v>10534</v>
      </c>
      <c r="B8372" s="4" t="s">
        <v>10536</v>
      </c>
      <c r="C8372" s="5" t="str">
        <f>IFERROR(__xludf.DUMMYFUNCTION("GOOGLETRANSLATE(B8372,""en"",""it"")"),"Hanno una sabbia in secchi che cercano di costruire castelli di sabbia.")</f>
        <v>Hanno una sabbia in secchi che cercano di costruire castelli di sabbia.</v>
      </c>
    </row>
    <row r="8373">
      <c r="A8373" s="4" t="s">
        <v>10534</v>
      </c>
      <c r="B8373" s="4" t="s">
        <v>10537</v>
      </c>
      <c r="C8373" s="5" t="str">
        <f>IFERROR(__xludf.DUMMYFUNCTION("GOOGLETRANSLATE(B8373,""en"",""it"")"),"Quando prendono il secchio sulla sabbia non è affatto stabile.")</f>
        <v>Quando prendono il secchio sulla sabbia non è affatto stabile.</v>
      </c>
    </row>
    <row r="8374">
      <c r="A8374" s="4" t="s">
        <v>10534</v>
      </c>
      <c r="B8374" s="4" t="s">
        <v>10538</v>
      </c>
      <c r="C8374" s="5" t="str">
        <f>IFERROR(__xludf.DUMMYFUNCTION("GOOGLETRANSLATE(B8374,""en"",""it"")"),"Il ragazzino va e calcia tutte le parti del castello che stavano creando.")</f>
        <v>Il ragazzino va e calcia tutte le parti del castello che stavano creando.</v>
      </c>
    </row>
    <row r="8375">
      <c r="A8375" s="4" t="s">
        <v>10539</v>
      </c>
      <c r="B8375" s="6" t="s">
        <v>10540</v>
      </c>
      <c r="C8375" s="5" t="str">
        <f>IFERROR(__xludf.DUMMYFUNCTION("GOOGLETRANSLATE(B8375,""en"",""it"")"),"Viene visto un uomo suonare un sassofono e transizioni da varie località della persona che suona lo strumento.")</f>
        <v>Viene visto un uomo suonare un sassofono e transizioni da varie località della persona che suona lo strumento.</v>
      </c>
    </row>
    <row r="8376">
      <c r="A8376" s="4" t="s">
        <v>10539</v>
      </c>
      <c r="B8376" s="4" t="s">
        <v>10541</v>
      </c>
      <c r="C8376" s="5" t="str">
        <f>IFERROR(__xludf.DUMMYFUNCTION("GOOGLETRANSLATE(B8376,""en"",""it"")"),"L'uomo viene quindi visto fianco a fianco con se stesso e più colpi di lui che gioca in una stanza.")</f>
        <v>L'uomo viene quindi visto fianco a fianco con se stesso e più colpi di lui che gioca in una stanza.</v>
      </c>
    </row>
    <row r="8377">
      <c r="A8377" s="4" t="s">
        <v>10542</v>
      </c>
      <c r="B8377" s="4" t="s">
        <v>10543</v>
      </c>
      <c r="C8377" s="5" t="str">
        <f>IFERROR(__xludf.DUMMYFUNCTION("GOOGLETRANSLATE(B8377,""en"",""it"")"),"Un uomo è appeso a una parete di roccia e parla con la telecamera.")</f>
        <v>Un uomo è appeso a una parete di roccia e parla con la telecamera.</v>
      </c>
    </row>
    <row r="8378">
      <c r="A8378" s="4" t="s">
        <v>10542</v>
      </c>
      <c r="B8378" s="4" t="s">
        <v>10544</v>
      </c>
      <c r="C8378" s="5" t="str">
        <f>IFERROR(__xludf.DUMMYFUNCTION("GOOGLETRANSLATE(B8378,""en"",""it"")"),"L'uomo oscilla e il quarto e come mantenere l'equilibrio durante l'arrampicata sulla roccia.")</f>
        <v>L'uomo oscilla e il quarto e come mantenere l'equilibrio durante l'arrampicata sulla roccia.</v>
      </c>
    </row>
    <row r="8379">
      <c r="A8379" s="4" t="s">
        <v>10542</v>
      </c>
      <c r="B8379" s="4" t="s">
        <v>10545</v>
      </c>
      <c r="C8379" s="5" t="str">
        <f>IFERROR(__xludf.DUMMYFUNCTION("GOOGLETRANSLATE(B8379,""en"",""it"")"),"Comincia a salire sul muro e parlare di tenere le braccia dritte.")</f>
        <v>Comincia a salire sul muro e parlare di tenere le braccia dritte.</v>
      </c>
    </row>
    <row r="8380">
      <c r="A8380" s="4" t="s">
        <v>10542</v>
      </c>
      <c r="B8380" s="4" t="s">
        <v>10546</v>
      </c>
      <c r="C8380" s="5" t="str">
        <f>IFERROR(__xludf.DUMMYFUNCTION("GOOGLETRANSLATE(B8380,""en"",""it"")"),"Continua a salire sul muro e dove posizionare i piedi e come spingere.")</f>
        <v>Continua a salire sul muro e dove posizionare i piedi e come spingere.</v>
      </c>
    </row>
    <row r="8381">
      <c r="A8381" s="4" t="s">
        <v>10542</v>
      </c>
      <c r="B8381" s="4" t="s">
        <v>10547</v>
      </c>
      <c r="C8381" s="5" t="str">
        <f>IFERROR(__xludf.DUMMYFUNCTION("GOOGLETRANSLATE(B8381,""en"",""it"")"),"Alla fine arriva in cima al muro di roccia e affronta la telecamera.")</f>
        <v>Alla fine arriva in cima al muro di roccia e affronta la telecamera.</v>
      </c>
    </row>
    <row r="8382">
      <c r="A8382" s="4" t="s">
        <v>10548</v>
      </c>
      <c r="B8382" s="4" t="s">
        <v>10549</v>
      </c>
      <c r="C8382" s="5" t="str">
        <f>IFERROR(__xludf.DUMMYFUNCTION("GOOGLETRANSLATE(B8382,""en"",""it"")"),"Un tutorial è dato su come fare una manicure francese perfetta.")</f>
        <v>Un tutorial è dato su come fare una manicure francese perfetta.</v>
      </c>
    </row>
    <row r="8383">
      <c r="A8383" s="4" t="s">
        <v>10548</v>
      </c>
      <c r="B8383" s="4" t="s">
        <v>10550</v>
      </c>
      <c r="C8383" s="5" t="str">
        <f>IFERROR(__xludf.DUMMYFUNCTION("GOOGLETRANSLATE(B8383,""en"",""it"")"),"Alla fine viene mostrata una pubblicità.")</f>
        <v>Alla fine viene mostrata una pubblicità.</v>
      </c>
    </row>
    <row r="8384">
      <c r="A8384" s="4" t="s">
        <v>10551</v>
      </c>
      <c r="B8384" s="6" t="s">
        <v>10552</v>
      </c>
      <c r="C8384" s="5" t="str">
        <f>IFERROR(__xludf.DUMMYFUNCTION("GOOGLETRANSLATE(B8384,""en"",""it"")"),"Una donna vestita con una camicia nera che rappresenta la compagnia Bents si trova in un giardino e dimostra come usare il cellophane per avvolgere una pianta per scopi regalo.")</f>
        <v>Una donna vestita con una camicia nera che rappresenta la compagnia Bents si trova in un giardino e dimostra come usare il cellophane per avvolgere una pianta per scopi regalo.</v>
      </c>
    </row>
    <row r="8385">
      <c r="A8385" s="4" t="s">
        <v>10551</v>
      </c>
      <c r="B8385" s="4" t="s">
        <v>10553</v>
      </c>
      <c r="C8385" s="5" t="str">
        <f>IFERROR(__xludf.DUMMYFUNCTION("GOOGLETRANSLATE(B8385,""en"",""it"")"),"Taglia un pezzo rettangolare del cellophane e posiziona la pentola al centro.")</f>
        <v>Taglia un pezzo rettangolare del cellophane e posiziona la pentola al centro.</v>
      </c>
    </row>
    <row r="8386">
      <c r="A8386" s="4" t="s">
        <v>10551</v>
      </c>
      <c r="B8386" s="4" t="s">
        <v>10554</v>
      </c>
      <c r="C8386" s="5" t="str">
        <f>IFERROR(__xludf.DUMMYFUNCTION("GOOGLETRANSLATE(B8386,""en"",""it"")"),"Quindi riunisce i bordi del cellophane verso la parte superiore della pianta.")</f>
        <v>Quindi riunisce i bordi del cellophane verso la parte superiore della pianta.</v>
      </c>
    </row>
    <row r="8387">
      <c r="A8387" s="4" t="s">
        <v>10551</v>
      </c>
      <c r="B8387" s="6" t="s">
        <v>10555</v>
      </c>
      <c r="C8387" s="5" t="str">
        <f>IFERROR(__xludf.DUMMYFUNCTION("GOOGLETRANSLATE(B8387,""en"",""it"")"),"Prende un pezzo di nastro decorato per legare insieme il cellophane scricchiolato per farlo sembrare un arco in cima.")</f>
        <v>Prende un pezzo di nastro decorato per legare insieme il cellophane scricchiolato per farlo sembrare un arco in cima.</v>
      </c>
    </row>
    <row r="8388">
      <c r="A8388" s="4" t="s">
        <v>10556</v>
      </c>
      <c r="B8388" s="4" t="s">
        <v>10557</v>
      </c>
      <c r="C8388" s="5" t="str">
        <f>IFERROR(__xludf.DUMMYFUNCTION("GOOGLETRANSLATE(B8388,""en"",""it"")"),"I ragazzi tirano fuori un treno e camminano per strada con in mano.")</f>
        <v>I ragazzi tirano fuori un treno e camminano per strada con in mano.</v>
      </c>
    </row>
    <row r="8389">
      <c r="A8389" s="4" t="s">
        <v>10556</v>
      </c>
      <c r="B8389" s="4" t="s">
        <v>10558</v>
      </c>
      <c r="C8389" s="5" t="str">
        <f>IFERROR(__xludf.DUMMYFUNCTION("GOOGLETRANSLATE(B8389,""en"",""it"")"),"Loro, i ragazzi navigano in un fiume mosso in una città.")</f>
        <v>Loro, i ragazzi navigano in un fiume mosso in una città.</v>
      </c>
    </row>
    <row r="8390">
      <c r="A8390" s="4" t="s">
        <v>10556</v>
      </c>
      <c r="B8390" s="4" t="s">
        <v>10559</v>
      </c>
      <c r="C8390" s="5" t="str">
        <f>IFERROR(__xludf.DUMMYFUNCTION("GOOGLETRANSLATE(B8390,""en"",""it"")"),"Un ragazzo mise la tavola da surf sui Rives, salta e surf, poi cadde, anche altri ragazzi navigano.")</f>
        <v>Un ragazzo mise la tavola da surf sui Rives, salta e surf, poi cadde, anche altri ragazzi navigano.</v>
      </c>
    </row>
    <row r="8391">
      <c r="A8391" s="4" t="s">
        <v>10556</v>
      </c>
      <c r="B8391" s="4" t="s">
        <v>10560</v>
      </c>
      <c r="C8391" s="5" t="str">
        <f>IFERROR(__xludf.DUMMYFUNCTION("GOOGLETRANSLATE(B8391,""en"",""it"")"),"Dopo, i ragazzi sono all'interno di un treno.")</f>
        <v>Dopo, i ragazzi sono all'interno di un treno.</v>
      </c>
    </row>
    <row r="8392">
      <c r="A8392" s="4" t="s">
        <v>10561</v>
      </c>
      <c r="B8392" s="4" t="s">
        <v>10562</v>
      </c>
      <c r="C8392" s="5" t="str">
        <f>IFERROR(__xludf.DUMMYFUNCTION("GOOGLETRANSLATE(B8392,""en"",""it"")"),"C'è un incendio illuminato in un terreno aperto accanto ad alcune tende e biciclette.")</f>
        <v>C'è un incendio illuminato in un terreno aperto accanto ad alcune tende e biciclette.</v>
      </c>
    </row>
    <row r="8393">
      <c r="A8393" s="4" t="s">
        <v>10561</v>
      </c>
      <c r="B8393" s="4" t="s">
        <v>10563</v>
      </c>
      <c r="C8393" s="5" t="str">
        <f>IFERROR(__xludf.DUMMYFUNCTION("GOOGLETRANSLATE(B8393,""en"",""it"")"),"C'è una persona vestita con un abito da motociclista che si alza e dà fuoco a un mucchio di bastoncini di legno.")</f>
        <v>C'è una persona vestita con un abito da motociclista che si alza e dà fuoco a un mucchio di bastoncini di legno.</v>
      </c>
    </row>
    <row r="8394">
      <c r="A8394" s="4" t="s">
        <v>10561</v>
      </c>
      <c r="B8394" s="4" t="s">
        <v>10564</v>
      </c>
      <c r="C8394" s="5" t="str">
        <f>IFERROR(__xludf.DUMMYFUNCTION("GOOGLETRANSLATE(B8394,""en"",""it"")"),"Il fuoco inizia a diffondersi attraverso i ramoscelli e i bastoncini di legno e scoppia in grandi fiamme.")</f>
        <v>Il fuoco inizia a diffondersi attraverso i ramoscelli e i bastoncini di legno e scoppia in grandi fiamme.</v>
      </c>
    </row>
    <row r="8395">
      <c r="A8395" s="4" t="s">
        <v>10565</v>
      </c>
      <c r="B8395" s="4" t="s">
        <v>10566</v>
      </c>
      <c r="C8395" s="5" t="str">
        <f>IFERROR(__xludf.DUMMYFUNCTION("GOOGLETRANSLATE(B8395,""en"",""it"")"),"Una signora di nome Linda, Creatore di Paint Long, dimostra come fare una pittura acrilica.")</f>
        <v>Una signora di nome Linda, Creatore di Paint Long, dimostra come fare una pittura acrilica.</v>
      </c>
    </row>
    <row r="8396">
      <c r="A8396" s="4" t="s">
        <v>10565</v>
      </c>
      <c r="B8396" s="4" t="s">
        <v>10567</v>
      </c>
      <c r="C8396" s="5" t="str">
        <f>IFERROR(__xludf.DUMMYFUNCTION("GOOGLETRANSLATE(B8396,""en"",""it"")"),"Comincia con un pennello piatto da un pollice e una vernice acrilica gialla e bianca.")</f>
        <v>Comincia con un pennello piatto da un pollice e una vernice acrilica gialla e bianca.</v>
      </c>
    </row>
    <row r="8397">
      <c r="A8397" s="4" t="s">
        <v>10565</v>
      </c>
      <c r="B8397" s="4" t="s">
        <v>10568</v>
      </c>
      <c r="C8397" s="5" t="str">
        <f>IFERROR(__xludf.DUMMYFUNCTION("GOOGLETRANSLATE(B8397,""en"",""it"")"),"Fa motivi X attraverso la tela con il colore giallo.")</f>
        <v>Fa motivi X attraverso la tela con il colore giallo.</v>
      </c>
    </row>
    <row r="8398">
      <c r="A8398" s="4" t="s">
        <v>10565</v>
      </c>
      <c r="B8398" s="4" t="s">
        <v>10569</v>
      </c>
      <c r="C8398" s="5" t="str">
        <f>IFERROR(__xludf.DUMMYFUNCTION("GOOGLETRANSLATE(B8398,""en"",""it"")"),"Continua lo stesso modello nella parte superiore della tela.")</f>
        <v>Continua lo stesso modello nella parte superiore della tela.</v>
      </c>
    </row>
    <row r="8399">
      <c r="A8399" s="4" t="s">
        <v>10565</v>
      </c>
      <c r="B8399" s="4" t="s">
        <v>10570</v>
      </c>
      <c r="C8399" s="5" t="str">
        <f>IFERROR(__xludf.DUMMYFUNCTION("GOOGLETRANSLATE(B8399,""en"",""it"")"),"Quindi disegna linee rette attraverso la tela con un colore arancione.")</f>
        <v>Quindi disegna linee rette attraverso la tela con un colore arancione.</v>
      </c>
    </row>
    <row r="8400">
      <c r="A8400" s="4" t="s">
        <v>10565</v>
      </c>
      <c r="B8400" s="4" t="s">
        <v>10571</v>
      </c>
      <c r="C8400" s="5" t="str">
        <f>IFERROR(__xludf.DUMMYFUNCTION("GOOGLETRANSLATE(B8400,""en"",""it"")"),"Quindi prende un pennello per la fodera per fare alcuni dettagli più fini sul dipinto come i rami di un albero.")</f>
        <v>Quindi prende un pennello per la fodera per fare alcuni dettagli più fini sul dipinto come i rami di un albero.</v>
      </c>
    </row>
    <row r="8401">
      <c r="A8401" s="4" t="s">
        <v>10565</v>
      </c>
      <c r="B8401" s="6" t="s">
        <v>10572</v>
      </c>
      <c r="C8401" s="5" t="str">
        <f>IFERROR(__xludf.DUMMYFUNCTION("GOOGLETRANSLATE(B8401,""en"",""it"")"),"Prende un pennello più piatto per dimostrare una tecnica di tampone con vernice in eccesso per mostrare petali di fiori.")</f>
        <v>Prende un pennello più piatto per dimostrare una tecnica di tampone con vernice in eccesso per mostrare petali di fiori.</v>
      </c>
    </row>
    <row r="8402">
      <c r="A8402" s="4" t="s">
        <v>10565</v>
      </c>
      <c r="B8402" s="4" t="s">
        <v>10573</v>
      </c>
      <c r="C8402" s="5" t="str">
        <f>IFERROR(__xludf.DUMMYFUNCTION("GOOGLETRANSLATE(B8402,""en"",""it"")"),"Termina il video con la tecnica di pittura astratta.")</f>
        <v>Termina il video con la tecnica di pittura astratta.</v>
      </c>
    </row>
    <row r="8403">
      <c r="A8403" s="4" t="s">
        <v>10574</v>
      </c>
      <c r="B8403" s="6" t="s">
        <v>10575</v>
      </c>
      <c r="C8403" s="5" t="str">
        <f>IFERROR(__xludf.DUMMYFUNCTION("GOOGLETRANSLATE(B8403,""en"",""it"")"),"Vediamo un uomo in piscina giocare a una partita mentre un uomo in bianco si trova a bordo campo agitando il braccio.")</f>
        <v>Vediamo un uomo in piscina giocare a una partita mentre un uomo in bianco si trova a bordo campo agitando il braccio.</v>
      </c>
    </row>
    <row r="8404">
      <c r="A8404" s="4" t="s">
        <v>10574</v>
      </c>
      <c r="B8404" s="4" t="s">
        <v>10576</v>
      </c>
      <c r="C8404" s="5" t="str">
        <f>IFERROR(__xludf.DUMMYFUNCTION("GOOGLETRANSLATE(B8404,""en"",""it"")"),"La palla viene lanciata e il portiere di fronte ai salti della rete per fermare la palla.")</f>
        <v>La palla viene lanciata e il portiere di fronte ai salti della rete per fermare la palla.</v>
      </c>
    </row>
    <row r="8405">
      <c r="A8405" s="4" t="s">
        <v>10574</v>
      </c>
      <c r="B8405" s="4" t="s">
        <v>10577</v>
      </c>
      <c r="C8405" s="5" t="str">
        <f>IFERROR(__xludf.DUMMYFUNCTION("GOOGLETRANSLATE(B8405,""en"",""it"")"),"Il portiere quindi scende in profondità sott'acqua.")</f>
        <v>Il portiere quindi scende in profondità sott'acqua.</v>
      </c>
    </row>
    <row r="8406">
      <c r="A8406" s="4" t="s">
        <v>10578</v>
      </c>
      <c r="B8406" s="6" t="s">
        <v>10579</v>
      </c>
      <c r="C8406" s="5" t="str">
        <f>IFERROR(__xludf.DUMMYFUNCTION("GOOGLETRANSLATE(B8406,""en"",""it"")"),"Una donna asiatica con capelli neri in giacca beige e camicetta stampata, sta parlando di fronte alla telecamera.")</f>
        <v>Una donna asiatica con capelli neri in giacca beige e camicetta stampata, sta parlando di fronte alla telecamera.</v>
      </c>
    </row>
    <row r="8407">
      <c r="A8407" s="4" t="s">
        <v>10578</v>
      </c>
      <c r="B8407" s="6" t="s">
        <v>10580</v>
      </c>
      <c r="C8407" s="5" t="str">
        <f>IFERROR(__xludf.DUMMYFUNCTION("GOOGLETRANSLATE(B8407,""en"",""it"")"),"Quattro aquiloni in bianco e nero con stampe di diamante blu e giallo su di loro volano da terra, un polpo verde, draghi e altre forme di aquiloni volano nel cielo, mentre gli uomini in rosso tirano gli aquiloni.")</f>
        <v>Quattro aquiloni in bianco e nero con stampe di diamante blu e giallo su di loro volano da terra, un polpo verde, draghi e altre forme di aquiloni volano nel cielo, mentre gli uomini in rosso tirano gli aquiloni.</v>
      </c>
    </row>
    <row r="8408">
      <c r="A8408" s="4" t="s">
        <v>10581</v>
      </c>
      <c r="B8408" s="4" t="s">
        <v>10582</v>
      </c>
      <c r="C8408" s="5" t="str">
        <f>IFERROR(__xludf.DUMMYFUNCTION("GOOGLETRANSLATE(B8408,""en"",""it"")"),"Una giovane donna viene mostrata seduta e parla con la telecamera bianca con una camicia.")</f>
        <v>Una giovane donna viene mostrata seduta e parla con la telecamera bianca con una camicia.</v>
      </c>
    </row>
    <row r="8409">
      <c r="A8409" s="4" t="s">
        <v>10581</v>
      </c>
      <c r="B8409" s="4" t="s">
        <v>10583</v>
      </c>
      <c r="C8409" s="5" t="str">
        <f>IFERROR(__xludf.DUMMYFUNCTION("GOOGLETRANSLATE(B8409,""en"",""it"")"),"Lei lega la camicia attorno al braccio e la immerge nell'acqua e la strofina con le mani.")</f>
        <v>Lei lega la camicia attorno al braccio e la immerge nell'acqua e la strofina con le mani.</v>
      </c>
    </row>
    <row r="8410">
      <c r="A8410" s="4" t="s">
        <v>10584</v>
      </c>
      <c r="B8410" s="4" t="s">
        <v>10585</v>
      </c>
      <c r="C8410" s="5" t="str">
        <f>IFERROR(__xludf.DUMMYFUNCTION("GOOGLETRANSLATE(B8410,""en"",""it"")"),"Un uomo è seduto su una sedia, con un sassofono.")</f>
        <v>Un uomo è seduto su una sedia, con un sassofono.</v>
      </c>
    </row>
    <row r="8411">
      <c r="A8411" s="4" t="s">
        <v>10584</v>
      </c>
      <c r="B8411" s="4" t="s">
        <v>10586</v>
      </c>
      <c r="C8411" s="5" t="str">
        <f>IFERROR(__xludf.DUMMYFUNCTION("GOOGLETRANSLATE(B8411,""en"",""it"")"),"Si alza mentre suona, le dita si muovono su e giù per lo strumento.")</f>
        <v>Si alza mentre suona, le dita si muovono su e giù per lo strumento.</v>
      </c>
    </row>
    <row r="8412">
      <c r="A8412" s="4" t="s">
        <v>10584</v>
      </c>
      <c r="B8412" s="4" t="s">
        <v>10587</v>
      </c>
      <c r="C8412" s="5" t="str">
        <f>IFERROR(__xludf.DUMMYFUNCTION("GOOGLETRANSLATE(B8412,""en"",""it"")"),"Lo schermo taglia il testo in bianco e nero.")</f>
        <v>Lo schermo taglia il testo in bianco e nero.</v>
      </c>
    </row>
    <row r="8413">
      <c r="A8413" s="4" t="s">
        <v>10588</v>
      </c>
      <c r="B8413" s="4" t="s">
        <v>10589</v>
      </c>
      <c r="C8413" s="5" t="str">
        <f>IFERROR(__xludf.DUMMYFUNCTION("GOOGLETRANSLATE(B8413,""en"",""it"")"),"Le statistiche di un giocatore mostrano sullo schermo.")</f>
        <v>Le statistiche di un giocatore mostrano sullo schermo.</v>
      </c>
    </row>
    <row r="8414">
      <c r="A8414" s="4" t="s">
        <v>10588</v>
      </c>
      <c r="B8414" s="4" t="s">
        <v>10590</v>
      </c>
      <c r="C8414" s="5" t="str">
        <f>IFERROR(__xludf.DUMMYFUNCTION("GOOGLETRANSLATE(B8414,""en"",""it"")"),"Montaggi di diversi giochi di calcio indoor.")</f>
        <v>Montaggi di diversi giochi di calcio indoor.</v>
      </c>
    </row>
    <row r="8415">
      <c r="A8415" s="4" t="s">
        <v>10588</v>
      </c>
      <c r="B8415" s="4" t="s">
        <v>10591</v>
      </c>
      <c r="C8415" s="5" t="str">
        <f>IFERROR(__xludf.DUMMYFUNCTION("GOOGLETRANSLATE(B8415,""en"",""it"")"),"Le statistiche del giocatore vengono mostrate di nuovo.")</f>
        <v>Le statistiche del giocatore vengono mostrate di nuovo.</v>
      </c>
    </row>
    <row r="8416">
      <c r="A8416" s="4" t="s">
        <v>10592</v>
      </c>
      <c r="B8416" s="4" t="s">
        <v>10593</v>
      </c>
      <c r="C8416" s="5" t="str">
        <f>IFERROR(__xludf.DUMMYFUNCTION("GOOGLETRANSLATE(B8416,""en"",""it"")"),"Vediamo gli slot di numeri sull'asfalto.")</f>
        <v>Vediamo gli slot di numeri sull'asfalto.</v>
      </c>
    </row>
    <row r="8417">
      <c r="A8417" s="4" t="s">
        <v>10592</v>
      </c>
      <c r="B8417" s="4" t="s">
        <v>10594</v>
      </c>
      <c r="C8417" s="5" t="str">
        <f>IFERROR(__xludf.DUMMYFUNCTION("GOOGLETRANSLATE(B8417,""en"",""it"")"),"Vediamo quindi i bambini che cavalcano bici BMX tagliate con scene di altre cose.")</f>
        <v>Vediamo quindi i bambini che cavalcano bici BMX tagliate con scene di altre cose.</v>
      </c>
    </row>
    <row r="8418">
      <c r="A8418" s="4" t="s">
        <v>10592</v>
      </c>
      <c r="B8418" s="4" t="s">
        <v>10595</v>
      </c>
      <c r="C8418" s="5" t="str">
        <f>IFERROR(__xludf.DUMMYFUNCTION("GOOGLETRANSLATE(B8418,""en"",""it"")"),"Vediamo i bambini che parlano con la telecamera.")</f>
        <v>Vediamo i bambini che parlano con la telecamera.</v>
      </c>
    </row>
    <row r="8419">
      <c r="A8419" s="4" t="s">
        <v>10592</v>
      </c>
      <c r="B8419" s="4" t="s">
        <v>10596</v>
      </c>
      <c r="C8419" s="5" t="str">
        <f>IFERROR(__xludf.DUMMYFUNCTION("GOOGLETRANSLATE(B8419,""en"",""it"")"),"Vediamo un cancello aperto e i bambini iniziano a cavalcare.")</f>
        <v>Vediamo un cancello aperto e i bambini iniziano a cavalcare.</v>
      </c>
    </row>
    <row r="8420">
      <c r="A8420" s="4" t="s">
        <v>10592</v>
      </c>
      <c r="B8420" s="4" t="s">
        <v>10597</v>
      </c>
      <c r="C8420" s="5" t="str">
        <f>IFERROR(__xludf.DUMMYFUNCTION("GOOGLETRANSLATE(B8420,""en"",""it"")"),"Vediamo un allenatore in piedi con i bambini.")</f>
        <v>Vediamo un allenatore in piedi con i bambini.</v>
      </c>
    </row>
    <row r="8421">
      <c r="A8421" s="4" t="s">
        <v>10592</v>
      </c>
      <c r="B8421" s="4" t="s">
        <v>10598</v>
      </c>
      <c r="C8421" s="5" t="str">
        <f>IFERROR(__xludf.DUMMYFUNCTION("GOOGLETRANSLATE(B8421,""en"",""it"")"),"Vediamo un altro allenatore in piedi con i bambini.")</f>
        <v>Vediamo un altro allenatore in piedi con i bambini.</v>
      </c>
    </row>
    <row r="8422">
      <c r="A8422" s="4" t="s">
        <v>10592</v>
      </c>
      <c r="B8422" s="4" t="s">
        <v>10599</v>
      </c>
      <c r="C8422" s="5" t="str">
        <f>IFERROR(__xludf.DUMMYFUNCTION("GOOGLETRANSLATE(B8422,""en"",""it"")"),"Vediamo i bambini passare il traguardo.")</f>
        <v>Vediamo i bambini passare il traguardo.</v>
      </c>
    </row>
    <row r="8423">
      <c r="A8423" s="4" t="s">
        <v>10592</v>
      </c>
      <c r="B8423" s="4" t="s">
        <v>10600</v>
      </c>
      <c r="C8423" s="5" t="str">
        <f>IFERROR(__xludf.DUMMYFUNCTION("GOOGLETRANSLATE(B8423,""en"",""it"")"),"Vediamo l'emblema sullo schermo con bambini seduti sulle loro bici.")</f>
        <v>Vediamo l'emblema sullo schermo con bambini seduti sulle loro bici.</v>
      </c>
    </row>
    <row r="8424">
      <c r="A8424" s="4" t="s">
        <v>10592</v>
      </c>
      <c r="B8424" s="4" t="s">
        <v>10601</v>
      </c>
      <c r="C8424" s="5" t="str">
        <f>IFERROR(__xludf.DUMMYFUNCTION("GOOGLETRANSLATE(B8424,""en"",""it"")"),"Vediamo quindi lo schermo vicino.")</f>
        <v>Vediamo quindi lo schermo vicino.</v>
      </c>
    </row>
    <row r="8425">
      <c r="A8425" s="4" t="s">
        <v>10602</v>
      </c>
      <c r="B8425" s="4" t="s">
        <v>10603</v>
      </c>
      <c r="C8425" s="5" t="str">
        <f>IFERROR(__xludf.DUMMYFUNCTION("GOOGLETRANSLATE(B8425,""en"",""it"")"),"Un uomo che indossa un cappello è in piedi fuori.")</f>
        <v>Un uomo che indossa un cappello è in piedi fuori.</v>
      </c>
    </row>
    <row r="8426">
      <c r="A8426" s="4" t="s">
        <v>10602</v>
      </c>
      <c r="B8426" s="4" t="s">
        <v>10604</v>
      </c>
      <c r="C8426" s="5" t="str">
        <f>IFERROR(__xludf.DUMMYFUNCTION("GOOGLETRANSLATE(B8426,""en"",""it"")"),"Prende una motosega da terra.")</f>
        <v>Prende una motosega da terra.</v>
      </c>
    </row>
    <row r="8427">
      <c r="A8427" s="4" t="s">
        <v>10602</v>
      </c>
      <c r="B8427" s="4" t="s">
        <v>10605</v>
      </c>
      <c r="C8427" s="5" t="str">
        <f>IFERROR(__xludf.DUMMYFUNCTION("GOOGLETRANSLATE(B8427,""en"",""it"")"),"Comincia a abbattere un cespuglio accanto a lui.")</f>
        <v>Comincia a abbattere un cespuglio accanto a lui.</v>
      </c>
    </row>
    <row r="8428">
      <c r="A8428" s="4" t="s">
        <v>10606</v>
      </c>
      <c r="B8428" s="6" t="s">
        <v>10607</v>
      </c>
      <c r="C8428" s="5" t="str">
        <f>IFERROR(__xludf.DUMMYFUNCTION("GOOGLETRANSLATE(B8428,""en"",""it"")"),"Ci sono un sacco di bambini in piedi attorno a un tavolo e l'obiettivo principale è un ragazzo che sta tagliando le cose su un vassoio blu.")</f>
        <v>Ci sono un sacco di bambini in piedi attorno a un tavolo e l'obiettivo principale è un ragazzo che sta tagliando le cose su un vassoio blu.</v>
      </c>
    </row>
    <row r="8429">
      <c r="A8429" s="4" t="s">
        <v>10606</v>
      </c>
      <c r="B8429" s="4" t="s">
        <v>10608</v>
      </c>
      <c r="C8429" s="5" t="str">
        <f>IFERROR(__xludf.DUMMYFUNCTION("GOOGLETRANSLATE(B8429,""en"",""it"")"),"Il ragazzo si allontana dal vassoio e un adulto inizia a tagliare.")</f>
        <v>Il ragazzo si allontana dal vassoio e un adulto inizia a tagliare.</v>
      </c>
    </row>
    <row r="8430">
      <c r="A8430" s="4" t="s">
        <v>10606</v>
      </c>
      <c r="B8430" s="6" t="s">
        <v>10609</v>
      </c>
      <c r="C8430" s="5" t="str">
        <f>IFERROR(__xludf.DUMMYFUNCTION("GOOGLETRANSLATE(B8430,""en"",""it"")"),"L'adulto smette di tagliare e un altro ragazzo inizia a tagliare gli oggetti molto lentamente, l'adulto interrompe il bambino per dimostrare come tagliare e il bambino se ne va.")</f>
        <v>L'adulto smette di tagliare e un altro ragazzo inizia a tagliare gli oggetti molto lentamente, l'adulto interrompe il bambino per dimostrare come tagliare e il bambino se ne va.</v>
      </c>
    </row>
    <row r="8431">
      <c r="A8431" s="4" t="s">
        <v>10610</v>
      </c>
      <c r="B8431" s="4" t="s">
        <v>10611</v>
      </c>
      <c r="C8431" s="5" t="str">
        <f>IFERROR(__xludf.DUMMYFUNCTION("GOOGLETRANSLATE(B8431,""en"",""it"")"),"Due persone si vedono parlare con la telecamera seguite da diverse bevande disposte.")</f>
        <v>Due persone si vedono parlare con la telecamera seguite da diverse bevande disposte.</v>
      </c>
    </row>
    <row r="8432">
      <c r="A8432" s="4" t="s">
        <v>10610</v>
      </c>
      <c r="B8432" s="4" t="s">
        <v>10612</v>
      </c>
      <c r="C8432" s="5" t="str">
        <f>IFERROR(__xludf.DUMMYFUNCTION("GOOGLETRANSLATE(B8432,""en"",""it"")"),"Le persone iniziano quindi a mescolare ingredienti tra loro e parlarsi.")</f>
        <v>Le persone iniziano quindi a mescolare ingredienti tra loro e parlarsi.</v>
      </c>
    </row>
    <row r="8433">
      <c r="A8433" s="4" t="s">
        <v>10610</v>
      </c>
      <c r="B8433" s="4" t="s">
        <v>10613</v>
      </c>
      <c r="C8433" s="5" t="str">
        <f>IFERROR(__xludf.DUMMYFUNCTION("GOOGLETRANSLATE(B8433,""en"",""it"")"),"Le persone continuano a mescolare bevande tra loro e presentarle alla telecamera.")</f>
        <v>Le persone continuano a mescolare bevande tra loro e presentarle alla telecamera.</v>
      </c>
    </row>
    <row r="8434">
      <c r="A8434" s="4" t="s">
        <v>10614</v>
      </c>
      <c r="B8434" s="4" t="s">
        <v>10615</v>
      </c>
      <c r="C8434" s="5" t="str">
        <f>IFERROR(__xludf.DUMMYFUNCTION("GOOGLETRANSLATE(B8434,""en"",""it"")"),"C'è un uomo su un cavallo in attesa del tempo per iniziare.")</f>
        <v>C'è un uomo su un cavallo in attesa del tempo per iniziare.</v>
      </c>
    </row>
    <row r="8435">
      <c r="A8435" s="4" t="s">
        <v>10614</v>
      </c>
      <c r="B8435" s="4" t="s">
        <v>10616</v>
      </c>
      <c r="C8435" s="5" t="str">
        <f>IFERROR(__xludf.DUMMYFUNCTION("GOOGLETRANSLATE(B8435,""en"",""it"")"),"Una volta che le porte aprono una mucca inizia a correre e l'uomo sul cavallo lo insegue con una nappe.")</f>
        <v>Una volta che le porte aprono una mucca inizia a correre e l'uomo sul cavallo lo insegue con una nappe.</v>
      </c>
    </row>
    <row r="8436">
      <c r="A8436" s="4" t="s">
        <v>10614</v>
      </c>
      <c r="B8436" s="6" t="s">
        <v>10617</v>
      </c>
      <c r="C8436" s="5" t="str">
        <f>IFERROR(__xludf.DUMMYFUNCTION("GOOGLETRANSLATE(B8436,""en"",""it"")"),"Fai oscillare la nappe in aria alcune volte e la lancia catturando la mucca e poi legandolo.")</f>
        <v>Fai oscillare la nappe in aria alcune volte e la lancia catturando la mucca e poi legandolo.</v>
      </c>
    </row>
    <row r="8437">
      <c r="A8437" s="4" t="s">
        <v>10614</v>
      </c>
      <c r="B8437" s="6" t="s">
        <v>10618</v>
      </c>
      <c r="C8437" s="5" t="str">
        <f>IFERROR(__xludf.DUMMYFUNCTION("GOOGLETRANSLATE(B8437,""en"",""it"")"),"C'è un pubblico sugli spicchi che guarda l'uomo fare questo e c'è un altro uomo su un cavallo diverso a lato in attesa.")</f>
        <v>C'è un pubblico sugli spicchi che guarda l'uomo fare questo e c'è un altro uomo su un cavallo diverso a lato in attesa.</v>
      </c>
    </row>
    <row r="8438">
      <c r="A8438" s="4" t="s">
        <v>10619</v>
      </c>
      <c r="B8438" s="4" t="s">
        <v>10620</v>
      </c>
      <c r="C8438" s="5" t="str">
        <f>IFERROR(__xludf.DUMMYFUNCTION("GOOGLETRANSLATE(B8438,""en"",""it"")"),"Una folla si riunisce guardando una partita di pallavolo.")</f>
        <v>Una folla si riunisce guardando una partita di pallavolo.</v>
      </c>
    </row>
    <row r="8439">
      <c r="A8439" s="4" t="s">
        <v>10619</v>
      </c>
      <c r="B8439" s="4" t="s">
        <v>10621</v>
      </c>
      <c r="C8439" s="5" t="str">
        <f>IFERROR(__xludf.DUMMYFUNCTION("GOOGLETRANSLATE(B8439,""en"",""it"")"),"Un giocatore di pallavolo colpisce la palla.")</f>
        <v>Un giocatore di pallavolo colpisce la palla.</v>
      </c>
    </row>
    <row r="8440">
      <c r="A8440" s="4" t="s">
        <v>10619</v>
      </c>
      <c r="B8440" s="4" t="s">
        <v>10622</v>
      </c>
      <c r="C8440" s="5" t="str">
        <f>IFERROR(__xludf.DUMMYFUNCTION("GOOGLETRANSLATE(B8440,""en"",""it"")"),"Anche il compagno di squadra del giocatore colpisce la palla.")</f>
        <v>Anche il compagno di squadra del giocatore colpisce la palla.</v>
      </c>
    </row>
    <row r="8441">
      <c r="A8441" s="4" t="s">
        <v>10619</v>
      </c>
      <c r="B8441" s="4" t="s">
        <v>10623</v>
      </c>
      <c r="C8441" s="5" t="str">
        <f>IFERROR(__xludf.DUMMYFUNCTION("GOOGLETRANSLATE(B8441,""en"",""it"")"),"Il giocatore colpisce la palla altre tre volte.")</f>
        <v>Il giocatore colpisce la palla altre tre volte.</v>
      </c>
    </row>
    <row r="8442">
      <c r="A8442" s="4" t="s">
        <v>10619</v>
      </c>
      <c r="B8442" s="4" t="s">
        <v>10624</v>
      </c>
      <c r="C8442" s="5" t="str">
        <f>IFERROR(__xludf.DUMMYFUNCTION("GOOGLETRANSLATE(B8442,""en"",""it"")"),"Il compagno di squadra dei giocatori colpisce la palla.")</f>
        <v>Il compagno di squadra dei giocatori colpisce la palla.</v>
      </c>
    </row>
    <row r="8443">
      <c r="A8443" s="4" t="s">
        <v>10619</v>
      </c>
      <c r="B8443" s="4" t="s">
        <v>10625</v>
      </c>
      <c r="C8443" s="5" t="str">
        <f>IFERROR(__xludf.DUMMYFUNCTION("GOOGLETRANSLATE(B8443,""en"",""it"")"),"L'altro giocatore colpisce la palla sopra la rete.")</f>
        <v>L'altro giocatore colpisce la palla sopra la rete.</v>
      </c>
    </row>
    <row r="8444">
      <c r="A8444" s="4" t="s">
        <v>10619</v>
      </c>
      <c r="B8444" s="4" t="s">
        <v>10626</v>
      </c>
      <c r="C8444" s="5" t="str">
        <f>IFERROR(__xludf.DUMMYFUNCTION("GOOGLETRANSLATE(B8444,""en"",""it"")"),"La palla ritorna e uno dei giocatori colpisce la palla.")</f>
        <v>La palla ritorna e uno dei giocatori colpisce la palla.</v>
      </c>
    </row>
    <row r="8445">
      <c r="A8445" s="4" t="s">
        <v>10619</v>
      </c>
      <c r="B8445" s="4" t="s">
        <v>10627</v>
      </c>
      <c r="C8445" s="5" t="str">
        <f>IFERROR(__xludf.DUMMYFUNCTION("GOOGLETRANSLATE(B8445,""en"",""it"")"),"Il compagno di squadra dei giocatori si tuffa per colpire la palla.")</f>
        <v>Il compagno di squadra dei giocatori si tuffa per colpire la palla.</v>
      </c>
    </row>
    <row r="8446">
      <c r="A8446" s="4" t="s">
        <v>10619</v>
      </c>
      <c r="B8446" s="4" t="s">
        <v>10628</v>
      </c>
      <c r="C8446" s="5" t="str">
        <f>IFERROR(__xludf.DUMMYFUNCTION("GOOGLETRANSLATE(B8446,""en"",""it"")"),"L'altro giocatore colpisce la palla all'altra squadra.")</f>
        <v>L'altro giocatore colpisce la palla all'altra squadra.</v>
      </c>
    </row>
    <row r="8447">
      <c r="A8447" s="4" t="s">
        <v>10619</v>
      </c>
      <c r="B8447" s="4" t="s">
        <v>10629</v>
      </c>
      <c r="C8447" s="5" t="str">
        <f>IFERROR(__xludf.DUMMYFUNCTION("GOOGLETRANSLATE(B8447,""en"",""it"")"),"La palla ritorna e uno dei giocatori colpisce la palla fuori dai limiti.")</f>
        <v>La palla ritorna e uno dei giocatori colpisce la palla fuori dai limiti.</v>
      </c>
    </row>
    <row r="8448">
      <c r="A8448" s="4" t="s">
        <v>10630</v>
      </c>
      <c r="B8448" s="4" t="s">
        <v>10631</v>
      </c>
      <c r="C8448" s="5" t="str">
        <f>IFERROR(__xludf.DUMMYFUNCTION("GOOGLETRANSLATE(B8448,""en"",""it"")"),"Una ragazza si lancia su un tappetino.")</f>
        <v>Una ragazza si lancia su un tappetino.</v>
      </c>
    </row>
    <row r="8449">
      <c r="A8449" s="4" t="s">
        <v>10630</v>
      </c>
      <c r="B8449" s="4" t="s">
        <v>10632</v>
      </c>
      <c r="C8449" s="5" t="str">
        <f>IFERROR(__xludf.DUMMYFUNCTION("GOOGLETRANSLATE(B8449,""en"",""it"")"),"Il tappetino è nero e rosso.")</f>
        <v>Il tappetino è nero e rosso.</v>
      </c>
    </row>
    <row r="8450">
      <c r="A8450" s="4" t="s">
        <v>10630</v>
      </c>
      <c r="B8450" s="4" t="s">
        <v>10633</v>
      </c>
      <c r="C8450" s="5" t="str">
        <f>IFERROR(__xludf.DUMMYFUNCTION("GOOGLETRANSLATE(B8450,""en"",""it"")"),"Diverse ragazze la guardano e applaudono.")</f>
        <v>Diverse ragazze la guardano e applaudono.</v>
      </c>
    </row>
    <row r="8451">
      <c r="A8451" s="4" t="s">
        <v>10630</v>
      </c>
      <c r="B8451" s="4" t="s">
        <v>10634</v>
      </c>
      <c r="C8451" s="5" t="str">
        <f>IFERROR(__xludf.DUMMYFUNCTION("GOOGLETRANSLATE(B8451,""en"",""it"")"),"Quindi fa alcuni backflip.")</f>
        <v>Quindi fa alcuni backflip.</v>
      </c>
    </row>
    <row r="8452">
      <c r="A8452" s="4" t="s">
        <v>10635</v>
      </c>
      <c r="B8452" s="4" t="s">
        <v>10636</v>
      </c>
      <c r="C8452" s="5" t="str">
        <f>IFERROR(__xludf.DUMMYFUNCTION("GOOGLETRANSLATE(B8452,""en"",""it"")"),"Una donna sta suonando un violino per strada mentre varie persone camminano qui e dietro di lei.")</f>
        <v>Una donna sta suonando un violino per strada mentre varie persone camminano qui e dietro di lei.</v>
      </c>
    </row>
    <row r="8453">
      <c r="A8453" s="4" t="s">
        <v>10635</v>
      </c>
      <c r="B8453" s="6" t="s">
        <v>10637</v>
      </c>
      <c r="C8453" s="5" t="str">
        <f>IFERROR(__xludf.DUMMYFUNCTION("GOOGLETRANSLATE(B8453,""en"",""it"")"),"Sorride la telecamera mentre suona e continua a suonare la canzone mentre diverse persone si piegano per ribaltarla e camminare intorno a lei.")</f>
        <v>Sorride la telecamera mentre suona e continua a suonare la canzone mentre diverse persone si piegano per ribaltarla e camminare intorno a lei.</v>
      </c>
    </row>
    <row r="8454">
      <c r="A8454" s="4" t="s">
        <v>10638</v>
      </c>
      <c r="B8454" s="4" t="s">
        <v>10639</v>
      </c>
      <c r="C8454" s="5" t="str">
        <f>IFERROR(__xludf.DUMMYFUNCTION("GOOGLETRANSLATE(B8454,""en"",""it"")"),"Un piccolo gruppo di persone è visto in piedi su un campo che si tiene su una corda.")</f>
        <v>Un piccolo gruppo di persone è visto in piedi su un campo che si tiene su una corda.</v>
      </c>
    </row>
    <row r="8455">
      <c r="A8455" s="4" t="s">
        <v>10638</v>
      </c>
      <c r="B8455" s="4" t="s">
        <v>10640</v>
      </c>
      <c r="C8455" s="5" t="str">
        <f>IFERROR(__xludf.DUMMYFUNCTION("GOOGLETRANSLATE(B8455,""en"",""it"")"),"Un uomo si trova di fronte mentre il gruppo inizia a tirarle la corda da un lato.")</f>
        <v>Un uomo si trova di fronte mentre il gruppo inizia a tirarle la corda da un lato.</v>
      </c>
    </row>
    <row r="8456">
      <c r="A8456" s="4" t="s">
        <v>10638</v>
      </c>
      <c r="B8456" s="4" t="s">
        <v>10641</v>
      </c>
      <c r="C8456" s="5" t="str">
        <f>IFERROR(__xludf.DUMMYFUNCTION("GOOGLETRANSLATE(B8456,""en"",""it"")"),"La gente continua a tirare fino a quando non cade dopo.")</f>
        <v>La gente continua a tirare fino a quando non cade dopo.</v>
      </c>
    </row>
    <row r="8457">
      <c r="A8457" s="4" t="s">
        <v>10642</v>
      </c>
      <c r="B8457" s="4" t="s">
        <v>10643</v>
      </c>
      <c r="C8457" s="5" t="str">
        <f>IFERROR(__xludf.DUMMYFUNCTION("GOOGLETRANSLATE(B8457,""en"",""it"")"),"Una persona sciare sul penente di una collina coperta di neve.")</f>
        <v>Una persona sciare sul penente di una collina coperta di neve.</v>
      </c>
    </row>
    <row r="8458">
      <c r="A8458" s="4" t="s">
        <v>10642</v>
      </c>
      <c r="B8458" s="4" t="s">
        <v>10644</v>
      </c>
      <c r="C8458" s="5" t="str">
        <f>IFERROR(__xludf.DUMMYFUNCTION("GOOGLETRANSLATE(B8458,""en"",""it"")"),"Quindi, la persona arriva in un'area piatta dove ci sono quattro persone.")</f>
        <v>Quindi, la persona arriva in un'area piatta dove ci sono quattro persone.</v>
      </c>
    </row>
    <row r="8459">
      <c r="A8459" s="4" t="s">
        <v>10645</v>
      </c>
      <c r="B8459" s="4" t="s">
        <v>10646</v>
      </c>
      <c r="C8459" s="5" t="str">
        <f>IFERROR(__xludf.DUMMYFUNCTION("GOOGLETRANSLATE(B8459,""en"",""it"")"),"Un uomo è in piedi in una stanza con in mano un grande strumento.")</f>
        <v>Un uomo è in piedi in una stanza con in mano un grande strumento.</v>
      </c>
    </row>
    <row r="8460">
      <c r="A8460" s="4" t="s">
        <v>10645</v>
      </c>
      <c r="B8460" s="4" t="s">
        <v>10647</v>
      </c>
      <c r="C8460" s="5" t="str">
        <f>IFERROR(__xludf.DUMMYFUNCTION("GOOGLETRANSLATE(B8460,""en"",""it"")"),"Comincia a suonare lo strumento dietro un microfono.")</f>
        <v>Comincia a suonare lo strumento dietro un microfono.</v>
      </c>
    </row>
    <row r="8461">
      <c r="A8461" s="4" t="s">
        <v>10645</v>
      </c>
      <c r="B8461" s="4" t="s">
        <v>10648</v>
      </c>
      <c r="C8461" s="5" t="str">
        <f>IFERROR(__xludf.DUMMYFUNCTION("GOOGLETRANSLATE(B8461,""en"",""it"")"),"Un uomo con una camicia verde sta parlando in un microfono.")</f>
        <v>Un uomo con una camicia verde sta parlando in un microfono.</v>
      </c>
    </row>
    <row r="8462">
      <c r="A8462" s="4" t="s">
        <v>10649</v>
      </c>
      <c r="B8462" s="4" t="s">
        <v>10650</v>
      </c>
      <c r="C8462" s="5" t="str">
        <f>IFERROR(__xludf.DUMMYFUNCTION("GOOGLETRANSLATE(B8462,""en"",""it"")"),"Sembra che questa sia una lingua araba che viene scritta o qualcosa del genere.")</f>
        <v>Sembra che questa sia una lingua araba che viene scritta o qualcosa del genere.</v>
      </c>
    </row>
    <row r="8463">
      <c r="A8463" s="4" t="s">
        <v>10649</v>
      </c>
      <c r="B8463" s="4" t="s">
        <v>10651</v>
      </c>
      <c r="C8463" s="5" t="str">
        <f>IFERROR(__xludf.DUMMYFUNCTION("GOOGLETRANSLATE(B8463,""en"",""it"")"),"Poi su un campo ci sono uomini che giocano una partita che lanciano la palla.")</f>
        <v>Poi su un campo ci sono uomini che giocano una partita che lanciano la palla.</v>
      </c>
    </row>
    <row r="8464">
      <c r="A8464" s="4" t="s">
        <v>10649</v>
      </c>
      <c r="B8464" s="4" t="s">
        <v>10652</v>
      </c>
      <c r="C8464" s="5" t="str">
        <f>IFERROR(__xludf.DUMMYFUNCTION("GOOGLETRANSLATE(B8464,""en"",""it"")"),"Alcuni allenatori stanno camminando con cappelli per tenere il sole fuori dagli occhi.")</f>
        <v>Alcuni allenatori stanno camminando con cappelli per tenere il sole fuori dagli occhi.</v>
      </c>
    </row>
    <row r="8465">
      <c r="A8465" s="4" t="s">
        <v>10649</v>
      </c>
      <c r="B8465" s="4" t="s">
        <v>10653</v>
      </c>
      <c r="C8465" s="5" t="str">
        <f>IFERROR(__xludf.DUMMYFUNCTION("GOOGLETRANSLATE(B8465,""en"",""it"")"),"Il gioco sembra piuttosto intenso, un uomo mette tutte le sue forze in uno dei tiri che fa.")</f>
        <v>Il gioco sembra piuttosto intenso, un uomo mette tutte le sue forze in uno dei tiri che fa.</v>
      </c>
    </row>
    <row r="8466">
      <c r="A8466" s="4" t="s">
        <v>10654</v>
      </c>
      <c r="B8466" s="6" t="s">
        <v>10655</v>
      </c>
      <c r="C8466" s="5" t="str">
        <f>IFERROR(__xludf.DUMMYFUNCTION("GOOGLETRANSLATE(B8466,""en"",""it"")"),"La scena viene messa a fuoco che mostra l'esterno di un edificio, con un po 'di testo in fondo che dice che è una scuola per la rottura.")</f>
        <v>La scena viene messa a fuoco che mostra l'esterno di un edificio, con un po 'di testo in fondo che dice che è una scuola per la rottura.</v>
      </c>
    </row>
    <row r="8467">
      <c r="A8467" s="4" t="s">
        <v>10654</v>
      </c>
      <c r="B8467" s="6" t="s">
        <v>10656</v>
      </c>
      <c r="C8467" s="5" t="str">
        <f>IFERROR(__xludf.DUMMYFUNCTION("GOOGLETRANSLATE(B8467,""en"",""it"")"),"Un uomo sta facendo dei documenti mentre altri uomini sono in piedi sullo sfondo accanto a uno schermo del proiettore.")</f>
        <v>Un uomo sta facendo dei documenti mentre altri uomini sono in piedi sullo sfondo accanto a uno schermo del proiettore.</v>
      </c>
    </row>
    <row r="8468">
      <c r="A8468" s="4" t="s">
        <v>10654</v>
      </c>
      <c r="B8468" s="4" t="s">
        <v>10657</v>
      </c>
      <c r="C8468" s="5" t="str">
        <f>IFERROR(__xludf.DUMMYFUNCTION("GOOGLETRANSLATE(B8468,""en"",""it"")"),"Un gran numero di bambini all'interno di una palestra si esercitano a breakdance.")</f>
        <v>Un gran numero di bambini all'interno di una palestra si esercitano a breakdance.</v>
      </c>
    </row>
    <row r="8469">
      <c r="A8469" s="4" t="s">
        <v>10654</v>
      </c>
      <c r="B8469" s="4" t="s">
        <v>10658</v>
      </c>
      <c r="C8469" s="5" t="str">
        <f>IFERROR(__xludf.DUMMYFUNCTION("GOOGLETRANSLATE(B8469,""en"",""it"")"),"I bambini sono in una classe a guardare una presentazione dell'uomo visto in precedenza.")</f>
        <v>I bambini sono in una classe a guardare una presentazione dell'uomo visto in precedenza.</v>
      </c>
    </row>
    <row r="8470">
      <c r="A8470" s="4" t="s">
        <v>10654</v>
      </c>
      <c r="B8470" s="4" t="s">
        <v>10659</v>
      </c>
      <c r="C8470" s="5" t="str">
        <f>IFERROR(__xludf.DUMMYFUNCTION("GOOGLETRANSLATE(B8470,""en"",""it"")"),"I bambini sono visti ancora una volta in palestra che praticano le loro mosse di rottura.")</f>
        <v>I bambini sono visti ancora una volta in palestra che praticano le loro mosse di rottura.</v>
      </c>
    </row>
    <row r="8471">
      <c r="A8471" s="4" t="s">
        <v>10654</v>
      </c>
      <c r="B8471" s="6" t="s">
        <v>10660</v>
      </c>
      <c r="C8471" s="5" t="str">
        <f>IFERROR(__xludf.DUMMYFUNCTION("GOOGLETRANSLATE(B8471,""en"",""it"")"),"Lo schermo diventa nero e un grafico appare sullo schermo che mostra le informazioni sul logo e sul canale YouTube dell'azienda.")</f>
        <v>Lo schermo diventa nero e un grafico appare sullo schermo che mostra le informazioni sul logo e sul canale YouTube dell'azienda.</v>
      </c>
    </row>
    <row r="8472">
      <c r="A8472" s="4" t="s">
        <v>10661</v>
      </c>
      <c r="B8472" s="4" t="s">
        <v>10662</v>
      </c>
      <c r="C8472" s="5" t="str">
        <f>IFERROR(__xludf.DUMMYFUNCTION("GOOGLETRANSLATE(B8472,""en"",""it"")"),"Un ragazzo su un cavallo viene rilasciato da un cancello.")</f>
        <v>Un ragazzo su un cavallo viene rilasciato da un cancello.</v>
      </c>
    </row>
    <row r="8473">
      <c r="A8473" s="4" t="s">
        <v>10661</v>
      </c>
      <c r="B8473" s="4" t="s">
        <v>10663</v>
      </c>
      <c r="C8473" s="5" t="str">
        <f>IFERROR(__xludf.DUMMYFUNCTION("GOOGLETRANSLATE(B8473,""en"",""it"")"),"Stringe un vitello, trascinandolo a terra.")</f>
        <v>Stringe un vitello, trascinandolo a terra.</v>
      </c>
    </row>
    <row r="8474">
      <c r="A8474" s="4" t="s">
        <v>10661</v>
      </c>
      <c r="B8474" s="4" t="s">
        <v>10664</v>
      </c>
      <c r="C8474" s="5" t="str">
        <f>IFERROR(__xludf.DUMMYFUNCTION("GOOGLETRANSLATE(B8474,""en"",""it"")"),"Smonta, legando il vitello con la corda prima di tornare a cavallo.")</f>
        <v>Smonta, legando il vitello con la corda prima di tornare a cavallo.</v>
      </c>
    </row>
    <row r="8475">
      <c r="A8475" s="4" t="s">
        <v>10665</v>
      </c>
      <c r="B8475" s="4" t="s">
        <v>10666</v>
      </c>
      <c r="C8475" s="5" t="str">
        <f>IFERROR(__xludf.DUMMYFUNCTION("GOOGLETRANSLATE(B8475,""en"",""it"")"),"Un'introduzione conduce in un bambino piccolo che cavalca una bici da terra su un sentiero sterrato.")</f>
        <v>Un'introduzione conduce in un bambino piccolo che cavalca una bici da terra su un sentiero sterrato.</v>
      </c>
    </row>
    <row r="8476">
      <c r="A8476" s="4" t="s">
        <v>10665</v>
      </c>
      <c r="B8476" s="6" t="s">
        <v>10667</v>
      </c>
      <c r="C8476" s="5" t="str">
        <f>IFERROR(__xludf.DUMMYFUNCTION("GOOGLETRANSLATE(B8476,""en"",""it"")"),"Diversi scatti del ragazzo cresciuti sono mostrati seguiti da più filmati del ragazzo che cavalca una bici da terra.")</f>
        <v>Diversi scatti del ragazzo cresciuti sono mostrati seguiti da più filmati del ragazzo che cavalca una bici da terra.</v>
      </c>
    </row>
    <row r="8477">
      <c r="A8477" s="4" t="s">
        <v>10668</v>
      </c>
      <c r="B8477" s="4" t="s">
        <v>10669</v>
      </c>
      <c r="C8477" s="5" t="str">
        <f>IFERROR(__xludf.DUMMYFUNCTION("GOOGLETRANSLATE(B8477,""en"",""it"")"),"Vediamo una folla di persone che guardano un evento.")</f>
        <v>Vediamo una folla di persone che guardano un evento.</v>
      </c>
    </row>
    <row r="8478">
      <c r="A8478" s="4" t="s">
        <v>10668</v>
      </c>
      <c r="B8478" s="4" t="s">
        <v>10670</v>
      </c>
      <c r="C8478" s="5" t="str">
        <f>IFERROR(__xludf.DUMMYFUNCTION("GOOGLETRANSLATE(B8478,""en"",""it"")"),"Gli uomini giocano con una maniglia di metallo.")</f>
        <v>Gli uomini giocano con una maniglia di metallo.</v>
      </c>
    </row>
    <row r="8479">
      <c r="A8479" s="4" t="s">
        <v>10668</v>
      </c>
      <c r="B8479" s="4" t="s">
        <v>10671</v>
      </c>
      <c r="C8479" s="5" t="str">
        <f>IFERROR(__xludf.DUMMYFUNCTION("GOOGLETRANSLATE(B8479,""en"",""it"")"),"Si tengono per mano in preparazione per la partita e il giudice tocca le mani.")</f>
        <v>Si tengono per mano in preparazione per la partita e il giudice tocca le mani.</v>
      </c>
    </row>
    <row r="8480">
      <c r="A8480" s="4" t="s">
        <v>10668</v>
      </c>
      <c r="B8480" s="4" t="s">
        <v>10672</v>
      </c>
      <c r="C8480" s="5" t="str">
        <f>IFERROR(__xludf.DUMMYFUNCTION("GOOGLETRANSLATE(B8480,""en"",""it"")"),"Gli uomini iniziano la loro partita di wrestling del braccio e il ragazzo a destra vince.")</f>
        <v>Gli uomini iniziano la loro partita di wrestling del braccio e il ragazzo a destra vince.</v>
      </c>
    </row>
    <row r="8481">
      <c r="A8481" s="4" t="s">
        <v>10668</v>
      </c>
      <c r="B8481" s="4" t="s">
        <v>10673</v>
      </c>
      <c r="C8481" s="5" t="str">
        <f>IFERROR(__xludf.DUMMYFUNCTION("GOOGLETRANSLATE(B8481,""en"",""it"")"),"I ragazzi si stringono la mano e si abbracciano.")</f>
        <v>I ragazzi si stringono la mano e si abbracciano.</v>
      </c>
    </row>
    <row r="8482">
      <c r="A8482" s="4" t="s">
        <v>10668</v>
      </c>
      <c r="B8482" s="4" t="s">
        <v>10674</v>
      </c>
      <c r="C8482" s="5" t="str">
        <f>IFERROR(__xludf.DUMMYFUNCTION("GOOGLETRANSLATE(B8482,""en"",""it"")"),"Vediamo uno scatto di uno dei concorrenti.")</f>
        <v>Vediamo uno scatto di uno dei concorrenti.</v>
      </c>
    </row>
    <row r="8483">
      <c r="A8483" s="4" t="s">
        <v>10675</v>
      </c>
      <c r="B8483" s="4" t="s">
        <v>10676</v>
      </c>
      <c r="C8483" s="5" t="str">
        <f>IFERROR(__xludf.DUMMYFUNCTION("GOOGLETRANSLATE(B8483,""en"",""it"")"),"Due uomini stanno giocando a una palla racchetta in un campo da interno.")</f>
        <v>Due uomini stanno giocando a una palla racchetta in un campo da interno.</v>
      </c>
    </row>
    <row r="8484">
      <c r="A8484" s="4" t="s">
        <v>10675</v>
      </c>
      <c r="B8484" s="4" t="s">
        <v>10677</v>
      </c>
      <c r="C8484" s="5" t="str">
        <f>IFERROR(__xludf.DUMMYFUNCTION("GOOGLETRANSLATE(B8484,""en"",""it"")"),"I due uomini, uno in nero e l'altro in una camicia rossa che gioca una palla a racchetta l'uno contro l'altro.")</f>
        <v>I due uomini, uno in nero e l'altro in una camicia rossa che gioca una palla a racchetta l'uno contro l'altro.</v>
      </c>
    </row>
    <row r="8485">
      <c r="A8485" s="4" t="s">
        <v>10675</v>
      </c>
      <c r="B8485" s="4" t="s">
        <v>10678</v>
      </c>
      <c r="C8485" s="5" t="str">
        <f>IFERROR(__xludf.DUMMYFUNCTION("GOOGLETRANSLATE(B8485,""en"",""it"")"),"L'uomo in nero inizia il primo servizio e l'uomo nella camicia rossa restituisce il suo servizio.")</f>
        <v>L'uomo in nero inizia il primo servizio e l'uomo nella camicia rossa restituisce il suo servizio.</v>
      </c>
    </row>
    <row r="8486">
      <c r="A8486" s="4" t="s">
        <v>10675</v>
      </c>
      <c r="B8486" s="4" t="s">
        <v>10679</v>
      </c>
      <c r="C8486" s="5" t="str">
        <f>IFERROR(__xludf.DUMMYFUNCTION("GOOGLETRANSLATE(B8486,""en"",""it"")"),"Continuano a giocare a Racket Ball.")</f>
        <v>Continuano a giocare a Racket Ball.</v>
      </c>
    </row>
    <row r="8487">
      <c r="A8487" s="4" t="s">
        <v>10675</v>
      </c>
      <c r="B8487" s="6" t="s">
        <v>10680</v>
      </c>
      <c r="C8487" s="5" t="str">
        <f>IFERROR(__xludf.DUMMYFUNCTION("GOOGLETRANSLATE(B8487,""en"",""it"")"),"Quindi gli stessi giocatori giocano a una palla racchetta in un'occasione diversa indossando il nero e l'altra indossando una camicia gialla.")</f>
        <v>Quindi gli stessi giocatori giocano a una palla racchetta in un'occasione diversa indossando il nero e l'altra indossando una camicia gialla.</v>
      </c>
    </row>
    <row r="8488">
      <c r="A8488" s="4" t="s">
        <v>10675</v>
      </c>
      <c r="B8488" s="4" t="s">
        <v>10681</v>
      </c>
      <c r="C8488" s="5" t="str">
        <f>IFERROR(__xludf.DUMMYFUNCTION("GOOGLETRANSLATE(B8488,""en"",""it"")"),"Continuano a servire e colpire la palla contro il muro.")</f>
        <v>Continuano a servire e colpire la palla contro il muro.</v>
      </c>
    </row>
    <row r="8489">
      <c r="A8489" s="4" t="s">
        <v>10675</v>
      </c>
      <c r="B8489" s="4" t="s">
        <v>10682</v>
      </c>
      <c r="C8489" s="5" t="str">
        <f>IFERROR(__xludf.DUMMYFUNCTION("GOOGLETRANSLATE(B8489,""en"",""it"")"),"Giocano diversi round sul gioco.")</f>
        <v>Giocano diversi round sul gioco.</v>
      </c>
    </row>
    <row r="8490">
      <c r="A8490" s="4" t="s">
        <v>10675</v>
      </c>
      <c r="B8490" s="4" t="s">
        <v>10683</v>
      </c>
      <c r="C8490" s="5" t="str">
        <f>IFERROR(__xludf.DUMMYFUNCTION("GOOGLETRANSLATE(B8490,""en"",""it"")"),"Sono tornati di nuovo nelle camicie rosse e nere che giocano a una palla racchetta.")</f>
        <v>Sono tornati di nuovo nelle camicie rosse e nere che giocano a una palla racchetta.</v>
      </c>
    </row>
    <row r="8491">
      <c r="A8491" s="4" t="s">
        <v>10675</v>
      </c>
      <c r="B8491" s="4" t="s">
        <v>10684</v>
      </c>
      <c r="C8491" s="5" t="str">
        <f>IFERROR(__xludf.DUMMYFUNCTION("GOOGLETRANSLATE(B8491,""en"",""it"")"),"Corrono per colpire e la palla servita dall'avversario mentre continuano a giocare.")</f>
        <v>Corrono per colpire e la palla servita dall'avversario mentre continuano a giocare.</v>
      </c>
    </row>
    <row r="8492">
      <c r="A8492" s="4" t="s">
        <v>10685</v>
      </c>
      <c r="B8492" s="4" t="s">
        <v>10686</v>
      </c>
      <c r="C8492" s="5" t="str">
        <f>IFERROR(__xludf.DUMMYFUNCTION("GOOGLETRANSLATE(B8492,""en"",""it"")"),"Una ragazza dà consigli su come lavarsi i capelli con una spazzola rotonda.")</f>
        <v>Una ragazza dà consigli su come lavarsi i capelli con una spazzola rotonda.</v>
      </c>
    </row>
    <row r="8493">
      <c r="A8493" s="4" t="s">
        <v>10685</v>
      </c>
      <c r="B8493" s="4" t="s">
        <v>10687</v>
      </c>
      <c r="C8493" s="5" t="str">
        <f>IFERROR(__xludf.DUMMYFUNCTION("GOOGLETRANSLATE(B8493,""en"",""it"")"),"Accenda i capelli di fronte a lei, coprendosi il viso.")</f>
        <v>Accenda i capelli di fronte a lei, coprendosi il viso.</v>
      </c>
    </row>
    <row r="8494">
      <c r="A8494" s="4" t="s">
        <v>10685</v>
      </c>
      <c r="B8494" s="4" t="s">
        <v>10688</v>
      </c>
      <c r="C8494" s="5" t="str">
        <f>IFERROR(__xludf.DUMMYFUNCTION("GOOGLETRANSLATE(B8494,""en"",""it"")"),"Si gira i capelli e poi finisce ciò che deve fare.")</f>
        <v>Si gira i capelli e poi finisce ciò che deve fare.</v>
      </c>
    </row>
    <row r="8495">
      <c r="A8495" s="4" t="s">
        <v>10689</v>
      </c>
      <c r="B8495" s="4" t="s">
        <v>10690</v>
      </c>
      <c r="C8495" s="5" t="str">
        <f>IFERROR(__xludf.DUMMYFUNCTION("GOOGLETRANSLATE(B8495,""en"",""it"")"),"Vediamo un uomo dare a una signora una rosa.")</f>
        <v>Vediamo un uomo dare a una signora una rosa.</v>
      </c>
    </row>
    <row r="8496">
      <c r="A8496" s="4" t="s">
        <v>10689</v>
      </c>
      <c r="B8496" s="4" t="s">
        <v>10691</v>
      </c>
      <c r="C8496" s="5" t="str">
        <f>IFERROR(__xludf.DUMMYFUNCTION("GOOGLETRANSLATE(B8496,""en"",""it"")"),"L'uomo e la donna si esibiscono quindi davanti a una folla.")</f>
        <v>L'uomo e la donna si esibiscono quindi davanti a una folla.</v>
      </c>
    </row>
    <row r="8497">
      <c r="A8497" s="4" t="s">
        <v>10689</v>
      </c>
      <c r="B8497" s="4" t="s">
        <v>10692</v>
      </c>
      <c r="C8497" s="5" t="str">
        <f>IFERROR(__xludf.DUMMYFUNCTION("GOOGLETRANSLATE(B8497,""en"",""it"")"),"35 L'uomo gira la signora facendo il suo vestito che si diffonde e si guarda il petto.")</f>
        <v>35 L'uomo gira la signora facendo il suo vestito che si diffonde e si guarda il petto.</v>
      </c>
    </row>
    <row r="8498">
      <c r="A8498" s="4" t="s">
        <v>10689</v>
      </c>
      <c r="B8498" s="4" t="s">
        <v>10693</v>
      </c>
      <c r="C8498" s="5" t="str">
        <f>IFERROR(__xludf.DUMMYFUNCTION("GOOGLETRANSLATE(B8498,""en"",""it"")"),"La danza si ripete ancora e ancora molte volte.")</f>
        <v>La danza si ripete ancora e ancora molte volte.</v>
      </c>
    </row>
    <row r="8499">
      <c r="A8499" s="4" t="s">
        <v>10689</v>
      </c>
      <c r="B8499" s="6" t="s">
        <v>10694</v>
      </c>
      <c r="C8499" s="5" t="str">
        <f>IFERROR(__xludf.DUMMYFUNCTION("GOOGLETRANSLATE(B8499,""en"",""it"")"),"L'uomo si piega la donna in avanti che guarda il petto due volte e quasi le mette la mano sul collo.")</f>
        <v>L'uomo si piega la donna in avanti che guarda il petto due volte e quasi le mette la mano sul collo.</v>
      </c>
    </row>
    <row r="8500">
      <c r="A8500" s="4" t="s">
        <v>10695</v>
      </c>
      <c r="B8500" s="4" t="s">
        <v>10696</v>
      </c>
      <c r="C8500" s="5" t="str">
        <f>IFERROR(__xludf.DUMMYFUNCTION("GOOGLETRANSLATE(B8500,""en"",""it"")"),"Un uomo di colore gli accarezza la barba e il viso in modo amorevole.")</f>
        <v>Un uomo di colore gli accarezza la barba e il viso in modo amorevole.</v>
      </c>
    </row>
    <row r="8501">
      <c r="A8501" s="4" t="s">
        <v>10695</v>
      </c>
      <c r="B8501" s="4" t="s">
        <v>10697</v>
      </c>
      <c r="C8501" s="5" t="str">
        <f>IFERROR(__xludf.DUMMYFUNCTION("GOOGLETRANSLATE(B8501,""en"",""it"")"),"L'uomo nero usa un trimmer di clipper per tagliare la barba e la faccia.")</f>
        <v>L'uomo nero usa un trimmer di clipper per tagliare la barba e la faccia.</v>
      </c>
    </row>
    <row r="8502">
      <c r="A8502" s="4" t="s">
        <v>10695</v>
      </c>
      <c r="B8502" s="4" t="s">
        <v>10698</v>
      </c>
      <c r="C8502" s="5" t="str">
        <f>IFERROR(__xludf.DUMMYFUNCTION("GOOGLETRANSLATE(B8502,""en"",""it"")"),"L'uomo di colore attacca un attaccamento arancione ai Clippers e continua a tagliare la barba.")</f>
        <v>L'uomo di colore attacca un attaccamento arancione ai Clippers e continua a tagliare la barba.</v>
      </c>
    </row>
    <row r="8503">
      <c r="A8503" s="4" t="s">
        <v>10695</v>
      </c>
      <c r="B8503" s="6" t="s">
        <v>10699</v>
      </c>
      <c r="C8503" s="5" t="str">
        <f>IFERROR(__xludf.DUMMYFUNCTION("GOOGLETRANSLATE(B8503,""en"",""it"")"),"L'uomo nero si lava il viso e la barba e mostra una serie di accessori e li applica al viso e alla barba.")</f>
        <v>L'uomo nero si lava il viso e la barba e mostra una serie di accessori e li applica al viso e alla barba.</v>
      </c>
    </row>
    <row r="8504">
      <c r="A8504" s="4" t="s">
        <v>10700</v>
      </c>
      <c r="B8504" s="6" t="s">
        <v>10701</v>
      </c>
      <c r="C8504" s="5" t="str">
        <f>IFERROR(__xludf.DUMMYFUNCTION("GOOGLETRANSLATE(B8504,""en"",""it"")"),"Viene visto un folto gruppo di persone che vagano per un festival con scatti di persone che parlano e suonano all'uncinetto.")</f>
        <v>Viene visto un folto gruppo di persone che vagano per un festival con scatti di persone che parlano e suonano all'uncinetto.</v>
      </c>
    </row>
    <row r="8505">
      <c r="A8505" s="4" t="s">
        <v>10700</v>
      </c>
      <c r="B8505" s="4" t="s">
        <v>10702</v>
      </c>
      <c r="C8505" s="5" t="str">
        <f>IFERROR(__xludf.DUMMYFUNCTION("GOOGLETRANSLATE(B8505,""en"",""it"")"),"Si vedono più persone a giocare mentre molti altri guardano a margine e critica.")</f>
        <v>Si vedono più persone a giocare mentre molti altri guardano a margine e critica.</v>
      </c>
    </row>
    <row r="8506">
      <c r="A8506" s="4" t="s">
        <v>10703</v>
      </c>
      <c r="B8506" s="4" t="s">
        <v>10704</v>
      </c>
      <c r="C8506" s="5" t="str">
        <f>IFERROR(__xludf.DUMMYFUNCTION("GOOGLETRANSLATE(B8506,""en"",""it"")"),"Una persona che indossa una camicia blu è seduta sulla saldatura sul pavimento.")</f>
        <v>Una persona che indossa una camicia blu è seduta sulla saldatura sul pavimento.</v>
      </c>
    </row>
    <row r="8507">
      <c r="A8507" s="4" t="s">
        <v>10703</v>
      </c>
      <c r="B8507" s="4" t="s">
        <v>10705</v>
      </c>
      <c r="C8507" s="5" t="str">
        <f>IFERROR(__xludf.DUMMYFUNCTION("GOOGLETRANSLATE(B8507,""en"",""it"")"),"Indossa attrezzature protettive per coprirsi il viso e gli occhi.")</f>
        <v>Indossa attrezzature protettive per coprirsi il viso e gli occhi.</v>
      </c>
    </row>
    <row r="8508">
      <c r="A8508" s="4" t="s">
        <v>10703</v>
      </c>
      <c r="B8508" s="4" t="s">
        <v>10706</v>
      </c>
      <c r="C8508" s="5" t="str">
        <f>IFERROR(__xludf.DUMMYFUNCTION("GOOGLETRANSLATE(B8508,""en"",""it"")"),"Ha anche guanti protettivi che sono di colore marrone.")</f>
        <v>Ha anche guanti protettivi che sono di colore marrone.</v>
      </c>
    </row>
    <row r="8509">
      <c r="A8509" s="4" t="s">
        <v>10703</v>
      </c>
      <c r="B8509" s="4" t="s">
        <v>10707</v>
      </c>
      <c r="C8509" s="5" t="str">
        <f>IFERROR(__xludf.DUMMYFUNCTION("GOOGLETRANSLATE(B8509,""en"",""it"")"),"Continua a saldare una lunga asta di metallo con strumento di saldatura diretto verso l'asta.")</f>
        <v>Continua a saldare una lunga asta di metallo con strumento di saldatura diretto verso l'asta.</v>
      </c>
    </row>
    <row r="8510">
      <c r="A8510" s="4" t="s">
        <v>10708</v>
      </c>
      <c r="B8510" s="4" t="s">
        <v>10709</v>
      </c>
      <c r="C8510" s="5" t="str">
        <f>IFERROR(__xludf.DUMMYFUNCTION("GOOGLETRANSLATE(B8510,""en"",""it"")"),"Un grande pezzo di macchinari è visto seduto in una stanza.")</f>
        <v>Un grande pezzo di macchinari è visto seduto in una stanza.</v>
      </c>
    </row>
    <row r="8511">
      <c r="A8511" s="4" t="s">
        <v>10708</v>
      </c>
      <c r="B8511" s="4" t="s">
        <v>10710</v>
      </c>
      <c r="C8511" s="5" t="str">
        <f>IFERROR(__xludf.DUMMYFUNCTION("GOOGLETRANSLATE(B8511,""en"",""it"")"),"Un braccio robot si muove quindi nel telaio tentando di spingere le cose.")</f>
        <v>Un braccio robot si muove quindi nel telaio tentando di spingere le cose.</v>
      </c>
    </row>
    <row r="8512">
      <c r="A8512" s="4" t="s">
        <v>10708</v>
      </c>
      <c r="B8512" s="4" t="s">
        <v>10711</v>
      </c>
      <c r="C8512" s="5" t="str">
        <f>IFERROR(__xludf.DUMMYFUNCTION("GOOGLETRANSLATE(B8512,""en"",""it"")"),"Il robot fallisce e tira indietro il braccio.")</f>
        <v>Il robot fallisce e tira indietro il braccio.</v>
      </c>
    </row>
    <row r="8513">
      <c r="A8513" s="4" t="s">
        <v>10712</v>
      </c>
      <c r="B8513" s="4" t="s">
        <v>1664</v>
      </c>
      <c r="C8513" s="5" t="str">
        <f>IFERROR(__xludf.DUMMYFUNCTION("GOOGLETRANSLATE(B8513,""en"",""it"")"),"Un uomo e una donna parlano con la telecamera in un telegiornale.")</f>
        <v>Un uomo e una donna parlano con la telecamera in un telegiornale.</v>
      </c>
    </row>
    <row r="8514">
      <c r="A8514" s="4" t="s">
        <v>10712</v>
      </c>
      <c r="B8514" s="4" t="s">
        <v>10713</v>
      </c>
      <c r="C8514" s="5" t="str">
        <f>IFERROR(__xludf.DUMMYFUNCTION("GOOGLETRANSLATE(B8514,""en"",""it"")"),"La scena passa a varie persone che si allenano in ginnastica.")</f>
        <v>La scena passa a varie persone che si allenano in ginnastica.</v>
      </c>
    </row>
    <row r="8515">
      <c r="A8515" s="4" t="s">
        <v>10712</v>
      </c>
      <c r="B8515" s="4" t="s">
        <v>10714</v>
      </c>
      <c r="C8515" s="5" t="str">
        <f>IFERROR(__xludf.DUMMYFUNCTION("GOOGLETRANSLATE(B8515,""en"",""it"")"),"Due donne vengono intervistate in sequenza sulla telecamera.")</f>
        <v>Due donne vengono intervistate in sequenza sulla telecamera.</v>
      </c>
    </row>
    <row r="8516">
      <c r="A8516" s="4" t="s">
        <v>10712</v>
      </c>
      <c r="B8516" s="4" t="s">
        <v>10715</v>
      </c>
      <c r="C8516" s="5" t="str">
        <f>IFERROR(__xludf.DUMMYFUNCTION("GOOGLETRANSLATE(B8516,""en"",""it"")"),"La scena passa a più segmenti di pratica ginnastica.")</f>
        <v>La scena passa a più segmenti di pratica ginnastica.</v>
      </c>
    </row>
    <row r="8517">
      <c r="A8517" s="4" t="s">
        <v>10716</v>
      </c>
      <c r="B8517" s="4" t="s">
        <v>10717</v>
      </c>
      <c r="C8517" s="5" t="str">
        <f>IFERROR(__xludf.DUMMYFUNCTION("GOOGLETRANSLATE(B8517,""en"",""it"")"),"Una coppia di manubri viene staccata dalla bici e si sdraia in piano su un tavolo.")</f>
        <v>Una coppia di manubri viene staccata dalla bici e si sdraia in piano su un tavolo.</v>
      </c>
    </row>
    <row r="8518">
      <c r="A8518" s="4" t="s">
        <v>10716</v>
      </c>
      <c r="B8518" s="6" t="s">
        <v>10718</v>
      </c>
      <c r="C8518" s="5" t="str">
        <f>IFERROR(__xludf.DUMMYFUNCTION("GOOGLETRANSLATE(B8518,""en"",""it"")"),"L'uomo quindi raccoglie il manubrio e li toglie di nuovo nella bici stringendoli con una chiave.")</f>
        <v>L'uomo quindi raccoglie il manubrio e li toglie di nuovo nella bici stringendoli con una chiave.</v>
      </c>
    </row>
    <row r="8519">
      <c r="A8519" s="4" t="s">
        <v>10719</v>
      </c>
      <c r="B8519" s="6" t="s">
        <v>10720</v>
      </c>
      <c r="C8519" s="5" t="str">
        <f>IFERROR(__xludf.DUMMYFUNCTION("GOOGLETRANSLATE(B8519,""en"",""it"")"),"Si vede una persona che tratta di carte e diversi scatti di un tavolo da casinò e chip di poker.")</f>
        <v>Si vede una persona che tratta di carte e diversi scatti di un tavolo da casinò e chip di poker.</v>
      </c>
    </row>
    <row r="8520">
      <c r="A8520" s="4" t="s">
        <v>10719</v>
      </c>
      <c r="B8520" s="6" t="s">
        <v>10721</v>
      </c>
      <c r="C8520" s="5" t="str">
        <f>IFERROR(__xludf.DUMMYFUNCTION("GOOGLETRANSLATE(B8520,""en"",""it"")"),"Una band suona, una persona viene vista fumare una sigaretta, così come le persone che bartendano e parlano tra loro.")</f>
        <v>Una band suona, una persona viene vista fumare una sigaretta, così come le persone che bartendano e parlano tra loro.</v>
      </c>
    </row>
    <row r="8521">
      <c r="A8521" s="4" t="s">
        <v>10719</v>
      </c>
      <c r="B8521" s="4" t="s">
        <v>10722</v>
      </c>
      <c r="C8521" s="5" t="str">
        <f>IFERROR(__xludf.DUMMYFUNCTION("GOOGLETRANSLATE(B8521,""en"",""it"")"),"Alla fine si vedono più persone che si godono il casinò e si muovono.")</f>
        <v>Alla fine si vedono più persone che si godono il casinò e si muovono.</v>
      </c>
    </row>
    <row r="8522">
      <c r="A8522" s="4" t="s">
        <v>10723</v>
      </c>
      <c r="B8522" s="6" t="s">
        <v>10724</v>
      </c>
      <c r="C8522" s="5" t="str">
        <f>IFERROR(__xludf.DUMMYFUNCTION("GOOGLETRANSLATE(B8522,""en"",""it"")"),"Un uomo bendato che indossa guanti da boxe viene visto colpire un sacchetto da boxe mentre molti lo guardano sui lati.")</f>
        <v>Un uomo bendato che indossa guanti da boxe viene visto colpire un sacchetto da boxe mentre molti lo guardano sui lati.</v>
      </c>
    </row>
    <row r="8523">
      <c r="A8523" s="4" t="s">
        <v>10723</v>
      </c>
      <c r="B8523" s="4" t="s">
        <v>10725</v>
      </c>
      <c r="C8523" s="5" t="str">
        <f>IFERROR(__xludf.DUMMYFUNCTION("GOOGLETRANSLATE(B8523,""en"",""it"")"),"Continua a prendere a pugni quando una persona sul tetto tira più in alto la borsa.")</f>
        <v>Continua a prendere a pugni quando una persona sul tetto tira più in alto la borsa.</v>
      </c>
    </row>
    <row r="8524">
      <c r="A8524" s="4" t="s">
        <v>10726</v>
      </c>
      <c r="B8524" s="4" t="s">
        <v>10727</v>
      </c>
      <c r="C8524" s="5" t="str">
        <f>IFERROR(__xludf.DUMMYFUNCTION("GOOGLETRANSLATE(B8524,""en"",""it"")"),"Un camion è visto parcheggiato di fronte a una casa con diversi colpi della casa mostrati.")</f>
        <v>Un camion è visto parcheggiato di fronte a una casa con diversi colpi della casa mostrati.</v>
      </c>
    </row>
    <row r="8525">
      <c r="A8525" s="4" t="s">
        <v>10726</v>
      </c>
      <c r="B8525" s="6" t="s">
        <v>10728</v>
      </c>
      <c r="C8525" s="5" t="str">
        <f>IFERROR(__xludf.DUMMYFUNCTION("GOOGLETRANSLATE(B8525,""en"",""it"")"),"Viene quindi visto un uomo in piedi sul tetto che pone in cima e di nuovo in piedi davanti alla casa annaffiato.")</f>
        <v>Viene quindi visto un uomo in piedi sul tetto che pone in cima e di nuovo in piedi davanti alla casa annaffiato.</v>
      </c>
    </row>
    <row r="8526">
      <c r="A8526" s="4" t="s">
        <v>10726</v>
      </c>
      <c r="B8526" s="4" t="s">
        <v>10729</v>
      </c>
      <c r="C8526" s="5" t="str">
        <f>IFERROR(__xludf.DUMMYFUNCTION("GOOGLETRANSLATE(B8526,""en"",""it"")"),"La fotocamera mostra di nuovo il camion parcheggiato davanti e il prodotto finale del tetto.")</f>
        <v>La fotocamera mostra di nuovo il camion parcheggiato davanti e il prodotto finale del tetto.</v>
      </c>
    </row>
    <row r="8527">
      <c r="A8527" s="4" t="s">
        <v>10730</v>
      </c>
      <c r="B8527" s="4" t="s">
        <v>10731</v>
      </c>
      <c r="C8527" s="5" t="str">
        <f>IFERROR(__xludf.DUMMYFUNCTION("GOOGLETRANSLATE(B8527,""en"",""it"")"),"Una donna in un abito viola è seduta, parlando alla telecamera.")</f>
        <v>Una donna in un abito viola è seduta, parlando alla telecamera.</v>
      </c>
    </row>
    <row r="8528">
      <c r="A8528" s="4" t="s">
        <v>10730</v>
      </c>
      <c r="B8528" s="6" t="s">
        <v>10732</v>
      </c>
      <c r="C8528" s="5" t="str">
        <f>IFERROR(__xludf.DUMMYFUNCTION("GOOGLETRANSLATE(B8528,""en"",""it"")"),"Le viene mostrata la crema di massaggi in faccia, quindi sciacquarla con acqua e asciugare con un asciugamano.")</f>
        <v>Le viene mostrata la crema di massaggi in faccia, quindi sciacquarla con acqua e asciugare con un asciugamano.</v>
      </c>
    </row>
    <row r="8529">
      <c r="A8529" s="4" t="s">
        <v>10730</v>
      </c>
      <c r="B8529" s="4" t="s">
        <v>10733</v>
      </c>
      <c r="C8529" s="5" t="str">
        <f>IFERROR(__xludf.DUMMYFUNCTION("GOOGLETRANSLATE(B8529,""en"",""it"")"),"Quindi parla di nuovo alla telecamera.")</f>
        <v>Quindi parla di nuovo alla telecamera.</v>
      </c>
    </row>
    <row r="8530">
      <c r="A8530" s="4" t="s">
        <v>10734</v>
      </c>
      <c r="B8530" s="4" t="s">
        <v>10735</v>
      </c>
      <c r="C8530" s="5" t="str">
        <f>IFERROR(__xludf.DUMMYFUNCTION("GOOGLETRANSLATE(B8530,""en"",""it"")"),"Tre ragazze sono sedute sulla spiaggia, facendo un tumulo con sabbia e acqua.")</f>
        <v>Tre ragazze sono sedute sulla spiaggia, facendo un tumulo con sabbia e acqua.</v>
      </c>
    </row>
    <row r="8531">
      <c r="A8531" s="4" t="s">
        <v>10734</v>
      </c>
      <c r="B8531" s="4" t="s">
        <v>10736</v>
      </c>
      <c r="C8531" s="5" t="str">
        <f>IFERROR(__xludf.DUMMYFUNCTION("GOOGLETRANSLATE(B8531,""en"",""it"")"),"Usano una ciotola per formare uno stampo.")</f>
        <v>Usano una ciotola per formare uno stampo.</v>
      </c>
    </row>
    <row r="8532">
      <c r="A8532" s="4" t="s">
        <v>10737</v>
      </c>
      <c r="B8532" s="4" t="s">
        <v>10738</v>
      </c>
      <c r="C8532" s="5" t="str">
        <f>IFERROR(__xludf.DUMMYFUNCTION("GOOGLETRANSLATE(B8532,""en"",""it"")"),"Un ragazzino è in casa suonando con la camicia e il pannolino.")</f>
        <v>Un ragazzino è in casa suonando con la camicia e il pannolino.</v>
      </c>
    </row>
    <row r="8533">
      <c r="A8533" s="4" t="s">
        <v>10737</v>
      </c>
      <c r="B8533" s="4" t="s">
        <v>10739</v>
      </c>
      <c r="C8533" s="5" t="str">
        <f>IFERROR(__xludf.DUMMYFUNCTION("GOOGLETRANSLATE(B8533,""en"",""it"")"),"Ha un piccolo bastone da hockey e lo sta usando per oscillare a un rotolamento.")</f>
        <v>Ha un piccolo bastone da hockey e lo sta usando per oscillare a un rotolamento.</v>
      </c>
    </row>
    <row r="8534">
      <c r="A8534" s="4" t="s">
        <v>10737</v>
      </c>
      <c r="B8534" s="4" t="s">
        <v>10740</v>
      </c>
      <c r="C8534" s="5" t="str">
        <f>IFERROR(__xludf.DUMMYFUNCTION("GOOGLETRANSLATE(B8534,""en"",""it"")"),"La palla continua a venire verso di lui e continua a oscillare cercando di colpirlo.")</f>
        <v>La palla continua a venire verso di lui e continua a oscillare cercando di colpirlo.</v>
      </c>
    </row>
    <row r="8535">
      <c r="A8535" s="4" t="s">
        <v>10737</v>
      </c>
      <c r="B8535" s="4" t="s">
        <v>10741</v>
      </c>
      <c r="C8535" s="5" t="str">
        <f>IFERROR(__xludf.DUMMYFUNCTION("GOOGLETRANSLATE(B8535,""en"",""it"")"),"Si sta divertendo molto e si diverte a suonare dentro da solo.")</f>
        <v>Si sta divertendo molto e si diverte a suonare dentro da solo.</v>
      </c>
    </row>
    <row r="8536">
      <c r="A8536" s="4" t="s">
        <v>10742</v>
      </c>
      <c r="B8536" s="4" t="s">
        <v>10743</v>
      </c>
      <c r="C8536" s="5" t="str">
        <f>IFERROR(__xludf.DUMMYFUNCTION("GOOGLETRANSLATE(B8536,""en"",""it"")"),"L'uomo esce da casa sua e apre la porta della sua auto in una giornata nevosa.")</f>
        <v>L'uomo esce da casa sua e apre la porta della sua auto in una giornata nevosa.</v>
      </c>
    </row>
    <row r="8537">
      <c r="A8537" s="4" t="s">
        <v>10742</v>
      </c>
      <c r="B8537" s="4" t="s">
        <v>10744</v>
      </c>
      <c r="C8537" s="5" t="str">
        <f>IFERROR(__xludf.DUMMYFUNCTION("GOOGLETRANSLATE(B8537,""en"",""it"")"),"L'uomo solleva i tergicristalli della sua auto.")</f>
        <v>L'uomo solleva i tergicristalli della sua auto.</v>
      </c>
    </row>
    <row r="8538">
      <c r="A8538" s="4" t="s">
        <v>10742</v>
      </c>
      <c r="B8538" s="4" t="s">
        <v>10745</v>
      </c>
      <c r="C8538" s="5" t="str">
        <f>IFERROR(__xludf.DUMMYFUNCTION("GOOGLETRANSLATE(B8538,""en"",""it"")"),"L'uomo usa una scopa di casa per spazzare la neve dalla sua auto.")</f>
        <v>L'uomo usa una scopa di casa per spazzare la neve dalla sua auto.</v>
      </c>
    </row>
    <row r="8539">
      <c r="A8539" s="4" t="s">
        <v>10742</v>
      </c>
      <c r="B8539" s="4" t="s">
        <v>10746</v>
      </c>
      <c r="C8539" s="5" t="str">
        <f>IFERROR(__xludf.DUMMYFUNCTION("GOOGLETRANSLATE(B8539,""en"",""it"")"),"Il cane gioca con i proprietari.")</f>
        <v>Il cane gioca con i proprietari.</v>
      </c>
    </row>
    <row r="8540">
      <c r="A8540" s="4" t="s">
        <v>10742</v>
      </c>
      <c r="B8540" s="4" t="s">
        <v>10747</v>
      </c>
      <c r="C8540" s="5" t="str">
        <f>IFERROR(__xludf.DUMMYFUNCTION("GOOGLETRANSLATE(B8540,""en"",""it"")"),"L'uomo sale in macchina e lo sostiene verso la casa in un parcheggio.")</f>
        <v>L'uomo sale in macchina e lo sostiene verso la casa in un parcheggio.</v>
      </c>
    </row>
    <row r="8541">
      <c r="A8541" s="4" t="s">
        <v>10748</v>
      </c>
      <c r="B8541" s="4" t="s">
        <v>10749</v>
      </c>
      <c r="C8541" s="5" t="str">
        <f>IFERROR(__xludf.DUMMYFUNCTION("GOOGLETRANSLATE(B8541,""en"",""it"")"),"Una donna è in piedi in una cucina sull'isola di fronte a un frullatore e vari ingredienti.")</f>
        <v>Una donna è in piedi in una cucina sull'isola di fronte a un frullatore e vari ingredienti.</v>
      </c>
    </row>
    <row r="8542">
      <c r="A8542" s="4" t="s">
        <v>10748</v>
      </c>
      <c r="B8542" s="4" t="s">
        <v>10750</v>
      </c>
      <c r="C8542" s="5" t="str">
        <f>IFERROR(__xludf.DUMMYFUNCTION("GOOGLETRANSLATE(B8542,""en"",""it"")"),"Mette mele e zucchero nel frullatore con ghiaccio e li fonde insieme.")</f>
        <v>Mette mele e zucchero nel frullatore con ghiaccio e li fonde insieme.</v>
      </c>
    </row>
    <row r="8543">
      <c r="A8543" s="4" t="s">
        <v>10748</v>
      </c>
      <c r="B8543" s="4" t="s">
        <v>10751</v>
      </c>
      <c r="C8543" s="5" t="str">
        <f>IFERROR(__xludf.DUMMYFUNCTION("GOOGLETRANSLATE(B8543,""en"",""it"")"),"Quindi versa il composto in due occhiali mentre continua a parlare.")</f>
        <v>Quindi versa il composto in due occhiali mentre continua a parlare.</v>
      </c>
    </row>
    <row r="8544">
      <c r="A8544" s="4" t="s">
        <v>10752</v>
      </c>
      <c r="B8544" s="6" t="s">
        <v>10753</v>
      </c>
      <c r="C8544" s="5" t="str">
        <f>IFERROR(__xludf.DUMMYFUNCTION("GOOGLETRANSLATE(B8544,""en"",""it"")"),"Un uomo ha uno strumento che usa per tagliare gli artigli del gatto, ci fa un po 'in giro e poi si alza per trovare il suo gatto.")</f>
        <v>Un uomo ha uno strumento che usa per tagliare gli artigli del gatto, ci fa un po 'in giro e poi si alza per trovare il suo gatto.</v>
      </c>
    </row>
    <row r="8545">
      <c r="A8545" s="4" t="s">
        <v>10752</v>
      </c>
      <c r="B8545" s="4" t="s">
        <v>10754</v>
      </c>
      <c r="C8545" s="5" t="str">
        <f>IFERROR(__xludf.DUMMYFUNCTION("GOOGLETRANSLATE(B8545,""en"",""it"")"),"Accoglie un po 'il gatto da non renderlo così sospetto e spaventato.")</f>
        <v>Accoglie un po 'il gatto da non renderlo così sospetto e spaventato.</v>
      </c>
    </row>
    <row r="8546">
      <c r="A8546" s="4" t="s">
        <v>10752</v>
      </c>
      <c r="B8546" s="6" t="s">
        <v>10755</v>
      </c>
      <c r="C8546" s="5" t="str">
        <f>IFERROR(__xludf.DUMMYFUNCTION("GOOGLETRANSLATE(B8546,""en"",""it"")"),"Ottiene il gattino in una buona posizione e inizia a sentirsi per i suoi artigli e uno ad uno inizia a tagliarli.")</f>
        <v>Ottiene il gattino in una buona posizione e inizia a sentirsi per i suoi artigli e uno ad uno inizia a tagliarli.</v>
      </c>
    </row>
    <row r="8547">
      <c r="A8547" s="4" t="s">
        <v>10752</v>
      </c>
      <c r="B8547" s="6" t="s">
        <v>10756</v>
      </c>
      <c r="C8547" s="5" t="str">
        <f>IFERROR(__xludf.DUMMYFUNCTION("GOOGLETRANSLATE(B8547,""en"",""it"")"),"Quindi le muove le altre braccia e la accarezza ancora un po ', mostrando la differenza tra le unghie artigliate e declessate.")</f>
        <v>Quindi le muove le altre braccia e la accarezza ancora un po ', mostrando la differenza tra le unghie artigliate e declessate.</v>
      </c>
    </row>
    <row r="8548">
      <c r="A8548" s="4" t="s">
        <v>10757</v>
      </c>
      <c r="B8548" s="6" t="s">
        <v>10758</v>
      </c>
      <c r="C8548" s="5" t="str">
        <f>IFERROR(__xludf.DUMMYFUNCTION("GOOGLETRANSLATE(B8548,""en"",""it"")"),"Ci sono persone in piedi su un corpo d'acqua ghiacciato e stanno guardando in un piccolo buco che ha un filo di pesca e lo guardano mentre si abbassa su e giù.")</f>
        <v>Ci sono persone in piedi su un corpo d'acqua ghiacciato e stanno guardando in un piccolo buco che ha un filo di pesca e lo guardano mentre si abbassa su e giù.</v>
      </c>
    </row>
    <row r="8549">
      <c r="A8549" s="4" t="s">
        <v>10757</v>
      </c>
      <c r="B8549" s="6" t="s">
        <v>10759</v>
      </c>
      <c r="C8549" s="5" t="str">
        <f>IFERROR(__xludf.DUMMYFUNCTION("GOOGLETRANSLATE(B8549,""en"",""it"")"),"L'uomo in piedi tira il palo e fila più in alto e l'uomo che si inginocchia sul ghiaccio tira fuori il pesce dall'acqua del ghiaccio e lo mette sul ghiaccio.")</f>
        <v>L'uomo in piedi tira il palo e fila più in alto e l'uomo che si inginocchia sul ghiaccio tira fuori il pesce dall'acqua del ghiaccio e lo mette sul ghiaccio.</v>
      </c>
    </row>
    <row r="8550">
      <c r="A8550" s="4" t="s">
        <v>10757</v>
      </c>
      <c r="B8550" s="6" t="s">
        <v>10760</v>
      </c>
      <c r="C8550" s="5" t="str">
        <f>IFERROR(__xludf.DUMMYFUNCTION("GOOGLETRANSLATE(B8550,""en"",""it"")"),"Un altro uomo fa una foto del pesce, l'uomo in ginocchio lo sgancia e l'uomo in piedi lo raccoglie, lo tiene per le branchie e posa con esso.")</f>
        <v>Un altro uomo fa una foto del pesce, l'uomo in ginocchio lo sgancia e l'uomo in piedi lo raccoglie, lo tiene per le branchie e posa con esso.</v>
      </c>
    </row>
    <row r="8551">
      <c r="A8551" s="4" t="s">
        <v>10761</v>
      </c>
      <c r="B8551" s="4" t="s">
        <v>10762</v>
      </c>
      <c r="C8551" s="5" t="str">
        <f>IFERROR(__xludf.DUMMYFUNCTION("GOOGLETRANSLATE(B8551,""en"",""it"")"),"Le persone ballano sulla spiaggia.")</f>
        <v>Le persone ballano sulla spiaggia.</v>
      </c>
    </row>
    <row r="8552">
      <c r="A8552" s="4" t="s">
        <v>10761</v>
      </c>
      <c r="B8552" s="4" t="s">
        <v>10763</v>
      </c>
      <c r="C8552" s="5" t="str">
        <f>IFERROR(__xludf.DUMMYFUNCTION("GOOGLETRANSLATE(B8552,""en"",""it"")"),"Una donna si sdraia su un asciugamano rosso.")</f>
        <v>Una donna si sdraia su un asciugamano rosso.</v>
      </c>
    </row>
    <row r="8553">
      <c r="A8553" s="4" t="s">
        <v>10761</v>
      </c>
      <c r="B8553" s="4" t="s">
        <v>10764</v>
      </c>
      <c r="C8553" s="5" t="str">
        <f>IFERROR(__xludf.DUMMYFUNCTION("GOOGLETRANSLATE(B8553,""en"",""it"")"),"Un uomo è sdraiato su un asciugamano verde.")</f>
        <v>Un uomo è sdraiato su un asciugamano verde.</v>
      </c>
    </row>
    <row r="8554">
      <c r="A8554" s="4" t="s">
        <v>10761</v>
      </c>
      <c r="B8554" s="4" t="s">
        <v>10765</v>
      </c>
      <c r="C8554" s="5" t="str">
        <f>IFERROR(__xludf.DUMMYFUNCTION("GOOGLETRANSLATE(B8554,""en"",""it"")"),"Due cani sono accanto a loro sulla spiaggia.")</f>
        <v>Due cani sono accanto a loro sulla spiaggia.</v>
      </c>
    </row>
    <row r="8555">
      <c r="A8555" s="4" t="s">
        <v>10766</v>
      </c>
      <c r="B8555" s="4" t="s">
        <v>10767</v>
      </c>
      <c r="C8555" s="5" t="str">
        <f>IFERROR(__xludf.DUMMYFUNCTION("GOOGLETRANSLATE(B8555,""en"",""it"")"),"Una barca a vela naviga attraverso acque ruvide nell'oceano.")</f>
        <v>Una barca a vela naviga attraverso acque ruvide nell'oceano.</v>
      </c>
    </row>
    <row r="8556">
      <c r="A8556" s="4" t="s">
        <v>10766</v>
      </c>
      <c r="B8556" s="4" t="s">
        <v>10768</v>
      </c>
      <c r="C8556" s="5" t="str">
        <f>IFERROR(__xludf.DUMMYFUNCTION("GOOGLETRANSLATE(B8556,""en"",""it"")"),"Lo skipper viene visto presidiare il volante sul retro della barca.")</f>
        <v>Lo skipper viene visto presidiare il volante sul retro della barca.</v>
      </c>
    </row>
    <row r="8557">
      <c r="A8557" s="4" t="s">
        <v>10766</v>
      </c>
      <c r="B8557" s="4" t="s">
        <v>10769</v>
      </c>
      <c r="C8557" s="5" t="str">
        <f>IFERROR(__xludf.DUMMYFUNCTION("GOOGLETRANSLATE(B8557,""en"",""it"")"),"L'albero della nave è visto in piena vista.")</f>
        <v>L'albero della nave è visto in piena vista.</v>
      </c>
    </row>
    <row r="8558">
      <c r="A8558" s="4" t="s">
        <v>10770</v>
      </c>
      <c r="B8558" s="4" t="s">
        <v>10771</v>
      </c>
      <c r="C8558" s="5" t="str">
        <f>IFERROR(__xludf.DUMMYFUNCTION("GOOGLETRANSLATE(B8558,""en"",""it"")"),"Il ragazzo sta aprendo la scatola.")</f>
        <v>Il ragazzo sta aprendo la scatola.</v>
      </c>
    </row>
    <row r="8559">
      <c r="A8559" s="4" t="s">
        <v>10770</v>
      </c>
      <c r="B8559" s="4" t="s">
        <v>10772</v>
      </c>
      <c r="C8559" s="5" t="str">
        <f>IFERROR(__xludf.DUMMYFUNCTION("GOOGLETRANSLATE(B8559,""en"",""it"")"),"Quindi rimuove la bici.")</f>
        <v>Quindi rimuove la bici.</v>
      </c>
    </row>
    <row r="8560">
      <c r="A8560" s="4" t="s">
        <v>10770</v>
      </c>
      <c r="B8560" s="4" t="s">
        <v>10773</v>
      </c>
      <c r="C8560" s="5" t="str">
        <f>IFERROR(__xludf.DUMMYFUNCTION("GOOGLETRANSLATE(B8560,""en"",""it"")"),"Sta rimuovendo la confezione.")</f>
        <v>Sta rimuovendo la confezione.</v>
      </c>
    </row>
    <row r="8561">
      <c r="A8561" s="4" t="s">
        <v>10770</v>
      </c>
      <c r="B8561" s="4" t="s">
        <v>10774</v>
      </c>
      <c r="C8561" s="5" t="str">
        <f>IFERROR(__xludf.DUMMYFUNCTION("GOOGLETRANSLATE(B8561,""en"",""it"")"),"Sta assemblando la bici.")</f>
        <v>Sta assemblando la bici.</v>
      </c>
    </row>
    <row r="8562">
      <c r="A8562" s="4" t="s">
        <v>10770</v>
      </c>
      <c r="B8562" s="4" t="s">
        <v>10775</v>
      </c>
      <c r="C8562" s="5" t="str">
        <f>IFERROR(__xludf.DUMMYFUNCTION("GOOGLETRANSLATE(B8562,""en"",""it"")"),"Vediamo immagini della bici.")</f>
        <v>Vediamo immagini della bici.</v>
      </c>
    </row>
    <row r="8563">
      <c r="A8563" s="4" t="s">
        <v>10770</v>
      </c>
      <c r="B8563" s="4" t="s">
        <v>10776</v>
      </c>
      <c r="C8563" s="5" t="str">
        <f>IFERROR(__xludf.DUMMYFUNCTION("GOOGLETRANSLATE(B8563,""en"",""it"")"),"La pagina di iscrizione viene visualizzata.")</f>
        <v>La pagina di iscrizione viene visualizzata.</v>
      </c>
    </row>
    <row r="8564">
      <c r="A8564" s="4" t="s">
        <v>10777</v>
      </c>
      <c r="B8564" s="4" t="s">
        <v>10778</v>
      </c>
      <c r="C8564" s="5" t="str">
        <f>IFERROR(__xludf.DUMMYFUNCTION("GOOGLETRANSLATE(B8564,""en"",""it"")"),"Un sollevatore di peso femminile si sta preparando per sollevare un bilanciere.")</f>
        <v>Un sollevatore di peso femminile si sta preparando per sollevare un bilanciere.</v>
      </c>
    </row>
    <row r="8565">
      <c r="A8565" s="4" t="s">
        <v>10777</v>
      </c>
      <c r="B8565" s="4" t="s">
        <v>10779</v>
      </c>
      <c r="C8565" s="5" t="str">
        <f>IFERROR(__xludf.DUMMYFUNCTION("GOOGLETRANSLATE(B8565,""en"",""it"")"),"Si solleva con le ginocchia, alzando la barra sul petto.")</f>
        <v>Si solleva con le ginocchia, alzando la barra sul petto.</v>
      </c>
    </row>
    <row r="8566">
      <c r="A8566" s="4" t="s">
        <v>10777</v>
      </c>
      <c r="B8566" s="4" t="s">
        <v>10780</v>
      </c>
      <c r="C8566" s="5" t="str">
        <f>IFERROR(__xludf.DUMMYFUNCTION("GOOGLETRANSLATE(B8566,""en"",""it"")"),"Quindi si alza, sollevandolo sopra la testa prima di far cadere il bilanciere a terra.")</f>
        <v>Quindi si alza, sollevandolo sopra la testa prima di far cadere il bilanciere a terra.</v>
      </c>
    </row>
    <row r="8567">
      <c r="A8567" s="4" t="s">
        <v>10781</v>
      </c>
      <c r="B8567" s="4" t="s">
        <v>10782</v>
      </c>
      <c r="C8567" s="5" t="str">
        <f>IFERROR(__xludf.DUMMYFUNCTION("GOOGLETRANSLATE(B8567,""en"",""it"")"),"L'uomo è in piedi sopra l'acqua prima di andare subacquee.")</f>
        <v>L'uomo è in piedi sopra l'acqua prima di andare subacquee.</v>
      </c>
    </row>
    <row r="8568">
      <c r="A8568" s="4" t="s">
        <v>10781</v>
      </c>
      <c r="B8568" s="4" t="s">
        <v>10783</v>
      </c>
      <c r="C8568" s="5" t="str">
        <f>IFERROR(__xludf.DUMMYFUNCTION("GOOGLETRANSLATE(B8568,""en"",""it"")"),"È sott'acqua insieme ad alcune altre persone dove ci sono conchiglie e rocce nella sabbia.")</f>
        <v>È sott'acqua insieme ad alcune altre persone dove ci sono conchiglie e rocce nella sabbia.</v>
      </c>
    </row>
    <row r="8569">
      <c r="A8569" s="4" t="s">
        <v>10781</v>
      </c>
      <c r="B8569" s="4" t="s">
        <v>10784</v>
      </c>
      <c r="C8569" s="5" t="str">
        <f>IFERROR(__xludf.DUMMYFUNCTION("GOOGLETRANSLATE(B8569,""en"",""it"")"),"Ci sono anche tronchi di legno e piccoli aragoste che strisciano.")</f>
        <v>Ci sono anche tronchi di legno e piccoli aragoste che strisciano.</v>
      </c>
    </row>
    <row r="8570">
      <c r="A8570" s="4" t="s">
        <v>10785</v>
      </c>
      <c r="B8570" s="4" t="s">
        <v>10786</v>
      </c>
      <c r="C8570" s="5" t="str">
        <f>IFERROR(__xludf.DUMMYFUNCTION("GOOGLETRANSLATE(B8570,""en"",""it"")"),"Un gruppo sta giocando a hockey su ghiaccio per divertimento in una pista indoor mentre un uomo parla alla telecamera.")</f>
        <v>Un gruppo sta giocando a hockey su ghiaccio per divertimento in una pista indoor mentre un uomo parla alla telecamera.</v>
      </c>
    </row>
    <row r="8571">
      <c r="A8571" s="4" t="s">
        <v>10785</v>
      </c>
      <c r="B8571" s="4" t="s">
        <v>10787</v>
      </c>
      <c r="C8571" s="5" t="str">
        <f>IFERROR(__xludf.DUMMYFUNCTION("GOOGLETRANSLATE(B8571,""en"",""it"")"),"Due donne spazzano, combattendo per il disco, mentre una donna parla alla telecamera.")</f>
        <v>Due donne spazzano, combattendo per il disco, mentre una donna parla alla telecamera.</v>
      </c>
    </row>
    <row r="8572">
      <c r="A8572" s="4" t="s">
        <v>10788</v>
      </c>
      <c r="B8572" s="4" t="s">
        <v>10789</v>
      </c>
      <c r="C8572" s="5" t="str">
        <f>IFERROR(__xludf.DUMMYFUNCTION("GOOGLETRANSLATE(B8572,""en"",""it"")"),"Viene visto un uomo parlare con la fotocamera indossando un microfono e inizia a pulire una finestra.")</f>
        <v>Viene visto un uomo parlare con la fotocamera indossando un microfono e inizia a pulire una finestra.</v>
      </c>
    </row>
    <row r="8573">
      <c r="A8573" s="4" t="s">
        <v>10788</v>
      </c>
      <c r="B8573" s="6" t="s">
        <v>10790</v>
      </c>
      <c r="C8573" s="5" t="str">
        <f>IFERROR(__xludf.DUMMYFUNCTION("GOOGLETRANSLATE(B8573,""en"",""it"")"),"Usa diversi strumenti e oggetti per pulire il vetro e continua a pulire mentre si guarda la fotocamera.")</f>
        <v>Usa diversi strumenti e oggetti per pulire il vetro e continua a pulire mentre si guarda la fotocamera.</v>
      </c>
    </row>
    <row r="8574">
      <c r="A8574" s="4" t="s">
        <v>10791</v>
      </c>
      <c r="B8574" s="4" t="s">
        <v>10792</v>
      </c>
      <c r="C8574" s="5" t="str">
        <f>IFERROR(__xludf.DUMMYFUNCTION("GOOGLETRANSLATE(B8574,""en"",""it"")"),"Una donna si siede su una sedia.")</f>
        <v>Una donna si siede su una sedia.</v>
      </c>
    </row>
    <row r="8575">
      <c r="A8575" s="4" t="s">
        <v>10791</v>
      </c>
      <c r="B8575" s="4" t="s">
        <v>10793</v>
      </c>
      <c r="C8575" s="5" t="str">
        <f>IFERROR(__xludf.DUMMYFUNCTION("GOOGLETRANSLATE(B8575,""en"",""it"")"),"Un'altra donna mette qualcosa sul naso.")</f>
        <v>Un'altra donna mette qualcosa sul naso.</v>
      </c>
    </row>
    <row r="8576">
      <c r="A8576" s="4" t="s">
        <v>10791</v>
      </c>
      <c r="B8576" s="4" t="s">
        <v>10794</v>
      </c>
      <c r="C8576" s="5" t="str">
        <f>IFERROR(__xludf.DUMMYFUNCTION("GOOGLETRANSLATE(B8576,""en"",""it"")"),"Quindi lo trafigge con un ago.")</f>
        <v>Quindi lo trafigge con un ago.</v>
      </c>
    </row>
    <row r="8577">
      <c r="A8577" s="4" t="s">
        <v>10791</v>
      </c>
      <c r="B8577" s="4" t="s">
        <v>10795</v>
      </c>
      <c r="C8577" s="5" t="str">
        <f>IFERROR(__xludf.DUMMYFUNCTION("GOOGLETRANSLATE(B8577,""en"",""it"")"),"Avanti ci mette un gioiello.")</f>
        <v>Avanti ci mette un gioiello.</v>
      </c>
    </row>
    <row r="8578">
      <c r="A8578" s="4" t="s">
        <v>10796</v>
      </c>
      <c r="B8578" s="4" t="s">
        <v>10797</v>
      </c>
      <c r="C8578" s="5" t="str">
        <f>IFERROR(__xludf.DUMMYFUNCTION("GOOGLETRANSLATE(B8578,""en"",""it"")"),"Viene mostrato una ragazza che parla alla telecamera e balla e poi viene vista suonare il violino.")</f>
        <v>Viene mostrato una ragazza che parla alla telecamera e balla e poi viene vista suonare il violino.</v>
      </c>
    </row>
    <row r="8579">
      <c r="A8579" s="4" t="s">
        <v>10796</v>
      </c>
      <c r="B8579" s="6" t="s">
        <v>10798</v>
      </c>
      <c r="C8579" s="5" t="str">
        <f>IFERROR(__xludf.DUMMYFUNCTION("GOOGLETRANSLATE(B8579,""en"",""it"")"),"Suona lo strumento mentre balla allo stesso tempo e termina con lei che parla alla telecamera.")</f>
        <v>Suona lo strumento mentre balla allo stesso tempo e termina con lei che parla alla telecamera.</v>
      </c>
    </row>
    <row r="8580">
      <c r="A8580" s="4" t="s">
        <v>10799</v>
      </c>
      <c r="B8580" s="4" t="s">
        <v>10800</v>
      </c>
      <c r="C8580" s="5" t="str">
        <f>IFERROR(__xludf.DUMMYFUNCTION("GOOGLETRANSLATE(B8580,""en"",""it"")"),"Più uomini vengono caricati su un secchio del boom della gru.")</f>
        <v>Più uomini vengono caricati su un secchio del boom della gru.</v>
      </c>
    </row>
    <row r="8581">
      <c r="A8581" s="4" t="s">
        <v>10799</v>
      </c>
      <c r="B8581" s="4" t="s">
        <v>10801</v>
      </c>
      <c r="C8581" s="5" t="str">
        <f>IFERROR(__xludf.DUMMYFUNCTION("GOOGLETRANSLATE(B8581,""en"",""it"")"),"Quando tre uomini sono in sicurezza a bordo, la gru inizia a sollevarli lentamente in aria.")</f>
        <v>Quando tre uomini sono in sicurezza a bordo, la gru inizia a sollevarli lentamente in aria.</v>
      </c>
    </row>
    <row r="8582">
      <c r="A8582" s="4" t="s">
        <v>10799</v>
      </c>
      <c r="B8582" s="6" t="s">
        <v>10802</v>
      </c>
      <c r="C8582" s="5" t="str">
        <f>IFERROR(__xludf.DUMMYFUNCTION("GOOGLETRANSLATE(B8582,""en"",""it"")"),"Una volta raggiunti la cima della gru, la vista cambia e possono essere visti guardare oltre il paesaggio.")</f>
        <v>Una volta raggiunti la cima della gru, la vista cambia e possono essere visti guardare oltre il paesaggio.</v>
      </c>
    </row>
    <row r="8583">
      <c r="A8583" s="4" t="s">
        <v>10799</v>
      </c>
      <c r="B8583" s="4" t="s">
        <v>10803</v>
      </c>
      <c r="C8583" s="5" t="str">
        <f>IFERROR(__xludf.DUMMYFUNCTION("GOOGLETRANSLATE(B8583,""en"",""it"")"),"L'uomo che si sta preparando a Bungee Jump è ai margini del boom che si guarda intorno nervosamente.")</f>
        <v>L'uomo che si sta preparando a Bungee Jump è ai margini del boom che si guarda intorno nervosamente.</v>
      </c>
    </row>
    <row r="8584">
      <c r="A8584" s="4" t="s">
        <v>10799</v>
      </c>
      <c r="B8584" s="4" t="s">
        <v>10804</v>
      </c>
      <c r="C8584" s="5" t="str">
        <f>IFERROR(__xludf.DUMMYFUNCTION("GOOGLETRANSLATE(B8584,""en"",""it"")"),"Uno alla volta gli uomini saltano fuori dal boom e pendono sopra un piccolo specchio d'acqua.")</f>
        <v>Uno alla volta gli uomini saltano fuori dal boom e pendono sopra un piccolo specchio d'acqua.</v>
      </c>
    </row>
    <row r="8585">
      <c r="A8585" s="4" t="s">
        <v>10799</v>
      </c>
      <c r="B8585" s="4" t="s">
        <v>10805</v>
      </c>
      <c r="C8585" s="5" t="str">
        <f>IFERROR(__xludf.DUMMYFUNCTION("GOOGLETRANSLATE(B8585,""en"",""it"")"),"Lì certificato di realizzazione termina il video.")</f>
        <v>Lì certificato di realizzazione termina il video.</v>
      </c>
    </row>
    <row r="8586">
      <c r="A8586" s="4" t="s">
        <v>10806</v>
      </c>
      <c r="B8586" s="4" t="s">
        <v>10807</v>
      </c>
      <c r="C8586" s="5" t="str">
        <f>IFERROR(__xludf.DUMMYFUNCTION("GOOGLETRANSLATE(B8586,""en"",""it"")"),"Le parole ""The Shotover River in Flood"" appaiono sullo schermo.")</f>
        <v>Le parole "The Shotover River in Flood" appaiono sullo schermo.</v>
      </c>
    </row>
    <row r="8587">
      <c r="A8587" s="4" t="s">
        <v>10806</v>
      </c>
      <c r="B8587" s="6" t="s">
        <v>10808</v>
      </c>
      <c r="C8587" s="5" t="str">
        <f>IFERROR(__xludf.DUMMYFUNCTION("GOOGLETRANSLATE(B8587,""en"",""it"")"),"Il video in prima persona mostra una zattera piena di persone che si dirigono verso il basso e un fiume estremamente ruvido tra le scogliere rocciose.")</f>
        <v>Il video in prima persona mostra una zattera piena di persone che si dirigono verso il basso e un fiume estremamente ruvido tra le scogliere rocciose.</v>
      </c>
    </row>
    <row r="8588">
      <c r="A8588" s="4" t="s">
        <v>10806</v>
      </c>
      <c r="B8588" s="4" t="s">
        <v>10809</v>
      </c>
      <c r="C8588" s="5" t="str">
        <f>IFERROR(__xludf.DUMMYFUNCTION("GOOGLETRANSLATE(B8588,""en"",""it"")"),"Le parole ""GRANDE grazie a River Guide J-Rod"" appaiono sullo schermo.")</f>
        <v>Le parole "GRANDE grazie a River Guide J-Rod" appaiono sullo schermo.</v>
      </c>
    </row>
    <row r="8589">
      <c r="A8589" s="4" t="s">
        <v>10810</v>
      </c>
      <c r="B8589" s="6" t="s">
        <v>10811</v>
      </c>
      <c r="C8589" s="5" t="str">
        <f>IFERROR(__xludf.DUMMYFUNCTION("GOOGLETRANSLATE(B8589,""en"",""it"")"),"Una persona compete risolvendo un puzzle del cubo dietro un cronometro, mentre una donna prende appunti e guarda la persona.")</f>
        <v>Una persona compete risolvendo un puzzle del cubo dietro un cronometro, mentre una donna prende appunti e guarda la persona.</v>
      </c>
    </row>
    <row r="8590">
      <c r="A8590" s="4" t="s">
        <v>10810</v>
      </c>
      <c r="B8590" s="4" t="s">
        <v>10812</v>
      </c>
      <c r="C8590" s="5" t="str">
        <f>IFERROR(__xludf.DUMMYFUNCTION("GOOGLETRANSLATE(B8590,""en"",""it"")"),"La persona risolve il puzzle, poi si alza, alza le braccia e cammina.")</f>
        <v>La persona risolve il puzzle, poi si alza, alza le braccia e cammina.</v>
      </c>
    </row>
    <row r="8591">
      <c r="A8591" s="4" t="s">
        <v>10810</v>
      </c>
      <c r="B8591" s="4" t="s">
        <v>10813</v>
      </c>
      <c r="C8591" s="5" t="str">
        <f>IFERROR(__xludf.DUMMYFUNCTION("GOOGLETRANSLATE(B8591,""en"",""it"")"),"La persona si stringe la mano con le persone nella stanza.")</f>
        <v>La persona si stringe la mano con le persone nella stanza.</v>
      </c>
    </row>
    <row r="8592">
      <c r="A8592" s="4" t="s">
        <v>10810</v>
      </c>
      <c r="B8592" s="4" t="s">
        <v>10814</v>
      </c>
      <c r="C8592" s="5" t="str">
        <f>IFERROR(__xludf.DUMMYFUNCTION("GOOGLETRANSLATE(B8592,""en"",""it"")"),"All'improvviso, la persona corre a fare i colpi e posare per una foto.")</f>
        <v>All'improvviso, la persona corre a fare i colpi e posare per una foto.</v>
      </c>
    </row>
    <row r="8593">
      <c r="A8593" s="4" t="s">
        <v>10815</v>
      </c>
      <c r="B8593" s="4" t="s">
        <v>10816</v>
      </c>
      <c r="C8593" s="5" t="str">
        <f>IFERROR(__xludf.DUMMYFUNCTION("GOOGLETRANSLATE(B8593,""en"",""it"")"),"Un ragazzo con una pentola di giardinaggio sta irrigando il suo cespuglio fuori nel cortile.")</f>
        <v>Un ragazzo con una pentola di giardinaggio sta irrigando il suo cespuglio fuori nel cortile.</v>
      </c>
    </row>
    <row r="8594">
      <c r="A8594" s="4" t="s">
        <v>10815</v>
      </c>
      <c r="B8594" s="4" t="s">
        <v>10817</v>
      </c>
      <c r="C8594" s="5" t="str">
        <f>IFERROR(__xludf.DUMMYFUNCTION("GOOGLETRANSLATE(B8594,""en"",""it"")"),"Lui e un altro ragazzo si riuniscono e l'altro ragazzo inizia a iniziare a giocare a croquet mentre parla.")</f>
        <v>Lui e un altro ragazzo si riuniscono e l'altro ragazzo inizia a iniziare a giocare a croquet mentre parla.</v>
      </c>
    </row>
    <row r="8595">
      <c r="A8595" s="4" t="s">
        <v>10815</v>
      </c>
      <c r="B8595" s="4" t="s">
        <v>10818</v>
      </c>
      <c r="C8595" s="5" t="str">
        <f>IFERROR(__xludf.DUMMYFUNCTION("GOOGLETRANSLATE(B8595,""en"",""it"")"),"Un altro ragazzo più alto viene e si unisce a loro e parla del gioco.")</f>
        <v>Un altro ragazzo più alto viene e si unisce a loro e parla del gioco.</v>
      </c>
    </row>
    <row r="8596">
      <c r="A8596" s="4" t="s">
        <v>10815</v>
      </c>
      <c r="B8596" s="4" t="s">
        <v>10819</v>
      </c>
      <c r="C8596" s="5" t="str">
        <f>IFERROR(__xludf.DUMMYFUNCTION("GOOGLETRANSLATE(B8596,""en"",""it"")"),"Quindi, iniziano a colpire le palle che si snodano per superare gli ostacoli.")</f>
        <v>Quindi, iniziano a colpire le palle che si snodano per superare gli ostacoli.</v>
      </c>
    </row>
    <row r="8597">
      <c r="A8597" s="4" t="s">
        <v>10820</v>
      </c>
      <c r="B8597" s="4" t="s">
        <v>10821</v>
      </c>
      <c r="C8597" s="5" t="str">
        <f>IFERROR(__xludf.DUMMYFUNCTION("GOOGLETRANSLATE(B8597,""en"",""it"")"),"Tre persone saltano la corda e fanno trucchi.")</f>
        <v>Tre persone saltano la corda e fanno trucchi.</v>
      </c>
    </row>
    <row r="8598">
      <c r="A8598" s="4" t="s">
        <v>10820</v>
      </c>
      <c r="B8598" s="4" t="s">
        <v>10822</v>
      </c>
      <c r="C8598" s="5" t="str">
        <f>IFERROR(__xludf.DUMMYFUNCTION("GOOGLETRANSLATE(B8598,""en"",""it"")"),"Altre persone si siedono e si trovano ai tavoli in sottofondo e guardano o filmano i salti.")</f>
        <v>Altre persone si siedono e si trovano ai tavoli in sottofondo e guardano o filmano i salti.</v>
      </c>
    </row>
    <row r="8599">
      <c r="A8599" s="4" t="s">
        <v>10820</v>
      </c>
      <c r="B8599" s="4" t="s">
        <v>10823</v>
      </c>
      <c r="C8599" s="5" t="str">
        <f>IFERROR(__xludf.DUMMYFUNCTION("GOOGLETRANSLATE(B8599,""en"",""it"")"),"Quattro persone diverse ora saltano la corda e fanno trucchi.")</f>
        <v>Quattro persone diverse ora saltano la corda e fanno trucchi.</v>
      </c>
    </row>
    <row r="8600">
      <c r="A8600" s="4" t="s">
        <v>10820</v>
      </c>
      <c r="B8600" s="4" t="s">
        <v>10824</v>
      </c>
      <c r="C8600" s="5" t="str">
        <f>IFERROR(__xludf.DUMMYFUNCTION("GOOGLETRANSLATE(B8600,""en"",""it"")"),"Un altro gruppo di tre persone mette in mostra le loro abilità di corda di salto.")</f>
        <v>Un altro gruppo di tre persone mette in mostra le loro abilità di corda di salto.</v>
      </c>
    </row>
    <row r="8601">
      <c r="A8601" s="4" t="s">
        <v>10820</v>
      </c>
      <c r="B8601" s="4" t="s">
        <v>10825</v>
      </c>
      <c r="C8601" s="5" t="str">
        <f>IFERROR(__xludf.DUMMYFUNCTION("GOOGLETRANSLATE(B8601,""en"",""it"")"),"Un altro gruppo di tre in cortometraggi rossi salta la corda.")</f>
        <v>Un altro gruppo di tre in cortometraggi rossi salta la corda.</v>
      </c>
    </row>
    <row r="8602">
      <c r="A8602" s="4" t="s">
        <v>10820</v>
      </c>
      <c r="B8602" s="4" t="s">
        <v>10826</v>
      </c>
      <c r="C8602" s="5" t="str">
        <f>IFERROR(__xludf.DUMMYFUNCTION("GOOGLETRANSLATE(B8602,""en"",""it"")"),"Le persone sullo sfondo camminano.")</f>
        <v>Le persone sullo sfondo camminano.</v>
      </c>
    </row>
    <row r="8603">
      <c r="A8603" s="4" t="s">
        <v>10820</v>
      </c>
      <c r="B8603" s="4" t="s">
        <v>10827</v>
      </c>
      <c r="C8603" s="5" t="str">
        <f>IFERROR(__xludf.DUMMYFUNCTION("GOOGLETRANSLATE(B8603,""en"",""it"")"),"Un gruppo di quattro ragazze salta la corda.")</f>
        <v>Un gruppo di quattro ragazze salta la corda.</v>
      </c>
    </row>
    <row r="8604">
      <c r="A8604" s="4" t="s">
        <v>10820</v>
      </c>
      <c r="B8604" s="4" t="s">
        <v>10828</v>
      </c>
      <c r="C8604" s="5" t="str">
        <f>IFERROR(__xludf.DUMMYFUNCTION("GOOGLETRANSLATE(B8604,""en"",""it"")"),"Il primo gruppo di persone salta la corda con una quarta persona.")</f>
        <v>Il primo gruppo di persone salta la corda con una quarta persona.</v>
      </c>
    </row>
    <row r="8605">
      <c r="A8605" s="4" t="s">
        <v>10820</v>
      </c>
      <c r="B8605" s="4" t="s">
        <v>10829</v>
      </c>
      <c r="C8605" s="5" t="str">
        <f>IFERROR(__xludf.DUMMYFUNCTION("GOOGLETRANSLATE(B8605,""en"",""it"")"),"Un gruppo diverso di quattro in corda di salto rosso e nero.")</f>
        <v>Un gruppo diverso di quattro in corda di salto rosso e nero.</v>
      </c>
    </row>
    <row r="8606">
      <c r="A8606" s="4" t="s">
        <v>10820</v>
      </c>
      <c r="B8606" s="4" t="s">
        <v>10830</v>
      </c>
      <c r="C8606" s="5" t="str">
        <f>IFERROR(__xludf.DUMMYFUNCTION("GOOGLETRANSLATE(B8606,""en"",""it"")"),"Una squadra diversa di Jump Ropers orologi in background.")</f>
        <v>Una squadra diversa di Jump Ropers orologi in background.</v>
      </c>
    </row>
    <row r="8607">
      <c r="A8607" s="4" t="s">
        <v>10820</v>
      </c>
      <c r="B8607" s="4" t="s">
        <v>10831</v>
      </c>
      <c r="C8607" s="5" t="str">
        <f>IFERROR(__xludf.DUMMYFUNCTION("GOOGLETRANSLATE(B8607,""en"",""it"")"),"Una squadra di quattro anni in corda di salto nera e gialla.")</f>
        <v>Una squadra di quattro anni in corda di salto nera e gialla.</v>
      </c>
    </row>
    <row r="8608">
      <c r="A8608" s="4" t="s">
        <v>10832</v>
      </c>
      <c r="B8608" s="4" t="s">
        <v>10833</v>
      </c>
      <c r="C8608" s="5" t="str">
        <f>IFERROR(__xludf.DUMMYFUNCTION("GOOGLETRANSLATE(B8608,""en"",""it"")"),"Un cowboy in un cavallo corse verso il campo e insegue un bestiame.")</f>
        <v>Un cowboy in un cavallo corse verso il campo e insegue un bestiame.</v>
      </c>
    </row>
    <row r="8609">
      <c r="A8609" s="4" t="s">
        <v>10832</v>
      </c>
      <c r="B8609" s="6" t="s">
        <v>10834</v>
      </c>
      <c r="C8609" s="5" t="str">
        <f>IFERROR(__xludf.DUMMYFUNCTION("GOOGLETRANSLATE(B8609,""en"",""it"")"),"Il cowboy scese dal cavallo e insegue il bestiame, quando catturò il bestiame legò il bestiame.")</f>
        <v>Il cowboy scese dal cavallo e insegue il bestiame, quando catturò il bestiame legò il bestiame.</v>
      </c>
    </row>
    <row r="8610">
      <c r="A8610" s="4" t="s">
        <v>10835</v>
      </c>
      <c r="B8610" s="6" t="s">
        <v>10836</v>
      </c>
      <c r="C8610" s="5" t="str">
        <f>IFERROR(__xludf.DUMMYFUNCTION("GOOGLETRANSLATE(B8610,""en"",""it"")"),"Un uomo è in piedi davanti a una corsia con le gambe sparse, e poi un altro uomo va a rotolare una palla da bowling tra le gambe e lo fa, ma colpisce accidentalmente il pugno nelle parti private dell'uomo ed entrambi iniziano a ridere .")</f>
        <v>Un uomo è in piedi davanti a una corsia con le gambe sparse, e poi un altro uomo va a rotolare una palla da bowling tra le gambe e lo fa, ma colpisce accidentalmente il pugno nelle parti private dell'uomo ed entrambi iniziano a ridere .</v>
      </c>
    </row>
    <row r="8611">
      <c r="A8611" s="4" t="s">
        <v>10835</v>
      </c>
      <c r="B8611" s="4" t="s">
        <v>10837</v>
      </c>
      <c r="C8611" s="5" t="str">
        <f>IFERROR(__xludf.DUMMYFUNCTION("GOOGLETRANSLATE(B8611,""en"",""it"")"),"Viene visualizzata una schermata blu e viene visualizzato il testo sullo schermo e ""Bowling fallisce FailCorporation"".")</f>
        <v>Viene visualizzata una schermata blu e viene visualizzato il testo sullo schermo e "Bowling fallisce FailCorporation".</v>
      </c>
    </row>
    <row r="8612">
      <c r="A8612" s="4" t="s">
        <v>10835</v>
      </c>
      <c r="B8612" s="6" t="s">
        <v>10838</v>
      </c>
      <c r="C8612" s="5" t="str">
        <f>IFERROR(__xludf.DUMMYFUNCTION("GOOGLETRANSLATE(B8612,""en"",""it"")"),"Varie clip di varie persone diverse che cadono mentre cercano di far rotolare la palla, ridendo e persino lanciando accidentalmente la palla nelle giocate del soffitto.")</f>
        <v>Varie clip di varie persone diverse che cadono mentre cercano di far rotolare la palla, ridendo e persino lanciando accidentalmente la palla nelle giocate del soffitto.</v>
      </c>
    </row>
    <row r="8613">
      <c r="A8613" s="4" t="s">
        <v>10835</v>
      </c>
      <c r="B8613" s="6" t="s">
        <v>10839</v>
      </c>
      <c r="C8613" s="5" t="str">
        <f>IFERROR(__xludf.DUMMYFUNCTION("GOOGLETRANSLATE(B8613,""en"",""it"")"),"Viene visualizzata una schermata blu con i loghi e il testo che dice che ""failCorporation iscrivi il video successivo"".")</f>
        <v>Viene visualizzata una schermata blu con i loghi e il testo che dice che "failCorporation iscrivi il video successivo".</v>
      </c>
    </row>
    <row r="8614">
      <c r="A8614" s="4" t="s">
        <v>10840</v>
      </c>
      <c r="B8614" s="4" t="s">
        <v>10841</v>
      </c>
      <c r="C8614" s="5" t="str">
        <f>IFERROR(__xludf.DUMMYFUNCTION("GOOGLETRANSLATE(B8614,""en"",""it"")"),"Una donna sta lavando i piatti con sapone e uno scrub nel lavello della cucina.")</f>
        <v>Una donna sta lavando i piatti con sapone e uno scrub nel lavello della cucina.</v>
      </c>
    </row>
    <row r="8615">
      <c r="A8615" s="4" t="s">
        <v>10840</v>
      </c>
      <c r="B8615" s="4" t="s">
        <v>10842</v>
      </c>
      <c r="C8615" s="5" t="str">
        <f>IFERROR(__xludf.DUMMYFUNCTION("GOOGLETRANSLATE(B8615,""en"",""it"")"),"Prende lo scrub che è imbevuto di sapone liquido e lo strofina sulla ciotola per pulirlo completamente.")</f>
        <v>Prende lo scrub che è imbevuto di sapone liquido e lo strofina sulla ciotola per pulirlo completamente.</v>
      </c>
    </row>
    <row r="8616">
      <c r="A8616" s="4" t="s">
        <v>10840</v>
      </c>
      <c r="B8616" s="4" t="s">
        <v>10843</v>
      </c>
      <c r="C8616" s="5" t="str">
        <f>IFERROR(__xludf.DUMMYFUNCTION("GOOGLETRANSLATE(B8616,""en"",""it"")"),"Posiziona i piatti e le ciotole l'uno sull'altro nel lavandino mentre li lava.")</f>
        <v>Posiziona i piatti e le ciotole l'uno sull'altro nel lavandino mentre li lava.</v>
      </c>
    </row>
    <row r="8617">
      <c r="A8617" s="4" t="s">
        <v>10844</v>
      </c>
      <c r="B8617" s="4" t="s">
        <v>10845</v>
      </c>
      <c r="C8617" s="5" t="str">
        <f>IFERROR(__xludf.DUMMYFUNCTION("GOOGLETRANSLATE(B8617,""en"",""it"")"),"Un uomo cavalca una quattro ruote in un campo.")</f>
        <v>Un uomo cavalca una quattro ruote in un campo.</v>
      </c>
    </row>
    <row r="8618">
      <c r="A8618" s="4" t="s">
        <v>10844</v>
      </c>
      <c r="B8618" s="4" t="s">
        <v>10846</v>
      </c>
      <c r="C8618" s="5" t="str">
        <f>IFERROR(__xludf.DUMMYFUNCTION("GOOGLETRANSLATE(B8618,""en"",""it"")"),"L'uomo si alza sulla quattro ruote e colpisce le luci di pausa per ispezionare un bersaglio.")</f>
        <v>L'uomo si alza sulla quattro ruote e colpisce le luci di pausa per ispezionare un bersaglio.</v>
      </c>
    </row>
    <row r="8619">
      <c r="A8619" s="4" t="s">
        <v>10844</v>
      </c>
      <c r="B8619" s="4" t="s">
        <v>10847</v>
      </c>
      <c r="C8619" s="5" t="str">
        <f>IFERROR(__xludf.DUMMYFUNCTION("GOOGLETRANSLATE(B8619,""en"",""it"")"),"Un uomo che tiene un arco e una freccia sta parlando e dimostra le caratteristiche sullo arco che sta trattenendo.")</f>
        <v>Un uomo che tiene un arco e una freccia sta parlando e dimostra le caratteristiche sullo arco che sta trattenendo.</v>
      </c>
    </row>
    <row r="8620">
      <c r="A8620" s="4" t="s">
        <v>10844</v>
      </c>
      <c r="B8620" s="4" t="s">
        <v>10848</v>
      </c>
      <c r="C8620" s="5" t="str">
        <f>IFERROR(__xludf.DUMMYFUNCTION("GOOGLETRANSLATE(B8620,""en"",""it"")"),"Un sito Web scorre sullo schermo mentre l'uomo spara l'arco contro un obiettivo.")</f>
        <v>Un sito Web scorre sullo schermo mentre l'uomo spara l'arco contro un obiettivo.</v>
      </c>
    </row>
    <row r="8621">
      <c r="A8621" s="4" t="s">
        <v>10844</v>
      </c>
      <c r="B8621" s="4" t="s">
        <v>10849</v>
      </c>
      <c r="C8621" s="5" t="str">
        <f>IFERROR(__xludf.DUMMYFUNCTION("GOOGLETRANSLATE(B8621,""en"",""it"")"),"La fotocamera quindi ingrandisce il bersaglio.")</f>
        <v>La fotocamera quindi ingrandisce il bersaglio.</v>
      </c>
    </row>
    <row r="8622">
      <c r="A8622" s="4" t="s">
        <v>10844</v>
      </c>
      <c r="B8622" s="4" t="s">
        <v>10850</v>
      </c>
      <c r="C8622" s="5" t="str">
        <f>IFERROR(__xludf.DUMMYFUNCTION("GOOGLETRANSLATE(B8622,""en"",""it"")"),"Il sito Web scorre di nuovo sullo schermo e l'uomo spara altre tre frecce.")</f>
        <v>Il sito Web scorre di nuovo sullo schermo e l'uomo spara altre tre frecce.</v>
      </c>
    </row>
    <row r="8623">
      <c r="A8623" s="4" t="s">
        <v>10844</v>
      </c>
      <c r="B8623" s="4" t="s">
        <v>10851</v>
      </c>
      <c r="C8623" s="5" t="str">
        <f>IFERROR(__xludf.DUMMYFUNCTION("GOOGLETRANSLATE(B8623,""en"",""it"")"),"Lo schermo cambia in Grey e l'uomo mostra che il marchio di prua è un bowtech.")</f>
        <v>Lo schermo cambia in Grey e l'uomo mostra che il marchio di prua è un bowtech.</v>
      </c>
    </row>
    <row r="8624">
      <c r="A8624" s="4" t="s">
        <v>10852</v>
      </c>
      <c r="B8624" s="4" t="s">
        <v>10853</v>
      </c>
      <c r="C8624" s="5" t="str">
        <f>IFERROR(__xludf.DUMMYFUNCTION("GOOGLETRANSLATE(B8624,""en"",""it"")"),"La donna è in studio a parlare nelle notizie con in mano una pistola da paintball e ha sparato a un muro.")</f>
        <v>La donna è in studio a parlare nelle notizie con in mano una pistola da paintball e ha sparato a un muro.</v>
      </c>
    </row>
    <row r="8625">
      <c r="A8625" s="4" t="s">
        <v>10852</v>
      </c>
      <c r="B8625" s="4" t="s">
        <v>10854</v>
      </c>
      <c r="C8625" s="5" t="str">
        <f>IFERROR(__xludf.DUMMYFUNCTION("GOOGLETRANSLATE(B8625,""en"",""it"")"),"Un uomo e una donna sono in un campo che fanno colpi e giocano con le palline di antenatura.")</f>
        <v>Un uomo e una donna sono in un campo che fanno colpi e giocano con le palline di antenatura.</v>
      </c>
    </row>
    <row r="8626">
      <c r="A8626" s="4" t="s">
        <v>10852</v>
      </c>
      <c r="B8626" s="6" t="s">
        <v>10855</v>
      </c>
      <c r="C8626" s="5" t="str">
        <f>IFERROR(__xludf.DUMMYFUNCTION("GOOGLETRANSLATE(B8626,""en"",""it"")"),"Si ricaricano le pistole e giocano in un paintball sul cortile verde che praticano colpi e indossano maschere.")</f>
        <v>Si ricaricano le pistole e giocano in un paintball sul cortile verde che praticano colpi e indossano maschere.</v>
      </c>
    </row>
    <row r="8627">
      <c r="A8627" s="4" t="s">
        <v>10856</v>
      </c>
      <c r="B8627" s="4" t="s">
        <v>10857</v>
      </c>
      <c r="C8627" s="5" t="str">
        <f>IFERROR(__xludf.DUMMYFUNCTION("GOOGLETRANSLATE(B8627,""en"",""it"")"),"Una donna esegue una routine di danza con un cerchio su un palco.")</f>
        <v>Una donna esegue una routine di danza con un cerchio su un palco.</v>
      </c>
    </row>
    <row r="8628">
      <c r="A8628" s="4" t="s">
        <v>10856</v>
      </c>
      <c r="B8628" s="4" t="s">
        <v>10858</v>
      </c>
      <c r="C8628" s="5" t="str">
        <f>IFERROR(__xludf.DUMMYFUNCTION("GOOGLETRANSLATE(B8628,""en"",""it"")"),"La donna esegue la routine con due cerchi.")</f>
        <v>La donna esegue la routine con due cerchi.</v>
      </c>
    </row>
    <row r="8629">
      <c r="A8629" s="4" t="s">
        <v>10856</v>
      </c>
      <c r="B8629" s="4" t="s">
        <v>10859</v>
      </c>
      <c r="C8629" s="5" t="str">
        <f>IFERROR(__xludf.DUMMYFUNCTION("GOOGLETRANSLATE(B8629,""en"",""it"")"),"La donna torna a esibirsi con un cerchio.")</f>
        <v>La donna torna a esibirsi con un cerchio.</v>
      </c>
    </row>
    <row r="8630">
      <c r="A8630" s="4" t="s">
        <v>10860</v>
      </c>
      <c r="B8630" s="6" t="s">
        <v>10861</v>
      </c>
      <c r="C8630" s="5" t="str">
        <f>IFERROR(__xludf.DUMMYFUNCTION("GOOGLETRANSLATE(B8630,""en"",""it"")"),"Viene visualizzato uno schermo nero con lettere rosse e bianche che dicono ""Discus lancia un esempio di correzione di un problema di consegna per un principiante"".")</f>
        <v>Viene visualizzato uno schermo nero con lettere rosse e bianche che dicono "Discus lancia un esempio di correzione di un problema di consegna per un principiante".</v>
      </c>
    </row>
    <row r="8631">
      <c r="A8631" s="4" t="s">
        <v>10860</v>
      </c>
      <c r="B8631" s="6" t="s">
        <v>10862</v>
      </c>
      <c r="C8631" s="5" t="str">
        <f>IFERROR(__xludf.DUMMYFUNCTION("GOOGLETRANSLATE(B8631,""en"",""it"")"),"Una giovane donna ora è in piedi su un cerchio di cemento e inizia a oscillare il suo disco rosso, poi fa oscillare il suo corpo e poi lo lancia.")</f>
        <v>Una giovane donna ora è in piedi su un cerchio di cemento e inizia a oscillare il suo disco rosso, poi fa oscillare il suo corpo e poi lo lancia.</v>
      </c>
    </row>
    <row r="8632">
      <c r="A8632" s="4" t="s">
        <v>10860</v>
      </c>
      <c r="B8632" s="6" t="s">
        <v>10863</v>
      </c>
      <c r="C8632" s="5" t="str">
        <f>IFERROR(__xludf.DUMMYFUNCTION("GOOGLETRANSLATE(B8632,""en"",""it"")"),"Viene visualizzato uno schermo nero con lettere bianche che dicono ""da diversi difetti selezioniamo un problema"" e il video continua a mostrare il problema e le parole appaiono sullo schermo per spiegarli.")</f>
        <v>Viene visualizzato uno schermo nero con lettere bianche che dicono "da diversi difetti selezioniamo un problema" e il video continua a mostrare il problema e le parole appaiono sullo schermo per spiegarli.</v>
      </c>
    </row>
    <row r="8633">
      <c r="A8633" s="4" t="s">
        <v>10860</v>
      </c>
      <c r="B8633" s="6" t="s">
        <v>10864</v>
      </c>
      <c r="C8633" s="5" t="str">
        <f>IFERROR(__xludf.DUMMYFUNCTION("GOOGLETRANSLATE(B8633,""en"",""it"")"),"La stessa giovane donna è ora in piedi in un'area diversa con un asciugamano a mani mentre pratica le sue altalene e le parole sullo schermo danno consigli.")</f>
        <v>La stessa giovane donna è ora in piedi in un'area diversa con un asciugamano a mani mentre pratica le sue altalene e le parole sullo schermo danno consigli.</v>
      </c>
    </row>
    <row r="8634">
      <c r="A8634" s="4" t="s">
        <v>10860</v>
      </c>
      <c r="B8634" s="4" t="s">
        <v>10865</v>
      </c>
      <c r="C8634" s="5" t="str">
        <f>IFERROR(__xludf.DUMMYFUNCTION("GOOGLETRANSLATE(B8634,""en"",""it"")"),"La ragazza è tornata sul cerchio di cemento che oscilla il suo disco e poi lancia il disco.")</f>
        <v>La ragazza è tornata sul cerchio di cemento che oscilla il suo disco e poi lancia il disco.</v>
      </c>
    </row>
    <row r="8635">
      <c r="A8635" s="4" t="s">
        <v>10860</v>
      </c>
      <c r="B8635" s="6" t="s">
        <v>10866</v>
      </c>
      <c r="C8635" s="5" t="str">
        <f>IFERROR(__xludf.DUMMYFUNCTION("GOOGLETRANSLATE(B8635,""en"",""it"")"),"Uno schermo nero appare di nuovo con parole rosse e bianche che dicono ""altri esercizi simili sulla stessa idea: concentrarsi sul punto più basso della traiettoria di implementazione.")</f>
        <v>Uno schermo nero appare di nuovo con parole rosse e bianche che dicono "altri esercizi simili sulla stessa idea: concentrarsi sul punto più basso della traiettoria di implementazione.</v>
      </c>
    </row>
    <row r="8636">
      <c r="A8636" s="4" t="s">
        <v>10860</v>
      </c>
      <c r="B8636" s="4" t="s">
        <v>10867</v>
      </c>
      <c r="C8636" s="5" t="str">
        <f>IFERROR(__xludf.DUMMYFUNCTION("GOOGLETRANSLATE(B8636,""en"",""it"")"),"Un ragazzo è ora in piedi sul cerchio di cemento e sta praticando le sue oscillazioni con una camicia.")</f>
        <v>Un ragazzo è ora in piedi sul cerchio di cemento e sta praticando le sue oscillazioni con una camicia.</v>
      </c>
    </row>
    <row r="8637">
      <c r="A8637" s="4" t="s">
        <v>10860</v>
      </c>
      <c r="B8637" s="4" t="s">
        <v>10868</v>
      </c>
      <c r="C8637" s="5" t="str">
        <f>IFERROR(__xludf.DUMMYFUNCTION("GOOGLETRANSLATE(B8637,""en"",""it"")"),"Un uomo ora è in casa e sta praticando le sue oscillazioni con una mazza da golf.")</f>
        <v>Un uomo ora è in casa e sta praticando le sue oscillazioni con una mazza da golf.</v>
      </c>
    </row>
    <row r="8638">
      <c r="A8638" s="4" t="s">
        <v>10860</v>
      </c>
      <c r="B8638" s="6" t="s">
        <v>10869</v>
      </c>
      <c r="C8638" s="5" t="str">
        <f>IFERROR(__xludf.DUMMYFUNCTION("GOOGLETRANSLATE(B8638,""en"",""it"")"),"Lo schermo di Outro è principalmente bianco con un design nero su di esso e il nome dell'azienda e una persona.")</f>
        <v>Lo schermo di Outro è principalmente bianco con un design nero su di esso e il nome dell'azienda e una persona.</v>
      </c>
    </row>
    <row r="8639">
      <c r="A8639" s="4" t="s">
        <v>10870</v>
      </c>
      <c r="B8639" s="4" t="s">
        <v>10871</v>
      </c>
      <c r="C8639" s="5" t="str">
        <f>IFERROR(__xludf.DUMMYFUNCTION("GOOGLETRANSLATE(B8639,""en"",""it"")"),"Una persona inizia a risolvere un cubo Rubix.")</f>
        <v>Una persona inizia a risolvere un cubo Rubix.</v>
      </c>
    </row>
    <row r="8640">
      <c r="A8640" s="4" t="s">
        <v>10870</v>
      </c>
      <c r="B8640" s="4" t="s">
        <v>10872</v>
      </c>
      <c r="C8640" s="5" t="str">
        <f>IFERROR(__xludf.DUMMYFUNCTION("GOOGLETRANSLATE(B8640,""en"",""it"")"),"Iniziano a girarlo in tutte le direzioni.")</f>
        <v>Iniziano a girarlo in tutte le direzioni.</v>
      </c>
    </row>
    <row r="8641">
      <c r="A8641" s="4" t="s">
        <v>10870</v>
      </c>
      <c r="B8641" s="4" t="s">
        <v>10873</v>
      </c>
      <c r="C8641" s="5" t="str">
        <f>IFERROR(__xludf.DUMMYFUNCTION("GOOGLETRANSLATE(B8641,""en"",""it"")"),"Hanno risolto il cubo Rubix.")</f>
        <v>Hanno risolto il cubo Rubix.</v>
      </c>
    </row>
    <row r="8642">
      <c r="A8642" s="4" t="s">
        <v>10874</v>
      </c>
      <c r="B8642" s="4" t="s">
        <v>10875</v>
      </c>
      <c r="C8642" s="5" t="str">
        <f>IFERROR(__xludf.DUMMYFUNCTION("GOOGLETRANSLATE(B8642,""en"",""it"")"),"Un gruppo di persone gioca a pallavolo d'acqua in una piscina all'aperto.")</f>
        <v>Un gruppo di persone gioca a pallavolo d'acqua in una piscina all'aperto.</v>
      </c>
    </row>
    <row r="8643">
      <c r="A8643" s="4" t="s">
        <v>10874</v>
      </c>
      <c r="B8643" s="4" t="s">
        <v>10876</v>
      </c>
      <c r="C8643" s="5" t="str">
        <f>IFERROR(__xludf.DUMMYFUNCTION("GOOGLETRANSLATE(B8643,""en"",""it"")"),"Le persone iniziano a giocare in modo competitivo con la pallavolo in acqua.")</f>
        <v>Le persone iniziano a giocare in modo competitivo con la pallavolo in acqua.</v>
      </c>
    </row>
    <row r="8644">
      <c r="A8644" s="4" t="s">
        <v>10874</v>
      </c>
      <c r="B8644" s="6" t="s">
        <v>10877</v>
      </c>
      <c r="C8644" s="5" t="str">
        <f>IFERROR(__xludf.DUMMYFUNCTION("GOOGLETRANSLATE(B8644,""en"",""it"")"),"La fotocamera cambia angolo e cattura le persone che giocano da dietro con la rete tra le persone e la telecamera.")</f>
        <v>La fotocamera cambia angolo e cattura le persone che giocano da dietro con la rete tra le persone e la telecamera.</v>
      </c>
    </row>
    <row r="8645">
      <c r="A8645" s="4" t="s">
        <v>10878</v>
      </c>
      <c r="B8645" s="4" t="s">
        <v>10879</v>
      </c>
      <c r="C8645" s="5" t="str">
        <f>IFERROR(__xludf.DUMMYFUNCTION("GOOGLETRANSLATE(B8645,""en"",""it"")"),"Una persona viene vista in ginocchio accanto a un buco di ghiaccio e si avvolge in un pesce.")</f>
        <v>Una persona viene vista in ginocchio accanto a un buco di ghiaccio e si avvolge in un pesce.</v>
      </c>
    </row>
    <row r="8646">
      <c r="A8646" s="4" t="s">
        <v>10878</v>
      </c>
      <c r="B8646" s="4" t="s">
        <v>10880</v>
      </c>
      <c r="C8646" s="5" t="str">
        <f>IFERROR(__xludf.DUMMYFUNCTION("GOOGLETRANSLATE(B8646,""en"",""it"")"),"La persona continua a scatenarsi sull'asta mentre la fotocamera si zoom è sul buco.")</f>
        <v>La persona continua a scatenarsi sull'asta mentre la fotocamera si zoom è sul buco.</v>
      </c>
    </row>
    <row r="8647">
      <c r="A8647" s="4" t="s">
        <v>10878</v>
      </c>
      <c r="B8647" s="4" t="s">
        <v>10881</v>
      </c>
      <c r="C8647" s="5" t="str">
        <f>IFERROR(__xludf.DUMMYFUNCTION("GOOGLETRANSLATE(B8647,""en"",""it"")"),"Alla fine la persona afferra il pesce e lo presenta alla telecamera.")</f>
        <v>Alla fine la persona afferra il pesce e lo presenta alla telecamera.</v>
      </c>
    </row>
    <row r="8648">
      <c r="A8648" s="4" t="s">
        <v>10882</v>
      </c>
      <c r="B8648" s="4" t="s">
        <v>10883</v>
      </c>
      <c r="C8648" s="5" t="str">
        <f>IFERROR(__xludf.DUMMYFUNCTION("GOOGLETRANSLATE(B8648,""en"",""it"")"),"Si vede un primo piano di una sedia seguita da una donna che cammina nella cornice.")</f>
        <v>Si vede un primo piano di una sedia seguita da una donna che cammina nella cornice.</v>
      </c>
    </row>
    <row r="8649">
      <c r="A8649" s="4" t="s">
        <v>10882</v>
      </c>
      <c r="B8649" s="4" t="s">
        <v>10884</v>
      </c>
      <c r="C8649" s="5" t="str">
        <f>IFERROR(__xludf.DUMMYFUNCTION("GOOGLETRANSLATE(B8649,""en"",""it"")"),"La donna si siede sulla sedia e inizia a mettere un paio di scarpe.")</f>
        <v>La donna si siede sulla sedia e inizia a mettere un paio di scarpe.</v>
      </c>
    </row>
    <row r="8650">
      <c r="A8650" s="4" t="s">
        <v>10882</v>
      </c>
      <c r="B8650" s="4" t="s">
        <v>10885</v>
      </c>
      <c r="C8650" s="5" t="str">
        <f>IFERROR(__xludf.DUMMYFUNCTION("GOOGLETRANSLATE(B8650,""en"",""it"")"),"Si mette entrambi e si alza per muovere i piedi.")</f>
        <v>Si mette entrambi e si alza per muovere i piedi.</v>
      </c>
    </row>
    <row r="8651">
      <c r="A8651" s="4" t="s">
        <v>10886</v>
      </c>
      <c r="B8651" s="6" t="s">
        <v>10887</v>
      </c>
      <c r="C8651" s="5" t="str">
        <f>IFERROR(__xludf.DUMMYFUNCTION("GOOGLETRANSLATE(B8651,""en"",""it"")"),"Un uomo viene visto in piedi prima che una partita di Hopscotch tirasse fuori e inizia a saltare lungo il sentiero mentre altri seguono.")</f>
        <v>Un uomo viene visto in piedi prima che una partita di Hopscotch tirasse fuori e inizia a saltare lungo il sentiero mentre altri seguono.</v>
      </c>
    </row>
    <row r="8652">
      <c r="A8652" s="4" t="s">
        <v>10886</v>
      </c>
      <c r="B8652" s="6" t="s">
        <v>10888</v>
      </c>
      <c r="C8652" s="5" t="str">
        <f>IFERROR(__xludf.DUMMYFUNCTION("GOOGLETRANSLATE(B8652,""en"",""it"")"),"La telecamera continua a seguire l'uomo mentre salta lungo il sentiero e ne cattura anche molti altri facendo lo stesso.")</f>
        <v>La telecamera continua a seguire l'uomo mentre salta lungo il sentiero e ne cattura anche molti altri facendo lo stesso.</v>
      </c>
    </row>
    <row r="8653">
      <c r="A8653" s="4" t="s">
        <v>10889</v>
      </c>
      <c r="B8653" s="4" t="s">
        <v>10890</v>
      </c>
      <c r="C8653" s="5" t="str">
        <f>IFERROR(__xludf.DUMMYFUNCTION("GOOGLETRANSLATE(B8653,""en"",""it"")"),"Una persona rotola sul letto e guarda il telefono.")</f>
        <v>Una persona rotola sul letto e guarda il telefono.</v>
      </c>
    </row>
    <row r="8654">
      <c r="A8654" s="4" t="s">
        <v>10889</v>
      </c>
      <c r="B8654" s="4" t="s">
        <v>10891</v>
      </c>
      <c r="C8654" s="5" t="str">
        <f>IFERROR(__xludf.DUMMYFUNCTION("GOOGLETRANSLATE(B8654,""en"",""it"")"),"Si siedono sul loro letto e si strofinano il viso.")</f>
        <v>Si siedono sul loro letto e si strofinano il viso.</v>
      </c>
    </row>
    <row r="8655">
      <c r="A8655" s="4" t="s">
        <v>10889</v>
      </c>
      <c r="B8655" s="4" t="s">
        <v>10892</v>
      </c>
      <c r="C8655" s="5" t="str">
        <f>IFERROR(__xludf.DUMMYFUNCTION("GOOGLETRANSLATE(B8655,""en"",""it"")"),"Si lavano le mani e il viso.")</f>
        <v>Si lavano le mani e il viso.</v>
      </c>
    </row>
    <row r="8656">
      <c r="A8656" s="4" t="s">
        <v>10889</v>
      </c>
      <c r="B8656" s="4" t="s">
        <v>10893</v>
      </c>
      <c r="C8656" s="5" t="str">
        <f>IFERROR(__xludf.DUMMYFUNCTION("GOOGLETRANSLATE(B8656,""en"",""it"")"),"Iniziano a rollerblad e fare trucchi.")</f>
        <v>Iniziano a rollerblad e fare trucchi.</v>
      </c>
    </row>
    <row r="8657">
      <c r="A8657" s="4" t="s">
        <v>10894</v>
      </c>
      <c r="B8657" s="4" t="s">
        <v>10895</v>
      </c>
      <c r="C8657" s="5" t="str">
        <f>IFERROR(__xludf.DUMMYFUNCTION("GOOGLETRANSLATE(B8657,""en"",""it"")"),"Vediamo una ragazza ginnasta su un raggio di equilibrio che si esibisce.")</f>
        <v>Vediamo una ragazza ginnasta su un raggio di equilibrio che si esibisce.</v>
      </c>
    </row>
    <row r="8658">
      <c r="A8658" s="4" t="s">
        <v>10894</v>
      </c>
      <c r="B8658" s="4" t="s">
        <v>10896</v>
      </c>
      <c r="C8658" s="5" t="str">
        <f>IFERROR(__xludf.DUMMYFUNCTION("GOOGLETRANSLATE(B8658,""en"",""it"")"),"La ragazza si prepara a girare e cade sul bar e si fa male.")</f>
        <v>La ragazza si prepara a girare e cade sul bar e si fa male.</v>
      </c>
    </row>
    <row r="8659">
      <c r="A8659" s="4" t="s">
        <v>10894</v>
      </c>
      <c r="B8659" s="4" t="s">
        <v>10897</v>
      </c>
      <c r="C8659" s="5" t="str">
        <f>IFERROR(__xludf.DUMMYFUNCTION("GOOGLETRANSLATE(B8659,""en"",""it"")"),"La ragazza sta piangendo e una signora viene ad aiutarla.")</f>
        <v>La ragazza sta piangendo e una signora viene ad aiutarla.</v>
      </c>
    </row>
    <row r="8660">
      <c r="A8660" s="4" t="s">
        <v>10898</v>
      </c>
      <c r="B8660" s="4" t="s">
        <v>10899</v>
      </c>
      <c r="C8660" s="5" t="str">
        <f>IFERROR(__xludf.DUMMYFUNCTION("GOOGLETRANSLATE(B8660,""en"",""it"")"),"Il trucco è mostrato su una tabella.")</f>
        <v>Il trucco è mostrato su una tabella.</v>
      </c>
    </row>
    <row r="8661">
      <c r="A8661" s="4" t="s">
        <v>10898</v>
      </c>
      <c r="B8661" s="4" t="s">
        <v>10900</v>
      </c>
      <c r="C8661" s="5" t="str">
        <f>IFERROR(__xludf.DUMMYFUNCTION("GOOGLETRANSLATE(B8661,""en"",""it"")"),"Una donna si siede sul suo letto e le applica il trucco in faccia.")</f>
        <v>Una donna si siede sul suo letto e le applica il trucco in faccia.</v>
      </c>
    </row>
    <row r="8662">
      <c r="A8662" s="4" t="s">
        <v>10898</v>
      </c>
      <c r="B8662" s="4" t="s">
        <v>10901</v>
      </c>
      <c r="C8662" s="5" t="str">
        <f>IFERROR(__xludf.DUMMYFUNCTION("GOOGLETRANSLATE(B8662,""en"",""it"")"),"Usa un grande pennello per applicare la polvere sul viso.")</f>
        <v>Usa un grande pennello per applicare la polvere sul viso.</v>
      </c>
    </row>
    <row r="8663">
      <c r="A8663" s="4" t="s">
        <v>10898</v>
      </c>
      <c r="B8663" s="4" t="s">
        <v>1972</v>
      </c>
      <c r="C8663" s="5" t="str">
        <f>IFERROR(__xludf.DUMMYFUNCTION("GOOGLETRANSLATE(B8663,""en"",""it"")"),"Mette il mascara sulle ciglia.")</f>
        <v>Mette il mascara sulle ciglia.</v>
      </c>
    </row>
    <row r="8664">
      <c r="A8664" s="4" t="s">
        <v>10898</v>
      </c>
      <c r="B8664" s="4" t="s">
        <v>1971</v>
      </c>
      <c r="C8664" s="5" t="str">
        <f>IFERROR(__xludf.DUMMYFUNCTION("GOOGLETRANSLATE(B8664,""en"",""it"")"),"Mette il rossetto sulle labbra.")</f>
        <v>Mette il rossetto sulle labbra.</v>
      </c>
    </row>
    <row r="8665">
      <c r="A8665" s="4" t="s">
        <v>10898</v>
      </c>
      <c r="B8665" s="4" t="s">
        <v>10902</v>
      </c>
      <c r="C8665" s="5" t="str">
        <f>IFERROR(__xludf.DUMMYFUNCTION("GOOGLETRANSLATE(B8665,""en"",""it"")"),"Mette uno zaino e esce dalla porta.")</f>
        <v>Mette uno zaino e esce dalla porta.</v>
      </c>
    </row>
    <row r="8666">
      <c r="A8666" s="4" t="s">
        <v>10903</v>
      </c>
      <c r="B8666" s="6" t="s">
        <v>10904</v>
      </c>
      <c r="C8666" s="5" t="str">
        <f>IFERROR(__xludf.DUMMYFUNCTION("GOOGLETRANSLATE(B8666,""en"",""it"")"),"Un uomo si avvicina a una grande montagna, con gli amici, e la sale mentre è attaccato a una corda verde fino a raggiungere la cima.")</f>
        <v>Un uomo si avvicina a una grande montagna, con gli amici, e la sale mentre è attaccato a una corda verde fino a raggiungere la cima.</v>
      </c>
    </row>
    <row r="8667">
      <c r="A8667" s="4" t="s">
        <v>10903</v>
      </c>
      <c r="B8667" s="6" t="s">
        <v>10905</v>
      </c>
      <c r="C8667" s="5" t="str">
        <f>IFERROR(__xludf.DUMMYFUNCTION("GOOGLETRANSLATE(B8667,""en"",""it"")"),"Un gruppo di giovani si avvicina alla base di una montagna e pose le loro cose dove sorridono e si preparano a scalare la montagna.")</f>
        <v>Un gruppo di giovani si avvicina alla base di una montagna e pose le loro cose dove sorridono e si preparano a scalare la montagna.</v>
      </c>
    </row>
    <row r="8668">
      <c r="A8668" s="4" t="s">
        <v>10903</v>
      </c>
      <c r="B8668" s="6" t="s">
        <v>10906</v>
      </c>
      <c r="C8668" s="5" t="str">
        <f>IFERROR(__xludf.DUMMYFUNCTION("GOOGLETRANSLATE(B8668,""en"",""it"")"),"Una lunga corda verde viene mostrata su una grande roccia dopo la quale un uomo in occhiali inizia a scalare una montagna usando ganci di metallo nella montagna e i suoi piedi per scalare la montagna.")</f>
        <v>Una lunga corda verde viene mostrata su una grande roccia dopo la quale un uomo in occhiali inizia a scalare una montagna usando ganci di metallo nella montagna e i suoi piedi per scalare la montagna.</v>
      </c>
    </row>
    <row r="8669">
      <c r="A8669" s="4" t="s">
        <v>10903</v>
      </c>
      <c r="B8669" s="4" t="s">
        <v>10907</v>
      </c>
      <c r="C8669" s="5" t="str">
        <f>IFERROR(__xludf.DUMMYFUNCTION("GOOGLETRANSLATE(B8669,""en"",""it"")"),"L'uomo sorride e dà alla telecamera un pollice in su quando arriva in cima alla montagna.")</f>
        <v>L'uomo sorride e dà alla telecamera un pollice in su quando arriva in cima alla montagna.</v>
      </c>
    </row>
    <row r="8670">
      <c r="A8670" s="4" t="s">
        <v>10908</v>
      </c>
      <c r="B8670" s="4" t="s">
        <v>10909</v>
      </c>
      <c r="C8670" s="5" t="str">
        <f>IFERROR(__xludf.DUMMYFUNCTION("GOOGLETRANSLATE(B8670,""en"",""it"")"),"Un uomo e una donna escono sul molo di una barca.")</f>
        <v>Un uomo e una donna escono sul molo di una barca.</v>
      </c>
    </row>
    <row r="8671">
      <c r="A8671" s="4" t="s">
        <v>10908</v>
      </c>
      <c r="B8671" s="4" t="s">
        <v>10910</v>
      </c>
      <c r="C8671" s="5" t="str">
        <f>IFERROR(__xludf.DUMMYFUNCTION("GOOGLETRANSLATE(B8671,""en"",""it"")"),"Stanno giocando un gioco ampio.")</f>
        <v>Stanno giocando un gioco ampio.</v>
      </c>
    </row>
    <row r="8672">
      <c r="A8672" s="4" t="s">
        <v>10908</v>
      </c>
      <c r="B8672" s="4" t="s">
        <v>10911</v>
      </c>
      <c r="C8672" s="5" t="str">
        <f>IFERROR(__xludf.DUMMYFUNCTION("GOOGLETRANSLATE(B8672,""en"",""it"")"),"La donna spinge il disco, che scivola nella telecamera.")</f>
        <v>La donna spinge il disco, che scivola nella telecamera.</v>
      </c>
    </row>
    <row r="8673">
      <c r="A8673" s="4" t="s">
        <v>10908</v>
      </c>
      <c r="B8673" s="4" t="s">
        <v>10912</v>
      </c>
      <c r="C8673" s="5" t="str">
        <f>IFERROR(__xludf.DUMMYFUNCTION("GOOGLETRANSLATE(B8673,""en"",""it"")"),"La scena è ripetuta al rallentatore.")</f>
        <v>La scena è ripetuta al rallentatore.</v>
      </c>
    </row>
    <row r="8674">
      <c r="A8674" s="4" t="s">
        <v>10913</v>
      </c>
      <c r="B8674" s="4" t="s">
        <v>10914</v>
      </c>
      <c r="C8674" s="5" t="str">
        <f>IFERROR(__xludf.DUMMYFUNCTION("GOOGLETRANSLATE(B8674,""en"",""it"")"),"Un uomo con una camicia bianca è in piedi accanto a barre parallele.")</f>
        <v>Un uomo con una camicia bianca è in piedi accanto a barre parallele.</v>
      </c>
    </row>
    <row r="8675">
      <c r="A8675" s="4" t="s">
        <v>10913</v>
      </c>
      <c r="B8675" s="4" t="s">
        <v>10915</v>
      </c>
      <c r="C8675" s="5" t="str">
        <f>IFERROR(__xludf.DUMMYFUNCTION("GOOGLETRANSLATE(B8675,""en"",""it"")"),"Un ragazzo salta sulle barre parallele e inizia a oscillare avanti e indietro.")</f>
        <v>Un ragazzo salta sulle barre parallele e inizia a oscillare avanti e indietro.</v>
      </c>
    </row>
    <row r="8676">
      <c r="A8676" s="4" t="s">
        <v>10913</v>
      </c>
      <c r="B8676" s="4" t="s">
        <v>10916</v>
      </c>
      <c r="C8676" s="5" t="str">
        <f>IFERROR(__xludf.DUMMYFUNCTION("GOOGLETRANSLATE(B8676,""en"",""it"")"),"Il ragazzo inizia a fare una routine sulle barre parallele.")</f>
        <v>Il ragazzo inizia a fare una routine sulle barre parallele.</v>
      </c>
    </row>
    <row r="8677">
      <c r="A8677" s="4" t="s">
        <v>10917</v>
      </c>
      <c r="B8677" s="4" t="s">
        <v>10918</v>
      </c>
      <c r="C8677" s="5" t="str">
        <f>IFERROR(__xludf.DUMMYFUNCTION("GOOGLETRANSLATE(B8677,""en"",""it"")"),"Un uomo viene visto usando uno straccio bagnato su una finestra e muove il detergente intorno al vetro.")</f>
        <v>Un uomo viene visto usando uno straccio bagnato su una finestra e muove il detergente intorno al vetro.</v>
      </c>
    </row>
    <row r="8678">
      <c r="A8678" s="4" t="s">
        <v>10917</v>
      </c>
      <c r="B8678" s="6" t="s">
        <v>10919</v>
      </c>
      <c r="C8678" s="5" t="str">
        <f>IFERROR(__xludf.DUMMYFUNCTION("GOOGLETRANSLATE(B8678,""en"",""it"")"),"Si immerge continuamente l'oggetto in pulizia e pulisce intorno al vetro mentre usa uno straccio vicino.")</f>
        <v>Si immerge continuamente l'oggetto in pulizia e pulisce intorno al vetro mentre usa uno straccio vicino.</v>
      </c>
    </row>
    <row r="8679">
      <c r="A8679" s="4" t="s">
        <v>10920</v>
      </c>
      <c r="B8679" s="4" t="s">
        <v>10921</v>
      </c>
      <c r="C8679" s="5" t="str">
        <f>IFERROR(__xludf.DUMMYFUNCTION("GOOGLETRANSLATE(B8679,""en"",""it"")"),"Un uomo che tiene il suo Kayak Talk alla telecamera.")</f>
        <v>Un uomo che tiene il suo Kayak Talk alla telecamera.</v>
      </c>
    </row>
    <row r="8680">
      <c r="A8680" s="4" t="s">
        <v>10920</v>
      </c>
      <c r="B8680" s="4" t="s">
        <v>10922</v>
      </c>
      <c r="C8680" s="5" t="str">
        <f>IFERROR(__xludf.DUMMYFUNCTION("GOOGLETRANSLATE(B8680,""en"",""it"")"),"È nel suo kayak remante a valle.")</f>
        <v>È nel suo kayak remante a valle.</v>
      </c>
    </row>
    <row r="8681">
      <c r="A8681" s="4" t="s">
        <v>10920</v>
      </c>
      <c r="B8681" s="4" t="s">
        <v>10923</v>
      </c>
      <c r="C8681" s="5" t="str">
        <f>IFERROR(__xludf.DUMMYFUNCTION("GOOGLETRANSLATE(B8681,""en"",""it"")"),"Un altro vogatore lo passa e fa un lancio.")</f>
        <v>Un altro vogatore lo passa e fa un lancio.</v>
      </c>
    </row>
    <row r="8682">
      <c r="A8682" s="4" t="s">
        <v>10920</v>
      </c>
      <c r="B8682" s="4" t="s">
        <v>10924</v>
      </c>
      <c r="C8682" s="5" t="str">
        <f>IFERROR(__xludf.DUMMYFUNCTION("GOOGLETRANSLATE(B8682,""en"",""it"")"),"Parla di nuovo con la telecamera.")</f>
        <v>Parla di nuovo con la telecamera.</v>
      </c>
    </row>
    <row r="8683">
      <c r="A8683" s="4" t="s">
        <v>10920</v>
      </c>
      <c r="B8683" s="4" t="s">
        <v>10925</v>
      </c>
      <c r="C8683" s="5" t="str">
        <f>IFERROR(__xludf.DUMMYFUNCTION("GOOGLETRANSLATE(B8683,""en"",""it"")"),"Vediamo il parcheggio dalla telecamera.")</f>
        <v>Vediamo il parcheggio dalla telecamera.</v>
      </c>
    </row>
    <row r="8684">
      <c r="A8684" s="4" t="s">
        <v>10920</v>
      </c>
      <c r="B8684" s="4" t="s">
        <v>10926</v>
      </c>
      <c r="C8684" s="5" t="str">
        <f>IFERROR(__xludf.DUMMYFUNCTION("GOOGLETRANSLATE(B8684,""en"",""it"")"),"Di nuovo in acqua passando una cascata.")</f>
        <v>Di nuovo in acqua passando una cascata.</v>
      </c>
    </row>
    <row r="8685">
      <c r="A8685" s="4" t="s">
        <v>10920</v>
      </c>
      <c r="B8685" s="4" t="s">
        <v>10927</v>
      </c>
      <c r="C8685" s="5" t="str">
        <f>IFERROR(__xludf.DUMMYFUNCTION("GOOGLETRANSLATE(B8685,""en"",""it"")"),"Parlando di nuovo alla telecamera.")</f>
        <v>Parlando di nuovo alla telecamera.</v>
      </c>
    </row>
    <row r="8686">
      <c r="A8686" s="4" t="s">
        <v>10920</v>
      </c>
      <c r="B8686" s="4" t="s">
        <v>10928</v>
      </c>
      <c r="C8686" s="5" t="str">
        <f>IFERROR(__xludf.DUMMYFUNCTION("GOOGLETRANSLATE(B8686,""en"",""it"")"),"Colpi di punto di vista dal suo kayak.")</f>
        <v>Colpi di punto di vista dal suo kayak.</v>
      </c>
    </row>
    <row r="8687">
      <c r="A8687" s="4" t="s">
        <v>10920</v>
      </c>
      <c r="B8687" s="4" t="s">
        <v>10929</v>
      </c>
      <c r="C8687" s="5" t="str">
        <f>IFERROR(__xludf.DUMMYFUNCTION("GOOGLETRANSLATE(B8687,""en"",""it"")"),"Talking Head mentre parla in modo molto animale con la telecamera.")</f>
        <v>Talking Head mentre parla in modo molto animale con la telecamera.</v>
      </c>
    </row>
    <row r="8688">
      <c r="A8688" s="4" t="s">
        <v>10920</v>
      </c>
      <c r="B8688" s="4" t="s">
        <v>10930</v>
      </c>
      <c r="C8688" s="5" t="str">
        <f>IFERROR(__xludf.DUMMYFUNCTION("GOOGLETRANSLATE(B8688,""en"",""it"")"),"Punto di vista dalla barca a seguito di un altro vogatore.")</f>
        <v>Punto di vista dalla barca a seguito di un altro vogatore.</v>
      </c>
    </row>
    <row r="8689">
      <c r="A8689" s="4" t="s">
        <v>10920</v>
      </c>
      <c r="B8689" s="6" t="s">
        <v>10931</v>
      </c>
      <c r="C8689" s="5" t="str">
        <f>IFERROR(__xludf.DUMMYFUNCTION("GOOGLETRANSLATE(B8689,""en"",""it"")"),"Talking Head intervallata da colpi dell'acqua che illustrano le tecniche di cui parla nei suoi colpi di testa parlante.")</f>
        <v>Talking Head intervallata da colpi dell'acqua che illustrano le tecniche di cui parla nei suoi colpi di testa parlante.</v>
      </c>
    </row>
    <row r="8690">
      <c r="A8690" s="4" t="s">
        <v>10932</v>
      </c>
      <c r="B8690" s="6" t="s">
        <v>10933</v>
      </c>
      <c r="C8690" s="5" t="str">
        <f>IFERROR(__xludf.DUMMYFUNCTION("GOOGLETRANSLATE(B8690,""en"",""it"")"),"Due persone si vedono parlare tra loro e conducono in un uomo in piedi sul bordo e saltando.")</f>
        <v>Due persone si vedono parlare tra loro e conducono in un uomo in piedi sul bordo e saltando.</v>
      </c>
    </row>
    <row r="8691">
      <c r="A8691" s="4" t="s">
        <v>10932</v>
      </c>
      <c r="B8691" s="6" t="s">
        <v>10934</v>
      </c>
      <c r="C8691" s="5" t="str">
        <f>IFERROR(__xludf.DUMMYFUNCTION("GOOGLETRANSLATE(B8691,""en"",""it"")"),"Il salto dell'uomo viene mostrato più volte da una fotocamera diversa mentre salta di lato e torna di nuovo.")</f>
        <v>Il salto dell'uomo viene mostrato più volte da una fotocamera diversa mentre salta di lato e torna di nuovo.</v>
      </c>
    </row>
    <row r="8692">
      <c r="A8692" s="4" t="s">
        <v>10935</v>
      </c>
      <c r="B8692" s="4" t="s">
        <v>10936</v>
      </c>
      <c r="C8692" s="5" t="str">
        <f>IFERROR(__xludf.DUMMYFUNCTION("GOOGLETRANSLATE(B8692,""en"",""it"")"),"Un gruppo di persone sta costruendo castelli di sabbia sulla spiaggia.")</f>
        <v>Un gruppo di persone sta costruendo castelli di sabbia sulla spiaggia.</v>
      </c>
    </row>
    <row r="8693">
      <c r="A8693" s="4" t="s">
        <v>10935</v>
      </c>
      <c r="B8693" s="4" t="s">
        <v>10937</v>
      </c>
      <c r="C8693" s="5" t="str">
        <f>IFERROR(__xludf.DUMMYFUNCTION("GOOGLETRANSLATE(B8693,""en"",""it"")"),"Una ragazza saluta la telecamera.")</f>
        <v>Una ragazza saluta la telecamera.</v>
      </c>
    </row>
    <row r="8694">
      <c r="A8694" s="4" t="s">
        <v>10935</v>
      </c>
      <c r="B8694" s="4" t="s">
        <v>10938</v>
      </c>
      <c r="C8694" s="5" t="str">
        <f>IFERROR(__xludf.DUMMYFUNCTION("GOOGLETRANSLATE(B8694,""en"",""it"")"),"Un uomo viene visto scavare nella sabbia.")</f>
        <v>Un uomo viene visto scavare nella sabbia.</v>
      </c>
    </row>
    <row r="8695">
      <c r="A8695" s="4" t="s">
        <v>10935</v>
      </c>
      <c r="B8695" s="4" t="s">
        <v>10939</v>
      </c>
      <c r="C8695" s="5" t="str">
        <f>IFERROR(__xludf.DUMMYFUNCTION("GOOGLETRANSLATE(B8695,""en"",""it"")"),"Una ragazza viene vista guardare attraverso una borsa da spiaggia.")</f>
        <v>Una ragazza viene vista guardare attraverso una borsa da spiaggia.</v>
      </c>
    </row>
    <row r="8696">
      <c r="A8696" s="4" t="s">
        <v>10935</v>
      </c>
      <c r="B8696" s="4" t="s">
        <v>10940</v>
      </c>
      <c r="C8696" s="5" t="str">
        <f>IFERROR(__xludf.DUMMYFUNCTION("GOOGLETRANSLATE(B8696,""en"",""it"")"),"La ragazza trova quello che sta cercando.")</f>
        <v>La ragazza trova quello che sta cercando.</v>
      </c>
    </row>
    <row r="8697">
      <c r="A8697" s="4" t="s">
        <v>10941</v>
      </c>
      <c r="B8697" s="4" t="s">
        <v>10942</v>
      </c>
      <c r="C8697" s="5" t="str">
        <f>IFERROR(__xludf.DUMMYFUNCTION("GOOGLETRANSLATE(B8697,""en"",""it"")"),"Vediamo due immagini del tetto fianco a fianco.")</f>
        <v>Vediamo due immagini del tetto fianco a fianco.</v>
      </c>
    </row>
    <row r="8698">
      <c r="A8698" s="4" t="s">
        <v>10941</v>
      </c>
      <c r="B8698" s="4" t="s">
        <v>10943</v>
      </c>
      <c r="C8698" s="5" t="str">
        <f>IFERROR(__xludf.DUMMYFUNCTION("GOOGLETRANSLATE(B8698,""en"",""it"")"),"Vediamo quindi le immagini di un tetto.")</f>
        <v>Vediamo quindi le immagini di un tetto.</v>
      </c>
    </row>
    <row r="8699">
      <c r="A8699" s="4" t="s">
        <v>10941</v>
      </c>
      <c r="B8699" s="4" t="s">
        <v>10944</v>
      </c>
      <c r="C8699" s="5" t="str">
        <f>IFERROR(__xludf.DUMMYFUNCTION("GOOGLETRANSLATE(B8699,""en"",""it"")"),"Vediamo il tetto da vicino e vediamo il muschio che cresce su di esso.")</f>
        <v>Vediamo il tetto da vicino e vediamo il muschio che cresce su di esso.</v>
      </c>
    </row>
    <row r="8700">
      <c r="A8700" s="4" t="s">
        <v>10941</v>
      </c>
      <c r="B8700" s="4" t="s">
        <v>10945</v>
      </c>
      <c r="C8700" s="5" t="str">
        <f>IFERROR(__xludf.DUMMYFUNCTION("GOOGLETRANSLATE(B8700,""en"",""it"")"),"Vediamo l'isolamento e il tetto che viene installato.")</f>
        <v>Vediamo l'isolamento e il tetto che viene installato.</v>
      </c>
    </row>
    <row r="8701">
      <c r="A8701" s="4" t="s">
        <v>10941</v>
      </c>
      <c r="B8701" s="4" t="s">
        <v>10946</v>
      </c>
      <c r="C8701" s="5" t="str">
        <f>IFERROR(__xludf.DUMMYFUNCTION("GOOGLETRANSLATE(B8701,""en"",""it"")"),"Un uomo sta fregando il tetto in posizione.")</f>
        <v>Un uomo sta fregando il tetto in posizione.</v>
      </c>
    </row>
    <row r="8702">
      <c r="A8702" s="4" t="s">
        <v>10941</v>
      </c>
      <c r="B8702" s="4" t="s">
        <v>10947</v>
      </c>
      <c r="C8702" s="5" t="str">
        <f>IFERROR(__xludf.DUMMYFUNCTION("GOOGLETRANSLATE(B8702,""en"",""it"")"),"Vediamo il nuovo tetto finito.")</f>
        <v>Vediamo il nuovo tetto finito.</v>
      </c>
    </row>
    <row r="8703">
      <c r="A8703" s="4" t="s">
        <v>10941</v>
      </c>
      <c r="B8703" s="4" t="s">
        <v>10948</v>
      </c>
      <c r="C8703" s="5" t="str">
        <f>IFERROR(__xludf.DUMMYFUNCTION("GOOGLETRANSLATE(B8703,""en"",""it"")"),"Vediamo i crediti dello schermo finale.")</f>
        <v>Vediamo i crediti dello schermo finale.</v>
      </c>
    </row>
    <row r="8704">
      <c r="A8704" s="4" t="s">
        <v>10949</v>
      </c>
      <c r="B8704" s="6" t="s">
        <v>10950</v>
      </c>
      <c r="C8704" s="5" t="str">
        <f>IFERROR(__xludf.DUMMYFUNCTION("GOOGLETRANSLATE(B8704,""en"",""it"")"),"Una persona si alza sulle mani su un trampolino sopra una piscina, poi il ragazzo si lancia in aria e si tuffa nell'acqua.")</f>
        <v>Una persona si alza sulle mani su un trampolino sopra una piscina, poi il ragazzo si lancia in aria e si tuffa nell'acqua.</v>
      </c>
    </row>
    <row r="8705">
      <c r="A8705" s="4" t="s">
        <v>10949</v>
      </c>
      <c r="B8705" s="6" t="s">
        <v>10951</v>
      </c>
      <c r="C8705" s="5" t="str">
        <f>IFERROR(__xludf.DUMMYFUNCTION("GOOGLETRANSLATE(B8705,""en"",""it"")"),"Dopo, il ragazzo si trova sul trampolino con la parte posteriore di fronte alla piscina, quindi salta, si lancia e si tuffa nell'acqua.")</f>
        <v>Dopo, il ragazzo si trova sul trampolino con la parte posteriore di fronte alla piscina, quindi salta, si lancia e si tuffa nell'acqua.</v>
      </c>
    </row>
    <row r="8706">
      <c r="A8706" s="4" t="s">
        <v>10949</v>
      </c>
      <c r="B8706" s="6" t="s">
        <v>10952</v>
      </c>
      <c r="C8706" s="5" t="str">
        <f>IFERROR(__xludf.DUMMYFUNCTION("GOOGLETRANSLATE(B8706,""en"",""it"")"),"Ora, il ragazzo si trova sul trampolino di fronte alla piscina, quindi salta, lancia e si tuffa nell'acqua, quindi fai lo stesso ma questa volta con la parte posteriore rivolta verso la piscina.")</f>
        <v>Ora, il ragazzo si trova sul trampolino di fronte alla piscina, quindi salta, lancia e si tuffa nell'acqua, quindi fai lo stesso ma questa volta con la parte posteriore rivolta verso la piscina.</v>
      </c>
    </row>
    <row r="8707">
      <c r="A8707" s="4" t="s">
        <v>10949</v>
      </c>
      <c r="B8707" s="6" t="s">
        <v>10953</v>
      </c>
      <c r="C8707" s="5" t="str">
        <f>IFERROR(__xludf.DUMMYFUNCTION("GOOGLETRANSLATE(B8707,""en"",""it"")"),"Alla fine, il ragazzo entra nel trampolino correndo e gira in aria, quindi si trova sul trampolino e si lancia e finisce le immersioni in acqua.")</f>
        <v>Alla fine, il ragazzo entra nel trampolino correndo e gira in aria, quindi si trova sul trampolino e si lancia e finisce le immersioni in acqua.</v>
      </c>
    </row>
    <row r="8708">
      <c r="A8708" s="4" t="s">
        <v>10954</v>
      </c>
      <c r="B8708" s="6" t="s">
        <v>10955</v>
      </c>
      <c r="C8708" s="5" t="str">
        <f>IFERROR(__xludf.DUMMYFUNCTION("GOOGLETRANSLATE(B8708,""en"",""it"")"),"Viene visto un uomo parlare alla telecamera mentre conduce in varie foto del parlare e del fumo.")</f>
        <v>Viene visto un uomo parlare alla telecamera mentre conduce in varie foto del parlare e del fumo.</v>
      </c>
    </row>
    <row r="8709">
      <c r="A8709" s="4" t="s">
        <v>10954</v>
      </c>
      <c r="B8709" s="6" t="s">
        <v>10956</v>
      </c>
      <c r="C8709" s="5" t="str">
        <f>IFERROR(__xludf.DUMMYFUNCTION("GOOGLETRANSLATE(B8709,""en"",""it"")"),"L'uomo continua a parlare mentre mostra le immagini in modo intermittente del fumo e delle sigarette ravvicinate.")</f>
        <v>L'uomo continua a parlare mentre mostra le immagini in modo intermittente del fumo e delle sigarette ravvicinate.</v>
      </c>
    </row>
    <row r="8710">
      <c r="A8710" s="4" t="s">
        <v>10957</v>
      </c>
      <c r="B8710" s="4" t="s">
        <v>10958</v>
      </c>
      <c r="C8710" s="5" t="str">
        <f>IFERROR(__xludf.DUMMYFUNCTION("GOOGLETRANSLATE(B8710,""en"",""it"")"),"Un uomo sta accanto alla sua auto ghiacciata.")</f>
        <v>Un uomo sta accanto alla sua auto ghiacciata.</v>
      </c>
    </row>
    <row r="8711">
      <c r="A8711" s="4" t="s">
        <v>10957</v>
      </c>
      <c r="B8711" s="4" t="s">
        <v>10959</v>
      </c>
      <c r="C8711" s="5" t="str">
        <f>IFERROR(__xludf.DUMMYFUNCTION("GOOGLETRANSLATE(B8711,""en"",""it"")"),"Raccogli l'intero foglio a terra, osservandolo frantumarsi.")</f>
        <v>Raccogli l'intero foglio a terra, osservandolo frantumarsi.</v>
      </c>
    </row>
    <row r="8712">
      <c r="A8712" s="4" t="s">
        <v>10960</v>
      </c>
      <c r="B8712" s="6" t="s">
        <v>10961</v>
      </c>
      <c r="C8712" s="5" t="str">
        <f>IFERROR(__xludf.DUMMYFUNCTION("GOOGLETRANSLATE(B8712,""en"",""it"")"),"Una ginnasta esegue una routine di ginnastica del raggio di equilibrio in un evento sportivo professionale con un pubblico nelle gradinate.")</f>
        <v>Una ginnasta esegue una routine di ginnastica del raggio di equilibrio in un evento sportivo professionale con un pubblico nelle gradinate.</v>
      </c>
    </row>
    <row r="8713">
      <c r="A8713" s="4" t="s">
        <v>10960</v>
      </c>
      <c r="B8713" s="6" t="s">
        <v>10962</v>
      </c>
      <c r="C8713" s="5" t="str">
        <f>IFERROR(__xludf.DUMMYFUNCTION("GOOGLETRANSLATE(B8713,""en"",""it"")"),"Una ragazza si trova di fronte a un raggio di equilibrio in un abito da ginnasta e salta sul raggio in cui inizia a eseguire una routine di ginnastica sul raggio di equilibrio.")</f>
        <v>Una ragazza si trova di fronte a un raggio di equilibrio in un abito da ginnasta e salta sul raggio in cui inizia a eseguire una routine di ginnastica sul raggio di equilibrio.</v>
      </c>
    </row>
    <row r="8714">
      <c r="A8714" s="4" t="s">
        <v>10960</v>
      </c>
      <c r="B8714" s="6" t="s">
        <v>10963</v>
      </c>
      <c r="C8714" s="5" t="str">
        <f>IFERROR(__xludf.DUMMYFUNCTION("GOOGLETRANSLATE(B8714,""en"",""it"")"),"La ragazza si trova sul raggio e esegue le gite sul raggio prima di atterrare un'ultima schiena dalla trave dove atterra su un tappetino ed esce dall'area di fronte a un pubblico in gradinate.")</f>
        <v>La ragazza si trova sul raggio e esegue le gite sul raggio prima di atterrare un'ultima schiena dalla trave dove atterra su un tappetino ed esce dall'area di fronte a un pubblico in gradinate.</v>
      </c>
    </row>
    <row r="8715">
      <c r="A8715" s="4" t="s">
        <v>10964</v>
      </c>
      <c r="B8715" s="4" t="s">
        <v>10965</v>
      </c>
      <c r="C8715" s="5" t="str">
        <f>IFERROR(__xludf.DUMMYFUNCTION("GOOGLETRANSLATE(B8715,""en"",""it"")"),"Una donna fa appoggiare davanti a un campo in una palestra di basket.")</f>
        <v>Una donna fa appoggiare davanti a un campo in una palestra di basket.</v>
      </c>
    </row>
    <row r="8716">
      <c r="A8716" s="4" t="s">
        <v>10964</v>
      </c>
      <c r="B8716" s="4" t="s">
        <v>10966</v>
      </c>
      <c r="C8716" s="5" t="str">
        <f>IFERROR(__xludf.DUMMYFUNCTION("GOOGLETRANSLATE(B8716,""en"",""it"")"),"È una majortte, lanciando e getta il testimone in aria.")</f>
        <v>È una majortte, lanciando e getta il testimone in aria.</v>
      </c>
    </row>
    <row r="8717">
      <c r="A8717" s="4" t="s">
        <v>10964</v>
      </c>
      <c r="B8717" s="4" t="s">
        <v>10967</v>
      </c>
      <c r="C8717" s="5" t="str">
        <f>IFERROR(__xludf.DUMMYFUNCTION("GOOGLETRANSLATE(B8717,""en"",""it"")"),"La folla osserva mentre si lancia, lancia e si gira.")</f>
        <v>La folla osserva mentre si lancia, lancia e si gira.</v>
      </c>
    </row>
    <row r="8718">
      <c r="A8718" s="4" t="s">
        <v>10968</v>
      </c>
      <c r="B8718" s="6" t="s">
        <v>10969</v>
      </c>
      <c r="C8718" s="5" t="str">
        <f>IFERROR(__xludf.DUMMYFUNCTION("GOOGLETRANSLATE(B8718,""en"",""it"")"),"Clip più brevi giocano con diverse mosse di hockey e i nomi delle mosse appaiono sullo schermo con esso.")</f>
        <v>Clip più brevi giocano con diverse mosse di hockey e i nomi delle mosse appaiono sullo schermo con esso.</v>
      </c>
    </row>
    <row r="8719">
      <c r="A8719" s="4" t="s">
        <v>10968</v>
      </c>
      <c r="B8719" s="6" t="s">
        <v>10970</v>
      </c>
      <c r="C8719" s="5" t="str">
        <f>IFERROR(__xludf.DUMMYFUNCTION("GOOGLETRANSLATE(B8719,""en"",""it"")"),"Quando le clip vengono eseguite nella schermata introduttiva appare con una nuvola e il terreno di hockey come sfondo, il logo NHL e le parole ""abilità di hockey"".")</f>
        <v>Quando le clip vengono eseguite nella schermata introduttiva appare con una nuvola e il terreno di hockey come sfondo, il logo NHL e le parole "abilità di hockey".</v>
      </c>
    </row>
    <row r="8720">
      <c r="A8720" s="4" t="s">
        <v>10968</v>
      </c>
      <c r="B8720" s="6" t="s">
        <v>10971</v>
      </c>
      <c r="C8720" s="5" t="str">
        <f>IFERROR(__xludf.DUMMYFUNCTION("GOOGLETRANSLATE(B8720,""en"",""it"")"),"Un gruppo di persone che indossano tutte le loro attrezzature da hockey sono in piedi o si inginocchiano a terra mentre lo sguardo su un uomo che è in piedi e parla senza un elmetto in testa e le parole sullo schermo dicono che il suo nome è ""Kevin Weeke"&amp;"s"".")</f>
        <v>Un gruppo di persone che indossano tutte le loro attrezzature da hockey sono in piedi o si inginocchiano a terra mentre lo sguardo su un uomo che è in piedi e parla senza un elmetto in testa e le parole sullo schermo dicono che il suo nome è "Kevin Weekes".</v>
      </c>
    </row>
    <row r="8721">
      <c r="A8721" s="4" t="s">
        <v>10968</v>
      </c>
      <c r="B8721" s="6" t="s">
        <v>10972</v>
      </c>
      <c r="C8721" s="5" t="str">
        <f>IFERROR(__xludf.DUMMYFUNCTION("GOOGLETRANSLATE(B8721,""en"",""it"")"),"L'uomo inizia a dimostrare diverse mosse diverse vicino all'obiettivo e continua a parlare durante tutte le manifestazioni mentre il resto della gente lo guarda.")</f>
        <v>L'uomo inizia a dimostrare diverse mosse diverse vicino all'obiettivo e continua a parlare durante tutte le manifestazioni mentre il resto della gente lo guarda.</v>
      </c>
    </row>
    <row r="8722">
      <c r="A8722" s="4" t="s">
        <v>10968</v>
      </c>
      <c r="B8722" s="6" t="s">
        <v>10973</v>
      </c>
      <c r="C8722" s="5" t="str">
        <f>IFERROR(__xludf.DUMMYFUNCTION("GOOGLETRANSLATE(B8722,""en"",""it"")"),"Quando l'uomo ha finito di parlare e dimostrare altre persone nel gruppo, salgono all'obiettivo separatamente e ognuno di loro fa ciò che stavano dimostrando.")</f>
        <v>Quando l'uomo ha finito di parlare e dimostrare altre persone nel gruppo, salgono all'obiettivo separatamente e ognuno di loro fa ciò che stavano dimostrando.</v>
      </c>
    </row>
    <row r="8723">
      <c r="A8723" s="4" t="s">
        <v>10968</v>
      </c>
      <c r="B8723" s="6" t="s">
        <v>10974</v>
      </c>
      <c r="C8723" s="5" t="str">
        <f>IFERROR(__xludf.DUMMYFUNCTION("GOOGLETRANSLATE(B8723,""en"",""it"")"),"Appare uno schermo con uno sfondo di nuvole in cima e pista di hockey nella parte inferiore con il logo nel mezzo e le parole ""abilità di hockey"".")</f>
        <v>Appare uno schermo con uno sfondo di nuvole in cima e pista di hockey nella parte inferiore con il logo nel mezzo e le parole "abilità di hockey".</v>
      </c>
    </row>
    <row r="8724">
      <c r="A8724" s="4" t="s">
        <v>10975</v>
      </c>
      <c r="B8724" s="4" t="s">
        <v>10976</v>
      </c>
      <c r="C8724" s="5" t="str">
        <f>IFERROR(__xludf.DUMMYFUNCTION("GOOGLETRANSLATE(B8724,""en"",""it"")"),"Una donna viene vista mostrare un bicchiere di miele.")</f>
        <v>Una donna viene vista mostrare un bicchiere di miele.</v>
      </c>
    </row>
    <row r="8725">
      <c r="A8725" s="4" t="s">
        <v>10975</v>
      </c>
      <c r="B8725" s="4" t="s">
        <v>10977</v>
      </c>
      <c r="C8725" s="5" t="str">
        <f>IFERROR(__xludf.DUMMYFUNCTION("GOOGLETRANSLATE(B8725,""en"",""it"")"),"Mostra la bottiglia di miele e una ciotola d'acqua e un asciugamano.")</f>
        <v>Mostra la bottiglia di miele e una ciotola d'acqua e un asciugamano.</v>
      </c>
    </row>
    <row r="8726">
      <c r="A8726" s="4" t="s">
        <v>10975</v>
      </c>
      <c r="B8726" s="4" t="s">
        <v>10978</v>
      </c>
      <c r="C8726" s="5" t="str">
        <f>IFERROR(__xludf.DUMMYFUNCTION("GOOGLETRANSLATE(B8726,""en"",""it"")"),"Mostra i suoi capelli tirati indietro.")</f>
        <v>Mostra i suoi capelli tirati indietro.</v>
      </c>
    </row>
    <row r="8727">
      <c r="A8727" s="4" t="s">
        <v>10975</v>
      </c>
      <c r="B8727" s="4" t="s">
        <v>10979</v>
      </c>
      <c r="C8727" s="5" t="str">
        <f>IFERROR(__xludf.DUMMYFUNCTION("GOOGLETRANSLATE(B8727,""en"",""it"")"),"Apre la bottiglia di miele e la torna su tutto il viso.")</f>
        <v>Apre la bottiglia di miele e la torna su tutto il viso.</v>
      </c>
    </row>
    <row r="8728">
      <c r="A8728" s="4" t="s">
        <v>10975</v>
      </c>
      <c r="B8728" s="4" t="s">
        <v>10980</v>
      </c>
      <c r="C8728" s="5" t="str">
        <f>IFERROR(__xludf.DUMMYFUNCTION("GOOGLETRANSLATE(B8728,""en"",""it"")"),"Solleva un gatto.")</f>
        <v>Solleva un gatto.</v>
      </c>
    </row>
    <row r="8729">
      <c r="A8729" s="4" t="s">
        <v>10975</v>
      </c>
      <c r="B8729" s="4" t="s">
        <v>10981</v>
      </c>
      <c r="C8729" s="5" t="str">
        <f>IFERROR(__xludf.DUMMYFUNCTION("GOOGLETRANSLATE(B8729,""en"",""it"")"),"Ritorna a fare il volto e aspetta in anticipo.")</f>
        <v>Ritorna a fare il volto e aspetta in anticipo.</v>
      </c>
    </row>
    <row r="8730">
      <c r="A8730" s="4" t="s">
        <v>10975</v>
      </c>
      <c r="B8730" s="4" t="s">
        <v>10982</v>
      </c>
      <c r="C8730" s="5" t="str">
        <f>IFERROR(__xludf.DUMMYFUNCTION("GOOGLETRANSLATE(B8730,""en"",""it"")"),"Mentre aspetta, suona alcuni strumenti e con il suo gatto.")</f>
        <v>Mentre aspetta, suona alcuni strumenti e con il suo gatto.</v>
      </c>
    </row>
    <row r="8731">
      <c r="A8731" s="4" t="s">
        <v>10975</v>
      </c>
      <c r="B8731" s="4" t="s">
        <v>10983</v>
      </c>
      <c r="C8731" s="5" t="str">
        <f>IFERROR(__xludf.DUMMYFUNCTION("GOOGLETRANSLATE(B8731,""en"",""it"")"),"Alla fine, si sciacqua il viso con l'acqua e si asciuga il viso con un asciugamano.")</f>
        <v>Alla fine, si sciacqua il viso con l'acqua e si asciuga il viso con un asciugamano.</v>
      </c>
    </row>
    <row r="8732">
      <c r="A8732" s="4" t="s">
        <v>10975</v>
      </c>
      <c r="B8732" s="4" t="s">
        <v>10984</v>
      </c>
      <c r="C8732" s="5" t="str">
        <f>IFERROR(__xludf.DUMMYFUNCTION("GOOGLETRANSLATE(B8732,""en"",""it"")"),"Mostra con orgoglio la sua bottiglia di miele.")</f>
        <v>Mostra con orgoglio la sua bottiglia di miele.</v>
      </c>
    </row>
    <row r="8733">
      <c r="A8733" s="4" t="s">
        <v>10985</v>
      </c>
      <c r="B8733" s="4" t="s">
        <v>10986</v>
      </c>
      <c r="C8733" s="5" t="str">
        <f>IFERROR(__xludf.DUMMYFUNCTION("GOOGLETRANSLATE(B8733,""en"",""it"")"),"Una ginnasta si trova vicino a un bar con le mani in aria.")</f>
        <v>Una ginnasta si trova vicino a un bar con le mani in aria.</v>
      </c>
    </row>
    <row r="8734">
      <c r="A8734" s="4" t="s">
        <v>10985</v>
      </c>
      <c r="B8734" s="4" t="s">
        <v>10987</v>
      </c>
      <c r="C8734" s="5" t="str">
        <f>IFERROR(__xludf.DUMMYFUNCTION("GOOGLETRANSLATE(B8734,""en"",""it"")"),"La ragazza sale sul bar e si esibisce.")</f>
        <v>La ragazza sale sul bar e si esibisce.</v>
      </c>
    </row>
    <row r="8735">
      <c r="A8735" s="4" t="s">
        <v>10985</v>
      </c>
      <c r="B8735" s="4" t="s">
        <v>10988</v>
      </c>
      <c r="C8735" s="5" t="str">
        <f>IFERROR(__xludf.DUMMYFUNCTION("GOOGLETRANSLATE(B8735,""en"",""it"")"),"La ragazza gira sul bar.")</f>
        <v>La ragazza gira sul bar.</v>
      </c>
    </row>
    <row r="8736">
      <c r="A8736" s="4" t="s">
        <v>10985</v>
      </c>
      <c r="B8736" s="4" t="s">
        <v>10989</v>
      </c>
      <c r="C8736" s="5" t="str">
        <f>IFERROR(__xludf.DUMMYFUNCTION("GOOGLETRANSLATE(B8736,""en"",""it"")"),"La ragazza esegue 2 lanci e quasi cade dalla barra.")</f>
        <v>La ragazza esegue 2 lanci e quasi cade dalla barra.</v>
      </c>
    </row>
    <row r="8737">
      <c r="A8737" s="4" t="s">
        <v>10985</v>
      </c>
      <c r="B8737" s="4" t="s">
        <v>10990</v>
      </c>
      <c r="C8737" s="5" t="str">
        <f>IFERROR(__xludf.DUMMYFUNCTION("GOOGLETRANSLATE(B8737,""en"",""it"")"),"La ragazza fa 2 giri perfetti.")</f>
        <v>La ragazza fa 2 giri perfetti.</v>
      </c>
    </row>
    <row r="8738">
      <c r="A8738" s="4" t="s">
        <v>10985</v>
      </c>
      <c r="B8738" s="4" t="s">
        <v>10991</v>
      </c>
      <c r="C8738" s="5" t="str">
        <f>IFERROR(__xludf.DUMMYFUNCTION("GOOGLETRANSLATE(B8738,""en"",""it"")"),"Le ragazze si lanciano, poi corre, gira e smontato.")</f>
        <v>Le ragazze si lanciano, poi corre, gira e smontato.</v>
      </c>
    </row>
    <row r="8739">
      <c r="A8739" s="4" t="s">
        <v>10985</v>
      </c>
      <c r="B8739" s="4" t="s">
        <v>10992</v>
      </c>
      <c r="C8739" s="5" t="str">
        <f>IFERROR(__xludf.DUMMYFUNCTION("GOOGLETRANSLATE(B8739,""en"",""it"")"),"La nuvola applaude mentre se ne va.")</f>
        <v>La nuvola applaude mentre se ne va.</v>
      </c>
    </row>
    <row r="8740">
      <c r="A8740" s="4" t="s">
        <v>10993</v>
      </c>
      <c r="B8740" s="4" t="s">
        <v>10994</v>
      </c>
      <c r="C8740" s="5" t="str">
        <f>IFERROR(__xludf.DUMMYFUNCTION("GOOGLETRANSLATE(B8740,""en"",""it"")"),"Una donna bionda è sdraiata su un tavolo mentre una tatuaggio sta mettendo un design sul bacino.")</f>
        <v>Una donna bionda è sdraiata su un tavolo mentre una tatuaggio sta mettendo un design sul bacino.</v>
      </c>
    </row>
    <row r="8741">
      <c r="A8741" s="4" t="s">
        <v>10993</v>
      </c>
      <c r="B8741" s="4" t="s">
        <v>10995</v>
      </c>
      <c r="C8741" s="5" t="str">
        <f>IFERROR(__xludf.DUMMYFUNCTION("GOOGLETRANSLATE(B8741,""en"",""it"")"),"Lei si arrabbia per il dolore mentre lavora.")</f>
        <v>Lei si arrabbia per il dolore mentre lavora.</v>
      </c>
    </row>
    <row r="8742">
      <c r="A8742" s="4" t="s">
        <v>10993</v>
      </c>
      <c r="B8742" s="4" t="s">
        <v>10996</v>
      </c>
      <c r="C8742" s="5" t="str">
        <f>IFERROR(__xludf.DUMMYFUNCTION("GOOGLETRANSLATE(B8742,""en"",""it"")"),"Vediamo un primo piano temporaneo del suo addome sollevato mentre continua.")</f>
        <v>Vediamo un primo piano temporaneo del suo addome sollevato mentre continua.</v>
      </c>
    </row>
    <row r="8743">
      <c r="A8743" s="4" t="s">
        <v>10997</v>
      </c>
      <c r="B8743" s="4" t="s">
        <v>10998</v>
      </c>
      <c r="C8743" s="5" t="str">
        <f>IFERROR(__xludf.DUMMYFUNCTION("GOOGLETRANSLATE(B8743,""en"",""it"")"),"Il testo viene mostrato sullo schermo seguito da un uomo in ginocchio in terra.")</f>
        <v>Il testo viene mostrato sullo schermo seguito da un uomo in ginocchio in terra.</v>
      </c>
    </row>
    <row r="8744">
      <c r="A8744" s="4" t="s">
        <v>10997</v>
      </c>
      <c r="B8744" s="4" t="s">
        <v>10999</v>
      </c>
      <c r="C8744" s="5" t="str">
        <f>IFERROR(__xludf.DUMMYFUNCTION("GOOGLETRANSLATE(B8744,""en"",""it"")"),"L'uomo che usa una torcia per accendere una scintilla sulla macchina di fronte a lui.")</f>
        <v>L'uomo che usa una torcia per accendere una scintilla sulla macchina di fronte a lui.</v>
      </c>
    </row>
    <row r="8745">
      <c r="A8745" s="4" t="s">
        <v>10997</v>
      </c>
      <c r="B8745" s="4" t="s">
        <v>11000</v>
      </c>
      <c r="C8745" s="5" t="str">
        <f>IFERROR(__xludf.DUMMYFUNCTION("GOOGLETRANSLATE(B8745,""en"",""it"")"),"Si ferma di guardare indietro alla telecamera.")</f>
        <v>Si ferma di guardare indietro alla telecamera.</v>
      </c>
    </row>
    <row r="8746">
      <c r="A8746" s="4" t="s">
        <v>11001</v>
      </c>
      <c r="B8746" s="4" t="s">
        <v>11002</v>
      </c>
      <c r="C8746" s="5" t="str">
        <f>IFERROR(__xludf.DUMMYFUNCTION("GOOGLETRANSLATE(B8746,""en"",""it"")"),"Una tavola Dart è mostrata contro un muro.")</f>
        <v>Una tavola Dart è mostrata contro un muro.</v>
      </c>
    </row>
    <row r="8747">
      <c r="A8747" s="4" t="s">
        <v>11001</v>
      </c>
      <c r="B8747" s="4" t="s">
        <v>11003</v>
      </c>
      <c r="C8747" s="5" t="str">
        <f>IFERROR(__xludf.DUMMYFUNCTION("GOOGLETRANSLATE(B8747,""en"",""it"")"),"Un uomo solleva il braccio al rallentatore, gettando le freccette una dopo l'altra sul tabellone.")</f>
        <v>Un uomo solleva il braccio al rallentatore, gettando le freccette una dopo l'altra sul tabellone.</v>
      </c>
    </row>
    <row r="8748">
      <c r="A8748" s="4" t="s">
        <v>11001</v>
      </c>
      <c r="B8748" s="4" t="s">
        <v>11004</v>
      </c>
      <c r="C8748" s="5" t="str">
        <f>IFERROR(__xludf.DUMMYFUNCTION("GOOGLETRANSLATE(B8748,""en"",""it"")"),"Si avvicina al tabellone e lo raggiunge.")</f>
        <v>Si avvicina al tabellone e lo raggiunge.</v>
      </c>
    </row>
    <row r="8749">
      <c r="A8749" s="4" t="s">
        <v>11005</v>
      </c>
      <c r="B8749" s="4" t="s">
        <v>11006</v>
      </c>
      <c r="C8749" s="5" t="str">
        <f>IFERROR(__xludf.DUMMYFUNCTION("GOOGLETRANSLATE(B8749,""en"",""it"")"),"Un'auto rossa viene mostrata con le parole un unico autolavaggio unico.")</f>
        <v>Un'auto rossa viene mostrata con le parole un unico autolavaggio unico.</v>
      </c>
    </row>
    <row r="8750">
      <c r="A8750" s="4" t="s">
        <v>11005</v>
      </c>
      <c r="B8750" s="4" t="s">
        <v>11007</v>
      </c>
      <c r="C8750" s="5" t="str">
        <f>IFERROR(__xludf.DUMMYFUNCTION("GOOGLETRANSLATE(B8750,""en"",""it"")"),"Gli uomini sono mostrati all'interno di un garage per auto, inaspidendo un'auto con una spugna.")</f>
        <v>Gli uomini sono mostrati all'interno di un garage per auto, inaspidendo un'auto con una spugna.</v>
      </c>
    </row>
    <row r="8751">
      <c r="A8751" s="4" t="s">
        <v>11005</v>
      </c>
      <c r="B8751" s="4" t="s">
        <v>11008</v>
      </c>
      <c r="C8751" s="5" t="str">
        <f>IFERROR(__xludf.DUMMYFUNCTION("GOOGLETRANSLATE(B8751,""en"",""it"")"),"Vengono quindi visti usando uno spruzzatore per pulire le gomme e spruzzare il residuo dal veicolo.")</f>
        <v>Vengono quindi visti usando uno spruzzatore per pulire le gomme e spruzzare il residuo dal veicolo.</v>
      </c>
    </row>
    <row r="8752">
      <c r="A8752" s="4" t="s">
        <v>11005</v>
      </c>
      <c r="B8752" s="4" t="s">
        <v>11009</v>
      </c>
      <c r="C8752" s="5" t="str">
        <f>IFERROR(__xludf.DUMMYFUNCTION("GOOGLETRANSLATE(B8752,""en"",""it"")"),"Usano gli stracci per pulire e descrivere in dettaglio l'interno dell'auto.")</f>
        <v>Usano gli stracci per pulire e descrivere in dettaglio l'interno dell'auto.</v>
      </c>
    </row>
    <row r="8753">
      <c r="A8753" s="4" t="s">
        <v>11010</v>
      </c>
      <c r="B8753" s="4" t="s">
        <v>11011</v>
      </c>
      <c r="C8753" s="5" t="str">
        <f>IFERROR(__xludf.DUMMYFUNCTION("GOOGLETRANSLATE(B8753,""en"",""it"")"),"Il team di canottaggio Pinta lavora insieme per scendere in acque bianche.")</f>
        <v>Il team di canottaggio Pinta lavora insieme per scendere in acque bianche.</v>
      </c>
    </row>
    <row r="8754">
      <c r="A8754" s="4" t="s">
        <v>11010</v>
      </c>
      <c r="B8754" s="4" t="s">
        <v>11012</v>
      </c>
      <c r="C8754" s="5" t="str">
        <f>IFERROR(__xludf.DUMMYFUNCTION("GOOGLETRANSLATE(B8754,""en"",""it"")"),"Hanno un tuffo rinfrescante sotto una cascata per rinfrescarsi.")</f>
        <v>Hanno un tuffo rinfrescante sotto una cascata per rinfrescarsi.</v>
      </c>
    </row>
    <row r="8755">
      <c r="A8755" s="4" t="s">
        <v>11010</v>
      </c>
      <c r="B8755" s="4" t="s">
        <v>11013</v>
      </c>
      <c r="C8755" s="5" t="str">
        <f>IFERROR(__xludf.DUMMYFUNCTION("GOOGLETRANSLATE(B8755,""en"",""it"")"),"Si mettono insieme ad altre travi.")</f>
        <v>Si mettono insieme ad altre travi.</v>
      </c>
    </row>
    <row r="8756">
      <c r="A8756" s="4" t="s">
        <v>11010</v>
      </c>
      <c r="B8756" s="4" t="s">
        <v>11014</v>
      </c>
      <c r="C8756" s="5" t="str">
        <f>IFERROR(__xludf.DUMMYFUNCTION("GOOGLETRANSLATE(B8756,""en"",""it"")"),"La caduta sott'acqua può essere un'impresa spaventosa.")</f>
        <v>La caduta sott'acqua può essere un'impresa spaventosa.</v>
      </c>
    </row>
    <row r="8757">
      <c r="A8757" s="4" t="s">
        <v>11010</v>
      </c>
      <c r="B8757" s="4" t="s">
        <v>11015</v>
      </c>
      <c r="C8757" s="5" t="str">
        <f>IFERROR(__xludf.DUMMYFUNCTION("GOOGLETRANSLATE(B8757,""en"",""it"")"),"Tutto sommato è un momento divertente e rilassante.")</f>
        <v>Tutto sommato è un momento divertente e rilassante.</v>
      </c>
    </row>
    <row r="8758">
      <c r="A8758" s="4" t="s">
        <v>11016</v>
      </c>
      <c r="B8758" s="4" t="s">
        <v>11017</v>
      </c>
      <c r="C8758" s="5" t="str">
        <f>IFERROR(__xludf.DUMMYFUNCTION("GOOGLETRANSLATE(B8758,""en"",""it"")"),"Due uomini camminano per strada con in mano una scatola, poi assemblano un tavolo da calcio.")</f>
        <v>Due uomini camminano per strada con in mano una scatola, poi assemblano un tavolo da calcio.</v>
      </c>
    </row>
    <row r="8759">
      <c r="A8759" s="4" t="s">
        <v>11016</v>
      </c>
      <c r="B8759" s="4" t="s">
        <v>11018</v>
      </c>
      <c r="C8759" s="5" t="str">
        <f>IFERROR(__xludf.DUMMYFUNCTION("GOOGLETRANSLATE(B8759,""en"",""it"")"),"La gente gioca a un tavolo da calcio per strada.")</f>
        <v>La gente gioca a un tavolo da calcio per strada.</v>
      </c>
    </row>
    <row r="8760">
      <c r="A8760" s="4" t="s">
        <v>11016</v>
      </c>
      <c r="B8760" s="4" t="s">
        <v>11019</v>
      </c>
      <c r="C8760" s="5" t="str">
        <f>IFERROR(__xludf.DUMMYFUNCTION("GOOGLETRANSLATE(B8760,""en"",""it"")"),"Dopo, gli uomini portano il tavolo ed entrano in un treno in cui continuano a giocare.")</f>
        <v>Dopo, gli uomini portano il tavolo ed entrano in un treno in cui continuano a giocare.</v>
      </c>
    </row>
    <row r="8761">
      <c r="A8761" s="4" t="s">
        <v>11016</v>
      </c>
      <c r="B8761" s="4" t="s">
        <v>11020</v>
      </c>
      <c r="C8761" s="5" t="str">
        <f>IFERROR(__xludf.DUMMYFUNCTION("GOOGLETRANSLATE(B8761,""en"",""it"")"),"Dopo che l'uomo porta il tavolo da calcio in un parco e in altri luoghi in cui le persone lo giocano e lo dipingono.")</f>
        <v>Dopo che l'uomo porta il tavolo da calcio in un parco e in altri luoghi in cui le persone lo giocano e lo dipingono.</v>
      </c>
    </row>
    <row r="8762">
      <c r="A8762" s="4" t="s">
        <v>11021</v>
      </c>
      <c r="B8762" s="6" t="s">
        <v>11022</v>
      </c>
      <c r="C8762" s="5" t="str">
        <f>IFERROR(__xludf.DUMMYFUNCTION("GOOGLETRANSLATE(B8762,""en"",""it"")"),"Viene vista una donna indossare una giacca seguita dalle sue parti tagliate del giubbotto e che solleva un ferro.")</f>
        <v>Viene vista una donna indossare una giacca seguita dalle sue parti tagliate del giubbotto e che solleva un ferro.</v>
      </c>
    </row>
    <row r="8763">
      <c r="A8763" s="4" t="s">
        <v>11021</v>
      </c>
      <c r="B8763" s="4" t="s">
        <v>11023</v>
      </c>
      <c r="C8763" s="5" t="str">
        <f>IFERROR(__xludf.DUMMYFUNCTION("GOOGLETRANSLATE(B8763,""en"",""it"")"),"Quindi fa irruzione le camicie e finisce mettendo il giubbotto.")</f>
        <v>Quindi fa irruzione le camicie e finisce mettendo il giubbotto.</v>
      </c>
    </row>
    <row r="8764">
      <c r="A8764" s="4" t="s">
        <v>11024</v>
      </c>
      <c r="B8764" s="4" t="s">
        <v>11025</v>
      </c>
      <c r="C8764" s="5" t="str">
        <f>IFERROR(__xludf.DUMMYFUNCTION("GOOGLETRANSLATE(B8764,""en"",""it"")"),"Un uomo in uno smoking nero sta parlando alla fotocamera.")</f>
        <v>Un uomo in uno smoking nero sta parlando alla fotocamera.</v>
      </c>
    </row>
    <row r="8765">
      <c r="A8765" s="4" t="s">
        <v>11024</v>
      </c>
      <c r="B8765" s="4" t="s">
        <v>11026</v>
      </c>
      <c r="C8765" s="5" t="str">
        <f>IFERROR(__xludf.DUMMYFUNCTION("GOOGLETRANSLATE(B8765,""en"",""it"")"),"Una persona cammina sullo sfondo.")</f>
        <v>Una persona cammina sullo sfondo.</v>
      </c>
    </row>
    <row r="8766">
      <c r="A8766" s="4" t="s">
        <v>11024</v>
      </c>
      <c r="B8766" s="4" t="s">
        <v>11027</v>
      </c>
      <c r="C8766" s="5" t="str">
        <f>IFERROR(__xludf.DUMMYFUNCTION("GOOGLETRANSLATE(B8766,""en"",""it"")"),"Un gruppo di persone cammina in sottofondo.")</f>
        <v>Un gruppo di persone cammina in sottofondo.</v>
      </c>
    </row>
    <row r="8767">
      <c r="A8767" s="4" t="s">
        <v>11024</v>
      </c>
      <c r="B8767" s="4" t="s">
        <v>11028</v>
      </c>
      <c r="C8767" s="5" t="str">
        <f>IFERROR(__xludf.DUMMYFUNCTION("GOOGLETRANSLATE(B8767,""en"",""it"")"),"Vediamo una partita di poker giocata.")</f>
        <v>Vediamo una partita di poker giocata.</v>
      </c>
    </row>
    <row r="8768">
      <c r="A8768" s="4" t="s">
        <v>11024</v>
      </c>
      <c r="B8768" s="4" t="s">
        <v>11029</v>
      </c>
      <c r="C8768" s="5" t="str">
        <f>IFERROR(__xludf.DUMMYFUNCTION("GOOGLETRANSLATE(B8768,""en"",""it"")"),"Un uomo strano appare davanti alla fotocamera.")</f>
        <v>Un uomo strano appare davanti alla fotocamera.</v>
      </c>
    </row>
    <row r="8769">
      <c r="A8769" s="4" t="s">
        <v>11024</v>
      </c>
      <c r="B8769" s="4" t="s">
        <v>11030</v>
      </c>
      <c r="C8769" s="5" t="str">
        <f>IFERROR(__xludf.DUMMYFUNCTION("GOOGLETRANSLATE(B8769,""en"",""it"")"),"Vediamo il primo uomo, poi le carte vengono distribuite e svaniremo su uno schermo nero.")</f>
        <v>Vediamo il primo uomo, poi le carte vengono distribuite e svaniremo su uno schermo nero.</v>
      </c>
    </row>
    <row r="8770">
      <c r="A8770" s="4" t="s">
        <v>11031</v>
      </c>
      <c r="B8770" s="6" t="s">
        <v>11032</v>
      </c>
      <c r="C8770" s="5" t="str">
        <f>IFERROR(__xludf.DUMMYFUNCTION("GOOGLETRANSLATE(B8770,""en"",""it"")"),"Molte persone sono sedute su terrazze in un grande campo e le persone camminano all'ingresso di un grande stadio.")</f>
        <v>Molte persone sono sedute su terrazze in un grande campo e le persone camminano all'ingresso di un grande stadio.</v>
      </c>
    </row>
    <row r="8771">
      <c r="A8771" s="4" t="s">
        <v>11031</v>
      </c>
      <c r="B8771" s="4" t="s">
        <v>11033</v>
      </c>
      <c r="C8771" s="5" t="str">
        <f>IFERROR(__xludf.DUMMYFUNCTION("GOOGLETRANSLATE(B8771,""en"",""it"")"),"Gli uomini sono in piedi su una zona sabbiosa che cammina.")</f>
        <v>Gli uomini sono in piedi su una zona sabbiosa che cammina.</v>
      </c>
    </row>
    <row r="8772">
      <c r="A8772" s="4" t="s">
        <v>11031</v>
      </c>
      <c r="B8772" s="4" t="s">
        <v>11034</v>
      </c>
      <c r="C8772" s="5" t="str">
        <f>IFERROR(__xludf.DUMMYFUNCTION("GOOGLETRANSLATE(B8772,""en"",""it"")"),"L'uomo sta parlando con la telecamera in piedi sulla sabbia.")</f>
        <v>L'uomo sta parlando con la telecamera in piedi sulla sabbia.</v>
      </c>
    </row>
    <row r="8773">
      <c r="A8773" s="4" t="s">
        <v>11031</v>
      </c>
      <c r="B8773" s="4" t="s">
        <v>11035</v>
      </c>
      <c r="C8773" s="5" t="str">
        <f>IFERROR(__xludf.DUMMYFUNCTION("GOOGLETRANSLATE(B8773,""en"",""it"")"),"Gli uomini sono in piedi in moto preparandosi per una competizione di motocross.")</f>
        <v>Gli uomini sono in piedi in moto preparandosi per una competizione di motocross.</v>
      </c>
    </row>
    <row r="8774">
      <c r="A8774" s="4" t="s">
        <v>11031</v>
      </c>
      <c r="B8774" s="4" t="s">
        <v>11036</v>
      </c>
      <c r="C8774" s="5" t="str">
        <f>IFERROR(__xludf.DUMMYFUNCTION("GOOGLETRANSLATE(B8774,""en"",""it"")"),"L'uomo sta parlando con la telecamera e in piedi su un podio.")</f>
        <v>L'uomo sta parlando con la telecamera e in piedi su un podio.</v>
      </c>
    </row>
    <row r="8775">
      <c r="A8775" s="4" t="s">
        <v>11037</v>
      </c>
      <c r="B8775" s="4" t="s">
        <v>11038</v>
      </c>
      <c r="C8775" s="5" t="str">
        <f>IFERROR(__xludf.DUMMYFUNCTION("GOOGLETRANSLATE(B8775,""en"",""it"")"),"Un mucchio di persone è in una palestra scarsamente illuminata.")</f>
        <v>Un mucchio di persone è in una palestra scarsamente illuminata.</v>
      </c>
    </row>
    <row r="8776">
      <c r="A8776" s="4" t="s">
        <v>11037</v>
      </c>
      <c r="B8776" s="4" t="s">
        <v>11039</v>
      </c>
      <c r="C8776" s="5" t="str">
        <f>IFERROR(__xludf.DUMMYFUNCTION("GOOGLETRANSLATE(B8776,""en"",""it"")"),"Stanno guidando biciclette recumbenti mentre sono guidate.")</f>
        <v>Stanno guidando biciclette recumbenti mentre sono guidate.</v>
      </c>
    </row>
    <row r="8777">
      <c r="A8777" s="4" t="s">
        <v>11037</v>
      </c>
      <c r="B8777" s="4" t="s">
        <v>11040</v>
      </c>
      <c r="C8777" s="5" t="str">
        <f>IFERROR(__xludf.DUMMYFUNCTION("GOOGLETRANSLATE(B8777,""en"",""it"")"),"Battono le mani e pedalano rapidamente.")</f>
        <v>Battono le mani e pedalano rapidamente.</v>
      </c>
    </row>
    <row r="8778">
      <c r="A8778" s="4" t="s">
        <v>11041</v>
      </c>
      <c r="B8778" s="4" t="s">
        <v>11042</v>
      </c>
      <c r="C8778" s="5" t="str">
        <f>IFERROR(__xludf.DUMMYFUNCTION("GOOGLETRANSLATE(B8778,""en"",""it"")"),"Viene visto un bambino che tiene in mano un bastone e colpisce il pinata con il bastone.")</f>
        <v>Viene visto un bambino che tiene in mano un bastone e colpisce il pinata con il bastone.</v>
      </c>
    </row>
    <row r="8779">
      <c r="A8779" s="4" t="s">
        <v>11041</v>
      </c>
      <c r="B8779" s="4" t="s">
        <v>11043</v>
      </c>
      <c r="C8779" s="5" t="str">
        <f>IFERROR(__xludf.DUMMYFUNCTION("GOOGLETRANSLATE(B8779,""en"",""it"")"),"Le donne anziane riportano le risorse umane e le hanno la mano il bastone a un altro bambino.")</f>
        <v>Le donne anziane riportano le risorse umane e le hanno la mano il bastone a un altro bambino.</v>
      </c>
    </row>
    <row r="8780">
      <c r="A8780" s="4" t="s">
        <v>11044</v>
      </c>
      <c r="B8780" s="4" t="s">
        <v>11045</v>
      </c>
      <c r="C8780" s="5" t="str">
        <f>IFERROR(__xludf.DUMMYFUNCTION("GOOGLETRANSLATE(B8780,""en"",""it"")"),"Una donna si alza in piedi a parlare e tiene in mano un mop blu.")</f>
        <v>Una donna si alza in piedi a parlare e tiene in mano un mop blu.</v>
      </c>
    </row>
    <row r="8781">
      <c r="A8781" s="4" t="s">
        <v>11044</v>
      </c>
      <c r="B8781" s="4" t="s">
        <v>11046</v>
      </c>
      <c r="C8781" s="5" t="str">
        <f>IFERROR(__xludf.DUMMYFUNCTION("GOOGLETRANSLATE(B8781,""en"",""it"")"),"Sta mostrando il fondo del mop.")</f>
        <v>Sta mostrando il fondo del mop.</v>
      </c>
    </row>
    <row r="8782">
      <c r="A8782" s="4" t="s">
        <v>11044</v>
      </c>
      <c r="B8782" s="4" t="s">
        <v>11047</v>
      </c>
      <c r="C8782" s="5" t="str">
        <f>IFERROR(__xludf.DUMMYFUNCTION("GOOGLETRANSLATE(B8782,""en"",""it"")"),"Una bottiglia di aceto è mostrata su un tavolo accanto all'alcool e al sapone.")</f>
        <v>Una bottiglia di aceto è mostrata su un tavolo accanto all'alcool e al sapone.</v>
      </c>
    </row>
    <row r="8783">
      <c r="A8783" s="4" t="s">
        <v>11044</v>
      </c>
      <c r="B8783" s="4" t="s">
        <v>11048</v>
      </c>
      <c r="C8783" s="5" t="str">
        <f>IFERROR(__xludf.DUMMYFUNCTION("GOOGLETRANSLATE(B8783,""en"",""it"")"),"Comincia a pulire il pavimento in legno.")</f>
        <v>Comincia a pulire il pavimento in legno.</v>
      </c>
    </row>
    <row r="8784">
      <c r="A8784" s="4" t="s">
        <v>11044</v>
      </c>
      <c r="B8784" s="4" t="s">
        <v>11049</v>
      </c>
      <c r="C8784" s="5" t="str">
        <f>IFERROR(__xludf.DUMMYFUNCTION("GOOGLETRANSLATE(B8784,""en"",""it"")"),"Un cane si sdraia su un letto.")</f>
        <v>Un cane si sdraia su un letto.</v>
      </c>
    </row>
    <row r="8785">
      <c r="A8785" s="4" t="s">
        <v>11050</v>
      </c>
      <c r="B8785" s="4" t="s">
        <v>11051</v>
      </c>
      <c r="C8785" s="5" t="str">
        <f>IFERROR(__xludf.DUMMYFUNCTION("GOOGLETRANSLATE(B8785,""en"",""it"")"),"Un uomo con una camicia blu prende un bambino.")</f>
        <v>Un uomo con una camicia blu prende un bambino.</v>
      </c>
    </row>
    <row r="8786">
      <c r="A8786" s="4" t="s">
        <v>11050</v>
      </c>
      <c r="B8786" s="4" t="s">
        <v>11052</v>
      </c>
      <c r="C8786" s="5" t="str">
        <f>IFERROR(__xludf.DUMMYFUNCTION("GOOGLETRANSLATE(B8786,""en"",""it"")"),"Lo solleva per sedersi sulla spalla.")</f>
        <v>Lo solleva per sedersi sulla spalla.</v>
      </c>
    </row>
    <row r="8787">
      <c r="A8787" s="4" t="s">
        <v>11050</v>
      </c>
      <c r="B8787" s="4" t="s">
        <v>11053</v>
      </c>
      <c r="C8787" s="5" t="str">
        <f>IFERROR(__xludf.DUMMYFUNCTION("GOOGLETRANSLATE(B8787,""en"",""it"")"),"Getta il bambino sulla schiena su un letto.")</f>
        <v>Getta il bambino sulla schiena su un letto.</v>
      </c>
    </row>
    <row r="8788">
      <c r="A8788" s="4" t="s">
        <v>11054</v>
      </c>
      <c r="B8788" s="4" t="s">
        <v>11055</v>
      </c>
      <c r="C8788" s="5" t="str">
        <f>IFERROR(__xludf.DUMMYFUNCTION("GOOGLETRANSLATE(B8788,""en"",""it"")"),"L'uomo è saltato ai due pali bianchi e si mette sulle braccia.")</f>
        <v>L'uomo è saltato ai due pali bianchi e si mette sulle braccia.</v>
      </c>
    </row>
    <row r="8789">
      <c r="A8789" s="4" t="s">
        <v>11054</v>
      </c>
      <c r="B8789" s="4" t="s">
        <v>11056</v>
      </c>
      <c r="C8789" s="5" t="str">
        <f>IFERROR(__xludf.DUMMYFUNCTION("GOOGLETRANSLATE(B8789,""en"",""it"")"),"L'uomo in camicia rossa fuori dal campo sta guardando l'atleta mentre oscilla sul palo.")</f>
        <v>L'uomo in camicia rossa fuori dal campo sta guardando l'atleta mentre oscilla sul palo.</v>
      </c>
    </row>
    <row r="8790">
      <c r="A8790" s="4" t="s">
        <v>11054</v>
      </c>
      <c r="B8790" s="4" t="s">
        <v>11057</v>
      </c>
      <c r="C8790" s="5" t="str">
        <f>IFERROR(__xludf.DUMMYFUNCTION("GOOGLETRANSLATE(B8790,""en"",""it"")"),"L'atleta oscilla e poi saltò dal palo e si oscillava e l'aria e atterrò sul tappeto.")</f>
        <v>L'atleta oscilla e poi saltò dal palo e si oscillava e l'aria e atterrò sul tappeto.</v>
      </c>
    </row>
    <row r="8791">
      <c r="A8791" s="4" t="s">
        <v>11058</v>
      </c>
      <c r="B8791" s="4" t="s">
        <v>11059</v>
      </c>
      <c r="C8791" s="5" t="str">
        <f>IFERROR(__xludf.DUMMYFUNCTION("GOOGLETRANSLATE(B8791,""en"",""it"")"),"Una squadra è su un campo, cercando di ottenere la palla dai loro avversari.")</f>
        <v>Una squadra è su un campo, cercando di ottenere la palla dai loro avversari.</v>
      </c>
    </row>
    <row r="8792">
      <c r="A8792" s="4" t="s">
        <v>11058</v>
      </c>
      <c r="B8792" s="4" t="s">
        <v>11060</v>
      </c>
      <c r="C8792" s="5" t="str">
        <f>IFERROR(__xludf.DUMMYFUNCTION("GOOGLETRANSLATE(B8792,""en"",""it"")"),"Stanno giocando un gioco di lacrosse.")</f>
        <v>Stanno giocando un gioco di lacrosse.</v>
      </c>
    </row>
    <row r="8793">
      <c r="A8793" s="4" t="s">
        <v>11058</v>
      </c>
      <c r="B8793" s="4" t="s">
        <v>11061</v>
      </c>
      <c r="C8793" s="5" t="str">
        <f>IFERROR(__xludf.DUMMYFUNCTION("GOOGLETRANSLATE(B8793,""en"",""it"")"),"Combattono sopra la palla, cercando di portarla in un obiettivo.")</f>
        <v>Combattono sopra la palla, cercando di portarla in un obiettivo.</v>
      </c>
    </row>
    <row r="8794">
      <c r="A8794" s="4" t="s">
        <v>11062</v>
      </c>
      <c r="B8794" s="4" t="s">
        <v>11063</v>
      </c>
      <c r="C8794" s="5" t="str">
        <f>IFERROR(__xludf.DUMMYFUNCTION("GOOGLETRANSLATE(B8794,""en"",""it"")"),"Una donna sta andando in bicicletta lungo la strada, quindi vengono mostrati anche altri.")</f>
        <v>Una donna sta andando in bicicletta lungo la strada, quindi vengono mostrati anche altri.</v>
      </c>
    </row>
    <row r="8795">
      <c r="A8795" s="4" t="s">
        <v>11062</v>
      </c>
      <c r="B8795" s="4" t="s">
        <v>11064</v>
      </c>
      <c r="C8795" s="5" t="str">
        <f>IFERROR(__xludf.DUMMYFUNCTION("GOOGLETRANSLATE(B8795,""en"",""it"")"),"Le persone parlano alla telecamera tra le riprese per andare in bicicletta sulle strade della città.")</f>
        <v>Le persone parlano alla telecamera tra le riprese per andare in bicicletta sulle strade della città.</v>
      </c>
    </row>
    <row r="8796">
      <c r="A8796" s="4" t="s">
        <v>11062</v>
      </c>
      <c r="B8796" s="4" t="s">
        <v>11065</v>
      </c>
      <c r="C8796" s="5" t="str">
        <f>IFERROR(__xludf.DUMMYFUNCTION("GOOGLETRANSLATE(B8796,""en"",""it"")"),"La bici si chiama Elliptico, che consente loro di stare in piedi e pedalare mentre cavalcano.")</f>
        <v>La bici si chiama Elliptico, che consente loro di stare in piedi e pedalare mentre cavalcano.</v>
      </c>
    </row>
    <row r="8797">
      <c r="A8797" s="4" t="s">
        <v>11066</v>
      </c>
      <c r="B8797" s="6" t="s">
        <v>11067</v>
      </c>
      <c r="C8797" s="5" t="str">
        <f>IFERROR(__xludf.DUMMYFUNCTION("GOOGLETRANSLATE(B8797,""en"",""it"")"),"Viene vista una persona parlare alla telecamera mentre tiene in mano uno snowboard e lo conduce in una collina innevata.")</f>
        <v>Viene vista una persona parlare alla telecamera mentre tiene in mano uno snowboard e lo conduce in una collina innevata.</v>
      </c>
    </row>
    <row r="8798">
      <c r="A8798" s="4" t="s">
        <v>11066</v>
      </c>
      <c r="B8798" s="6" t="s">
        <v>11068</v>
      </c>
      <c r="C8798" s="5" t="str">
        <f>IFERROR(__xludf.DUMMYFUNCTION("GOOGLETRANSLATE(B8798,""en"",""it"")"),"L'uomo continua a cavalcare lo snowboard giù per la collina e termina con lui fermandosi in fondo.")</f>
        <v>L'uomo continua a cavalcare lo snowboard giù per la collina e termina con lui fermandosi in fondo.</v>
      </c>
    </row>
    <row r="8799">
      <c r="A8799" s="4" t="s">
        <v>11069</v>
      </c>
      <c r="B8799" s="4" t="s">
        <v>11070</v>
      </c>
      <c r="C8799" s="5" t="str">
        <f>IFERROR(__xludf.DUMMYFUNCTION("GOOGLETRANSLATE(B8799,""en"",""it"")"),"Un uomo viene visto parlare in un microfono con un altro uomo sul palco.")</f>
        <v>Un uomo viene visto parlare in un microfono con un altro uomo sul palco.</v>
      </c>
    </row>
    <row r="8800">
      <c r="A8800" s="4" t="s">
        <v>11069</v>
      </c>
      <c r="B8800" s="4" t="s">
        <v>11071</v>
      </c>
      <c r="C8800" s="5" t="str">
        <f>IFERROR(__xludf.DUMMYFUNCTION("GOOGLETRANSLATE(B8800,""en"",""it"")"),"Un uomo porta quindi a suonare l'armonica sul palco mentre altri guardano sul lato.")</f>
        <v>Un uomo porta quindi a suonare l'armonica sul palco mentre altri guardano sul lato.</v>
      </c>
    </row>
    <row r="8801">
      <c r="A8801" s="4" t="s">
        <v>11069</v>
      </c>
      <c r="B8801" s="4" t="s">
        <v>11072</v>
      </c>
      <c r="C8801" s="5" t="str">
        <f>IFERROR(__xludf.DUMMYFUNCTION("GOOGLETRANSLATE(B8801,""en"",""it"")"),"L'uomo continua a suonare mentre altri entrano e uscivano dalla cornice e giocano.")</f>
        <v>L'uomo continua a suonare mentre altri entrano e uscivano dalla cornice e giocano.</v>
      </c>
    </row>
    <row r="8802">
      <c r="A8802" s="4" t="s">
        <v>11073</v>
      </c>
      <c r="B8802" s="4" t="s">
        <v>11074</v>
      </c>
      <c r="C8802" s="5" t="str">
        <f>IFERROR(__xludf.DUMMYFUNCTION("GOOGLETRANSLATE(B8802,""en"",""it"")"),"Un uomo più anziano viene mostrato in piedi dietro un set altalena mentre spinge indietro una bambina e quarto.")</f>
        <v>Un uomo più anziano viene mostrato in piedi dietro un set altalena mentre spinge indietro una bambina e quarto.</v>
      </c>
    </row>
    <row r="8803">
      <c r="A8803" s="4" t="s">
        <v>11073</v>
      </c>
      <c r="B8803" s="6" t="s">
        <v>11075</v>
      </c>
      <c r="C8803" s="5" t="str">
        <f>IFERROR(__xludf.DUMMYFUNCTION("GOOGLETRANSLATE(B8803,""en"",""it"")"),"Afferra e tiene la ragazza e le dà diverse spinte mentre la ragazza attacca la testa e sorride.")</f>
        <v>Afferra e tiene la ragazza e le dà diverse spinte mentre la ragazza attacca la testa e sorride.</v>
      </c>
    </row>
    <row r="8804">
      <c r="A8804" s="4" t="s">
        <v>11076</v>
      </c>
      <c r="B8804" s="6" t="s">
        <v>11077</v>
      </c>
      <c r="C8804" s="5" t="str">
        <f>IFERROR(__xludf.DUMMYFUNCTION("GOOGLETRANSLATE(B8804,""en"",""it"")"),"Una ragazza viene vista truccarsi fuori mentre altre persone sull'orologio laterale e giocano anche con il trucco.")</f>
        <v>Una ragazza viene vista truccarsi fuori mentre altre persone sull'orologio laterale e giocano anche con il trucco.</v>
      </c>
    </row>
    <row r="8805">
      <c r="A8805" s="4" t="s">
        <v>11076</v>
      </c>
      <c r="B8805" s="6" t="s">
        <v>11078</v>
      </c>
      <c r="C8805" s="5" t="str">
        <f>IFERROR(__xludf.DUMMYFUNCTION("GOOGLETRANSLATE(B8805,""en"",""it"")"),"Le ragazze continuano a tentare di truccarsi mentre la fotocamera piova e quarto tra i due.")</f>
        <v>Le ragazze continuano a tentare di truccarsi mentre la fotocamera piova e quarto tra i due.</v>
      </c>
    </row>
    <row r="8806">
      <c r="A8806" s="4" t="s">
        <v>11079</v>
      </c>
      <c r="B8806" s="6" t="s">
        <v>11080</v>
      </c>
      <c r="C8806" s="5" t="str">
        <f>IFERROR(__xludf.DUMMYFUNCTION("GOOGLETRANSLATE(B8806,""en"",""it"")"),"Una commerciale presenta una varietà di attrezzature di saldatura e dimostra come saldare l'uso dell'attrezzatura.")</f>
        <v>Una commerciale presenta una varietà di attrezzature di saldatura e dimostra come saldare l'uso dell'attrezzatura.</v>
      </c>
    </row>
    <row r="8807">
      <c r="A8807" s="4" t="s">
        <v>11079</v>
      </c>
      <c r="B8807" s="4" t="s">
        <v>11081</v>
      </c>
      <c r="C8807" s="5" t="str">
        <f>IFERROR(__xludf.DUMMYFUNCTION("GOOGLETRANSLATE(B8807,""en"",""it"")"),"Un casco di saldatura, morsetti, kit di saldatura e guanti sono mostrati in linea su uno sfondo bianco.")</f>
        <v>Un casco di saldatura, morsetti, kit di saldatura e guanti sono mostrati in linea su uno sfondo bianco.</v>
      </c>
    </row>
    <row r="8808">
      <c r="A8808" s="4" t="s">
        <v>11079</v>
      </c>
      <c r="B8808" s="6" t="s">
        <v>11082</v>
      </c>
      <c r="C8808" s="5" t="str">
        <f>IFERROR(__xludf.DUMMYFUNCTION("GOOGLETRANSLATE(B8808,""en"",""it"")"),"Una persona inizia a utilizzare gli strumenti di saldatura per saldare all'interno di un'auto che produce scintille di fuoco mentre la saldatura avviene.")</f>
        <v>Una persona inizia a utilizzare gli strumenti di saldatura per saldare all'interno di un'auto che produce scintille di fuoco mentre la saldatura avviene.</v>
      </c>
    </row>
    <row r="8809">
      <c r="A8809" s="4" t="s">
        <v>11079</v>
      </c>
      <c r="B8809" s="4" t="s">
        <v>11083</v>
      </c>
      <c r="C8809" s="5" t="str">
        <f>IFERROR(__xludf.DUMMYFUNCTION("GOOGLETRANSLATE(B8809,""en"",""it"")"),"Un primo piano dell'area saldata viene mostrato prima che un modello di marketing si presenta su tutto lo schermo.")</f>
        <v>Un primo piano dell'area saldata viene mostrato prima che un modello di marketing si presenta su tutto lo schermo.</v>
      </c>
    </row>
    <row r="8810">
      <c r="A8810" s="4" t="s">
        <v>11084</v>
      </c>
      <c r="B8810" s="4" t="s">
        <v>11085</v>
      </c>
      <c r="C8810" s="5" t="str">
        <f>IFERROR(__xludf.DUMMYFUNCTION("GOOGLETRANSLATE(B8810,""en"",""it"")"),"Una persona viene vista senza camicia in cucina e tiene in mano un mop.")</f>
        <v>Una persona viene vista senza camicia in cucina e tiene in mano un mop.</v>
      </c>
    </row>
    <row r="8811">
      <c r="A8811" s="4" t="s">
        <v>11084</v>
      </c>
      <c r="B8811" s="4" t="s">
        <v>11086</v>
      </c>
      <c r="C8811" s="5" t="str">
        <f>IFERROR(__xludf.DUMMYFUNCTION("GOOGLETRANSLATE(B8811,""en"",""it"")"),"L'uomo si guarda indietro e ride alla telecamera mentre tiene il mop.")</f>
        <v>L'uomo si guarda indietro e ride alla telecamera mentre tiene il mop.</v>
      </c>
    </row>
    <row r="8812">
      <c r="A8812" s="4" t="s">
        <v>11084</v>
      </c>
      <c r="B8812" s="4" t="s">
        <v>11087</v>
      </c>
      <c r="C8812" s="5" t="str">
        <f>IFERROR(__xludf.DUMMYFUNCTION("GOOGLETRANSLATE(B8812,""en"",""it"")"),"Continua a ridere e ballare mentre spinge la scopa.")</f>
        <v>Continua a ridere e ballare mentre spinge la scopa.</v>
      </c>
    </row>
    <row r="8813">
      <c r="A8813" s="4" t="s">
        <v>11088</v>
      </c>
      <c r="B8813" s="4" t="s">
        <v>11089</v>
      </c>
      <c r="C8813" s="5" t="str">
        <f>IFERROR(__xludf.DUMMYFUNCTION("GOOGLETRANSLATE(B8813,""en"",""it"")"),"Una piccola barca a vela con due uomini sta portando dietro di essa uno sciatore d'acqua.")</f>
        <v>Una piccola barca a vela con due uomini sta portando dietro di essa uno sciatore d'acqua.</v>
      </c>
    </row>
    <row r="8814">
      <c r="A8814" s="4" t="s">
        <v>11088</v>
      </c>
      <c r="B8814" s="4" t="s">
        <v>11090</v>
      </c>
      <c r="C8814" s="5" t="str">
        <f>IFERROR(__xludf.DUMMYFUNCTION("GOOGLETRANSLATE(B8814,""en"",""it"")"),"Passa un surfista del vento.")</f>
        <v>Passa un surfista del vento.</v>
      </c>
    </row>
    <row r="8815">
      <c r="A8815" s="4" t="s">
        <v>11088</v>
      </c>
      <c r="B8815" s="4" t="s">
        <v>11091</v>
      </c>
      <c r="C8815" s="5" t="str">
        <f>IFERROR(__xludf.DUMMYFUNCTION("GOOGLETRANSLATE(B8815,""en"",""it"")"),"Un uomo nella barca a vela si appoggia indietro per tirare la vela nella barca.")</f>
        <v>Un uomo nella barca a vela si appoggia indietro per tirare la vela nella barca.</v>
      </c>
    </row>
    <row r="8816">
      <c r="A8816" s="4" t="s">
        <v>11088</v>
      </c>
      <c r="B8816" s="4" t="s">
        <v>11092</v>
      </c>
      <c r="C8816" s="5" t="str">
        <f>IFERROR(__xludf.DUMMYFUNCTION("GOOGLETRANSLATE(B8816,""en"",""it"")"),"Passa un altro surfista del vento.")</f>
        <v>Passa un altro surfista del vento.</v>
      </c>
    </row>
    <row r="8817">
      <c r="A8817" s="4" t="s">
        <v>11093</v>
      </c>
      <c r="B8817" s="4" t="s">
        <v>11094</v>
      </c>
      <c r="C8817" s="5" t="str">
        <f>IFERROR(__xludf.DUMMYFUNCTION("GOOGLETRANSLATE(B8817,""en"",""it"")"),"Un aquilone sta volando nel cielo.")</f>
        <v>Un aquilone sta volando nel cielo.</v>
      </c>
    </row>
    <row r="8818">
      <c r="A8818" s="4" t="s">
        <v>11093</v>
      </c>
      <c r="B8818" s="4" t="s">
        <v>11095</v>
      </c>
      <c r="C8818" s="5" t="str">
        <f>IFERROR(__xludf.DUMMYFUNCTION("GOOGLETRANSLATE(B8818,""en"",""it"")"),"Una bambina tiene la corda dell'aquilone.")</f>
        <v>Una bambina tiene la corda dell'aquilone.</v>
      </c>
    </row>
    <row r="8819">
      <c r="A8819" s="4" t="s">
        <v>11093</v>
      </c>
      <c r="B8819" s="4" t="s">
        <v>11096</v>
      </c>
      <c r="C8819" s="5" t="str">
        <f>IFERROR(__xludf.DUMMYFUNCTION("GOOGLETRANSLATE(B8819,""en"",""it"")"),"Sta camminando all'indietro e sta parlando con qualcuno mentre guarda l'aquilone.")</f>
        <v>Sta camminando all'indietro e sta parlando con qualcuno mentre guarda l'aquilone.</v>
      </c>
    </row>
    <row r="8820">
      <c r="A8820" s="4" t="s">
        <v>11097</v>
      </c>
      <c r="B8820" s="4" t="s">
        <v>11098</v>
      </c>
      <c r="C8820" s="5" t="str">
        <f>IFERROR(__xludf.DUMMYFUNCTION("GOOGLETRANSLATE(B8820,""en"",""it"")"),"Un uomo si trova in una sala da ballo che ha specchi lungo le pareti, pavimenti in legno e balla da solo.")</f>
        <v>Un uomo si trova in una sala da ballo che ha specchi lungo le pareti, pavimenti in legno e balla da solo.</v>
      </c>
    </row>
    <row r="8821">
      <c r="A8821" s="4" t="s">
        <v>11097</v>
      </c>
      <c r="B8821" s="4" t="s">
        <v>11099</v>
      </c>
      <c r="C8821" s="5" t="str">
        <f>IFERROR(__xludf.DUMMYFUNCTION("GOOGLETRANSLATE(B8821,""en"",""it"")"),"C'è una donna che si trova in un angolo e lo registra tutto il tempo.")</f>
        <v>C'è una donna che si trova in un angolo e lo registra tutto il tempo.</v>
      </c>
    </row>
    <row r="8822">
      <c r="A8822" s="4" t="s">
        <v>11097</v>
      </c>
      <c r="B8822" s="6" t="s">
        <v>11100</v>
      </c>
      <c r="C8822" s="5" t="str">
        <f>IFERROR(__xludf.DUMMYFUNCTION("GOOGLETRANSLATE(B8822,""en"",""it"")"),"Quando si sposta di più dall'altra parte della stanza mentre balla, vengono rivelate più persone che lo guardano e lo registrano.")</f>
        <v>Quando si sposta di più dall'altra parte della stanza mentre balla, vengono rivelate più persone che lo guardano e lo registrano.</v>
      </c>
    </row>
    <row r="8823">
      <c r="A8823" s="4" t="s">
        <v>11097</v>
      </c>
      <c r="B8823" s="4" t="s">
        <v>11101</v>
      </c>
      <c r="C8823" s="5" t="str">
        <f>IFERROR(__xludf.DUMMYFUNCTION("GOOGLETRANSLATE(B8823,""en"",""it"")"),"L'uomo fa la mossa di danza, sorride, fa qualche passo e poi fa un inchino.")</f>
        <v>L'uomo fa la mossa di danza, sorride, fa qualche passo e poi fa un inchino.</v>
      </c>
    </row>
    <row r="8824">
      <c r="A8824" s="4" t="s">
        <v>11102</v>
      </c>
      <c r="B8824" s="4" t="s">
        <v>11103</v>
      </c>
      <c r="C8824" s="5" t="str">
        <f>IFERROR(__xludf.DUMMYFUNCTION("GOOGLETRANSLATE(B8824,""en"",""it"")"),"Il cielo viene mostrato che porta a un uomo che parla alla telecamera con il suo amico.")</f>
        <v>Il cielo viene mostrato che porta a un uomo che parla alla telecamera con il suo amico.</v>
      </c>
    </row>
    <row r="8825">
      <c r="A8825" s="4" t="s">
        <v>11102</v>
      </c>
      <c r="B8825" s="4" t="s">
        <v>11104</v>
      </c>
      <c r="C8825" s="5" t="str">
        <f>IFERROR(__xludf.DUMMYFUNCTION("GOOGLETRANSLATE(B8825,""en"",""it"")"),"Diverse persone vengono quindi viste sedute a tubi che cavalcano un fiume l'uno accanto all'altro.")</f>
        <v>Diverse persone vengono quindi viste sedute a tubi che cavalcano un fiume l'uno accanto all'altro.</v>
      </c>
    </row>
    <row r="8826">
      <c r="A8826" s="4" t="s">
        <v>11102</v>
      </c>
      <c r="B8826" s="6" t="s">
        <v>11105</v>
      </c>
      <c r="C8826" s="5" t="str">
        <f>IFERROR(__xludf.DUMMYFUNCTION("GOOGLETRANSLATE(B8826,""en"",""it"")"),"Le persone continuano a cavalcare lungo il fiume attraverso tunnel e percorsi mentre l'uomo parla ancora alla telecamera.")</f>
        <v>Le persone continuano a cavalcare lungo il fiume attraverso tunnel e percorsi mentre l'uomo parla ancora alla telecamera.</v>
      </c>
    </row>
    <row r="8827">
      <c r="A8827" s="4" t="s">
        <v>11106</v>
      </c>
      <c r="B8827" s="4" t="s">
        <v>11107</v>
      </c>
      <c r="C8827" s="5" t="str">
        <f>IFERROR(__xludf.DUMMYFUNCTION("GOOGLETRANSLATE(B8827,""en"",""it"")"),"Un atleta corre con un bastone, poi spara al giavellotto e si allontana in uno stadio.")</f>
        <v>Un atleta corre con un bastone, poi spara al giavellotto e si allontana in uno stadio.</v>
      </c>
    </row>
    <row r="8828">
      <c r="A8828" s="4" t="s">
        <v>11106</v>
      </c>
      <c r="B8828" s="6" t="s">
        <v>11108</v>
      </c>
      <c r="C8828" s="5" t="str">
        <f>IFERROR(__xludf.DUMMYFUNCTION("GOOGLETRANSLATE(B8828,""en"",""it"")"),"Quindi, un uomo tiene un giavellotto e corre per lanciare il giavellotto, quindi un altro atleta spara anche al giavellotto.")</f>
        <v>Quindi, un uomo tiene un giavellotto e corre per lanciare il giavellotto, quindi un altro atleta spara anche al giavellotto.</v>
      </c>
    </row>
    <row r="8829">
      <c r="A8829" s="4" t="s">
        <v>11109</v>
      </c>
      <c r="B8829" s="4" t="s">
        <v>11110</v>
      </c>
      <c r="C8829" s="5" t="str">
        <f>IFERROR(__xludf.DUMMYFUNCTION("GOOGLETRANSLATE(B8829,""en"",""it"")"),"Un uomo è seduto sulle scale a parlare.")</f>
        <v>Un uomo è seduto sulle scale a parlare.</v>
      </c>
    </row>
    <row r="8830">
      <c r="A8830" s="4" t="s">
        <v>11109</v>
      </c>
      <c r="B8830" s="4" t="s">
        <v>11111</v>
      </c>
      <c r="C8830" s="5" t="str">
        <f>IFERROR(__xludf.DUMMYFUNCTION("GOOGLETRANSLATE(B8830,""en"",""it"")"),"Sta in piedi su un lavandino.")</f>
        <v>Sta in piedi su un lavandino.</v>
      </c>
    </row>
    <row r="8831">
      <c r="A8831" s="4" t="s">
        <v>11109</v>
      </c>
      <c r="B8831" s="4" t="s">
        <v>11112</v>
      </c>
      <c r="C8831" s="5" t="str">
        <f>IFERROR(__xludf.DUMMYFUNCTION("GOOGLETRANSLATE(B8831,""en"",""it"")"),"Spruzza il lavandino con un agente di pulizia.")</f>
        <v>Spruzza il lavandino con un agente di pulizia.</v>
      </c>
    </row>
    <row r="8832">
      <c r="A8832" s="4" t="s">
        <v>11109</v>
      </c>
      <c r="B8832" s="4" t="s">
        <v>11113</v>
      </c>
      <c r="C8832" s="5" t="str">
        <f>IFERROR(__xludf.DUMMYFUNCTION("GOOGLETRANSLATE(B8832,""en"",""it"")"),"Prende una spugna e strofina l'interno dei lavandini.")</f>
        <v>Prende una spugna e strofina l'interno dei lavandini.</v>
      </c>
    </row>
    <row r="8833">
      <c r="A8833" s="4" t="s">
        <v>11109</v>
      </c>
      <c r="B8833" s="4" t="s">
        <v>11114</v>
      </c>
      <c r="C8833" s="5" t="str">
        <f>IFERROR(__xludf.DUMMYFUNCTION("GOOGLETRANSLATE(B8833,""en"",""it"")"),"Accende l'acqua e spruzza il tubo attorno al lavandino.")</f>
        <v>Accende l'acqua e spruzza il tubo attorno al lavandino.</v>
      </c>
    </row>
    <row r="8834">
      <c r="A8834" s="4" t="s">
        <v>11109</v>
      </c>
      <c r="B8834" s="4" t="s">
        <v>11115</v>
      </c>
      <c r="C8834" s="5" t="str">
        <f>IFERROR(__xludf.DUMMYFUNCTION("GOOGLETRANSLATE(B8834,""en"",""it"")"),"Si asciuga il lavandino con un asciugamano.")</f>
        <v>Si asciuga il lavandino con un asciugamano.</v>
      </c>
    </row>
    <row r="8835">
      <c r="A8835" s="4" t="s">
        <v>11109</v>
      </c>
      <c r="B8835" s="4" t="s">
        <v>11116</v>
      </c>
      <c r="C8835" s="5" t="str">
        <f>IFERROR(__xludf.DUMMYFUNCTION("GOOGLETRANSLATE(B8835,""en"",""it"")"),"L'uomo è di nuovo seduto sulle scale.")</f>
        <v>L'uomo è di nuovo seduto sulle scale.</v>
      </c>
    </row>
    <row r="8836">
      <c r="A8836" s="4" t="s">
        <v>11117</v>
      </c>
      <c r="B8836" s="4" t="s">
        <v>11118</v>
      </c>
      <c r="C8836" s="5" t="str">
        <f>IFERROR(__xludf.DUMMYFUNCTION("GOOGLETRANSLATE(B8836,""en"",""it"")"),"Vediamo una schermata di apertura una mappa e immagini fisse.")</f>
        <v>Vediamo una schermata di apertura una mappa e immagini fisse.</v>
      </c>
    </row>
    <row r="8837">
      <c r="A8837" s="4" t="s">
        <v>11117</v>
      </c>
      <c r="B8837" s="4" t="s">
        <v>11119</v>
      </c>
      <c r="C8837" s="5" t="str">
        <f>IFERROR(__xludf.DUMMYFUNCTION("GOOGLETRANSLATE(B8837,""en"",""it"")"),"Uomini che martellano le piastrelle del tetto su un pannello di tetto all'interno.")</f>
        <v>Uomini che martellano le piastrelle del tetto su un pannello di tetto all'interno.</v>
      </c>
    </row>
    <row r="8838">
      <c r="A8838" s="4" t="s">
        <v>11117</v>
      </c>
      <c r="B8838" s="4" t="s">
        <v>6208</v>
      </c>
      <c r="C8838" s="5" t="str">
        <f>IFERROR(__xludf.DUMMYFUNCTION("GOOGLETRANSLATE(B8838,""en"",""it"")"),"Vediamo una schermata del titolo.")</f>
        <v>Vediamo una schermata del titolo.</v>
      </c>
    </row>
    <row r="8839">
      <c r="A8839" s="4" t="s">
        <v>11117</v>
      </c>
      <c r="B8839" s="4" t="s">
        <v>11120</v>
      </c>
      <c r="C8839" s="5" t="str">
        <f>IFERROR(__xludf.DUMMYFUNCTION("GOOGLETRANSLATE(B8839,""en"",""it"")"),"Vediamo un uomo toccare un gancio nel legno.")</f>
        <v>Vediamo un uomo toccare un gancio nel legno.</v>
      </c>
    </row>
    <row r="8840">
      <c r="A8840" s="4" t="s">
        <v>11117</v>
      </c>
      <c r="B8840" s="4" t="s">
        <v>11121</v>
      </c>
      <c r="C8840" s="5" t="str">
        <f>IFERROR(__xludf.DUMMYFUNCTION("GOOGLETRANSLATE(B8840,""en"",""it"")"),"Vediamo di nuovo uno schermo del titolo.")</f>
        <v>Vediamo di nuovo uno schermo del titolo.</v>
      </c>
    </row>
    <row r="8841">
      <c r="A8841" s="4" t="s">
        <v>11117</v>
      </c>
      <c r="B8841" s="4" t="s">
        <v>11122</v>
      </c>
      <c r="C8841" s="5" t="str">
        <f>IFERROR(__xludf.DUMMYFUNCTION("GOOGLETRANSLATE(B8841,""en"",""it"")"),"Vediamo gli uomini che lavorano sui tetti.")</f>
        <v>Vediamo gli uomini che lavorano sui tetti.</v>
      </c>
    </row>
    <row r="8842">
      <c r="A8842" s="4" t="s">
        <v>11117</v>
      </c>
      <c r="B8842" s="4" t="s">
        <v>11123</v>
      </c>
      <c r="C8842" s="5" t="str">
        <f>IFERROR(__xludf.DUMMYFUNCTION("GOOGLETRANSLATE(B8842,""en"",""it"")"),"Vediamo due schermi con uomini che lavorano sui tetti fianco a fianco.")</f>
        <v>Vediamo due schermi con uomini che lavorano sui tetti fianco a fianco.</v>
      </c>
    </row>
    <row r="8843">
      <c r="A8843" s="4" t="s">
        <v>11117</v>
      </c>
      <c r="B8843" s="4" t="s">
        <v>11124</v>
      </c>
      <c r="C8843" s="5" t="str">
        <f>IFERROR(__xludf.DUMMYFUNCTION("GOOGLETRANSLATE(B8843,""en"",""it"")"),"Vediamo gli schermi del titolo finale.")</f>
        <v>Vediamo gli schermi del titolo finale.</v>
      </c>
    </row>
    <row r="8844">
      <c r="A8844" s="4" t="s">
        <v>11125</v>
      </c>
      <c r="B8844" s="4" t="s">
        <v>11126</v>
      </c>
      <c r="C8844" s="5" t="str">
        <f>IFERROR(__xludf.DUMMYFUNCTION("GOOGLETRANSLATE(B8844,""en"",""it"")"),"Un folto gruppo di persone viene visto esercitarsi in una classe insieme a un uomo che li guida di fronte.")</f>
        <v>Un folto gruppo di persone viene visto esercitarsi in una classe insieme a un uomo che li guida di fronte.</v>
      </c>
    </row>
    <row r="8845">
      <c r="A8845" s="4" t="s">
        <v>11125</v>
      </c>
      <c r="B8845" s="4" t="s">
        <v>11127</v>
      </c>
      <c r="C8845" s="5" t="str">
        <f>IFERROR(__xludf.DUMMYFUNCTION("GOOGLETRANSLATE(B8845,""en"",""it"")"),"Il gruppo continua a muoversi insieme su una barra e termina con il testo sullo schermo.")</f>
        <v>Il gruppo continua a muoversi insieme su una barra e termina con il testo sullo schermo.</v>
      </c>
    </row>
    <row r="8846">
      <c r="A8846" s="4" t="s">
        <v>11128</v>
      </c>
      <c r="B8846" s="4" t="s">
        <v>11129</v>
      </c>
      <c r="C8846" s="5" t="str">
        <f>IFERROR(__xludf.DUMMYFUNCTION("GOOGLETRANSLATE(B8846,""en"",""it"")"),"Un uomo parla all'interno di un commerciante di auto.")</f>
        <v>Un uomo parla all'interno di un commerciante di auto.</v>
      </c>
    </row>
    <row r="8847">
      <c r="A8847" s="4" t="s">
        <v>11128</v>
      </c>
      <c r="B8847" s="4" t="s">
        <v>11130</v>
      </c>
      <c r="C8847" s="5" t="str">
        <f>IFERROR(__xludf.DUMMYFUNCTION("GOOGLETRANSLATE(B8847,""en"",""it"")"),"Dopo, un'auto esce da un autolavaggio.")</f>
        <v>Dopo, un'auto esce da un autolavaggio.</v>
      </c>
    </row>
    <row r="8848">
      <c r="A8848" s="4" t="s">
        <v>11128</v>
      </c>
      <c r="B8848" s="4" t="s">
        <v>11131</v>
      </c>
      <c r="C8848" s="5" t="str">
        <f>IFERROR(__xludf.DUMMYFUNCTION("GOOGLETRANSLATE(B8848,""en"",""it"")"),"Un equipaggio di persone pulisce un'auto a mano.")</f>
        <v>Un equipaggio di persone pulisce un'auto a mano.</v>
      </c>
    </row>
    <row r="8849">
      <c r="A8849" s="4" t="s">
        <v>11132</v>
      </c>
      <c r="B8849" s="4" t="s">
        <v>11133</v>
      </c>
      <c r="C8849" s="5" t="str">
        <f>IFERROR(__xludf.DUMMYFUNCTION("GOOGLETRANSLATE(B8849,""en"",""it"")"),"Un uomo salda una sezione di un raggio d'acciaio in un laboratorio.")</f>
        <v>Un uomo salda una sezione di un raggio d'acciaio in un laboratorio.</v>
      </c>
    </row>
    <row r="8850">
      <c r="A8850" s="4" t="s">
        <v>11132</v>
      </c>
      <c r="B8850" s="4" t="s">
        <v>11134</v>
      </c>
      <c r="C8850" s="5" t="str">
        <f>IFERROR(__xludf.DUMMYFUNCTION("GOOGLETRANSLATE(B8850,""en"",""it"")"),"La punta della pistola di saldatura viene regolata usando le pinze.")</f>
        <v>La punta della pistola di saldatura viene regolata usando le pinze.</v>
      </c>
    </row>
    <row r="8851">
      <c r="A8851" s="4" t="s">
        <v>11132</v>
      </c>
      <c r="B8851" s="4" t="s">
        <v>11135</v>
      </c>
      <c r="C8851" s="5" t="str">
        <f>IFERROR(__xludf.DUMMYFUNCTION("GOOGLETRANSLATE(B8851,""en"",""it"")"),"L'uomo segna e misura pezzi di metallo di piastra tra la saldatura su di esso.")</f>
        <v>L'uomo segna e misura pezzi di metallo di piastra tra la saldatura su di esso.</v>
      </c>
    </row>
    <row r="8852">
      <c r="A8852" s="4" t="s">
        <v>11132</v>
      </c>
      <c r="B8852" s="4" t="s">
        <v>11136</v>
      </c>
      <c r="C8852" s="5" t="str">
        <f>IFERROR(__xludf.DUMMYFUNCTION("GOOGLETRANSLATE(B8852,""en"",""it"")"),"L'uomo dimostra l'angolo per fare una saldatura sul pezzo di metallo della piastra.")</f>
        <v>L'uomo dimostra l'angolo per fare una saldatura sul pezzo di metallo della piastra.</v>
      </c>
    </row>
    <row r="8853">
      <c r="A8853" s="4" t="s">
        <v>11137</v>
      </c>
      <c r="B8853" s="4" t="s">
        <v>11138</v>
      </c>
      <c r="C8853" s="5" t="str">
        <f>IFERROR(__xludf.DUMMYFUNCTION("GOOGLETRANSLATE(B8853,""en"",""it"")"),"Viene mostrata una vista telescopica di più persone vestite con attrezzatura per bicicletta.")</f>
        <v>Viene mostrata una vista telescopica di più persone vestite con attrezzatura per bicicletta.</v>
      </c>
    </row>
    <row r="8854">
      <c r="A8854" s="4" t="s">
        <v>11137</v>
      </c>
      <c r="B8854" s="4" t="s">
        <v>11139</v>
      </c>
      <c r="C8854" s="5" t="str">
        <f>IFERROR(__xludf.DUMMYFUNCTION("GOOGLETRANSLATE(B8854,""en"",""it"")"),"La folla si estende, camminando con le pistole in mano.")</f>
        <v>La folla si estende, camminando con le pistole in mano.</v>
      </c>
    </row>
    <row r="8855">
      <c r="A8855" s="4" t="s">
        <v>11137</v>
      </c>
      <c r="B8855" s="4" t="s">
        <v>11140</v>
      </c>
      <c r="C8855" s="5" t="str">
        <f>IFERROR(__xludf.DUMMYFUNCTION("GOOGLETRANSLATE(B8855,""en"",""it"")"),"Mirano a vari oggetti.")</f>
        <v>Mirano a vari oggetti.</v>
      </c>
    </row>
    <row r="8856">
      <c r="A8856" s="4" t="s">
        <v>11137</v>
      </c>
      <c r="B8856" s="4" t="s">
        <v>11141</v>
      </c>
      <c r="C8856" s="5" t="str">
        <f>IFERROR(__xludf.DUMMYFUNCTION("GOOGLETRANSLATE(B8856,""en"",""it"")"),"Gli uomini si nascondono dietro un muro, sparando l'un l'altro mentre corrono.")</f>
        <v>Gli uomini si nascondono dietro un muro, sparando l'un l'altro mentre corrono.</v>
      </c>
    </row>
    <row r="8857">
      <c r="A8857" s="4" t="s">
        <v>11142</v>
      </c>
      <c r="B8857" s="4" t="s">
        <v>11143</v>
      </c>
      <c r="C8857" s="5" t="str">
        <f>IFERROR(__xludf.DUMMYFUNCTION("GOOGLETRANSLATE(B8857,""en"",""it"")"),"Un folto gruppo di persone viene visto vagare per uno studio di danza con un uomo di fronte.")</f>
        <v>Un folto gruppo di persone viene visto vagare per uno studio di danza con un uomo di fronte.</v>
      </c>
    </row>
    <row r="8858">
      <c r="A8858" s="4" t="s">
        <v>11142</v>
      </c>
      <c r="B8858" s="4" t="s">
        <v>11144</v>
      </c>
      <c r="C8858" s="5" t="str">
        <f>IFERROR(__xludf.DUMMYFUNCTION("GOOGLETRANSLATE(B8858,""en"",""it"")"),"L'uomo inizia quindi a condurre una lezione di danza di fronte al gruppo di persone.")</f>
        <v>L'uomo inizia quindi a condurre una lezione di danza di fronte al gruppo di persone.</v>
      </c>
    </row>
    <row r="8859">
      <c r="A8859" s="4" t="s">
        <v>11142</v>
      </c>
      <c r="B8859" s="4" t="s">
        <v>11145</v>
      </c>
      <c r="C8859" s="5" t="str">
        <f>IFERROR(__xludf.DUMMYFUNCTION("GOOGLETRANSLATE(B8859,""en"",""it"")"),"La gente continua a ballare seguendo l'uomo e muovendo le braccia e le gambe.")</f>
        <v>La gente continua a ballare seguendo l'uomo e muovendo le braccia e le gambe.</v>
      </c>
    </row>
    <row r="8860">
      <c r="A8860" s="4" t="s">
        <v>11146</v>
      </c>
      <c r="B8860" s="4" t="s">
        <v>11147</v>
      </c>
      <c r="C8860" s="5" t="str">
        <f>IFERROR(__xludf.DUMMYFUNCTION("GOOGLETRANSLATE(B8860,""en"",""it"")"),"Due uomini si preparano per una partita di scherma.")</f>
        <v>Due uomini si preparano per una partita di scherma.</v>
      </c>
    </row>
    <row r="8861">
      <c r="A8861" s="4" t="s">
        <v>11146</v>
      </c>
      <c r="B8861" s="4" t="s">
        <v>11148</v>
      </c>
      <c r="C8861" s="5" t="str">
        <f>IFERROR(__xludf.DUMMYFUNCTION("GOOGLETRANSLATE(B8861,""en"",""it"")"),"Il video mostra diversi punti salienti delle persone che si scherzano in varie partite.")</f>
        <v>Il video mostra diversi punti salienti delle persone che si scherzano in varie partite.</v>
      </c>
    </row>
    <row r="8862">
      <c r="A8862" s="4" t="s">
        <v>11146</v>
      </c>
      <c r="B8862" s="4" t="s">
        <v>11149</v>
      </c>
      <c r="C8862" s="5" t="str">
        <f>IFERROR(__xludf.DUMMYFUNCTION("GOOGLETRANSLATE(B8862,""en"",""it"")"),"Alcuni vincono le partite abbastanza rapidamente.")</f>
        <v>Alcuni vincono le partite abbastanza rapidamente.</v>
      </c>
    </row>
    <row r="8863">
      <c r="A8863" s="4" t="s">
        <v>11146</v>
      </c>
      <c r="B8863" s="4" t="s">
        <v>11150</v>
      </c>
      <c r="C8863" s="5" t="str">
        <f>IFERROR(__xludf.DUMMYFUNCTION("GOOGLETRANSLATE(B8863,""en"",""it"")"),"Due uomini tornano costantemente indietro e quarto l'uno verso l'altro.")</f>
        <v>Due uomini tornano costantemente indietro e quarto l'uno verso l'altro.</v>
      </c>
    </row>
    <row r="8864">
      <c r="A8864" s="4" t="s">
        <v>11146</v>
      </c>
      <c r="B8864" s="4" t="s">
        <v>11151</v>
      </c>
      <c r="C8864" s="5" t="str">
        <f>IFERROR(__xludf.DUMMYFUNCTION("GOOGLETRANSLATE(B8864,""en"",""it"")"),"L'uomo vince più e più volte.")</f>
        <v>L'uomo vince più e più volte.</v>
      </c>
    </row>
    <row r="8865">
      <c r="A8865" s="4" t="s">
        <v>11146</v>
      </c>
      <c r="B8865" s="4" t="s">
        <v>11152</v>
      </c>
      <c r="C8865" s="5" t="str">
        <f>IFERROR(__xludf.DUMMYFUNCTION("GOOGLETRANSLATE(B8865,""en"",""it"")"),"Viene mostrato esercitarsi per le sue prossime partite contro un'altra.")</f>
        <v>Viene mostrato esercitarsi per le sue prossime partite contro un'altra.</v>
      </c>
    </row>
    <row r="8866">
      <c r="A8866" s="4" t="s">
        <v>11146</v>
      </c>
      <c r="B8866" s="4" t="s">
        <v>11153</v>
      </c>
      <c r="C8866" s="5" t="str">
        <f>IFERROR(__xludf.DUMMYFUNCTION("GOOGLETRANSLATE(B8866,""en"",""it"")"),"Sembra vincere più e più volte.")</f>
        <v>Sembra vincere più e più volte.</v>
      </c>
    </row>
    <row r="8867">
      <c r="A8867" s="4" t="s">
        <v>11154</v>
      </c>
      <c r="B8867" s="4" t="s">
        <v>11155</v>
      </c>
      <c r="C8867" s="5" t="str">
        <f>IFERROR(__xludf.DUMMYFUNCTION("GOOGLETRANSLATE(B8867,""en"",""it"")"),"Le persone sono in piedi in un parrucchiere seduto sulle sedie.")</f>
        <v>Le persone sono in piedi in un parrucchiere seduto sulle sedie.</v>
      </c>
    </row>
    <row r="8868">
      <c r="A8868" s="4" t="s">
        <v>11154</v>
      </c>
      <c r="B8868" s="4" t="s">
        <v>11156</v>
      </c>
      <c r="C8868" s="5" t="str">
        <f>IFERROR(__xludf.DUMMYFUNCTION("GOOGLETRANSLATE(B8868,""en"",""it"")"),"La donna è in piedi dietro Anoter asciugandosi i capelli pettinando e parlando con la telecamera.")</f>
        <v>La donna è in piedi dietro Anoter asciugandosi i capelli pettinando e parlando con la telecamera.</v>
      </c>
    </row>
    <row r="8869">
      <c r="A8869" s="4" t="s">
        <v>11154</v>
      </c>
      <c r="B8869" s="4" t="s">
        <v>11157</v>
      </c>
      <c r="C8869" s="5" t="str">
        <f>IFERROR(__xludf.DUMMYFUNCTION("GOOGLETRANSLATE(B8869,""en"",""it"")"),"La donna è seduta su una sedia mentre la donna dietro di lei si asciuga i capelli.")</f>
        <v>La donna è seduta su una sedia mentre la donna dietro di lei si asciuga i capelli.</v>
      </c>
    </row>
    <row r="8870">
      <c r="A8870" s="4" t="s">
        <v>11158</v>
      </c>
      <c r="B8870" s="6" t="s">
        <v>11159</v>
      </c>
      <c r="C8870" s="5" t="str">
        <f>IFERROR(__xludf.DUMMYFUNCTION("GOOGLETRANSLATE(B8870,""en"",""it"")"),"I guidano in un uomo che suona una lunga chitarra davanti a una casa mentre si muove le dita su e giù.")</f>
        <v>I guidano in un uomo che suona una lunga chitarra davanti a una casa mentre si muove le dita su e giù.</v>
      </c>
    </row>
    <row r="8871">
      <c r="A8871" s="4" t="s">
        <v>11158</v>
      </c>
      <c r="B8871" s="4" t="s">
        <v>11160</v>
      </c>
      <c r="C8871" s="5" t="str">
        <f>IFERROR(__xludf.DUMMYFUNCTION("GOOGLETRANSLATE(B8871,""en"",""it"")"),"L'uomo continua a suonare e il video porta al messaggio sopra la sua testa.")</f>
        <v>L'uomo continua a suonare e il video porta al messaggio sopra la sua testa.</v>
      </c>
    </row>
    <row r="8872">
      <c r="A8872" s="4" t="s">
        <v>11161</v>
      </c>
      <c r="B8872" s="6" t="s">
        <v>11162</v>
      </c>
      <c r="C8872" s="5" t="str">
        <f>IFERROR(__xludf.DUMMYFUNCTION("GOOGLETRANSLATE(B8872,""en"",""it"")"),"Un giocatore maschio in camicia gialla e nera porta un bambino che indossa la stessa camicia mentre viene intervistato dal giornalista che indossa una camicia bianca e tiene in mano un microfono.")</f>
        <v>Un giocatore maschio in camicia gialla e nera porta un bambino che indossa la stessa camicia mentre viene intervistato dal giornalista che indossa una camicia bianca e tiene in mano un microfono.</v>
      </c>
    </row>
    <row r="8873">
      <c r="A8873" s="4" t="s">
        <v>11161</v>
      </c>
      <c r="B8873" s="4" t="s">
        <v>11163</v>
      </c>
      <c r="C8873" s="5" t="str">
        <f>IFERROR(__xludf.DUMMYFUNCTION("GOOGLETRANSLATE(B8873,""en"",""it"")"),"Diverse squadre in diversi colori uniformi giocano a calcio sul tavolo.")</f>
        <v>Diverse squadre in diversi colori uniformi giocano a calcio sul tavolo.</v>
      </c>
    </row>
    <row r="8874">
      <c r="A8874" s="4" t="s">
        <v>11164</v>
      </c>
      <c r="B8874" s="4" t="s">
        <v>11165</v>
      </c>
      <c r="C8874" s="5" t="str">
        <f>IFERROR(__xludf.DUMMYFUNCTION("GOOGLETRANSLATE(B8874,""en"",""it"")"),"Vengono mostrati vari colpi di una montagna innevata e una persona che cavalca una collina.")</f>
        <v>Vengono mostrati vari colpi di una montagna innevata e una persona che cavalca una collina.</v>
      </c>
    </row>
    <row r="8875">
      <c r="A8875" s="4" t="s">
        <v>11164</v>
      </c>
      <c r="B8875" s="4" t="s">
        <v>11166</v>
      </c>
      <c r="C8875" s="5" t="str">
        <f>IFERROR(__xludf.DUMMYFUNCTION("GOOGLETRANSLATE(B8875,""en"",""it"")"),"La persona guarda agli altri intorno a lui e viene vista cavalcare la montagna.")</f>
        <v>La persona guarda agli altri intorno a lui e viene vista cavalcare la montagna.</v>
      </c>
    </row>
    <row r="8876">
      <c r="A8876" s="4" t="s">
        <v>11164</v>
      </c>
      <c r="B8876" s="4" t="s">
        <v>11167</v>
      </c>
      <c r="C8876" s="5" t="str">
        <f>IFERROR(__xludf.DUMMYFUNCTION("GOOGLETRANSLATE(B8876,""en"",""it"")"),"La persona abbassa più volte di più con le persone attaccate sui lati.")</f>
        <v>La persona abbassa più volte di più con le persone attaccate sui lati.</v>
      </c>
    </row>
    <row r="8877">
      <c r="A8877" s="4" t="s">
        <v>11168</v>
      </c>
      <c r="B8877" s="4" t="s">
        <v>11169</v>
      </c>
      <c r="C8877" s="5" t="str">
        <f>IFERROR(__xludf.DUMMYFUNCTION("GOOGLETRANSLATE(B8877,""en"",""it"")"),"Una ginnasta russa è su un tappetino di fronte a una grande arena con diverse persone che la guardano.")</f>
        <v>Una ginnasta russa è su un tappetino di fronte a una grande arena con diverse persone che la guardano.</v>
      </c>
    </row>
    <row r="8878">
      <c r="A8878" s="4" t="s">
        <v>11168</v>
      </c>
      <c r="B8878" s="6" t="s">
        <v>11170</v>
      </c>
      <c r="C8878" s="5" t="str">
        <f>IFERROR(__xludf.DUMMYFUNCTION("GOOGLETRANSLATE(B8878,""en"",""it"")"),"La ragazza inizia quindi a fare una serie di cartwheels e finisce per saltare sul raggio di equilibrio per fare la sua routine.")</f>
        <v>La ragazza inizia quindi a fare una serie di cartwheels e finisce per saltare sul raggio di equilibrio per fare la sua routine.</v>
      </c>
    </row>
    <row r="8879">
      <c r="A8879" s="4" t="s">
        <v>11168</v>
      </c>
      <c r="B8879" s="4" t="s">
        <v>11171</v>
      </c>
      <c r="C8879" s="5" t="str">
        <f>IFERROR(__xludf.DUMMYFUNCTION("GOOGLETRANSLATE(B8879,""en"",""it"")"),"Una volta che ha finito, la ragazza finisce di fare diversi trucchi e cammina di lato.")</f>
        <v>Una volta che ha finito, la ragazza finisce di fare diversi trucchi e cammina di lato.</v>
      </c>
    </row>
    <row r="8880">
      <c r="A8880" s="4" t="s">
        <v>11168</v>
      </c>
      <c r="B8880" s="6" t="s">
        <v>11172</v>
      </c>
      <c r="C8880" s="5" t="str">
        <f>IFERROR(__xludf.DUMMYFUNCTION("GOOGLETRANSLATE(B8880,""en"",""it"")"),"Viene mostrato la gente a tifare per lei e il suo replay e il suo punteggio di circa 28 è mostrato in fondo allo schermo.")</f>
        <v>Viene mostrato la gente a tifare per lei e il suo replay e il suo punteggio di circa 28 è mostrato in fondo allo schermo.</v>
      </c>
    </row>
    <row r="8881">
      <c r="A8881" s="4" t="s">
        <v>11173</v>
      </c>
      <c r="B8881" s="4" t="s">
        <v>11174</v>
      </c>
      <c r="C8881" s="5" t="str">
        <f>IFERROR(__xludf.DUMMYFUNCTION("GOOGLETRANSLATE(B8881,""en"",""it"")"),"Una ragazza in uniforme da baseball è in piedi alla fine di una partita di hopscotch.")</f>
        <v>Una ragazza in uniforme da baseball è in piedi alla fine di una partita di hopscotch.</v>
      </c>
    </row>
    <row r="8882">
      <c r="A8882" s="4" t="s">
        <v>11173</v>
      </c>
      <c r="B8882" s="4" t="s">
        <v>11175</v>
      </c>
      <c r="C8882" s="5" t="str">
        <f>IFERROR(__xludf.DUMMYFUNCTION("GOOGLETRANSLATE(B8882,""en"",""it"")"),"Una ragazza con una camicia rossa sta giocando a hopscotch.")</f>
        <v>Una ragazza con una camicia rossa sta giocando a hopscotch.</v>
      </c>
    </row>
    <row r="8883">
      <c r="A8883" s="4" t="s">
        <v>11173</v>
      </c>
      <c r="B8883" s="4" t="s">
        <v>11176</v>
      </c>
      <c r="C8883" s="5" t="str">
        <f>IFERROR(__xludf.DUMMYFUNCTION("GOOGLETRANSLATE(B8883,""en"",""it"")"),"Un giocatore di palla sta giocando a hopscotch.")</f>
        <v>Un giocatore di palla sta giocando a hopscotch.</v>
      </c>
    </row>
    <row r="8884">
      <c r="A8884" s="4" t="s">
        <v>11173</v>
      </c>
      <c r="B8884" s="4" t="s">
        <v>11177</v>
      </c>
      <c r="C8884" s="5" t="str">
        <f>IFERROR(__xludf.DUMMYFUNCTION("GOOGLETRANSLATE(B8884,""en"",""it"")"),"Le ragazze si ridono l'una dell'altra.")</f>
        <v>Le ragazze si ridono l'una dell'altra.</v>
      </c>
    </row>
    <row r="8885">
      <c r="A8885" s="4" t="s">
        <v>11178</v>
      </c>
      <c r="B8885" s="4" t="s">
        <v>11179</v>
      </c>
      <c r="C8885" s="5" t="str">
        <f>IFERROR(__xludf.DUMMYFUNCTION("GOOGLETRANSLATE(B8885,""en"",""it"")"),"Tre ragazze sono viste tenere una corda con una che si allontana e due giocando a tiro alla guerra.")</f>
        <v>Tre ragazze sono viste tenere una corda con una che si allontana e due giocando a tiro alla guerra.</v>
      </c>
    </row>
    <row r="8886">
      <c r="A8886" s="4" t="s">
        <v>11178</v>
      </c>
      <c r="B8886" s="6" t="s">
        <v>11180</v>
      </c>
      <c r="C8886" s="5" t="str">
        <f>IFERROR(__xludf.DUMMYFUNCTION("GOOGLETRANSLATE(B8886,""en"",""it"")"),"Due ragazze cambiano luoghi e gli ultimi due si sfidano l'uno contro l'altro giocando a rimorchiarsi della guerra e quarto.")</f>
        <v>Due ragazze cambiano luoghi e gli ultimi due si sfidano l'uno contro l'altro giocando a rimorchiarsi della guerra e quarto.</v>
      </c>
    </row>
    <row r="8887">
      <c r="A8887" s="4" t="s">
        <v>11181</v>
      </c>
      <c r="B8887" s="4" t="s">
        <v>11182</v>
      </c>
      <c r="C8887" s="5" t="str">
        <f>IFERROR(__xludf.DUMMYFUNCTION("GOOGLETRANSLATE(B8887,""en"",""it"")"),"Una ragazza si vede rollerblad lungo una lunga strada con diverse persone che la camminano intorno.")</f>
        <v>Una ragazza si vede rollerblad lungo una lunga strada con diverse persone che la camminano intorno.</v>
      </c>
    </row>
    <row r="8888">
      <c r="A8888" s="4" t="s">
        <v>11181</v>
      </c>
      <c r="B8888" s="6" t="s">
        <v>11183</v>
      </c>
      <c r="C8888" s="5" t="str">
        <f>IFERROR(__xludf.DUMMYFUNCTION("GOOGLETRANSLATE(B8888,""en"",""it"")"),"La telecamera si ingrandisce sul viso e mostra tutte le persone intorno all'area seguite dai piedi del cameraman.")</f>
        <v>La telecamera si ingrandisce sul viso e mostra tutte le persone intorno all'area seguite dai piedi del cameraman.</v>
      </c>
    </row>
    <row r="8889">
      <c r="A8889" s="4" t="s">
        <v>11184</v>
      </c>
      <c r="B8889" s="4" t="s">
        <v>11185</v>
      </c>
      <c r="C8889" s="5" t="str">
        <f>IFERROR(__xludf.DUMMYFUNCTION("GOOGLETRANSLATE(B8889,""en"",""it"")"),"Quest'uomo indossa una canotta rossa, pantaloncini neri e scarpe.")</f>
        <v>Quest'uomo indossa una canotta rossa, pantaloncini neri e scarpe.</v>
      </c>
    </row>
    <row r="8890">
      <c r="A8890" s="4" t="s">
        <v>11184</v>
      </c>
      <c r="B8890" s="4" t="s">
        <v>11186</v>
      </c>
      <c r="C8890" s="5" t="str">
        <f>IFERROR(__xludf.DUMMYFUNCTION("GOOGLETRANSLATE(B8890,""en"",""it"")"),"Corre sulla pista della gara e fa il triplo salto in cui quasi arriva fino alla fine.")</f>
        <v>Corre sulla pista della gara e fa il triplo salto in cui quasi arriva fino alla fine.</v>
      </c>
    </row>
    <row r="8891">
      <c r="A8891" s="4" t="s">
        <v>11187</v>
      </c>
      <c r="B8891" s="4" t="s">
        <v>11188</v>
      </c>
      <c r="C8891" s="5" t="str">
        <f>IFERROR(__xludf.DUMMYFUNCTION("GOOGLETRANSLATE(B8891,""en"",""it"")"),"Una telecamera si lancia intorno a una città e conduce in diverse clip di persone che giocano in un casinò.")</f>
        <v>Una telecamera si lancia intorno a una città e conduce in diverse clip di persone che giocano in un casinò.</v>
      </c>
    </row>
    <row r="8892">
      <c r="A8892" s="4" t="s">
        <v>11187</v>
      </c>
      <c r="B8892" s="4" t="s">
        <v>11189</v>
      </c>
      <c r="C8892" s="5" t="str">
        <f>IFERROR(__xludf.DUMMYFUNCTION("GOOGLETRANSLATE(B8892,""en"",""it"")"),"Un uomo viene visto parlare alla telecamera oltre ad essere intervistato dalle notizie.")</f>
        <v>Un uomo viene visto parlare alla telecamera oltre ad essere intervistato dalle notizie.</v>
      </c>
    </row>
    <row r="8893">
      <c r="A8893" s="4" t="s">
        <v>11187</v>
      </c>
      <c r="B8893" s="4" t="s">
        <v>11190</v>
      </c>
      <c r="C8893" s="5" t="str">
        <f>IFERROR(__xludf.DUMMYFUNCTION("GOOGLETRANSLATE(B8893,""en"",""it"")"),"Altri uomini vengono visti essere intervistati mentre mostravano le clip del casinò.")</f>
        <v>Altri uomini vengono visti essere intervistati mentre mostravano le clip del casinò.</v>
      </c>
    </row>
    <row r="8894">
      <c r="A8894" s="4" t="s">
        <v>11191</v>
      </c>
      <c r="B8894" s="4" t="s">
        <v>11192</v>
      </c>
      <c r="C8894" s="5" t="str">
        <f>IFERROR(__xludf.DUMMYFUNCTION("GOOGLETRANSLATE(B8894,""en"",""it"")"),"Un primo piano di un lavandino si vede con il detergente in cima mentre la fotocamera si zoom è sul lavandino.")</f>
        <v>Un primo piano di un lavandino si vede con il detergente in cima mentre la fotocamera si zoom è sul lavandino.</v>
      </c>
    </row>
    <row r="8895">
      <c r="A8895" s="4" t="s">
        <v>11191</v>
      </c>
      <c r="B8895" s="4" t="s">
        <v>11193</v>
      </c>
      <c r="C8895" s="5" t="str">
        <f>IFERROR(__xludf.DUMMYFUNCTION("GOOGLETRANSLATE(B8895,""en"",""it"")"),"Una donna viene quindi vista strofinare il lavandino con uno straccio e mostra il lavandino alla fine.")</f>
        <v>Una donna viene quindi vista strofinare il lavandino con uno straccio e mostra il lavandino alla fine.</v>
      </c>
    </row>
    <row r="8896">
      <c r="A8896" s="4" t="s">
        <v>11194</v>
      </c>
      <c r="B8896" s="4" t="s">
        <v>11195</v>
      </c>
      <c r="C8896" s="5" t="str">
        <f>IFERROR(__xludf.DUMMYFUNCTION("GOOGLETRANSLATE(B8896,""en"",""it"")"),"Una persona viene vista spingere un tosaerba in tutto il cortile.")</f>
        <v>Una persona viene vista spingere un tosaerba in tutto il cortile.</v>
      </c>
    </row>
    <row r="8897">
      <c r="A8897" s="4" t="s">
        <v>11194</v>
      </c>
      <c r="B8897" s="4" t="s">
        <v>11196</v>
      </c>
      <c r="C8897" s="5" t="str">
        <f>IFERROR(__xludf.DUMMYFUNCTION("GOOGLETRANSLATE(B8897,""en"",""it"")"),"La persona spinge il tosaerba lungo il bordo dell'erba e in tutto il resto dell'erba.")</f>
        <v>La persona spinge il tosaerba lungo il bordo dell'erba e in tutto il resto dell'erba.</v>
      </c>
    </row>
    <row r="8898">
      <c r="A8898" s="4" t="s">
        <v>11194</v>
      </c>
      <c r="B8898" s="4" t="s">
        <v>11197</v>
      </c>
      <c r="C8898" s="5" t="str">
        <f>IFERROR(__xludf.DUMMYFUNCTION("GOOGLETRANSLATE(B8898,""en"",""it"")"),"L'uomo quindi afferra un wacker e taglia le erbacce lungo il bordo.")</f>
        <v>L'uomo quindi afferra un wacker e taglia le erbacce lungo il bordo.</v>
      </c>
    </row>
    <row r="8899">
      <c r="A8899" s="4" t="s">
        <v>11198</v>
      </c>
      <c r="B8899" s="6" t="s">
        <v>11199</v>
      </c>
      <c r="C8899" s="5" t="str">
        <f>IFERROR(__xludf.DUMMYFUNCTION("GOOGLETRANSLATE(B8899,""en"",""it"")"),"Un uomo si vede spostare rapidamente un tavolo da palla di foose, mentre un altro uomo guarda sul lato.")</f>
        <v>Un uomo si vede spostare rapidamente un tavolo da palla di foose, mentre un altro uomo guarda sul lato.</v>
      </c>
    </row>
    <row r="8900">
      <c r="A8900" s="4" t="s">
        <v>11198</v>
      </c>
      <c r="B8900" s="4" t="s">
        <v>11200</v>
      </c>
      <c r="C8900" s="5" t="str">
        <f>IFERROR(__xludf.DUMMYFUNCTION("GOOGLETRANSLATE(B8900,""en"",""it"")"),"Gli uomini giocano quindi una partita l'uno contro l'altro mentre uno continua a muovere rapidamente i poli.")</f>
        <v>Gli uomini giocano quindi una partita l'uno contro l'altro mentre uno continua a muovere rapidamente i poli.</v>
      </c>
    </row>
    <row r="8901">
      <c r="A8901" s="4" t="s">
        <v>11201</v>
      </c>
      <c r="B8901" s="4" t="s">
        <v>11202</v>
      </c>
      <c r="C8901" s="5" t="str">
        <f>IFERROR(__xludf.DUMMYFUNCTION("GOOGLETRANSLATE(B8901,""en"",""it"")"),"Un folto gruppo di ballerini si vede in piedi su un palco e iniziano a eseguire una routine.")</f>
        <v>Un folto gruppo di ballerini si vede in piedi su un palco e iniziano a eseguire una routine.</v>
      </c>
    </row>
    <row r="8902">
      <c r="A8902" s="4" t="s">
        <v>11201</v>
      </c>
      <c r="B8902" s="4" t="s">
        <v>11203</v>
      </c>
      <c r="C8902" s="5" t="str">
        <f>IFERROR(__xludf.DUMMYFUNCTION("GOOGLETRANSLATE(B8902,""en"",""it"")"),"Le ragazze continuano a ballare l'una con l'altra e finiscono tenendo una posa.")</f>
        <v>Le ragazze continuano a ballare l'una con l'altra e finiscono tenendo una posa.</v>
      </c>
    </row>
    <row r="8903">
      <c r="A8903" s="4" t="s">
        <v>11204</v>
      </c>
      <c r="B8903" s="4" t="s">
        <v>11205</v>
      </c>
      <c r="C8903" s="5" t="str">
        <f>IFERROR(__xludf.DUMMYFUNCTION("GOOGLETRANSLATE(B8903,""en"",""it"")"),"Un uomo è seduto con un fisarte in grembo.")</f>
        <v>Un uomo è seduto con un fisarte in grembo.</v>
      </c>
    </row>
    <row r="8904">
      <c r="A8904" s="4" t="s">
        <v>11204</v>
      </c>
      <c r="B8904" s="4" t="s">
        <v>11206</v>
      </c>
      <c r="C8904" s="5" t="str">
        <f>IFERROR(__xludf.DUMMYFUNCTION("GOOGLETRANSLATE(B8904,""en"",""it"")"),"Lo tira dentro e fuori mentre suona la tastiera con l'altra mano.")</f>
        <v>Lo tira dentro e fuori mentre suona la tastiera con l'altra mano.</v>
      </c>
    </row>
    <row r="8905">
      <c r="A8905" s="4" t="s">
        <v>11204</v>
      </c>
      <c r="B8905" s="4" t="s">
        <v>11207</v>
      </c>
      <c r="C8905" s="5" t="str">
        <f>IFERROR(__xludf.DUMMYFUNCTION("GOOGLETRANSLATE(B8905,""en"",""it"")"),"Viene mostrato con due diversi fischi mentre continua a giocare.")</f>
        <v>Viene mostrato con due diversi fischi mentre continua a giocare.</v>
      </c>
    </row>
    <row r="8906">
      <c r="A8906" s="4" t="s">
        <v>11208</v>
      </c>
      <c r="B8906" s="4" t="s">
        <v>11209</v>
      </c>
      <c r="C8906" s="5" t="str">
        <f>IFERROR(__xludf.DUMMYFUNCTION("GOOGLETRANSLATE(B8906,""en"",""it"")"),"Un lottatore è nel mezzo del ring in attesa del suo avversario.")</f>
        <v>Un lottatore è nel mezzo del ring in attesa del suo avversario.</v>
      </c>
    </row>
    <row r="8907">
      <c r="A8907" s="4" t="s">
        <v>11208</v>
      </c>
      <c r="B8907" s="6" t="s">
        <v>11210</v>
      </c>
      <c r="C8907" s="5" t="str">
        <f>IFERROR(__xludf.DUMMYFUNCTION("GOOGLETRANSLATE(B8907,""en"",""it"")"),"Una volta che entra, afferrano una corda e iniziano a giocare a tiro alla guerra, tirandosi l'un l'altro.")</f>
        <v>Una volta che entra, afferrano una corda e iniziano a giocare a tiro alla guerra, tirandosi l'un l'altro.</v>
      </c>
    </row>
    <row r="8908">
      <c r="A8908" s="4" t="s">
        <v>11208</v>
      </c>
      <c r="B8908" s="4" t="s">
        <v>11211</v>
      </c>
      <c r="C8908" s="5" t="str">
        <f>IFERROR(__xludf.DUMMYFUNCTION("GOOGLETRANSLATE(B8908,""en"",""it"")"),"Lottano cercando di battere l'altro quando finalmente il lottatore della testa rossa fa cadere l'altro.")</f>
        <v>Lottano cercando di battere l'altro quando finalmente il lottatore della testa rossa fa cadere l'altro.</v>
      </c>
    </row>
    <row r="8909">
      <c r="A8909" s="4" t="s">
        <v>11208</v>
      </c>
      <c r="B8909" s="4" t="s">
        <v>11212</v>
      </c>
      <c r="C8909" s="5" t="str">
        <f>IFERROR(__xludf.DUMMYFUNCTION("GOOGLETRANSLATE(B8909,""en"",""it"")"),"Gloat, saltando su e giù e sbattendo le mani contro il petto.")</f>
        <v>Gloat, saltando su e giù e sbattendo le mani contro il petto.</v>
      </c>
    </row>
    <row r="8910">
      <c r="A8910" s="4" t="s">
        <v>11213</v>
      </c>
      <c r="B8910" s="4" t="s">
        <v>11214</v>
      </c>
      <c r="C8910" s="5" t="str">
        <f>IFERROR(__xludf.DUMMYFUNCTION("GOOGLETRANSLATE(B8910,""en"",""it"")"),"Un uomo si accovaccia in uno studio di danza.")</f>
        <v>Un uomo si accovaccia in uno studio di danza.</v>
      </c>
    </row>
    <row r="8911">
      <c r="A8911" s="4" t="s">
        <v>11213</v>
      </c>
      <c r="B8911" s="4" t="s">
        <v>11215</v>
      </c>
      <c r="C8911" s="5" t="str">
        <f>IFERROR(__xludf.DUMMYFUNCTION("GOOGLETRANSLATE(B8911,""en"",""it"")"),"Si solleva sulle sue mani.")</f>
        <v>Si solleva sulle sue mani.</v>
      </c>
    </row>
    <row r="8912">
      <c r="A8912" s="4" t="s">
        <v>11213</v>
      </c>
      <c r="B8912" s="4" t="s">
        <v>11216</v>
      </c>
      <c r="C8912" s="5" t="str">
        <f>IFERROR(__xludf.DUMMYFUNCTION("GOOGLETRANSLATE(B8912,""en"",""it"")"),"Alza i piedi in aria.")</f>
        <v>Alza i piedi in aria.</v>
      </c>
    </row>
    <row r="8913">
      <c r="A8913" s="4" t="s">
        <v>11213</v>
      </c>
      <c r="B8913" s="4" t="s">
        <v>11217</v>
      </c>
      <c r="C8913" s="5" t="str">
        <f>IFERROR(__xludf.DUMMYFUNCTION("GOOGLETRANSLATE(B8913,""en"",""it"")"),"Quindi si sdraia sulla schiena a terra.")</f>
        <v>Quindi si sdraia sulla schiena a terra.</v>
      </c>
    </row>
    <row r="8914">
      <c r="A8914" s="4" t="s">
        <v>11218</v>
      </c>
      <c r="B8914" s="6" t="s">
        <v>11219</v>
      </c>
      <c r="C8914" s="5" t="str">
        <f>IFERROR(__xludf.DUMMYFUNCTION("GOOGLETRANSLATE(B8914,""en"",""it"")"),"Una donna bionda sta giocando con i cani, li sta baciando e li sta dando una doccia, la donna tiene una forbice e sta tagliando i capelli del cane.")</f>
        <v>Una donna bionda sta giocando con i cani, li sta baciando e li sta dando una doccia, la donna tiene una forbice e sta tagliando i capelli del cane.</v>
      </c>
    </row>
    <row r="8915">
      <c r="A8915" s="4" t="s">
        <v>11218</v>
      </c>
      <c r="B8915" s="4" t="s">
        <v>11220</v>
      </c>
      <c r="C8915" s="5" t="str">
        <f>IFERROR(__xludf.DUMMYFUNCTION("GOOGLETRANSLATE(B8915,""en"",""it"")"),"Blonde Woman è con un bel cane bianco in un tavolo un ufficio di un veterinario.")</f>
        <v>Blonde Woman è con un bel cane bianco in un tavolo un ufficio di un veterinario.</v>
      </c>
    </row>
    <row r="8916">
      <c r="A8916" s="4" t="s">
        <v>11218</v>
      </c>
      <c r="B8916" s="4" t="s">
        <v>11221</v>
      </c>
      <c r="C8916" s="5" t="str">
        <f>IFERROR(__xludf.DUMMYFUNCTION("GOOGLETRANSLATE(B8916,""en"",""it"")"),"La donna è con il cane nero e sta accontentando i capelli del cane.")</f>
        <v>La donna è con il cane nero e sta accontentando i capelli del cane.</v>
      </c>
    </row>
    <row r="8917">
      <c r="A8917" s="4" t="s">
        <v>11218</v>
      </c>
      <c r="B8917" s="4" t="s">
        <v>11222</v>
      </c>
      <c r="C8917" s="5" t="str">
        <f>IFERROR(__xludf.DUMMYFUNCTION("GOOGLETRANSLATE(B8917,""en"",""it"")"),"La donna mostra i loro diplomi e premi ed è con una pozzanghera bianca che si pettina i capelli.")</f>
        <v>La donna mostra i loro diplomi e premi ed è con una pozzanghera bianca che si pettina i capelli.</v>
      </c>
    </row>
    <row r="8918">
      <c r="A8918" s="4" t="s">
        <v>11218</v>
      </c>
      <c r="B8918" s="4" t="s">
        <v>11223</v>
      </c>
      <c r="C8918" s="5" t="str">
        <f>IFERROR(__xludf.DUMMYFUNCTION("GOOGLETRANSLATE(B8918,""en"",""it"")"),"La donna pettina i capelli del cane nero e ci gioca.")</f>
        <v>La donna pettina i capelli del cane nero e ci gioca.</v>
      </c>
    </row>
    <row r="8919">
      <c r="A8919" s="4" t="s">
        <v>11218</v>
      </c>
      <c r="B8919" s="4" t="s">
        <v>11224</v>
      </c>
      <c r="C8919" s="5" t="str">
        <f>IFERROR(__xludf.DUMMYFUNCTION("GOOGLETRANSLATE(B8919,""en"",""it"")"),"La donna tiene la zampa del cane bianco e si taglia le unghie.")</f>
        <v>La donna tiene la zampa del cane bianco e si taglia le unghie.</v>
      </c>
    </row>
    <row r="8920">
      <c r="A8920" s="4" t="s">
        <v>11218</v>
      </c>
      <c r="B8920" s="4" t="s">
        <v>11225</v>
      </c>
      <c r="C8920" s="5" t="str">
        <f>IFERROR(__xludf.DUMMYFUNCTION("GOOGLETRANSLATE(B8920,""en"",""it"")"),"La donna è con il cane nero che gli dà una doccia e acconcia i capelli.")</f>
        <v>La donna è con il cane nero che gli dà una doccia e acconcia i capelli.</v>
      </c>
    </row>
    <row r="8921">
      <c r="A8921" s="4" t="s">
        <v>11218</v>
      </c>
      <c r="B8921" s="4" t="s">
        <v>11226</v>
      </c>
      <c r="C8921" s="5" t="str">
        <f>IFERROR(__xludf.DUMMYFUNCTION("GOOGLETRANSLATE(B8921,""en"",""it"")"),"La donna sta parlando mentre in fondo una donna bionda sta pettinando una pozzanghera bianca.")</f>
        <v>La donna sta parlando mentre in fondo una donna bionda sta pettinando una pozzanghera bianca.</v>
      </c>
    </row>
    <row r="8922">
      <c r="A8922" s="4" t="s">
        <v>11218</v>
      </c>
      <c r="B8922" s="6" t="s">
        <v>11227</v>
      </c>
      <c r="C8922" s="5" t="str">
        <f>IFERROR(__xludf.DUMMYFUNCTION("GOOGLETRANSLATE(B8922,""en"",""it"")"),"Blonde Woman tiene la pozzanghera bianca e sta parlando con la telecamera che dà l'indirizzo web al White Dog Salon mostra come pettine e doccia i cani.")</f>
        <v>Blonde Woman tiene la pozzanghera bianca e sta parlando con la telecamera che dà l'indirizzo web al White Dog Salon mostra come pettine e doccia i cani.</v>
      </c>
    </row>
    <row r="8923">
      <c r="A8923" s="4" t="s">
        <v>11228</v>
      </c>
      <c r="B8923" s="6" t="s">
        <v>11229</v>
      </c>
      <c r="C8923" s="5" t="str">
        <f>IFERROR(__xludf.DUMMYFUNCTION("GOOGLETRANSLATE(B8923,""en"",""it"")"),"Un atleta è visto in piedi pronto a tenere un palo e inizia a correre su una grande pista su un raggio.")</f>
        <v>Un atleta è visto in piedi pronto a tenere un palo e inizia a correre su una grande pista su un raggio.</v>
      </c>
    </row>
    <row r="8924">
      <c r="A8924" s="4" t="s">
        <v>11228</v>
      </c>
      <c r="B8924" s="6" t="s">
        <v>11230</v>
      </c>
      <c r="C8924" s="5" t="str">
        <f>IFERROR(__xludf.DUMMYFUNCTION("GOOGLETRANSLATE(B8924,""en"",""it"")"),"La donna salta quindi sopra il raggio e getta le braccia in aria per festeggiare e correre in campo.")</f>
        <v>La donna salta quindi sopra il raggio e getta le braccia in aria per festeggiare e correre in campo.</v>
      </c>
    </row>
    <row r="8925">
      <c r="A8925" s="4" t="s">
        <v>11228</v>
      </c>
      <c r="B8925" s="6" t="s">
        <v>11231</v>
      </c>
      <c r="C8925" s="5" t="str">
        <f>IFERROR(__xludf.DUMMYFUNCTION("GOOGLETRANSLATE(B8925,""en"",""it"")"),"La donna si lancia sul tappeto mentre celebra e termina con il suo salto mostrato di nuovo e lei è seduta davanti alla sua colonna sonora.")</f>
        <v>La donna si lancia sul tappeto mentre celebra e termina con il suo salto mostrato di nuovo e lei è seduta davanti alla sua colonna sonora.</v>
      </c>
    </row>
    <row r="8926">
      <c r="A8926" s="4" t="s">
        <v>11232</v>
      </c>
      <c r="B8926" s="4" t="s">
        <v>11233</v>
      </c>
      <c r="C8926" s="5" t="str">
        <f>IFERROR(__xludf.DUMMYFUNCTION("GOOGLETRANSLATE(B8926,""en"",""it"")"),"Una giovane donna è vista in piedi accanto a un cavallo e parla con un piccolo gruppo.")</f>
        <v>Una giovane donna è vista in piedi accanto a un cavallo e parla con un piccolo gruppo.</v>
      </c>
    </row>
    <row r="8927">
      <c r="A8927" s="4" t="s">
        <v>11232</v>
      </c>
      <c r="B8927" s="4" t="s">
        <v>11234</v>
      </c>
      <c r="C8927" s="5" t="str">
        <f>IFERROR(__xludf.DUMMYFUNCTION("GOOGLETRANSLATE(B8927,""en"",""it"")"),"Spinge un po 'il cavallo e inizia a spazzolare la coda mentre parla ancora al gruppo.")</f>
        <v>Spinge un po 'il cavallo e inizia a spazzolare la coda mentre parla ancora al gruppo.</v>
      </c>
    </row>
    <row r="8928">
      <c r="A8928" s="4" t="s">
        <v>11232</v>
      </c>
      <c r="B8928" s="4" t="s">
        <v>11235</v>
      </c>
      <c r="C8928" s="5" t="str">
        <f>IFERROR(__xludf.DUMMYFUNCTION("GOOGLETRANSLATE(B8928,""en"",""it"")"),"Smette di sfiorare mentre parla al gruppo e si allontana.")</f>
        <v>Smette di sfiorare mentre parla al gruppo e si allontana.</v>
      </c>
    </row>
    <row r="8929">
      <c r="A8929" s="4" t="s">
        <v>11236</v>
      </c>
      <c r="B8929" s="4" t="s">
        <v>11237</v>
      </c>
      <c r="C8929" s="5" t="str">
        <f>IFERROR(__xludf.DUMMYFUNCTION("GOOGLETRANSLATE(B8929,""en"",""it"")"),"Un uomo leggermente rotondo viene mostrato in cucina mentre tiene in mano una lattina di bevanda.")</f>
        <v>Un uomo leggermente rotondo viene mostrato in cucina mentre tiene in mano una lattina di bevanda.</v>
      </c>
    </row>
    <row r="8930">
      <c r="A8930" s="4" t="s">
        <v>11236</v>
      </c>
      <c r="B8930" s="4" t="s">
        <v>11238</v>
      </c>
      <c r="C8930" s="5" t="str">
        <f>IFERROR(__xludf.DUMMYFUNCTION("GOOGLETRANSLATE(B8930,""en"",""it"")"),"L'uomo sta ridendo e parla con la telecamera della lattina in mano.")</f>
        <v>L'uomo sta ridendo e parla con la telecamera della lattina in mano.</v>
      </c>
    </row>
    <row r="8931">
      <c r="A8931" s="4" t="s">
        <v>11236</v>
      </c>
      <c r="B8931" s="4" t="s">
        <v>11239</v>
      </c>
      <c r="C8931" s="5" t="str">
        <f>IFERROR(__xludf.DUMMYFUNCTION("GOOGLETRANSLATE(B8931,""en"",""it"")"),"Versa la bevanda in un bicchiere e procede a berlo accanto a un amico maschio.")</f>
        <v>Versa la bevanda in un bicchiere e procede a berlo accanto a un amico maschio.</v>
      </c>
    </row>
    <row r="8932">
      <c r="A8932" s="4" t="s">
        <v>11236</v>
      </c>
      <c r="B8932" s="4" t="s">
        <v>11240</v>
      </c>
      <c r="C8932" s="5" t="str">
        <f>IFERROR(__xludf.DUMMYFUNCTION("GOOGLETRANSLATE(B8932,""en"",""it"")"),"I due uomini bevono il contenuto dei loro occhiali mentre parlano.")</f>
        <v>I due uomini bevono il contenuto dei loro occhiali mentre parlano.</v>
      </c>
    </row>
    <row r="8933">
      <c r="A8933" s="4" t="s">
        <v>11241</v>
      </c>
      <c r="B8933" s="6" t="s">
        <v>11242</v>
      </c>
      <c r="C8933" s="5" t="str">
        <f>IFERROR(__xludf.DUMMYFUNCTION("GOOGLETRANSLATE(B8933,""en"",""it"")"),"Una donna viene vista parlare alla telecamera e posare le mani su un paio di pantaloni su un tavolo da stiro.")</f>
        <v>Una donna viene vista parlare alla telecamera e posare le mani su un paio di pantaloni su un tavolo da stiro.</v>
      </c>
    </row>
    <row r="8934">
      <c r="A8934" s="4" t="s">
        <v>11241</v>
      </c>
      <c r="B8934" s="4" t="s">
        <v>11243</v>
      </c>
      <c r="C8934" s="5" t="str">
        <f>IFERROR(__xludf.DUMMYFUNCTION("GOOGLETRANSLATE(B8934,""en"",""it"")"),"Comincia a stirare i pantaloni e termina mostrando la piega che ha fatto nel mezzo.")</f>
        <v>Comincia a stirare i pantaloni e termina mostrando la piega che ha fatto nel mezzo.</v>
      </c>
    </row>
    <row r="8935">
      <c r="A8935" s="4" t="s">
        <v>11244</v>
      </c>
      <c r="B8935" s="4" t="s">
        <v>11245</v>
      </c>
      <c r="C8935" s="5" t="str">
        <f>IFERROR(__xludf.DUMMYFUNCTION("GOOGLETRANSLATE(B8935,""en"",""it"")"),"C'è un uomo in cucina e lavarsi le mani nel lavello della cucina in acciaio.")</f>
        <v>C'è un uomo in cucina e lavarsi le mani nel lavello della cucina in acciaio.</v>
      </c>
    </row>
    <row r="8936">
      <c r="A8936" s="4" t="s">
        <v>11244</v>
      </c>
      <c r="B8936" s="4" t="s">
        <v>11246</v>
      </c>
      <c r="C8936" s="5" t="str">
        <f>IFERROR(__xludf.DUMMYFUNCTION("GOOGLETRANSLATE(B8936,""en"",""it"")"),"Prende una pompa dal sapone per le mani liquide dal bancone del lavandino.")</f>
        <v>Prende una pompa dal sapone per le mani liquide dal bancone del lavandino.</v>
      </c>
    </row>
    <row r="8937">
      <c r="A8937" s="4" t="s">
        <v>11244</v>
      </c>
      <c r="B8937" s="4" t="s">
        <v>11247</v>
      </c>
      <c r="C8937" s="5" t="str">
        <f>IFERROR(__xludf.DUMMYFUNCTION("GOOGLETRANSLATE(B8937,""en"",""it"")"),"Quindi gira sull'acqua e si lava le mani.")</f>
        <v>Quindi gira sull'acqua e si lava le mani.</v>
      </c>
    </row>
    <row r="8938">
      <c r="A8938" s="4" t="s">
        <v>11244</v>
      </c>
      <c r="B8938" s="4" t="s">
        <v>11248</v>
      </c>
      <c r="C8938" s="5" t="str">
        <f>IFERROR(__xludf.DUMMYFUNCTION("GOOGLETRANSLATE(B8938,""en"",""it"")"),"Dopo aver finito di lavarsi, usa un asciugamano bianco che si trova accanto al lavandino sul bancone.")</f>
        <v>Dopo aver finito di lavarsi, usa un asciugamano bianco che si trova accanto al lavandino sul bancone.</v>
      </c>
    </row>
    <row r="8939">
      <c r="A8939" s="4" t="s">
        <v>11249</v>
      </c>
      <c r="B8939" s="4" t="s">
        <v>11250</v>
      </c>
      <c r="C8939" s="5" t="str">
        <f>IFERROR(__xludf.DUMMYFUNCTION("GOOGLETRANSLATE(B8939,""en"",""it"")"),"Un uomo sta usando un narghilè all'interno di una stanza.")</f>
        <v>Un uomo sta usando un narghilè all'interno di una stanza.</v>
      </c>
    </row>
    <row r="8940">
      <c r="A8940" s="4" t="s">
        <v>11249</v>
      </c>
      <c r="B8940" s="4" t="s">
        <v>11251</v>
      </c>
      <c r="C8940" s="5" t="str">
        <f>IFERROR(__xludf.DUMMYFUNCTION("GOOGLETRANSLATE(B8940,""en"",""it"")"),"Si gira e soffia un pilastro di fumo.")</f>
        <v>Si gira e soffia un pilastro di fumo.</v>
      </c>
    </row>
    <row r="8941">
      <c r="A8941" s="4" t="s">
        <v>11249</v>
      </c>
      <c r="B8941" s="4" t="s">
        <v>11252</v>
      </c>
      <c r="C8941" s="5" t="str">
        <f>IFERROR(__xludf.DUMMYFUNCTION("GOOGLETRANSLATE(B8941,""en"",""it"")"),"Un altro uomo prende il narghilè e prende anche un colpo.")</f>
        <v>Un altro uomo prende il narghilè e prende anche un colpo.</v>
      </c>
    </row>
    <row r="8942">
      <c r="A8942" s="4" t="s">
        <v>11253</v>
      </c>
      <c r="B8942" s="6" t="s">
        <v>11254</v>
      </c>
      <c r="C8942" s="5" t="str">
        <f>IFERROR(__xludf.DUMMYFUNCTION("GOOGLETRANSLATE(B8942,""en"",""it"")"),"Una ragazza dimostra diverse danza avanzata e mosse ginnastiche in molte località diverse in una città.")</f>
        <v>Una ragazza dimostra diverse danza avanzata e mosse ginnastiche in molte località diverse in una città.</v>
      </c>
    </row>
    <row r="8943">
      <c r="A8943" s="4" t="s">
        <v>11253</v>
      </c>
      <c r="B8943" s="6" t="s">
        <v>11255</v>
      </c>
      <c r="C8943" s="5" t="str">
        <f>IFERROR(__xludf.DUMMYFUNCTION("GOOGLETRANSLATE(B8943,""en"",""it"")"),"Una ragazza si trova su un campo coperto di erba e sul marciapiede pavimentato ed esegue diversi lanci di ginnastica e mosse di cheerleader.")</f>
        <v>Una ragazza si trova su un campo coperto di erba e sul marciapiede pavimentato ed esegue diversi lanci di ginnastica e mosse di cheerleader.</v>
      </c>
    </row>
    <row r="8944">
      <c r="A8944" s="4" t="s">
        <v>11253</v>
      </c>
      <c r="B8944" s="4" t="s">
        <v>11256</v>
      </c>
      <c r="C8944" s="5" t="str">
        <f>IFERROR(__xludf.DUMMYFUNCTION("GOOGLETRANSLATE(B8944,""en"",""it"")"),"La ragazza ritorna quindi sull'erba e fa molti più backflip avanzati.")</f>
        <v>La ragazza ritorna quindi sull'erba e fa molti più backflip avanzati.</v>
      </c>
    </row>
    <row r="8945">
      <c r="A8945" s="4" t="s">
        <v>11253</v>
      </c>
      <c r="B8945" s="6" t="s">
        <v>11257</v>
      </c>
      <c r="C8945" s="5" t="str">
        <f>IFERROR(__xludf.DUMMYFUNCTION("GOOGLETRANSLATE(B8945,""en"",""it"")"),"La ragazza avanza a una passerella di legno ed esegue mosse di danza ed esegue una verticale in un'altra posizione.")</f>
        <v>La ragazza avanza a una passerella di legno ed esegue mosse di danza ed esegue una verticale in un'altra posizione.</v>
      </c>
    </row>
    <row r="8946">
      <c r="A8946" s="4" t="s">
        <v>11253</v>
      </c>
      <c r="B8946" s="4" t="s">
        <v>11258</v>
      </c>
      <c r="C8946" s="5" t="str">
        <f>IFERROR(__xludf.DUMMYFUNCTION("GOOGLETRANSLATE(B8946,""en"",""it"")"),"Il video finalmente termina con la ragazza che esegue mosse di danza in un tunnel e un marciapiede.")</f>
        <v>Il video finalmente termina con la ragazza che esegue mosse di danza in un tunnel e un marciapiede.</v>
      </c>
    </row>
    <row r="8947">
      <c r="A8947" s="4" t="s">
        <v>11259</v>
      </c>
      <c r="B8947" s="4" t="s">
        <v>11260</v>
      </c>
      <c r="C8947" s="5" t="str">
        <f>IFERROR(__xludf.DUMMYFUNCTION("GOOGLETRANSLATE(B8947,""en"",""it"")"),"Un uomo si sta tagliando la barba con le forbici.")</f>
        <v>Un uomo si sta tagliando la barba con le forbici.</v>
      </c>
    </row>
    <row r="8948">
      <c r="A8948" s="4" t="s">
        <v>11259</v>
      </c>
      <c r="B8948" s="4" t="s">
        <v>11261</v>
      </c>
      <c r="C8948" s="5" t="str">
        <f>IFERROR(__xludf.DUMMYFUNCTION("GOOGLETRANSLATE(B8948,""en"",""it"")"),"Usa un rasoio per radersi la barba.")</f>
        <v>Usa un rasoio per radersi la barba.</v>
      </c>
    </row>
    <row r="8949">
      <c r="A8949" s="4" t="s">
        <v>11259</v>
      </c>
      <c r="B8949" s="4" t="s">
        <v>11262</v>
      </c>
      <c r="C8949" s="5" t="str">
        <f>IFERROR(__xludf.DUMMYFUNCTION("GOOGLETRANSLATE(B8949,""en"",""it"")"),"Raccoglie i capelli nel lavandino.")</f>
        <v>Raccoglie i capelli nel lavandino.</v>
      </c>
    </row>
    <row r="8950">
      <c r="A8950" s="4" t="s">
        <v>11259</v>
      </c>
      <c r="B8950" s="4" t="s">
        <v>11263</v>
      </c>
      <c r="C8950" s="5" t="str">
        <f>IFERROR(__xludf.DUMMYFUNCTION("GOOGLETRANSLATE(B8950,""en"",""it"")"),"Mette la crema da barba sul viso e usa un rasoio per finire la rasatura.")</f>
        <v>Mette la crema da barba sul viso e usa un rasoio per finire la rasatura.</v>
      </c>
    </row>
    <row r="8951">
      <c r="A8951" s="4" t="s">
        <v>11259</v>
      </c>
      <c r="B8951" s="4" t="s">
        <v>11264</v>
      </c>
      <c r="C8951" s="5" t="str">
        <f>IFERROR(__xludf.DUMMYFUNCTION("GOOGLETRANSLATE(B8951,""en"",""it"")"),"Si asciuga il viso con un asciugamano.")</f>
        <v>Si asciuga il viso con un asciugamano.</v>
      </c>
    </row>
    <row r="8952">
      <c r="A8952" s="4" t="s">
        <v>11259</v>
      </c>
      <c r="B8952" s="4" t="s">
        <v>11265</v>
      </c>
      <c r="C8952" s="5" t="str">
        <f>IFERROR(__xludf.DUMMYFUNCTION("GOOGLETRANSLATE(B8952,""en"",""it"")"),"Sorride e dà un pollice in su.")</f>
        <v>Sorride e dà un pollice in su.</v>
      </c>
    </row>
    <row r="8953">
      <c r="A8953" s="4" t="s">
        <v>11266</v>
      </c>
      <c r="B8953" s="6" t="s">
        <v>11267</v>
      </c>
      <c r="C8953" s="5" t="str">
        <f>IFERROR(__xludf.DUMMYFUNCTION("GOOGLETRANSLATE(B8953,""en"",""it"")"),"Un uomo corre lungo due strade in una maratona, in un ambiente di città, mentre gli spettatori del tifo e del clap.")</f>
        <v>Un uomo corre lungo due strade in una maratona, in un ambiente di città, mentre gli spettatori del tifo e del clap.</v>
      </c>
    </row>
    <row r="8954">
      <c r="A8954" s="4" t="s">
        <v>11266</v>
      </c>
      <c r="B8954" s="6" t="s">
        <v>11268</v>
      </c>
      <c r="C8954" s="5" t="str">
        <f>IFERROR(__xludf.DUMMYFUNCTION("GOOGLETRANSLATE(B8954,""en"",""it"")"),"Un uomo in pantaloncini neri con un numero appuntato al petto sta correndo in una strada della città in una maratona.")</f>
        <v>Un uomo in pantaloncini neri con un numero appuntato al petto sta correndo in una strada della città in una maratona.</v>
      </c>
    </row>
    <row r="8955">
      <c r="A8955" s="4" t="s">
        <v>11266</v>
      </c>
      <c r="B8955" s="4" t="s">
        <v>11269</v>
      </c>
      <c r="C8955" s="5" t="str">
        <f>IFERROR(__xludf.DUMMYFUNCTION("GOOGLETRANSLATE(B8955,""en"",""it"")"),"Le persone a margine stanno applaudendo per l'uomo e sorridono mentre continua a correre.")</f>
        <v>Le persone a margine stanno applaudendo per l'uomo e sorridono mentre continua a correre.</v>
      </c>
    </row>
    <row r="8956">
      <c r="A8956" s="4" t="s">
        <v>11266</v>
      </c>
      <c r="B8956" s="6" t="s">
        <v>11270</v>
      </c>
      <c r="C8956" s="5" t="str">
        <f>IFERROR(__xludf.DUMMYFUNCTION("GOOGLETRANSLATE(B8956,""en"",""it"")"),"L'uomo corre lungo un'altra strada dove corre per un breve periodo dietro un ciclista, e mentre un motociclista si avvicina da dietro di lui vicino al marciapiede che ha una barriera di metallo che scorre la lunghezza.")</f>
        <v>L'uomo corre lungo un'altra strada dove corre per un breve periodo dietro un ciclista, e mentre un motociclista si avvicina da dietro di lui vicino al marciapiede che ha una barriera di metallo che scorre la lunghezza.</v>
      </c>
    </row>
    <row r="8957">
      <c r="A8957" s="4" t="s">
        <v>11271</v>
      </c>
      <c r="B8957" s="6" t="s">
        <v>11272</v>
      </c>
      <c r="C8957" s="5" t="str">
        <f>IFERROR(__xludf.DUMMYFUNCTION("GOOGLETRANSLATE(B8957,""en"",""it"")"),"Un violinista, Lindsay Stirling, si esibisce dal vivo con alcuni altri partecipanti su un palcoscenico di fronte a un pubblico.")</f>
        <v>Un violinista, Lindsay Stirling, si esibisce dal vivo con alcuni altri partecipanti su un palcoscenico di fronte a un pubblico.</v>
      </c>
    </row>
    <row r="8958">
      <c r="A8958" s="4" t="s">
        <v>11271</v>
      </c>
      <c r="B8958" s="4" t="s">
        <v>11273</v>
      </c>
      <c r="C8958" s="5" t="str">
        <f>IFERROR(__xludf.DUMMYFUNCTION("GOOGLETRANSLATE(B8958,""en"",""it"")"),"Comincia suonando il violino mentre gli altri artisti ballano in modo coreografato.")</f>
        <v>Comincia suonando il violino mentre gli altri artisti ballano in modo coreografato.</v>
      </c>
    </row>
    <row r="8959">
      <c r="A8959" s="4" t="s">
        <v>11271</v>
      </c>
      <c r="B8959" s="4" t="s">
        <v>11274</v>
      </c>
      <c r="C8959" s="5" t="str">
        <f>IFERROR(__xludf.DUMMYFUNCTION("GOOGLETRANSLATE(B8959,""en"",""it"")"),"La violinista balla mentre suona lo strumento insieme ad altri cinque ballerini.")</f>
        <v>La violinista balla mentre suona lo strumento insieme ad altri cinque ballerini.</v>
      </c>
    </row>
    <row r="8960">
      <c r="A8960" s="4" t="s">
        <v>11271</v>
      </c>
      <c r="B8960" s="4" t="s">
        <v>11275</v>
      </c>
      <c r="C8960" s="5" t="str">
        <f>IFERROR(__xludf.DUMMYFUNCTION("GOOGLETRANSLATE(B8960,""en"",""it"")"),"Ballano in uno stile di danza moderno e hip hop.")</f>
        <v>Ballano in uno stile di danza moderno e hip hop.</v>
      </c>
    </row>
    <row r="8961">
      <c r="A8961" s="4" t="s">
        <v>11271</v>
      </c>
      <c r="B8961" s="4" t="s">
        <v>11276</v>
      </c>
      <c r="C8961" s="5" t="str">
        <f>IFERROR(__xludf.DUMMYFUNCTION("GOOGLETRANSLATE(B8961,""en"",""it"")"),"Quindi solo due ballerini rimangono sul palco con il violinista e danzano in stile salsa.")</f>
        <v>Quindi solo due ballerini rimangono sul palco con il violinista e danzano in stile salsa.</v>
      </c>
    </row>
    <row r="8962">
      <c r="A8962" s="4" t="s">
        <v>11271</v>
      </c>
      <c r="B8962" s="6" t="s">
        <v>11277</v>
      </c>
      <c r="C8962" s="5" t="str">
        <f>IFERROR(__xludf.DUMMYFUNCTION("GOOGLETRANSLATE(B8962,""en"",""it"")"),"Dopo aver lasciato il palco, uno dei ballerini maschi fa uno stile moderno di danza mentre ruota in ginocchio.")</f>
        <v>Dopo aver lasciato il palco, uno dei ballerini maschi fa uno stile moderno di danza mentre ruota in ginocchio.</v>
      </c>
    </row>
    <row r="8963">
      <c r="A8963" s="4" t="s">
        <v>11271</v>
      </c>
      <c r="B8963" s="6" t="s">
        <v>11278</v>
      </c>
      <c r="C8963" s="5" t="str">
        <f>IFERROR(__xludf.DUMMYFUNCTION("GOOGLETRANSLATE(B8963,""en"",""it"")"),"Quindi l'intera squadra di danza sale sul palco e continua a ballare in passi coordinati mentre il violinista suona e balla insieme a loro.")</f>
        <v>Quindi l'intera squadra di danza sale sul palco e continua a ballare in passi coordinati mentre il violinista suona e balla insieme a loro.</v>
      </c>
    </row>
    <row r="8964">
      <c r="A8964" s="4" t="s">
        <v>11271</v>
      </c>
      <c r="B8964" s="6" t="s">
        <v>11279</v>
      </c>
      <c r="C8964" s="5" t="str">
        <f>IFERROR(__xludf.DUMMYFUNCTION("GOOGLETRANSLATE(B8964,""en"",""it"")"),"Quindi lasciano il palco con solo il violinista che si esibisce mentre continua a ballare e suonare lo strumento.")</f>
        <v>Quindi lasciano il palco con solo il violinista che si esibisce mentre continua a ballare e suonare lo strumento.</v>
      </c>
    </row>
    <row r="8965">
      <c r="A8965" s="4" t="s">
        <v>11280</v>
      </c>
      <c r="B8965" s="4" t="s">
        <v>11281</v>
      </c>
      <c r="C8965" s="5" t="str">
        <f>IFERROR(__xludf.DUMMYFUNCTION("GOOGLETRANSLATE(B8965,""en"",""it"")"),"Un sollevatore di pesi si prepara per il suo primo ascensore.")</f>
        <v>Un sollevatore di pesi si prepara per il suo primo ascensore.</v>
      </c>
    </row>
    <row r="8966">
      <c r="A8966" s="4" t="s">
        <v>11280</v>
      </c>
      <c r="B8966" s="4" t="s">
        <v>11282</v>
      </c>
      <c r="C8966" s="5" t="str">
        <f>IFERROR(__xludf.DUMMYFUNCTION("GOOGLETRANSLATE(B8966,""en"",""it"")"),"Gli amici stanno guardando e un film.")</f>
        <v>Gli amici stanno guardando e un film.</v>
      </c>
    </row>
    <row r="8967">
      <c r="A8967" s="4" t="s">
        <v>11280</v>
      </c>
      <c r="B8967" s="4" t="s">
        <v>11283</v>
      </c>
      <c r="C8967" s="5" t="str">
        <f>IFERROR(__xludf.DUMMYFUNCTION("GOOGLETRANSLATE(B8967,""en"",""it"")"),"Si accovaccia e solleva la barra.")</f>
        <v>Si accovaccia e solleva la barra.</v>
      </c>
    </row>
    <row r="8968">
      <c r="A8968" s="4" t="s">
        <v>11280</v>
      </c>
      <c r="B8968" s="4" t="s">
        <v>11284</v>
      </c>
      <c r="C8968" s="5" t="str">
        <f>IFERROR(__xludf.DUMMYFUNCTION("GOOGLETRANSLATE(B8968,""en"",""it"")"),"Lo tiene per un momento, poi lo lascia cadere.")</f>
        <v>Lo tiene per un momento, poi lo lascia cadere.</v>
      </c>
    </row>
    <row r="8969">
      <c r="A8969" s="4" t="s">
        <v>11280</v>
      </c>
      <c r="B8969" s="4" t="s">
        <v>11285</v>
      </c>
      <c r="C8969" s="5" t="str">
        <f>IFERROR(__xludf.DUMMYFUNCTION("GOOGLETRANSLATE(B8969,""en"",""it"")"),"Ricomincia da capo e completa un secondo ascensore.")</f>
        <v>Ricomincia da capo e completa un secondo ascensore.</v>
      </c>
    </row>
    <row r="8970">
      <c r="A8970" s="4" t="s">
        <v>11286</v>
      </c>
      <c r="B8970" s="6" t="s">
        <v>11287</v>
      </c>
      <c r="C8970" s="5" t="str">
        <f>IFERROR(__xludf.DUMMYFUNCTION("GOOGLETRANSLATE(B8970,""en"",""it"")"),"Un gruppo di persone viene visto in piedi su un campo quando un uomo corre verso una donna con un pallone da calcio.")</f>
        <v>Un gruppo di persone viene visto in piedi su un campo quando un uomo corre verso una donna con un pallone da calcio.</v>
      </c>
    </row>
    <row r="8971">
      <c r="A8971" s="4" t="s">
        <v>11286</v>
      </c>
      <c r="B8971" s="4" t="s">
        <v>11288</v>
      </c>
      <c r="C8971" s="5" t="str">
        <f>IFERROR(__xludf.DUMMYFUNCTION("GOOGLETRANSLATE(B8971,""en"",""it"")"),"Una ragazza oscilla un'altra mentre un uomo afferra una palla e la lancia a un'altra.")</f>
        <v>Una ragazza oscilla un'altra mentre un uomo afferra una palla e la lancia a un'altra.</v>
      </c>
    </row>
    <row r="8972">
      <c r="A8972" s="4" t="s">
        <v>11289</v>
      </c>
      <c r="B8972" s="4" t="s">
        <v>11290</v>
      </c>
      <c r="C8972" s="5" t="str">
        <f>IFERROR(__xludf.DUMMYFUNCTION("GOOGLETRANSLATE(B8972,""en"",""it"")"),"Una donna tiene un gatto in grembo.")</f>
        <v>Una donna tiene un gatto in grembo.</v>
      </c>
    </row>
    <row r="8973">
      <c r="A8973" s="4" t="s">
        <v>11289</v>
      </c>
      <c r="B8973" s="4" t="s">
        <v>11291</v>
      </c>
      <c r="C8973" s="5" t="str">
        <f>IFERROR(__xludf.DUMMYFUNCTION("GOOGLETRANSLATE(B8973,""en"",""it"")"),"Il gatto sta schiaffeggiando la coppia di trimmer in mano.")</f>
        <v>Il gatto sta schiaffeggiando la coppia di trimmer in mano.</v>
      </c>
    </row>
    <row r="8974">
      <c r="A8974" s="4" t="s">
        <v>11289</v>
      </c>
      <c r="B8974" s="4" t="s">
        <v>11292</v>
      </c>
      <c r="C8974" s="5" t="str">
        <f>IFERROR(__xludf.DUMMYFUNCTION("GOOGLETRANSLATE(B8974,""en"",""it"")"),"Usa i trimmer per tagliare le unghie del gatto, una alla volta.")</f>
        <v>Usa i trimmer per tagliare le unghie del gatto, una alla volta.</v>
      </c>
    </row>
    <row r="8975">
      <c r="A8975" s="4" t="s">
        <v>11293</v>
      </c>
      <c r="B8975" s="4" t="s">
        <v>11294</v>
      </c>
      <c r="C8975" s="5" t="str">
        <f>IFERROR(__xludf.DUMMYFUNCTION("GOOGLETRANSLATE(B8975,""en"",""it"")"),"Una persona si avvicina a un aspirapolvere e raccoglie la bacchetta.")</f>
        <v>Una persona si avvicina a un aspirapolvere e raccoglie la bacchetta.</v>
      </c>
    </row>
    <row r="8976">
      <c r="A8976" s="4" t="s">
        <v>11293</v>
      </c>
      <c r="B8976" s="4" t="s">
        <v>11295</v>
      </c>
      <c r="C8976" s="5" t="str">
        <f>IFERROR(__xludf.DUMMYFUNCTION("GOOGLETRANSLATE(B8976,""en"",""it"")"),"La persona aspira un tappeto nel corridoio di una casa.")</f>
        <v>La persona aspira un tappeto nel corridoio di una casa.</v>
      </c>
    </row>
    <row r="8977">
      <c r="A8977" s="4" t="s">
        <v>11293</v>
      </c>
      <c r="B8977" s="4" t="s">
        <v>11296</v>
      </c>
      <c r="C8977" s="5" t="str">
        <f>IFERROR(__xludf.DUMMYFUNCTION("GOOGLETRANSLATE(B8977,""en"",""it"")"),"La persona spegne il vuoto, quindi sostituisce l'attacco con uno più grande per i tappeti.")</f>
        <v>La persona spegne il vuoto, quindi sostituisce l'attacco con uno più grande per i tappeti.</v>
      </c>
    </row>
    <row r="8978">
      <c r="A8978" s="4" t="s">
        <v>11293</v>
      </c>
      <c r="B8978" s="4" t="s">
        <v>11297</v>
      </c>
      <c r="C8978" s="5" t="str">
        <f>IFERROR(__xludf.DUMMYFUNCTION("GOOGLETRANSLATE(B8978,""en"",""it"")"),"La persona regola una manopola sull'aspirapolvere.")</f>
        <v>La persona regola una manopola sull'aspirapolvere.</v>
      </c>
    </row>
    <row r="8979">
      <c r="A8979" s="4" t="s">
        <v>11298</v>
      </c>
      <c r="B8979" s="4" t="s">
        <v>11299</v>
      </c>
      <c r="C8979" s="5" t="str">
        <f>IFERROR(__xludf.DUMMYFUNCTION("GOOGLETRANSLATE(B8979,""en"",""it"")"),"Un uomo si inginocchia su un ginocchio in una stanza e parla con la telecamera.")</f>
        <v>Un uomo si inginocchia su un ginocchio in una stanza e parla con la telecamera.</v>
      </c>
    </row>
    <row r="8980">
      <c r="A8980" s="4" t="s">
        <v>11298</v>
      </c>
      <c r="B8980" s="4" t="s">
        <v>11300</v>
      </c>
      <c r="C8980" s="5" t="str">
        <f>IFERROR(__xludf.DUMMYFUNCTION("GOOGLETRANSLATE(B8980,""en"",""it"")"),"L'uomo alza il braccio destro e raggiunge il terreno con la mano sinistra.")</f>
        <v>L'uomo alza il braccio destro e raggiunge il terreno con la mano sinistra.</v>
      </c>
    </row>
    <row r="8981">
      <c r="A8981" s="4" t="s">
        <v>11298</v>
      </c>
      <c r="B8981" s="4" t="s">
        <v>11301</v>
      </c>
      <c r="C8981" s="5" t="str">
        <f>IFERROR(__xludf.DUMMYFUNCTION("GOOGLETRANSLATE(B8981,""en"",""it"")"),"L'uomo cambia e fa l'altro lato.")</f>
        <v>L'uomo cambia e fa l'altro lato.</v>
      </c>
    </row>
    <row r="8982">
      <c r="A8982" s="4" t="s">
        <v>11302</v>
      </c>
      <c r="B8982" s="4" t="s">
        <v>11303</v>
      </c>
      <c r="C8982" s="5" t="str">
        <f>IFERROR(__xludf.DUMMYFUNCTION("GOOGLETRANSLATE(B8982,""en"",""it"")"),"Un grande cortile è visto coperto di neve con una persona che cammina nella cornice.")</f>
        <v>Un grande cortile è visto coperto di neve con una persona che cammina nella cornice.</v>
      </c>
    </row>
    <row r="8983">
      <c r="A8983" s="4" t="s">
        <v>11302</v>
      </c>
      <c r="B8983" s="4" t="s">
        <v>11304</v>
      </c>
      <c r="C8983" s="5" t="str">
        <f>IFERROR(__xludf.DUMMYFUNCTION("GOOGLETRANSLATE(B8983,""en"",""it"")"),"L'uomo viene visto con in mano una pala e inizia a spingerla intorno all'area.")</f>
        <v>L'uomo viene visto con in mano una pala e inizia a spingerla intorno all'area.</v>
      </c>
    </row>
    <row r="8984">
      <c r="A8984" s="4" t="s">
        <v>11302</v>
      </c>
      <c r="B8984" s="4" t="s">
        <v>11305</v>
      </c>
      <c r="C8984" s="5" t="str">
        <f>IFERROR(__xludf.DUMMYFUNCTION("GOOGLETRANSLATE(B8984,""en"",""it"")"),"L'uomo cancella tutta la neve e mostra un percorso alla fine.")</f>
        <v>L'uomo cancella tutta la neve e mostra un percorso alla fine.</v>
      </c>
    </row>
    <row r="8985">
      <c r="A8985" s="4" t="s">
        <v>11306</v>
      </c>
      <c r="B8985" s="4" t="s">
        <v>11307</v>
      </c>
      <c r="C8985" s="5" t="str">
        <f>IFERROR(__xludf.DUMMYFUNCTION("GOOGLETRANSLATE(B8985,""en"",""it"")"),"Un uomo sta falciando il prato attorno a un albero di fronte a casa sua.")</f>
        <v>Un uomo sta falciando il prato attorno a un albero di fronte a casa sua.</v>
      </c>
    </row>
    <row r="8986">
      <c r="A8986" s="4" t="s">
        <v>11306</v>
      </c>
      <c r="B8986" s="4" t="s">
        <v>11308</v>
      </c>
      <c r="C8986" s="5" t="str">
        <f>IFERROR(__xludf.DUMMYFUNCTION("GOOGLETRANSLATE(B8986,""en"",""it"")"),"Cammina avanti e indietro, evitando le rocce.")</f>
        <v>Cammina avanti e indietro, evitando le rocce.</v>
      </c>
    </row>
    <row r="8987">
      <c r="A8987" s="4" t="s">
        <v>11306</v>
      </c>
      <c r="B8987" s="4" t="s">
        <v>11309</v>
      </c>
      <c r="C8987" s="5" t="str">
        <f>IFERROR(__xludf.DUMMYFUNCTION("GOOGLETRANSLATE(B8987,""en"",""it"")"),"Si gira sul vialetto e torna di nuovo.")</f>
        <v>Si gira sul vialetto e torna di nuovo.</v>
      </c>
    </row>
    <row r="8988">
      <c r="A8988" s="4" t="s">
        <v>11310</v>
      </c>
      <c r="B8988" s="4" t="s">
        <v>11311</v>
      </c>
      <c r="C8988" s="5" t="str">
        <f>IFERROR(__xludf.DUMMYFUNCTION("GOOGLETRANSLATE(B8988,""en"",""it"")"),"Una donna in un vestito con in mano un violino si rivolge a un pubblico.")</f>
        <v>Una donna in un vestito con in mano un violino si rivolge a un pubblico.</v>
      </c>
    </row>
    <row r="8989">
      <c r="A8989" s="4" t="s">
        <v>11310</v>
      </c>
      <c r="B8989" s="4" t="s">
        <v>11312</v>
      </c>
      <c r="C8989" s="5" t="str">
        <f>IFERROR(__xludf.DUMMYFUNCTION("GOOGLETRANSLATE(B8989,""en"",""it"")"),"La donna suona il violino mentre altri musicisti guardano.")</f>
        <v>La donna suona il violino mentre altri musicisti guardano.</v>
      </c>
    </row>
    <row r="8990">
      <c r="A8990" s="4" t="s">
        <v>11310</v>
      </c>
      <c r="B8990" s="4" t="s">
        <v>11313</v>
      </c>
      <c r="C8990" s="5" t="str">
        <f>IFERROR(__xludf.DUMMYFUNCTION("GOOGLETRANSLATE(B8990,""en"",""it"")"),"La donna finisce giocando e tutti applaude.")</f>
        <v>La donna finisce giocando e tutti applaude.</v>
      </c>
    </row>
    <row r="8991">
      <c r="A8991" s="4" t="s">
        <v>11314</v>
      </c>
      <c r="B8991" s="4" t="s">
        <v>11315</v>
      </c>
      <c r="C8991" s="5" t="str">
        <f>IFERROR(__xludf.DUMMYFUNCTION("GOOGLETRANSLATE(B8991,""en"",""it"")"),"Un uomo tiene in mano una catena sopra la testa.")</f>
        <v>Un uomo tiene in mano una catena sopra la testa.</v>
      </c>
    </row>
    <row r="8992">
      <c r="A8992" s="4" t="s">
        <v>11314</v>
      </c>
      <c r="B8992" s="4" t="s">
        <v>11316</v>
      </c>
      <c r="C8992" s="5" t="str">
        <f>IFERROR(__xludf.DUMMYFUNCTION("GOOGLETRANSLATE(B8992,""en"",""it"")"),"Comincia a ritagliare la parte superiore della siepe.")</f>
        <v>Comincia a ritagliare la parte superiore della siepe.</v>
      </c>
    </row>
    <row r="8993">
      <c r="A8993" s="4" t="s">
        <v>11314</v>
      </c>
      <c r="B8993" s="4" t="s">
        <v>11317</v>
      </c>
      <c r="C8993" s="5" t="str">
        <f>IFERROR(__xludf.DUMMYFUNCTION("GOOGLETRANSLATE(B8993,""en"",""it"")"),"Le persone camminano sul marciapiede dietro di lui.")</f>
        <v>Le persone camminano sul marciapiede dietro di lui.</v>
      </c>
    </row>
    <row r="8994">
      <c r="A8994" s="4" t="s">
        <v>11318</v>
      </c>
      <c r="B8994" s="4" t="s">
        <v>11319</v>
      </c>
      <c r="C8994" s="5" t="str">
        <f>IFERROR(__xludf.DUMMYFUNCTION("GOOGLETRANSLATE(B8994,""en"",""it"")"),"Un uomo con una giacca arancione che tiene gli sci sta camminando sulla neve fino a una collina.")</f>
        <v>Un uomo con una giacca arancione che tiene gli sci sta camminando sulla neve fino a una collina.</v>
      </c>
    </row>
    <row r="8995">
      <c r="A8995" s="4" t="s">
        <v>11318</v>
      </c>
      <c r="B8995" s="4" t="s">
        <v>11320</v>
      </c>
      <c r="C8995" s="5" t="str">
        <f>IFERROR(__xludf.DUMMYFUNCTION("GOOGLETRANSLATE(B8995,""en"",""it"")"),"La persona che tiene la telecamera mette giù gli sci e tiene i poli.")</f>
        <v>La persona che tiene la telecamera mette giù gli sci e tiene i poli.</v>
      </c>
    </row>
    <row r="8996">
      <c r="A8996" s="4" t="s">
        <v>11318</v>
      </c>
      <c r="B8996" s="4" t="s">
        <v>11321</v>
      </c>
      <c r="C8996" s="5" t="str">
        <f>IFERROR(__xludf.DUMMYFUNCTION("GOOGLETRANSLATE(B8996,""en"",""it"")"),"L'uomo con gli sci della giacca arancione giù per la collina.")</f>
        <v>L'uomo con gli sci della giacca arancione giù per la collina.</v>
      </c>
    </row>
    <row r="8997">
      <c r="A8997" s="4" t="s">
        <v>11318</v>
      </c>
      <c r="B8997" s="4" t="s">
        <v>11322</v>
      </c>
      <c r="C8997" s="5" t="str">
        <f>IFERROR(__xludf.DUMMYFUNCTION("GOOGLETRANSLATE(B8997,""en"",""it"")"),"Segue l'uomo che tiene la telecamera.")</f>
        <v>Segue l'uomo che tiene la telecamera.</v>
      </c>
    </row>
    <row r="8998">
      <c r="A8998" s="4" t="s">
        <v>11318</v>
      </c>
      <c r="B8998" s="4" t="s">
        <v>11323</v>
      </c>
      <c r="C8998" s="5" t="str">
        <f>IFERROR(__xludf.DUMMYFUNCTION("GOOGLETRANSLATE(B8998,""en"",""it"")"),"Scrivono giù per la collina innevata.")</f>
        <v>Scrivono giù per la collina innevata.</v>
      </c>
    </row>
    <row r="8999">
      <c r="A8999" s="4" t="s">
        <v>11318</v>
      </c>
      <c r="B8999" s="4" t="s">
        <v>11324</v>
      </c>
      <c r="C8999" s="5" t="str">
        <f>IFERROR(__xludf.DUMMYFUNCTION("GOOGLETRANSLATE(B8999,""en"",""it"")"),"L'uomo con la giacca arancione può essere visto di fronte a lui che schi.")</f>
        <v>L'uomo con la giacca arancione può essere visto di fronte a lui che schi.</v>
      </c>
    </row>
    <row r="9000">
      <c r="A9000" s="4" t="s">
        <v>11318</v>
      </c>
      <c r="B9000" s="4" t="s">
        <v>11325</v>
      </c>
      <c r="C9000" s="5" t="str">
        <f>IFERROR(__xludf.DUMMYFUNCTION("GOOGLETRANSLATE(B9000,""en"",""it"")"),"Entrambi si fermano e parlano con una signora in fondo alla collina.")</f>
        <v>Entrambi si fermano e parlano con una signora in fondo alla collina.</v>
      </c>
    </row>
    <row r="9001">
      <c r="A9001" s="4" t="s">
        <v>11318</v>
      </c>
      <c r="B9001" s="4" t="s">
        <v>11326</v>
      </c>
      <c r="C9001" s="5" t="str">
        <f>IFERROR(__xludf.DUMMYFUNCTION("GOOGLETRANSLATE(B9001,""en"",""it"")"),"Si toglie il guanto e tira fuori il cellulare.")</f>
        <v>Si toglie il guanto e tira fuori il cellulare.</v>
      </c>
    </row>
    <row r="9002">
      <c r="A9002" s="4" t="s">
        <v>11318</v>
      </c>
      <c r="B9002" s="4" t="s">
        <v>11327</v>
      </c>
      <c r="C9002" s="5" t="str">
        <f>IFERROR(__xludf.DUMMYFUNCTION("GOOGLETRANSLATE(B9002,""en"",""it"")"),"Un uomo in un cappotto blu si avvicina a loro e parla con loro.")</f>
        <v>Un uomo in un cappotto blu si avvicina a loro e parla con loro.</v>
      </c>
    </row>
    <row r="9003">
      <c r="A9003" s="4" t="s">
        <v>11328</v>
      </c>
      <c r="B9003" s="4" t="s">
        <v>11329</v>
      </c>
      <c r="C9003" s="5" t="str">
        <f>IFERROR(__xludf.DUMMYFUNCTION("GOOGLETRANSLATE(B9003,""en"",""it"")"),"Un piccolo gruppo di bambini viene visto giocare con due adulti su una spiaggia che spinge la sabbia in una pila.")</f>
        <v>Un piccolo gruppo di bambini viene visto giocare con due adulti su una spiaggia che spinge la sabbia in una pila.</v>
      </c>
    </row>
    <row r="9004">
      <c r="A9004" s="4" t="s">
        <v>11328</v>
      </c>
      <c r="B9004" s="6" t="s">
        <v>11330</v>
      </c>
      <c r="C9004" s="5" t="str">
        <f>IFERROR(__xludf.DUMMYFUNCTION("GOOGLETRANSLATE(B9004,""en"",""it"")"),"I bambini continuano a afferrare l'acqua mentre la telecamera si muove intorno alle altre persone che nuotano nella zona.")</f>
        <v>I bambini continuano a afferrare l'acqua mentre la telecamera si muove intorno alle altre persone che nuotano nella zona.</v>
      </c>
    </row>
    <row r="9005">
      <c r="A9005" s="4" t="s">
        <v>11331</v>
      </c>
      <c r="B9005" s="4" t="s">
        <v>11332</v>
      </c>
      <c r="C9005" s="5" t="str">
        <f>IFERROR(__xludf.DUMMYFUNCTION("GOOGLETRANSLATE(B9005,""en"",""it"")"),"Una donna è seduta davanti a una macchina fotografica.")</f>
        <v>Una donna è seduta davanti a una macchina fotografica.</v>
      </c>
    </row>
    <row r="9006">
      <c r="A9006" s="4" t="s">
        <v>11331</v>
      </c>
      <c r="B9006" s="4" t="s">
        <v>11333</v>
      </c>
      <c r="C9006" s="5" t="str">
        <f>IFERROR(__xludf.DUMMYFUNCTION("GOOGLETRANSLATE(B9006,""en"",""it"")"),"I suoi capelli sono nei bigodini a spirale.")</f>
        <v>I suoi capelli sono nei bigodini a spirale.</v>
      </c>
    </row>
    <row r="9007">
      <c r="A9007" s="4" t="s">
        <v>11331</v>
      </c>
      <c r="B9007" s="4" t="s">
        <v>11334</v>
      </c>
      <c r="C9007" s="5" t="str">
        <f>IFERROR(__xludf.DUMMYFUNCTION("GOOGLETRANSLATE(B9007,""en"",""it"")"),"Dimostra come rimuoverli, mostrando il risultato finale.")</f>
        <v>Dimostra come rimuoverli, mostrando il risultato finale.</v>
      </c>
    </row>
    <row r="9008">
      <c r="A9008" s="4" t="s">
        <v>11335</v>
      </c>
      <c r="B9008" s="4" t="s">
        <v>11336</v>
      </c>
      <c r="C9008" s="5" t="str">
        <f>IFERROR(__xludf.DUMMYFUNCTION("GOOGLETRANSLATE(B9008,""en"",""it"")"),"L'istruttore video, Stephanie sta parlando di un tutorial per capelli.")</f>
        <v>L'istruttore video, Stephanie sta parlando di un tutorial per capelli.</v>
      </c>
    </row>
    <row r="9009">
      <c r="A9009" s="4" t="s">
        <v>11335</v>
      </c>
      <c r="B9009" s="4" t="s">
        <v>11337</v>
      </c>
      <c r="C9009" s="5" t="str">
        <f>IFERROR(__xludf.DUMMYFUNCTION("GOOGLETRANSLATE(B9009,""en"",""it"")"),"Sta dimostrando come tagliare i capelli lunghi sugli uomini.")</f>
        <v>Sta dimostrando come tagliare i capelli lunghi sugli uomini.</v>
      </c>
    </row>
    <row r="9010">
      <c r="A9010" s="4" t="s">
        <v>11335</v>
      </c>
      <c r="B9010" s="4" t="s">
        <v>11338</v>
      </c>
      <c r="C9010" s="5" t="str">
        <f>IFERROR(__xludf.DUMMYFUNCTION("GOOGLETRANSLATE(B9010,""en"",""it"")"),"La sua modella è seduta su una sedia accanto a lei mentre si abbraccia i capelli bagnati.")</f>
        <v>La sua modella è seduta su una sedia accanto a lei mentre si abbraccia i capelli bagnati.</v>
      </c>
    </row>
    <row r="9011">
      <c r="A9011" s="4" t="s">
        <v>11335</v>
      </c>
      <c r="B9011" s="6" t="s">
        <v>11339</v>
      </c>
      <c r="C9011" s="5" t="str">
        <f>IFERROR(__xludf.DUMMYFUNCTION("GOOGLETRANSLATE(B9011,""en"",""it"")"),"Mostra come i capelli sono divisi e sezionati prima di tagliare i capelli usa le forbici per puntare le punte dei capelli del modello.")</f>
        <v>Mostra come i capelli sono divisi e sezionati prima di tagliare i capelli usa le forbici per puntare le punte dei capelli del modello.</v>
      </c>
    </row>
    <row r="9012">
      <c r="A9012" s="4" t="s">
        <v>11335</v>
      </c>
      <c r="B9012" s="4" t="s">
        <v>11340</v>
      </c>
      <c r="C9012" s="5" t="str">
        <f>IFERROR(__xludf.DUMMYFUNCTION("GOOGLETRANSLATE(B9012,""en"",""it"")"),"Continua la procedura sui capelli del modello.")</f>
        <v>Continua la procedura sui capelli del modello.</v>
      </c>
    </row>
    <row r="9013">
      <c r="A9013" s="4" t="s">
        <v>11335</v>
      </c>
      <c r="B9013" s="4" t="s">
        <v>11341</v>
      </c>
      <c r="C9013" s="5" t="str">
        <f>IFERROR(__xludf.DUMMYFUNCTION("GOOGLETRANSLATE(B9013,""en"",""it"")"),"Quindi spiega come asciugare i capelli per ottenere l'aspetto finito sul modello.")</f>
        <v>Quindi spiega come asciugare i capelli per ottenere l'aspetto finito sul modello.</v>
      </c>
    </row>
    <row r="9014">
      <c r="A9014" s="4" t="s">
        <v>11335</v>
      </c>
      <c r="B9014" s="4" t="s">
        <v>11342</v>
      </c>
      <c r="C9014" s="5" t="str">
        <f>IFERROR(__xludf.DUMMYFUNCTION("GOOGLETRANSLATE(B9014,""en"",""it"")"),"Alla fine fornisce informazioni sul suo sito web.")</f>
        <v>Alla fine fornisce informazioni sul suo sito web.</v>
      </c>
    </row>
    <row r="9015">
      <c r="A9015" s="4" t="s">
        <v>11343</v>
      </c>
      <c r="B9015" s="4" t="s">
        <v>11344</v>
      </c>
      <c r="C9015" s="5" t="str">
        <f>IFERROR(__xludf.DUMMYFUNCTION("GOOGLETRANSLATE(B9015,""en"",""it"")"),"Un uomo fa un lancio di disco.")</f>
        <v>Un uomo fa un lancio di disco.</v>
      </c>
    </row>
    <row r="9016">
      <c r="A9016" s="4" t="s">
        <v>11343</v>
      </c>
      <c r="B9016" s="4" t="s">
        <v>11345</v>
      </c>
      <c r="C9016" s="5" t="str">
        <f>IFERROR(__xludf.DUMMYFUNCTION("GOOGLETRANSLATE(B9016,""en"",""it"")"),"Si gira e getta il disco.")</f>
        <v>Si gira e getta il disco.</v>
      </c>
    </row>
    <row r="9017">
      <c r="A9017" s="4" t="s">
        <v>11346</v>
      </c>
      <c r="B9017" s="6" t="s">
        <v>11347</v>
      </c>
      <c r="C9017" s="5" t="str">
        <f>IFERROR(__xludf.DUMMYFUNCTION("GOOGLETRANSLATE(B9017,""en"",""it"")"),"Un uomo si siede su una sedia e parla mentre tiene in mano un'armonica e occasionalmente suonandolo mentre era seduto in un fronte dello sfondo del tessuto verde.")</f>
        <v>Un uomo si siede su una sedia e parla mentre tiene in mano un'armonica e occasionalmente suonandolo mentre era seduto in un fronte dello sfondo del tessuto verde.</v>
      </c>
    </row>
    <row r="9018">
      <c r="A9018" s="4" t="s">
        <v>11346</v>
      </c>
      <c r="B9018" s="6" t="s">
        <v>11348</v>
      </c>
      <c r="C9018" s="5" t="str">
        <f>IFERROR(__xludf.DUMMYFUNCTION("GOOGLETRANSLATE(B9018,""en"",""it"")"),"Un uomo calvo si siede su una sedia di legno e parla con la telecamera mentre tiene, indicando e occasionalmente suonando un'armonica in mano.")</f>
        <v>Un uomo calvo si siede su una sedia di legno e parla con la telecamera mentre tiene, indicando e occasionalmente suonando un'armonica in mano.</v>
      </c>
    </row>
    <row r="9019">
      <c r="A9019" s="4" t="s">
        <v>11346</v>
      </c>
      <c r="B9019" s="6" t="s">
        <v>11349</v>
      </c>
      <c r="C9019" s="5" t="str">
        <f>IFERROR(__xludf.DUMMYFUNCTION("GOOGLETRANSLATE(B9019,""en"",""it"")"),"La telecamera si ingrandisce per un tiro più stretto dell'uomo mentre parla e prima che l'uomo tira l'armonica direttamente in faccia e suona brevemente l'armonica prima di estrarre l'armonica e guardare nella telecamera.")</f>
        <v>La telecamera si ingrandisce per un tiro più stretto dell'uomo mentre parla e prima che l'uomo tira l'armonica direttamente in faccia e suona brevemente l'armonica prima di estrarre l'armonica e guardare nella telecamera.</v>
      </c>
    </row>
    <row r="9020">
      <c r="A9020" s="4" t="s">
        <v>11350</v>
      </c>
      <c r="B9020" s="4" t="s">
        <v>11351</v>
      </c>
      <c r="C9020" s="5" t="str">
        <f>IFERROR(__xludf.DUMMYFUNCTION("GOOGLETRANSLATE(B9020,""en"",""it"")"),"Un uomo nel costume di Sesame Street sta andando in bicicletta.")</f>
        <v>Un uomo nel costume di Sesame Street sta andando in bicicletta.</v>
      </c>
    </row>
    <row r="9021">
      <c r="A9021" s="4" t="s">
        <v>11350</v>
      </c>
      <c r="B9021" s="4" t="s">
        <v>11352</v>
      </c>
      <c r="C9021" s="5" t="str">
        <f>IFERROR(__xludf.DUMMYFUNCTION("GOOGLETRANSLATE(B9021,""en"",""it"")"),"Un uomo vestito da Ernie si unisce presto a Bert.")</f>
        <v>Un uomo vestito da Ernie si unisce presto a Bert.</v>
      </c>
    </row>
    <row r="9022">
      <c r="A9022" s="4" t="s">
        <v>11350</v>
      </c>
      <c r="B9022" s="4" t="s">
        <v>11353</v>
      </c>
      <c r="C9022" s="5" t="str">
        <f>IFERROR(__xludf.DUMMYFUNCTION("GOOGLETRANSLATE(B9022,""en"",""it"")"),"Si bici insieme, come in una gara.")</f>
        <v>Si bici insieme, come in una gara.</v>
      </c>
    </row>
    <row r="9023">
      <c r="A9023" s="4" t="s">
        <v>11350</v>
      </c>
      <c r="B9023" s="4" t="s">
        <v>11354</v>
      </c>
      <c r="C9023" s="5" t="str">
        <f>IFERROR(__xludf.DUMMYFUNCTION("GOOGLETRANSLATE(B9023,""en"",""it"")"),"Entrambi si alzano e si allontanano.")</f>
        <v>Entrambi si alzano e si allontanano.</v>
      </c>
    </row>
    <row r="9024">
      <c r="A9024" s="4" t="s">
        <v>11355</v>
      </c>
      <c r="B9024" s="4" t="s">
        <v>11356</v>
      </c>
      <c r="C9024" s="5" t="str">
        <f>IFERROR(__xludf.DUMMYFUNCTION("GOOGLETRANSLATE(B9024,""en"",""it"")"),"Viene mostrata una persona seduta lungo l'acqua con un primo piano di una pagaia.")</f>
        <v>Viene mostrata una persona seduta lungo l'acqua con un primo piano di una pagaia.</v>
      </c>
    </row>
    <row r="9025">
      <c r="A9025" s="4" t="s">
        <v>11355</v>
      </c>
      <c r="B9025" s="4" t="s">
        <v>11357</v>
      </c>
      <c r="C9025" s="5" t="str">
        <f>IFERROR(__xludf.DUMMYFUNCTION("GOOGLETRANSLATE(B9025,""en"",""it"")"),"La telecamera si avvicina a un altro gruppo di persone sedute su una canoa di fronte a loro.")</f>
        <v>La telecamera si avvicina a un altro gruppo di persone sedute su una canoa di fronte a loro.</v>
      </c>
    </row>
    <row r="9026">
      <c r="A9026" s="4" t="s">
        <v>11355</v>
      </c>
      <c r="B9026" s="4" t="s">
        <v>11358</v>
      </c>
      <c r="C9026" s="5" t="str">
        <f>IFERROR(__xludf.DUMMYFUNCTION("GOOGLETRANSLATE(B9026,""en"",""it"")"),"Più persone sono viste sedute in acqua e barche lungo l'acqua.")</f>
        <v>Più persone sono viste sedute in acqua e barche lungo l'acqua.</v>
      </c>
    </row>
    <row r="9027">
      <c r="A9027" s="4" t="s">
        <v>11359</v>
      </c>
      <c r="B9027" s="4" t="s">
        <v>11360</v>
      </c>
      <c r="C9027" s="5" t="str">
        <f>IFERROR(__xludf.DUMMYFUNCTION("GOOGLETRANSLATE(B9027,""en"",""it"")"),"Un gruppo di calciatori attende il ritorno di un pallone da calcio in campo.")</f>
        <v>Un gruppo di calciatori attende il ritorno di un pallone da calcio in campo.</v>
      </c>
    </row>
    <row r="9028">
      <c r="A9028" s="4" t="s">
        <v>11359</v>
      </c>
      <c r="B9028" s="4" t="s">
        <v>11361</v>
      </c>
      <c r="C9028" s="5" t="str">
        <f>IFERROR(__xludf.DUMMYFUNCTION("GOOGLETRANSLATE(B9028,""en"",""it"")"),"Un calciatore calciava la palla in campo.")</f>
        <v>Un calciatore calciava la palla in campo.</v>
      </c>
    </row>
    <row r="9029">
      <c r="A9029" s="4" t="s">
        <v>11359</v>
      </c>
      <c r="B9029" s="4" t="s">
        <v>11362</v>
      </c>
      <c r="C9029" s="5" t="str">
        <f>IFERROR(__xludf.DUMMYFUNCTION("GOOGLETRANSLATE(B9029,""en"",""it"")"),"Un altro calciatore prende la palla e la passa a un altro calciatore.")</f>
        <v>Un altro calciatore prende la palla e la passa a un altro calciatore.</v>
      </c>
    </row>
    <row r="9030">
      <c r="A9030" s="4" t="s">
        <v>11359</v>
      </c>
      <c r="B9030" s="4" t="s">
        <v>11363</v>
      </c>
      <c r="C9030" s="5" t="str">
        <f>IFERROR(__xludf.DUMMYFUNCTION("GOOGLETRANSLATE(B9030,""en"",""it"")"),"I giocatori di calcio lo danno un calcio al portiere.")</f>
        <v>I giocatori di calcio lo danno un calcio al portiere.</v>
      </c>
    </row>
    <row r="9031">
      <c r="A9031" s="4" t="s">
        <v>11359</v>
      </c>
      <c r="B9031" s="4" t="s">
        <v>11364</v>
      </c>
      <c r="C9031" s="5" t="str">
        <f>IFERROR(__xludf.DUMMYFUNCTION("GOOGLETRANSLATE(B9031,""en"",""it"")"),"Il portiere lo calcia a un calciatore vicino.")</f>
        <v>Il portiere lo calcia a un calciatore vicino.</v>
      </c>
    </row>
    <row r="9032">
      <c r="A9032" s="4" t="s">
        <v>11359</v>
      </c>
      <c r="B9032" s="4" t="s">
        <v>11365</v>
      </c>
      <c r="C9032" s="5" t="str">
        <f>IFERROR(__xludf.DUMMYFUNCTION("GOOGLETRANSLATE(B9032,""en"",""it"")"),"Il calciatore lo calcia a un altro calciatore.")</f>
        <v>Il calciatore lo calcia a un altro calciatore.</v>
      </c>
    </row>
    <row r="9033">
      <c r="A9033" s="4" t="s">
        <v>11366</v>
      </c>
      <c r="B9033" s="4" t="s">
        <v>11367</v>
      </c>
      <c r="C9033" s="5" t="str">
        <f>IFERROR(__xludf.DUMMYFUNCTION("GOOGLETRANSLATE(B9033,""en"",""it"")"),"Due uomini stanno dando il via al lato di una ripida scogliera di roccia.")</f>
        <v>Due uomini stanno dando il via al lato di una ripida scogliera di roccia.</v>
      </c>
    </row>
    <row r="9034">
      <c r="A9034" s="4" t="s">
        <v>11366</v>
      </c>
      <c r="B9034" s="6" t="s">
        <v>11368</v>
      </c>
      <c r="C9034" s="5" t="str">
        <f>IFERROR(__xludf.DUMMYFUNCTION("GOOGLETRANSLATE(B9034,""en"",""it"")"),"Uno degli uomini si arrampica a metà strada, prima di lasciarsi andare e rilasciarsi verso terra.")</f>
        <v>Uno degli uomini si arrampica a metà strada, prima di lasciarsi andare e rilasciarsi verso terra.</v>
      </c>
    </row>
    <row r="9035">
      <c r="A9035" s="4" t="s">
        <v>11369</v>
      </c>
      <c r="B9035" s="4" t="s">
        <v>11370</v>
      </c>
      <c r="C9035" s="5" t="str">
        <f>IFERROR(__xludf.DUMMYFUNCTION("GOOGLETRANSLATE(B9035,""en"",""it"")"),"Un uomo spinge un tosaerba su un prato.")</f>
        <v>Un uomo spinge un tosaerba su un prato.</v>
      </c>
    </row>
    <row r="9036">
      <c r="A9036" s="4" t="s">
        <v>11369</v>
      </c>
      <c r="B9036" s="4" t="s">
        <v>11371</v>
      </c>
      <c r="C9036" s="5" t="str">
        <f>IFERROR(__xludf.DUMMYFUNCTION("GOOGLETRANSLATE(B9036,""en"",""it"")"),"Due bambini lo aiutano a spingerlo.")</f>
        <v>Due bambini lo aiutano a spingerlo.</v>
      </c>
    </row>
    <row r="9037">
      <c r="A9037" s="4" t="s">
        <v>11369</v>
      </c>
      <c r="B9037" s="4" t="s">
        <v>11372</v>
      </c>
      <c r="C9037" s="5" t="str">
        <f>IFERROR(__xludf.DUMMYFUNCTION("GOOGLETRANSLATE(B9037,""en"",""it"")"),"Fanno diversi passaggi sul prato.")</f>
        <v>Fanno diversi passaggi sul prato.</v>
      </c>
    </row>
    <row r="9038">
      <c r="A9038" s="4" t="s">
        <v>11369</v>
      </c>
      <c r="B9038" s="4" t="s">
        <v>11373</v>
      </c>
      <c r="C9038" s="5" t="str">
        <f>IFERROR(__xludf.DUMMYFUNCTION("GOOGLETRANSLATE(B9038,""en"",""it"")"),"Diverse auto guidano da loro.")</f>
        <v>Diverse auto guidano da loro.</v>
      </c>
    </row>
    <row r="9039">
      <c r="A9039" s="4" t="s">
        <v>11374</v>
      </c>
      <c r="B9039" s="4" t="s">
        <v>11375</v>
      </c>
      <c r="C9039" s="5" t="str">
        <f>IFERROR(__xludf.DUMMYFUNCTION("GOOGLETRANSLATE(B9039,""en"",""it"")"),"L'uomo che trasporta un ventilatore da prato sta soffiando la polvere nel marciapiede che cammina in strada.")</f>
        <v>L'uomo che trasporta un ventilatore da prato sta soffiando la polvere nel marciapiede che cammina in strada.</v>
      </c>
    </row>
    <row r="9040">
      <c r="A9040" s="4" t="s">
        <v>11374</v>
      </c>
      <c r="B9040" s="4" t="s">
        <v>11376</v>
      </c>
      <c r="C9040" s="5" t="str">
        <f>IFERROR(__xludf.DUMMYFUNCTION("GOOGLETRANSLATE(B9040,""en"",""it"")"),"L'uomo sta pulendo il marciapiede dalle foglie asciutte che si versano dal marciapiede.")</f>
        <v>L'uomo sta pulendo il marciapiede dalle foglie asciutte che si versano dal marciapiede.</v>
      </c>
    </row>
    <row r="9041">
      <c r="A9041" s="4" t="s">
        <v>11374</v>
      </c>
      <c r="B9041" s="4" t="s">
        <v>11377</v>
      </c>
      <c r="C9041" s="5" t="str">
        <f>IFERROR(__xludf.DUMMYFUNCTION("GOOGLETRANSLATE(B9041,""en"",""it"")"),"L'uomo sta camminando sul marciapiede guardando l'uomo che trasporta il soffiatore.")</f>
        <v>L'uomo sta camminando sul marciapiede guardando l'uomo che trasporta il soffiatore.</v>
      </c>
    </row>
    <row r="9042">
      <c r="A9042" s="4" t="s">
        <v>11378</v>
      </c>
      <c r="B9042" s="6" t="s">
        <v>11379</v>
      </c>
      <c r="C9042" s="5" t="str">
        <f>IFERROR(__xludf.DUMMYFUNCTION("GOOGLETRANSLATE(B9042,""en"",""it"")"),"Un uomo con una camicia rossa parla e dimostra come gettare le freccette contro una tavola da darda mentre altre tre persone in camicie rosse guardano dietro di lui.")</f>
        <v>Un uomo con una camicia rossa parla e dimostra come gettare le freccette contro una tavola da darda mentre altre tre persone in camicie rosse guardano dietro di lui.</v>
      </c>
    </row>
    <row r="9043">
      <c r="A9043" s="4" t="s">
        <v>11378</v>
      </c>
      <c r="B9043" s="6" t="s">
        <v>11380</v>
      </c>
      <c r="C9043" s="5" t="str">
        <f>IFERROR(__xludf.DUMMYFUNCTION("GOOGLETRANSLATE(B9043,""en"",""it"")"),"Un uomo con una camicia rossa affronta la telecamera e inizia a parlare mentre tiene in mano le freccette e mentre tre uomini dietro di lui guardano.")</f>
        <v>Un uomo con una camicia rossa affronta la telecamera e inizia a parlare mentre tiene in mano le freccette e mentre tre uomini dietro di lui guardano.</v>
      </c>
    </row>
    <row r="9044">
      <c r="A9044" s="4" t="s">
        <v>11378</v>
      </c>
      <c r="B9044" s="6" t="s">
        <v>11381</v>
      </c>
      <c r="C9044" s="5" t="str">
        <f>IFERROR(__xludf.DUMMYFUNCTION("GOOGLETRANSLATE(B9044,""en"",""it"")"),"L'uomo si allontana dalla telecamera, in piedi alla vista del profilo e rivolto a un dardo attaccato a un muro, inizia a mirare al freno a freccette con le freccette in mano.")</f>
        <v>L'uomo si allontana dalla telecamera, in piedi alla vista del profilo e rivolto a un dardo attaccato a un muro, inizia a mirare al freno a freccette con le freccette in mano.</v>
      </c>
    </row>
    <row r="9045">
      <c r="A9045" s="4" t="s">
        <v>11378</v>
      </c>
      <c r="B9045" s="6" t="s">
        <v>11382</v>
      </c>
      <c r="C9045" s="5" t="str">
        <f>IFERROR(__xludf.DUMMYFUNCTION("GOOGLETRANSLATE(B9045,""en"",""it"")"),"L'uomo lancia quindi tre freccette contro il bordo di freccette, due delle quali si attaccano al tabellone, l'uomo va a recuperare un dardo dal tabellone e gestisce il pugno e un sorriso.")</f>
        <v>L'uomo lancia quindi tre freccette contro il bordo di freccette, due delle quali si attaccano al tabellone, l'uomo va a recuperare un dardo dal tabellone e gestisce il pugno e un sorriso.</v>
      </c>
    </row>
    <row r="9046">
      <c r="A9046" s="4" t="s">
        <v>11383</v>
      </c>
      <c r="B9046" s="6" t="s">
        <v>11384</v>
      </c>
      <c r="C9046" s="5" t="str">
        <f>IFERROR(__xludf.DUMMYFUNCTION("GOOGLETRANSLATE(B9046,""en"",""it"")"),"Una mano sta versando liquido in un bicchiere di martini e parole bianche a sinistra dello schermo e dicono ""ragazze che mescolano bevande a punti com"" e ""keylime torta con lee"".")</f>
        <v>Una mano sta versando liquido in un bicchiere di martini e parole bianche a sinistra dello schermo e dicono "ragazze che mescolano bevande a punti com" e "keylime torta con lee".</v>
      </c>
    </row>
    <row r="9047">
      <c r="A9047" s="4" t="s">
        <v>11383</v>
      </c>
      <c r="B9047" s="6" t="s">
        <v>11385</v>
      </c>
      <c r="C9047" s="5" t="str">
        <f>IFERROR(__xludf.DUMMYFUNCTION("GOOGLETRANSLATE(B9047,""en"",""it"")"),"Una donna bionda appare in un bar e il sito web appare in tempi casuali mentre la donna sta afferrando tazze, alcol e ghiaccio mentre le fa bere in un bicchiere di martini.")</f>
        <v>Una donna bionda appare in un bar e il sito web appare in tempi casuali mentre la donna sta afferrando tazze, alcol e ghiaccio mentre le fa bere in un bicchiere di martini.</v>
      </c>
    </row>
    <row r="9048">
      <c r="A9048" s="4" t="s">
        <v>11383</v>
      </c>
      <c r="B9048" s="4" t="s">
        <v>11386</v>
      </c>
      <c r="C9048" s="5" t="str">
        <f>IFERROR(__xludf.DUMMYFUNCTION("GOOGLETRANSLATE(B9048,""en"",""it"")"),"La donna riempie il bicchiere di martini di ghiaccio e acqua.")</f>
        <v>La donna riempie il bicchiere di martini di ghiaccio e acqua.</v>
      </c>
    </row>
    <row r="9049">
      <c r="A9049" s="4" t="s">
        <v>11383</v>
      </c>
      <c r="B9049" s="6" t="s">
        <v>11387</v>
      </c>
      <c r="C9049" s="5" t="str">
        <f>IFERROR(__xludf.DUMMYFUNCTION("GOOGLETRANSLATE(B9049,""en"",""it"")"),"La donna si sposta quindi su un grande agitatore d'argento e inizia a mettere alcol e altri liquidi, lo copre con una piccola tazza limpida e inizia a scuotere il contenuto.")</f>
        <v>La donna si sposta quindi su un grande agitatore d'argento e inizia a mettere alcol e altri liquidi, lo copre con una piccola tazza limpida e inizia a scuotere il contenuto.</v>
      </c>
    </row>
    <row r="9050">
      <c r="A9050" s="4" t="s">
        <v>11383</v>
      </c>
      <c r="B9050" s="6" t="s">
        <v>11388</v>
      </c>
      <c r="C9050" s="5" t="str">
        <f>IFERROR(__xludf.DUMMYFUNCTION("GOOGLETRANSLATE(B9050,""en"",""it"")"),"Quando ha finito di scuotere i liquidi, svuota il ghiaccio e l'acqua dalla tazza di Martini, quindi lo riempie con il liquido dallo shaker, mette un lime sul bordo, spinge il bicchiere di Martini in avanti e sorride.")</f>
        <v>Quando ha finito di scuotere i liquidi, svuota il ghiaccio e l'acqua dalla tazza di Martini, quindi lo riempie con il liquido dallo shaker, mette un lime sul bordo, spinge il bicchiere di Martini in avanti e sorride.</v>
      </c>
    </row>
    <row r="9051">
      <c r="A9051" s="4" t="s">
        <v>11383</v>
      </c>
      <c r="B9051" s="4" t="s">
        <v>11389</v>
      </c>
      <c r="C9051" s="5" t="str">
        <f>IFERROR(__xludf.DUMMYFUNCTION("GOOGLETRANSLATE(B9051,""en"",""it"")"),"L'ultima schermata appare con uno sfondo rosso e il sito Web visualizzato nel mezzo.")</f>
        <v>L'ultima schermata appare con uno sfondo rosso e il sito Web visualizzato nel mezzo.</v>
      </c>
    </row>
    <row r="9052">
      <c r="A9052" s="4" t="s">
        <v>11390</v>
      </c>
      <c r="B9052" s="4" t="s">
        <v>11391</v>
      </c>
      <c r="C9052" s="5" t="str">
        <f>IFERROR(__xludf.DUMMYFUNCTION("GOOGLETRANSLATE(B9052,""en"",""it"")"),"Viene mostrato un mucchio di accoglienza affiancata dalle rocce.")</f>
        <v>Viene mostrato un mucchio di accoglienza affiancata dalle rocce.</v>
      </c>
    </row>
    <row r="9053">
      <c r="A9053" s="4" t="s">
        <v>11390</v>
      </c>
      <c r="B9053" s="4" t="s">
        <v>11392</v>
      </c>
      <c r="C9053" s="5" t="str">
        <f>IFERROR(__xludf.DUMMYFUNCTION("GOOGLETRANSLATE(B9053,""en"",""it"")"),"L'accensione è illuminata con una torcia.")</f>
        <v>L'accensione è illuminata con una torcia.</v>
      </c>
    </row>
    <row r="9054">
      <c r="A9054" s="4" t="s">
        <v>11390</v>
      </c>
      <c r="B9054" s="4" t="s">
        <v>11393</v>
      </c>
      <c r="C9054" s="5" t="str">
        <f>IFERROR(__xludf.DUMMYFUNCTION("GOOGLETRANSLATE(B9054,""en"",""it"")"),"Il fuoco è iniziato e guardiamo mentre inizia a bruciare.")</f>
        <v>Il fuoco è iniziato e guardiamo mentre inizia a bruciare.</v>
      </c>
    </row>
    <row r="9055">
      <c r="A9055" s="4" t="s">
        <v>11394</v>
      </c>
      <c r="B9055" s="4" t="s">
        <v>11395</v>
      </c>
      <c r="C9055" s="5" t="str">
        <f>IFERROR(__xludf.DUMMYFUNCTION("GOOGLETRANSLATE(B9055,""en"",""it"")"),"Un uomo viene visto parlare alla telecamera mentre le persone praticano esercitazioni a basket in modo intermittente.")</f>
        <v>Un uomo viene visto parlare alla telecamera mentre le persone praticano esercitazioni a basket in modo intermittente.</v>
      </c>
    </row>
    <row r="9056">
      <c r="A9056" s="4" t="s">
        <v>11394</v>
      </c>
      <c r="B9056" s="4" t="s">
        <v>11396</v>
      </c>
      <c r="C9056" s="5" t="str">
        <f>IFERROR(__xludf.DUMMYFUNCTION("GOOGLETRANSLATE(B9056,""en"",""it"")"),"L'uomo lega una corda attorno a una palla e continua a fargli eseguire i layup sul campo.")</f>
        <v>L'uomo lega una corda attorno a una palla e continua a fargli eseguire i layup sul campo.</v>
      </c>
    </row>
    <row r="9057">
      <c r="A9057" s="4" t="s">
        <v>11394</v>
      </c>
      <c r="B9057" s="4" t="s">
        <v>11397</v>
      </c>
      <c r="C9057" s="5" t="str">
        <f>IFERROR(__xludf.DUMMYFUNCTION("GOOGLETRANSLATE(B9057,""en"",""it"")"),"Vengono mostrate più clip che si esercitano mentre l'uomo parla alla telecamera.")</f>
        <v>Vengono mostrate più clip che si esercitano mentre l'uomo parla alla telecamera.</v>
      </c>
    </row>
    <row r="9058">
      <c r="A9058" s="4" t="s">
        <v>11398</v>
      </c>
      <c r="B9058" s="4" t="s">
        <v>11399</v>
      </c>
      <c r="C9058" s="5" t="str">
        <f>IFERROR(__xludf.DUMMYFUNCTION("GOOGLETRANSLATE(B9058,""en"",""it"")"),"Una ragazza suona un flauto di ottone in piedi sul palco durante un'esibizione.")</f>
        <v>Una ragazza suona un flauto di ottone in piedi sul palco durante un'esibizione.</v>
      </c>
    </row>
    <row r="9059">
      <c r="A9059" s="4" t="s">
        <v>11398</v>
      </c>
      <c r="B9059" s="4" t="s">
        <v>11400</v>
      </c>
      <c r="C9059" s="5" t="str">
        <f>IFERROR(__xludf.DUMMYFUNCTION("GOOGLETRANSLATE(B9059,""en"",""it"")"),"La ragazza finisce la performance e abbassa il suo strumento.")</f>
        <v>La ragazza finisce la performance e abbassa il suo strumento.</v>
      </c>
    </row>
    <row r="9060">
      <c r="A9060" s="4" t="s">
        <v>11401</v>
      </c>
      <c r="B9060" s="4" t="s">
        <v>11402</v>
      </c>
      <c r="C9060" s="5" t="str">
        <f>IFERROR(__xludf.DUMMYFUNCTION("GOOGLETRANSLATE(B9060,""en"",""it"")"),"Due squadre di ragazzi sono in un campo di erba che gioca.")</f>
        <v>Due squadre di ragazzi sono in un campo di erba che gioca.</v>
      </c>
    </row>
    <row r="9061">
      <c r="A9061" s="4" t="s">
        <v>11401</v>
      </c>
      <c r="B9061" s="4" t="s">
        <v>11403</v>
      </c>
      <c r="C9061" s="5" t="str">
        <f>IFERROR(__xludf.DUMMYFUNCTION("GOOGLETRANSLATE(B9061,""en"",""it"")"),"Hanno piccoli pali con reti che usano per prendere le palle e lanciare.")</f>
        <v>Hanno piccoli pali con reti che usano per prendere le palle e lanciare.</v>
      </c>
    </row>
    <row r="9062">
      <c r="A9062" s="4" t="s">
        <v>11401</v>
      </c>
      <c r="B9062" s="4" t="s">
        <v>11404</v>
      </c>
      <c r="C9062" s="5" t="str">
        <f>IFERROR(__xludf.DUMMYFUNCTION("GOOGLETRANSLATE(B9062,""en"",""it"")"),"Uno dei ragazzi della squadra rossa lancia la palla dall'altra parte.")</f>
        <v>Uno dei ragazzi della squadra rossa lancia la palla dall'altra parte.</v>
      </c>
    </row>
    <row r="9063">
      <c r="A9063" s="4" t="s">
        <v>11401</v>
      </c>
      <c r="B9063" s="4" t="s">
        <v>11405</v>
      </c>
      <c r="C9063" s="5" t="str">
        <f>IFERROR(__xludf.DUMMYFUNCTION("GOOGLETRANSLATE(B9063,""en"",""it"")"),"Poi uno dei bambini nella divisa nera arriva a correre indietro e lancia la palla.")</f>
        <v>Poi uno dei bambini nella divisa nera arriva a correre indietro e lancia la palla.</v>
      </c>
    </row>
    <row r="9064">
      <c r="A9064" s="4" t="s">
        <v>11406</v>
      </c>
      <c r="B9064" s="4" t="s">
        <v>11407</v>
      </c>
      <c r="C9064" s="5" t="str">
        <f>IFERROR(__xludf.DUMMYFUNCTION("GOOGLETRANSLATE(B9064,""en"",""it"")"),"Due uomini giocano a Pingpong usando trucchi diversi.")</f>
        <v>Due uomini giocano a Pingpong usando trucchi diversi.</v>
      </c>
    </row>
    <row r="9065">
      <c r="A9065" s="4" t="s">
        <v>11406</v>
      </c>
      <c r="B9065" s="4" t="s">
        <v>11408</v>
      </c>
      <c r="C9065" s="5" t="str">
        <f>IFERROR(__xludf.DUMMYFUNCTION("GOOGLETRANSLATE(B9065,""en"",""it"")"),"Un uomo mette in mostra una scatola della fotocamera e il giocatore Ping Pong la usa.")</f>
        <v>Un uomo mette in mostra una scatola della fotocamera e il giocatore Ping Pong la usa.</v>
      </c>
    </row>
    <row r="9066">
      <c r="A9066" s="4" t="s">
        <v>11406</v>
      </c>
      <c r="B9066" s="4" t="s">
        <v>11409</v>
      </c>
      <c r="C9066" s="5" t="str">
        <f>IFERROR(__xludf.DUMMYFUNCTION("GOOGLETRANSLATE(B9066,""en"",""it"")"),"La scatola si aprirà in modo che il giocatore usi una parte della fotocamera per giocare.")</f>
        <v>La scatola si aprirà in modo che il giocatore usi una parte della fotocamera per giocare.</v>
      </c>
    </row>
    <row r="9067">
      <c r="A9067" s="4" t="s">
        <v>11406</v>
      </c>
      <c r="B9067" s="4" t="s">
        <v>11410</v>
      </c>
      <c r="C9067" s="5" t="str">
        <f>IFERROR(__xludf.DUMMYFUNCTION("GOOGLETRANSLATE(B9067,""en"",""it"")"),"Usa una batteria per colpire, quindi utilizza uno strumento diverso.")</f>
        <v>Usa una batteria per colpire, quindi utilizza uno strumento diverso.</v>
      </c>
    </row>
    <row r="9068">
      <c r="A9068" s="4" t="s">
        <v>11406</v>
      </c>
      <c r="B9068" s="4" t="s">
        <v>11411</v>
      </c>
      <c r="C9068" s="5" t="str">
        <f>IFERROR(__xludf.DUMMYFUNCTION("GOOGLETRANSLATE(B9068,""en"",""it"")"),"Vari strani oggetti sono usati per giocare.")</f>
        <v>Vari strani oggetti sono usati per giocare.</v>
      </c>
    </row>
    <row r="9069">
      <c r="A9069" s="4" t="s">
        <v>11406</v>
      </c>
      <c r="B9069" s="4" t="s">
        <v>11412</v>
      </c>
      <c r="C9069" s="5" t="str">
        <f>IFERROR(__xludf.DUMMYFUNCTION("GOOGLETRANSLATE(B9069,""en"",""it"")"),"L'uomo rompe un uovo con la palla.")</f>
        <v>L'uomo rompe un uovo con la palla.</v>
      </c>
    </row>
    <row r="9070">
      <c r="A9070" s="4" t="s">
        <v>11406</v>
      </c>
      <c r="B9070" s="4" t="s">
        <v>11413</v>
      </c>
      <c r="C9070" s="5" t="str">
        <f>IFERROR(__xludf.DUMMYFUNCTION("GOOGLETRANSLATE(B9070,""en"",""it"")"),"Vengono utilizzati altri oggetti strani tra cui un pipistrello, un orologio e una barretta di caramelle.")</f>
        <v>Vengono utilizzati altri oggetti strani tra cui un pipistrello, un orologio e una barretta di caramelle.</v>
      </c>
    </row>
    <row r="9071">
      <c r="A9071" s="4" t="s">
        <v>11406</v>
      </c>
      <c r="B9071" s="4" t="s">
        <v>11414</v>
      </c>
      <c r="C9071" s="5" t="str">
        <f>IFERROR(__xludf.DUMMYFUNCTION("GOOGLETRANSLATE(B9071,""en"",""it"")"),"L'uomo viene girato caricando il video su YouTube.")</f>
        <v>L'uomo viene girato caricando il video su YouTube.</v>
      </c>
    </row>
    <row r="9072">
      <c r="A9072" s="4" t="s">
        <v>11415</v>
      </c>
      <c r="B9072" s="6" t="s">
        <v>11416</v>
      </c>
      <c r="C9072" s="5" t="str">
        <f>IFERROR(__xludf.DUMMYFUNCTION("GOOGLETRANSLATE(B9072,""en"",""it"")"),"Una donna cerca di mangiare il gelato a un bambino, ma il bambino rifiuta di mangiare il gelato, quindi la donna mangia il gelato nel cucchiaio.")</f>
        <v>Una donna cerca di mangiare il gelato a un bambino, ma il bambino rifiuta di mangiare il gelato, quindi la donna mangia il gelato nel cucchiaio.</v>
      </c>
    </row>
    <row r="9073">
      <c r="A9073" s="4" t="s">
        <v>11415</v>
      </c>
      <c r="B9073" s="4" t="s">
        <v>11417</v>
      </c>
      <c r="C9073" s="5" t="str">
        <f>IFERROR(__xludf.DUMMYFUNCTION("GOOGLETRANSLATE(B9073,""en"",""it"")"),"Dopo, la donna dà il gelato al bambino e poi la donna pulisce la bocca del bambino.")</f>
        <v>Dopo, la donna dà il gelato al bambino e poi la donna pulisce la bocca del bambino.</v>
      </c>
    </row>
    <row r="9074">
      <c r="A9074" s="4" t="s">
        <v>11415</v>
      </c>
      <c r="B9074" s="4" t="s">
        <v>11418</v>
      </c>
      <c r="C9074" s="5" t="str">
        <f>IFERROR(__xludf.DUMMYFUNCTION("GOOGLETRANSLATE(B9074,""en"",""it"")"),"Una vecchia nutre un gelato da ragazzo.")</f>
        <v>Una vecchia nutre un gelato da ragazzo.</v>
      </c>
    </row>
    <row r="9075">
      <c r="A9075" s="4" t="s">
        <v>11419</v>
      </c>
      <c r="B9075" s="4" t="s">
        <v>11420</v>
      </c>
      <c r="C9075" s="5" t="str">
        <f>IFERROR(__xludf.DUMMYFUNCTION("GOOGLETRANSLATE(B9075,""en"",""it"")"),"Una band di marcia suona su un campo.")</f>
        <v>Una band di marcia suona su un campo.</v>
      </c>
    </row>
    <row r="9076">
      <c r="A9076" s="4" t="s">
        <v>11419</v>
      </c>
      <c r="B9076" s="4" t="s">
        <v>11421</v>
      </c>
      <c r="C9076" s="5" t="str">
        <f>IFERROR(__xludf.DUMMYFUNCTION("GOOGLETRANSLATE(B9076,""en"",""it"")"),"Un uomo in un trench sta parlando in un microfono.")</f>
        <v>Un uomo in un trench sta parlando in un microfono.</v>
      </c>
    </row>
    <row r="9077">
      <c r="A9077" s="4" t="s">
        <v>11419</v>
      </c>
      <c r="B9077" s="4" t="s">
        <v>11422</v>
      </c>
      <c r="C9077" s="5" t="str">
        <f>IFERROR(__xludf.DUMMYFUNCTION("GOOGLETRANSLATE(B9077,""en"",""it"")"),"Una squadra sta giocando a lacrosse su un campo d'erba.")</f>
        <v>Una squadra sta giocando a lacrosse su un campo d'erba.</v>
      </c>
    </row>
    <row r="9078">
      <c r="A9078" s="4" t="s">
        <v>11423</v>
      </c>
      <c r="B9078" s="4" t="s">
        <v>11424</v>
      </c>
      <c r="C9078" s="5" t="str">
        <f>IFERROR(__xludf.DUMMYFUNCTION("GOOGLETRANSLATE(B9078,""en"",""it"")"),"Viene visto un uomo parlare alla telecamera in varie clip e sparare a un arco e una freccia.")</f>
        <v>Viene visto un uomo parlare alla telecamera in varie clip e sparare a un arco e una freccia.</v>
      </c>
    </row>
    <row r="9079">
      <c r="A9079" s="4" t="s">
        <v>11423</v>
      </c>
      <c r="B9079" s="6" t="s">
        <v>11425</v>
      </c>
      <c r="C9079" s="5" t="str">
        <f>IFERROR(__xludf.DUMMYFUNCTION("GOOGLETRANSLATE(B9079,""en"",""it"")"),"L'uomo dimostra più volte come sparare correttamente a un arco in luoghi diversi mentre si guarda indietro per parlare alla telecamera.")</f>
        <v>L'uomo dimostra più volte come sparare correttamente a un arco in luoghi diversi mentre si guarda indietro per parlare alla telecamera.</v>
      </c>
    </row>
    <row r="9080">
      <c r="A9080" s="4" t="s">
        <v>11426</v>
      </c>
      <c r="B9080" s="6" t="s">
        <v>11427</v>
      </c>
      <c r="C9080" s="5" t="str">
        <f>IFERROR(__xludf.DUMMYFUNCTION("GOOGLETRANSLATE(B9080,""en"",""it"")"),"Due squadre di calcio giocano una partita di calcio di fronte a un pubblico affollato in gradinate, in cui la squadra con le uniformi blu e bianche fa una serie di gol.")</f>
        <v>Due squadre di calcio giocano una partita di calcio di fronte a un pubblico affollato in gradinate, in cui la squadra con le uniformi blu e bianche fa una serie di gol.</v>
      </c>
    </row>
    <row r="9081">
      <c r="A9081" s="4" t="s">
        <v>11426</v>
      </c>
      <c r="B9081" s="6" t="s">
        <v>11428</v>
      </c>
      <c r="C9081" s="5" t="str">
        <f>IFERROR(__xludf.DUMMYFUNCTION("GOOGLETRANSLATE(B9081,""en"",""it"")"),"La squadra con le uniformi gialle e blu vince un goal sul campo contro la squadra in bianco e nero e reagisce abbracciandosi e sorridendosi a vicenda.")</f>
        <v>La squadra con le uniformi gialle e blu vince un goal sul campo contro la squadra in bianco e nero e reagisce abbracciandosi e sorridendosi a vicenda.</v>
      </c>
    </row>
    <row r="9082">
      <c r="A9082" s="4" t="s">
        <v>11426</v>
      </c>
      <c r="B9082" s="6" t="s">
        <v>11429</v>
      </c>
      <c r="C9082" s="5" t="str">
        <f>IFERROR(__xludf.DUMMYFUNCTION("GOOGLETRANSLATE(B9082,""en"",""it"")"),"La squadra gialla e blu continua a fare una serie di gol, a volte scivolando dopo il calcio finale, con il pubblico che sta per loro ogni volta che viene realizzato un goal e indossa camicie gialle.")</f>
        <v>La squadra gialla e blu continua a fare una serie di gol, a volte scivolando dopo il calcio finale, con il pubblico che sta per loro ogni volta che viene realizzato un goal e indossa camicie gialle.</v>
      </c>
    </row>
    <row r="9083">
      <c r="A9083" s="4" t="s">
        <v>11426</v>
      </c>
      <c r="B9083" s="6" t="s">
        <v>11430</v>
      </c>
      <c r="C9083" s="5" t="str">
        <f>IFERROR(__xludf.DUMMYFUNCTION("GOOGLETRANSLATE(B9083,""en"",""it"")"),"Un tabellone digitale viene mostrato con il punteggio mentre la squadra gialla e blu continua a fare più goal.")</f>
        <v>Un tabellone digitale viene mostrato con il punteggio mentre la squadra gialla e blu continua a fare più goal.</v>
      </c>
    </row>
    <row r="9084">
      <c r="A9084" s="4" t="s">
        <v>11431</v>
      </c>
      <c r="B9084" s="6" t="s">
        <v>11432</v>
      </c>
      <c r="C9084" s="5" t="str">
        <f>IFERROR(__xludf.DUMMYFUNCTION("GOOGLETRANSLATE(B9084,""en"",""it"")"),"Viene mostrata una pista di pattinaggio con una partita di hockey in corso con il primo goal a lungo termine, seguito da un replay.")</f>
        <v>Viene mostrata una pista di pattinaggio con una partita di hockey in corso con il primo goal a lungo termine, seguito da un replay.</v>
      </c>
    </row>
    <row r="9085">
      <c r="A9085" s="4" t="s">
        <v>11431</v>
      </c>
      <c r="B9085" s="4" t="s">
        <v>11433</v>
      </c>
      <c r="C9085" s="5" t="str">
        <f>IFERROR(__xludf.DUMMYFUNCTION("GOOGLETRANSLATE(B9085,""en"",""it"")"),"Un obiettivo della squadra in Red si mostra due volte.")</f>
        <v>Un obiettivo della squadra in Red si mostra due volte.</v>
      </c>
    </row>
    <row r="9086">
      <c r="A9086" s="4" t="s">
        <v>11431</v>
      </c>
      <c r="B9086" s="4" t="s">
        <v>11434</v>
      </c>
      <c r="C9086" s="5" t="str">
        <f>IFERROR(__xludf.DUMMYFUNCTION("GOOGLETRANSLATE(B9086,""en"",""it"")"),"Una riscaldata battaglia di due squadre termina con un punteggio di un giocatore di squadra arancione.")</f>
        <v>Una riscaldata battaglia di due squadre termina con un punteggio di un giocatore di squadra arancione.</v>
      </c>
    </row>
    <row r="9087">
      <c r="A9087" s="4" t="s">
        <v>11431</v>
      </c>
      <c r="B9087" s="4" t="s">
        <v>11435</v>
      </c>
      <c r="C9087" s="5" t="str">
        <f>IFERROR(__xludf.DUMMYFUNCTION("GOOGLETRANSLATE(B9087,""en"",""it"")"),"Altre due squadre effettuano colpi di punteggio lunghi da sinistra a destra.")</f>
        <v>Altre due squadre effettuano colpi di punteggio lunghi da sinistra a destra.</v>
      </c>
    </row>
    <row r="9088">
      <c r="A9088" s="4" t="s">
        <v>11431</v>
      </c>
      <c r="B9088" s="4" t="s">
        <v>11436</v>
      </c>
      <c r="C9088" s="5" t="str">
        <f>IFERROR(__xludf.DUMMYFUNCTION("GOOGLETRANSLATE(B9088,""en"",""it"")"),"Una squadra bianca segna dopo che un giocatore cade sulla pista di pattinaggio.")</f>
        <v>Una squadra bianca segna dopo che un giocatore cade sulla pista di pattinaggio.</v>
      </c>
    </row>
    <row r="9089">
      <c r="A9089" s="4" t="s">
        <v>11431</v>
      </c>
      <c r="B9089" s="4" t="s">
        <v>11437</v>
      </c>
      <c r="C9089" s="5" t="str">
        <f>IFERROR(__xludf.DUMMYFUNCTION("GOOGLETRANSLATE(B9089,""en"",""it"")"),"Un altro gioco e un secondo giocatore cadono davanti a un goal.")</f>
        <v>Un altro gioco e un secondo giocatore cadono davanti a un goal.</v>
      </c>
    </row>
    <row r="9090">
      <c r="A9090" s="4" t="s">
        <v>11431</v>
      </c>
      <c r="B9090" s="4" t="s">
        <v>11438</v>
      </c>
      <c r="C9090" s="5" t="str">
        <f>IFERROR(__xludf.DUMMYFUNCTION("GOOGLETRANSLATE(B9090,""en"",""it"")"),"Una visione aerea più alta si vede dell'ultima partita da mostrare.")</f>
        <v>Una visione aerea più alta si vede dell'ultima partita da mostrare.</v>
      </c>
    </row>
    <row r="9091">
      <c r="A9091" s="4" t="s">
        <v>11439</v>
      </c>
      <c r="B9091" s="4" t="s">
        <v>11440</v>
      </c>
      <c r="C9091" s="5" t="str">
        <f>IFERROR(__xludf.DUMMYFUNCTION("GOOGLETRANSLATE(B9091,""en"",""it"")"),"Una signora usa una pipa Shisha mentre era seduta.")</f>
        <v>Una signora usa una pipa Shisha mentre era seduta.</v>
      </c>
    </row>
    <row r="9092">
      <c r="A9092" s="4" t="s">
        <v>11439</v>
      </c>
      <c r="B9092" s="4" t="s">
        <v>11441</v>
      </c>
      <c r="C9092" s="5" t="str">
        <f>IFERROR(__xludf.DUMMYFUNCTION("GOOGLETRANSLATE(B9092,""en"",""it"")"),"La signora soffia il fumo in un taglio e insaponata la metà.")</f>
        <v>La signora soffia il fumo in un taglio e insaponata la metà.</v>
      </c>
    </row>
    <row r="9093">
      <c r="A9093" s="4" t="s">
        <v>11439</v>
      </c>
      <c r="B9093" s="4" t="s">
        <v>11442</v>
      </c>
      <c r="C9093" s="5" t="str">
        <f>IFERROR(__xludf.DUMMYFUNCTION("GOOGLETRANSLATE(B9093,""en"",""it"")"),"La bolla pops che rilascia il fumo.")</f>
        <v>La bolla pops che rilascia il fumo.</v>
      </c>
    </row>
    <row r="9094">
      <c r="A9094" s="4" t="s">
        <v>11439</v>
      </c>
      <c r="B9094" s="4" t="s">
        <v>11443</v>
      </c>
      <c r="C9094" s="5" t="str">
        <f>IFERROR(__xludf.DUMMYFUNCTION("GOOGLETRANSLATE(B9094,""en"",""it"")"),"La bolla galleggia con il fumo ancora chiuso e cade sul pavimento.")</f>
        <v>La bolla galleggia con il fumo ancora chiuso e cade sul pavimento.</v>
      </c>
    </row>
    <row r="9095">
      <c r="A9095" s="4" t="s">
        <v>11444</v>
      </c>
      <c r="B9095" s="6" t="s">
        <v>11445</v>
      </c>
      <c r="C9095" s="5" t="str">
        <f>IFERROR(__xludf.DUMMYFUNCTION("GOOGLETRANSLATE(B9095,""en"",""it"")"),"Una telecamera si panoramica intorno a un tavolo da birra e persone che parlano e parlano in un microfono.")</f>
        <v>Una telecamera si panoramica intorno a un tavolo da birra e persone che parlano e parlano in un microfono.</v>
      </c>
    </row>
    <row r="9096">
      <c r="A9096" s="4" t="s">
        <v>11444</v>
      </c>
      <c r="B9096" s="4" t="s">
        <v>11446</v>
      </c>
      <c r="C9096" s="5" t="str">
        <f>IFERROR(__xludf.DUMMYFUNCTION("GOOGLETRANSLATE(B9096,""en"",""it"")"),"Più persone si fanno avanti per suonare il pong di birra mentre un uomo rap nel microfono e altri reagiscono.")</f>
        <v>Più persone si fanno avanti per suonare il pong di birra mentre un uomo rap nel microfono e altri reagiscono.</v>
      </c>
    </row>
    <row r="9097">
      <c r="A9097" s="4" t="s">
        <v>11444</v>
      </c>
      <c r="B9097" s="4" t="s">
        <v>11447</v>
      </c>
      <c r="C9097" s="5" t="str">
        <f>IFERROR(__xludf.DUMMYFUNCTION("GOOGLETRANSLATE(B9097,""en"",""it"")"),"Vengono mostrati diversi colpi di persone che giocano e tifano l'una con l'altra.")</f>
        <v>Vengono mostrati diversi colpi di persone che giocano e tifano l'una con l'altra.</v>
      </c>
    </row>
    <row r="9098">
      <c r="A9098" s="4" t="s">
        <v>11448</v>
      </c>
      <c r="B9098" s="6" t="s">
        <v>11449</v>
      </c>
      <c r="C9098" s="5" t="str">
        <f>IFERROR(__xludf.DUMMYFUNCTION("GOOGLETRANSLATE(B9098,""en"",""it"")"),"Un gruppo di uomini in piedi uno accanto all'altro sono tutti piegati in avanti che soffocano la birra attraverso cannucce molto lunghe.")</f>
        <v>Un gruppo di uomini in piedi uno accanto all'altro sono tutti piegati in avanti che soffocano la birra attraverso cannucce molto lunghe.</v>
      </c>
    </row>
    <row r="9099">
      <c r="A9099" s="4" t="s">
        <v>11448</v>
      </c>
      <c r="B9099" s="4" t="s">
        <v>11450</v>
      </c>
      <c r="C9099" s="5" t="str">
        <f>IFERROR(__xludf.DUMMYFUNCTION("GOOGLETRANSLATE(B9099,""en"",""it"")"),"Ci sono persone di fronte a loro che li guardano e che li indicano mentre si snodavano.")</f>
        <v>Ci sono persone di fronte a loro che li guardano e che li indicano mentre si snodavano.</v>
      </c>
    </row>
    <row r="9100">
      <c r="A9100" s="4" t="s">
        <v>11448</v>
      </c>
      <c r="B9100" s="4" t="s">
        <v>11451</v>
      </c>
      <c r="C9100" s="5" t="str">
        <f>IFERROR(__xludf.DUMMYFUNCTION("GOOGLETRANSLATE(B9100,""en"",""it"")"),"Hanno fatto un gioco che stanno correndo per vedere chi può finire per primo.")</f>
        <v>Hanno fatto un gioco che stanno correndo per vedere chi può finire per primo.</v>
      </c>
    </row>
    <row r="9101">
      <c r="A9101" s="4" t="s">
        <v>11448</v>
      </c>
      <c r="B9101" s="4" t="s">
        <v>11452</v>
      </c>
      <c r="C9101" s="5" t="str">
        <f>IFERROR(__xludf.DUMMYFUNCTION("GOOGLETRANSLATE(B9101,""en"",""it"")"),"Si fermano tutti allo stesso tempo e le persone che guardano continuano ad essere molto turbolente.")</f>
        <v>Si fermano tutti allo stesso tempo e le persone che guardano continuano ad essere molto turbolente.</v>
      </c>
    </row>
    <row r="9102">
      <c r="A9102" s="4" t="s">
        <v>11453</v>
      </c>
      <c r="B9102" s="4" t="s">
        <v>11454</v>
      </c>
      <c r="C9102" s="5" t="str">
        <f>IFERROR(__xludf.DUMMYFUNCTION("GOOGLETRANSLATE(B9102,""en"",""it"")"),"Una ragazza di otto anni sta suonando un'armonica su un palco.")</f>
        <v>Una ragazza di otto anni sta suonando un'armonica su un palco.</v>
      </c>
    </row>
    <row r="9103">
      <c r="A9103" s="4" t="s">
        <v>11453</v>
      </c>
      <c r="B9103" s="6" t="s">
        <v>11455</v>
      </c>
      <c r="C9103" s="5" t="str">
        <f>IFERROR(__xludf.DUMMYFUNCTION("GOOGLETRANSLATE(B9103,""en"",""it"")"),"La telecamera si ingrandisce sulla ragazza mentre la ragazza inizia a giocare sempre più duramente, facendo respiri sempre più profondi.")</f>
        <v>La telecamera si ingrandisce sulla ragazza mentre la ragazza inizia a giocare sempre più duramente, facendo respiri sempre più profondi.</v>
      </c>
    </row>
    <row r="9104">
      <c r="A9104" s="4" t="s">
        <v>11453</v>
      </c>
      <c r="B9104" s="6" t="s">
        <v>11456</v>
      </c>
      <c r="C9104" s="5" t="str">
        <f>IFERROR(__xludf.DUMMYFUNCTION("GOOGLETRANSLATE(B9104,""en"",""it"")"),"La ragazza smette di giocare, guarda la sua sinistra molto rapidamente, poi gli esseri sorridono mentre guarda la telecamera e applaudi.")</f>
        <v>La ragazza smette di giocare, guarda la sua sinistra molto rapidamente, poi gli esseri sorridono mentre guarda la telecamera e applaudi.</v>
      </c>
    </row>
    <row r="9105">
      <c r="A9105" s="4" t="s">
        <v>11457</v>
      </c>
      <c r="B9105" s="6" t="s">
        <v>11458</v>
      </c>
      <c r="C9105" s="5" t="str">
        <f>IFERROR(__xludf.DUMMYFUNCTION("GOOGLETRANSLATE(B9105,""en"",""it"")"),"L'esercito sono allineati, sono divisi in quattro gruppi, hanno iniziato a fare pratica di guerra sparando per gruppo con pistola di verniciatura, si nascondono tra i muri di pietra e le auto libere.")</f>
        <v>L'esercito sono allineati, sono divisi in quattro gruppi, hanno iniziato a fare pratica di guerra sparando per gruppo con pistola di verniciatura, si nascondono tra i muri di pietra e le auto libere.</v>
      </c>
    </row>
    <row r="9106">
      <c r="A9106" s="4" t="s">
        <v>11457</v>
      </c>
      <c r="B9106" s="4" t="s">
        <v>11459</v>
      </c>
      <c r="C9106" s="5" t="str">
        <f>IFERROR(__xludf.DUMMYFUNCTION("GOOGLETRANSLATE(B9106,""en"",""it"")"),"L'esercito afferra le loro pistole di verniciatura sul tavolo e le caricò di palline di verniciatura.")</f>
        <v>L'esercito afferra le loro pistole di verniciatura sul tavolo e le caricò di palline di verniciatura.</v>
      </c>
    </row>
    <row r="9107">
      <c r="A9107" s="4" t="s">
        <v>11460</v>
      </c>
      <c r="B9107" s="4" t="s">
        <v>11461</v>
      </c>
      <c r="C9107" s="5" t="str">
        <f>IFERROR(__xludf.DUMMYFUNCTION("GOOGLETRANSLATE(B9107,""en"",""it"")"),"Una ragazza è vestita con un abito rosa e nero che parla in una stanza che giace su un tappetino da yoga blu.")</f>
        <v>Una ragazza è vestita con un abito rosa e nero che parla in una stanza che giace su un tappetino da yoga blu.</v>
      </c>
    </row>
    <row r="9108">
      <c r="A9108" s="4" t="s">
        <v>11460</v>
      </c>
      <c r="B9108" s="4" t="s">
        <v>11462</v>
      </c>
      <c r="C9108" s="5" t="str">
        <f>IFERROR(__xludf.DUMMYFUNCTION("GOOGLETRANSLATE(B9108,""en"",""it"")"),"La signora poi si sdraia sulla schiena e le mette la mano sul petto.")</f>
        <v>La signora poi si sdraia sulla schiena e le mette la mano sul petto.</v>
      </c>
    </row>
    <row r="9109">
      <c r="A9109" s="4" t="s">
        <v>11460</v>
      </c>
      <c r="B9109" s="6" t="s">
        <v>11463</v>
      </c>
      <c r="C9109" s="5" t="str">
        <f>IFERROR(__xludf.DUMMYFUNCTION("GOOGLETRANSLATE(B9109,""en"",""it"")"),"Prima di iniziare, parla del suo stomaco e di come mettere le mani dietro il collo nel modo corretto.")</f>
        <v>Prima di iniziare, parla del suo stomaco e di come mettere le mani dietro il collo nel modo corretto.</v>
      </c>
    </row>
    <row r="9110">
      <c r="A9110" s="4" t="s">
        <v>11460</v>
      </c>
      <c r="B9110" s="6" t="s">
        <v>11464</v>
      </c>
      <c r="C9110" s="5" t="str">
        <f>IFERROR(__xludf.DUMMYFUNCTION("GOOGLETRANSLATE(B9110,""en"",""it"")"),"Infine, fa circa quattro scricchiolii e mostra che la tua testa dovrebbe essere alzata e il tuo corpo prima di finire le scricchiolii.")</f>
        <v>Infine, fa circa quattro scricchiolii e mostra che la tua testa dovrebbe essere alzata e il tuo corpo prima di finire le scricchiolii.</v>
      </c>
    </row>
    <row r="9111">
      <c r="A9111" s="4" t="s">
        <v>11465</v>
      </c>
      <c r="B9111" s="4" t="s">
        <v>11466</v>
      </c>
      <c r="C9111" s="5" t="str">
        <f>IFERROR(__xludf.DUMMYFUNCTION("GOOGLETRANSLATE(B9111,""en"",""it"")"),"Una donna si allena in una macchina cardio che tira una maniglia in palestra.")</f>
        <v>Una donna si allena in una macchina cardio che tira una maniglia in palestra.</v>
      </c>
    </row>
    <row r="9112">
      <c r="A9112" s="4" t="s">
        <v>11465</v>
      </c>
      <c r="B9112" s="4" t="s">
        <v>11467</v>
      </c>
      <c r="C9112" s="5" t="str">
        <f>IFERROR(__xludf.DUMMYFUNCTION("GOOGLETRANSLATE(B9112,""en"",""it"")"),"Una persona entra in palestra.")</f>
        <v>Una persona entra in palestra.</v>
      </c>
    </row>
    <row r="9113">
      <c r="A9113" s="4" t="s">
        <v>11468</v>
      </c>
      <c r="B9113" s="6" t="s">
        <v>11469</v>
      </c>
      <c r="C9113" s="5" t="str">
        <f>IFERROR(__xludf.DUMMYFUNCTION("GOOGLETRANSLATE(B9113,""en"",""it"")"),"Un duo di danza maschile e femminile è nel mezzo di una pavimento della sala da ballo circondata da persone che si preparano a ballare; Tuttavia, la musica non inizia e sono ritardate.")</f>
        <v>Un duo di danza maschile e femminile è nel mezzo di una pavimento della sala da ballo circondata da persone che si preparano a ballare; Tuttavia, la musica non inizia e sono ritardate.</v>
      </c>
    </row>
    <row r="9114">
      <c r="A9114" s="4" t="s">
        <v>11468</v>
      </c>
      <c r="B9114" s="4" t="s">
        <v>11470</v>
      </c>
      <c r="C9114" s="5" t="str">
        <f>IFERROR(__xludf.DUMMYFUNCTION("GOOGLETRANSLATE(B9114,""en"",""it"")"),"Quindi iniziano a ballare e mescolare i piedi attraverso la piastrella e si girano a vicenda.")</f>
        <v>Quindi iniziano a ballare e mescolare i piedi attraverso la piastrella e si girano a vicenda.</v>
      </c>
    </row>
    <row r="9115">
      <c r="A9115" s="4" t="s">
        <v>11468</v>
      </c>
      <c r="B9115" s="4" t="s">
        <v>11471</v>
      </c>
      <c r="C9115" s="5" t="str">
        <f>IFERROR(__xludf.DUMMYFUNCTION("GOOGLETRANSLATE(B9115,""en"",""it"")"),"Entrambi fanno quindi una divisione, finiscono la routine e usciranno per socializzare con la folla.")</f>
        <v>Entrambi fanno quindi una divisione, finiscono la routine e usciranno per socializzare con la folla.</v>
      </c>
    </row>
    <row r="9116">
      <c r="A9116" s="4" t="s">
        <v>11472</v>
      </c>
      <c r="B9116" s="4" t="s">
        <v>11473</v>
      </c>
      <c r="C9116" s="5" t="str">
        <f>IFERROR(__xludf.DUMMYFUNCTION("GOOGLETRANSLATE(B9116,""en"",""it"")"),"Un uomo viene visto in piedi davanti a un tavolo che tiene in mano una barra di cera e altri oggetti.")</f>
        <v>Un uomo viene visto in piedi davanti a un tavolo che tiene in mano una barra di cera e altri oggetti.</v>
      </c>
    </row>
    <row r="9117">
      <c r="A9117" s="4" t="s">
        <v>11472</v>
      </c>
      <c r="B9117" s="4" t="s">
        <v>11474</v>
      </c>
      <c r="C9117" s="5" t="str">
        <f>IFERROR(__xludf.DUMMYFUNCTION("GOOGLETRANSLATE(B9117,""en"",""it"")"),"Spinge la cera in una levigatrice e inizia a usarla su una tavola da sci.")</f>
        <v>Spinge la cera in una levigatrice e inizia a usarla su una tavola da sci.</v>
      </c>
    </row>
    <row r="9118">
      <c r="A9118" s="4" t="s">
        <v>11472</v>
      </c>
      <c r="B9118" s="4" t="s">
        <v>11475</v>
      </c>
      <c r="C9118" s="5" t="str">
        <f>IFERROR(__xludf.DUMMYFUNCTION("GOOGLETRANSLATE(B9118,""en"",""it"")"),"Sposta la levigatrice lungo la tavola e termina mostrandola alla telecamera.")</f>
        <v>Sposta la levigatrice lungo la tavola e termina mostrandola alla telecamera.</v>
      </c>
    </row>
    <row r="9119">
      <c r="A9119" s="4" t="s">
        <v>11476</v>
      </c>
      <c r="B9119" s="4" t="s">
        <v>11477</v>
      </c>
      <c r="C9119" s="5" t="str">
        <f>IFERROR(__xludf.DUMMYFUNCTION("GOOGLETRANSLATE(B9119,""en"",""it"")"),"Vediamo un uomo che lancia una pietra arricciacata.")</f>
        <v>Vediamo un uomo che lancia una pietra arricciacata.</v>
      </c>
    </row>
    <row r="9120">
      <c r="A9120" s="4" t="s">
        <v>11476</v>
      </c>
      <c r="B9120" s="4" t="s">
        <v>11478</v>
      </c>
      <c r="C9120" s="5" t="str">
        <f>IFERROR(__xludf.DUMMYFUNCTION("GOOGLETRANSLATE(B9120,""en"",""it"")"),"Vediamo un uomo, 2 ragazze, poi un uomo più anziano intervistato.")</f>
        <v>Vediamo un uomo, 2 ragazze, poi un uomo più anziano intervistato.</v>
      </c>
    </row>
    <row r="9121">
      <c r="A9121" s="4" t="s">
        <v>11476</v>
      </c>
      <c r="B9121" s="4" t="s">
        <v>11479</v>
      </c>
      <c r="C9121" s="5" t="str">
        <f>IFERROR(__xludf.DUMMYFUNCTION("GOOGLETRANSLATE(B9121,""en"",""it"")"),"Vediamo un uomo che getta la pietra.")</f>
        <v>Vediamo un uomo che getta la pietra.</v>
      </c>
    </row>
    <row r="9122">
      <c r="A9122" s="4" t="s">
        <v>11476</v>
      </c>
      <c r="B9122" s="4" t="s">
        <v>11480</v>
      </c>
      <c r="C9122" s="5" t="str">
        <f>IFERROR(__xludf.DUMMYFUNCTION("GOOGLETRANSLATE(B9122,""en"",""it"")"),"Vediamo l'uomo più anziano intervistato.")</f>
        <v>Vediamo l'uomo più anziano intervistato.</v>
      </c>
    </row>
    <row r="9123">
      <c r="A9123" s="4" t="s">
        <v>11476</v>
      </c>
      <c r="B9123" s="4" t="s">
        <v>11481</v>
      </c>
      <c r="C9123" s="5" t="str">
        <f>IFERROR(__xludf.DUMMYFUNCTION("GOOGLETRANSLATE(B9123,""en"",""it"")"),"Vediamo due ragazzi che parlano in pista.")</f>
        <v>Vediamo due ragazzi che parlano in pista.</v>
      </c>
    </row>
    <row r="9124">
      <c r="A9124" s="4" t="s">
        <v>11476</v>
      </c>
      <c r="B9124" s="4" t="s">
        <v>11482</v>
      </c>
      <c r="C9124" s="5" t="str">
        <f>IFERROR(__xludf.DUMMYFUNCTION("GOOGLETRANSLATE(B9124,""en"",""it"")"),"Vediamo un giovane con i capelli più lunghi intervistati seguiti da due ragazze.")</f>
        <v>Vediamo un giovane con i capelli più lunghi intervistati seguiti da due ragazze.</v>
      </c>
    </row>
    <row r="9125">
      <c r="A9125" s="4" t="s">
        <v>11476</v>
      </c>
      <c r="B9125" s="4" t="s">
        <v>11483</v>
      </c>
      <c r="C9125" s="5" t="str">
        <f>IFERROR(__xludf.DUMMYFUNCTION("GOOGLETRANSLATE(B9125,""en"",""it"")"),"Vediamo il ragazzo arricciarsi, quindi essere intervistati e una ragazza intervistata.")</f>
        <v>Vediamo il ragazzo arricciarsi, quindi essere intervistati e una ragazza intervistata.</v>
      </c>
    </row>
    <row r="9126">
      <c r="A9126" s="4" t="s">
        <v>11476</v>
      </c>
      <c r="B9126" s="4" t="s">
        <v>11484</v>
      </c>
      <c r="C9126" s="5" t="str">
        <f>IFERROR(__xludf.DUMMYFUNCTION("GOOGLETRANSLATE(B9126,""en"",""it"")"),"Vediamo le persone arricciarsi, una ragazza parla e un gruppo di ragazze parla prima che si allontanino.")</f>
        <v>Vediamo le persone arricciarsi, una ragazza parla e un gruppo di ragazze parla prima che si allontanino.</v>
      </c>
    </row>
    <row r="9127">
      <c r="A9127" s="4" t="s">
        <v>11485</v>
      </c>
      <c r="B9127" s="6" t="s">
        <v>11486</v>
      </c>
      <c r="C9127" s="5" t="str">
        <f>IFERROR(__xludf.DUMMYFUNCTION("GOOGLETRANSLATE(B9127,""en"",""it"")"),"Vengono mostrati diversi colpi di vari boarder di neve che macinano le rotaie nella neve con uno che cade e fa male a se stesso.")</f>
        <v>Vengono mostrati diversi colpi di vari boarder di neve che macinano le rotaie nella neve con uno che cade e fa male a se stesso.</v>
      </c>
    </row>
    <row r="9128">
      <c r="A9128" s="4" t="s">
        <v>11485</v>
      </c>
      <c r="B9128" s="6" t="s">
        <v>11487</v>
      </c>
      <c r="C9128" s="5" t="str">
        <f>IFERROR(__xludf.DUMMYFUNCTION("GOOGLETRANSLATE(B9128,""en"",""it"")"),"Vengono mostrati altri scatti di persone che si spalancano alla fine, così come le persone che parlano tra loro in un cerchio.")</f>
        <v>Vengono mostrati altri scatti di persone che si spalancano alla fine, così come le persone che parlano tra loro in un cerchio.</v>
      </c>
    </row>
    <row r="9129">
      <c r="A9129" s="4" t="s">
        <v>11488</v>
      </c>
      <c r="B9129" s="4" t="s">
        <v>11489</v>
      </c>
      <c r="C9129" s="5" t="str">
        <f>IFERROR(__xludf.DUMMYFUNCTION("GOOGLETRANSLATE(B9129,""en"",""it"")"),"Un folto gruppo di persone ha visto allontanarsi una corda l'una dall'altra.")</f>
        <v>Un folto gruppo di persone ha visto allontanarsi una corda l'una dall'altra.</v>
      </c>
    </row>
    <row r="9130">
      <c r="A9130" s="4" t="s">
        <v>11488</v>
      </c>
      <c r="B9130" s="4" t="s">
        <v>11490</v>
      </c>
      <c r="C9130" s="5" t="str">
        <f>IFERROR(__xludf.DUMMYFUNCTION("GOOGLETRANSLATE(B9130,""en"",""it"")"),"Vengono mostrati altri giochi di persone che giocano a tiro alla fune.")</f>
        <v>Vengono mostrati altri giochi di persone che giocano a tiro alla fune.</v>
      </c>
    </row>
    <row r="9131">
      <c r="A9131" s="4" t="s">
        <v>11488</v>
      </c>
      <c r="B9131" s="4" t="s">
        <v>11491</v>
      </c>
      <c r="C9131" s="5" t="str">
        <f>IFERROR(__xludf.DUMMYFUNCTION("GOOGLETRANSLATE(B9131,""en"",""it"")"),"La gente guarda dai lati mentre gli uomini continuano a giocare tra loro.")</f>
        <v>La gente guarda dai lati mentre gli uomini continuano a giocare tra loro.</v>
      </c>
    </row>
    <row r="9132">
      <c r="A9132" s="4" t="s">
        <v>11492</v>
      </c>
      <c r="B9132" s="4" t="s">
        <v>11493</v>
      </c>
      <c r="C9132" s="5" t="str">
        <f>IFERROR(__xludf.DUMMYFUNCTION("GOOGLETRANSLATE(B9132,""en"",""it"")"),"Una ginnasta è vista in piedi pronta con le braccia in aria di fronte a una grande folla.")</f>
        <v>Una ginnasta è vista in piedi pronta con le braccia in aria di fronte a una grande folla.</v>
      </c>
    </row>
    <row r="9133">
      <c r="A9133" s="4" t="s">
        <v>11492</v>
      </c>
      <c r="B9133" s="4" t="s">
        <v>11494</v>
      </c>
      <c r="C9133" s="5" t="str">
        <f>IFERROR(__xludf.DUMMYFUNCTION("GOOGLETRANSLATE(B9133,""en"",""it"")"),"La ragazza salta quindi su un raggio e inizia a eseguire trucchi ginnastici.")</f>
        <v>La ragazza salta quindi su un raggio e inizia a eseguire trucchi ginnastici.</v>
      </c>
    </row>
    <row r="9134">
      <c r="A9134" s="4" t="s">
        <v>11492</v>
      </c>
      <c r="B9134" s="4" t="s">
        <v>11495</v>
      </c>
      <c r="C9134" s="5" t="str">
        <f>IFERROR(__xludf.DUMMYFUNCTION("GOOGLETRANSLATE(B9134,""en"",""it"")"),"La ragazza continua a girare e girare e termina con il suo salto di lato.")</f>
        <v>La ragazza continua a girare e girare e termina con il suo salto di lato.</v>
      </c>
    </row>
    <row r="9135">
      <c r="A9135" s="4" t="s">
        <v>11496</v>
      </c>
      <c r="B9135" s="4" t="s">
        <v>11497</v>
      </c>
      <c r="C9135" s="5" t="str">
        <f>IFERROR(__xludf.DUMMYFUNCTION("GOOGLETRANSLATE(B9135,""en"",""it"")"),"Un giovane corre e salta su una barra su un tappetino più volte.")</f>
        <v>Un giovane corre e salta su una barra su un tappetino più volte.</v>
      </c>
    </row>
    <row r="9136">
      <c r="A9136" s="4" t="s">
        <v>11496</v>
      </c>
      <c r="B9136" s="4" t="s">
        <v>11498</v>
      </c>
      <c r="C9136" s="5" t="str">
        <f>IFERROR(__xludf.DUMMYFUNCTION("GOOGLETRANSLATE(B9136,""en"",""it"")"),"Le persone corrono e camminano in una pista in background.")</f>
        <v>Le persone corrono e camminano in una pista in background.</v>
      </c>
    </row>
    <row r="9137">
      <c r="A9137" s="4" t="s">
        <v>11496</v>
      </c>
      <c r="B9137" s="6" t="s">
        <v>11499</v>
      </c>
      <c r="C9137" s="5" t="str">
        <f>IFERROR(__xludf.DUMMYFUNCTION("GOOGLETRANSLATE(B9137,""en"",""it"")"),"Lo stesso giovane salta quindi sopra la barra usando un trampolino di lancio sul tappeto più volte.")</f>
        <v>Lo stesso giovane salta quindi sopra la barra usando un trampolino di lancio sul tappeto più volte.</v>
      </c>
    </row>
    <row r="9138">
      <c r="A9138" s="4" t="s">
        <v>11496</v>
      </c>
      <c r="B9138" s="4" t="s">
        <v>11500</v>
      </c>
      <c r="C9138" s="5" t="str">
        <f>IFERROR(__xludf.DUMMYFUNCTION("GOOGLETRANSLATE(B9138,""en"",""it"")"),"La gente cammina per una casa di campo vicino alla pista.")</f>
        <v>La gente cammina per una casa di campo vicino alla pista.</v>
      </c>
    </row>
    <row r="9139">
      <c r="A9139" s="4" t="s">
        <v>11501</v>
      </c>
      <c r="B9139" s="4" t="s">
        <v>11502</v>
      </c>
      <c r="C9139" s="5" t="str">
        <f>IFERROR(__xludf.DUMMYFUNCTION("GOOGLETRANSLATE(B9139,""en"",""it"")"),"Diversi bambini guidano auto paraurti in un gruppo in fiera.")</f>
        <v>Diversi bambini guidano auto paraurti in un gruppo in fiera.</v>
      </c>
    </row>
    <row r="9140">
      <c r="A9140" s="4" t="s">
        <v>11501</v>
      </c>
      <c r="B9140" s="4" t="s">
        <v>11503</v>
      </c>
      <c r="C9140" s="5" t="str">
        <f>IFERROR(__xludf.DUMMYFUNCTION("GOOGLETRANSLATE(B9140,""en"",""it"")"),"Una ragazza più giovane rimane bloccata e un uomo si avvicina per aiutarla.")</f>
        <v>Una ragazza più giovane rimane bloccata e un uomo si avvicina per aiutarla.</v>
      </c>
    </row>
    <row r="9141">
      <c r="A9141" s="4" t="s">
        <v>11501</v>
      </c>
      <c r="B9141" s="4" t="s">
        <v>11504</v>
      </c>
      <c r="C9141" s="5" t="str">
        <f>IFERROR(__xludf.DUMMYFUNCTION("GOOGLETRANSLATE(B9141,""en"",""it"")"),"Il tempo dei gruppi si esaurisce e tutti i bambini si alzano e escono dall'area dell'auto del paraurti.")</f>
        <v>Il tempo dei gruppi si esaurisce e tutti i bambini si alzano e escono dall'area dell'auto del paraurti.</v>
      </c>
    </row>
    <row r="9142">
      <c r="A9142" s="4" t="s">
        <v>11501</v>
      </c>
      <c r="B9142" s="4" t="s">
        <v>11505</v>
      </c>
      <c r="C9142" s="5" t="str">
        <f>IFERROR(__xludf.DUMMYFUNCTION("GOOGLETRANSLATE(B9142,""en"",""it"")"),"I bambini scendono tutti le scale e tornano nella zona giusta.")</f>
        <v>I bambini scendono tutti le scale e tornano nella zona giusta.</v>
      </c>
    </row>
    <row r="9143">
      <c r="A9143" s="4" t="s">
        <v>11501</v>
      </c>
      <c r="B9143" s="4" t="s">
        <v>11506</v>
      </c>
      <c r="C9143" s="5" t="str">
        <f>IFERROR(__xludf.DUMMYFUNCTION("GOOGLETRANSLATE(B9143,""en"",""it"")"),"Ci sono molte persone di tutte le età intorno a fare cose diverse in fiera.")</f>
        <v>Ci sono molte persone di tutte le età intorno a fare cose diverse in fiera.</v>
      </c>
    </row>
    <row r="9144">
      <c r="A9144" s="4" t="s">
        <v>11507</v>
      </c>
      <c r="B9144" s="4" t="s">
        <v>11508</v>
      </c>
      <c r="C9144" s="5" t="str">
        <f>IFERROR(__xludf.DUMMYFUNCTION("GOOGLETRANSLATE(B9144,""en"",""it"")"),"I bersagli di tiro sono mostrati sull'erba.")</f>
        <v>I bersagli di tiro sono mostrati sull'erba.</v>
      </c>
    </row>
    <row r="9145">
      <c r="A9145" s="4" t="s">
        <v>11507</v>
      </c>
      <c r="B9145" s="4" t="s">
        <v>11509</v>
      </c>
      <c r="C9145" s="5" t="str">
        <f>IFERROR(__xludf.DUMMYFUNCTION("GOOGLETRANSLATE(B9145,""en"",""it"")"),"Un uomo usa un arco e una freccia per colpire gli obiettivi.")</f>
        <v>Un uomo usa un arco e una freccia per colpire gli obiettivi.</v>
      </c>
    </row>
    <row r="9146">
      <c r="A9146" s="4" t="s">
        <v>11507</v>
      </c>
      <c r="B9146" s="4" t="s">
        <v>1599</v>
      </c>
      <c r="C9146" s="5" t="str">
        <f>IFERROR(__xludf.DUMMYFUNCTION("GOOGLETRANSLATE(B9146,""en"",""it"")"),"Le parole sono mostrate sullo schermo.")</f>
        <v>Le parole sono mostrate sullo schermo.</v>
      </c>
    </row>
    <row r="9147">
      <c r="A9147" s="4" t="s">
        <v>11507</v>
      </c>
      <c r="B9147" s="4" t="s">
        <v>11510</v>
      </c>
      <c r="C9147" s="5" t="str">
        <f>IFERROR(__xludf.DUMMYFUNCTION("GOOGLETRANSLATE(B9147,""en"",""it"")"),"Un uomo spara un arco dietro un mucchio di bastoncini.")</f>
        <v>Un uomo spara un arco dietro un mucchio di bastoncini.</v>
      </c>
    </row>
    <row r="9148">
      <c r="A9148" s="4" t="s">
        <v>11511</v>
      </c>
      <c r="B9148" s="4" t="s">
        <v>11512</v>
      </c>
      <c r="C9148" s="5" t="str">
        <f>IFERROR(__xludf.DUMMYFUNCTION("GOOGLETRANSLATE(B9148,""en"",""it"")"),"Un bambino è visto in piedi dietro una serie di tamburi e poi inizia a suonare la batteria.")</f>
        <v>Un bambino è visto in piedi dietro una serie di tamburi e poi inizia a suonare la batteria.</v>
      </c>
    </row>
    <row r="9149">
      <c r="A9149" s="4" t="s">
        <v>11511</v>
      </c>
      <c r="B9149" s="6" t="s">
        <v>11513</v>
      </c>
      <c r="C9149" s="5" t="str">
        <f>IFERROR(__xludf.DUMMYFUNCTION("GOOGLETRANSLATE(B9149,""en"",""it"")"),"I ragazzi continuano a suonare alla batteria e finiscono con lui che si bacia le dita e dando un segno di pace.")</f>
        <v>I ragazzi continuano a suonare alla batteria e finiscono con lui che si bacia le dita e dando un segno di pace.</v>
      </c>
    </row>
    <row r="9150">
      <c r="A9150" s="4" t="s">
        <v>11514</v>
      </c>
      <c r="B9150" s="4" t="s">
        <v>11515</v>
      </c>
      <c r="C9150" s="5" t="str">
        <f>IFERROR(__xludf.DUMMYFUNCTION("GOOGLETRANSLATE(B9150,""en"",""it"")"),"Un giovane con maglietta blu cammina attraverso una piccola sala da ballo.")</f>
        <v>Un giovane con maglietta blu cammina attraverso una piccola sala da ballo.</v>
      </c>
    </row>
    <row r="9151">
      <c r="A9151" s="4" t="s">
        <v>11514</v>
      </c>
      <c r="B9151" s="4" t="s">
        <v>11516</v>
      </c>
      <c r="C9151" s="5" t="str">
        <f>IFERROR(__xludf.DUMMYFUNCTION("GOOGLETRANSLATE(B9151,""en"",""it"")"),"Il giovane mette il suo stereo su una sedia.")</f>
        <v>Il giovane mette il suo stereo su una sedia.</v>
      </c>
    </row>
    <row r="9152">
      <c r="A9152" s="4" t="s">
        <v>11514</v>
      </c>
      <c r="B9152" s="4" t="s">
        <v>11517</v>
      </c>
      <c r="C9152" s="5" t="str">
        <f>IFERROR(__xludf.DUMMYFUNCTION("GOOGLETRANSLATE(B9152,""en"",""it"")"),"Il giovane uomo si riscalda e fa una verticale a una mano.")</f>
        <v>Il giovane uomo si riscalda e fa una verticale a una mano.</v>
      </c>
    </row>
    <row r="9153">
      <c r="A9153" s="4" t="s">
        <v>11514</v>
      </c>
      <c r="B9153" s="4" t="s">
        <v>11518</v>
      </c>
      <c r="C9153" s="5" t="str">
        <f>IFERROR(__xludf.DUMMYFUNCTION("GOOGLETRANSLATE(B9153,""en"",""it"")"),"L'uomo fa una routine di ballo che fa le mani e gira.")</f>
        <v>L'uomo fa una routine di ballo che fa le mani e gira.</v>
      </c>
    </row>
    <row r="9154">
      <c r="A9154" s="4" t="s">
        <v>11514</v>
      </c>
      <c r="B9154" s="4" t="s">
        <v>11519</v>
      </c>
      <c r="C9154" s="5" t="str">
        <f>IFERROR(__xludf.DUMMYFUNCTION("GOOGLETRANSLATE(B9154,""en"",""it"")"),"I crediti finali sono mostrati con nomi scritti in corsivo.")</f>
        <v>I crediti finali sono mostrati con nomi scritti in corsivo.</v>
      </c>
    </row>
    <row r="9155">
      <c r="A9155" s="4" t="s">
        <v>11520</v>
      </c>
      <c r="B9155" s="6" t="s">
        <v>11521</v>
      </c>
      <c r="C9155" s="5" t="str">
        <f>IFERROR(__xludf.DUMMYFUNCTION("GOOGLETRANSLATE(B9155,""en"",""it"")"),"Ci sono persone in un garage in piedi attorno a un lungo tavolo di legno che ha molte tazze da solo rosse.")</f>
        <v>Ci sono persone in un garage in piedi attorno a un lungo tavolo di legno che ha molte tazze da solo rosse.</v>
      </c>
    </row>
    <row r="9156">
      <c r="A9156" s="4" t="s">
        <v>11520</v>
      </c>
      <c r="B9156" s="4" t="s">
        <v>11522</v>
      </c>
      <c r="C9156" s="5" t="str">
        <f>IFERROR(__xludf.DUMMYFUNCTION("GOOGLETRANSLATE(B9156,""en"",""it"")"),"Tutti iniziano a lanciare palline da ping pong nel tentativo di farle atterrare in una tazza di assolo rossa.")</f>
        <v>Tutti iniziano a lanciare palline da ping pong nel tentativo di farle atterrare in una tazza di assolo rossa.</v>
      </c>
    </row>
    <row r="9157">
      <c r="A9157" s="4" t="s">
        <v>11520</v>
      </c>
      <c r="B9157" s="4" t="s">
        <v>11523</v>
      </c>
      <c r="C9157" s="5" t="str">
        <f>IFERROR(__xludf.DUMMYFUNCTION("GOOGLETRANSLATE(B9157,""en"",""it"")"),"Improvvisamente, uno di loro cade all'indietro nel tavolo e il tavolo cade.")</f>
        <v>Improvvisamente, uno di loro cade all'indietro nel tavolo e il tavolo cade.</v>
      </c>
    </row>
    <row r="9158">
      <c r="A9158" s="4" t="s">
        <v>11520</v>
      </c>
      <c r="B9158" s="6" t="s">
        <v>11524</v>
      </c>
      <c r="C9158" s="5" t="str">
        <f>IFERROR(__xludf.DUMMYFUNCTION("GOOGLETRANSLATE(B9158,""en"",""it"")"),"Tutti gli uomini iniziano a ridere, tirano fuori il tavolo dall'uomo e solo uno degli uomini va ad aiutare la persona.")</f>
        <v>Tutti gli uomini iniziano a ridere, tirano fuori il tavolo dall'uomo e solo uno degli uomini va ad aiutare la persona.</v>
      </c>
    </row>
    <row r="9159">
      <c r="A9159" s="4" t="s">
        <v>11525</v>
      </c>
      <c r="B9159" s="6" t="s">
        <v>11526</v>
      </c>
      <c r="C9159" s="5" t="str">
        <f>IFERROR(__xludf.DUMMYFUNCTION("GOOGLETRANSLATE(B9159,""en"",""it"")"),"Un uomo viene visto intervistare un altro uomo sulla telecamera e conduce a diversi gruppi di persone che giocano a shuffle board.")</f>
        <v>Un uomo viene visto intervistare un altro uomo sulla telecamera e conduce a diversi gruppi di persone che giocano a shuffle board.</v>
      </c>
    </row>
    <row r="9160">
      <c r="A9160" s="4" t="s">
        <v>11525</v>
      </c>
      <c r="B9160" s="6" t="s">
        <v>11527</v>
      </c>
      <c r="C9160" s="5" t="str">
        <f>IFERROR(__xludf.DUMMYFUNCTION("GOOGLETRANSLATE(B9160,""en"",""it"")"),"La fotocamera torna all'uomo che viene intervistato e termina con l'host che ha un'ultima parola alla telecamera.")</f>
        <v>La fotocamera torna all'uomo che viene intervistato e termina con l'host che ha un'ultima parola alla telecamera.</v>
      </c>
    </row>
    <row r="9161">
      <c r="A9161" s="4" t="s">
        <v>11528</v>
      </c>
      <c r="B9161" s="4" t="s">
        <v>11529</v>
      </c>
      <c r="C9161" s="5" t="str">
        <f>IFERROR(__xludf.DUMMYFUNCTION("GOOGLETRANSLATE(B9161,""en"",""it"")"),"Due donne sono all'aperto al di fuori di un edificio e giocano a pezzi su terreni cementati.")</f>
        <v>Due donne sono all'aperto al di fuori di un edificio e giocano a pezzi su terreni cementati.</v>
      </c>
    </row>
    <row r="9162">
      <c r="A9162" s="4" t="s">
        <v>11528</v>
      </c>
      <c r="B9162" s="4" t="s">
        <v>11530</v>
      </c>
      <c r="C9162" s="5" t="str">
        <f>IFERROR(__xludf.DUMMYFUNCTION("GOOGLETRANSLATE(B9162,""en"",""it"")"),"C'è un testo bianco sullo schermo.")</f>
        <v>C'è un testo bianco sullo schermo.</v>
      </c>
    </row>
    <row r="9163">
      <c r="A9163" s="4" t="s">
        <v>11528</v>
      </c>
      <c r="B9163" s="6" t="s">
        <v>11531</v>
      </c>
      <c r="C9163" s="5" t="str">
        <f>IFERROR(__xludf.DUMMYFUNCTION("GOOGLETRANSLATE(B9163,""en"",""it"")"),"La donna più giovane in pantaloncini salta sui quadrati e anche una donna più anziana che indossa un vestito salta sui quadrati.")</f>
        <v>La donna più giovane in pantaloncini salta sui quadrati e anche una donna più anziana che indossa un vestito salta sui quadrati.</v>
      </c>
    </row>
    <row r="9164">
      <c r="A9164" s="4" t="s">
        <v>11528</v>
      </c>
      <c r="B9164" s="4" t="s">
        <v>11532</v>
      </c>
      <c r="C9164" s="5" t="str">
        <f>IFERROR(__xludf.DUMMYFUNCTION("GOOGLETRANSLATE(B9164,""en"",""it"")"),"La ragazza cade.")</f>
        <v>La ragazza cade.</v>
      </c>
    </row>
    <row r="9165">
      <c r="A9165" s="4" t="s">
        <v>11528</v>
      </c>
      <c r="B9165" s="4" t="s">
        <v>11533</v>
      </c>
      <c r="C9165" s="5" t="str">
        <f>IFERROR(__xludf.DUMMYFUNCTION("GOOGLETRANSLATE(B9165,""en"",""it"")"),"La donna anziana cammina e celebra le braccia.")</f>
        <v>La donna anziana cammina e celebra le braccia.</v>
      </c>
    </row>
    <row r="9166">
      <c r="A9166" s="4" t="s">
        <v>11528</v>
      </c>
      <c r="B9166" s="4" t="s">
        <v>11534</v>
      </c>
      <c r="C9166" s="5" t="str">
        <f>IFERROR(__xludf.DUMMYFUNCTION("GOOGLETRANSLATE(B9166,""en"",""it"")"),"I due guardano la fotocamera e danno un pollice in su.")</f>
        <v>I due guardano la fotocamera e danno un pollice in su.</v>
      </c>
    </row>
    <row r="9167">
      <c r="A9167" s="4" t="s">
        <v>11535</v>
      </c>
      <c r="B9167" s="6" t="s">
        <v>11536</v>
      </c>
      <c r="C9167" s="5" t="str">
        <f>IFERROR(__xludf.DUMMYFUNCTION("GOOGLETRANSLATE(B9167,""en"",""it"")"),"Viene visto un primo piano della metropolitana e conduce in una donna che parla alla telecamera e taglia un pezzo di pane.")</f>
        <v>Viene visto un primo piano della metropolitana e conduce in una donna che parla alla telecamera e taglia un pezzo di pane.</v>
      </c>
    </row>
    <row r="9168">
      <c r="A9168" s="4" t="s">
        <v>11535</v>
      </c>
      <c r="B9168" s="4" t="s">
        <v>11537</v>
      </c>
      <c r="C9168" s="5" t="str">
        <f>IFERROR(__xludf.DUMMYFUNCTION("GOOGLETRANSLATE(B9168,""en"",""it"")"),"La donna espone quindi vari ingredienti sul pane e lo arrotola in un involucro.")</f>
        <v>La donna espone quindi vari ingredienti sul pane e lo arrotola in un involucro.</v>
      </c>
    </row>
    <row r="9169">
      <c r="A9169" s="4" t="s">
        <v>11535</v>
      </c>
      <c r="B9169" s="6" t="s">
        <v>11538</v>
      </c>
      <c r="C9169" s="5" t="str">
        <f>IFERROR(__xludf.DUMMYFUNCTION("GOOGLETRANSLATE(B9169,""en"",""it"")"),"Diverse foto vengono quindi mostrate alla fine del panino pronto e le persone si godono il panino.")</f>
        <v>Diverse foto vengono quindi mostrate alla fine del panino pronto e le persone si godono il panino.</v>
      </c>
    </row>
    <row r="9170">
      <c r="A9170" s="4" t="s">
        <v>11539</v>
      </c>
      <c r="B9170" s="4" t="s">
        <v>11540</v>
      </c>
      <c r="C9170" s="5" t="str">
        <f>IFERROR(__xludf.DUMMYFUNCTION("GOOGLETRANSLATE(B9170,""en"",""it"")"),"Un uomo è in piedi in una palestra.")</f>
        <v>Un uomo è in piedi in una palestra.</v>
      </c>
    </row>
    <row r="9171">
      <c r="A9171" s="4" t="s">
        <v>11539</v>
      </c>
      <c r="B9171" s="4" t="s">
        <v>11541</v>
      </c>
      <c r="C9171" s="5" t="str">
        <f>IFERROR(__xludf.DUMMYFUNCTION("GOOGLETRANSLATE(B9171,""en"",""it"")"),"Salta dentro e fuori da un passo di esercizio, davanti a dietro e da un lato all'altro.")</f>
        <v>Salta dentro e fuori da un passo di esercizio, davanti a dietro e da un lato all'altro.</v>
      </c>
    </row>
    <row r="9172">
      <c r="A9172" s="4" t="s">
        <v>11539</v>
      </c>
      <c r="B9172" s="4" t="s">
        <v>11542</v>
      </c>
      <c r="C9172" s="5" t="str">
        <f>IFERROR(__xludf.DUMMYFUNCTION("GOOGLETRANSLATE(B9172,""en"",""it"")"),"Si gira mentre si arrampica e si spegne.")</f>
        <v>Si gira mentre si arrampica e si spegne.</v>
      </c>
    </row>
    <row r="9173">
      <c r="A9173" s="4" t="s">
        <v>11543</v>
      </c>
      <c r="B9173" s="6" t="s">
        <v>11544</v>
      </c>
      <c r="C9173" s="5" t="str">
        <f>IFERROR(__xludf.DUMMYFUNCTION("GOOGLETRANSLATE(B9173,""en"",""it"")"),"Due lottatori di sumo sono mostrati su un set con centinaia di persone che guardano sul retro che scattano foto.")</f>
        <v>Due lottatori di sumo sono mostrati su un set con centinaia di persone che guardano sul retro che scattano foto.</v>
      </c>
    </row>
    <row r="9174">
      <c r="A9174" s="4" t="s">
        <v>11543</v>
      </c>
      <c r="B9174" s="6" t="s">
        <v>11545</v>
      </c>
      <c r="C9174" s="5" t="str">
        <f>IFERROR(__xludf.DUMMYFUNCTION("GOOGLETRANSLATE(B9174,""en"",""it"")"),"Il video continua a mostrare diversi atleti che combattono su un anello e abbassano l'altro in pochi secondi.")</f>
        <v>Il video continua a mostrare diversi atleti che combattono su un anello e abbassano l'altro in pochi secondi.</v>
      </c>
    </row>
    <row r="9175">
      <c r="A9175" s="4" t="s">
        <v>11546</v>
      </c>
      <c r="B9175" s="6" t="s">
        <v>11547</v>
      </c>
      <c r="C9175" s="5" t="str">
        <f>IFERROR(__xludf.DUMMYFUNCTION("GOOGLETRANSLATE(B9175,""en"",""it"")"),"Due persone si vedono parlare con la telecamera e conducono nell'uomo sbucciare una pera e scopare dai lati.")</f>
        <v>Due persone si vedono parlare con la telecamera e conducono nell'uomo sbucciare una pera e scopare dai lati.</v>
      </c>
    </row>
    <row r="9176">
      <c r="A9176" s="4" t="s">
        <v>11546</v>
      </c>
      <c r="B9176" s="4" t="s">
        <v>11548</v>
      </c>
      <c r="C9176" s="5" t="str">
        <f>IFERROR(__xludf.DUMMYFUNCTION("GOOGLETRANSLATE(B9176,""en"",""it"")"),"L'uomo quindi taglia il frutto e lo presenta su un piatto mentre parla ancora alla telecamera.")</f>
        <v>L'uomo quindi taglia il frutto e lo presenta su un piatto mentre parla ancora alla telecamera.</v>
      </c>
    </row>
    <row r="9177">
      <c r="A9177" s="4" t="s">
        <v>11549</v>
      </c>
      <c r="B9177" s="6" t="s">
        <v>11550</v>
      </c>
      <c r="C9177" s="5" t="str">
        <f>IFERROR(__xludf.DUMMYFUNCTION("GOOGLETRANSLATE(B9177,""en"",""it"")"),"Un gruppo di amici da ragazzo è in bagno a parlare e si divertono a sfidare i ragazzi a radersi la gamba.")</f>
        <v>Un gruppo di amici da ragazzo è in bagno a parlare e si divertono a sfidare i ragazzi a radersi la gamba.</v>
      </c>
    </row>
    <row r="9178">
      <c r="A9178" s="4" t="s">
        <v>11549</v>
      </c>
      <c r="B9178" s="6" t="s">
        <v>11551</v>
      </c>
      <c r="C9178" s="5" t="str">
        <f>IFERROR(__xludf.DUMMYFUNCTION("GOOGLETRANSLATE(B9178,""en"",""it"")"),"La telecamera si muove alla gamba del ragazzo che mostra a uno dei suoi amici che si rada i capelli dalla gamba con un rasoio elettrico.")</f>
        <v>La telecamera si muove alla gamba del ragazzo che mostra a uno dei suoi amici che si rada i capelli dalla gamba con un rasoio elettrico.</v>
      </c>
    </row>
    <row r="9179">
      <c r="A9179" s="4" t="s">
        <v>11552</v>
      </c>
      <c r="B9179" s="4" t="s">
        <v>11553</v>
      </c>
      <c r="C9179" s="5" t="str">
        <f>IFERROR(__xludf.DUMMYFUNCTION("GOOGLETRANSLATE(B9179,""en"",""it"")"),"Una persona pone un cubo di Rubik su una cartella.")</f>
        <v>Una persona pone un cubo di Rubik su una cartella.</v>
      </c>
    </row>
    <row r="9180">
      <c r="A9180" s="4" t="s">
        <v>11552</v>
      </c>
      <c r="B9180" s="4" t="s">
        <v>11554</v>
      </c>
      <c r="C9180" s="5" t="str">
        <f>IFERROR(__xludf.DUMMYFUNCTION("GOOGLETRANSLATE(B9180,""en"",""it"")"),"Il puzzle viene quindi risolto in 11 secondi.")</f>
        <v>Il puzzle viene quindi risolto in 11 secondi.</v>
      </c>
    </row>
    <row r="9181">
      <c r="A9181" s="4" t="s">
        <v>11555</v>
      </c>
      <c r="B9181" s="4" t="s">
        <v>11556</v>
      </c>
      <c r="C9181" s="5" t="str">
        <f>IFERROR(__xludf.DUMMYFUNCTION("GOOGLETRANSLATE(B9181,""en"",""it"")"),"Una famiglia è nel soggiorno che sto cercando di uscire dopo essere stato nevicato.")</f>
        <v>Una famiglia è nel soggiorno che sto cercando di uscire dopo essere stato nevicato.</v>
      </c>
    </row>
    <row r="9182">
      <c r="A9182" s="4" t="s">
        <v>11555</v>
      </c>
      <c r="B9182" s="4" t="s">
        <v>11557</v>
      </c>
      <c r="C9182" s="5" t="str">
        <f>IFERROR(__xludf.DUMMYFUNCTION("GOOGLETRANSLATE(B9182,""en"",""it"")"),"Un uomo apre la porta e cerca di saltare sulla neve che si sta tramontando.")</f>
        <v>Un uomo apre la porta e cerca di saltare sulla neve che si sta tramontando.</v>
      </c>
    </row>
    <row r="9183">
      <c r="A9183" s="4" t="s">
        <v>11555</v>
      </c>
      <c r="B9183" s="4" t="s">
        <v>11558</v>
      </c>
      <c r="C9183" s="5" t="str">
        <f>IFERROR(__xludf.DUMMYFUNCTION("GOOGLETRANSLATE(B9183,""en"",""it"")"),"Si blocca nella neve e la sua famiglia cerca di aiutarlo a uscire.")</f>
        <v>Si blocca nella neve e la sua famiglia cerca di aiutarlo a uscire.</v>
      </c>
    </row>
    <row r="9184">
      <c r="A9184" s="4" t="s">
        <v>11555</v>
      </c>
      <c r="B9184" s="4" t="s">
        <v>11559</v>
      </c>
      <c r="C9184" s="5" t="str">
        <f>IFERROR(__xludf.DUMMYFUNCTION("GOOGLETRANSLATE(B9184,""en"",""it"")"),"Una volta uscito, lancia loro una pala per spalare la neve sul pavimento.")</f>
        <v>Una volta uscito, lancia loro una pala per spalare la neve sul pavimento.</v>
      </c>
    </row>
    <row r="9185">
      <c r="A9185" s="4" t="s">
        <v>11555</v>
      </c>
      <c r="B9185" s="4" t="s">
        <v>11560</v>
      </c>
      <c r="C9185" s="5" t="str">
        <f>IFERROR(__xludf.DUMMYFUNCTION("GOOGLETRANSLATE(B9185,""en"",""it"")"),"Il video termina con i crediti mostrati sullo schermo.")</f>
        <v>Il video termina con i crediti mostrati sullo schermo.</v>
      </c>
    </row>
    <row r="9186">
      <c r="A9186" s="4" t="s">
        <v>11561</v>
      </c>
      <c r="B9186" s="4" t="s">
        <v>11562</v>
      </c>
      <c r="C9186" s="5" t="str">
        <f>IFERROR(__xludf.DUMMYFUNCTION("GOOGLETRANSLATE(B9186,""en"",""it"")"),"Le persone fluttuano lungo un fiume in zattere.")</f>
        <v>Le persone fluttuano lungo un fiume in zattere.</v>
      </c>
    </row>
    <row r="9187">
      <c r="A9187" s="4" t="s">
        <v>11561</v>
      </c>
      <c r="B9187" s="4" t="s">
        <v>11563</v>
      </c>
      <c r="C9187" s="5" t="str">
        <f>IFERROR(__xludf.DUMMYFUNCTION("GOOGLETRANSLATE(B9187,""en"",""it"")"),"Vediamo quindi le persone che ricevono zattere in un edificio.")</f>
        <v>Vediamo quindi le persone che ricevono zattere in un edificio.</v>
      </c>
    </row>
    <row r="9188">
      <c r="A9188" s="4" t="s">
        <v>11561</v>
      </c>
      <c r="B9188" s="4" t="s">
        <v>11564</v>
      </c>
      <c r="C9188" s="5" t="str">
        <f>IFERROR(__xludf.DUMMYFUNCTION("GOOGLETRANSLATE(B9188,""en"",""it"")"),"Un uomo è in una barca che galleggia in una zattera.")</f>
        <v>Un uomo è in una barca che galleggia in una zattera.</v>
      </c>
    </row>
    <row r="9189">
      <c r="A9189" s="4" t="s">
        <v>11561</v>
      </c>
      <c r="B9189" s="4" t="s">
        <v>11565</v>
      </c>
      <c r="C9189" s="5" t="str">
        <f>IFERROR(__xludf.DUMMYFUNCTION("GOOGLETRANSLATE(B9189,""en"",""it"")"),"Un autobus si trova davanti alla struttura di rafting e gli uomini impilano le zattere mentre altri uomini camminano con le zattere.")</f>
        <v>Un autobus si trova davanti alla struttura di rafting e gli uomini impilano le zattere mentre altri uomini camminano con le zattere.</v>
      </c>
    </row>
    <row r="9190">
      <c r="A9190" s="4" t="s">
        <v>11561</v>
      </c>
      <c r="B9190" s="4" t="s">
        <v>11566</v>
      </c>
      <c r="C9190" s="5" t="str">
        <f>IFERROR(__xludf.DUMMYFUNCTION("GOOGLETRANSLATE(B9190,""en"",""it"")"),"Un uomo e una donna galleggiano lungo il fiume in zattere separate.")</f>
        <v>Un uomo e una donna galleggiano lungo il fiume in zattere separate.</v>
      </c>
    </row>
    <row r="9191">
      <c r="A9191" s="4" t="s">
        <v>11567</v>
      </c>
      <c r="B9191" s="4" t="s">
        <v>11568</v>
      </c>
      <c r="C9191" s="5" t="str">
        <f>IFERROR(__xludf.DUMMYFUNCTION("GOOGLETRANSLATE(B9191,""en"",""it"")"),"Vediamo una signora e due uomini in piedi in un lago.")</f>
        <v>Vediamo una signora e due uomini in piedi in un lago.</v>
      </c>
    </row>
    <row r="9192">
      <c r="A9192" s="4" t="s">
        <v>11567</v>
      </c>
      <c r="B9192" s="4" t="s">
        <v>11569</v>
      </c>
      <c r="C9192" s="5" t="str">
        <f>IFERROR(__xludf.DUMMYFUNCTION("GOOGLETRANSLATE(B9192,""en"",""it"")"),"La signora poi jet skis.")</f>
        <v>La signora poi jet skis.</v>
      </c>
    </row>
    <row r="9193">
      <c r="A9193" s="4" t="s">
        <v>11567</v>
      </c>
      <c r="B9193" s="4" t="s">
        <v>11570</v>
      </c>
      <c r="C9193" s="5" t="str">
        <f>IFERROR(__xludf.DUMMYFUNCTION("GOOGLETRANSLATE(B9193,""en"",""it"")"),"Vediamo la testa della persona sulla barca sul bob sinistro dentro e fuori dal tiro.")</f>
        <v>Vediamo la testa della persona sulla barca sul bob sinistro dentro e fuori dal tiro.</v>
      </c>
    </row>
    <row r="9194">
      <c r="A9194" s="4" t="s">
        <v>11567</v>
      </c>
      <c r="B9194" s="4" t="s">
        <v>11571</v>
      </c>
      <c r="C9194" s="5" t="str">
        <f>IFERROR(__xludf.DUMMYFUNCTION("GOOGLETRANSLATE(B9194,""en"",""it"")"),"La barca gira e non vediamo più la terra sullo sfondo.")</f>
        <v>La barca gira e non vediamo più la terra sullo sfondo.</v>
      </c>
    </row>
    <row r="9195">
      <c r="A9195" s="4" t="s">
        <v>11567</v>
      </c>
      <c r="B9195" s="4" t="s">
        <v>11572</v>
      </c>
      <c r="C9195" s="5" t="str">
        <f>IFERROR(__xludf.DUMMYFUNCTION("GOOGLETRANSLATE(B9195,""en"",""it"")"),"La signora cade dallo sci.")</f>
        <v>La signora cade dallo sci.</v>
      </c>
    </row>
    <row r="9196">
      <c r="A9196" s="4" t="s">
        <v>11567</v>
      </c>
      <c r="B9196" s="4" t="s">
        <v>11573</v>
      </c>
      <c r="C9196" s="5" t="str">
        <f>IFERROR(__xludf.DUMMYFUNCTION("GOOGLETRANSLATE(B9196,""en"",""it"")"),"Un uomo si avvicina per aiutare la signora nel lago.")</f>
        <v>Un uomo si avvicina per aiutare la signora nel lago.</v>
      </c>
    </row>
    <row r="9197">
      <c r="A9197" s="4" t="s">
        <v>11574</v>
      </c>
      <c r="B9197" s="4" t="s">
        <v>11575</v>
      </c>
      <c r="C9197" s="5" t="str">
        <f>IFERROR(__xludf.DUMMYFUNCTION("GOOGLETRANSLATE(B9197,""en"",""it"")"),"In fiera vengono utilizzate le auto del paraurti.")</f>
        <v>In fiera vengono utilizzate le auto del paraurti.</v>
      </c>
    </row>
    <row r="9198">
      <c r="A9198" s="4" t="s">
        <v>11574</v>
      </c>
      <c r="B9198" s="4" t="s">
        <v>11576</v>
      </c>
      <c r="C9198" s="5" t="str">
        <f>IFERROR(__xludf.DUMMYFUNCTION("GOOGLETRANSLATE(B9198,""en"",""it"")"),"Un mucchio di persone diverse si imbattono in giro.")</f>
        <v>Un mucchio di persone diverse si imbattono in giro.</v>
      </c>
    </row>
    <row r="9199">
      <c r="A9199" s="4" t="s">
        <v>11574</v>
      </c>
      <c r="B9199" s="4" t="s">
        <v>11577</v>
      </c>
      <c r="C9199" s="5" t="str">
        <f>IFERROR(__xludf.DUMMYFUNCTION("GOOGLETRANSLATE(B9199,""en"",""it"")"),"Stanno solo guidando senza meta in tondo mentre colpiscono e si surriscaldano da altri ciclisti.")</f>
        <v>Stanno solo guidando senza meta in tondo mentre colpiscono e si surriscaldano da altri ciclisti.</v>
      </c>
    </row>
    <row r="9200">
      <c r="A9200" s="4" t="s">
        <v>11574</v>
      </c>
      <c r="B9200" s="4" t="s">
        <v>11578</v>
      </c>
      <c r="C9200" s="5" t="str">
        <f>IFERROR(__xludf.DUMMYFUNCTION("GOOGLETRANSLATE(B9200,""en"",""it"")"),"Questo è un divertimento innocente durante le notti estive quando sei annoiato e la fiera è in città.")</f>
        <v>Questo è un divertimento innocente durante le notti estive quando sei annoiato e la fiera è in città.</v>
      </c>
    </row>
    <row r="9201">
      <c r="A9201" s="4" t="s">
        <v>11579</v>
      </c>
      <c r="B9201" s="4" t="s">
        <v>11580</v>
      </c>
      <c r="C9201" s="5" t="str">
        <f>IFERROR(__xludf.DUMMYFUNCTION("GOOGLETRANSLATE(B9201,""en"",""it"")"),"Un uomo e una donna suonano forbici di carta rocciosa.")</f>
        <v>Un uomo e una donna suonano forbici di carta rocciosa.</v>
      </c>
    </row>
    <row r="9202">
      <c r="A9202" s="4" t="s">
        <v>11579</v>
      </c>
      <c r="B9202" s="4" t="s">
        <v>11581</v>
      </c>
      <c r="C9202" s="5" t="str">
        <f>IFERROR(__xludf.DUMMYFUNCTION("GOOGLETRANSLATE(B9202,""en"",""it"")"),"La donna vince e sorride.")</f>
        <v>La donna vince e sorride.</v>
      </c>
    </row>
    <row r="9203">
      <c r="A9203" s="4" t="s">
        <v>11579</v>
      </c>
      <c r="B9203" s="4" t="s">
        <v>11582</v>
      </c>
      <c r="C9203" s="5" t="str">
        <f>IFERROR(__xludf.DUMMYFUNCTION("GOOGLETRANSLATE(B9203,""en"",""it"")"),"La donna mette una piega cieca.")</f>
        <v>La donna mette una piega cieca.</v>
      </c>
    </row>
    <row r="9204">
      <c r="A9204" s="4" t="s">
        <v>11579</v>
      </c>
      <c r="B9204" s="4" t="s">
        <v>11583</v>
      </c>
      <c r="C9204" s="5" t="str">
        <f>IFERROR(__xludf.DUMMYFUNCTION("GOOGLETRANSLATE(B9204,""en"",""it"")"),"La donna dà un abbraccio all'uomo.")</f>
        <v>La donna dà un abbraccio all'uomo.</v>
      </c>
    </row>
    <row r="9205">
      <c r="A9205" s="4" t="s">
        <v>11584</v>
      </c>
      <c r="B9205" s="6" t="s">
        <v>11585</v>
      </c>
      <c r="C9205" s="5" t="str">
        <f>IFERROR(__xludf.DUMMYFUNCTION("GOOGLETRANSLATE(B9205,""en"",""it"")"),"Una ragazza viene vista parlare con la telecamera e conduce a navigare in Internet, quindi allevare le cavi in ​​un cortile.")</f>
        <v>Una ragazza viene vista parlare con la telecamera e conduce a navigare in Internet, quindi allevare le cavi in ​​un cortile.</v>
      </c>
    </row>
    <row r="9206">
      <c r="A9206" s="4" t="s">
        <v>11584</v>
      </c>
      <c r="B9206" s="6" t="s">
        <v>11586</v>
      </c>
      <c r="C9206" s="5" t="str">
        <f>IFERROR(__xludf.DUMMYFUNCTION("GOOGLETRANSLATE(B9206,""en"",""it"")"),"La ragazza viene quindi vista seduta nelle foglie e passa a parlare con sua madre in cucina.")</f>
        <v>La ragazza viene quindi vista seduta nelle foglie e passa a parlare con sua madre in cucina.</v>
      </c>
    </row>
    <row r="9207">
      <c r="A9207" s="4" t="s">
        <v>11584</v>
      </c>
      <c r="B9207" s="4" t="s">
        <v>11587</v>
      </c>
      <c r="C9207" s="5" t="str">
        <f>IFERROR(__xludf.DUMMYFUNCTION("GOOGLETRANSLATE(B9207,""en"",""it"")"),"Viene mostrato parlare alla telecamera ancora una volta e termina con varie foto di bambini.")</f>
        <v>Viene mostrato parlare alla telecamera ancora una volta e termina con varie foto di bambini.</v>
      </c>
    </row>
    <row r="9208">
      <c r="A9208" s="4" t="s">
        <v>11588</v>
      </c>
      <c r="B9208" s="4" t="s">
        <v>11589</v>
      </c>
      <c r="C9208" s="5" t="str">
        <f>IFERROR(__xludf.DUMMYFUNCTION("GOOGLETRANSLATE(B9208,""en"",""it"")"),"Una grande arena ospita molte persone.")</f>
        <v>Una grande arena ospita molte persone.</v>
      </c>
    </row>
    <row r="9209">
      <c r="A9209" s="4" t="s">
        <v>11588</v>
      </c>
      <c r="B9209" s="4" t="s">
        <v>11590</v>
      </c>
      <c r="C9209" s="5" t="str">
        <f>IFERROR(__xludf.DUMMYFUNCTION("GOOGLETRANSLATE(B9209,""en"",""it"")"),"I pali sono istituiti nell'arena.")</f>
        <v>I pali sono istituiti nell'arena.</v>
      </c>
    </row>
    <row r="9210">
      <c r="A9210" s="4" t="s">
        <v>11588</v>
      </c>
      <c r="B9210" s="4" t="s">
        <v>11591</v>
      </c>
      <c r="C9210" s="5" t="str">
        <f>IFERROR(__xludf.DUMMYFUNCTION("GOOGLETRANSLATE(B9210,""en"",""it"")"),"Le ginnaste si esibiscono sui pali.")</f>
        <v>Le ginnaste si esibiscono sui pali.</v>
      </c>
    </row>
    <row r="9211">
      <c r="A9211" s="4" t="s">
        <v>11588</v>
      </c>
      <c r="B9211" s="4" t="s">
        <v>11592</v>
      </c>
      <c r="C9211" s="5" t="str">
        <f>IFERROR(__xludf.DUMMYFUNCTION("GOOGLETRANSLATE(B9211,""en"",""it"")"),"Fanno molti trucchi su di loro.")</f>
        <v>Fanno molti trucchi su di loro.</v>
      </c>
    </row>
    <row r="9212">
      <c r="A9212" s="4" t="s">
        <v>11593</v>
      </c>
      <c r="B9212" s="4" t="s">
        <v>11594</v>
      </c>
      <c r="C9212" s="5" t="str">
        <f>IFERROR(__xludf.DUMMYFUNCTION("GOOGLETRANSLATE(B9212,""en"",""it"")"),"Un uomo sta spazzolando il fondo di uno sci.")</f>
        <v>Un uomo sta spazzolando il fondo di uno sci.</v>
      </c>
    </row>
    <row r="9213">
      <c r="A9213" s="4" t="s">
        <v>11593</v>
      </c>
      <c r="B9213" s="4" t="s">
        <v>11595</v>
      </c>
      <c r="C9213" s="5" t="str">
        <f>IFERROR(__xludf.DUMMYFUNCTION("GOOGLETRANSLATE(B9213,""en"",""it"")"),"Si scioglie la cera sul fondo dello sci e lo sta.")</f>
        <v>Si scioglie la cera sul fondo dello sci e lo sta.</v>
      </c>
    </row>
    <row r="9214">
      <c r="A9214" s="4" t="s">
        <v>11593</v>
      </c>
      <c r="B9214" s="4" t="s">
        <v>11596</v>
      </c>
      <c r="C9214" s="5" t="str">
        <f>IFERROR(__xludf.DUMMYFUNCTION("GOOGLETRANSLATE(B9214,""en"",""it"")"),"Quindi raschia la cera con uno strumento.")</f>
        <v>Quindi raschia la cera con uno strumento.</v>
      </c>
    </row>
    <row r="9215">
      <c r="A9215" s="4" t="s">
        <v>11593</v>
      </c>
      <c r="B9215" s="4" t="s">
        <v>11597</v>
      </c>
      <c r="C9215" s="5" t="str">
        <f>IFERROR(__xludf.DUMMYFUNCTION("GOOGLETRANSLATE(B9215,""en"",""it"")"),"Usa un pennello per spazzolare il fondo dello sci.")</f>
        <v>Usa un pennello per spazzolare il fondo dello sci.</v>
      </c>
    </row>
    <row r="9216">
      <c r="A9216" s="4" t="s">
        <v>11598</v>
      </c>
      <c r="B9216" s="6" t="s">
        <v>11599</v>
      </c>
      <c r="C9216" s="5" t="str">
        <f>IFERROR(__xludf.DUMMYFUNCTION("GOOGLETRANSLATE(B9216,""en"",""it"")"),"Un atleta viene mostrato che si scalda davanti a un palo mentre molti altri in background corrono attorno a una pista.")</f>
        <v>Un atleta viene mostrato che si scalda davanti a un palo mentre molti altri in background corrono attorno a una pista.</v>
      </c>
    </row>
    <row r="9217">
      <c r="A9217" s="4" t="s">
        <v>11598</v>
      </c>
      <c r="B9217" s="4" t="s">
        <v>11600</v>
      </c>
      <c r="C9217" s="5" t="str">
        <f>IFERROR(__xludf.DUMMYFUNCTION("GOOGLETRANSLATE(B9217,""en"",""it"")"),"L'uomo alla fine si prepara per il suo salto e salta sopra il palo.")</f>
        <v>L'uomo alla fine si prepara per il suo salto e salta sopra il palo.</v>
      </c>
    </row>
    <row r="9218">
      <c r="A9218" s="4" t="s">
        <v>11598</v>
      </c>
      <c r="B9218" s="4" t="s">
        <v>11601</v>
      </c>
      <c r="C9218" s="5" t="str">
        <f>IFERROR(__xludf.DUMMYFUNCTION("GOOGLETRANSLATE(B9218,""en"",""it"")"),"Fa oscillare le braccia per festeggiare e gli altri intorno a lui applaudire per lui.")</f>
        <v>Fa oscillare le braccia per festeggiare e gli altri intorno a lui applaudire per lui.</v>
      </c>
    </row>
    <row r="9219">
      <c r="A9219" s="4" t="s">
        <v>11602</v>
      </c>
      <c r="B9219" s="4" t="s">
        <v>11603</v>
      </c>
      <c r="C9219" s="5" t="str">
        <f>IFERROR(__xludf.DUMMYFUNCTION("GOOGLETRANSLATE(B9219,""en"",""it"")"),"Una signora si trova con una pentola e mostra un'area di un muro.")</f>
        <v>Una signora si trova con una pentola e mostra un'area di un muro.</v>
      </c>
    </row>
    <row r="9220">
      <c r="A9220" s="4" t="s">
        <v>11602</v>
      </c>
      <c r="B9220" s="4" t="s">
        <v>11604</v>
      </c>
      <c r="C9220" s="5" t="str">
        <f>IFERROR(__xludf.DUMMYFUNCTION("GOOGLETRANSLATE(B9220,""en"",""it"")"),"Il muro viene pulito con un asciugamano bagnato usando la soluzione nella pentola.")</f>
        <v>Il muro viene pulito con un asciugamano bagnato usando la soluzione nella pentola.</v>
      </c>
    </row>
    <row r="9221">
      <c r="A9221" s="4" t="s">
        <v>11602</v>
      </c>
      <c r="B9221" s="4" t="s">
        <v>11605</v>
      </c>
      <c r="C9221" s="5" t="str">
        <f>IFERROR(__xludf.DUMMYFUNCTION("GOOGLETRANSLATE(B9221,""en"",""it"")"),"La signora indica un'area del muro scolorita.")</f>
        <v>La signora indica un'area del muro scolorita.</v>
      </c>
    </row>
    <row r="9222">
      <c r="A9222" s="4" t="s">
        <v>11606</v>
      </c>
      <c r="B9222" s="4" t="s">
        <v>11607</v>
      </c>
      <c r="C9222" s="5" t="str">
        <f>IFERROR(__xludf.DUMMYFUNCTION("GOOGLETRANSLATE(B9222,""en"",""it"")"),"Un'immagine viene mostrata di una copertina dell'album che conduce in un giovane che suona lentamente un'armonica.")</f>
        <v>Un'immagine viene mostrata di una copertina dell'album che conduce in un giovane che suona lentamente un'armonica.</v>
      </c>
    </row>
    <row r="9223">
      <c r="A9223" s="4" t="s">
        <v>11606</v>
      </c>
      <c r="B9223" s="6" t="s">
        <v>11608</v>
      </c>
      <c r="C9223" s="5" t="str">
        <f>IFERROR(__xludf.DUMMYFUNCTION("GOOGLETRANSLATE(B9223,""en"",""it"")"),"L'uomo torna indietro e quarto alla canzone e si interrompe tra le foto di una band e lui stesso che suona.")</f>
        <v>L'uomo torna indietro e quarto alla canzone e si interrompe tra le foto di una band e lui stesso che suona.</v>
      </c>
    </row>
    <row r="9224">
      <c r="A9224" s="4" t="s">
        <v>11609</v>
      </c>
      <c r="B9224" s="4" t="s">
        <v>11610</v>
      </c>
      <c r="C9224" s="5" t="str">
        <f>IFERROR(__xludf.DUMMYFUNCTION("GOOGLETRANSLATE(B9224,""en"",""it"")"),"L'uomo è in piedi davanti a un bancone che mostra come affilare un coltello.")</f>
        <v>L'uomo è in piedi davanti a un bancone che mostra come affilare un coltello.</v>
      </c>
    </row>
    <row r="9225">
      <c r="A9225" s="4" t="s">
        <v>11609</v>
      </c>
      <c r="B9225" s="4" t="s">
        <v>11611</v>
      </c>
      <c r="C9225" s="5" t="str">
        <f>IFERROR(__xludf.DUMMYFUNCTION("GOOGLETRANSLATE(B9225,""en"",""it"")"),"Sullo sfondo l'uomo cucina nel bancone posteriore.")</f>
        <v>Sullo sfondo l'uomo cucina nel bancone posteriore.</v>
      </c>
    </row>
    <row r="9226">
      <c r="A9226" s="4" t="s">
        <v>11609</v>
      </c>
      <c r="B9226" s="4" t="s">
        <v>11612</v>
      </c>
      <c r="C9226" s="5" t="str">
        <f>IFERROR(__xludf.DUMMYFUNCTION("GOOGLETRANSLATE(B9226,""en"",""it"")"),"L'uomo sta spiegando e controllando le aree del coltello.")</f>
        <v>L'uomo sta spiegando e controllando le aree del coltello.</v>
      </c>
    </row>
    <row r="9227">
      <c r="A9227" s="4" t="s">
        <v>11613</v>
      </c>
      <c r="B9227" s="4" t="s">
        <v>11614</v>
      </c>
      <c r="C9227" s="5" t="str">
        <f>IFERROR(__xludf.DUMMYFUNCTION("GOOGLETRANSLATE(B9227,""en"",""it"")"),"Tre lottatori erano sul ring e la folla si stavano attenuando.")</f>
        <v>Tre lottatori erano sul ring e la folla si stavano attenuando.</v>
      </c>
    </row>
    <row r="9228">
      <c r="A9228" s="4" t="s">
        <v>11613</v>
      </c>
      <c r="B9228" s="4" t="s">
        <v>11615</v>
      </c>
      <c r="C9228" s="5" t="str">
        <f>IFERROR(__xludf.DUMMYFUNCTION("GOOGLETRANSLATE(B9228,""en"",""it"")"),"Un wrestler di nome, a est di Angeles, si allontana e saliva la scala.")</f>
        <v>Un wrestler di nome, a est di Angeles, si allontana e saliva la scala.</v>
      </c>
    </row>
    <row r="9229">
      <c r="A9229" s="4" t="s">
        <v>11613</v>
      </c>
      <c r="B9229" s="4" t="s">
        <v>11616</v>
      </c>
      <c r="C9229" s="5" t="str">
        <f>IFERROR(__xludf.DUMMYFUNCTION("GOOGLETRANSLATE(B9229,""en"",""it"")"),"Un altro lottatore, Tandumisgreat, si alza e inizia a salire dall'altra parte della scala.")</f>
        <v>Un altro lottatore, Tandumisgreat, si alza e inizia a salire dall'altra parte della scala.</v>
      </c>
    </row>
    <row r="9230">
      <c r="A9230" s="4" t="s">
        <v>11613</v>
      </c>
      <c r="B9230" s="4" t="s">
        <v>11617</v>
      </c>
      <c r="C9230" s="5" t="str">
        <f>IFERROR(__xludf.DUMMYFUNCTION("GOOGLETRANSLATE(B9230,""en"",""it"")"),"Hanno iniziato a colpirsi a vicenda sulla scala.")</f>
        <v>Hanno iniziato a colpirsi a vicenda sulla scala.</v>
      </c>
    </row>
    <row r="9231">
      <c r="A9231" s="4" t="s">
        <v>11613</v>
      </c>
      <c r="B9231" s="6" t="s">
        <v>11618</v>
      </c>
      <c r="C9231" s="5" t="str">
        <f>IFERROR(__xludf.DUMMYFUNCTION("GOOGLETRANSLATE(B9231,""en"",""it"")"),"Il tandumisgreat si arrampica sul retro di East di Angeles ed entrambi cadono dalla scala, bussando a est di Angeles.")</f>
        <v>Il tandumisgreat si arrampica sul retro di East di Angeles ed entrambi cadono dalla scala, bussando a est di Angeles.</v>
      </c>
    </row>
    <row r="9232">
      <c r="A9232" s="4" t="s">
        <v>11613</v>
      </c>
      <c r="B9232" s="4" t="s">
        <v>11619</v>
      </c>
      <c r="C9232" s="5" t="str">
        <f>IFERROR(__xludf.DUMMYFUNCTION("GOOGLETRANSLATE(B9232,""en"",""it"")"),"Tandumisgreat sale ancora una volta sulla cima della scala e detiene la banca di denaro sospesa.")</f>
        <v>Tandumisgreat sale ancora una volta sulla cima della scala e detiene la banca di denaro sospesa.</v>
      </c>
    </row>
    <row r="9233">
      <c r="A9233" s="4" t="s">
        <v>11620</v>
      </c>
      <c r="B9233" s="6" t="s">
        <v>11621</v>
      </c>
      <c r="C9233" s="5" t="str">
        <f>IFERROR(__xludf.DUMMYFUNCTION("GOOGLETRANSLATE(B9233,""en"",""it"")"),"Vengono mostrati vari colpi di grande folla che celebrano in lontananza e le persone che cavalcano motociclette in giro.")</f>
        <v>Vengono mostrati vari colpi di grande folla che celebrano in lontananza e le persone che cavalcano motociclette in giro.</v>
      </c>
    </row>
    <row r="9234">
      <c r="A9234" s="4" t="s">
        <v>11620</v>
      </c>
      <c r="B9234" s="4" t="s">
        <v>11622</v>
      </c>
      <c r="C9234" s="5" t="str">
        <f>IFERROR(__xludf.DUMMYFUNCTION("GOOGLETRANSLATE(B9234,""en"",""it"")"),"Le persone continuano a correre al rallentatore mentre la fotocamera cattura i loro movimenti.")</f>
        <v>Le persone continuano a correre al rallentatore mentre la fotocamera cattura i loro movimenti.</v>
      </c>
    </row>
    <row r="9235">
      <c r="A9235" s="4" t="s">
        <v>11623</v>
      </c>
      <c r="B9235" s="6" t="s">
        <v>11624</v>
      </c>
      <c r="C9235" s="5" t="str">
        <f>IFERROR(__xludf.DUMMYFUNCTION("GOOGLETRANSLATE(B9235,""en"",""it"")"),"Un'animazione dei cartoni animati viene mostrata con varie mani e aragoste e dimostrando come suonare le forbici di carta rocciosa.")</f>
        <v>Un'animazione dei cartoni animati viene mostrata con varie mani e aragoste e dimostrando come suonare le forbici di carta rocciosa.</v>
      </c>
    </row>
    <row r="9236">
      <c r="A9236" s="4" t="s">
        <v>11623</v>
      </c>
      <c r="B9236" s="4" t="s">
        <v>11625</v>
      </c>
      <c r="C9236" s="5" t="str">
        <f>IFERROR(__xludf.DUMMYFUNCTION("GOOGLETRANSLATE(B9236,""en"",""it"")"),"Viene mostrato più testo, nonché mani e animali e mostra passi su come giocare.")</f>
        <v>Viene mostrato più testo, nonché mani e animali e mostra passi su come giocare.</v>
      </c>
    </row>
    <row r="9237">
      <c r="A9237" s="4" t="s">
        <v>11626</v>
      </c>
      <c r="B9237" s="4" t="s">
        <v>11627</v>
      </c>
      <c r="C9237" s="5" t="str">
        <f>IFERROR(__xludf.DUMMYFUNCTION("GOOGLETRANSLATE(B9237,""en"",""it"")"),"Vediamo una sequenza di apertura animata.")</f>
        <v>Vediamo una sequenza di apertura animata.</v>
      </c>
    </row>
    <row r="9238">
      <c r="A9238" s="4" t="s">
        <v>11626</v>
      </c>
      <c r="B9238" s="4" t="s">
        <v>11628</v>
      </c>
      <c r="C9238" s="5" t="str">
        <f>IFERROR(__xludf.DUMMYFUNCTION("GOOGLETRANSLATE(B9238,""en"",""it"")"),"Vediamo uomini che cavalcano snowboard su un pendio da sci.")</f>
        <v>Vediamo uomini che cavalcano snowboard su un pendio da sci.</v>
      </c>
    </row>
    <row r="9239">
      <c r="A9239" s="4" t="s">
        <v>11626</v>
      </c>
      <c r="B9239" s="4" t="s">
        <v>11629</v>
      </c>
      <c r="C9239" s="5" t="str">
        <f>IFERROR(__xludf.DUMMYFUNCTION("GOOGLETRANSLATE(B9239,""en"",""it"")"),"Vediamo un uomo che cavalca sulla parte posteriore dello snowboard.")</f>
        <v>Vediamo un uomo che cavalca sulla parte posteriore dello snowboard.</v>
      </c>
    </row>
    <row r="9240">
      <c r="A9240" s="4" t="s">
        <v>11626</v>
      </c>
      <c r="B9240" s="4" t="s">
        <v>11630</v>
      </c>
      <c r="C9240" s="5" t="str">
        <f>IFERROR(__xludf.DUMMYFUNCTION("GOOGLETRANSLATE(B9240,""en"",""it"")"),"Vediamo una persona in una giacca rosa brillante.")</f>
        <v>Vediamo una persona in una giacca rosa brillante.</v>
      </c>
    </row>
    <row r="9241">
      <c r="A9241" s="4" t="s">
        <v>11626</v>
      </c>
      <c r="B9241" s="4" t="s">
        <v>11631</v>
      </c>
      <c r="C9241" s="5" t="str">
        <f>IFERROR(__xludf.DUMMYFUNCTION("GOOGLETRANSLATE(B9241,""en"",""it"")"),"Un uomo sta snowboard a braccia nude.")</f>
        <v>Un uomo sta snowboard a braccia nude.</v>
      </c>
    </row>
    <row r="9242">
      <c r="A9242" s="4" t="s">
        <v>11626</v>
      </c>
      <c r="B9242" s="4" t="s">
        <v>11632</v>
      </c>
      <c r="C9242" s="5" t="str">
        <f>IFERROR(__xludf.DUMMYFUNCTION("GOOGLETRANSLATE(B9242,""en"",""it"")"),"Un altro uomo senza cappotto è lo snowboard.")</f>
        <v>Un altro uomo senza cappotto è lo snowboard.</v>
      </c>
    </row>
    <row r="9243">
      <c r="A9243" s="4" t="s">
        <v>11626</v>
      </c>
      <c r="B9243" s="4" t="s">
        <v>11633</v>
      </c>
      <c r="C9243" s="5" t="str">
        <f>IFERROR(__xludf.DUMMYFUNCTION("GOOGLETRANSLATE(B9243,""en"",""it"")"),"Vediamo la sequenza finale.")</f>
        <v>Vediamo la sequenza finale.</v>
      </c>
    </row>
    <row r="9244">
      <c r="A9244" s="4" t="s">
        <v>11634</v>
      </c>
      <c r="B9244" s="4" t="s">
        <v>11635</v>
      </c>
      <c r="C9244" s="5" t="str">
        <f>IFERROR(__xludf.DUMMYFUNCTION("GOOGLETRANSLATE(B9244,""en"",""it"")"),"Le persone lanciano palline in bicchieri di plastica.")</f>
        <v>Le persone lanciano palline in bicchieri di plastica.</v>
      </c>
    </row>
    <row r="9245">
      <c r="A9245" s="4" t="s">
        <v>11634</v>
      </c>
      <c r="B9245" s="4" t="s">
        <v>11636</v>
      </c>
      <c r="C9245" s="5" t="str">
        <f>IFERROR(__xludf.DUMMYFUNCTION("GOOGLETRANSLATE(B9245,""en"",""it"")"),"Una mano bussa a un bicchiere di plastica rossa e spreca il liquido all'interno.")</f>
        <v>Una mano bussa a un bicchiere di plastica rossa e spreca il liquido all'interno.</v>
      </c>
    </row>
    <row r="9246">
      <c r="A9246" s="4" t="s">
        <v>11634</v>
      </c>
      <c r="B9246" s="4" t="s">
        <v>11637</v>
      </c>
      <c r="C9246" s="5" t="str">
        <f>IFERROR(__xludf.DUMMYFUNCTION("GOOGLETRANSLATE(B9246,""en"",""it"")"),"Un maschio cerca una palla che rotola sotto un tavolo.")</f>
        <v>Un maschio cerca una palla che rotola sotto un tavolo.</v>
      </c>
    </row>
    <row r="9247">
      <c r="A9247" s="4" t="s">
        <v>11634</v>
      </c>
      <c r="B9247" s="4" t="s">
        <v>11638</v>
      </c>
      <c r="C9247" s="5" t="str">
        <f>IFERROR(__xludf.DUMMYFUNCTION("GOOGLETRANSLATE(B9247,""en"",""it"")"),"Un bicchiere di plastica ha una sospensione bianca all'interno.")</f>
        <v>Un bicchiere di plastica ha una sospensione bianca all'interno.</v>
      </c>
    </row>
    <row r="9248">
      <c r="A9248" s="4" t="s">
        <v>11634</v>
      </c>
      <c r="B9248" s="4" t="s">
        <v>11639</v>
      </c>
      <c r="C9248" s="5" t="str">
        <f>IFERROR(__xludf.DUMMYFUNCTION("GOOGLETRANSLATE(B9248,""en"",""it"")"),"Un uomo salda e macchina intaglia una tavola di legno.")</f>
        <v>Un uomo salda e macchina intaglia una tavola di legno.</v>
      </c>
    </row>
    <row r="9249">
      <c r="A9249" s="4" t="s">
        <v>11634</v>
      </c>
      <c r="B9249" s="4" t="s">
        <v>11640</v>
      </c>
      <c r="C9249" s="5" t="str">
        <f>IFERROR(__xludf.DUMMYFUNCTION("GOOGLETRANSLATE(B9249,""en"",""it"")"),"Un ragazzo porta una signora mentre gestiscono e rallegrano.")</f>
        <v>Un ragazzo porta una signora mentre gestiscono e rallegrano.</v>
      </c>
    </row>
    <row r="9250">
      <c r="A9250" s="4" t="s">
        <v>11641</v>
      </c>
      <c r="B9250" s="4" t="s">
        <v>11642</v>
      </c>
      <c r="C9250" s="5" t="str">
        <f>IFERROR(__xludf.DUMMYFUNCTION("GOOGLETRANSLATE(B9250,""en"",""it"")"),"Viene mostrato un contatore con lattine di birra.")</f>
        <v>Viene mostrato un contatore con lattine di birra.</v>
      </c>
    </row>
    <row r="9251">
      <c r="A9251" s="4" t="s">
        <v>11641</v>
      </c>
      <c r="B9251" s="4" t="s">
        <v>11643</v>
      </c>
      <c r="C9251" s="5" t="str">
        <f>IFERROR(__xludf.DUMMYFUNCTION("GOOGLETRANSLATE(B9251,""en"",""it"")"),"Un uomo è in un bagno, usando un bagno.")</f>
        <v>Un uomo è in un bagno, usando un bagno.</v>
      </c>
    </row>
    <row r="9252">
      <c r="A9252" s="4" t="s">
        <v>11641</v>
      </c>
      <c r="B9252" s="4" t="s">
        <v>11644</v>
      </c>
      <c r="C9252" s="5" t="str">
        <f>IFERROR(__xludf.DUMMYFUNCTION("GOOGLETRANSLATE(B9252,""en"",""it"")"),"Lava, poi sorride e parla alla telecamera.")</f>
        <v>Lava, poi sorride e parla alla telecamera.</v>
      </c>
    </row>
    <row r="9253">
      <c r="A9253" s="4" t="s">
        <v>11645</v>
      </c>
      <c r="B9253" s="6" t="s">
        <v>11646</v>
      </c>
      <c r="C9253" s="5" t="str">
        <f>IFERROR(__xludf.DUMMYFUNCTION("GOOGLETRANSLATE(B9253,""en"",""it"")"),"Lo sciatore regola la corda con i suoi sci rossi e neri che si estendono davanti a lui sull'acqua mentre si prepara a sciare.")</f>
        <v>Lo sciatore regola la corda con i suoi sci rossi e neri che si estendono davanti a lui sull'acqua mentre si prepara a sciare.</v>
      </c>
    </row>
    <row r="9254">
      <c r="A9254" s="4" t="s">
        <v>11645</v>
      </c>
      <c r="B9254" s="4" t="s">
        <v>11647</v>
      </c>
      <c r="C9254" s="5" t="str">
        <f>IFERROR(__xludf.DUMMYFUNCTION("GOOGLETRANSLATE(B9254,""en"",""it"")"),"La barca lo tira fuori dal molo e in acqua mentre poggia in posizione verticale, gli sci fuori davanti a lui.")</f>
        <v>La barca lo tira fuori dal molo e in acqua mentre poggia in posizione verticale, gli sci fuori davanti a lui.</v>
      </c>
    </row>
    <row r="9255">
      <c r="A9255" s="4" t="s">
        <v>11645</v>
      </c>
      <c r="B9255" s="4" t="s">
        <v>11648</v>
      </c>
      <c r="C9255" s="5" t="str">
        <f>IFERROR(__xludf.DUMMYFUNCTION("GOOGLETRANSLATE(B9255,""en"",""it"")"),"Mentre la barca raccoglie velocità, lo sciatore si alza e si tiene sulla corda, sterzando a sinistra e a destra.")</f>
        <v>Mentre la barca raccoglie velocità, lo sciatore si alza e si tiene sulla corda, sterzando a sinistra e a destra.</v>
      </c>
    </row>
    <row r="9256">
      <c r="A9256" s="4" t="s">
        <v>11645</v>
      </c>
      <c r="B9256" s="4" t="s">
        <v>11649</v>
      </c>
      <c r="C9256" s="5" t="str">
        <f>IFERROR(__xludf.DUMMYFUNCTION("GOOGLETRANSLATE(B9256,""en"",""it"")"),"Sembra solo perdere una boa mentre taglia l'acqua e la scia della barca.")</f>
        <v>Sembra solo perdere una boa mentre taglia l'acqua e la scia della barca.</v>
      </c>
    </row>
    <row r="9257">
      <c r="A9257" s="4" t="s">
        <v>11645</v>
      </c>
      <c r="B9257" s="6" t="s">
        <v>11650</v>
      </c>
      <c r="C9257" s="5" t="str">
        <f>IFERROR(__xludf.DUMMYFUNCTION("GOOGLETRANSLATE(B9257,""en"",""it"")"),"La barca si gira verso il terreno con grandi edifici in vista e lentamente viene riportato al molo.")</f>
        <v>La barca si gira verso il terreno con grandi edifici in vista e lentamente viene riportato al molo.</v>
      </c>
    </row>
    <row r="9258">
      <c r="A9258" s="4" t="s">
        <v>11651</v>
      </c>
      <c r="B9258" s="6" t="s">
        <v>11652</v>
      </c>
      <c r="C9258" s="5" t="str">
        <f>IFERROR(__xludf.DUMMYFUNCTION("GOOGLETRANSLATE(B9258,""en"",""it"")"),"Un piccolo gruppo di bambini viene visto giocare a mano l'uno con l'altro e infine colpire il perdente in testa con una bottiglia.")</f>
        <v>Un piccolo gruppo di bambini viene visto giocare a mano l'uno con l'altro e infine colpire il perdente in testa con una bottiglia.</v>
      </c>
    </row>
    <row r="9259">
      <c r="A9259" s="4" t="s">
        <v>11651</v>
      </c>
      <c r="B9259" s="6" t="s">
        <v>11653</v>
      </c>
      <c r="C9259" s="5" t="str">
        <f>IFERROR(__xludf.DUMMYFUNCTION("GOOGLETRANSLATE(B9259,""en"",""it"")"),"I bambini continuano a giocare a mano l'uno con l'altro che conduce a battere un altro con una bottiglia.")</f>
        <v>I bambini continuano a giocare a mano l'uno con l'altro che conduce a battere un altro con una bottiglia.</v>
      </c>
    </row>
    <row r="9260">
      <c r="A9260" s="4" t="s">
        <v>11654</v>
      </c>
      <c r="B9260" s="4" t="s">
        <v>11655</v>
      </c>
      <c r="C9260" s="5" t="str">
        <f>IFERROR(__xludf.DUMMYFUNCTION("GOOGLETRANSLATE(B9260,""en"",""it"")"),"Un uomo applaude dopo aver eseguito un salto in alto sul campo.")</f>
        <v>Un uomo applaude dopo aver eseguito un salto in alto sul campo.</v>
      </c>
    </row>
    <row r="9261">
      <c r="A9261" s="4" t="s">
        <v>11654</v>
      </c>
      <c r="B9261" s="4" t="s">
        <v>11656</v>
      </c>
      <c r="C9261" s="5" t="str">
        <f>IFERROR(__xludf.DUMMYFUNCTION("GOOGLETRANSLATE(B9261,""en"",""it"")"),"Ci viene mostrato il replay istantaneo al rallentatore un paio di volte.")</f>
        <v>Ci viene mostrato il replay istantaneo al rallentatore un paio di volte.</v>
      </c>
    </row>
    <row r="9262">
      <c r="A9262" s="4" t="s">
        <v>11654</v>
      </c>
      <c r="B9262" s="4" t="s">
        <v>11657</v>
      </c>
      <c r="C9262" s="5" t="str">
        <f>IFERROR(__xludf.DUMMYFUNCTION("GOOGLETRANSLATE(B9262,""en"",""it"")"),"Cammina sul campo, stringendo la mano ai suoi concorrenti.")</f>
        <v>Cammina sul campo, stringendo la mano ai suoi concorrenti.</v>
      </c>
    </row>
    <row r="9263">
      <c r="A9263" s="4" t="s">
        <v>11658</v>
      </c>
      <c r="B9263" s="6" t="s">
        <v>11659</v>
      </c>
      <c r="C9263" s="5" t="str">
        <f>IFERROR(__xludf.DUMMYFUNCTION("GOOGLETRANSLATE(B9263,""en"",""it"")"),"Diversi colpi di persone sono mostrati in acqua e paesaggi intorno a un'isola e persone che cavalcano e si muovono attorno a una barca.")</f>
        <v>Diversi colpi di persone sono mostrati in acqua e paesaggi intorno a un'isola e persone che cavalcano e si muovono attorno a una barca.</v>
      </c>
    </row>
    <row r="9264">
      <c r="A9264" s="4" t="s">
        <v>11658</v>
      </c>
      <c r="B9264" s="6" t="s">
        <v>11660</v>
      </c>
      <c r="C9264" s="5" t="str">
        <f>IFERROR(__xludf.DUMMYFUNCTION("GOOGLETRANSLATE(B9264,""en"",""it"")"),"Vengono mostrati più colpi di immersioni subacquee e pesci che nuotano e persone nell'oceano.")</f>
        <v>Vengono mostrati più colpi di immersioni subacquee e pesci che nuotano e persone nell'oceano.</v>
      </c>
    </row>
    <row r="9265">
      <c r="A9265" s="4" t="s">
        <v>11658</v>
      </c>
      <c r="B9265" s="6" t="s">
        <v>11661</v>
      </c>
      <c r="C9265" s="5" t="str">
        <f>IFERROR(__xludf.DUMMYFUNCTION("GOOGLETRANSLATE(B9265,""en"",""it"")"),"Alla fine la telecamera mostra diversi scatti della barca e le persone che si allontanano su una barca più piccola.")</f>
        <v>Alla fine la telecamera mostra diversi scatti della barca e le persone che si allontanano su una barca più piccola.</v>
      </c>
    </row>
    <row r="9266">
      <c r="A9266" s="4" t="s">
        <v>11662</v>
      </c>
      <c r="B9266" s="6" t="s">
        <v>11663</v>
      </c>
      <c r="C9266" s="5" t="str">
        <f>IFERROR(__xludf.DUMMYFUNCTION("GOOGLETRANSLATE(B9266,""en"",""it"")"),"Un gruppo di bambini viene visto praticare varie mosse di allegria in palestra e donna che parla alla telecamera.")</f>
        <v>Un gruppo di bambini viene visto praticare varie mosse di allegria in palestra e donna che parla alla telecamera.</v>
      </c>
    </row>
    <row r="9267">
      <c r="A9267" s="4" t="s">
        <v>11662</v>
      </c>
      <c r="B9267" s="4" t="s">
        <v>11664</v>
      </c>
      <c r="C9267" s="5" t="str">
        <f>IFERROR(__xludf.DUMMYFUNCTION("GOOGLETRANSLATE(B9267,""en"",""it"")"),"Vengono mostrati diversi colpi degli abiti della ragazza e che dimostrano mosse.")</f>
        <v>Vengono mostrati diversi colpi degli abiti della ragazza e che dimostrano mosse.</v>
      </c>
    </row>
    <row r="9268">
      <c r="A9268" s="4" t="s">
        <v>11665</v>
      </c>
      <c r="B9268" s="4" t="s">
        <v>11666</v>
      </c>
      <c r="C9268" s="5" t="str">
        <f>IFERROR(__xludf.DUMMYFUNCTION("GOOGLETRANSLATE(B9268,""en"",""it"")"),"Questa donna sta camminando, saltando e lanciando sul raggio di equilibrio.")</f>
        <v>Questa donna sta camminando, saltando e lanciando sul raggio di equilibrio.</v>
      </c>
    </row>
    <row r="9269">
      <c r="A9269" s="4" t="s">
        <v>11665</v>
      </c>
      <c r="B9269" s="4" t="s">
        <v>11667</v>
      </c>
      <c r="C9269" s="5" t="str">
        <f>IFERROR(__xludf.DUMMYFUNCTION("GOOGLETRANSLATE(B9269,""en"",""it"")"),"Quando ha finito, scende dal palco e va da suo padre.")</f>
        <v>Quando ha finito, scende dal palco e va da suo padre.</v>
      </c>
    </row>
    <row r="9270">
      <c r="A9270" s="4" t="s">
        <v>11668</v>
      </c>
      <c r="B9270" s="4" t="s">
        <v>11669</v>
      </c>
      <c r="C9270" s="5" t="str">
        <f>IFERROR(__xludf.DUMMYFUNCTION("GOOGLETRANSLATE(B9270,""en"",""it"")"),"Un cortile viene mostrato come un uomo seduto su un tosaerba elettrico inizia a tagliare l'erba.")</f>
        <v>Un cortile viene mostrato come un uomo seduto su un tosaerba elettrico inizia a tagliare l'erba.</v>
      </c>
    </row>
    <row r="9271">
      <c r="A9271" s="4" t="s">
        <v>11668</v>
      </c>
      <c r="B9271" s="4" t="s">
        <v>11670</v>
      </c>
      <c r="C9271" s="5" t="str">
        <f>IFERROR(__xludf.DUMMYFUNCTION("GOOGLETRANSLATE(B9271,""en"",""it"")"),"Arriva dall'altra parte ma poi inizia a correre nell'albero.")</f>
        <v>Arriva dall'altra parte ma poi inizia a correre nell'albero.</v>
      </c>
    </row>
    <row r="9272">
      <c r="A9272" s="4" t="s">
        <v>11668</v>
      </c>
      <c r="B9272" s="4" t="s">
        <v>11671</v>
      </c>
      <c r="C9272" s="5" t="str">
        <f>IFERROR(__xludf.DUMMYFUNCTION("GOOGLETRANSLATE(B9272,""en"",""it"")"),"Dopo essersi fatto il backup, corre di nuovo sull'albero e si taglia attorno a esso.")</f>
        <v>Dopo essersi fatto il backup, corre di nuovo sull'albero e si taglia attorno a esso.</v>
      </c>
    </row>
    <row r="9273">
      <c r="A9273" s="4" t="s">
        <v>11672</v>
      </c>
      <c r="B9273" s="4" t="s">
        <v>11673</v>
      </c>
      <c r="C9273" s="5" t="str">
        <f>IFERROR(__xludf.DUMMYFUNCTION("GOOGLETRANSLATE(B9273,""en"",""it"")"),"Un toro esce dal cancello in un rodeo e l'uomo sul ring salta fuori dalla schiena.")</f>
        <v>Un toro esce dal cancello in un rodeo e l'uomo sul ring salta fuori dalla schiena.</v>
      </c>
    </row>
    <row r="9274">
      <c r="A9274" s="4" t="s">
        <v>11672</v>
      </c>
      <c r="B9274" s="4" t="s">
        <v>11674</v>
      </c>
      <c r="C9274" s="5" t="str">
        <f>IFERROR(__xludf.DUMMYFUNCTION("GOOGLETRANSLATE(B9274,""en"",""it"")"),"L'uomo prende il cappello caduto sul ring.")</f>
        <v>L'uomo prende il cappello caduto sul ring.</v>
      </c>
    </row>
    <row r="9275">
      <c r="A9275" s="4" t="s">
        <v>11672</v>
      </c>
      <c r="B9275" s="4" t="s">
        <v>11675</v>
      </c>
      <c r="C9275" s="5" t="str">
        <f>IFERROR(__xludf.DUMMYFUNCTION("GOOGLETRANSLATE(B9275,""en"",""it"")"),"L'uomo corre a schivare il toro di ricarica.")</f>
        <v>L'uomo corre a schivare il toro di ricarica.</v>
      </c>
    </row>
    <row r="9276">
      <c r="A9276" s="4" t="s">
        <v>11672</v>
      </c>
      <c r="B9276" s="4" t="s">
        <v>11676</v>
      </c>
      <c r="C9276" s="5" t="str">
        <f>IFERROR(__xludf.DUMMYFUNCTION("GOOGLETRANSLATE(B9276,""en"",""it"")"),"L'uomo lascia cadere il cappello sul ring.")</f>
        <v>L'uomo lascia cadere il cappello sul ring.</v>
      </c>
    </row>
    <row r="9277">
      <c r="A9277" s="4" t="s">
        <v>11672</v>
      </c>
      <c r="B9277" s="4" t="s">
        <v>11677</v>
      </c>
      <c r="C9277" s="5" t="str">
        <f>IFERROR(__xludf.DUMMYFUNCTION("GOOGLETRANSLATE(B9277,""en"",""it"")"),"L'uomo salta sul muro per evitare il toro.")</f>
        <v>L'uomo salta sul muro per evitare il toro.</v>
      </c>
    </row>
    <row r="9278">
      <c r="A9278" s="4" t="s">
        <v>11672</v>
      </c>
      <c r="B9278" s="4" t="s">
        <v>11678</v>
      </c>
      <c r="C9278" s="5" t="str">
        <f>IFERROR(__xludf.DUMMYFUNCTION("GOOGLETRANSLATE(B9278,""en"",""it"")"),"Un altro uomo apre il cancello e chiama il toro per entrare nel pin.")</f>
        <v>Un altro uomo apre il cancello e chiama il toro per entrare nel pin.</v>
      </c>
    </row>
    <row r="9279">
      <c r="A9279" s="4" t="s">
        <v>11679</v>
      </c>
      <c r="B9279" s="4" t="s">
        <v>11680</v>
      </c>
      <c r="C9279" s="5" t="str">
        <f>IFERROR(__xludf.DUMMYFUNCTION("GOOGLETRANSLATE(B9279,""en"",""it"")"),"Vediamo persone fare una routine di danza in un campo da basket.")</f>
        <v>Vediamo persone fare una routine di danza in un campo da basket.</v>
      </c>
    </row>
    <row r="9280">
      <c r="A9280" s="4" t="s">
        <v>11679</v>
      </c>
      <c r="B9280" s="4" t="s">
        <v>11681</v>
      </c>
      <c r="C9280" s="5" t="str">
        <f>IFERROR(__xludf.DUMMYFUNCTION("GOOGLETRANSLATE(B9280,""en"",""it"")"),"Le persone salutano le mani in aria.")</f>
        <v>Le persone salutano le mani in aria.</v>
      </c>
    </row>
    <row r="9281">
      <c r="A9281" s="4" t="s">
        <v>11679</v>
      </c>
      <c r="B9281" s="4" t="s">
        <v>11682</v>
      </c>
      <c r="C9281" s="5" t="str">
        <f>IFERROR(__xludf.DUMMYFUNCTION("GOOGLETRANSLATE(B9281,""en"",""it"")"),"La fotocamera è rimasta per mostrare gli altri.")</f>
        <v>La fotocamera è rimasta per mostrare gli altri.</v>
      </c>
    </row>
    <row r="9282">
      <c r="A9282" s="4" t="s">
        <v>11679</v>
      </c>
      <c r="B9282" s="4" t="s">
        <v>11683</v>
      </c>
      <c r="C9282" s="5" t="str">
        <f>IFERROR(__xludf.DUMMYFUNCTION("GOOGLETRANSLATE(B9282,""en"",""it"")"),"La fotocamera panoramica bene e vediamo gli altri.")</f>
        <v>La fotocamera panoramica bene e vediamo gli altri.</v>
      </c>
    </row>
    <row r="9283">
      <c r="A9283" s="4" t="s">
        <v>11679</v>
      </c>
      <c r="B9283" s="4" t="s">
        <v>11684</v>
      </c>
      <c r="C9283" s="5" t="str">
        <f>IFERROR(__xludf.DUMMYFUNCTION("GOOGLETRANSLATE(B9283,""en"",""it"")"),"Le donne si fermano e salutano le braccia in aria.")</f>
        <v>Le donne si fermano e salutano le braccia in aria.</v>
      </c>
    </row>
    <row r="9284">
      <c r="A9284" s="4" t="s">
        <v>11679</v>
      </c>
      <c r="B9284" s="4" t="s">
        <v>11685</v>
      </c>
      <c r="C9284" s="5" t="str">
        <f>IFERROR(__xludf.DUMMYFUNCTION("GOOGLETRANSLATE(B9284,""en"",""it"")"),"La fotocamera si lancia a terra.")</f>
        <v>La fotocamera si lancia a terra.</v>
      </c>
    </row>
    <row r="9285">
      <c r="A9285" s="4" t="s">
        <v>11686</v>
      </c>
      <c r="B9285" s="4" t="s">
        <v>11687</v>
      </c>
      <c r="C9285" s="5" t="str">
        <f>IFERROR(__xludf.DUMMYFUNCTION("GOOGLETRANSLATE(B9285,""en"",""it"")"),"Qualcuno sta correndo sulla spiaggia verso le competizioni del castello di sabbia.")</f>
        <v>Qualcuno sta correndo sulla spiaggia verso le competizioni del castello di sabbia.</v>
      </c>
    </row>
    <row r="9286">
      <c r="A9286" s="4" t="s">
        <v>11686</v>
      </c>
      <c r="B9286" s="4" t="s">
        <v>11688</v>
      </c>
      <c r="C9286" s="5" t="str">
        <f>IFERROR(__xludf.DUMMYFUNCTION("GOOGLETRANSLATE(B9286,""en"",""it"")"),"Un cane salta in un po 'di terra di sabbia ed è così felice.")</f>
        <v>Un cane salta in un po 'di terra di sabbia ed è così felice.</v>
      </c>
    </row>
    <row r="9287">
      <c r="A9287" s="4" t="s">
        <v>11686</v>
      </c>
      <c r="B9287" s="6" t="s">
        <v>11689</v>
      </c>
      <c r="C9287" s="5" t="str">
        <f>IFERROR(__xludf.DUMMYFUNCTION("GOOGLETRANSLATE(B9287,""en"",""it"")"),"Ci sono così tante cose fantastiche e diverse fatte di sabbia, sembra che ci vuole molto tempo ed energia.")</f>
        <v>Ci sono così tante cose fantastiche e diverse fatte di sabbia, sembra che ci vuole molto tempo ed energia.</v>
      </c>
    </row>
    <row r="9288">
      <c r="A9288" s="4" t="s">
        <v>11686</v>
      </c>
      <c r="B9288" s="4" t="s">
        <v>11690</v>
      </c>
      <c r="C9288" s="5" t="str">
        <f>IFERROR(__xludf.DUMMYFUNCTION("GOOGLETRANSLATE(B9288,""en"",""it"")"),"Ci sono persone che camminano e guardano tutti loro.")</f>
        <v>Ci sono persone che camminano e guardano tutti loro.</v>
      </c>
    </row>
    <row r="9289">
      <c r="A9289" s="4" t="s">
        <v>11691</v>
      </c>
      <c r="B9289" s="4" t="s">
        <v>11692</v>
      </c>
      <c r="C9289" s="5" t="str">
        <f>IFERROR(__xludf.DUMMYFUNCTION("GOOGLETRANSLATE(B9289,""en"",""it"")"),"Vengono mostrate alcune foto di una squadra di hockey sul campo del liceo.")</f>
        <v>Vengono mostrate alcune foto di una squadra di hockey sul campo del liceo.</v>
      </c>
    </row>
    <row r="9290">
      <c r="A9290" s="4" t="s">
        <v>11691</v>
      </c>
      <c r="B9290" s="4" t="s">
        <v>11693</v>
      </c>
      <c r="C9290" s="5" t="str">
        <f>IFERROR(__xludf.DUMMYFUNCTION("GOOGLETRANSLATE(B9290,""en"",""it"")"),"Due squadre di ragazze stanno giocando a hockey in campo.")</f>
        <v>Due squadre di ragazze stanno giocando a hockey in campo.</v>
      </c>
    </row>
    <row r="9291">
      <c r="A9291" s="4" t="s">
        <v>11691</v>
      </c>
      <c r="B9291" s="4" t="s">
        <v>11694</v>
      </c>
      <c r="C9291" s="5" t="str">
        <f>IFERROR(__xludf.DUMMYFUNCTION("GOOGLETRANSLATE(B9291,""en"",""it"")"),"Il portiere viene mostrato che cade a terra mentre fa un salvataggio.")</f>
        <v>Il portiere viene mostrato che cade a terra mentre fa un salvataggio.</v>
      </c>
    </row>
    <row r="9292">
      <c r="A9292" s="4" t="s">
        <v>11691</v>
      </c>
      <c r="B9292" s="4" t="s">
        <v>11695</v>
      </c>
      <c r="C9292" s="5" t="str">
        <f>IFERROR(__xludf.DUMMYFUNCTION("GOOGLETRANSLATE(B9292,""en"",""it"")"),"Il portiere fa risparmiare un altro scivolo.")</f>
        <v>Il portiere fa risparmiare un altro scivolo.</v>
      </c>
    </row>
    <row r="9293">
      <c r="A9293" s="4" t="s">
        <v>11691</v>
      </c>
      <c r="B9293" s="4" t="s">
        <v>11696</v>
      </c>
      <c r="C9293" s="5" t="str">
        <f>IFERROR(__xludf.DUMMYFUNCTION("GOOGLETRANSLATE(B9293,""en"",""it"")"),"Il portiere prende a calci la palla dalla rete.")</f>
        <v>Il portiere prende a calci la palla dalla rete.</v>
      </c>
    </row>
    <row r="9294">
      <c r="A9294" s="4" t="s">
        <v>11691</v>
      </c>
      <c r="B9294" s="4" t="s">
        <v>11697</v>
      </c>
      <c r="C9294" s="5" t="str">
        <f>IFERROR(__xludf.DUMMYFUNCTION("GOOGLETRANSLATE(B9294,""en"",""it"")"),"Il gioco finisce e le ragazze danno alti cinque.")</f>
        <v>Il gioco finisce e le ragazze danno alti cinque.</v>
      </c>
    </row>
    <row r="9295">
      <c r="A9295" s="4" t="s">
        <v>11698</v>
      </c>
      <c r="B9295" s="4" t="s">
        <v>11699</v>
      </c>
      <c r="C9295" s="5" t="str">
        <f>IFERROR(__xludf.DUMMYFUNCTION("GOOGLETRANSLATE(B9295,""en"",""it"")"),"Un uomo è in piedi fuori nel suo prato davanti con il suo tosaerba.")</f>
        <v>Un uomo è in piedi fuori nel suo prato davanti con il suo tosaerba.</v>
      </c>
    </row>
    <row r="9296">
      <c r="A9296" s="4" t="s">
        <v>11698</v>
      </c>
      <c r="B9296" s="4" t="s">
        <v>11700</v>
      </c>
      <c r="C9296" s="5" t="str">
        <f>IFERROR(__xludf.DUMMYFUNCTION("GOOGLETRANSLATE(B9296,""en"",""it"")"),"Parla di diverse lunghezze di erba per un po 'e poi si piega al suo tosaerba.")</f>
        <v>Parla di diverse lunghezze di erba per un po 'e poi si piega al suo tosaerba.</v>
      </c>
    </row>
    <row r="9297">
      <c r="A9297" s="4" t="s">
        <v>11698</v>
      </c>
      <c r="B9297" s="6" t="s">
        <v>11701</v>
      </c>
      <c r="C9297" s="5" t="str">
        <f>IFERROR(__xludf.DUMMYFUNCTION("GOOGLETRANSLATE(B9297,""en"",""it"")"),"Usa un sovrano per mostrare più dettagliato e poi sposta il tosaerba sul marciapiede per parlare di più.")</f>
        <v>Usa un sovrano per mostrare più dettagliato e poi sposta il tosaerba sul marciapiede per parlare di più.</v>
      </c>
    </row>
    <row r="9298">
      <c r="A9298" s="4" t="s">
        <v>11698</v>
      </c>
      <c r="B9298" s="4" t="s">
        <v>11702</v>
      </c>
      <c r="C9298" s="5" t="str">
        <f>IFERROR(__xludf.DUMMYFUNCTION("GOOGLETRANSLATE(B9298,""en"",""it"")"),"Comincia a falciare il prato finalmente andando su e giù per il prato.")</f>
        <v>Comincia a falciare il prato finalmente andando su e giù per il prato.</v>
      </c>
    </row>
    <row r="9299">
      <c r="A9299" s="4" t="s">
        <v>11703</v>
      </c>
      <c r="B9299" s="6" t="s">
        <v>11704</v>
      </c>
      <c r="C9299" s="5" t="str">
        <f>IFERROR(__xludf.DUMMYFUNCTION("GOOGLETRANSLATE(B9299,""en"",""it"")"),"Due donne sono mostrate in piedi dietro un tavolo da shuffle board quando si spinge un disco su tutta la linea.")</f>
        <v>Due donne sono mostrate in piedi dietro un tavolo da shuffle board quando si spinge un disco su tutta la linea.</v>
      </c>
    </row>
    <row r="9300">
      <c r="A9300" s="4" t="s">
        <v>11703</v>
      </c>
      <c r="B9300" s="4" t="s">
        <v>11705</v>
      </c>
      <c r="C9300" s="5" t="str">
        <f>IFERROR(__xludf.DUMMYFUNCTION("GOOGLETRANSLATE(B9300,""en"",""it"")"),"L'altra donna prepara la sua spinta e la manda a un uomo in piedi dall'altra parte.")</f>
        <v>L'altra donna prepara la sua spinta e la manda a un uomo in piedi dall'altra parte.</v>
      </c>
    </row>
    <row r="9301">
      <c r="A9301" s="4" t="s">
        <v>11703</v>
      </c>
      <c r="B9301" s="4" t="s">
        <v>11706</v>
      </c>
      <c r="C9301" s="5" t="str">
        <f>IFERROR(__xludf.DUMMYFUNCTION("GOOGLETRANSLATE(B9301,""en"",""it"")"),"Spingono il disco più volte mentre la telecamera segue i loro movimenti.")</f>
        <v>Spingono il disco più volte mentre la telecamera segue i loro movimenti.</v>
      </c>
    </row>
    <row r="9302">
      <c r="A9302" s="4" t="s">
        <v>11707</v>
      </c>
      <c r="B9302" s="6" t="s">
        <v>11708</v>
      </c>
      <c r="C9302" s="5" t="str">
        <f>IFERROR(__xludf.DUMMYFUNCTION("GOOGLETRANSLATE(B9302,""en"",""it"")"),"Una persona con una maschera bianca e un foglio sopra la testa cammina indietro dalla telecamera e afferra una zucca.")</f>
        <v>Una persona con una maschera bianca e un foglio sopra la testa cammina indietro dalla telecamera e afferra una zucca.</v>
      </c>
    </row>
    <row r="9303">
      <c r="A9303" s="4" t="s">
        <v>11707</v>
      </c>
      <c r="B9303" s="4" t="s">
        <v>11709</v>
      </c>
      <c r="C9303" s="5" t="str">
        <f>IFERROR(__xludf.DUMMYFUNCTION("GOOGLETRANSLATE(B9303,""en"",""it"")"),"Il Min inizia quindi a scolpire la zucca ed elimina la zucca.")</f>
        <v>Il Min inizia quindi a scolpire la zucca ed elimina la zucca.</v>
      </c>
    </row>
    <row r="9304">
      <c r="A9304" s="4" t="s">
        <v>11707</v>
      </c>
      <c r="B9304" s="4" t="s">
        <v>11710</v>
      </c>
      <c r="C9304" s="5" t="str">
        <f>IFERROR(__xludf.DUMMYFUNCTION("GOOGLETRANSLATE(B9304,""en"",""it"")"),"Quando sono tutti puliti e portati fuori e messi nel forno mentre l'uomo beve un sorso di alcol.")</f>
        <v>Quando sono tutti puliti e portati fuori e messi nel forno mentre l'uomo beve un sorso di alcol.</v>
      </c>
    </row>
    <row r="9305">
      <c r="A9305" s="4" t="s">
        <v>11711</v>
      </c>
      <c r="B9305" s="4" t="s">
        <v>11712</v>
      </c>
      <c r="C9305" s="5" t="str">
        <f>IFERROR(__xludf.DUMMYFUNCTION("GOOGLETRANSLATE(B9305,""en"",""it"")"),"Questo è un documentario sulla guida a cavallo.")</f>
        <v>Questo è un documentario sulla guida a cavallo.</v>
      </c>
    </row>
    <row r="9306">
      <c r="A9306" s="4" t="s">
        <v>11711</v>
      </c>
      <c r="B9306" s="4" t="s">
        <v>11713</v>
      </c>
      <c r="C9306" s="5" t="str">
        <f>IFERROR(__xludf.DUMMYFUNCTION("GOOGLETRANSLATE(B9306,""en"",""it"")"),"Spiegano il potere, il brivido, il divertimento, la grazia, il volo, gli amici, la libertà e l'amore per l'equitazione.")</f>
        <v>Spiegano il potere, il brivido, il divertimento, la grazia, il volo, gli amici, la libertà e l'amore per l'equitazione.</v>
      </c>
    </row>
    <row r="9307">
      <c r="A9307" s="4" t="s">
        <v>11711</v>
      </c>
      <c r="B9307" s="6" t="s">
        <v>11714</v>
      </c>
      <c r="C9307" s="5" t="str">
        <f>IFERROR(__xludf.DUMMYFUNCTION("GOOGLETRANSLATE(B9307,""en"",""it"")"),"Quindi mostrano le difficoltà di addestrare i cavalli, i pericoli di cavalcarli e il rovescio della competizione.")</f>
        <v>Quindi mostrano le difficoltà di addestrare i cavalli, i pericoli di cavalcarli e il rovescio della competizione.</v>
      </c>
    </row>
    <row r="9308">
      <c r="A9308" s="4" t="s">
        <v>11711</v>
      </c>
      <c r="B9308" s="4" t="s">
        <v>11715</v>
      </c>
      <c r="C9308" s="5" t="str">
        <f>IFERROR(__xludf.DUMMYFUNCTION("GOOGLETRANSLATE(B9308,""en"",""it"")"),"Quindi mostrano i punti salienti della guida competitiva.")</f>
        <v>Quindi mostrano i punti salienti della guida competitiva.</v>
      </c>
    </row>
    <row r="9309">
      <c r="A9309" s="4" t="s">
        <v>11716</v>
      </c>
      <c r="B9309" s="4" t="s">
        <v>11717</v>
      </c>
      <c r="C9309" s="5" t="str">
        <f>IFERROR(__xludf.DUMMYFUNCTION("GOOGLETRANSLATE(B9309,""en"",""it"")"),"Un bambino piccolo viene visto in piedi davanti a un set di barre di scimmia.")</f>
        <v>Un bambino piccolo viene visto in piedi davanti a un set di barre di scimmia.</v>
      </c>
    </row>
    <row r="9310">
      <c r="A9310" s="4" t="s">
        <v>11716</v>
      </c>
      <c r="B9310" s="4" t="s">
        <v>11718</v>
      </c>
      <c r="C9310" s="5" t="str">
        <f>IFERROR(__xludf.DUMMYFUNCTION("GOOGLETRANSLATE(B9310,""en"",""it"")"),"Il ragazzo si spinge quindi attraverso le barre delle scimmie.")</f>
        <v>Il ragazzo si spinge quindi attraverso le barre delle scimmie.</v>
      </c>
    </row>
    <row r="9311">
      <c r="A9311" s="4" t="s">
        <v>11716</v>
      </c>
      <c r="B9311" s="4" t="s">
        <v>11719</v>
      </c>
      <c r="C9311" s="5" t="str">
        <f>IFERROR(__xludf.DUMMYFUNCTION("GOOGLETRANSLATE(B9311,""en"",""it"")"),"Salta giù alla fine e inizia a camminare attraverso un ponte.")</f>
        <v>Salta giù alla fine e inizia a camminare attraverso un ponte.</v>
      </c>
    </row>
    <row r="9312">
      <c r="A9312" s="4" t="s">
        <v>11720</v>
      </c>
      <c r="B9312" s="4" t="s">
        <v>11721</v>
      </c>
      <c r="C9312" s="5" t="str">
        <f>IFERROR(__xludf.DUMMYFUNCTION("GOOGLETRANSLATE(B9312,""en"",""it"")"),"Una giovane donna viene vista parlare alla telecamera mentre si tiene su un bastone da hockey in campo.")</f>
        <v>Una giovane donna viene vista parlare alla telecamera mentre si tiene su un bastone da hockey in campo.</v>
      </c>
    </row>
    <row r="9313">
      <c r="A9313" s="4" t="s">
        <v>11720</v>
      </c>
      <c r="B9313" s="4" t="s">
        <v>11722</v>
      </c>
      <c r="C9313" s="5" t="str">
        <f>IFERROR(__xludf.DUMMYFUNCTION("GOOGLETRANSLATE(B9313,""en"",""it"")"),"La ragazza colpisce quindi la palla intorno al cortile mentre la telecamera segue.")</f>
        <v>La ragazza colpisce quindi la palla intorno al cortile mentre la telecamera segue.</v>
      </c>
    </row>
    <row r="9314">
      <c r="A9314" s="4" t="s">
        <v>11720</v>
      </c>
      <c r="B9314" s="4" t="s">
        <v>11723</v>
      </c>
      <c r="C9314" s="5" t="str">
        <f>IFERROR(__xludf.DUMMYFUNCTION("GOOGLETRANSLATE(B9314,""en"",""it"")"),"Continua a colpire la palla e si ferma a guardare la telecamera.")</f>
        <v>Continua a colpire la palla e si ferma a guardare la telecamera.</v>
      </c>
    </row>
    <row r="9315">
      <c r="A9315" s="4" t="s">
        <v>11724</v>
      </c>
      <c r="B9315" s="4" t="s">
        <v>11725</v>
      </c>
      <c r="C9315" s="5" t="str">
        <f>IFERROR(__xludf.DUMMYFUNCTION("GOOGLETRANSLATE(B9315,""en"",""it"")"),"Una pinata è appesa a un albero e una donna porta una ragazza con un bastone.")</f>
        <v>Una pinata è appesa a un albero e una donna porta una ragazza con un bastone.</v>
      </c>
    </row>
    <row r="9316">
      <c r="A9316" s="4" t="s">
        <v>11724</v>
      </c>
      <c r="B9316" s="4" t="s">
        <v>11726</v>
      </c>
      <c r="C9316" s="5" t="str">
        <f>IFERROR(__xludf.DUMMYFUNCTION("GOOGLETRANSLATE(B9316,""en"",""it"")"),"La aiuta a colpire la Pinata più volte.")</f>
        <v>La aiuta a colpire la Pinata più volte.</v>
      </c>
    </row>
    <row r="9317">
      <c r="A9317" s="4" t="s">
        <v>11727</v>
      </c>
      <c r="B9317" s="4" t="s">
        <v>11728</v>
      </c>
      <c r="C9317" s="5" t="str">
        <f>IFERROR(__xludf.DUMMYFUNCTION("GOOGLETRANSLATE(B9317,""en"",""it"")"),"Viene visualizzata una schermata introduttiva che include un logo e le parole ""Espert Village Presents"".")</f>
        <v>Viene visualizzata una schermata introduttiva che include un logo e le parole "Espert Village Presents".</v>
      </c>
    </row>
    <row r="9318">
      <c r="A9318" s="4" t="s">
        <v>11727</v>
      </c>
      <c r="B9318" s="4" t="s">
        <v>11729</v>
      </c>
      <c r="C9318" s="5" t="str">
        <f>IFERROR(__xludf.DUMMYFUNCTION("GOOGLETRANSLATE(B9318,""en"",""it"")"),"Una donna ora è seduta e parla mentre tiene in mano un clarinetto.")</f>
        <v>Una donna ora è seduta e parla mentre tiene in mano un clarinetto.</v>
      </c>
    </row>
    <row r="9319">
      <c r="A9319" s="4" t="s">
        <v>11727</v>
      </c>
      <c r="B9319" s="4" t="s">
        <v>11730</v>
      </c>
      <c r="C9319" s="5" t="str">
        <f>IFERROR(__xludf.DUMMYFUNCTION("GOOGLETRANSLATE(B9319,""en"",""it"")"),"La donna quindi si mette il clarinetto in bocca e inizia a suonare per alcuni secondi.")</f>
        <v>La donna quindi si mette il clarinetto in bocca e inizia a suonare per alcuni secondi.</v>
      </c>
    </row>
    <row r="9320">
      <c r="A9320" s="4" t="s">
        <v>11727</v>
      </c>
      <c r="B9320" s="6" t="s">
        <v>11731</v>
      </c>
      <c r="C9320" s="5" t="str">
        <f>IFERROR(__xludf.DUMMYFUNCTION("GOOGLETRANSLATE(B9320,""en"",""it"")"),"La donna smette di giocare e riprende a parlare e usare un sacco di motioning a mano, quindi riprende a giocare.")</f>
        <v>La donna smette di giocare e riprende a parlare e usare un sacco di motioning a mano, quindi riprende a giocare.</v>
      </c>
    </row>
    <row r="9321">
      <c r="A9321" s="4" t="s">
        <v>11727</v>
      </c>
      <c r="B9321" s="6" t="s">
        <v>11732</v>
      </c>
      <c r="C9321" s="5" t="str">
        <f>IFERROR(__xludf.DUMMYFUNCTION("GOOGLETRANSLATE(B9321,""en"",""it"")"),"La donna smette ancora una volta a giocare e inizia a parlare mentre usa le mani e le tiene davanti al viso e ecc.")</f>
        <v>La donna smette ancora una volta a giocare e inizia a parlare mentre usa le mani e le tiene davanti al viso e ecc.</v>
      </c>
    </row>
    <row r="9322">
      <c r="A9322" s="4" t="s">
        <v>11727</v>
      </c>
      <c r="B9322" s="6" t="s">
        <v>11733</v>
      </c>
      <c r="C9322" s="5" t="str">
        <f>IFERROR(__xludf.DUMMYFUNCTION("GOOGLETRANSLATE(B9322,""en"",""it"")"),"La donna inizia a suonare ancora una volta fino a quando non viene visualizzato lo schermo bianco e include un logo e informazioni per: copyright, diritti e sito Web.")</f>
        <v>La donna inizia a suonare ancora una volta fino a quando non viene visualizzato lo schermo bianco e include un logo e informazioni per: copyright, diritti e sito Web.</v>
      </c>
    </row>
    <row r="9323">
      <c r="A9323" s="4" t="s">
        <v>11734</v>
      </c>
      <c r="B9323" s="4" t="s">
        <v>11735</v>
      </c>
      <c r="C9323" s="5" t="str">
        <f>IFERROR(__xludf.DUMMYFUNCTION("GOOGLETRANSLATE(B9323,""en"",""it"")"),"Un gruppo di sei si trova su una piccola barca seduta in attesa che il fischio soffia.")</f>
        <v>Un gruppo di sei si trova su una piccola barca seduta in attesa che il fischio soffia.</v>
      </c>
    </row>
    <row r="9324">
      <c r="A9324" s="4" t="s">
        <v>11734</v>
      </c>
      <c r="B9324" s="4" t="s">
        <v>11736</v>
      </c>
      <c r="C9324" s="5" t="str">
        <f>IFERROR(__xludf.DUMMYFUNCTION("GOOGLETRANSLATE(B9324,""en"",""it"")"),"Una volta che è soffiato, iniziano a remare il più rapidamente possibile, lavorando molto bene insieme.")</f>
        <v>Una volta che è soffiato, iniziano a remare il più rapidamente possibile, lavorando molto bene insieme.</v>
      </c>
    </row>
    <row r="9325">
      <c r="A9325" s="4" t="s">
        <v>11734</v>
      </c>
      <c r="B9325" s="6" t="s">
        <v>11737</v>
      </c>
      <c r="C9325" s="5" t="str">
        <f>IFERROR(__xludf.DUMMYFUNCTION("GOOGLETRANSLATE(B9325,""en"",""it"")"),"Hanno quasi colpito un muro di rocce ma sono in grado di girare nel tempo non e sono in grado di continuare sul percorso.")</f>
        <v>Hanno quasi colpito un muro di rocce ma sono in grado di girare nel tempo non e sono in grado di continuare sul percorso.</v>
      </c>
    </row>
    <row r="9326">
      <c r="A9326" s="4" t="s">
        <v>11734</v>
      </c>
      <c r="B9326" s="6" t="s">
        <v>11738</v>
      </c>
      <c r="C9326" s="5" t="str">
        <f>IFERROR(__xludf.DUMMYFUNCTION("GOOGLETRANSLATE(B9326,""en"",""it"")"),"Waves, riprende e poi colpiscono un diverso muro di roccia, dove si girano per tornare indietro.")</f>
        <v>Waves, riprende e poi colpiscono un diverso muro di roccia, dove si girano per tornare indietro.</v>
      </c>
    </row>
    <row r="9327">
      <c r="A9327" s="4" t="s">
        <v>11739</v>
      </c>
      <c r="B9327" s="4" t="s">
        <v>11740</v>
      </c>
      <c r="C9327" s="5" t="str">
        <f>IFERROR(__xludf.DUMMYFUNCTION("GOOGLETRANSLATE(B9327,""en"",""it"")"),"Un uomo con maniche lunghe grigie parla in una fase di Ultimate Guinness World Records.")</f>
        <v>Un uomo con maniche lunghe grigie parla in una fase di Ultimate Guinness World Records.</v>
      </c>
    </row>
    <row r="9328">
      <c r="A9328" s="4" t="s">
        <v>11739</v>
      </c>
      <c r="B9328" s="4" t="s">
        <v>11741</v>
      </c>
      <c r="C9328" s="5" t="str">
        <f>IFERROR(__xludf.DUMMYFUNCTION("GOOGLETRANSLATE(B9328,""en"",""it"")"),"Un giovane tennista da tavolo è in piedi davanti al tavolo con gli spettatori dietro di lei.")</f>
        <v>Un giovane tennista da tavolo è in piedi davanti al tavolo con gli spettatori dietro di lei.</v>
      </c>
    </row>
    <row r="9329">
      <c r="A9329" s="4" t="s">
        <v>11739</v>
      </c>
      <c r="B9329" s="4" t="s">
        <v>11742</v>
      </c>
      <c r="C9329" s="5" t="str">
        <f>IFERROR(__xludf.DUMMYFUNCTION("GOOGLETRANSLATE(B9329,""en"",""it"")"),"Due giocatori giocano a tennis da tavolo e continuano a giocare per un minuto e registrano 173 colpi.")</f>
        <v>Due giocatori giocano a tennis da tavolo e continuano a giocare per un minuto e registrano 173 colpi.</v>
      </c>
    </row>
    <row r="9330">
      <c r="A9330" s="4" t="s">
        <v>11739</v>
      </c>
      <c r="B9330" s="6" t="s">
        <v>11743</v>
      </c>
      <c r="C9330" s="5" t="str">
        <f>IFERROR(__xludf.DUMMYFUNCTION("GOOGLETRANSLATE(B9330,""en"",""it"")"),"Il gioco viene recensito e il giovane giocatore è stato introdotto come Ai Fukuhara, con un record di colpi di contatore per il tennis da tavolo.")</f>
        <v>Il gioco viene recensito e il giovane giocatore è stato introdotto come Ai Fukuhara, con un record di colpi di contatore per il tennis da tavolo.</v>
      </c>
    </row>
    <row r="9331">
      <c r="A9331" s="4" t="s">
        <v>11739</v>
      </c>
      <c r="B9331" s="4" t="s">
        <v>11744</v>
      </c>
      <c r="C9331" s="5" t="str">
        <f>IFERROR(__xludf.DUMMYFUNCTION("GOOGLETRANSLATE(B9331,""en"",""it"")"),"L'uomo nel palcoscenico parla di nuovo mentre cammina sul palco.")</f>
        <v>L'uomo nel palcoscenico parla di nuovo mentre cammina sul palco.</v>
      </c>
    </row>
    <row r="9332">
      <c r="A9332" s="4" t="s">
        <v>11745</v>
      </c>
      <c r="B9332" s="4" t="s">
        <v>11746</v>
      </c>
      <c r="C9332" s="5" t="str">
        <f>IFERROR(__xludf.DUMMYFUNCTION("GOOGLETRANSLATE(B9332,""en"",""it"")"),"Una donna si sta trattenendo su una tavola da surf in acqua.")</f>
        <v>Una donna si sta trattenendo su una tavola da surf in acqua.</v>
      </c>
    </row>
    <row r="9333">
      <c r="A9333" s="4" t="s">
        <v>11745</v>
      </c>
      <c r="B9333" s="4" t="s">
        <v>11747</v>
      </c>
      <c r="C9333" s="5" t="str">
        <f>IFERROR(__xludf.DUMMYFUNCTION("GOOGLETRANSLATE(B9333,""en"",""it"")"),"Si avvicina alla tavola e inizia a surf sul vento.")</f>
        <v>Si avvicina alla tavola e inizia a surf sul vento.</v>
      </c>
    </row>
    <row r="9334">
      <c r="A9334" s="4" t="s">
        <v>11745</v>
      </c>
      <c r="B9334" s="4" t="s">
        <v>11748</v>
      </c>
      <c r="C9334" s="5" t="str">
        <f>IFERROR(__xludf.DUMMYFUNCTION("GOOGLETRANSLATE(B9334,""en"",""it"")"),"Si tiene sull'aquilone del surf del vento.")</f>
        <v>Si tiene sull'aquilone del surf del vento.</v>
      </c>
    </row>
    <row r="9335">
      <c r="A9335" s="4" t="s">
        <v>11749</v>
      </c>
      <c r="B9335" s="6" t="s">
        <v>11750</v>
      </c>
      <c r="C9335" s="5" t="str">
        <f>IFERROR(__xludf.DUMMYFUNCTION("GOOGLETRANSLATE(B9335,""en"",""it"")"),"Un folto gruppo di persone viene mostrato eseguendo una routine di danza insieme a una donna che guida davanti.")</f>
        <v>Un folto gruppo di persone viene mostrato eseguendo una routine di danza insieme a una donna che guida davanti.</v>
      </c>
    </row>
    <row r="9336">
      <c r="A9336" s="4" t="s">
        <v>11749</v>
      </c>
      <c r="B9336" s="6" t="s">
        <v>11751</v>
      </c>
      <c r="C9336" s="5" t="str">
        <f>IFERROR(__xludf.DUMMYFUNCTION("GOOGLETRANSLATE(B9336,""en"",""it"")"),"Le persone continuano a muovere le braccia e le gambe insieme per spostare i loro corpi e ottenere esercizio.")</f>
        <v>Le persone continuano a muovere le braccia e le gambe insieme per spostare i loro corpi e ottenere esercizio.</v>
      </c>
    </row>
    <row r="9337">
      <c r="A9337" s="4" t="s">
        <v>11752</v>
      </c>
      <c r="B9337" s="4" t="s">
        <v>11753</v>
      </c>
      <c r="C9337" s="5" t="str">
        <f>IFERROR(__xludf.DUMMYFUNCTION("GOOGLETRANSLATE(B9337,""en"",""it"")"),"Un uomo parla al pubblico mentre è seduto sul palco prima di un'esibizione.")</f>
        <v>Un uomo parla al pubblico mentre è seduto sul palco prima di un'esibizione.</v>
      </c>
    </row>
    <row r="9338">
      <c r="A9338" s="4" t="s">
        <v>11752</v>
      </c>
      <c r="B9338" s="4" t="s">
        <v>11754</v>
      </c>
      <c r="C9338" s="5" t="str">
        <f>IFERROR(__xludf.DUMMYFUNCTION("GOOGLETRANSLATE(B9338,""en"",""it"")"),"Un uomo suona le chiavi di una fisarmonica mentre si apre e chiude la scatola dell'aria.")</f>
        <v>Un uomo suona le chiavi di una fisarmonica mentre si apre e chiude la scatola dell'aria.</v>
      </c>
    </row>
    <row r="9339">
      <c r="A9339" s="4" t="s">
        <v>11752</v>
      </c>
      <c r="B9339" s="4" t="s">
        <v>11755</v>
      </c>
      <c r="C9339" s="5" t="str">
        <f>IFERROR(__xludf.DUMMYFUNCTION("GOOGLETRANSLATE(B9339,""en"",""it"")"),"L'uomo canta alcuni versi ad alta voce per l'eccitazione.")</f>
        <v>L'uomo canta alcuni versi ad alta voce per l'eccitazione.</v>
      </c>
    </row>
    <row r="9340">
      <c r="A9340" s="4" t="s">
        <v>11752</v>
      </c>
      <c r="B9340" s="4" t="s">
        <v>11756</v>
      </c>
      <c r="C9340" s="5" t="str">
        <f>IFERROR(__xludf.DUMMYFUNCTION("GOOGLETRANSLATE(B9340,""en"",""it"")"),"L'uomo finisce la canzone e raccoglie i suoi appunti dal podio.")</f>
        <v>L'uomo finisce la canzone e raccoglie i suoi appunti dal podio.</v>
      </c>
    </row>
    <row r="9341">
      <c r="A9341" s="4" t="s">
        <v>11757</v>
      </c>
      <c r="B9341" s="4" t="s">
        <v>11758</v>
      </c>
      <c r="C9341" s="5" t="str">
        <f>IFERROR(__xludf.DUMMYFUNCTION("GOOGLETRANSLATE(B9341,""en"",""it"")"),"C'è una squadra di giocatori che giocano a lanciare in un campo all'aperto.")</f>
        <v>C'è una squadra di giocatori che giocano a lanciare in un campo all'aperto.</v>
      </c>
    </row>
    <row r="9342">
      <c r="A9342" s="4" t="s">
        <v>11757</v>
      </c>
      <c r="B9342" s="4" t="s">
        <v>11759</v>
      </c>
      <c r="C9342" s="5" t="str">
        <f>IFERROR(__xludf.DUMMYFUNCTION("GOOGLETRANSLATE(B9342,""en"",""it"")"),"Una persona di nome Donal Cusack spiega cosa è il lancio e cosa comprende.")</f>
        <v>Una persona di nome Donal Cusack spiega cosa è il lancio e cosa comprende.</v>
      </c>
    </row>
    <row r="9343">
      <c r="A9343" s="4" t="s">
        <v>11757</v>
      </c>
      <c r="B9343" s="6" t="s">
        <v>11760</v>
      </c>
      <c r="C9343" s="5" t="str">
        <f>IFERROR(__xludf.DUMMYFUNCTION("GOOGLETRANSLATE(B9343,""en"",""it"")"),"I giocatori della squadra stanno giocando a lanciare con i loro pipistrelli mentre cercano di colpire la palla in porta.")</f>
        <v>I giocatori della squadra stanno giocando a lanciare con i loro pipistrelli mentre cercano di colpire la palla in porta.</v>
      </c>
    </row>
    <row r="9344">
      <c r="A9344" s="4" t="s">
        <v>11761</v>
      </c>
      <c r="B9344" s="6" t="s">
        <v>11762</v>
      </c>
      <c r="C9344" s="5" t="str">
        <f>IFERROR(__xludf.DUMMYFUNCTION("GOOGLETRANSLATE(B9344,""en"",""it"")"),"Una signora in giacca nera si posa per la telecamera, quindi viene mostrato un uomo con i capelli di media lunghezza, l'uomo ha toccato i capelli per controllarli, quindi la ragazza si è asciugato i capelli.")</f>
        <v>Una signora in giacca nera si posa per la telecamera, quindi viene mostrato un uomo con i capelli di media lunghezza, l'uomo ha toccato i capelli per controllarli, quindi la ragazza si è asciugato i capelli.</v>
      </c>
    </row>
    <row r="9345">
      <c r="A9345" s="4" t="s">
        <v>11761</v>
      </c>
      <c r="B9345" s="6" t="s">
        <v>11763</v>
      </c>
      <c r="C9345" s="5" t="str">
        <f>IFERROR(__xludf.DUMMYFUNCTION("GOOGLETRANSLATE(B9345,""en"",""it"")"),"La signora si sedette al centro dello studio con i capelli bagnati, le mise una crema bianca sulla mano, quindi se la strofina sui capelli.")</f>
        <v>La signora si sedette al centro dello studio con i capelli bagnati, le mise una crema bianca sulla mano, quindi se la strofina sui capelli.</v>
      </c>
    </row>
    <row r="9346">
      <c r="A9346" s="4" t="s">
        <v>11761</v>
      </c>
      <c r="B9346" s="6" t="s">
        <v>11764</v>
      </c>
      <c r="C9346" s="5" t="str">
        <f>IFERROR(__xludf.DUMMYFUNCTION("GOOGLETRANSLATE(B9346,""en"",""it"")"),"La ragazza si asciugò i capelli con soffiatore bianco, si sedette i capelli, si sfiorò i capelli con la spazzola a rullo mentre si asciugò allo stesso tempo, rotolava il pennello verso il basso e verso l'alto.")</f>
        <v>La ragazza si asciugò i capelli con soffiatore bianco, si sedette i capelli, si sfiorò i capelli con la spazzola a rullo mentre si asciugò allo stesso tempo, rotolava il pennello verso il basso e verso l'alto.</v>
      </c>
    </row>
    <row r="9347">
      <c r="A9347" s="4" t="s">
        <v>11761</v>
      </c>
      <c r="B9347" s="4" t="s">
        <v>11765</v>
      </c>
      <c r="C9347" s="5" t="str">
        <f>IFERROR(__xludf.DUMMYFUNCTION("GOOGLETRANSLATE(B9347,""en"",""it"")"),"Ha disegnato i capelli spazzolando e pettinandoli per dare più volume.")</f>
        <v>Ha disegnato i capelli spazzolando e pettinandoli per dare più volume.</v>
      </c>
    </row>
    <row r="9348">
      <c r="A9348" s="4" t="s">
        <v>11766</v>
      </c>
      <c r="B9348" s="4" t="s">
        <v>11767</v>
      </c>
      <c r="C9348" s="5" t="str">
        <f>IFERROR(__xludf.DUMMYFUNCTION("GOOGLETRANSLATE(B9348,""en"",""it"")"),"Diverse persone sono viste sedute in tubi in cima a una collina.")</f>
        <v>Diverse persone sono viste sedute in tubi in cima a una collina.</v>
      </c>
    </row>
    <row r="9349">
      <c r="A9349" s="4" t="s">
        <v>11766</v>
      </c>
      <c r="B9349" s="4" t="s">
        <v>11768</v>
      </c>
      <c r="C9349" s="5" t="str">
        <f>IFERROR(__xludf.DUMMYFUNCTION("GOOGLETRANSLATE(B9349,""en"",""it"")"),"Gli uomini si parlano mentre uno si arrampica.")</f>
        <v>Gli uomini si parlano mentre uno si arrampica.</v>
      </c>
    </row>
    <row r="9350">
      <c r="A9350" s="4" t="s">
        <v>11766</v>
      </c>
      <c r="B9350" s="6" t="s">
        <v>11769</v>
      </c>
      <c r="C9350" s="5" t="str">
        <f>IFERROR(__xludf.DUMMYFUNCTION("GOOGLETRANSLATE(B9350,""en"",""it"")"),"Gli uomini finalmente scendono lungo la collina insieme mentre uscivano alla fine e ridono l'uno con l'altro.")</f>
        <v>Gli uomini finalmente scendono lungo la collina insieme mentre uscivano alla fine e ridono l'uno con l'altro.</v>
      </c>
    </row>
    <row r="9351">
      <c r="A9351" s="4" t="s">
        <v>11770</v>
      </c>
      <c r="B9351" s="6" t="s">
        <v>11771</v>
      </c>
      <c r="C9351" s="5" t="str">
        <f>IFERROR(__xludf.DUMMYFUNCTION("GOOGLETRANSLATE(B9351,""en"",""it"")"),"Un bambino maschio è seduto sul pavimento vicino a un bambino femminile e stanno giocando a palla da pavimento in miniatura.")</f>
        <v>Un bambino maschio è seduto sul pavimento vicino a un bambino femminile e stanno giocando a palla da pavimento in miniatura.</v>
      </c>
    </row>
    <row r="9352">
      <c r="A9352" s="4" t="s">
        <v>11770</v>
      </c>
      <c r="B9352" s="4" t="s">
        <v>11772</v>
      </c>
      <c r="C9352" s="5" t="str">
        <f>IFERROR(__xludf.DUMMYFUNCTION("GOOGLETRANSLATE(B9352,""en"",""it"")"),"Il giovane maschio prende la mano e raggiunge dentro per afferrare il pallone da calcio.")</f>
        <v>Il giovane maschio prende la mano e raggiunge dentro per afferrare il pallone da calcio.</v>
      </c>
    </row>
    <row r="9353">
      <c r="A9353" s="4" t="s">
        <v>11770</v>
      </c>
      <c r="B9353" s="4" t="s">
        <v>11773</v>
      </c>
      <c r="C9353" s="5" t="str">
        <f>IFERROR(__xludf.DUMMYFUNCTION("GOOGLETRANSLATE(B9353,""en"",""it"")"),"Mentre continuano a suonare, appaiono un set di piedi e trattengono la fine del tabellone.")</f>
        <v>Mentre continuano a suonare, appaiono un set di piedi e trattengono la fine del tabellone.</v>
      </c>
    </row>
    <row r="9354">
      <c r="A9354" s="4" t="s">
        <v>11770</v>
      </c>
      <c r="B9354" s="6" t="s">
        <v>11774</v>
      </c>
      <c r="C9354" s="5" t="str">
        <f>IFERROR(__xludf.DUMMYFUNCTION("GOOGLETRANSLATE(B9354,""en"",""it"")"),"Una volta rimossi, i due bambini continuano a giocare e muovere le maniglie sui bar.")</f>
        <v>Una volta rimossi, i due bambini continuano a giocare e muovere le maniglie sui bar.</v>
      </c>
    </row>
    <row r="9355">
      <c r="A9355" s="4" t="s">
        <v>11770</v>
      </c>
      <c r="B9355" s="4" t="s">
        <v>11775</v>
      </c>
      <c r="C9355" s="5" t="str">
        <f>IFERROR(__xludf.DUMMYFUNCTION("GOOGLETRANSLATE(B9355,""en"",""it"")"),"La fotocamera quindi ingrandisce il ragazzo e poi la ragazza che esprime le loro emozioni.")</f>
        <v>La fotocamera quindi ingrandisce il ragazzo e poi la ragazza che esprime le loro emozioni.</v>
      </c>
    </row>
    <row r="9356">
      <c r="A9356" s="4" t="s">
        <v>11770</v>
      </c>
      <c r="B9356" s="4" t="s">
        <v>11776</v>
      </c>
      <c r="C9356" s="5" t="str">
        <f>IFERROR(__xludf.DUMMYFUNCTION("GOOGLETRANSLATE(B9356,""en"",""it"")"),"Ognuno di loro continua a giocare e regolare la posizione del corpo man mano che diventano più concentrati.")</f>
        <v>Ognuno di loro continua a giocare e regolare la posizione del corpo man mano che diventano più concentrati.</v>
      </c>
    </row>
    <row r="9357">
      <c r="A9357" s="4" t="s">
        <v>11770</v>
      </c>
      <c r="B9357" s="4" t="s">
        <v>11777</v>
      </c>
      <c r="C9357" s="5" t="str">
        <f>IFERROR(__xludf.DUMMYFUNCTION("GOOGLETRANSLATE(B9357,""en"",""it"")"),"Viene finalmente fatto un obiettivo e la ragazza va in porta e prende la palla.")</f>
        <v>Viene finalmente fatto un obiettivo e la ragazza va in porta e prende la palla.</v>
      </c>
    </row>
    <row r="9358">
      <c r="A9358" s="4" t="s">
        <v>11778</v>
      </c>
      <c r="B9358" s="4" t="s">
        <v>11779</v>
      </c>
      <c r="C9358" s="5" t="str">
        <f>IFERROR(__xludf.DUMMYFUNCTION("GOOGLETRANSLATE(B9358,""en"",""it"")"),"Un gruppo di surfisti è sulle loro onde di navigazione.")</f>
        <v>Un gruppo di surfisti è sulle loro onde di navigazione.</v>
      </c>
    </row>
    <row r="9359">
      <c r="A9359" s="4" t="s">
        <v>11778</v>
      </c>
      <c r="B9359" s="4" t="s">
        <v>11780</v>
      </c>
      <c r="C9359" s="5" t="str">
        <f>IFERROR(__xludf.DUMMYFUNCTION("GOOGLETRANSLATE(B9359,""en"",""it"")"),"Uno dei surfisti è inghiottito da una delle onde.")</f>
        <v>Uno dei surfisti è inghiottito da una delle onde.</v>
      </c>
    </row>
    <row r="9360">
      <c r="A9360" s="4" t="s">
        <v>11778</v>
      </c>
      <c r="B9360" s="4" t="s">
        <v>11781</v>
      </c>
      <c r="C9360" s="5" t="str">
        <f>IFERROR(__xludf.DUMMYFUNCTION("GOOGLETRANSLATE(B9360,""en"",""it"")"),"Due surfisti navigano vicini l'uno all'altro e vengono abbattuti da un'onda.")</f>
        <v>Due surfisti navigano vicini l'uno all'altro e vengono abbattuti da un'onda.</v>
      </c>
    </row>
    <row r="9361">
      <c r="A9361" s="4" t="s">
        <v>11778</v>
      </c>
      <c r="B9361" s="4" t="s">
        <v>11782</v>
      </c>
      <c r="C9361" s="5" t="str">
        <f>IFERROR(__xludf.DUMMYFUNCTION("GOOGLETRANSLATE(B9361,""en"",""it"")"),"Un surfista nuota casualmente quando un'onda si schianta dritto contro di lui.")</f>
        <v>Un surfista nuota casualmente quando un'onda si schianta dritto contro di lui.</v>
      </c>
    </row>
    <row r="9362">
      <c r="A9362" s="4" t="s">
        <v>11778</v>
      </c>
      <c r="B9362" s="4" t="s">
        <v>11783</v>
      </c>
      <c r="C9362" s="5" t="str">
        <f>IFERROR(__xludf.DUMMYFUNCTION("GOOGLETRANSLATE(B9362,""en"",""it"")"),"Un surfista tenta di navigare ma viene rapidamente gettato dalla sua tavola da un'onda.")</f>
        <v>Un surfista tenta di navigare ma viene rapidamente gettato dalla sua tavola da un'onda.</v>
      </c>
    </row>
    <row r="9363">
      <c r="A9363" s="4" t="s">
        <v>11784</v>
      </c>
      <c r="B9363" s="4" t="s">
        <v>11785</v>
      </c>
      <c r="C9363" s="5" t="str">
        <f>IFERROR(__xludf.DUMMYFUNCTION("GOOGLETRANSLATE(B9363,""en"",""it"")"),"Una bambina sta giocando con un asciugacapelli.")</f>
        <v>Una bambina sta giocando con un asciugacapelli.</v>
      </c>
    </row>
    <row r="9364">
      <c r="A9364" s="4" t="s">
        <v>11784</v>
      </c>
      <c r="B9364" s="4" t="s">
        <v>7820</v>
      </c>
      <c r="C9364" s="5" t="str">
        <f>IFERROR(__xludf.DUMMYFUNCTION("GOOGLETRANSLATE(B9364,""en"",""it"")"),"Si gira e sorride.")</f>
        <v>Si gira e sorride.</v>
      </c>
    </row>
    <row r="9365">
      <c r="A9365" s="4" t="s">
        <v>11784</v>
      </c>
      <c r="B9365" s="4" t="s">
        <v>11786</v>
      </c>
      <c r="C9365" s="5" t="str">
        <f>IFERROR(__xludf.DUMMYFUNCTION("GOOGLETRANSLATE(B9365,""en"",""it"")"),"Continua a giocare con l'asciugacapelli giocattolo e parlare.")</f>
        <v>Continua a giocare con l'asciugacapelli giocattolo e parlare.</v>
      </c>
    </row>
    <row r="9366">
      <c r="A9366" s="4" t="s">
        <v>11784</v>
      </c>
      <c r="B9366" s="4" t="s">
        <v>11787</v>
      </c>
      <c r="C9366" s="5" t="str">
        <f>IFERROR(__xludf.DUMMYFUNCTION("GOOGLETRANSLATE(B9366,""en"",""it"")"),"Prende un bigodino e lo mette sulla scrivania di fronte a lei.")</f>
        <v>Prende un bigodino e lo mette sulla scrivania di fronte a lei.</v>
      </c>
    </row>
    <row r="9367">
      <c r="A9367" s="4" t="s">
        <v>11788</v>
      </c>
      <c r="B9367" s="4" t="s">
        <v>11789</v>
      </c>
      <c r="C9367" s="5" t="str">
        <f>IFERROR(__xludf.DUMMYFUNCTION("GOOGLETRANSLATE(B9367,""en"",""it"")"),"Due persone sciano, tenendo una corda.")</f>
        <v>Due persone sciano, tenendo una corda.</v>
      </c>
    </row>
    <row r="9368">
      <c r="A9368" s="4" t="s">
        <v>11788</v>
      </c>
      <c r="B9368" s="4" t="s">
        <v>11790</v>
      </c>
      <c r="C9368" s="5" t="str">
        <f>IFERROR(__xludf.DUMMYFUNCTION("GOOGLETRANSLATE(B9368,""en"",""it"")"),"Le onde sono aperte nella loro cresta.")</f>
        <v>Le onde sono aperte nella loro cresta.</v>
      </c>
    </row>
    <row r="9369">
      <c r="A9369" s="4" t="s">
        <v>11788</v>
      </c>
      <c r="B9369" s="4" t="s">
        <v>11791</v>
      </c>
      <c r="C9369" s="5" t="str">
        <f>IFERROR(__xludf.DUMMYFUNCTION("GOOGLETRANSLATE(B9369,""en"",""it"")"),"Si muovono sotto un piccolo ponte.")</f>
        <v>Si muovono sotto un piccolo ponte.</v>
      </c>
    </row>
    <row r="9370">
      <c r="A9370" s="4" t="s">
        <v>11788</v>
      </c>
      <c r="B9370" s="4" t="s">
        <v>11792</v>
      </c>
      <c r="C9370" s="5" t="str">
        <f>IFERROR(__xludf.DUMMYFUNCTION("GOOGLETRANSLATE(B9370,""en"",""it"")"),"Il ragazzo in verde si piega.")</f>
        <v>Il ragazzo in verde si piega.</v>
      </c>
    </row>
    <row r="9371">
      <c r="A9371" s="4" t="s">
        <v>11788</v>
      </c>
      <c r="B9371" s="4" t="s">
        <v>11793</v>
      </c>
      <c r="C9371" s="5" t="str">
        <f>IFERROR(__xludf.DUMMYFUNCTION("GOOGLETRANSLATE(B9371,""en"",""it"")"),"Il ragazzo in verde zoom di lato.")</f>
        <v>Il ragazzo in verde zoom di lato.</v>
      </c>
    </row>
    <row r="9372">
      <c r="A9372" s="4" t="s">
        <v>11788</v>
      </c>
      <c r="B9372" s="4" t="s">
        <v>11794</v>
      </c>
      <c r="C9372" s="5" t="str">
        <f>IFERROR(__xludf.DUMMYFUNCTION("GOOGLETRANSLATE(B9372,""en"",""it"")"),"Il ragazzo si sposta sul lato della barca e poi si lancia sopra il secondo sciatore.")</f>
        <v>Il ragazzo si sposta sul lato della barca e poi si lancia sopra il secondo sciatore.</v>
      </c>
    </row>
    <row r="9373">
      <c r="A9373" s="4" t="s">
        <v>11788</v>
      </c>
      <c r="B9373" s="4" t="s">
        <v>11795</v>
      </c>
      <c r="C9373" s="5" t="str">
        <f>IFERROR(__xludf.DUMMYFUNCTION("GOOGLETRANSLATE(B9373,""en"",""it"")"),"Il ragazzo si appoggia sulla sua tavola e torna indietro sull'altro sciatore.")</f>
        <v>Il ragazzo si appoggia sulla sua tavola e torna indietro sull'altro sciatore.</v>
      </c>
    </row>
    <row r="9374">
      <c r="A9374" s="4" t="s">
        <v>11788</v>
      </c>
      <c r="B9374" s="4" t="s">
        <v>11796</v>
      </c>
      <c r="C9374" s="5" t="str">
        <f>IFERROR(__xludf.DUMMYFUNCTION("GOOGLETRANSLATE(B9374,""en"",""it"")"),"Il ragazzo in verde oscilla di nuovo e gira sullo sciatore dandogli un alto cinque.")</f>
        <v>Il ragazzo in verde oscilla di nuovo e gira sullo sciatore dandogli un alto cinque.</v>
      </c>
    </row>
    <row r="9375">
      <c r="A9375" s="4" t="s">
        <v>11788</v>
      </c>
      <c r="B9375" s="4" t="s">
        <v>11797</v>
      </c>
      <c r="C9375" s="5" t="str">
        <f>IFERROR(__xludf.DUMMYFUNCTION("GOOGLETRANSLATE(B9375,""en"",""it"")"),"I due sciatori hanno una conversazione durante la guida.")</f>
        <v>I due sciatori hanno una conversazione durante la guida.</v>
      </c>
    </row>
    <row r="9376">
      <c r="A9376" s="4" t="s">
        <v>11788</v>
      </c>
      <c r="B9376" s="4" t="s">
        <v>11798</v>
      </c>
      <c r="C9376" s="5" t="str">
        <f>IFERROR(__xludf.DUMMYFUNCTION("GOOGLETRANSLATE(B9376,""en"",""it"")"),"Entrambi gli sciatori oscillano e oscillano dall'altra parte della barca.")</f>
        <v>Entrambi gli sciatori oscillano e oscillano dall'altra parte della barca.</v>
      </c>
    </row>
    <row r="9377">
      <c r="A9377" s="4" t="s">
        <v>11788</v>
      </c>
      <c r="B9377" s="4" t="s">
        <v>11799</v>
      </c>
      <c r="C9377" s="5" t="str">
        <f>IFERROR(__xludf.DUMMYFUNCTION("GOOGLETRANSLATE(B9377,""en"",""it"")"),"I ragazzi continuano a salutare e parlare.")</f>
        <v>I ragazzi continuano a salutare e parlare.</v>
      </c>
    </row>
    <row r="9378">
      <c r="A9378" s="4" t="s">
        <v>11800</v>
      </c>
      <c r="B9378" s="4" t="s">
        <v>11801</v>
      </c>
      <c r="C9378" s="5" t="str">
        <f>IFERROR(__xludf.DUMMYFUNCTION("GOOGLETRANSLATE(B9378,""en"",""it"")"),"Una donna fa una danza con un hulahoop.")</f>
        <v>Una donna fa una danza con un hulahoop.</v>
      </c>
    </row>
    <row r="9379">
      <c r="A9379" s="4" t="s">
        <v>11800</v>
      </c>
      <c r="B9379" s="4" t="s">
        <v>11802</v>
      </c>
      <c r="C9379" s="5" t="str">
        <f>IFERROR(__xludf.DUMMYFUNCTION("GOOGLETRANSLATE(B9379,""en"",""it"")"),"Lo solleva, lo prende e balla intorno alla stanza.")</f>
        <v>Lo solleva, lo prende e balla intorno alla stanza.</v>
      </c>
    </row>
    <row r="9380">
      <c r="A9380" s="4" t="s">
        <v>11803</v>
      </c>
      <c r="B9380" s="4" t="s">
        <v>11804</v>
      </c>
      <c r="C9380" s="5" t="str">
        <f>IFERROR(__xludf.DUMMYFUNCTION("GOOGLETRANSLATE(B9380,""en"",""it"")"),"Un giovane mette il cemento al soffitto e persino con uno strumento piatto.")</f>
        <v>Un giovane mette il cemento al soffitto e persino con uno strumento piatto.</v>
      </c>
    </row>
    <row r="9381">
      <c r="A9381" s="4" t="s">
        <v>11803</v>
      </c>
      <c r="B9381" s="4" t="s">
        <v>11805</v>
      </c>
      <c r="C9381" s="5" t="str">
        <f>IFERROR(__xludf.DUMMYFUNCTION("GOOGLETRANSLATE(B9381,""en"",""it"")"),"L'uomo indossa palafitte in piedi.")</f>
        <v>L'uomo indossa palafitte in piedi.</v>
      </c>
    </row>
    <row r="9382">
      <c r="A9382" s="4" t="s">
        <v>11803</v>
      </c>
      <c r="B9382" s="4" t="s">
        <v>11806</v>
      </c>
      <c r="C9382" s="5" t="str">
        <f>IFERROR(__xludf.DUMMYFUNCTION("GOOGLETRANSLATE(B9382,""en"",""it"")"),"L'uomo mette il cemento negli spazi vuoti e si tratti con lo strumento anche al soffitto.")</f>
        <v>L'uomo mette il cemento negli spazi vuoti e si tratti con lo strumento anche al soffitto.</v>
      </c>
    </row>
    <row r="9383">
      <c r="A9383" s="4" t="s">
        <v>11807</v>
      </c>
      <c r="B9383" s="4" t="s">
        <v>11808</v>
      </c>
      <c r="C9383" s="5" t="str">
        <f>IFERROR(__xludf.DUMMYFUNCTION("GOOGLETRANSLATE(B9383,""en"",""it"")"),"Dirt Bikes corre su una pista accidentata.")</f>
        <v>Dirt Bikes corre su una pista accidentata.</v>
      </c>
    </row>
    <row r="9384">
      <c r="A9384" s="4" t="s">
        <v>11807</v>
      </c>
      <c r="B9384" s="4" t="s">
        <v>11809</v>
      </c>
      <c r="C9384" s="5" t="str">
        <f>IFERROR(__xludf.DUMMYFUNCTION("GOOGLETRANSLATE(B9384,""en"",""it"")"),"Un pilota cade dalla sua bici e una bici finale lo colpisce e lo riporta a terra.")</f>
        <v>Un pilota cade dalla sua bici e una bici finale lo colpisce e lo riporta a terra.</v>
      </c>
    </row>
    <row r="9385">
      <c r="A9385" s="4" t="s">
        <v>11807</v>
      </c>
      <c r="B9385" s="6" t="s">
        <v>11810</v>
      </c>
      <c r="C9385" s="5" t="str">
        <f>IFERROR(__xludf.DUMMYFUNCTION("GOOGLETRANSLATE(B9385,""en"",""it"")"),"Le parole ""2014 Fim Motocross World Championship MXGP"" appaiono sullo schermo seguito da collegamenti sociali.")</f>
        <v>Le parole "2014 Fim Motocross World Championship MXGP" appaiono sullo schermo seguito da collegamenti sociali.</v>
      </c>
    </row>
    <row r="9386">
      <c r="A9386" s="4" t="s">
        <v>11811</v>
      </c>
      <c r="B9386" s="6" t="s">
        <v>11812</v>
      </c>
      <c r="C9386" s="5" t="str">
        <f>IFERROR(__xludf.DUMMYFUNCTION("GOOGLETRANSLATE(B9386,""en"",""it"")"),"Viene mostrata una vista di una piattaforma di immersione molto grande con altezze diverse e le persone intorno alla piscina stanno camminando.")</f>
        <v>Viene mostrata una vista di una piattaforma di immersione molto grande con altezze diverse e le persone intorno alla piscina stanno camminando.</v>
      </c>
    </row>
    <row r="9387">
      <c r="A9387" s="4" t="s">
        <v>11811</v>
      </c>
      <c r="B9387" s="4" t="s">
        <v>11813</v>
      </c>
      <c r="C9387" s="5" t="str">
        <f>IFERROR(__xludf.DUMMYFUNCTION("GOOGLETRANSLATE(B9387,""en"",""it"")"),"Una persona su una delle piattaforme si tuffa nel pool.")</f>
        <v>Una persona su una delle piattaforme si tuffa nel pool.</v>
      </c>
    </row>
    <row r="9388">
      <c r="A9388" s="4" t="s">
        <v>11811</v>
      </c>
      <c r="B9388" s="4" t="s">
        <v>11814</v>
      </c>
      <c r="C9388" s="5" t="str">
        <f>IFERROR(__xludf.DUMMYFUNCTION("GOOGLETRANSLATE(B9388,""en"",""it"")"),"Il subacqueo che colpisce la piscina provoca un piccolo tuffo.")</f>
        <v>Il subacqueo che colpisce la piscina provoca un piccolo tuffo.</v>
      </c>
    </row>
    <row r="9389">
      <c r="A9389" s="4" t="s">
        <v>11811</v>
      </c>
      <c r="B9389" s="4" t="s">
        <v>11815</v>
      </c>
      <c r="C9389" s="5" t="str">
        <f>IFERROR(__xludf.DUMMYFUNCTION("GOOGLETRANSLATE(B9389,""en"",""it"")"),"Il video quindi si blocca e non ci sono movimenti.")</f>
        <v>Il video quindi si blocca e non ci sono movimenti.</v>
      </c>
    </row>
    <row r="9390">
      <c r="A9390" s="4" t="s">
        <v>11816</v>
      </c>
      <c r="B9390" s="4" t="s">
        <v>11817</v>
      </c>
      <c r="C9390" s="5" t="str">
        <f>IFERROR(__xludf.DUMMYFUNCTION("GOOGLETRANSLATE(B9390,""en"",""it"")"),"Un'auto sta guidando lungo una strada con i passeggeri.")</f>
        <v>Un'auto sta guidando lungo una strada con i passeggeri.</v>
      </c>
    </row>
    <row r="9391">
      <c r="A9391" s="4" t="s">
        <v>11816</v>
      </c>
      <c r="B9391" s="4" t="s">
        <v>11818</v>
      </c>
      <c r="C9391" s="5" t="str">
        <f>IFERROR(__xludf.DUMMYFUNCTION("GOOGLETRANSLATE(B9391,""en"",""it"")"),"Gli uomini si radunano su un ponte, adorning attrezzature.")</f>
        <v>Gli uomini si radunano su un ponte, adorning attrezzature.</v>
      </c>
    </row>
    <row r="9392">
      <c r="A9392" s="4" t="s">
        <v>11816</v>
      </c>
      <c r="B9392" s="4" t="s">
        <v>11819</v>
      </c>
      <c r="C9392" s="5" t="str">
        <f>IFERROR(__xludf.DUMMYFUNCTION("GOOGLETRANSLATE(B9392,""en"",""it"")"),"Un uomo in costume da gorilla cammina lungo il ponte.")</f>
        <v>Un uomo in costume da gorilla cammina lungo il ponte.</v>
      </c>
    </row>
    <row r="9393">
      <c r="A9393" s="4" t="s">
        <v>11816</v>
      </c>
      <c r="B9393" s="4" t="s">
        <v>11820</v>
      </c>
      <c r="C9393" s="5" t="str">
        <f>IFERROR(__xludf.DUMMYFUNCTION("GOOGLETRANSLATE(B9393,""en"",""it"")"),"Gli uomini si alternano bungee saltando dal ponte.")</f>
        <v>Gli uomini si alternano bungee saltando dal ponte.</v>
      </c>
    </row>
    <row r="9394">
      <c r="A9394" s="4" t="s">
        <v>11816</v>
      </c>
      <c r="B9394" s="4" t="s">
        <v>11821</v>
      </c>
      <c r="C9394" s="5" t="str">
        <f>IFERROR(__xludf.DUMMYFUNCTION("GOOGLETRANSLATE(B9394,""en"",""it"")"),"Le persone salutano mentre scappano, quindi vengono mostrate in posa per un'immagine.")</f>
        <v>Le persone salutano mentre scappano, quindi vengono mostrate in posa per un'immagine.</v>
      </c>
    </row>
    <row r="9395">
      <c r="A9395" s="4" t="s">
        <v>11822</v>
      </c>
      <c r="B9395" s="4" t="s">
        <v>11823</v>
      </c>
      <c r="C9395" s="5" t="str">
        <f>IFERROR(__xludf.DUMMYFUNCTION("GOOGLETRANSLATE(B9395,""en"",""it"")"),"Una donna sta parlando ed è eccitata.")</f>
        <v>Una donna sta parlando ed è eccitata.</v>
      </c>
    </row>
    <row r="9396">
      <c r="A9396" s="4" t="s">
        <v>11822</v>
      </c>
      <c r="B9396" s="4" t="s">
        <v>11824</v>
      </c>
      <c r="C9396" s="5" t="str">
        <f>IFERROR(__xludf.DUMMYFUNCTION("GOOGLETRANSLATE(B9396,""en"",""it"")"),"Tira fuori un maglione rosa per ferro.")</f>
        <v>Tira fuori un maglione rosa per ferro.</v>
      </c>
    </row>
    <row r="9397">
      <c r="A9397" s="4" t="s">
        <v>11822</v>
      </c>
      <c r="B9397" s="4" t="s">
        <v>11825</v>
      </c>
      <c r="C9397" s="5" t="str">
        <f>IFERROR(__xludf.DUMMYFUNCTION("GOOGLETRANSLATE(B9397,""en"",""it"")"),"Lei fa irruzione nel maglione rosa.")</f>
        <v>Lei fa irruzione nel maglione rosa.</v>
      </c>
    </row>
    <row r="9398">
      <c r="A9398" s="4" t="s">
        <v>11826</v>
      </c>
      <c r="B9398" s="6" t="s">
        <v>11827</v>
      </c>
      <c r="C9398" s="5" t="str">
        <f>IFERROR(__xludf.DUMMYFUNCTION("GOOGLETRANSLATE(B9398,""en"",""it"")"),"Ci sono due giocatori che indossano una camicia rossa e bianca e l'altro che indossa una camicia in bianco e nero, giocando a una palla in un campo da interno con alcuni spettatori.")</f>
        <v>Ci sono due giocatori che indossano una camicia rossa e bianca e l'altro che indossa una camicia in bianco e nero, giocando a una palla in un campo da interno con alcuni spettatori.</v>
      </c>
    </row>
    <row r="9399">
      <c r="A9399" s="4" t="s">
        <v>11826</v>
      </c>
      <c r="B9399" s="6" t="s">
        <v>11828</v>
      </c>
      <c r="C9399" s="5" t="str">
        <f>IFERROR(__xludf.DUMMYFUNCTION("GOOGLETRANSLATE(B9399,""en"",""it"")"),"Il giocatore in rosso colpisce la palla con un'altalena anteriore e il suo avversario salta in avanti per restituire la palla.")</f>
        <v>Il giocatore in rosso colpisce la palla con un'altalena anteriore e il suo avversario salta in avanti per restituire la palla.</v>
      </c>
    </row>
    <row r="9400">
      <c r="A9400" s="4" t="s">
        <v>11826</v>
      </c>
      <c r="B9400" s="6" t="s">
        <v>11829</v>
      </c>
      <c r="C9400" s="5" t="str">
        <f>IFERROR(__xludf.DUMMYFUNCTION("GOOGLETRANSLATE(B9400,""en"",""it"")"),"Il giocatore in rosso continua a oscillare la sua racchetta in una mano anteriore poiché non manca mai di perdere un solo colpo.")</f>
        <v>Il giocatore in rosso continua a oscillare la sua racchetta in una mano anteriore poiché non manca mai di perdere un solo colpo.</v>
      </c>
    </row>
    <row r="9401">
      <c r="A9401" s="4" t="s">
        <v>11826</v>
      </c>
      <c r="B9401" s="6" t="s">
        <v>11830</v>
      </c>
      <c r="C9401" s="5" t="str">
        <f>IFERROR(__xludf.DUMMYFUNCTION("GOOGLETRANSLATE(B9401,""en"",""it"")"),"Il giocatore in nero manca un colpo, ma afferra immediatamente la palla e continuano a giocare di nuovo.")</f>
        <v>Il giocatore in nero manca un colpo, ma afferra immediatamente la palla e continuano a giocare di nuovo.</v>
      </c>
    </row>
    <row r="9402">
      <c r="A9402" s="4" t="s">
        <v>11826</v>
      </c>
      <c r="B9402" s="4" t="s">
        <v>11831</v>
      </c>
      <c r="C9402" s="5" t="str">
        <f>IFERROR(__xludf.DUMMYFUNCTION("GOOGLETRANSLATE(B9402,""en"",""it"")"),"Entrambi i giocatori continuano in una grande manifestazione senza perdere un tiro.")</f>
        <v>Entrambi i giocatori continuano in una grande manifestazione senza perdere un tiro.</v>
      </c>
    </row>
    <row r="9403">
      <c r="A9403" s="4" t="s">
        <v>11826</v>
      </c>
      <c r="B9403" s="4" t="s">
        <v>11832</v>
      </c>
      <c r="C9403" s="5" t="str">
        <f>IFERROR(__xludf.DUMMYFUNCTION("GOOGLETRANSLATE(B9403,""en"",""it"")"),"Il giocatore in rosso corre rapidamente attraverso il campo per colpire la palla.")</f>
        <v>Il giocatore in rosso corre rapidamente attraverso il campo per colpire la palla.</v>
      </c>
    </row>
    <row r="9404">
      <c r="A9404" s="4" t="s">
        <v>11826</v>
      </c>
      <c r="B9404" s="6" t="s">
        <v>11833</v>
      </c>
      <c r="C9404" s="5" t="str">
        <f>IFERROR(__xludf.DUMMYFUNCTION("GOOGLETRANSLATE(B9404,""en"",""it"")"),"Quindi giocano cinque round continuamente usando oscillazioni della mano posteriore fino a quando il giocatore in nero non perde un colpo.")</f>
        <v>Quindi giocano cinque round continuamente usando oscillazioni della mano posteriore fino a quando il giocatore in nero non perde un colpo.</v>
      </c>
    </row>
    <row r="9405">
      <c r="A9405" s="4" t="s">
        <v>11826</v>
      </c>
      <c r="B9405" s="4" t="s">
        <v>11834</v>
      </c>
      <c r="C9405" s="5" t="str">
        <f>IFERROR(__xludf.DUMMYFUNCTION("GOOGLETRANSLATE(B9405,""en"",""it"")"),"Quindi iniziano il loro ultimo round in cui il giocatore in bianco e nero termina il tiro finale.")</f>
        <v>Quindi iniziano il loro ultimo round in cui il giocatore in bianco e nero termina il tiro finale.</v>
      </c>
    </row>
    <row r="9406">
      <c r="A9406" s="4" t="s">
        <v>11826</v>
      </c>
      <c r="B9406" s="4" t="s">
        <v>11835</v>
      </c>
      <c r="C9406" s="5" t="str">
        <f>IFERROR(__xludf.DUMMYFUNCTION("GOOGLETRANSLATE(B9406,""en"",""it"")"),"Terminano il gioco stringendosi la mano e uscendo dal campo.")</f>
        <v>Terminano il gioco stringendosi la mano e uscendo dal campo.</v>
      </c>
    </row>
    <row r="9407">
      <c r="A9407" s="4" t="s">
        <v>11836</v>
      </c>
      <c r="B9407" s="4" t="s">
        <v>11837</v>
      </c>
      <c r="C9407" s="5" t="str">
        <f>IFERROR(__xludf.DUMMYFUNCTION("GOOGLETRANSLATE(B9407,""en"",""it"")"),"Viene visto un uomo parlare con la fotocamera in un grande campo mentre tiene in mano un bastoncino di lacrosse.")</f>
        <v>Viene visto un uomo parlare con la fotocamera in un grande campo mentre tiene in mano un bastoncino di lacrosse.</v>
      </c>
    </row>
    <row r="9408">
      <c r="A9408" s="4" t="s">
        <v>11836</v>
      </c>
      <c r="B9408" s="6" t="s">
        <v>11838</v>
      </c>
      <c r="C9408" s="5" t="str">
        <f>IFERROR(__xludf.DUMMYFUNCTION("GOOGLETRANSLATE(B9408,""en"",""it"")"),"Indica se stesso mentre tiene il bastone e continua a parlare con la telecamera e come tenere correttamente il bastone.")</f>
        <v>Indica se stesso mentre tiene il bastone e continua a parlare con la telecamera e come tenere correttamente il bastone.</v>
      </c>
    </row>
    <row r="9409">
      <c r="A9409" s="4" t="s">
        <v>11839</v>
      </c>
      <c r="B9409" s="4" t="s">
        <v>11840</v>
      </c>
      <c r="C9409" s="5" t="str">
        <f>IFERROR(__xludf.DUMMYFUNCTION("GOOGLETRANSLATE(B9409,""en"",""it"")"),"Una ragazza fa oscillare il suo bastone a una pinata.")</f>
        <v>Una ragazza fa oscillare il suo bastone a una pinata.</v>
      </c>
    </row>
    <row r="9410">
      <c r="A9410" s="4" t="s">
        <v>11839</v>
      </c>
      <c r="B9410" s="4" t="s">
        <v>11841</v>
      </c>
      <c r="C9410" s="5" t="str">
        <f>IFERROR(__xludf.DUMMYFUNCTION("GOOGLETRANSLATE(B9410,""en"",""it"")"),"Un gruppo di persone la guarda da dietro e la rallegra.")</f>
        <v>Un gruppo di persone la guarda da dietro e la rallegra.</v>
      </c>
    </row>
    <row r="9411">
      <c r="A9411" s="4" t="s">
        <v>11839</v>
      </c>
      <c r="B9411" s="4" t="s">
        <v>11842</v>
      </c>
      <c r="C9411" s="5" t="str">
        <f>IFERROR(__xludf.DUMMYFUNCTION("GOOGLETRANSLATE(B9411,""en"",""it"")"),"Continua a allontanarsi dalla Pinata e l'oggetto si sposta indietro e quarto nel vento.")</f>
        <v>Continua a allontanarsi dalla Pinata e l'oggetto si sposta indietro e quarto nel vento.</v>
      </c>
    </row>
    <row r="9412">
      <c r="A9412" s="4" t="s">
        <v>11843</v>
      </c>
      <c r="B9412" s="6" t="s">
        <v>11844</v>
      </c>
      <c r="C9412" s="5" t="str">
        <f>IFERROR(__xludf.DUMMYFUNCTION("GOOGLETRANSLATE(B9412,""en"",""it"")"),"Una telecamera si lancia attorno a una grande palestra e conduce a due artisti che camminano al centro del palco.")</f>
        <v>Una telecamera si lancia attorno a una grande palestra e conduce a due artisti che camminano al centro del palco.</v>
      </c>
    </row>
    <row r="9413">
      <c r="A9413" s="4" t="s">
        <v>11843</v>
      </c>
      <c r="B9413" s="4" t="s">
        <v>11845</v>
      </c>
      <c r="C9413" s="5" t="str">
        <f>IFERROR(__xludf.DUMMYFUNCTION("GOOGLETRANSLATE(B9413,""en"",""it"")"),"Le ragazze eseguono una routine di danza usa i bastoncini e finiscono tenendo una posa.")</f>
        <v>Le ragazze eseguono una routine di danza usa i bastoncini e finiscono tenendo una posa.</v>
      </c>
    </row>
    <row r="9414">
      <c r="A9414" s="4" t="s">
        <v>11846</v>
      </c>
      <c r="B9414" s="6" t="s">
        <v>11847</v>
      </c>
      <c r="C9414" s="5" t="str">
        <f>IFERROR(__xludf.DUMMYFUNCTION("GOOGLETRANSLATE(B9414,""en"",""it"")"),"Una donna e due uomini, che indossano pantaloni bianchi, camicia bianca e cinture bianche e nere dimostrano mosse di arti marziali, a piedi nudi, su una grande macchia di erba di fronte a un corpo idrico e una cittadina di edifici.")</f>
        <v>Una donna e due uomini, che indossano pantaloni bianchi, camicia bianca e cinture bianche e nere dimostrano mosse di arti marziali, a piedi nudi, su una grande macchia di erba di fronte a un corpo idrico e una cittadina di edifici.</v>
      </c>
    </row>
    <row r="9415">
      <c r="A9415" s="4" t="s">
        <v>11846</v>
      </c>
      <c r="B9415" s="6" t="s">
        <v>11848</v>
      </c>
      <c r="C9415" s="5" t="str">
        <f>IFERROR(__xludf.DUMMYFUNCTION("GOOGLETRANSLATE(B9415,""en"",""it"")"),"Una donna con i capelli biondi in una coda di cavallo e una cintura nera, dimostra le mosse di arti marziali che mostrano prima spalle e braccioli e gioco di gambe.")</f>
        <v>Una donna con i capelli biondi in una coda di cavallo e una cintura nera, dimostra le mosse di arti marziali che mostrano prima spalle e braccioli e gioco di gambe.</v>
      </c>
    </row>
    <row r="9416">
      <c r="A9416" s="4" t="s">
        <v>11846</v>
      </c>
      <c r="B9416" s="4" t="s">
        <v>11849</v>
      </c>
      <c r="C9416" s="5" t="str">
        <f>IFERROR(__xludf.DUMMYFUNCTION("GOOGLETRANSLATE(B9416,""en"",""it"")"),"Un uomo in una cintura bianca dimostra le mosse di arti marziali usando curve al ginocchio.")</f>
        <v>Un uomo in una cintura bianca dimostra le mosse di arti marziali usando curve al ginocchio.</v>
      </c>
    </row>
    <row r="9417">
      <c r="A9417" s="4" t="s">
        <v>11846</v>
      </c>
      <c r="B9417" s="6" t="s">
        <v>11850</v>
      </c>
      <c r="C9417" s="5" t="str">
        <f>IFERROR(__xludf.DUMMYFUNCTION("GOOGLETRANSLATE(B9417,""en"",""it"")"),"Un terzo uomo in una cintura nera dimostra le mosse di arti marziali che espongono lavori di pavimento, colpi di gamba e calci alti.")</f>
        <v>Un terzo uomo in una cintura nera dimostra le mosse di arti marziali che espongono lavori di pavimento, colpi di gamba e calci alti.</v>
      </c>
    </row>
    <row r="9418">
      <c r="A9418" s="4" t="s">
        <v>11851</v>
      </c>
      <c r="B9418" s="4" t="s">
        <v>11852</v>
      </c>
      <c r="C9418" s="5" t="str">
        <f>IFERROR(__xludf.DUMMYFUNCTION("GOOGLETRANSLATE(B9418,""en"",""it"")"),"Una donna chef sta dimostrando come preparare la pasta in stile ristorante.")</f>
        <v>Una donna chef sta dimostrando come preparare la pasta in stile ristorante.</v>
      </c>
    </row>
    <row r="9419">
      <c r="A9419" s="4" t="s">
        <v>11851</v>
      </c>
      <c r="B9419" s="4" t="s">
        <v>11853</v>
      </c>
      <c r="C9419" s="5" t="str">
        <f>IFERROR(__xludf.DUMMYFUNCTION("GOOGLETRANSLATE(B9419,""en"",""it"")"),"Comincia con l'aggiunta di spaghetti in una grande pentola di acqua bollente.")</f>
        <v>Comincia con l'aggiunta di spaghetti in una grande pentola di acqua bollente.</v>
      </c>
    </row>
    <row r="9420">
      <c r="A9420" s="4" t="s">
        <v>11851</v>
      </c>
      <c r="B9420" s="4" t="s">
        <v>11854</v>
      </c>
      <c r="C9420" s="5" t="str">
        <f>IFERROR(__xludf.DUMMYFUNCTION("GOOGLETRANSLATE(B9420,""en"",""it"")"),"Salta le cipolle tritate e un po 'di condimento italiano insieme all'aglio su una casseruola.")</f>
        <v>Salta le cipolle tritate e un po 'di condimento italiano insieme all'aglio su una casseruola.</v>
      </c>
    </row>
    <row r="9421">
      <c r="A9421" s="4" t="s">
        <v>11851</v>
      </c>
      <c r="B9421" s="4" t="s">
        <v>11855</v>
      </c>
      <c r="C9421" s="5" t="str">
        <f>IFERROR(__xludf.DUMMYFUNCTION("GOOGLETRANSLATE(B9421,""en"",""it"")"),"Quindi aggiunge una tazza di pomodori uva.")</f>
        <v>Quindi aggiunge una tazza di pomodori uva.</v>
      </c>
    </row>
    <row r="9422">
      <c r="A9422" s="4" t="s">
        <v>11851</v>
      </c>
      <c r="B9422" s="4" t="s">
        <v>11856</v>
      </c>
      <c r="C9422" s="5" t="str">
        <f>IFERROR(__xludf.DUMMYFUNCTION("GOOGLETRANSLATE(B9422,""en"",""it"")"),"Controlla la pasta per la sua morbidezza.")</f>
        <v>Controlla la pasta per la sua morbidezza.</v>
      </c>
    </row>
    <row r="9423">
      <c r="A9423" s="4" t="s">
        <v>11851</v>
      </c>
      <c r="B9423" s="4" t="s">
        <v>11857</v>
      </c>
      <c r="C9423" s="5" t="str">
        <f>IFERROR(__xludf.DUMMYFUNCTION("GOOGLETRANSLATE(B9423,""en"",""it"")"),"Rimuove la pasta cotta dal gas e la versa in un piatto.")</f>
        <v>Rimuove la pasta cotta dal gas e la versa in un piatto.</v>
      </c>
    </row>
    <row r="9424">
      <c r="A9424" s="4" t="s">
        <v>11851</v>
      </c>
      <c r="B9424" s="4" t="s">
        <v>11858</v>
      </c>
      <c r="C9424" s="5" t="str">
        <f>IFERROR(__xludf.DUMMYFUNCTION("GOOGLETRANSLATE(B9424,""en"",""it"")"),"Quindi aggiunge la salsa cotta proprio sopra la pasta.")</f>
        <v>Quindi aggiunge la salsa cotta proprio sopra la pasta.</v>
      </c>
    </row>
    <row r="9425">
      <c r="A9425" s="4" t="s">
        <v>11851</v>
      </c>
      <c r="B9425" s="6" t="s">
        <v>11859</v>
      </c>
      <c r="C9425" s="5" t="str">
        <f>IFERROR(__xludf.DUMMYFUNCTION("GOOGLETRANSLATE(B9425,""en"",""it"")"),"Lei getta il basilico fresco con un paio di forbici e lo guarna sopra la pasta insieme ad un po 'di formaggio, quindi mostra una ricetta di salsa Alfredo.")</f>
        <v>Lei getta il basilico fresco con un paio di forbici e lo guarna sopra la pasta insieme ad un po 'di formaggio, quindi mostra una ricetta di salsa Alfredo.</v>
      </c>
    </row>
    <row r="9426">
      <c r="A9426" s="4" t="s">
        <v>11851</v>
      </c>
      <c r="B9426" s="4" t="s">
        <v>11860</v>
      </c>
      <c r="C9426" s="5" t="str">
        <f>IFERROR(__xludf.DUMMYFUNCTION("GOOGLETRANSLATE(B9426,""en"",""it"")"),"Spruzza il parmigiano grattugiato sopra la pasta Alfredo per finire.")</f>
        <v>Spruzza il parmigiano grattugiato sopra la pasta Alfredo per finire.</v>
      </c>
    </row>
    <row r="9427">
      <c r="A9427" s="4" t="s">
        <v>11861</v>
      </c>
      <c r="B9427" s="4" t="s">
        <v>11862</v>
      </c>
      <c r="C9427" s="5" t="str">
        <f>IFERROR(__xludf.DUMMYFUNCTION("GOOGLETRANSLATE(B9427,""en"",""it"")"),"Un gruppo di nuotatori si sta preparando per esibirsi.")</f>
        <v>Un gruppo di nuotatori si sta preparando per esibirsi.</v>
      </c>
    </row>
    <row r="9428">
      <c r="A9428" s="4" t="s">
        <v>11861</v>
      </c>
      <c r="B9428" s="4" t="s">
        <v>11863</v>
      </c>
      <c r="C9428" s="5" t="str">
        <f>IFERROR(__xludf.DUMMYFUNCTION("GOOGLETRANSLATE(B9428,""en"",""it"")"),"La folla guarda le ragazze prepararsi.")</f>
        <v>La folla guarda le ragazze prepararsi.</v>
      </c>
    </row>
    <row r="9429">
      <c r="A9429" s="4" t="s">
        <v>11861</v>
      </c>
      <c r="B9429" s="4" t="s">
        <v>11864</v>
      </c>
      <c r="C9429" s="5" t="str">
        <f>IFERROR(__xludf.DUMMYFUNCTION("GOOGLETRANSLATE(B9429,""en"",""it"")"),"Una ragazza si tuffa dalla tavola da immersione e le persone tifano.")</f>
        <v>Una ragazza si tuffa dalla tavola da immersione e le persone tifano.</v>
      </c>
    </row>
    <row r="9430">
      <c r="A9430" s="4" t="s">
        <v>11861</v>
      </c>
      <c r="B9430" s="4" t="s">
        <v>11865</v>
      </c>
      <c r="C9430" s="5" t="str">
        <f>IFERROR(__xludf.DUMMYFUNCTION("GOOGLETRANSLATE(B9430,""en"",""it"")"),"Si arrampica dalla piscina mentre un altro nuotatore si prepara a saltare.")</f>
        <v>Si arrampica dalla piscina mentre un altro nuotatore si prepara a saltare.</v>
      </c>
    </row>
    <row r="9431">
      <c r="A9431" s="4" t="s">
        <v>11866</v>
      </c>
      <c r="B9431" s="4" t="s">
        <v>11867</v>
      </c>
      <c r="C9431" s="5" t="str">
        <f>IFERROR(__xludf.DUMMYFUNCTION("GOOGLETRANSLATE(B9431,""en"",""it"")"),"Viene mostrata una grande torta in velluto rosso multistrato, insieme alla moltitudine di ingredienti.")</f>
        <v>Viene mostrata una grande torta in velluto rosso multistrato, insieme alla moltitudine di ingredienti.</v>
      </c>
    </row>
    <row r="9432">
      <c r="A9432" s="4" t="s">
        <v>11866</v>
      </c>
      <c r="B9432" s="4" t="s">
        <v>11868</v>
      </c>
      <c r="C9432" s="5" t="str">
        <f>IFERROR(__xludf.DUMMYFUNCTION("GOOGLETRANSLATE(B9432,""en"",""it"")"),"Una mano gira un forno, prima di mescolare gli ingredienti in una ciotola.")</f>
        <v>Una mano gira un forno, prima di mescolare gli ingredienti in una ciotola.</v>
      </c>
    </row>
    <row r="9433">
      <c r="A9433" s="4" t="s">
        <v>11866</v>
      </c>
      <c r="B9433" s="4" t="s">
        <v>11869</v>
      </c>
      <c r="C9433" s="5" t="str">
        <f>IFERROR(__xludf.DUMMYFUNCTION("GOOGLETRANSLATE(B9433,""en"",""it"")"),"In tutto, alcuni bocconcini e fatti casuali sono condivisi.")</f>
        <v>In tutto, alcuni bocconcini e fatti casuali sono condivisi.</v>
      </c>
    </row>
    <row r="9434">
      <c r="A9434" s="4" t="s">
        <v>11870</v>
      </c>
      <c r="B9434" s="4" t="s">
        <v>11871</v>
      </c>
      <c r="C9434" s="5" t="str">
        <f>IFERROR(__xludf.DUMMYFUNCTION("GOOGLETRANSLATE(B9434,""en"",""it"")"),"Un uomo è su un palco tra luci lampeggianti e musica luminose.")</f>
        <v>Un uomo è su un palco tra luci lampeggianti e musica luminose.</v>
      </c>
    </row>
    <row r="9435">
      <c r="A9435" s="4" t="s">
        <v>11870</v>
      </c>
      <c r="B9435" s="4" t="s">
        <v>11872</v>
      </c>
      <c r="C9435" s="5" t="str">
        <f>IFERROR(__xludf.DUMMYFUNCTION("GOOGLETRANSLATE(B9435,""en"",""it"")"),"Sta rapidamente suonando un violino per il pubblico.")</f>
        <v>Sta rapidamente suonando un violino per il pubblico.</v>
      </c>
    </row>
    <row r="9436">
      <c r="A9436" s="4" t="s">
        <v>11870</v>
      </c>
      <c r="B9436" s="4" t="s">
        <v>11873</v>
      </c>
      <c r="C9436" s="5" t="str">
        <f>IFERROR(__xludf.DUMMYFUNCTION("GOOGLETRANSLATE(B9436,""en"",""it"")"),"Fa una pausa per ballare, poi torna a suonare mentre battono e tirano il tifo.")</f>
        <v>Fa una pausa per ballare, poi torna a suonare mentre battono e tirano il tifo.</v>
      </c>
    </row>
    <row r="9437">
      <c r="A9437" s="4" t="s">
        <v>11874</v>
      </c>
      <c r="B9437" s="6" t="s">
        <v>11875</v>
      </c>
      <c r="C9437" s="5" t="str">
        <f>IFERROR(__xludf.DUMMYFUNCTION("GOOGLETRANSLATE(B9437,""en"",""it"")"),"Ci sono due donne vestite con canottiere nere e blu che dimostrano come usare il cerchio di hula.")</f>
        <v>Ci sono due donne vestite con canottiere nere e blu che dimostrano come usare il cerchio di hula.</v>
      </c>
    </row>
    <row r="9438">
      <c r="A9438" s="4" t="s">
        <v>11874</v>
      </c>
      <c r="B9438" s="4" t="s">
        <v>11876</v>
      </c>
      <c r="C9438" s="5" t="str">
        <f>IFERROR(__xludf.DUMMYFUNCTION("GOOGLETRANSLATE(B9438,""en"",""it"")"),"Entrambi iniziano a girare con cerchi di hula blu e argento.")</f>
        <v>Entrambi iniziano a girare con cerchi di hula blu e argento.</v>
      </c>
    </row>
    <row r="9439">
      <c r="A9439" s="4" t="s">
        <v>11874</v>
      </c>
      <c r="B9439" s="4" t="s">
        <v>11877</v>
      </c>
      <c r="C9439" s="5" t="str">
        <f>IFERROR(__xludf.DUMMYFUNCTION("GOOGLETRANSLATE(B9439,""en"",""it"")"),"Sono in una spaziosa stanza con piccoli mobili e pavimenti in legno.")</f>
        <v>Sono in una spaziosa stanza con piccoli mobili e pavimenti in legno.</v>
      </c>
    </row>
    <row r="9440">
      <c r="A9440" s="4" t="s">
        <v>11874</v>
      </c>
      <c r="B9440" s="4" t="s">
        <v>11878</v>
      </c>
      <c r="C9440" s="5" t="str">
        <f>IFERROR(__xludf.DUMMYFUNCTION("GOOGLETRANSLATE(B9440,""en"",""it"")"),"La donna nella cima blu mostra come Hula Hoop in rapido movimento.")</f>
        <v>La donna nella cima blu mostra come Hula Hoop in rapido movimento.</v>
      </c>
    </row>
    <row r="9441">
      <c r="A9441" s="4" t="s">
        <v>11874</v>
      </c>
      <c r="B9441" s="4" t="s">
        <v>11879</v>
      </c>
      <c r="C9441" s="5" t="str">
        <f>IFERROR(__xludf.DUMMYFUNCTION("GOOGLETRANSLATE(B9441,""en"",""it"")"),"Quindi entrambe le donne mostrano come roteare il cerchio sollevandolo in alto sopra la testa.")</f>
        <v>Quindi entrambe le donne mostrano come roteare il cerchio sollevandolo in alto sopra la testa.</v>
      </c>
    </row>
    <row r="9442">
      <c r="A9442" s="4" t="s">
        <v>11874</v>
      </c>
      <c r="B9442" s="4" t="s">
        <v>11880</v>
      </c>
      <c r="C9442" s="5" t="str">
        <f>IFERROR(__xludf.DUMMYFUNCTION("GOOGLETRANSLATE(B9442,""en"",""it"")"),"Si piegano la schiena per abbassarsi mentre continuano a Hula Hoop.")</f>
        <v>Si piegano la schiena per abbassarsi mentre continuano a Hula Hoop.</v>
      </c>
    </row>
    <row r="9443">
      <c r="A9443" s="4" t="s">
        <v>11874</v>
      </c>
      <c r="B9443" s="4" t="s">
        <v>11881</v>
      </c>
      <c r="C9443" s="5" t="str">
        <f>IFERROR(__xludf.DUMMYFUNCTION("GOOGLETRANSLATE(B9443,""en"",""it"")"),"Parlano tra loro mentre condividono suggerimenti sui modi per Hula Hoop.")</f>
        <v>Parlano tra loro mentre condividono suggerimenti sui modi per Hula Hoop.</v>
      </c>
    </row>
    <row r="9444">
      <c r="A9444" s="4" t="s">
        <v>11882</v>
      </c>
      <c r="B9444" s="4" t="s">
        <v>11883</v>
      </c>
      <c r="C9444" s="5" t="str">
        <f>IFERROR(__xludf.DUMMYFUNCTION("GOOGLETRANSLATE(B9444,""en"",""it"")"),"Gli uomini stanno a turno tagliando un tronco in due.")</f>
        <v>Gli uomini stanno a turno tagliando un tronco in due.</v>
      </c>
    </row>
    <row r="9445">
      <c r="A9445" s="4" t="s">
        <v>11882</v>
      </c>
      <c r="B9445" s="4" t="s">
        <v>11884</v>
      </c>
      <c r="C9445" s="5" t="str">
        <f>IFERROR(__xludf.DUMMYFUNCTION("GOOGLETRANSLATE(B9445,""en"",""it"")"),"Il taglio più e più volte.")</f>
        <v>Il taglio più e più volte.</v>
      </c>
    </row>
    <row r="9446">
      <c r="A9446" s="4" t="s">
        <v>11882</v>
      </c>
      <c r="B9446" s="4" t="s">
        <v>11885</v>
      </c>
      <c r="C9446" s="5" t="str">
        <f>IFERROR(__xludf.DUMMYFUNCTION("GOOGLETRANSLATE(B9446,""en"",""it"")"),"Il registro si rompe in due.")</f>
        <v>Il registro si rompe in due.</v>
      </c>
    </row>
    <row r="9447">
      <c r="A9447" s="4" t="s">
        <v>11886</v>
      </c>
      <c r="B9447" s="4" t="s">
        <v>11887</v>
      </c>
      <c r="C9447" s="5" t="str">
        <f>IFERROR(__xludf.DUMMYFUNCTION("GOOGLETRANSLATE(B9447,""en"",""it"")"),"Una donna che indossa un grembiule marrone chiaro tiene un coltello e parla.")</f>
        <v>Una donna che indossa un grembiule marrone chiaro tiene un coltello e parla.</v>
      </c>
    </row>
    <row r="9448">
      <c r="A9448" s="4" t="s">
        <v>11886</v>
      </c>
      <c r="B9448" s="4" t="s">
        <v>11888</v>
      </c>
      <c r="C9448" s="5" t="str">
        <f>IFERROR(__xludf.DUMMYFUNCTION("GOOGLETRANSLATE(B9448,""en"",""it"")"),"Quindi mostra un apparecchio sul tavolo e lo inclina verso l'alto.")</f>
        <v>Quindi mostra un apparecchio sul tavolo e lo inclina verso l'alto.</v>
      </c>
    </row>
    <row r="9449">
      <c r="A9449" s="4" t="s">
        <v>11886</v>
      </c>
      <c r="B9449" s="4" t="s">
        <v>11889</v>
      </c>
      <c r="C9449" s="5" t="str">
        <f>IFERROR(__xludf.DUMMYFUNCTION("GOOGLETRANSLATE(B9449,""en"",""it"")"),"Scegli un quadrante sull'appliance e lo ripristina.")</f>
        <v>Scegli un quadrante sull'appliance e lo ripristina.</v>
      </c>
    </row>
    <row r="9450">
      <c r="A9450" s="4" t="s">
        <v>11886</v>
      </c>
      <c r="B9450" s="4" t="s">
        <v>11890</v>
      </c>
      <c r="C9450" s="5" t="str">
        <f>IFERROR(__xludf.DUMMYFUNCTION("GOOGLETRANSLATE(B9450,""en"",""it"")"),"Prende indietro il coltello e lo pone sull'apparecchio.")</f>
        <v>Prende indietro il coltello e lo pone sull'apparecchio.</v>
      </c>
    </row>
    <row r="9451">
      <c r="A9451" s="4" t="s">
        <v>11886</v>
      </c>
      <c r="B9451" s="4" t="s">
        <v>11891</v>
      </c>
      <c r="C9451" s="5" t="str">
        <f>IFERROR(__xludf.DUMMYFUNCTION("GOOGLETRANSLATE(B9451,""en"",""it"")"),"Gira di nuovo il quadrante sull'appliance.")</f>
        <v>Gira di nuovo il quadrante sull'appliance.</v>
      </c>
    </row>
    <row r="9452">
      <c r="A9452" s="4" t="s">
        <v>11886</v>
      </c>
      <c r="B9452" s="4" t="s">
        <v>11892</v>
      </c>
      <c r="C9452" s="5" t="str">
        <f>IFERROR(__xludf.DUMMYFUNCTION("GOOGLETRANSLATE(B9452,""en"",""it"")"),"Prende indietro il coltello e lo pone nell'apparecchio e lo attira lentamente più volte.")</f>
        <v>Prende indietro il coltello e lo pone nell'apparecchio e lo attira lentamente più volte.</v>
      </c>
    </row>
    <row r="9453">
      <c r="A9453" s="4" t="s">
        <v>11886</v>
      </c>
      <c r="B9453" s="4" t="s">
        <v>11893</v>
      </c>
      <c r="C9453" s="5" t="str">
        <f>IFERROR(__xludf.DUMMYFUNCTION("GOOGLETRANSLATE(B9453,""en"",""it"")"),"Si taglia un pomodoro su un blocco di legno con il coltello.")</f>
        <v>Si taglia un pomodoro su un blocco di legno con il coltello.</v>
      </c>
    </row>
    <row r="9454">
      <c r="A9454" s="4" t="s">
        <v>11886</v>
      </c>
      <c r="B9454" s="4" t="s">
        <v>11894</v>
      </c>
      <c r="C9454" s="5" t="str">
        <f>IFERROR(__xludf.DUMMYFUNCTION("GOOGLETRANSLATE(B9454,""en"",""it"")"),"Afferra un secondo coltello e lo mette nell'apparecchio.")</f>
        <v>Afferra un secondo coltello e lo mette nell'apparecchio.</v>
      </c>
    </row>
    <row r="9455">
      <c r="A9455" s="4" t="s">
        <v>11895</v>
      </c>
      <c r="B9455" s="6" t="s">
        <v>11896</v>
      </c>
      <c r="C9455" s="5" t="str">
        <f>IFERROR(__xludf.DUMMYFUNCTION("GOOGLETRANSLATE(B9455,""en"",""it"")"),"Viene mostrato un primo piano di siepe seguito da un uomo che cammina in cornici con strumenti e inizia a tagliare la siepe.")</f>
        <v>Viene mostrato un primo piano di siepe seguito da un uomo che cammina in cornici con strumenti e inizia a tagliare la siepe.</v>
      </c>
    </row>
    <row r="9456">
      <c r="A9456" s="4" t="s">
        <v>11895</v>
      </c>
      <c r="B9456" s="4" t="s">
        <v>11897</v>
      </c>
      <c r="C9456" s="5" t="str">
        <f>IFERROR(__xludf.DUMMYFUNCTION("GOOGLETRANSLATE(B9456,""en"",""it"")"),"L'uomo continua a tagliare lungo la siepe mentre si sposta dentro e fuori dal telaio.")</f>
        <v>L'uomo continua a tagliare lungo la siepe mentre si sposta dentro e fuori dal telaio.</v>
      </c>
    </row>
    <row r="9457">
      <c r="A9457" s="4" t="s">
        <v>11898</v>
      </c>
      <c r="B9457" s="4" t="s">
        <v>11899</v>
      </c>
      <c r="C9457" s="5" t="str">
        <f>IFERROR(__xludf.DUMMYFUNCTION("GOOGLETRANSLATE(B9457,""en"",""it"")"),"Vediamo un uomo in un cortile che rastrella con un titolo sullo schermo.")</f>
        <v>Vediamo un uomo in un cortile che rastrella con un titolo sullo schermo.</v>
      </c>
    </row>
    <row r="9458">
      <c r="A9458" s="4" t="s">
        <v>11898</v>
      </c>
      <c r="B9458" s="4" t="s">
        <v>11900</v>
      </c>
      <c r="C9458" s="5" t="str">
        <f>IFERROR(__xludf.DUMMYFUNCTION("GOOGLETRANSLATE(B9458,""en"",""it"")"),"Vediamo un tronco d'albero e le foglie cadere.")</f>
        <v>Vediamo un tronco d'albero e le foglie cadere.</v>
      </c>
    </row>
    <row r="9459">
      <c r="A9459" s="4" t="s">
        <v>11898</v>
      </c>
      <c r="B9459" s="4" t="s">
        <v>11901</v>
      </c>
      <c r="C9459" s="5" t="str">
        <f>IFERROR(__xludf.DUMMYFUNCTION("GOOGLETRANSLATE(B9459,""en"",""it"")"),"Vediamo l'uomo parlare e vediamo il cortile mentre rastrella.")</f>
        <v>Vediamo l'uomo parlare e vediamo il cortile mentre rastrella.</v>
      </c>
    </row>
    <row r="9460">
      <c r="A9460" s="4" t="s">
        <v>11898</v>
      </c>
      <c r="B9460" s="4" t="s">
        <v>11902</v>
      </c>
      <c r="C9460" s="5" t="str">
        <f>IFERROR(__xludf.DUMMYFUNCTION("GOOGLETRANSLATE(B9460,""en"",""it"")"),"Vediamo quindi l'uomo mentre lo soffia con un soffiatore di foglie e un vuoto.")</f>
        <v>Vediamo quindi l'uomo mentre lo soffia con un soffiatore di foglie e un vuoto.</v>
      </c>
    </row>
    <row r="9461">
      <c r="A9461" s="4" t="s">
        <v>11903</v>
      </c>
      <c r="B9461" s="4" t="s">
        <v>11904</v>
      </c>
      <c r="C9461" s="5" t="str">
        <f>IFERROR(__xludf.DUMMYFUNCTION("GOOGLETRANSLATE(B9461,""en"",""it"")"),"Diverse immagini di cani sono mostrate all'esterno sul campo.")</f>
        <v>Diverse immagini di cani sono mostrate all'esterno sul campo.</v>
      </c>
    </row>
    <row r="9462">
      <c r="A9462" s="4" t="s">
        <v>11903</v>
      </c>
      <c r="B9462" s="6" t="s">
        <v>11905</v>
      </c>
      <c r="C9462" s="5" t="str">
        <f>IFERROR(__xludf.DUMMYFUNCTION("GOOGLETRANSLATE(B9462,""en"",""it"")"),"Una giovane donna appare quindi in un campo erboso e gioca con il suo cane e gli lancia un frisbee rosso.")</f>
        <v>Una giovane donna appare quindi in un campo erboso e gioca con il suo cane e gli lancia un frisbee rosso.</v>
      </c>
    </row>
    <row r="9463">
      <c r="A9463" s="4" t="s">
        <v>11903</v>
      </c>
      <c r="B9463" s="6" t="s">
        <v>11906</v>
      </c>
      <c r="C9463" s="5" t="str">
        <f>IFERROR(__xludf.DUMMYFUNCTION("GOOGLETRANSLATE(B9463,""en"",""it"")"),"La ragazza poi si inginocchia nell'erba e tiene il frisbee sopra la sua testa e si congratula con il suo cane mentre il trucco è completato e continuano a farlo ancora e ancora.")</f>
        <v>La ragazza poi si inginocchia nell'erba e tiene il frisbee sopra la sua testa e si congratula con il suo cane mentre il trucco è completato e continuano a farlo ancora e ancora.</v>
      </c>
    </row>
    <row r="9464">
      <c r="A9464" s="4" t="s">
        <v>11907</v>
      </c>
      <c r="B9464" s="6" t="s">
        <v>11908</v>
      </c>
      <c r="C9464" s="5" t="str">
        <f>IFERROR(__xludf.DUMMYFUNCTION("GOOGLETRANSLATE(B9464,""en"",""it"")"),"Un ragazzo si inginocchia fuori e si lava il viso e le mani da piccoli piatti, di fronte a lui, pieno di acqua e sapone.")</f>
        <v>Un ragazzo si inginocchia fuori e si lava il viso e le mani da piccoli piatti, di fronte a lui, pieno di acqua e sapone.</v>
      </c>
    </row>
    <row r="9465">
      <c r="A9465" s="4" t="s">
        <v>11907</v>
      </c>
      <c r="B9465" s="4" t="s">
        <v>11909</v>
      </c>
      <c r="C9465" s="5" t="str">
        <f>IFERROR(__xludf.DUMMYFUNCTION("GOOGLETRANSLATE(B9465,""en"",""it"")"),"Un ragazzo si inginocchia in un angolo di un patio esterno davanti a una fila di ciotole.")</f>
        <v>Un ragazzo si inginocchia in un angolo di un patio esterno davanti a una fila di ciotole.</v>
      </c>
    </row>
    <row r="9466">
      <c r="A9466" s="4" t="s">
        <v>11907</v>
      </c>
      <c r="B9466" s="4" t="s">
        <v>11910</v>
      </c>
      <c r="C9466" s="5" t="str">
        <f>IFERROR(__xludf.DUMMYFUNCTION("GOOGLETRANSLATE(B9466,""en"",""it"")"),"Il ragazzo gli schizza l'acqua sul viso e gli rimpiazza le mani con acqua insaponata dai piatti.")</f>
        <v>Il ragazzo gli schizza l'acqua sul viso e gli rimpiazza le mani con acqua insaponata dai piatti.</v>
      </c>
    </row>
    <row r="9467">
      <c r="A9467" s="4" t="s">
        <v>11907</v>
      </c>
      <c r="B9467" s="4" t="s">
        <v>11911</v>
      </c>
      <c r="C9467" s="5" t="str">
        <f>IFERROR(__xludf.DUMMYFUNCTION("GOOGLETRANSLATE(B9467,""en"",""it"")"),"Il ragazzo continua a lavarsi il viso come una donna in un abito di colore chiaro che gli passa davanti.")</f>
        <v>Il ragazzo continua a lavarsi il viso come una donna in un abito di colore chiaro che gli passa davanti.</v>
      </c>
    </row>
    <row r="9468">
      <c r="A9468" s="4" t="s">
        <v>11912</v>
      </c>
      <c r="B9468" s="4" t="s">
        <v>11913</v>
      </c>
      <c r="C9468" s="5" t="str">
        <f>IFERROR(__xludf.DUMMYFUNCTION("GOOGLETRANSLATE(B9468,""en"",""it"")"),"Una persona usa colpi di foglie e soffia le foglie.")</f>
        <v>Una persona usa colpi di foglie e soffia le foglie.</v>
      </c>
    </row>
    <row r="9469">
      <c r="A9469" s="4" t="s">
        <v>11912</v>
      </c>
      <c r="B9469" s="4" t="s">
        <v>11914</v>
      </c>
      <c r="C9469" s="5" t="str">
        <f>IFERROR(__xludf.DUMMYFUNCTION("GOOGLETRANSLATE(B9469,""en"",""it"")"),"Il cane corre a destra e fuori dal sentiero.")</f>
        <v>Il cane corre a destra e fuori dal sentiero.</v>
      </c>
    </row>
    <row r="9470">
      <c r="A9470" s="4" t="s">
        <v>11912</v>
      </c>
      <c r="B9470" s="4" t="s">
        <v>11915</v>
      </c>
      <c r="C9470" s="5" t="str">
        <f>IFERROR(__xludf.DUMMYFUNCTION("GOOGLETRANSLATE(B9470,""en"",""it"")"),"Il cane corre all'indietro e forte davanti al soffiatore di foglie.")</f>
        <v>Il cane corre all'indietro e forte davanti al soffiatore di foglie.</v>
      </c>
    </row>
    <row r="9471">
      <c r="A9471" s="4" t="s">
        <v>11916</v>
      </c>
      <c r="B9471" s="4" t="s">
        <v>11917</v>
      </c>
      <c r="C9471" s="5" t="str">
        <f>IFERROR(__xludf.DUMMYFUNCTION("GOOGLETRANSLATE(B9471,""en"",""it"")"),"Due gnu bloccano le corna in una lotta per il dominio.")</f>
        <v>Due gnu bloccano le corna in una lotta per il dominio.</v>
      </c>
    </row>
    <row r="9472">
      <c r="A9472" s="4" t="s">
        <v>11916</v>
      </c>
      <c r="B9472" s="4" t="s">
        <v>11918</v>
      </c>
      <c r="C9472" s="5" t="str">
        <f>IFERROR(__xludf.DUMMYFUNCTION("GOOGLETRANSLATE(B9472,""en"",""it"")"),"La lotta continua con il resto della mandria selvaggia che guarda.")</f>
        <v>La lotta continua con il resto della mandria selvaggia che guarda.</v>
      </c>
    </row>
    <row r="9473">
      <c r="A9473" s="4" t="s">
        <v>11916</v>
      </c>
      <c r="B9473" s="4" t="s">
        <v>11919</v>
      </c>
      <c r="C9473" s="5" t="str">
        <f>IFERROR(__xludf.DUMMYFUNCTION("GOOGLETRANSLATE(B9473,""en"",""it"")"),"La lotta continua mentre One Wildabeast allontana l'altra dalla mandria vicino a un fiume.")</f>
        <v>La lotta continua mentre One Wildabeast allontana l'altra dalla mandria vicino a un fiume.</v>
      </c>
    </row>
    <row r="9474">
      <c r="A9474" s="4" t="s">
        <v>11916</v>
      </c>
      <c r="B9474" s="4" t="s">
        <v>11920</v>
      </c>
      <c r="C9474" s="5" t="str">
        <f>IFERROR(__xludf.DUMMYFUNCTION("GOOGLETRANSLATE(B9474,""en"",""it"")"),"Uno selvaggio si arrende e scappa come gli altri inseguimenti selvaggi.")</f>
        <v>Uno selvaggio si arrende e scappa come gli altri inseguimenti selvaggi.</v>
      </c>
    </row>
    <row r="9475">
      <c r="A9475" s="4" t="s">
        <v>11921</v>
      </c>
      <c r="B9475" s="4" t="s">
        <v>11922</v>
      </c>
      <c r="C9475" s="5" t="str">
        <f>IFERROR(__xludf.DUMMYFUNCTION("GOOGLETRANSLATE(B9475,""en"",""it"")"),"Le mani di una persona sono viste su un tavolo da poker che afferra le carte mentre un altro si occupa.")</f>
        <v>Le mani di una persona sono viste su un tavolo da poker che afferra le carte mentre un altro si occupa.</v>
      </c>
    </row>
    <row r="9476">
      <c r="A9476" s="4" t="s">
        <v>11921</v>
      </c>
      <c r="B9476" s="4" t="s">
        <v>11923</v>
      </c>
      <c r="C9476" s="5" t="str">
        <f>IFERROR(__xludf.DUMMYFUNCTION("GOOGLETRANSLATE(B9476,""en"",""it"")"),"Il commerciante lancia continuamente le carte mentre mette anche chips.")</f>
        <v>Il commerciante lancia continuamente le carte mentre mette anche chips.</v>
      </c>
    </row>
    <row r="9477">
      <c r="A9477" s="4" t="s">
        <v>11921</v>
      </c>
      <c r="B9477" s="4" t="s">
        <v>11924</v>
      </c>
      <c r="C9477" s="5" t="str">
        <f>IFERROR(__xludf.DUMMYFUNCTION("GOOGLETRANSLATE(B9477,""en"",""it"")"),"La persona che gioca fa lo stesso più volte.")</f>
        <v>La persona che gioca fa lo stesso più volte.</v>
      </c>
    </row>
    <row r="9478">
      <c r="A9478" s="4" t="s">
        <v>11925</v>
      </c>
      <c r="B9478" s="4" t="s">
        <v>11926</v>
      </c>
      <c r="C9478" s="5" t="str">
        <f>IFERROR(__xludf.DUMMYFUNCTION("GOOGLETRANSLATE(B9478,""en"",""it"")"),"Un'introduzione conduce in un cavallo legato a un vitello con un uomo che corrà una corda attorno all'animale.")</f>
        <v>Un'introduzione conduce in un cavallo legato a un vitello con un uomo che corrà una corda attorno all'animale.</v>
      </c>
    </row>
    <row r="9479">
      <c r="A9479" s="4" t="s">
        <v>11925</v>
      </c>
      <c r="B9479" s="4" t="s">
        <v>11927</v>
      </c>
      <c r="C9479" s="5" t="str">
        <f>IFERROR(__xludf.DUMMYFUNCTION("GOOGLETRANSLATE(B9479,""en"",""it"")"),"A un uomo viene quindi mostrato di essere intervistato dalla telecamera e da un'altra donna accanto a lui.")</f>
        <v>A un uomo viene quindi mostrato di essere intervistato dalla telecamera e da un'altra donna accanto a lui.</v>
      </c>
    </row>
    <row r="9480">
      <c r="A9480" s="4" t="s">
        <v>11928</v>
      </c>
      <c r="B9480" s="4" t="s">
        <v>11929</v>
      </c>
      <c r="C9480" s="5" t="str">
        <f>IFERROR(__xludf.DUMMYFUNCTION("GOOGLETRANSLATE(B9480,""en"",""it"")"),"Un uomo che indossa una camicia fantasma sta giocando a Beer Pong.")</f>
        <v>Un uomo che indossa una camicia fantasma sta giocando a Beer Pong.</v>
      </c>
    </row>
    <row r="9481">
      <c r="A9481" s="4" t="s">
        <v>11928</v>
      </c>
      <c r="B9481" s="4" t="s">
        <v>11930</v>
      </c>
      <c r="C9481" s="5" t="str">
        <f>IFERROR(__xludf.DUMMYFUNCTION("GOOGLETRANSLATE(B9481,""en"",""it"")"),"Allinea quattro tazze, gettando le palle nelle tazze.")</f>
        <v>Allinea quattro tazze, gettando le palle nelle tazze.</v>
      </c>
    </row>
    <row r="9482">
      <c r="A9482" s="4" t="s">
        <v>11928</v>
      </c>
      <c r="B9482" s="4" t="s">
        <v>11931</v>
      </c>
      <c r="C9482" s="5" t="str">
        <f>IFERROR(__xludf.DUMMYFUNCTION("GOOGLETRANSLATE(B9482,""en"",""it"")"),"Continua fino a quando tutte le palle non sono entrate perfettamente nelle tazze.")</f>
        <v>Continua fino a quando tutte le palle non sono entrate perfettamente nelle tazze.</v>
      </c>
    </row>
    <row r="9483">
      <c r="A9483" s="4" t="s">
        <v>11932</v>
      </c>
      <c r="B9483" s="6" t="s">
        <v>11933</v>
      </c>
      <c r="C9483" s="5" t="str">
        <f>IFERROR(__xludf.DUMMYFUNCTION("GOOGLETRANSLATE(B9483,""en"",""it"")"),"Un gruppo di uomini sono tutti visti in piedi l'uno intorno all'altro su una spiaggia mentre parlano e ridono l'uno con l'altro.")</f>
        <v>Un gruppo di uomini sono tutti visti in piedi l'uno intorno all'altro su una spiaggia mentre parlano e ridono l'uno con l'altro.</v>
      </c>
    </row>
    <row r="9484">
      <c r="A9484" s="4" t="s">
        <v>11932</v>
      </c>
      <c r="B9484" s="4" t="s">
        <v>11934</v>
      </c>
      <c r="C9484" s="5" t="str">
        <f>IFERROR(__xludf.DUMMYFUNCTION("GOOGLETRANSLATE(B9484,""en"",""it"")"),"Quindi gli uomini iniziano a mettersi la protezione solare l'uno sull'altro lungo una linea.")</f>
        <v>Quindi gli uomini iniziano a mettersi la protezione solare l'uno sull'altro lungo una linea.</v>
      </c>
    </row>
    <row r="9485">
      <c r="A9485" s="4" t="s">
        <v>11935</v>
      </c>
      <c r="B9485" s="4" t="s">
        <v>11936</v>
      </c>
      <c r="C9485" s="5" t="str">
        <f>IFERROR(__xludf.DUMMYFUNCTION("GOOGLETRANSLATE(B9485,""en"",""it"")"),"Un edificio alto è mostrato con una torre.")</f>
        <v>Un edificio alto è mostrato con una torre.</v>
      </c>
    </row>
    <row r="9486">
      <c r="A9486" s="4" t="s">
        <v>11935</v>
      </c>
      <c r="B9486" s="4" t="s">
        <v>11937</v>
      </c>
      <c r="C9486" s="5" t="str">
        <f>IFERROR(__xludf.DUMMYFUNCTION("GOOGLETRANSLATE(B9486,""en"",""it"")"),"Le persone stanno applaudendo per le persone che saltano dalla cima dell'edificio.")</f>
        <v>Le persone stanno applaudendo per le persone che saltano dalla cima dell'edificio.</v>
      </c>
    </row>
    <row r="9487">
      <c r="A9487" s="4" t="s">
        <v>11938</v>
      </c>
      <c r="B9487" s="4" t="s">
        <v>11939</v>
      </c>
      <c r="C9487" s="5" t="str">
        <f>IFERROR(__xludf.DUMMYFUNCTION("GOOGLETRANSLATE(B9487,""en"",""it"")"),"Una donna avvolge diversi regali di Natale.")</f>
        <v>Una donna avvolge diversi regali di Natale.</v>
      </c>
    </row>
    <row r="9488">
      <c r="A9488" s="4" t="s">
        <v>11938</v>
      </c>
      <c r="B9488" s="4" t="s">
        <v>11940</v>
      </c>
      <c r="C9488" s="5" t="str">
        <f>IFERROR(__xludf.DUMMYFUNCTION("GOOGLETRANSLATE(B9488,""en"",""it"")"),"Una donna sorride e taglia una carta da avvolgimento con una forbice.")</f>
        <v>Una donna sorride e taglia una carta da avvolgimento con una forbice.</v>
      </c>
    </row>
    <row r="9489">
      <c r="A9489" s="4" t="s">
        <v>11938</v>
      </c>
      <c r="B9489" s="4" t="s">
        <v>11941</v>
      </c>
      <c r="C9489" s="5" t="str">
        <f>IFERROR(__xludf.DUMMYFUNCTION("GOOGLETRANSLATE(B9489,""en"",""it"")"),"La donna colloca un orsacchiotto in una ciotola.")</f>
        <v>La donna colloca un orsacchiotto in una ciotola.</v>
      </c>
    </row>
    <row r="9490">
      <c r="A9490" s="4" t="s">
        <v>11938</v>
      </c>
      <c r="B9490" s="4" t="s">
        <v>11942</v>
      </c>
      <c r="C9490" s="5" t="str">
        <f>IFERROR(__xludf.DUMMYFUNCTION("GOOGLETRANSLATE(B9490,""en"",""it"")"),"Una donna mette due regali di cristallo in una scatola bianca e rosa.")</f>
        <v>Una donna mette due regali di cristallo in una scatola bianca e rosa.</v>
      </c>
    </row>
    <row r="9491">
      <c r="A9491" s="4" t="s">
        <v>11938</v>
      </c>
      <c r="B9491" s="4" t="s">
        <v>11943</v>
      </c>
      <c r="C9491" s="5" t="str">
        <f>IFERROR(__xludf.DUMMYFUNCTION("GOOGLETRANSLATE(B9491,""en"",""it"")"),"Una donna regge un regalo coperto avvolto in carta da avvolgimento d'argento.")</f>
        <v>Una donna regge un regalo coperto avvolto in carta da avvolgimento d'argento.</v>
      </c>
    </row>
    <row r="9492">
      <c r="A9492" s="4" t="s">
        <v>11938</v>
      </c>
      <c r="B9492" s="4" t="s">
        <v>11944</v>
      </c>
      <c r="C9492" s="5" t="str">
        <f>IFERROR(__xludf.DUMMYFUNCTION("GOOGLETRANSLATE(B9492,""en"",""it"")"),"Una donna mette una scatola di gioielli in una scatola.")</f>
        <v>Una donna mette una scatola di gioielli in una scatola.</v>
      </c>
    </row>
    <row r="9493">
      <c r="A9493" s="4" t="s">
        <v>11938</v>
      </c>
      <c r="B9493" s="4" t="s">
        <v>11945</v>
      </c>
      <c r="C9493" s="5" t="str">
        <f>IFERROR(__xludf.DUMMYFUNCTION("GOOGLETRANSLATE(B9493,""en"",""it"")"),"La donna presenta una ciotola d'oro.")</f>
        <v>La donna presenta una ciotola d'oro.</v>
      </c>
    </row>
    <row r="9494">
      <c r="A9494" s="4" t="s">
        <v>11938</v>
      </c>
      <c r="B9494" s="4" t="s">
        <v>11946</v>
      </c>
      <c r="C9494" s="5" t="str">
        <f>IFERROR(__xludf.DUMMYFUNCTION("GOOGLETRANSLATE(B9494,""en"",""it"")"),"La donna tiene i regali impilati e avvolti con le mani.")</f>
        <v>La donna tiene i regali impilati e avvolti con le mani.</v>
      </c>
    </row>
    <row r="9495">
      <c r="A9495" s="4" t="s">
        <v>11938</v>
      </c>
      <c r="B9495" s="4" t="s">
        <v>11947</v>
      </c>
      <c r="C9495" s="5" t="str">
        <f>IFERROR(__xludf.DUMMYFUNCTION("GOOGLETRANSLATE(B9495,""en"",""it"")"),"La donna soffia le carte scintillanti dal palmo della mano.")</f>
        <v>La donna soffia le carte scintillanti dal palmo della mano.</v>
      </c>
    </row>
    <row r="9496">
      <c r="A9496" s="4" t="s">
        <v>11938</v>
      </c>
      <c r="B9496" s="4" t="s">
        <v>11948</v>
      </c>
      <c r="C9496" s="5" t="str">
        <f>IFERROR(__xludf.DUMMYFUNCTION("GOOGLETRANSLATE(B9496,""en"",""it"")"),"Lo sponsor delle clip viene introdotto e visualizzato sullo schermo.")</f>
        <v>Lo sponsor delle clip viene introdotto e visualizzato sullo schermo.</v>
      </c>
    </row>
    <row r="9497">
      <c r="A9497" s="4" t="s">
        <v>11949</v>
      </c>
      <c r="B9497" s="6" t="s">
        <v>11950</v>
      </c>
      <c r="C9497" s="5" t="str">
        <f>IFERROR(__xludf.DUMMYFUNCTION("GOOGLETRANSLATE(B9497,""en"",""it"")"),"C'è un uomo che indossa una camicia grafica bianca, seduto con la batteria di bongo che batteva un battito alla batteria.")</f>
        <v>C'è un uomo che indossa una camicia grafica bianca, seduto con la batteria di bongo che batteva un battito alla batteria.</v>
      </c>
    </row>
    <row r="9498">
      <c r="A9498" s="4" t="s">
        <v>11949</v>
      </c>
      <c r="B9498" s="4" t="s">
        <v>11951</v>
      </c>
      <c r="C9498" s="5" t="str">
        <f>IFERROR(__xludf.DUMMYFUNCTION("GOOGLETRANSLATE(B9498,""en"",""it"")"),"Indossa le cuffie mentre batte un battito alla batteria.")</f>
        <v>Indossa le cuffie mentre batte un battito alla batteria.</v>
      </c>
    </row>
    <row r="9499">
      <c r="A9499" s="4" t="s">
        <v>11949</v>
      </c>
      <c r="B9499" s="4" t="s">
        <v>11952</v>
      </c>
      <c r="C9499" s="5" t="str">
        <f>IFERROR(__xludf.DUMMYFUNCTION("GOOGLETRANSLATE(B9499,""en"",""it"")"),"Continua a suonare la batteria.")</f>
        <v>Continua a suonare la batteria.</v>
      </c>
    </row>
    <row r="9500">
      <c r="A9500" s="4" t="s">
        <v>11949</v>
      </c>
      <c r="B9500" s="4" t="s">
        <v>11953</v>
      </c>
      <c r="C9500" s="5" t="str">
        <f>IFERROR(__xludf.DUMMYFUNCTION("GOOGLETRANSLATE(B9500,""en"",""it"")"),"Dopo un po 'cambia il ritmo dopo aver fatto una pausa per un po' di tempo.")</f>
        <v>Dopo un po 'cambia il ritmo dopo aver fatto una pausa per un po' di tempo.</v>
      </c>
    </row>
    <row r="9501">
      <c r="A9501" s="4" t="s">
        <v>11949</v>
      </c>
      <c r="B9501" s="4" t="s">
        <v>11954</v>
      </c>
      <c r="C9501" s="5" t="str">
        <f>IFERROR(__xludf.DUMMYFUNCTION("GOOGLETRANSLATE(B9501,""en"",""it"")"),"Quindi continua a suonare un altro ritmo alla batteria.")</f>
        <v>Quindi continua a suonare un altro ritmo alla batteria.</v>
      </c>
    </row>
    <row r="9502">
      <c r="A9502" s="4" t="s">
        <v>11949</v>
      </c>
      <c r="B9502" s="4" t="s">
        <v>11955</v>
      </c>
      <c r="C9502" s="5" t="str">
        <f>IFERROR(__xludf.DUMMYFUNCTION("GOOGLETRANSLATE(B9502,""en"",""it"")"),"Quindi si ferma un po 'e riorganizza i tamburi per giocare di nuovo.")</f>
        <v>Quindi si ferma un po 'e riorganizza i tamburi per giocare di nuovo.</v>
      </c>
    </row>
    <row r="9503">
      <c r="A9503" s="4" t="s">
        <v>11949</v>
      </c>
      <c r="B9503" s="4" t="s">
        <v>11956</v>
      </c>
      <c r="C9503" s="5" t="str">
        <f>IFERROR(__xludf.DUMMYFUNCTION("GOOGLETRANSLATE(B9503,""en"",""it"")"),"Un'altra persona è la batteria su un set di tamburi elettrici che ha diversi tamburi.")</f>
        <v>Un'altra persona è la batteria su un set di tamburi elettrici che ha diversi tamburi.</v>
      </c>
    </row>
    <row r="9504">
      <c r="A9504" s="4" t="s">
        <v>11957</v>
      </c>
      <c r="B9504" s="6" t="s">
        <v>11958</v>
      </c>
      <c r="C9504" s="5" t="str">
        <f>IFERROR(__xludf.DUMMYFUNCTION("GOOGLETRANSLATE(B9504,""en"",""it"")"),"Un uomo viene visto camminare verso una ragazza che si trova su un palco e inizia a esibirsi in arti marziali.")</f>
        <v>Un uomo viene visto camminare verso una ragazza che si trova su un palco e inizia a esibirsi in arti marziali.</v>
      </c>
    </row>
    <row r="9505">
      <c r="A9505" s="4" t="s">
        <v>11957</v>
      </c>
      <c r="B9505" s="4" t="s">
        <v>11959</v>
      </c>
      <c r="C9505" s="5" t="str">
        <f>IFERROR(__xludf.DUMMYFUNCTION("GOOGLETRANSLATE(B9505,""en"",""it"")"),"Esegui diversi lanci, trucchi e inchina a un uomo alla fine mentre tutti applacano per lei.")</f>
        <v>Esegui diversi lanci, trucchi e inchina a un uomo alla fine mentre tutti applacano per lei.</v>
      </c>
    </row>
    <row r="9506">
      <c r="A9506" s="4" t="s">
        <v>11960</v>
      </c>
      <c r="B9506" s="4" t="s">
        <v>11961</v>
      </c>
      <c r="C9506" s="5" t="str">
        <f>IFERROR(__xludf.DUMMYFUNCTION("GOOGLETRANSLATE(B9506,""en"",""it"")"),"L'uomo con camicia nera e jeans blu sta rotolando un vecchio tappeto rosso e aspira il pavimento.")</f>
        <v>L'uomo con camicia nera e jeans blu sta rotolando un vecchio tappeto rosso e aspira il pavimento.</v>
      </c>
    </row>
    <row r="9507">
      <c r="A9507" s="4" t="s">
        <v>11960</v>
      </c>
      <c r="B9507" s="6" t="s">
        <v>11962</v>
      </c>
      <c r="C9507" s="5" t="str">
        <f>IFERROR(__xludf.DUMMYFUNCTION("GOOGLETRANSLATE(B9507,""en"",""it"")"),"Quindi srotola il nuovo tappeto grigio, installalo tagliandolo e inchiodando il tappeto sul pavimento, ha rimosso il tappeto in eccesso sul muro, appiattito con uno strumento, quindi aspirare una volta completata l'installazione.")</f>
        <v>Quindi srotola il nuovo tappeto grigio, installalo tagliandolo e inchiodando il tappeto sul pavimento, ha rimosso il tappeto in eccesso sul muro, appiattito con uno strumento, quindi aspirare una volta completata l'installazione.</v>
      </c>
    </row>
    <row r="9508">
      <c r="A9508" s="4" t="s">
        <v>11963</v>
      </c>
      <c r="B9508" s="6" t="s">
        <v>11964</v>
      </c>
      <c r="C9508" s="5" t="str">
        <f>IFERROR(__xludf.DUMMYFUNCTION("GOOGLETRANSLATE(B9508,""en"",""it"")"),"Un'introduzione conduce in una fotocamera che si panoramica attorno a varie posizioni della neve con le persone che si muovono e si muovono.")</f>
        <v>Un'introduzione conduce in una fotocamera che si panoramica attorno a varie posizioni della neve con le persone che si muovono e si muovono.</v>
      </c>
    </row>
    <row r="9509">
      <c r="A9509" s="4" t="s">
        <v>11963</v>
      </c>
      <c r="B9509" s="6" t="s">
        <v>11965</v>
      </c>
      <c r="C9509" s="5" t="str">
        <f>IFERROR(__xludf.DUMMYFUNCTION("GOOGLETRANSLATE(B9509,""en"",""it"")"),"La fotocamera mostra diverse persone che si allungano e si scaldano seguite da due persone che cadono e si alzano.")</f>
        <v>La fotocamera mostra diverse persone che si allungano e si scaldano seguite da due persone che cadono e si alzano.</v>
      </c>
    </row>
    <row r="9510">
      <c r="A9510" s="4" t="s">
        <v>11963</v>
      </c>
      <c r="B9510" s="4" t="s">
        <v>11966</v>
      </c>
      <c r="C9510" s="5" t="str">
        <f>IFERROR(__xludf.DUMMYFUNCTION("GOOGLETRANSLATE(B9510,""en"",""it"")"),"Vengono mostrate diverse clip di boarder di neve che fanno trucchi su una montagna, nonché salti e macinature.")</f>
        <v>Vengono mostrate diverse clip di boarder di neve che fanno trucchi su una montagna, nonché salti e macinature.</v>
      </c>
    </row>
    <row r="9511">
      <c r="A9511" s="4" t="s">
        <v>11967</v>
      </c>
      <c r="B9511" s="4" t="s">
        <v>11968</v>
      </c>
      <c r="C9511" s="5" t="str">
        <f>IFERROR(__xludf.DUMMYFUNCTION("GOOGLETRANSLATE(B9511,""en"",""it"")"),"Un uomo corre sul campo di una partita sportiva.")</f>
        <v>Un uomo corre sul campo di una partita sportiva.</v>
      </c>
    </row>
    <row r="9512">
      <c r="A9512" s="4" t="s">
        <v>11967</v>
      </c>
      <c r="B9512" s="4" t="s">
        <v>11969</v>
      </c>
      <c r="C9512" s="5" t="str">
        <f>IFERROR(__xludf.DUMMYFUNCTION("GOOGLETRANSLATE(B9512,""en"",""it"")"),"I giocatori di cricket sono palle lanciate durante una partita in un grande stadio.")</f>
        <v>I giocatori di cricket sono palle lanciate durante una partita in un grande stadio.</v>
      </c>
    </row>
    <row r="9513">
      <c r="A9513" s="4" t="s">
        <v>11967</v>
      </c>
      <c r="B9513" s="4" t="s">
        <v>11970</v>
      </c>
      <c r="C9513" s="5" t="str">
        <f>IFERROR(__xludf.DUMMYFUNCTION("GOOGLETRANSLATE(B9513,""en"",""it"")"),"Il giocatore di cricket colpisce un'alta mosca pop che viene catturata.")</f>
        <v>Il giocatore di cricket colpisce un'alta mosca pop che viene catturata.</v>
      </c>
    </row>
    <row r="9514">
      <c r="A9514" s="4" t="s">
        <v>11967</v>
      </c>
      <c r="B9514" s="4" t="s">
        <v>11971</v>
      </c>
      <c r="C9514" s="5" t="str">
        <f>IFERROR(__xludf.DUMMYFUNCTION("GOOGLETRANSLATE(B9514,""en"",""it"")"),"I giocatori di cricket posano per le foto.")</f>
        <v>I giocatori di cricket posano per le foto.</v>
      </c>
    </row>
    <row r="9515">
      <c r="A9515" s="4" t="s">
        <v>11967</v>
      </c>
      <c r="B9515" s="4" t="s">
        <v>11972</v>
      </c>
      <c r="C9515" s="5" t="str">
        <f>IFERROR(__xludf.DUMMYFUNCTION("GOOGLETRANSLATE(B9515,""en"",""it"")"),"Tutti i giocatori si schierano per una gara sulla pista adiacente.")</f>
        <v>Tutti i giocatori si schierano per una gara sulla pista adiacente.</v>
      </c>
    </row>
    <row r="9516">
      <c r="A9516" s="4" t="s">
        <v>11973</v>
      </c>
      <c r="B9516" s="4" t="s">
        <v>11974</v>
      </c>
      <c r="C9516" s="5" t="str">
        <f>IFERROR(__xludf.DUMMYFUNCTION("GOOGLETRANSLATE(B9516,""en"",""it"")"),"Un'introduzione del testo conduce in diversi clip di atleti che gettano giavelli in lontananza.")</f>
        <v>Un'introduzione del testo conduce in diversi clip di atleti che gettano giavelli in lontananza.</v>
      </c>
    </row>
    <row r="9517">
      <c r="A9517" s="4" t="s">
        <v>11973</v>
      </c>
      <c r="B9517" s="6" t="s">
        <v>11975</v>
      </c>
      <c r="C9517" s="5" t="str">
        <f>IFERROR(__xludf.DUMMYFUNCTION("GOOGLETRANSLATE(B9517,""en"",""it"")"),"Il video continua con molti altri atleti che vengono mostrati eseguendo tiri impressionanti con il giavellotto.")</f>
        <v>Il video continua con molti altri atleti che vengono mostrati eseguendo tiri impressionanti con il giavellotto.</v>
      </c>
    </row>
    <row r="9518">
      <c r="A9518" s="4" t="s">
        <v>11976</v>
      </c>
      <c r="B9518" s="4" t="s">
        <v>11977</v>
      </c>
      <c r="C9518" s="5" t="str">
        <f>IFERROR(__xludf.DUMMYFUNCTION("GOOGLETRANSLATE(B9518,""en"",""it"")"),"Un uomo con una giacca rossa sta parlando su una pista di hockey.")</f>
        <v>Un uomo con una giacca rossa sta parlando su una pista di hockey.</v>
      </c>
    </row>
    <row r="9519">
      <c r="A9519" s="4" t="s">
        <v>11976</v>
      </c>
      <c r="B9519" s="4" t="s">
        <v>11978</v>
      </c>
      <c r="C9519" s="5" t="str">
        <f>IFERROR(__xludf.DUMMYFUNCTION("GOOGLETRANSLATE(B9519,""en"",""it"")"),"Diverse persone iniziano a giocare a hockey sul ghiaccio.")</f>
        <v>Diverse persone iniziano a giocare a hockey sul ghiaccio.</v>
      </c>
    </row>
    <row r="9520">
      <c r="A9520" s="4" t="s">
        <v>11976</v>
      </c>
      <c r="B9520" s="4" t="s">
        <v>11979</v>
      </c>
      <c r="C9520" s="5" t="str">
        <f>IFERROR(__xludf.DUMMYFUNCTION("GOOGLETRANSLATE(B9520,""en"",""it"")"),"Dà un altro giocatore un abbraccio.")</f>
        <v>Dà un altro giocatore un abbraccio.</v>
      </c>
    </row>
    <row r="9521">
      <c r="A9521" s="4" t="s">
        <v>11980</v>
      </c>
      <c r="B9521" s="4" t="s">
        <v>11981</v>
      </c>
      <c r="C9521" s="5" t="str">
        <f>IFERROR(__xludf.DUMMYFUNCTION("GOOGLETRANSLATE(B9521,""en"",""it"")"),"L'uomo sta cavalcando una moto in un sentiero polveroso all'interno di una cupola.")</f>
        <v>L'uomo sta cavalcando una moto in un sentiero polveroso all'interno di una cupola.</v>
      </c>
    </row>
    <row r="9522">
      <c r="A9522" s="4" t="s">
        <v>11980</v>
      </c>
      <c r="B9522" s="4" t="s">
        <v>11982</v>
      </c>
      <c r="C9522" s="5" t="str">
        <f>IFERROR(__xludf.DUMMYFUNCTION("GOOGLETRANSLATE(B9522,""en"",""it"")"),"Le motociclette stanno andando in bicicletta facendo motocross in un campo all'interno di una cupola.")</f>
        <v>Le motociclette stanno andando in bicicletta facendo motocross in un campo all'interno di una cupola.</v>
      </c>
    </row>
    <row r="9523">
      <c r="A9523" s="4" t="s">
        <v>11980</v>
      </c>
      <c r="B9523" s="4" t="s">
        <v>11983</v>
      </c>
      <c r="C9523" s="5" t="str">
        <f>IFERROR(__xludf.DUMMYFUNCTION("GOOGLETRANSLATE(B9523,""en"",""it"")"),"Le persone sono in bici in una competizione.")</f>
        <v>Le persone sono in bici in una competizione.</v>
      </c>
    </row>
    <row r="9524">
      <c r="A9524" s="4" t="s">
        <v>11984</v>
      </c>
      <c r="B9524" s="4" t="s">
        <v>11985</v>
      </c>
      <c r="C9524" s="5" t="str">
        <f>IFERROR(__xludf.DUMMYFUNCTION("GOOGLETRANSLATE(B9524,""en"",""it"")"),"Un uomo si trova accanto a un mucchio di strumenti in legno sulle spalle.")</f>
        <v>Un uomo si trova accanto a un mucchio di strumenti in legno sulle spalle.</v>
      </c>
    </row>
    <row r="9525">
      <c r="A9525" s="4" t="s">
        <v>11984</v>
      </c>
      <c r="B9525" s="4" t="s">
        <v>11986</v>
      </c>
      <c r="C9525" s="5" t="str">
        <f>IFERROR(__xludf.DUMMYFUNCTION("GOOGLETRANSLATE(B9525,""en"",""it"")"),"L'uomo usa una grande ascia per tagliare i tronchi in piedi in una zona boschiva erbosa.")</f>
        <v>L'uomo usa una grande ascia per tagliare i tronchi in piedi in una zona boschiva erbosa.</v>
      </c>
    </row>
    <row r="9526">
      <c r="A9526" s="4" t="s">
        <v>11987</v>
      </c>
      <c r="B9526" s="6" t="s">
        <v>11988</v>
      </c>
      <c r="C9526" s="5" t="str">
        <f>IFERROR(__xludf.DUMMYFUNCTION("GOOGLETRANSLATE(B9526,""en"",""it"")"),"Due uomini stanno giocando a ping pong insieme, un ragazzo indossa un abito nero, il ragazzo con abito nero ha uno stile unico.")</f>
        <v>Due uomini stanno giocando a ping pong insieme, un ragazzo indossa un abito nero, il ragazzo con abito nero ha uno stile unico.</v>
      </c>
    </row>
    <row r="9527">
      <c r="A9527" s="4" t="s">
        <v>11987</v>
      </c>
      <c r="B9527" s="4" t="s">
        <v>11989</v>
      </c>
      <c r="C9527" s="5" t="str">
        <f>IFERROR(__xludf.DUMMYFUNCTION("GOOGLETRANSLATE(B9527,""en"",""it"")"),"L'uomo con abito nero spruzza la palla da ping pong e celebra.")</f>
        <v>L'uomo con abito nero spruzza la palla da ping pong e celebra.</v>
      </c>
    </row>
    <row r="9528">
      <c r="A9528" s="4" t="s">
        <v>11987</v>
      </c>
      <c r="B9528" s="6" t="s">
        <v>11990</v>
      </c>
      <c r="C9528" s="5" t="str">
        <f>IFERROR(__xludf.DUMMYFUNCTION("GOOGLETRANSLATE(B9528,""en"",""it"")"),"La scena della telecamera cambia per mostrare ai giocatori da un'altra prospettiva, il giocatore nell'abito nero fa un altro picco sulla palla.")</f>
        <v>La scena della telecamera cambia per mostrare ai giocatori da un'altra prospettiva, il giocatore nell'abito nero fa un altro picco sulla palla.</v>
      </c>
    </row>
    <row r="9529">
      <c r="A9529" s="4" t="s">
        <v>11987</v>
      </c>
      <c r="B9529" s="6" t="s">
        <v>11991</v>
      </c>
      <c r="C9529" s="5" t="str">
        <f>IFERROR(__xludf.DUMMYFUNCTION("GOOGLETRANSLATE(B9529,""en"",""it"")"),"Ora due giocatori procedono a giocare il giocatore nell'abito nero contemporaneamente, ha aumentato la palla su entrambi i giocatori.")</f>
        <v>Ora due giocatori procedono a giocare il giocatore nell'abito nero contemporaneamente, ha aumentato la palla su entrambi i giocatori.</v>
      </c>
    </row>
    <row r="9530">
      <c r="A9530" s="4" t="s">
        <v>11987</v>
      </c>
      <c r="B9530" s="6" t="s">
        <v>11992</v>
      </c>
      <c r="C9530" s="5" t="str">
        <f>IFERROR(__xludf.DUMMYFUNCTION("GOOGLETRANSLATE(B9530,""en"",""it"")"),"L'uomo in abito nero sta usando nunchucks per giocare a ping pong, ora hanno 4 giocatori che giocano contro di lui, l'uomo nell'abito nero li schernisce leggendo un libro mentre gioca, fa anche una pausa le palline da ping pong, prende un sorso di Acqua e"&amp;" riprende l'uomo inizia a ridere di loro e gli uomini sono frustrati.")</f>
        <v>L'uomo in abito nero sta usando nunchucks per giocare a ping pong, ora hanno 4 giocatori che giocano contro di lui, l'uomo nell'abito nero li schernisce leggendo un libro mentre gioca, fa anche una pausa le palline da ping pong, prende un sorso di Acqua e riprende l'uomo inizia a ridere di loro e gli uomini sono frustrati.</v>
      </c>
    </row>
    <row r="9531">
      <c r="A9531" s="4" t="s">
        <v>11987</v>
      </c>
      <c r="B9531" s="4" t="s">
        <v>11993</v>
      </c>
      <c r="C9531" s="5" t="str">
        <f>IFERROR(__xludf.DUMMYFUNCTION("GOOGLETRANSLATE(B9531,""en"",""it"")"),"Arriva un ultimo sfidante e cammina verso di lui.")</f>
        <v>Arriva un ultimo sfidante e cammina verso di lui.</v>
      </c>
    </row>
    <row r="9532">
      <c r="A9532" s="4" t="s">
        <v>11987</v>
      </c>
      <c r="B9532" s="4" t="s">
        <v>11994</v>
      </c>
      <c r="C9532" s="5" t="str">
        <f>IFERROR(__xludf.DUMMYFUNCTION("GOOGLETRANSLATE(B9532,""en"",""it"")"),"Lo sfidante aumenta la palla così forte che lo uccide.")</f>
        <v>Lo sfidante aumenta la palla così forte che lo uccide.</v>
      </c>
    </row>
    <row r="9533">
      <c r="A9533" s="4" t="s">
        <v>11995</v>
      </c>
      <c r="B9533" s="4" t="s">
        <v>11996</v>
      </c>
      <c r="C9533" s="5" t="str">
        <f>IFERROR(__xludf.DUMMYFUNCTION("GOOGLETRANSLATE(B9533,""en"",""it"")"),"Due persone davanti a front spingi i dischi sul pavimento con un bastone in palestra.")</f>
        <v>Due persone davanti a front spingi i dischi sul pavimento con un bastone in palestra.</v>
      </c>
    </row>
    <row r="9534">
      <c r="A9534" s="4" t="s">
        <v>11995</v>
      </c>
      <c r="B9534" s="4" t="s">
        <v>11997</v>
      </c>
      <c r="C9534" s="5" t="str">
        <f>IFERROR(__xludf.DUMMYFUNCTION("GOOGLETRANSLATE(B9534,""en"",""it"")"),"Un uomo passa davanti un orologio.")</f>
        <v>Un uomo passa davanti un orologio.</v>
      </c>
    </row>
    <row r="9535">
      <c r="A9535" s="4" t="s">
        <v>11998</v>
      </c>
      <c r="B9535" s="4" t="s">
        <v>11999</v>
      </c>
      <c r="C9535" s="5" t="str">
        <f>IFERROR(__xludf.DUMMYFUNCTION("GOOGLETRANSLATE(B9535,""en"",""it"")"),"Una signora siede e discute, all'interno.")</f>
        <v>Una signora siede e discute, all'interno.</v>
      </c>
    </row>
    <row r="9536">
      <c r="A9536" s="4" t="s">
        <v>11998</v>
      </c>
      <c r="B9536" s="4" t="s">
        <v>12000</v>
      </c>
      <c r="C9536" s="5" t="str">
        <f>IFERROR(__xludf.DUMMYFUNCTION("GOOGLETRANSLATE(B9536,""en"",""it"")"),"La signora mostra le sue unghie dipinte.")</f>
        <v>La signora mostra le sue unghie dipinte.</v>
      </c>
    </row>
    <row r="9537">
      <c r="A9537" s="4" t="s">
        <v>11998</v>
      </c>
      <c r="B9537" s="4" t="s">
        <v>12001</v>
      </c>
      <c r="C9537" s="5" t="str">
        <f>IFERROR(__xludf.DUMMYFUNCTION("GOOGLETRANSLATE(B9537,""en"",""it"")"),"La signora presenta i suoi smalti.")</f>
        <v>La signora presenta i suoi smalti.</v>
      </c>
    </row>
    <row r="9538">
      <c r="A9538" s="4" t="s">
        <v>11998</v>
      </c>
      <c r="B9538" s="4" t="s">
        <v>12002</v>
      </c>
      <c r="C9538" s="5" t="str">
        <f>IFERROR(__xludf.DUMMYFUNCTION("GOOGLETRANSLATE(B9538,""en"",""it"")"),"La signora si dipinge le unghie.")</f>
        <v>La signora si dipinge le unghie.</v>
      </c>
    </row>
    <row r="9539">
      <c r="A9539" s="4" t="s">
        <v>11998</v>
      </c>
      <c r="B9539" s="4" t="s">
        <v>12003</v>
      </c>
      <c r="C9539" s="5" t="str">
        <f>IFERROR(__xludf.DUMMYFUNCTION("GOOGLETRANSLATE(B9539,""en"",""it"")"),"Lo smalto per unghie su una cartella e li usa per abbellire la sua unghie.")</f>
        <v>Lo smalto per unghie su una cartella e li usa per abbellire la sua unghie.</v>
      </c>
    </row>
    <row r="9540">
      <c r="A9540" s="4" t="s">
        <v>11998</v>
      </c>
      <c r="B9540" s="4" t="s">
        <v>12004</v>
      </c>
      <c r="C9540" s="5" t="str">
        <f>IFERROR(__xludf.DUMMYFUNCTION("GOOGLETRANSLATE(B9540,""en"",""it"")"),"La signora alza il piede e mostra la calza.")</f>
        <v>La signora alza il piede e mostra la calza.</v>
      </c>
    </row>
    <row r="9541">
      <c r="A9541" s="4" t="s">
        <v>11998</v>
      </c>
      <c r="B9541" s="4" t="s">
        <v>1251</v>
      </c>
      <c r="C9541" s="5" t="str">
        <f>IFERROR(__xludf.DUMMYFUNCTION("GOOGLETRANSLATE(B9541,""en"",""it"")"),"Vengono visualizzati i crediti della clip.")</f>
        <v>Vengono visualizzati i crediti della clip.</v>
      </c>
    </row>
    <row r="9542">
      <c r="A9542" s="4" t="s">
        <v>12005</v>
      </c>
      <c r="B9542" s="4" t="s">
        <v>12006</v>
      </c>
      <c r="C9542" s="5" t="str">
        <f>IFERROR(__xludf.DUMMYFUNCTION("GOOGLETRANSLATE(B9542,""en"",""it"")"),"L'argomento del video mostra come giocare a biliardo.")</f>
        <v>L'argomento del video mostra come giocare a biliardo.</v>
      </c>
    </row>
    <row r="9543">
      <c r="A9543" s="4" t="s">
        <v>12005</v>
      </c>
      <c r="B9543" s="4" t="s">
        <v>12007</v>
      </c>
      <c r="C9543" s="5" t="str">
        <f>IFERROR(__xludf.DUMMYFUNCTION("GOOGLETRANSLATE(B9543,""en"",""it"")"),"Inizia con una schermata del titolo.")</f>
        <v>Inizia con una schermata del titolo.</v>
      </c>
    </row>
    <row r="9544">
      <c r="A9544" s="4" t="s">
        <v>12005</v>
      </c>
      <c r="B9544" s="4" t="s">
        <v>12008</v>
      </c>
      <c r="C9544" s="5" t="str">
        <f>IFERROR(__xludf.DUMMYFUNCTION("GOOGLETRANSLATE(B9544,""en"",""it"")"),"Quindi viene mostrata una clip di un ragazzino che mette a forma di palla come un bulbo oculare su un tavolo da biliardo.")</f>
        <v>Quindi viene mostrata una clip di un ragazzino che mette a forma di palla come un bulbo oculare su un tavolo da biliardo.</v>
      </c>
    </row>
    <row r="9545">
      <c r="A9545" s="4" t="s">
        <v>12005</v>
      </c>
      <c r="B9545" s="4" t="s">
        <v>12009</v>
      </c>
      <c r="C9545" s="5" t="str">
        <f>IFERROR(__xludf.DUMMYFUNCTION("GOOGLETRANSLATE(B9545,""en"",""it"")"),"Viene visualizzato uno schermo con parole.")</f>
        <v>Viene visualizzato uno schermo con parole.</v>
      </c>
    </row>
    <row r="9546">
      <c r="A9546" s="4" t="s">
        <v>12005</v>
      </c>
      <c r="B9546" s="6" t="s">
        <v>12010</v>
      </c>
      <c r="C9546" s="5" t="str">
        <f>IFERROR(__xludf.DUMMYFUNCTION("GOOGLETRANSLATE(B9546,""en"",""it"")"),"Quindi, viene mostrata una clip di due ragazzi che giocano con il tavolo della palla, uno dei quali sta leggendo una rivista mentre gioca.")</f>
        <v>Quindi, viene mostrata una clip di due ragazzi che giocano con il tavolo della palla, uno dei quali sta leggendo una rivista mentre gioca.</v>
      </c>
    </row>
    <row r="9547">
      <c r="A9547" s="4" t="s">
        <v>12005</v>
      </c>
      <c r="B9547" s="4" t="s">
        <v>12011</v>
      </c>
      <c r="C9547" s="5" t="str">
        <f>IFERROR(__xludf.DUMMYFUNCTION("GOOGLETRANSLATE(B9547,""en"",""it"")"),"Diverse clip aggiuntive sembrano mostrare i ragazzi che giocano a biliardo in diversi modi.")</f>
        <v>Diverse clip aggiuntive sembrano mostrare i ragazzi che giocano a biliardo in diversi modi.</v>
      </c>
    </row>
    <row r="9548">
      <c r="A9548" s="4" t="s">
        <v>12005</v>
      </c>
      <c r="B9548" s="4" t="s">
        <v>12012</v>
      </c>
      <c r="C9548" s="5" t="str">
        <f>IFERROR(__xludf.DUMMYFUNCTION("GOOGLETRANSLATE(B9548,""en"",""it"")"),"Il video termina con uno dei ragazzi che si addormenta mentre suona.")</f>
        <v>Il video termina con uno dei ragazzi che si addormenta mentre suona.</v>
      </c>
    </row>
    <row r="9549">
      <c r="A9549" s="4" t="s">
        <v>12013</v>
      </c>
      <c r="B9549" s="4" t="s">
        <v>12014</v>
      </c>
      <c r="C9549" s="5" t="str">
        <f>IFERROR(__xludf.DUMMYFUNCTION("GOOGLETRANSLATE(B9549,""en"",""it"")"),"Un gruppo di bambini posa con le braccia in aria.")</f>
        <v>Un gruppo di bambini posa con le braccia in aria.</v>
      </c>
    </row>
    <row r="9550">
      <c r="A9550" s="4" t="s">
        <v>12013</v>
      </c>
      <c r="B9550" s="4" t="s">
        <v>12015</v>
      </c>
      <c r="C9550" s="5" t="str">
        <f>IFERROR(__xludf.DUMMYFUNCTION("GOOGLETRANSLATE(B9550,""en"",""it"")"),"Un altro gruppo di bambini posa che sostengono segni di pace.")</f>
        <v>Un altro gruppo di bambini posa che sostengono segni di pace.</v>
      </c>
    </row>
    <row r="9551">
      <c r="A9551" s="4" t="s">
        <v>12013</v>
      </c>
      <c r="B9551" s="4" t="s">
        <v>12016</v>
      </c>
      <c r="C9551" s="5" t="str">
        <f>IFERROR(__xludf.DUMMYFUNCTION("GOOGLETRANSLATE(B9551,""en"",""it"")"),"Un terzo gruppo di bambini si pone con le braccia l'una intorno all'altra.")</f>
        <v>Un terzo gruppo di bambini si pone con le braccia l'una intorno all'altra.</v>
      </c>
    </row>
    <row r="9552">
      <c r="A9552" s="4" t="s">
        <v>12013</v>
      </c>
      <c r="B9552" s="4" t="s">
        <v>12017</v>
      </c>
      <c r="C9552" s="5" t="str">
        <f>IFERROR(__xludf.DUMMYFUNCTION("GOOGLETRANSLATE(B9552,""en"",""it"")"),"Un quarto gruppo di bambini si pone con la bocca aperta.")</f>
        <v>Un quarto gruppo di bambini si pone con la bocca aperta.</v>
      </c>
    </row>
    <row r="9553">
      <c r="A9553" s="4" t="s">
        <v>12013</v>
      </c>
      <c r="B9553" s="4" t="s">
        <v>12018</v>
      </c>
      <c r="C9553" s="5" t="str">
        <f>IFERROR(__xludf.DUMMYFUNCTION("GOOGLETRANSLATE(B9553,""en"",""it"")"),"Un quinto gruppo di bambini pone sorridenti.")</f>
        <v>Un quinto gruppo di bambini pone sorridenti.</v>
      </c>
    </row>
    <row r="9554">
      <c r="A9554" s="4" t="s">
        <v>12013</v>
      </c>
      <c r="B9554" s="4" t="s">
        <v>12019</v>
      </c>
      <c r="C9554" s="5" t="str">
        <f>IFERROR(__xludf.DUMMYFUNCTION("GOOGLETRANSLATE(B9554,""en"",""it"")"),"Un gruppo di bambini si trova su una fila in palestra.")</f>
        <v>Un gruppo di bambini si trova su una fila in palestra.</v>
      </c>
    </row>
    <row r="9555">
      <c r="A9555" s="4" t="s">
        <v>12013</v>
      </c>
      <c r="B9555" s="4" t="s">
        <v>12020</v>
      </c>
      <c r="C9555" s="5" t="str">
        <f>IFERROR(__xludf.DUMMYFUNCTION("GOOGLETRANSLATE(B9555,""en"",""it"")"),"Una ragazza si lancia in palestra.")</f>
        <v>Una ragazza si lancia in palestra.</v>
      </c>
    </row>
    <row r="9556">
      <c r="A9556" s="4" t="s">
        <v>12013</v>
      </c>
      <c r="B9556" s="4" t="s">
        <v>12021</v>
      </c>
      <c r="C9556" s="5" t="str">
        <f>IFERROR(__xludf.DUMMYFUNCTION("GOOGLETRANSLATE(B9556,""en"",""it"")"),"Un ragazzo rimbalza una palla da schifo.")</f>
        <v>Un ragazzo rimbalza una palla da schifo.</v>
      </c>
    </row>
    <row r="9557">
      <c r="A9557" s="4" t="s">
        <v>12013</v>
      </c>
      <c r="B9557" s="4" t="s">
        <v>12022</v>
      </c>
      <c r="C9557" s="5" t="str">
        <f>IFERROR(__xludf.DUMMYFUNCTION("GOOGLETRANSLATE(B9557,""en"",""it"")"),"Un gruppo di bambini in blu corre tutti verso il centro della palestra.")</f>
        <v>Un gruppo di bambini in blu corre tutti verso il centro della palestra.</v>
      </c>
    </row>
    <row r="9558">
      <c r="A9558" s="4" t="s">
        <v>12013</v>
      </c>
      <c r="B9558" s="6" t="s">
        <v>12023</v>
      </c>
      <c r="C9558" s="5" t="str">
        <f>IFERROR(__xludf.DUMMYFUNCTION("GOOGLETRANSLATE(B9558,""en"",""it"")"),"Un ragazzo mira a una palla da schifo in un gruppo di bambini sul lato opposto della palestra e lancia la palla colpendo una di loro.")</f>
        <v>Un ragazzo mira a una palla da schifo in un gruppo di bambini sul lato opposto della palestra e lancia la palla colpendo una di loro.</v>
      </c>
    </row>
    <row r="9559">
      <c r="A9559" s="4" t="s">
        <v>12013</v>
      </c>
      <c r="B9559" s="4" t="s">
        <v>12024</v>
      </c>
      <c r="C9559" s="5" t="str">
        <f>IFERROR(__xludf.DUMMYFUNCTION("GOOGLETRANSLATE(B9559,""en"",""it"")"),"Celebra un ragazzo in blu.")</f>
        <v>Celebra un ragazzo in blu.</v>
      </c>
    </row>
    <row r="9560">
      <c r="A9560" s="4" t="s">
        <v>12013</v>
      </c>
      <c r="B9560" s="4" t="s">
        <v>12025</v>
      </c>
      <c r="C9560" s="5" t="str">
        <f>IFERROR(__xludf.DUMMYFUNCTION("GOOGLETRANSLATE(B9560,""en"",""it"")"),"Un altro ragazzo più grande in blu lancia una palla da schifo.")</f>
        <v>Un altro ragazzo più grande in blu lancia una palla da schifo.</v>
      </c>
    </row>
    <row r="9561">
      <c r="A9561" s="4" t="s">
        <v>12013</v>
      </c>
      <c r="B9561" s="4" t="s">
        <v>12026</v>
      </c>
      <c r="C9561" s="5" t="str">
        <f>IFERROR(__xludf.DUMMYFUNCTION("GOOGLETRANSLATE(B9561,""en"",""it"")"),"Un ragazzino corre in linea con due palle e lancia una di loro.")</f>
        <v>Un ragazzino corre in linea con due palle e lancia una di loro.</v>
      </c>
    </row>
    <row r="9562">
      <c r="A9562" s="4" t="s">
        <v>12013</v>
      </c>
      <c r="B9562" s="4" t="s">
        <v>12027</v>
      </c>
      <c r="C9562" s="5" t="str">
        <f>IFERROR(__xludf.DUMMYFUNCTION("GOOGLETRANSLATE(B9562,""en"",""it"")"),"Un ragazzo in blu lancia una palla mentre un ragazzo dietro di lui corre.")</f>
        <v>Un ragazzo in blu lancia una palla mentre un ragazzo dietro di lui corre.</v>
      </c>
    </row>
    <row r="9563">
      <c r="A9563" s="4" t="s">
        <v>12013</v>
      </c>
      <c r="B9563" s="4" t="s">
        <v>12028</v>
      </c>
      <c r="C9563" s="5" t="str">
        <f>IFERROR(__xludf.DUMMYFUNCTION("GOOGLETRANSLATE(B9563,""en"",""it"")"),"Un ragazzo in rosa lancia una palla.")</f>
        <v>Un ragazzo in rosa lancia una palla.</v>
      </c>
    </row>
    <row r="9564">
      <c r="A9564" s="4" t="s">
        <v>12013</v>
      </c>
      <c r="B9564" s="4" t="s">
        <v>12029</v>
      </c>
      <c r="C9564" s="5" t="str">
        <f>IFERROR(__xludf.DUMMYFUNCTION("GOOGLETRANSLATE(B9564,""en"",""it"")"),"Un ragazzo in bianco si abbassa e una palla vola sopra la testa.")</f>
        <v>Un ragazzo in bianco si abbassa e una palla vola sopra la testa.</v>
      </c>
    </row>
    <row r="9565">
      <c r="A9565" s="4" t="s">
        <v>12013</v>
      </c>
      <c r="B9565" s="4" t="s">
        <v>12030</v>
      </c>
      <c r="C9565" s="5" t="str">
        <f>IFERROR(__xludf.DUMMYFUNCTION("GOOGLETRANSLATE(B9565,""en"",""it"")"),"Un ragazzo in rosa e poi una ragazza in rosa lancia una palla.")</f>
        <v>Un ragazzo in rosa e poi una ragazza in rosa lancia una palla.</v>
      </c>
    </row>
    <row r="9566">
      <c r="A9566" s="4" t="s">
        <v>12013</v>
      </c>
      <c r="B9566" s="4" t="s">
        <v>12031</v>
      </c>
      <c r="C9566" s="5" t="str">
        <f>IFERROR(__xludf.DUMMYFUNCTION("GOOGLETRANSLATE(B9566,""en"",""it"")"),"Diversi bambini in bianco festeggiano.")</f>
        <v>Diversi bambini in bianco festeggiano.</v>
      </c>
    </row>
    <row r="9567">
      <c r="A9567" s="4" t="s">
        <v>12013</v>
      </c>
      <c r="B9567" s="4" t="s">
        <v>12032</v>
      </c>
      <c r="C9567" s="5" t="str">
        <f>IFERROR(__xludf.DUMMYFUNCTION("GOOGLETRANSLATE(B9567,""en"",""it"")"),"Un gruppo di bambini corre verso il centro della palestra.")</f>
        <v>Un gruppo di bambini corre verso il centro della palestra.</v>
      </c>
    </row>
    <row r="9568">
      <c r="A9568" s="4" t="s">
        <v>12013</v>
      </c>
      <c r="B9568" s="4" t="s">
        <v>12033</v>
      </c>
      <c r="C9568" s="5" t="str">
        <f>IFERROR(__xludf.DUMMYFUNCTION("GOOGLETRANSLATE(B9568,""en"",""it"")"),"La squadra bianca gioca e un giocatore molto giovane lancia la palla.")</f>
        <v>La squadra bianca gioca e un giocatore molto giovane lancia la palla.</v>
      </c>
    </row>
    <row r="9569">
      <c r="A9569" s="4" t="s">
        <v>12013</v>
      </c>
      <c r="B9569" s="4" t="s">
        <v>12034</v>
      </c>
      <c r="C9569" s="5" t="str">
        <f>IFERROR(__xludf.DUMMYFUNCTION("GOOGLETRANSLATE(B9569,""en"",""it"")"),"Un ragazzo in verde lancia la palla e la squadra blu corre per buttare indietro diverse palle.")</f>
        <v>Un ragazzo in verde lancia la palla e la squadra blu corre per buttare indietro diverse palle.</v>
      </c>
    </row>
    <row r="9570">
      <c r="A9570" s="4" t="s">
        <v>12013</v>
      </c>
      <c r="B9570" s="4" t="s">
        <v>12035</v>
      </c>
      <c r="C9570" s="5" t="str">
        <f>IFERROR(__xludf.DUMMYFUNCTION("GOOGLETRANSLATE(B9570,""en"",""it"")"),"Un altro ragazzo e ragazza corrono e lanciano una palla allo stesso tempo.")</f>
        <v>Un altro ragazzo e ragazza corrono e lanciano una palla allo stesso tempo.</v>
      </c>
    </row>
    <row r="9571">
      <c r="A9571" s="4" t="s">
        <v>12013</v>
      </c>
      <c r="B9571" s="4" t="s">
        <v>12036</v>
      </c>
      <c r="C9571" s="5" t="str">
        <f>IFERROR(__xludf.DUMMYFUNCTION("GOOGLETRANSLATE(B9571,""en"",""it"")"),"Un ragazzo in bianco lancia una palla.")</f>
        <v>Un ragazzo in bianco lancia una palla.</v>
      </c>
    </row>
    <row r="9572">
      <c r="A9572" s="4" t="s">
        <v>12013</v>
      </c>
      <c r="B9572" s="4" t="s">
        <v>12037</v>
      </c>
      <c r="C9572" s="5" t="str">
        <f>IFERROR(__xludf.DUMMYFUNCTION("GOOGLETRANSLATE(B9572,""en"",""it"")"),"Un gruppo di adulti si trova sulla linea sul pavimento della palestra.")</f>
        <v>Un gruppo di adulti si trova sulla linea sul pavimento della palestra.</v>
      </c>
    </row>
    <row r="9573">
      <c r="A9573" s="4" t="s">
        <v>12013</v>
      </c>
      <c r="B9573" s="4" t="s">
        <v>12038</v>
      </c>
      <c r="C9573" s="5" t="str">
        <f>IFERROR(__xludf.DUMMYFUNCTION("GOOGLETRANSLATE(B9573,""en"",""it"")"),"Gli adulti giocano a Do0dge Ball.")</f>
        <v>Gli adulti giocano a Do0dge Ball.</v>
      </c>
    </row>
    <row r="9574">
      <c r="A9574" s="4" t="s">
        <v>12013</v>
      </c>
      <c r="B9574" s="4" t="s">
        <v>12039</v>
      </c>
      <c r="C9574" s="5" t="str">
        <f>IFERROR(__xludf.DUMMYFUNCTION("GOOGLETRANSLATE(B9574,""en"",""it"")"),"Un gruppo di bambini e adulti regge i trofei e l'onda.")</f>
        <v>Un gruppo di bambini e adulti regge i trofei e l'onda.</v>
      </c>
    </row>
    <row r="9575">
      <c r="A9575" s="4" t="s">
        <v>12040</v>
      </c>
      <c r="B9575" s="4" t="s">
        <v>12041</v>
      </c>
      <c r="C9575" s="5" t="str">
        <f>IFERROR(__xludf.DUMMYFUNCTION("GOOGLETRANSLATE(B9575,""en"",""it"")"),"Uno skateboard per adolescenti lungo una strada mentre si gira e gira.")</f>
        <v>Uno skateboard per adolescenti lungo una strada mentre si gira e gira.</v>
      </c>
    </row>
    <row r="9576">
      <c r="A9576" s="4" t="s">
        <v>12040</v>
      </c>
      <c r="B9576" s="4" t="s">
        <v>12042</v>
      </c>
      <c r="C9576" s="5" t="str">
        <f>IFERROR(__xludf.DUMMYFUNCTION("GOOGLETRANSLATE(B9576,""en"",""it"")"),"Un altro skateboard giovanile sulla strada mentre si svolge.")</f>
        <v>Un altro skateboard giovanile sulla strada mentre si svolge.</v>
      </c>
    </row>
    <row r="9577">
      <c r="A9577" s="4" t="s">
        <v>12040</v>
      </c>
      <c r="B9577" s="4" t="s">
        <v>12043</v>
      </c>
      <c r="C9577" s="5" t="str">
        <f>IFERROR(__xludf.DUMMYFUNCTION("GOOGLETRANSLATE(B9577,""en"",""it"")"),"Un ragazzo tiene in mano uno skateboard.")</f>
        <v>Un ragazzo tiene in mano uno skateboard.</v>
      </c>
    </row>
    <row r="9578">
      <c r="A9578" s="4" t="s">
        <v>12040</v>
      </c>
      <c r="B9578" s="4" t="s">
        <v>12044</v>
      </c>
      <c r="C9578" s="5" t="str">
        <f>IFERROR(__xludf.DUMMYFUNCTION("GOOGLETRANSLATE(B9578,""en"",""it"")"),"Un giovane skateboard fino a una strada trafficata, poi l'adolescente continua lo skateboard.")</f>
        <v>Un giovane skateboard fino a una strada trafficata, poi l'adolescente continua lo skateboard.</v>
      </c>
    </row>
    <row r="9579">
      <c r="A9579" s="4" t="s">
        <v>12045</v>
      </c>
      <c r="B9579" s="4" t="s">
        <v>12046</v>
      </c>
      <c r="C9579" s="5" t="str">
        <f>IFERROR(__xludf.DUMMYFUNCTION("GOOGLETRANSLATE(B9579,""en"",""it"")"),"Un uomo mette l'attrezzatura da paintball in uno specchio afferra la sua pistola e corre attraverso la neve.")</f>
        <v>Un uomo mette l'attrezzatura da paintball in uno specchio afferra la sua pistola e corre attraverso la neve.</v>
      </c>
    </row>
    <row r="9580">
      <c r="A9580" s="4" t="s">
        <v>12045</v>
      </c>
      <c r="B9580" s="4" t="s">
        <v>12047</v>
      </c>
      <c r="C9580" s="5" t="str">
        <f>IFERROR(__xludf.DUMMYFUNCTION("GOOGLETRANSLATE(B9580,""en"",""it"")"),"Gli uomini si abbassano dietro alberi, muri di compensato e recinzioni su un campo di paintball.")</f>
        <v>Gli uomini si abbassano dietro alberi, muri di compensato e recinzioni su un campo di paintball.</v>
      </c>
    </row>
    <row r="9581">
      <c r="A9581" s="4" t="s">
        <v>12045</v>
      </c>
      <c r="B9581" s="4" t="s">
        <v>12048</v>
      </c>
      <c r="C9581" s="5" t="str">
        <f>IFERROR(__xludf.DUMMYFUNCTION("GOOGLETRANSLATE(B9581,""en"",""it"")"),"Gli uomini si sparano avanti e indietro.")</f>
        <v>Gli uomini si sparano avanti e indietro.</v>
      </c>
    </row>
    <row r="9582">
      <c r="A9582" s="4" t="s">
        <v>12045</v>
      </c>
      <c r="B9582" s="4" t="s">
        <v>12049</v>
      </c>
      <c r="C9582" s="5" t="str">
        <f>IFERROR(__xludf.DUMMYFUNCTION("GOOGLETRANSLATE(B9582,""en"",""it"")"),"Gli uomini corrono e anatra in cerca di un posto dove nascondersi.")</f>
        <v>Gli uomini corrono e anatra in cerca di un posto dove nascondersi.</v>
      </c>
    </row>
    <row r="9583">
      <c r="A9583" s="4" t="s">
        <v>12045</v>
      </c>
      <c r="B9583" s="4" t="s">
        <v>12050</v>
      </c>
      <c r="C9583" s="5" t="str">
        <f>IFERROR(__xludf.DUMMYFUNCTION("GOOGLETRANSLATE(B9583,""en"",""it"")"),"Gli uomini si siedono su entrambi i lati del muro che si cercano l'un l'altro, quindi si alzano e si affrontano.")</f>
        <v>Gli uomini si siedono su entrambi i lati del muro che si cercano l'un l'altro, quindi si alzano e si affrontano.</v>
      </c>
    </row>
    <row r="9584">
      <c r="A9584" s="4" t="s">
        <v>12045</v>
      </c>
      <c r="B9584" s="4" t="s">
        <v>12051</v>
      </c>
      <c r="C9584" s="5" t="str">
        <f>IFERROR(__xludf.DUMMYFUNCTION("GOOGLETRANSLATE(B9584,""en"",""it"")"),"Un uomo parla di fronte a un cartello del parco paintball.")</f>
        <v>Un uomo parla di fronte a un cartello del parco paintball.</v>
      </c>
    </row>
    <row r="9585">
      <c r="A9585" s="4" t="s">
        <v>12052</v>
      </c>
      <c r="B9585" s="4" t="s">
        <v>12053</v>
      </c>
      <c r="C9585" s="5" t="str">
        <f>IFERROR(__xludf.DUMMYFUNCTION("GOOGLETRANSLATE(B9585,""en"",""it"")"),"Diverse bici sono in un negozio in fila.")</f>
        <v>Diverse bici sono in un negozio in fila.</v>
      </c>
    </row>
    <row r="9586">
      <c r="A9586" s="4" t="s">
        <v>12052</v>
      </c>
      <c r="B9586" s="4" t="s">
        <v>12054</v>
      </c>
      <c r="C9586" s="5" t="str">
        <f>IFERROR(__xludf.DUMMYFUNCTION("GOOGLETRANSLATE(B9586,""en"",""it"")"),"Vediamo persone che guardano le bici e una grande scatola contenente una.")</f>
        <v>Vediamo persone che guardano le bici e una grande scatola contenente una.</v>
      </c>
    </row>
    <row r="9587">
      <c r="A9587" s="4" t="s">
        <v>12052</v>
      </c>
      <c r="B9587" s="4" t="s">
        <v>12055</v>
      </c>
      <c r="C9587" s="5" t="str">
        <f>IFERROR(__xludf.DUMMYFUNCTION("GOOGLETRANSLATE(B9587,""en"",""it"")"),"Un uomo apre la scatola e rimuove la bici, mostra i pezzi alla telecamera.")</f>
        <v>Un uomo apre la scatola e rimuove la bici, mostra i pezzi alla telecamera.</v>
      </c>
    </row>
    <row r="9588">
      <c r="A9588" s="4" t="s">
        <v>12056</v>
      </c>
      <c r="B9588" s="4" t="s">
        <v>12057</v>
      </c>
      <c r="C9588" s="5" t="str">
        <f>IFERROR(__xludf.DUMMYFUNCTION("GOOGLETRANSLATE(B9588,""en"",""it"")"),"Ehow e stile sono sullo schermo.")</f>
        <v>Ehow e stile sono sullo schermo.</v>
      </c>
    </row>
    <row r="9589">
      <c r="A9589" s="4" t="s">
        <v>12056</v>
      </c>
      <c r="B9589" s="4" t="s">
        <v>12058</v>
      </c>
      <c r="C9589" s="5" t="str">
        <f>IFERROR(__xludf.DUMMYFUNCTION("GOOGLETRANSLATE(B9589,""en"",""it"")"),"Una donna è in piedi a un tavolo con una scarpa e una lattina di lacca.")</f>
        <v>Una donna è in piedi a un tavolo con una scarpa e una lattina di lacca.</v>
      </c>
    </row>
    <row r="9590">
      <c r="A9590" s="4" t="s">
        <v>12056</v>
      </c>
      <c r="B9590" s="6" t="s">
        <v>12059</v>
      </c>
      <c r="C9590" s="5" t="str">
        <f>IFERROR(__xludf.DUMMYFUNCTION("GOOGLETRANSLATE(B9590,""en"",""it"")"),"La donna spruzza la lacca su un segno di scozzera sulla scarpa e prende una punta di cotone e strofina il marchio del graffio.")</f>
        <v>La donna spruzza la lacca su un segno di scozzera sulla scarpa e prende una punta di cotone e strofina il marchio del graffio.</v>
      </c>
    </row>
    <row r="9591">
      <c r="A9591" s="4" t="s">
        <v>12056</v>
      </c>
      <c r="B9591" s="4" t="s">
        <v>12060</v>
      </c>
      <c r="C9591" s="5" t="str">
        <f>IFERROR(__xludf.DUMMYFUNCTION("GOOGLETRANSLATE(B9591,""en"",""it"")"),"Il marchio di sculcchiato è sparito e parla con la telecamera.")</f>
        <v>Il marchio di sculcchiato è sparito e parla con la telecamera.</v>
      </c>
    </row>
    <row r="9592">
      <c r="A9592" s="4" t="s">
        <v>12056</v>
      </c>
      <c r="B9592" s="4" t="s">
        <v>12061</v>
      </c>
      <c r="C9592" s="5" t="str">
        <f>IFERROR(__xludf.DUMMYFUNCTION("GOOGLETRANSLATE(B9592,""en"",""it"")"),"Il video termina con un promo ehow.")</f>
        <v>Il video termina con un promo ehow.</v>
      </c>
    </row>
    <row r="9593">
      <c r="A9593" s="4" t="s">
        <v>12062</v>
      </c>
      <c r="B9593" s="6" t="s">
        <v>12063</v>
      </c>
      <c r="C9593" s="5" t="str">
        <f>IFERROR(__xludf.DUMMYFUNCTION("GOOGLETRANSLATE(B9593,""en"",""it"")"),"Un gruppo di uomini è in piedi un campo e un uomo rotola una palla rossa verso l'altra squadra e viene cacciato.")</f>
        <v>Un gruppo di uomini è in piedi un campo e un uomo rotola una palla rossa verso l'altra squadra e viene cacciato.</v>
      </c>
    </row>
    <row r="9594">
      <c r="A9594" s="4" t="s">
        <v>12062</v>
      </c>
      <c r="B9594" s="4" t="s">
        <v>12064</v>
      </c>
      <c r="C9594" s="5" t="str">
        <f>IFERROR(__xludf.DUMMYFUNCTION("GOOGLETRANSLATE(B9594,""en"",""it"")"),"Dopo, la squadra passa e continua a giocare a kickball.")</f>
        <v>Dopo, la squadra passa e continua a giocare a kickball.</v>
      </c>
    </row>
    <row r="9595">
      <c r="A9595" s="4" t="s">
        <v>12062</v>
      </c>
      <c r="B9595" s="6" t="s">
        <v>12065</v>
      </c>
      <c r="C9595" s="5" t="str">
        <f>IFERROR(__xludf.DUMMYFUNCTION("GOOGLETRANSLATE(B9595,""en"",""it"")"),"Ora si avvicinano altre due squadre e i capitani giocano Rock, Paper, Scissor per determinare chi inizierà la partita.")</f>
        <v>Ora si avvicinano altre due squadre e i capitani giocano Rock, Paper, Scissor per determinare chi inizierà la partita.</v>
      </c>
    </row>
    <row r="9596">
      <c r="A9596" s="4" t="s">
        <v>12062</v>
      </c>
      <c r="B9596" s="4" t="s">
        <v>12066</v>
      </c>
      <c r="C9596" s="5" t="str">
        <f>IFERROR(__xludf.DUMMYFUNCTION("GOOGLETRANSLATE(B9596,""en"",""it"")"),"La donna perde e gli uomini iniziano a giocare a calciare la palla e correre verso le basi.")</f>
        <v>La donna perde e gli uomini iniziano a giocare a calciare la palla e correre verso le basi.</v>
      </c>
    </row>
    <row r="9597">
      <c r="A9597" s="4" t="s">
        <v>12067</v>
      </c>
      <c r="B9597" s="4" t="s">
        <v>12068</v>
      </c>
      <c r="C9597" s="5" t="str">
        <f>IFERROR(__xludf.DUMMYFUNCTION("GOOGLETRANSLATE(B9597,""en"",""it"")"),"Un uomo cammina accanto a un ragazzo che sta falciando il prato.")</f>
        <v>Un uomo cammina accanto a un ragazzo che sta falciando il prato.</v>
      </c>
    </row>
    <row r="9598">
      <c r="A9598" s="4" t="s">
        <v>12067</v>
      </c>
      <c r="B9598" s="4" t="s">
        <v>12069</v>
      </c>
      <c r="C9598" s="5" t="str">
        <f>IFERROR(__xludf.DUMMYFUNCTION("GOOGLETRANSLATE(B9598,""en"",""it"")"),"Istruisce il ragazzo su come girare il tosaerba e girare intorno a un piccolo albero.")</f>
        <v>Istruisce il ragazzo su come girare il tosaerba e girare intorno a un piccolo albero.</v>
      </c>
    </row>
    <row r="9599">
      <c r="A9599" s="4" t="s">
        <v>12067</v>
      </c>
      <c r="B9599" s="4" t="s">
        <v>12070</v>
      </c>
      <c r="C9599" s="5" t="str">
        <f>IFERROR(__xludf.DUMMYFUNCTION("GOOGLETRANSLATE(B9599,""en"",""it"")"),"Continua a camminare e guidare il ragazzo.")</f>
        <v>Continua a camminare e guidare il ragazzo.</v>
      </c>
    </row>
    <row r="9600">
      <c r="A9600" s="4" t="s">
        <v>12071</v>
      </c>
      <c r="B9600" s="4" t="s">
        <v>12072</v>
      </c>
      <c r="C9600" s="5" t="str">
        <f>IFERROR(__xludf.DUMMYFUNCTION("GOOGLETRANSLATE(B9600,""en"",""it"")"),"Una donna che tiene una bambola annulla i bigodini dai capelli delle bambole.")</f>
        <v>Una donna che tiene una bambola annulla i bigodini dai capelli delle bambole.</v>
      </c>
    </row>
    <row r="9601">
      <c r="A9601" s="4" t="s">
        <v>12071</v>
      </c>
      <c r="B9601" s="4" t="s">
        <v>12073</v>
      </c>
      <c r="C9601" s="5" t="str">
        <f>IFERROR(__xludf.DUMMYFUNCTION("GOOGLETRANSLATE(B9601,""en"",""it"")"),"La donna scarica i capelli delle bambole.")</f>
        <v>La donna scarica i capelli delle bambole.</v>
      </c>
    </row>
    <row r="9602">
      <c r="A9602" s="4" t="s">
        <v>12071</v>
      </c>
      <c r="B9602" s="4" t="s">
        <v>12074</v>
      </c>
      <c r="C9602" s="5" t="str">
        <f>IFERROR(__xludf.DUMMYFUNCTION("GOOGLETRANSLATE(B9602,""en"",""it"")"),"La donna gira la bambola per sfoggiare la parte posteriore della testa delle bambole.")</f>
        <v>La donna gira la bambola per sfoggiare la parte posteriore della testa delle bambole.</v>
      </c>
    </row>
    <row r="9603">
      <c r="A9603" s="4" t="s">
        <v>12071</v>
      </c>
      <c r="B9603" s="4" t="s">
        <v>12075</v>
      </c>
      <c r="C9603" s="5" t="str">
        <f>IFERROR(__xludf.DUMMYFUNCTION("GOOGLETRANSLATE(B9603,""en"",""it"")"),"La donna continua a mostrare i capelli delle bambole.")</f>
        <v>La donna continua a mostrare i capelli delle bambole.</v>
      </c>
    </row>
    <row r="9604">
      <c r="A9604" s="4" t="s">
        <v>12076</v>
      </c>
      <c r="B9604" s="4" t="s">
        <v>12077</v>
      </c>
      <c r="C9604" s="5" t="str">
        <f>IFERROR(__xludf.DUMMYFUNCTION("GOOGLETRANSLATE(B9604,""en"",""it"")"),"Viene vista una persona che mette un peso seguito da una donna che solleva una barra sopra la testa.")</f>
        <v>Viene vista una persona che mette un peso seguito da una donna che solleva una barra sopra la testa.</v>
      </c>
    </row>
    <row r="9605">
      <c r="A9605" s="4" t="s">
        <v>12076</v>
      </c>
      <c r="B9605" s="4" t="s">
        <v>12078</v>
      </c>
      <c r="C9605" s="5" t="str">
        <f>IFERROR(__xludf.DUMMYFUNCTION("GOOGLETRANSLATE(B9605,""en"",""it"")"),"Un'altra persona viene vista dopo aver sollevato una grande serie di pesi sopra la testa.")</f>
        <v>Un'altra persona viene vista dopo aver sollevato una grande serie di pesi sopra la testa.</v>
      </c>
    </row>
    <row r="9606">
      <c r="A9606" s="4" t="s">
        <v>12076</v>
      </c>
      <c r="B9606" s="6" t="s">
        <v>12079</v>
      </c>
      <c r="C9606" s="5" t="str">
        <f>IFERROR(__xludf.DUMMYFUNCTION("GOOGLETRANSLATE(B9606,""en"",""it"")"),"Diverse altre persone vengono viste sollevare pesi pesanti sopra la testa mentre altri guardano sul lato.")</f>
        <v>Diverse altre persone vengono viste sollevare pesi pesanti sopra la testa mentre altri guardano sul lato.</v>
      </c>
    </row>
    <row r="9607">
      <c r="A9607" s="4" t="s">
        <v>12080</v>
      </c>
      <c r="B9607" s="4" t="s">
        <v>12081</v>
      </c>
      <c r="C9607" s="5" t="str">
        <f>IFERROR(__xludf.DUMMYFUNCTION("GOOGLETRANSLATE(B9607,""en"",""it"")"),"Viene visto un uomo parlare alla telecamera mentre tiene spugna e una levigatrice in ogni mano.")</f>
        <v>Viene visto un uomo parlare alla telecamera mentre tiene spugna e una levigatrice in ogni mano.</v>
      </c>
    </row>
    <row r="9608">
      <c r="A9608" s="4" t="s">
        <v>12080</v>
      </c>
      <c r="B9608" s="4" t="s">
        <v>12082</v>
      </c>
      <c r="C9608" s="5" t="str">
        <f>IFERROR(__xludf.DUMMYFUNCTION("GOOGLETRANSLATE(B9608,""en"",""it"")"),"L'uomo quindi bagna la levigatrice e la usa lungo una serie di sci.")</f>
        <v>L'uomo quindi bagna la levigatrice e la usa lungo una serie di sci.</v>
      </c>
    </row>
    <row r="9609">
      <c r="A9609" s="4" t="s">
        <v>12080</v>
      </c>
      <c r="B9609" s="4" t="s">
        <v>12083</v>
      </c>
      <c r="C9609" s="5" t="str">
        <f>IFERROR(__xludf.DUMMYFUNCTION("GOOGLETRANSLATE(B9609,""en"",""it"")"),"Lo guida lungo lo sci e si ferma per parlare con la telecamera e sorridere.")</f>
        <v>Lo guida lungo lo sci e si ferma per parlare con la telecamera e sorridere.</v>
      </c>
    </row>
    <row r="9610">
      <c r="A9610" s="4" t="s">
        <v>12084</v>
      </c>
      <c r="B9610" s="4" t="s">
        <v>2480</v>
      </c>
      <c r="C9610" s="5" t="str">
        <f>IFERROR(__xludf.DUMMYFUNCTION("GOOGLETRANSLATE(B9610,""en"",""it"")"),"Vediamo due schermi del titolo di apertura.")</f>
        <v>Vediamo due schermi del titolo di apertura.</v>
      </c>
    </row>
    <row r="9611">
      <c r="A9611" s="4" t="s">
        <v>12084</v>
      </c>
      <c r="B9611" s="4" t="s">
        <v>12085</v>
      </c>
      <c r="C9611" s="5" t="str">
        <f>IFERROR(__xludf.DUMMYFUNCTION("GOOGLETRANSLATE(B9611,""en"",""it"")"),"Una signora si siede su una vasca e parla mentre gioca con un cane.")</f>
        <v>Una signora si siede su una vasca e parla mentre gioca con un cane.</v>
      </c>
    </row>
    <row r="9612">
      <c r="A9612" s="4" t="s">
        <v>12084</v>
      </c>
      <c r="B9612" s="4" t="s">
        <v>12086</v>
      </c>
      <c r="C9612" s="5" t="str">
        <f>IFERROR(__xludf.DUMMYFUNCTION("GOOGLETRANSLATE(B9612,""en"",""it"")"),"La signora mette il cane in acqua e lo lava.")</f>
        <v>La signora mette il cane in acqua e lo lava.</v>
      </c>
    </row>
    <row r="9613">
      <c r="A9613" s="4" t="s">
        <v>12084</v>
      </c>
      <c r="B9613" s="4" t="s">
        <v>12087</v>
      </c>
      <c r="C9613" s="5" t="str">
        <f>IFERROR(__xludf.DUMMYFUNCTION("GOOGLETRANSLATE(B9613,""en"",""it"")"),"La signora aggiunge più sapone.")</f>
        <v>La signora aggiunge più sapone.</v>
      </c>
    </row>
    <row r="9614">
      <c r="A9614" s="4" t="s">
        <v>12084</v>
      </c>
      <c r="B9614" s="4" t="s">
        <v>12088</v>
      </c>
      <c r="C9614" s="5" t="str">
        <f>IFERROR(__xludf.DUMMYFUNCTION("GOOGLETRANSLATE(B9614,""en"",""it"")"),"La signora sciacqua il cane e lo avvolge in un asciugamano arancione di senape.")</f>
        <v>La signora sciacqua il cane e lo avvolge in un asciugamano arancione di senape.</v>
      </c>
    </row>
    <row r="9615">
      <c r="A9615" s="4" t="s">
        <v>12084</v>
      </c>
      <c r="B9615" s="4" t="s">
        <v>12089</v>
      </c>
      <c r="C9615" s="5" t="str">
        <f>IFERROR(__xludf.DUMMYFUNCTION("GOOGLETRANSLATE(B9615,""en"",""it"")"),"La signora si siede e parla mentre il cane si siede in grembo.")</f>
        <v>La signora si siede e parla mentre il cane si siede in grembo.</v>
      </c>
    </row>
    <row r="9616">
      <c r="A9616" s="4" t="s">
        <v>12084</v>
      </c>
      <c r="B9616" s="4" t="s">
        <v>12090</v>
      </c>
      <c r="C9616" s="5" t="str">
        <f>IFERROR(__xludf.DUMMYFUNCTION("GOOGLETRANSLATE(B9616,""en"",""it"")"),"I titoli di coda finali arrotolano lo schermo.")</f>
        <v>I titoli di coda finali arrotolano lo schermo.</v>
      </c>
    </row>
    <row r="9617">
      <c r="A9617" s="4" t="s">
        <v>12091</v>
      </c>
      <c r="B9617" s="4" t="s">
        <v>12092</v>
      </c>
      <c r="C9617" s="5" t="str">
        <f>IFERROR(__xludf.DUMMYFUNCTION("GOOGLETRANSLATE(B9617,""en"",""it"")"),"Un cerchio di erba verde è mostrato con una scia di rocce che lo circonda, un muro di mattoni e alcuni alberi.")</f>
        <v>Un cerchio di erba verde è mostrato con una scia di rocce che lo circonda, un muro di mattoni e alcuni alberi.</v>
      </c>
    </row>
    <row r="9618">
      <c r="A9618" s="4" t="s">
        <v>12091</v>
      </c>
      <c r="B9618" s="4" t="s">
        <v>12093</v>
      </c>
      <c r="C9618" s="5" t="str">
        <f>IFERROR(__xludf.DUMMYFUNCTION("GOOGLETRANSLATE(B9618,""en"",""it"")"),"Un uomo viene quindi e inizia a tagliare l'erba girando attorno al suo perimetro.")</f>
        <v>Un uomo viene quindi e inizia a tagliare l'erba girando attorno al suo perimetro.</v>
      </c>
    </row>
    <row r="9619">
      <c r="A9619" s="4" t="s">
        <v>12091</v>
      </c>
      <c r="B9619" s="6" t="s">
        <v>12094</v>
      </c>
      <c r="C9619" s="5" t="str">
        <f>IFERROR(__xludf.DUMMYFUNCTION("GOOGLETRANSLATE(B9619,""en"",""it"")"),"Dopo, prende il tosaerba e inizia ad andare verticalmente attraverso l'erba fino a quando il tutto non sarà stato completato.")</f>
        <v>Dopo, prende il tosaerba e inizia ad andare verticalmente attraverso l'erba fino a quando il tutto non sarà stato completato.</v>
      </c>
    </row>
    <row r="9620">
      <c r="A9620" s="4" t="s">
        <v>12095</v>
      </c>
      <c r="B9620" s="4" t="s">
        <v>12096</v>
      </c>
      <c r="C9620" s="5" t="str">
        <f>IFERROR(__xludf.DUMMYFUNCTION("GOOGLETRANSLATE(B9620,""en"",""it"")"),"Due persone stanno dimostrando Tai Chi.")</f>
        <v>Due persone stanno dimostrando Tai Chi.</v>
      </c>
    </row>
    <row r="9621">
      <c r="A9621" s="4" t="s">
        <v>12095</v>
      </c>
      <c r="B9621" s="4" t="s">
        <v>12097</v>
      </c>
      <c r="C9621" s="5" t="str">
        <f>IFERROR(__xludf.DUMMYFUNCTION("GOOGLETRANSLATE(B9621,""en"",""it"")"),"C'è un giardino con fiori colorati mostrati fuori dall'edificio della Tai Chi School.")</f>
        <v>C'è un giardino con fiori colorati mostrati fuori dall'edificio della Tai Chi School.</v>
      </c>
    </row>
    <row r="9622">
      <c r="A9622" s="4" t="s">
        <v>12095</v>
      </c>
      <c r="B9622" s="4" t="s">
        <v>12098</v>
      </c>
      <c r="C9622" s="5" t="str">
        <f>IFERROR(__xludf.DUMMYFUNCTION("GOOGLETRANSLATE(B9622,""en"",""it"")"),"Gli istruttori che indossano abiti blu mostrano le mosse di base utilizzate in Tai Chi.")</f>
        <v>Gli istruttori che indossano abiti blu mostrano le mosse di base utilizzate in Tai Chi.</v>
      </c>
    </row>
    <row r="9623">
      <c r="A9623" s="4" t="s">
        <v>12095</v>
      </c>
      <c r="B9623" s="4" t="s">
        <v>12099</v>
      </c>
      <c r="C9623" s="5" t="str">
        <f>IFERROR(__xludf.DUMMYFUNCTION("GOOGLETRANSLATE(B9623,""en"",""it"")"),"Stanno ondeggiando le mani sopra la testa da sinistra a destra.")</f>
        <v>Stanno ondeggiando le mani sopra la testa da sinistra a destra.</v>
      </c>
    </row>
    <row r="9624">
      <c r="A9624" s="4" t="s">
        <v>12095</v>
      </c>
      <c r="B9624" s="6" t="s">
        <v>12100</v>
      </c>
      <c r="C9624" s="5" t="str">
        <f>IFERROR(__xludf.DUMMYFUNCTION("GOOGLETRANSLATE(B9624,""en"",""it"")"),"Quindi l'istruttore dimostra la forza del braccio toccando il braccio destro sul braccio sinistro esteso.")</f>
        <v>Quindi l'istruttore dimostra la forza del braccio toccando il braccio destro sul braccio sinistro esteso.</v>
      </c>
    </row>
    <row r="9625">
      <c r="A9625" s="4" t="s">
        <v>12095</v>
      </c>
      <c r="B9625" s="6" t="s">
        <v>12101</v>
      </c>
      <c r="C9625" s="5" t="str">
        <f>IFERROR(__xludf.DUMMYFUNCTION("GOOGLETRANSLATE(B9625,""en"",""it"")"),"Entrambi gli istruttori si trovano uno di fronte all'altro mentre dimostrano movimenti di mano lenti e graduali.")</f>
        <v>Entrambi gli istruttori si trovano uno di fronte all'altro mentre dimostrano movimenti di mano lenti e graduali.</v>
      </c>
    </row>
    <row r="9626">
      <c r="A9626" s="4" t="s">
        <v>12102</v>
      </c>
      <c r="B9626" s="4" t="s">
        <v>12103</v>
      </c>
      <c r="C9626" s="5" t="str">
        <f>IFERROR(__xludf.DUMMYFUNCTION("GOOGLETRANSLATE(B9626,""en"",""it"")"),"Un uomo sta girando un arco e una freccia.")</f>
        <v>Un uomo sta girando un arco e una freccia.</v>
      </c>
    </row>
    <row r="9627">
      <c r="A9627" s="4" t="s">
        <v>12102</v>
      </c>
      <c r="B9627" s="4" t="s">
        <v>12104</v>
      </c>
      <c r="C9627" s="5" t="str">
        <f>IFERROR(__xludf.DUMMYFUNCTION("GOOGLETRANSLATE(B9627,""en"",""it"")"),"Viene mostrata la tavola Dart a cui stanno sparando.")</f>
        <v>Viene mostrata la tavola Dart a cui stanno sparando.</v>
      </c>
    </row>
    <row r="9628">
      <c r="A9628" s="4" t="s">
        <v>12102</v>
      </c>
      <c r="B9628" s="4" t="s">
        <v>12105</v>
      </c>
      <c r="C9628" s="5" t="str">
        <f>IFERROR(__xludf.DUMMYFUNCTION("GOOGLETRANSLATE(B9628,""en"",""it"")"),"Le persone festeggiano e applaudono le mani.")</f>
        <v>Le persone festeggiano e applaudono le mani.</v>
      </c>
    </row>
    <row r="9629">
      <c r="A9629" s="4" t="s">
        <v>12106</v>
      </c>
      <c r="B9629" s="4" t="s">
        <v>12107</v>
      </c>
      <c r="C9629" s="5" t="str">
        <f>IFERROR(__xludf.DUMMYFUNCTION("GOOGLETRANSLATE(B9629,""en"",""it"")"),"Un uomo è davanti a un lavello che parla e lava un piatto, poi lo mette sul bancone.")</f>
        <v>Un uomo è davanti a un lavello che parla e lava un piatto, poi lo mette sul bancone.</v>
      </c>
    </row>
    <row r="9630">
      <c r="A9630" s="4" t="s">
        <v>12106</v>
      </c>
      <c r="B9630" s="4" t="s">
        <v>12108</v>
      </c>
      <c r="C9630" s="5" t="str">
        <f>IFERROR(__xludf.DUMMYFUNCTION("GOOGLETRANSLATE(B9630,""en"",""it"")"),"L'uomo mette il sapone per il piatto su un piatto e lo strofina mentre sciacquava con acqua.")</f>
        <v>L'uomo mette il sapone per il piatto su un piatto e lo strofina mentre sciacquava con acqua.</v>
      </c>
    </row>
    <row r="9631">
      <c r="A9631" s="4" t="s">
        <v>12106</v>
      </c>
      <c r="B9631" s="4" t="s">
        <v>12109</v>
      </c>
      <c r="C9631" s="5" t="str">
        <f>IFERROR(__xludf.DUMMYFUNCTION("GOOGLETRANSLATE(B9631,""en"",""it"")"),"Quindi l'uomo mostra le sue braccia tatuate, quindi continua a lavare i piatti.")</f>
        <v>Quindi l'uomo mostra le sue braccia tatuate, quindi continua a lavare i piatti.</v>
      </c>
    </row>
    <row r="9632">
      <c r="A9632" s="4" t="s">
        <v>12110</v>
      </c>
      <c r="B9632" s="6" t="s">
        <v>12111</v>
      </c>
      <c r="C9632" s="5" t="str">
        <f>IFERROR(__xludf.DUMMYFUNCTION("GOOGLETRANSLATE(B9632,""en"",""it"")"),"I due tori si imbattono nell'altro e si sconfono di combattere fino a quando non si abbattono.")</f>
        <v>I due tori si imbattono nell'altro e si sconfono di combattere fino a quando non si abbattono.</v>
      </c>
    </row>
    <row r="9633">
      <c r="A9633" s="4" t="s">
        <v>12110</v>
      </c>
      <c r="B9633" s="6" t="s">
        <v>12112</v>
      </c>
      <c r="C9633" s="5" t="str">
        <f>IFERROR(__xludf.DUMMYFUNCTION("GOOGLETRANSLATE(B9633,""en"",""it"")"),"Quindi le persone corrono da loro e alcune stanno trattenendo la corda, mentre uno controlla la testa sanguinante.")</f>
        <v>Quindi le persone corrono da loro e alcune stanno trattenendo la corda, mentre uno controlla la testa sanguinante.</v>
      </c>
    </row>
    <row r="9634">
      <c r="A9634" s="4" t="s">
        <v>12113</v>
      </c>
      <c r="B9634" s="4" t="s">
        <v>5444</v>
      </c>
      <c r="C9634" s="5" t="str">
        <f>IFERROR(__xludf.DUMMYFUNCTION("GOOGLETRANSLATE(B9634,""en"",""it"")"),"Due uomini stanno lottando per un braccio su un tavolo.")</f>
        <v>Due uomini stanno lottando per un braccio su un tavolo.</v>
      </c>
    </row>
    <row r="9635">
      <c r="A9635" s="4" t="s">
        <v>12113</v>
      </c>
      <c r="B9635" s="4" t="s">
        <v>12114</v>
      </c>
      <c r="C9635" s="5" t="str">
        <f>IFERROR(__xludf.DUMMYFUNCTION("GOOGLETRANSLATE(B9635,""en"",""it"")"),"La porta si apre e un altro uomo entra e il braccio lotta.")</f>
        <v>La porta si apre e un altro uomo entra e il braccio lotta.</v>
      </c>
    </row>
    <row r="9636">
      <c r="A9636" s="4" t="s">
        <v>12113</v>
      </c>
      <c r="B9636" s="4" t="s">
        <v>12115</v>
      </c>
      <c r="C9636" s="5" t="str">
        <f>IFERROR(__xludf.DUMMYFUNCTION("GOOGLETRANSLATE(B9636,""en"",""it"")"),"Cominciano a combattere nella stanza.")</f>
        <v>Cominciano a combattere nella stanza.</v>
      </c>
    </row>
    <row r="9637">
      <c r="A9637" s="4" t="s">
        <v>12113</v>
      </c>
      <c r="B9637" s="4" t="s">
        <v>12116</v>
      </c>
      <c r="C9637" s="5" t="str">
        <f>IFERROR(__xludf.DUMMYFUNCTION("GOOGLETRANSLATE(B9637,""en"",""it"")"),"Armano di nuovo il lottamento al tavolo.")</f>
        <v>Armano di nuovo il lottamento al tavolo.</v>
      </c>
    </row>
    <row r="9638">
      <c r="A9638" s="4" t="s">
        <v>12117</v>
      </c>
      <c r="B9638" s="4" t="s">
        <v>12118</v>
      </c>
      <c r="C9638" s="5" t="str">
        <f>IFERROR(__xludf.DUMMYFUNCTION("GOOGLETRANSLATE(B9638,""en"",""it"")"),"La signora in rosa sta ballando sul palo sul palco.")</f>
        <v>La signora in rosa sta ballando sul palo sul palco.</v>
      </c>
    </row>
    <row r="9639">
      <c r="A9639" s="4" t="s">
        <v>12117</v>
      </c>
      <c r="B9639" s="4" t="s">
        <v>12119</v>
      </c>
      <c r="C9639" s="5" t="str">
        <f>IFERROR(__xludf.DUMMYFUNCTION("GOOGLETRANSLATE(B9639,""en"",""it"")"),"L'uomo sta suonando una tastiera, mentre l'altro uomo suona il tamburo.")</f>
        <v>L'uomo sta suonando una tastiera, mentre l'altro uomo suona il tamburo.</v>
      </c>
    </row>
    <row r="9640">
      <c r="A9640" s="4" t="s">
        <v>12117</v>
      </c>
      <c r="B9640" s="4" t="s">
        <v>12120</v>
      </c>
      <c r="C9640" s="5" t="str">
        <f>IFERROR(__xludf.DUMMYFUNCTION("GOOGLETRANSLATE(B9640,""en"",""it"")"),"La signora si voltò, turbinando sul palco e scuote i fianchi.")</f>
        <v>La signora si voltò, turbinando sul palco e scuote i fianchi.</v>
      </c>
    </row>
    <row r="9641">
      <c r="A9641" s="4" t="s">
        <v>12121</v>
      </c>
      <c r="B9641" s="4" t="s">
        <v>12122</v>
      </c>
      <c r="C9641" s="5" t="str">
        <f>IFERROR(__xludf.DUMMYFUNCTION("GOOGLETRANSLATE(B9641,""en"",""it"")"),"Vediamo un uomo che balla sulla copertina di un libro e poi su una strada.")</f>
        <v>Vediamo un uomo che balla sulla copertina di un libro e poi su una strada.</v>
      </c>
    </row>
    <row r="9642">
      <c r="A9642" s="4" t="s">
        <v>12121</v>
      </c>
      <c r="B9642" s="4" t="s">
        <v>12123</v>
      </c>
      <c r="C9642" s="5" t="str">
        <f>IFERROR(__xludf.DUMMYFUNCTION("GOOGLETRANSLATE(B9642,""en"",""it"")"),"Vediamo l'uomo seduto sul pavimento a parlare con una macchina fotografica.")</f>
        <v>Vediamo l'uomo seduto sul pavimento a parlare con una macchina fotografica.</v>
      </c>
    </row>
    <row r="9643">
      <c r="A9643" s="4" t="s">
        <v>12121</v>
      </c>
      <c r="B9643" s="4" t="s">
        <v>12124</v>
      </c>
      <c r="C9643" s="5" t="str">
        <f>IFERROR(__xludf.DUMMYFUNCTION("GOOGLETRANSLATE(B9643,""en"",""it"")"),"Vediamo l'uomo che illustra le mosse di danza delle pause.")</f>
        <v>Vediamo l'uomo che illustra le mosse di danza delle pause.</v>
      </c>
    </row>
    <row r="9644">
      <c r="A9644" s="4" t="s">
        <v>12121</v>
      </c>
      <c r="B9644" s="4" t="s">
        <v>12125</v>
      </c>
      <c r="C9644" s="5" t="str">
        <f>IFERROR(__xludf.DUMMYFUNCTION("GOOGLETRANSLATE(B9644,""en"",""it"")"),"L'uomo sta parlando e seduto fermo.")</f>
        <v>L'uomo sta parlando e seduto fermo.</v>
      </c>
    </row>
    <row r="9645">
      <c r="A9645" s="4" t="s">
        <v>12121</v>
      </c>
      <c r="B9645" s="4" t="s">
        <v>12126</v>
      </c>
      <c r="C9645" s="5" t="str">
        <f>IFERROR(__xludf.DUMMYFUNCTION("GOOGLETRANSLATE(B9645,""en"",""it"")"),"Vediamo l'uomo ballare velocemente.")</f>
        <v>Vediamo l'uomo ballare velocemente.</v>
      </c>
    </row>
    <row r="9646">
      <c r="A9646" s="4" t="s">
        <v>12121</v>
      </c>
      <c r="B9646" s="4" t="s">
        <v>12127</v>
      </c>
      <c r="C9646" s="5" t="str">
        <f>IFERROR(__xludf.DUMMYFUNCTION("GOOGLETRANSLATE(B9646,""en"",""it"")"),"Vediamo l'uomo eseguire una mossa per le gambe.")</f>
        <v>Vediamo l'uomo eseguire una mossa per le gambe.</v>
      </c>
    </row>
    <row r="9647">
      <c r="A9647" s="4" t="s">
        <v>12121</v>
      </c>
      <c r="B9647" s="4" t="s">
        <v>12128</v>
      </c>
      <c r="C9647" s="5" t="str">
        <f>IFERROR(__xludf.DUMMYFUNCTION("GOOGLETRANSLATE(B9647,""en"",""it"")"),"Vediamo una scena di chiusura animata e una pagina di iscrizione.")</f>
        <v>Vediamo una scena di chiusura animata e una pagina di iscrizione.</v>
      </c>
    </row>
    <row r="9648">
      <c r="A9648" s="4" t="s">
        <v>12129</v>
      </c>
      <c r="B9648" s="4" t="s">
        <v>12130</v>
      </c>
      <c r="C9648" s="5" t="str">
        <f>IFERROR(__xludf.DUMMYFUNCTION("GOOGLETRANSLATE(B9648,""en"",""it"")"),"Un uomo viene visto inginocchiarsi accanto a una gomma mentre tiene su vari strumenti.")</f>
        <v>Un uomo viene visto inginocchiarsi accanto a una gomma mentre tiene su vari strumenti.</v>
      </c>
    </row>
    <row r="9649">
      <c r="A9649" s="4" t="s">
        <v>12129</v>
      </c>
      <c r="B9649" s="4" t="s">
        <v>12131</v>
      </c>
      <c r="C9649" s="5" t="str">
        <f>IFERROR(__xludf.DUMMYFUNCTION("GOOGLETRANSLATE(B9649,""en"",""it"")"),"L'uomo decolla quindi un toppa e lo rimette sul pneumatico.")</f>
        <v>L'uomo decolla quindi un toppa e lo rimette sul pneumatico.</v>
      </c>
    </row>
    <row r="9650">
      <c r="A9650" s="4" t="s">
        <v>12129</v>
      </c>
      <c r="B9650" s="4" t="s">
        <v>12132</v>
      </c>
      <c r="C9650" s="5" t="str">
        <f>IFERROR(__xludf.DUMMYFUNCTION("GOOGLETRANSLATE(B9650,""en"",""it"")"),"Si gira per parlare con la telecamera.")</f>
        <v>Si gira per parlare con la telecamera.</v>
      </c>
    </row>
    <row r="9651">
      <c r="A9651" s="4" t="s">
        <v>12133</v>
      </c>
      <c r="B9651" s="4" t="s">
        <v>12134</v>
      </c>
      <c r="C9651" s="5" t="str">
        <f>IFERROR(__xludf.DUMMYFUNCTION("GOOGLETRANSLATE(B9651,""en"",""it"")"),"Uno strumento di intonaco bianco è mostrato con una maniglia di legno marrone su di esso.")</f>
        <v>Uno strumento di intonaco bianco è mostrato con una maniglia di legno marrone su di esso.</v>
      </c>
    </row>
    <row r="9652">
      <c r="A9652" s="4" t="s">
        <v>12133</v>
      </c>
      <c r="B9652" s="4" t="s">
        <v>12135</v>
      </c>
      <c r="C9652" s="5" t="str">
        <f>IFERROR(__xludf.DUMMYFUNCTION("GOOGLETRANSLATE(B9652,""en"",""it"")"),"Una persona quindi raccoglie e inizia a piegarlo mostrando come funziona l'oggetto.")</f>
        <v>Una persona quindi raccoglie e inizia a piegarlo mostrando come funziona l'oggetto.</v>
      </c>
    </row>
    <row r="9653">
      <c r="A9653" s="4" t="s">
        <v>12133</v>
      </c>
      <c r="B9653" s="6" t="s">
        <v>12136</v>
      </c>
      <c r="C9653" s="5" t="str">
        <f>IFERROR(__xludf.DUMMYFUNCTION("GOOGLETRANSLATE(B9653,""en"",""it"")"),"Dopo, l'oggetto viene dimostrato all'angolo delle pareti e quindi l'intonaco viene lavato nell'erba.")</f>
        <v>Dopo, l'oggetto viene dimostrato all'angolo delle pareti e quindi l'intonaco viene lavato nell'erba.</v>
      </c>
    </row>
    <row r="9654">
      <c r="A9654" s="4" t="s">
        <v>12137</v>
      </c>
      <c r="B9654" s="4" t="s">
        <v>12138</v>
      </c>
      <c r="C9654" s="5" t="str">
        <f>IFERROR(__xludf.DUMMYFUNCTION("GOOGLETRANSLATE(B9654,""en"",""it"")"),"Un uomo gareggia in una competizione da uomo forte e si trova su un tronco che lo taglia con un'ascia in mano.")</f>
        <v>Un uomo gareggia in una competizione da uomo forte e si trova su un tronco che lo taglia con un'ascia in mano.</v>
      </c>
    </row>
    <row r="9655">
      <c r="A9655" s="4" t="s">
        <v>12137</v>
      </c>
      <c r="B9655" s="4" t="s">
        <v>12139</v>
      </c>
      <c r="C9655" s="5" t="str">
        <f>IFERROR(__xludf.DUMMYFUNCTION("GOOGLETRANSLATE(B9655,""en"",""it"")"),"L'uomo finalmente divide il tronco sotto i suoi piedi.")</f>
        <v>L'uomo finalmente divide il tronco sotto i suoi piedi.</v>
      </c>
    </row>
    <row r="9656">
      <c r="A9656" s="4" t="s">
        <v>12137</v>
      </c>
      <c r="B9656" s="6" t="s">
        <v>12140</v>
      </c>
      <c r="C9656" s="5" t="str">
        <f>IFERROR(__xludf.DUMMYFUNCTION("GOOGLETRANSLATE(B9656,""en"",""it"")"),"Un secondo uomo nella competizione in gilet raccoglie e lascia cadere ripetutamente un grande peso sferico su una gomma.")</f>
        <v>Un secondo uomo nella competizione in gilet raccoglie e lascia cadere ripetutamente un grande peso sferico su una gomma.</v>
      </c>
    </row>
    <row r="9657">
      <c r="A9657" s="4" t="s">
        <v>12137</v>
      </c>
      <c r="B9657" s="4" t="s">
        <v>12141</v>
      </c>
      <c r="C9657" s="5" t="str">
        <f>IFERROR(__xludf.DUMMYFUNCTION("GOOGLETRANSLATE(B9657,""en"",""it"")"),"Un uomo in rosso passa a un registro e riceve un'ascia da un arbitro.")</f>
        <v>Un uomo in rosso passa a un registro e riceve un'ascia da un arbitro.</v>
      </c>
    </row>
    <row r="9658">
      <c r="A9658" s="4" t="s">
        <v>12142</v>
      </c>
      <c r="B9658" s="4" t="s">
        <v>12143</v>
      </c>
      <c r="C9658" s="5" t="str">
        <f>IFERROR(__xludf.DUMMYFUNCTION("GOOGLETRANSLATE(B9658,""en"",""it"")"),"Un uomo sta parlando all'interno di una stanza in una casa.")</f>
        <v>Un uomo sta parlando all'interno di una stanza in una casa.</v>
      </c>
    </row>
    <row r="9659">
      <c r="A9659" s="4" t="s">
        <v>12142</v>
      </c>
      <c r="B9659" s="4" t="s">
        <v>12144</v>
      </c>
      <c r="C9659" s="5" t="str">
        <f>IFERROR(__xludf.DUMMYFUNCTION("GOOGLETRANSLATE(B9659,""en"",""it"")"),"Tiene in mano un bastone e un violino.")</f>
        <v>Tiene in mano un bastone e un violino.</v>
      </c>
    </row>
    <row r="9660">
      <c r="A9660" s="4" t="s">
        <v>12142</v>
      </c>
      <c r="B9660" s="4" t="s">
        <v>12145</v>
      </c>
      <c r="C9660" s="5" t="str">
        <f>IFERROR(__xludf.DUMMYFUNCTION("GOOGLETRANSLATE(B9660,""en"",""it"")"),"Quindi dimostra come suonare il violino.")</f>
        <v>Quindi dimostra come suonare il violino.</v>
      </c>
    </row>
    <row r="9661">
      <c r="A9661" s="4" t="s">
        <v>12146</v>
      </c>
      <c r="B9661" s="4" t="s">
        <v>12147</v>
      </c>
      <c r="C9661" s="5" t="str">
        <f>IFERROR(__xludf.DUMMYFUNCTION("GOOGLETRANSLATE(B9661,""en"",""it"")"),"Due motociclisti professionisti sono in bicicletta al Peckham BMX Club.")</f>
        <v>Due motociclisti professionisti sono in bicicletta al Peckham BMX Club.</v>
      </c>
    </row>
    <row r="9662">
      <c r="A9662" s="4" t="s">
        <v>12146</v>
      </c>
      <c r="B9662" s="4" t="s">
        <v>12148</v>
      </c>
      <c r="C9662" s="5" t="str">
        <f>IFERROR(__xludf.DUMMYFUNCTION("GOOGLETRANSLATE(B9662,""en"",""it"")"),"I motociclisti stanno superando una superficie frenetica a tutta velocità.")</f>
        <v>I motociclisti stanno superando una superficie frenetica a tutta velocità.</v>
      </c>
    </row>
    <row r="9663">
      <c r="A9663" s="4" t="s">
        <v>12146</v>
      </c>
      <c r="B9663" s="4" t="s">
        <v>12149</v>
      </c>
      <c r="C9663" s="5" t="str">
        <f>IFERROR(__xludf.DUMMYFUNCTION("GOOGLETRANSLATE(B9663,""en"",""it"")"),"Ci sono molti altri motociclisti che fanno la stessa attività su un'altra superficie curva.")</f>
        <v>Ci sono molti altri motociclisti che fanno la stessa attività su un'altra superficie curva.</v>
      </c>
    </row>
    <row r="9664">
      <c r="A9664" s="4" t="s">
        <v>12146</v>
      </c>
      <c r="B9664" s="4" t="s">
        <v>12150</v>
      </c>
      <c r="C9664" s="5" t="str">
        <f>IFERROR(__xludf.DUMMYFUNCTION("GOOGLETRANSLATE(B9664,""en"",""it"")"),"Ci sono cinque motociclisti che indossano caschi in piedi pronti per iniziare una gara.")</f>
        <v>Ci sono cinque motociclisti che indossano caschi in piedi pronti per iniziare una gara.</v>
      </c>
    </row>
    <row r="9665">
      <c r="A9665" s="4" t="s">
        <v>12146</v>
      </c>
      <c r="B9665" s="4" t="s">
        <v>12151</v>
      </c>
      <c r="C9665" s="5" t="str">
        <f>IFERROR(__xludf.DUMMYFUNCTION("GOOGLETRANSLATE(B9665,""en"",""it"")"),"Iniziano a correre ad alta velocità su una strada curva.")</f>
        <v>Iniziano a correre ad alta velocità su una strada curva.</v>
      </c>
    </row>
    <row r="9666">
      <c r="A9666" s="4" t="s">
        <v>12146</v>
      </c>
      <c r="B9666" s="4" t="s">
        <v>12152</v>
      </c>
      <c r="C9666" s="5" t="str">
        <f>IFERROR(__xludf.DUMMYFUNCTION("GOOGLETRANSLATE(B9666,""en"",""it"")"),"Altri due lotti di piloti iniziano la stessa gara.")</f>
        <v>Altri due lotti di piloti iniziano la stessa gara.</v>
      </c>
    </row>
    <row r="9667">
      <c r="A9667" s="4" t="s">
        <v>12146</v>
      </c>
      <c r="B9667" s="4" t="s">
        <v>12153</v>
      </c>
      <c r="C9667" s="5" t="str">
        <f>IFERROR(__xludf.DUMMYFUNCTION("GOOGLETRANSLATE(B9667,""en"",""it"")"),"Un singolo motociclista sta attraversando la strada curva ad alta velocità.")</f>
        <v>Un singolo motociclista sta attraversando la strada curva ad alta velocità.</v>
      </c>
    </row>
    <row r="9668">
      <c r="A9668" s="4" t="s">
        <v>12154</v>
      </c>
      <c r="B9668" s="4" t="s">
        <v>12155</v>
      </c>
      <c r="C9668" s="5" t="str">
        <f>IFERROR(__xludf.DUMMYFUNCTION("GOOGLETRANSLATE(B9668,""en"",""it"")"),"Una persona che esegue un Wake Board con una corda d'acqua da sci.")</f>
        <v>Una persona che esegue un Wake Board con una corda d'acqua da sci.</v>
      </c>
    </row>
    <row r="9669">
      <c r="A9669" s="4" t="s">
        <v>12154</v>
      </c>
      <c r="B9669" s="4" t="s">
        <v>12156</v>
      </c>
      <c r="C9669" s="5" t="str">
        <f>IFERROR(__xludf.DUMMYFUNCTION("GOOGLETRANSLATE(B9669,""en"",""it"")"),"L'uomo salta un ostacolo più volte e atterra in acqua.")</f>
        <v>L'uomo salta un ostacolo più volte e atterra in acqua.</v>
      </c>
    </row>
    <row r="9670">
      <c r="A9670" s="4" t="s">
        <v>12154</v>
      </c>
      <c r="B9670" s="4" t="s">
        <v>12157</v>
      </c>
      <c r="C9670" s="5" t="str">
        <f>IFERROR(__xludf.DUMMYFUNCTION("GOOGLETRANSLATE(B9670,""en"",""it"")"),"Quindi, l'uomo salta l'ostacolo e gira in giro.")</f>
        <v>Quindi, l'uomo salta l'ostacolo e gira in giro.</v>
      </c>
    </row>
    <row r="9671">
      <c r="A9671" s="4" t="s">
        <v>12154</v>
      </c>
      <c r="B9671" s="4" t="s">
        <v>12158</v>
      </c>
      <c r="C9671" s="5" t="str">
        <f>IFERROR(__xludf.DUMMYFUNCTION("GOOGLETRANSLATE(B9671,""en"",""it"")"),"Quindi, l'uomo scivola sulle rampe mentre si gira in aria.")</f>
        <v>Quindi, l'uomo scivola sulle rampe mentre si gira in aria.</v>
      </c>
    </row>
    <row r="9672">
      <c r="A9672" s="4" t="s">
        <v>12159</v>
      </c>
      <c r="B9672" s="4" t="s">
        <v>12160</v>
      </c>
      <c r="C9672" s="5" t="str">
        <f>IFERROR(__xludf.DUMMYFUNCTION("GOOGLETRANSLATE(B9672,""en"",""it"")"),"Un uomo si esercita facendo tratti animati su una porta mentre tiene una racchetta da tennis.")</f>
        <v>Un uomo si esercita facendo tratti animati su una porta mentre tiene una racchetta da tennis.</v>
      </c>
    </row>
    <row r="9673">
      <c r="A9673" s="4" t="s">
        <v>12159</v>
      </c>
      <c r="B9673" s="4" t="s">
        <v>12161</v>
      </c>
      <c r="C9673" s="5" t="str">
        <f>IFERROR(__xludf.DUMMYFUNCTION("GOOGLETRANSLATE(B9673,""en"",""it"")"),"Una donna si avvicina a lui e i due iniziano a parlare.")</f>
        <v>Una donna si avvicina a lui e i due iniziano a parlare.</v>
      </c>
    </row>
    <row r="9674">
      <c r="A9674" s="4" t="s">
        <v>12159</v>
      </c>
      <c r="B9674" s="6" t="s">
        <v>12162</v>
      </c>
      <c r="C9674" s="5" t="str">
        <f>IFERROR(__xludf.DUMMYFUNCTION("GOOGLETRANSLATE(B9674,""en"",""it"")"),"L'uomo e la donna iniziano a giocare a tennis in una sala da palestra chiusa colpendo la palla da tennis contro un muro con la loro racchetta da tennis.")</f>
        <v>L'uomo e la donna iniziano a giocare a tennis in una sala da palestra chiusa colpendo la palla da tennis contro un muro con la loro racchetta da tennis.</v>
      </c>
    </row>
    <row r="9675">
      <c r="A9675" s="4" t="s">
        <v>12159</v>
      </c>
      <c r="B9675" s="6" t="s">
        <v>12163</v>
      </c>
      <c r="C9675" s="5" t="str">
        <f>IFERROR(__xludf.DUMMYFUNCTION("GOOGLETRANSLATE(B9675,""en"",""it"")"),"L'uomo diventa irato mentre gioca e inizia a calpestare, urlare, gestire selvaggiamente e spingere la donna sul pavimento quando cade mentre giocano.")</f>
        <v>L'uomo diventa irato mentre gioca e inizia a calpestare, urlare, gestire selvaggiamente e spingere la donna sul pavimento quando cade mentre giocano.</v>
      </c>
    </row>
    <row r="9676">
      <c r="A9676" s="4" t="s">
        <v>12159</v>
      </c>
      <c r="B9676" s="6" t="s">
        <v>12164</v>
      </c>
      <c r="C9676" s="5" t="str">
        <f>IFERROR(__xludf.DUMMYFUNCTION("GOOGLETRANSLATE(B9676,""en"",""it"")"),"Quando il gioco finisce la donna se ne va, sembra sconvolta e l'uomo sembra soddisfatto mentre inizia a fare tratti selvaggi di fronte alla porta e parlare con un'altra persona.")</f>
        <v>Quando il gioco finisce la donna se ne va, sembra sconvolta e l'uomo sembra soddisfatto mentre inizia a fare tratti selvaggi di fronte alla porta e parlare con un'altra persona.</v>
      </c>
    </row>
    <row r="9677">
      <c r="A9677" s="4" t="s">
        <v>12165</v>
      </c>
      <c r="B9677" s="4" t="s">
        <v>12166</v>
      </c>
      <c r="C9677" s="5" t="str">
        <f>IFERROR(__xludf.DUMMYFUNCTION("GOOGLETRANSLATE(B9677,""en"",""it"")"),"Una ragazza è in cima a un raggio di equilibrio.")</f>
        <v>Una ragazza è in cima a un raggio di equilibrio.</v>
      </c>
    </row>
    <row r="9678">
      <c r="A9678" s="4" t="s">
        <v>12165</v>
      </c>
      <c r="B9678" s="4" t="s">
        <v>12167</v>
      </c>
      <c r="C9678" s="5" t="str">
        <f>IFERROR(__xludf.DUMMYFUNCTION("GOOGLETRANSLATE(B9678,""en"",""it"")"),"Fa girare in avanti sul raggio.")</f>
        <v>Fa girare in avanti sul raggio.</v>
      </c>
    </row>
    <row r="9679">
      <c r="A9679" s="4" t="s">
        <v>12165</v>
      </c>
      <c r="B9679" s="4" t="s">
        <v>12168</v>
      </c>
      <c r="C9679" s="5" t="str">
        <f>IFERROR(__xludf.DUMMYFUNCTION("GOOGLETRANSLATE(B9679,""en"",""it"")"),"Guarda mentre altre ragazze fanno lo stesso.")</f>
        <v>Guarda mentre altre ragazze fanno lo stesso.</v>
      </c>
    </row>
    <row r="9680">
      <c r="A9680" s="4" t="s">
        <v>12169</v>
      </c>
      <c r="B9680" s="4" t="s">
        <v>12170</v>
      </c>
      <c r="C9680" s="5" t="str">
        <f>IFERROR(__xludf.DUMMYFUNCTION("GOOGLETRANSLATE(B9680,""en"",""it"")"),"C'è un ragazzo che gioca a lacrosse nel suo cortile.")</f>
        <v>C'è un ragazzo che gioca a lacrosse nel suo cortile.</v>
      </c>
    </row>
    <row r="9681">
      <c r="A9681" s="4" t="s">
        <v>12169</v>
      </c>
      <c r="B9681" s="4" t="s">
        <v>12171</v>
      </c>
      <c r="C9681" s="5" t="str">
        <f>IFERROR(__xludf.DUMMYFUNCTION("GOOGLETRANSLATE(B9681,""en"",""it"")"),"Tiene in mano un bastoncino di lacrosse giallo.")</f>
        <v>Tiene in mano un bastoncino di lacrosse giallo.</v>
      </c>
    </row>
    <row r="9682">
      <c r="A9682" s="4" t="s">
        <v>12169</v>
      </c>
      <c r="B9682" s="4" t="s">
        <v>12172</v>
      </c>
      <c r="C9682" s="5" t="str">
        <f>IFERROR(__xludf.DUMMYFUNCTION("GOOGLETRANSLATE(B9682,""en"",""it"")"),"È eccitato mentre gioca il gioco mentre sua madre lo rallegra per giocare.")</f>
        <v>È eccitato mentre gioca il gioco mentre sua madre lo rallegra per giocare.</v>
      </c>
    </row>
    <row r="9683">
      <c r="A9683" s="4" t="s">
        <v>12169</v>
      </c>
      <c r="B9683" s="4" t="s">
        <v>12173</v>
      </c>
      <c r="C9683" s="5" t="str">
        <f>IFERROR(__xludf.DUMMYFUNCTION("GOOGLETRANSLATE(B9683,""en"",""it"")"),"Prende la palla gialla e la lancia verso suo padre.")</f>
        <v>Prende la palla gialla e la lancia verso suo padre.</v>
      </c>
    </row>
    <row r="9684">
      <c r="A9684" s="4" t="s">
        <v>12169</v>
      </c>
      <c r="B9684" s="4" t="s">
        <v>12174</v>
      </c>
      <c r="C9684" s="5" t="str">
        <f>IFERROR(__xludf.DUMMYFUNCTION("GOOGLETRANSLATE(B9684,""en"",""it"")"),"Quando suo padre gli lancia la palla, la prende con il bastone di lacrosse.")</f>
        <v>Quando suo padre gli lancia la palla, la prende con il bastone di lacrosse.</v>
      </c>
    </row>
    <row r="9685">
      <c r="A9685" s="4" t="s">
        <v>12169</v>
      </c>
      <c r="B9685" s="4" t="s">
        <v>12175</v>
      </c>
      <c r="C9685" s="5" t="str">
        <f>IFERROR(__xludf.DUMMYFUNCTION("GOOGLETRANSLATE(B9685,""en"",""it"")"),"Sua madre si eccita e grida per lui.")</f>
        <v>Sua madre si eccita e grida per lui.</v>
      </c>
    </row>
    <row r="9686">
      <c r="A9686" s="4" t="s">
        <v>12176</v>
      </c>
      <c r="B9686" s="4" t="s">
        <v>12177</v>
      </c>
      <c r="C9686" s="5" t="str">
        <f>IFERROR(__xludf.DUMMYFUNCTION("GOOGLETRANSLATE(B9686,""en"",""it"")"),"Una donna tenta di togliersi il caffè da uno scompartimento di guanti, ma non si muoverà.")</f>
        <v>Una donna tenta di togliersi il caffè da uno scompartimento di guanti, ma non si muoverà.</v>
      </c>
    </row>
    <row r="9687">
      <c r="A9687" s="4" t="s">
        <v>12176</v>
      </c>
      <c r="B9687" s="4" t="s">
        <v>12178</v>
      </c>
      <c r="C9687" s="5" t="str">
        <f>IFERROR(__xludf.DUMMYFUNCTION("GOOGLETRANSLATE(B9687,""en"",""it"")"),"Si sporge in avanti, agitando via l'uomo della telecamera mentre cerca di bere qualcosa.")</f>
        <v>Si sporge in avanti, agitando via l'uomo della telecamera mentre cerca di bere qualcosa.</v>
      </c>
    </row>
    <row r="9688">
      <c r="A9688" s="4" t="s">
        <v>12176</v>
      </c>
      <c r="B9688" s="4" t="s">
        <v>12179</v>
      </c>
      <c r="C9688" s="5" t="str">
        <f>IFERROR(__xludf.DUMMYFUNCTION("GOOGLETRANSLATE(B9688,""en"",""it"")"),"Alla fine è in grado di rimuovere la tazza.")</f>
        <v>Alla fine è in grado di rimuovere la tazza.</v>
      </c>
    </row>
    <row r="9689">
      <c r="A9689" s="4" t="s">
        <v>12180</v>
      </c>
      <c r="B9689" s="4" t="s">
        <v>12181</v>
      </c>
      <c r="C9689" s="5" t="str">
        <f>IFERROR(__xludf.DUMMYFUNCTION("GOOGLETRANSLATE(B9689,""en"",""it"")"),"Un uomo viene visto afferrare un disco e arricciarsi lungo il ghiaccio di fronte agli altri.")</f>
        <v>Un uomo viene visto afferrare un disco e arricciarsi lungo il ghiaccio di fronte agli altri.</v>
      </c>
    </row>
    <row r="9690">
      <c r="A9690" s="4" t="s">
        <v>12180</v>
      </c>
      <c r="B9690" s="4" t="s">
        <v>12182</v>
      </c>
      <c r="C9690" s="5" t="str">
        <f>IFERROR(__xludf.DUMMYFUNCTION("GOOGLETRANSLATE(B9690,""en"",""it"")"),"La gente spinge il disco giù per il ghiaccio e festeggia l'uno con l'altro.")</f>
        <v>La gente spinge il disco giù per il ghiaccio e festeggia l'uno con l'altro.</v>
      </c>
    </row>
    <row r="9691">
      <c r="A9691" s="4" t="s">
        <v>12180</v>
      </c>
      <c r="B9691" s="4" t="s">
        <v>12183</v>
      </c>
      <c r="C9691" s="5" t="str">
        <f>IFERROR(__xludf.DUMMYFUNCTION("GOOGLETRANSLATE(B9691,""en"",""it"")"),"Le persone a bordo campo esaltano e gli uomini se ne vanno.")</f>
        <v>Le persone a bordo campo esaltano e gli uomini se ne vanno.</v>
      </c>
    </row>
    <row r="9692">
      <c r="A9692" s="4" t="s">
        <v>12184</v>
      </c>
      <c r="B9692" s="4" t="s">
        <v>12185</v>
      </c>
      <c r="C9692" s="5" t="str">
        <f>IFERROR(__xludf.DUMMYFUNCTION("GOOGLETRANSLATE(B9692,""en"",""it"")"),"Un gruppo di uomini fa salti freestyle in tutta la città.")</f>
        <v>Un gruppo di uomini fa salti freestyle in tutta la città.</v>
      </c>
    </row>
    <row r="9693">
      <c r="A9693" s="4" t="s">
        <v>12184</v>
      </c>
      <c r="B9693" s="4" t="s">
        <v>12186</v>
      </c>
      <c r="C9693" s="5" t="str">
        <f>IFERROR(__xludf.DUMMYFUNCTION("GOOGLETRANSLATE(B9693,""en"",""it"")"),"Gli uomini corrono insieme in un gruppo.")</f>
        <v>Gli uomini corrono insieme in un gruppo.</v>
      </c>
    </row>
    <row r="9694">
      <c r="A9694" s="4" t="s">
        <v>12184</v>
      </c>
      <c r="B9694" s="4" t="s">
        <v>12187</v>
      </c>
      <c r="C9694" s="5" t="str">
        <f>IFERROR(__xludf.DUMMYFUNCTION("GOOGLETRANSLATE(B9694,""en"",""it"")"),"Ogni uomo fa un set di salti multipli in una linea continua.")</f>
        <v>Ogni uomo fa un set di salti multipli in una linea continua.</v>
      </c>
    </row>
    <row r="9695">
      <c r="A9695" s="4" t="s">
        <v>12184</v>
      </c>
      <c r="B9695" s="4" t="s">
        <v>12188</v>
      </c>
      <c r="C9695" s="5" t="str">
        <f>IFERROR(__xludf.DUMMYFUNCTION("GOOGLETRANSLATE(B9695,""en"",""it"")"),"Le riprese sono interrotte dallo staff di costruzione.")</f>
        <v>Le riprese sono interrotte dallo staff di costruzione.</v>
      </c>
    </row>
    <row r="9696">
      <c r="A9696" s="4" t="s">
        <v>12189</v>
      </c>
      <c r="B9696" s="6" t="s">
        <v>12190</v>
      </c>
      <c r="C9696" s="5" t="str">
        <f>IFERROR(__xludf.DUMMYFUNCTION("GOOGLETRANSLATE(B9696,""en"",""it"")"),"Viene vista una donna che cammina in un telaio e annuendo verso la telecamera che le conduce nel suo collutorio per versare fuori e in bocca.")</f>
        <v>Viene vista una donna che cammina in un telaio e annuendo verso la telecamera che le conduce nel suo collutorio per versare fuori e in bocca.</v>
      </c>
    </row>
    <row r="9697">
      <c r="A9697" s="4" t="s">
        <v>12189</v>
      </c>
      <c r="B9697" s="4" t="s">
        <v>12191</v>
      </c>
      <c r="C9697" s="5" t="str">
        <f>IFERROR(__xludf.DUMMYFUNCTION("GOOGLETRANSLATE(B9697,""en"",""it"")"),"Sciacqua il collutorio intorno, gorgoglia il liquido in bocca, poi lo sputa e sorride.")</f>
        <v>Sciacqua il collutorio intorno, gorgoglia il liquido in bocca, poi lo sputa e sorride.</v>
      </c>
    </row>
    <row r="9698">
      <c r="A9698" s="4" t="s">
        <v>12192</v>
      </c>
      <c r="B9698" s="4" t="s">
        <v>12193</v>
      </c>
      <c r="C9698" s="5" t="str">
        <f>IFERROR(__xludf.DUMMYFUNCTION("GOOGLETRANSLATE(B9698,""en"",""it"")"),"Un giovane si trova sulla linea di inizio di una piscina.")</f>
        <v>Un giovane si trova sulla linea di inizio di una piscina.</v>
      </c>
    </row>
    <row r="9699">
      <c r="A9699" s="4" t="s">
        <v>12192</v>
      </c>
      <c r="B9699" s="4" t="s">
        <v>12194</v>
      </c>
      <c r="C9699" s="5" t="str">
        <f>IFERROR(__xludf.DUMMYFUNCTION("GOOGLETRANSLATE(B9699,""en"",""it"")"),"Quindi, il giovane entra in acqua e nuota dall'altra parte della trazione.")</f>
        <v>Quindi, il giovane entra in acqua e nuota dall'altra parte della trazione.</v>
      </c>
    </row>
    <row r="9700">
      <c r="A9700" s="4" t="s">
        <v>12192</v>
      </c>
      <c r="B9700" s="4" t="s">
        <v>12195</v>
      </c>
      <c r="C9700" s="5" t="str">
        <f>IFERROR(__xludf.DUMMYFUNCTION("GOOGLETRANSLATE(B9700,""en"",""it"")"),"Dopo, il giovane scende dalla piscina.")</f>
        <v>Dopo, il giovane scende dalla piscina.</v>
      </c>
    </row>
    <row r="9701">
      <c r="A9701" s="4" t="s">
        <v>12196</v>
      </c>
      <c r="B9701" s="4" t="s">
        <v>12197</v>
      </c>
      <c r="C9701" s="5" t="str">
        <f>IFERROR(__xludf.DUMMYFUNCTION("GOOGLETRANSLATE(B9701,""en"",""it"")"),"Due uomini fanno la doccia sotto una doccia esterna.")</f>
        <v>Due uomini fanno la doccia sotto una doccia esterna.</v>
      </c>
    </row>
    <row r="9702">
      <c r="A9702" s="4" t="s">
        <v>12196</v>
      </c>
      <c r="B9702" s="4" t="s">
        <v>12198</v>
      </c>
      <c r="C9702" s="5" t="str">
        <f>IFERROR(__xludf.DUMMYFUNCTION("GOOGLETRANSLATE(B9702,""en"",""it"")"),"Le persone giocano a polo d'acqua in acqua.")</f>
        <v>Le persone giocano a polo d'acqua in acqua.</v>
      </c>
    </row>
    <row r="9703">
      <c r="A9703" s="4" t="s">
        <v>12196</v>
      </c>
      <c r="B9703" s="4" t="s">
        <v>12199</v>
      </c>
      <c r="C9703" s="5" t="str">
        <f>IFERROR(__xludf.DUMMYFUNCTION("GOOGLETRANSLATE(B9703,""en"",""it"")"),"Uscono dall'acqua e camminano accanto alla piscina.")</f>
        <v>Uscono dall'acqua e camminano accanto alla piscina.</v>
      </c>
    </row>
    <row r="9704">
      <c r="A9704" s="4" t="s">
        <v>12200</v>
      </c>
      <c r="B9704" s="4" t="s">
        <v>12201</v>
      </c>
      <c r="C9704" s="5" t="str">
        <f>IFERROR(__xludf.DUMMYFUNCTION("GOOGLETRANSLATE(B9704,""en"",""it"")"),"Un gruppo di donne è raccolto in una palestra indoor.")</f>
        <v>Un gruppo di donne è raccolto in una palestra indoor.</v>
      </c>
    </row>
    <row r="9705">
      <c r="A9705" s="4" t="s">
        <v>12200</v>
      </c>
      <c r="B9705" s="4" t="s">
        <v>12202</v>
      </c>
      <c r="C9705" s="5" t="str">
        <f>IFERROR(__xludf.DUMMYFUNCTION("GOOGLETRANSLATE(B9705,""en"",""it"")"),"Sono guidati da un istruttore.")</f>
        <v>Sono guidati da un istruttore.</v>
      </c>
    </row>
    <row r="9706">
      <c r="A9706" s="4" t="s">
        <v>12200</v>
      </c>
      <c r="B9706" s="4" t="s">
        <v>12203</v>
      </c>
      <c r="C9706" s="5" t="str">
        <f>IFERROR(__xludf.DUMMYFUNCTION("GOOGLETRANSLATE(B9706,""en"",""it"")"),"Stanno facendo balli Zumba usando stepper.")</f>
        <v>Stanno facendo balli Zumba usando stepper.</v>
      </c>
    </row>
    <row r="9707">
      <c r="A9707" s="4" t="s">
        <v>12204</v>
      </c>
      <c r="B9707" s="4" t="s">
        <v>12205</v>
      </c>
      <c r="C9707" s="5" t="str">
        <f>IFERROR(__xludf.DUMMYFUNCTION("GOOGLETRANSLATE(B9707,""en"",""it"")"),"Una linea di coltelli e utensili da taglio sono su un tavolo.")</f>
        <v>Una linea di coltelli e utensili da taglio sono su un tavolo.</v>
      </c>
    </row>
    <row r="9708">
      <c r="A9708" s="4" t="s">
        <v>12204</v>
      </c>
      <c r="B9708" s="4" t="s">
        <v>12206</v>
      </c>
      <c r="C9708" s="5" t="str">
        <f>IFERROR(__xludf.DUMMYFUNCTION("GOOGLETRANSLATE(B9708,""en"",""it"")"),"Una donna sta tagliando la parte superiore di una zucca e rastrella i semi in una ciotola.")</f>
        <v>Una donna sta tagliando la parte superiore di una zucca e rastrella i semi in una ciotola.</v>
      </c>
    </row>
    <row r="9709">
      <c r="A9709" s="4" t="s">
        <v>12204</v>
      </c>
      <c r="B9709" s="4" t="s">
        <v>12207</v>
      </c>
      <c r="C9709" s="5" t="str">
        <f>IFERROR(__xludf.DUMMYFUNCTION("GOOGLETRANSLATE(B9709,""en"",""it"")"),"Quindi inizia a sventrare i semi dalla zucca.")</f>
        <v>Quindi inizia a sventrare i semi dalla zucca.</v>
      </c>
    </row>
    <row r="9710">
      <c r="A9710" s="4" t="s">
        <v>12204</v>
      </c>
      <c r="B9710" s="4" t="s">
        <v>12208</v>
      </c>
      <c r="C9710" s="5" t="str">
        <f>IFERROR(__xludf.DUMMYFUNCTION("GOOGLETRANSLATE(B9710,""en"",""it"")"),"Disegna una faccia all'esterno prima di usare un coltello per iniziare a scolpire la faccia della sua zucca.")</f>
        <v>Disegna una faccia all'esterno prima di usare un coltello per iniziare a scolpire la faccia della sua zucca.</v>
      </c>
    </row>
    <row r="9711">
      <c r="A9711" s="4" t="s">
        <v>12204</v>
      </c>
      <c r="B9711" s="4" t="s">
        <v>12209</v>
      </c>
      <c r="C9711" s="5" t="str">
        <f>IFERROR(__xludf.DUMMYFUNCTION("GOOGLETRANSLATE(B9711,""en"",""it"")"),"Alla fine riesce la parte superiore in posizione e mette dentro una candela.")</f>
        <v>Alla fine riesce la parte superiore in posizione e mette dentro una candela.</v>
      </c>
    </row>
    <row r="9712">
      <c r="A9712" s="4" t="s">
        <v>12210</v>
      </c>
      <c r="B9712" s="4" t="s">
        <v>12211</v>
      </c>
      <c r="C9712" s="5" t="str">
        <f>IFERROR(__xludf.DUMMYFUNCTION("GOOGLETRANSLATE(B9712,""en"",""it"")"),"Michele Obama e un'altra donna sono Hula Hooping fuori in una giornata di sole.")</f>
        <v>Michele Obama e un'altra donna sono Hula Hooping fuori in una giornata di sole.</v>
      </c>
    </row>
    <row r="9713">
      <c r="A9713" s="4" t="s">
        <v>12210</v>
      </c>
      <c r="B9713" s="6" t="s">
        <v>12212</v>
      </c>
      <c r="C9713" s="5" t="str">
        <f>IFERROR(__xludf.DUMMYFUNCTION("GOOGLETRANSLATE(B9713,""en"",""it"")"),"Mentre la telecamera ingrandisce anche un ragazzo e un'altra donna a lato, si vedono anche Hula Hoop mentre le persone dietro le corrono.")</f>
        <v>Mentre la telecamera ingrandisce anche un ragazzo e un'altra donna a lato, si vedono anche Hula Hoop mentre le persone dietro le corrono.</v>
      </c>
    </row>
    <row r="9714">
      <c r="A9714" s="4" t="s">
        <v>12210</v>
      </c>
      <c r="B9714" s="6" t="s">
        <v>12213</v>
      </c>
      <c r="C9714" s="5" t="str">
        <f>IFERROR(__xludf.DUMMYFUNCTION("GOOGLETRANSLATE(B9714,""en"",""it"")"),"Un primo piano in faccia a Michele Obama in cui sembra che si stia allenando, facendo un sorriso sul viso.")</f>
        <v>Un primo piano in faccia a Michele Obama in cui sembra che si stia allenando, facendo un sorriso sul viso.</v>
      </c>
    </row>
    <row r="9715">
      <c r="A9715" s="4" t="s">
        <v>12210</v>
      </c>
      <c r="B9715" s="6" t="s">
        <v>12214</v>
      </c>
      <c r="C9715" s="5" t="str">
        <f>IFERROR(__xludf.DUMMYFUNCTION("GOOGLETRANSLATE(B9715,""en"",""it"")"),"La telecamera si angolare fino ai fianchi delle due donne con i cerchi di hula come all'inizio e torna a vedere principalmente solo la faccia di Michele.")</f>
        <v>La telecamera si angolare fino ai fianchi delle due donne con i cerchi di hula come all'inizio e torna a vedere principalmente solo la faccia di Michele.</v>
      </c>
    </row>
    <row r="9716">
      <c r="A9716" s="4" t="s">
        <v>12210</v>
      </c>
      <c r="B9716" s="6" t="s">
        <v>12215</v>
      </c>
      <c r="C9716" s="5" t="str">
        <f>IFERROR(__xludf.DUMMYFUNCTION("GOOGLETRANSLATE(B9716,""en"",""it"")"),"Michele ora corre e salta in un jumprope in cui non riesce a saltare con successo nella corda del salto due volte, entrambe le volte sembrano imbarazzate.")</f>
        <v>Michele ora corre e salta in un jumprope in cui non riesce a saltare con successo nella corda del salto due volte, entrambe le volte sembrano imbarazzate.</v>
      </c>
    </row>
    <row r="9717">
      <c r="A9717" s="4" t="s">
        <v>12210</v>
      </c>
      <c r="B9717" s="6" t="s">
        <v>12216</v>
      </c>
      <c r="C9717" s="5" t="str">
        <f>IFERROR(__xludf.DUMMYFUNCTION("GOOGLETRANSLATE(B9717,""en"",""it"")"),"La terza volta che si prepara e corre verso la corda del salto saltando con successo un paio di volte prima di non essere più in grado di fare.")</f>
        <v>La terza volta che si prepara e corre verso la corda del salto saltando con successo un paio di volte prima di non essere più in grado di fare.</v>
      </c>
    </row>
    <row r="9718">
      <c r="A9718" s="4" t="s">
        <v>12210</v>
      </c>
      <c r="B9718" s="4" t="s">
        <v>12217</v>
      </c>
      <c r="C9718" s="5" t="str">
        <f>IFERROR(__xludf.DUMMYFUNCTION("GOOGLETRANSLATE(B9718,""en"",""it"")"),"Ora Michele sta attraversando un percorso a terra, mentre un giovane si sposta dietro.")</f>
        <v>Ora Michele sta attraversando un percorso a terra, mentre un giovane si sposta dietro.</v>
      </c>
    </row>
    <row r="9719">
      <c r="A9719" s="4" t="s">
        <v>12210</v>
      </c>
      <c r="B9719" s="6" t="s">
        <v>12218</v>
      </c>
      <c r="C9719" s="5" t="str">
        <f>IFERROR(__xludf.DUMMYFUNCTION("GOOGLETRANSLATE(B9719,""en"",""it"")"),"Ora sta andando avanti e indietro attraverso un altro ostacolo di bastoncini e corre verso i boschi dove si ferma e punta.")</f>
        <v>Ora sta andando avanti e indietro attraverso un altro ostacolo di bastoncini e corre verso i boschi dove si ferma e punta.</v>
      </c>
    </row>
    <row r="9720">
      <c r="A9720" s="4" t="s">
        <v>12210</v>
      </c>
      <c r="B9720" s="6" t="s">
        <v>12219</v>
      </c>
      <c r="C9720" s="5" t="str">
        <f>IFERROR(__xludf.DUMMYFUNCTION("GOOGLETRANSLATE(B9720,""en"",""it"")"),"Corre fino al campo, dando alti cinque alle persone a caso sul campo al suo arrivo.")</f>
        <v>Corre fino al campo, dando alti cinque alle persone a caso sul campo al suo arrivo.</v>
      </c>
    </row>
    <row r="9721">
      <c r="A9721" s="4" t="s">
        <v>12220</v>
      </c>
      <c r="B9721" s="6" t="s">
        <v>12221</v>
      </c>
      <c r="C9721" s="5" t="str">
        <f>IFERROR(__xludf.DUMMYFUNCTION("GOOGLETRANSLATE(B9721,""en"",""it"")"),"Le mani di una persona sono viste da vicino risolvendo un cubo Rubix seguito da un uomo che parla alla telecamera.")</f>
        <v>Le mani di una persona sono viste da vicino risolvendo un cubo Rubix seguito da un uomo che parla alla telecamera.</v>
      </c>
    </row>
    <row r="9722">
      <c r="A9722" s="4" t="s">
        <v>12220</v>
      </c>
      <c r="B9722" s="4" t="s">
        <v>12222</v>
      </c>
      <c r="C9722" s="5" t="str">
        <f>IFERROR(__xludf.DUMMYFUNCTION("GOOGLETRANSLATE(B9722,""en"",""it"")"),"L'uomo risolve quindi un cubo Rubix cieco piegato mentre un timer cattura il suo punteggio.")</f>
        <v>L'uomo risolve quindi un cubo Rubix cieco piegato mentre un timer cattura il suo punteggio.</v>
      </c>
    </row>
    <row r="9723">
      <c r="A9723" s="4" t="s">
        <v>12220</v>
      </c>
      <c r="B9723" s="4" t="s">
        <v>12223</v>
      </c>
      <c r="C9723" s="5" t="str">
        <f>IFERROR(__xludf.DUMMYFUNCTION("GOOGLETRANSLATE(B9723,""en"",""it"")"),"Finisce il cubo e alla fine si toglie il copricapo.")</f>
        <v>Finisce il cubo e alla fine si toglie il copricapo.</v>
      </c>
    </row>
    <row r="9724">
      <c r="A9724" s="4" t="s">
        <v>12224</v>
      </c>
      <c r="B9724" s="4" t="s">
        <v>12225</v>
      </c>
      <c r="C9724" s="5" t="str">
        <f>IFERROR(__xludf.DUMMYFUNCTION("GOOGLETRANSLATE(B9724,""en"",""it"")"),"Lo snowboarder è in grande campo con la neve bianca.")</f>
        <v>Lo snowboarder è in grande campo con la neve bianca.</v>
      </c>
    </row>
    <row r="9725">
      <c r="A9725" s="4" t="s">
        <v>12224</v>
      </c>
      <c r="B9725" s="4" t="s">
        <v>12226</v>
      </c>
      <c r="C9725" s="5" t="str">
        <f>IFERROR(__xludf.DUMMYFUNCTION("GOOGLETRANSLATE(B9725,""en"",""it"")"),"un cubicolo in montagna e scivola giù per la montagna nello snowboard.")</f>
        <v>un cubicolo in montagna e scivola giù per la montagna nello snowboard.</v>
      </c>
    </row>
    <row r="9726">
      <c r="A9726" s="4" t="s">
        <v>12224</v>
      </c>
      <c r="B9726" s="4" t="s">
        <v>12227</v>
      </c>
      <c r="C9726" s="5" t="str">
        <f>IFERROR(__xludf.DUMMYFUNCTION("GOOGLETRANSLATE(B9726,""en"",""it"")"),"La gente è in cubicolo e si muove lungo la montagna nello snowboard e passa per un parcheggio.")</f>
        <v>La gente è in cubicolo e si muove lungo la montagna nello snowboard e passa per un parcheggio.</v>
      </c>
    </row>
    <row r="9727">
      <c r="A9727" s="4" t="s">
        <v>12228</v>
      </c>
      <c r="B9727" s="4" t="s">
        <v>12229</v>
      </c>
      <c r="C9727" s="5" t="str">
        <f>IFERROR(__xludf.DUMMYFUNCTION("GOOGLETRANSLATE(B9727,""en"",""it"")"),"Due giovani ragazzi stanno insieme e trattengono denaro.")</f>
        <v>Due giovani ragazzi stanno insieme e trattengono denaro.</v>
      </c>
    </row>
    <row r="9728">
      <c r="A9728" s="4" t="s">
        <v>12228</v>
      </c>
      <c r="B9728" s="4" t="s">
        <v>12230</v>
      </c>
      <c r="C9728" s="5" t="str">
        <f>IFERROR(__xludf.DUMMYFUNCTION("GOOGLETRANSLATE(B9728,""en"",""it"")"),"I giovani ragazzi parlano con un senzatetto e si stringono la mano.")</f>
        <v>I giovani ragazzi parlano con un senzatetto e si stringono la mano.</v>
      </c>
    </row>
    <row r="9729">
      <c r="A9729" s="4" t="s">
        <v>12228</v>
      </c>
      <c r="B9729" s="4" t="s">
        <v>12231</v>
      </c>
      <c r="C9729" s="5" t="str">
        <f>IFERROR(__xludf.DUMMYFUNCTION("GOOGLETRANSLATE(B9729,""en"",""it"")"),"Gli uomini parlano con un giovane senzatetto seduto fuori da un negozio.")</f>
        <v>Gli uomini parlano con un giovane senzatetto seduto fuori da un negozio.</v>
      </c>
    </row>
    <row r="9730">
      <c r="A9730" s="4" t="s">
        <v>12228</v>
      </c>
      <c r="B9730" s="4" t="s">
        <v>12232</v>
      </c>
      <c r="C9730" s="5" t="str">
        <f>IFERROR(__xludf.DUMMYFUNCTION("GOOGLETRANSLATE(B9730,""en"",""it"")"),"Il gruppo cammina insieme lungo una strada.")</f>
        <v>Il gruppo cammina insieme lungo una strada.</v>
      </c>
    </row>
    <row r="9731">
      <c r="A9731" s="4" t="s">
        <v>12228</v>
      </c>
      <c r="B9731" s="4" t="s">
        <v>12233</v>
      </c>
      <c r="C9731" s="5" t="str">
        <f>IFERROR(__xludf.DUMMYFUNCTION("GOOGLETRANSLATE(B9731,""en"",""it"")"),"Gli uomini tengono una gara di wrestling del braccio in piedi in un patio esterno.")</f>
        <v>Gli uomini tengono una gara di wrestling del braccio in piedi in un patio esterno.</v>
      </c>
    </row>
    <row r="9732">
      <c r="A9732" s="4" t="s">
        <v>12228</v>
      </c>
      <c r="B9732" s="4" t="s">
        <v>12234</v>
      </c>
      <c r="C9732" s="5" t="str">
        <f>IFERROR(__xludf.DUMMYFUNCTION("GOOGLETRANSLATE(B9732,""en"",""it"")"),"L'uomo vince e entrambi i concorrenti vengono assegnati in denaro.")</f>
        <v>L'uomo vince e entrambi i concorrenti vengono assegnati in denaro.</v>
      </c>
    </row>
    <row r="9733">
      <c r="A9733" s="4" t="s">
        <v>12235</v>
      </c>
      <c r="B9733" s="4" t="s">
        <v>12236</v>
      </c>
      <c r="C9733" s="5" t="str">
        <f>IFERROR(__xludf.DUMMYFUNCTION("GOOGLETRANSLATE(B9733,""en"",""it"")"),"I piedi di un ballerino sono mostrati in una classe e in una classe di balletto che si verifica in background.")</f>
        <v>I piedi di un ballerino sono mostrati in una classe e in una classe di balletto che si verifica in background.</v>
      </c>
    </row>
    <row r="9734">
      <c r="A9734" s="4" t="s">
        <v>12235</v>
      </c>
      <c r="B9734" s="4" t="s">
        <v>12237</v>
      </c>
      <c r="C9734" s="5" t="str">
        <f>IFERROR(__xludf.DUMMYFUNCTION("GOOGLETRANSLATE(B9734,""en"",""it"")"),"L'insegnante istruisce le ragazze come eseguire le mosse di balletto adeguate, come seguono gli studenti.")</f>
        <v>L'insegnante istruisce le ragazze come eseguire le mosse di balletto adeguate, come seguono gli studenti.</v>
      </c>
    </row>
    <row r="9735">
      <c r="A9735" s="4" t="s">
        <v>12235</v>
      </c>
      <c r="B9735" s="4" t="s">
        <v>12238</v>
      </c>
      <c r="C9735" s="5" t="str">
        <f>IFERROR(__xludf.DUMMYFUNCTION("GOOGLETRANSLATE(B9735,""en"",""it"")"),"Le ragazze muovono le braccia nella posizione corretta e alla fine si girano su un lato.")</f>
        <v>Le ragazze muovono le braccia nella posizione corretta e alla fine si girano su un lato.</v>
      </c>
    </row>
    <row r="9736">
      <c r="A9736" s="4" t="s">
        <v>12235</v>
      </c>
      <c r="B9736" s="4" t="s">
        <v>12239</v>
      </c>
      <c r="C9736" s="5" t="str">
        <f>IFERROR(__xludf.DUMMYFUNCTION("GOOGLETRANSLATE(B9736,""en"",""it"")"),"Infine, l'istruttore insegna alle ragazze ad estendere le gambe ed eseguire una mossa adeguata.")</f>
        <v>Infine, l'istruttore insegna alle ragazze ad estendere le gambe ed eseguire una mossa adeguata.</v>
      </c>
    </row>
    <row r="9737">
      <c r="A9737" s="4" t="s">
        <v>12240</v>
      </c>
      <c r="B9737" s="4" t="s">
        <v>12241</v>
      </c>
      <c r="C9737" s="5" t="str">
        <f>IFERROR(__xludf.DUMMYFUNCTION("GOOGLETRANSLATE(B9737,""en"",""it"")"),"Due uomini sono su una superficie imbottita, combattendo.")</f>
        <v>Due uomini sono su una superficie imbottita, combattendo.</v>
      </c>
    </row>
    <row r="9738">
      <c r="A9738" s="4" t="s">
        <v>12240</v>
      </c>
      <c r="B9738" s="4" t="s">
        <v>12242</v>
      </c>
      <c r="C9738" s="5" t="str">
        <f>IFERROR(__xludf.DUMMYFUNCTION("GOOGLETRANSLATE(B9738,""en"",""it"")"),"Saltano e si calmano l'un l'altro.")</f>
        <v>Saltano e si calmano l'un l'altro.</v>
      </c>
    </row>
    <row r="9739">
      <c r="A9739" s="4" t="s">
        <v>12240</v>
      </c>
      <c r="B9739" s="4" t="s">
        <v>12243</v>
      </c>
      <c r="C9739" s="5" t="str">
        <f>IFERROR(__xludf.DUMMYFUNCTION("GOOGLETRANSLATE(B9739,""en"",""it"")"),"Rotolano sul tappeto fino a quando uno di loro si inserisce nell'altro.")</f>
        <v>Rotolano sul tappeto fino a quando uno di loro si inserisce nell'altro.</v>
      </c>
    </row>
    <row r="9740">
      <c r="A9740" s="4" t="s">
        <v>12244</v>
      </c>
      <c r="B9740" s="4" t="s">
        <v>12245</v>
      </c>
      <c r="C9740" s="5" t="str">
        <f>IFERROR(__xludf.DUMMYFUNCTION("GOOGLETRANSLATE(B9740,""en"",""it"")"),"A un uomo viene mostrato la corrida di fronte a una folla.")</f>
        <v>A un uomo viene mostrato la corrida di fronte a una folla.</v>
      </c>
    </row>
    <row r="9741">
      <c r="A9741" s="4" t="s">
        <v>12244</v>
      </c>
      <c r="B9741" s="4" t="s">
        <v>12246</v>
      </c>
      <c r="C9741" s="5" t="str">
        <f>IFERROR(__xludf.DUMMYFUNCTION("GOOGLETRANSLATE(B9741,""en"",""it"")"),"L'uomo cade e viene investito dal toro.")</f>
        <v>L'uomo cade e viene investito dal toro.</v>
      </c>
    </row>
    <row r="9742">
      <c r="A9742" s="4" t="s">
        <v>12244</v>
      </c>
      <c r="B9742" s="4" t="s">
        <v>12247</v>
      </c>
      <c r="C9742" s="5" t="str">
        <f>IFERROR(__xludf.DUMMYFUNCTION("GOOGLETRANSLATE(B9742,""en"",""it"")"),"L'uomo viene scortato fuori dall'arena.")</f>
        <v>L'uomo viene scortato fuori dall'arena.</v>
      </c>
    </row>
    <row r="9743">
      <c r="A9743" s="4" t="s">
        <v>12244</v>
      </c>
      <c r="B9743" s="4" t="s">
        <v>12248</v>
      </c>
      <c r="C9743" s="5" t="str">
        <f>IFERROR(__xludf.DUMMYFUNCTION("GOOGLETRANSLATE(B9743,""en"",""it"")"),"L'uomo che cade e viene investito viene riprodotto.")</f>
        <v>L'uomo che cade e viene investito viene riprodotto.</v>
      </c>
    </row>
    <row r="9744">
      <c r="A9744" s="4" t="s">
        <v>12244</v>
      </c>
      <c r="B9744" s="4" t="s">
        <v>12249</v>
      </c>
      <c r="C9744" s="5" t="str">
        <f>IFERROR(__xludf.DUMMYFUNCTION("GOOGLETRANSLATE(B9744,""en"",""it"")"),"Due persone sono mostrate reagendo all'incidente.")</f>
        <v>Due persone sono mostrate reagendo all'incidente.</v>
      </c>
    </row>
    <row r="9745">
      <c r="A9745" s="4" t="s">
        <v>12244</v>
      </c>
      <c r="B9745" s="4" t="s">
        <v>12250</v>
      </c>
      <c r="C9745" s="5" t="str">
        <f>IFERROR(__xludf.DUMMYFUNCTION("GOOGLETRANSLATE(B9745,""en"",""it"")"),"Vengono mostrati video a rallentatore e immagini fisse della lesione dell'uomo.")</f>
        <v>Vengono mostrati video a rallentatore e immagini fisse della lesione dell'uomo.</v>
      </c>
    </row>
    <row r="9746">
      <c r="A9746" s="4" t="s">
        <v>12244</v>
      </c>
      <c r="B9746" s="4" t="s">
        <v>12251</v>
      </c>
      <c r="C9746" s="5" t="str">
        <f>IFERROR(__xludf.DUMMYFUNCTION("GOOGLETRANSLATE(B9746,""en"",""it"")"),"Il contenuto video si ripete a partire dalle due persone che reagiscono.")</f>
        <v>Il contenuto video si ripete a partire dalle due persone che reagiscono.</v>
      </c>
    </row>
    <row r="9747">
      <c r="A9747" s="4" t="s">
        <v>12252</v>
      </c>
      <c r="B9747" s="4" t="s">
        <v>12253</v>
      </c>
      <c r="C9747" s="5" t="str">
        <f>IFERROR(__xludf.DUMMYFUNCTION("GOOGLETRANSLATE(B9747,""en"",""it"")"),"Una donna parla di giocare a pool.")</f>
        <v>Una donna parla di giocare a pool.</v>
      </c>
    </row>
    <row r="9748">
      <c r="A9748" s="4" t="s">
        <v>12252</v>
      </c>
      <c r="B9748" s="4" t="s">
        <v>12254</v>
      </c>
      <c r="C9748" s="5" t="str">
        <f>IFERROR(__xludf.DUMMYFUNCTION("GOOGLETRANSLATE(B9748,""en"",""it"")"),"Spiega il modo giusto di stare in piedi e come sparare a una palla quando si gioca in piscina.")</f>
        <v>Spiega il modo giusto di stare in piedi e come sparare a una palla quando si gioca in piscina.</v>
      </c>
    </row>
    <row r="9749">
      <c r="A9749" s="4" t="s">
        <v>12255</v>
      </c>
      <c r="B9749" s="6" t="s">
        <v>12256</v>
      </c>
      <c r="C9749" s="5" t="str">
        <f>IFERROR(__xludf.DUMMYFUNCTION("GOOGLETRANSLATE(B9749,""en"",""it"")"),"Un ragazzo corre e salta su un palo senza toccarlo e atterra sui tappetini, mentre alcune persone nel back terra guardano e altri ci fanno pratiche.")</f>
        <v>Un ragazzo corre e salta su un palo senza toccarlo e atterra sui tappetini, mentre alcune persone nel back terra guardano e altri ci fanno pratiche.</v>
      </c>
    </row>
    <row r="9750">
      <c r="A9750" s="4" t="s">
        <v>12255</v>
      </c>
      <c r="B9750" s="6" t="s">
        <v>12257</v>
      </c>
      <c r="C9750" s="5" t="str">
        <f>IFERROR(__xludf.DUMMYFUNCTION("GOOGLETRANSLATE(B9750,""en"",""it"")"),"Il ragazzo sembra praticare quanto in alto può saltare saltando sopra il palo molte volte, ogni volta che una persona solleva il palo più in alto per vedere se il ragazzo può saltarci sopra.")</f>
        <v>Il ragazzo sembra praticare quanto in alto può saltare saltando sopra il palo molte volte, ogni volta che una persona solleva il palo più in alto per vedere se il ragazzo può saltarci sopra.</v>
      </c>
    </row>
    <row r="9751">
      <c r="A9751" s="4" t="s">
        <v>12255</v>
      </c>
      <c r="B9751" s="4" t="s">
        <v>12258</v>
      </c>
      <c r="C9751" s="5" t="str">
        <f>IFERROR(__xludf.DUMMYFUNCTION("GOOGLETRANSLATE(B9751,""en"",""it"")"),"Un salto, il ragazzo abbatté il palo quando cercò di lanciarlo sopra.")</f>
        <v>Un salto, il ragazzo abbatté il palo quando cercò di lanciarlo sopra.</v>
      </c>
    </row>
    <row r="9752">
      <c r="A9752" s="4" t="s">
        <v>12255</v>
      </c>
      <c r="B9752" s="4" t="s">
        <v>12259</v>
      </c>
      <c r="C9752" s="5" t="str">
        <f>IFERROR(__xludf.DUMMYFUNCTION("GOOGLETRANSLATE(B9752,""en"",""it"")"),"Il ragazzo abbatté il palo di sei volte da tutti i suoi salti.")</f>
        <v>Il ragazzo abbatté il palo di sei volte da tutti i suoi salti.</v>
      </c>
    </row>
    <row r="9753">
      <c r="A9753" s="4" t="s">
        <v>12260</v>
      </c>
      <c r="B9753" s="4" t="s">
        <v>12261</v>
      </c>
      <c r="C9753" s="5" t="str">
        <f>IFERROR(__xludf.DUMMYFUNCTION("GOOGLETRANSLATE(B9753,""en"",""it"")"),"I giocatori stanno tirando la corda in una partita di rimorchiatore.")</f>
        <v>I giocatori stanno tirando la corda in una partita di rimorchiatore.</v>
      </c>
    </row>
    <row r="9754">
      <c r="A9754" s="4" t="s">
        <v>12260</v>
      </c>
      <c r="B9754" s="4" t="s">
        <v>12262</v>
      </c>
      <c r="C9754" s="5" t="str">
        <f>IFERROR(__xludf.DUMMYFUNCTION("GOOGLETRANSLATE(B9754,""en"",""it"")"),"Un uomo si accovaccia sul pavimento e si alza.")</f>
        <v>Un uomo si accovaccia sul pavimento e si alza.</v>
      </c>
    </row>
    <row r="9755">
      <c r="A9755" s="4" t="s">
        <v>12260</v>
      </c>
      <c r="B9755" s="4" t="s">
        <v>12263</v>
      </c>
      <c r="C9755" s="5" t="str">
        <f>IFERROR(__xludf.DUMMYFUNCTION("GOOGLETRANSLATE(B9755,""en"",""it"")"),"Ragazzi che tirano il lato sinistro della corda cade a terra.")</f>
        <v>Ragazzi che tirano il lato sinistro della corda cade a terra.</v>
      </c>
    </row>
    <row r="9756">
      <c r="A9756" s="4" t="s">
        <v>12260</v>
      </c>
      <c r="B9756" s="4" t="s">
        <v>12264</v>
      </c>
      <c r="C9756" s="5" t="str">
        <f>IFERROR(__xludf.DUMMYFUNCTION("GOOGLETRANSLATE(B9756,""en"",""it"")"),"I ragazzi lasciano andare la corda, scendono dal prato e si abbracciano in celebrazione.")</f>
        <v>I ragazzi lasciano andare la corda, scendono dal prato e si abbracciano in celebrazione.</v>
      </c>
    </row>
    <row r="9757">
      <c r="A9757" s="4" t="s">
        <v>12265</v>
      </c>
      <c r="B9757" s="4" t="s">
        <v>12266</v>
      </c>
      <c r="C9757" s="5" t="str">
        <f>IFERROR(__xludf.DUMMYFUNCTION("GOOGLETRANSLATE(B9757,""en"",""it"")"),"C'è una donna vestita con un maglione beige che dimostra come avvolgere i regali di Natale.")</f>
        <v>C'è una donna vestita con un maglione beige che dimostra come avvolgere i regali di Natale.</v>
      </c>
    </row>
    <row r="9758">
      <c r="A9758" s="4" t="s">
        <v>12265</v>
      </c>
      <c r="B9758" s="4" t="s">
        <v>12267</v>
      </c>
      <c r="C9758" s="5" t="str">
        <f>IFERROR(__xludf.DUMMYFUNCTION("GOOGLETRANSLATE(B9758,""en"",""it"")"),"Comincia con il taglio della carta da confezione regalo ordinatamente per adattarsi alle dimensioni della scatola.")</f>
        <v>Comincia con il taglio della carta da confezione regalo ordinatamente per adattarsi alle dimensioni della scatola.</v>
      </c>
    </row>
    <row r="9759">
      <c r="A9759" s="4" t="s">
        <v>12265</v>
      </c>
      <c r="B9759" s="4" t="s">
        <v>12268</v>
      </c>
      <c r="C9759" s="5" t="str">
        <f>IFERROR(__xludf.DUMMYFUNCTION("GOOGLETRANSLATE(B9759,""en"",""it"")"),"Piega uniformemente la carta per coprire l'intera scatola.")</f>
        <v>Piega uniformemente la carta per coprire l'intera scatola.</v>
      </c>
    </row>
    <row r="9760">
      <c r="A9760" s="4" t="s">
        <v>12265</v>
      </c>
      <c r="B9760" s="4" t="s">
        <v>12269</v>
      </c>
      <c r="C9760" s="5" t="str">
        <f>IFERROR(__xludf.DUMMYFUNCTION("GOOGLETRANSLATE(B9760,""en"",""it"")"),"Quindi usa il nastro scozzese per sigillare le estremità in modo sicuro.")</f>
        <v>Quindi usa il nastro scozzese per sigillare le estremità in modo sicuro.</v>
      </c>
    </row>
    <row r="9761">
      <c r="A9761" s="4" t="s">
        <v>12265</v>
      </c>
      <c r="B9761" s="6" t="s">
        <v>12270</v>
      </c>
      <c r="C9761" s="5" t="str">
        <f>IFERROR(__xludf.DUMMYFUNCTION("GOOGLETRANSLATE(B9761,""en"",""it"")"),"Prende un nastro decorativo e altri oggetti decorativi per superare la scatola per aggiungere un tocco speciale ai regali.")</f>
        <v>Prende un nastro decorativo e altri oggetti decorativi per superare la scatola per aggiungere un tocco speciale ai regali.</v>
      </c>
    </row>
    <row r="9762">
      <c r="A9762" s="4" t="s">
        <v>12271</v>
      </c>
      <c r="B9762" s="4" t="s">
        <v>12272</v>
      </c>
      <c r="C9762" s="5" t="str">
        <f>IFERROR(__xludf.DUMMYFUNCTION("GOOGLETRANSLATE(B9762,""en"",""it"")"),"Un gruppo di giovani gioca a pallavolo su una spiaggia sabbiosa di fronte all'oceano.")</f>
        <v>Un gruppo di giovani gioca a pallavolo su una spiaggia sabbiosa di fronte all'oceano.</v>
      </c>
    </row>
    <row r="9763">
      <c r="A9763" s="4" t="s">
        <v>12271</v>
      </c>
      <c r="B9763" s="6" t="s">
        <v>12273</v>
      </c>
      <c r="C9763" s="5" t="str">
        <f>IFERROR(__xludf.DUMMYFUNCTION("GOOGLETRANSLATE(B9763,""en"",""it"")"),"Un gruppo di uomini in bauli da nuoto e slip bikini giocano a pallavolo nella sabbia sulla spiaggia di fronte a un'alta rete a palla da pazzo verde.")</f>
        <v>Un gruppo di uomini in bauli da nuoto e slip bikini giocano a pallavolo nella sabbia sulla spiaggia di fronte a un'alta rete a palla da pazzo verde.</v>
      </c>
    </row>
    <row r="9764">
      <c r="A9764" s="4" t="s">
        <v>12271</v>
      </c>
      <c r="B9764" s="4" t="s">
        <v>12274</v>
      </c>
      <c r="C9764" s="5" t="str">
        <f>IFERROR(__xludf.DUMMYFUNCTION("GOOGLETRANSLATE(B9764,""en"",""it"")"),"Gli uomini sono competitivi mentre giocano usando piedi, testa e petto per muovere la palla.")</f>
        <v>Gli uomini sono competitivi mentre giocano usando piedi, testa e petto per muovere la palla.</v>
      </c>
    </row>
    <row r="9765">
      <c r="A9765" s="4" t="s">
        <v>12271</v>
      </c>
      <c r="B9765" s="4" t="s">
        <v>12275</v>
      </c>
      <c r="C9765" s="5" t="str">
        <f>IFERROR(__xludf.DUMMYFUNCTION("GOOGLETRANSLATE(B9765,""en"",""it"")"),"Un uomo è sdraiato sulla sabbia e poi si alza per giocare più pallavolo.")</f>
        <v>Un uomo è sdraiato sulla sabbia e poi si alza per giocare più pallavolo.</v>
      </c>
    </row>
    <row r="9766">
      <c r="A9766" s="4" t="s">
        <v>12276</v>
      </c>
      <c r="B9766" s="4" t="s">
        <v>12277</v>
      </c>
      <c r="C9766" s="5" t="str">
        <f>IFERROR(__xludf.DUMMYFUNCTION("GOOGLETRANSLATE(B9766,""en"",""it"")"),"Un uomo viene visto ospitare un segmento di notizie che porta a un giocatore in piedi su un campo.")</f>
        <v>Un uomo viene visto ospitare un segmento di notizie che porta a un giocatore in piedi su un campo.</v>
      </c>
    </row>
    <row r="9767">
      <c r="A9767" s="4" t="s">
        <v>12276</v>
      </c>
      <c r="B9767" s="4" t="s">
        <v>12278</v>
      </c>
      <c r="C9767" s="5" t="str">
        <f>IFERROR(__xludf.DUMMYFUNCTION("GOOGLETRANSLATE(B9767,""en"",""it"")"),"Una persona colpisce una palla e un allegria di compagni di squadra seguiti da più persone che giocano.")</f>
        <v>Una persona colpisce una palla e un allegria di compagni di squadra seguiti da più persone che giocano.</v>
      </c>
    </row>
    <row r="9768">
      <c r="A9768" s="4" t="s">
        <v>12276</v>
      </c>
      <c r="B9768" s="6" t="s">
        <v>12279</v>
      </c>
      <c r="C9768" s="5" t="str">
        <f>IFERROR(__xludf.DUMMYFUNCTION("GOOGLETRANSLATE(B9768,""en"",""it"")"),"Lo sport continua con le persone che lanciano palle che li colpiscono e con i compagni di squadra che fanno il tifo e l'ospite finisce di parlare.")</f>
        <v>Lo sport continua con le persone che lanciano palle che li colpiscono e con i compagni di squadra che fanno il tifo e l'ospite finisce di parlare.</v>
      </c>
    </row>
    <row r="9769">
      <c r="A9769" s="4" t="s">
        <v>12280</v>
      </c>
      <c r="B9769" s="4" t="s">
        <v>12281</v>
      </c>
      <c r="C9769" s="5" t="str">
        <f>IFERROR(__xludf.DUMMYFUNCTION("GOOGLETRANSLATE(B9769,""en"",""it"")"),"Una donna sta da una palla e la mette in posizione.")</f>
        <v>Una donna sta da una palla e la mette in posizione.</v>
      </c>
    </row>
    <row r="9770">
      <c r="A9770" s="4" t="s">
        <v>12280</v>
      </c>
      <c r="B9770" s="4" t="s">
        <v>12282</v>
      </c>
      <c r="C9770" s="5" t="str">
        <f>IFERROR(__xludf.DUMMYFUNCTION("GOOGLETRANSLATE(B9770,""en"",""it"")"),"Appare un'altra donna e avvolgono la palla in carta avvolgente.")</f>
        <v>Appare un'altra donna e avvolgono la palla in carta avvolgente.</v>
      </c>
    </row>
    <row r="9771">
      <c r="A9771" s="4" t="s">
        <v>12280</v>
      </c>
      <c r="B9771" s="4" t="s">
        <v>12283</v>
      </c>
      <c r="C9771" s="5" t="str">
        <f>IFERROR(__xludf.DUMMYFUNCTION("GOOGLETRANSLATE(B9771,""en"",""it"")"),"Finiscono di avvolgere e tagliare la palla.")</f>
        <v>Finiscono di avvolgere e tagliare la palla.</v>
      </c>
    </row>
    <row r="9772">
      <c r="A9772" s="4" t="s">
        <v>12280</v>
      </c>
      <c r="B9772" s="4" t="s">
        <v>12284</v>
      </c>
      <c r="C9772" s="5" t="str">
        <f>IFERROR(__xludf.DUMMYFUNCTION("GOOGLETRANSLATE(B9772,""en"",""it"")"),"Prendono la macchina fotografica e iniziano a parlarne.")</f>
        <v>Prendono la macchina fotografica e iniziano a parlarne.</v>
      </c>
    </row>
    <row r="9773">
      <c r="A9773" s="4" t="s">
        <v>12285</v>
      </c>
      <c r="B9773" s="4" t="s">
        <v>12286</v>
      </c>
      <c r="C9773" s="5" t="str">
        <f>IFERROR(__xludf.DUMMYFUNCTION("GOOGLETRANSLATE(B9773,""en"",""it"")"),"Viene vista una donna parlare alla telecamera mentre le persone usano attrezzature da ginnastica intorno a lei.")</f>
        <v>Viene vista una donna parlare alla telecamera mentre le persone usano attrezzature da ginnastica intorno a lei.</v>
      </c>
    </row>
    <row r="9774">
      <c r="A9774" s="4" t="s">
        <v>12285</v>
      </c>
      <c r="B9774" s="6" t="s">
        <v>12287</v>
      </c>
      <c r="C9774" s="5" t="str">
        <f>IFERROR(__xludf.DUMMYFUNCTION("GOOGLETRANSLATE(B9774,""en"",""it"")"),"Vengono mostrati più scatti di persone che usano la macchina e le persone che parlano alla fotocamera e ai primi piani della macchina.")</f>
        <v>Vengono mostrati più scatti di persone che usano la macchina e le persone che parlano alla fotocamera e ai primi piani della macchina.</v>
      </c>
    </row>
    <row r="9775">
      <c r="A9775" s="4" t="s">
        <v>12288</v>
      </c>
      <c r="B9775" s="4" t="s">
        <v>12289</v>
      </c>
      <c r="C9775" s="5" t="str">
        <f>IFERROR(__xludf.DUMMYFUNCTION("GOOGLETRANSLATE(B9775,""en"",""it"")"),"Un uomo di costruzione introduce il video e parla del posizionamento di tegole su un tetto.")</f>
        <v>Un uomo di costruzione introduce il video e parla del posizionamento di tegole su un tetto.</v>
      </c>
    </row>
    <row r="9776">
      <c r="A9776" s="4" t="s">
        <v>12288</v>
      </c>
      <c r="B9776" s="4" t="s">
        <v>12290</v>
      </c>
      <c r="C9776" s="5" t="str">
        <f>IFERROR(__xludf.DUMMYFUNCTION("GOOGLETRANSLATE(B9776,""en"",""it"")"),"Posa alcune tegole e le inchioda.")</f>
        <v>Posa alcune tegole e le inchioda.</v>
      </c>
    </row>
    <row r="9777">
      <c r="A9777" s="4" t="s">
        <v>12288</v>
      </c>
      <c r="B9777" s="6" t="s">
        <v>12291</v>
      </c>
      <c r="C9777" s="5" t="str">
        <f>IFERROR(__xludf.DUMMYFUNCTION("GOOGLETRANSLATE(B9777,""en"",""it"")"),"Inchioda in un pezzo di metallo che corre lungo l'angolo del tetto e l'edificio per aiutare a mantenere le cose in posizione.")</f>
        <v>Inchioda in un pezzo di metallo che corre lungo l'angolo del tetto e l'edificio per aiutare a mantenere le cose in posizione.</v>
      </c>
    </row>
    <row r="9778">
      <c r="A9778" s="4" t="s">
        <v>12288</v>
      </c>
      <c r="B9778" s="4" t="s">
        <v>12292</v>
      </c>
      <c r="C9778" s="5" t="str">
        <f>IFERROR(__xludf.DUMMYFUNCTION("GOOGLETRANSLATE(B9778,""en"",""it"")"),"Ripete questo processo prima di chiudere il video.")</f>
        <v>Ripete questo processo prima di chiudere il video.</v>
      </c>
    </row>
    <row r="9779">
      <c r="A9779" s="4" t="s">
        <v>12293</v>
      </c>
      <c r="B9779" s="4" t="s">
        <v>12294</v>
      </c>
      <c r="C9779" s="5" t="str">
        <f>IFERROR(__xludf.DUMMYFUNCTION("GOOGLETRANSLATE(B9779,""en"",""it"")"),"Viene mostrato uno scatto di una stanza quando un uomo entra in telaio.")</f>
        <v>Viene mostrato uno scatto di una stanza quando un uomo entra in telaio.</v>
      </c>
    </row>
    <row r="9780">
      <c r="A9780" s="4" t="s">
        <v>12293</v>
      </c>
      <c r="B9780" s="4" t="s">
        <v>12295</v>
      </c>
      <c r="C9780" s="5" t="str">
        <f>IFERROR(__xludf.DUMMYFUNCTION("GOOGLETRANSLATE(B9780,""en"",""it"")"),"L'uomo inizia quindi a saltare più e più volte.")</f>
        <v>L'uomo inizia quindi a saltare più e più volte.</v>
      </c>
    </row>
    <row r="9781">
      <c r="A9781" s="4" t="s">
        <v>12293</v>
      </c>
      <c r="B9781" s="4" t="s">
        <v>12296</v>
      </c>
      <c r="C9781" s="5" t="str">
        <f>IFERROR(__xludf.DUMMYFUNCTION("GOOGLETRANSLATE(B9781,""en"",""it"")"),"Continua a saltare la corda e termina uscendo dal telaio.")</f>
        <v>Continua a saltare la corda e termina uscendo dal telaio.</v>
      </c>
    </row>
    <row r="9782">
      <c r="A9782" s="4" t="s">
        <v>12297</v>
      </c>
      <c r="B9782" s="6" t="s">
        <v>12298</v>
      </c>
      <c r="C9782" s="5" t="str">
        <f>IFERROR(__xludf.DUMMYFUNCTION("GOOGLETRANSLATE(B9782,""en"",""it"")"),"Viene vista una donna parlare alla telecamera che conduce a clip di persone che cavalcano in kayak e cammelli che vagano.")</f>
        <v>Viene vista una donna parlare alla telecamera che conduce a clip di persone che cavalcano in kayak e cammelli che vagano.</v>
      </c>
    </row>
    <row r="9783">
      <c r="A9783" s="4" t="s">
        <v>12297</v>
      </c>
      <c r="B9783" s="4" t="s">
        <v>12299</v>
      </c>
      <c r="C9783" s="5" t="str">
        <f>IFERROR(__xludf.DUMMYFUNCTION("GOOGLETRANSLATE(B9783,""en"",""it"")"),"Vengono mostrate altre clip di persone che cavalcano l'acqua in un kayak.")</f>
        <v>Vengono mostrate altre clip di persone che cavalcano l'acqua in un kayak.</v>
      </c>
    </row>
    <row r="9784">
      <c r="A9784" s="4" t="s">
        <v>12297</v>
      </c>
      <c r="B9784" s="4" t="s">
        <v>12300</v>
      </c>
      <c r="C9784" s="5" t="str">
        <f>IFERROR(__xludf.DUMMYFUNCTION("GOOGLETRANSLATE(B9784,""en"",""it"")"),"La persona si rema lungo l'acqua con altre persone che cavalcano vicino a lui.")</f>
        <v>La persona si rema lungo l'acqua con altre persone che cavalcano vicino a lui.</v>
      </c>
    </row>
    <row r="9785">
      <c r="A9785" s="4" t="s">
        <v>12301</v>
      </c>
      <c r="B9785" s="4" t="s">
        <v>12302</v>
      </c>
      <c r="C9785" s="5" t="str">
        <f>IFERROR(__xludf.DUMMYFUNCTION("GOOGLETRANSLATE(B9785,""en"",""it"")"),"Un lavoratore portava un vassoio di caffè a un tavolo con ospite.")</f>
        <v>Un lavoratore portava un vassoio di caffè a un tavolo con ospite.</v>
      </c>
    </row>
    <row r="9786">
      <c r="A9786" s="4" t="s">
        <v>12301</v>
      </c>
      <c r="B9786" s="4" t="s">
        <v>12303</v>
      </c>
      <c r="C9786" s="5" t="str">
        <f>IFERROR(__xludf.DUMMYFUNCTION("GOOGLETRANSLATE(B9786,""en"",""it"")"),"Un altro uomo sta parlando con alcuni giornalisti con il microfono.")</f>
        <v>Un altro uomo sta parlando con alcuni giornalisti con il microfono.</v>
      </c>
    </row>
    <row r="9787">
      <c r="A9787" s="4" t="s">
        <v>12301</v>
      </c>
      <c r="B9787" s="4" t="s">
        <v>12304</v>
      </c>
      <c r="C9787" s="5" t="str">
        <f>IFERROR(__xludf.DUMMYFUNCTION("GOOGLETRANSLATE(B9787,""en"",""it"")"),"Un altro imprenditore parla con i giornalisti del business del caffè.")</f>
        <v>Un altro imprenditore parla con i giornalisti del business del caffè.</v>
      </c>
    </row>
    <row r="9788">
      <c r="A9788" s="4" t="s">
        <v>12301</v>
      </c>
      <c r="B9788" s="4" t="s">
        <v>12305</v>
      </c>
      <c r="C9788" s="5" t="str">
        <f>IFERROR(__xludf.DUMMYFUNCTION("GOOGLETRANSLATE(B9788,""en"",""it"")"),"Quindi sono nella caffetteria che preparano caffè e lavorano in giro.")</f>
        <v>Quindi sono nella caffetteria che preparano caffè e lavorano in giro.</v>
      </c>
    </row>
    <row r="9789">
      <c r="A9789" s="4" t="s">
        <v>12306</v>
      </c>
      <c r="B9789" s="4" t="s">
        <v>12307</v>
      </c>
      <c r="C9789" s="5" t="str">
        <f>IFERROR(__xludf.DUMMYFUNCTION("GOOGLETRANSLATE(B9789,""en"",""it"")"),"Le persone guidano in auto a paraurti e si imbattono l'una nell'altra e sono costrette a fermarsi.")</f>
        <v>Le persone guidano in auto a paraurti e si imbattono l'una nell'altra e sono costrette a fermarsi.</v>
      </c>
    </row>
    <row r="9790">
      <c r="A9790" s="4" t="s">
        <v>12306</v>
      </c>
      <c r="B9790" s="6" t="s">
        <v>12308</v>
      </c>
      <c r="C9790" s="5" t="str">
        <f>IFERROR(__xludf.DUMMYFUNCTION("GOOGLETRANSLATE(B9790,""en"",""it"")"),"Le tre macchine per paraurti si staccano e iniziano a guidare in diverse direzioni mentre continuano a sbarazzarsi l'una nell'altra.")</f>
        <v>Le tre macchine per paraurti si staccano e iniziano a guidare in diverse direzioni mentre continuano a sbarazzarsi l'una nell'altra.</v>
      </c>
    </row>
    <row r="9791">
      <c r="A9791" s="4" t="s">
        <v>12306</v>
      </c>
      <c r="B9791" s="4" t="s">
        <v>12309</v>
      </c>
      <c r="C9791" s="5" t="str">
        <f>IFERROR(__xludf.DUMMYFUNCTION("GOOGLETRANSLATE(B9791,""en"",""it"")"),"Due ragazze in una macchina per paraurti si imbattono in un muro e Breve ha fatto fatica a tornare a muoversi.")</f>
        <v>Due ragazze in una macchina per paraurti si imbattono in un muro e Breve ha fatto fatica a tornare a muoversi.</v>
      </c>
    </row>
    <row r="9792">
      <c r="A9792" s="4" t="s">
        <v>12306</v>
      </c>
      <c r="B9792" s="4" t="s">
        <v>12310</v>
      </c>
      <c r="C9792" s="5" t="str">
        <f>IFERROR(__xludf.DUMMYFUNCTION("GOOGLETRANSLATE(B9792,""en"",""it"")"),"Le persone guidano costantemente le loro auto per paraurti e si imbattono in cose fino alla fine del giro.")</f>
        <v>Le persone guidano costantemente le loro auto per paraurti e si imbattono in cose fino alla fine del giro.</v>
      </c>
    </row>
    <row r="9793">
      <c r="A9793" s="4" t="s">
        <v>12311</v>
      </c>
      <c r="B9793" s="6" t="s">
        <v>12312</v>
      </c>
      <c r="C9793" s="5" t="str">
        <f>IFERROR(__xludf.DUMMYFUNCTION("GOOGLETRANSLATE(B9793,""en"",""it"")"),"C'è un uomo che indossa una camicia nera e una bandana verde che dimostra come spruzzare dipingere un divano in microfibra.")</f>
        <v>C'è un uomo che indossa una camicia nera e una bandana verde che dimostra come spruzzare dipingere un divano in microfibra.</v>
      </c>
    </row>
    <row r="9794">
      <c r="A9794" s="4" t="s">
        <v>12311</v>
      </c>
      <c r="B9794" s="6" t="s">
        <v>12313</v>
      </c>
      <c r="C9794" s="5" t="str">
        <f>IFERROR(__xludf.DUMMYFUNCTION("GOOGLETRANSLATE(B9794,""en"",""it"")"),"Sta usando una lattina rossa di vernice spray per dimostrare come dipingere un divano color crema con vernice rossa.")</f>
        <v>Sta usando una lattina rossa di vernice spray per dimostrare come dipingere un divano color crema con vernice rossa.</v>
      </c>
    </row>
    <row r="9795">
      <c r="A9795" s="4" t="s">
        <v>12311</v>
      </c>
      <c r="B9795" s="4" t="s">
        <v>12314</v>
      </c>
      <c r="C9795" s="5" t="str">
        <f>IFERROR(__xludf.DUMMYFUNCTION("GOOGLETRANSLATE(B9795,""en"",""it"")"),"Continua a spruzzare dipingere la schiena e il braccio poggia del divano.")</f>
        <v>Continua a spruzzare dipingere la schiena e il braccio poggia del divano.</v>
      </c>
    </row>
    <row r="9796">
      <c r="A9796" s="4" t="s">
        <v>12311</v>
      </c>
      <c r="B9796" s="4" t="s">
        <v>12315</v>
      </c>
      <c r="C9796" s="5" t="str">
        <f>IFERROR(__xludf.DUMMYFUNCTION("GOOGLETRANSLATE(B9796,""en"",""it"")"),"Poi colloca uno dipinto dei cuscini del sedile sul divano.")</f>
        <v>Poi colloca uno dipinto dei cuscini del sedile sul divano.</v>
      </c>
    </row>
    <row r="9797">
      <c r="A9797" s="4" t="s">
        <v>12316</v>
      </c>
      <c r="B9797" s="6" t="s">
        <v>12317</v>
      </c>
      <c r="C9797" s="5" t="str">
        <f>IFERROR(__xludf.DUMMYFUNCTION("GOOGLETRANSLATE(B9797,""en"",""it"")"),"Vengono mostrati diversi scatti di persone che curano cani e una donna che parla alla telecamera in diverse impostazioni.")</f>
        <v>Vengono mostrati diversi scatti di persone che curano cani e una donna che parla alla telecamera in diverse impostazioni.</v>
      </c>
    </row>
    <row r="9798">
      <c r="A9798" s="4" t="s">
        <v>12316</v>
      </c>
      <c r="B9798" s="6" t="s">
        <v>12318</v>
      </c>
      <c r="C9798" s="5" t="str">
        <f>IFERROR(__xludf.DUMMYFUNCTION("GOOGLETRANSLATE(B9798,""en"",""it"")"),"I cani sono visti essere strofinati, le unghie tagliate e spazzolate con pettini da diverse persone e un'altra donna che mostra i collari che hanno in serbo.")</f>
        <v>I cani sono visti essere strofinati, le unghie tagliate e spazzolate con pettini da diverse persone e un'altra donna che mostra i collari che hanno in serbo.</v>
      </c>
    </row>
    <row r="9799">
      <c r="A9799" s="4" t="s">
        <v>12316</v>
      </c>
      <c r="B9799" s="4" t="s">
        <v>12319</v>
      </c>
      <c r="C9799" s="5" t="str">
        <f>IFERROR(__xludf.DUMMYFUNCTION("GOOGLETRANSLATE(B9799,""en"",""it"")"),"Vengono mostrati altri scatti del negozio, così come molti cani che vengono curati.")</f>
        <v>Vengono mostrati altri scatti del negozio, così come molti cani che vengono curati.</v>
      </c>
    </row>
    <row r="9800">
      <c r="A9800" s="4" t="s">
        <v>12320</v>
      </c>
      <c r="B9800" s="4" t="s">
        <v>12321</v>
      </c>
      <c r="C9800" s="5" t="str">
        <f>IFERROR(__xludf.DUMMYFUNCTION("GOOGLETRANSLATE(B9800,""en"",""it"")"),"Una bici viene fermata in un parco.")</f>
        <v>Una bici viene fermata in un parco.</v>
      </c>
    </row>
    <row r="9801">
      <c r="A9801" s="4" t="s">
        <v>12320</v>
      </c>
      <c r="B9801" s="4" t="s">
        <v>12322</v>
      </c>
      <c r="C9801" s="5" t="str">
        <f>IFERROR(__xludf.DUMMYFUNCTION("GOOGLETRANSLATE(B9801,""en"",""it"")"),"Un pilota decolla da un cancello sulla bici da terra.")</f>
        <v>Un pilota decolla da un cancello sulla bici da terra.</v>
      </c>
    </row>
    <row r="9802">
      <c r="A9802" s="4" t="s">
        <v>12320</v>
      </c>
      <c r="B9802" s="4" t="s">
        <v>12323</v>
      </c>
      <c r="C9802" s="5" t="str">
        <f>IFERROR(__xludf.DUMMYFUNCTION("GOOGLETRANSLATE(B9802,""en"",""it"")"),"Si svolge bruscamente le curve e le curve, superando le colline.")</f>
        <v>Si svolge bruscamente le curve e le curve, superando le colline.</v>
      </c>
    </row>
    <row r="9803">
      <c r="A9803" s="4" t="s">
        <v>12324</v>
      </c>
      <c r="B9803" s="4" t="s">
        <v>12325</v>
      </c>
      <c r="C9803" s="5" t="str">
        <f>IFERROR(__xludf.DUMMYFUNCTION("GOOGLETRANSLATE(B9803,""en"",""it"")"),"Un uomo sostituisce una gomma sul bordo della bici usando strumenti.")</f>
        <v>Un uomo sostituisce una gomma sul bordo della bici usando strumenti.</v>
      </c>
    </row>
    <row r="9804">
      <c r="A9804" s="4" t="s">
        <v>12324</v>
      </c>
      <c r="B9804" s="4" t="s">
        <v>12326</v>
      </c>
      <c r="C9804" s="5" t="str">
        <f>IFERROR(__xludf.DUMMYFUNCTION("GOOGLETRANSLATE(B9804,""en"",""it"")"),"L'uomo riprende la ruota della bicicletta al telaio della bici.")</f>
        <v>L'uomo riprende la ruota della bicicletta al telaio della bici.</v>
      </c>
    </row>
    <row r="9805">
      <c r="A9805" s="4" t="s">
        <v>12324</v>
      </c>
      <c r="B9805" s="4" t="s">
        <v>12327</v>
      </c>
      <c r="C9805" s="5" t="str">
        <f>IFERROR(__xludf.DUMMYFUNCTION("GOOGLETRANSLATE(B9805,""en"",""it"")"),"Il sole scende mentre la giornata diventa più tardi.")</f>
        <v>Il sole scende mentre la giornata diventa più tardi.</v>
      </c>
    </row>
    <row r="9806">
      <c r="A9806" s="4" t="s">
        <v>12324</v>
      </c>
      <c r="B9806" s="4" t="s">
        <v>12328</v>
      </c>
      <c r="C9806" s="5" t="str">
        <f>IFERROR(__xludf.DUMMYFUNCTION("GOOGLETRANSLATE(B9806,""en"",""it"")"),"L'uomo si alza in bici e si prepara a partire.")</f>
        <v>L'uomo si alza in bici e si prepara a partire.</v>
      </c>
    </row>
    <row r="9807">
      <c r="A9807" s="4" t="s">
        <v>12329</v>
      </c>
      <c r="B9807" s="4" t="s">
        <v>12330</v>
      </c>
      <c r="C9807" s="5" t="str">
        <f>IFERROR(__xludf.DUMMYFUNCTION("GOOGLETRANSLATE(B9807,""en"",""it"")"),"persona con le forbici golline nell'erba.")</f>
        <v>persona con le forbici golline nell'erba.</v>
      </c>
    </row>
    <row r="9808">
      <c r="A9808" s="4" t="s">
        <v>12329</v>
      </c>
      <c r="B9808" s="4" t="s">
        <v>12331</v>
      </c>
      <c r="C9808" s="5" t="str">
        <f>IFERROR(__xludf.DUMMYFUNCTION("GOOGLETRANSLATE(B9808,""en"",""it"")"),"Vediamo l'ombra del cameraman sulla persona.")</f>
        <v>Vediamo l'ombra del cameraman sulla persona.</v>
      </c>
    </row>
    <row r="9809">
      <c r="A9809" s="4" t="s">
        <v>12329</v>
      </c>
      <c r="B9809" s="4" t="s">
        <v>12332</v>
      </c>
      <c r="C9809" s="5" t="str">
        <f>IFERROR(__xludf.DUMMYFUNCTION("GOOGLETRANSLATE(B9809,""en"",""it"")"),"La persona sta tagliando l'erba con forbici a prova di bambino.")</f>
        <v>La persona sta tagliando l'erba con forbici a prova di bambino.</v>
      </c>
    </row>
    <row r="9810">
      <c r="A9810" s="4" t="s">
        <v>12333</v>
      </c>
      <c r="B9810" s="6" t="s">
        <v>12334</v>
      </c>
      <c r="C9810" s="5" t="str">
        <f>IFERROR(__xludf.DUMMYFUNCTION("GOOGLETRANSLATE(B9810,""en"",""it"")"),"Gli uomini soffiano foglie morte che spingono una macchina per soffiante a foglia a terra o tiene una macchina sul retro.")</f>
        <v>Gli uomini soffiano foglie morte che spingono una macchina per soffiante a foglia a terra o tiene una macchina sul retro.</v>
      </c>
    </row>
    <row r="9811">
      <c r="A9811" s="4" t="s">
        <v>12333</v>
      </c>
      <c r="B9811" s="4" t="s">
        <v>12335</v>
      </c>
      <c r="C9811" s="5" t="str">
        <f>IFERROR(__xludf.DUMMYFUNCTION("GOOGLETRANSLATE(B9811,""en"",""it"")"),"Quindi, un uomo spiega come utilizzare una macchina per foglie mentre gli uomini continuano a soffiare le foglie.")</f>
        <v>Quindi, un uomo spiega come utilizzare una macchina per foglie mentre gli uomini continuano a soffiare le foglie.</v>
      </c>
    </row>
    <row r="9812">
      <c r="A9812" s="4" t="s">
        <v>12333</v>
      </c>
      <c r="B9812" s="4" t="s">
        <v>12336</v>
      </c>
      <c r="C9812" s="5" t="str">
        <f>IFERROR(__xludf.DUMMYFUNCTION("GOOGLETRANSLATE(B9812,""en"",""it"")"),"Un altro uomo spiega mentre altri uomini aspirano e soffiano foglie.")</f>
        <v>Un altro uomo spiega mentre altri uomini aspirano e soffiano foglie.</v>
      </c>
    </row>
    <row r="9813">
      <c r="A9813" s="4" t="s">
        <v>12337</v>
      </c>
      <c r="B9813" s="4" t="s">
        <v>12338</v>
      </c>
      <c r="C9813" s="5" t="str">
        <f>IFERROR(__xludf.DUMMYFUNCTION("GOOGLETRANSLATE(B9813,""en"",""it"")"),"Vediamo un'immagine e una scheda del titolo.")</f>
        <v>Vediamo un'immagine e una scheda del titolo.</v>
      </c>
    </row>
    <row r="9814">
      <c r="A9814" s="4" t="s">
        <v>12337</v>
      </c>
      <c r="B9814" s="4" t="s">
        <v>12339</v>
      </c>
      <c r="C9814" s="5" t="str">
        <f>IFERROR(__xludf.DUMMYFUNCTION("GOOGLETRANSLATE(B9814,""en"",""it"")"),"Vediamo un uomo che gioca a basket.")</f>
        <v>Vediamo un uomo che gioca a basket.</v>
      </c>
    </row>
    <row r="9815">
      <c r="A9815" s="4" t="s">
        <v>12337</v>
      </c>
      <c r="B9815" s="4" t="s">
        <v>12340</v>
      </c>
      <c r="C9815" s="5" t="str">
        <f>IFERROR(__xludf.DUMMYFUNCTION("GOOGLETRANSLATE(B9815,""en"",""it"")"),"Il tiro che ha fatto è visto al contrario.")</f>
        <v>Il tiro che ha fatto è visto al contrario.</v>
      </c>
    </row>
    <row r="9816">
      <c r="A9816" s="4" t="s">
        <v>12337</v>
      </c>
      <c r="B9816" s="4" t="s">
        <v>12341</v>
      </c>
      <c r="C9816" s="5" t="str">
        <f>IFERROR(__xludf.DUMMYFUNCTION("GOOGLETRANSLATE(B9816,""en"",""it"")"),"Vediamo una palestra con adolescenti che sparano a basket.")</f>
        <v>Vediamo una palestra con adolescenti che sparano a basket.</v>
      </c>
    </row>
    <row r="9817">
      <c r="A9817" s="4" t="s">
        <v>12337</v>
      </c>
      <c r="B9817" s="4" t="s">
        <v>12342</v>
      </c>
      <c r="C9817" s="5" t="str">
        <f>IFERROR(__xludf.DUMMYFUNCTION("GOOGLETRANSLATE(B9817,""en"",""it"")"),"Vediamo una scheda del titolo su Black.")</f>
        <v>Vediamo una scheda del titolo su Black.</v>
      </c>
    </row>
    <row r="9818">
      <c r="A9818" s="4" t="s">
        <v>12337</v>
      </c>
      <c r="B9818" s="4" t="s">
        <v>12343</v>
      </c>
      <c r="C9818" s="5" t="str">
        <f>IFERROR(__xludf.DUMMYFUNCTION("GOOGLETRANSLATE(B9818,""en"",""it"")"),"Un uomo sta sparando a basket in palestra.")</f>
        <v>Un uomo sta sparando a basket in palestra.</v>
      </c>
    </row>
    <row r="9819">
      <c r="A9819" s="4" t="s">
        <v>12337</v>
      </c>
      <c r="B9819" s="4" t="s">
        <v>12344</v>
      </c>
      <c r="C9819" s="5" t="str">
        <f>IFERROR(__xludf.DUMMYFUNCTION("GOOGLETRANSLATE(B9819,""en"",""it"")"),"Vediamo un uomo schiacciare la palla due volte.")</f>
        <v>Vediamo un uomo schiacciare la palla due volte.</v>
      </c>
    </row>
    <row r="9820">
      <c r="A9820" s="4" t="s">
        <v>12337</v>
      </c>
      <c r="B9820" s="4" t="s">
        <v>12345</v>
      </c>
      <c r="C9820" s="5" t="str">
        <f>IFERROR(__xludf.DUMMYFUNCTION("GOOGLETRANSLATE(B9820,""en"",""it"")"),"Vediamo la scheda del titolo finale su Black.")</f>
        <v>Vediamo la scheda del titolo finale su Black.</v>
      </c>
    </row>
    <row r="9821">
      <c r="A9821" s="4" t="s">
        <v>12346</v>
      </c>
      <c r="B9821" s="4" t="s">
        <v>12347</v>
      </c>
      <c r="C9821" s="5" t="str">
        <f>IFERROR(__xludf.DUMMYFUNCTION("GOOGLETRANSLATE(B9821,""en"",""it"")"),"Due persone sono viste cavalcare lungo una strada con un cane.")</f>
        <v>Due persone sono viste cavalcare lungo una strada con un cane.</v>
      </c>
    </row>
    <row r="9822">
      <c r="A9822" s="4" t="s">
        <v>12346</v>
      </c>
      <c r="B9822" s="4" t="s">
        <v>12348</v>
      </c>
      <c r="C9822" s="5" t="str">
        <f>IFERROR(__xludf.DUMMYFUNCTION("GOOGLETRANSLATE(B9822,""en"",""it"")"),"Una persona sta andando in bicicletta e l'altra uno skateboard mentre la fotocamera segue da vicino.")</f>
        <v>Una persona sta andando in bicicletta e l'altra uno skateboard mentre la fotocamera segue da vicino.</v>
      </c>
    </row>
    <row r="9823">
      <c r="A9823" s="4" t="s">
        <v>12346</v>
      </c>
      <c r="B9823" s="4" t="s">
        <v>12349</v>
      </c>
      <c r="C9823" s="5" t="str">
        <f>IFERROR(__xludf.DUMMYFUNCTION("GOOGLETRANSLATE(B9823,""en"",""it"")"),"Diversi altri cani corrono e le persone continuano a cavalcare lungo il sentiero.")</f>
        <v>Diversi altri cani corrono e le persone continuano a cavalcare lungo il sentiero.</v>
      </c>
    </row>
    <row r="9824">
      <c r="A9824" s="4" t="s">
        <v>12350</v>
      </c>
      <c r="B9824" s="4" t="s">
        <v>12351</v>
      </c>
      <c r="C9824" s="5" t="str">
        <f>IFERROR(__xludf.DUMMYFUNCTION("GOOGLETRANSLATE(B9824,""en"",""it"")"),"L'uomo tiene un palo con un gelato e lo dà a un bambino piccolo.")</f>
        <v>L'uomo tiene un palo con un gelato e lo dà a un bambino piccolo.</v>
      </c>
    </row>
    <row r="9825">
      <c r="A9825" s="4" t="s">
        <v>12350</v>
      </c>
      <c r="B9825" s="4" t="s">
        <v>12352</v>
      </c>
      <c r="C9825" s="5" t="str">
        <f>IFERROR(__xludf.DUMMYFUNCTION("GOOGLETRANSLATE(B9825,""en"",""it"")"),"Le persone sono in piedi e camminano dietro il ragazzo in un parco di divertimenti.")</f>
        <v>Le persone sono in piedi e camminano dietro il ragazzo in un parco di divertimenti.</v>
      </c>
    </row>
    <row r="9826">
      <c r="A9826" s="4" t="s">
        <v>12353</v>
      </c>
      <c r="B9826" s="6" t="s">
        <v>12354</v>
      </c>
      <c r="C9826" s="5" t="str">
        <f>IFERROR(__xludf.DUMMYFUNCTION("GOOGLETRANSLATE(B9826,""en"",""it"")"),"Un uomo naviga in acqua ruvida oceanica, cavalcando e contro, enormi onde alte mentre gli spettatori su motociclisti guardano e commentano.")</f>
        <v>Un uomo naviga in acqua ruvida oceanica, cavalcando e contro, enormi onde alte mentre gli spettatori su motociclisti guardano e commentano.</v>
      </c>
    </row>
    <row r="9827">
      <c r="A9827" s="4" t="s">
        <v>12353</v>
      </c>
      <c r="B9827" s="6" t="s">
        <v>12355</v>
      </c>
      <c r="C9827" s="5" t="str">
        <f>IFERROR(__xludf.DUMMYFUNCTION("GOOGLETRANSLATE(B9827,""en"",""it"")"),"L'uomo, in una muta, è in piedi e cavalca su una tavola da surf gialla e una tavola da surf rossa prima su un'onda calma e poi su una serie di onde grandi e alte.")</f>
        <v>L'uomo, in una muta, è in piedi e cavalca su una tavola da surf gialla e una tavola da surf rossa prima su un'onda calma e poi su una serie di onde grandi e alte.</v>
      </c>
    </row>
    <row r="9828">
      <c r="A9828" s="4" t="s">
        <v>12353</v>
      </c>
      <c r="B9828" s="6" t="s">
        <v>12356</v>
      </c>
      <c r="C9828" s="5" t="str">
        <f>IFERROR(__xludf.DUMMYFUNCTION("GOOGLETRANSLATE(B9828,""en"",""it"")"),"L'uomo cavalca le onde ruvide sulla tavola da surf con le onde al tempo che coprono tutto il suo corpo e la tavola da surf.")</f>
        <v>L'uomo cavalca le onde ruvide sulla tavola da surf con le onde al tempo che coprono tutto il suo corpo e la tavola da surf.</v>
      </c>
    </row>
    <row r="9829">
      <c r="A9829" s="4" t="s">
        <v>12353</v>
      </c>
      <c r="B9829" s="6" t="s">
        <v>12357</v>
      </c>
      <c r="C9829" s="5" t="str">
        <f>IFERROR(__xludf.DUMMYFUNCTION("GOOGLETRANSLATE(B9829,""en"",""it"")"),"L'uomo si abbraccia e stringe le mani con le persone dopo aver completato l'episodio del surf rozzo e cavalca un'ultima ondata solitaria, alta prima di sbiadire al nero.")</f>
        <v>L'uomo si abbraccia e stringe le mani con le persone dopo aver completato l'episodio del surf rozzo e cavalca un'ultima ondata solitaria, alta prima di sbiadire al nero.</v>
      </c>
    </row>
    <row r="9830">
      <c r="A9830" s="4" t="s">
        <v>12358</v>
      </c>
      <c r="B9830" s="6" t="s">
        <v>12359</v>
      </c>
      <c r="C9830" s="5" t="str">
        <f>IFERROR(__xludf.DUMMYFUNCTION("GOOGLETRANSLATE(B9830,""en"",""it"")"),"Un uomo esegue un tiro di bollitore di fronte a uno stadio esterno pieno di spettatori tra il pubblico.")</f>
        <v>Un uomo esegue un tiro di bollitore di fronte a uno stadio esterno pieno di spettatori tra il pubblico.</v>
      </c>
    </row>
    <row r="9831">
      <c r="A9831" s="4" t="s">
        <v>12358</v>
      </c>
      <c r="B9831" s="4" t="s">
        <v>12360</v>
      </c>
      <c r="C9831" s="5" t="str">
        <f>IFERROR(__xludf.DUMMYFUNCTION("GOOGLETRANSLATE(B9831,""en"",""it"")"),"Un uomo su una zona di terra rotonda su un campo fa oscillare una palla intorno e intorno mentre si trova in posizione.")</f>
        <v>Un uomo su una zona di terra rotonda su un campo fa oscillare una palla intorno e intorno mentre si trova in posizione.</v>
      </c>
    </row>
    <row r="9832">
      <c r="A9832" s="4" t="s">
        <v>12358</v>
      </c>
      <c r="B9832" s="4" t="s">
        <v>12361</v>
      </c>
      <c r="C9832" s="5" t="str">
        <f>IFERROR(__xludf.DUMMYFUNCTION("GOOGLETRANSLATE(B9832,""en"",""it"")"),"L'uomo lascia andare la palla, dove vola in aria davanti a lui.")</f>
        <v>L'uomo lascia andare la palla, dove vola in aria davanti a lui.</v>
      </c>
    </row>
    <row r="9833">
      <c r="A9833" s="4" t="s">
        <v>12358</v>
      </c>
      <c r="B9833" s="4" t="s">
        <v>12362</v>
      </c>
      <c r="C9833" s="5" t="str">
        <f>IFERROR(__xludf.DUMMYFUNCTION("GOOGLETRANSLATE(B9833,""en"",""it"")"),"L'uomo si ferma e si piega con le ginocchia mentre guarda la palla volare in aria.")</f>
        <v>L'uomo si ferma e si piega con le ginocchia mentre guarda la palla volare in aria.</v>
      </c>
    </row>
    <row r="9834">
      <c r="A9834" s="4" t="s">
        <v>12363</v>
      </c>
      <c r="B9834" s="4" t="s">
        <v>12364</v>
      </c>
      <c r="C9834" s="5" t="str">
        <f>IFERROR(__xludf.DUMMYFUNCTION("GOOGLETRANSLATE(B9834,""en"",""it"")"),"Un uomo guida un cammello con bambini che cavalcano sul retro lungo un litorale della spiaggia.")</f>
        <v>Un uomo guida un cammello con bambini che cavalcano sul retro lungo un litorale della spiaggia.</v>
      </c>
    </row>
    <row r="9835">
      <c r="A9835" s="4" t="s">
        <v>12363</v>
      </c>
      <c r="B9835" s="4" t="s">
        <v>12365</v>
      </c>
      <c r="C9835" s="5" t="str">
        <f>IFERROR(__xludf.DUMMYFUNCTION("GOOGLETRANSLATE(B9835,""en"",""it"")"),"I frequentatori della spiaggia si alzano e camminano lungo il litorale in costumi da bagno.")</f>
        <v>I frequentatori della spiaggia si alzano e camminano lungo il litorale in costumi da bagno.</v>
      </c>
    </row>
    <row r="9836">
      <c r="A9836" s="4" t="s">
        <v>12366</v>
      </c>
      <c r="B9836" s="4" t="s">
        <v>12367</v>
      </c>
      <c r="C9836" s="5" t="str">
        <f>IFERROR(__xludf.DUMMYFUNCTION("GOOGLETRANSLATE(B9836,""en"",""it"")"),"Un adolescente spiega come capovolgere e girare una tavola da surf con i piedi.")</f>
        <v>Un adolescente spiega come capovolgere e girare una tavola da surf con i piedi.</v>
      </c>
    </row>
    <row r="9837">
      <c r="A9837" s="4" t="s">
        <v>12366</v>
      </c>
      <c r="B9837" s="4" t="s">
        <v>12368</v>
      </c>
      <c r="C9837" s="5" t="str">
        <f>IFERROR(__xludf.DUMMYFUNCTION("GOOGLETRANSLATE(B9837,""en"",""it"")"),"Quindi, l'adolescente mostra come sollevare le punte della tavola da surf.")</f>
        <v>Quindi, l'adolescente mostra come sollevare le punte della tavola da surf.</v>
      </c>
    </row>
    <row r="9838">
      <c r="A9838" s="4" t="s">
        <v>12366</v>
      </c>
      <c r="B9838" s="4" t="s">
        <v>12369</v>
      </c>
      <c r="C9838" s="5" t="str">
        <f>IFERROR(__xludf.DUMMYFUNCTION("GOOGLETRANSLATE(B9838,""en"",""it"")"),"Quindi, l'adolescente si trova sulla tavola da surf e dimostra come trasformarlo di lato.")</f>
        <v>Quindi, l'adolescente si trova sulla tavola da surf e dimostra come trasformarlo di lato.</v>
      </c>
    </row>
    <row r="9839">
      <c r="A9839" s="4" t="s">
        <v>12366</v>
      </c>
      <c r="B9839" s="4" t="s">
        <v>12370</v>
      </c>
      <c r="C9839" s="5" t="str">
        <f>IFERROR(__xludf.DUMMYFUNCTION("GOOGLETRANSLATE(B9839,""en"",""it"")"),"Dopo, l'adolescente mette la mano con le scarpe sulla tavola da surf e dimostra un turno.")</f>
        <v>Dopo, l'adolescente mette la mano con le scarpe sulla tavola da surf e dimostra un turno.</v>
      </c>
    </row>
    <row r="9840">
      <c r="A9840" s="4" t="s">
        <v>12366</v>
      </c>
      <c r="B9840" s="4" t="s">
        <v>12371</v>
      </c>
      <c r="C9840" s="5" t="str">
        <f>IFERROR(__xludf.DUMMYFUNCTION("GOOGLETRANSLATE(B9840,""en"",""it"")"),"Successivamente, l'adolescente fa il turno con i piedi.")</f>
        <v>Successivamente, l'adolescente fa il turno con i piedi.</v>
      </c>
    </row>
    <row r="9841">
      <c r="A9841" s="4" t="s">
        <v>12372</v>
      </c>
      <c r="B9841" s="4" t="s">
        <v>12373</v>
      </c>
      <c r="C9841" s="5" t="str">
        <f>IFERROR(__xludf.DUMMYFUNCTION("GOOGLETRANSLATE(B9841,""en"",""it"")"),"Le persone stanno remando giù per un corpo d'acqua.")</f>
        <v>Le persone stanno remando giù per un corpo d'acqua.</v>
      </c>
    </row>
    <row r="9842">
      <c r="A9842" s="4" t="s">
        <v>12372</v>
      </c>
      <c r="B9842" s="4" t="s">
        <v>12374</v>
      </c>
      <c r="C9842" s="5" t="str">
        <f>IFERROR(__xludf.DUMMYFUNCTION("GOOGLETRANSLATE(B9842,""en"",""it"")"),"Un ragazzo si sciacqua il viso con l'acqua dal corpo idrico.")</f>
        <v>Un ragazzo si sciacqua il viso con l'acqua dal corpo idrico.</v>
      </c>
    </row>
    <row r="9843">
      <c r="A9843" s="4" t="s">
        <v>12372</v>
      </c>
      <c r="B9843" s="4" t="s">
        <v>12375</v>
      </c>
      <c r="C9843" s="5" t="str">
        <f>IFERROR(__xludf.DUMMYFUNCTION("GOOGLETRANSLATE(B9843,""en"",""it"")"),"Il ragazzo fa scorrere le dita d'acqua attraverso questi capelli.")</f>
        <v>Il ragazzo fa scorrere le dita d'acqua attraverso questi capelli.</v>
      </c>
    </row>
    <row r="9844">
      <c r="A9844" s="4" t="s">
        <v>12372</v>
      </c>
      <c r="B9844" s="4" t="s">
        <v>12376</v>
      </c>
      <c r="C9844" s="5" t="str">
        <f>IFERROR(__xludf.DUMMYFUNCTION("GOOGLETRANSLATE(B9844,""en"",""it"")"),"Un uomo con i baffi si sporge, si bagna la mano e si tocca il viso.")</f>
        <v>Un uomo con i baffi si sporge, si bagna la mano e si tocca il viso.</v>
      </c>
    </row>
    <row r="9845">
      <c r="A9845" s="4" t="s">
        <v>12377</v>
      </c>
      <c r="B9845" s="4" t="s">
        <v>12378</v>
      </c>
      <c r="C9845" s="5" t="str">
        <f>IFERROR(__xludf.DUMMYFUNCTION("GOOGLETRANSLATE(B9845,""en"",""it"")"),"Un ragazzo si trova in un campo che tiene un bastone colorato e tocca una pinata.")</f>
        <v>Un ragazzo si trova in un campo che tiene un bastone colorato e tocca una pinata.</v>
      </c>
    </row>
    <row r="9846">
      <c r="A9846" s="4" t="s">
        <v>12377</v>
      </c>
      <c r="B9846" s="4" t="s">
        <v>12379</v>
      </c>
      <c r="C9846" s="5" t="str">
        <f>IFERROR(__xludf.DUMMYFUNCTION("GOOGLETRANSLATE(B9846,""en"",""it"")"),"Un ragazzo fa oscillare un bastone contro una pinata.")</f>
        <v>Un ragazzo fa oscillare un bastone contro una pinata.</v>
      </c>
    </row>
    <row r="9847">
      <c r="A9847" s="4" t="s">
        <v>12377</v>
      </c>
      <c r="B9847" s="4" t="s">
        <v>12380</v>
      </c>
      <c r="C9847" s="5" t="str">
        <f>IFERROR(__xludf.DUMMYFUNCTION("GOOGLETRANSLATE(B9847,""en"",""it"")"),"Il ragazzo si ferma e mette il bastone oltre a lui.")</f>
        <v>Il ragazzo si ferma e mette il bastone oltre a lui.</v>
      </c>
    </row>
    <row r="9848">
      <c r="A9848" s="4" t="s">
        <v>12381</v>
      </c>
      <c r="B9848" s="4" t="s">
        <v>12382</v>
      </c>
      <c r="C9848" s="5" t="str">
        <f>IFERROR(__xludf.DUMMYFUNCTION("GOOGLETRANSLATE(B9848,""en"",""it"")"),"Un uomo è seduto davanti a una piccola tela.")</f>
        <v>Un uomo è seduto davanti a una piccola tela.</v>
      </c>
    </row>
    <row r="9849">
      <c r="A9849" s="4" t="s">
        <v>12381</v>
      </c>
      <c r="B9849" s="4" t="s">
        <v>12383</v>
      </c>
      <c r="C9849" s="5" t="str">
        <f>IFERROR(__xludf.DUMMYFUNCTION("GOOGLETRANSLATE(B9849,""en"",""it"")"),"Usa un pennello a lungo termine per creare un'immagine.")</f>
        <v>Usa un pennello a lungo termine per creare un'immagine.</v>
      </c>
    </row>
    <row r="9850">
      <c r="A9850" s="4" t="s">
        <v>12381</v>
      </c>
      <c r="B9850" s="4" t="s">
        <v>12384</v>
      </c>
      <c r="C9850" s="5" t="str">
        <f>IFERROR(__xludf.DUMMYFUNCTION("GOOGLETRANSLATE(B9850,""en"",""it"")"),"Quindi riempie l'immagine di vernici.")</f>
        <v>Quindi riempie l'immagine di vernici.</v>
      </c>
    </row>
    <row r="9851">
      <c r="A9851" s="4" t="s">
        <v>12385</v>
      </c>
      <c r="B9851" s="4" t="s">
        <v>12386</v>
      </c>
      <c r="C9851" s="5" t="str">
        <f>IFERROR(__xludf.DUMMYFUNCTION("GOOGLETRANSLATE(B9851,""en"",""it"")"),"Un uomo versa il caffè in una tazza.")</f>
        <v>Un uomo versa il caffè in una tazza.</v>
      </c>
    </row>
    <row r="9852">
      <c r="A9852" s="4" t="s">
        <v>12385</v>
      </c>
      <c r="B9852" s="4" t="s">
        <v>12387</v>
      </c>
      <c r="C9852" s="5" t="str">
        <f>IFERROR(__xludf.DUMMYFUNCTION("GOOGLETRANSLATE(B9852,""en"",""it"")"),"L'uomo afferra una bottiglia di birra con l'uso di una brocca.")</f>
        <v>L'uomo afferra una bottiglia di birra con l'uso di una brocca.</v>
      </c>
    </row>
    <row r="9853">
      <c r="A9853" s="4" t="s">
        <v>12385</v>
      </c>
      <c r="B9853" s="4" t="s">
        <v>12388</v>
      </c>
      <c r="C9853" s="5" t="str">
        <f>IFERROR(__xludf.DUMMYFUNCTION("GOOGLETRANSLATE(B9853,""en"",""it"")"),"L'uomo versa la birra nella tazza.")</f>
        <v>L'uomo versa la birra nella tazza.</v>
      </c>
    </row>
    <row r="9854">
      <c r="A9854" s="4" t="s">
        <v>12385</v>
      </c>
      <c r="B9854" s="4" t="s">
        <v>12389</v>
      </c>
      <c r="C9854" s="5" t="str">
        <f>IFERROR(__xludf.DUMMYFUNCTION("GOOGLETRANSLATE(B9854,""en"",""it"")"),"L'uomo beve la bevanda.")</f>
        <v>L'uomo beve la bevanda.</v>
      </c>
    </row>
    <row r="9855">
      <c r="A9855" s="4" t="s">
        <v>12390</v>
      </c>
      <c r="B9855" s="4" t="s">
        <v>12391</v>
      </c>
      <c r="C9855" s="5" t="str">
        <f>IFERROR(__xludf.DUMMYFUNCTION("GOOGLETRANSLATE(B9855,""en"",""it"")"),"Vediamo un uomo che parla con una macchina fotografica, quindi tengono una pietra arricciata, poi la gente ride dell'uomo.")</f>
        <v>Vediamo un uomo che parla con una macchina fotografica, quindi tengono una pietra arricciata, poi la gente ride dell'uomo.</v>
      </c>
    </row>
    <row r="9856">
      <c r="A9856" s="4" t="s">
        <v>12390</v>
      </c>
      <c r="B9856" s="4" t="s">
        <v>12392</v>
      </c>
      <c r="C9856" s="5" t="str">
        <f>IFERROR(__xludf.DUMMYFUNCTION("GOOGLETRANSLATE(B9856,""en"",""it"")"),"L'uomo getta la pietra di arricciatura mentre le persone spazzano le scope davanti alla pietra.")</f>
        <v>L'uomo getta la pietra di arricciatura mentre le persone spazzano le scope davanti alla pietra.</v>
      </c>
    </row>
    <row r="9857">
      <c r="A9857" s="4" t="s">
        <v>12390</v>
      </c>
      <c r="B9857" s="4" t="s">
        <v>12393</v>
      </c>
      <c r="C9857" s="5" t="str">
        <f>IFERROR(__xludf.DUMMYFUNCTION("GOOGLETRANSLATE(B9857,""en"",""it"")"),"Tre signore gettano la pietra e scivolano lungo la pista.")</f>
        <v>Tre signore gettano la pietra e scivolano lungo la pista.</v>
      </c>
    </row>
    <row r="9858">
      <c r="A9858" s="4" t="s">
        <v>12390</v>
      </c>
      <c r="B9858" s="4" t="s">
        <v>12394</v>
      </c>
      <c r="C9858" s="5" t="str">
        <f>IFERROR(__xludf.DUMMYFUNCTION("GOOGLETRANSLATE(B9858,""en"",""it"")"),"Vediamo persone che festeggiano le luci lampeggianti.")</f>
        <v>Vediamo persone che festeggiano le luci lampeggianti.</v>
      </c>
    </row>
    <row r="9859">
      <c r="A9859" s="4" t="s">
        <v>12390</v>
      </c>
      <c r="B9859" s="4" t="s">
        <v>12395</v>
      </c>
      <c r="C9859" s="5" t="str">
        <f>IFERROR(__xludf.DUMMYFUNCTION("GOOGLETRANSLATE(B9859,""en"",""it"")"),"Le immagini lampeggiano di persone che si stanno curando di nuovo e un gruppo di persone salta in aria.")</f>
        <v>Le immagini lampeggiano di persone che si stanno curando di nuovo e un gruppo di persone salta in aria.</v>
      </c>
    </row>
    <row r="9860">
      <c r="A9860" s="4" t="s">
        <v>12390</v>
      </c>
      <c r="B9860" s="4" t="s">
        <v>12396</v>
      </c>
      <c r="C9860" s="5" t="str">
        <f>IFERROR(__xludf.DUMMYFUNCTION("GOOGLETRANSLATE(B9860,""en"",""it"")"),"Vediamo una schermata del titolo per il curling.")</f>
        <v>Vediamo una schermata del titolo per il curling.</v>
      </c>
    </row>
    <row r="9861">
      <c r="A9861" s="4" t="s">
        <v>12397</v>
      </c>
      <c r="B9861" s="4" t="s">
        <v>12398</v>
      </c>
      <c r="C9861" s="5" t="str">
        <f>IFERROR(__xludf.DUMMYFUNCTION("GOOGLETRANSLATE(B9861,""en"",""it"")"),"Due persone sono la spada che combattono su un palcoscenico per un pubblico.")</f>
        <v>Due persone sono la spada che combattono su un palcoscenico per un pubblico.</v>
      </c>
    </row>
    <row r="9862">
      <c r="A9862" s="4" t="s">
        <v>12397</v>
      </c>
      <c r="B9862" s="4" t="s">
        <v>12399</v>
      </c>
      <c r="C9862" s="5" t="str">
        <f>IFERROR(__xludf.DUMMYFUNCTION("GOOGLETRANSLATE(B9862,""en"",""it"")"),"Un ragazzo fa il rispetto del risultato di ogni partita.")</f>
        <v>Un ragazzo fa il rispetto del risultato di ogni partita.</v>
      </c>
    </row>
    <row r="9863">
      <c r="A9863" s="4" t="s">
        <v>12397</v>
      </c>
      <c r="B9863" s="4" t="s">
        <v>12400</v>
      </c>
      <c r="C9863" s="5" t="str">
        <f>IFERROR(__xludf.DUMMYFUNCTION("GOOGLETRANSLATE(B9863,""en"",""it"")"),"I membri del pubblico guardano.")</f>
        <v>I membri del pubblico guardano.</v>
      </c>
    </row>
    <row r="9864">
      <c r="A9864" s="4" t="s">
        <v>12401</v>
      </c>
      <c r="B9864" s="4" t="s">
        <v>12402</v>
      </c>
      <c r="C9864" s="5" t="str">
        <f>IFERROR(__xludf.DUMMYFUNCTION("GOOGLETRANSLATE(B9864,""en"",""it"")"),"Vengono mostrati vari scatti di scenari e portano a una persona che gratta un cane e tira una corda.")</f>
        <v>Vengono mostrati vari scatti di scenari e portano a una persona che gratta un cane e tira una corda.</v>
      </c>
    </row>
    <row r="9865">
      <c r="A9865" s="4" t="s">
        <v>12401</v>
      </c>
      <c r="B9865" s="4" t="s">
        <v>12403</v>
      </c>
      <c r="C9865" s="5" t="str">
        <f>IFERROR(__xludf.DUMMYFUNCTION("GOOGLETRANSLATE(B9865,""en"",""it"")"),"Vengono mostrati altri scatti di persone che cavalcano una barca, gabbiani che volano e persone che suonano musica.")</f>
        <v>Vengono mostrati altri scatti di persone che cavalcano una barca, gabbiani che volano e persone che suonano musica.</v>
      </c>
    </row>
    <row r="9866">
      <c r="A9866" s="4" t="s">
        <v>12401</v>
      </c>
      <c r="B9866" s="4" t="s">
        <v>12404</v>
      </c>
      <c r="C9866" s="5" t="str">
        <f>IFERROR(__xludf.DUMMYFUNCTION("GOOGLETRANSLATE(B9866,""en"",""it"")"),"Successivamente una persona viene vista attingere a una mappa e termina con un'ancora e immagini di persone.")</f>
        <v>Successivamente una persona viene vista attingere a una mappa e termina con un'ancora e immagini di persone.</v>
      </c>
    </row>
    <row r="9867">
      <c r="A9867" s="4" t="s">
        <v>12405</v>
      </c>
      <c r="B9867" s="4" t="s">
        <v>12406</v>
      </c>
      <c r="C9867" s="5" t="str">
        <f>IFERROR(__xludf.DUMMYFUNCTION("GOOGLETRANSLATE(B9867,""en"",""it"")"),"Una squadra di giovani cheerleader è in palestra che si lancia e lancia.")</f>
        <v>Una squadra di giovani cheerleader è in palestra che si lancia e lancia.</v>
      </c>
    </row>
    <row r="9868">
      <c r="A9868" s="4" t="s">
        <v>12405</v>
      </c>
      <c r="B9868" s="6" t="s">
        <v>12407</v>
      </c>
      <c r="C9868" s="5" t="str">
        <f>IFERROR(__xludf.DUMMYFUNCTION("GOOGLETRANSLATE(B9868,""en"",""it"")"),"Il proprietario arriva quindi e inizia a parlare mentre il video passa oltre i materiali di cui ogni persona avrà bisogno.")</f>
        <v>Il proprietario arriva quindi e inizia a parlare mentre il video passa oltre i materiali di cui ogni persona avrà bisogno.</v>
      </c>
    </row>
    <row r="9869">
      <c r="A9869" s="4" t="s">
        <v>12405</v>
      </c>
      <c r="B9869" s="6" t="s">
        <v>12408</v>
      </c>
      <c r="C9869" s="5" t="str">
        <f>IFERROR(__xludf.DUMMYFUNCTION("GOOGLETRANSLATE(B9869,""en"",""it"")"),"Dopo, tre ragazze vengono mostrate in piedi in una posizione a cavalci e iniziano ad applaudire e affondare con la mano destra di lato e scendere.")</f>
        <v>Dopo, tre ragazze vengono mostrate in piedi in una posizione a cavalci e iniziano ad applaudire e affondare con la mano destra di lato e scendere.</v>
      </c>
    </row>
    <row r="9870">
      <c r="A9870" s="4" t="s">
        <v>12405</v>
      </c>
      <c r="B9870" s="4" t="s">
        <v>12409</v>
      </c>
      <c r="C9870" s="5" t="str">
        <f>IFERROR(__xludf.DUMMYFUNCTION("GOOGLETRANSLATE(B9870,""en"",""it"")"),"Le ragazze continuano a fare il tifo e quando hanno finito, il proprietario si unisce.")</f>
        <v>Le ragazze continuano a fare il tifo e quando hanno finito, il proprietario si unisce.</v>
      </c>
    </row>
    <row r="9871">
      <c r="A9871" s="4" t="s">
        <v>12405</v>
      </c>
      <c r="B9871" s="4" t="s">
        <v>12410</v>
      </c>
      <c r="C9871" s="5" t="str">
        <f>IFERROR(__xludf.DUMMYFUNCTION("GOOGLETRANSLATE(B9871,""en"",""it"")"),"Una volta che l'allenatore scompare, le ragazze continuano l'allegria e il video finisce.")</f>
        <v>Una volta che l'allenatore scompare, le ragazze continuano l'allegria e il video finisce.</v>
      </c>
    </row>
    <row r="9872">
      <c r="A9872" s="4" t="s">
        <v>12411</v>
      </c>
      <c r="B9872" s="6" t="s">
        <v>12412</v>
      </c>
      <c r="C9872" s="5" t="str">
        <f>IFERROR(__xludf.DUMMYFUNCTION("GOOGLETRANSLATE(B9872,""en"",""it"")"),"Il video conduce in diversi scatti di persone diverse che cavalcano il windsurf mentre si passa.")</f>
        <v>Il video conduce in diversi scatti di persone diverse che cavalcano il windsurf mentre si passa.</v>
      </c>
    </row>
    <row r="9873">
      <c r="A9873" s="4" t="s">
        <v>12411</v>
      </c>
      <c r="B9873" s="6" t="s">
        <v>12413</v>
      </c>
      <c r="C9873" s="5" t="str">
        <f>IFERROR(__xludf.DUMMYFUNCTION("GOOGLETRANSLATE(B9873,""en"",""it"")"),"Viene visto un uomo parlare con la telecamera e conduce a un colpo di una persona che naviga sul vento e saluta la telecamera.")</f>
        <v>Viene visto un uomo parlare con la telecamera e conduce a un colpo di una persona che naviga sul vento e saluta la telecamera.</v>
      </c>
    </row>
    <row r="9874">
      <c r="A9874" s="4" t="s">
        <v>12411</v>
      </c>
      <c r="B9874" s="6" t="s">
        <v>12414</v>
      </c>
      <c r="C9874" s="5" t="str">
        <f>IFERROR(__xludf.DUMMYFUNCTION("GOOGLETRANSLATE(B9874,""en"",""it"")"),"A più persone vengono mostrate navigare e agitare la telecamera mentre si muovono continuamente intorno all'oceano.")</f>
        <v>A più persone vengono mostrate navigare e agitare la telecamera mentre si muovono continuamente intorno all'oceano.</v>
      </c>
    </row>
    <row r="9875">
      <c r="A9875" s="4" t="s">
        <v>12415</v>
      </c>
      <c r="B9875" s="6" t="s">
        <v>12416</v>
      </c>
      <c r="C9875" s="5" t="str">
        <f>IFERROR(__xludf.DUMMYFUNCTION("GOOGLETRANSLATE(B9875,""en"",""it"")"),"Due persone sono viste in piedi davanti a una grande folla con uno che tifo e spinge le braccia indietro e quarto.")</f>
        <v>Due persone sono viste in piedi davanti a una grande folla con uno che tifo e spinge le braccia indietro e quarto.</v>
      </c>
    </row>
    <row r="9876">
      <c r="A9876" s="4" t="s">
        <v>12415</v>
      </c>
      <c r="B9876" s="6" t="s">
        <v>12417</v>
      </c>
      <c r="C9876" s="5" t="str">
        <f>IFERROR(__xludf.DUMMYFUNCTION("GOOGLETRANSLATE(B9876,""en"",""it"")"),"Gli uomini gettano indietro la palla e quarto e cambiano posti con un altro, finendo con lo stesso uomo incoraggiando e abbracciando un altro.")</f>
        <v>Gli uomini gettano indietro la palla e quarto e cambiano posti con un altro, finendo con lo stesso uomo incoraggiando e abbracciando un altro.</v>
      </c>
    </row>
    <row r="9877">
      <c r="A9877" s="4" t="s">
        <v>12418</v>
      </c>
      <c r="B9877" s="4" t="s">
        <v>12419</v>
      </c>
      <c r="C9877" s="5" t="str">
        <f>IFERROR(__xludf.DUMMYFUNCTION("GOOGLETRANSLATE(B9877,""en"",""it"")"),"Vediamo un pulsante di riproduzione su uno schermo.")</f>
        <v>Vediamo un pulsante di riproduzione su uno schermo.</v>
      </c>
    </row>
    <row r="9878">
      <c r="A9878" s="4" t="s">
        <v>12418</v>
      </c>
      <c r="B9878" s="4" t="s">
        <v>12420</v>
      </c>
      <c r="C9878" s="5" t="str">
        <f>IFERROR(__xludf.DUMMYFUNCTION("GOOGLETRANSLATE(B9878,""en"",""it"")"),"Vediamo una signora radere le gambe con un rasoio rosa.")</f>
        <v>Vediamo una signora radere le gambe con un rasoio rosa.</v>
      </c>
    </row>
    <row r="9879">
      <c r="A9879" s="4" t="s">
        <v>12418</v>
      </c>
      <c r="B9879" s="4" t="s">
        <v>12421</v>
      </c>
      <c r="C9879" s="5" t="str">
        <f>IFERROR(__xludf.DUMMYFUNCTION("GOOGLETRANSLATE(B9879,""en"",""it"")"),"Vediamo quindi il pulsante di riproduzione dello schermo finale.")</f>
        <v>Vediamo quindi il pulsante di riproduzione dello schermo finale.</v>
      </c>
    </row>
    <row r="9880">
      <c r="A9880" s="4" t="s">
        <v>12422</v>
      </c>
      <c r="B9880" s="4" t="s">
        <v>12423</v>
      </c>
      <c r="C9880" s="5" t="str">
        <f>IFERROR(__xludf.DUMMYFUNCTION("GOOGLETRANSLATE(B9880,""en"",""it"")"),"I titoli in grassetto sono visti sulla pagina contro immagini fisse e uno sfondo scuro.")</f>
        <v>I titoli in grassetto sono visti sulla pagina contro immagini fisse e uno sfondo scuro.</v>
      </c>
    </row>
    <row r="9881">
      <c r="A9881" s="4" t="s">
        <v>12422</v>
      </c>
      <c r="B9881" s="4" t="s">
        <v>12424</v>
      </c>
      <c r="C9881" s="5" t="str">
        <f>IFERROR(__xludf.DUMMYFUNCTION("GOOGLETRANSLATE(B9881,""en"",""it"")"),"Gli uomini giocano una partita di croquet in un cortile erboso.")</f>
        <v>Gli uomini giocano una partita di croquet in un cortile erboso.</v>
      </c>
    </row>
    <row r="9882">
      <c r="A9882" s="4" t="s">
        <v>12422</v>
      </c>
      <c r="B9882" s="4" t="s">
        <v>12425</v>
      </c>
      <c r="C9882" s="5" t="str">
        <f>IFERROR(__xludf.DUMMYFUNCTION("GOOGLETRANSLATE(B9882,""en"",""it"")"),"Gli uomini si inginocchiano e colpiscono la palla di croquet come un colpo di biliardo.")</f>
        <v>Gli uomini si inginocchiano e colpiscono la palla di croquet come un colpo di biliardo.</v>
      </c>
    </row>
    <row r="9883">
      <c r="A9883" s="4" t="s">
        <v>12422</v>
      </c>
      <c r="B9883" s="4" t="s">
        <v>12426</v>
      </c>
      <c r="C9883" s="5" t="str">
        <f>IFERROR(__xludf.DUMMYFUNCTION("GOOGLETRANSLATE(B9883,""en"",""it"")"),"L'uomo corre tolvendo il suo bastone celebrando.")</f>
        <v>L'uomo corre tolvendo il suo bastone celebrando.</v>
      </c>
    </row>
    <row r="9884">
      <c r="A9884" s="4" t="s">
        <v>12422</v>
      </c>
      <c r="B9884" s="4" t="s">
        <v>12427</v>
      </c>
      <c r="C9884" s="5" t="str">
        <f>IFERROR(__xludf.DUMMYFUNCTION("GOOGLETRANSLATE(B9884,""en"",""it"")"),"Un uomo salta sull'erba che tiene il suo bastone sorridente.")</f>
        <v>Un uomo salta sull'erba che tiene il suo bastone sorridente.</v>
      </c>
    </row>
    <row r="9885">
      <c r="A9885" s="4" t="s">
        <v>12428</v>
      </c>
      <c r="B9885" s="4" t="s">
        <v>12429</v>
      </c>
      <c r="C9885" s="5" t="str">
        <f>IFERROR(__xludf.DUMMYFUNCTION("GOOGLETRANSLATE(B9885,""en"",""it"")"),"Viene visto un uomo parlare alla telecamera e conduce in lui seduto ancora in piscina.")</f>
        <v>Viene visto un uomo parlare alla telecamera e conduce in lui seduto ancora in piscina.</v>
      </c>
    </row>
    <row r="9886">
      <c r="A9886" s="4" t="s">
        <v>12428</v>
      </c>
      <c r="B9886" s="4" t="s">
        <v>12430</v>
      </c>
      <c r="C9886" s="5" t="str">
        <f>IFERROR(__xludf.DUMMYFUNCTION("GOOGLETRANSLATE(B9886,""en"",""it"")"),"L'uomo inizia quindi a nuotare intorno alla piscina e quarto con gli altri.")</f>
        <v>L'uomo inizia quindi a nuotare intorno alla piscina e quarto con gli altri.</v>
      </c>
    </row>
    <row r="9887">
      <c r="A9887" s="4" t="s">
        <v>12428</v>
      </c>
      <c r="B9887" s="4" t="s">
        <v>12431</v>
      </c>
      <c r="C9887" s="5" t="str">
        <f>IFERROR(__xludf.DUMMYFUNCTION("GOOGLETRANSLATE(B9887,""en"",""it"")"),"Vengono mostrati diversi colpi che nuotano intorno alle persone e si muovono in acqua.")</f>
        <v>Vengono mostrati diversi colpi che nuotano intorno alle persone e si muovono in acqua.</v>
      </c>
    </row>
    <row r="9888">
      <c r="A9888" s="4" t="s">
        <v>12432</v>
      </c>
      <c r="B9888" s="4" t="s">
        <v>12433</v>
      </c>
      <c r="C9888" s="5" t="str">
        <f>IFERROR(__xludf.DUMMYFUNCTION("GOOGLETRANSLATE(B9888,""en"",""it"")"),"Due donne stanno giocando a badminton su un palco.")</f>
        <v>Due donne stanno giocando a badminton su un palco.</v>
      </c>
    </row>
    <row r="9889">
      <c r="A9889" s="4" t="s">
        <v>12432</v>
      </c>
      <c r="B9889" s="4" t="s">
        <v>12434</v>
      </c>
      <c r="C9889" s="5" t="str">
        <f>IFERROR(__xludf.DUMMYFUNCTION("GOOGLETRANSLATE(B9889,""en"",""it"")"),"Le persone giocano il gioco del prezzo è giusto.")</f>
        <v>Le persone giocano il gioco del prezzo è giusto.</v>
      </c>
    </row>
    <row r="9890">
      <c r="A9890" s="4" t="s">
        <v>12432</v>
      </c>
      <c r="B9890" s="4" t="s">
        <v>12435</v>
      </c>
      <c r="C9890" s="5" t="str">
        <f>IFERROR(__xludf.DUMMYFUNCTION("GOOGLETRANSLATE(B9890,""en"",""it"")"),"Una donna vince e cammina sul palco per abbracciare l'host.")</f>
        <v>Una donna vince e cammina sul palco per abbracciare l'host.</v>
      </c>
    </row>
    <row r="9891">
      <c r="A9891" s="4" t="s">
        <v>12436</v>
      </c>
      <c r="B9891" s="4" t="s">
        <v>12437</v>
      </c>
      <c r="C9891" s="5" t="str">
        <f>IFERROR(__xludf.DUMMYFUNCTION("GOOGLETRANSLATE(B9891,""en"",""it"")"),"Due ragazze sono in piedi su un campo di erba.")</f>
        <v>Due ragazze sono in piedi su un campo di erba.</v>
      </c>
    </row>
    <row r="9892">
      <c r="A9892" s="4" t="s">
        <v>12436</v>
      </c>
      <c r="B9892" s="4" t="s">
        <v>12438</v>
      </c>
      <c r="C9892" s="5" t="str">
        <f>IFERROR(__xludf.DUMMYFUNCTION("GOOGLETRANSLATE(B9892,""en"",""it"")"),"Una delle ragazze inizia a fare mosse di cheerleader.")</f>
        <v>Una delle ragazze inizia a fare mosse di cheerleader.</v>
      </c>
    </row>
    <row r="9893">
      <c r="A9893" s="4" t="s">
        <v>12436</v>
      </c>
      <c r="B9893" s="4" t="s">
        <v>12439</v>
      </c>
      <c r="C9893" s="5" t="str">
        <f>IFERROR(__xludf.DUMMYFUNCTION("GOOGLETRANSLATE(B9893,""en"",""it"")"),"L'altra ragazza sta accanto al suo parlare.")</f>
        <v>L'altra ragazza sta accanto al suo parlare.</v>
      </c>
    </row>
    <row r="9894">
      <c r="A9894" s="4" t="s">
        <v>12440</v>
      </c>
      <c r="B9894" s="4" t="s">
        <v>12441</v>
      </c>
      <c r="C9894" s="5" t="str">
        <f>IFERROR(__xludf.DUMMYFUNCTION("GOOGLETRANSLATE(B9894,""en"",""it"")"),"Un uomo si sta esercitando a lanciare freccette nella sua tavola da darda.")</f>
        <v>Un uomo si sta esercitando a lanciare freccette nella sua tavola da darda.</v>
      </c>
    </row>
    <row r="9895">
      <c r="A9895" s="4" t="s">
        <v>12440</v>
      </c>
      <c r="B9895" s="4" t="s">
        <v>12442</v>
      </c>
      <c r="C9895" s="5" t="str">
        <f>IFERROR(__xludf.DUMMYFUNCTION("GOOGLETRANSLATE(B9895,""en"",""it"")"),"Li lancia tutti e poi deve superare per toglierli tutti.")</f>
        <v>Li lancia tutti e poi deve superare per toglierli tutti.</v>
      </c>
    </row>
    <row r="9896">
      <c r="A9896" s="4" t="s">
        <v>12440</v>
      </c>
      <c r="B9896" s="4" t="s">
        <v>12443</v>
      </c>
      <c r="C9896" s="5" t="str">
        <f>IFERROR(__xludf.DUMMYFUNCTION("GOOGLETRANSLATE(B9896,""en"",""it"")"),"Una volta che li ha tutti fuori, inizia a buttarli di nuovo.")</f>
        <v>Una volta che li ha tutti fuori, inizia a buttarli di nuovo.</v>
      </c>
    </row>
    <row r="9897">
      <c r="A9897" s="4" t="s">
        <v>12440</v>
      </c>
      <c r="B9897" s="4" t="s">
        <v>12444</v>
      </c>
      <c r="C9897" s="5" t="str">
        <f>IFERROR(__xludf.DUMMYFUNCTION("GOOGLETRANSLATE(B9897,""en"",""it"")"),"Ripete questo ciclo alcune volte ancora e ancora.")</f>
        <v>Ripete questo ciclo alcune volte ancora e ancora.</v>
      </c>
    </row>
    <row r="9898">
      <c r="A9898" s="4" t="s">
        <v>12445</v>
      </c>
      <c r="B9898" s="4" t="s">
        <v>12446</v>
      </c>
      <c r="C9898" s="5" t="str">
        <f>IFERROR(__xludf.DUMMYFUNCTION("GOOGLETRANSLATE(B9898,""en"",""it"")"),"Un uomo parla all'interno, poi una signora parla in un campo mentre le ragazze corrono dalla sua parte.")</f>
        <v>Un uomo parla all'interno, poi una signora parla in un campo mentre le ragazze corrono dalla sua parte.</v>
      </c>
    </row>
    <row r="9899">
      <c r="A9899" s="4" t="s">
        <v>12445</v>
      </c>
      <c r="B9899" s="4" t="s">
        <v>12447</v>
      </c>
      <c r="C9899" s="5" t="str">
        <f>IFERROR(__xludf.DUMMYFUNCTION("GOOGLETRANSLATE(B9899,""en"",""it"")"),"La signora parla con le ragazze che giocano una partita che colpisce una palla con un bastone.")</f>
        <v>La signora parla con le ragazze che giocano una partita che colpisce una palla con un bastone.</v>
      </c>
    </row>
    <row r="9900">
      <c r="A9900" s="4" t="s">
        <v>12445</v>
      </c>
      <c r="B9900" s="6" t="s">
        <v>12448</v>
      </c>
      <c r="C9900" s="5" t="str">
        <f>IFERROR(__xludf.DUMMYFUNCTION("GOOGLETRANSLATE(B9900,""en"",""it"")"),"Le ragazze si alternano per parlare, mentre altri giocatori si esercitano a sparare a palle in porta e mostrano la città di Baltimora, i giocatori dei corvi e le strade della città.")</f>
        <v>Le ragazze si alternano per parlare, mentre altri giocatori si esercitano a sparare a palle in porta e mostrano la città di Baltimora, i giocatori dei corvi e le strade della città.</v>
      </c>
    </row>
    <row r="9901">
      <c r="A9901" s="4" t="s">
        <v>12449</v>
      </c>
      <c r="B9901" s="4" t="s">
        <v>12450</v>
      </c>
      <c r="C9901" s="5" t="str">
        <f>IFERROR(__xludf.DUMMYFUNCTION("GOOGLETRANSLATE(B9901,""en"",""it"")"),"Un ragazzo viene girato in giro e preparato a rompere una Pinata.")</f>
        <v>Un ragazzo viene girato in giro e preparato a rompere una Pinata.</v>
      </c>
    </row>
    <row r="9902">
      <c r="A9902" s="4" t="s">
        <v>12449</v>
      </c>
      <c r="B9902" s="4" t="s">
        <v>12451</v>
      </c>
      <c r="C9902" s="5" t="str">
        <f>IFERROR(__xludf.DUMMYFUNCTION("GOOGLETRANSLATE(B9902,""en"",""it"")"),"Invece colpisce una ragazza in faccia.")</f>
        <v>Invece colpisce una ragazza in faccia.</v>
      </c>
    </row>
    <row r="9903">
      <c r="A9903" s="4" t="s">
        <v>12452</v>
      </c>
      <c r="B9903" s="4" t="s">
        <v>12453</v>
      </c>
      <c r="C9903" s="5" t="str">
        <f>IFERROR(__xludf.DUMMYFUNCTION("GOOGLETRANSLATE(B9903,""en"",""it"")"),"Un uomo salta la corda in modo da guidare, poi l'uomo salta e salta la corda.")</f>
        <v>Un uomo salta la corda in modo da guidare, poi l'uomo salta e salta la corda.</v>
      </c>
    </row>
    <row r="9904">
      <c r="A9904" s="4" t="s">
        <v>12452</v>
      </c>
      <c r="B9904" s="4" t="s">
        <v>12454</v>
      </c>
      <c r="C9904" s="5" t="str">
        <f>IFERROR(__xludf.DUMMYFUNCTION("GOOGLETRANSLATE(B9904,""en"",""it"")"),"Dopo, l'uomo tiene la corda sulla mano sinistra e salta mentre gira la corda.")</f>
        <v>Dopo, l'uomo tiene la corda sulla mano sinistra e salta mentre gira la corda.</v>
      </c>
    </row>
    <row r="9905">
      <c r="A9905" s="4" t="s">
        <v>12452</v>
      </c>
      <c r="B9905" s="4" t="s">
        <v>12455</v>
      </c>
      <c r="C9905" s="5" t="str">
        <f>IFERROR(__xludf.DUMMYFUNCTION("GOOGLETRANSLATE(B9905,""en"",""it"")"),"Successivamente, l'uomo si alterna che salta la corda e capovolgi la corda da un lato all'altro.")</f>
        <v>Successivamente, l'uomo si alterna che salta la corda e capovolgi la corda da un lato all'altro.</v>
      </c>
    </row>
    <row r="9906">
      <c r="A9906" s="4" t="s">
        <v>12452</v>
      </c>
      <c r="B9906" s="4" t="s">
        <v>12456</v>
      </c>
      <c r="C9906" s="5" t="str">
        <f>IFERROR(__xludf.DUMMYFUNCTION("GOOGLETRANSLATE(B9906,""en"",""it"")"),"Inoltre, l'uomo salta la corda incrociata e salta la corda doppia.")</f>
        <v>Inoltre, l'uomo salta la corda incrociata e salta la corda doppia.</v>
      </c>
    </row>
    <row r="9907">
      <c r="A9907" s="4" t="s">
        <v>12452</v>
      </c>
      <c r="B9907" s="4" t="s">
        <v>12457</v>
      </c>
      <c r="C9907" s="5" t="str">
        <f>IFERROR(__xludf.DUMMYFUNCTION("GOOGLETRANSLATE(B9907,""en"",""it"")"),"Quindi l'uomo salta la corda facendo salti accovacciati e salta gli affondi.")</f>
        <v>Quindi l'uomo salta la corda facendo salti accovacciati e salta gli affondi.</v>
      </c>
    </row>
    <row r="9908">
      <c r="A9908" s="4" t="s">
        <v>12458</v>
      </c>
      <c r="B9908" s="6" t="s">
        <v>12459</v>
      </c>
      <c r="C9908" s="5" t="str">
        <f>IFERROR(__xludf.DUMMYFUNCTION("GOOGLETRANSLATE(B9908,""en"",""it"")"),"Un maschio indossa pantaloncini da nuoto in bianco e nero, in piedi sul bordo di una tavola da immersione, rimbalza alcune volte e poi salta fuori dalla vista e in acqua.")</f>
        <v>Un maschio indossa pantaloncini da nuoto in bianco e nero, in piedi sul bordo di una tavola da immersione, rimbalza alcune volte e poi salta fuori dalla vista e in acqua.</v>
      </c>
    </row>
    <row r="9909">
      <c r="A9909" s="4" t="s">
        <v>12458</v>
      </c>
      <c r="B9909" s="6" t="s">
        <v>12460</v>
      </c>
      <c r="C9909" s="5" t="str">
        <f>IFERROR(__xludf.DUMMYFUNCTION("GOOGLETRANSLATE(B9909,""en"",""it"")"),"Un uomo più anziano senza camicia che indossa pantaloncini neri inizia a camminare sulla stessa tavola del maschio che in precedenza saltava ma poi si ferma.")</f>
        <v>Un uomo più anziano senza camicia che indossa pantaloncini neri inizia a camminare sulla stessa tavola del maschio che in precedenza saltava ma poi si ferma.</v>
      </c>
    </row>
    <row r="9910">
      <c r="A9910" s="4" t="s">
        <v>12458</v>
      </c>
      <c r="B9910" s="6" t="s">
        <v>12461</v>
      </c>
      <c r="C9910" s="5" t="str">
        <f>IFERROR(__xludf.DUMMYFUNCTION("GOOGLETRANSLATE(B9910,""en"",""it"")"),"Su una tavola più corta un maschio che indossa biancheria intima blu cammina sul bordo della tavola salta alcune volte, si ferma, si gira e cammina indietro.")</f>
        <v>Su una tavola più corta un maschio che indossa biancheria intima blu cammina sul bordo della tavola salta alcune volte, si ferma, si gira e cammina indietro.</v>
      </c>
    </row>
    <row r="9911">
      <c r="A9911" s="4" t="s">
        <v>12458</v>
      </c>
      <c r="B9911" s="6" t="s">
        <v>12462</v>
      </c>
      <c r="C9911" s="5" t="str">
        <f>IFERROR(__xludf.DUMMYFUNCTION("GOOGLETRANSLATE(B9911,""en"",""it"")"),"Il maschio cammina di nuovo fino al bordo della tavola, salta alcune volte, poi si gira ancora una volta e torna indietro.")</f>
        <v>Il maschio cammina di nuovo fino al bordo della tavola, salta alcune volte, poi si gira ancora una volta e torna indietro.</v>
      </c>
    </row>
    <row r="9912">
      <c r="A9912" s="4" t="s">
        <v>12458</v>
      </c>
      <c r="B9912" s="6" t="s">
        <v>12463</v>
      </c>
      <c r="C9912" s="5" t="str">
        <f>IFERROR(__xludf.DUMMYFUNCTION("GOOGLETRANSLATE(B9912,""en"",""it"")"),"Il maschio prova ancora una volta e cammina fino al bordo della tavola da immersione e finalmente salta e fa qualche capofilo prima di atterrare in acqua e poi nuota sul bordo della piscina.")</f>
        <v>Il maschio prova ancora una volta e cammina fino al bordo della tavola da immersione e finalmente salta e fa qualche capofilo prima di atterrare in acqua e poi nuota sul bordo della piscina.</v>
      </c>
    </row>
    <row r="9913">
      <c r="A9913" s="4" t="s">
        <v>12464</v>
      </c>
      <c r="B9913" s="4" t="s">
        <v>12465</v>
      </c>
      <c r="C9913" s="5" t="str">
        <f>IFERROR(__xludf.DUMMYFUNCTION("GOOGLETRANSLATE(B9913,""en"",""it"")"),"Le persone sono in piedi su un campo da tennis.")</f>
        <v>Le persone sono in piedi su un campo da tennis.</v>
      </c>
    </row>
    <row r="9914">
      <c r="A9914" s="4" t="s">
        <v>12464</v>
      </c>
      <c r="B9914" s="4" t="s">
        <v>12466</v>
      </c>
      <c r="C9914" s="5" t="str">
        <f>IFERROR(__xludf.DUMMYFUNCTION("GOOGLETRANSLATE(B9914,""en"",""it"")"),"Stanno giocando un gioco di tennis.")</f>
        <v>Stanno giocando un gioco di tennis.</v>
      </c>
    </row>
    <row r="9915">
      <c r="A9915" s="4" t="s">
        <v>12464</v>
      </c>
      <c r="B9915" s="4" t="s">
        <v>12467</v>
      </c>
      <c r="C9915" s="5" t="str">
        <f>IFERROR(__xludf.DUMMYFUNCTION("GOOGLETRANSLATE(B9915,""en"",""it"")"),"Un uomo con una camicia bianca colpisce la palla da tennis.")</f>
        <v>Un uomo con una camicia bianca colpisce la palla da tennis.</v>
      </c>
    </row>
    <row r="9916">
      <c r="A9916" s="4" t="s">
        <v>12468</v>
      </c>
      <c r="B9916" s="6" t="s">
        <v>12469</v>
      </c>
      <c r="C9916" s="5" t="str">
        <f>IFERROR(__xludf.DUMMYFUNCTION("GOOGLETRANSLATE(B9916,""en"",""it"")"),"Ci sono molti adulti nella stanza (anziani o giovani) e stanno tutti guardando questa ragazza suonare il clarinetto.")</f>
        <v>Ci sono molti adulti nella stanza (anziani o giovani) e stanno tutti guardando questa ragazza suonare il clarinetto.</v>
      </c>
    </row>
    <row r="9917">
      <c r="A9917" s="4" t="s">
        <v>12468</v>
      </c>
      <c r="B9917" s="6" t="s">
        <v>12470</v>
      </c>
      <c r="C9917" s="5" t="str">
        <f>IFERROR(__xludf.DUMMYFUNCTION("GOOGLETRANSLATE(B9917,""en"",""it"")"),"Prima la ragazza cammina davanti all'aula mentre tiene il suo clarinetto e l'uomo che suona il piano si alza dal suo posto per suonare il piano.")</f>
        <v>Prima la ragazza cammina davanti all'aula mentre tiene il suo clarinetto e l'uomo che suona il piano si alza dal suo posto per suonare il piano.</v>
      </c>
    </row>
    <row r="9918">
      <c r="A9918" s="4" t="s">
        <v>12468</v>
      </c>
      <c r="B9918" s="6" t="s">
        <v>12471</v>
      </c>
      <c r="C9918" s="5" t="str">
        <f>IFERROR(__xludf.DUMMYFUNCTION("GOOGLETRANSLATE(B9918,""en"",""it"")"),"Poi inizia suonando il piano e lei suona il clarinetto insieme al piano, quando ha fatto tutti applausi per lei.")</f>
        <v>Poi inizia suonando il piano e lei suona il clarinetto insieme al piano, quando ha fatto tutti applausi per lei.</v>
      </c>
    </row>
    <row r="9919">
      <c r="A9919" s="4" t="s">
        <v>12472</v>
      </c>
      <c r="B9919" s="4" t="s">
        <v>12473</v>
      </c>
      <c r="C9919" s="5" t="str">
        <f>IFERROR(__xludf.DUMMYFUNCTION("GOOGLETRANSLATE(B9919,""en"",""it"")"),"Un uomo si prepara a preformare un evento.")</f>
        <v>Un uomo si prepara a preformare un evento.</v>
      </c>
    </row>
    <row r="9920">
      <c r="A9920" s="4" t="s">
        <v>12472</v>
      </c>
      <c r="B9920" s="4" t="s">
        <v>12474</v>
      </c>
      <c r="C9920" s="5" t="str">
        <f>IFERROR(__xludf.DUMMYFUNCTION("GOOGLETRANSLATE(B9920,""en"",""it"")"),"Comincia a iniziare a correre veloce.")</f>
        <v>Comincia a iniziare a correre veloce.</v>
      </c>
    </row>
    <row r="9921">
      <c r="A9921" s="4" t="s">
        <v>12472</v>
      </c>
      <c r="B9921" s="4" t="s">
        <v>12475</v>
      </c>
      <c r="C9921" s="5" t="str">
        <f>IFERROR(__xludf.DUMMYFUNCTION("GOOGLETRANSLATE(B9921,""en"",""it"")"),"Sta correndo giù per la corsia e salta 3 volte nella sabbia.")</f>
        <v>Sta correndo giù per la corsia e salta 3 volte nella sabbia.</v>
      </c>
    </row>
    <row r="9922">
      <c r="A9922" s="4" t="s">
        <v>12472</v>
      </c>
      <c r="B9922" s="4" t="s">
        <v>12476</v>
      </c>
      <c r="C9922" s="5" t="str">
        <f>IFERROR(__xludf.DUMMYFUNCTION("GOOGLETRANSLATE(B9922,""en"",""it"")"),"Fuggi dalla fossa felicemente.")</f>
        <v>Fuggi dalla fossa felicemente.</v>
      </c>
    </row>
    <row r="9923">
      <c r="A9923" s="4" t="s">
        <v>12472</v>
      </c>
      <c r="B9923" s="4" t="s">
        <v>12477</v>
      </c>
      <c r="C9923" s="5" t="str">
        <f>IFERROR(__xludf.DUMMYFUNCTION("GOOGLETRANSLATE(B9923,""en"",""it"")"),"Continua a camminare incoraggiando mentre taglia la folla e gli annunciatori.")</f>
        <v>Continua a camminare incoraggiando mentre taglia la folla e gli annunciatori.</v>
      </c>
    </row>
    <row r="9924">
      <c r="A9924" s="4" t="s">
        <v>12472</v>
      </c>
      <c r="B9924" s="4" t="s">
        <v>12478</v>
      </c>
      <c r="C9924" s="5" t="str">
        <f>IFERROR(__xludf.DUMMYFUNCTION("GOOGLETRANSLATE(B9924,""en"",""it"")"),"Dà un bacio alla folla.")</f>
        <v>Dà un bacio alla folla.</v>
      </c>
    </row>
    <row r="9925">
      <c r="A9925" s="4" t="s">
        <v>12472</v>
      </c>
      <c r="B9925" s="4" t="s">
        <v>12479</v>
      </c>
      <c r="C9925" s="5" t="str">
        <f>IFERROR(__xludf.DUMMYFUNCTION("GOOGLETRANSLATE(B9925,""en"",""it"")"),"Va e inizia ad abbracciare i fan.")</f>
        <v>Va e inizia ad abbracciare i fan.</v>
      </c>
    </row>
    <row r="9926">
      <c r="A9926" s="4" t="s">
        <v>12480</v>
      </c>
      <c r="B9926" s="4" t="s">
        <v>12481</v>
      </c>
      <c r="C9926" s="5" t="str">
        <f>IFERROR(__xludf.DUMMYFUNCTION("GOOGLETRANSLATE(B9926,""en"",""it"")"),"Le auto guidano in un'autostrada nevosa.")</f>
        <v>Le auto guidano in un'autostrada nevosa.</v>
      </c>
    </row>
    <row r="9927">
      <c r="A9927" s="4" t="s">
        <v>12480</v>
      </c>
      <c r="B9927" s="4" t="s">
        <v>12482</v>
      </c>
      <c r="C9927" s="5" t="str">
        <f>IFERROR(__xludf.DUMMYFUNCTION("GOOGLETRANSLATE(B9927,""en"",""it"")"),"Viene mostrato un cartello per una montagna di zucchero e peolpe che pratica lo snowboard.")</f>
        <v>Viene mostrato un cartello per una montagna di zucchero e peolpe che pratica lo snowboard.</v>
      </c>
    </row>
    <row r="9928">
      <c r="A9928" s="4" t="s">
        <v>12480</v>
      </c>
      <c r="B9928" s="4" t="s">
        <v>12483</v>
      </c>
      <c r="C9928" s="5" t="str">
        <f>IFERROR(__xludf.DUMMYFUNCTION("GOOGLETRANSLATE(B9928,""en"",""it"")"),"La gente sta snowboard su una collina innevata.")</f>
        <v>La gente sta snowboard su una collina innevata.</v>
      </c>
    </row>
    <row r="9929">
      <c r="A9929" s="4" t="s">
        <v>12480</v>
      </c>
      <c r="B9929" s="4" t="s">
        <v>12484</v>
      </c>
      <c r="C9929" s="5" t="str">
        <f>IFERROR(__xludf.DUMMYFUNCTION("GOOGLETRANSLATE(B9929,""en"",""it"")"),"Le auto innevate stanno cavalcando a Snowy Hill.")</f>
        <v>Le auto innevate stanno cavalcando a Snowy Hill.</v>
      </c>
    </row>
    <row r="9930">
      <c r="A9930" s="4" t="s">
        <v>12480</v>
      </c>
      <c r="B9930" s="4" t="s">
        <v>12485</v>
      </c>
      <c r="C9930" s="5" t="str">
        <f>IFERROR(__xludf.DUMMYFUNCTION("GOOGLETRANSLATE(B9930,""en"",""it"")"),"Gli uomini stanno snowboard su una collina.")</f>
        <v>Gli uomini stanno snowboard su una collina.</v>
      </c>
    </row>
    <row r="9931">
      <c r="A9931" s="4" t="s">
        <v>12486</v>
      </c>
      <c r="B9931" s="4" t="s">
        <v>12487</v>
      </c>
      <c r="C9931" s="5" t="str">
        <f>IFERROR(__xludf.DUMMYFUNCTION("GOOGLETRANSLATE(B9931,""en"",""it"")"),"Un bambino è visto seduto su una sedia davanti a un tavolo con un corpo grande.")</f>
        <v>Un bambino è visto seduto su una sedia davanti a un tavolo con un corpo grande.</v>
      </c>
    </row>
    <row r="9932">
      <c r="A9932" s="4" t="s">
        <v>12486</v>
      </c>
      <c r="B9932" s="6" t="s">
        <v>12488</v>
      </c>
      <c r="C9932" s="5" t="str">
        <f>IFERROR(__xludf.DUMMYFUNCTION("GOOGLETRANSLATE(B9932,""en"",""it"")"),"Le mani vengono quindi viste scrivere una nota e strofinare contro il viso mentre il bambino ride e le mani continuano a muoversi.")</f>
        <v>Le mani vengono quindi viste scrivere una nota e strofinare contro il viso mentre il bambino ride e le mani continuano a muoversi.</v>
      </c>
    </row>
    <row r="9933">
      <c r="A9933" s="4" t="s">
        <v>12489</v>
      </c>
      <c r="B9933" s="4" t="s">
        <v>12490</v>
      </c>
      <c r="C9933" s="5" t="str">
        <f>IFERROR(__xludf.DUMMYFUNCTION("GOOGLETRANSLATE(B9933,""en"",""it"")"),"Un uomo spinge un disco davanti a un gioco di hopscotch.")</f>
        <v>Un uomo spinge un disco davanti a un gioco di hopscotch.</v>
      </c>
    </row>
    <row r="9934">
      <c r="A9934" s="4" t="s">
        <v>12489</v>
      </c>
      <c r="B9934" s="4" t="s">
        <v>12491</v>
      </c>
      <c r="C9934" s="5" t="str">
        <f>IFERROR(__xludf.DUMMYFUNCTION("GOOGLETRANSLATE(B9934,""en"",""it"")"),"Un'altra persona spinge un disco verso il hopscotch.")</f>
        <v>Un'altra persona spinge un disco verso il hopscotch.</v>
      </c>
    </row>
    <row r="9935">
      <c r="A9935" s="4" t="s">
        <v>12489</v>
      </c>
      <c r="B9935" s="4" t="s">
        <v>12492</v>
      </c>
      <c r="C9935" s="5" t="str">
        <f>IFERROR(__xludf.DUMMYFUNCTION("GOOGLETRANSLATE(B9935,""en"",""it"")"),"Il primo uomo fa una faccia divertente.")</f>
        <v>Il primo uomo fa una faccia divertente.</v>
      </c>
    </row>
    <row r="9936">
      <c r="A9936" s="4" t="s">
        <v>12493</v>
      </c>
      <c r="B9936" s="6" t="s">
        <v>12494</v>
      </c>
      <c r="C9936" s="5" t="str">
        <f>IFERROR(__xludf.DUMMYFUNCTION("GOOGLETRANSLATE(B9936,""en"",""it"")"),"Un uomo solitario in una stanza con uno sfondo a schermo verde esegue una mossa di pausa su una macchia di pavimenti in legno, usando la schiena per girare.")</f>
        <v>Un uomo solitario in una stanza con uno sfondo a schermo verde esegue una mossa di pausa su una macchia di pavimenti in legno, usando la schiena per girare.</v>
      </c>
    </row>
    <row r="9937">
      <c r="A9937" s="4" t="s">
        <v>12493</v>
      </c>
      <c r="B9937" s="6" t="s">
        <v>12495</v>
      </c>
      <c r="C9937" s="5" t="str">
        <f>IFERROR(__xludf.DUMMYFUNCTION("GOOGLETRANSLATE(B9937,""en"",""it"")"),"L'uomo smette di ballare e si trova di fronte alla telecamera a parlarne prima di dimostrare mosse di danza di pausa di base, tra cui l'uso di mani e ginocchia per eseguire giri dal pavimento.")</f>
        <v>L'uomo smette di ballare e si trova di fronte alla telecamera a parlarne prima di dimostrare mosse di danza di pausa di base, tra cui l'uso di mani e ginocchia per eseguire giri dal pavimento.</v>
      </c>
    </row>
    <row r="9938">
      <c r="A9938" s="4" t="s">
        <v>12493</v>
      </c>
      <c r="B9938" s="6" t="s">
        <v>12496</v>
      </c>
      <c r="C9938" s="5" t="str">
        <f>IFERROR(__xludf.DUMMYFUNCTION("GOOGLETRANSLATE(B9938,""en"",""it"")"),"L'uomo continua a dimostrare le mosse di danza di pausa e parlare con la telecamera fino a quando non dà un cartello di pace alla telecamera e lo schermo si attenua a un grafico di marketing.")</f>
        <v>L'uomo continua a dimostrare le mosse di danza di pausa e parlare con la telecamera fino a quando non dà un cartello di pace alla telecamera e lo schermo si attenua a un grafico di marketing.</v>
      </c>
    </row>
    <row r="9939">
      <c r="A9939" s="4" t="s">
        <v>12497</v>
      </c>
      <c r="B9939" s="6" t="s">
        <v>12498</v>
      </c>
      <c r="C9939" s="5" t="str">
        <f>IFERROR(__xludf.DUMMYFUNCTION("GOOGLETRANSLATE(B9939,""en"",""it"")"),"Le clip di donne e uomini sono in pole che valtano in casa mentre molte persone si muovono intorno a loro o semplicemente guardano, e uno stendardo in basso recita che è in ""Texas Elite Pole Vaulting Competition Bell County Expo Center il 12 28 13"".")</f>
        <v>Le clip di donne e uomini sono in pole che valtano in casa mentre molte persone si muovono intorno a loro o semplicemente guardano, e uno stendardo in basso recita che è in "Texas Elite Pole Vaulting Competition Bell County Expo Center il 12 28 13".</v>
      </c>
    </row>
    <row r="9940">
      <c r="A9940" s="4" t="s">
        <v>12497</v>
      </c>
      <c r="B9940" s="6" t="s">
        <v>12499</v>
      </c>
      <c r="C9940" s="5" t="str">
        <f>IFERROR(__xludf.DUMMYFUNCTION("GOOGLETRANSLATE(B9940,""en"",""it"")"),"Mentre varie clip di persone diverse sono la volta, un uomo e una donna sono in piedi all'interno dell'altro e parlano con la telecamera con le parole in fondo allo schermo dicono che i loro nomi sono Kaitlin Petrillose e Jack Chapman Concorrenti &amp; Presid"&amp;"ente "".")</f>
        <v>Mentre varie clip di persone diverse sono la volta, un uomo e una donna sono in piedi all'interno dell'altro e parlano con la telecamera con le parole in fondo allo schermo dicono che i loro nomi sono Kaitlin Petrillose e Jack Chapman Concorrenti &amp; Presidente ".</v>
      </c>
    </row>
    <row r="9941">
      <c r="A9941" s="4" t="s">
        <v>12497</v>
      </c>
      <c r="B9941" s="6" t="s">
        <v>12500</v>
      </c>
      <c r="C9941" s="5" t="str">
        <f>IFERROR(__xludf.DUMMYFUNCTION("GOOGLETRANSLATE(B9941,""en"",""it"")"),"La vista si sfoca e le parole bianche sullo schermo appaiono nel mezzo e dicono ""Killeen Daily Herald di Marianne Gish"".")</f>
        <v>La vista si sfoca e le parole bianche sullo schermo appaiono nel mezzo e dicono "Killeen Daily Herald di Marianne Gish".</v>
      </c>
    </row>
    <row r="9942">
      <c r="A9942" s="4" t="s">
        <v>12501</v>
      </c>
      <c r="B9942" s="4" t="s">
        <v>12502</v>
      </c>
      <c r="C9942" s="5" t="str">
        <f>IFERROR(__xludf.DUMMYFUNCTION("GOOGLETRANSLATE(B9942,""en"",""it"")"),"Si vede una tenda e una ballerina di ventre cammina sul palco.")</f>
        <v>Si vede una tenda e una ballerina di ventre cammina sul palco.</v>
      </c>
    </row>
    <row r="9943">
      <c r="A9943" s="4" t="s">
        <v>12501</v>
      </c>
      <c r="B9943" s="4" t="s">
        <v>12503</v>
      </c>
      <c r="C9943" s="5" t="str">
        <f>IFERROR(__xludf.DUMMYFUNCTION("GOOGLETRANSLATE(B9943,""en"",""it"")"),"Si esibisce per il pubblico, scuotendo i fianchi e succhiando la pancia dentro e fuori.")</f>
        <v>Si esibisce per il pubblico, scuotendo i fianchi e succhiando la pancia dentro e fuori.</v>
      </c>
    </row>
    <row r="9944">
      <c r="A9944" s="4" t="s">
        <v>12501</v>
      </c>
      <c r="B9944" s="4" t="s">
        <v>12504</v>
      </c>
      <c r="C9944" s="5" t="str">
        <f>IFERROR(__xludf.DUMMYFUNCTION("GOOGLETRANSLATE(B9944,""en"",""it"")"),"Quando finisce, getta le braccia in aria e lo schermo diventa nero.")</f>
        <v>Quando finisce, getta le braccia in aria e lo schermo diventa nero.</v>
      </c>
    </row>
    <row r="9945">
      <c r="A9945" s="4" t="s">
        <v>12505</v>
      </c>
      <c r="B9945" s="6" t="s">
        <v>12506</v>
      </c>
      <c r="C9945" s="5" t="str">
        <f>IFERROR(__xludf.DUMMYFUNCTION("GOOGLETRANSLATE(B9945,""en"",""it"")"),"Un uomo atletico viene visto in piedi in un cerchio seguito da girare e gettare un oggetto in lontananza.")</f>
        <v>Un uomo atletico viene visto in piedi in un cerchio seguito da girare e gettare un oggetto in lontananza.</v>
      </c>
    </row>
    <row r="9946">
      <c r="A9946" s="4" t="s">
        <v>12505</v>
      </c>
      <c r="B9946" s="4" t="s">
        <v>12507</v>
      </c>
      <c r="C9946" s="5" t="str">
        <f>IFERROR(__xludf.DUMMYFUNCTION("GOOGLETRANSLATE(B9946,""en"",""it"")"),"Si vedono più persone intensificarsi lanciando l'oggetto mentre la fotocamera osserva.")</f>
        <v>Si vedono più persone intensificarsi lanciando l'oggetto mentre la fotocamera osserva.</v>
      </c>
    </row>
    <row r="9947">
      <c r="A9947" s="4" t="s">
        <v>12505</v>
      </c>
      <c r="B9947" s="4" t="s">
        <v>12508</v>
      </c>
      <c r="C9947" s="5" t="str">
        <f>IFERROR(__xludf.DUMMYFUNCTION("GOOGLETRANSLATE(B9947,""en"",""it"")"),"Diverse persone guardano a margine.")</f>
        <v>Diverse persone guardano a margine.</v>
      </c>
    </row>
    <row r="9948">
      <c r="A9948" s="4" t="s">
        <v>12509</v>
      </c>
      <c r="B9948" s="4" t="s">
        <v>12510</v>
      </c>
      <c r="C9948" s="5" t="str">
        <f>IFERROR(__xludf.DUMMYFUNCTION("GOOGLETRANSLATE(B9948,""en"",""it"")"),"Un uomo viene visto mettere il nastro su una serie di sci su ciascuna estremità e inizia a sfregamento della cera sullo sci.")</f>
        <v>Un uomo viene visto mettere il nastro su una serie di sci su ciascuna estremità e inizia a sfregamento della cera sullo sci.</v>
      </c>
    </row>
    <row r="9949">
      <c r="A9949" s="4" t="s">
        <v>12509</v>
      </c>
      <c r="B9949" s="4" t="s">
        <v>12511</v>
      </c>
      <c r="C9949" s="5" t="str">
        <f>IFERROR(__xludf.DUMMYFUNCTION("GOOGLETRANSLATE(B9949,""en"",""it"")"),"L'uomo quindi prende una levigatrice e la corre per tutta la lunghezza dello sci.")</f>
        <v>L'uomo quindi prende una levigatrice e la corre per tutta la lunghezza dello sci.</v>
      </c>
    </row>
    <row r="9950">
      <c r="A9950" s="4" t="s">
        <v>12509</v>
      </c>
      <c r="B9950" s="4" t="s">
        <v>12512</v>
      </c>
      <c r="C9950" s="5" t="str">
        <f>IFERROR(__xludf.DUMMYFUNCTION("GOOGLETRANSLATE(B9950,""en"",""it"")"),"L'uomo quindi prende una tavola e la strofina lungo lo sci e termina togliendolo.")</f>
        <v>L'uomo quindi prende una tavola e la strofina lungo lo sci e termina togliendolo.</v>
      </c>
    </row>
    <row r="9951">
      <c r="A9951" s="4" t="s">
        <v>12513</v>
      </c>
      <c r="B9951" s="4" t="s">
        <v>12514</v>
      </c>
      <c r="C9951" s="5" t="str">
        <f>IFERROR(__xludf.DUMMYFUNCTION("GOOGLETRANSLATE(B9951,""en"",""it"")"),"Viene mostrata una grande spiaggia e persone in piedi sulla spiaggia e guardano il cielo.")</f>
        <v>Viene mostrata una grande spiaggia e persone in piedi sulla spiaggia e guardano il cielo.</v>
      </c>
    </row>
    <row r="9952">
      <c r="A9952" s="4" t="s">
        <v>12513</v>
      </c>
      <c r="B9952" s="4" t="s">
        <v>12515</v>
      </c>
      <c r="C9952" s="5" t="str">
        <f>IFERROR(__xludf.DUMMYFUNCTION("GOOGLETRANSLATE(B9952,""en"",""it"")"),"Le persone vengono viste volare aquiloni in aria mentre le persone si guardano intorno e guardano.")</f>
        <v>Le persone vengono viste volare aquiloni in aria mentre le persone si guardano intorno e guardano.</v>
      </c>
    </row>
    <row r="9953">
      <c r="A9953" s="4" t="s">
        <v>12513</v>
      </c>
      <c r="B9953" s="4" t="s">
        <v>12516</v>
      </c>
      <c r="C9953" s="5" t="str">
        <f>IFERROR(__xludf.DUMMYFUNCTION("GOOGLETRANSLATE(B9953,""en"",""it"")"),"Si vedono più persone che volano in aria con un po 'di afferrarli da terra.")</f>
        <v>Si vedono più persone che volano in aria con un po 'di afferrarli da terra.</v>
      </c>
    </row>
    <row r="9954">
      <c r="A9954" s="4" t="s">
        <v>12517</v>
      </c>
      <c r="B9954" s="6" t="s">
        <v>12518</v>
      </c>
      <c r="C9954" s="5" t="str">
        <f>IFERROR(__xludf.DUMMYFUNCTION("GOOGLETRANSLATE(B9954,""en"",""it"")"),"Un uomo con una tuta bagnata nera e che trasporta una tavola da surf sta parlando con l'uomo della telecamera, che sta per entrare in acqua.")</f>
        <v>Un uomo con una tuta bagnata nera e che trasporta una tavola da surf sta parlando con l'uomo della telecamera, che sta per entrare in acqua.</v>
      </c>
    </row>
    <row r="9955">
      <c r="A9955" s="4" t="s">
        <v>12517</v>
      </c>
      <c r="B9955" s="4" t="s">
        <v>12519</v>
      </c>
      <c r="C9955" s="5" t="str">
        <f>IFERROR(__xludf.DUMMYFUNCTION("GOOGLETRANSLATE(B9955,""en"",""it"")"),"La musica drammatica suona mentre mostra vari clip di surfisti nell'acqua, cavalcando onde.")</f>
        <v>La musica drammatica suona mentre mostra vari clip di surfisti nell'acqua, cavalcando onde.</v>
      </c>
    </row>
    <row r="9956">
      <c r="A9956" s="4" t="s">
        <v>12517</v>
      </c>
      <c r="B9956" s="4" t="s">
        <v>12520</v>
      </c>
      <c r="C9956" s="5" t="str">
        <f>IFERROR(__xludf.DUMMYFUNCTION("GOOGLETRANSLATE(B9956,""en"",""it"")"),"Il video termina mentre l'uomo con la tuta bagnata nera arriva sulla riva dopo aver cavalcato un'onda e sorridere.")</f>
        <v>Il video termina mentre l'uomo con la tuta bagnata nera arriva sulla riva dopo aver cavalcato un'onda e sorridere.</v>
      </c>
    </row>
    <row r="9957">
      <c r="A9957" s="4" t="s">
        <v>12521</v>
      </c>
      <c r="B9957" s="6" t="s">
        <v>12522</v>
      </c>
      <c r="C9957" s="5" t="str">
        <f>IFERROR(__xludf.DUMMYFUNCTION("GOOGLETRANSLATE(B9957,""en"",""it"")"),"Un uomo entra nel telaio e parla alla telecamera mentre tiene in mano un rasoio e rasoio.")</f>
        <v>Un uomo entra nel telaio e parla alla telecamera mentre tiene in mano un rasoio e rasoio.</v>
      </c>
    </row>
    <row r="9958">
      <c r="A9958" s="4" t="s">
        <v>12521</v>
      </c>
      <c r="B9958" s="6" t="s">
        <v>12523</v>
      </c>
      <c r="C9958" s="5" t="str">
        <f>IFERROR(__xludf.DUMMYFUNCTION("GOOGLETRANSLATE(B9958,""en"",""it"")"),"Una scena appare sul video dell'uomo e viene visto strofinarsi la crema sul viso e radersi i capelli.")</f>
        <v>Una scena appare sul video dell'uomo e viene visto strofinarsi la crema sul viso e radersi i capelli.</v>
      </c>
    </row>
    <row r="9959">
      <c r="A9959" s="4" t="s">
        <v>12521</v>
      </c>
      <c r="B9959" s="4" t="s">
        <v>12524</v>
      </c>
      <c r="C9959" s="5" t="str">
        <f>IFERROR(__xludf.DUMMYFUNCTION("GOOGLETRANSLATE(B9959,""en"",""it"")"),"Lascia un po 'di capelli sul mento e viene visto di nuovo parlare alla telecamera e se ne va.")</f>
        <v>Lascia un po 'di capelli sul mento e viene visto di nuovo parlare alla telecamera e se ne va.</v>
      </c>
    </row>
    <row r="9960">
      <c r="A9960" s="4" t="s">
        <v>12525</v>
      </c>
      <c r="B9960" s="6" t="s">
        <v>12526</v>
      </c>
      <c r="C9960" s="5" t="str">
        <f>IFERROR(__xludf.DUMMYFUNCTION("GOOGLETRANSLATE(B9960,""en"",""it"")"),"Varie persone sono mostrate in un seminario che lavora mentre spingono oggetti, guidando macchinari, macchinari di lavoro e eccetera.")</f>
        <v>Varie persone sono mostrate in un seminario che lavora mentre spingono oggetti, guidando macchinari, macchinari di lavoro e eccetera.</v>
      </c>
    </row>
    <row r="9961">
      <c r="A9961" s="4" t="s">
        <v>12525</v>
      </c>
      <c r="B9961" s="6" t="s">
        <v>12527</v>
      </c>
      <c r="C9961" s="5" t="str">
        <f>IFERROR(__xludf.DUMMYFUNCTION("GOOGLETRANSLATE(B9961,""en"",""it"")"),"Una donna viene mostrata che mette un lungo pezzo in metallo in un grande macchinario e le parole ""Argomento di oggi: saldatura"" appare sullo schermo seguito da una persona che indossa una maschera e una saldatura con una torcia.")</f>
        <v>Una donna viene mostrata che mette un lungo pezzo in metallo in un grande macchinario e le parole "Argomento di oggi: saldatura" appare sullo schermo seguito da una persona che indossa una maschera e una saldatura con una torcia.</v>
      </c>
    </row>
    <row r="9962">
      <c r="A9962" s="4" t="s">
        <v>12525</v>
      </c>
      <c r="B9962" s="6" t="s">
        <v>12528</v>
      </c>
      <c r="C9962" s="5" t="str">
        <f>IFERROR(__xludf.DUMMYFUNCTION("GOOGLETRANSLATE(B9962,""en"",""it"")"),"Una donna è ora in piedi in una macchina e sta afferrando vari oggetti metallici e li mette in una macchina che li salda insieme.")</f>
        <v>Una donna è ora in piedi in una macchina e sta afferrando vari oggetti metallici e li mette in una macchina che li salda insieme.</v>
      </c>
    </row>
    <row r="9963">
      <c r="A9963" s="4" t="s">
        <v>12525</v>
      </c>
      <c r="B9963" s="6" t="s">
        <v>12529</v>
      </c>
      <c r="C9963" s="5" t="str">
        <f>IFERROR(__xludf.DUMMYFUNCTION("GOOGLETRANSLATE(B9963,""en"",""it"")"),"Viene visualizzato Outro ed è uno schermo bianco con un logo rosso e blu, un sito Web e hashtag.")</f>
        <v>Viene visualizzato Outro ed è uno schermo bianco con un logo rosso e blu, un sito Web e hashtag.</v>
      </c>
    </row>
    <row r="9964">
      <c r="A9964" s="4" t="s">
        <v>12530</v>
      </c>
      <c r="B9964" s="6" t="s">
        <v>12531</v>
      </c>
      <c r="C9964" s="5" t="str">
        <f>IFERROR(__xludf.DUMMYFUNCTION("GOOGLETRANSLATE(B9964,""en"",""it"")"),"Una grande band sta camminando per una sfilata e ci sono molte persone che camminano a fianco e in piedi a guardare o scattare foto e video.")</f>
        <v>Una grande band sta camminando per una sfilata e ci sono molte persone che camminano a fianco e in piedi a guardare o scattare foto e video.</v>
      </c>
    </row>
    <row r="9965">
      <c r="A9965" s="4" t="s">
        <v>12530</v>
      </c>
      <c r="B9965" s="6" t="s">
        <v>12532</v>
      </c>
      <c r="C9965" s="5" t="str">
        <f>IFERROR(__xludf.DUMMYFUNCTION("GOOGLETRANSLATE(B9965,""en"",""it"")"),"La vista cambia alle donne che trasportano e oscillano bandiere su un palo e poi torna alla grande band che si ferma e continua a suonare per la folla.")</f>
        <v>La vista cambia alle donne che trasportano e oscillano bandiere su un palo e poi torna alla grande band che si ferma e continua a suonare per la folla.</v>
      </c>
    </row>
    <row r="9966">
      <c r="A9966" s="4" t="s">
        <v>12530</v>
      </c>
      <c r="B9966" s="4" t="s">
        <v>12533</v>
      </c>
      <c r="C9966" s="5" t="str">
        <f>IFERROR(__xludf.DUMMYFUNCTION("GOOGLETRANSLATE(B9966,""en"",""it"")"),"La band riprende a camminare e anche la folla intorno e dietro di loro.")</f>
        <v>La band riprende a camminare e anche la folla intorno e dietro di loro.</v>
      </c>
    </row>
    <row r="9967">
      <c r="A9967" s="4" t="s">
        <v>12534</v>
      </c>
      <c r="B9967" s="4" t="s">
        <v>12535</v>
      </c>
      <c r="C9967" s="5" t="str">
        <f>IFERROR(__xludf.DUMMYFUNCTION("GOOGLETRANSLATE(B9967,""en"",""it"")"),"Un uomo si siede in una stanza di fronte a una bandiera.")</f>
        <v>Un uomo si siede in una stanza di fronte a una bandiera.</v>
      </c>
    </row>
    <row r="9968">
      <c r="A9968" s="4" t="s">
        <v>12534</v>
      </c>
      <c r="B9968" s="4" t="s">
        <v>12536</v>
      </c>
      <c r="C9968" s="5" t="str">
        <f>IFERROR(__xludf.DUMMYFUNCTION("GOOGLETRANSLATE(B9968,""en"",""it"")"),"Suona uno strumento a vento nero.")</f>
        <v>Suona uno strumento a vento nero.</v>
      </c>
    </row>
    <row r="9969">
      <c r="A9969" s="4" t="s">
        <v>12534</v>
      </c>
      <c r="B9969" s="4" t="s">
        <v>12537</v>
      </c>
      <c r="C9969" s="5" t="str">
        <f>IFERROR(__xludf.DUMMYFUNCTION("GOOGLETRANSLATE(B9969,""en"",""it"")"),"Le sue dita si posizionano sui buchi.")</f>
        <v>Le sue dita si posizionano sui buchi.</v>
      </c>
    </row>
    <row r="9970">
      <c r="A9970" s="4" t="s">
        <v>12534</v>
      </c>
      <c r="B9970" s="4" t="s">
        <v>12538</v>
      </c>
      <c r="C9970" s="5" t="str">
        <f>IFERROR(__xludf.DUMMYFUNCTION("GOOGLETRANSLATE(B9970,""en"",""it"")"),"Indossa occhiali da sole mentre gioca.")</f>
        <v>Indossa occhiali da sole mentre gioca.</v>
      </c>
    </row>
    <row r="9971">
      <c r="A9971" s="4" t="s">
        <v>12539</v>
      </c>
      <c r="B9971" s="4" t="s">
        <v>12540</v>
      </c>
      <c r="C9971" s="5" t="str">
        <f>IFERROR(__xludf.DUMMYFUNCTION("GOOGLETRANSLATE(B9971,""en"",""it"")"),"Le persone sono sulle spalle di un'arena.")</f>
        <v>Le persone sono sulle spalle di un'arena.</v>
      </c>
    </row>
    <row r="9972">
      <c r="A9972" s="4" t="s">
        <v>12539</v>
      </c>
      <c r="B9972" s="4" t="s">
        <v>12541</v>
      </c>
      <c r="C9972" s="5" t="str">
        <f>IFERROR(__xludf.DUMMYFUNCTION("GOOGLETRANSLATE(B9972,""en"",""it"")"),"Un toro fa droga dall'arena dai cavalli.")</f>
        <v>Un toro fa droga dall'arena dai cavalli.</v>
      </c>
    </row>
    <row r="9973">
      <c r="A9973" s="4" t="s">
        <v>12539</v>
      </c>
      <c r="B9973" s="4" t="s">
        <v>12542</v>
      </c>
      <c r="C9973" s="5" t="str">
        <f>IFERROR(__xludf.DUMMYFUNCTION("GOOGLETRANSLATE(B9973,""en"",""it"")"),"Una donna sta parlando con la telecamera.")</f>
        <v>Una donna sta parlando con la telecamera.</v>
      </c>
    </row>
    <row r="9974">
      <c r="A9974" s="4" t="s">
        <v>12543</v>
      </c>
      <c r="B9974" s="6" t="s">
        <v>12544</v>
      </c>
      <c r="C9974" s="5" t="str">
        <f>IFERROR(__xludf.DUMMYFUNCTION("GOOGLETRANSLATE(B9974,""en"",""it"")"),"Un gruppo di giovani uomini asiatici è al chiuso con molti spettatori negli spalti che tengono segni e li incoraggiano.")</f>
        <v>Un gruppo di giovani uomini asiatici è al chiuso con molti spettatori negli spalti che tengono segni e li incoraggiano.</v>
      </c>
    </row>
    <row r="9975">
      <c r="A9975" s="4" t="s">
        <v>12543</v>
      </c>
      <c r="B9975" s="6" t="s">
        <v>12545</v>
      </c>
      <c r="C9975" s="5" t="str">
        <f>IFERROR(__xludf.DUMMYFUNCTION("GOOGLETRANSLATE(B9975,""en"",""it"")"),"Due giovani uomini asiatici si alzano con l'arco e le frecce e ognuno di loro si alterna a sparare al bersaglio degli occhi di Bulls mentre la folla li rallegra dopo che ogni tiro è stato realizzato e occasionalmente 3 persone adatte vengono mostrate comm"&amp;"enti.")</f>
        <v>Due giovani uomini asiatici si alzano con l'arco e le frecce e ognuno di loro si alterna a sparare al bersaglio degli occhi di Bulls mentre la folla li rallegra dopo che ogni tiro è stato realizzato e occasionalmente 3 persone adatte vengono mostrate commenti.</v>
      </c>
    </row>
    <row r="9976">
      <c r="A9976" s="4" t="s">
        <v>12543</v>
      </c>
      <c r="B9976" s="6" t="s">
        <v>12546</v>
      </c>
      <c r="C9976" s="5" t="str">
        <f>IFERROR(__xludf.DUMMYFUNCTION("GOOGLETRANSLATE(B9976,""en"",""it"")"),"Quando gli uomini hanno finito di sparare al bersaglio, uno di loro alza il braccio in vittoria, si stringono le mani, si abbracciano, si inchinano e salutano la folla incoraggiante.")</f>
        <v>Quando gli uomini hanno finito di sparare al bersaglio, uno di loro alza il braccio in vittoria, si stringono le mani, si abbracciano, si inchinano e salutano la folla incoraggiante.</v>
      </c>
    </row>
    <row r="9977">
      <c r="A9977" s="4" t="s">
        <v>12547</v>
      </c>
      <c r="B9977" s="4" t="s">
        <v>12548</v>
      </c>
      <c r="C9977" s="5" t="str">
        <f>IFERROR(__xludf.DUMMYFUNCTION("GOOGLETRANSLATE(B9977,""en"",""it"")"),"Una donna è in una stanza con sedie.")</f>
        <v>Una donna è in una stanza con sedie.</v>
      </c>
    </row>
    <row r="9978">
      <c r="A9978" s="4" t="s">
        <v>12547</v>
      </c>
      <c r="B9978" s="4" t="s">
        <v>12549</v>
      </c>
      <c r="C9978" s="5" t="str">
        <f>IFERROR(__xludf.DUMMYFUNCTION("GOOGLETRANSLATE(B9978,""en"",""it"")"),"Sta suonando il violino.")</f>
        <v>Sta suonando il violino.</v>
      </c>
    </row>
    <row r="9979">
      <c r="A9979" s="4" t="s">
        <v>12547</v>
      </c>
      <c r="B9979" s="4" t="s">
        <v>12550</v>
      </c>
      <c r="C9979" s="5" t="str">
        <f>IFERROR(__xludf.DUMMYFUNCTION("GOOGLETRANSLATE(B9979,""en"",""it"")"),"Due uomini suonano la batteria con lei.")</f>
        <v>Due uomini suonano la batteria con lei.</v>
      </c>
    </row>
    <row r="9980">
      <c r="A9980" s="4" t="s">
        <v>12547</v>
      </c>
      <c r="B9980" s="4" t="s">
        <v>12551</v>
      </c>
      <c r="C9980" s="5" t="str">
        <f>IFERROR(__xludf.DUMMYFUNCTION("GOOGLETRANSLATE(B9980,""en"",""it"")"),"La fotocamera piova tra loro.")</f>
        <v>La fotocamera piova tra loro.</v>
      </c>
    </row>
    <row r="9981">
      <c r="A9981" s="4" t="s">
        <v>12552</v>
      </c>
      <c r="B9981" s="4" t="s">
        <v>12553</v>
      </c>
      <c r="C9981" s="5" t="str">
        <f>IFERROR(__xludf.DUMMYFUNCTION("GOOGLETRANSLATE(B9981,""en"",""it"")"),"Un uomo sta gettando freccette su una tavola da dardo.")</f>
        <v>Un uomo sta gettando freccette su una tavola da dardo.</v>
      </c>
    </row>
    <row r="9982">
      <c r="A9982" s="4" t="s">
        <v>12552</v>
      </c>
      <c r="B9982" s="4" t="s">
        <v>12554</v>
      </c>
      <c r="C9982" s="5" t="str">
        <f>IFERROR(__xludf.DUMMYFUNCTION("GOOGLETRANSLATE(B9982,""en"",""it"")"),"Ne lancia uno e arriva al centro del tabellone.")</f>
        <v>Ne lancia uno e arriva al centro del tabellone.</v>
      </c>
    </row>
    <row r="9983">
      <c r="A9983" s="4" t="s">
        <v>12552</v>
      </c>
      <c r="B9983" s="4" t="s">
        <v>12555</v>
      </c>
      <c r="C9983" s="5" t="str">
        <f>IFERROR(__xludf.DUMMYFUNCTION("GOOGLETRANSLATE(B9983,""en"",""it"")"),"Lancia di nuovo e arriva anche al centro.")</f>
        <v>Lancia di nuovo e arriva anche al centro.</v>
      </c>
    </row>
    <row r="9984">
      <c r="A9984" s="4" t="s">
        <v>12552</v>
      </c>
      <c r="B9984" s="4" t="s">
        <v>12556</v>
      </c>
      <c r="C9984" s="5" t="str">
        <f>IFERROR(__xludf.DUMMYFUNCTION("GOOGLETRANSLATE(B9984,""en"",""it"")"),"Ogni singolo scatto arriva al centro del tabellone.")</f>
        <v>Ogni singolo scatto arriva al centro del tabellone.</v>
      </c>
    </row>
    <row r="9985">
      <c r="A9985" s="4" t="s">
        <v>12557</v>
      </c>
      <c r="B9985" s="4" t="s">
        <v>12558</v>
      </c>
      <c r="C9985" s="5" t="str">
        <f>IFERROR(__xludf.DUMMYFUNCTION("GOOGLETRANSLATE(B9985,""en"",""it"")"),"Due uomini si siedono insieme a uno stand e competono in una partita di wrestling del braccio.")</f>
        <v>Due uomini si siedono insieme a uno stand e competono in una partita di wrestling del braccio.</v>
      </c>
    </row>
    <row r="9986">
      <c r="A9986" s="4" t="s">
        <v>12557</v>
      </c>
      <c r="B9986" s="4" t="s">
        <v>12559</v>
      </c>
      <c r="C9986" s="5" t="str">
        <f>IFERROR(__xludf.DUMMYFUNCTION("GOOGLETRANSLATE(B9986,""en"",""it"")"),"Gli amici si sono radunati intorno a guardare le sfide con i lottatori del braccio dopo la partita.")</f>
        <v>Gli amici si sono radunati intorno a guardare le sfide con i lottatori del braccio dopo la partita.</v>
      </c>
    </row>
    <row r="9987">
      <c r="A9987" s="4" t="s">
        <v>12557</v>
      </c>
      <c r="B9987" s="4" t="s">
        <v>12560</v>
      </c>
      <c r="C9987" s="5" t="str">
        <f>IFERROR(__xludf.DUMMYFUNCTION("GOOGLETRANSLATE(B9987,""en"",""it"")"),"Gli uomini si stringono la mano e parlano dopo la partita.")</f>
        <v>Gli uomini si stringono la mano e parlano dopo la partita.</v>
      </c>
    </row>
    <row r="9988">
      <c r="A9988" s="4" t="s">
        <v>12561</v>
      </c>
      <c r="B9988" s="4" t="s">
        <v>12562</v>
      </c>
      <c r="C9988" s="5" t="str">
        <f>IFERROR(__xludf.DUMMYFUNCTION("GOOGLETRANSLATE(B9988,""en"",""it"")"),"Il titolo e il logo appaiono sullo schermo.")</f>
        <v>Il titolo e il logo appaiono sullo schermo.</v>
      </c>
    </row>
    <row r="9989">
      <c r="A9989" s="4" t="s">
        <v>12561</v>
      </c>
      <c r="B9989" s="4" t="s">
        <v>12563</v>
      </c>
      <c r="C9989" s="5" t="str">
        <f>IFERROR(__xludf.DUMMYFUNCTION("GOOGLETRANSLATE(B9989,""en"",""it"")"),"Un uomo che tiene un sassofono gioca e parla con la telecamera nel mezzo.")</f>
        <v>Un uomo che tiene un sassofono gioca e parla con la telecamera nel mezzo.</v>
      </c>
    </row>
    <row r="9990">
      <c r="A9990" s="4" t="s">
        <v>12561</v>
      </c>
      <c r="B9990" s="4" t="s">
        <v>12564</v>
      </c>
      <c r="C9990" s="5" t="str">
        <f>IFERROR(__xludf.DUMMYFUNCTION("GOOGLETRANSLATE(B9990,""en"",""it"")"),"Un uomo tiene il sassofono per mostrare il fondo.")</f>
        <v>Un uomo tiene il sassofono per mostrare il fondo.</v>
      </c>
    </row>
    <row r="9991">
      <c r="A9991" s="4" t="s">
        <v>12561</v>
      </c>
      <c r="B9991" s="4" t="s">
        <v>12565</v>
      </c>
      <c r="C9991" s="5" t="str">
        <f>IFERROR(__xludf.DUMMYFUNCTION("GOOGLETRANSLATE(B9991,""en"",""it"")"),"L'uomo toglie il bocchino dal suo sassofono e lo sostituisce.")</f>
        <v>L'uomo toglie il bocchino dal suo sassofono e lo sostituisce.</v>
      </c>
    </row>
    <row r="9992">
      <c r="A9992" s="4" t="s">
        <v>12561</v>
      </c>
      <c r="B9992" s="4" t="s">
        <v>12566</v>
      </c>
      <c r="C9992" s="5" t="str">
        <f>IFERROR(__xludf.DUMMYFUNCTION("GOOGLETRANSLATE(B9992,""en"",""it"")"),"Vediamo un primo piano dell'uomo che suona il sassofono, si ingrandisce e di nuovo su di lui.")</f>
        <v>Vediamo un primo piano dell'uomo che suona il sassofono, si ingrandisce e di nuovo su di lui.</v>
      </c>
    </row>
    <row r="9993">
      <c r="A9993" s="4" t="s">
        <v>12561</v>
      </c>
      <c r="B9993" s="4" t="s">
        <v>12567</v>
      </c>
      <c r="C9993" s="5" t="str">
        <f>IFERROR(__xludf.DUMMYFUNCTION("GOOGLETRANSLATE(B9993,""en"",""it"")"),"Vediamo un primo piano dell'apertura del corno.")</f>
        <v>Vediamo un primo piano dell'apertura del corno.</v>
      </c>
    </row>
    <row r="9994">
      <c r="A9994" s="4" t="s">
        <v>12561</v>
      </c>
      <c r="B9994" s="4" t="s">
        <v>12568</v>
      </c>
      <c r="C9994" s="5" t="str">
        <f>IFERROR(__xludf.DUMMYFUNCTION("GOOGLETRANSLATE(B9994,""en"",""it"")"),"Lo schermo diventa nero e vediamo lo schermo finale.")</f>
        <v>Lo schermo diventa nero e vediamo lo schermo finale.</v>
      </c>
    </row>
    <row r="9995">
      <c r="A9995" s="4" t="s">
        <v>12569</v>
      </c>
      <c r="B9995" s="4" t="s">
        <v>12570</v>
      </c>
      <c r="C9995" s="5" t="str">
        <f>IFERROR(__xludf.DUMMYFUNCTION("GOOGLETRANSLATE(B9995,""en"",""it"")"),"Vediamo due signore il braccio lottare.")</f>
        <v>Vediamo due signore il braccio lottare.</v>
      </c>
    </row>
    <row r="9996">
      <c r="A9996" s="4" t="s">
        <v>12569</v>
      </c>
      <c r="B9996" s="4" t="s">
        <v>12571</v>
      </c>
      <c r="C9996" s="5" t="str">
        <f>IFERROR(__xludf.DUMMYFUNCTION("GOOGLETRANSLATE(B9996,""en"",""it"")"),"La signora giusta guarda la telecamera.")</f>
        <v>La signora giusta guarda la telecamera.</v>
      </c>
    </row>
    <row r="9997">
      <c r="A9997" s="4" t="s">
        <v>12569</v>
      </c>
      <c r="B9997" s="4" t="s">
        <v>12572</v>
      </c>
      <c r="C9997" s="5" t="str">
        <f>IFERROR(__xludf.DUMMYFUNCTION("GOOGLETRANSLATE(B9997,""en"",""it"")"),"La signora giusta vince la partita.")</f>
        <v>La signora giusta vince la partita.</v>
      </c>
    </row>
    <row r="9998">
      <c r="A9998" s="4" t="s">
        <v>12569</v>
      </c>
      <c r="B9998" s="4" t="s">
        <v>12573</v>
      </c>
      <c r="C9998" s="5" t="str">
        <f>IFERROR(__xludf.DUMMYFUNCTION("GOOGLETRANSLATE(B9998,""en"",""it"")"),"La signora sinistra lascia cadere la testa sul tavolo.")</f>
        <v>La signora sinistra lascia cadere la testa sul tavolo.</v>
      </c>
    </row>
    <row r="9999">
      <c r="A9999" s="4" t="s">
        <v>12569</v>
      </c>
      <c r="B9999" s="4" t="s">
        <v>12574</v>
      </c>
      <c r="C9999" s="5" t="str">
        <f>IFERROR(__xludf.DUMMYFUNCTION("GOOGLETRANSLATE(B9999,""en"",""it"")"),"La signora destra getta le braccia in aria e parla alla telecamera.")</f>
        <v>La signora destra getta le braccia in aria e parla alla telecamera.</v>
      </c>
    </row>
    <row r="10000">
      <c r="A10000" s="4" t="s">
        <v>12575</v>
      </c>
      <c r="B10000" s="4" t="s">
        <v>12576</v>
      </c>
      <c r="C10000" s="5" t="str">
        <f>IFERROR(__xludf.DUMMYFUNCTION("GOOGLETRANSLATE(B10000,""en"",""it"")"),"Un uomo taglia il legno con un'ascia sulla neve.")</f>
        <v>Un uomo taglia il legno con un'ascia sulla neve.</v>
      </c>
    </row>
    <row r="10001">
      <c r="A10001" s="4" t="s">
        <v>12575</v>
      </c>
      <c r="B10001" s="4" t="s">
        <v>12577</v>
      </c>
      <c r="C10001" s="5" t="str">
        <f>IFERROR(__xludf.DUMMYFUNCTION("GOOGLETRANSLATE(B10001,""en"",""it"")"),"Una persona sta dietro l'uomo.")</f>
        <v>Una persona sta dietro l'uomo.</v>
      </c>
    </row>
    <row r="10002">
      <c r="A10002" s="4" t="s">
        <v>12575</v>
      </c>
      <c r="B10002" s="4" t="s">
        <v>12578</v>
      </c>
      <c r="C10002" s="5" t="str">
        <f>IFERROR(__xludf.DUMMYFUNCTION("GOOGLETRANSLATE(B10002,""en"",""it"")"),"Una persona gestisce la legna da legna giunta a un uomo.")</f>
        <v>Una persona gestisce la legna da legna giunta a un uomo.</v>
      </c>
    </row>
    <row r="10003">
      <c r="A10003" s="4" t="s">
        <v>12575</v>
      </c>
      <c r="B10003" s="4" t="s">
        <v>12579</v>
      </c>
      <c r="C10003" s="5" t="str">
        <f>IFERROR(__xludf.DUMMYFUNCTION("GOOGLETRANSLATE(B10003,""en"",""it"")"),"L'uomo continua a tagliare la legna da ardere con l'ascia.")</f>
        <v>L'uomo continua a tagliare la legna da ardere con l'ascia.</v>
      </c>
    </row>
    <row r="10004">
      <c r="A10004" s="4" t="s">
        <v>12575</v>
      </c>
      <c r="B10004" s="4" t="s">
        <v>12580</v>
      </c>
      <c r="C10004" s="5" t="str">
        <f>IFERROR(__xludf.DUMMYFUNCTION("GOOGLETRANSLATE(B10004,""en"",""it"")"),"L'ascia diventa stack in un pezzo di legno, ma l'uomo lo toglie e continua a tagliare la legna da ardere.")</f>
        <v>L'ascia diventa stack in un pezzo di legno, ma l'uomo lo toglie e continua a tagliare la legna da ardere.</v>
      </c>
    </row>
    <row r="10005">
      <c r="A10005" s="4" t="s">
        <v>12581</v>
      </c>
      <c r="B10005" s="6" t="s">
        <v>12582</v>
      </c>
      <c r="C10005" s="5" t="str">
        <f>IFERROR(__xludf.DUMMYFUNCTION("GOOGLETRANSLATE(B10005,""en"",""it"")"),"Una donna bianca anziana con capelli corti biondi e gli occhiali inizia a parlare nell'angolo della palestra.")</f>
        <v>Una donna bianca anziana con capelli corti biondi e gli occhiali inizia a parlare nell'angolo della palestra.</v>
      </c>
    </row>
    <row r="10006">
      <c r="A10006" s="4" t="s">
        <v>12581</v>
      </c>
      <c r="B10006" s="6" t="s">
        <v>12583</v>
      </c>
      <c r="C10006" s="5" t="str">
        <f>IFERROR(__xludf.DUMMYFUNCTION("GOOGLETRANSLATE(B10006,""en"",""it"")"),"Le bambine quindi entrano in palestra e un allenatore maschio inizia a aiutarle mentre attraversano il raggio di equilibrio.")</f>
        <v>Le bambine quindi entrano in palestra e un allenatore maschio inizia a aiutarle mentre attraversano il raggio di equilibrio.</v>
      </c>
    </row>
    <row r="10007">
      <c r="A10007" s="4" t="s">
        <v>12584</v>
      </c>
      <c r="B10007" s="6" t="s">
        <v>12585</v>
      </c>
      <c r="C10007" s="5" t="str">
        <f>IFERROR(__xludf.DUMMYFUNCTION("GOOGLETRANSLATE(B10007,""en"",""it"")"),"Una donna asiatica che indossa una camicia blu e inizia a parlare e alzarsi le mani alla telecamera.")</f>
        <v>Una donna asiatica che indossa una camicia blu e inizia a parlare e alzarsi le mani alla telecamera.</v>
      </c>
    </row>
    <row r="10008">
      <c r="A10008" s="4" t="s">
        <v>12584</v>
      </c>
      <c r="B10008" s="4" t="s">
        <v>12586</v>
      </c>
      <c r="C10008" s="5" t="str">
        <f>IFERROR(__xludf.DUMMYFUNCTION("GOOGLETRANSLATE(B10008,""en"",""it"")"),"Quindi afferra un ferro e continua a stirare un pezzo di stoffa giallo sulla tavola da stiro.")</f>
        <v>Quindi afferra un ferro e continua a stirare un pezzo di stoffa giallo sulla tavola da stiro.</v>
      </c>
    </row>
    <row r="10009">
      <c r="A10009" s="4" t="s">
        <v>12584</v>
      </c>
      <c r="B10009" s="4" t="s">
        <v>12587</v>
      </c>
      <c r="C10009" s="5" t="str">
        <f>IFERROR(__xludf.DUMMYFUNCTION("GOOGLETRANSLATE(B10009,""en"",""it"")"),"Una volta che la parte anteriore è finita, lo afferra e la capovolge in modo che possa completare la stiratura.")</f>
        <v>Una volta che la parte anteriore è finita, lo afferra e la capovolge in modo che possa completare la stiratura.</v>
      </c>
    </row>
    <row r="10010">
      <c r="A10010" s="4" t="s">
        <v>12588</v>
      </c>
      <c r="B10010" s="6" t="s">
        <v>12589</v>
      </c>
      <c r="C10010" s="5" t="str">
        <f>IFERROR(__xludf.DUMMYFUNCTION("GOOGLETRANSLATE(B10010,""en"",""it"")"),"La telecamera si panoramica su un campo di erba circondato da una pista, con persone che fanno cose indistinte sullo sfondo.")</f>
        <v>La telecamera si panoramica su un campo di erba circondato da una pista, con persone che fanno cose indistinte sullo sfondo.</v>
      </c>
    </row>
    <row r="10011">
      <c r="A10011" s="4" t="s">
        <v>12588</v>
      </c>
      <c r="B10011" s="4" t="s">
        <v>12590</v>
      </c>
      <c r="C10011" s="5" t="str">
        <f>IFERROR(__xludf.DUMMYFUNCTION("GOOGLETRANSLATE(B10011,""en"",""it"")"),"Un uomo viene mostrato impegnarsi in un tiro messo.")</f>
        <v>Un uomo viene mostrato impegnarsi in un tiro messo.</v>
      </c>
    </row>
    <row r="10012">
      <c r="A10012" s="4" t="s">
        <v>12588</v>
      </c>
      <c r="B10012" s="4" t="s">
        <v>12591</v>
      </c>
      <c r="C10012" s="5" t="str">
        <f>IFERROR(__xludf.DUMMYFUNCTION("GOOGLETRANSLATE(B10012,""en"",""it"")"),"I giudici misurano il tiro dell'uomo.")</f>
        <v>I giudici misurano il tiro dell'uomo.</v>
      </c>
    </row>
    <row r="10013">
      <c r="A10013" s="4" t="s">
        <v>12588</v>
      </c>
      <c r="B10013" s="4" t="s">
        <v>12592</v>
      </c>
      <c r="C10013" s="5" t="str">
        <f>IFERROR(__xludf.DUMMYFUNCTION("GOOGLETRANSLATE(B10013,""en"",""it"")"),"Il pubblico viene mostrato applaudito mentre l'uomo riceve congratulazioni dalle persone nelle vicinanze.")</f>
        <v>Il pubblico viene mostrato applaudito mentre l'uomo riceve congratulazioni dalle persone nelle vicinanze.</v>
      </c>
    </row>
    <row r="10014">
      <c r="A10014" s="4" t="s">
        <v>12588</v>
      </c>
      <c r="B10014" s="4" t="s">
        <v>12593</v>
      </c>
      <c r="C10014" s="5" t="str">
        <f>IFERROR(__xludf.DUMMYFUNCTION("GOOGLETRANSLATE(B10014,""en"",""it"")"),"Viene mostrato un replay del tiro.")</f>
        <v>Viene mostrato un replay del tiro.</v>
      </c>
    </row>
    <row r="10015">
      <c r="A10015" s="4" t="s">
        <v>12594</v>
      </c>
      <c r="B10015" s="4" t="s">
        <v>12595</v>
      </c>
      <c r="C10015" s="5" t="str">
        <f>IFERROR(__xludf.DUMMYFUNCTION("GOOGLETRANSLATE(B10015,""en"",""it"")"),"Diverse persone sono vestite con tute che lanciano tappetini in una grande palestra.")</f>
        <v>Diverse persone sono vestite con tute che lanciano tappetini in una grande palestra.</v>
      </c>
    </row>
    <row r="10016">
      <c r="A10016" s="4" t="s">
        <v>12594</v>
      </c>
      <c r="B10016" s="6" t="s">
        <v>12596</v>
      </c>
      <c r="C10016" s="5" t="str">
        <f>IFERROR(__xludf.DUMMYFUNCTION("GOOGLETRANSLATE(B10016,""en"",""it"")"),"Dopo che i tappetini sono stati lanciati, altre persone iniziano a camminare sul pavimento vestito con uniformi di scherma.")</f>
        <v>Dopo che i tappetini sono stati lanciati, altre persone iniziano a camminare sul pavimento vestito con uniformi di scherma.</v>
      </c>
    </row>
    <row r="10017">
      <c r="A10017" s="4" t="s">
        <v>12594</v>
      </c>
      <c r="B10017" s="6" t="s">
        <v>12597</v>
      </c>
      <c r="C10017" s="5" t="str">
        <f>IFERROR(__xludf.DUMMYFUNCTION("GOOGLETRANSLATE(B10017,""en"",""it"")"),"Gli atleti iniziano quindi a camminare e a parlare tra loro mentre una piccola mascotte attraversa il tappeto.")</f>
        <v>Gli atleti iniziano quindi a camminare e a parlare tra loro mentre una piccola mascotte attraversa il tappeto.</v>
      </c>
    </row>
    <row r="10018">
      <c r="A10018" s="4" t="s">
        <v>12594</v>
      </c>
      <c r="B10018" s="4" t="s">
        <v>12598</v>
      </c>
      <c r="C10018" s="5" t="str">
        <f>IFERROR(__xludf.DUMMYFUNCTION("GOOGLETRANSLATE(B10018,""en"",""it"")"),"Infine, inizia una partita e una volta che circa cinque persone posano per una foto.")</f>
        <v>Infine, inizia una partita e una volta che circa cinque persone posano per una foto.</v>
      </c>
    </row>
    <row r="10019">
      <c r="A10019" s="4" t="s">
        <v>12594</v>
      </c>
      <c r="B10019" s="4" t="s">
        <v>12599</v>
      </c>
      <c r="C10019" s="5" t="str">
        <f>IFERROR(__xludf.DUMMYFUNCTION("GOOGLETRANSLATE(B10019,""en"",""it"")"),"La fotocamera quindi accelera e mostra diverse squadre e persone che entrano e lasciano la palestra.")</f>
        <v>La fotocamera quindi accelera e mostra diverse squadre e persone che entrano e lasciano la palestra.</v>
      </c>
    </row>
    <row r="10020">
      <c r="A10020" s="4" t="s">
        <v>12594</v>
      </c>
      <c r="B10020" s="6" t="s">
        <v>12600</v>
      </c>
      <c r="C10020" s="5" t="str">
        <f>IFERROR(__xludf.DUMMYFUNCTION("GOOGLETRANSLATE(B10020,""en"",""it"")"),"Successivamente, le partite di scherma sono mostrate tra circa 12 coppie di persone e si allineano e si danno un alto cinque prima di rannicchiarsi e parlare con il loro allenatore.")</f>
        <v>Successivamente, le partite di scherma sono mostrate tra circa 12 coppie di persone e si allineano e si danno un alto cinque prima di rannicchiarsi e parlare con il loro allenatore.</v>
      </c>
    </row>
    <row r="10021">
      <c r="A10021" s="4" t="s">
        <v>12601</v>
      </c>
      <c r="B10021" s="4" t="s">
        <v>12602</v>
      </c>
      <c r="C10021" s="5" t="str">
        <f>IFERROR(__xludf.DUMMYFUNCTION("GOOGLETRANSLATE(B10021,""en"",""it"")"),"Appare uno schermo nero con lettere blu che dicono ""Jayne Clarke Field Hockey Clips 2009"".")</f>
        <v>Appare uno schermo nero con lettere blu che dicono "Jayne Clarke Field Hockey Clips 2009".</v>
      </c>
    </row>
    <row r="10022">
      <c r="A10022" s="4" t="s">
        <v>12601</v>
      </c>
      <c r="B10022" s="6" t="s">
        <v>12603</v>
      </c>
      <c r="C10022" s="5" t="str">
        <f>IFERROR(__xludf.DUMMYFUNCTION("GOOGLETRANSLATE(B10022,""en"",""it"")"),"Le clip iniziano a giocare e ci sono una serie di piccoli clip messi insieme alla ragazza che gioca con una squadra, che si esercitano da sole e si esercitano su un corso.")</f>
        <v>Le clip iniziano a giocare e ci sono una serie di piccoli clip messi insieme alla ragazza che gioca con una squadra, che si esercitano da sole e si esercitano su un corso.</v>
      </c>
    </row>
    <row r="10023">
      <c r="A10023" s="4" t="s">
        <v>12601</v>
      </c>
      <c r="B10023" s="4" t="s">
        <v>12604</v>
      </c>
      <c r="C10023" s="5" t="str">
        <f>IFERROR(__xludf.DUMMYFUNCTION("GOOGLETRANSLATE(B10023,""en"",""it"")"),"Il video termina con la ragazza che si esercita da sola su un campo interno blu vuoto e grande.")</f>
        <v>Il video termina con la ragazza che si esercita da sola su un campo interno blu vuoto e grande.</v>
      </c>
    </row>
    <row r="10024">
      <c r="A10024" s="4" t="s">
        <v>12605</v>
      </c>
      <c r="B10024" s="4" t="s">
        <v>12606</v>
      </c>
      <c r="C10024" s="5" t="str">
        <f>IFERROR(__xludf.DUMMYFUNCTION("GOOGLETRANSLATE(B10024,""en"",""it"")"),"Vediamo un braccio di uomini forti il ​​wrestling.")</f>
        <v>Vediamo un braccio di uomini forti il ​​wrestling.</v>
      </c>
    </row>
    <row r="10025">
      <c r="A10025" s="4" t="s">
        <v>12605</v>
      </c>
      <c r="B10025" s="4" t="s">
        <v>12607</v>
      </c>
      <c r="C10025" s="5" t="str">
        <f>IFERROR(__xludf.DUMMYFUNCTION("GOOGLETRANSLATE(B10025,""en"",""it"")"),"Vediamo due uomini abbracciare dopo la partita.")</f>
        <v>Vediamo due uomini abbracciare dopo la partita.</v>
      </c>
    </row>
    <row r="10026">
      <c r="A10026" s="4" t="s">
        <v>12605</v>
      </c>
      <c r="B10026" s="4" t="s">
        <v>12608</v>
      </c>
      <c r="C10026" s="5" t="str">
        <f>IFERROR(__xludf.DUMMYFUNCTION("GOOGLETRANSLATE(B10026,""en"",""it"")"),"Racconta un ospite in abito bianco.")</f>
        <v>Racconta un ospite in abito bianco.</v>
      </c>
    </row>
    <row r="10027">
      <c r="A10027" s="4" t="s">
        <v>12605</v>
      </c>
      <c r="B10027" s="4" t="s">
        <v>12609</v>
      </c>
      <c r="C10027" s="5" t="str">
        <f>IFERROR(__xludf.DUMMYFUNCTION("GOOGLETRANSLATE(B10027,""en"",""it"")"),"Vediamo un uomo fotografico proprio dietro il tavolo.")</f>
        <v>Vediamo un uomo fotografico proprio dietro il tavolo.</v>
      </c>
    </row>
    <row r="10028">
      <c r="A10028" s="4" t="s">
        <v>12605</v>
      </c>
      <c r="B10028" s="4" t="s">
        <v>9831</v>
      </c>
      <c r="C10028" s="5" t="str">
        <f>IFERROR(__xludf.DUMMYFUNCTION("GOOGLETRANSLATE(B10028,""en"",""it"")"),"Una persona cammina davanti alla telecamera.")</f>
        <v>Una persona cammina davanti alla telecamera.</v>
      </c>
    </row>
    <row r="10029">
      <c r="A10029" s="4" t="s">
        <v>12605</v>
      </c>
      <c r="B10029" s="4" t="s">
        <v>12610</v>
      </c>
      <c r="C10029" s="5" t="str">
        <f>IFERROR(__xludf.DUMMYFUNCTION("GOOGLETRANSLATE(B10029,""en"",""it"")"),"La partita finale inizia e finisce molto rapidamente e gli uomini si abbracciano.")</f>
        <v>La partita finale inizia e finisce molto rapidamente e gli uomini si abbracciano.</v>
      </c>
    </row>
    <row r="10030">
      <c r="A10030" s="4" t="s">
        <v>12605</v>
      </c>
      <c r="B10030" s="4" t="s">
        <v>12611</v>
      </c>
      <c r="C10030" s="5" t="str">
        <f>IFERROR(__xludf.DUMMYFUNCTION("GOOGLETRANSLATE(B10030,""en"",""it"")"),"Vediamo un miraggio di immagini.")</f>
        <v>Vediamo un miraggio di immagini.</v>
      </c>
    </row>
    <row r="10031">
      <c r="A10031" s="4" t="s">
        <v>12612</v>
      </c>
      <c r="B10031" s="6" t="s">
        <v>12613</v>
      </c>
      <c r="C10031" s="5" t="str">
        <f>IFERROR(__xludf.DUMMYFUNCTION("GOOGLETRANSLATE(B10031,""en"",""it"")"),"Un folto gruppo di persone si vede che cavalca più zattere lungo un fiume rigoroso mentre pagava continuamente.")</f>
        <v>Un folto gruppo di persone si vede che cavalca più zattere lungo un fiume rigoroso mentre pagava continuamente.</v>
      </c>
    </row>
    <row r="10032">
      <c r="A10032" s="4" t="s">
        <v>12612</v>
      </c>
      <c r="B10032" s="6" t="s">
        <v>12614</v>
      </c>
      <c r="C10032" s="5" t="str">
        <f>IFERROR(__xludf.DUMMYFUNCTION("GOOGLETRANSLATE(B10032,""en"",""it"")"),"Vengono mostrati diversi colpi delle persone che cavalcano mentre tengono i loro bastoncini in aria e finiscono con le persone che si fermano a mangiare.")</f>
        <v>Vengono mostrati diversi colpi delle persone che cavalcano mentre tengono i loro bastoncini in aria e finiscono con le persone che si fermano a mangiare.</v>
      </c>
    </row>
    <row r="10033">
      <c r="A10033" s="4" t="s">
        <v>12615</v>
      </c>
      <c r="B10033" s="4" t="s">
        <v>12616</v>
      </c>
      <c r="C10033" s="5" t="str">
        <f>IFERROR(__xludf.DUMMYFUNCTION("GOOGLETRANSLATE(B10033,""en"",""it"")"),"Un uomo in abito e una donna in un vestito sono in piedi davanti a un pubblico.")</f>
        <v>Un uomo in abito e una donna in un vestito sono in piedi davanti a un pubblico.</v>
      </c>
    </row>
    <row r="10034">
      <c r="A10034" s="4" t="s">
        <v>12615</v>
      </c>
      <c r="B10034" s="4" t="s">
        <v>12617</v>
      </c>
      <c r="C10034" s="5" t="str">
        <f>IFERROR(__xludf.DUMMYFUNCTION("GOOGLETRANSLATE(B10034,""en"",""it"")"),"Cominciano a ballare sul pavimento.")</f>
        <v>Cominciano a ballare sul pavimento.</v>
      </c>
    </row>
    <row r="10035">
      <c r="A10035" s="4" t="s">
        <v>12615</v>
      </c>
      <c r="B10035" s="4" t="s">
        <v>12618</v>
      </c>
      <c r="C10035" s="5" t="str">
        <f>IFERROR(__xludf.DUMMYFUNCTION("GOOGLETRANSLATE(B10035,""en"",""it"")"),"Finiscono la danza e gli applausi del pubblico.")</f>
        <v>Finiscono la danza e gli applausi del pubblico.</v>
      </c>
    </row>
    <row r="10036">
      <c r="A10036" s="4" t="s">
        <v>12619</v>
      </c>
      <c r="B10036" s="4" t="s">
        <v>12620</v>
      </c>
      <c r="C10036" s="5" t="str">
        <f>IFERROR(__xludf.DUMMYFUNCTION("GOOGLETRANSLATE(B10036,""en"",""it"")"),"Una persona si tiene su una moto indossando lame a rulli e viene scavata lungo una strada.")</f>
        <v>Una persona si tiene su una moto indossando lame a rulli e viene scavata lungo una strada.</v>
      </c>
    </row>
    <row r="10037">
      <c r="A10037" s="4" t="s">
        <v>12619</v>
      </c>
      <c r="B10037" s="4" t="s">
        <v>12621</v>
      </c>
      <c r="C10037" s="5" t="str">
        <f>IFERROR(__xludf.DUMMYFUNCTION("GOOGLETRANSLATE(B10037,""en"",""it"")"),"Un uomo è in piedi accanto a una fontana d'acqua.")</f>
        <v>Un uomo è in piedi accanto a una fontana d'acqua.</v>
      </c>
    </row>
    <row r="10038">
      <c r="A10038" s="4" t="s">
        <v>12619</v>
      </c>
      <c r="B10038" s="4" t="s">
        <v>12622</v>
      </c>
      <c r="C10038" s="5" t="str">
        <f>IFERROR(__xludf.DUMMYFUNCTION("GOOGLETRANSLATE(B10038,""en"",""it"")"),"Le persone stanno facendo trucchi di pattinaggio a rulli.")</f>
        <v>Le persone stanno facendo trucchi di pattinaggio a rulli.</v>
      </c>
    </row>
    <row r="10039">
      <c r="A10039" s="4" t="s">
        <v>12623</v>
      </c>
      <c r="B10039" s="4" t="s">
        <v>12624</v>
      </c>
      <c r="C10039" s="5" t="str">
        <f>IFERROR(__xludf.DUMMYFUNCTION("GOOGLETRANSLATE(B10039,""en"",""it"")"),"Un uomo parla con la telecamera in una vista ravvicinata.")</f>
        <v>Un uomo parla con la telecamera in una vista ravvicinata.</v>
      </c>
    </row>
    <row r="10040">
      <c r="A10040" s="4" t="s">
        <v>12623</v>
      </c>
      <c r="B10040" s="4" t="s">
        <v>12625</v>
      </c>
      <c r="C10040" s="5" t="str">
        <f>IFERROR(__xludf.DUMMYFUNCTION("GOOGLETRANSLATE(B10040,""en"",""it"")"),"Vengono mostrate scene delle attività quotidiane dell'uomo.")</f>
        <v>Vengono mostrate scene delle attività quotidiane dell'uomo.</v>
      </c>
    </row>
    <row r="10041">
      <c r="A10041" s="4" t="s">
        <v>12623</v>
      </c>
      <c r="B10041" s="6" t="s">
        <v>12626</v>
      </c>
      <c r="C10041" s="5" t="str">
        <f>IFERROR(__xludf.DUMMYFUNCTION("GOOGLETRANSLATE(B10041,""en"",""it"")"),"Vengono mostrate scene dell'uomo che viene servito in un parrucchiere, di solito con altre persone sullo sfondo.")</f>
        <v>Vengono mostrate scene dell'uomo che viene servito in un parrucchiere, di solito con altre persone sullo sfondo.</v>
      </c>
    </row>
    <row r="10042">
      <c r="A10042" s="4" t="s">
        <v>12623</v>
      </c>
      <c r="B10042" s="4" t="s">
        <v>12627</v>
      </c>
      <c r="C10042" s="5" t="str">
        <f>IFERROR(__xludf.DUMMYFUNCTION("GOOGLETRANSLATE(B10042,""en"",""it"")"),"Vengono mostrate scene dell'uomo che parla con la telecamera con vari altri.")</f>
        <v>Vengono mostrate scene dell'uomo che parla con la telecamera con vari altri.</v>
      </c>
    </row>
    <row r="10043">
      <c r="A10043" s="4" t="s">
        <v>12623</v>
      </c>
      <c r="B10043" s="4" t="s">
        <v>12628</v>
      </c>
      <c r="C10043" s="5" t="str">
        <f>IFERROR(__xludf.DUMMYFUNCTION("GOOGLETRANSLATE(B10043,""en"",""it"")"),"Vengono mostrate altre scene del parrucchiere.")</f>
        <v>Vengono mostrate altre scene del parrucchiere.</v>
      </c>
    </row>
    <row r="10044">
      <c r="A10044" s="4" t="s">
        <v>12629</v>
      </c>
      <c r="B10044" s="6" t="s">
        <v>12630</v>
      </c>
      <c r="C10044" s="5" t="str">
        <f>IFERROR(__xludf.DUMMYFUNCTION("GOOGLETRANSLATE(B10044,""en"",""it"")"),"Tre uomini sono visti cavalcare i cavalli l'uno attorno all'altro e conducono in un toro che corre e insegue un uomo a cavallo.")</f>
        <v>Tre uomini sono visti cavalcare i cavalli l'uno attorno all'altro e conducono in un toro che corre e insegue un uomo a cavallo.</v>
      </c>
    </row>
    <row r="10045">
      <c r="A10045" s="4" t="s">
        <v>12629</v>
      </c>
      <c r="B10045" s="4" t="s">
        <v>12631</v>
      </c>
      <c r="C10045" s="5" t="str">
        <f>IFERROR(__xludf.DUMMYFUNCTION("GOOGLETRANSLATE(B10045,""en"",""it"")"),"L'uomo cavalca intorno al toro e mostra molti altri colpi dei cavalieri che cavalcano il toro.")</f>
        <v>L'uomo cavalca intorno al toro e mostra molti altri colpi dei cavalieri che cavalcano il toro.</v>
      </c>
    </row>
    <row r="10046">
      <c r="A10046" s="4" t="s">
        <v>12629</v>
      </c>
      <c r="B10046" s="6" t="s">
        <v>12632</v>
      </c>
      <c r="C10046" s="5" t="str">
        <f>IFERROR(__xludf.DUMMYFUNCTION("GOOGLETRANSLATE(B10046,""en"",""it"")"),"Ad un certo punto più uomini si imbattono nella fossa e il toro si sdraia sul lato mentre il pubblico applaude e l'uomo alza le braccia.")</f>
        <v>Ad un certo punto più uomini si imbattono nella fossa e il toro si sdraia sul lato mentre il pubblico applaude e l'uomo alza le braccia.</v>
      </c>
    </row>
    <row r="10047">
      <c r="A10047" s="4" t="s">
        <v>12633</v>
      </c>
      <c r="B10047" s="4" t="s">
        <v>12634</v>
      </c>
      <c r="C10047" s="5" t="str">
        <f>IFERROR(__xludf.DUMMYFUNCTION("GOOGLETRANSLATE(B10047,""en"",""it"")"),"I bambini sono su un campo, calciando una palla avanti e indietro.")</f>
        <v>I bambini sono su un campo, calciando una palla avanti e indietro.</v>
      </c>
    </row>
    <row r="10048">
      <c r="A10048" s="4" t="s">
        <v>12633</v>
      </c>
      <c r="B10048" s="4" t="s">
        <v>12635</v>
      </c>
      <c r="C10048" s="5" t="str">
        <f>IFERROR(__xludf.DUMMYFUNCTION("GOOGLETRANSLATE(B10048,""en"",""it"")"),"Una ragazza corre e prende a calci al ragazzo.")</f>
        <v>Una ragazza corre e prende a calci al ragazzo.</v>
      </c>
    </row>
    <row r="10049">
      <c r="A10049" s="4" t="s">
        <v>12633</v>
      </c>
      <c r="B10049" s="4" t="s">
        <v>12636</v>
      </c>
      <c r="C10049" s="5" t="str">
        <f>IFERROR(__xludf.DUMMYFUNCTION("GOOGLETRANSLATE(B10049,""en"",""it"")"),"Corre a bordo campo e cerca di prendere la palla mentre altre ragazze guardano a margine.")</f>
        <v>Corre a bordo campo e cerca di prendere la palla mentre altre ragazze guardano a margine.</v>
      </c>
    </row>
    <row r="10050">
      <c r="A10050" s="4" t="s">
        <v>12633</v>
      </c>
      <c r="B10050" s="4" t="s">
        <v>12637</v>
      </c>
      <c r="C10050" s="5" t="str">
        <f>IFERROR(__xludf.DUMMYFUNCTION("GOOGLETRANSLATE(B10050,""en"",""it"")"),"I bambini continuano a giocare fino alla fine della clip.")</f>
        <v>I bambini continuano a giocare fino alla fine della clip.</v>
      </c>
    </row>
    <row r="10051">
      <c r="A10051" s="4" t="s">
        <v>12638</v>
      </c>
      <c r="B10051" s="6" t="s">
        <v>12639</v>
      </c>
      <c r="C10051" s="5" t="str">
        <f>IFERROR(__xludf.DUMMYFUNCTION("GOOGLETRANSLATE(B10051,""en"",""it"")"),"Diverse coppie di uomini e donne vengono mostrate eseguendo una routine di tango di fronte a un gruppo di persone.")</f>
        <v>Diverse coppie di uomini e donne vengono mostrate eseguendo una routine di tango di fronte a un gruppo di persone.</v>
      </c>
    </row>
    <row r="10052">
      <c r="A10052" s="4" t="s">
        <v>12638</v>
      </c>
      <c r="B10052" s="4" t="s">
        <v>12640</v>
      </c>
      <c r="C10052" s="5" t="str">
        <f>IFERROR(__xludf.DUMMYFUNCTION("GOOGLETRANSLATE(B10052,""en"",""it"")"),"Molte persone guardano dai lati e una coppia ride e si allontanano alla fine.")</f>
        <v>Molte persone guardano dai lati e una coppia ride e si allontanano alla fine.</v>
      </c>
    </row>
    <row r="10053">
      <c r="A10053" s="4" t="s">
        <v>12641</v>
      </c>
      <c r="B10053" s="4" t="s">
        <v>12642</v>
      </c>
      <c r="C10053" s="5" t="str">
        <f>IFERROR(__xludf.DUMMYFUNCTION("GOOGLETRANSLATE(B10053,""en"",""it"")"),"A questi 3 uomini viene mostrato il rollerblading all'aperto in mezzo alla strada.")</f>
        <v>A questi 3 uomini viene mostrato il rollerblading all'aperto in mezzo alla strada.</v>
      </c>
    </row>
    <row r="10054">
      <c r="A10054" s="4" t="s">
        <v>12641</v>
      </c>
      <c r="B10054" s="4" t="s">
        <v>12643</v>
      </c>
      <c r="C10054" s="5" t="str">
        <f>IFERROR(__xludf.DUMMYFUNCTION("GOOGLETRANSLATE(B10054,""en"",""it"")"),"Stanno ballando, andando in tondo e girano in giro.")</f>
        <v>Stanno ballando, andando in tondo e girano in giro.</v>
      </c>
    </row>
    <row r="10055">
      <c r="A10055" s="4" t="s">
        <v>12644</v>
      </c>
      <c r="B10055" s="4" t="s">
        <v>12645</v>
      </c>
      <c r="C10055" s="5" t="str">
        <f>IFERROR(__xludf.DUMMYFUNCTION("GOOGLETRANSLATE(B10055,""en"",""it"")"),"Un gruppo di ciclisti in bici è in attesa di iniziare una gara, alla fine cade quando il cancello si aprirà.")</f>
        <v>Un gruppo di ciclisti in bici è in attesa di iniziare una gara, alla fine cade quando il cancello si aprirà.</v>
      </c>
    </row>
    <row r="10056">
      <c r="A10056" s="4" t="s">
        <v>12644</v>
      </c>
      <c r="B10056" s="4" t="s">
        <v>12646</v>
      </c>
      <c r="C10056" s="5" t="str">
        <f>IFERROR(__xludf.DUMMYFUNCTION("GOOGLETRANSLATE(B10056,""en"",""it"")"),"Un colpo vicino di una bici viene fatto mentre un uomo mette la sua attrezzatura per cavalcare.")</f>
        <v>Un colpo vicino di una bici viene fatto mentre un uomo mette la sua attrezzatura per cavalcare.</v>
      </c>
    </row>
    <row r="10057">
      <c r="A10057" s="4" t="s">
        <v>12644</v>
      </c>
      <c r="B10057" s="4" t="s">
        <v>12647</v>
      </c>
      <c r="C10057" s="5" t="str">
        <f>IFERROR(__xludf.DUMMYFUNCTION("GOOGLETRANSLATE(B10057,""en"",""it"")"),"Un pilota viene mostrato in giro mentre un altro fa vari trucchi.")</f>
        <v>Un pilota viene mostrato in giro mentre un altro fa vari trucchi.</v>
      </c>
    </row>
    <row r="10058">
      <c r="A10058" s="4" t="s">
        <v>12644</v>
      </c>
      <c r="B10058" s="4" t="s">
        <v>12648</v>
      </c>
      <c r="C10058" s="5" t="str">
        <f>IFERROR(__xludf.DUMMYFUNCTION("GOOGLETRANSLATE(B10058,""en"",""it"")"),"Diversi motociclisti diversi vengono mostrati cavalcando e giù e volano a velocità record.")</f>
        <v>Diversi motociclisti diversi vengono mostrati cavalcando e giù e volano a velocità record.</v>
      </c>
    </row>
    <row r="10059">
      <c r="A10059" s="4" t="s">
        <v>12649</v>
      </c>
      <c r="B10059" s="4" t="s">
        <v>12650</v>
      </c>
      <c r="C10059" s="5" t="str">
        <f>IFERROR(__xludf.DUMMYFUNCTION("GOOGLETRANSLATE(B10059,""en"",""it"")"),"Viene mostrato un uomo che tiene una pallavolo che parla alla telecamera e porta a mostrare vari salti.")</f>
        <v>Viene mostrato un uomo che tiene una pallavolo che parla alla telecamera e porta a mostrare vari salti.</v>
      </c>
    </row>
    <row r="10060">
      <c r="A10060" s="4" t="s">
        <v>12649</v>
      </c>
      <c r="B10060" s="4" t="s">
        <v>12651</v>
      </c>
      <c r="C10060" s="5" t="str">
        <f>IFERROR(__xludf.DUMMYFUNCTION("GOOGLETRANSLATE(B10060,""en"",""it"")"),"Continua a parlare con la telecamera e si muove in palestra colpendo la palla.")</f>
        <v>Continua a parlare con la telecamera e si muove in palestra colpendo la palla.</v>
      </c>
    </row>
    <row r="10061">
      <c r="A10061" s="4" t="s">
        <v>12652</v>
      </c>
      <c r="B10061" s="4" t="s">
        <v>12653</v>
      </c>
      <c r="C10061" s="5" t="str">
        <f>IFERROR(__xludf.DUMMYFUNCTION("GOOGLETRANSLATE(B10061,""en"",""it"")"),"Gli uomini sul campo afferrano i loro strumenti.")</f>
        <v>Gli uomini sul campo afferrano i loro strumenti.</v>
      </c>
    </row>
    <row r="10062">
      <c r="A10062" s="4" t="s">
        <v>12652</v>
      </c>
      <c r="B10062" s="4" t="s">
        <v>12654</v>
      </c>
      <c r="C10062" s="5" t="str">
        <f>IFERROR(__xludf.DUMMYFUNCTION("GOOGLETRANSLATE(B10062,""en"",""it"")"),"Vediamo uomini in un campo che taglia l'erba alta come un altro orologio.")</f>
        <v>Vediamo uomini in un campo che taglia l'erba alta come un altro orologio.</v>
      </c>
    </row>
    <row r="10063">
      <c r="A10063" s="4" t="s">
        <v>12652</v>
      </c>
      <c r="B10063" s="4" t="s">
        <v>12655</v>
      </c>
      <c r="C10063" s="5" t="str">
        <f>IFERROR(__xludf.DUMMYFUNCTION("GOOGLETRANSLATE(B10063,""en"",""it"")"),"L'uomo di sinistra usa una falce e prende il comando sull'uomo con il wacker.")</f>
        <v>L'uomo di sinistra usa una falce e prende il comando sull'uomo con il wacker.</v>
      </c>
    </row>
    <row r="10064">
      <c r="A10064" s="4" t="s">
        <v>12652</v>
      </c>
      <c r="B10064" s="4" t="s">
        <v>12656</v>
      </c>
      <c r="C10064" s="5" t="str">
        <f>IFERROR(__xludf.DUMMYFUNCTION("GOOGLETRANSLATE(B10064,""en"",""it"")"),"L'uomo con la falce finisce.")</f>
        <v>L'uomo con la falce finisce.</v>
      </c>
    </row>
    <row r="10065">
      <c r="A10065" s="4" t="s">
        <v>12652</v>
      </c>
      <c r="B10065" s="4" t="s">
        <v>12657</v>
      </c>
      <c r="C10065" s="5" t="str">
        <f>IFERROR(__xludf.DUMMYFUNCTION("GOOGLETRANSLATE(B10065,""en"",""it"")"),"La folla applaude per l'uomo.")</f>
        <v>La folla applaude per l'uomo.</v>
      </c>
    </row>
    <row r="10066">
      <c r="A10066" s="4" t="s">
        <v>12652</v>
      </c>
      <c r="B10066" s="4" t="s">
        <v>12658</v>
      </c>
      <c r="C10066" s="5" t="str">
        <f>IFERROR(__xludf.DUMMYFUNCTION("GOOGLETRANSLATE(B10066,""en"",""it"")"),"L'uomo senza camicia se ne va.")</f>
        <v>L'uomo senza camicia se ne va.</v>
      </c>
    </row>
    <row r="10067">
      <c r="A10067" s="4" t="s">
        <v>12652</v>
      </c>
      <c r="B10067" s="4" t="s">
        <v>12659</v>
      </c>
      <c r="C10067" s="5" t="str">
        <f>IFERROR(__xludf.DUMMYFUNCTION("GOOGLETRANSLATE(B10067,""en"",""it"")"),"La fotocamera si panoramica per mostrare all'altro uomo che lavora sull'erba.")</f>
        <v>La fotocamera si panoramica per mostrare all'altro uomo che lavora sull'erba.</v>
      </c>
    </row>
    <row r="10068">
      <c r="A10068" s="4" t="s">
        <v>12660</v>
      </c>
      <c r="B10068" s="6" t="s">
        <v>12661</v>
      </c>
      <c r="C10068" s="5" t="str">
        <f>IFERROR(__xludf.DUMMYFUNCTION("GOOGLETRANSLATE(B10068,""en"",""it"")"),"Un ragazzo è in piedi su un campo con in mano una racchetta nella mano destra, una palla si fa strada e lo colpisce molto.")</f>
        <v>Un ragazzo è in piedi su un campo con in mano una racchetta nella mano destra, una palla si fa strada e lo colpisce molto.</v>
      </c>
    </row>
    <row r="10069">
      <c r="A10069" s="4" t="s">
        <v>12660</v>
      </c>
      <c r="B10069" s="6" t="s">
        <v>12662</v>
      </c>
      <c r="C10069" s="5" t="str">
        <f>IFERROR(__xludf.DUMMYFUNCTION("GOOGLETRANSLATE(B10069,""en"",""it"")"),"Il ragazzo cammina verso sinistra e un uomo è lì a colpire la palla e lui e il ragazzo vanno avanti e indietro a turno colpendo la palla molto forte contro il muro di fronte a loro.")</f>
        <v>Il ragazzo cammina verso sinistra e un uomo è lì a colpire la palla e lui e il ragazzo vanno avanti e indietro a turno colpendo la palla molto forte contro il muro di fronte a loro.</v>
      </c>
    </row>
    <row r="10070">
      <c r="A10070" s="4" t="s">
        <v>12660</v>
      </c>
      <c r="B10070" s="6" t="s">
        <v>12663</v>
      </c>
      <c r="C10070" s="5" t="str">
        <f>IFERROR(__xludf.DUMMYFUNCTION("GOOGLETRANSLATE(B10070,""en"",""it"")"),"La palla rotola a terra, il ragazzo lo raccoglie e lo colpisce al muro e ancora una volta l'uomo colpisce la palla e la fotocamera punta a terra.")</f>
        <v>La palla rotola a terra, il ragazzo lo raccoglie e lo colpisce al muro e ancora una volta l'uomo colpisce la palla e la fotocamera punta a terra.</v>
      </c>
    </row>
    <row r="10071">
      <c r="A10071" s="4" t="s">
        <v>12664</v>
      </c>
      <c r="B10071" s="4" t="s">
        <v>12665</v>
      </c>
      <c r="C10071" s="5" t="str">
        <f>IFERROR(__xludf.DUMMYFUNCTION("GOOGLETRANSLATE(B10071,""en"",""it"")"),"Uno chef è visto in piedi dietro un bancone che parla alla telecamera.")</f>
        <v>Uno chef è visto in piedi dietro un bancone che parla alla telecamera.</v>
      </c>
    </row>
    <row r="10072">
      <c r="A10072" s="4" t="s">
        <v>12664</v>
      </c>
      <c r="B10072" s="4" t="s">
        <v>12666</v>
      </c>
      <c r="C10072" s="5" t="str">
        <f>IFERROR(__xludf.DUMMYFUNCTION("GOOGLETRANSLATE(B10072,""en"",""it"")"),"L'uomo viene quindi visto resistere a diversi strumenti e presentarli alla fotocamera.")</f>
        <v>L'uomo viene quindi visto resistere a diversi strumenti e presentarli alla fotocamera.</v>
      </c>
    </row>
    <row r="10073">
      <c r="A10073" s="4" t="s">
        <v>12664</v>
      </c>
      <c r="B10073" s="4" t="s">
        <v>12667</v>
      </c>
      <c r="C10073" s="5" t="str">
        <f>IFERROR(__xludf.DUMMYFUNCTION("GOOGLETRANSLATE(B10073,""en"",""it"")"),"L'uomo quindi usa lo strumento in una ciotola di insalata e lo presenta alla fotocamera.")</f>
        <v>L'uomo quindi usa lo strumento in una ciotola di insalata e lo presenta alla fotocamera.</v>
      </c>
    </row>
    <row r="10074">
      <c r="A10074" s="4" t="s">
        <v>12668</v>
      </c>
      <c r="B10074" s="4" t="s">
        <v>12669</v>
      </c>
      <c r="C10074" s="5" t="str">
        <f>IFERROR(__xludf.DUMMYFUNCTION("GOOGLETRANSLATE(B10074,""en"",""it"")"),"Un uomo è nei boschi, in equilibrio su una corda stretta.")</f>
        <v>Un uomo è nei boschi, in equilibrio su una corda stretta.</v>
      </c>
    </row>
    <row r="10075">
      <c r="A10075" s="4" t="s">
        <v>12668</v>
      </c>
      <c r="B10075" s="4" t="s">
        <v>12670</v>
      </c>
      <c r="C10075" s="5" t="str">
        <f>IFERROR(__xludf.DUMMYFUNCTION("GOOGLETRANSLATE(B10075,""en"",""it"")"),"Cammina avanti e indietro sulla corda, poi salta.")</f>
        <v>Cammina avanti e indietro sulla corda, poi salta.</v>
      </c>
    </row>
    <row r="10076">
      <c r="A10076" s="4" t="s">
        <v>12671</v>
      </c>
      <c r="B10076" s="4" t="s">
        <v>12672</v>
      </c>
      <c r="C10076" s="5" t="str">
        <f>IFERROR(__xludf.DUMMYFUNCTION("GOOGLETRANSLATE(B10076,""en"",""it"")"),"Il video inizia con i dettagli della vittoria di una squadra di hockey in campo nella partita di campionato finale.")</f>
        <v>Il video inizia con i dettagli della vittoria di una squadra di hockey in campo nella partita di campionato finale.</v>
      </c>
    </row>
    <row r="10077">
      <c r="A10077" s="4" t="s">
        <v>12671</v>
      </c>
      <c r="B10077" s="4" t="s">
        <v>12673</v>
      </c>
      <c r="C10077" s="5" t="str">
        <f>IFERROR(__xludf.DUMMYFUNCTION("GOOGLETRANSLATE(B10077,""en"",""it"")"),"Lo stadio mostra le due squadre in competizione nell'hockey di gioco.")</f>
        <v>Lo stadio mostra le due squadre in competizione nell'hockey di gioco.</v>
      </c>
    </row>
    <row r="10078">
      <c r="A10078" s="4" t="s">
        <v>12671</v>
      </c>
      <c r="B10078" s="4" t="s">
        <v>12674</v>
      </c>
      <c r="C10078" s="5" t="str">
        <f>IFERROR(__xludf.DUMMYFUNCTION("GOOGLETRANSLATE(B10078,""en"",""it"")"),"La folla è fortemente incoraggiante quando una squadra diventa vittoriosa.")</f>
        <v>La folla è fortemente incoraggiante quando una squadra diventa vittoriosa.</v>
      </c>
    </row>
    <row r="10079">
      <c r="A10079" s="4" t="s">
        <v>12671</v>
      </c>
      <c r="B10079" s="4" t="s">
        <v>12675</v>
      </c>
      <c r="C10079" s="5" t="str">
        <f>IFERROR(__xludf.DUMMYFUNCTION("GOOGLETRANSLATE(B10079,""en"",""it"")"),"I giocatori saltano l'uno sull'altro con gioia mentre festeggiano.")</f>
        <v>I giocatori saltano l'uno sull'altro con gioia mentre festeggiano.</v>
      </c>
    </row>
    <row r="10080">
      <c r="A10080" s="4" t="s">
        <v>12671</v>
      </c>
      <c r="B10080" s="6" t="s">
        <v>12676</v>
      </c>
      <c r="C10080" s="5" t="str">
        <f>IFERROR(__xludf.DUMMYFUNCTION("GOOGLETRANSLATE(B10080,""en"",""it"")"),"C'è un palcoscenico di cantanti che eseguono musica dal vivo mentre celebrano la vittoria della squadra vincente.")</f>
        <v>C'è un palcoscenico di cantanti che eseguono musica dal vivo mentre celebrano la vittoria della squadra vincente.</v>
      </c>
    </row>
    <row r="10081">
      <c r="A10081" s="4" t="s">
        <v>12677</v>
      </c>
      <c r="B10081" s="4" t="s">
        <v>12678</v>
      </c>
      <c r="C10081" s="5" t="str">
        <f>IFERROR(__xludf.DUMMYFUNCTION("GOOGLETRANSLATE(B10081,""en"",""it"")"),"Una donna sta facendo una routine di danza su un palco.")</f>
        <v>Una donna sta facendo una routine di danza su un palco.</v>
      </c>
    </row>
    <row r="10082">
      <c r="A10082" s="4" t="s">
        <v>12677</v>
      </c>
      <c r="B10082" s="4" t="s">
        <v>12679</v>
      </c>
      <c r="C10082" s="5" t="str">
        <f>IFERROR(__xludf.DUMMYFUNCTION("GOOGLETRANSLATE(B10082,""en"",""it"")"),"Fa roteare e prende a calci le gambe.")</f>
        <v>Fa roteare e prende a calci le gambe.</v>
      </c>
    </row>
    <row r="10083">
      <c r="A10083" s="4" t="s">
        <v>12677</v>
      </c>
      <c r="B10083" s="4" t="s">
        <v>12680</v>
      </c>
      <c r="C10083" s="5" t="str">
        <f>IFERROR(__xludf.DUMMYFUNCTION("GOOGLETRANSLATE(B10083,""en"",""it"")"),"Si muove intorno alle fasi e piega il suo corpo in numerosi modi.")</f>
        <v>Si muove intorno alle fasi e piega il suo corpo in numerosi modi.</v>
      </c>
    </row>
    <row r="10084">
      <c r="A10084" s="4" t="s">
        <v>12677</v>
      </c>
      <c r="B10084" s="4" t="s">
        <v>12681</v>
      </c>
      <c r="C10084" s="5" t="str">
        <f>IFERROR(__xludf.DUMMYFUNCTION("GOOGLETRANSLATE(B10084,""en"",""it"")"),"Continua a scuotere il suo corpo per vedere il pubblico.")</f>
        <v>Continua a scuotere il suo corpo per vedere il pubblico.</v>
      </c>
    </row>
    <row r="10085">
      <c r="A10085" s="4" t="s">
        <v>12677</v>
      </c>
      <c r="B10085" s="4" t="s">
        <v>12682</v>
      </c>
      <c r="C10085" s="5" t="str">
        <f>IFERROR(__xludf.DUMMYFUNCTION("GOOGLETRANSLATE(B10085,""en"",""it"")"),"Scuote i fianchi indietro e quarto mentre muove le braccia in vari modi.")</f>
        <v>Scuote i fianchi indietro e quarto mentre muove le braccia in vari modi.</v>
      </c>
    </row>
    <row r="10086">
      <c r="A10086" s="4" t="s">
        <v>12683</v>
      </c>
      <c r="B10086" s="4" t="s">
        <v>12684</v>
      </c>
      <c r="C10086" s="5" t="str">
        <f>IFERROR(__xludf.DUMMYFUNCTION("GOOGLETRANSLATE(B10086,""en"",""it"")"),"Un uomo cammina su una tavola da immersione.")</f>
        <v>Un uomo cammina su una tavola da immersione.</v>
      </c>
    </row>
    <row r="10087">
      <c r="A10087" s="4" t="s">
        <v>12683</v>
      </c>
      <c r="B10087" s="4" t="s">
        <v>12685</v>
      </c>
      <c r="C10087" s="5" t="str">
        <f>IFERROR(__xludf.DUMMYFUNCTION("GOOGLETRANSLATE(B10087,""en"",""it"")"),"Salta sul tabellone più volte e salta in una piscina.")</f>
        <v>Salta sul tabellone più volte e salta in una piscina.</v>
      </c>
    </row>
    <row r="10088">
      <c r="A10088" s="4" t="s">
        <v>12683</v>
      </c>
      <c r="B10088" s="4" t="s">
        <v>12686</v>
      </c>
      <c r="C10088" s="5" t="str">
        <f>IFERROR(__xludf.DUMMYFUNCTION("GOOGLETRANSLATE(B10088,""en"",""it"")"),"L'uomo emerge e si alza in piscina.")</f>
        <v>L'uomo emerge e si alza in piscina.</v>
      </c>
    </row>
    <row r="10089">
      <c r="A10089" s="4" t="s">
        <v>12687</v>
      </c>
      <c r="B10089" s="4" t="s">
        <v>12688</v>
      </c>
      <c r="C10089" s="5" t="str">
        <f>IFERROR(__xludf.DUMMYFUNCTION("GOOGLETRANSLATE(B10089,""en"",""it"")"),"Le persone stanno facendo giri correndo e saltando al muro.")</f>
        <v>Le persone stanno facendo giri correndo e saltando al muro.</v>
      </c>
    </row>
    <row r="10090">
      <c r="A10090" s="4" t="s">
        <v>12687</v>
      </c>
      <c r="B10090" s="4" t="s">
        <v>12689</v>
      </c>
      <c r="C10090" s="5" t="str">
        <f>IFERROR(__xludf.DUMMYFUNCTION("GOOGLETRANSLATE(B10090,""en"",""it"")"),"I ragazzi fanno girare indietro su un tappetino blu.")</f>
        <v>I ragazzi fanno girare indietro su un tappetino blu.</v>
      </c>
    </row>
    <row r="10091">
      <c r="A10091" s="4" t="s">
        <v>12687</v>
      </c>
      <c r="B10091" s="4" t="s">
        <v>12690</v>
      </c>
      <c r="C10091" s="5" t="str">
        <f>IFERROR(__xludf.DUMMYFUNCTION("GOOGLETRANSLATE(B10091,""en"",""it"")"),"Un bambino salta su molti altri bambini sdraiati sul tappeto.")</f>
        <v>Un bambino salta su molti altri bambini sdraiati sul tappeto.</v>
      </c>
    </row>
    <row r="10092">
      <c r="A10092" s="4" t="s">
        <v>12687</v>
      </c>
      <c r="B10092" s="4" t="s">
        <v>12691</v>
      </c>
      <c r="C10092" s="5" t="str">
        <f>IFERROR(__xludf.DUMMYFUNCTION("GOOGLETRANSLATE(B10092,""en"",""it"")"),"Due ragazzi si rotolano sul corpo sul tappeto.")</f>
        <v>Due ragazzi si rotolano sul corpo sul tappeto.</v>
      </c>
    </row>
    <row r="10093">
      <c r="A10093" s="4" t="s">
        <v>12692</v>
      </c>
      <c r="B10093" s="4" t="s">
        <v>12693</v>
      </c>
      <c r="C10093" s="5" t="str">
        <f>IFERROR(__xludf.DUMMYFUNCTION("GOOGLETRANSLATE(B10093,""en"",""it"")"),"Due uomini stanno posando in una foto per le arti marziali.")</f>
        <v>Due uomini stanno posando in una foto per le arti marziali.</v>
      </c>
    </row>
    <row r="10094">
      <c r="A10094" s="4" t="s">
        <v>12692</v>
      </c>
      <c r="B10094" s="4" t="s">
        <v>12694</v>
      </c>
      <c r="C10094" s="5" t="str">
        <f>IFERROR(__xludf.DUMMYFUNCTION("GOOGLETRANSLATE(B10094,""en"",""it"")"),"Un gruppo è raccolto all'interno di una stanza, mostrato in varie pose di arti marziali.")</f>
        <v>Un gruppo è raccolto all'interno di una stanza, mostrato in varie pose di arti marziali.</v>
      </c>
    </row>
    <row r="10095">
      <c r="A10095" s="4" t="s">
        <v>12692</v>
      </c>
      <c r="B10095" s="4" t="s">
        <v>12695</v>
      </c>
      <c r="C10095" s="5" t="str">
        <f>IFERROR(__xludf.DUMMYFUNCTION("GOOGLETRANSLATE(B10095,""en"",""it"")"),"Cambiano movimenti, testo sullo schermo mostrando quello che stanno facendo.")</f>
        <v>Cambiano movimenti, testo sullo schermo mostrando quello che stanno facendo.</v>
      </c>
    </row>
    <row r="10096">
      <c r="A10096" s="4" t="s">
        <v>12692</v>
      </c>
      <c r="B10096" s="4" t="s">
        <v>12696</v>
      </c>
      <c r="C10096" s="5" t="str">
        <f>IFERROR(__xludf.DUMMYFUNCTION("GOOGLETRANSLATE(B10096,""en"",""it"")"),"Termina con un annuncio per la scuola.")</f>
        <v>Termina con un annuncio per la scuola.</v>
      </c>
    </row>
    <row r="10097">
      <c r="A10097" s="4" t="s">
        <v>12697</v>
      </c>
      <c r="B10097" s="4" t="s">
        <v>12698</v>
      </c>
      <c r="C10097" s="5" t="str">
        <f>IFERROR(__xludf.DUMMYFUNCTION("GOOGLETRANSLATE(B10097,""en"",""it"")"),"Una persona viene vista cavalcare una tavola da surf con un aquilone sopra l'acqua.")</f>
        <v>Una persona viene vista cavalcare una tavola da surf con un aquilone sopra l'acqua.</v>
      </c>
    </row>
    <row r="10098">
      <c r="A10098" s="4" t="s">
        <v>12697</v>
      </c>
      <c r="B10098" s="4" t="s">
        <v>12699</v>
      </c>
      <c r="C10098" s="5" t="str">
        <f>IFERROR(__xludf.DUMMYFUNCTION("GOOGLETRANSLATE(B10098,""en"",""it"")"),"La persona si spinge in aria e si gira indietro.")</f>
        <v>La persona si spinge in aria e si gira indietro.</v>
      </c>
    </row>
    <row r="10099">
      <c r="A10099" s="4" t="s">
        <v>12697</v>
      </c>
      <c r="B10099" s="4" t="s">
        <v>12700</v>
      </c>
      <c r="C10099" s="5" t="str">
        <f>IFERROR(__xludf.DUMMYFUNCTION("GOOGLETRANSLATE(B10099,""en"",""it"")"),"Continua a guidare lungo l'acqua.")</f>
        <v>Continua a guidare lungo l'acqua.</v>
      </c>
    </row>
    <row r="10100">
      <c r="A10100" s="4" t="s">
        <v>12701</v>
      </c>
      <c r="B10100" s="4" t="s">
        <v>12702</v>
      </c>
      <c r="C10100" s="5" t="str">
        <f>IFERROR(__xludf.DUMMYFUNCTION("GOOGLETRANSLATE(B10100,""en"",""it"")"),"Un uomo sta parlando con una macchina fotografica dei suoi capelli.")</f>
        <v>Un uomo sta parlando con una macchina fotografica dei suoi capelli.</v>
      </c>
    </row>
    <row r="10101">
      <c r="A10101" s="4" t="s">
        <v>12701</v>
      </c>
      <c r="B10101" s="4" t="s">
        <v>12703</v>
      </c>
      <c r="C10101" s="5" t="str">
        <f>IFERROR(__xludf.DUMMYFUNCTION("GOOGLETRANSLATE(B10101,""en"",""it"")"),"Un altro uomo entra e inizia a tagliare la fiera del primo ragazzo.")</f>
        <v>Un altro uomo entra e inizia a tagliare la fiera del primo ragazzo.</v>
      </c>
    </row>
    <row r="10102">
      <c r="A10102" s="4" t="s">
        <v>12701</v>
      </c>
      <c r="B10102" s="4" t="s">
        <v>12704</v>
      </c>
      <c r="C10102" s="5" t="str">
        <f>IFERROR(__xludf.DUMMYFUNCTION("GOOGLETRANSLATE(B10102,""en"",""it"")"),"Si lava i capelli e li taglia con un pettine.")</f>
        <v>Si lava i capelli e li taglia con un pettine.</v>
      </c>
    </row>
    <row r="10103">
      <c r="A10103" s="4" t="s">
        <v>12701</v>
      </c>
      <c r="B10103" s="4" t="s">
        <v>12705</v>
      </c>
      <c r="C10103" s="5" t="str">
        <f>IFERROR(__xludf.DUMMYFUNCTION("GOOGLETRANSLATE(B10103,""en"",""it"")"),"Lo stilista esegue vari stili e tecniche sui capelli.")</f>
        <v>Lo stilista esegue vari stili e tecniche sui capelli.</v>
      </c>
    </row>
    <row r="10104">
      <c r="A10104" s="4" t="s">
        <v>12701</v>
      </c>
      <c r="B10104" s="4" t="s">
        <v>12706</v>
      </c>
      <c r="C10104" s="5" t="str">
        <f>IFERROR(__xludf.DUMMYFUNCTION("GOOGLETRANSLATE(B10104,""en"",""it"")"),"Lo stilista mette il gel nei capelli e il ragazzo è finito con il suo taglio.")</f>
        <v>Lo stilista mette il gel nei capelli e il ragazzo è finito con il suo taglio.</v>
      </c>
    </row>
    <row r="10105">
      <c r="A10105" s="4" t="s">
        <v>12707</v>
      </c>
      <c r="B10105" s="4" t="s">
        <v>12708</v>
      </c>
      <c r="C10105" s="5" t="str">
        <f>IFERROR(__xludf.DUMMYFUNCTION("GOOGLETRANSLATE(B10105,""en"",""it"")"),"Un uomo con un cappello duro sta guardando un edificio.")</f>
        <v>Un uomo con un cappello duro sta guardando un edificio.</v>
      </c>
    </row>
    <row r="10106">
      <c r="A10106" s="4" t="s">
        <v>12707</v>
      </c>
      <c r="B10106" s="4" t="s">
        <v>12709</v>
      </c>
      <c r="C10106" s="5" t="str">
        <f>IFERROR(__xludf.DUMMYFUNCTION("GOOGLETRANSLATE(B10106,""en"",""it"")"),"Un secondo uomo si avvicina e scuote la mano del primo uomo.")</f>
        <v>Un secondo uomo si avvicina e scuote la mano del primo uomo.</v>
      </c>
    </row>
    <row r="10107">
      <c r="A10107" s="4" t="s">
        <v>12707</v>
      </c>
      <c r="B10107" s="4" t="s">
        <v>12710</v>
      </c>
      <c r="C10107" s="5" t="str">
        <f>IFERROR(__xludf.DUMMYFUNCTION("GOOGLETRANSLATE(B10107,""en"",""it"")"),"Entrambi gli uomini riconoscono l'edificio e discutono.")</f>
        <v>Entrambi gli uomini riconoscono l'edificio e discutono.</v>
      </c>
    </row>
    <row r="10108">
      <c r="A10108" s="4" t="s">
        <v>12707</v>
      </c>
      <c r="B10108" s="4" t="s">
        <v>12711</v>
      </c>
      <c r="C10108" s="5" t="str">
        <f>IFERROR(__xludf.DUMMYFUNCTION("GOOGLETRANSLATE(B10108,""en"",""it"")"),"Tre uomini stanno spacklando il muro mentre vengono mostrati due confronti.")</f>
        <v>Tre uomini stanno spacklando il muro mentre vengono mostrati due confronti.</v>
      </c>
    </row>
    <row r="10109">
      <c r="A10109" s="4" t="s">
        <v>12707</v>
      </c>
      <c r="B10109" s="4" t="s">
        <v>12712</v>
      </c>
      <c r="C10109" s="5" t="str">
        <f>IFERROR(__xludf.DUMMYFUNCTION("GOOGLETRANSLATE(B10109,""en"",""it"")"),"I due uomini ispezionano il muro.")</f>
        <v>I due uomini ispezionano il muro.</v>
      </c>
    </row>
    <row r="10110">
      <c r="A10110" s="4" t="s">
        <v>12707</v>
      </c>
      <c r="B10110" s="4" t="s">
        <v>12713</v>
      </c>
      <c r="C10110" s="5" t="str">
        <f>IFERROR(__xludf.DUMMYFUNCTION("GOOGLETRANSLATE(B10110,""en"",""it"")"),"Un altro uomo si avvicina e viene introdotto all'altro uomo.")</f>
        <v>Un altro uomo si avvicina e viene introdotto all'altro uomo.</v>
      </c>
    </row>
    <row r="10111">
      <c r="A10111" s="4" t="s">
        <v>12707</v>
      </c>
      <c r="B10111" s="4" t="s">
        <v>12714</v>
      </c>
      <c r="C10111" s="5" t="str">
        <f>IFERROR(__xludf.DUMMYFUNCTION("GOOGLETRANSLATE(B10111,""en"",""it"")"),"L'uomo se ne va mentre i primi due continuano a parlare.")</f>
        <v>L'uomo se ne va mentre i primi due continuano a parlare.</v>
      </c>
    </row>
    <row r="10112">
      <c r="A10112" s="4" t="s">
        <v>12715</v>
      </c>
      <c r="B10112" s="4" t="s">
        <v>12716</v>
      </c>
      <c r="C10112" s="5" t="str">
        <f>IFERROR(__xludf.DUMMYFUNCTION("GOOGLETRANSLATE(B10112,""en"",""it"")"),"Una persona si trova sulla parte anteriore di un fuoco in legno nel bosco.")</f>
        <v>Una persona si trova sulla parte anteriore di un fuoco in legno nel bosco.</v>
      </c>
    </row>
    <row r="10113">
      <c r="A10113" s="4" t="s">
        <v>12715</v>
      </c>
      <c r="B10113" s="4" t="s">
        <v>12717</v>
      </c>
      <c r="C10113" s="5" t="str">
        <f>IFERROR(__xludf.DUMMYFUNCTION("GOOGLETRANSLATE(B10113,""en"",""it"")"),"Quindi, la persona accende una corrispondenza e gettalo nel fuoco di legno, poi un incendio acceso.")</f>
        <v>Quindi, la persona accende una corrispondenza e gettalo nel fuoco di legno, poi un incendio acceso.</v>
      </c>
    </row>
    <row r="10114">
      <c r="A10114" s="4" t="s">
        <v>12718</v>
      </c>
      <c r="B10114" s="4" t="s">
        <v>12719</v>
      </c>
      <c r="C10114" s="5" t="str">
        <f>IFERROR(__xludf.DUMMYFUNCTION("GOOGLETRANSLATE(B10114,""en"",""it"")"),"Un vasto pubblico viene visto guardare un gioco sportivo e conduce a lanciare una moneta.")</f>
        <v>Un vasto pubblico viene visto guardare un gioco sportivo e conduce a lanciare una moneta.</v>
      </c>
    </row>
    <row r="10115">
      <c r="A10115" s="4" t="s">
        <v>12718</v>
      </c>
      <c r="B10115" s="4" t="s">
        <v>12720</v>
      </c>
      <c r="C10115" s="5" t="str">
        <f>IFERROR(__xludf.DUMMYFUNCTION("GOOGLETRANSLATE(B10115,""en"",""it"")"),"Il pubblico applaude di più e conduce a persone che lanciano una palla e altri lo colpiscono.")</f>
        <v>Il pubblico applaude di più e conduce a persone che lanciano una palla e altri lo colpiscono.</v>
      </c>
    </row>
    <row r="10116">
      <c r="A10116" s="4" t="s">
        <v>12718</v>
      </c>
      <c r="B10116" s="4" t="s">
        <v>12721</v>
      </c>
      <c r="C10116" s="5" t="str">
        <f>IFERROR(__xludf.DUMMYFUNCTION("GOOGLETRANSLATE(B10116,""en"",""it"")"),"Vengono mostrati altri colpi del gioco che vengono giocati, così come altri che guardano sui lati.")</f>
        <v>Vengono mostrati altri colpi del gioco che vengono giocati, così come altri che guardano sui lati.</v>
      </c>
    </row>
    <row r="10117">
      <c r="A10117" s="4" t="s">
        <v>12722</v>
      </c>
      <c r="B10117" s="4" t="s">
        <v>12723</v>
      </c>
      <c r="C10117" s="5" t="str">
        <f>IFERROR(__xludf.DUMMYFUNCTION("GOOGLETRANSLATE(B10117,""en"",""it"")"),"L'armonica è trattenuta e mostrata.")</f>
        <v>L'armonica è trattenuta e mostrata.</v>
      </c>
    </row>
    <row r="10118">
      <c r="A10118" s="4" t="s">
        <v>12722</v>
      </c>
      <c r="B10118" s="4" t="s">
        <v>12724</v>
      </c>
      <c r="C10118" s="5" t="str">
        <f>IFERROR(__xludf.DUMMYFUNCTION("GOOGLETRANSLATE(B10118,""en"",""it"")"),"Una persona tiene un'armonica tra le mani e suona una canzone.")</f>
        <v>Una persona tiene un'armonica tra le mani e suona una canzone.</v>
      </c>
    </row>
    <row r="10119">
      <c r="A10119" s="4" t="s">
        <v>12722</v>
      </c>
      <c r="B10119" s="4" t="s">
        <v>12725</v>
      </c>
      <c r="C10119" s="5" t="str">
        <f>IFERROR(__xludf.DUMMYFUNCTION("GOOGLETRANSLATE(B10119,""en"",""it"")"),"La persona finisce la canzone e regge l'armonica.")</f>
        <v>La persona finisce la canzone e regge l'armonica.</v>
      </c>
    </row>
    <row r="10120">
      <c r="A10120" s="4" t="s">
        <v>12726</v>
      </c>
      <c r="B10120" s="6" t="s">
        <v>12727</v>
      </c>
      <c r="C10120" s="5" t="str">
        <f>IFERROR(__xludf.DUMMYFUNCTION("GOOGLETRANSLATE(B10120,""en"",""it"")"),"Camminando per strada tenendolo su una tavola da skate, il ragazzo mette giù la sua tavola e inizia a pattinare.")</f>
        <v>Camminando per strada tenendolo su una tavola da skate, il ragazzo mette giù la sua tavola e inizia a pattinare.</v>
      </c>
    </row>
    <row r="10121">
      <c r="A10121" s="4" t="s">
        <v>12726</v>
      </c>
      <c r="B10121" s="4" t="s">
        <v>12728</v>
      </c>
      <c r="C10121" s="5" t="str">
        <f>IFERROR(__xludf.DUMMYFUNCTION("GOOGLETRANSLATE(B10121,""en"",""it"")"),"Quindi tre amici si uniscono a lui e si pattinano lungo la strada.")</f>
        <v>Quindi tre amici si uniscono a lui e si pattinano lungo la strada.</v>
      </c>
    </row>
    <row r="10122">
      <c r="A10122" s="4" t="s">
        <v>12726</v>
      </c>
      <c r="B10122" s="6" t="s">
        <v>12729</v>
      </c>
      <c r="C10122" s="5" t="str">
        <f>IFERROR(__xludf.DUMMYFUNCTION("GOOGLETRANSLATE(B10122,""en"",""it"")"),"Mentre si piegano con le mani dietro le mani per costruire un po 'più di slancio.")</f>
        <v>Mentre si piegano con le mani dietro le mani per costruire un po 'più di slancio.</v>
      </c>
    </row>
    <row r="10123">
      <c r="A10123" s="4" t="s">
        <v>12726</v>
      </c>
      <c r="B10123" s="4" t="s">
        <v>12730</v>
      </c>
      <c r="C10123" s="5" t="str">
        <f>IFERROR(__xludf.DUMMYFUNCTION("GOOGLETRANSLATE(B10123,""en"",""it"")"),"Riduggono dappertutto da un'area a un'altra godendo il loro tempo libero.")</f>
        <v>Riduggono dappertutto da un'area a un'altra godendo il loro tempo libero.</v>
      </c>
    </row>
    <row r="10124">
      <c r="A10124" s="4" t="s">
        <v>12731</v>
      </c>
      <c r="B10124" s="4" t="s">
        <v>12732</v>
      </c>
      <c r="C10124" s="5" t="str">
        <f>IFERROR(__xludf.DUMMYFUNCTION("GOOGLETRANSLATE(B10124,""en"",""it"")"),"Viene mostrata un'immagine di una piastra di pasta sardina, insieme a un elenco di ingredienti.")</f>
        <v>Viene mostrata un'immagine di una piastra di pasta sardina, insieme a un elenco di ingredienti.</v>
      </c>
    </row>
    <row r="10125">
      <c r="A10125" s="4" t="s">
        <v>12731</v>
      </c>
      <c r="B10125" s="4" t="s">
        <v>12733</v>
      </c>
      <c r="C10125" s="5" t="str">
        <f>IFERROR(__xludf.DUMMYFUNCTION("GOOGLETRANSLATE(B10125,""en"",""it"")"),"L'acqua viene salata e bollita per la pasta e le verdure sono saltate in olio d'oliva.")</f>
        <v>L'acqua viene salata e bollita per la pasta e le verdure sono saltate in olio d'oliva.</v>
      </c>
    </row>
    <row r="10126">
      <c r="A10126" s="4" t="s">
        <v>12731</v>
      </c>
      <c r="B10126" s="4" t="s">
        <v>12734</v>
      </c>
      <c r="C10126" s="5" t="str">
        <f>IFERROR(__xludf.DUMMYFUNCTION("GOOGLETRANSLATE(B10126,""en"",""it"")"),"Le sardine vengono aggiunte, quindi mescolate con i noodles di spaghetti, creando un piatto finito.")</f>
        <v>Le sardine vengono aggiunte, quindi mescolate con i noodles di spaghetti, creando un piatto finito.</v>
      </c>
    </row>
    <row r="10127">
      <c r="A10127" s="4" t="s">
        <v>12735</v>
      </c>
      <c r="B10127" s="4" t="s">
        <v>12736</v>
      </c>
      <c r="C10127" s="5" t="str">
        <f>IFERROR(__xludf.DUMMYFUNCTION("GOOGLETRANSLATE(B10127,""en"",""it"")"),"Un giocatore di hockey parla in un'intervista in TV.")</f>
        <v>Un giocatore di hockey parla in un'intervista in TV.</v>
      </c>
    </row>
    <row r="10128">
      <c r="A10128" s="4" t="s">
        <v>12735</v>
      </c>
      <c r="B10128" s="4" t="s">
        <v>12737</v>
      </c>
      <c r="C10128" s="5" t="str">
        <f>IFERROR(__xludf.DUMMYFUNCTION("GOOGLETRANSLATE(B10128,""en"",""it"")"),"Diverse immagini di lui che giocano a hockey su ghiaccio vengono mostrate mentre parla.")</f>
        <v>Diverse immagini di lui che giocano a hockey su ghiaccio vengono mostrate mentre parla.</v>
      </c>
    </row>
    <row r="10129">
      <c r="A10129" s="4" t="s">
        <v>12735</v>
      </c>
      <c r="B10129" s="4" t="s">
        <v>12738</v>
      </c>
      <c r="C10129" s="5" t="str">
        <f>IFERROR(__xludf.DUMMYFUNCTION("GOOGLETRANSLATE(B10129,""en"",""it"")"),"Continua a parlare mentre le immagini lampeggiano sullo schermo.")</f>
        <v>Continua a parlare mentre le immagini lampeggiano sullo schermo.</v>
      </c>
    </row>
    <row r="10130">
      <c r="A10130" s="4" t="s">
        <v>12739</v>
      </c>
      <c r="B10130" s="4" t="s">
        <v>12740</v>
      </c>
      <c r="C10130" s="5" t="str">
        <f>IFERROR(__xludf.DUMMYFUNCTION("GOOGLETRANSLATE(B10130,""en"",""it"")"),"L'uomo che indossa un maglione grigio suona la chitarra.")</f>
        <v>L'uomo che indossa un maglione grigio suona la chitarra.</v>
      </c>
    </row>
    <row r="10131">
      <c r="A10131" s="4" t="s">
        <v>12739</v>
      </c>
      <c r="B10131" s="4" t="s">
        <v>12741</v>
      </c>
      <c r="C10131" s="5" t="str">
        <f>IFERROR(__xludf.DUMMYFUNCTION("GOOGLETRANSLATE(B10131,""en"",""it"")"),"L'uomo guardò sulla chitarra.")</f>
        <v>L'uomo guardò sulla chitarra.</v>
      </c>
    </row>
    <row r="10132">
      <c r="A10132" s="4" t="s">
        <v>12739</v>
      </c>
      <c r="B10132" s="4" t="s">
        <v>12742</v>
      </c>
      <c r="C10132" s="5" t="str">
        <f>IFERROR(__xludf.DUMMYFUNCTION("GOOGLETRANSLATE(B10132,""en"",""it"")"),"L'uomo con la camicia blu suona la sua chitarra, poi colpisce i fili.")</f>
        <v>L'uomo con la camicia blu suona la sua chitarra, poi colpisce i fili.</v>
      </c>
    </row>
    <row r="10133">
      <c r="A10133" s="4" t="s">
        <v>12743</v>
      </c>
      <c r="B10133" s="4" t="s">
        <v>12744</v>
      </c>
      <c r="C10133" s="5" t="str">
        <f>IFERROR(__xludf.DUMMYFUNCTION("GOOGLETRANSLATE(B10133,""en"",""it"")"),"Due uomini sono seduti in una stanza di fronte a un braccio robotico.")</f>
        <v>Due uomini sono seduti in una stanza di fronte a un braccio robotico.</v>
      </c>
    </row>
    <row r="10134">
      <c r="A10134" s="4" t="s">
        <v>12743</v>
      </c>
      <c r="B10134" s="4" t="s">
        <v>12745</v>
      </c>
      <c r="C10134" s="5" t="str">
        <f>IFERROR(__xludf.DUMMYFUNCTION("GOOGLETRANSLATE(B10134,""en"",""it"")"),"Uno degli uomini sta usando un controller per far raccogliere il braccio una bottiglia.")</f>
        <v>Uno degli uomini sta usando un controller per far raccogliere il braccio una bottiglia.</v>
      </c>
    </row>
    <row r="10135">
      <c r="A10135" s="4" t="s">
        <v>12743</v>
      </c>
      <c r="B10135" s="4" t="s">
        <v>12746</v>
      </c>
      <c r="C10135" s="5" t="str">
        <f>IFERROR(__xludf.DUMMYFUNCTION("GOOGLETRANSLATE(B10135,""en"",""it"")"),"Il braccio porta la bottiglia sul viso dell'uomo, in modo da poter bere qualcosa.")</f>
        <v>Il braccio porta la bottiglia sul viso dell'uomo, in modo da poter bere qualcosa.</v>
      </c>
    </row>
    <row r="10136">
      <c r="A10136" s="4" t="s">
        <v>12743</v>
      </c>
      <c r="B10136" s="4" t="s">
        <v>12747</v>
      </c>
      <c r="C10136" s="5" t="str">
        <f>IFERROR(__xludf.DUMMYFUNCTION("GOOGLETRANSLATE(B10136,""en"",""it"")"),"Quindi il robot restituisce la bottiglia al tavolo.")</f>
        <v>Quindi il robot restituisce la bottiglia al tavolo.</v>
      </c>
    </row>
    <row r="10137">
      <c r="A10137" s="4" t="s">
        <v>12748</v>
      </c>
      <c r="B10137" s="4" t="s">
        <v>12749</v>
      </c>
      <c r="C10137" s="5" t="str">
        <f>IFERROR(__xludf.DUMMYFUNCTION("GOOGLETRANSLATE(B10137,""en"",""it"")"),"Gli artisti cantano e ballerini su una fase di concerto.")</f>
        <v>Gli artisti cantano e ballerini su una fase di concerto.</v>
      </c>
    </row>
    <row r="10138">
      <c r="A10138" s="4" t="s">
        <v>12748</v>
      </c>
      <c r="B10138" s="4" t="s">
        <v>12750</v>
      </c>
      <c r="C10138" s="5" t="str">
        <f>IFERROR(__xludf.DUMMYFUNCTION("GOOGLETRANSLATE(B10138,""en"",""it"")"),"Un artista si arrampica sulle scale.")</f>
        <v>Un artista si arrampica sulle scale.</v>
      </c>
    </row>
    <row r="10139">
      <c r="A10139" s="4" t="s">
        <v>12748</v>
      </c>
      <c r="B10139" s="4" t="s">
        <v>12751</v>
      </c>
      <c r="C10139" s="5" t="str">
        <f>IFERROR(__xludf.DUMMYFUNCTION("GOOGLETRANSLATE(B10139,""en"",""it"")"),"Diversi artisti rappresentano, gestiti e indicano il pubblico.")</f>
        <v>Diversi artisti rappresentano, gestiti e indicano il pubblico.</v>
      </c>
    </row>
    <row r="10140">
      <c r="A10140" s="4" t="s">
        <v>12748</v>
      </c>
      <c r="B10140" s="4" t="s">
        <v>12752</v>
      </c>
      <c r="C10140" s="5" t="str">
        <f>IFERROR(__xludf.DUMMYFUNCTION("GOOGLETRANSLATE(B10140,""en"",""it"")"),"Un'appagnamento si balla sul palco.")</f>
        <v>Un'appagnamento si balla sul palco.</v>
      </c>
    </row>
    <row r="10141">
      <c r="A10141" s="4" t="s">
        <v>12748</v>
      </c>
      <c r="B10141" s="4" t="s">
        <v>12753</v>
      </c>
      <c r="C10141" s="5" t="str">
        <f>IFERROR(__xludf.DUMMYFUNCTION("GOOGLETRANSLATE(B10141,""en"",""it"")"),"The Break Dancer si distese sul pavimento del palco.")</f>
        <v>The Break Dancer si distese sul pavimento del palco.</v>
      </c>
    </row>
    <row r="10142">
      <c r="A10142" s="4" t="s">
        <v>12748</v>
      </c>
      <c r="B10142" s="4" t="s">
        <v>12754</v>
      </c>
      <c r="C10142" s="5" t="str">
        <f>IFERROR(__xludf.DUMMYFUNCTION("GOOGLETRANSLATE(B10142,""en"",""it"")"),"Un artista alza la mano di Standing Break Dancer in aria.")</f>
        <v>Un artista alza la mano di Standing Break Dancer in aria.</v>
      </c>
    </row>
    <row r="10143">
      <c r="A10143" s="4" t="s">
        <v>12748</v>
      </c>
      <c r="B10143" s="4" t="s">
        <v>12755</v>
      </c>
      <c r="C10143" s="5" t="str">
        <f>IFERROR(__xludf.DUMMYFUNCTION("GOOGLETRANSLATE(B10143,""en"",""it"")"),"The Break Dancer dà un artista cinque.")</f>
        <v>The Break Dancer dà un artista cinque.</v>
      </c>
    </row>
    <row r="10144">
      <c r="A10144" s="4" t="s">
        <v>12748</v>
      </c>
      <c r="B10144" s="4" t="s">
        <v>12756</v>
      </c>
      <c r="C10144" s="5" t="str">
        <f>IFERROR(__xludf.DUMMYFUNCTION("GOOGLETRANSLATE(B10144,""en"",""it"")"),"Un artista si accovaccia e gesti.")</f>
        <v>Un artista si accovaccia e gesti.</v>
      </c>
    </row>
    <row r="10145">
      <c r="A10145" s="4" t="s">
        <v>12757</v>
      </c>
      <c r="B10145" s="4" t="s">
        <v>12758</v>
      </c>
      <c r="C10145" s="5" t="str">
        <f>IFERROR(__xludf.DUMMYFUNCTION("GOOGLETRANSLATE(B10145,""en"",""it"")"),"Un uomo salta giù da un ponte e il bungee salta.")</f>
        <v>Un uomo salta giù da un ponte e il bungee salta.</v>
      </c>
    </row>
    <row r="10146">
      <c r="A10146" s="4" t="s">
        <v>12757</v>
      </c>
      <c r="B10146" s="4" t="s">
        <v>12759</v>
      </c>
      <c r="C10146" s="5" t="str">
        <f>IFERROR(__xludf.DUMMYFUNCTION("GOOGLETRANSLATE(B10146,""en"",""it"")"),"Lo mostra risalire sulla sporgenza.")</f>
        <v>Lo mostra risalire sulla sporgenza.</v>
      </c>
    </row>
    <row r="10147">
      <c r="A10147" s="4" t="s">
        <v>12757</v>
      </c>
      <c r="B10147" s="4" t="s">
        <v>12760</v>
      </c>
      <c r="C10147" s="5" t="str">
        <f>IFERROR(__xludf.DUMMYFUNCTION("GOOGLETRANSLATE(B10147,""en"",""it"")"),"Salta di nuovo dal ponte.")</f>
        <v>Salta di nuovo dal ponte.</v>
      </c>
    </row>
    <row r="10148">
      <c r="A10148" s="4" t="s">
        <v>12761</v>
      </c>
      <c r="B10148" s="4" t="s">
        <v>12762</v>
      </c>
      <c r="C10148" s="5" t="str">
        <f>IFERROR(__xludf.DUMMYFUNCTION("GOOGLETRANSLATE(B10148,""en"",""it"")"),"Un uomo in un vestito da chef è in cucina.")</f>
        <v>Un uomo in un vestito da chef è in cucina.</v>
      </c>
    </row>
    <row r="10149">
      <c r="A10149" s="4" t="s">
        <v>12761</v>
      </c>
      <c r="B10149" s="4" t="s">
        <v>12763</v>
      </c>
      <c r="C10149" s="5" t="str">
        <f>IFERROR(__xludf.DUMMYFUNCTION("GOOGLETRANSLATE(B10149,""en"",""it"")"),"Ribalta qualcosa che si trova in una padella.")</f>
        <v>Ribalta qualcosa che si trova in una padella.</v>
      </c>
    </row>
    <row r="10150">
      <c r="A10150" s="4" t="s">
        <v>12761</v>
      </c>
      <c r="B10150" s="4" t="s">
        <v>12764</v>
      </c>
      <c r="C10150" s="5" t="str">
        <f>IFERROR(__xludf.DUMMYFUNCTION("GOOGLETRANSLATE(B10150,""en"",""it"")"),"Usa un cucchiaio per mescolare ciò che è nella padella.")</f>
        <v>Usa un cucchiaio per mescolare ciò che è nella padella.</v>
      </c>
    </row>
    <row r="10151">
      <c r="A10151" s="4" t="s">
        <v>12765</v>
      </c>
      <c r="B10151" s="4" t="s">
        <v>12766</v>
      </c>
      <c r="C10151" s="5" t="str">
        <f>IFERROR(__xludf.DUMMYFUNCTION("GOOGLETRANSLATE(B10151,""en"",""it"")"),"Un'introduzione arriva sullo schermo per un video sulla riproduzione del tennis.")</f>
        <v>Un'introduzione arriva sullo schermo per un video sulla riproduzione del tennis.</v>
      </c>
    </row>
    <row r="10152">
      <c r="A10152" s="4" t="s">
        <v>12765</v>
      </c>
      <c r="B10152" s="4" t="s">
        <v>12767</v>
      </c>
      <c r="C10152" s="5" t="str">
        <f>IFERROR(__xludf.DUMMYFUNCTION("GOOGLETRANSLATE(B10152,""en"",""it"")"),"E l'uomo inizia a parlare delle lezioni che insegnerà nel video.")</f>
        <v>E l'uomo inizia a parlare delle lezioni che insegnerà nel video.</v>
      </c>
    </row>
    <row r="10153">
      <c r="A10153" s="4" t="s">
        <v>12765</v>
      </c>
      <c r="B10153" s="4" t="s">
        <v>12768</v>
      </c>
      <c r="C10153" s="5" t="str">
        <f>IFERROR(__xludf.DUMMYFUNCTION("GOOGLETRANSLATE(B10153,""en"",""it"")"),"Oscilla la racchetta più volte per dimostrare una buona forma per oscillare la racchetta da tennis.")</f>
        <v>Oscilla la racchetta più volte per dimostrare una buona forma per oscillare la racchetta da tennis.</v>
      </c>
    </row>
    <row r="10154">
      <c r="A10154" s="4" t="s">
        <v>12765</v>
      </c>
      <c r="B10154" s="6" t="s">
        <v>12769</v>
      </c>
      <c r="C10154" s="5" t="str">
        <f>IFERROR(__xludf.DUMMYFUNCTION("GOOGLETRANSLATE(B10154,""en"",""it"")"),"Un altro uomo arriva sullo schermo ed esegue le diverse ali di tennis mentre l'altro uomo narra.")</f>
        <v>Un altro uomo arriva sullo schermo ed esegue le diverse ali di tennis mentre l'altro uomo narra.</v>
      </c>
    </row>
    <row r="10155">
      <c r="A10155" s="4" t="s">
        <v>12765</v>
      </c>
      <c r="B10155" s="4" t="s">
        <v>12770</v>
      </c>
      <c r="C10155" s="5" t="str">
        <f>IFERROR(__xludf.DUMMYFUNCTION("GOOGLETRANSLATE(B10155,""en"",""it"")"),"Al termine del video i crediti di chiusura vengono visualizzati sullo schermo.")</f>
        <v>Al termine del video i crediti di chiusura vengono visualizzati sullo schermo.</v>
      </c>
    </row>
    <row r="10156">
      <c r="A10156" s="4" t="s">
        <v>12771</v>
      </c>
      <c r="B10156" s="4" t="s">
        <v>12772</v>
      </c>
      <c r="C10156" s="5" t="str">
        <f>IFERROR(__xludf.DUMMYFUNCTION("GOOGLETRANSLATE(B10156,""en"",""it"")"),"Una donna viene vista dare il via a una palla in un campo di persone e poi tornare al piatto di casa.")</f>
        <v>Una donna viene vista dare il via a una palla in un campo di persone e poi tornare al piatto di casa.</v>
      </c>
    </row>
    <row r="10157">
      <c r="A10157" s="4" t="s">
        <v>12771</v>
      </c>
      <c r="B10157" s="4" t="s">
        <v>12773</v>
      </c>
      <c r="C10157" s="5" t="str">
        <f>IFERROR(__xludf.DUMMYFUNCTION("GOOGLETRANSLATE(B10157,""en"",""it"")"),"Quindi calcia di nuovo la palla mentre altri intorno alla sua corsa e afferrano la palla dal campo.")</f>
        <v>Quindi calcia di nuovo la palla mentre altri intorno alla sua corsa e afferrano la palla dal campo.</v>
      </c>
    </row>
    <row r="10158">
      <c r="A10158" s="4" t="s">
        <v>12774</v>
      </c>
      <c r="B10158" s="4" t="s">
        <v>12775</v>
      </c>
      <c r="C10158" s="5" t="str">
        <f>IFERROR(__xludf.DUMMYFUNCTION("GOOGLETRANSLATE(B10158,""en"",""it"")"),"Un primo piano viene mostrato da un'immagine su un telefono cellulare.")</f>
        <v>Un primo piano viene mostrato da un'immagine su un telefono cellulare.</v>
      </c>
    </row>
    <row r="10159">
      <c r="A10159" s="4" t="s">
        <v>12774</v>
      </c>
      <c r="B10159" s="4" t="s">
        <v>12776</v>
      </c>
      <c r="C10159" s="5" t="str">
        <f>IFERROR(__xludf.DUMMYFUNCTION("GOOGLETRANSLATE(B10159,""en"",""it"")"),"Una ginnasta maschile corre, lanciando avanti e indietro attraverso un tappetino.")</f>
        <v>Una ginnasta maschile corre, lanciando avanti e indietro attraverso un tappetino.</v>
      </c>
    </row>
    <row r="10160">
      <c r="A10160" s="4" t="s">
        <v>12774</v>
      </c>
      <c r="B10160" s="4" t="s">
        <v>12777</v>
      </c>
      <c r="C10160" s="5" t="str">
        <f>IFERROR(__xludf.DUMMYFUNCTION("GOOGLETRANSLATE(B10160,""en"",""it"")"),"Viene quindi mostrato di lanciarsi lontano in aria prima di stare davanti alla folla incoraggiante.")</f>
        <v>Viene quindi mostrato di lanciarsi lontano in aria prima di stare davanti alla folla incoraggiante.</v>
      </c>
    </row>
    <row r="10161">
      <c r="A10161" s="4" t="s">
        <v>12778</v>
      </c>
      <c r="B10161" s="4" t="s">
        <v>12779</v>
      </c>
      <c r="C10161" s="5" t="str">
        <f>IFERROR(__xludf.DUMMYFUNCTION("GOOGLETRANSLATE(B10161,""en"",""it"")"),"Due persone stanno lottando su un anello.")</f>
        <v>Due persone stanno lottando su un anello.</v>
      </c>
    </row>
    <row r="10162">
      <c r="A10162" s="4" t="s">
        <v>12778</v>
      </c>
      <c r="B10162" s="4" t="s">
        <v>12780</v>
      </c>
      <c r="C10162" s="5" t="str">
        <f>IFERROR(__xludf.DUMMYFUNCTION("GOOGLETRANSLATE(B10162,""en"",""it"")"),"Un arbitro è in piedi sul lato del ring guardandoli.")</f>
        <v>Un arbitro è in piedi sul lato del ring guardandoli.</v>
      </c>
    </row>
    <row r="10163">
      <c r="A10163" s="4" t="s">
        <v>12778</v>
      </c>
      <c r="B10163" s="4" t="s">
        <v>12781</v>
      </c>
      <c r="C10163" s="5" t="str">
        <f>IFERROR(__xludf.DUMMYFUNCTION("GOOGLETRANSLATE(B10163,""en"",""it"")"),"La folla dietro di loro è incoraggiante.")</f>
        <v>La folla dietro di loro è incoraggiante.</v>
      </c>
    </row>
    <row r="10164">
      <c r="A10164" s="4" t="s">
        <v>12782</v>
      </c>
      <c r="B10164" s="4" t="s">
        <v>12783</v>
      </c>
      <c r="C10164" s="5" t="str">
        <f>IFERROR(__xludf.DUMMYFUNCTION("GOOGLETRANSLATE(B10164,""en"",""it"")"),"Una ginnasta in un vestito rosa si estende prima di iniziare la routine.")</f>
        <v>Una ginnasta in un vestito rosa si estende prima di iniziare la routine.</v>
      </c>
    </row>
    <row r="10165">
      <c r="A10165" s="4" t="s">
        <v>12782</v>
      </c>
      <c r="B10165" s="4" t="s">
        <v>12784</v>
      </c>
      <c r="C10165" s="5" t="str">
        <f>IFERROR(__xludf.DUMMYFUNCTION("GOOGLETRANSLATE(B10165,""en"",""it"")"),"Salta sul raggio dell'equilibrio e si equilibra.")</f>
        <v>Salta sul raggio dell'equilibrio e si equilibra.</v>
      </c>
    </row>
    <row r="10166">
      <c r="A10166" s="4" t="s">
        <v>12782</v>
      </c>
      <c r="B10166" s="4" t="s">
        <v>12785</v>
      </c>
      <c r="C10166" s="5" t="str">
        <f>IFERROR(__xludf.DUMMYFUNCTION("GOOGLETRANSLATE(B10166,""en"",""it"")"),"Inizia la sua routine di raggio di equilibrio.")</f>
        <v>Inizia la sua routine di raggio di equilibrio.</v>
      </c>
    </row>
    <row r="10167">
      <c r="A10167" s="4" t="s">
        <v>12782</v>
      </c>
      <c r="B10167" s="4" t="s">
        <v>12786</v>
      </c>
      <c r="C10167" s="5" t="str">
        <f>IFERROR(__xludf.DUMMYFUNCTION("GOOGLETRANSLATE(B10167,""en"",""it"")"),"Fa diversi lanci e capriole.")</f>
        <v>Fa diversi lanci e capriole.</v>
      </c>
    </row>
    <row r="10168">
      <c r="A10168" s="4" t="s">
        <v>12782</v>
      </c>
      <c r="B10168" s="4" t="s">
        <v>12787</v>
      </c>
      <c r="C10168" s="5" t="str">
        <f>IFERROR(__xludf.DUMMYFUNCTION("GOOGLETRANSLATE(B10168,""en"",""it"")"),"Si sta preparando a smontare.")</f>
        <v>Si sta preparando a smontare.</v>
      </c>
    </row>
    <row r="10169">
      <c r="A10169" s="4" t="s">
        <v>12782</v>
      </c>
      <c r="B10169" s="4" t="s">
        <v>12788</v>
      </c>
      <c r="C10169" s="5" t="str">
        <f>IFERROR(__xludf.DUMMYFUNCTION("GOOGLETRANSLATE(B10169,""en"",""it"")"),"Si lancia più volte in aria durante il suo smontaggio e atterra perfettamente.")</f>
        <v>Si lancia più volte in aria durante il suo smontaggio e atterra perfettamente.</v>
      </c>
    </row>
    <row r="10170">
      <c r="A10170" s="4" t="s">
        <v>12789</v>
      </c>
      <c r="B10170" s="4" t="s">
        <v>12790</v>
      </c>
      <c r="C10170" s="5" t="str">
        <f>IFERROR(__xludf.DUMMYFUNCTION("GOOGLETRANSLATE(B10170,""en"",""it"")"),"Un uomo sta per una fila di siepi.")</f>
        <v>Un uomo sta per una fila di siepi.</v>
      </c>
    </row>
    <row r="10171">
      <c r="A10171" s="4" t="s">
        <v>12789</v>
      </c>
      <c r="B10171" s="4" t="s">
        <v>12791</v>
      </c>
      <c r="C10171" s="5" t="str">
        <f>IFERROR(__xludf.DUMMYFUNCTION("GOOGLETRANSLATE(B10171,""en"",""it"")"),"Quindi inizia a tagliarli con tene.")</f>
        <v>Quindi inizia a tagliarli con tene.</v>
      </c>
    </row>
    <row r="10172">
      <c r="A10172" s="4" t="s">
        <v>12789</v>
      </c>
      <c r="B10172" s="4" t="s">
        <v>12792</v>
      </c>
      <c r="C10172" s="5" t="str">
        <f>IFERROR(__xludf.DUMMYFUNCTION("GOOGLETRANSLATE(B10172,""en"",""it"")"),"Taglia la cima di un cespuglio.")</f>
        <v>Taglia la cima di un cespuglio.</v>
      </c>
    </row>
    <row r="10173">
      <c r="A10173" s="4" t="s">
        <v>12789</v>
      </c>
      <c r="B10173" s="4" t="s">
        <v>12793</v>
      </c>
      <c r="C10173" s="5" t="str">
        <f>IFERROR(__xludf.DUMMYFUNCTION("GOOGLETRANSLATE(B10173,""en"",""it"")"),"Vengono mostrati diversi cespugli curati.")</f>
        <v>Vengono mostrati diversi cespugli curati.</v>
      </c>
    </row>
    <row r="10174">
      <c r="A10174" s="4" t="s">
        <v>12794</v>
      </c>
      <c r="B10174" s="6" t="s">
        <v>12795</v>
      </c>
      <c r="C10174" s="5" t="str">
        <f>IFERROR(__xludf.DUMMYFUNCTION("GOOGLETRANSLATE(B10174,""en"",""it"")"),"Un ragazzo cinese si siede in una stanza sul pavimento con libri e giocattoli intorno a lui mentre guarda nella telecamera.")</f>
        <v>Un ragazzo cinese si siede in una stanza sul pavimento con libri e giocattoli intorno a lui mentre guarda nella telecamera.</v>
      </c>
    </row>
    <row r="10175">
      <c r="A10175" s="4" t="s">
        <v>12794</v>
      </c>
      <c r="B10175" s="6" t="s">
        <v>12796</v>
      </c>
      <c r="C10175" s="5" t="str">
        <f>IFERROR(__xludf.DUMMYFUNCTION("GOOGLETRANSLATE(B10175,""en"",""it"")"),"Il piccolo ragazzo cinese esce e inizia a suonare in un parco, divertendosi da solo mentre l'uomo della telecamera lo registra.")</f>
        <v>Il piccolo ragazzo cinese esce e inizia a suonare in un parco, divertendosi da solo mentre l'uomo della telecamera lo registra.</v>
      </c>
    </row>
    <row r="10176">
      <c r="A10176" s="4" t="s">
        <v>12794</v>
      </c>
      <c r="B10176" s="4" t="s">
        <v>12797</v>
      </c>
      <c r="C10176" s="5" t="str">
        <f>IFERROR(__xludf.DUMMYFUNCTION("GOOGLETRANSLATE(B10176,""en"",""it"")"),"Il ragazzo si scivola lungo la scivolata, saliva i gradini mentre sorride e si divertono.")</f>
        <v>Il ragazzo si scivola lungo la scivolata, saliva i gradini mentre sorride e si divertono.</v>
      </c>
    </row>
    <row r="10177">
      <c r="A10177" s="4" t="s">
        <v>12798</v>
      </c>
      <c r="B10177" s="4" t="s">
        <v>12799</v>
      </c>
      <c r="C10177" s="5" t="str">
        <f>IFERROR(__xludf.DUMMYFUNCTION("GOOGLETRANSLATE(B10177,""en"",""it"")"),"Vari colpi di persone sono mostrati seguiti da diversi scatti di bambini che saltano la corda.")</f>
        <v>Vari colpi di persone sono mostrati seguiti da diversi scatti di bambini che saltano la corda.</v>
      </c>
    </row>
    <row r="10178">
      <c r="A10178" s="4" t="s">
        <v>12798</v>
      </c>
      <c r="B10178" s="6" t="s">
        <v>12800</v>
      </c>
      <c r="C10178" s="5" t="str">
        <f>IFERROR(__xludf.DUMMYFUNCTION("GOOGLETRANSLATE(B10178,""en"",""it"")"),"Un uomo poi parla a vari bambini in campo e mostra più scatti dei bambini che saltano insieme.")</f>
        <v>Un uomo poi parla a vari bambini in campo e mostra più scatti dei bambini che saltano insieme.</v>
      </c>
    </row>
    <row r="10179">
      <c r="A10179" s="4" t="s">
        <v>12798</v>
      </c>
      <c r="B10179" s="6" t="s">
        <v>12801</v>
      </c>
      <c r="C10179" s="5" t="str">
        <f>IFERROR(__xludf.DUMMYFUNCTION("GOOGLETRANSLATE(B10179,""en"",""it"")"),"L'uomo quindi salta la corda mentre più bambini eseguono trucchi con le loro corde di salto e termina con l'uomo che parla con un altro maglione.")</f>
        <v>L'uomo quindi salta la corda mentre più bambini eseguono trucchi con le loro corde di salto e termina con l'uomo che parla con un altro maglione.</v>
      </c>
    </row>
    <row r="10180">
      <c r="A10180" s="4" t="s">
        <v>12802</v>
      </c>
      <c r="B10180" s="4" t="s">
        <v>12803</v>
      </c>
      <c r="C10180" s="5" t="str">
        <f>IFERROR(__xludf.DUMMYFUNCTION("GOOGLETRANSLATE(B10180,""en"",""it"")"),"Le auto vengono lavate in un autolavaggio.")</f>
        <v>Le auto vengono lavate in un autolavaggio.</v>
      </c>
    </row>
    <row r="10181">
      <c r="A10181" s="4" t="s">
        <v>12802</v>
      </c>
      <c r="B10181" s="4" t="s">
        <v>12804</v>
      </c>
      <c r="C10181" s="5" t="str">
        <f>IFERROR(__xludf.DUMMYFUNCTION("GOOGLETRANSLATE(B10181,""en"",""it"")"),"Un uomo con una camicia rossa parla con un uomo con una camicia nera.")</f>
        <v>Un uomo con una camicia rossa parla con un uomo con una camicia nera.</v>
      </c>
    </row>
    <row r="10182">
      <c r="A10182" s="4" t="s">
        <v>12802</v>
      </c>
      <c r="B10182" s="4" t="s">
        <v>12805</v>
      </c>
      <c r="C10182" s="5" t="str">
        <f>IFERROR(__xludf.DUMMYFUNCTION("GOOGLETRANSLATE(B10182,""en"",""it"")"),"L'auto sta attraversando un autolavaggio automatico.")</f>
        <v>L'auto sta attraversando un autolavaggio automatico.</v>
      </c>
    </row>
    <row r="10183">
      <c r="A10183" s="4" t="s">
        <v>12802</v>
      </c>
      <c r="B10183" s="4" t="s">
        <v>12806</v>
      </c>
      <c r="C10183" s="5" t="str">
        <f>IFERROR(__xludf.DUMMYFUNCTION("GOOGLETRANSLATE(B10183,""en"",""it"")"),"Qualcuno ora sta strofinando un'auto per lavarla.")</f>
        <v>Qualcuno ora sta strofinando un'auto per lavarla.</v>
      </c>
    </row>
    <row r="10184">
      <c r="A10184" s="4" t="s">
        <v>12802</v>
      </c>
      <c r="B10184" s="4" t="s">
        <v>12807</v>
      </c>
      <c r="C10184" s="5" t="str">
        <f>IFERROR(__xludf.DUMMYFUNCTION("GOOGLETRANSLATE(B10184,""en"",""it"")"),"Entrano in un garage e ispezionano le macchine.")</f>
        <v>Entrano in un garage e ispezionano le macchine.</v>
      </c>
    </row>
    <row r="10185">
      <c r="A10185" s="4" t="s">
        <v>12808</v>
      </c>
      <c r="B10185" s="4" t="s">
        <v>12809</v>
      </c>
      <c r="C10185" s="5" t="str">
        <f>IFERROR(__xludf.DUMMYFUNCTION("GOOGLETRANSLATE(B10185,""en"",""it"")"),"Quattro uomini in studio stanno suonando diversi strumenti.")</f>
        <v>Quattro uomini in studio stanno suonando diversi strumenti.</v>
      </c>
    </row>
    <row r="10186">
      <c r="A10186" s="4" t="s">
        <v>12808</v>
      </c>
      <c r="B10186" s="4" t="s">
        <v>12810</v>
      </c>
      <c r="C10186" s="5" t="str">
        <f>IFERROR(__xludf.DUMMYFUNCTION("GOOGLETRANSLATE(B10186,""en"",""it"")"),"L'uomo con una grande chitarra canta mentre suona la sua chitarra.")</f>
        <v>L'uomo con una grande chitarra canta mentre suona la sua chitarra.</v>
      </c>
    </row>
    <row r="10187">
      <c r="A10187" s="4" t="s">
        <v>12808</v>
      </c>
      <c r="B10187" s="6" t="s">
        <v>12811</v>
      </c>
      <c r="C10187" s="5" t="str">
        <f>IFERROR(__xludf.DUMMYFUNCTION("GOOGLETRANSLATE(B10187,""en"",""it"")"),"L'uomo che suonava l'armonica smise di suonare e guardò l'uomo cantando, poi continua a suonare la sua armonica.")</f>
        <v>L'uomo che suonava l'armonica smise di suonare e guardò l'uomo cantando, poi continua a suonare la sua armonica.</v>
      </c>
    </row>
    <row r="10188">
      <c r="A10188" s="4" t="s">
        <v>12808</v>
      </c>
      <c r="B10188" s="4" t="s">
        <v>12812</v>
      </c>
      <c r="C10188" s="5" t="str">
        <f>IFERROR(__xludf.DUMMYFUNCTION("GOOGLETRANSLATE(B10188,""en"",""it"")"),"Due uomini dietro i quattro uomini suonano strumenti.")</f>
        <v>Due uomini dietro i quattro uomini suonano strumenti.</v>
      </c>
    </row>
    <row r="10189">
      <c r="A10189" s="4" t="s">
        <v>12808</v>
      </c>
      <c r="B10189" s="4" t="s">
        <v>12813</v>
      </c>
      <c r="C10189" s="5" t="str">
        <f>IFERROR(__xludf.DUMMYFUNCTION("GOOGLETRANSLATE(B10189,""en"",""it"")"),"L'uomo con la chitarra tira fuori un panno bianco e lo saluta.")</f>
        <v>L'uomo con la chitarra tira fuori un panno bianco e lo saluta.</v>
      </c>
    </row>
    <row r="10190">
      <c r="A10190" s="4" t="s">
        <v>12814</v>
      </c>
      <c r="B10190" s="4" t="s">
        <v>12815</v>
      </c>
      <c r="C10190" s="5" t="str">
        <f>IFERROR(__xludf.DUMMYFUNCTION("GOOGLETRANSLATE(B10190,""en"",""it"")"),"Una ragazza si trova in una stanza con un maglione grigio, collant neri e scarpe rosa.")</f>
        <v>Una ragazza si trova in una stanza con un maglione grigio, collant neri e scarpe rosa.</v>
      </c>
    </row>
    <row r="10191">
      <c r="A10191" s="4" t="s">
        <v>12814</v>
      </c>
      <c r="B10191" s="4" t="s">
        <v>12816</v>
      </c>
      <c r="C10191" s="5" t="str">
        <f>IFERROR(__xludf.DUMMYFUNCTION("GOOGLETRANSLATE(B10191,""en"",""it"")"),"Nella sua mano ha un bastoncino di croquet e sta armeggiando con la pallina.")</f>
        <v>Nella sua mano ha un bastoncino di croquet e sta armeggiando con la pallina.</v>
      </c>
    </row>
    <row r="10192">
      <c r="A10192" s="4" t="s">
        <v>12814</v>
      </c>
      <c r="B10192" s="6" t="s">
        <v>12817</v>
      </c>
      <c r="C10192" s="5" t="str">
        <f>IFERROR(__xludf.DUMMYFUNCTION("GOOGLETRANSLATE(B10192,""en"",""it"")"),"Lo fa per un bel po 'di volta tenerlo fermo fino a quando alla fine cammini con la palla e termina il video.")</f>
        <v>Lo fa per un bel po 'di volta tenerlo fermo fino a quando alla fine cammini con la palla e termina il video.</v>
      </c>
    </row>
    <row r="10193">
      <c r="A10193" s="4" t="s">
        <v>12818</v>
      </c>
      <c r="B10193" s="4" t="s">
        <v>1251</v>
      </c>
      <c r="C10193" s="5" t="str">
        <f>IFERROR(__xludf.DUMMYFUNCTION("GOOGLETRANSLATE(B10193,""en"",""it"")"),"Vengono visualizzati i crediti della clip.")</f>
        <v>Vengono visualizzati i crediti della clip.</v>
      </c>
    </row>
    <row r="10194">
      <c r="A10194" s="4" t="s">
        <v>12818</v>
      </c>
      <c r="B10194" s="4" t="s">
        <v>12819</v>
      </c>
      <c r="C10194" s="5" t="str">
        <f>IFERROR(__xludf.DUMMYFUNCTION("GOOGLETRANSLATE(B10194,""en"",""it"")"),"Un ragazzo in piedi in un bagno parla e gestisce.")</f>
        <v>Un ragazzo in piedi in un bagno parla e gestisce.</v>
      </c>
    </row>
    <row r="10195">
      <c r="A10195" s="4" t="s">
        <v>12818</v>
      </c>
      <c r="B10195" s="4" t="s">
        <v>12820</v>
      </c>
      <c r="C10195" s="5" t="str">
        <f>IFERROR(__xludf.DUMMYFUNCTION("GOOGLETRANSLATE(B10195,""en"",""it"")"),"Viene mostrata una persona che si rade il mento.")</f>
        <v>Viene mostrata una persona che si rade il mento.</v>
      </c>
    </row>
    <row r="10196">
      <c r="A10196" s="4" t="s">
        <v>12818</v>
      </c>
      <c r="B10196" s="4" t="s">
        <v>12821</v>
      </c>
      <c r="C10196" s="5" t="str">
        <f>IFERROR(__xludf.DUMMYFUNCTION("GOOGLETRANSLATE(B10196,""en"",""it"")"),"Un ragazzo mette la crema da un tubo blu nel palmo e se la applica al mento.")</f>
        <v>Un ragazzo mette la crema da un tubo blu nel palmo e se la applica al mento.</v>
      </c>
    </row>
    <row r="10197">
      <c r="A10197" s="4" t="s">
        <v>12818</v>
      </c>
      <c r="B10197" s="4" t="s">
        <v>12822</v>
      </c>
      <c r="C10197" s="5" t="str">
        <f>IFERROR(__xludf.DUMMYFUNCTION("GOOGLETRANSLATE(B10197,""en"",""it"")"),"Un ragazzo mette il gel da un tubo blu nel palmo e lo applica al mento.")</f>
        <v>Un ragazzo mette il gel da un tubo blu nel palmo e lo applica al mento.</v>
      </c>
    </row>
    <row r="10198">
      <c r="A10198" s="4" t="s">
        <v>12818</v>
      </c>
      <c r="B10198" s="4" t="s">
        <v>12823</v>
      </c>
      <c r="C10198" s="5" t="str">
        <f>IFERROR(__xludf.DUMMYFUNCTION("GOOGLETRANSLATE(B10198,""en"",""it"")"),"Un ragazzo si lava la faccia.")</f>
        <v>Un ragazzo si lava la faccia.</v>
      </c>
    </row>
    <row r="10199">
      <c r="A10199" s="4" t="s">
        <v>12818</v>
      </c>
      <c r="B10199" s="4" t="s">
        <v>573</v>
      </c>
      <c r="C10199" s="5" t="str">
        <f>IFERROR(__xludf.DUMMYFUNCTION("GOOGLETRANSLATE(B10199,""en"",""it"")"),"Vengono visualizzati i crediti del video.")</f>
        <v>Vengono visualizzati i crediti del video.</v>
      </c>
    </row>
    <row r="10200">
      <c r="A10200" s="4" t="s">
        <v>12824</v>
      </c>
      <c r="B10200" s="4" t="s">
        <v>12825</v>
      </c>
      <c r="C10200" s="5" t="str">
        <f>IFERROR(__xludf.DUMMYFUNCTION("GOOGLETRANSLATE(B10200,""en"",""it"")"),"Una donna parla alla telecamera mentre le ragazze si trovano dietro di lei.")</f>
        <v>Una donna parla alla telecamera mentre le ragazze si trovano dietro di lei.</v>
      </c>
    </row>
    <row r="10201">
      <c r="A10201" s="4" t="s">
        <v>12824</v>
      </c>
      <c r="B10201" s="6" t="s">
        <v>12826</v>
      </c>
      <c r="C10201" s="5" t="str">
        <f>IFERROR(__xludf.DUMMYFUNCTION("GOOGLETRANSLATE(B10201,""en"",""it"")"),"La donna continua a parlare con la telecamera mentre dimostrano movimenti di danza individuali, come seguono le ragazze.")</f>
        <v>La donna continua a parlare con la telecamera mentre dimostrano movimenti di danza individuali, come seguono le ragazze.</v>
      </c>
    </row>
    <row r="10202">
      <c r="A10202" s="4" t="s">
        <v>12824</v>
      </c>
      <c r="B10202" s="4" t="s">
        <v>12827</v>
      </c>
      <c r="C10202" s="5" t="str">
        <f>IFERROR(__xludf.DUMMYFUNCTION("GOOGLETRANSLATE(B10202,""en"",""it"")"),"La donna guida le ragazze a praticare l'intera sequenza.")</f>
        <v>La donna guida le ragazze a praticare l'intera sequenza.</v>
      </c>
    </row>
    <row r="10203">
      <c r="A10203" s="4" t="s">
        <v>12824</v>
      </c>
      <c r="B10203" s="4" t="s">
        <v>12828</v>
      </c>
      <c r="C10203" s="5" t="str">
        <f>IFERROR(__xludf.DUMMYFUNCTION("GOOGLETRANSLATE(B10203,""en"",""it"")"),"Le ragazze eseguono la sequenza da sole.")</f>
        <v>Le ragazze eseguono la sequenza da sole.</v>
      </c>
    </row>
    <row r="10204">
      <c r="A10204" s="4" t="s">
        <v>12829</v>
      </c>
      <c r="B10204" s="4" t="s">
        <v>12830</v>
      </c>
      <c r="C10204" s="5" t="str">
        <f>IFERROR(__xludf.DUMMYFUNCTION("GOOGLETRANSLATE(B10204,""en"",""it"")"),"Un giocatore di una squadra di lettura esegue un tiro gratuito sul goal di calcio e i giocatori segna.")</f>
        <v>Un giocatore di una squadra di lettura esegue un tiro gratuito sul goal di calcio e i giocatori segna.</v>
      </c>
    </row>
    <row r="10205">
      <c r="A10205" s="4" t="s">
        <v>12829</v>
      </c>
      <c r="B10205" s="4" t="s">
        <v>12831</v>
      </c>
      <c r="C10205" s="5" t="str">
        <f>IFERROR(__xludf.DUMMYFUNCTION("GOOGLETRANSLATE(B10205,""en"",""it"")"),"Ancora una volta un giocatore che indossa punteggi della maglietta rossa e i giocatori saltano e si abbracciano per festeggiare.")</f>
        <v>Ancora una volta un giocatore che indossa punteggi della maglietta rossa e i giocatori saltano e si abbracciano per festeggiare.</v>
      </c>
    </row>
    <row r="10206">
      <c r="A10206" s="4" t="s">
        <v>12829</v>
      </c>
      <c r="B10206" s="4" t="s">
        <v>12832</v>
      </c>
      <c r="C10206" s="5" t="str">
        <f>IFERROR(__xludf.DUMMYFUNCTION("GOOGLETRANSLATE(B10206,""en"",""it"")"),"Quindi, un giocatore con punteggi di magliette bianche e le squadre continuano a giocare.")</f>
        <v>Quindi, un giocatore con punteggi di magliette bianche e le squadre continuano a giocare.</v>
      </c>
    </row>
    <row r="10207">
      <c r="A10207" s="4" t="s">
        <v>12829</v>
      </c>
      <c r="B10207" s="4" t="s">
        <v>12833</v>
      </c>
      <c r="C10207" s="5" t="str">
        <f>IFERROR(__xludf.DUMMYFUNCTION("GOOGLETRANSLATE(B10207,""en"",""it"")"),"La squadra rossa segna di nuovo e le persone festeggiano.")</f>
        <v>La squadra rossa segna di nuovo e le persone festeggiano.</v>
      </c>
    </row>
    <row r="10208">
      <c r="A10208" s="4" t="s">
        <v>12834</v>
      </c>
      <c r="B10208" s="6" t="s">
        <v>12835</v>
      </c>
      <c r="C10208" s="5" t="str">
        <f>IFERROR(__xludf.DUMMYFUNCTION("GOOGLETRANSLATE(B10208,""en"",""it"")"),"La donna corre per fare un salto in alto e iniziare a camminare e la donna fa lo stesso salto in alto 3 volte.")</f>
        <v>La donna corre per fare un salto in alto e iniziare a camminare e la donna fa lo stesso salto in alto 3 volte.</v>
      </c>
    </row>
    <row r="10209">
      <c r="A10209" s="4" t="s">
        <v>12834</v>
      </c>
      <c r="B10209" s="4" t="s">
        <v>12836</v>
      </c>
      <c r="C10209" s="5" t="str">
        <f>IFERROR(__xludf.DUMMYFUNCTION("GOOGLETRANSLATE(B10209,""en"",""it"")"),"La donna perde i capelli si siede sul pavimento e scende le scarpe.")</f>
        <v>La donna perde i capelli si siede sul pavimento e scende le scarpe.</v>
      </c>
    </row>
    <row r="10210">
      <c r="A10210" s="4" t="s">
        <v>12837</v>
      </c>
      <c r="B10210" s="4" t="s">
        <v>12838</v>
      </c>
      <c r="C10210" s="5" t="str">
        <f>IFERROR(__xludf.DUMMYFUNCTION("GOOGLETRANSLATE(B10210,""en"",""it"")"),"Le persone si trovano su una corda allentata e la attraversano su una spiaggia.")</f>
        <v>Le persone si trovano su una corda allentata e la attraversano su una spiaggia.</v>
      </c>
    </row>
    <row r="10211">
      <c r="A10211" s="4" t="s">
        <v>12837</v>
      </c>
      <c r="B10211" s="4" t="s">
        <v>12839</v>
      </c>
      <c r="C10211" s="5" t="str">
        <f>IFERROR(__xludf.DUMMYFUNCTION("GOOGLETRANSLATE(B10211,""en"",""it"")"),"Un uomo cade nella terra.")</f>
        <v>Un uomo cade nella terra.</v>
      </c>
    </row>
    <row r="10212">
      <c r="A10212" s="4" t="s">
        <v>12837</v>
      </c>
      <c r="B10212" s="4" t="s">
        <v>12840</v>
      </c>
      <c r="C10212" s="5" t="str">
        <f>IFERROR(__xludf.DUMMYFUNCTION("GOOGLETRANSLATE(B10212,""en"",""it"")"),"Un uomo si toglie la camicia e la getta sulla sabbia.")</f>
        <v>Un uomo si toglie la camicia e la getta sulla sabbia.</v>
      </c>
    </row>
    <row r="10213">
      <c r="A10213" s="4" t="s">
        <v>12837</v>
      </c>
      <c r="B10213" s="4" t="s">
        <v>12841</v>
      </c>
      <c r="C10213" s="5" t="str">
        <f>IFERROR(__xludf.DUMMYFUNCTION("GOOGLETRANSLATE(B10213,""en"",""it"")"),"Un uomo continua a fare trucchi sulla corda allentata.")</f>
        <v>Un uomo continua a fare trucchi sulla corda allentata.</v>
      </c>
    </row>
    <row r="10214">
      <c r="A10214" s="4" t="s">
        <v>12842</v>
      </c>
      <c r="B10214" s="4" t="s">
        <v>12843</v>
      </c>
      <c r="C10214" s="5" t="str">
        <f>IFERROR(__xludf.DUMMYFUNCTION("GOOGLETRANSLATE(B10214,""en"",""it"")"),"I personaggi di Dragon Ball Z si stanno urlando l'uno contro l'altro in piedi tra loro.")</f>
        <v>I personaggi di Dragon Ball Z si stanno urlando l'uno contro l'altro in piedi tra loro.</v>
      </c>
    </row>
    <row r="10215">
      <c r="A10215" s="4" t="s">
        <v>12842</v>
      </c>
      <c r="B10215" s="4" t="s">
        <v>12844</v>
      </c>
      <c r="C10215" s="5" t="str">
        <f>IFERROR(__xludf.DUMMYFUNCTION("GOOGLETRANSLATE(B10215,""en"",""it"")"),"Iniziano a suonare le forbici di carta Rock per vedere chi vincerà.")</f>
        <v>Iniziano a suonare le forbici di carta Rock per vedere chi vincerà.</v>
      </c>
    </row>
    <row r="10216">
      <c r="A10216" s="4" t="s">
        <v>12842</v>
      </c>
      <c r="B10216" s="4" t="s">
        <v>12845</v>
      </c>
      <c r="C10216" s="5" t="str">
        <f>IFERROR(__xludf.DUMMYFUNCTION("GOOGLETRANSLATE(B10216,""en"",""it"")"),"Hanno osservatori in piedi molto stressati su come finirà.")</f>
        <v>Hanno osservatori in piedi molto stressati su come finirà.</v>
      </c>
    </row>
    <row r="10217">
      <c r="A10217" s="4" t="s">
        <v>12842</v>
      </c>
      <c r="B10217" s="4" t="s">
        <v>12846</v>
      </c>
      <c r="C10217" s="5" t="str">
        <f>IFERROR(__xludf.DUMMYFUNCTION("GOOGLETRANSLATE(B10217,""en"",""it"")"),"Continuano a suonare e uno degli altri personaggi inizia a arrabbiarsi davvero.")</f>
        <v>Continuano a suonare e uno degli altri personaggi inizia a arrabbiarsi davvero.</v>
      </c>
    </row>
    <row r="10218">
      <c r="A10218" s="4" t="s">
        <v>12847</v>
      </c>
      <c r="B10218" s="4" t="s">
        <v>12848</v>
      </c>
      <c r="C10218" s="5" t="str">
        <f>IFERROR(__xludf.DUMMYFUNCTION("GOOGLETRANSLATE(B10218,""en"",""it"")"),"Due donne sono in piedi dietro una giovane donna che è seduta su una sedia a farsi i capelli.")</f>
        <v>Due donne sono in piedi dietro una giovane donna che è seduta su una sedia a farsi i capelli.</v>
      </c>
    </row>
    <row r="10219">
      <c r="A10219" s="4" t="s">
        <v>12847</v>
      </c>
      <c r="B10219" s="4" t="s">
        <v>12849</v>
      </c>
      <c r="C10219" s="5" t="str">
        <f>IFERROR(__xludf.DUMMYFUNCTION("GOOGLETRANSLATE(B10219,""en"",""it"")"),"Il video inizia con una pagina del titolo che mostra che sta per essere fatto un video di un versatile cucito.")</f>
        <v>Il video inizia con una pagina del titolo che mostra che sta per essere fatto un video di un versatile cucito.</v>
      </c>
    </row>
    <row r="10220">
      <c r="A10220" s="4" t="s">
        <v>12847</v>
      </c>
      <c r="B10220" s="6" t="s">
        <v>12850</v>
      </c>
      <c r="C10220" s="5" t="str">
        <f>IFERROR(__xludf.DUMMYFUNCTION("GOOGLETRANSLATE(B10220,""en"",""it"")"),"Prima immagine, il motivo della treccia viene mostrato sulla testa delle persone mentre alcuni dei suoi capelli vengono lasciati fuori dal perimetro della sua testa.")</f>
        <v>Prima immagine, il motivo della treccia viene mostrato sulla testa delle persone mentre alcuni dei suoi capelli vengono lasciati fuori dal perimetro della sua testa.</v>
      </c>
    </row>
    <row r="10221">
      <c r="A10221" s="4" t="s">
        <v>12847</v>
      </c>
      <c r="B10221" s="4" t="s">
        <v>12851</v>
      </c>
      <c r="C10221" s="5" t="str">
        <f>IFERROR(__xludf.DUMMYFUNCTION("GOOGLETRANSLATE(B10221,""en"",""it"")"),"Una signora poi afferra la trama, un ago e inizia a cucire tra i capelli.")</f>
        <v>Una signora poi afferra la trama, un ago e inizia a cucire tra i capelli.</v>
      </c>
    </row>
    <row r="10222">
      <c r="A10222" s="4" t="s">
        <v>12847</v>
      </c>
      <c r="B10222" s="6" t="s">
        <v>12852</v>
      </c>
      <c r="C10222" s="5" t="str">
        <f>IFERROR(__xludf.DUMMYFUNCTION("GOOGLETRANSLATE(B10222,""en"",""it"")"),"Una volta che mostra come è fissato il cucito, il prodotto finito viene mostrato e la ragazza ora ha i capelli ricci lunghi.")</f>
        <v>Una volta che mostra come è fissato il cucito, il prodotto finito viene mostrato e la ragazza ora ha i capelli ricci lunghi.</v>
      </c>
    </row>
    <row r="10223">
      <c r="A10223" s="4" t="s">
        <v>12853</v>
      </c>
      <c r="B10223" s="4" t="s">
        <v>12854</v>
      </c>
      <c r="C10223" s="5" t="str">
        <f>IFERROR(__xludf.DUMMYFUNCTION("GOOGLETRANSLATE(B10223,""en"",""it"")"),"Un uomo è in piedi e parla in palestra alla telecamera.")</f>
        <v>Un uomo è in piedi e parla in palestra alla telecamera.</v>
      </c>
    </row>
    <row r="10224">
      <c r="A10224" s="4" t="s">
        <v>12853</v>
      </c>
      <c r="B10224" s="4" t="s">
        <v>12855</v>
      </c>
      <c r="C10224" s="5" t="str">
        <f>IFERROR(__xludf.DUMMYFUNCTION("GOOGLETRANSLATE(B10224,""en"",""it"")"),"Si trova sulla superficie aperta, ballando avanti e indietro.")</f>
        <v>Si trova sulla superficie aperta, ballando avanti e indietro.</v>
      </c>
    </row>
    <row r="10225">
      <c r="A10225" s="4" t="s">
        <v>12853</v>
      </c>
      <c r="B10225" s="4" t="s">
        <v>12856</v>
      </c>
      <c r="C10225" s="5" t="str">
        <f>IFERROR(__xludf.DUMMYFUNCTION("GOOGLETRANSLATE(B10225,""en"",""it"")"),"Dimostra diverse mosse mentre procede.")</f>
        <v>Dimostra diverse mosse mentre procede.</v>
      </c>
    </row>
    <row r="10226">
      <c r="A10226" s="4" t="s">
        <v>12857</v>
      </c>
      <c r="B10226" s="4" t="s">
        <v>12858</v>
      </c>
      <c r="C10226" s="5" t="str">
        <f>IFERROR(__xludf.DUMMYFUNCTION("GOOGLETRANSLATE(B10226,""en"",""it"")"),"Una donna in abito marrone chiaro sta parlando.")</f>
        <v>Una donna in abito marrone chiaro sta parlando.</v>
      </c>
    </row>
    <row r="10227">
      <c r="A10227" s="4" t="s">
        <v>12857</v>
      </c>
      <c r="B10227" s="4" t="s">
        <v>12859</v>
      </c>
      <c r="C10227" s="5" t="str">
        <f>IFERROR(__xludf.DUMMYFUNCTION("GOOGLETRANSLATE(B10227,""en"",""it"")"),"Un uomo con una camicia verde sta giocando a tennis mentre è seduto a terra.")</f>
        <v>Un uomo con una camicia verde sta giocando a tennis mentre è seduto a terra.</v>
      </c>
    </row>
    <row r="10228">
      <c r="A10228" s="4" t="s">
        <v>12857</v>
      </c>
      <c r="B10228" s="4" t="s">
        <v>12860</v>
      </c>
      <c r="C10228" s="5" t="str">
        <f>IFERROR(__xludf.DUMMYFUNCTION("GOOGLETRANSLATE(B10228,""en"",""it"")"),"La gente cammina lungo un marciapiede.")</f>
        <v>La gente cammina lungo un marciapiede.</v>
      </c>
    </row>
    <row r="10229">
      <c r="A10229" s="4" t="s">
        <v>12857</v>
      </c>
      <c r="B10229" s="4" t="s">
        <v>12861</v>
      </c>
      <c r="C10229" s="5" t="str">
        <f>IFERROR(__xludf.DUMMYFUNCTION("GOOGLETRANSLATE(B10229,""en"",""it"")"),"L'uomo nella camicia verde sta parlando in un microfono.")</f>
        <v>L'uomo nella camicia verde sta parlando in un microfono.</v>
      </c>
    </row>
    <row r="10230">
      <c r="A10230" s="4" t="s">
        <v>12857</v>
      </c>
      <c r="B10230" s="4" t="s">
        <v>12862</v>
      </c>
      <c r="C10230" s="5" t="str">
        <f>IFERROR(__xludf.DUMMYFUNCTION("GOOGLETRANSLATE(B10230,""en"",""it"")"),"Un uomo con una camicia viola parla quindi nel microfono.")</f>
        <v>Un uomo con una camicia viola parla quindi nel microfono.</v>
      </c>
    </row>
    <row r="10231">
      <c r="A10231" s="4" t="s">
        <v>12857</v>
      </c>
      <c r="B10231" s="4" t="s">
        <v>12863</v>
      </c>
      <c r="C10231" s="5" t="str">
        <f>IFERROR(__xludf.DUMMYFUNCTION("GOOGLETRANSLATE(B10231,""en"",""it"")"),"L'uomo con camicia verde continua a suonare il tennis.")</f>
        <v>L'uomo con camicia verde continua a suonare il tennis.</v>
      </c>
    </row>
    <row r="10232">
      <c r="A10232" s="4" t="s">
        <v>12864</v>
      </c>
      <c r="B10232" s="4" t="s">
        <v>12865</v>
      </c>
      <c r="C10232" s="5" t="str">
        <f>IFERROR(__xludf.DUMMYFUNCTION("GOOGLETRANSLATE(B10232,""en"",""it"")"),"Una ginnasta che indossa un'uniforme rossa e bianca si prepara a montare un cavallo da pomolo per il suo esercizio.")</f>
        <v>Una ginnasta che indossa un'uniforme rossa e bianca si prepara a montare un cavallo da pomolo per il suo esercizio.</v>
      </c>
    </row>
    <row r="10233">
      <c r="A10233" s="4" t="s">
        <v>12864</v>
      </c>
      <c r="B10233" s="4" t="s">
        <v>12866</v>
      </c>
      <c r="C10233" s="5" t="str">
        <f>IFERROR(__xludf.DUMMYFUNCTION("GOOGLETRANSLATE(B10233,""en"",""it"")"),"La ginnasta salta sul cavallo di pomel e inizia con le mosse di forbice.")</f>
        <v>La ginnasta salta sul cavallo di pomel e inizia con le mosse di forbice.</v>
      </c>
    </row>
    <row r="10234">
      <c r="A10234" s="4" t="s">
        <v>12864</v>
      </c>
      <c r="B10234" s="4" t="s">
        <v>12867</v>
      </c>
      <c r="C10234" s="5" t="str">
        <f>IFERROR(__xludf.DUMMYFUNCTION("GOOGLETRANSLATE(B10234,""en"",""it"")"),"La ginnasta si sposta in un esercizio rotante mentre si trova sul cavallo.")</f>
        <v>La ginnasta si sposta in un esercizio rotante mentre si trova sul cavallo.</v>
      </c>
    </row>
    <row r="10235">
      <c r="A10235" s="4" t="s">
        <v>12864</v>
      </c>
      <c r="B10235" s="4" t="s">
        <v>12868</v>
      </c>
      <c r="C10235" s="5" t="str">
        <f>IFERROR(__xludf.DUMMYFUNCTION("GOOGLETRANSLATE(B10235,""en"",""it"")"),"La ginnasta si muove in un supporto a mano mentre si cammina con le mani.")</f>
        <v>La ginnasta si muove in un supporto a mano mentre si cammina con le mani.</v>
      </c>
    </row>
    <row r="10236">
      <c r="A10236" s="4" t="s">
        <v>12864</v>
      </c>
      <c r="B10236" s="4" t="s">
        <v>12869</v>
      </c>
      <c r="C10236" s="5" t="str">
        <f>IFERROR(__xludf.DUMMYFUNCTION("GOOGLETRANSLATE(B10236,""en"",""it"")"),"La ginnasta va dalla mano al suo smontato.")</f>
        <v>La ginnasta va dalla mano al suo smontato.</v>
      </c>
    </row>
    <row r="10237">
      <c r="A10237" s="4" t="s">
        <v>12870</v>
      </c>
      <c r="B10237" s="6" t="s">
        <v>12871</v>
      </c>
      <c r="C10237" s="5" t="str">
        <f>IFERROR(__xludf.DUMMYFUNCTION("GOOGLETRANSLATE(B10237,""en"",""it"")"),"Un uomo è in palestra in stretto, si piega per raccoglie un peso sopra la testa e lo fa cadere indietro.")</f>
        <v>Un uomo è in palestra in stretto, si piega per raccoglie un peso sopra la testa e lo fa cadere indietro.</v>
      </c>
    </row>
    <row r="10238">
      <c r="A10238" s="4" t="s">
        <v>12870</v>
      </c>
      <c r="B10238" s="4" t="s">
        <v>12872</v>
      </c>
      <c r="C10238" s="5" t="str">
        <f>IFERROR(__xludf.DUMMYFUNCTION("GOOGLETRANSLATE(B10238,""en"",""it"")"),"Cammina indietro e si allenta prima di tornare indietro e farlo di nuovo aggiungendo più peso.")</f>
        <v>Cammina indietro e si allenta prima di tornare indietro e farlo di nuovo aggiungendo più peso.</v>
      </c>
    </row>
    <row r="10239">
      <c r="A10239" s="4" t="s">
        <v>12870</v>
      </c>
      <c r="B10239" s="4" t="s">
        <v>12873</v>
      </c>
      <c r="C10239" s="5" t="str">
        <f>IFERROR(__xludf.DUMMYFUNCTION("GOOGLETRANSLATE(B10239,""en"",""it"")"),"Lo fa più volte aggiungendo sempre più peso al rack.")</f>
        <v>Lo fa più volte aggiungendo sempre più peso al rack.</v>
      </c>
    </row>
    <row r="10240">
      <c r="A10240" s="4" t="s">
        <v>12870</v>
      </c>
      <c r="B10240" s="4" t="s">
        <v>12874</v>
      </c>
      <c r="C10240" s="5" t="str">
        <f>IFERROR(__xludf.DUMMYFUNCTION("GOOGLETRANSLATE(B10240,""en"",""it"")"),"Alla fine solleva 374 sterline e lo chiama smette.")</f>
        <v>Alla fine solleva 374 sterline e lo chiama smette.</v>
      </c>
    </row>
    <row r="10241">
      <c r="A10241" s="4" t="s">
        <v>12875</v>
      </c>
      <c r="B10241" s="4" t="s">
        <v>12876</v>
      </c>
      <c r="C10241" s="5" t="str">
        <f>IFERROR(__xludf.DUMMYFUNCTION("GOOGLETRANSLATE(B10241,""en"",""it"")"),"Un uomo prende a calci un frisbee a un cane.")</f>
        <v>Un uomo prende a calci un frisbee a un cane.</v>
      </c>
    </row>
    <row r="10242">
      <c r="A10242" s="4" t="s">
        <v>12875</v>
      </c>
      <c r="B10242" s="4" t="s">
        <v>12877</v>
      </c>
      <c r="C10242" s="5" t="str">
        <f>IFERROR(__xludf.DUMMYFUNCTION("GOOGLETRANSLATE(B10242,""en"",""it"")"),"Il cane fa vari trucchi mentre cattura il frisbee.")</f>
        <v>Il cane fa vari trucchi mentre cattura il frisbee.</v>
      </c>
    </row>
    <row r="10243">
      <c r="A10243" s="4" t="s">
        <v>12875</v>
      </c>
      <c r="B10243" s="4" t="s">
        <v>12878</v>
      </c>
      <c r="C10243" s="5" t="str">
        <f>IFERROR(__xludf.DUMMYFUNCTION("GOOGLETRANSLATE(B10243,""en"",""it"")"),"Il cane salta giù dall'uomo per prendere il giocattolo.")</f>
        <v>Il cane salta giù dall'uomo per prendere il giocattolo.</v>
      </c>
    </row>
    <row r="10244">
      <c r="A10244" s="4" t="s">
        <v>12875</v>
      </c>
      <c r="B10244" s="4" t="s">
        <v>12879</v>
      </c>
      <c r="C10244" s="5" t="str">
        <f>IFERROR(__xludf.DUMMYFUNCTION("GOOGLETRANSLATE(B10244,""en"",""it"")"),"Diversi altri cani fanno anche trucchi per catturare il giocattolo.")</f>
        <v>Diversi altri cani fanno anche trucchi per catturare il giocattolo.</v>
      </c>
    </row>
    <row r="10245">
      <c r="A10245" s="4" t="s">
        <v>12875</v>
      </c>
      <c r="B10245" s="4" t="s">
        <v>12880</v>
      </c>
      <c r="C10245" s="5" t="str">
        <f>IFERROR(__xludf.DUMMYFUNCTION("GOOGLETRANSLATE(B10245,""en"",""it"")"),"Un uomo fa oscillare un cane in giro su un giocattolo.")</f>
        <v>Un uomo fa oscillare un cane in giro su un giocattolo.</v>
      </c>
    </row>
    <row r="10246">
      <c r="A10246" s="4" t="s">
        <v>12881</v>
      </c>
      <c r="B10246" s="4" t="s">
        <v>1487</v>
      </c>
      <c r="C10246" s="5" t="str">
        <f>IFERROR(__xludf.DUMMYFUNCTION("GOOGLETRANSLATE(B10246,""en"",""it"")"),"Vediamo una schermata del titolo di apertura.")</f>
        <v>Vediamo una schermata del titolo di apertura.</v>
      </c>
    </row>
    <row r="10247">
      <c r="A10247" s="4" t="s">
        <v>12881</v>
      </c>
      <c r="B10247" s="4" t="s">
        <v>12882</v>
      </c>
      <c r="C10247" s="5" t="str">
        <f>IFERROR(__xludf.DUMMYFUNCTION("GOOGLETRANSLATE(B10247,""en"",""it"")"),"Vediamo passi per scolpire una zucca.")</f>
        <v>Vediamo passi per scolpire una zucca.</v>
      </c>
    </row>
    <row r="10248">
      <c r="A10248" s="4" t="s">
        <v>12881</v>
      </c>
      <c r="B10248" s="4" t="s">
        <v>12883</v>
      </c>
      <c r="C10248" s="5" t="str">
        <f>IFERROR(__xludf.DUMMYFUNCTION("GOOGLETRANSLATE(B10248,""en"",""it"")"),"Una persona pulisce una zucca.")</f>
        <v>Una persona pulisce una zucca.</v>
      </c>
    </row>
    <row r="10249">
      <c r="A10249" s="4" t="s">
        <v>12881</v>
      </c>
      <c r="B10249" s="4" t="s">
        <v>12884</v>
      </c>
      <c r="C10249" s="5" t="str">
        <f>IFERROR(__xludf.DUMMYFUNCTION("GOOGLETRANSLATE(B10249,""en"",""it"")"),"Vediamo il passo e una persona intaglia la zucca.")</f>
        <v>Vediamo il passo e una persona intaglia la zucca.</v>
      </c>
    </row>
    <row r="10250">
      <c r="A10250" s="4" t="s">
        <v>12881</v>
      </c>
      <c r="B10250" s="4" t="s">
        <v>12885</v>
      </c>
      <c r="C10250" s="5" t="str">
        <f>IFERROR(__xludf.DUMMYFUNCTION("GOOGLETRANSLATE(B10250,""en"",""it"")"),"Vediamo un altro passo e la persona usa pezzi scolpiti per fare le orecchie dei gatti.")</f>
        <v>Vediamo un altro passo e la persona usa pezzi scolpiti per fare le orecchie dei gatti.</v>
      </c>
    </row>
    <row r="10251">
      <c r="A10251" s="4" t="s">
        <v>12881</v>
      </c>
      <c r="B10251" s="4" t="s">
        <v>777</v>
      </c>
      <c r="C10251" s="5" t="str">
        <f>IFERROR(__xludf.DUMMYFUNCTION("GOOGLETRANSLATE(B10251,""en"",""it"")"),"Vediamo la schermata del titolo finale.")</f>
        <v>Vediamo la schermata del titolo finale.</v>
      </c>
    </row>
    <row r="10252">
      <c r="A10252" s="4" t="s">
        <v>12886</v>
      </c>
      <c r="B10252" s="4" t="s">
        <v>12887</v>
      </c>
      <c r="C10252" s="5" t="str">
        <f>IFERROR(__xludf.DUMMYFUNCTION("GOOGLETRANSLATE(B10252,""en"",""it"")"),"Un primo piano di un frullatore si vede con vari ingredienti all'interno.")</f>
        <v>Un primo piano di un frullatore si vede con vari ingredienti all'interno.</v>
      </c>
    </row>
    <row r="10253">
      <c r="A10253" s="4" t="s">
        <v>12886</v>
      </c>
      <c r="B10253" s="4" t="s">
        <v>12888</v>
      </c>
      <c r="C10253" s="5" t="str">
        <f>IFERROR(__xludf.DUMMYFUNCTION("GOOGLETRANSLATE(B10253,""en"",""it"")"),"La mano di una persona quindi fonde la miscela e allontana la mano dalla telecamera.")</f>
        <v>La mano di una persona quindi fonde la miscela e allontana la mano dalla telecamera.</v>
      </c>
    </row>
    <row r="10254">
      <c r="A10254" s="4" t="s">
        <v>12889</v>
      </c>
      <c r="B10254" s="4" t="s">
        <v>12890</v>
      </c>
      <c r="C10254" s="5" t="str">
        <f>IFERROR(__xludf.DUMMYFUNCTION("GOOGLETRANSLATE(B10254,""en"",""it"")"),"Una donna è vista con segni sulla lingua e una persona che mette asciugamani di carta sulla sua lingua.")</f>
        <v>Una donna è vista con segni sulla lingua e una persona che mette asciugamani di carta sulla sua lingua.</v>
      </c>
    </row>
    <row r="10255">
      <c r="A10255" s="4" t="s">
        <v>12889</v>
      </c>
      <c r="B10255" s="4" t="s">
        <v>12891</v>
      </c>
      <c r="C10255" s="5" t="str">
        <f>IFERROR(__xludf.DUMMYFUNCTION("GOOGLETRANSLATE(B10255,""en"",""it"")"),"L'uomo quindi trafigge la lingua delle ragazze e guarda la telecamera sorridente.")</f>
        <v>L'uomo quindi trafigge la lingua delle ragazze e guarda la telecamera sorridente.</v>
      </c>
    </row>
    <row r="10256">
      <c r="A10256" s="4" t="s">
        <v>12892</v>
      </c>
      <c r="B10256" s="4" t="s">
        <v>12893</v>
      </c>
      <c r="C10256" s="5" t="str">
        <f>IFERROR(__xludf.DUMMYFUNCTION("GOOGLETRANSLATE(B10256,""en"",""it"")"),"Un uomo senza camicia è in piedi sul portico mentre istruisce come costruire un fuoco redneck.")</f>
        <v>Un uomo senza camicia è in piedi sul portico mentre istruisce come costruire un fuoco redneck.</v>
      </c>
    </row>
    <row r="10257">
      <c r="A10257" s="4" t="s">
        <v>12892</v>
      </c>
      <c r="B10257" s="4" t="s">
        <v>12894</v>
      </c>
      <c r="C10257" s="5" t="str">
        <f>IFERROR(__xludf.DUMMYFUNCTION("GOOGLETRANSLATE(B10257,""en"",""it"")"),"Mostra una bottiglia di birra e altre lattine di alcol.")</f>
        <v>Mostra una bottiglia di birra e altre lattine di alcol.</v>
      </c>
    </row>
    <row r="10258">
      <c r="A10258" s="4" t="s">
        <v>12892</v>
      </c>
      <c r="B10258" s="4" t="s">
        <v>12895</v>
      </c>
      <c r="C10258" s="5" t="str">
        <f>IFERROR(__xludf.DUMMYFUNCTION("GOOGLETRANSLATE(B10258,""en"",""it"")"),"Dimostra un falò che ha creato in una fossa.")</f>
        <v>Dimostra un falò che ha creato in una fossa.</v>
      </c>
    </row>
    <row r="10259">
      <c r="A10259" s="4" t="s">
        <v>12892</v>
      </c>
      <c r="B10259" s="4" t="s">
        <v>12896</v>
      </c>
      <c r="C10259" s="5" t="str">
        <f>IFERROR(__xludf.DUMMYFUNCTION("GOOGLETRANSLATE(B10259,""en"",""it"")"),"Ci sono tre uomini in piedi vicino alla fossa del fuoco per dimostrare il primo passaggio.")</f>
        <v>Ci sono tre uomini in piedi vicino alla fossa del fuoco per dimostrare il primo passaggio.</v>
      </c>
    </row>
    <row r="10260">
      <c r="A10260" s="4" t="s">
        <v>12892</v>
      </c>
      <c r="B10260" s="4" t="s">
        <v>12897</v>
      </c>
      <c r="C10260" s="5" t="str">
        <f>IFERROR(__xludf.DUMMYFUNCTION("GOOGLETRANSLATE(B10260,""en"",""it"")"),"Uno degli uomini raccoglie una lattina di benzina e la nostra parte nella fossa del fuoco.")</f>
        <v>Uno degli uomini raccoglie una lattina di benzina e la nostra parte nella fossa del fuoco.</v>
      </c>
    </row>
    <row r="10261">
      <c r="A10261" s="4" t="s">
        <v>12892</v>
      </c>
      <c r="B10261" s="4" t="s">
        <v>12898</v>
      </c>
      <c r="C10261" s="5" t="str">
        <f>IFERROR(__xludf.DUMMYFUNCTION("GOOGLETRANSLATE(B10261,""en"",""it"")"),"Un altro uomo accende il falò per accendere il fuoco.")</f>
        <v>Un altro uomo accende il falò per accendere il fuoco.</v>
      </c>
    </row>
    <row r="10262">
      <c r="A10262" s="4" t="s">
        <v>12892</v>
      </c>
      <c r="B10262" s="4" t="s">
        <v>12899</v>
      </c>
      <c r="C10262" s="5" t="str">
        <f>IFERROR(__xludf.DUMMYFUNCTION("GOOGLETRANSLATE(B10262,""en"",""it"")"),"Il falò continua a bruciare mentre i fuochi d'artificio scoppiano nella fossa.")</f>
        <v>Il falò continua a bruciare mentre i fuochi d'artificio scoppiano nella fossa.</v>
      </c>
    </row>
    <row r="10263">
      <c r="A10263" s="4" t="s">
        <v>12892</v>
      </c>
      <c r="B10263" s="4" t="s">
        <v>12900</v>
      </c>
      <c r="C10263" s="5" t="str">
        <f>IFERROR(__xludf.DUMMYFUNCTION("GOOGLETRANSLATE(B10263,""en"",""it"")"),"Uno degli istruttori ritorna e indica il fuoco Redneck.")</f>
        <v>Uno degli istruttori ritorna e indica il fuoco Redneck.</v>
      </c>
    </row>
    <row r="10264">
      <c r="A10264" s="4" t="s">
        <v>12901</v>
      </c>
      <c r="B10264" s="4" t="s">
        <v>12902</v>
      </c>
      <c r="C10264" s="5" t="str">
        <f>IFERROR(__xludf.DUMMYFUNCTION("GOOGLETRANSLATE(B10264,""en"",""it"")"),"Le persone sono sedute in auto a paraurti blu.")</f>
        <v>Le persone sono sedute in auto a paraurti blu.</v>
      </c>
    </row>
    <row r="10265">
      <c r="A10265" s="4" t="s">
        <v>12901</v>
      </c>
      <c r="B10265" s="4" t="s">
        <v>12903</v>
      </c>
      <c r="C10265" s="5" t="str">
        <f>IFERROR(__xludf.DUMMYFUNCTION("GOOGLETRANSLATE(B10265,""en"",""it"")"),"Guidano e si imbattono nell'altro.")</f>
        <v>Guidano e si imbattono nell'altro.</v>
      </c>
    </row>
    <row r="10266">
      <c r="A10266" s="4" t="s">
        <v>12901</v>
      </c>
      <c r="B10266" s="4" t="s">
        <v>12904</v>
      </c>
      <c r="C10266" s="5" t="str">
        <f>IFERROR(__xludf.DUMMYFUNCTION("GOOGLETRANSLATE(B10266,""en"",""it"")"),"Un ragazzino con un cappello onde alla telecamera.")</f>
        <v>Un ragazzino con un cappello onde alla telecamera.</v>
      </c>
    </row>
    <row r="10267">
      <c r="A10267" s="4" t="s">
        <v>12905</v>
      </c>
      <c r="B10267" s="4" t="s">
        <v>12906</v>
      </c>
      <c r="C10267" s="5" t="str">
        <f>IFERROR(__xludf.DUMMYFUNCTION("GOOGLETRANSLATE(B10267,""en"",""it"")"),"Un paio di scarpe da ginnastica Nike sporche sono viste su un bancone.")</f>
        <v>Un paio di scarpe da ginnastica Nike sporche sono viste su un bancone.</v>
      </c>
    </row>
    <row r="10268">
      <c r="A10268" s="4" t="s">
        <v>12905</v>
      </c>
      <c r="B10268" s="4" t="s">
        <v>12907</v>
      </c>
      <c r="C10268" s="5" t="str">
        <f>IFERROR(__xludf.DUMMYFUNCTION("GOOGLETRANSLATE(B10268,""en"",""it"")"),"Un uomo riempie una ciotola d'acqua, quindi aggiunge una soluzione di pulizia.")</f>
        <v>Un uomo riempie una ciotola d'acqua, quindi aggiunge una soluzione di pulizia.</v>
      </c>
    </row>
    <row r="10269">
      <c r="A10269" s="4" t="s">
        <v>12905</v>
      </c>
      <c r="B10269" s="4" t="s">
        <v>12908</v>
      </c>
      <c r="C10269" s="5" t="str">
        <f>IFERROR(__xludf.DUMMYFUNCTION("GOOGLETRANSLATE(B10269,""en"",""it"")"),"Usa un pennello per strofinare le scarpe pulite.")</f>
        <v>Usa un pennello per strofinare le scarpe pulite.</v>
      </c>
    </row>
    <row r="10270">
      <c r="A10270" s="4" t="s">
        <v>12909</v>
      </c>
      <c r="B10270" s="4" t="s">
        <v>12910</v>
      </c>
      <c r="C10270" s="5" t="str">
        <f>IFERROR(__xludf.DUMMYFUNCTION("GOOGLETRANSLATE(B10270,""en"",""it"")"),"Un uomo è seduto di fronte ad alcuni monitor video e attrezzature correlate.")</f>
        <v>Un uomo è seduto di fronte ad alcuni monitor video e attrezzature correlate.</v>
      </c>
    </row>
    <row r="10271">
      <c r="A10271" s="4" t="s">
        <v>12909</v>
      </c>
      <c r="B10271" s="4" t="s">
        <v>12911</v>
      </c>
      <c r="C10271" s="5" t="str">
        <f>IFERROR(__xludf.DUMMYFUNCTION("GOOGLETRANSLATE(B10271,""en"",""it"")"),"Ci ricorda che quando eravamo giovani non avevamo paura di provare perché ci piaceva.")</f>
        <v>Ci ricorda che quando eravamo giovani non avevamo paura di provare perché ci piaceva.</v>
      </c>
    </row>
    <row r="10272">
      <c r="A10272" s="4" t="s">
        <v>12909</v>
      </c>
      <c r="B10272" s="6" t="s">
        <v>12912</v>
      </c>
      <c r="C10272" s="5" t="str">
        <f>IFERROR(__xludf.DUMMYFUNCTION("GOOGLETRANSLATE(B10272,""en"",""it"")"),"Vediamo quindi alcuni bambini che giocano a calcio insieme ad alcuni giocatori più grandi, ovviamente si divertono.")</f>
        <v>Vediamo quindi alcuni bambini che giocano a calcio insieme ad alcuni giocatori più grandi, ovviamente si divertono.</v>
      </c>
    </row>
    <row r="10273">
      <c r="A10273" s="4" t="s">
        <v>12909</v>
      </c>
      <c r="B10273" s="4" t="s">
        <v>12913</v>
      </c>
      <c r="C10273" s="5" t="str">
        <f>IFERROR(__xludf.DUMMYFUNCTION("GOOGLETRANSLATE(B10273,""en"",""it"")"),"Vediamo ancora una volta l'uomo, che ci consiglia di non crescere mai.")</f>
        <v>Vediamo ancora una volta l'uomo, che ci consiglia di non crescere mai.</v>
      </c>
    </row>
    <row r="10274">
      <c r="A10274" s="4" t="s">
        <v>12914</v>
      </c>
      <c r="B10274" s="4" t="s">
        <v>12915</v>
      </c>
      <c r="C10274" s="5" t="str">
        <f>IFERROR(__xludf.DUMMYFUNCTION("GOOGLETRANSLATE(B10274,""en"",""it"")"),"Ci sono quattro donne che ballano in una danza coreografata con una musica hip hop in uno studio.")</f>
        <v>Ci sono quattro donne che ballano in una danza coreografata con una musica hip hop in uno studio.</v>
      </c>
    </row>
    <row r="10275">
      <c r="A10275" s="4" t="s">
        <v>12914</v>
      </c>
      <c r="B10275" s="4" t="s">
        <v>12916</v>
      </c>
      <c r="C10275" s="5" t="str">
        <f>IFERROR(__xludf.DUMMYFUNCTION("GOOGLETRANSLATE(B10275,""en"",""it"")"),"Seguono un battito sincronizzato e ritmico per seguire gli stessi passi del resto dei ballerini.")</f>
        <v>Seguono un battito sincronizzato e ritmico per seguire gli stessi passi del resto dei ballerini.</v>
      </c>
    </row>
    <row r="10276">
      <c r="A10276" s="4" t="s">
        <v>12914</v>
      </c>
      <c r="B10276" s="6" t="s">
        <v>12917</v>
      </c>
      <c r="C10276" s="5" t="str">
        <f>IFERROR(__xludf.DUMMYFUNCTION("GOOGLETRANSLATE(B10276,""en"",""it"")"),"Continuano a seguire i passaggi uno dopo l'altro in modo strutturato in cui tutti scuotono le mani e le gambe ritmicamente.")</f>
        <v>Continuano a seguire i passaggi uno dopo l'altro in modo strutturato in cui tutti scuotono le mani e le gambe ritmicamente.</v>
      </c>
    </row>
    <row r="10277">
      <c r="A10277" s="4" t="s">
        <v>12914</v>
      </c>
      <c r="B10277" s="6" t="s">
        <v>12918</v>
      </c>
      <c r="C10277" s="5" t="str">
        <f>IFERROR(__xludf.DUMMYFUNCTION("GOOGLETRANSLATE(B10277,""en"",""it"")"),"Le loro mosse di danza cambiano mentre la musica cambia e rallentano o si muovono più velocemente secondo il ritmo della canzone.")</f>
        <v>Le loro mosse di danza cambiano mentre la musica cambia e rallentano o si muovono più velocemente secondo il ritmo della canzone.</v>
      </c>
    </row>
    <row r="10278">
      <c r="A10278" s="4" t="s">
        <v>12919</v>
      </c>
      <c r="B10278" s="6" t="s">
        <v>12920</v>
      </c>
      <c r="C10278" s="5" t="str">
        <f>IFERROR(__xludf.DUMMYFUNCTION("GOOGLETRANSLATE(B10278,""en"",""it"")"),"Un'immagine fissa di un uomo catturato a mezz'aria in procinto di attaccare un sacchetto da boxe, un'immagine in bianco e nero di donna che calciava il sacco da boxe, due uomini a Chested nudi in una posizione di boxe, una silhouette di un uomo che calcia"&amp;"va una persona sfocata, due Uomini in un anello di boxe, due uomini che tengono una cintura da campionato con la mano coperta di guanti da boxe.")</f>
        <v>Un'immagine fissa di un uomo catturato a mezz'aria in procinto di attaccare un sacchetto da boxe, un'immagine in bianco e nero di donna che calciava il sacco da boxe, due uomini a Chested nudi in una posizione di boxe, una silhouette di un uomo che calciava una persona sfocata, due Uomini in un anello di boxe, due uomini che tengono una cintura da campionato con la mano coperta di guanti da boxe.</v>
      </c>
    </row>
    <row r="10279">
      <c r="A10279" s="4" t="s">
        <v>12919</v>
      </c>
      <c r="B10279" s="4" t="s">
        <v>12921</v>
      </c>
      <c r="C10279" s="5" t="str">
        <f>IFERROR(__xludf.DUMMYFUNCTION("GOOGLETRANSLATE(B10279,""en"",""it"")"),"Un uomo in pantaloncini blu sta calciando il pad di calci indossato dall'altro uomo in pantaloncini neri.")</f>
        <v>Un uomo in pantaloncini blu sta calciando il pad di calci indossato dall'altro uomo in pantaloncini neri.</v>
      </c>
    </row>
    <row r="10280">
      <c r="A10280" s="4" t="s">
        <v>12919</v>
      </c>
      <c r="B10280" s="4" t="s">
        <v>12922</v>
      </c>
      <c r="C10280" s="5" t="str">
        <f>IFERROR(__xludf.DUMMYFUNCTION("GOOGLETRANSLATE(B10280,""en"",""it"")"),"Due uomini che sono battuti si stanno inscatolando a vicenda fuori dall'anello di boxe.")</f>
        <v>Due uomini che sono battuti si stanno inscatolando a vicenda fuori dall'anello di boxe.</v>
      </c>
    </row>
    <row r="10281">
      <c r="A10281" s="4" t="s">
        <v>12923</v>
      </c>
      <c r="B10281" s="4" t="s">
        <v>12924</v>
      </c>
      <c r="C10281" s="5" t="str">
        <f>IFERROR(__xludf.DUMMYFUNCTION("GOOGLETRANSLATE(B10281,""en"",""it"")"),"Un uomo entra in un'auto con una valigetta.")</f>
        <v>Un uomo entra in un'auto con una valigetta.</v>
      </c>
    </row>
    <row r="10282">
      <c r="A10282" s="4" t="s">
        <v>12923</v>
      </c>
      <c r="B10282" s="4" t="s">
        <v>12925</v>
      </c>
      <c r="C10282" s="5" t="str">
        <f>IFERROR(__xludf.DUMMYFUNCTION("GOOGLETRANSLATE(B10282,""en"",""it"")"),"Quindi, l'uomo fuma una sigaretta in carica e un'infermiera gli dà documenti.")</f>
        <v>Quindi, l'uomo fuma una sigaretta in carica e un'infermiera gli dà documenti.</v>
      </c>
    </row>
    <row r="10283">
      <c r="A10283" s="4" t="s">
        <v>12923</v>
      </c>
      <c r="B10283" s="4" t="s">
        <v>12926</v>
      </c>
      <c r="C10283" s="5" t="str">
        <f>IFERROR(__xludf.DUMMYFUNCTION("GOOGLETRANSLATE(B10283,""en"",""it"")"),"Dopo, un'elegante donna fuma e poi sorride.")</f>
        <v>Dopo, un'elegante donna fuma e poi sorride.</v>
      </c>
    </row>
    <row r="10284">
      <c r="A10284" s="4" t="s">
        <v>12927</v>
      </c>
      <c r="B10284" s="4" t="s">
        <v>12928</v>
      </c>
      <c r="C10284" s="5" t="str">
        <f>IFERROR(__xludf.DUMMYFUNCTION("GOOGLETRANSLATE(B10284,""en"",""it"")"),"Le persone si affrettano a un fiume pietroso su barche gonfiabili.")</f>
        <v>Le persone si affrettano a un fiume pietroso su barche gonfiabili.</v>
      </c>
    </row>
    <row r="10285">
      <c r="A10285" s="4" t="s">
        <v>12927</v>
      </c>
      <c r="B10285" s="4" t="s">
        <v>12929</v>
      </c>
      <c r="C10285" s="5" t="str">
        <f>IFERROR(__xludf.DUMMYFUNCTION("GOOGLETRANSLATE(B10285,""en"",""it"")"),"Due uomini sono in acqua e altri uomini aiutano a salire sulla barca.")</f>
        <v>Due uomini sono in acqua e altri uomini aiutano a salire sulla barca.</v>
      </c>
    </row>
    <row r="10286">
      <c r="A10286" s="4" t="s">
        <v>12927</v>
      </c>
      <c r="B10286" s="4" t="s">
        <v>12930</v>
      </c>
      <c r="C10286" s="5" t="str">
        <f>IFERROR(__xludf.DUMMYFUNCTION("GOOGLETRANSLATE(B10286,""en"",""it"")"),"Gli uomini passano tra le alte montagne.")</f>
        <v>Gli uomini passano tra le alte montagne.</v>
      </c>
    </row>
    <row r="10287">
      <c r="A10287" s="4" t="s">
        <v>12931</v>
      </c>
      <c r="B10287" s="6" t="s">
        <v>12932</v>
      </c>
      <c r="C10287" s="5" t="str">
        <f>IFERROR(__xludf.DUMMYFUNCTION("GOOGLETRANSLATE(B10287,""en"",""it"")"),"Una donna rimuove la neve sulla parte superiore di un'auto usando un pennello, rimuove anche la neve sui finestrini laterali e sul finestrino posteriore.")</f>
        <v>Una donna rimuove la neve sulla parte superiore di un'auto usando un pennello, rimuove anche la neve sui finestrini laterali e sul finestrino posteriore.</v>
      </c>
    </row>
    <row r="10288">
      <c r="A10288" s="4" t="s">
        <v>12931</v>
      </c>
      <c r="B10288" s="6" t="s">
        <v>12933</v>
      </c>
      <c r="C10288" s="5" t="str">
        <f>IFERROR(__xludf.DUMMYFUNCTION("GOOGLETRANSLATE(B10288,""en"",""it"")"),"Dopo, la donna continua a prendere la neve dal cofano della macchina e dal finestrino anteriore che ha molta neve.")</f>
        <v>Dopo, la donna continua a prendere la neve dal cofano della macchina e dal finestrino anteriore che ha molta neve.</v>
      </c>
    </row>
    <row r="10289">
      <c r="A10289" s="4" t="s">
        <v>12934</v>
      </c>
      <c r="B10289" s="4" t="s">
        <v>12935</v>
      </c>
      <c r="C10289" s="5" t="str">
        <f>IFERROR(__xludf.DUMMYFUNCTION("GOOGLETRANSLATE(B10289,""en"",""it"")"),"Una persona sta mescolando bevande dietro un bar.")</f>
        <v>Una persona sta mescolando bevande dietro un bar.</v>
      </c>
    </row>
    <row r="10290">
      <c r="A10290" s="4" t="s">
        <v>12934</v>
      </c>
      <c r="B10290" s="4" t="s">
        <v>12936</v>
      </c>
      <c r="C10290" s="5" t="str">
        <f>IFERROR(__xludf.DUMMYFUNCTION("GOOGLETRANSLATE(B10290,""en"",""it"")"),"Una persona sta giocando un gioco di shuffleboard.")</f>
        <v>Una persona sta giocando un gioco di shuffleboard.</v>
      </c>
    </row>
    <row r="10291">
      <c r="A10291" s="4" t="s">
        <v>12934</v>
      </c>
      <c r="B10291" s="4" t="s">
        <v>1599</v>
      </c>
      <c r="C10291" s="5" t="str">
        <f>IFERROR(__xludf.DUMMYFUNCTION("GOOGLETRANSLATE(B10291,""en"",""it"")"),"Le parole sono mostrate sullo schermo.")</f>
        <v>Le parole sono mostrate sullo schermo.</v>
      </c>
    </row>
    <row r="10292">
      <c r="A10292" s="4" t="s">
        <v>12937</v>
      </c>
      <c r="B10292" s="4" t="s">
        <v>12938</v>
      </c>
      <c r="C10292" s="5" t="str">
        <f>IFERROR(__xludf.DUMMYFUNCTION("GOOGLETRANSLATE(B10292,""en"",""it"")"),"Una squadra sta giocando a hockey su ghiaccio di fronte a uno stadio affollato.")</f>
        <v>Una squadra sta giocando a hockey su ghiaccio di fronte a uno stadio affollato.</v>
      </c>
    </row>
    <row r="10293">
      <c r="A10293" s="4" t="s">
        <v>12937</v>
      </c>
      <c r="B10293" s="4" t="s">
        <v>12939</v>
      </c>
      <c r="C10293" s="5" t="str">
        <f>IFERROR(__xludf.DUMMYFUNCTION("GOOGLETRANSLATE(B10293,""en"",""it"")"),"I giocatori vengono mostrati che si schiantano l'uno dall'altro.")</f>
        <v>I giocatori vengono mostrati che si schiantano l'uno dall'altro.</v>
      </c>
    </row>
    <row r="10294">
      <c r="A10294" s="4" t="s">
        <v>12937</v>
      </c>
      <c r="B10294" s="6" t="s">
        <v>12940</v>
      </c>
      <c r="C10294" s="5" t="str">
        <f>IFERROR(__xludf.DUMMYFUNCTION("GOOGLETRANSLATE(B10294,""en"",""it"")"),"Viene mostrato un conto alla rovescia di dieci mentre vediamo Bloopers da diversi eventi sportivi, dall'hockey, al baseball, al calcio e al basket mentre le persone cadono e commettono errori.")</f>
        <v>Viene mostrato un conto alla rovescia di dieci mentre vediamo Bloopers da diversi eventi sportivi, dall'hockey, al baseball, al calcio e al basket mentre le persone cadono e commettono errori.</v>
      </c>
    </row>
    <row r="10295">
      <c r="A10295" s="4" t="s">
        <v>12941</v>
      </c>
      <c r="B10295" s="4" t="s">
        <v>12942</v>
      </c>
      <c r="C10295" s="5" t="str">
        <f>IFERROR(__xludf.DUMMYFUNCTION("GOOGLETRANSLATE(B10295,""en"",""it"")"),"Le parole vengono visualizzate sullo schermo che leggono come preparare il panino perfetto.")</f>
        <v>Le parole vengono visualizzate sullo schermo che leggono come preparare il panino perfetto.</v>
      </c>
    </row>
    <row r="10296">
      <c r="A10296" s="4" t="s">
        <v>12941</v>
      </c>
      <c r="B10296" s="6" t="s">
        <v>12943</v>
      </c>
      <c r="C10296" s="5" t="str">
        <f>IFERROR(__xludf.DUMMYFUNCTION("GOOGLETRANSLATE(B10296,""en"",""it"")"),"Gli ingredienti di cui avrai bisogno sono pane, formaggio, prosciutto, carne sottomarino di tacchino, mayo reale Kraft, senape marrone piccante, condimento e un coltello.")</f>
        <v>Gli ingredienti di cui avrai bisogno sono pane, formaggio, prosciutto, carne sottomarino di tacchino, mayo reale Kraft, senape marrone piccante, condimento e un coltello.</v>
      </c>
    </row>
    <row r="10297">
      <c r="A10297" s="4" t="s">
        <v>12941</v>
      </c>
      <c r="B10297" s="6" t="s">
        <v>12944</v>
      </c>
      <c r="C10297" s="5" t="str">
        <f>IFERROR(__xludf.DUMMYFUNCTION("GOOGLETRANSLATE(B10297,""en"",""it"")"),"Distribuisci Mayo su entrambe le fette di pane, quindi metti la senape e il formaggio su entrambe le fette di pane metti la carne di tacchino e aggiungi altri condimenti ai tuoi gusti.")</f>
        <v>Distribuisci Mayo su entrambe le fette di pane, quindi metti la senape e il formaggio su entrambe le fette di pane metti la carne di tacchino e aggiungi altri condimenti ai tuoi gusti.</v>
      </c>
    </row>
    <row r="10298">
      <c r="A10298" s="4" t="s">
        <v>12945</v>
      </c>
      <c r="B10298" s="4" t="s">
        <v>12946</v>
      </c>
      <c r="C10298" s="5" t="str">
        <f>IFERROR(__xludf.DUMMYFUNCTION("GOOGLETRANSLATE(B10298,""en"",""it"")"),"Si vede un bambino piccolo con in mano un bastone e oscilla a una pinata.")</f>
        <v>Si vede un bambino piccolo con in mano un bastone e oscilla a una pinata.</v>
      </c>
    </row>
    <row r="10299">
      <c r="A10299" s="4" t="s">
        <v>12945</v>
      </c>
      <c r="B10299" s="4" t="s">
        <v>12947</v>
      </c>
      <c r="C10299" s="5" t="str">
        <f>IFERROR(__xludf.DUMMYFUNCTION("GOOGLETRANSLATE(B10299,""en"",""it"")"),"Una ragazza viene vista bendata un'altra mentre un uomo gioca con la telecamera sul lato.")</f>
        <v>Una ragazza viene vista bendata un'altra mentre un uomo gioca con la telecamera sul lato.</v>
      </c>
    </row>
    <row r="10300">
      <c r="A10300" s="4" t="s">
        <v>12945</v>
      </c>
      <c r="B10300" s="4" t="s">
        <v>12948</v>
      </c>
      <c r="C10300" s="5" t="str">
        <f>IFERROR(__xludf.DUMMYFUNCTION("GOOGLETRANSLATE(B10300,""en"",""it"")"),"L'uomo tiene il bastone e i gesti alla ragazza sul lato.")</f>
        <v>L'uomo tiene il bastone e i gesti alla ragazza sul lato.</v>
      </c>
    </row>
    <row r="10301">
      <c r="A10301" s="4" t="s">
        <v>12949</v>
      </c>
      <c r="B10301" s="4" t="s">
        <v>12950</v>
      </c>
      <c r="C10301" s="5" t="str">
        <f>IFERROR(__xludf.DUMMYFUNCTION("GOOGLETRANSLATE(B10301,""en"",""it"")"),"Due uomini che si abbinano l'un l'altro stanno giocando una partita a racchetta.")</f>
        <v>Due uomini che si abbinano l'un l'altro stanno giocando una partita a racchetta.</v>
      </c>
    </row>
    <row r="10302">
      <c r="A10302" s="4" t="s">
        <v>12949</v>
      </c>
      <c r="B10302" s="4" t="s">
        <v>12951</v>
      </c>
      <c r="C10302" s="5" t="str">
        <f>IFERROR(__xludf.DUMMYFUNCTION("GOOGLETRANSLATE(B10302,""en"",""it"")"),"Si trovano in un'area di campo chiusa al coperto che gioca.")</f>
        <v>Si trovano in un'area di campo chiusa al coperto che gioca.</v>
      </c>
    </row>
    <row r="10303">
      <c r="A10303" s="4" t="s">
        <v>12949</v>
      </c>
      <c r="B10303" s="4" t="s">
        <v>12952</v>
      </c>
      <c r="C10303" s="5" t="str">
        <f>IFERROR(__xludf.DUMMYFUNCTION("GOOGLETRANSLATE(B10303,""en"",""it"")"),"Si stanno muovendo in tutto il campo cercando di colpire la palla.")</f>
        <v>Si stanno muovendo in tutto il campo cercando di colpire la palla.</v>
      </c>
    </row>
    <row r="10304">
      <c r="A10304" s="4" t="s">
        <v>12949</v>
      </c>
      <c r="B10304" s="4" t="s">
        <v>12953</v>
      </c>
      <c r="C10304" s="5" t="str">
        <f>IFERROR(__xludf.DUMMYFUNCTION("GOOGLETRANSLATE(B10304,""en"",""it"")"),"L'uomo calvo inizia a uscire dal campo sorridendo.")</f>
        <v>L'uomo calvo inizia a uscire dal campo sorridendo.</v>
      </c>
    </row>
    <row r="10305">
      <c r="A10305" s="4" t="s">
        <v>12954</v>
      </c>
      <c r="B10305" s="4" t="s">
        <v>12955</v>
      </c>
      <c r="C10305" s="5" t="str">
        <f>IFERROR(__xludf.DUMMYFUNCTION("GOOGLETRANSLATE(B10305,""en"",""it"")"),"Un'ancora di notizie femminile sta parlando di una clip che verrà mostrata.")</f>
        <v>Un'ancora di notizie femminile sta parlando di una clip che verrà mostrata.</v>
      </c>
    </row>
    <row r="10306">
      <c r="A10306" s="4" t="s">
        <v>12954</v>
      </c>
      <c r="B10306" s="4" t="s">
        <v>12956</v>
      </c>
      <c r="C10306" s="5" t="str">
        <f>IFERROR(__xludf.DUMMYFUNCTION("GOOGLETRANSLATE(B10306,""en"",""it"")"),"Le scimmie stanno sciare dietro una barca in acqua.")</f>
        <v>Le scimmie stanno sciare dietro una barca in acqua.</v>
      </c>
    </row>
    <row r="10307">
      <c r="A10307" s="4" t="s">
        <v>12954</v>
      </c>
      <c r="B10307" s="4" t="s">
        <v>12957</v>
      </c>
      <c r="C10307" s="5" t="str">
        <f>IFERROR(__xludf.DUMMYFUNCTION("GOOGLETRANSLATE(B10307,""en"",""it"")"),"Un'altra scimmia viene vista guidare una barca di velocità che tira una scimmia da sci.")</f>
        <v>Un'altra scimmia viene vista guidare una barca di velocità che tira una scimmia da sci.</v>
      </c>
    </row>
    <row r="10308">
      <c r="A10308" s="4" t="s">
        <v>12954</v>
      </c>
      <c r="B10308" s="4" t="s">
        <v>12958</v>
      </c>
      <c r="C10308" s="5" t="str">
        <f>IFERROR(__xludf.DUMMYFUNCTION("GOOGLETRANSLATE(B10308,""en"",""it"")"),"Diverse persone guardano e scattano foto e video dalla riva.")</f>
        <v>Diverse persone guardano e scattano foto e video dalla riva.</v>
      </c>
    </row>
    <row r="10309">
      <c r="A10309" s="4" t="s">
        <v>12954</v>
      </c>
      <c r="B10309" s="4" t="s">
        <v>12959</v>
      </c>
      <c r="C10309" s="5" t="str">
        <f>IFERROR(__xludf.DUMMYFUNCTION("GOOGLETRANSLATE(B10309,""en"",""it"")"),"La scimmia che guida la barca di velocità viene nuovamente mostrata.")</f>
        <v>La scimmia che guida la barca di velocità viene nuovamente mostrata.</v>
      </c>
    </row>
    <row r="10310">
      <c r="A10310" s="4" t="s">
        <v>12954</v>
      </c>
      <c r="B10310" s="4" t="s">
        <v>12960</v>
      </c>
      <c r="C10310" s="5" t="str">
        <f>IFERROR(__xludf.DUMMYFUNCTION("GOOGLETRANSLATE(B10310,""en"",""it"")"),"La scimmia circonda il volante con la barca che si muove.")</f>
        <v>La scimmia circonda il volante con la barca che si muove.</v>
      </c>
    </row>
    <row r="10311">
      <c r="A10311" s="4" t="s">
        <v>12954</v>
      </c>
      <c r="B10311" s="4" t="s">
        <v>12961</v>
      </c>
      <c r="C10311" s="5" t="str">
        <f>IFERROR(__xludf.DUMMYFUNCTION("GOOGLETRANSLATE(B10311,""en"",""it"")"),"La scimmia porta quindi la barca verso un set di boe in cui tre persone lo stanno aspettando.")</f>
        <v>La scimmia porta quindi la barca verso un set di boe in cui tre persone lo stanno aspettando.</v>
      </c>
    </row>
    <row r="10312">
      <c r="A10312" s="4" t="s">
        <v>12954</v>
      </c>
      <c r="B10312" s="4" t="s">
        <v>12962</v>
      </c>
      <c r="C10312" s="5" t="str">
        <f>IFERROR(__xludf.DUMMYFUNCTION("GOOGLETRANSLATE(B10312,""en"",""it"")"),"Tre ancore di notizie discutono delle scimmie.")</f>
        <v>Tre ancore di notizie discutono delle scimmie.</v>
      </c>
    </row>
    <row r="10313">
      <c r="A10313" s="4" t="s">
        <v>12963</v>
      </c>
      <c r="B10313" s="4" t="s">
        <v>12964</v>
      </c>
      <c r="C10313" s="5" t="str">
        <f>IFERROR(__xludf.DUMMYFUNCTION("GOOGLETRANSLATE(B10313,""en"",""it"")"),"Un ragazzo viene visto afferrare una palla e camminare in avanti parlando alla telecamera.")</f>
        <v>Un ragazzo viene visto afferrare una palla e camminare in avanti parlando alla telecamera.</v>
      </c>
    </row>
    <row r="10314">
      <c r="A10314" s="4" t="s">
        <v>12963</v>
      </c>
      <c r="B10314" s="4" t="s">
        <v>12965</v>
      </c>
      <c r="C10314" s="5" t="str">
        <f>IFERROR(__xludf.DUMMYFUNCTION("GOOGLETRANSLATE(B10314,""en"",""it"")"),"Viene quindi visto in uno scatto che si tiene su un bastone e colpisce una palla.")</f>
        <v>Viene quindi visto in uno scatto che si tiene su un bastone e colpisce una palla.</v>
      </c>
    </row>
    <row r="10315">
      <c r="A10315" s="4" t="s">
        <v>12963</v>
      </c>
      <c r="B10315" s="4" t="s">
        <v>12966</v>
      </c>
      <c r="C10315" s="5" t="str">
        <f>IFERROR(__xludf.DUMMYFUNCTION("GOOGLETRANSLATE(B10315,""en"",""it"")"),"Continua a colpire la palla in un goal Wile guardando indietro alla telecamera.")</f>
        <v>Continua a colpire la palla in un goal Wile guardando indietro alla telecamera.</v>
      </c>
    </row>
    <row r="10316">
      <c r="A10316" s="4" t="s">
        <v>12967</v>
      </c>
      <c r="B10316" s="4" t="s">
        <v>12968</v>
      </c>
      <c r="C10316" s="5" t="str">
        <f>IFERROR(__xludf.DUMMYFUNCTION("GOOGLETRANSLATE(B10316,""en"",""it"")"),"Un uomo e una donna sono in piedi accanto a un pianoforte.")</f>
        <v>Un uomo e una donna sono in piedi accanto a un pianoforte.</v>
      </c>
    </row>
    <row r="10317">
      <c r="A10317" s="4" t="s">
        <v>12967</v>
      </c>
      <c r="B10317" s="4" t="s">
        <v>12969</v>
      </c>
      <c r="C10317" s="5" t="str">
        <f>IFERROR(__xludf.DUMMYFUNCTION("GOOGLETRANSLATE(B10317,""en"",""it"")"),"L'uomo e la donna suonano il piano insieme.")</f>
        <v>L'uomo e la donna suonano il piano insieme.</v>
      </c>
    </row>
    <row r="10318">
      <c r="A10318" s="4" t="s">
        <v>12967</v>
      </c>
      <c r="B10318" s="4" t="s">
        <v>12970</v>
      </c>
      <c r="C10318" s="5" t="str">
        <f>IFERROR(__xludf.DUMMYFUNCTION("GOOGLETRANSLATE(B10318,""en"",""it"")"),"Cambiano luoghi e continuano a suonare il piano.")</f>
        <v>Cambiano luoghi e continuano a suonare il piano.</v>
      </c>
    </row>
    <row r="10319">
      <c r="A10319" s="4" t="s">
        <v>12967</v>
      </c>
      <c r="B10319" s="4" t="s">
        <v>12971</v>
      </c>
      <c r="C10319" s="5" t="str">
        <f>IFERROR(__xludf.DUMMYFUNCTION("GOOGLETRANSLATE(B10319,""en"",""it"")"),"Cambiano di nuovo i luoghi, rapidamente.")</f>
        <v>Cambiano di nuovo i luoghi, rapidamente.</v>
      </c>
    </row>
    <row r="10320">
      <c r="A10320" s="4" t="s">
        <v>12967</v>
      </c>
      <c r="B10320" s="4" t="s">
        <v>12972</v>
      </c>
      <c r="C10320" s="5" t="str">
        <f>IFERROR(__xludf.DUMMYFUNCTION("GOOGLETRANSLATE(B10320,""en"",""it"")"),"Lo fanno di nuovo, ridendo insieme.")</f>
        <v>Lo fanno di nuovo, ridendo insieme.</v>
      </c>
    </row>
    <row r="10321">
      <c r="A10321" s="4" t="s">
        <v>12967</v>
      </c>
      <c r="B10321" s="4" t="s">
        <v>12973</v>
      </c>
      <c r="C10321" s="5" t="str">
        <f>IFERROR(__xludf.DUMMYFUNCTION("GOOGLETRANSLATE(B10321,""en"",""it"")"),"Alla fine finiscono e si allontanano insieme felicemente.")</f>
        <v>Alla fine finiscono e si allontanano insieme felicemente.</v>
      </c>
    </row>
    <row r="10322">
      <c r="A10322" s="4" t="s">
        <v>12974</v>
      </c>
      <c r="B10322" s="4" t="s">
        <v>12975</v>
      </c>
      <c r="C10322" s="5" t="str">
        <f>IFERROR(__xludf.DUMMYFUNCTION("GOOGLETRANSLATE(B10322,""en"",""it"")"),"Una donna si siede vicino a una finestra che lavora a maglia un pezzo bianco.")</f>
        <v>Una donna si siede vicino a una finestra che lavora a maglia un pezzo bianco.</v>
      </c>
    </row>
    <row r="10323">
      <c r="A10323" s="4" t="s">
        <v>12974</v>
      </c>
      <c r="B10323" s="4" t="s">
        <v>12976</v>
      </c>
      <c r="C10323" s="5" t="str">
        <f>IFERROR(__xludf.DUMMYFUNCTION("GOOGLETRANSLATE(B10323,""en"",""it"")"),"La donna regge un libro di pattern con un'immagine del pezzo su cui sta lavorando.")</f>
        <v>La donna regge un libro di pattern con un'immagine del pezzo su cui sta lavorando.</v>
      </c>
    </row>
    <row r="10324">
      <c r="A10324" s="4" t="s">
        <v>12974</v>
      </c>
      <c r="B10324" s="4" t="s">
        <v>12977</v>
      </c>
      <c r="C10324" s="5" t="str">
        <f>IFERROR(__xludf.DUMMYFUNCTION("GOOGLETRANSLATE(B10324,""en"",""it"")"),"La donna continua a lavorare a maglia.")</f>
        <v>La donna continua a lavorare a maglia.</v>
      </c>
    </row>
    <row r="10325">
      <c r="A10325" s="4" t="s">
        <v>12974</v>
      </c>
      <c r="B10325" s="4" t="s">
        <v>12978</v>
      </c>
      <c r="C10325" s="5" t="str">
        <f>IFERROR(__xludf.DUMMYFUNCTION("GOOGLETRANSLATE(B10325,""en"",""it"")"),"La donna mette in mostra il suo lavoro finora e continua a lavorare a maglia.")</f>
        <v>La donna mette in mostra il suo lavoro finora e continua a lavorare a maglia.</v>
      </c>
    </row>
    <row r="10326">
      <c r="A10326" s="4" t="s">
        <v>12979</v>
      </c>
      <c r="B10326" s="4" t="s">
        <v>12980</v>
      </c>
      <c r="C10326" s="5" t="str">
        <f>IFERROR(__xludf.DUMMYFUNCTION("GOOGLETRANSLATE(B10326,""en"",""it"")"),"Un grande arco è sdraiato su un tavolo.")</f>
        <v>Un grande arco è sdraiato su un tavolo.</v>
      </c>
    </row>
    <row r="10327">
      <c r="A10327" s="4" t="s">
        <v>12979</v>
      </c>
      <c r="B10327" s="4" t="s">
        <v>12981</v>
      </c>
      <c r="C10327" s="5" t="str">
        <f>IFERROR(__xludf.DUMMYFUNCTION("GOOGLETRANSLATE(B10327,""en"",""it"")"),"Vengono visualizzati i dettagli di primo piano del set di tiro con l'arco.")</f>
        <v>Vengono visualizzati i dettagli di primo piano del set di tiro con l'arco.</v>
      </c>
    </row>
    <row r="10328">
      <c r="A10328" s="4" t="s">
        <v>12979</v>
      </c>
      <c r="B10328" s="4" t="s">
        <v>12982</v>
      </c>
      <c r="C10328" s="5" t="str">
        <f>IFERROR(__xludf.DUMMYFUNCTION("GOOGLETRANSLATE(B10328,""en"",""it"")"),"Un uomo viene mostrato che tira indietro e freccia e lascialo andare.")</f>
        <v>Un uomo viene mostrato che tira indietro e freccia e lascialo andare.</v>
      </c>
    </row>
    <row r="10329">
      <c r="A10329" s="4" t="s">
        <v>12983</v>
      </c>
      <c r="B10329" s="4" t="s">
        <v>12984</v>
      </c>
      <c r="C10329" s="5" t="str">
        <f>IFERROR(__xludf.DUMMYFUNCTION("GOOGLETRANSLATE(B10329,""en"",""it"")"),"Un gruppo di persone cavalca in auto paraurti in un enorme giro in auto paraurti in un parco di divertimenti.")</f>
        <v>Un gruppo di persone cavalca in auto paraurti in un enorme giro in auto paraurti in un parco di divertimenti.</v>
      </c>
    </row>
    <row r="10330">
      <c r="A10330" s="4" t="s">
        <v>12983</v>
      </c>
      <c r="B10330" s="6" t="s">
        <v>12985</v>
      </c>
      <c r="C10330" s="5" t="str">
        <f>IFERROR(__xludf.DUMMYFUNCTION("GOOGLETRANSLATE(B10330,""en"",""it"")"),"Due macchine per paraurti gialle sono bloccate nel mezzo della pista fino a quando non vengono urtate da un'altra macchina.")</f>
        <v>Due macchine per paraurti gialle sono bloccate nel mezzo della pista fino a quando non vengono urtate da un'altra macchina.</v>
      </c>
    </row>
    <row r="10331">
      <c r="A10331" s="4" t="s">
        <v>12983</v>
      </c>
      <c r="B10331" s="4" t="s">
        <v>12986</v>
      </c>
      <c r="C10331" s="5" t="str">
        <f>IFERROR(__xludf.DUMMYFUNCTION("GOOGLETRANSLATE(B10331,""en"",""it"")"),"Il resto dei conducenti di auto del paraurti continua a seguire il corso.")</f>
        <v>Il resto dei conducenti di auto del paraurti continua a seguire il corso.</v>
      </c>
    </row>
    <row r="10332">
      <c r="A10332" s="4" t="s">
        <v>12987</v>
      </c>
      <c r="B10332" s="4" t="s">
        <v>12988</v>
      </c>
      <c r="C10332" s="5" t="str">
        <f>IFERROR(__xludf.DUMMYFUNCTION("GOOGLETRANSLATE(B10332,""en"",""it"")"),"La mano di una donna viene mostrata che pulizia uno schermo di vetro seguito da vari oggetti seduti su un tavolo.")</f>
        <v>La mano di una donna viene mostrata che pulizia uno schermo di vetro seguito da vari oggetti seduti su un tavolo.</v>
      </c>
    </row>
    <row r="10333">
      <c r="A10333" s="4" t="s">
        <v>12987</v>
      </c>
      <c r="B10333" s="4" t="s">
        <v>12989</v>
      </c>
      <c r="C10333" s="5" t="str">
        <f>IFERROR(__xludf.DUMMYFUNCTION("GOOGLETRANSLATE(B10333,""en"",""it"")"),"La donna spruzza il vetro e segue l'oggetto lungo il vetro.")</f>
        <v>La donna spruzza il vetro e segue l'oggetto lungo il vetro.</v>
      </c>
    </row>
    <row r="10334">
      <c r="A10334" s="4" t="s">
        <v>12987</v>
      </c>
      <c r="B10334" s="4" t="s">
        <v>12990</v>
      </c>
      <c r="C10334" s="5" t="str">
        <f>IFERROR(__xludf.DUMMYFUNCTION("GOOGLETRANSLATE(B10334,""en"",""it"")"),"Lo fa più volte e mostra dove collegare e come utilizzare lo strumento.")</f>
        <v>Lo fa più volte e mostra dove collegare e come utilizzare lo strumento.</v>
      </c>
    </row>
    <row r="10335">
      <c r="A10335" s="4" t="s">
        <v>12991</v>
      </c>
      <c r="B10335" s="4" t="s">
        <v>12992</v>
      </c>
      <c r="C10335" s="5" t="str">
        <f>IFERROR(__xludf.DUMMYFUNCTION("GOOGLETRANSLATE(B10335,""en"",""it"")"),"Un uomo sta correndo su una pista con un giavellotto.")</f>
        <v>Un uomo sta correndo su una pista con un giavellotto.</v>
      </c>
    </row>
    <row r="10336">
      <c r="A10336" s="4" t="s">
        <v>12991</v>
      </c>
      <c r="B10336" s="4" t="s">
        <v>5532</v>
      </c>
      <c r="C10336" s="5" t="str">
        <f>IFERROR(__xludf.DUMMYFUNCTION("GOOGLETRANSLATE(B10336,""en"",""it"")"),"Lo lancia più forte che può.")</f>
        <v>Lo lancia più forte che può.</v>
      </c>
    </row>
    <row r="10337">
      <c r="A10337" s="4" t="s">
        <v>12991</v>
      </c>
      <c r="B10337" s="4" t="s">
        <v>12993</v>
      </c>
      <c r="C10337" s="5" t="str">
        <f>IFERROR(__xludf.DUMMYFUNCTION("GOOGLETRANSLATE(B10337,""en"",""it"")"),"Lo vediamo gettare di nuovo al rallentatore.")</f>
        <v>Lo vediamo gettare di nuovo al rallentatore.</v>
      </c>
    </row>
    <row r="10338">
      <c r="A10338" s="4" t="s">
        <v>12994</v>
      </c>
      <c r="B10338" s="6" t="s">
        <v>12995</v>
      </c>
      <c r="C10338" s="5" t="str">
        <f>IFERROR(__xludf.DUMMYFUNCTION("GOOGLETRANSLATE(B10338,""en"",""it"")"),"Un uomo è seduto su una sedia sulla spiaggia ed è avvicinato da un altro uomo, il primo uomo si alza e applica la lozione al secondo uomo.")</f>
        <v>Un uomo è seduto su una sedia sulla spiaggia ed è avvicinato da un altro uomo, il primo uomo si alza e applica la lozione al secondo uomo.</v>
      </c>
    </row>
    <row r="10339">
      <c r="A10339" s="4" t="s">
        <v>12994</v>
      </c>
      <c r="B10339" s="4" t="s">
        <v>12996</v>
      </c>
      <c r="C10339" s="5" t="str">
        <f>IFERROR(__xludf.DUMMYFUNCTION("GOOGLETRANSLATE(B10339,""en"",""it"")"),"Una donna e un uomo sono seduti su un asciugamano in spiaggia e un uomo si avvicina.")</f>
        <v>Una donna e un uomo sono seduti su un asciugamano in spiaggia e un uomo si avvicina.</v>
      </c>
    </row>
    <row r="10340">
      <c r="A10340" s="4" t="s">
        <v>12994</v>
      </c>
      <c r="B10340" s="4" t="s">
        <v>12997</v>
      </c>
      <c r="C10340" s="5" t="str">
        <f>IFERROR(__xludf.DUMMYFUNCTION("GOOGLETRANSLATE(B10340,""en"",""it"")"),"L'uomo seduto si alza e mette la lozione sull'uomo che si è avvicinato.")</f>
        <v>L'uomo seduto si alza e mette la lozione sull'uomo che si è avvicinato.</v>
      </c>
    </row>
    <row r="10341">
      <c r="A10341" s="4" t="s">
        <v>12994</v>
      </c>
      <c r="B10341" s="4" t="s">
        <v>12998</v>
      </c>
      <c r="C10341" s="5" t="str">
        <f>IFERROR(__xludf.DUMMYFUNCTION("GOOGLETRANSLATE(B10341,""en"",""it"")"),"Cinque ragazzi sono sdraiati sulla spiaggia quando una donna si avvicina a loro.")</f>
        <v>Cinque ragazzi sono sdraiati sulla spiaggia quando una donna si avvicina a loro.</v>
      </c>
    </row>
    <row r="10342">
      <c r="A10342" s="4" t="s">
        <v>12994</v>
      </c>
      <c r="B10342" s="4" t="s">
        <v>12999</v>
      </c>
      <c r="C10342" s="5" t="str">
        <f>IFERROR(__xludf.DUMMYFUNCTION("GOOGLETRANSLATE(B10342,""en"",""it"")"),"Un uomo si alza e applica la lozione alle donne.")</f>
        <v>Un uomo si alza e applica la lozione alle donne.</v>
      </c>
    </row>
    <row r="10343">
      <c r="A10343" s="4" t="s">
        <v>12994</v>
      </c>
      <c r="B10343" s="4" t="s">
        <v>13000</v>
      </c>
      <c r="C10343" s="5" t="str">
        <f>IFERROR(__xludf.DUMMYFUNCTION("GOOGLETRANSLATE(B10343,""en"",""it"")"),"Cinque ragazzi sono sdraiati su asciugamani in spiaggia e un uomo si avvicina a loro.")</f>
        <v>Cinque ragazzi sono sdraiati su asciugamani in spiaggia e un uomo si avvicina a loro.</v>
      </c>
    </row>
    <row r="10344">
      <c r="A10344" s="4" t="s">
        <v>13001</v>
      </c>
      <c r="B10344" s="6" t="s">
        <v>13002</v>
      </c>
      <c r="C10344" s="5" t="str">
        <f>IFERROR(__xludf.DUMMYFUNCTION("GOOGLETRANSLATE(B10344,""en"",""it"")"),"Un gruppo di nuotatori Cliff si tuffa in un corpo d'acqua circondato da curiosi, grandi rocce, edifici e barche, in una competizione giudicata.")</f>
        <v>Un gruppo di nuotatori Cliff si tuffa in un corpo d'acqua circondato da curiosi, grandi rocce, edifici e barche, in una competizione giudicata.</v>
      </c>
    </row>
    <row r="10345">
      <c r="A10345" s="4" t="s">
        <v>13001</v>
      </c>
      <c r="B10345" s="6" t="s">
        <v>13003</v>
      </c>
      <c r="C10345" s="5" t="str">
        <f>IFERROR(__xludf.DUMMYFUNCTION("GOOGLETRANSLATE(B10345,""en"",""it"")"),"I nuotatori saltano giù da un uomo di Metal Cliff avvolto nell'arte e nella grafica della pubblicità sponsorizzata.")</f>
        <v>I nuotatori saltano giù da un uomo di Metal Cliff avvolto nell'arte e nella grafica della pubblicità sponsorizzata.</v>
      </c>
    </row>
    <row r="10346">
      <c r="A10346" s="4" t="s">
        <v>13001</v>
      </c>
      <c r="B10346" s="6" t="s">
        <v>13004</v>
      </c>
      <c r="C10346" s="5" t="str">
        <f>IFERROR(__xludf.DUMMYFUNCTION("GOOGLETRANSLATE(B10346,""en"",""it"")"),"Un gruppo di giudici solleva le scorecard con numeri su di loro mentre l'auto guida su una strada vicina e gli spettatori si siedono fianco a fianco su una muro rialzata.")</f>
        <v>Un gruppo di giudici solleva le scorecard con numeri su di loro mentre l'auto guida su una strada vicina e gli spettatori si siedono fianco a fianco su una muro rialzata.</v>
      </c>
    </row>
    <row r="10347">
      <c r="A10347" s="4" t="s">
        <v>13001</v>
      </c>
      <c r="B10347" s="4" t="s">
        <v>13005</v>
      </c>
      <c r="C10347" s="5" t="str">
        <f>IFERROR(__xludf.DUMMYFUNCTION("GOOGLETRANSLATE(B10347,""en"",""it"")"),"Due nuotatori si abbracciano mentre un nuotatore salta su e giù e altri tre trofei sostengono.")</f>
        <v>Due nuotatori si abbracciano mentre un nuotatore salta su e giù e altri tre trofei sostengono.</v>
      </c>
    </row>
    <row r="10348">
      <c r="A10348" s="4" t="s">
        <v>13006</v>
      </c>
      <c r="B10348" s="4" t="s">
        <v>13007</v>
      </c>
      <c r="C10348" s="5" t="str">
        <f>IFERROR(__xludf.DUMMYFUNCTION("GOOGLETRANSLATE(B10348,""en"",""it"")"),"Viene mostrato un concerto classico ben frequentato.")</f>
        <v>Viene mostrato un concerto classico ben frequentato.</v>
      </c>
    </row>
    <row r="10349">
      <c r="A10349" s="4" t="s">
        <v>13006</v>
      </c>
      <c r="B10349" s="4" t="s">
        <v>13008</v>
      </c>
      <c r="C10349" s="5" t="str">
        <f>IFERROR(__xludf.DUMMYFUNCTION("GOOGLETRANSLATE(B10349,""en"",""it"")"),"Il compositore parla al pubblico della musica.")</f>
        <v>Il compositore parla al pubblico della musica.</v>
      </c>
    </row>
    <row r="10350">
      <c r="A10350" s="4" t="s">
        <v>13006</v>
      </c>
      <c r="B10350" s="4" t="s">
        <v>13009</v>
      </c>
      <c r="C10350" s="5" t="str">
        <f>IFERROR(__xludf.DUMMYFUNCTION("GOOGLETRANSLATE(B10350,""en"",""it"")"),"La folla applaude e sorride.")</f>
        <v>La folla applaude e sorride.</v>
      </c>
    </row>
    <row r="10351">
      <c r="A10351" s="4" t="s">
        <v>13006</v>
      </c>
      <c r="B10351" s="4" t="s">
        <v>13010</v>
      </c>
      <c r="C10351" s="5" t="str">
        <f>IFERROR(__xludf.DUMMYFUNCTION("GOOGLETRANSLATE(B10351,""en"",""it"")"),"Il compositore parla della musica e dell'orchestra dietro di lui.")</f>
        <v>Il compositore parla della musica e dell'orchestra dietro di lui.</v>
      </c>
    </row>
    <row r="10352">
      <c r="A10352" s="4" t="s">
        <v>13006</v>
      </c>
      <c r="B10352" s="4" t="s">
        <v>13011</v>
      </c>
      <c r="C10352" s="5" t="str">
        <f>IFERROR(__xludf.DUMMYFUNCTION("GOOGLETRANSLATE(B10352,""en"",""it"")"),"Un membro esce per suonare il sassofono per un assolo mentre la folla si avvicina.")</f>
        <v>Un membro esce per suonare il sassofono per un assolo mentre la folla si avvicina.</v>
      </c>
    </row>
    <row r="10353">
      <c r="A10353" s="4" t="s">
        <v>13006</v>
      </c>
      <c r="B10353" s="4" t="s">
        <v>13012</v>
      </c>
      <c r="C10353" s="5" t="str">
        <f>IFERROR(__xludf.DUMMYFUNCTION("GOOGLETRANSLATE(B10353,""en"",""it"")"),"L'orchestra si unisce gradualmente per una performance completa.")</f>
        <v>L'orchestra si unisce gradualmente per una performance completa.</v>
      </c>
    </row>
    <row r="10354">
      <c r="A10354" s="4" t="s">
        <v>13006</v>
      </c>
      <c r="B10354" s="4" t="s">
        <v>13013</v>
      </c>
      <c r="C10354" s="5" t="str">
        <f>IFERROR(__xludf.DUMMYFUNCTION("GOOGLETRANSLATE(B10354,""en"",""it"")"),"La canzone rallenta e si costruisce mentre la folla si unisce a Claps.")</f>
        <v>La canzone rallenta e si costruisce mentre la folla si unisce a Claps.</v>
      </c>
    </row>
    <row r="10355">
      <c r="A10355" s="4" t="s">
        <v>13006</v>
      </c>
      <c r="B10355" s="4" t="s">
        <v>13014</v>
      </c>
      <c r="C10355" s="5" t="str">
        <f>IFERROR(__xludf.DUMMYFUNCTION("GOOGLETRANSLATE(B10355,""en"",""it"")"),"La canzone finisce e la folla applaude in modo fragoroso.")</f>
        <v>La canzone finisce e la folla applaude in modo fragoroso.</v>
      </c>
    </row>
    <row r="10356">
      <c r="A10356" s="4" t="s">
        <v>13006</v>
      </c>
      <c r="B10356" s="4" t="s">
        <v>13015</v>
      </c>
      <c r="C10356" s="5" t="str">
        <f>IFERROR(__xludf.DUMMYFUNCTION("GOOGLETRANSLATE(B10356,""en"",""it"")"),"Il sassofonista si inchina e ritorna al suo posto.")</f>
        <v>Il sassofonista si inchina e ritorna al suo posto.</v>
      </c>
    </row>
    <row r="10357">
      <c r="A10357" s="4" t="s">
        <v>13016</v>
      </c>
      <c r="B10357" s="4" t="s">
        <v>13017</v>
      </c>
      <c r="C10357" s="5" t="str">
        <f>IFERROR(__xludf.DUMMYFUNCTION("GOOGLETRANSLATE(B10357,""en"",""it"")"),"Una bambina che indossa una camicetta rosa si siede su un letto che schiaccia gli occhi.")</f>
        <v>Una bambina che indossa una camicetta rosa si siede su un letto che schiaccia gli occhi.</v>
      </c>
    </row>
    <row r="10358">
      <c r="A10358" s="4" t="s">
        <v>13016</v>
      </c>
      <c r="B10358" s="4" t="s">
        <v>13018</v>
      </c>
      <c r="C10358" s="5" t="str">
        <f>IFERROR(__xludf.DUMMYFUNCTION("GOOGLETRANSLATE(B10358,""en"",""it"")"),"La bambina quindi si mette il rossetto viola sulle labbra.")</f>
        <v>La bambina quindi si mette il rossetto viola sulle labbra.</v>
      </c>
    </row>
    <row r="10359">
      <c r="A10359" s="4" t="s">
        <v>13016</v>
      </c>
      <c r="B10359" s="6" t="s">
        <v>13019</v>
      </c>
      <c r="C10359" s="5" t="str">
        <f>IFERROR(__xludf.DUMMYFUNCTION("GOOGLETRANSLATE(B10359,""en"",""it"")"),"La bambina continua a indossare il rossetto mentre parla con l'uomo della telecamera per truccarmi.")</f>
        <v>La bambina continua a indossare il rossetto mentre parla con l'uomo della telecamera per truccarmi.</v>
      </c>
    </row>
    <row r="10360">
      <c r="A10360" s="4" t="s">
        <v>13020</v>
      </c>
      <c r="B10360" s="4" t="s">
        <v>13021</v>
      </c>
      <c r="C10360" s="5" t="str">
        <f>IFERROR(__xludf.DUMMYFUNCTION("GOOGLETRANSLATE(B10360,""en"",""it"")"),"Un gioco è in corso di fronte a una folla.")</f>
        <v>Un gioco è in corso di fronte a una folla.</v>
      </c>
    </row>
    <row r="10361">
      <c r="A10361" s="4" t="s">
        <v>13020</v>
      </c>
      <c r="B10361" s="4" t="s">
        <v>13022</v>
      </c>
      <c r="C10361" s="5" t="str">
        <f>IFERROR(__xludf.DUMMYFUNCTION("GOOGLETRANSLATE(B10361,""en"",""it"")"),"Un uomo gira, gettando un disco nell'aria.")</f>
        <v>Un uomo gira, gettando un disco nell'aria.</v>
      </c>
    </row>
    <row r="10362">
      <c r="A10362" s="4" t="s">
        <v>13020</v>
      </c>
      <c r="B10362" s="4" t="s">
        <v>13023</v>
      </c>
      <c r="C10362" s="5" t="str">
        <f>IFERROR(__xludf.DUMMYFUNCTION("GOOGLETRANSLATE(B10362,""en"",""it"")"),"In seguito cammina per il campo.")</f>
        <v>In seguito cammina per il campo.</v>
      </c>
    </row>
    <row r="10363">
      <c r="A10363" s="4" t="s">
        <v>13024</v>
      </c>
      <c r="B10363" s="4" t="s">
        <v>13025</v>
      </c>
      <c r="C10363" s="5" t="str">
        <f>IFERROR(__xludf.DUMMYFUNCTION("GOOGLETRANSLATE(B10363,""en"",""it"")"),"Due uomini sono su una piattaforma, scherma.")</f>
        <v>Due uomini sono su una piattaforma, scherma.</v>
      </c>
    </row>
    <row r="10364">
      <c r="A10364" s="4" t="s">
        <v>13024</v>
      </c>
      <c r="B10364" s="4" t="s">
        <v>13026</v>
      </c>
      <c r="C10364" s="5" t="str">
        <f>IFERROR(__xludf.DUMMYFUNCTION("GOOGLETRANSLATE(B10364,""en"",""it"")"),"Si colpiscono l'un l'altro con le loro spade.")</f>
        <v>Si colpiscono l'un l'altro con le loro spade.</v>
      </c>
    </row>
    <row r="10365">
      <c r="A10365" s="4" t="s">
        <v>13024</v>
      </c>
      <c r="B10365" s="4" t="s">
        <v>13027</v>
      </c>
      <c r="C10365" s="5" t="str">
        <f>IFERROR(__xludf.DUMMYFUNCTION("GOOGLETRANSLATE(B10365,""en"",""it"")"),"Una donna guarda mentre parlano avanti e indietro.")</f>
        <v>Una donna guarda mentre parlano avanti e indietro.</v>
      </c>
    </row>
    <row r="10366">
      <c r="A10366" s="4" t="s">
        <v>13028</v>
      </c>
      <c r="B10366" s="4" t="s">
        <v>13029</v>
      </c>
      <c r="C10366" s="5" t="str">
        <f>IFERROR(__xludf.DUMMYFUNCTION("GOOGLETRANSLATE(B10366,""en"",""it"")"),"Un atleta si esibisce in alto e atterra sul tappeto mentre la persona prende appunti.")</f>
        <v>Un atleta si esibisce in alto e atterra sul tappeto mentre la persona prende appunti.</v>
      </c>
    </row>
    <row r="10367">
      <c r="A10367" s="4" t="s">
        <v>13028</v>
      </c>
      <c r="B10367" s="4" t="s">
        <v>13030</v>
      </c>
      <c r="C10367" s="5" t="str">
        <f>IFERROR(__xludf.DUMMYFUNCTION("GOOGLETRANSLATE(B10367,""en"",""it"")"),"Quindi, l'atleta esegue un salto in alto con successo.")</f>
        <v>Quindi, l'atleta esegue un salto in alto con successo.</v>
      </c>
    </row>
    <row r="10368">
      <c r="A10368" s="4" t="s">
        <v>13028</v>
      </c>
      <c r="B10368" s="4" t="s">
        <v>13031</v>
      </c>
      <c r="C10368" s="5" t="str">
        <f>IFERROR(__xludf.DUMMYFUNCTION("GOOGLETRANSLATE(B10368,""en"",""it"")"),"Dopo, l'uomo esegue un salto in alto ma lascia cadere il palo orizzontale.")</f>
        <v>Dopo, l'uomo esegue un salto in alto ma lascia cadere il palo orizzontale.</v>
      </c>
    </row>
    <row r="10369">
      <c r="A10369" s="4" t="s">
        <v>13028</v>
      </c>
      <c r="B10369" s="4" t="s">
        <v>13032</v>
      </c>
      <c r="C10369" s="5" t="str">
        <f>IFERROR(__xludf.DUMMYFUNCTION("GOOGLETRANSLATE(B10369,""en"",""it"")"),"L'atleta eseguono salti alti con successo.")</f>
        <v>L'atleta eseguono salti alti con successo.</v>
      </c>
    </row>
    <row r="10370">
      <c r="A10370" s="4" t="s">
        <v>13028</v>
      </c>
      <c r="B10370" s="4" t="s">
        <v>13033</v>
      </c>
      <c r="C10370" s="5" t="str">
        <f>IFERROR(__xludf.DUMMYFUNCTION("GOOGLETRANSLATE(B10370,""en"",""it"")"),"L'atleta esegue un salto in alto, ma il palo cade.")</f>
        <v>L'atleta esegue un salto in alto, ma il palo cade.</v>
      </c>
    </row>
    <row r="10371">
      <c r="A10371" s="4" t="s">
        <v>13034</v>
      </c>
      <c r="B10371" s="6" t="s">
        <v>13035</v>
      </c>
      <c r="C10371" s="5" t="str">
        <f>IFERROR(__xludf.DUMMYFUNCTION("GOOGLETRANSLATE(B10371,""en"",""it"")"),"Una grande barca di pontone naviga attraverso un oceano e si imbatte in una grande ondata che copre la gente e la barca in acqua.")</f>
        <v>Una grande barca di pontone naviga attraverso un oceano e si imbatte in una grande ondata che copre la gente e la barca in acqua.</v>
      </c>
    </row>
    <row r="10372">
      <c r="A10372" s="4" t="s">
        <v>13034</v>
      </c>
      <c r="B10372" s="6" t="s">
        <v>13036</v>
      </c>
      <c r="C10372" s="5" t="str">
        <f>IFERROR(__xludf.DUMMYFUNCTION("GOOGLETRANSLATE(B10372,""en"",""it"")"),"Le persone sulla barca continuano a camminare, ma l'acqua le fa cadere e iniziano a trattenere le ruote per guidare la barca nella giusta direzione.")</f>
        <v>Le persone sulla barca continuano a camminare, ma l'acqua le fa cadere e iniziano a trattenere le ruote per guidare la barca nella giusta direzione.</v>
      </c>
    </row>
    <row r="10373">
      <c r="A10373" s="4" t="s">
        <v>13037</v>
      </c>
      <c r="B10373" s="4" t="s">
        <v>13038</v>
      </c>
      <c r="C10373" s="5" t="str">
        <f>IFERROR(__xludf.DUMMYFUNCTION("GOOGLETRANSLATE(B10373,""en"",""it"")"),"Un uomo senza camicia molto muscoloso sta per lottare con un uomo con una felpa con cappuccio arancione.")</f>
        <v>Un uomo senza camicia molto muscoloso sta per lottare con un uomo con una felpa con cappuccio arancione.</v>
      </c>
    </row>
    <row r="10374">
      <c r="A10374" s="4" t="s">
        <v>13037</v>
      </c>
      <c r="B10374" s="4" t="s">
        <v>13039</v>
      </c>
      <c r="C10374" s="5" t="str">
        <f>IFERROR(__xludf.DUMMYFUNCTION("GOOGLETRANSLATE(B10374,""en"",""it"")"),"Un altro uomo in una felpa gialla si avvicina.")</f>
        <v>Un altro uomo in una felpa gialla si avvicina.</v>
      </c>
    </row>
    <row r="10375">
      <c r="A10375" s="4" t="s">
        <v>13037</v>
      </c>
      <c r="B10375" s="4" t="s">
        <v>13040</v>
      </c>
      <c r="C10375" s="5" t="str">
        <f>IFERROR(__xludf.DUMMYFUNCTION("GOOGLETRANSLATE(B10375,""en"",""it"")"),"Iniziano la partita, l'uomo nella felpa con cappuccio arancione sembra lottare.")</f>
        <v>Iniziano la partita, l'uomo nella felpa con cappuccio arancione sembra lottare.</v>
      </c>
    </row>
    <row r="10376">
      <c r="A10376" s="4" t="s">
        <v>13037</v>
      </c>
      <c r="B10376" s="6" t="s">
        <v>13041</v>
      </c>
      <c r="C10376" s="5" t="str">
        <f>IFERROR(__xludf.DUMMYFUNCTION("GOOGLETRANSLATE(B10376,""en"",""it"")"),"L'uomo senza camicia vince e poi lotta l'uomo in giallo, vince e si trovano tutti in giro a parlare.")</f>
        <v>L'uomo senza camicia vince e poi lotta l'uomo in giallo, vince e si trovano tutti in giro a parlare.</v>
      </c>
    </row>
    <row r="10377">
      <c r="A10377" s="4" t="s">
        <v>13042</v>
      </c>
      <c r="B10377" s="4" t="s">
        <v>13043</v>
      </c>
      <c r="C10377" s="5" t="str">
        <f>IFERROR(__xludf.DUMMYFUNCTION("GOOGLETRANSLATE(B10377,""en"",""it"")"),"Diverse persone sono fuori in un grande campo su Segways che gioca.")</f>
        <v>Diverse persone sono fuori in un grande campo su Segways che gioca.</v>
      </c>
    </row>
    <row r="10378">
      <c r="A10378" s="4" t="s">
        <v>13042</v>
      </c>
      <c r="B10378" s="4" t="s">
        <v>13044</v>
      </c>
      <c r="C10378" s="5" t="str">
        <f>IFERROR(__xludf.DUMMYFUNCTION("GOOGLETRANSLATE(B10378,""en"",""it"")"),"Continuano a muoversi e colpiscono la palla con una lunga racchetta.")</f>
        <v>Continuano a muoversi e colpiscono la palla con una lunga racchetta.</v>
      </c>
    </row>
    <row r="10379">
      <c r="A10379" s="4" t="s">
        <v>13042</v>
      </c>
      <c r="B10379" s="4" t="s">
        <v>13045</v>
      </c>
      <c r="C10379" s="5" t="str">
        <f>IFERROR(__xludf.DUMMYFUNCTION("GOOGLETRANSLATE(B10379,""en"",""it"")"),"Mentre il gioco continua, l'arbitro cammina sul campo e li osserva.")</f>
        <v>Mentre il gioco continua, l'arbitro cammina sul campo e li osserva.</v>
      </c>
    </row>
    <row r="10380">
      <c r="A10380" s="4" t="s">
        <v>13046</v>
      </c>
      <c r="B10380" s="4" t="s">
        <v>13047</v>
      </c>
      <c r="C10380" s="5" t="str">
        <f>IFERROR(__xludf.DUMMYFUNCTION("GOOGLETRANSLATE(B10380,""en"",""it"")"),"Una persona con i capelli lunghi mostra un cubo di Rubik.")</f>
        <v>Una persona con i capelli lunghi mostra un cubo di Rubik.</v>
      </c>
    </row>
    <row r="10381">
      <c r="A10381" s="4" t="s">
        <v>13046</v>
      </c>
      <c r="B10381" s="4" t="s">
        <v>13048</v>
      </c>
      <c r="C10381" s="5" t="str">
        <f>IFERROR(__xludf.DUMMYFUNCTION("GOOGLETRANSLATE(B10381,""en"",""it"")"),"La persona inizia a risolverlo.")</f>
        <v>La persona inizia a risolverlo.</v>
      </c>
    </row>
    <row r="10382">
      <c r="A10382" s="4" t="s">
        <v>13046</v>
      </c>
      <c r="B10382" s="4" t="s">
        <v>13049</v>
      </c>
      <c r="C10382" s="5" t="str">
        <f>IFERROR(__xludf.DUMMYFUNCTION("GOOGLETRANSLATE(B10382,""en"",""it"")"),"Lo gettano ed è magicamente risolto.")</f>
        <v>Lo gettano ed è magicamente risolto.</v>
      </c>
    </row>
    <row r="10383">
      <c r="A10383" s="4" t="s">
        <v>13050</v>
      </c>
      <c r="B10383" s="4" t="s">
        <v>13051</v>
      </c>
      <c r="C10383" s="5" t="str">
        <f>IFERROR(__xludf.DUMMYFUNCTION("GOOGLETRANSLATE(B10383,""en"",""it"")"),"Una donna balla fuori sul marciapiede.")</f>
        <v>Una donna balla fuori sul marciapiede.</v>
      </c>
    </row>
    <row r="10384">
      <c r="A10384" s="4" t="s">
        <v>13050</v>
      </c>
      <c r="B10384" s="4" t="s">
        <v>13052</v>
      </c>
      <c r="C10384" s="5" t="str">
        <f>IFERROR(__xludf.DUMMYFUNCTION("GOOGLETRANSLATE(B10384,""en"",""it"")"),"Afferra un testimone e inizia a girare in giro.")</f>
        <v>Afferra un testimone e inizia a girare in giro.</v>
      </c>
    </row>
    <row r="10385">
      <c r="A10385" s="4" t="s">
        <v>13050</v>
      </c>
      <c r="B10385" s="4" t="s">
        <v>13053</v>
      </c>
      <c r="C10385" s="5" t="str">
        <f>IFERROR(__xludf.DUMMYFUNCTION("GOOGLETRANSLATE(B10385,""en"",""it"")"),"Comincia a destreggiarsi tra i manganelli in aria.")</f>
        <v>Comincia a destreggiarsi tra i manganelli in aria.</v>
      </c>
    </row>
    <row r="10386">
      <c r="A10386" s="4" t="s">
        <v>13050</v>
      </c>
      <c r="B10386" s="4" t="s">
        <v>13054</v>
      </c>
      <c r="C10386" s="5" t="str">
        <f>IFERROR(__xludf.DUMMYFUNCTION("GOOGLETRANSLATE(B10386,""en"",""it"")"),"Fa un capovolgimento della schiena e entra nelle divisioni.")</f>
        <v>Fa un capovolgimento della schiena e entra nelle divisioni.</v>
      </c>
    </row>
    <row r="10387">
      <c r="A10387" s="4" t="s">
        <v>13055</v>
      </c>
      <c r="B10387" s="4" t="s">
        <v>13056</v>
      </c>
      <c r="C10387" s="5" t="str">
        <f>IFERROR(__xludf.DUMMYFUNCTION("GOOGLETRANSLATE(B10387,""en"",""it"")"),"Diversi bambini si trovano di fronte a una gabbia.")</f>
        <v>Diversi bambini si trovano di fronte a una gabbia.</v>
      </c>
    </row>
    <row r="10388">
      <c r="A10388" s="4" t="s">
        <v>13055</v>
      </c>
      <c r="B10388" s="4" t="s">
        <v>13057</v>
      </c>
      <c r="C10388" s="5" t="str">
        <f>IFERROR(__xludf.DUMMYFUNCTION("GOOGLETRANSLATE(B10388,""en"",""it"")"),"Una donna è dentro con una tigre.")</f>
        <v>Una donna è dentro con una tigre.</v>
      </c>
    </row>
    <row r="10389">
      <c r="A10389" s="4" t="s">
        <v>13055</v>
      </c>
      <c r="B10389" s="4" t="s">
        <v>13058</v>
      </c>
      <c r="C10389" s="5" t="str">
        <f>IFERROR(__xludf.DUMMYFUNCTION("GOOGLETRANSLATE(B10389,""en"",""it"")"),"I bambini tirano su una corda che contro la tigre.")</f>
        <v>I bambini tirano su una corda che contro la tigre.</v>
      </c>
    </row>
    <row r="10390">
      <c r="A10390" s="4" t="s">
        <v>13055</v>
      </c>
      <c r="B10390" s="4" t="s">
        <v>13059</v>
      </c>
      <c r="C10390" s="5" t="str">
        <f>IFERROR(__xludf.DUMMYFUNCTION("GOOGLETRANSLATE(B10390,""en"",""it"")"),"Lasciarono andare la corda alla fine.")</f>
        <v>Lasciarono andare la corda alla fine.</v>
      </c>
    </row>
    <row r="10391">
      <c r="A10391" s="4" t="s">
        <v>13060</v>
      </c>
      <c r="B10391" s="4" t="s">
        <v>13061</v>
      </c>
      <c r="C10391" s="5" t="str">
        <f>IFERROR(__xludf.DUMMYFUNCTION("GOOGLETRANSLATE(B10391,""en"",""it"")"),"Una donna in giacca e cravatta sta parlando con una macchina fotografica.")</f>
        <v>Una donna in giacca e cravatta sta parlando con una macchina fotografica.</v>
      </c>
    </row>
    <row r="10392">
      <c r="A10392" s="4" t="s">
        <v>13060</v>
      </c>
      <c r="B10392" s="4" t="s">
        <v>13062</v>
      </c>
      <c r="C10392" s="5" t="str">
        <f>IFERROR(__xludf.DUMMYFUNCTION("GOOGLETRANSLATE(B10392,""en"",""it"")"),"Una donna sta mettendo le lenti a contatto negli occhi.")</f>
        <v>Una donna sta mettendo le lenti a contatto negli occhi.</v>
      </c>
    </row>
    <row r="10393">
      <c r="A10393" s="4" t="s">
        <v>13060</v>
      </c>
      <c r="B10393" s="4" t="s">
        <v>13063</v>
      </c>
      <c r="C10393" s="5" t="str">
        <f>IFERROR(__xludf.DUMMYFUNCTION("GOOGLETRANSLATE(B10393,""en"",""it"")"),"Le lenti a contatto sono mostrate su una mano.")</f>
        <v>Le lenti a contatto sono mostrate su una mano.</v>
      </c>
    </row>
    <row r="10394">
      <c r="A10394" s="4" t="s">
        <v>13060</v>
      </c>
      <c r="B10394" s="4" t="s">
        <v>13064</v>
      </c>
      <c r="C10394" s="5" t="str">
        <f>IFERROR(__xludf.DUMMYFUNCTION("GOOGLETRANSLATE(B10394,""en"",""it"")"),"La donna nell'abito continua a parlare con la telecamera.")</f>
        <v>La donna nell'abito continua a parlare con la telecamera.</v>
      </c>
    </row>
    <row r="10395">
      <c r="A10395" s="4" t="s">
        <v>13065</v>
      </c>
      <c r="B10395" s="4" t="s">
        <v>13066</v>
      </c>
      <c r="C10395" s="5" t="str">
        <f>IFERROR(__xludf.DUMMYFUNCTION("GOOGLETRANSLATE(B10395,""en"",""it"")"),"I ragazzi stanno combattendo una palla di verniciatura tra loro.")</f>
        <v>I ragazzi stanno combattendo una palla di verniciatura tra loro.</v>
      </c>
    </row>
    <row r="10396">
      <c r="A10396" s="4" t="s">
        <v>13065</v>
      </c>
      <c r="B10396" s="6" t="s">
        <v>13067</v>
      </c>
      <c r="C10396" s="5" t="str">
        <f>IFERROR(__xludf.DUMMYFUNCTION("GOOGLETRANSLATE(B10396,""en"",""it"")"),"Un ragazzo spiega come nasconderti e proteggerti quando è presentato, come strisciare, dove posizionare il piede e le mani quando striscia.")</f>
        <v>Un ragazzo spiega come nasconderti e proteggerti quando è presentato, come strisciare, dove posizionare il piede e le mani quando striscia.</v>
      </c>
    </row>
    <row r="10397">
      <c r="A10397" s="4" t="s">
        <v>13068</v>
      </c>
      <c r="B10397" s="4" t="s">
        <v>13069</v>
      </c>
      <c r="C10397" s="5" t="str">
        <f>IFERROR(__xludf.DUMMYFUNCTION("GOOGLETRANSLATE(B10397,""en"",""it"")"),"Un asciugacapelli e una pubblicità sono mostrati con alcune informazioni sull'asciugatrice.")</f>
        <v>Un asciugacapelli e una pubblicità sono mostrati con alcune informazioni sull'asciugatrice.</v>
      </c>
    </row>
    <row r="10398">
      <c r="A10398" s="4" t="s">
        <v>13068</v>
      </c>
      <c r="B10398" s="4" t="s">
        <v>13070</v>
      </c>
      <c r="C10398" s="5" t="str">
        <f>IFERROR(__xludf.DUMMYFUNCTION("GOOGLETRANSLATE(B10398,""en"",""it"")"),"Una donna mostra come usare l'asciugatrice con spazzole diverse.")</f>
        <v>Una donna mostra come usare l'asciugatrice con spazzole diverse.</v>
      </c>
    </row>
    <row r="10399">
      <c r="A10399" s="4" t="s">
        <v>13068</v>
      </c>
      <c r="B10399" s="6" t="s">
        <v>13071</v>
      </c>
      <c r="C10399" s="5" t="str">
        <f>IFERROR(__xludf.DUMMYFUNCTION("GOOGLETRANSLATE(B10399,""en"",""it"")"),"La stessa donna mostra quindi come usare l'asciugatrice con attaccamenti diversi per diversi tipi di capelli.")</f>
        <v>La stessa donna mostra quindi come usare l'asciugatrice con attaccamenti diversi per diversi tipi di capelli.</v>
      </c>
    </row>
    <row r="10400">
      <c r="A10400" s="4" t="s">
        <v>13068</v>
      </c>
      <c r="B10400" s="4" t="s">
        <v>13072</v>
      </c>
      <c r="C10400" s="5" t="str">
        <f>IFERROR(__xludf.DUMMYFUNCTION("GOOGLETRANSLATE(B10400,""en"",""it"")"),"L'asciugatrice e le informazioni pubblicitarie vengono nuovamente visualizzate.")</f>
        <v>L'asciugatrice e le informazioni pubblicitarie vengono nuovamente visualizzate.</v>
      </c>
    </row>
    <row r="10401">
      <c r="A10401" s="4" t="s">
        <v>13073</v>
      </c>
      <c r="B10401" s="4" t="s">
        <v>13074</v>
      </c>
      <c r="C10401" s="5" t="str">
        <f>IFERROR(__xludf.DUMMYFUNCTION("GOOGLETRANSLATE(B10401,""en"",""it"")"),"L'uomo è in un grande stadio che si sveglia sul campo.")</f>
        <v>L'uomo è in un grande stadio che si sveglia sul campo.</v>
      </c>
    </row>
    <row r="10402">
      <c r="A10402" s="4" t="s">
        <v>13073</v>
      </c>
      <c r="B10402" s="4" t="s">
        <v>13075</v>
      </c>
      <c r="C10402" s="5" t="str">
        <f>IFERROR(__xludf.DUMMYFUNCTION("GOOGLETRANSLATE(B10402,""en"",""it"")"),"Gli uomini stanno giocando a criquet in un campo che si muove da un lato all'altro con un sacco di pubblico seduto su stand.")</f>
        <v>Gli uomini stanno giocando a criquet in un campo che si muove da un lato all'altro con un sacco di pubblico seduto su stand.</v>
      </c>
    </row>
    <row r="10403">
      <c r="A10403" s="4" t="s">
        <v>13076</v>
      </c>
      <c r="B10403" s="4" t="s">
        <v>13077</v>
      </c>
      <c r="C10403" s="5" t="str">
        <f>IFERROR(__xludf.DUMMYFUNCTION("GOOGLETRANSLATE(B10403,""en"",""it"")"),"Un gruppo di barche a vela navigano insieme attraverso l'acqua muta in una giornata ventosa.")</f>
        <v>Un gruppo di barche a vela navigano insieme attraverso l'acqua muta in una giornata ventosa.</v>
      </c>
    </row>
    <row r="10404">
      <c r="A10404" s="4" t="s">
        <v>13076</v>
      </c>
      <c r="B10404" s="4" t="s">
        <v>13078</v>
      </c>
      <c r="C10404" s="5" t="str">
        <f>IFERROR(__xludf.DUMMYFUNCTION("GOOGLETRANSLATE(B10404,""en"",""it"")"),"Due uomini tirano il rigging seduto sulla piccola barca a vela.")</f>
        <v>Due uomini tirano il rigging seduto sulla piccola barca a vela.</v>
      </c>
    </row>
    <row r="10405">
      <c r="A10405" s="4" t="s">
        <v>13076</v>
      </c>
      <c r="B10405" s="4" t="s">
        <v>13079</v>
      </c>
      <c r="C10405" s="5" t="str">
        <f>IFERROR(__xludf.DUMMYFUNCTION("GOOGLETRANSLATE(B10405,""en"",""it"")"),"La barca a vela fa una svolta davanti alla prua di un'altra barca solo parzialmente vista.")</f>
        <v>La barca a vela fa una svolta davanti alla prua di un'altra barca solo parzialmente vista.</v>
      </c>
    </row>
    <row r="10406">
      <c r="A10406" s="4" t="s">
        <v>13080</v>
      </c>
      <c r="B10406" s="4" t="s">
        <v>13081</v>
      </c>
      <c r="C10406" s="5" t="str">
        <f>IFERROR(__xludf.DUMMYFUNCTION("GOOGLETRANSLATE(B10406,""en"",""it"")"),"Due uomini in una lotta con la scala in una partita di wrestling professionale.")</f>
        <v>Due uomini in una lotta con la scala in una partita di wrestling professionale.</v>
      </c>
    </row>
    <row r="10407">
      <c r="A10407" s="4" t="s">
        <v>13080</v>
      </c>
      <c r="B10407" s="4" t="s">
        <v>13082</v>
      </c>
      <c r="C10407" s="5" t="str">
        <f>IFERROR(__xludf.DUMMYFUNCTION("GOOGLETRANSLATE(B10407,""en"",""it"")"),"Gli uomini lanciano la scala sul tappeto.")</f>
        <v>Gli uomini lanciano la scala sul tappeto.</v>
      </c>
    </row>
    <row r="10408">
      <c r="A10408" s="4" t="s">
        <v>13080</v>
      </c>
      <c r="B10408" s="4" t="s">
        <v>13083</v>
      </c>
      <c r="C10408" s="5" t="str">
        <f>IFERROR(__xludf.DUMMYFUNCTION("GOOGLETRANSLATE(B10408,""en"",""it"")"),"L'arbitro si inginocchia vicino.")</f>
        <v>L'arbitro si inginocchia vicino.</v>
      </c>
    </row>
    <row r="10409">
      <c r="A10409" s="4" t="s">
        <v>13080</v>
      </c>
      <c r="B10409" s="4" t="s">
        <v>13084</v>
      </c>
      <c r="C10409" s="5" t="str">
        <f>IFERROR(__xludf.DUMMYFUNCTION("GOOGLETRANSLATE(B10409,""en"",""it"")"),"L'uomo in rosso striscia verso l'uomo in blu e lo stringe vincendo la partita.")</f>
        <v>L'uomo in rosso striscia verso l'uomo in blu e lo stringe vincendo la partita.</v>
      </c>
    </row>
    <row r="10410">
      <c r="A10410" s="4" t="s">
        <v>13080</v>
      </c>
      <c r="B10410" s="4" t="s">
        <v>13085</v>
      </c>
      <c r="C10410" s="5" t="str">
        <f>IFERROR(__xludf.DUMMYFUNCTION("GOOGLETRANSLATE(B10410,""en"",""it"")"),"Vediamo un replay della partita.")</f>
        <v>Vediamo un replay della partita.</v>
      </c>
    </row>
    <row r="10411">
      <c r="A10411" s="4" t="s">
        <v>13086</v>
      </c>
      <c r="B10411" s="4" t="s">
        <v>13087</v>
      </c>
      <c r="C10411" s="5" t="str">
        <f>IFERROR(__xludf.DUMMYFUNCTION("GOOGLETRANSLATE(B10411,""en"",""it"")"),"Questo uomo anziano sta facendo esplodere le foglie usando un soffiatore di foglie.")</f>
        <v>Questo uomo anziano sta facendo esplodere le foglie usando un soffiatore di foglie.</v>
      </c>
    </row>
    <row r="10412">
      <c r="A10412" s="4" t="s">
        <v>13086</v>
      </c>
      <c r="B10412" s="4" t="s">
        <v>13088</v>
      </c>
      <c r="C10412" s="5" t="str">
        <f>IFERROR(__xludf.DUMMYFUNCTION("GOOGLETRANSLATE(B10412,""en"",""it"")"),"Innanzitutto la fotocamera sta dando agli spettatori una vista ravvicinata che mostra solo la faccia dell'uomo.")</f>
        <v>Innanzitutto la fotocamera sta dando agli spettatori una vista ravvicinata che mostra solo la faccia dell'uomo.</v>
      </c>
    </row>
    <row r="10413">
      <c r="A10413" s="4" t="s">
        <v>13086</v>
      </c>
      <c r="B10413" s="6" t="s">
        <v>13089</v>
      </c>
      <c r="C10413" s="5" t="str">
        <f>IFERROR(__xludf.DUMMYFUNCTION("GOOGLETRANSLATE(B10413,""en"",""it"")"),"Quindi la fotocamera si zoom e mostra l'uomo che soffia le foglie usando una macchina e quando ha finito a metà del suo lavoro, spegne il soffiatore di foglie.")</f>
        <v>Quindi la fotocamera si zoom e mostra l'uomo che soffia le foglie usando una macchina e quando ha finito a metà del suo lavoro, spegne il soffiatore di foglie.</v>
      </c>
    </row>
    <row r="10414">
      <c r="A10414" s="4" t="s">
        <v>13090</v>
      </c>
      <c r="B10414" s="6" t="s">
        <v>13091</v>
      </c>
      <c r="C10414" s="5" t="str">
        <f>IFERROR(__xludf.DUMMYFUNCTION("GOOGLETRANSLATE(B10414,""en"",""it"")"),"Little Kid tiene una racchetta da tennis rossa vicino al suo viso, ma poi la mette sul pavimento e salta in cima.")</f>
        <v>Little Kid tiene una racchetta da tennis rossa vicino al suo viso, ma poi la mette sul pavimento e salta in cima.</v>
      </c>
    </row>
    <row r="10415">
      <c r="A10415" s="4" t="s">
        <v>13090</v>
      </c>
      <c r="B10415" s="4" t="s">
        <v>13092</v>
      </c>
      <c r="C10415" s="5" t="str">
        <f>IFERROR(__xludf.DUMMYFUNCTION("GOOGLETRANSLATE(B10415,""en"",""it"")"),"Little Kid è in una piccola stanza giocando in un hopscotch.")</f>
        <v>Little Kid è in una piccola stanza giocando in un hopscotch.</v>
      </c>
    </row>
    <row r="10416">
      <c r="A10416" s="4" t="s">
        <v>13090</v>
      </c>
      <c r="B10416" s="4" t="s">
        <v>13093</v>
      </c>
      <c r="C10416" s="5" t="str">
        <f>IFERROR(__xludf.DUMMYFUNCTION("GOOGLETRANSLATE(B10416,""en"",""it"")"),"La ragazza sta afferrando giocattoli dal pavimento.")</f>
        <v>La ragazza sta afferrando giocattoli dal pavimento.</v>
      </c>
    </row>
    <row r="10417">
      <c r="A10417" s="4" t="s">
        <v>13094</v>
      </c>
      <c r="B10417" s="6" t="s">
        <v>13095</v>
      </c>
      <c r="C10417" s="5" t="str">
        <f>IFERROR(__xludf.DUMMYFUNCTION("GOOGLETRANSLATE(B10417,""en"",""it"")"),"Un uomo si trova su un campo in un gioco all'aperto circondato da gradinate con persone in loro e esegue un tiro a martello.")</f>
        <v>Un uomo si trova su un campo in un gioco all'aperto circondato da gradinate con persone in loro e esegue un tiro a martello.</v>
      </c>
    </row>
    <row r="10418">
      <c r="A10418" s="4" t="s">
        <v>13094</v>
      </c>
      <c r="B10418" s="6" t="s">
        <v>13096</v>
      </c>
      <c r="C10418" s="5" t="str">
        <f>IFERROR(__xludf.DUMMYFUNCTION("GOOGLETRANSLATE(B10418,""en"",""it"")"),"L'uomo gira il martello più volte e poi lascia andare il martello a volare tra i capelli e atterrare sul campo.")</f>
        <v>L'uomo gira il martello più volte e poi lascia andare il martello a volare tra i capelli e atterrare sul campo.</v>
      </c>
    </row>
    <row r="10419">
      <c r="A10419" s="4" t="s">
        <v>13094</v>
      </c>
      <c r="B10419" s="6" t="s">
        <v>13097</v>
      </c>
      <c r="C10419" s="5" t="str">
        <f>IFERROR(__xludf.DUMMYFUNCTION("GOOGLETRANSLATE(B10419,""en"",""it"")"),"Un video a rallentatore dell'atterraggio del martello appare mentre l'uomo sembra felice con il punteggio e si asciuga con un asciugamano.")</f>
        <v>Un video a rallentatore dell'atterraggio del martello appare mentre l'uomo sembra felice con il punteggio e si asciuga con un asciugamano.</v>
      </c>
    </row>
    <row r="10420">
      <c r="A10420" s="4" t="s">
        <v>13098</v>
      </c>
      <c r="B10420" s="4" t="s">
        <v>13099</v>
      </c>
      <c r="C10420" s="5" t="str">
        <f>IFERROR(__xludf.DUMMYFUNCTION("GOOGLETRANSLATE(B10420,""en"",""it"")"),"Le lettere sono mostrate su uno schermo.")</f>
        <v>Le lettere sono mostrate su uno schermo.</v>
      </c>
    </row>
    <row r="10421">
      <c r="A10421" s="4" t="s">
        <v>13098</v>
      </c>
      <c r="B10421" s="4" t="s">
        <v>13100</v>
      </c>
      <c r="C10421" s="5" t="str">
        <f>IFERROR(__xludf.DUMMYFUNCTION("GOOGLETRANSLATE(B10421,""en"",""it"")"),"Un secchio blu viene messo in un lavandino.")</f>
        <v>Un secchio blu viene messo in un lavandino.</v>
      </c>
    </row>
    <row r="10422">
      <c r="A10422" s="4" t="s">
        <v>13098</v>
      </c>
      <c r="B10422" s="4" t="s">
        <v>13101</v>
      </c>
      <c r="C10422" s="5" t="str">
        <f>IFERROR(__xludf.DUMMYFUNCTION("GOOGLETRANSLATE(B10422,""en"",""it"")"),"Un uomo inizia a pulire i pavimenti in legno.")</f>
        <v>Un uomo inizia a pulire i pavimenti in legno.</v>
      </c>
    </row>
    <row r="10423">
      <c r="A10423" s="4" t="s">
        <v>13098</v>
      </c>
      <c r="B10423" s="4" t="s">
        <v>13102</v>
      </c>
      <c r="C10423" s="5" t="str">
        <f>IFERROR(__xludf.DUMMYFUNCTION("GOOGLETRANSLATE(B10423,""en"",""it"")"),"Muove la piastrella in bagno.")</f>
        <v>Muove la piastrella in bagno.</v>
      </c>
    </row>
    <row r="10424">
      <c r="A10424" s="4" t="s">
        <v>13103</v>
      </c>
      <c r="B10424" s="4" t="s">
        <v>13104</v>
      </c>
      <c r="C10424" s="5" t="str">
        <f>IFERROR(__xludf.DUMMYFUNCTION("GOOGLETRANSLATE(B10424,""en"",""it"")"),"Una persona è vista in piedi su una spiaggia guardando la sabbia.")</f>
        <v>Una persona è vista in piedi su una spiaggia guardando la sabbia.</v>
      </c>
    </row>
    <row r="10425">
      <c r="A10425" s="4" t="s">
        <v>13103</v>
      </c>
      <c r="B10425" s="4" t="s">
        <v>13105</v>
      </c>
      <c r="C10425" s="5" t="str">
        <f>IFERROR(__xludf.DUMMYFUNCTION("GOOGLETRANSLATE(B10425,""en"",""it"")"),"La persona inizia quindi a costruire un grande castello di sabbia di fronte a loro.")</f>
        <v>La persona inizia quindi a costruire un grande castello di sabbia di fronte a loro.</v>
      </c>
    </row>
    <row r="10426">
      <c r="A10426" s="4" t="s">
        <v>13103</v>
      </c>
      <c r="B10426" s="4" t="s">
        <v>13106</v>
      </c>
      <c r="C10426" s="5" t="str">
        <f>IFERROR(__xludf.DUMMYFUNCTION("GOOGLETRANSLATE(B10426,""en"",""it"")"),"La persona continua a lavorare intorno alla sabbia e termina uscendo dal telaio.")</f>
        <v>La persona continua a lavorare intorno alla sabbia e termina uscendo dal telaio.</v>
      </c>
    </row>
    <row r="10427">
      <c r="A10427" s="4" t="s">
        <v>13107</v>
      </c>
      <c r="B10427" s="4" t="s">
        <v>13108</v>
      </c>
      <c r="C10427" s="5" t="str">
        <f>IFERROR(__xludf.DUMMYFUNCTION("GOOGLETRANSLATE(B10427,""en"",""it"")"),"Un uomo balla e tira i pantaloni, che stanno cadendo, backup, mentre spazza un pavimento di caffè.")</f>
        <v>Un uomo balla e tira i pantaloni, che stanno cadendo, backup, mentre spazza un pavimento di caffè.</v>
      </c>
    </row>
    <row r="10428">
      <c r="A10428" s="4" t="s">
        <v>13107</v>
      </c>
      <c r="B10428" s="4" t="s">
        <v>13109</v>
      </c>
      <c r="C10428" s="5" t="str">
        <f>IFERROR(__xludf.DUMMYFUNCTION("GOOGLETRANSLATE(B10428,""en"",""it"")"),"Un uomo, con le spalle a una macchina fotografica elevata, inizia a ballare mentre spazza un pavimento in bar.")</f>
        <v>Un uomo, con le spalle a una macchina fotografica elevata, inizia a ballare mentre spazza un pavimento in bar.</v>
      </c>
    </row>
    <row r="10429">
      <c r="A10429" s="4" t="s">
        <v>13107</v>
      </c>
      <c r="B10429" s="6" t="s">
        <v>13110</v>
      </c>
      <c r="C10429" s="5" t="str">
        <f>IFERROR(__xludf.DUMMYFUNCTION("GOOGLETRANSLATE(B10429,""en"",""it"")"),"L'uomo inizia a sollevarsi i pantaloni mentre i suoi spettacoli di biancheria intima blu della torsione della danza, che si sono tirati giù i pantaloni.")</f>
        <v>L'uomo inizia a sollevarsi i pantaloni mentre i suoi spettacoli di biancheria intima blu della torsione della danza, che si sono tirati giù i pantaloni.</v>
      </c>
    </row>
    <row r="10430">
      <c r="A10430" s="4" t="s">
        <v>13107</v>
      </c>
      <c r="B10430" s="4" t="s">
        <v>13111</v>
      </c>
      <c r="C10430" s="5" t="str">
        <f>IFERROR(__xludf.DUMMYFUNCTION("GOOGLETRANSLATE(B10430,""en"",""it"")"),"L'uomo si gira quindi per affrontare la telecamera e sorride mentre si alza i pantaloni.")</f>
        <v>L'uomo si gira quindi per affrontare la telecamera e sorride mentre si alza i pantaloni.</v>
      </c>
    </row>
    <row r="10431">
      <c r="A10431" s="4" t="s">
        <v>13112</v>
      </c>
      <c r="B10431" s="4" t="s">
        <v>13113</v>
      </c>
      <c r="C10431" s="5" t="str">
        <f>IFERROR(__xludf.DUMMYFUNCTION("GOOGLETRANSLATE(B10431,""en"",""it"")"),"Un giovane è visto in piedi davanti alla telecamera e inizia a girare in cerchio.")</f>
        <v>Un giovane è visto in piedi davanti alla telecamera e inizia a girare in cerchio.</v>
      </c>
    </row>
    <row r="10432">
      <c r="A10432" s="4" t="s">
        <v>13112</v>
      </c>
      <c r="B10432" s="4" t="s">
        <v>13114</v>
      </c>
      <c r="C10432" s="5" t="str">
        <f>IFERROR(__xludf.DUMMYFUNCTION("GOOGLETRANSLATE(B10432,""en"",""it"")"),"Continua a girare e poi fa diversi calci e pugni mentre lancia anche freccette.")</f>
        <v>Continua a girare e poi fa diversi calci e pugni mentre lancia anche freccette.</v>
      </c>
    </row>
    <row r="10433">
      <c r="A10433" s="4" t="s">
        <v>13115</v>
      </c>
      <c r="B10433" s="4" t="s">
        <v>13116</v>
      </c>
      <c r="C10433" s="5" t="str">
        <f>IFERROR(__xludf.DUMMYFUNCTION("GOOGLETRANSLATE(B10433,""en"",""it"")"),"Un'ascia poggia in un albero caduto.")</f>
        <v>Un'ascia poggia in un albero caduto.</v>
      </c>
    </row>
    <row r="10434">
      <c r="A10434" s="4" t="s">
        <v>13115</v>
      </c>
      <c r="B10434" s="4" t="s">
        <v>13117</v>
      </c>
      <c r="C10434" s="5" t="str">
        <f>IFERROR(__xludf.DUMMYFUNCTION("GOOGLETRANSLATE(B10434,""en"",""it"")"),"Un uomo raccoglie l'ascia e taglia il bagagliaio dell'albero.")</f>
        <v>Un uomo raccoglie l'ascia e taglia il bagagliaio dell'albero.</v>
      </c>
    </row>
    <row r="10435">
      <c r="A10435" s="4" t="s">
        <v>13115</v>
      </c>
      <c r="B10435" s="4" t="s">
        <v>13118</v>
      </c>
      <c r="C10435" s="5" t="str">
        <f>IFERROR(__xludf.DUMMYFUNCTION("GOOGLETRANSLATE(B10435,""en"",""it"")"),"Continua a tagliare fino a quando il tronco non è a metà, quindi se ne va.")</f>
        <v>Continua a tagliare fino a quando il tronco non è a metà, quindi se ne va.</v>
      </c>
    </row>
    <row r="10436">
      <c r="A10436" s="4" t="s">
        <v>13119</v>
      </c>
      <c r="B10436" s="6" t="s">
        <v>13120</v>
      </c>
      <c r="C10436" s="5" t="str">
        <f>IFERROR(__xludf.DUMMYFUNCTION("GOOGLETRANSLATE(B10436,""en"",""it"")"),"Un ragazzo sorridente scivola giù per una diapositiva rossa che ha una rete su ciascun lato e un marchio, un sito Web, un'e -mail e un telefono appaiono sullo schermo quando raggiunge il fondo.")</f>
        <v>Un ragazzo sorridente scivola giù per una diapositiva rossa che ha una rete su ciascun lato e un marchio, un sito Web, un'e -mail e un telefono appaiono sullo schermo quando raggiunge il fondo.</v>
      </c>
    </row>
    <row r="10437">
      <c r="A10437" s="4" t="s">
        <v>13119</v>
      </c>
      <c r="B10437" s="4" t="s">
        <v>13121</v>
      </c>
      <c r="C10437" s="5" t="str">
        <f>IFERROR(__xludf.DUMMYFUNCTION("GOOGLETRANSLATE(B10437,""en"",""it"")"),"Poi altri due bambini dietro di lui che sono bambine scivolano giù.")</f>
        <v>Poi altri due bambini dietro di lui che sono bambine scivolano giù.</v>
      </c>
    </row>
    <row r="10438">
      <c r="A10438" s="4" t="s">
        <v>13119</v>
      </c>
      <c r="B10438" s="6" t="s">
        <v>13122</v>
      </c>
      <c r="C10438" s="5" t="str">
        <f>IFERROR(__xludf.DUMMYFUNCTION("GOOGLETRANSLATE(B10438,""en"",""it"")"),"Proprio mentre le ragazze stanno raggiungendo il fondo del ragazzo di scivolo si alza e lasciano lo scivolo e le ragazze seguono proprio dietro di lui.")</f>
        <v>Proprio mentre le ragazze stanno raggiungendo il fondo del ragazzo di scivolo si alza e lasciano lo scivolo e le ragazze seguono proprio dietro di lui.</v>
      </c>
    </row>
    <row r="10439">
      <c r="A10439" s="4" t="s">
        <v>13123</v>
      </c>
      <c r="B10439" s="4" t="s">
        <v>13124</v>
      </c>
      <c r="C10439" s="5" t="str">
        <f>IFERROR(__xludf.DUMMYFUNCTION("GOOGLETRANSLATE(B10439,""en"",""it"")"),"Vediamo la scheda del titolo su Black.")</f>
        <v>Vediamo la scheda del titolo su Black.</v>
      </c>
    </row>
    <row r="10440">
      <c r="A10440" s="4" t="s">
        <v>13123</v>
      </c>
      <c r="B10440" s="4" t="s">
        <v>13125</v>
      </c>
      <c r="C10440" s="5" t="str">
        <f>IFERROR(__xludf.DUMMYFUNCTION("GOOGLETRANSLATE(B10440,""en"",""it"")"),"Vediamo una signora che cavalca lentamente su una macchina ellittica e tirando le maniglie.")</f>
        <v>Vediamo una signora che cavalca lentamente su una macchina ellittica e tirando le maniglie.</v>
      </c>
    </row>
    <row r="10441">
      <c r="A10441" s="4" t="s">
        <v>13123</v>
      </c>
      <c r="B10441" s="4" t="s">
        <v>13126</v>
      </c>
      <c r="C10441" s="5" t="str">
        <f>IFERROR(__xludf.DUMMYFUNCTION("GOOGLETRANSLATE(B10441,""en"",""it"")"),"Passiamo alla signora che cavalcano senza tenere le maniglie.")</f>
        <v>Passiamo alla signora che cavalcano senza tenere le maniglie.</v>
      </c>
    </row>
    <row r="10442">
      <c r="A10442" s="4" t="s">
        <v>13123</v>
      </c>
      <c r="B10442" s="4" t="s">
        <v>13127</v>
      </c>
      <c r="C10442" s="5" t="str">
        <f>IFERROR(__xludf.DUMMYFUNCTION("GOOGLETRANSLATE(B10442,""en"",""it"")"),"Vediamo quindi la bici in modalità passo -passo delle scale e usando le maniglie.")</f>
        <v>Vediamo quindi la bici in modalità passo -passo delle scale e usando le maniglie.</v>
      </c>
    </row>
    <row r="10443">
      <c r="A10443" s="4" t="s">
        <v>13123</v>
      </c>
      <c r="B10443" s="4" t="s">
        <v>13128</v>
      </c>
      <c r="C10443" s="5" t="str">
        <f>IFERROR(__xludf.DUMMYFUNCTION("GOOGLETRANSLATE(B10443,""en"",""it"")"),"Quindi la vediamo usare la bici in modalità stepper scale senza maniglie.")</f>
        <v>Quindi la vediamo usare la bici in modalità stepper scale senza maniglie.</v>
      </c>
    </row>
    <row r="10444">
      <c r="A10444" s="4" t="s">
        <v>13129</v>
      </c>
      <c r="B10444" s="4" t="s">
        <v>13130</v>
      </c>
      <c r="C10444" s="5" t="str">
        <f>IFERROR(__xludf.DUMMYFUNCTION("GOOGLETRANSLATE(B10444,""en"",""it"")"),"Le persone dipingono una recinzione in legno in un cortile.")</f>
        <v>Le persone dipingono una recinzione in legno in un cortile.</v>
      </c>
    </row>
    <row r="10445">
      <c r="A10445" s="4" t="s">
        <v>13129</v>
      </c>
      <c r="B10445" s="4" t="s">
        <v>13131</v>
      </c>
      <c r="C10445" s="5" t="str">
        <f>IFERROR(__xludf.DUMMYFUNCTION("GOOGLETRANSLATE(B10445,""en"",""it"")"),"Un cane cammina dietro di loro.")</f>
        <v>Un cane cammina dietro di loro.</v>
      </c>
    </row>
    <row r="10446">
      <c r="A10446" s="4" t="s">
        <v>13129</v>
      </c>
      <c r="B10446" s="4" t="s">
        <v>13132</v>
      </c>
      <c r="C10446" s="5" t="str">
        <f>IFERROR(__xludf.DUMMYFUNCTION("GOOGLETRANSLATE(B10446,""en"",""it"")"),"Continuano a dipingere la recinzione.")</f>
        <v>Continuano a dipingere la recinzione.</v>
      </c>
    </row>
    <row r="10447">
      <c r="A10447" s="4" t="s">
        <v>13133</v>
      </c>
      <c r="B10447" s="4" t="s">
        <v>13134</v>
      </c>
      <c r="C10447" s="5" t="str">
        <f>IFERROR(__xludf.DUMMYFUNCTION("GOOGLETRANSLATE(B10447,""en"",""it"")"),"La donna è in piedi in una piccola stanza facendo trucchi con un testimone.")</f>
        <v>La donna è in piedi in una piccola stanza facendo trucchi con un testimone.</v>
      </c>
    </row>
    <row r="10448">
      <c r="A10448" s="4" t="s">
        <v>13133</v>
      </c>
      <c r="B10448" s="4" t="s">
        <v>13135</v>
      </c>
      <c r="C10448" s="5" t="str">
        <f>IFERROR(__xludf.DUMMYFUNCTION("GOOGLETRANSLATE(B10448,""en"",""it"")"),"Gli uomini corrono da un lato della donna.")</f>
        <v>Gli uomini corrono da un lato della donna.</v>
      </c>
    </row>
    <row r="10449">
      <c r="A10449" s="4" t="s">
        <v>13133</v>
      </c>
      <c r="B10449" s="4" t="s">
        <v>13136</v>
      </c>
      <c r="C10449" s="5" t="str">
        <f>IFERROR(__xludf.DUMMYFUNCTION("GOOGLETRANSLATE(B10449,""en"",""it"")"),"Le donne entrano in una stanza.")</f>
        <v>Le donne entrano in una stanza.</v>
      </c>
    </row>
    <row r="10450">
      <c r="A10450" s="4" t="s">
        <v>13137</v>
      </c>
      <c r="B10450" s="4" t="s">
        <v>13138</v>
      </c>
      <c r="C10450" s="5" t="str">
        <f>IFERROR(__xludf.DUMMYFUNCTION("GOOGLETRANSLATE(B10450,""en"",""it"")"),"I crediti del titolo sono mostrati sullo schermo.")</f>
        <v>I crediti del titolo sono mostrati sullo schermo.</v>
      </c>
    </row>
    <row r="10451">
      <c r="A10451" s="4" t="s">
        <v>13137</v>
      </c>
      <c r="B10451" s="4" t="s">
        <v>13139</v>
      </c>
      <c r="C10451" s="5" t="str">
        <f>IFERROR(__xludf.DUMMYFUNCTION("GOOGLETRANSLATE(B10451,""en"",""it"")"),"Una donna parla alla telecamera in palestra.")</f>
        <v>Una donna parla alla telecamera in palestra.</v>
      </c>
    </row>
    <row r="10452">
      <c r="A10452" s="4" t="s">
        <v>13137</v>
      </c>
      <c r="B10452" s="4" t="s">
        <v>13140</v>
      </c>
      <c r="C10452" s="5" t="str">
        <f>IFERROR(__xludf.DUMMYFUNCTION("GOOGLETRANSLATE(B10452,""en"",""it"")"),"La donna dimostra un esercizio di sollevamento.")</f>
        <v>La donna dimostra un esercizio di sollevamento.</v>
      </c>
    </row>
    <row r="10453">
      <c r="A10453" s="4" t="s">
        <v>13137</v>
      </c>
      <c r="B10453" s="4" t="s">
        <v>13141</v>
      </c>
      <c r="C10453" s="5" t="str">
        <f>IFERROR(__xludf.DUMMYFUNCTION("GOOGLETRANSLATE(B10453,""en"",""it"")"),"La donna torna alla telecamera e parla di nuovo.")</f>
        <v>La donna torna alla telecamera e parla di nuovo.</v>
      </c>
    </row>
    <row r="10454">
      <c r="A10454" s="4" t="s">
        <v>13137</v>
      </c>
      <c r="B10454" s="4" t="s">
        <v>13142</v>
      </c>
      <c r="C10454" s="5" t="str">
        <f>IFERROR(__xludf.DUMMYFUNCTION("GOOGLETRANSLATE(B10454,""en"",""it"")"),"I crediti di fine rotola sullo schermo.")</f>
        <v>I crediti di fine rotola sullo schermo.</v>
      </c>
    </row>
    <row r="10455">
      <c r="A10455" s="4" t="s">
        <v>13143</v>
      </c>
      <c r="B10455" s="4" t="s">
        <v>13144</v>
      </c>
      <c r="C10455" s="5" t="str">
        <f>IFERROR(__xludf.DUMMYFUNCTION("GOOGLETRANSLATE(B10455,""en"",""it"")"),"Un uomo scarica una carriola di pacciame sul prato.")</f>
        <v>Un uomo scarica una carriola di pacciame sul prato.</v>
      </c>
    </row>
    <row r="10456">
      <c r="A10456" s="4" t="s">
        <v>13143</v>
      </c>
      <c r="B10456" s="4" t="s">
        <v>13145</v>
      </c>
      <c r="C10456" s="5" t="str">
        <f>IFERROR(__xludf.DUMMYFUNCTION("GOOGLETRANSLATE(B10456,""en"",""it"")"),"Lo rastrella sul terreno.")</f>
        <v>Lo rastrella sul terreno.</v>
      </c>
    </row>
    <row r="10457">
      <c r="A10457" s="4" t="s">
        <v>13143</v>
      </c>
      <c r="B10457" s="4" t="s">
        <v>13146</v>
      </c>
      <c r="C10457" s="5" t="str">
        <f>IFERROR(__xludf.DUMMYFUNCTION("GOOGLETRANSLATE(B10457,""en"",""it"")"),"Porta un'altra carriola piena di pacciame e lo rastrella sul prato.")</f>
        <v>Porta un'altra carriola piena di pacciame e lo rastrella sul prato.</v>
      </c>
    </row>
    <row r="10458">
      <c r="A10458" s="4" t="s">
        <v>13147</v>
      </c>
      <c r="B10458" s="4" t="s">
        <v>13148</v>
      </c>
      <c r="C10458" s="5" t="str">
        <f>IFERROR(__xludf.DUMMYFUNCTION("GOOGLETRANSLATE(B10458,""en"",""it"")"),"Un folto gruppo di persone è visto in una folla urlare e giocare a pallavolo.")</f>
        <v>Un folto gruppo di persone è visto in una folla urlare e giocare a pallavolo.</v>
      </c>
    </row>
    <row r="10459">
      <c r="A10459" s="4" t="s">
        <v>13147</v>
      </c>
      <c r="B10459" s="4" t="s">
        <v>13149</v>
      </c>
      <c r="C10459" s="5" t="str">
        <f>IFERROR(__xludf.DUMMYFUNCTION("GOOGLETRANSLATE(B10459,""en"",""it"")"),"Il gruppo di ragazze continua a suonare mentre le persone tifano sui lati e le cheerleader.")</f>
        <v>Il gruppo di ragazze continua a suonare mentre le persone tifano sui lati e le cheerleader.</v>
      </c>
    </row>
    <row r="10460">
      <c r="A10460" s="4" t="s">
        <v>13150</v>
      </c>
      <c r="B10460" s="4" t="s">
        <v>13151</v>
      </c>
      <c r="C10460" s="5" t="str">
        <f>IFERROR(__xludf.DUMMYFUNCTION("GOOGLETRANSLATE(B10460,""en"",""it"")"),"Vediamo una sceneggiatura asiatica sulla schermata del titolo.")</f>
        <v>Vediamo una sceneggiatura asiatica sulla schermata del titolo.</v>
      </c>
    </row>
    <row r="10461">
      <c r="A10461" s="4" t="s">
        <v>13150</v>
      </c>
      <c r="B10461" s="4" t="s">
        <v>13152</v>
      </c>
      <c r="C10461" s="5" t="str">
        <f>IFERROR(__xludf.DUMMYFUNCTION("GOOGLETRANSLATE(B10461,""en"",""it"")"),"Vediamo cibo su un tavolo e una signora che raccoglie una patata.")</f>
        <v>Vediamo cibo su un tavolo e una signora che raccoglie una patata.</v>
      </c>
    </row>
    <row r="10462">
      <c r="A10462" s="4" t="s">
        <v>13150</v>
      </c>
      <c r="B10462" s="4" t="s">
        <v>13153</v>
      </c>
      <c r="C10462" s="5" t="str">
        <f>IFERROR(__xludf.DUMMYFUNCTION("GOOGLETRANSLATE(B10462,""en"",""it"")"),"La patata viene tagliata, quindi lasciata cadere in una pentola.")</f>
        <v>La patata viene tagliata, quindi lasciata cadere in una pentola.</v>
      </c>
    </row>
    <row r="10463">
      <c r="A10463" s="4" t="s">
        <v>13150</v>
      </c>
      <c r="B10463" s="4" t="s">
        <v>13154</v>
      </c>
      <c r="C10463" s="5" t="str">
        <f>IFERROR(__xludf.DUMMYFUNCTION("GOOGLETRANSLATE(B10463,""en"",""it"")"),"Viene trasferito in acqua fredda e la pelle scivola via quando è tirata.")</f>
        <v>Viene trasferito in acqua fredda e la pelle scivola via quando è tirata.</v>
      </c>
    </row>
    <row r="10464">
      <c r="A10464" s="4" t="s">
        <v>13150</v>
      </c>
      <c r="B10464" s="4" t="s">
        <v>13155</v>
      </c>
      <c r="C10464" s="5" t="str">
        <f>IFERROR(__xludf.DUMMYFUNCTION("GOOGLETRANSLATE(B10464,""en"",""it"")"),"Vediamo un'illustrazione rossa su una patata e una patata viene schiacciata.")</f>
        <v>Vediamo un'illustrazione rossa su una patata e una patata viene schiacciata.</v>
      </c>
    </row>
    <row r="10465">
      <c r="A10465" s="4" t="s">
        <v>13150</v>
      </c>
      <c r="B10465" s="4" t="s">
        <v>13156</v>
      </c>
      <c r="C10465" s="5" t="str">
        <f>IFERROR(__xludf.DUMMYFUNCTION("GOOGLETRANSLATE(B10465,""en"",""it"")"),"Altre due patate sono facilmente sbucciate, un'altra patata viene bollita e lasciata cadere in acqua fredda.")</f>
        <v>Altre due patate sono facilmente sbucciate, un'altra patata viene bollita e lasciata cadere in acqua fredda.</v>
      </c>
    </row>
    <row r="10466">
      <c r="A10466" s="4" t="s">
        <v>13157</v>
      </c>
      <c r="B10466" s="6" t="s">
        <v>13158</v>
      </c>
      <c r="C10466" s="5" t="str">
        <f>IFERROR(__xludf.DUMMYFUNCTION("GOOGLETRANSLATE(B10466,""en"",""it"")"),"Vengono mostrate diverse clip di persone che vagano per le aree, guardano alla telecamera e skateboard giù per una collina.")</f>
        <v>Vengono mostrate diverse clip di persone che vagano per le aree, guardano alla telecamera e skateboard giù per una collina.</v>
      </c>
    </row>
    <row r="10467">
      <c r="A10467" s="4" t="s">
        <v>13157</v>
      </c>
      <c r="B10467" s="6" t="s">
        <v>13159</v>
      </c>
      <c r="C10467" s="5" t="str">
        <f>IFERROR(__xludf.DUMMYFUNCTION("GOOGLETRANSLATE(B10467,""en"",""it"")"),"Diverse altre persone vengono mostrate skateboarding in varie aree, nonché nuotare, giunti a rotolamenti e navigare sull'acqua.")</f>
        <v>Diverse altre persone vengono mostrate skateboarding in varie aree, nonché nuotare, giunti a rotolamenti e navigare sull'acqua.</v>
      </c>
    </row>
    <row r="10468">
      <c r="A10468" s="4" t="s">
        <v>13157</v>
      </c>
      <c r="B10468" s="6" t="s">
        <v>13160</v>
      </c>
      <c r="C10468" s="5" t="str">
        <f>IFERROR(__xludf.DUMMYFUNCTION("GOOGLETRANSLATE(B10468,""en"",""it"")"),"Gli uomini eseguono trucchi, si nutre, nuotano sott'acqua, aprono un'anguria e varie altre attività che riportano allo skateboard.")</f>
        <v>Gli uomini eseguono trucchi, si nutre, nuotano sott'acqua, aprono un'anguria e varie altre attività che riportano allo skateboard.</v>
      </c>
    </row>
    <row r="10469">
      <c r="A10469" s="4" t="s">
        <v>13161</v>
      </c>
      <c r="B10469" s="4" t="s">
        <v>13162</v>
      </c>
      <c r="C10469" s="5" t="str">
        <f>IFERROR(__xludf.DUMMYFUNCTION("GOOGLETRANSLATE(B10469,""en"",""it"")"),"Una folla di persone è in uno stadio a guardare un toro in lotta.")</f>
        <v>Una folla di persone è in uno stadio a guardare un toro in lotta.</v>
      </c>
    </row>
    <row r="10470">
      <c r="A10470" s="4" t="s">
        <v>13161</v>
      </c>
      <c r="B10470" s="4" t="s">
        <v>13163</v>
      </c>
      <c r="C10470" s="5" t="str">
        <f>IFERROR(__xludf.DUMMYFUNCTION("GOOGLETRANSLATE(B10470,""en"",""it"")"),"Un uomo minuto è in piedi davanti al toro con un panno rosso e provoca il toro.")</f>
        <v>Un uomo minuto è in piedi davanti al toro con un panno rosso e provoca il toro.</v>
      </c>
    </row>
    <row r="10471">
      <c r="A10471" s="4" t="s">
        <v>13161</v>
      </c>
      <c r="B10471" s="6" t="s">
        <v>13164</v>
      </c>
      <c r="C10471" s="5" t="str">
        <f>IFERROR(__xludf.DUMMYFUNCTION("GOOGLETRANSLATE(B10471,""en"",""it"")"),"Una volta che il toro si muove, altri tre uomini escono con panni rosa e iniziano a scherzare i tori e li colpisce con le corna.")</f>
        <v>Una volta che il toro si muove, altri tre uomini escono con panni rosa e iniziano a scherzare i tori e li colpisce con le corna.</v>
      </c>
    </row>
    <row r="10472">
      <c r="A10472" s="4" t="s">
        <v>13161</v>
      </c>
      <c r="B10472" s="6" t="s">
        <v>13165</v>
      </c>
      <c r="C10472" s="5" t="str">
        <f>IFERROR(__xludf.DUMMYFUNCTION("GOOGLETRANSLATE(B10472,""en"",""it"")"),"Alla fine gli uomini lasciano il toro da solo e si sdraia su un fianco e iniziano a dargli qualcosa in bocca.")</f>
        <v>Alla fine gli uomini lasciano il toro da solo e si sdraia su un fianco e iniziano a dargli qualcosa in bocca.</v>
      </c>
    </row>
    <row r="10473">
      <c r="A10473" s="4" t="s">
        <v>13161</v>
      </c>
      <c r="B10473" s="6" t="s">
        <v>13166</v>
      </c>
      <c r="C10473" s="5" t="str">
        <f>IFERROR(__xludf.DUMMYFUNCTION("GOOGLETRANSLATE(B10473,""en"",""it"")"),"Una volta riposato, un altro uomo viene e avvolge qualcosa intorno alla sua bocca per fissarlo mentre un altro set di uomini escono guidando i cavalli.")</f>
        <v>Una volta riposato, un altro uomo viene e avvolge qualcosa intorno alla sua bocca per fissarlo mentre un altro set di uomini escono guidando i cavalli.</v>
      </c>
    </row>
    <row r="10474">
      <c r="A10474" s="4" t="s">
        <v>13167</v>
      </c>
      <c r="B10474" s="4" t="s">
        <v>13168</v>
      </c>
      <c r="C10474" s="5" t="str">
        <f>IFERROR(__xludf.DUMMYFUNCTION("GOOGLETRANSLATE(B10474,""en"",""it"")"),"Due uomini fanno spar in una partita di allenamento di karate all'interno di uno studio in palestra.")</f>
        <v>Due uomini fanno spar in una partita di allenamento di karate all'interno di uno studio in palestra.</v>
      </c>
    </row>
    <row r="10475">
      <c r="A10475" s="4" t="s">
        <v>13167</v>
      </c>
      <c r="B10475" s="4" t="s">
        <v>13169</v>
      </c>
      <c r="C10475" s="5" t="str">
        <f>IFERROR(__xludf.DUMMYFUNCTION("GOOGLETRANSLATE(B10475,""en"",""it"")"),"L'istruttore gira lo studente dopo aver preso i pugni.")</f>
        <v>L'istruttore gira lo studente dopo aver preso i pugni.</v>
      </c>
    </row>
    <row r="10476">
      <c r="A10476" s="4" t="s">
        <v>13167</v>
      </c>
      <c r="B10476" s="4" t="s">
        <v>13170</v>
      </c>
      <c r="C10476" s="5" t="str">
        <f>IFERROR(__xludf.DUMMYFUNCTION("GOOGLETRANSLATE(B10476,""en"",""it"")"),"L'istruttore fa un calcio scorrevole sullo studente.")</f>
        <v>L'istruttore fa un calcio scorrevole sullo studente.</v>
      </c>
    </row>
    <row r="10477">
      <c r="A10477" s="4" t="s">
        <v>13167</v>
      </c>
      <c r="B10477" s="4" t="s">
        <v>13171</v>
      </c>
      <c r="C10477" s="5" t="str">
        <f>IFERROR(__xludf.DUMMYFUNCTION("GOOGLETRANSLATE(B10477,""en"",""it"")"),"L'istruttore cattura i calci dello studente.")</f>
        <v>L'istruttore cattura i calci dello studente.</v>
      </c>
    </row>
    <row r="10478">
      <c r="A10478" s="4" t="s">
        <v>13172</v>
      </c>
      <c r="B10478" s="4" t="s">
        <v>13173</v>
      </c>
      <c r="C10478" s="5" t="str">
        <f>IFERROR(__xludf.DUMMYFUNCTION("GOOGLETRANSLATE(B10478,""en"",""it"")"),"Un uomo senza camicia con un machete esce nel cortile.")</f>
        <v>Un uomo senza camicia con un machete esce nel cortile.</v>
      </c>
    </row>
    <row r="10479">
      <c r="A10479" s="4" t="s">
        <v>13172</v>
      </c>
      <c r="B10479" s="4" t="s">
        <v>13174</v>
      </c>
      <c r="C10479" s="5" t="str">
        <f>IFERROR(__xludf.DUMMYFUNCTION("GOOGLETRANSLATE(B10479,""en"",""it"")"),"Comincia a colpire l'erba ripetutamente più e sopra di tagliare l'erba.")</f>
        <v>Comincia a colpire l'erba ripetutamente più e sopra di tagliare l'erba.</v>
      </c>
    </row>
    <row r="10480">
      <c r="A10480" s="4" t="s">
        <v>13172</v>
      </c>
      <c r="B10480" s="4" t="s">
        <v>13175</v>
      </c>
      <c r="C10480" s="5" t="str">
        <f>IFERROR(__xludf.DUMMYFUNCTION("GOOGLETRANSLATE(B10480,""en"",""it"")"),"Invece di usare un tosaerba, sta tagliando l'erba con un machete.")</f>
        <v>Invece di usare un tosaerba, sta tagliando l'erba con un machete.</v>
      </c>
    </row>
    <row r="10481">
      <c r="A10481" s="4" t="s">
        <v>13172</v>
      </c>
      <c r="B10481" s="4" t="s">
        <v>13176</v>
      </c>
      <c r="C10481" s="5" t="str">
        <f>IFERROR(__xludf.DUMMYFUNCTION("GOOGLETRANSLATE(B10481,""en"",""it"")"),"Si alza e si avvicina a una patch e poi inizia a usare il machete anche per esso.")</f>
        <v>Si alza e si avvicina a una patch e poi inizia a usare il machete anche per esso.</v>
      </c>
    </row>
    <row r="10482">
      <c r="A10482" s="4" t="s">
        <v>13177</v>
      </c>
      <c r="B10482" s="4" t="s">
        <v>13178</v>
      </c>
      <c r="C10482" s="5" t="str">
        <f>IFERROR(__xludf.DUMMYFUNCTION("GOOGLETRANSLATE(B10482,""en"",""it"")"),"Le due persone scattano colpi con i loro dischi lungo il tabellone.")</f>
        <v>Le due persone scattano colpi con i loro dischi lungo il tabellone.</v>
      </c>
    </row>
    <row r="10483">
      <c r="A10483" s="4" t="s">
        <v>13177</v>
      </c>
      <c r="B10483" s="4" t="s">
        <v>13179</v>
      </c>
      <c r="C10483" s="5" t="str">
        <f>IFERROR(__xludf.DUMMYFUNCTION("GOOGLETRANSLATE(B10483,""en"",""it"")"),"La persona cambia il punteggio sul tabellone pubblicato su un palo.")</f>
        <v>La persona cambia il punteggio sul tabellone pubblicato su un palo.</v>
      </c>
    </row>
    <row r="10484">
      <c r="A10484" s="4" t="s">
        <v>13177</v>
      </c>
      <c r="B10484" s="4" t="s">
        <v>13180</v>
      </c>
      <c r="C10484" s="5" t="str">
        <f>IFERROR(__xludf.DUMMYFUNCTION("GOOGLETRANSLATE(B10484,""en"",""it"")"),"Un giocatore cammina verso il basso per recuperare i dischi.")</f>
        <v>Un giocatore cammina verso il basso per recuperare i dischi.</v>
      </c>
    </row>
    <row r="10485">
      <c r="A10485" s="4" t="s">
        <v>13177</v>
      </c>
      <c r="B10485" s="4" t="s">
        <v>13181</v>
      </c>
      <c r="C10485" s="5" t="str">
        <f>IFERROR(__xludf.DUMMYFUNCTION("GOOGLETRANSLATE(B10485,""en"",""it"")"),"Due persone giocano una piacevole partita di shuffle board su un campo all'aperto.")</f>
        <v>Due persone giocano una piacevole partita di shuffle board su un campo all'aperto.</v>
      </c>
    </row>
    <row r="10486">
      <c r="A10486" s="4" t="s">
        <v>13182</v>
      </c>
      <c r="B10486" s="6" t="s">
        <v>13183</v>
      </c>
      <c r="C10486" s="5" t="str">
        <f>IFERROR(__xludf.DUMMYFUNCTION("GOOGLETRANSLATE(B10486,""en"",""it"")"),"Un palcoscenico vuoto con quattro luci viene mostrato come una folla di persone in attesa di qualcosa.")</f>
        <v>Un palcoscenico vuoto con quattro luci viene mostrato come una folla di persone in attesa di qualcosa.</v>
      </c>
    </row>
    <row r="10487">
      <c r="A10487" s="4" t="s">
        <v>13182</v>
      </c>
      <c r="B10487" s="6" t="s">
        <v>13184</v>
      </c>
      <c r="C10487" s="5" t="str">
        <f>IFERROR(__xludf.DUMMYFUNCTION("GOOGLETRANSLATE(B10487,""en"",""it"")"),"Una signora con un mantello e una gonna arancione e giallo, poi esce da un lato e inizia a ballare.")</f>
        <v>Una signora con un mantello e una gonna arancione e giallo, poi esce da un lato e inizia a ballare.</v>
      </c>
    </row>
    <row r="10488">
      <c r="A10488" s="4" t="s">
        <v>13182</v>
      </c>
      <c r="B10488" s="6" t="s">
        <v>13185</v>
      </c>
      <c r="C10488" s="5" t="str">
        <f>IFERROR(__xludf.DUMMYFUNCTION("GOOGLETRANSLATE(B10488,""en"",""it"")"),"La donna poi lascia cadere il mantello e inizia a camminare verso la folla muovendo il petto e sorride alla gente.")</f>
        <v>La donna poi lascia cadere il mantello e inizia a camminare verso la folla muovendo il petto e sorride alla gente.</v>
      </c>
    </row>
    <row r="10489">
      <c r="A10489" s="4" t="s">
        <v>13186</v>
      </c>
      <c r="B10489" s="4" t="s">
        <v>13187</v>
      </c>
      <c r="C10489" s="5" t="str">
        <f>IFERROR(__xludf.DUMMYFUNCTION("GOOGLETRANSLATE(B10489,""en"",""it"")"),"Vediamo persone che giocano a paintball su un campo di calcio.")</f>
        <v>Vediamo persone che giocano a paintball su un campo di calcio.</v>
      </c>
    </row>
    <row r="10490">
      <c r="A10490" s="4" t="s">
        <v>13186</v>
      </c>
      <c r="B10490" s="4" t="s">
        <v>13188</v>
      </c>
      <c r="C10490" s="5" t="str">
        <f>IFERROR(__xludf.DUMMYFUNCTION("GOOGLETRANSLATE(B10490,""en"",""it"")"),"Le persone si tolgono e vanno nel campo.")</f>
        <v>Le persone si tolgono e vanno nel campo.</v>
      </c>
    </row>
    <row r="10491">
      <c r="A10491" s="4" t="s">
        <v>13186</v>
      </c>
      <c r="B10491" s="4" t="s">
        <v>13189</v>
      </c>
      <c r="C10491" s="5" t="str">
        <f>IFERROR(__xludf.DUMMYFUNCTION("GOOGLETRANSLATE(B10491,""en"",""it"")"),"L'uomo sta strisciando a terra.")</f>
        <v>L'uomo sta strisciando a terra.</v>
      </c>
    </row>
    <row r="10492">
      <c r="A10492" s="4" t="s">
        <v>13186</v>
      </c>
      <c r="B10492" s="4" t="s">
        <v>13190</v>
      </c>
      <c r="C10492" s="5" t="str">
        <f>IFERROR(__xludf.DUMMYFUNCTION("GOOGLETRANSLATE(B10492,""en"",""it"")"),"Riempi la pistola con palline arancioni.")</f>
        <v>Riempi la pistola con palline arancioni.</v>
      </c>
    </row>
    <row r="10493">
      <c r="A10493" s="4" t="s">
        <v>13186</v>
      </c>
      <c r="B10493" s="4" t="s">
        <v>13191</v>
      </c>
      <c r="C10493" s="5" t="str">
        <f>IFERROR(__xludf.DUMMYFUNCTION("GOOGLETRANSLATE(B10493,""en"",""it"")"),"Una persona si avvicina alla borsa vicino all'uomo.")</f>
        <v>Una persona si avvicina alla borsa vicino all'uomo.</v>
      </c>
    </row>
    <row r="10494">
      <c r="A10494" s="4" t="s">
        <v>13186</v>
      </c>
      <c r="B10494" s="4" t="s">
        <v>13192</v>
      </c>
      <c r="C10494" s="5" t="str">
        <f>IFERROR(__xludf.DUMMYFUNCTION("GOOGLETRANSLATE(B10494,""en"",""it"")"),"L'uomo ricarica la sua pistola con palline blu.")</f>
        <v>L'uomo ricarica la sua pistola con palline blu.</v>
      </c>
    </row>
    <row r="10495">
      <c r="A10495" s="4" t="s">
        <v>13186</v>
      </c>
      <c r="B10495" s="4" t="s">
        <v>13193</v>
      </c>
      <c r="C10495" s="5" t="str">
        <f>IFERROR(__xludf.DUMMYFUNCTION("GOOGLETRANSLATE(B10495,""en"",""it"")"),"Vediamo un uomo dietro una recinzione e l'uomo sta camminando.")</f>
        <v>Vediamo un uomo dietro una recinzione e l'uomo sta camminando.</v>
      </c>
    </row>
    <row r="10496">
      <c r="A10496" s="4" t="s">
        <v>13194</v>
      </c>
      <c r="B10496" s="6" t="s">
        <v>13195</v>
      </c>
      <c r="C10496" s="5" t="str">
        <f>IFERROR(__xludf.DUMMYFUNCTION("GOOGLETRANSLATE(B10496,""en"",""it"")"),"Un uomo viene visto seduto sul retro di un'auto che si innaiò a una tavola da surf e un altro uomo che parla alla telecamera.")</f>
        <v>Un uomo viene visto seduto sul retro di un'auto che si innaiò a una tavola da surf e un altro uomo che parla alla telecamera.</v>
      </c>
    </row>
    <row r="10497">
      <c r="A10497" s="4" t="s">
        <v>13194</v>
      </c>
      <c r="B10497" s="4" t="s">
        <v>13196</v>
      </c>
      <c r="C10497" s="5" t="str">
        <f>IFERROR(__xludf.DUMMYFUNCTION("GOOGLETRANSLATE(B10497,""en"",""it"")"),"Vengono mostrati scatti a rallentatore di un uomo che naviga e l'uomo continua a parlare.")</f>
        <v>Vengono mostrati scatti a rallentatore di un uomo che naviga e l'uomo continua a parlare.</v>
      </c>
    </row>
    <row r="10498">
      <c r="A10498" s="4" t="s">
        <v>13197</v>
      </c>
      <c r="B10498" s="4" t="s">
        <v>13198</v>
      </c>
      <c r="C10498" s="5" t="str">
        <f>IFERROR(__xludf.DUMMYFUNCTION("GOOGLETRANSLATE(B10498,""en"",""it"")"),"Le persone cavalcano nelle barche a vela dalla vista di una grande fodera dell'oceano.")</f>
        <v>Le persone cavalcano nelle barche a vela dalla vista di una grande fodera dell'oceano.</v>
      </c>
    </row>
    <row r="10499">
      <c r="A10499" s="4" t="s">
        <v>13197</v>
      </c>
      <c r="B10499" s="4" t="s">
        <v>13199</v>
      </c>
      <c r="C10499" s="5" t="str">
        <f>IFERROR(__xludf.DUMMYFUNCTION("GOOGLETRANSLATE(B10499,""en"",""it"")"),"Una donna si appoggia al bordo, guardando le barche.")</f>
        <v>Una donna si appoggia al bordo, guardando le barche.</v>
      </c>
    </row>
    <row r="10500">
      <c r="A10500" s="4" t="s">
        <v>13200</v>
      </c>
      <c r="B10500" s="4" t="s">
        <v>13201</v>
      </c>
      <c r="C10500" s="5" t="str">
        <f>IFERROR(__xludf.DUMMYFUNCTION("GOOGLETRANSLATE(B10500,""en"",""it"")"),"Un uomo sta girando all'interno dell'appartamento AM guardando intorno a diverse cose.")</f>
        <v>Un uomo sta girando all'interno dell'appartamento AM guardando intorno a diverse cose.</v>
      </c>
    </row>
    <row r="10501">
      <c r="A10501" s="4" t="s">
        <v>13200</v>
      </c>
      <c r="B10501" s="4" t="s">
        <v>13202</v>
      </c>
      <c r="C10501" s="5" t="str">
        <f>IFERROR(__xludf.DUMMYFUNCTION("GOOGLETRANSLATE(B10501,""en"",""it"")"),"Un ragazzino entra in scena ed esce rapidamente dalla vista della telecamera.")</f>
        <v>Un ragazzino entra in scena ed esce rapidamente dalla vista della telecamera.</v>
      </c>
    </row>
    <row r="10502">
      <c r="A10502" s="4" t="s">
        <v>13200</v>
      </c>
      <c r="B10502" s="4" t="s">
        <v>13203</v>
      </c>
      <c r="C10502" s="5" t="str">
        <f>IFERROR(__xludf.DUMMYFUNCTION("GOOGLETRANSLATE(B10502,""en"",""it"")"),"Il ragazzo arriva di nuovo sulla telecamera facendo mosse di karate con un bastone.")</f>
        <v>Il ragazzo arriva di nuovo sulla telecamera facendo mosse di karate con un bastone.</v>
      </c>
    </row>
    <row r="10503">
      <c r="A10503" s="4" t="s">
        <v>13200</v>
      </c>
      <c r="B10503" s="4" t="s">
        <v>13204</v>
      </c>
      <c r="C10503" s="5" t="str">
        <f>IFERROR(__xludf.DUMMYFUNCTION("GOOGLETRANSLATE(B10503,""en"",""it"")"),"L'uomo ottiene un primo piano del ragazzo mentre parla al ragazzo in un'altra lingua.")</f>
        <v>L'uomo ottiene un primo piano del ragazzo mentre parla al ragazzo in un'altra lingua.</v>
      </c>
    </row>
    <row r="10504">
      <c r="A10504" s="4" t="s">
        <v>13200</v>
      </c>
      <c r="B10504" s="4" t="s">
        <v>13205</v>
      </c>
      <c r="C10504" s="5" t="str">
        <f>IFERROR(__xludf.DUMMYFUNCTION("GOOGLETRANSLATE(B10504,""en"",""it"")"),"Il ragazzo fa un arco e il video finisce.")</f>
        <v>Il ragazzo fa un arco e il video finisce.</v>
      </c>
    </row>
    <row r="10505">
      <c r="A10505" s="4" t="s">
        <v>13206</v>
      </c>
      <c r="B10505" s="6" t="s">
        <v>13207</v>
      </c>
      <c r="C10505" s="5" t="str">
        <f>IFERROR(__xludf.DUMMYFUNCTION("GOOGLETRANSLATE(B10505,""en"",""it"")"),"Un atleta in un'uniforme bianca e blu si prepara a competere in una competizione a triplo salto in un torneo di atletica leggera.")</f>
        <v>Un atleta in un'uniforme bianca e blu si prepara a competere in una competizione a triplo salto in un torneo di atletica leggera.</v>
      </c>
    </row>
    <row r="10506">
      <c r="A10506" s="4" t="s">
        <v>13206</v>
      </c>
      <c r="B10506" s="6" t="s">
        <v>13208</v>
      </c>
      <c r="C10506" s="5" t="str">
        <f>IFERROR(__xludf.DUMMYFUNCTION("GOOGLETRANSLATE(B10506,""en"",""it"")"),"Il concorrente inizia gradualmente correndo lentamente e raccogliendo velocità su uno sprint e atterrando un piede sulla linea di marcatore bianco e altri due luppoli su ogni piede e poi salta sopra il percorso di sabbia.")</f>
        <v>Il concorrente inizia gradualmente correndo lentamente e raccogliendo velocità su uno sprint e atterrando un piede sulla linea di marcatore bianco e altri due luppoli su ogni piede e poi salta sopra il percorso di sabbia.</v>
      </c>
    </row>
    <row r="10507">
      <c r="A10507" s="4" t="s">
        <v>13206</v>
      </c>
      <c r="B10507" s="6" t="s">
        <v>13209</v>
      </c>
      <c r="C10507" s="5" t="str">
        <f>IFERROR(__xludf.DUMMYFUNCTION("GOOGLETRANSLATE(B10507,""en"",""it"")"),"Il concorrente salta e scappa dalla pista e va agli stand dello spettatore e celebra il suo salto.")</f>
        <v>Il concorrente salta e scappa dalla pista e va agli stand dello spettatore e celebra il suo salto.</v>
      </c>
    </row>
    <row r="10508">
      <c r="A10508" s="4" t="s">
        <v>13206</v>
      </c>
      <c r="B10508" s="6" t="s">
        <v>13210</v>
      </c>
      <c r="C10508" s="5" t="str">
        <f>IFERROR(__xludf.DUMMYFUNCTION("GOOGLETRANSLATE(B10508,""en"",""it"")"),"Un primo piano dell'atterraggio della posizione del piede dei concorrenti sulla linea di marcatore bianco viene mostrato in primo piano e il salto viene mostrato al rallentatore e alla velocità regolare più volte.")</f>
        <v>Un primo piano dell'atterraggio della posizione del piede dei concorrenti sulla linea di marcatore bianco viene mostrato in primo piano e il salto viene mostrato al rallentatore e alla velocità regolare più volte.</v>
      </c>
    </row>
    <row r="10509">
      <c r="A10509" s="4" t="s">
        <v>13211</v>
      </c>
      <c r="B10509" s="6" t="s">
        <v>13212</v>
      </c>
      <c r="C10509" s="5" t="str">
        <f>IFERROR(__xludf.DUMMYFUNCTION("GOOGLETRANSLATE(B10509,""en"",""it"")"),"La telecamera si lancia attorno a un folto gruppo di persone che giocano una partita di calcio su un campo con molte persone che guardano sui lati.")</f>
        <v>La telecamera si lancia attorno a un folto gruppo di persone che giocano una partita di calcio su un campo con molte persone che guardano sui lati.</v>
      </c>
    </row>
    <row r="10510">
      <c r="A10510" s="4" t="s">
        <v>13211</v>
      </c>
      <c r="B10510" s="4" t="s">
        <v>13213</v>
      </c>
      <c r="C10510" s="5" t="str">
        <f>IFERROR(__xludf.DUMMYFUNCTION("GOOGLETRANSLATE(B10510,""en"",""it"")"),"I giocatori camminano un po 'in campo e portano a loro giocando.")</f>
        <v>I giocatori camminano un po 'in campo e portano a loro giocando.</v>
      </c>
    </row>
    <row r="10511">
      <c r="A10511" s="4" t="s">
        <v>13211</v>
      </c>
      <c r="B10511" s="4" t="s">
        <v>13214</v>
      </c>
      <c r="C10511" s="5" t="str">
        <f>IFERROR(__xludf.DUMMYFUNCTION("GOOGLETRANSLATE(B10511,""en"",""it"")"),"La mano di una persona copre quindi la fotocamera e si muove in tutta l'area.")</f>
        <v>La mano di una persona copre quindi la fotocamera e si muove in tutta l'area.</v>
      </c>
    </row>
    <row r="10512">
      <c r="A10512" s="4" t="s">
        <v>13215</v>
      </c>
      <c r="B10512" s="4" t="s">
        <v>13216</v>
      </c>
      <c r="C10512" s="5" t="str">
        <f>IFERROR(__xludf.DUMMYFUNCTION("GOOGLETRANSLATE(B10512,""en"",""it"")"),"Una donna guarda attraverso una grande pila di vestiti e inizia a lanciare l'uomo della telecamera.")</f>
        <v>Una donna guarda attraverso una grande pila di vestiti e inizia a lanciare l'uomo della telecamera.</v>
      </c>
    </row>
    <row r="10513">
      <c r="A10513" s="4" t="s">
        <v>13215</v>
      </c>
      <c r="B10513" s="4" t="s">
        <v>13217</v>
      </c>
      <c r="C10513" s="5" t="str">
        <f>IFERROR(__xludf.DUMMYFUNCTION("GOOGLETRANSLATE(B10513,""en"",""it"")"),"Lei miglia la sua direzione mentre parlava e fa irruzione alcuni vestiti sul tavolo.")</f>
        <v>Lei miglia la sua direzione mentre parlava e fa irruzione alcuni vestiti sul tavolo.</v>
      </c>
    </row>
    <row r="10514">
      <c r="A10514" s="4" t="s">
        <v>13218</v>
      </c>
      <c r="B10514" s="4" t="s">
        <v>13219</v>
      </c>
      <c r="C10514" s="5" t="str">
        <f>IFERROR(__xludf.DUMMYFUNCTION("GOOGLETRANSLATE(B10514,""en"",""it"")"),"Si vede una persona girare il collo di lato e una persona che indossa guanti con un ago.")</f>
        <v>Si vede una persona girare il collo di lato e una persona che indossa guanti con un ago.</v>
      </c>
    </row>
    <row r="10515">
      <c r="A10515" s="4" t="s">
        <v>13218</v>
      </c>
      <c r="B10515" s="4" t="s">
        <v>13220</v>
      </c>
      <c r="C10515" s="5" t="str">
        <f>IFERROR(__xludf.DUMMYFUNCTION("GOOGLETRANSLATE(B10515,""en"",""it"")"),"La persona quindi trafigge l'orecchio della ragazza seduta.")</f>
        <v>La persona quindi trafigge l'orecchio della ragazza seduta.</v>
      </c>
    </row>
    <row r="10516">
      <c r="A10516" s="4" t="s">
        <v>13218</v>
      </c>
      <c r="B10516" s="4" t="s">
        <v>13221</v>
      </c>
      <c r="C10516" s="5" t="str">
        <f>IFERROR(__xludf.DUMMYFUNCTION("GOOGLETRANSLATE(B10516,""en"",""it"")"),"Mette un orecchino attraverso il piercing e si assicura che sia a posto.")</f>
        <v>Mette un orecchino attraverso il piercing e si assicura che sia a posto.</v>
      </c>
    </row>
    <row r="10517">
      <c r="A10517" s="4" t="s">
        <v>13222</v>
      </c>
      <c r="B10517" s="6" t="s">
        <v>13223</v>
      </c>
      <c r="C10517" s="5" t="str">
        <f>IFERROR(__xludf.DUMMYFUNCTION("GOOGLETRANSLATE(B10517,""en"",""it"")"),"Ci sono diverse persone vestite con giubbotti di sicurezza e caschi che navigano su una barca di velocità per andare in acqua.")</f>
        <v>Ci sono diverse persone vestite con giubbotti di sicurezza e caschi che navigano su una barca di velocità per andare in acqua.</v>
      </c>
    </row>
    <row r="10518">
      <c r="A10518" s="4" t="s">
        <v>13222</v>
      </c>
      <c r="B10518" s="6" t="s">
        <v>13224</v>
      </c>
      <c r="C10518" s="5" t="str">
        <f>IFERROR(__xludf.DUMMYFUNCTION("GOOGLETRANSLATE(B10518,""en"",""it"")"),"Viaggiano attraverso il lago e arrivano in un punto in cui scendono dalla barca e saltano in acqua con i loro tubi.")</f>
        <v>Viaggiano attraverso il lago e arrivano in un punto in cui scendono dalla barca e saltano in acqua con i loro tubi.</v>
      </c>
    </row>
    <row r="10519">
      <c r="A10519" s="4" t="s">
        <v>13222</v>
      </c>
      <c r="B10519" s="4" t="s">
        <v>13225</v>
      </c>
      <c r="C10519" s="5" t="str">
        <f>IFERROR(__xludf.DUMMYFUNCTION("GOOGLETRANSLATE(B10519,""en"",""it"")"),"Entrano sui tubi gialli e galleggiano lungo l'acqua.")</f>
        <v>Entrano sui tubi gialli e galleggiano lungo l'acqua.</v>
      </c>
    </row>
    <row r="10520">
      <c r="A10520" s="4" t="s">
        <v>13226</v>
      </c>
      <c r="B10520" s="4" t="s">
        <v>13227</v>
      </c>
      <c r="C10520" s="5" t="str">
        <f>IFERROR(__xludf.DUMMYFUNCTION("GOOGLETRANSLATE(B10520,""en"",""it"")"),"Vediamo un uomo che parla in un negozio di biciclette.")</f>
        <v>Vediamo un uomo che parla in un negozio di biciclette.</v>
      </c>
    </row>
    <row r="10521">
      <c r="A10521" s="4" t="s">
        <v>13226</v>
      </c>
      <c r="B10521" s="4" t="s">
        <v>13228</v>
      </c>
      <c r="C10521" s="5" t="str">
        <f>IFERROR(__xludf.DUMMYFUNCTION("GOOGLETRANSLATE(B10521,""en"",""it"")"),"L'uomo tocca le barre della maniglia di una bici, quindi afferra un filo da un tavolo.")</f>
        <v>L'uomo tocca le barre della maniglia di una bici, quindi afferra un filo da un tavolo.</v>
      </c>
    </row>
    <row r="10522">
      <c r="A10522" s="4" t="s">
        <v>13226</v>
      </c>
      <c r="B10522" s="4" t="s">
        <v>13229</v>
      </c>
      <c r="C10522" s="5" t="str">
        <f>IFERROR(__xludf.DUMMYFUNCTION("GOOGLETRANSLATE(B10522,""en"",""it"")"),"L'uomo stringe il filo attraverso il sistema di freno di bici.")</f>
        <v>L'uomo stringe il filo attraverso il sistema di freno di bici.</v>
      </c>
    </row>
    <row r="10523">
      <c r="A10523" s="4" t="s">
        <v>13226</v>
      </c>
      <c r="B10523" s="4" t="s">
        <v>13230</v>
      </c>
      <c r="C10523" s="5" t="str">
        <f>IFERROR(__xludf.DUMMYFUNCTION("GOOGLETRANSLATE(B10523,""en"",""it"")"),"L'uomo aggiunge una guaina di plastica nera sul filo e la collega al tutore della ruota.")</f>
        <v>L'uomo aggiunge una guaina di plastica nera sul filo e la collega al tutore della ruota.</v>
      </c>
    </row>
    <row r="10524">
      <c r="A10524" s="4" t="s">
        <v>13231</v>
      </c>
      <c r="B10524" s="4" t="s">
        <v>13232</v>
      </c>
      <c r="C10524" s="5" t="str">
        <f>IFERROR(__xludf.DUMMYFUNCTION("GOOGLETRANSLATE(B10524,""en"",""it"")"),"La squadra in uniforme bianca e rossa ha ballato in campo.")</f>
        <v>La squadra in uniforme bianca e rossa ha ballato in campo.</v>
      </c>
    </row>
    <row r="10525">
      <c r="A10525" s="4" t="s">
        <v>13231</v>
      </c>
      <c r="B10525" s="4" t="s">
        <v>13233</v>
      </c>
      <c r="C10525" s="5" t="str">
        <f>IFERROR(__xludf.DUMMYFUNCTION("GOOGLETRANSLATE(B10525,""en"",""it"")"),"La squadra esegue individualmente la corda per saltare, danzata a terra.")</f>
        <v>La squadra esegue individualmente la corda per saltare, danzata a terra.</v>
      </c>
    </row>
    <row r="10526">
      <c r="A10526" s="4" t="s">
        <v>13231</v>
      </c>
      <c r="B10526" s="6" t="s">
        <v>13234</v>
      </c>
      <c r="C10526" s="5" t="str">
        <f>IFERROR(__xludf.DUMMYFUNCTION("GOOGLETRANSLATE(B10526,""en"",""it"")"),"La squadra fa corde saltanti in cui due femmine tengono la fine della corda saltante, ruotandole mentre l'altro membro della squadra saltava all'interno della corda e danza.")</f>
        <v>La squadra fa corde saltanti in cui due femmine tengono la fine della corda saltante, ruotandole mentre l'altro membro della squadra saltava all'interno della corda e danza.</v>
      </c>
    </row>
    <row r="10527">
      <c r="A10527" s="4" t="s">
        <v>13235</v>
      </c>
      <c r="B10527" s="4" t="s">
        <v>13236</v>
      </c>
      <c r="C10527" s="5" t="str">
        <f>IFERROR(__xludf.DUMMYFUNCTION("GOOGLETRANSLATE(B10527,""en"",""it"")"),"Una persona sta assemblando un vuoto sul tappeto.")</f>
        <v>Una persona sta assemblando un vuoto sul tappeto.</v>
      </c>
    </row>
    <row r="10528">
      <c r="A10528" s="4" t="s">
        <v>13235</v>
      </c>
      <c r="B10528" s="4" t="s">
        <v>13237</v>
      </c>
      <c r="C10528" s="5" t="str">
        <f>IFERROR(__xludf.DUMMYFUNCTION("GOOGLETRANSLATE(B10528,""en"",""it"")"),"Colpiscono il vuoto.")</f>
        <v>Colpiscono il vuoto.</v>
      </c>
    </row>
    <row r="10529">
      <c r="A10529" s="4" t="s">
        <v>13235</v>
      </c>
      <c r="B10529" s="4" t="s">
        <v>13238</v>
      </c>
      <c r="C10529" s="5" t="str">
        <f>IFERROR(__xludf.DUMMYFUNCTION("GOOGLETRANSLATE(B10529,""en"",""it"")"),"Accendono il vuoto e iniziano a aspirare il pavimento.")</f>
        <v>Accendono il vuoto e iniziano a aspirare il pavimento.</v>
      </c>
    </row>
    <row r="10530">
      <c r="A10530" s="4" t="s">
        <v>13235</v>
      </c>
      <c r="B10530" s="4" t="s">
        <v>13239</v>
      </c>
      <c r="C10530" s="5" t="str">
        <f>IFERROR(__xludf.DUMMYFUNCTION("GOOGLETRANSLATE(B10530,""en"",""it"")"),"Togli il tubo di attacco e aspirano le assi e le scale.")</f>
        <v>Togli il tubo di attacco e aspirano le assi e le scale.</v>
      </c>
    </row>
    <row r="10531">
      <c r="A10531" s="4" t="s">
        <v>13235</v>
      </c>
      <c r="B10531" s="4" t="s">
        <v>13240</v>
      </c>
      <c r="C10531" s="5" t="str">
        <f>IFERROR(__xludf.DUMMYFUNCTION("GOOGLETRANSLATE(B10531,""en"",""it"")"),"Tagliano il filtro e lo svuotano.")</f>
        <v>Tagliano il filtro e lo svuotano.</v>
      </c>
    </row>
    <row r="10532">
      <c r="A10532" s="4" t="s">
        <v>13235</v>
      </c>
      <c r="B10532" s="4" t="s">
        <v>13241</v>
      </c>
      <c r="C10532" s="5" t="str">
        <f>IFERROR(__xludf.DUMMYFUNCTION("GOOGLETRANSLATE(B10532,""en"",""it"")"),"Scolenno il vuoto e lo mettono nell'armadio.")</f>
        <v>Scolenno il vuoto e lo mettono nell'armadio.</v>
      </c>
    </row>
    <row r="10533">
      <c r="A10533" s="4" t="s">
        <v>13242</v>
      </c>
      <c r="B10533" s="4" t="s">
        <v>13243</v>
      </c>
      <c r="C10533" s="5" t="str">
        <f>IFERROR(__xludf.DUMMYFUNCTION("GOOGLETRANSLATE(B10533,""en"",""it"")"),"Un ragazzino gioca su uno stepper delle scale in un negozio.")</f>
        <v>Un ragazzino gioca su uno stepper delle scale in un negozio.</v>
      </c>
    </row>
    <row r="10534">
      <c r="A10534" s="4" t="s">
        <v>13242</v>
      </c>
      <c r="B10534" s="4" t="s">
        <v>13244</v>
      </c>
      <c r="C10534" s="5" t="str">
        <f>IFERROR(__xludf.DUMMYFUNCTION("GOOGLETRANSLATE(B10534,""en"",""it"")"),"Facciamo il backup e vediamo le gambe dei ragazzi.")</f>
        <v>Facciamo il backup e vediamo le gambe dei ragazzi.</v>
      </c>
    </row>
    <row r="10535">
      <c r="A10535" s="4" t="s">
        <v>13242</v>
      </c>
      <c r="B10535" s="4" t="s">
        <v>13245</v>
      </c>
      <c r="C10535" s="5" t="str">
        <f>IFERROR(__xludf.DUMMYFUNCTION("GOOGLETRANSLATE(B10535,""en"",""it"")"),"La fotocamera ingrandisce di nuovo il ragazzo.")</f>
        <v>La fotocamera ingrandisce di nuovo il ragazzo.</v>
      </c>
    </row>
    <row r="10536">
      <c r="A10536" s="4" t="s">
        <v>13246</v>
      </c>
      <c r="B10536" s="4" t="s">
        <v>13247</v>
      </c>
      <c r="C10536" s="5" t="str">
        <f>IFERROR(__xludf.DUMMYFUNCTION("GOOGLETRANSLATE(B10536,""en"",""it"")"),"Una bambina in un pannolino usa un piccolo vuoto.")</f>
        <v>Una bambina in un pannolino usa un piccolo vuoto.</v>
      </c>
    </row>
    <row r="10537">
      <c r="A10537" s="4" t="s">
        <v>13246</v>
      </c>
      <c r="B10537" s="4" t="s">
        <v>13248</v>
      </c>
      <c r="C10537" s="5" t="str">
        <f>IFERROR(__xludf.DUMMYFUNCTION("GOOGLETRANSLATE(B10537,""en"",""it"")"),"Sta aspirando lo sporco da sotto una sedia in un soggiorno.")</f>
        <v>Sta aspirando lo sporco da sotto una sedia in un soggiorno.</v>
      </c>
    </row>
    <row r="10538">
      <c r="A10538" s="4" t="s">
        <v>13246</v>
      </c>
      <c r="B10538" s="4" t="s">
        <v>13249</v>
      </c>
      <c r="C10538" s="5" t="str">
        <f>IFERROR(__xludf.DUMMYFUNCTION("GOOGLETRANSLATE(B10538,""en"",""it"")"),"Usa il pennello per succhiare lo sporco sul pavimento.")</f>
        <v>Usa il pennello per succhiare lo sporco sul pavimento.</v>
      </c>
    </row>
    <row r="10539">
      <c r="A10539" s="4" t="s">
        <v>13250</v>
      </c>
      <c r="B10539" s="4" t="s">
        <v>13251</v>
      </c>
      <c r="C10539" s="5" t="str">
        <f>IFERROR(__xludf.DUMMYFUNCTION("GOOGLETRANSLATE(B10539,""en"",""it"")"),"Un ragazzo gira in una palestra con una racchetta da tennis e spinge una palla a un altro ragazzo.")</f>
        <v>Un ragazzo gira in una palestra con una racchetta da tennis e spinge una palla a un altro ragazzo.</v>
      </c>
    </row>
    <row r="10540">
      <c r="A10540" s="4" t="s">
        <v>13250</v>
      </c>
      <c r="B10540" s="4" t="s">
        <v>13252</v>
      </c>
      <c r="C10540" s="5" t="str">
        <f>IFERROR(__xludf.DUMMYFUNCTION("GOOGLETRANSLATE(B10540,""en"",""it"")"),"I ragazzi corrono indietro e la quarta palla rimbalzante contro un muro con le mani e una racchetta da tennis.")</f>
        <v>I ragazzi corrono indietro e la quarta palla rimbalzante contro un muro con le mani e una racchetta da tennis.</v>
      </c>
    </row>
    <row r="10541">
      <c r="A10541" s="4" t="s">
        <v>13250</v>
      </c>
      <c r="B10541" s="6" t="s">
        <v>13253</v>
      </c>
      <c r="C10541" s="5" t="str">
        <f>IFERROR(__xludf.DUMMYFUNCTION("GOOGLETRANSLATE(B10541,""en"",""it"")"),"Scivolano sul pavimento spingendo la palla e continuano a colpire la palla indietro e quarto in palestra.")</f>
        <v>Scivolano sul pavimento spingendo la palla e continuano a colpire la palla indietro e quarto in palestra.</v>
      </c>
    </row>
    <row r="10542">
      <c r="A10542" s="4" t="s">
        <v>13254</v>
      </c>
      <c r="B10542" s="6" t="s">
        <v>13255</v>
      </c>
      <c r="C10542" s="5" t="str">
        <f>IFERROR(__xludf.DUMMYFUNCTION("GOOGLETRANSLATE(B10542,""en"",""it"")"),"Un uomo è visto in diversi colpi che si affacciano in lontananza seguiti da altri che cavalcano sulle assi.")</f>
        <v>Un uomo è visto in diversi colpi che si affacciano in lontananza seguiti da altri che cavalcano sulle assi.</v>
      </c>
    </row>
    <row r="10543">
      <c r="A10543" s="4" t="s">
        <v>13254</v>
      </c>
      <c r="B10543" s="4" t="s">
        <v>13256</v>
      </c>
      <c r="C10543" s="5" t="str">
        <f>IFERROR(__xludf.DUMMYFUNCTION("GOOGLETRANSLATE(B10543,""en"",""it"")"),"Gli uomini si preparano ai lati mentre parlano con la telecamera e cavalcano sull'acqua.")</f>
        <v>Gli uomini si preparano ai lati mentre parlano con la telecamera e cavalcano sull'acqua.</v>
      </c>
    </row>
    <row r="10544">
      <c r="A10544" s="4" t="s">
        <v>13254</v>
      </c>
      <c r="B10544" s="4" t="s">
        <v>13257</v>
      </c>
      <c r="C10544" s="5" t="str">
        <f>IFERROR(__xludf.DUMMYFUNCTION("GOOGLETRANSLATE(B10544,""en"",""it"")"),"Le persone continuano a girare mentre altri guardano sul lato.")</f>
        <v>Le persone continuano a girare mentre altri guardano sul lato.</v>
      </c>
    </row>
    <row r="10545">
      <c r="A10545" s="4" t="s">
        <v>13258</v>
      </c>
      <c r="B10545" s="4" t="s">
        <v>13259</v>
      </c>
      <c r="C10545" s="5" t="str">
        <f>IFERROR(__xludf.DUMMYFUNCTION("GOOGLETRANSLATE(B10545,""en"",""it"")"),"Una persona usa un pennello per strofinare una scarpa su un lavandino.")</f>
        <v>Una persona usa un pennello per strofinare una scarpa su un lavandino.</v>
      </c>
    </row>
    <row r="10546">
      <c r="A10546" s="4" t="s">
        <v>13258</v>
      </c>
      <c r="B10546" s="4" t="s">
        <v>13260</v>
      </c>
      <c r="C10546" s="5" t="str">
        <f>IFERROR(__xludf.DUMMYFUNCTION("GOOGLETRANSLATE(B10546,""en"",""it"")"),"Puliscono la scarpa con un asciugamano bianco.")</f>
        <v>Puliscono la scarpa con un asciugamano bianco.</v>
      </c>
    </row>
    <row r="10547">
      <c r="A10547" s="4" t="s">
        <v>13258</v>
      </c>
      <c r="B10547" s="4" t="s">
        <v>13261</v>
      </c>
      <c r="C10547" s="5" t="str">
        <f>IFERROR(__xludf.DUMMYFUNCTION("GOOGLETRANSLATE(B10547,""en"",""it"")"),"Solleva la scarpa per mostrare la fotocamera.")</f>
        <v>Solleva la scarpa per mostrare la fotocamera.</v>
      </c>
    </row>
    <row r="10548">
      <c r="A10548" s="4" t="s">
        <v>13262</v>
      </c>
      <c r="B10548" s="4" t="s">
        <v>13263</v>
      </c>
      <c r="C10548" s="5" t="str">
        <f>IFERROR(__xludf.DUMMYFUNCTION("GOOGLETRANSLATE(B10548,""en"",""it"")"),"Vediamo un'immagine di una ginnasta maschile a metà swing.")</f>
        <v>Vediamo un'immagine di una ginnasta maschile a metà swing.</v>
      </c>
    </row>
    <row r="10549">
      <c r="A10549" s="4" t="s">
        <v>13262</v>
      </c>
      <c r="B10549" s="4" t="s">
        <v>13264</v>
      </c>
      <c r="C10549" s="5" t="str">
        <f>IFERROR(__xludf.DUMMYFUNCTION("GOOGLETRANSLATE(B10549,""en"",""it"")"),"Vediamo una carta del titolo con una famiglia.")</f>
        <v>Vediamo una carta del titolo con una famiglia.</v>
      </c>
    </row>
    <row r="10550">
      <c r="A10550" s="4" t="s">
        <v>13262</v>
      </c>
      <c r="B10550" s="4" t="s">
        <v>13265</v>
      </c>
      <c r="C10550" s="5" t="str">
        <f>IFERROR(__xludf.DUMMYFUNCTION("GOOGLETRANSLATE(B10550,""en"",""it"")"),"Un uomo oscilla su un cavallo da pomolo.")</f>
        <v>Un uomo oscilla su un cavallo da pomolo.</v>
      </c>
    </row>
    <row r="10551">
      <c r="A10551" s="4" t="s">
        <v>13262</v>
      </c>
      <c r="B10551" s="4" t="s">
        <v>13266</v>
      </c>
      <c r="C10551" s="5" t="str">
        <f>IFERROR(__xludf.DUMMYFUNCTION("GOOGLETRANSLATE(B10551,""en"",""it"")"),"Un uomo in piano blu oscilla le gambe avanti e indietro.")</f>
        <v>Un uomo in piano blu oscilla le gambe avanti e indietro.</v>
      </c>
    </row>
    <row r="10552">
      <c r="A10552" s="4" t="s">
        <v>13262</v>
      </c>
      <c r="B10552" s="4" t="s">
        <v>13267</v>
      </c>
      <c r="C10552" s="5" t="str">
        <f>IFERROR(__xludf.DUMMYFUNCTION("GOOGLETRANSLATE(B10552,""en"",""it"")"),"L'uomo in pantaloncini rossi sta girando selvaggiamente.")</f>
        <v>L'uomo in pantaloncini rossi sta girando selvaggiamente.</v>
      </c>
    </row>
    <row r="10553">
      <c r="A10553" s="4" t="s">
        <v>13262</v>
      </c>
      <c r="B10553" s="4" t="s">
        <v>13268</v>
      </c>
      <c r="C10553" s="5" t="str">
        <f>IFERROR(__xludf.DUMMYFUNCTION("GOOGLETRANSLATE(B10553,""en"",""it"")"),"Quindi gira su un dispositivo rotondo.")</f>
        <v>Quindi gira su un dispositivo rotondo.</v>
      </c>
    </row>
    <row r="10554">
      <c r="A10554" s="4" t="s">
        <v>13269</v>
      </c>
      <c r="B10554" s="4" t="s">
        <v>13270</v>
      </c>
      <c r="C10554" s="5" t="str">
        <f>IFERROR(__xludf.DUMMYFUNCTION("GOOGLETRANSLATE(B10554,""en"",""it"")"),"Una donna è seduta, lavandosi i capelli con la schiena alla telecamera.")</f>
        <v>Una donna è seduta, lavandosi i capelli con la schiena alla telecamera.</v>
      </c>
    </row>
    <row r="10555">
      <c r="A10555" s="4" t="s">
        <v>13269</v>
      </c>
      <c r="B10555" s="4" t="s">
        <v>13271</v>
      </c>
      <c r="C10555" s="5" t="str">
        <f>IFERROR(__xludf.DUMMYFUNCTION("GOOGLETRANSLATE(B10555,""en"",""it"")"),"Continua a sfiorare con lunghi colpi.")</f>
        <v>Continua a sfiorare con lunghi colpi.</v>
      </c>
    </row>
    <row r="10556">
      <c r="A10556" s="4" t="s">
        <v>13269</v>
      </c>
      <c r="B10556" s="4" t="s">
        <v>13272</v>
      </c>
      <c r="C10556" s="5" t="str">
        <f>IFERROR(__xludf.DUMMYFUNCTION("GOOGLETRANSLATE(B10556,""en"",""it"")"),"Si appoggia la testa da un lato, continuando a spazzolare.")</f>
        <v>Si appoggia la testa da un lato, continuando a spazzolare.</v>
      </c>
    </row>
    <row r="10557">
      <c r="A10557" s="4" t="s">
        <v>13273</v>
      </c>
      <c r="B10557" s="4" t="s">
        <v>13274</v>
      </c>
      <c r="C10557" s="5" t="str">
        <f>IFERROR(__xludf.DUMMYFUNCTION("GOOGLETRANSLATE(B10557,""en"",""it"")"),"Vengono mostrati diversi colpi di grandi gruppi di persone che corrono in un campo.")</f>
        <v>Vengono mostrati diversi colpi di grandi gruppi di persone che corrono in un campo.</v>
      </c>
    </row>
    <row r="10558">
      <c r="A10558" s="4" t="s">
        <v>13273</v>
      </c>
      <c r="B10558" s="4" t="s">
        <v>13275</v>
      </c>
      <c r="C10558" s="5" t="str">
        <f>IFERROR(__xludf.DUMMYFUNCTION("GOOGLETRANSLATE(B10558,""en"",""it"")"),"I membri del pubblico sono visti incoraggiare mentre le persone giocano a calcio sul lato.")</f>
        <v>I membri del pubblico sono visti incoraggiare mentre le persone giocano a calcio sul lato.</v>
      </c>
    </row>
    <row r="10559">
      <c r="A10559" s="4" t="s">
        <v>13273</v>
      </c>
      <c r="B10559" s="4" t="s">
        <v>13276</v>
      </c>
      <c r="C10559" s="5" t="str">
        <f>IFERROR(__xludf.DUMMYFUNCTION("GOOGLETRANSLATE(B10559,""en"",""it"")"),"Le persone continuano a giocare su e giù per il campo mentre altri li guardano giocare.")</f>
        <v>Le persone continuano a giocare su e giù per il campo mentre altri li guardano giocare.</v>
      </c>
    </row>
    <row r="10560">
      <c r="A10560" s="4" t="s">
        <v>13277</v>
      </c>
      <c r="B10560" s="6" t="s">
        <v>13278</v>
      </c>
      <c r="C10560" s="5" t="str">
        <f>IFERROR(__xludf.DUMMYFUNCTION("GOOGLETRANSLATE(B10560,""en"",""it"")"),"Una ragazza che indossa una felpa con cappuccio arancione e una ragazza che indossa una camicetta nera entra in una casa e va in cucina.")</f>
        <v>Una ragazza che indossa una felpa con cappuccio arancione e una ragazza che indossa una camicetta nera entra in una casa e va in cucina.</v>
      </c>
    </row>
    <row r="10561">
      <c r="A10561" s="4" t="s">
        <v>13277</v>
      </c>
      <c r="B10561" s="4" t="s">
        <v>13279</v>
      </c>
      <c r="C10561" s="5" t="str">
        <f>IFERROR(__xludf.DUMMYFUNCTION("GOOGLETRANSLATE(B10561,""en"",""it"")"),"Le ragazze si stanno preparando a cuocere i biscotti.")</f>
        <v>Le ragazze si stanno preparando a cuocere i biscotti.</v>
      </c>
    </row>
    <row r="10562">
      <c r="A10562" s="4" t="s">
        <v>13277</v>
      </c>
      <c r="B10562" s="4" t="s">
        <v>13280</v>
      </c>
      <c r="C10562" s="5" t="str">
        <f>IFERROR(__xludf.DUMMYFUNCTION("GOOGLETRANSLATE(B10562,""en"",""it"")"),"Il cellulare squilla e entrambe le ragazze si eccitano.")</f>
        <v>Il cellulare squilla e entrambe le ragazze si eccitano.</v>
      </c>
    </row>
    <row r="10563">
      <c r="A10563" s="4" t="s">
        <v>13277</v>
      </c>
      <c r="B10563" s="6" t="s">
        <v>13281</v>
      </c>
      <c r="C10563" s="5" t="str">
        <f>IFERROR(__xludf.DUMMYFUNCTION("GOOGLETRANSLATE(B10563,""en"",""it"")"),"Qualcuno è alla porta di casa e la ragazza nella felpa con cappuccio arancione attraversa la casa per andare a rispondere alla porta.")</f>
        <v>Qualcuno è alla porta di casa e la ragazza nella felpa con cappuccio arancione attraversa la casa per andare a rispondere alla porta.</v>
      </c>
    </row>
    <row r="10564">
      <c r="A10564" s="4" t="s">
        <v>13277</v>
      </c>
      <c r="B10564" s="4" t="s">
        <v>13282</v>
      </c>
      <c r="C10564" s="5" t="str">
        <f>IFERROR(__xludf.DUMMYFUNCTION("GOOGLETRANSLATE(B10564,""en"",""it"")"),"La ragazza con la camicetta nera è alla porta travestita da uomo.")</f>
        <v>La ragazza con la camicetta nera è alla porta travestita da uomo.</v>
      </c>
    </row>
    <row r="10565">
      <c r="A10565" s="4" t="s">
        <v>13277</v>
      </c>
      <c r="B10565" s="6" t="s">
        <v>13283</v>
      </c>
      <c r="C10565" s="5" t="str">
        <f>IFERROR(__xludf.DUMMYFUNCTION("GOOGLETRANSLATE(B10565,""en"",""it"")"),"La ragazza nella felpa con cappuccio arancione stringe una barra di burro e cade sul pavimento e sbatte la porta.")</f>
        <v>La ragazza nella felpa con cappuccio arancione stringe una barra di burro e cade sul pavimento e sbatte la porta.</v>
      </c>
    </row>
    <row r="10566">
      <c r="A10566" s="4" t="s">
        <v>13277</v>
      </c>
      <c r="B10566" s="4" t="s">
        <v>13284</v>
      </c>
      <c r="C10566" s="5" t="str">
        <f>IFERROR(__xludf.DUMMYFUNCTION("GOOGLETRANSLATE(B10566,""en"",""it"")"),"La ragazza con la camicetta nera si gira e si allontana abbattuta.")</f>
        <v>La ragazza con la camicetta nera si gira e si allontana abbattuta.</v>
      </c>
    </row>
    <row r="10567">
      <c r="A10567" s="4" t="s">
        <v>13285</v>
      </c>
      <c r="B10567" s="4" t="s">
        <v>13286</v>
      </c>
      <c r="C10567" s="5" t="str">
        <f>IFERROR(__xludf.DUMMYFUNCTION("GOOGLETRANSLATE(B10567,""en"",""it"")"),"Un uomo bianco è sul palco con lunghi terrori che vomitano il cartello del pezzo al pubblico.")</f>
        <v>Un uomo bianco è sul palco con lunghi terrori che vomitano il cartello del pezzo al pubblico.</v>
      </c>
    </row>
    <row r="10568">
      <c r="A10568" s="4" t="s">
        <v>13285</v>
      </c>
      <c r="B10568" s="6" t="s">
        <v>13287</v>
      </c>
      <c r="C10568" s="5" t="str">
        <f>IFERROR(__xludf.DUMMYFUNCTION("GOOGLETRANSLATE(B10568,""en"",""it"")"),"Dopo la loro interazione, l'uomo inizia a suonare i tubi del vento sulla schiena mentre cammina avanti e indietro attraverso il palco.")</f>
        <v>Dopo la loro interazione, l'uomo inizia a suonare i tubi del vento sulla schiena mentre cammina avanti e indietro attraverso il palco.</v>
      </c>
    </row>
    <row r="10569">
      <c r="A10569" s="4" t="s">
        <v>13285</v>
      </c>
      <c r="B10569" s="6" t="s">
        <v>13288</v>
      </c>
      <c r="C10569" s="5" t="str">
        <f>IFERROR(__xludf.DUMMYFUNCTION("GOOGLETRANSLATE(B10569,""en"",""it"")"),"La folla viene mostrata e la telecamera torna sul palco e diverse luci si accendono mentre il chitarrista inizia a suonare.")</f>
        <v>La folla viene mostrata e la telecamera torna sul palco e diverse luci si accendono mentre il chitarrista inizia a suonare.</v>
      </c>
    </row>
    <row r="10570">
      <c r="A10570" s="4" t="s">
        <v>13289</v>
      </c>
      <c r="B10570" s="4" t="s">
        <v>13290</v>
      </c>
      <c r="C10570" s="5" t="str">
        <f>IFERROR(__xludf.DUMMYFUNCTION("GOOGLETRANSLATE(B10570,""en"",""it"")"),"Una bambina sorride e parla alla telecamera.")</f>
        <v>Una bambina sorride e parla alla telecamera.</v>
      </c>
    </row>
    <row r="10571">
      <c r="A10571" s="4" t="s">
        <v>13289</v>
      </c>
      <c r="B10571" s="4" t="s">
        <v>13291</v>
      </c>
      <c r="C10571" s="5" t="str">
        <f>IFERROR(__xludf.DUMMYFUNCTION("GOOGLETRANSLATE(B10571,""en"",""it"")"),"Lei e altri bambini vengono quindi mostrati lavarsi le mani ai lavandini.")</f>
        <v>Lei e altri bambini vengono quindi mostrati lavarsi le mani ai lavandini.</v>
      </c>
    </row>
    <row r="10572">
      <c r="A10572" s="4" t="s">
        <v>13289</v>
      </c>
      <c r="B10572" s="6" t="s">
        <v>13292</v>
      </c>
      <c r="C10572" s="5" t="str">
        <f>IFERROR(__xludf.DUMMYFUNCTION("GOOGLETRANSLATE(B10572,""en"",""it"")"),"Parlano di cantare la canzone di compleanno o di contare per sapere per quanto tempo dovrebbero lavarsi le mani.")</f>
        <v>Parlano di cantare la canzone di compleanno o di contare per sapere per quanto tempo dovrebbero lavarsi le mani.</v>
      </c>
    </row>
    <row r="10573">
      <c r="A10573" s="4" t="s">
        <v>13293</v>
      </c>
      <c r="B10573" s="4" t="s">
        <v>13294</v>
      </c>
      <c r="C10573" s="5" t="str">
        <f>IFERROR(__xludf.DUMMYFUNCTION("GOOGLETRANSLATE(B10573,""en"",""it"")"),"Vediamo un uomo con una palla che si sta preparando a lanciare un tiro.")</f>
        <v>Vediamo un uomo con una palla che si sta preparando a lanciare un tiro.</v>
      </c>
    </row>
    <row r="10574">
      <c r="A10574" s="4" t="s">
        <v>13293</v>
      </c>
      <c r="B10574" s="4" t="s">
        <v>13295</v>
      </c>
      <c r="C10574" s="5" t="str">
        <f>IFERROR(__xludf.DUMMYFUNCTION("GOOGLETRANSLATE(B10574,""en"",""it"")"),"L'uomo si solleva il braccio.")</f>
        <v>L'uomo si solleva il braccio.</v>
      </c>
    </row>
    <row r="10575">
      <c r="A10575" s="4" t="s">
        <v>13293</v>
      </c>
      <c r="B10575" s="4" t="s">
        <v>13296</v>
      </c>
      <c r="C10575" s="5" t="str">
        <f>IFERROR(__xludf.DUMMYFUNCTION("GOOGLETRANSLATE(B10575,""en"",""it"")"),"L'uomo gira e lancia la palla.")</f>
        <v>L'uomo gira e lancia la palla.</v>
      </c>
    </row>
    <row r="10576">
      <c r="A10576" s="4" t="s">
        <v>13293</v>
      </c>
      <c r="B10576" s="4" t="s">
        <v>13297</v>
      </c>
      <c r="C10576" s="5" t="str">
        <f>IFERROR(__xludf.DUMMYFUNCTION("GOOGLETRANSLATE(B10576,""en"",""it"")"),"Vediamo gli uomini nella misura a distanza.")</f>
        <v>Vediamo gli uomini nella misura a distanza.</v>
      </c>
    </row>
    <row r="10577">
      <c r="A10577" s="4" t="s">
        <v>13293</v>
      </c>
      <c r="B10577" s="4" t="s">
        <v>13298</v>
      </c>
      <c r="C10577" s="5" t="str">
        <f>IFERROR(__xludf.DUMMYFUNCTION("GOOGLETRANSLATE(B10577,""en"",""it"")"),"Vediamo il lanciatore afferrare la giacca e se ne andiamo.")</f>
        <v>Vediamo il lanciatore afferrare la giacca e se ne andiamo.</v>
      </c>
    </row>
    <row r="10578">
      <c r="A10578" s="4" t="s">
        <v>13299</v>
      </c>
      <c r="B10578" s="4" t="s">
        <v>13300</v>
      </c>
      <c r="C10578" s="5" t="str">
        <f>IFERROR(__xludf.DUMMYFUNCTION("GOOGLETRANSLATE(B10578,""en"",""it"")"),"Vediamo un trattore e uno schermo del titolo.")</f>
        <v>Vediamo un trattore e uno schermo del titolo.</v>
      </c>
    </row>
    <row r="10579">
      <c r="A10579" s="4" t="s">
        <v>13299</v>
      </c>
      <c r="B10579" s="4" t="s">
        <v>13301</v>
      </c>
      <c r="C10579" s="5" t="str">
        <f>IFERROR(__xludf.DUMMYFUNCTION("GOOGLETRANSLATE(B10579,""en"",""it"")"),"Vediamo un trattore che soffia foglie.")</f>
        <v>Vediamo un trattore che soffia foglie.</v>
      </c>
    </row>
    <row r="10580">
      <c r="A10580" s="4" t="s">
        <v>13299</v>
      </c>
      <c r="B10580" s="4" t="s">
        <v>13302</v>
      </c>
      <c r="C10580" s="5" t="str">
        <f>IFERROR(__xludf.DUMMYFUNCTION("GOOGLETRANSLATE(B10580,""en"",""it"")"),"Vediamo da vicino il trattore.")</f>
        <v>Vediamo da vicino il trattore.</v>
      </c>
    </row>
    <row r="10581">
      <c r="A10581" s="4" t="s">
        <v>13299</v>
      </c>
      <c r="B10581" s="4" t="s">
        <v>2892</v>
      </c>
      <c r="C10581" s="5" t="str">
        <f>IFERROR(__xludf.DUMMYFUNCTION("GOOGLETRANSLATE(B10581,""en"",""it"")"),"Vediamo la schermata del titolo di chiusura.")</f>
        <v>Vediamo la schermata del titolo di chiusura.</v>
      </c>
    </row>
    <row r="10582">
      <c r="A10582" s="4" t="s">
        <v>13299</v>
      </c>
      <c r="B10582" s="4" t="s">
        <v>13303</v>
      </c>
      <c r="C10582" s="5" t="str">
        <f>IFERROR(__xludf.DUMMYFUNCTION("GOOGLETRANSLATE(B10582,""en"",""it"")"),"Vediamo quindi fiori sugli alberi.")</f>
        <v>Vediamo quindi fiori sugli alberi.</v>
      </c>
    </row>
    <row r="10583">
      <c r="A10583" s="4" t="s">
        <v>13304</v>
      </c>
      <c r="B10583" s="4" t="s">
        <v>13305</v>
      </c>
      <c r="C10583" s="5" t="str">
        <f>IFERROR(__xludf.DUMMYFUNCTION("GOOGLETRANSLATE(B10583,""en"",""it"")"),"Viene visto un uomo parlare alla telecamera che conduce in diverse clip di persone che si sveglia.")</f>
        <v>Viene visto un uomo parlare alla telecamera che conduce in diverse clip di persone che si sveglia.</v>
      </c>
    </row>
    <row r="10584">
      <c r="A10584" s="4" t="s">
        <v>13304</v>
      </c>
      <c r="B10584" s="4" t="s">
        <v>13306</v>
      </c>
      <c r="C10584" s="5" t="str">
        <f>IFERROR(__xludf.DUMMYFUNCTION("GOOGLETRANSLATE(B10584,""en"",""it"")"),"L'uomo parla quindi a una donna e aiuta a dimostrare come cavalcare correttamente la scia.")</f>
        <v>L'uomo parla quindi a una donna e aiuta a dimostrare come cavalcare correttamente la scia.</v>
      </c>
    </row>
    <row r="10585">
      <c r="A10585" s="4" t="s">
        <v>13304</v>
      </c>
      <c r="B10585" s="6" t="s">
        <v>13307</v>
      </c>
      <c r="C10585" s="5" t="str">
        <f>IFERROR(__xludf.DUMMYFUNCTION("GOOGLETRANSLATE(B10585,""en"",""it"")"),"La barca poi decolla e aiuta la ragazza a cavalcare mentre cade la prima volta e poi cavalca con successo.")</f>
        <v>La barca poi decolla e aiuta la ragazza a cavalcare mentre cade la prima volta e poi cavalca con successo.</v>
      </c>
    </row>
    <row r="10586">
      <c r="A10586" s="4" t="s">
        <v>13308</v>
      </c>
      <c r="B10586" s="4" t="s">
        <v>13309</v>
      </c>
      <c r="C10586" s="5" t="str">
        <f>IFERROR(__xludf.DUMMYFUNCTION("GOOGLETRANSLATE(B10586,""en"",""it"")"),"Un vecchio con gli occhiali è in piedi davanti alle piastrelle modello che parlano alla telecamera.")</f>
        <v>Un vecchio con gli occhiali è in piedi davanti alle piastrelle modello che parlano alla telecamera.</v>
      </c>
    </row>
    <row r="10587">
      <c r="A10587" s="4" t="s">
        <v>13308</v>
      </c>
      <c r="B10587" s="6" t="s">
        <v>13310</v>
      </c>
      <c r="C10587" s="5" t="str">
        <f>IFERROR(__xludf.DUMMYFUNCTION("GOOGLETRANSLATE(B10587,""en"",""it"")"),"Un gruppo di uomini in nero iniziò a rimuovere la prima metà del tappeto nel soggiorno, quindi lo sostituì con un tappeto più leggero e più nuovo.")</f>
        <v>Un gruppo di uomini in nero iniziò a rimuovere la prima metà del tappeto nel soggiorno, quindi lo sostituì con un tappeto più leggero e più nuovo.</v>
      </c>
    </row>
    <row r="10588">
      <c r="A10588" s="4" t="s">
        <v>13308</v>
      </c>
      <c r="B10588" s="6" t="s">
        <v>13311</v>
      </c>
      <c r="C10588" s="5" t="str">
        <f>IFERROR(__xludf.DUMMYFUNCTION("GOOGLETRANSLATE(B10588,""en"",""it"")"),"Il gruppo di uomini con camicie nere spostò il divano dal muro sull'altro lato e rimosse l'altra metà del tappeto, esponendo il pavimento verde.")</f>
        <v>Il gruppo di uomini con camicie nere spostò il divano dal muro sull'altro lato e rimosse l'altra metà del tappeto, esponendo il pavimento verde.</v>
      </c>
    </row>
    <row r="10589">
      <c r="A10589" s="4" t="s">
        <v>13308</v>
      </c>
      <c r="B10589" s="4" t="s">
        <v>13312</v>
      </c>
      <c r="C10589" s="5" t="str">
        <f>IFERROR(__xludf.DUMMYFUNCTION("GOOGLETRANSLATE(B10589,""en"",""it"")"),"Il gruppo di uomini mise il tappeto sul pavimento, lo misurano, lo tagliano e lo registrarono.")</f>
        <v>Il gruppo di uomini mise il tappeto sul pavimento, lo misurano, lo tagliano e lo registrarono.</v>
      </c>
    </row>
    <row r="10590">
      <c r="A10590" s="4" t="s">
        <v>13308</v>
      </c>
      <c r="B10590" s="6" t="s">
        <v>13313</v>
      </c>
      <c r="C10590" s="5" t="str">
        <f>IFERROR(__xludf.DUMMYFUNCTION("GOOGLETRANSLATE(B10590,""en"",""it"")"),"Quando il nuovo tappeto è correttamente installato, gli uomini aspirano il tappeto mentre la signora camminava nel soggiorno.")</f>
        <v>Quando il nuovo tappeto è correttamente installato, gli uomini aspirano il tappeto mentre la signora camminava nel soggiorno.</v>
      </c>
    </row>
    <row r="10591">
      <c r="A10591" s="4" t="s">
        <v>13308</v>
      </c>
      <c r="B10591" s="6" t="s">
        <v>13314</v>
      </c>
      <c r="C10591" s="5" t="str">
        <f>IFERROR(__xludf.DUMMYFUNCTION("GOOGLETRANSLATE(B10591,""en"",""it"")"),"Gli uomini e il vecchio e la donna hanno rimosso la TV dal muro e hanno installato un mobile a televisore di legno, mentre gli altri uomini e la signora hanno organizzato il divano e ci hanno messo i cuscini.")</f>
        <v>Gli uomini e il vecchio e la donna hanno rimosso la TV dal muro e hanno installato un mobile a televisore di legno, mentre gli altri uomini e la signora hanno organizzato il divano e ci hanno messo i cuscini.</v>
      </c>
    </row>
    <row r="10592">
      <c r="A10592" s="4" t="s">
        <v>13315</v>
      </c>
      <c r="B10592" s="6" t="s">
        <v>13316</v>
      </c>
      <c r="C10592" s="5" t="str">
        <f>IFERROR(__xludf.DUMMYFUNCTION("GOOGLETRANSLATE(B10592,""en"",""it"")"),"Un gruppo di otto persone è rafting bianco in acqua un po 'calma mentre le due persone nella parte posteriore le remavano nell'acqua.")</f>
        <v>Un gruppo di otto persone è rafting bianco in acqua un po 'calma mentre le due persone nella parte posteriore le remavano nell'acqua.</v>
      </c>
    </row>
    <row r="10593">
      <c r="A10593" s="4" t="s">
        <v>13315</v>
      </c>
      <c r="B10593" s="6" t="s">
        <v>13317</v>
      </c>
      <c r="C10593" s="5" t="str">
        <f>IFERROR(__xludf.DUMMYFUNCTION("GOOGLETRANSLATE(B10593,""en"",""it"")"),"Le due persone nella parte posteriore continuano a remare e la fotocamera si ingrandisce su di loro, ma l'acqua è troppo calma per loro per avere l'esperienza completa e non sta succedendo nulla.")</f>
        <v>Le due persone nella parte posteriore continuano a remare e la fotocamera si ingrandisce su di loro, ma l'acqua è troppo calma per loro per avere l'esperienza completa e non sta succedendo nulla.</v>
      </c>
    </row>
    <row r="10594">
      <c r="A10594" s="4" t="s">
        <v>13315</v>
      </c>
      <c r="B10594" s="4" t="s">
        <v>13318</v>
      </c>
      <c r="C10594" s="5" t="str">
        <f>IFERROR(__xludf.DUMMYFUNCTION("GOOGLETRANSLATE(B10594,""en"",""it"")"),"Infine, compaiono uno schermo blu e le parole bianche compaiono.")</f>
        <v>Infine, compaiono uno schermo blu e le parole bianche compaiono.</v>
      </c>
    </row>
    <row r="10595">
      <c r="A10595" s="4" t="s">
        <v>13319</v>
      </c>
      <c r="B10595" s="4" t="s">
        <v>13320</v>
      </c>
      <c r="C10595" s="5" t="str">
        <f>IFERROR(__xludf.DUMMYFUNCTION("GOOGLETRANSLATE(B10595,""en"",""it"")"),"Due auto sono parcheggiate sul lato della strada mentre il treno passa.")</f>
        <v>Due auto sono parcheggiate sul lato della strada mentre il treno passa.</v>
      </c>
    </row>
    <row r="10596">
      <c r="A10596" s="4" t="s">
        <v>13319</v>
      </c>
      <c r="B10596" s="6" t="s">
        <v>13321</v>
      </c>
      <c r="C10596" s="5" t="str">
        <f>IFERROR(__xludf.DUMMYFUNCTION("GOOGLETRANSLATE(B10596,""en"",""it"")"),"All'improvviso, l'angolo si sposta e un ragazzo inizia a skateboard lungo la collina e in tutta la città.")</f>
        <v>All'improvviso, l'angolo si sposta e un ragazzo inizia a skateboard lungo la collina e in tutta la città.</v>
      </c>
    </row>
    <row r="10597">
      <c r="A10597" s="4" t="s">
        <v>13322</v>
      </c>
      <c r="B10597" s="4" t="s">
        <v>13323</v>
      </c>
      <c r="C10597" s="5" t="str">
        <f>IFERROR(__xludf.DUMMYFUNCTION("GOOGLETRANSLATE(B10597,""en"",""it"")"),"Un uomo si siede su un tavolo con le fisarmoniche.")</f>
        <v>Un uomo si siede su un tavolo con le fisarmoniche.</v>
      </c>
    </row>
    <row r="10598">
      <c r="A10598" s="4" t="s">
        <v>13322</v>
      </c>
      <c r="B10598" s="4" t="s">
        <v>13324</v>
      </c>
      <c r="C10598" s="5" t="str">
        <f>IFERROR(__xludf.DUMMYFUNCTION("GOOGLETRANSLATE(B10598,""en"",""it"")"),"Quindi l'uomo tiene una fisarmonica toccando i pulsanti e parla.")</f>
        <v>Quindi l'uomo tiene una fisarmonica toccando i pulsanti e parla.</v>
      </c>
    </row>
    <row r="10599">
      <c r="A10599" s="4" t="s">
        <v>13325</v>
      </c>
      <c r="B10599" s="4" t="s">
        <v>13326</v>
      </c>
      <c r="C10599" s="5" t="str">
        <f>IFERROR(__xludf.DUMMYFUNCTION("GOOGLETRANSLATE(B10599,""en"",""it"")"),"Una donna suona il piano in una stanza decorata con candele.")</f>
        <v>Una donna suona il piano in una stanza decorata con candele.</v>
      </c>
    </row>
    <row r="10600">
      <c r="A10600" s="4" t="s">
        <v>13325</v>
      </c>
      <c r="B10600" s="4" t="s">
        <v>13327</v>
      </c>
      <c r="C10600" s="5" t="str">
        <f>IFERROR(__xludf.DUMMYFUNCTION("GOOGLETRANSLATE(B10600,""en"",""it"")"),"Katty Perry cammina con un uomo in strada, suona il piano, poi parla con l'uomo.")</f>
        <v>Katty Perry cammina con un uomo in strada, suona il piano, poi parla con l'uomo.</v>
      </c>
    </row>
    <row r="10601">
      <c r="A10601" s="4" t="s">
        <v>13328</v>
      </c>
      <c r="B10601" s="4" t="s">
        <v>13329</v>
      </c>
      <c r="C10601" s="5" t="str">
        <f>IFERROR(__xludf.DUMMYFUNCTION("GOOGLETRANSLATE(B10601,""en"",""it"")"),"Un uomo viene tirato su uno sci d'acqua mentre galleggia in acqua casualmente.")</f>
        <v>Un uomo viene tirato su uno sci d'acqua mentre galleggia in acqua casualmente.</v>
      </c>
    </row>
    <row r="10602">
      <c r="A10602" s="4" t="s">
        <v>13328</v>
      </c>
      <c r="B10602" s="4" t="s">
        <v>13330</v>
      </c>
      <c r="C10602" s="5" t="str">
        <f>IFERROR(__xludf.DUMMYFUNCTION("GOOGLETRANSLATE(B10602,""en"",""it"")"),"Monta lo sci d'acqua e le lacrime attraverso l'acqua a velocità veloci.")</f>
        <v>Monta lo sci d'acqua e le lacrime attraverso l'acqua a velocità veloci.</v>
      </c>
    </row>
    <row r="10603">
      <c r="A10603" s="4" t="s">
        <v>13328</v>
      </c>
      <c r="B10603" s="4" t="s">
        <v>13331</v>
      </c>
      <c r="C10603" s="5" t="str">
        <f>IFERROR(__xludf.DUMMYFUNCTION("GOOGLETRANSLATE(B10603,""en"",""it"")"),"Due uomini sono mostrati seduti sulla barca, prima di tagliare lo sci d'acqua turbolento.")</f>
        <v>Due uomini sono mostrati seduti sulla barca, prima di tagliare lo sci d'acqua turbolento.</v>
      </c>
    </row>
    <row r="10604">
      <c r="A10604" s="4" t="s">
        <v>13332</v>
      </c>
      <c r="B10604" s="4" t="s">
        <v>13333</v>
      </c>
      <c r="C10604" s="5" t="str">
        <f>IFERROR(__xludf.DUMMYFUNCTION("GOOGLETRANSLATE(B10604,""en"",""it"")"),"L'uomo con camicia blu con cappuccio sta colpendo la corda spessa.")</f>
        <v>L'uomo con camicia blu con cappuccio sta colpendo la corda spessa.</v>
      </c>
    </row>
    <row r="10605">
      <c r="A10605" s="4" t="s">
        <v>13332</v>
      </c>
      <c r="B10605" s="4" t="s">
        <v>13334</v>
      </c>
      <c r="C10605" s="5" t="str">
        <f>IFERROR(__xludf.DUMMYFUNCTION("GOOGLETRANSLATE(B10605,""en"",""it"")"),"L'uomo si mette sulla corda e la folla ha applaudito.")</f>
        <v>L'uomo si mette sulla corda e la folla ha applaudito.</v>
      </c>
    </row>
    <row r="10606">
      <c r="A10606" s="4" t="s">
        <v>13332</v>
      </c>
      <c r="B10606" s="6" t="s">
        <v>13335</v>
      </c>
      <c r="C10606" s="5" t="str">
        <f>IFERROR(__xludf.DUMMYFUNCTION("GOOGLETRANSLATE(B10606,""en"",""it"")"),"L'uomo con camicia blu iniziò a rimbalzare sulla corda facendo alcuni trucchi come sedersi sulla corda, rimbalzando sul petto, carretta e camminando sulla corda.")</f>
        <v>L'uomo con camicia blu iniziò a rimbalzare sulla corda facendo alcuni trucchi come sedersi sulla corda, rimbalzando sul petto, carretta e camminando sulla corda.</v>
      </c>
    </row>
    <row r="10607">
      <c r="A10607" s="4" t="s">
        <v>13336</v>
      </c>
      <c r="B10607" s="4" t="s">
        <v>13337</v>
      </c>
      <c r="C10607" s="5" t="str">
        <f>IFERROR(__xludf.DUMMYFUNCTION("GOOGLETRANSLATE(B10607,""en"",""it"")"),"Una ragazza sta facendo ginnastica su un tappetino blu.")</f>
        <v>Una ragazza sta facendo ginnastica su un tappetino blu.</v>
      </c>
    </row>
    <row r="10608">
      <c r="A10608" s="4" t="s">
        <v>13336</v>
      </c>
      <c r="B10608" s="4" t="s">
        <v>13338</v>
      </c>
      <c r="C10608" s="5" t="str">
        <f>IFERROR(__xludf.DUMMYFUNCTION("GOOGLETRANSLATE(B10608,""en"",""it"")"),"Fa diversi capovolgimenti su un trampolino.")</f>
        <v>Fa diversi capovolgimenti su un trampolino.</v>
      </c>
    </row>
    <row r="10609">
      <c r="A10609" s="4" t="s">
        <v>13336</v>
      </c>
      <c r="B10609" s="4" t="s">
        <v>13339</v>
      </c>
      <c r="C10609" s="5" t="str">
        <f>IFERROR(__xludf.DUMMYFUNCTION("GOOGLETRANSLATE(B10609,""en"",""it"")"),"Fa un capovolgimento in una pila di pezzi di schiuma.")</f>
        <v>Fa un capovolgimento in una pila di pezzi di schiuma.</v>
      </c>
    </row>
    <row r="10610">
      <c r="A10610" s="4" t="s">
        <v>13340</v>
      </c>
      <c r="B10610" s="4" t="s">
        <v>13341</v>
      </c>
      <c r="C10610" s="5" t="str">
        <f>IFERROR(__xludf.DUMMYFUNCTION("GOOGLETRANSLATE(B10610,""en"",""it"")"),"Gli uomini escono su un applausi e alti cinque.")</f>
        <v>Gli uomini escono su un applausi e alti cinque.</v>
      </c>
    </row>
    <row r="10611">
      <c r="A10611" s="4" t="s">
        <v>13340</v>
      </c>
      <c r="B10611" s="4" t="s">
        <v>13342</v>
      </c>
      <c r="C10611" s="5" t="str">
        <f>IFERROR(__xludf.DUMMYFUNCTION("GOOGLETRANSLATE(B10611,""en"",""it"")"),"Gli uomini eseguono una routine di cheerleader.")</f>
        <v>Gli uomini eseguono una routine di cheerleader.</v>
      </c>
    </row>
    <row r="10612">
      <c r="A10612" s="4" t="s">
        <v>13340</v>
      </c>
      <c r="B10612" s="4" t="s">
        <v>13343</v>
      </c>
      <c r="C10612" s="5" t="str">
        <f>IFERROR(__xludf.DUMMYFUNCTION("GOOGLETRANSLATE(B10612,""en"",""it"")"),"Tengono cinque uomini in aria e li lanciano e lanciano quattro uomini in gruppo.")</f>
        <v>Tengono cinque uomini in aria e li lanciano e lanciano quattro uomini in gruppo.</v>
      </c>
    </row>
    <row r="10613">
      <c r="A10613" s="4" t="s">
        <v>13340</v>
      </c>
      <c r="B10613" s="6" t="s">
        <v>13344</v>
      </c>
      <c r="C10613" s="5" t="str">
        <f>IFERROR(__xludf.DUMMYFUNCTION("GOOGLETRANSLATE(B10613,""en"",""it"")"),"Un uomo viene sollevato e oscilla due uomini sulle braccia dall'altra parte, quindi cinque uomini fanno una forma simile a una stella.")</f>
        <v>Un uomo viene sollevato e oscilla due uomini sulle braccia dall'altra parte, quindi cinque uomini fanno una forma simile a una stella.</v>
      </c>
    </row>
    <row r="10614">
      <c r="A10614" s="4" t="s">
        <v>13340</v>
      </c>
      <c r="B10614" s="4" t="s">
        <v>13345</v>
      </c>
      <c r="C10614" s="5" t="str">
        <f>IFERROR(__xludf.DUMMYFUNCTION("GOOGLETRANSLATE(B10614,""en"",""it"")"),"Gli uomini si inginocchiano e ballano e posano per il traguardo.")</f>
        <v>Gli uomini si inginocchiano e ballano e posano per il traguardo.</v>
      </c>
    </row>
    <row r="10615">
      <c r="A10615" s="4" t="s">
        <v>13340</v>
      </c>
      <c r="B10615" s="4" t="s">
        <v>13346</v>
      </c>
      <c r="C10615" s="5" t="str">
        <f>IFERROR(__xludf.DUMMYFUNCTION("GOOGLETRANSLATE(B10615,""en"",""it"")"),"Gli uomini saltano e rallegrano mentre lasciano il palco.")</f>
        <v>Gli uomini saltano e rallegrano mentre lasciano il palco.</v>
      </c>
    </row>
    <row r="10616">
      <c r="A10616" s="4" t="s">
        <v>13340</v>
      </c>
      <c r="B10616" s="4" t="s">
        <v>13347</v>
      </c>
      <c r="C10616" s="5" t="str">
        <f>IFERROR(__xludf.DUMMYFUNCTION("GOOGLETRANSLATE(B10616,""en"",""it"")"),"Una persona in prima fila si trova davanti alla fotocamera.")</f>
        <v>Una persona in prima fila si trova davanti alla fotocamera.</v>
      </c>
    </row>
    <row r="10617">
      <c r="A10617" s="4" t="s">
        <v>13348</v>
      </c>
      <c r="B10617" s="4" t="s">
        <v>13349</v>
      </c>
      <c r="C10617" s="5" t="str">
        <f>IFERROR(__xludf.DUMMYFUNCTION("GOOGLETRANSLATE(B10617,""en"",""it"")"),"Un uomo viene visto in ginocchio di un tetto mentre tiene in mano un pezzo di legno.")</f>
        <v>Un uomo viene visto in ginocchio di un tetto mentre tiene in mano un pezzo di legno.</v>
      </c>
    </row>
    <row r="10618">
      <c r="A10618" s="4" t="s">
        <v>13348</v>
      </c>
      <c r="B10618" s="4" t="s">
        <v>13350</v>
      </c>
      <c r="C10618" s="5" t="str">
        <f>IFERROR(__xludf.DUMMYFUNCTION("GOOGLETRANSLATE(B10618,""en"",""it"")"),"Comincia a martellare il pezzo di legno mentre la telecamera si muove intorno.")</f>
        <v>Comincia a martellare il pezzo di legno mentre la telecamera si muove intorno.</v>
      </c>
    </row>
    <row r="10619">
      <c r="A10619" s="4" t="s">
        <v>13348</v>
      </c>
      <c r="B10619" s="4" t="s">
        <v>13351</v>
      </c>
      <c r="C10619" s="5" t="str">
        <f>IFERROR(__xludf.DUMMYFUNCTION("GOOGLETRANSLATE(B10619,""en"",""it"")"),"Continua a martellarsi e guarda indietro alla telecamera.")</f>
        <v>Continua a martellarsi e guarda indietro alla telecamera.</v>
      </c>
    </row>
    <row r="10620">
      <c r="A10620" s="4" t="s">
        <v>13352</v>
      </c>
      <c r="B10620" s="4" t="s">
        <v>13353</v>
      </c>
      <c r="C10620" s="5" t="str">
        <f>IFERROR(__xludf.DUMMYFUNCTION("GOOGLETRANSLATE(B10620,""en"",""it"")"),"Un uomo viene visto guardare alla telecamera e schioccare le dita.")</f>
        <v>Un uomo viene visto guardare alla telecamera e schioccare le dita.</v>
      </c>
    </row>
    <row r="10621">
      <c r="A10621" s="4" t="s">
        <v>13352</v>
      </c>
      <c r="B10621" s="4" t="s">
        <v>13354</v>
      </c>
      <c r="C10621" s="5" t="str">
        <f>IFERROR(__xludf.DUMMYFUNCTION("GOOGLETRANSLATE(B10621,""en"",""it"")"),"Questo porta a un uomo che suona uno strumento mentre la fotocamera osserva.")</f>
        <v>Questo porta a un uomo che suona uno strumento mentre la fotocamera osserva.</v>
      </c>
    </row>
    <row r="10622">
      <c r="A10622" s="4" t="s">
        <v>13352</v>
      </c>
      <c r="B10622" s="4" t="s">
        <v>13355</v>
      </c>
      <c r="C10622" s="5" t="str">
        <f>IFERROR(__xludf.DUMMYFUNCTION("GOOGLETRANSLATE(B10622,""en"",""it"")"),"L'uomo continua a giocare a muovere le mani su e giù e guardando indietro alla telecamera.")</f>
        <v>L'uomo continua a giocare a muovere le mani su e giù e guardando indietro alla telecamera.</v>
      </c>
    </row>
    <row r="10623">
      <c r="A10623" s="4" t="s">
        <v>13356</v>
      </c>
      <c r="B10623" s="4" t="s">
        <v>13357</v>
      </c>
      <c r="C10623" s="5" t="str">
        <f>IFERROR(__xludf.DUMMYFUNCTION("GOOGLETRANSLATE(B10623,""en"",""it"")"),"Un gruppo di persone è fuori in spiaggia a giocare a pallavolo di sabbia.")</f>
        <v>Un gruppo di persone è fuori in spiaggia a giocare a pallavolo di sabbia.</v>
      </c>
    </row>
    <row r="10624">
      <c r="A10624" s="4" t="s">
        <v>13356</v>
      </c>
      <c r="B10624" s="4" t="s">
        <v>13358</v>
      </c>
      <c r="C10624" s="5" t="str">
        <f>IFERROR(__xludf.DUMMYFUNCTION("GOOGLETRANSLATE(B10624,""en"",""it"")"),"La palla cade e un ragazzo grasso con camicie gialle prende la palla e cerca di servirla.")</f>
        <v>La palla cade e un ragazzo grasso con camicie gialle prende la palla e cerca di servirla.</v>
      </c>
    </row>
    <row r="10625">
      <c r="A10625" s="4" t="s">
        <v>13356</v>
      </c>
      <c r="B10625" s="4" t="s">
        <v>13359</v>
      </c>
      <c r="C10625" s="5" t="str">
        <f>IFERROR(__xludf.DUMMYFUNCTION("GOOGLETRANSLATE(B10625,""en"",""it"")"),"Tuttavia, la palla non riesce a superare la rete, rotola indietro e va a prenderla.")</f>
        <v>Tuttavia, la palla non riesce a superare la rete, rotola indietro e va a prenderla.</v>
      </c>
    </row>
    <row r="10626">
      <c r="A10626" s="4" t="s">
        <v>13360</v>
      </c>
      <c r="B10626" s="4" t="s">
        <v>13361</v>
      </c>
      <c r="C10626" s="5" t="str">
        <f>IFERROR(__xludf.DUMMYFUNCTION("GOOGLETRANSLATE(B10626,""en"",""it"")"),"Un uomo sta parlando e suona la batteria in uno schermo diviso.")</f>
        <v>Un uomo sta parlando e suona la batteria in uno schermo diviso.</v>
      </c>
    </row>
    <row r="10627">
      <c r="A10627" s="4" t="s">
        <v>13360</v>
      </c>
      <c r="B10627" s="4" t="s">
        <v>13362</v>
      </c>
      <c r="C10627" s="5" t="str">
        <f>IFERROR(__xludf.DUMMYFUNCTION("GOOGLETRANSLATE(B10627,""en"",""it"")"),"Mentre spiega il processo, usa le mani per battere una melodia.")</f>
        <v>Mentre spiega il processo, usa le mani per battere una melodia.</v>
      </c>
    </row>
    <row r="10628">
      <c r="A10628" s="4" t="s">
        <v>13360</v>
      </c>
      <c r="B10628" s="4" t="s">
        <v>13363</v>
      </c>
      <c r="C10628" s="5" t="str">
        <f>IFERROR(__xludf.DUMMYFUNCTION("GOOGLETRANSLATE(B10628,""en"",""it"")"),"Continua a parlare e giocare fino a quando non passa esclusivamente a lui suonando la batteria.")</f>
        <v>Continua a parlare e giocare fino a quando non passa esclusivamente a lui suonando la batteria.</v>
      </c>
    </row>
    <row r="10629">
      <c r="A10629" s="4" t="s">
        <v>13364</v>
      </c>
      <c r="B10629" s="4" t="s">
        <v>13365</v>
      </c>
      <c r="C10629" s="5" t="str">
        <f>IFERROR(__xludf.DUMMYFUNCTION("GOOGLETRANSLATE(B10629,""en"",""it"")"),"Le persone sono sedute a allenare macchine.")</f>
        <v>Le persone sono sedute a allenare macchine.</v>
      </c>
    </row>
    <row r="10630">
      <c r="A10630" s="4" t="s">
        <v>13364</v>
      </c>
      <c r="B10630" s="4" t="s">
        <v>13366</v>
      </c>
      <c r="C10630" s="5" t="str">
        <f>IFERROR(__xludf.DUMMYFUNCTION("GOOGLETRANSLATE(B10630,""en"",""it"")"),"Cominciano a tirare una corda per allenarsi.")</f>
        <v>Cominciano a tirare una corda per allenarsi.</v>
      </c>
    </row>
    <row r="10631">
      <c r="A10631" s="4" t="s">
        <v>13364</v>
      </c>
      <c r="B10631" s="4" t="s">
        <v>13367</v>
      </c>
      <c r="C10631" s="5" t="str">
        <f>IFERROR(__xludf.DUMMYFUNCTION("GOOGLETRANSLATE(B10631,""en"",""it"")"),"Una donna è in piedi accanto a una macchina da allenamento.")</f>
        <v>Una donna è in piedi accanto a una macchina da allenamento.</v>
      </c>
    </row>
    <row r="10632">
      <c r="A10632" s="4" t="s">
        <v>13368</v>
      </c>
      <c r="B10632" s="4" t="s">
        <v>13369</v>
      </c>
      <c r="C10632" s="5" t="str">
        <f>IFERROR(__xludf.DUMMYFUNCTION("GOOGLETRANSLATE(B10632,""en"",""it"")"),"Diverse persone si esercitano in una stanza.")</f>
        <v>Diverse persone si esercitano in una stanza.</v>
      </c>
    </row>
    <row r="10633">
      <c r="A10633" s="4" t="s">
        <v>13368</v>
      </c>
      <c r="B10633" s="4" t="s">
        <v>13370</v>
      </c>
      <c r="C10633" s="5" t="str">
        <f>IFERROR(__xludf.DUMMYFUNCTION("GOOGLETRANSLATE(B10633,""en"",""it"")"),"Il passo avanti e fuori da una piattaforma in ritmo.")</f>
        <v>Il passo avanti e fuori da una piattaforma in ritmo.</v>
      </c>
    </row>
    <row r="10634">
      <c r="A10634" s="4" t="s">
        <v>13368</v>
      </c>
      <c r="B10634" s="4" t="s">
        <v>13371</v>
      </c>
      <c r="C10634" s="5" t="str">
        <f>IFERROR(__xludf.DUMMYFUNCTION("GOOGLETRANSLATE(B10634,""en"",""it"")"),"Stanno ballando molto intensamente.")</f>
        <v>Stanno ballando molto intensamente.</v>
      </c>
    </row>
    <row r="10635">
      <c r="A10635" s="4" t="s">
        <v>13368</v>
      </c>
      <c r="B10635" s="4" t="s">
        <v>13372</v>
      </c>
      <c r="C10635" s="5" t="str">
        <f>IFERROR(__xludf.DUMMYFUNCTION("GOOGLETRANSLATE(B10635,""en"",""it"")"),"Alcuni di loro girano in cerchi.")</f>
        <v>Alcuni di loro girano in cerchi.</v>
      </c>
    </row>
    <row r="10636">
      <c r="A10636" s="4" t="s">
        <v>13373</v>
      </c>
      <c r="B10636" s="4" t="s">
        <v>13374</v>
      </c>
      <c r="C10636" s="5" t="str">
        <f>IFERROR(__xludf.DUMMYFUNCTION("GOOGLETRANSLATE(B10636,""en"",""it"")"),"Ci sono due uomini gomito che lottano su un tavolo.")</f>
        <v>Ci sono due uomini gomito che lottano su un tavolo.</v>
      </c>
    </row>
    <row r="10637">
      <c r="A10637" s="4" t="s">
        <v>13373</v>
      </c>
      <c r="B10637" s="4" t="s">
        <v>13375</v>
      </c>
      <c r="C10637" s="5" t="str">
        <f>IFERROR(__xludf.DUMMYFUNCTION("GOOGLETRANSLATE(B10637,""en"",""it"")"),"Ci sono diverse persone che li stanno guardando lottare.")</f>
        <v>Ci sono diverse persone che li stanno guardando lottare.</v>
      </c>
    </row>
    <row r="10638">
      <c r="A10638" s="4" t="s">
        <v>13373</v>
      </c>
      <c r="B10638" s="4" t="s">
        <v>13376</v>
      </c>
      <c r="C10638" s="5" t="str">
        <f>IFERROR(__xludf.DUMMYFUNCTION("GOOGLETRANSLATE(B10638,""en"",""it"")"),"In un'altra scena, ci sono altri due uomini al gusto del gomito.")</f>
        <v>In un'altra scena, ci sono altri due uomini al gusto del gomito.</v>
      </c>
    </row>
    <row r="10639">
      <c r="A10639" s="4" t="s">
        <v>13373</v>
      </c>
      <c r="B10639" s="6" t="s">
        <v>13377</v>
      </c>
      <c r="C10639" s="5" t="str">
        <f>IFERROR(__xludf.DUMMYFUNCTION("GOOGLETRANSLATE(B10639,""en"",""it"")"),"Ci sono una serie di eventi di wrestling del gomito mostrati nel video in cui un uomo è più forte dell'altro e finisce per vincere il gioco di wrestling.")</f>
        <v>Ci sono una serie di eventi di wrestling del gomito mostrati nel video in cui un uomo è più forte dell'altro e finisce per vincere il gioco di wrestling.</v>
      </c>
    </row>
    <row r="10640">
      <c r="A10640" s="4" t="s">
        <v>13373</v>
      </c>
      <c r="B10640" s="6" t="s">
        <v>13378</v>
      </c>
      <c r="C10640" s="5" t="str">
        <f>IFERROR(__xludf.DUMMYFUNCTION("GOOGLETRANSLATE(B10640,""en"",""it"")"),"Ci sono alcune scene drammatizzate in cui le persone sono il gomito di wrestling e reagiscono troppo al gioco.")</f>
        <v>Ci sono alcune scene drammatizzate in cui le persone sono il gomito di wrestling e reagiscono troppo al gioco.</v>
      </c>
    </row>
    <row r="10641">
      <c r="A10641" s="4" t="s">
        <v>13373</v>
      </c>
      <c r="B10641" s="4" t="s">
        <v>13379</v>
      </c>
      <c r="C10641" s="5" t="str">
        <f>IFERROR(__xludf.DUMMYFUNCTION("GOOGLETRANSLATE(B10641,""en"",""it"")"),"Ci sono anche alcuni arbitri visti che agiscono come moderatori nella partita di wrestling del gomito.")</f>
        <v>Ci sono anche alcuni arbitri visti che agiscono come moderatori nella partita di wrestling del gomito.</v>
      </c>
    </row>
    <row r="10642">
      <c r="A10642" s="4" t="s">
        <v>13380</v>
      </c>
      <c r="B10642" s="4" t="s">
        <v>13381</v>
      </c>
      <c r="C10642" s="5" t="str">
        <f>IFERROR(__xludf.DUMMYFUNCTION("GOOGLETRANSLATE(B10642,""en"",""it"")"),"Una donna bruna è seduta in una stanza e ha il braccio sinistro allevato e sta guardando la sua ascella.")</f>
        <v>Una donna bruna è seduta in una stanza e ha il braccio sinistro allevato e sta guardando la sua ascella.</v>
      </c>
    </row>
    <row r="10643">
      <c r="A10643" s="4" t="s">
        <v>13380</v>
      </c>
      <c r="B10643" s="6" t="s">
        <v>13382</v>
      </c>
      <c r="C10643" s="5" t="str">
        <f>IFERROR(__xludf.DUMMYFUNCTION("GOOGLETRANSLATE(B10643,""en"",""it"")"),"La donna mette giù il braccio e parla nella telecamera e un gatto nero sale sui mobili dietro di lei mentre sta ancora parlando.")</f>
        <v>La donna mette giù il braccio e parla nella telecamera e un gatto nero sale sui mobili dietro di lei mentre sta ancora parlando.</v>
      </c>
    </row>
    <row r="10644">
      <c r="A10644" s="4" t="s">
        <v>13380</v>
      </c>
      <c r="B10644" s="6" t="s">
        <v>13383</v>
      </c>
      <c r="C10644" s="5" t="str">
        <f>IFERROR(__xludf.DUMMYFUNCTION("GOOGLETRANSLATE(B10644,""en"",""it"")"),"La donna è ora in piedi nella sua doccia completamente vestita e sta applicando molta crema da barba alla gamba destra che è appoggiata su un muro.")</f>
        <v>La donna è ora in piedi nella sua doccia completamente vestita e sta applicando molta crema da barba alla gamba destra che è appoggiata su un muro.</v>
      </c>
    </row>
    <row r="10645">
      <c r="A10645" s="4" t="s">
        <v>13380</v>
      </c>
      <c r="B10645" s="6" t="s">
        <v>13384</v>
      </c>
      <c r="C10645" s="5" t="str">
        <f>IFERROR(__xludf.DUMMYFUNCTION("GOOGLETRANSLATE(B10645,""en"",""it"")"),"La donna ora è in piedi e ha un sacco di crema da barba sull'ascella sinistra e cade, poi è in piedi con la crema da barba su di lei e poi batte le mani.")</f>
        <v>La donna ora è in piedi e ha un sacco di crema da barba sull'ascella sinistra e cade, poi è in piedi con la crema da barba su di lei e poi batte le mani.</v>
      </c>
    </row>
    <row r="10646">
      <c r="A10646" s="4" t="s">
        <v>13380</v>
      </c>
      <c r="B10646" s="6" t="s">
        <v>13385</v>
      </c>
      <c r="C10646" s="5" t="str">
        <f>IFERROR(__xludf.DUMMYFUNCTION("GOOGLETRANSLATE(B10646,""en"",""it"")"),"La donna è tornata nella stanza a parlare, poi appare sotto la doccia con un rasoio e radersi le gambe.")</f>
        <v>La donna è tornata nella stanza a parlare, poi appare sotto la doccia con un rasoio e radersi le gambe.</v>
      </c>
    </row>
    <row r="10647">
      <c r="A10647" s="4" t="s">
        <v>13380</v>
      </c>
      <c r="B10647" s="6" t="s">
        <v>13386</v>
      </c>
      <c r="C10647" s="5" t="str">
        <f>IFERROR(__xludf.DUMMYFUNCTION("GOOGLETRANSLATE(B10647,""en"",""it"")"),"La donna sta parlando di nuovo nella stanza e il suo gatto nero si avvicina a lei e la donna continua a parlare e termina con una clip del suo togliersi con cura dalla vasca.")</f>
        <v>La donna sta parlando di nuovo nella stanza e il suo gatto nero si avvicina a lei e la donna continua a parlare e termina con una clip del suo togliersi con cura dalla vasca.</v>
      </c>
    </row>
    <row r="10648">
      <c r="A10648" s="4" t="s">
        <v>13387</v>
      </c>
      <c r="B10648" s="6" t="s">
        <v>13388</v>
      </c>
      <c r="C10648" s="5" t="str">
        <f>IFERROR(__xludf.DUMMYFUNCTION("GOOGLETRANSLATE(B10648,""en"",""it"")"),"Una ragazza che indossa una camicia rossa e pantaloncini bianchi è in piedi nel suo bagno nel lavandino con uno spazzolino da denti in mano.")</f>
        <v>Una ragazza che indossa una camicia rossa e pantaloncini bianchi è in piedi nel suo bagno nel lavandino con uno spazzolino da denti in mano.</v>
      </c>
    </row>
    <row r="10649">
      <c r="A10649" s="4" t="s">
        <v>13387</v>
      </c>
      <c r="B10649" s="4" t="s">
        <v>13389</v>
      </c>
      <c r="C10649" s="5" t="str">
        <f>IFERROR(__xludf.DUMMYFUNCTION("GOOGLETRANSLATE(B10649,""en"",""it"")"),"Prende un po 'di dentifricio e lo mette sul pennello e inizia a spazzolare.")</f>
        <v>Prende un po 'di dentifricio e lo mette sul pennello e inizia a spazzolare.</v>
      </c>
    </row>
    <row r="10650">
      <c r="A10650" s="4" t="s">
        <v>13387</v>
      </c>
      <c r="B10650" s="4" t="s">
        <v>13390</v>
      </c>
      <c r="C10650" s="5" t="str">
        <f>IFERROR(__xludf.DUMMYFUNCTION("GOOGLETRANSLATE(B10650,""en"",""it"")"),"Comincia a ballare mentre si lava i denti e fa oscillare anche il corpo.")</f>
        <v>Comincia a ballare mentre si lava i denti e fa oscillare anche il corpo.</v>
      </c>
    </row>
    <row r="10651">
      <c r="A10651" s="4" t="s">
        <v>13387</v>
      </c>
      <c r="B10651" s="4" t="s">
        <v>13391</v>
      </c>
      <c r="C10651" s="5" t="str">
        <f>IFERROR(__xludf.DUMMYFUNCTION("GOOGLETRANSLATE(B10651,""en"",""it"")"),"Continua a spazzolare e balla più velocemente e ride.")</f>
        <v>Continua a spazzolare e balla più velocemente e ride.</v>
      </c>
    </row>
    <row r="10652">
      <c r="A10652" s="4" t="s">
        <v>13387</v>
      </c>
      <c r="B10652" s="6" t="s">
        <v>13392</v>
      </c>
      <c r="C10652" s="5" t="str">
        <f>IFERROR(__xludf.DUMMYFUNCTION("GOOGLETRANSLATE(B10652,""en"",""it"")"),"Poi si rende conto che la sua bocca è piena di schiuma del dentifricio e che sta uscendo, la sputa nel lavandino.")</f>
        <v>Poi si rende conto che la sua bocca è piena di schiuma del dentifricio e che sta uscendo, la sputa nel lavandino.</v>
      </c>
    </row>
    <row r="10653">
      <c r="A10653" s="4" t="s">
        <v>13393</v>
      </c>
      <c r="B10653" s="4" t="s">
        <v>13394</v>
      </c>
      <c r="C10653" s="5" t="str">
        <f>IFERROR(__xludf.DUMMYFUNCTION("GOOGLETRANSLATE(B10653,""en"",""it"")"),"Una giovane donna con capelli rossi e neri viene mostrata usando un asciugacapelli.")</f>
        <v>Una giovane donna con capelli rossi e neri viene mostrata usando un asciugacapelli.</v>
      </c>
    </row>
    <row r="10654">
      <c r="A10654" s="4" t="s">
        <v>13393</v>
      </c>
      <c r="B10654" s="4" t="s">
        <v>13395</v>
      </c>
      <c r="C10654" s="5" t="str">
        <f>IFERROR(__xludf.DUMMYFUNCTION("GOOGLETRANSLATE(B10654,""en"",""it"")"),"Usa un grande pennello rotondo per lavarsi i capelli dritti mentre si asciuga.")</f>
        <v>Usa un grande pennello rotondo per lavarsi i capelli dritti mentre si asciuga.</v>
      </c>
    </row>
    <row r="10655">
      <c r="A10655" s="4" t="s">
        <v>13393</v>
      </c>
      <c r="B10655" s="4" t="s">
        <v>13396</v>
      </c>
      <c r="C10655" s="5" t="str">
        <f>IFERROR(__xludf.DUMMYFUNCTION("GOOGLETRANSLATE(B10655,""en"",""it"")"),"Quando ha finito, le rastrella la mano tra i capelli e la spazzola in posizione.")</f>
        <v>Quando ha finito, le rastrella la mano tra i capelli e la spazzola in posizione.</v>
      </c>
    </row>
    <row r="10656">
      <c r="A10656" s="4" t="s">
        <v>13397</v>
      </c>
      <c r="B10656" s="4" t="s">
        <v>13398</v>
      </c>
      <c r="C10656" s="5" t="str">
        <f>IFERROR(__xludf.DUMMYFUNCTION("GOOGLETRANSLATE(B10656,""en"",""it"")"),"Le foto dei cavalli sono mostrate seguite dal logo ""equestre"".")</f>
        <v>Le foto dei cavalli sono mostrate seguite dal logo "equestre".</v>
      </c>
    </row>
    <row r="10657">
      <c r="A10657" s="4" t="s">
        <v>13397</v>
      </c>
      <c r="B10657" s="4" t="s">
        <v>13399</v>
      </c>
      <c r="C10657" s="5" t="str">
        <f>IFERROR(__xludf.DUMMYFUNCTION("GOOGLETRANSLATE(B10657,""en"",""it"")"),"Una donna sta fuori con un cavallo marrone e mette un casco.")</f>
        <v>Una donna sta fuori con un cavallo marrone e mette un casco.</v>
      </c>
    </row>
    <row r="10658">
      <c r="A10658" s="4" t="s">
        <v>13397</v>
      </c>
      <c r="B10658" s="4" t="s">
        <v>13400</v>
      </c>
      <c r="C10658" s="5" t="str">
        <f>IFERROR(__xludf.DUMMYFUNCTION("GOOGLETRANSLATE(B10658,""en"",""it"")"),"La donna parla alla telecamera e monta il cavallo.")</f>
        <v>La donna parla alla telecamera e monta il cavallo.</v>
      </c>
    </row>
    <row r="10659">
      <c r="A10659" s="4" t="s">
        <v>13397</v>
      </c>
      <c r="B10659" s="4" t="s">
        <v>13401</v>
      </c>
      <c r="C10659" s="5" t="str">
        <f>IFERROR(__xludf.DUMMYFUNCTION("GOOGLETRANSLATE(B10659,""en"",""it"")"),"Continua a parlare con la telecamera e poi cammina in un cerchio.")</f>
        <v>Continua a parlare con la telecamera e poi cammina in un cerchio.</v>
      </c>
    </row>
    <row r="10660">
      <c r="A10660" s="4" t="s">
        <v>13402</v>
      </c>
      <c r="B10660" s="4" t="s">
        <v>13403</v>
      </c>
      <c r="C10660" s="5" t="str">
        <f>IFERROR(__xludf.DUMMYFUNCTION("GOOGLETRANSLATE(B10660,""en"",""it"")"),"Una persona viene vista andare in bicicletta lungo una lunga strada seguita da un grande cammello in lontananza.")</f>
        <v>Una persona viene vista andare in bicicletta lungo una lunga strada seguita da un grande cammello in lontananza.</v>
      </c>
    </row>
    <row r="10661">
      <c r="A10661" s="4" t="s">
        <v>13402</v>
      </c>
      <c r="B10661" s="6" t="s">
        <v>13404</v>
      </c>
      <c r="C10661" s="5" t="str">
        <f>IFERROR(__xludf.DUMMYFUNCTION("GOOGLETRANSLATE(B10661,""en"",""it"")"),"L'animale si avvicina mentre la fotocamera si zoom nelle tre persone cavalcano in cima al cammello e passando da più cammelli in sella.")</f>
        <v>L'animale si avvicina mentre la fotocamera si zoom nelle tre persone cavalcano in cima al cammello e passando da più cammelli in sella.</v>
      </c>
    </row>
    <row r="10662">
      <c r="A10662" s="4" t="s">
        <v>13405</v>
      </c>
      <c r="B10662" s="4" t="s">
        <v>13406</v>
      </c>
      <c r="C10662" s="5" t="str">
        <f>IFERROR(__xludf.DUMMYFUNCTION("GOOGLETRANSLATE(B10662,""en"",""it"")"),"Viene vista una donna parlare alla telecamera che conduce a un uomo che parla a un gruppo.")</f>
        <v>Viene vista una donna parlare alla telecamera che conduce a un uomo che parla a un gruppo.</v>
      </c>
    </row>
    <row r="10663">
      <c r="A10663" s="4" t="s">
        <v>13405</v>
      </c>
      <c r="B10663" s="4" t="s">
        <v>13407</v>
      </c>
      <c r="C10663" s="5" t="str">
        <f>IFERROR(__xludf.DUMMYFUNCTION("GOOGLETRANSLATE(B10663,""en"",""it"")"),"Un altro uomo parla alla fotocamera mentre il dimostratore indica una bici e toglie una ruota.")</f>
        <v>Un altro uomo parla alla fotocamera mentre il dimostratore indica una bici e toglie una ruota.</v>
      </c>
    </row>
    <row r="10664">
      <c r="A10664" s="4" t="s">
        <v>13405</v>
      </c>
      <c r="B10664" s="6" t="s">
        <v>13408</v>
      </c>
      <c r="C10664" s="5" t="str">
        <f>IFERROR(__xludf.DUMMYFUNCTION("GOOGLETRANSLATE(B10664,""en"",""it"")"),"Più persone parlano alla telecamera mentre l'uomo dimostra come mettere aria in una gomma e smontare.")</f>
        <v>Più persone parlano alla telecamera mentre l'uomo dimostra come mettere aria in una gomma e smontare.</v>
      </c>
    </row>
    <row r="10665">
      <c r="A10665" s="4" t="s">
        <v>13409</v>
      </c>
      <c r="B10665" s="4" t="s">
        <v>13410</v>
      </c>
      <c r="C10665" s="5" t="str">
        <f>IFERROR(__xludf.DUMMYFUNCTION("GOOGLETRANSLATE(B10665,""en"",""it"")"),"Una donna con una camicia rosa è in piedi fuori.")</f>
        <v>Una donna con una camicia rosa è in piedi fuori.</v>
      </c>
    </row>
    <row r="10666">
      <c r="A10666" s="4" t="s">
        <v>13409</v>
      </c>
      <c r="B10666" s="4" t="s">
        <v>13411</v>
      </c>
      <c r="C10666" s="5" t="str">
        <f>IFERROR(__xludf.DUMMYFUNCTION("GOOGLETRANSLATE(B10666,""en"",""it"")"),"Un cane marrone sta giocando con un frisbee.")</f>
        <v>Un cane marrone sta giocando con un frisbee.</v>
      </c>
    </row>
    <row r="10667">
      <c r="A10667" s="4" t="s">
        <v>13409</v>
      </c>
      <c r="B10667" s="4" t="s">
        <v>13412</v>
      </c>
      <c r="C10667" s="5" t="str">
        <f>IFERROR(__xludf.DUMMYFUNCTION("GOOGLETRANSLATE(B10667,""en"",""it"")"),"Il cane è in piedi sulla schiena della donna.")</f>
        <v>Il cane è in piedi sulla schiena della donna.</v>
      </c>
    </row>
    <row r="10668">
      <c r="A10668" s="4" t="s">
        <v>13413</v>
      </c>
      <c r="B10668" s="4" t="s">
        <v>13414</v>
      </c>
      <c r="C10668" s="5" t="str">
        <f>IFERROR(__xludf.DUMMYFUNCTION("GOOGLETRANSLATE(B10668,""en"",""it"")"),"Lo stadio è mostrato con molte persone tra il pubblico sedute su stand a guardare una partita di criquet.")</f>
        <v>Lo stadio è mostrato con molte persone tra il pubblico sedute su stand a guardare una partita di criquet.</v>
      </c>
    </row>
    <row r="10669">
      <c r="A10669" s="4" t="s">
        <v>13413</v>
      </c>
      <c r="B10669" s="4" t="s">
        <v>13415</v>
      </c>
      <c r="C10669" s="5" t="str">
        <f>IFERROR(__xludf.DUMMYFUNCTION("GOOGLETRANSLATE(B10669,""en"",""it"")"),"Gli uomini vengono intervistati sul campo.")</f>
        <v>Gli uomini vengono intervistati sul campo.</v>
      </c>
    </row>
    <row r="10670">
      <c r="A10670" s="4" t="s">
        <v>13416</v>
      </c>
      <c r="B10670" s="4" t="s">
        <v>13417</v>
      </c>
      <c r="C10670" s="5" t="str">
        <f>IFERROR(__xludf.DUMMYFUNCTION("GOOGLETRANSLATE(B10670,""en"",""it"")"),"Un uomo è in piedi su una macchina giocattolo prima che alza lo sguardo e corre, saltando su un bancone.")</f>
        <v>Un uomo è in piedi su una macchina giocattolo prima che alza lo sguardo e corre, saltando su un bancone.</v>
      </c>
    </row>
    <row r="10671">
      <c r="A10671" s="4" t="s">
        <v>13416</v>
      </c>
      <c r="B10671" s="4" t="s">
        <v>13418</v>
      </c>
      <c r="C10671" s="5" t="str">
        <f>IFERROR(__xludf.DUMMYFUNCTION("GOOGLETRANSLATE(B10671,""en"",""it"")"),"Afferra una palla da bowling e inizia il bowling.")</f>
        <v>Afferra una palla da bowling e inizia il bowling.</v>
      </c>
    </row>
    <row r="10672">
      <c r="A10672" s="4" t="s">
        <v>13416</v>
      </c>
      <c r="B10672" s="4" t="s">
        <v>13419</v>
      </c>
      <c r="C10672" s="5" t="str">
        <f>IFERROR(__xludf.DUMMYFUNCTION("GOOGLETRANSLATE(B10672,""en"",""it"")"),"Gli uomini fanno backflips e scivolano mentre si lanciano, a volte rotolando le palline l'una sotto l'altra.")</f>
        <v>Gli uomini fanno backflips e scivolano mentre si lanciano, a volte rotolando le palline l'una sotto l'altra.</v>
      </c>
    </row>
    <row r="10673">
      <c r="A10673" s="4" t="s">
        <v>13416</v>
      </c>
      <c r="B10673" s="4" t="s">
        <v>13420</v>
      </c>
      <c r="C10673" s="5" t="str">
        <f>IFERROR(__xludf.DUMMYFUNCTION("GOOGLETRANSLATE(B10673,""en"",""it"")"),"Uno è bendato prima di fare uno sciopero, quindi l'altro si erge sull'attrezzatura.")</f>
        <v>Uno è bendato prima di fare uno sciopero, quindi l'altro si erge sull'attrezzatura.</v>
      </c>
    </row>
    <row r="10674">
      <c r="A10674" s="4" t="s">
        <v>13421</v>
      </c>
      <c r="B10674" s="4" t="s">
        <v>13422</v>
      </c>
      <c r="C10674" s="5" t="str">
        <f>IFERROR(__xludf.DUMMYFUNCTION("GOOGLETRANSLATE(B10674,""en"",""it"")"),"Gli uomini su questi bastoncini da pogo dall'aspetto robotico giocano a basket all'interno di un campo.")</f>
        <v>Gli uomini su questi bastoncini da pogo dall'aspetto robotico giocano a basket all'interno di un campo.</v>
      </c>
    </row>
    <row r="10675">
      <c r="A10675" s="4" t="s">
        <v>13421</v>
      </c>
      <c r="B10675" s="4" t="s">
        <v>13423</v>
      </c>
      <c r="C10675" s="5" t="str">
        <f>IFERROR(__xludf.DUMMYFUNCTION("GOOGLETRANSLATE(B10675,""en"",""it"")"),"Stanno camminando sui bastoncini di Pogo e saltando un po '.")</f>
        <v>Stanno camminando sui bastoncini di Pogo e saltando un po '.</v>
      </c>
    </row>
    <row r="10676">
      <c r="A10676" s="4" t="s">
        <v>13421</v>
      </c>
      <c r="B10676" s="4" t="s">
        <v>13424</v>
      </c>
      <c r="C10676" s="5" t="str">
        <f>IFERROR(__xludf.DUMMYFUNCTION("GOOGLETRANSLATE(B10676,""en"",""it"")"),"Cercano di mettere la palla nel cerchio e continuano a rimbalzare in campo.")</f>
        <v>Cercano di mettere la palla nel cerchio e continuano a rimbalzare in campo.</v>
      </c>
    </row>
    <row r="10677">
      <c r="A10677" s="4" t="s">
        <v>13421</v>
      </c>
      <c r="B10677" s="4" t="s">
        <v>13425</v>
      </c>
      <c r="C10677" s="5" t="str">
        <f>IFERROR(__xludf.DUMMYFUNCTION("GOOGLETRANSLATE(B10677,""en"",""it"")"),"Un uomo in verde fa un capovolgimento in aria e spara la palla nel cerchio.")</f>
        <v>Un uomo in verde fa un capovolgimento in aria e spara la palla nel cerchio.</v>
      </c>
    </row>
    <row r="10678">
      <c r="A10678" s="4" t="s">
        <v>13426</v>
      </c>
      <c r="B10678" s="6" t="s">
        <v>13427</v>
      </c>
      <c r="C10678" s="5" t="str">
        <f>IFERROR(__xludf.DUMMYFUNCTION("GOOGLETRANSLATE(B10678,""en"",""it"")"),"Un cane viene visto in piedi in una vasca da bagno incatenata a una vasca e una donna entra in cornice e afferra il cane.")</f>
        <v>Un cane viene visto in piedi in una vasca da bagno incatenata a una vasca e una donna entra in cornice e afferra il cane.</v>
      </c>
    </row>
    <row r="10679">
      <c r="A10679" s="4" t="s">
        <v>13426</v>
      </c>
      <c r="B10679" s="6" t="s">
        <v>13428</v>
      </c>
      <c r="C10679" s="5" t="str">
        <f>IFERROR(__xludf.DUMMYFUNCTION("GOOGLETRANSLATE(B10679,""en"",""it"")"),"Solleva una bottiglia e la spruzza attorno al cane, strofinandola nella sua pelliccia mentre parla alla telecamera.")</f>
        <v>Solleva una bottiglia e la spruzza attorno al cane, strofinandola nella sua pelliccia mentre parla alla telecamera.</v>
      </c>
    </row>
    <row r="10680">
      <c r="A10680" s="4" t="s">
        <v>13426</v>
      </c>
      <c r="B10680" s="4" t="s">
        <v>13429</v>
      </c>
      <c r="C10680" s="5" t="str">
        <f>IFERROR(__xludf.DUMMYFUNCTION("GOOGLETRANSLATE(B10680,""en"",""it"")"),"Quindi prende un tubo e spruzza il cane con acqua e termina guardando indietro alla telecamera.")</f>
        <v>Quindi prende un tubo e spruzza il cane con acqua e termina guardando indietro alla telecamera.</v>
      </c>
    </row>
    <row r="10681">
      <c r="A10681" s="4" t="s">
        <v>13430</v>
      </c>
      <c r="B10681" s="4" t="s">
        <v>13431</v>
      </c>
      <c r="C10681" s="5" t="str">
        <f>IFERROR(__xludf.DUMMYFUNCTION("GOOGLETRANSLATE(B10681,""en"",""it"")"),"Tre adolescenti portano i loro skateboard su un sentiero parco asfaltato.")</f>
        <v>Tre adolescenti portano i loro skateboard su un sentiero parco asfaltato.</v>
      </c>
    </row>
    <row r="10682">
      <c r="A10682" s="4" t="s">
        <v>13430</v>
      </c>
      <c r="B10682" s="6" t="s">
        <v>13432</v>
      </c>
      <c r="C10682" s="5" t="str">
        <f>IFERROR(__xludf.DUMMYFUNCTION("GOOGLETRANSLATE(B10682,""en"",""it"")"),"Una telecamera montata sullo skateboard cattura scene dei giovani pattinatori che navigano in diverse direzioni e eseguendo trucchi diversi.")</f>
        <v>Una telecamera montata sullo skateboard cattura scene dei giovani pattinatori che navigano in diverse direzioni e eseguendo trucchi diversi.</v>
      </c>
    </row>
    <row r="10683">
      <c r="A10683" s="4" t="s">
        <v>13430</v>
      </c>
      <c r="B10683" s="4" t="s">
        <v>13433</v>
      </c>
      <c r="C10683" s="5" t="str">
        <f>IFERROR(__xludf.DUMMYFUNCTION("GOOGLETRANSLATE(B10683,""en"",""it"")"),"Uno skateboarder in una felpa verde pattina su uno stretto sentiero sporco fiancheggiato da alberi.")</f>
        <v>Uno skateboarder in una felpa verde pattina su uno stretto sentiero sporco fiancheggiato da alberi.</v>
      </c>
    </row>
    <row r="10684">
      <c r="A10684" s="4" t="s">
        <v>13434</v>
      </c>
      <c r="B10684" s="4" t="s">
        <v>13435</v>
      </c>
      <c r="C10684" s="5" t="str">
        <f>IFERROR(__xludf.DUMMYFUNCTION("GOOGLETRANSLATE(B10684,""en"",""it"")"),"Una mappa meteorologica viene mostrata per un secondo, quindi due notizie sedute alla scrivania.")</f>
        <v>Una mappa meteorologica viene mostrata per un secondo, quindi due notizie sedute alla scrivania.</v>
      </c>
    </row>
    <row r="10685">
      <c r="A10685" s="4" t="s">
        <v>13434</v>
      </c>
      <c r="B10685" s="4" t="s">
        <v>13436</v>
      </c>
      <c r="C10685" s="5" t="str">
        <f>IFERROR(__xludf.DUMMYFUNCTION("GOOGLETRANSLATE(B10685,""en"",""it"")"),"Diverse persone vengono mostrate riscaldamenti per una gara.")</f>
        <v>Diverse persone vengono mostrate riscaldamenti per una gara.</v>
      </c>
    </row>
    <row r="10686">
      <c r="A10686" s="4" t="s">
        <v>13434</v>
      </c>
      <c r="B10686" s="4" t="s">
        <v>13437</v>
      </c>
      <c r="C10686" s="5" t="str">
        <f>IFERROR(__xludf.DUMMYFUNCTION("GOOGLETRANSLATE(B10686,""en"",""it"")"),"Una pistola viene sparata e inizia la gara.")</f>
        <v>Una pistola viene sparata e inizia la gara.</v>
      </c>
    </row>
    <row r="10687">
      <c r="A10687" s="4" t="s">
        <v>13434</v>
      </c>
      <c r="B10687" s="4" t="s">
        <v>13438</v>
      </c>
      <c r="C10687" s="5" t="str">
        <f>IFERROR(__xludf.DUMMYFUNCTION("GOOGLETRANSLATE(B10687,""en"",""it"")"),"Torniamo alle donne nella sala di notizia, parlando.")</f>
        <v>Torniamo alle donne nella sala di notizia, parlando.</v>
      </c>
    </row>
    <row r="10688">
      <c r="A10688" s="4" t="s">
        <v>13439</v>
      </c>
      <c r="B10688" s="4" t="s">
        <v>13440</v>
      </c>
      <c r="C10688" s="5" t="str">
        <f>IFERROR(__xludf.DUMMYFUNCTION("GOOGLETRANSLATE(B10688,""en"",""it"")"),"Una donna che indossa lezioni balla davanti alla telecamera.")</f>
        <v>Una donna che indossa lezioni balla davanti alla telecamera.</v>
      </c>
    </row>
    <row r="10689">
      <c r="A10689" s="4" t="s">
        <v>13439</v>
      </c>
      <c r="B10689" s="4" t="s">
        <v>13441</v>
      </c>
      <c r="C10689" s="5" t="str">
        <f>IFERROR(__xludf.DUMMYFUNCTION("GOOGLETRANSLATE(B10689,""en"",""it"")"),"La donna si gira mentre solleva un braccio.")</f>
        <v>La donna si gira mentre solleva un braccio.</v>
      </c>
    </row>
    <row r="10690">
      <c r="A10690" s="4" t="s">
        <v>13439</v>
      </c>
      <c r="B10690" s="4" t="s">
        <v>13442</v>
      </c>
      <c r="C10690" s="5" t="str">
        <f>IFERROR(__xludf.DUMMYFUNCTION("GOOGLETRANSLATE(B10690,""en"",""it"")"),"La donna si gira di nuovo.")</f>
        <v>La donna si gira di nuovo.</v>
      </c>
    </row>
    <row r="10691">
      <c r="A10691" s="4" t="s">
        <v>13443</v>
      </c>
      <c r="B10691" s="4" t="s">
        <v>1487</v>
      </c>
      <c r="C10691" s="5" t="str">
        <f>IFERROR(__xludf.DUMMYFUNCTION("GOOGLETRANSLATE(B10691,""en"",""it"")"),"Vediamo una schermata del titolo di apertura.")</f>
        <v>Vediamo una schermata del titolo di apertura.</v>
      </c>
    </row>
    <row r="10692">
      <c r="A10692" s="4" t="s">
        <v>13443</v>
      </c>
      <c r="B10692" s="4" t="s">
        <v>13444</v>
      </c>
      <c r="C10692" s="5" t="str">
        <f>IFERROR(__xludf.DUMMYFUNCTION("GOOGLETRANSLATE(B10692,""en"",""it"")"),"Vediamo uno chef in una barra di frittata che produce più omelette contemporaneamente.")</f>
        <v>Vediamo uno chef in una barra di frittata che produce più omelette contemporaneamente.</v>
      </c>
    </row>
    <row r="10693">
      <c r="A10693" s="4" t="s">
        <v>13443</v>
      </c>
      <c r="B10693" s="4" t="s">
        <v>13445</v>
      </c>
      <c r="C10693" s="5" t="str">
        <f>IFERROR(__xludf.DUMMYFUNCTION("GOOGLETRANSLATE(B10693,""en"",""it"")"),"Vediamo l'uomo versare più uovo nelle padelle.")</f>
        <v>Vediamo l'uomo versare più uovo nelle padelle.</v>
      </c>
    </row>
    <row r="10694">
      <c r="A10694" s="4" t="s">
        <v>13443</v>
      </c>
      <c r="B10694" s="4" t="s">
        <v>13446</v>
      </c>
      <c r="C10694" s="5" t="str">
        <f>IFERROR(__xludf.DUMMYFUNCTION("GOOGLETRANSLATE(B10694,""en"",""it"")"),"L'uomo spruzza i condimenti sulle omelette.")</f>
        <v>L'uomo spruzza i condimenti sulle omelette.</v>
      </c>
    </row>
    <row r="10695">
      <c r="A10695" s="4" t="s">
        <v>13443</v>
      </c>
      <c r="B10695" s="4" t="s">
        <v>13447</v>
      </c>
      <c r="C10695" s="5" t="str">
        <f>IFERROR(__xludf.DUMMYFUNCTION("GOOGLETRANSLATE(B10695,""en"",""it"")"),"L'uomo versa le frittes sui piatti.")</f>
        <v>L'uomo versa le frittes sui piatti.</v>
      </c>
    </row>
    <row r="10696">
      <c r="A10696" s="4" t="s">
        <v>13443</v>
      </c>
      <c r="B10696" s="4" t="s">
        <v>4452</v>
      </c>
      <c r="C10696" s="5" t="str">
        <f>IFERROR(__xludf.DUMMYFUNCTION("GOOGLETRANSLATE(B10696,""en"",""it"")"),"Vediamo quindi lo schermo finale.")</f>
        <v>Vediamo quindi lo schermo finale.</v>
      </c>
    </row>
    <row r="10697">
      <c r="A10697" s="4" t="s">
        <v>13443</v>
      </c>
      <c r="B10697" s="4" t="s">
        <v>13448</v>
      </c>
      <c r="C10697" s="5" t="str">
        <f>IFERROR(__xludf.DUMMYFUNCTION("GOOGLETRANSLATE(B10697,""en"",""it"")"),"Vediamo le foto dello chef.")</f>
        <v>Vediamo le foto dello chef.</v>
      </c>
    </row>
    <row r="10698">
      <c r="A10698" s="4" t="s">
        <v>13449</v>
      </c>
      <c r="B10698" s="4" t="s">
        <v>13450</v>
      </c>
      <c r="C10698" s="5" t="str">
        <f>IFERROR(__xludf.DUMMYFUNCTION("GOOGLETRANSLATE(B10698,""en"",""it"")"),"Un individuo si trova dietro un'area reti.")</f>
        <v>Un individuo si trova dietro un'area reti.</v>
      </c>
    </row>
    <row r="10699">
      <c r="A10699" s="4" t="s">
        <v>13449</v>
      </c>
      <c r="B10699" s="4" t="s">
        <v>13451</v>
      </c>
      <c r="C10699" s="5" t="str">
        <f>IFERROR(__xludf.DUMMYFUNCTION("GOOGLETRANSLATE(B10699,""en"",""it"")"),"L'individuo inizia a oscillare per un tiro a martello.")</f>
        <v>L'individuo inizia a oscillare per un tiro a martello.</v>
      </c>
    </row>
    <row r="10700">
      <c r="A10700" s="4" t="s">
        <v>13449</v>
      </c>
      <c r="B10700" s="4" t="s">
        <v>13452</v>
      </c>
      <c r="C10700" s="5" t="str">
        <f>IFERROR(__xludf.DUMMYFUNCTION("GOOGLETRANSLATE(B10700,""en"",""it"")"),"Il singolo rilascia il peso.")</f>
        <v>Il singolo rilascia il peso.</v>
      </c>
    </row>
    <row r="10701">
      <c r="A10701" s="4" t="s">
        <v>13453</v>
      </c>
      <c r="B10701" s="4" t="s">
        <v>13454</v>
      </c>
      <c r="C10701" s="5" t="str">
        <f>IFERROR(__xludf.DUMMYFUNCTION("GOOGLETRANSLATE(B10701,""en"",""it"")"),"Un uomo balla in una stanza.")</f>
        <v>Un uomo balla in una stanza.</v>
      </c>
    </row>
    <row r="10702">
      <c r="A10702" s="4" t="s">
        <v>13453</v>
      </c>
      <c r="B10702" s="4" t="s">
        <v>13455</v>
      </c>
      <c r="C10702" s="5" t="str">
        <f>IFERROR(__xludf.DUMMYFUNCTION("GOOGLETRANSLATE(B10702,""en"",""it"")"),"Si alza su e giù su un piccolo sgabello nero.")</f>
        <v>Si alza su e giù su un piccolo sgabello nero.</v>
      </c>
    </row>
    <row r="10703">
      <c r="A10703" s="4" t="s">
        <v>13453</v>
      </c>
      <c r="B10703" s="4" t="s">
        <v>13456</v>
      </c>
      <c r="C10703" s="5" t="str">
        <f>IFERROR(__xludf.DUMMYFUNCTION("GOOGLETRANSLATE(B10703,""en"",""it"")"),"Quindi balla con una donna nella stanza.")</f>
        <v>Quindi balla con una donna nella stanza.</v>
      </c>
    </row>
    <row r="10704">
      <c r="A10704" s="4" t="s">
        <v>13457</v>
      </c>
      <c r="B10704" s="4" t="s">
        <v>13458</v>
      </c>
      <c r="C10704" s="5" t="str">
        <f>IFERROR(__xludf.DUMMYFUNCTION("GOOGLETRANSLATE(B10704,""en"",""it"")"),"L'uomo è in piedi su una pista di gara pronta a preparare la ginnastica in parallelismi a Midle di uno stadio.")</f>
        <v>L'uomo è in piedi su una pista di gara pronta a preparare la ginnastica in parallelismi a Midle di uno stadio.</v>
      </c>
    </row>
    <row r="10705">
      <c r="A10705" s="4" t="s">
        <v>13457</v>
      </c>
      <c r="B10705" s="4" t="s">
        <v>13459</v>
      </c>
      <c r="C10705" s="5" t="str">
        <f>IFERROR(__xludf.DUMMYFUNCTION("GOOGLETRANSLATE(B10705,""en"",""it"")"),"Molte persone sono sedute o camminano su stand.")</f>
        <v>Molte persone sono sedute o camminano su stand.</v>
      </c>
    </row>
    <row r="10706">
      <c r="A10706" s="4" t="s">
        <v>13457</v>
      </c>
      <c r="B10706" s="4" t="s">
        <v>13460</v>
      </c>
      <c r="C10706" s="5" t="str">
        <f>IFERROR(__xludf.DUMMYFUNCTION("GOOGLETRANSLATE(B10706,""en"",""it"")"),"L'uomo atterra sul pavimento, saluta e la gente applaude.")</f>
        <v>L'uomo atterra sul pavimento, saluta e la gente applaude.</v>
      </c>
    </row>
    <row r="10707">
      <c r="A10707" s="4" t="s">
        <v>13461</v>
      </c>
      <c r="B10707" s="4" t="s">
        <v>13462</v>
      </c>
      <c r="C10707" s="5" t="str">
        <f>IFERROR(__xludf.DUMMYFUNCTION("GOOGLETRANSLATE(B10707,""en"",""it"")"),"Una macchina da corsa verde entra in un pit stop.")</f>
        <v>Una macchina da corsa verde entra in un pit stop.</v>
      </c>
    </row>
    <row r="10708">
      <c r="A10708" s="4" t="s">
        <v>13461</v>
      </c>
      <c r="B10708" s="4" t="s">
        <v>13463</v>
      </c>
      <c r="C10708" s="5" t="str">
        <f>IFERROR(__xludf.DUMMYFUNCTION("GOOGLETRANSLATE(B10708,""en"",""it"")"),"L'uomo con il jack solleva l'auto.")</f>
        <v>L'uomo con il jack solleva l'auto.</v>
      </c>
    </row>
    <row r="10709">
      <c r="A10709" s="4" t="s">
        <v>13461</v>
      </c>
      <c r="B10709" s="4" t="s">
        <v>13464</v>
      </c>
      <c r="C10709" s="5" t="str">
        <f>IFERROR(__xludf.DUMMYFUNCTION("GOOGLETRANSLATE(B10709,""en"",""it"")"),"L'equipaggio dei Pit inizia a lavorare sull'auto cambiando le gomme anteriori e posteriori dell'auto.")</f>
        <v>L'equipaggio dei Pit inizia a lavorare sull'auto cambiando le gomme anteriori e posteriori dell'auto.</v>
      </c>
    </row>
    <row r="10710">
      <c r="A10710" s="4" t="s">
        <v>13461</v>
      </c>
      <c r="B10710" s="4" t="s">
        <v>13465</v>
      </c>
      <c r="C10710" s="5" t="str">
        <f>IFERROR(__xludf.DUMMYFUNCTION("GOOGLETRANSLATE(B10710,""en"",""it"")"),"L'uomo di Jack quindi porta il jack mentre un uomo con una camicia rosa arriva davanti alla telecamera.")</f>
        <v>L'uomo di Jack quindi porta il jack mentre un uomo con una camicia rosa arriva davanti alla telecamera.</v>
      </c>
    </row>
    <row r="10711">
      <c r="A10711" s="4" t="s">
        <v>13466</v>
      </c>
      <c r="B10711" s="6" t="s">
        <v>13467</v>
      </c>
      <c r="C10711" s="5" t="str">
        <f>IFERROR(__xludf.DUMMYFUNCTION("GOOGLETRANSLATE(B10711,""en"",""it"")"),"Un uomo viene visto inginocchiarsi in una foto seguita da due uomini che si piegano l'uno verso l'altro.")</f>
        <v>Un uomo viene visto inginocchiarsi in una foto seguita da due uomini che si piegano l'uno verso l'altro.</v>
      </c>
    </row>
    <row r="10712">
      <c r="A10712" s="4" t="s">
        <v>13466</v>
      </c>
      <c r="B10712" s="4" t="s">
        <v>13468</v>
      </c>
      <c r="C10712" s="5" t="str">
        <f>IFERROR(__xludf.DUMMYFUNCTION("GOOGLETRANSLATE(B10712,""en"",""it"")"),"Cominciano il wrestling e un uomo spinge l'altro e la loro clip viene mostrata di nuovo.")</f>
        <v>Cominciano il wrestling e un uomo spinge l'altro e la loro clip viene mostrata di nuovo.</v>
      </c>
    </row>
    <row r="10713">
      <c r="A10713" s="4" t="s">
        <v>13469</v>
      </c>
      <c r="B10713" s="4" t="s">
        <v>13470</v>
      </c>
      <c r="C10713" s="5" t="str">
        <f>IFERROR(__xludf.DUMMYFUNCTION("GOOGLETRANSLATE(B10713,""en"",""it"")"),"Un uomo e una donna si trovano in una stanza con diversi obiettivi dietro di loro che parlano.")</f>
        <v>Un uomo e una donna si trovano in una stanza con diversi obiettivi dietro di loro che parlano.</v>
      </c>
    </row>
    <row r="10714">
      <c r="A10714" s="4" t="s">
        <v>13469</v>
      </c>
      <c r="B10714" s="6" t="s">
        <v>13471</v>
      </c>
      <c r="C10714" s="5" t="str">
        <f>IFERROR(__xludf.DUMMYFUNCTION("GOOGLETRANSLATE(B10714,""en"",""it"")"),"La signora viene quindi mostrata in un'altra stanza che dimostra la tecnica adeguata per essere efficiente nel tiro con l'arco.")</f>
        <v>La signora viene quindi mostrata in un'altra stanza che dimostra la tecnica adeguata per essere efficiente nel tiro con l'arco.</v>
      </c>
    </row>
    <row r="10715">
      <c r="A10715" s="4" t="s">
        <v>13469</v>
      </c>
      <c r="B10715" s="6" t="s">
        <v>13472</v>
      </c>
      <c r="C10715" s="5" t="str">
        <f>IFERROR(__xludf.DUMMYFUNCTION("GOOGLETRANSLATE(B10715,""en"",""it"")"),"Due motivi continua e poi la ragazza torna e viene mostrata con archi dietro la schiena prima di sparare a un bersaglio sul muro.")</f>
        <v>Due motivi continua e poi la ragazza torna e viene mostrata con archi dietro la schiena prima di sparare a un bersaglio sul muro.</v>
      </c>
    </row>
    <row r="10716">
      <c r="A10716" s="4" t="s">
        <v>13473</v>
      </c>
      <c r="B10716" s="4" t="s">
        <v>13474</v>
      </c>
      <c r="C10716" s="5" t="str">
        <f>IFERROR(__xludf.DUMMYFUNCTION("GOOGLETRANSLATE(B10716,""en"",""it"")"),"Un gruppo di uomini suonano strumenti fuori da un edificio.")</f>
        <v>Un gruppo di uomini suonano strumenti fuori da un edificio.</v>
      </c>
    </row>
    <row r="10717">
      <c r="A10717" s="4" t="s">
        <v>13473</v>
      </c>
      <c r="B10717" s="4" t="s">
        <v>13475</v>
      </c>
      <c r="C10717" s="5" t="str">
        <f>IFERROR(__xludf.DUMMYFUNCTION("GOOGLETRANSLATE(B10717,""en"",""it"")"),"Due uomini si accovacciano tra loro mentre giocano.")</f>
        <v>Due uomini si accovacciano tra loro mentre giocano.</v>
      </c>
    </row>
    <row r="10718">
      <c r="A10718" s="4" t="s">
        <v>13473</v>
      </c>
      <c r="B10718" s="6" t="s">
        <v>13476</v>
      </c>
      <c r="C10718" s="5" t="str">
        <f>IFERROR(__xludf.DUMMYFUNCTION("GOOGLETRANSLATE(B10718,""en"",""it"")"),"Gli uomini saltano su e iniziano a fare arti marziali si muovono l'una intorno all'altra, simulando calci e lancia.")</f>
        <v>Gli uomini saltano su e iniziano a fare arti marziali si muovono l'una intorno all'altra, simulando calci e lancia.</v>
      </c>
    </row>
    <row r="10719">
      <c r="A10719" s="4" t="s">
        <v>13477</v>
      </c>
      <c r="B10719" s="4" t="s">
        <v>13478</v>
      </c>
      <c r="C10719" s="5" t="str">
        <f>IFERROR(__xludf.DUMMYFUNCTION("GOOGLETRANSLATE(B10719,""en"",""it"")"),"Un uomo si siede davanti a una ciotola, poi una donna mostra un impasto per biscotti in ciotole, quindi esamina un libro di cucina.")</f>
        <v>Un uomo si siede davanti a una ciotola, poi una donna mostra un impasto per biscotti in ciotole, quindi esamina un libro di cucina.</v>
      </c>
    </row>
    <row r="10720">
      <c r="A10720" s="4" t="s">
        <v>13477</v>
      </c>
      <c r="B10720" s="6" t="s">
        <v>13479</v>
      </c>
      <c r="C10720" s="5" t="str">
        <f>IFERROR(__xludf.DUMMYFUNCTION("GOOGLETRANSLATE(B10720,""en"",""it"")"),"Quindi, la donna prepara le palline di pasta e mette una padella, anche un adolescente prepara palline di pasta e mette in teglia.")</f>
        <v>Quindi, la donna prepara le palline di pasta e mette una padella, anche un adolescente prepara palline di pasta e mette in teglia.</v>
      </c>
    </row>
    <row r="10721">
      <c r="A10721" s="4" t="s">
        <v>13477</v>
      </c>
      <c r="B10721" s="4" t="s">
        <v>13480</v>
      </c>
      <c r="C10721" s="5" t="str">
        <f>IFERROR(__xludf.DUMMYFUNCTION("GOOGLETRANSLATE(B10721,""en"",""it"")"),"Dopo, l'uomo mise i biscotti nel forno.")</f>
        <v>Dopo, l'uomo mise i biscotti nel forno.</v>
      </c>
    </row>
    <row r="10722">
      <c r="A10722" s="4" t="s">
        <v>13481</v>
      </c>
      <c r="B10722" s="6" t="s">
        <v>13482</v>
      </c>
      <c r="C10722" s="5" t="str">
        <f>IFERROR(__xludf.DUMMYFUNCTION("GOOGLETRANSLATE(B10722,""en"",""it"")"),"Un folto gruppo di persone viene visto correre lungo un campo e porta a loro giocando a una partita di hockey in campo.")</f>
        <v>Un folto gruppo di persone viene visto correre lungo un campo e porta a loro giocando a una partita di hockey in campo.</v>
      </c>
    </row>
    <row r="10723">
      <c r="A10723" s="4" t="s">
        <v>13481</v>
      </c>
      <c r="B10723" s="6" t="s">
        <v>13483</v>
      </c>
      <c r="C10723" s="5" t="str">
        <f>IFERROR(__xludf.DUMMYFUNCTION("GOOGLETRANSLATE(B10723,""en"",""it"")"),"Il gioco continua con le frecce che puntano a vari giocatori e tiri di persone che cadono.")</f>
        <v>Il gioco continua con le frecce che puntano a vari giocatori e tiri di persone che cadono.</v>
      </c>
    </row>
    <row r="10724">
      <c r="A10724" s="4" t="s">
        <v>13484</v>
      </c>
      <c r="B10724" s="4" t="s">
        <v>13485</v>
      </c>
      <c r="C10724" s="5" t="str">
        <f>IFERROR(__xludf.DUMMYFUNCTION("GOOGLETRANSLATE(B10724,""en"",""it"")"),"Un uomo tiene la maniglia di uno strumento di pulizia.")</f>
        <v>Un uomo tiene la maniglia di uno strumento di pulizia.</v>
      </c>
    </row>
    <row r="10725">
      <c r="A10725" s="4" t="s">
        <v>13484</v>
      </c>
      <c r="B10725" s="4" t="s">
        <v>13486</v>
      </c>
      <c r="C10725" s="5" t="str">
        <f>IFERROR(__xludf.DUMMYFUNCTION("GOOGLETRANSLATE(B10725,""en"",""it"")"),"L'uomo pulisce il pavimento della cucina.")</f>
        <v>L'uomo pulisce il pavimento della cucina.</v>
      </c>
    </row>
    <row r="10726">
      <c r="A10726" s="4" t="s">
        <v>13484</v>
      </c>
      <c r="B10726" s="4" t="s">
        <v>13487</v>
      </c>
      <c r="C10726" s="5" t="str">
        <f>IFERROR(__xludf.DUMMYFUNCTION("GOOGLETRANSLATE(B10726,""en"",""it"")"),"Una signora discute con l'uomo.")</f>
        <v>Una signora discute con l'uomo.</v>
      </c>
    </row>
    <row r="10727">
      <c r="A10727" s="4" t="s">
        <v>13484</v>
      </c>
      <c r="B10727" s="4" t="s">
        <v>13488</v>
      </c>
      <c r="C10727" s="5" t="str">
        <f>IFERROR(__xludf.DUMMYFUNCTION("GOOGLETRANSLATE(B10727,""en"",""it"")"),"L'uomo toglie la scopa dal secchio rosso e muove il secchio da parte.")</f>
        <v>L'uomo toglie la scopa dal secchio rosso e muove il secchio da parte.</v>
      </c>
    </row>
    <row r="10728">
      <c r="A10728" s="4" t="s">
        <v>13484</v>
      </c>
      <c r="B10728" s="4" t="s">
        <v>13489</v>
      </c>
      <c r="C10728" s="5" t="str">
        <f>IFERROR(__xludf.DUMMYFUNCTION("GOOGLETRANSLATE(B10728,""en"",""it"")"),"La signora si trova accanto a un maschio.")</f>
        <v>La signora si trova accanto a un maschio.</v>
      </c>
    </row>
    <row r="10729">
      <c r="A10729" s="4" t="s">
        <v>13484</v>
      </c>
      <c r="B10729" s="4" t="s">
        <v>13490</v>
      </c>
      <c r="C10729" s="5" t="str">
        <f>IFERROR(__xludf.DUMMYFUNCTION("GOOGLETRANSLATE(B10729,""en"",""it"")"),"La signora gestisce con le mani.")</f>
        <v>La signora gestisce con le mani.</v>
      </c>
    </row>
    <row r="10730">
      <c r="A10730" s="4" t="s">
        <v>13484</v>
      </c>
      <c r="B10730" s="4" t="s">
        <v>13491</v>
      </c>
      <c r="C10730" s="5" t="str">
        <f>IFERROR(__xludf.DUMMYFUNCTION("GOOGLETRANSLATE(B10730,""en"",""it"")"),"L'uomo consegna la scopa alla signora e svuota il secchio rosso nel lavandino.")</f>
        <v>L'uomo consegna la scopa alla signora e svuota il secchio rosso nel lavandino.</v>
      </c>
    </row>
    <row r="10731">
      <c r="A10731" s="4" t="s">
        <v>13484</v>
      </c>
      <c r="B10731" s="4" t="s">
        <v>13492</v>
      </c>
      <c r="C10731" s="5" t="str">
        <f>IFERROR(__xludf.DUMMYFUNCTION("GOOGLETRANSLATE(B10731,""en"",""it"")"),"Il maschio afferra l'alcool, mentre la signora moppa.")</f>
        <v>Il maschio afferra l'alcool, mentre la signora moppa.</v>
      </c>
    </row>
    <row r="10732">
      <c r="A10732" s="4" t="s">
        <v>13484</v>
      </c>
      <c r="B10732" s="4" t="s">
        <v>13493</v>
      </c>
      <c r="C10732" s="5" t="str">
        <f>IFERROR(__xludf.DUMMYFUNCTION("GOOGLETRANSLATE(B10732,""en"",""it"")"),"L'uomo consegna il secchio e la pigna al maschio.")</f>
        <v>L'uomo consegna il secchio e la pigna al maschio.</v>
      </c>
    </row>
    <row r="10733">
      <c r="A10733" s="4" t="s">
        <v>13484</v>
      </c>
      <c r="B10733" s="4" t="s">
        <v>13494</v>
      </c>
      <c r="C10733" s="5" t="str">
        <f>IFERROR(__xludf.DUMMYFUNCTION("GOOGLETRANSLATE(B10733,""en"",""it"")"),"L'uomo saluta e saluta.")</f>
        <v>L'uomo saluta e saluta.</v>
      </c>
    </row>
    <row r="10734">
      <c r="A10734" s="4" t="s">
        <v>13484</v>
      </c>
      <c r="B10734" s="4" t="s">
        <v>13495</v>
      </c>
      <c r="C10734" s="5" t="str">
        <f>IFERROR(__xludf.DUMMYFUNCTION("GOOGLETRANSLATE(B10734,""en"",""it"")"),"La signora ride ad alta voce.")</f>
        <v>La signora ride ad alta voce.</v>
      </c>
    </row>
    <row r="10735">
      <c r="A10735" s="4" t="s">
        <v>13484</v>
      </c>
      <c r="B10735" s="4" t="s">
        <v>13496</v>
      </c>
      <c r="C10735" s="5" t="str">
        <f>IFERROR(__xludf.DUMMYFUNCTION("GOOGLETRANSLATE(B10735,""en"",""it"")"),"L'uomo si lava la mano.")</f>
        <v>L'uomo si lava la mano.</v>
      </c>
    </row>
    <row r="10736">
      <c r="A10736" s="4" t="s">
        <v>13497</v>
      </c>
      <c r="B10736" s="4" t="s">
        <v>13498</v>
      </c>
      <c r="C10736" s="5" t="str">
        <f>IFERROR(__xludf.DUMMYFUNCTION("GOOGLETRANSLATE(B10736,""en"",""it"")"),"Una barra di attrezzatura da esercizio è mostrata in un soggiorno.")</f>
        <v>Una barra di attrezzatura da esercizio è mostrata in un soggiorno.</v>
      </c>
    </row>
    <row r="10737">
      <c r="A10737" s="4" t="s">
        <v>13497</v>
      </c>
      <c r="B10737" s="4" t="s">
        <v>13499</v>
      </c>
      <c r="C10737" s="5" t="str">
        <f>IFERROR(__xludf.DUMMYFUNCTION("GOOGLETRANSLATE(B10737,""en"",""it"")"),"Vengono visualizzati i diversi dettagli dell'attrezzatura.")</f>
        <v>Vengono visualizzati i diversi dettagli dell'attrezzatura.</v>
      </c>
    </row>
    <row r="10738">
      <c r="A10738" s="4" t="s">
        <v>13497</v>
      </c>
      <c r="B10738" s="4" t="s">
        <v>13500</v>
      </c>
      <c r="C10738" s="5" t="str">
        <f>IFERROR(__xludf.DUMMYFUNCTION("GOOGLETRANSLATE(B10738,""en"",""it"")"),"L'uomo si aggrappa alla barra della macchina mentre ne parla.")</f>
        <v>L'uomo si aggrappa alla barra della macchina mentre ne parla.</v>
      </c>
    </row>
    <row r="10739">
      <c r="A10739" s="4" t="s">
        <v>13501</v>
      </c>
      <c r="B10739" s="6" t="s">
        <v>13502</v>
      </c>
      <c r="C10739" s="5" t="str">
        <f>IFERROR(__xludf.DUMMYFUNCTION("GOOGLETRANSLATE(B10739,""en"",""it"")"),"Viene mostrato un primo piano di un attrezzatura da esercizio seguito da un uomo che cammina nel telaio e inizia a usare la macchina.")</f>
        <v>Viene mostrato un primo piano di un attrezzatura da esercizio seguito da un uomo che cammina nel telaio e inizia a usare la macchina.</v>
      </c>
    </row>
    <row r="10740">
      <c r="A10740" s="4" t="s">
        <v>13501</v>
      </c>
      <c r="B10740" s="6" t="s">
        <v>13503</v>
      </c>
      <c r="C10740" s="5" t="str">
        <f>IFERROR(__xludf.DUMMYFUNCTION("GOOGLETRANSLATE(B10740,""en"",""it"")"),"L'uomo si sposta indietro e quarto sulla macchina mentre la fotocamera continua a catturare i suoi movimenti.")</f>
        <v>L'uomo si sposta indietro e quarto sulla macchina mentre la fotocamera continua a catturare i suoi movimenti.</v>
      </c>
    </row>
    <row r="10741">
      <c r="A10741" s="4" t="s">
        <v>13504</v>
      </c>
      <c r="B10741" s="4" t="s">
        <v>13505</v>
      </c>
      <c r="C10741" s="5" t="str">
        <f>IFERROR(__xludf.DUMMYFUNCTION("GOOGLETRANSLATE(B10741,""en"",""it"")"),"Una donna viene vista seduta davanti alla telecamera e inizia a mettere una lente a contatto negli occhi.")</f>
        <v>Una donna viene vista seduta davanti alla telecamera e inizia a mettere una lente a contatto negli occhi.</v>
      </c>
    </row>
    <row r="10742">
      <c r="A10742" s="4" t="s">
        <v>13504</v>
      </c>
      <c r="B10742" s="4" t="s">
        <v>13506</v>
      </c>
      <c r="C10742" s="5" t="str">
        <f>IFERROR(__xludf.DUMMYFUNCTION("GOOGLETRANSLATE(B10742,""en"",""it"")"),"La donna continua a tentare di mettergli la lente negli occhi mentre si guarda intorno provando.")</f>
        <v>La donna continua a tentare di mettergli la lente negli occhi mentre si guarda intorno provando.</v>
      </c>
    </row>
    <row r="10743">
      <c r="A10743" s="4" t="s">
        <v>13504</v>
      </c>
      <c r="B10743" s="4" t="s">
        <v>13507</v>
      </c>
      <c r="C10743" s="5" t="str">
        <f>IFERROR(__xludf.DUMMYFUNCTION("GOOGLETRANSLATE(B10743,""en"",""it"")"),"Ci riesce l'ultima volta e viene vista incoraggiare la telecamera.")</f>
        <v>Ci riesce l'ultima volta e viene vista incoraggiare la telecamera.</v>
      </c>
    </row>
    <row r="10744">
      <c r="A10744" s="4" t="s">
        <v>13508</v>
      </c>
      <c r="B10744" s="4" t="s">
        <v>13509</v>
      </c>
      <c r="C10744" s="5" t="str">
        <f>IFERROR(__xludf.DUMMYFUNCTION("GOOGLETRANSLATE(B10744,""en"",""it"")"),"Un grande lago si vede con un uomo seduto in un tubo e altri che si guardano intorno nella zona.")</f>
        <v>Un grande lago si vede con un uomo seduto in un tubo e altri che si guardano intorno nella zona.</v>
      </c>
    </row>
    <row r="10745">
      <c r="A10745" s="4" t="s">
        <v>13508</v>
      </c>
      <c r="B10745" s="6" t="s">
        <v>13510</v>
      </c>
      <c r="C10745" s="5" t="str">
        <f>IFERROR(__xludf.DUMMYFUNCTION("GOOGLETRANSLATE(B10745,""en"",""it"")"),"Gli uomini si schiantano con uno che colpisce contro un tronco e conduce nel tubo che si muove e la persona si trova di nuovo.")</f>
        <v>Gli uomini si schiantano con uno che colpisce contro un tronco e conduce nel tubo che si muove e la persona si trova di nuovo.</v>
      </c>
    </row>
    <row r="10746">
      <c r="A10746" s="4" t="s">
        <v>13511</v>
      </c>
      <c r="B10746" s="4" t="s">
        <v>13512</v>
      </c>
      <c r="C10746" s="5" t="str">
        <f>IFERROR(__xludf.DUMMYFUNCTION("GOOGLETRANSLATE(B10746,""en"",""it"")"),"Un'animazione introduttiva viene mostrata con il titolo di video.")</f>
        <v>Un'animazione introduttiva viene mostrata con il titolo di video.</v>
      </c>
    </row>
    <row r="10747">
      <c r="A10747" s="4" t="s">
        <v>13511</v>
      </c>
      <c r="B10747" s="6" t="s">
        <v>13513</v>
      </c>
      <c r="C10747" s="5" t="str">
        <f>IFERROR(__xludf.DUMMYFUNCTION("GOOGLETRANSLATE(B10747,""en"",""it"")"),"Un'allenatore di Sweat dà istruzioni a un gruppo di studenti in palestra per un'attività fisica agendo la routine.")</f>
        <v>Un'allenatore di Sweat dà istruzioni a un gruppo di studenti in palestra per un'attività fisica agendo la routine.</v>
      </c>
    </row>
    <row r="10748">
      <c r="A10748" s="4" t="s">
        <v>13511</v>
      </c>
      <c r="B10748" s="4" t="s">
        <v>13514</v>
      </c>
      <c r="C10748" s="5" t="str">
        <f>IFERROR(__xludf.DUMMYFUNCTION("GOOGLETRANSLATE(B10748,""en"",""it"")"),"Gli studenti imitano i movimenti degli istruttori.")</f>
        <v>Gli studenti imitano i movimenti degli istruttori.</v>
      </c>
    </row>
    <row r="10749">
      <c r="A10749" s="4" t="s">
        <v>13511</v>
      </c>
      <c r="B10749" s="4" t="s">
        <v>13515</v>
      </c>
      <c r="C10749" s="5" t="str">
        <f>IFERROR(__xludf.DUMMYFUNCTION("GOOGLETRANSLATE(B10749,""en"",""it"")"),"L'allenatore indica diverse aree della palestra e singoli gruppi di studenti.")</f>
        <v>L'allenatore indica diverse aree della palestra e singoli gruppi di studenti.</v>
      </c>
    </row>
    <row r="10750">
      <c r="A10750" s="4" t="s">
        <v>13511</v>
      </c>
      <c r="B10750" s="4" t="s">
        <v>13516</v>
      </c>
      <c r="C10750" s="5" t="str">
        <f>IFERROR(__xludf.DUMMYFUNCTION("GOOGLETRANSLATE(B10750,""en"",""it"")"),"Uno studente in pantaloncini neri corre attraverso la palestra.")</f>
        <v>Uno studente in pantaloncini neri corre attraverso la palestra.</v>
      </c>
    </row>
    <row r="10751">
      <c r="A10751" s="4" t="s">
        <v>13511</v>
      </c>
      <c r="B10751" s="4" t="s">
        <v>13517</v>
      </c>
      <c r="C10751" s="5" t="str">
        <f>IFERROR(__xludf.DUMMYFUNCTION("GOOGLETRANSLATE(B10751,""en"",""it"")"),"Un gruppo di studenti suona il sissor di carta rocciosa.")</f>
        <v>Un gruppo di studenti suona il sissor di carta rocciosa.</v>
      </c>
    </row>
    <row r="10752">
      <c r="A10752" s="4" t="s">
        <v>13511</v>
      </c>
      <c r="B10752" s="4" t="s">
        <v>13518</v>
      </c>
      <c r="C10752" s="5" t="str">
        <f>IFERROR(__xludf.DUMMYFUNCTION("GOOGLETRANSLATE(B10752,""en"",""it"")"),"Gli studenti corrono attorno al perimetro della palestra verso diverse stazioni.")</f>
        <v>Gli studenti corrono attorno al perimetro della palestra verso diverse stazioni.</v>
      </c>
    </row>
    <row r="10753">
      <c r="A10753" s="4" t="s">
        <v>13511</v>
      </c>
      <c r="B10753" s="4" t="s">
        <v>13519</v>
      </c>
      <c r="C10753" s="5" t="str">
        <f>IFERROR(__xludf.DUMMYFUNCTION("GOOGLETRANSLATE(B10753,""en"",""it"")"),"Uno studente che indossa un cappello si trova sulla panchina e sembra malato.")</f>
        <v>Uno studente che indossa un cappello si trova sulla panchina e sembra malato.</v>
      </c>
    </row>
    <row r="10754">
      <c r="A10754" s="4" t="s">
        <v>13511</v>
      </c>
      <c r="B10754" s="4" t="s">
        <v>13520</v>
      </c>
      <c r="C10754" s="5" t="str">
        <f>IFERROR(__xludf.DUMMYFUNCTION("GOOGLETRANSLATE(B10754,""en"",""it"")"),"Una pagina animata mostra crediti per il video.")</f>
        <v>Una pagina animata mostra crediti per il video.</v>
      </c>
    </row>
    <row r="10755">
      <c r="A10755" s="4" t="s">
        <v>13521</v>
      </c>
      <c r="B10755" s="4" t="s">
        <v>13522</v>
      </c>
      <c r="C10755" s="5" t="str">
        <f>IFERROR(__xludf.DUMMYFUNCTION("GOOGLETRANSLATE(B10755,""en"",""it"")"),"Una ragazza gareggia la palestra di Vault di fronte ai giudici mentre gli spettatori osservano dalle gradinate.")</f>
        <v>Una ragazza gareggia la palestra di Vault di fronte ai giudici mentre gli spettatori osservano dalle gradinate.</v>
      </c>
    </row>
    <row r="10756">
      <c r="A10756" s="4" t="s">
        <v>13521</v>
      </c>
      <c r="B10756" s="4" t="s">
        <v>13523</v>
      </c>
      <c r="C10756" s="5" t="str">
        <f>IFERROR(__xludf.DUMMYFUNCTION("GOOGLETRANSLATE(B10756,""en"",""it"")"),"L'approccio della ginnasta ai suoi allenatori per parlare e poi se ne vanno.")</f>
        <v>L'approccio della ginnasta ai suoi allenatori per parlare e poi se ne vanno.</v>
      </c>
    </row>
    <row r="10757">
      <c r="A10757" s="4" t="s">
        <v>13521</v>
      </c>
      <c r="B10757" s="4" t="s">
        <v>13524</v>
      </c>
      <c r="C10757" s="5" t="str">
        <f>IFERROR(__xludf.DUMMYFUNCTION("GOOGLETRANSLATE(B10757,""en"",""it"")"),"Dopo, il flashback delle prestazioni della ginnasta è uno spettacolo.")</f>
        <v>Dopo, il flashback delle prestazioni della ginnasta è uno spettacolo.</v>
      </c>
    </row>
    <row r="10758">
      <c r="A10758" s="4" t="s">
        <v>13525</v>
      </c>
      <c r="B10758" s="4" t="s">
        <v>13526</v>
      </c>
      <c r="C10758" s="5" t="str">
        <f>IFERROR(__xludf.DUMMYFUNCTION("GOOGLETRANSLATE(B10758,""en"",""it"")"),"Un folto gruppo di persone è visto muoversi in una stanza eseguendo una routine di allenamento.")</f>
        <v>Un folto gruppo di persone è visto muoversi in una stanza eseguendo una routine di allenamento.</v>
      </c>
    </row>
    <row r="10759">
      <c r="A10759" s="4" t="s">
        <v>13525</v>
      </c>
      <c r="B10759" s="6" t="s">
        <v>13527</v>
      </c>
      <c r="C10759" s="5" t="str">
        <f>IFERROR(__xludf.DUMMYFUNCTION("GOOGLETRANSLATE(B10759,""en"",""it"")"),"La gente si muove su e giù sulle travi mentre muovevano le braccia e una donna che conduce davanti.")</f>
        <v>La gente si muove su e giù sulle travi mentre muovevano le braccia e una donna che conduce davanti.</v>
      </c>
    </row>
    <row r="10760">
      <c r="A10760" s="4" t="s">
        <v>13525</v>
      </c>
      <c r="B10760" s="4" t="s">
        <v>13528</v>
      </c>
      <c r="C10760" s="5" t="str">
        <f>IFERROR(__xludf.DUMMYFUNCTION("GOOGLETRANSLATE(B10760,""en"",""it"")"),"Il gruppo continua a ballare l'uno con l'altro e termina tenendo una posa.")</f>
        <v>Il gruppo continua a ballare l'uno con l'altro e termina tenendo una posa.</v>
      </c>
    </row>
    <row r="10761">
      <c r="A10761" s="4" t="s">
        <v>13529</v>
      </c>
      <c r="B10761" s="4" t="s">
        <v>13530</v>
      </c>
      <c r="C10761" s="5" t="str">
        <f>IFERROR(__xludf.DUMMYFUNCTION("GOOGLETRANSLATE(B10761,""en"",""it"")"),"Un bambino con un cappello è seduto su una sedia.")</f>
        <v>Un bambino con un cappello è seduto su una sedia.</v>
      </c>
    </row>
    <row r="10762">
      <c r="A10762" s="4" t="s">
        <v>13529</v>
      </c>
      <c r="B10762" s="4" t="s">
        <v>13531</v>
      </c>
      <c r="C10762" s="5" t="str">
        <f>IFERROR(__xludf.DUMMYFUNCTION("GOOGLETRANSLATE(B10762,""en"",""it"")"),"Un uomo tiene il bambino giocando con una palla.")</f>
        <v>Un uomo tiene il bambino giocando con una palla.</v>
      </c>
    </row>
    <row r="10763">
      <c r="A10763" s="4" t="s">
        <v>13529</v>
      </c>
      <c r="B10763" s="4" t="s">
        <v>13532</v>
      </c>
      <c r="C10763" s="5" t="str">
        <f>IFERROR(__xludf.DUMMYFUNCTION("GOOGLETRANSLATE(B10763,""en"",""it"")"),"Un bambino dorme su un divano.")</f>
        <v>Un bambino dorme su un divano.</v>
      </c>
    </row>
    <row r="10764">
      <c r="A10764" s="4" t="s">
        <v>13533</v>
      </c>
      <c r="B10764" s="4" t="s">
        <v>13534</v>
      </c>
      <c r="C10764" s="5" t="str">
        <f>IFERROR(__xludf.DUMMYFUNCTION("GOOGLETRANSLATE(B10764,""en"",""it"")"),"Vediamo le schermate del titolo per il video.")</f>
        <v>Vediamo le schermate del titolo per il video.</v>
      </c>
    </row>
    <row r="10765">
      <c r="A10765" s="4" t="s">
        <v>13533</v>
      </c>
      <c r="B10765" s="4" t="s">
        <v>13535</v>
      </c>
      <c r="C10765" s="5" t="str">
        <f>IFERROR(__xludf.DUMMYFUNCTION("GOOGLETRANSLATE(B10765,""en"",""it"")"),"Vediamo una persona sciare.")</f>
        <v>Vediamo una persona sciare.</v>
      </c>
    </row>
    <row r="10766">
      <c r="A10766" s="4" t="s">
        <v>13533</v>
      </c>
      <c r="B10766" s="4" t="s">
        <v>13536</v>
      </c>
      <c r="C10766" s="5" t="str">
        <f>IFERROR(__xludf.DUMMYFUNCTION("GOOGLETRANSLATE(B10766,""en"",""it"")"),"Passiamo a un seminario e un elenco di strumenti.")</f>
        <v>Passiamo a un seminario e un elenco di strumenti.</v>
      </c>
    </row>
    <row r="10767">
      <c r="A10767" s="4" t="s">
        <v>13533</v>
      </c>
      <c r="B10767" s="4" t="s">
        <v>13537</v>
      </c>
      <c r="C10767" s="5" t="str">
        <f>IFERROR(__xludf.DUMMYFUNCTION("GOOGLETRANSLATE(B10767,""en"",""it"")"),"Vediamo che un uomo aggiunge una band su uno sci e lo sci è su un aggeggio.")</f>
        <v>Vediamo che un uomo aggiunge una band su uno sci e lo sci è su un aggeggio.</v>
      </c>
    </row>
    <row r="10768">
      <c r="A10768" s="4" t="s">
        <v>13533</v>
      </c>
      <c r="B10768" s="4" t="s">
        <v>13538</v>
      </c>
      <c r="C10768" s="5" t="str">
        <f>IFERROR(__xludf.DUMMYFUNCTION("GOOGLETRANSLATE(B10768,""en"",""it"")"),"Un uomo spazzola e strofina lo sci.")</f>
        <v>Un uomo spazzola e strofina lo sci.</v>
      </c>
    </row>
    <row r="10769">
      <c r="A10769" s="4" t="s">
        <v>13533</v>
      </c>
      <c r="B10769" s="4" t="s">
        <v>13539</v>
      </c>
      <c r="C10769" s="5" t="str">
        <f>IFERROR(__xludf.DUMMYFUNCTION("GOOGLETRANSLATE(B10769,""en"",""it"")"),"Vediamo cera colorata e un uomo che gira un quadrante.")</f>
        <v>Vediamo cera colorata e un uomo che gira un quadrante.</v>
      </c>
    </row>
    <row r="10770">
      <c r="A10770" s="4" t="s">
        <v>13533</v>
      </c>
      <c r="B10770" s="4" t="s">
        <v>13540</v>
      </c>
      <c r="C10770" s="5" t="str">
        <f>IFERROR(__xludf.DUMMYFUNCTION("GOOGLETRANSLATE(B10770,""en"",""it"")"),"L'uomo versa la cera e riceviamo istruzioni prima che stabilisca la cera sullo sci.")</f>
        <v>L'uomo versa la cera e riceviamo istruzioni prima che stabilisca la cera sullo sci.</v>
      </c>
    </row>
    <row r="10771">
      <c r="A10771" s="4" t="s">
        <v>13533</v>
      </c>
      <c r="B10771" s="4" t="s">
        <v>13541</v>
      </c>
      <c r="C10771" s="5" t="str">
        <f>IFERROR(__xludf.DUMMYFUNCTION("GOOGLETRANSLATE(B10771,""en"",""it"")"),"L'uomo raschia la cera e spazzola lo sci.")</f>
        <v>L'uomo raschia la cera e spazzola lo sci.</v>
      </c>
    </row>
    <row r="10772">
      <c r="A10772" s="4" t="s">
        <v>13533</v>
      </c>
      <c r="B10772" s="4" t="s">
        <v>13542</v>
      </c>
      <c r="C10772" s="5" t="str">
        <f>IFERROR(__xludf.DUMMYFUNCTION("GOOGLETRANSLATE(B10772,""en"",""it"")"),"Otteniamo un fatto sci e gli spettacoli di carte di end video.")</f>
        <v>Otteniamo un fatto sci e gli spettacoli di carte di end video.</v>
      </c>
    </row>
    <row r="10773">
      <c r="A10773" s="4" t="s">
        <v>13543</v>
      </c>
      <c r="B10773" s="4" t="s">
        <v>13544</v>
      </c>
      <c r="C10773" s="5" t="str">
        <f>IFERROR(__xludf.DUMMYFUNCTION("GOOGLETRANSLATE(B10773,""en"",""it"")"),"Una persona viene vista lanciare un frisbee in lontananza e un cane che insegue.")</f>
        <v>Una persona viene vista lanciare un frisbee in lontananza e un cane che insegue.</v>
      </c>
    </row>
    <row r="10774">
      <c r="A10774" s="4" t="s">
        <v>13543</v>
      </c>
      <c r="B10774" s="4" t="s">
        <v>13545</v>
      </c>
      <c r="C10774" s="5" t="str">
        <f>IFERROR(__xludf.DUMMYFUNCTION("GOOGLETRANSLATE(B10774,""en"",""it"")"),"Vengono mostrati diversi colpi di cani che corrono dopo frisbees dopo che il loro proprietario li ha lanciati.")</f>
        <v>Vengono mostrati diversi colpi di cani che corrono dopo frisbees dopo che il loro proprietario li ha lanciati.</v>
      </c>
    </row>
    <row r="10775">
      <c r="A10775" s="4" t="s">
        <v>13543</v>
      </c>
      <c r="B10775" s="4" t="s">
        <v>13546</v>
      </c>
      <c r="C10775" s="5" t="str">
        <f>IFERROR(__xludf.DUMMYFUNCTION("GOOGLETRANSLATE(B10775,""en"",""it"")"),"Altri cani si vedono inseguire i frisbee mentre il proprietario guarda da dietro.")</f>
        <v>Altri cani si vedono inseguire i frisbee mentre il proprietario guarda da dietro.</v>
      </c>
    </row>
    <row r="10776">
      <c r="A10776" s="4" t="s">
        <v>13547</v>
      </c>
      <c r="B10776" s="6" t="s">
        <v>13548</v>
      </c>
      <c r="C10776" s="5" t="str">
        <f>IFERROR(__xludf.DUMMYFUNCTION("GOOGLETRANSLATE(B10776,""en"",""it"")"),"Un gruppo di allenatori, ginnaste e genitori si fermano e si siedono in palestra mentre alcune ginnaste si esibiscono o si esercitano.")</f>
        <v>Un gruppo di allenatori, ginnaste e genitori si fermano e si siedono in palestra mentre alcune ginnaste si esibiscono o si esercitano.</v>
      </c>
    </row>
    <row r="10777">
      <c r="A10777" s="4" t="s">
        <v>13547</v>
      </c>
      <c r="B10777" s="4" t="s">
        <v>13549</v>
      </c>
      <c r="C10777" s="5" t="str">
        <f>IFERROR(__xludf.DUMMYFUNCTION("GOOGLETRANSLATE(B10777,""en"",""it"")"),"Una ragazza in viola fa una routine di raggio di equilibrio.")</f>
        <v>Una ragazza in viola fa una routine di raggio di equilibrio.</v>
      </c>
    </row>
    <row r="10778">
      <c r="A10778" s="4" t="s">
        <v>13547</v>
      </c>
      <c r="B10778" s="4" t="s">
        <v>13550</v>
      </c>
      <c r="C10778" s="5" t="str">
        <f>IFERROR(__xludf.DUMMYFUNCTION("GOOGLETRANSLATE(B10778,""en"",""it"")"),"Una ragazza sul retro fa una routine del pavimento.")</f>
        <v>Una ragazza sul retro fa una routine del pavimento.</v>
      </c>
    </row>
    <row r="10779">
      <c r="A10779" s="4" t="s">
        <v>13547</v>
      </c>
      <c r="B10779" s="6" t="s">
        <v>13551</v>
      </c>
      <c r="C10779" s="5" t="str">
        <f>IFERROR(__xludf.DUMMYFUNCTION("GOOGLETRANSLATE(B10779,""en"",""it"")"),"Quando la routine del pavimento termina la folla, tutti gli applausi e diverse giovani ginnaste si alzano e camminano.")</f>
        <v>Quando la routine del pavimento termina la folla, tutti gli applausi e diverse giovani ginnaste si alzano e camminano.</v>
      </c>
    </row>
    <row r="10780">
      <c r="A10780" s="4" t="s">
        <v>13547</v>
      </c>
      <c r="B10780" s="4" t="s">
        <v>13552</v>
      </c>
      <c r="C10780" s="5" t="str">
        <f>IFERROR(__xludf.DUMMYFUNCTION("GOOGLETRANSLATE(B10780,""en"",""it"")"),"Una donna regge un cartello che dice 965.")</f>
        <v>Una donna regge un cartello che dice 965.</v>
      </c>
    </row>
    <row r="10781">
      <c r="A10781" s="4" t="s">
        <v>13547</v>
      </c>
      <c r="B10781" s="4" t="s">
        <v>13553</v>
      </c>
      <c r="C10781" s="5" t="str">
        <f>IFERROR(__xludf.DUMMYFUNCTION("GOOGLETRANSLATE(B10781,""en"",""it"")"),"La ragazza sul raggio di equilibrio termina la sua routine e si avvicina e abbraccia una donna in viola.")</f>
        <v>La ragazza sul raggio di equilibrio termina la sua routine e si avvicina e abbraccia una donna in viola.</v>
      </c>
    </row>
    <row r="10782">
      <c r="A10782" s="4" t="s">
        <v>13554</v>
      </c>
      <c r="B10782" s="4" t="s">
        <v>13555</v>
      </c>
      <c r="C10782" s="5" t="str">
        <f>IFERROR(__xludf.DUMMYFUNCTION("GOOGLETRANSLATE(B10782,""en"",""it"")"),"Un uomo salta sulle sbarre e inizia a oscillare su di loro.")</f>
        <v>Un uomo salta sulle sbarre e inizia a oscillare su di loro.</v>
      </c>
    </row>
    <row r="10783">
      <c r="A10783" s="4" t="s">
        <v>13554</v>
      </c>
      <c r="B10783" s="4" t="s">
        <v>13556</v>
      </c>
      <c r="C10783" s="5" t="str">
        <f>IFERROR(__xludf.DUMMYFUNCTION("GOOGLETRANSLATE(B10783,""en"",""it"")"),"Si toglie e atterra su un tappetino.")</f>
        <v>Si toglie e atterra su un tappetino.</v>
      </c>
    </row>
    <row r="10784">
      <c r="A10784" s="4" t="s">
        <v>13557</v>
      </c>
      <c r="B10784" s="4" t="s">
        <v>13558</v>
      </c>
      <c r="C10784" s="5" t="str">
        <f>IFERROR(__xludf.DUMMYFUNCTION("GOOGLETRANSLATE(B10784,""en"",""it"")"),"Un processionale medico mette un dispositivo e un ago in faccia a qualcuno.")</f>
        <v>Un processionale medico mette un dispositivo e un ago in faccia a qualcuno.</v>
      </c>
    </row>
    <row r="10785">
      <c r="A10785" s="4" t="s">
        <v>13557</v>
      </c>
      <c r="B10785" s="4" t="s">
        <v>13559</v>
      </c>
      <c r="C10785" s="5" t="str">
        <f>IFERROR(__xludf.DUMMYFUNCTION("GOOGLETRANSLATE(B10785,""en"",""it"")"),"In realtà è un piercing.")</f>
        <v>In realtà è un piercing.</v>
      </c>
    </row>
    <row r="10786">
      <c r="A10786" s="4" t="s">
        <v>13557</v>
      </c>
      <c r="B10786" s="4" t="s">
        <v>13560</v>
      </c>
      <c r="C10786" s="5" t="str">
        <f>IFERROR(__xludf.DUMMYFUNCTION("GOOGLETRANSLATE(B10786,""en"",""it"")"),"Lo pulisce e poi si alza.")</f>
        <v>Lo pulisce e poi si alza.</v>
      </c>
    </row>
    <row r="10787">
      <c r="A10787" s="4" t="s">
        <v>13561</v>
      </c>
      <c r="B10787" s="6" t="s">
        <v>13562</v>
      </c>
      <c r="C10787" s="5" t="str">
        <f>IFERROR(__xludf.DUMMYFUNCTION("GOOGLETRANSLATE(B10787,""en"",""it"")"),"Un gruppo di fotografi scatta foto mentre un sollevatore di pesi si presenta sul palco e si prepara le mani.")</f>
        <v>Un gruppo di fotografi scatta foto mentre un sollevatore di pesi si presenta sul palco e si prepara le mani.</v>
      </c>
    </row>
    <row r="10788">
      <c r="A10788" s="4" t="s">
        <v>13561</v>
      </c>
      <c r="B10788" s="4" t="s">
        <v>13563</v>
      </c>
      <c r="C10788" s="5" t="str">
        <f>IFERROR(__xludf.DUMMYFUNCTION("GOOGLETRANSLATE(B10788,""en"",""it"")"),"Solleva un bilanciere alle ginocchia, poi gli fa una pausa sul petto.")</f>
        <v>Solleva un bilanciere alle ginocchia, poi gli fa una pausa sul petto.</v>
      </c>
    </row>
    <row r="10789">
      <c r="A10789" s="4" t="s">
        <v>13561</v>
      </c>
      <c r="B10789" s="4" t="s">
        <v>13564</v>
      </c>
      <c r="C10789" s="5" t="str">
        <f>IFERROR(__xludf.DUMMYFUNCTION("GOOGLETRANSLATE(B10789,""en"",""it"")"),"Solleva il bilanciere sopra la testa prima di riportarlo a terra.")</f>
        <v>Solleva il bilanciere sopra la testa prima di riportarlo a terra.</v>
      </c>
    </row>
    <row r="10790">
      <c r="A10790" s="4" t="s">
        <v>13565</v>
      </c>
      <c r="B10790" s="4" t="s">
        <v>13566</v>
      </c>
      <c r="C10790" s="5" t="str">
        <f>IFERROR(__xludf.DUMMYFUNCTION("GOOGLETRANSLATE(B10790,""en"",""it"")"),"Un piatto con bevande alla limonata si trova su un ripiano.")</f>
        <v>Un piatto con bevande alla limonata si trova su un ripiano.</v>
      </c>
    </row>
    <row r="10791">
      <c r="A10791" s="4" t="s">
        <v>13565</v>
      </c>
      <c r="B10791" s="4" t="s">
        <v>13567</v>
      </c>
      <c r="C10791" s="5" t="str">
        <f>IFERROR(__xludf.DUMMYFUNCTION("GOOGLETRANSLATE(B10791,""en"",""it"")"),"Una donna stringe un limone.")</f>
        <v>Una donna stringe un limone.</v>
      </c>
    </row>
    <row r="10792">
      <c r="A10792" s="4" t="s">
        <v>13565</v>
      </c>
      <c r="B10792" s="4" t="s">
        <v>13568</v>
      </c>
      <c r="C10792" s="5" t="str">
        <f>IFERROR(__xludf.DUMMYFUNCTION("GOOGLETRANSLATE(B10792,""en"",""it"")"),"Aggiunge zucchero a una grande brocca.")</f>
        <v>Aggiunge zucchero a una grande brocca.</v>
      </c>
    </row>
    <row r="10793">
      <c r="A10793" s="4" t="s">
        <v>13565</v>
      </c>
      <c r="B10793" s="4" t="s">
        <v>13569</v>
      </c>
      <c r="C10793" s="5" t="str">
        <f>IFERROR(__xludf.DUMMYFUNCTION("GOOGLETRANSLATE(B10793,""en"",""it"")"),"Muove lo zucchero con un grande cucchiaio di legno.")</f>
        <v>Muove lo zucchero con un grande cucchiaio di legno.</v>
      </c>
    </row>
    <row r="10794">
      <c r="A10794" s="4" t="s">
        <v>13565</v>
      </c>
      <c r="B10794" s="4" t="s">
        <v>13570</v>
      </c>
      <c r="C10794" s="5" t="str">
        <f>IFERROR(__xludf.DUMMYFUNCTION("GOOGLETRANSLATE(B10794,""en"",""it"")"),"Procede ad aggiungere acqua al lanciatore per diluire.")</f>
        <v>Procede ad aggiungere acqua al lanciatore per diluire.</v>
      </c>
    </row>
    <row r="10795">
      <c r="A10795" s="4" t="s">
        <v>13565</v>
      </c>
      <c r="B10795" s="4" t="s">
        <v>13571</v>
      </c>
      <c r="C10795" s="5" t="str">
        <f>IFERROR(__xludf.DUMMYFUNCTION("GOOGLETRANSLATE(B10795,""en"",""it"")"),"Successivamente, aggiunge più zucchero alla brocca.")</f>
        <v>Successivamente, aggiunge più zucchero alla brocca.</v>
      </c>
    </row>
    <row r="10796">
      <c r="A10796" s="4" t="s">
        <v>13565</v>
      </c>
      <c r="B10796" s="4" t="s">
        <v>13572</v>
      </c>
      <c r="C10796" s="5" t="str">
        <f>IFERROR(__xludf.DUMMYFUNCTION("GOOGLETRANSLATE(B10796,""en"",""it"")"),"Versa la limonata finita in una tazza.")</f>
        <v>Versa la limonata finita in una tazza.</v>
      </c>
    </row>
    <row r="10797">
      <c r="A10797" s="4" t="s">
        <v>13565</v>
      </c>
      <c r="B10797" s="4" t="s">
        <v>13573</v>
      </c>
      <c r="C10797" s="5" t="str">
        <f>IFERROR(__xludf.DUMMYFUNCTION("GOOGLETRANSLATE(B10797,""en"",""it"")"),"I passaggi per fare la limonata sono presentati ancora una volta.")</f>
        <v>I passaggi per fare la limonata sono presentati ancora una volta.</v>
      </c>
    </row>
    <row r="10798">
      <c r="A10798" s="4" t="s">
        <v>13574</v>
      </c>
      <c r="B10798" s="6" t="s">
        <v>13575</v>
      </c>
      <c r="C10798" s="5" t="str">
        <f>IFERROR(__xludf.DUMMYFUNCTION("GOOGLETRANSLATE(B10798,""en"",""it"")"),"Un gruppo di persone che tiene skateboard si trovano sulla linea di partenza, quindi le persone skateboard lungo la strada.")</f>
        <v>Un gruppo di persone che tiene skateboard si trovano sulla linea di partenza, quindi le persone skateboard lungo la strada.</v>
      </c>
    </row>
    <row r="10799">
      <c r="A10799" s="4" t="s">
        <v>13574</v>
      </c>
      <c r="B10799" s="4" t="s">
        <v>13576</v>
      </c>
      <c r="C10799" s="5" t="str">
        <f>IFERROR(__xludf.DUMMYFUNCTION("GOOGLETRANSLATE(B10799,""en"",""it"")"),"Entrano in uno scuolabus, quindi, skateboard sulla strada.")</f>
        <v>Entrano in uno scuolabus, quindi, skateboard sulla strada.</v>
      </c>
    </row>
    <row r="10800">
      <c r="A10800" s="4" t="s">
        <v>13574</v>
      </c>
      <c r="B10800" s="4" t="s">
        <v>13577</v>
      </c>
      <c r="C10800" s="5" t="str">
        <f>IFERROR(__xludf.DUMMYFUNCTION("GOOGLETRANSLATE(B10800,""en"",""it"")"),"Un ragazzo cade a terra e altre persone continuano a skateboard.")</f>
        <v>Un ragazzo cade a terra e altre persone continuano a skateboard.</v>
      </c>
    </row>
    <row r="10801">
      <c r="A10801" s="4" t="s">
        <v>13574</v>
      </c>
      <c r="B10801" s="4" t="s">
        <v>13578</v>
      </c>
      <c r="C10801" s="5" t="str">
        <f>IFERROR(__xludf.DUMMYFUNCTION("GOOGLETRANSLATE(B10801,""en"",""it"")"),"Due, le persone cadono sulla strada.")</f>
        <v>Due, le persone cadono sulla strada.</v>
      </c>
    </row>
    <row r="10802">
      <c r="A10802" s="4" t="s">
        <v>13574</v>
      </c>
      <c r="B10802" s="6" t="s">
        <v>13579</v>
      </c>
      <c r="C10802" s="5" t="str">
        <f>IFERROR(__xludf.DUMMYFUNCTION("GOOGLETRANSLATE(B10802,""en"",""it"")"),"Dopo, un uomo dà l'inizio alle persone che skateboard sulla strada fino a raggiungere il traguardo per ricevere i loro trofei.")</f>
        <v>Dopo, un uomo dà l'inizio alle persone che skateboard sulla strada fino a raggiungere il traguardo per ricevere i loro trofei.</v>
      </c>
    </row>
    <row r="10803">
      <c r="A10803" s="4" t="s">
        <v>13574</v>
      </c>
      <c r="B10803" s="4" t="s">
        <v>13580</v>
      </c>
      <c r="C10803" s="5" t="str">
        <f>IFERROR(__xludf.DUMMYFUNCTION("GOOGLETRANSLATE(B10803,""en"",""it"")"),"Una persona skateboard salta su una rampa.")</f>
        <v>Una persona skateboard salta su una rampa.</v>
      </c>
    </row>
    <row r="10804">
      <c r="A10804" s="4" t="s">
        <v>13581</v>
      </c>
      <c r="B10804" s="4" t="s">
        <v>13582</v>
      </c>
      <c r="C10804" s="5" t="str">
        <f>IFERROR(__xludf.DUMMYFUNCTION("GOOGLETRANSLATE(B10804,""en"",""it"")"),"Una donna sorride prima di slittare giù da una collina su un intertube.")</f>
        <v>Una donna sorride prima di slittare giù da una collina su un intertube.</v>
      </c>
    </row>
    <row r="10805">
      <c r="A10805" s="4" t="s">
        <v>13581</v>
      </c>
      <c r="B10805" s="4" t="s">
        <v>13583</v>
      </c>
      <c r="C10805" s="5" t="str">
        <f>IFERROR(__xludf.DUMMYFUNCTION("GOOGLETRANSLATE(B10805,""en"",""it"")"),"Ride e salta la telecamera lungo la collina.")</f>
        <v>Ride e salta la telecamera lungo la collina.</v>
      </c>
    </row>
    <row r="10806">
      <c r="A10806" s="4" t="s">
        <v>13581</v>
      </c>
      <c r="B10806" s="4" t="s">
        <v>13584</v>
      </c>
      <c r="C10806" s="5" t="str">
        <f>IFERROR(__xludf.DUMMYFUNCTION("GOOGLETRANSLATE(B10806,""en"",""it"")"),"Diverse persone vengono quindi mostrate slitte insieme prima di fermarsi su un pendio nevoso.")</f>
        <v>Diverse persone vengono quindi mostrate slitte insieme prima di fermarsi su un pendio nevoso.</v>
      </c>
    </row>
    <row r="10807">
      <c r="A10807" s="4" t="s">
        <v>13585</v>
      </c>
      <c r="B10807" s="4" t="s">
        <v>13586</v>
      </c>
      <c r="C10807" s="5" t="str">
        <f>IFERROR(__xludf.DUMMYFUNCTION("GOOGLETRANSLATE(B10807,""en"",""it"")"),"Un folto gruppo di persone viene mostrato che nuota in una piscina giocando ad acqua.")</f>
        <v>Un folto gruppo di persone viene mostrato che nuota in una piscina giocando ad acqua.</v>
      </c>
    </row>
    <row r="10808">
      <c r="A10808" s="4" t="s">
        <v>13585</v>
      </c>
      <c r="B10808" s="6" t="s">
        <v>13587</v>
      </c>
      <c r="C10808" s="5" t="str">
        <f>IFERROR(__xludf.DUMMYFUNCTION("GOOGLETRANSLATE(B10808,""en"",""it"")"),"La partita continua con le persone che passano la palla intorno alla piscina mentre molti siedono in disparte e guardano.")</f>
        <v>La partita continua con le persone che passano la palla intorno alla piscina mentre molti siedono in disparte e guardano.</v>
      </c>
    </row>
    <row r="10809">
      <c r="A10809" s="4" t="s">
        <v>13588</v>
      </c>
      <c r="B10809" s="6" t="s">
        <v>13589</v>
      </c>
      <c r="C10809" s="5" t="str">
        <f>IFERROR(__xludf.DUMMYFUNCTION("GOOGLETRANSLATE(B10809,""en"",""it"")"),"Un uomo in un campo da basket all'aperto spiega come eseguire esercitazioni di layup con entrambe le braccia, sopra la mano, subdola, destra e layup a destra con due passi.")</f>
        <v>Un uomo in un campo da basket all'aperto spiega come eseguire esercitazioni di layup con entrambe le braccia, sopra la mano, subdola, destra e layup a destra con due passi.</v>
      </c>
    </row>
    <row r="10810">
      <c r="A10810" s="4" t="s">
        <v>13588</v>
      </c>
      <c r="B10810" s="6" t="s">
        <v>13590</v>
      </c>
      <c r="C10810" s="5" t="str">
        <f>IFERROR(__xludf.DUMMYFUNCTION("GOOGLETRANSLATE(B10810,""en"",""it"")"),"Quindi va ai segni di hash in campo e mostra varie variazioni di un layup da varie distanze e come fare le esercitazioni per la pratica.")</f>
        <v>Quindi va ai segni di hash in campo e mostra varie variazioni di un layup da varie distanze e come fare le esercitazioni per la pratica.</v>
      </c>
    </row>
    <row r="10811">
      <c r="A10811" s="4" t="s">
        <v>13588</v>
      </c>
      <c r="B10811" s="4" t="s">
        <v>13591</v>
      </c>
      <c r="C10811" s="5" t="str">
        <f>IFERROR(__xludf.DUMMYFUNCTION("GOOGLETRANSLATE(B10811,""en"",""it"")"),"Quindi torna alla telecamera e spiega cosa ha fatto.")</f>
        <v>Quindi torna alla telecamera e spiega cosa ha fatto.</v>
      </c>
    </row>
    <row r="10812">
      <c r="A10812" s="4" t="s">
        <v>13592</v>
      </c>
      <c r="B10812" s="4" t="s">
        <v>13593</v>
      </c>
      <c r="C10812" s="5" t="str">
        <f>IFERROR(__xludf.DUMMYFUNCTION("GOOGLETRANSLATE(B10812,""en"",""it"")"),"Un uomo suona la fisarmonica su un palcoscenico di fronte a un supporto musicale mentre indossa una giacca di abito rosso.")</f>
        <v>Un uomo suona la fisarmonica su un palcoscenico di fronte a un supporto musicale mentre indossa una giacca di abito rosso.</v>
      </c>
    </row>
    <row r="10813">
      <c r="A10813" s="4" t="s">
        <v>13592</v>
      </c>
      <c r="B10813" s="4" t="s">
        <v>13594</v>
      </c>
      <c r="C10813" s="5" t="str">
        <f>IFERROR(__xludf.DUMMYFUNCTION("GOOGLETRANSLATE(B10813,""en"",""it"")"),"Un uomo si siede su una sedia su un palco e suona la fisarmonica di fronte a una musica.")</f>
        <v>Un uomo si siede su una sedia su un palco e suona la fisarmonica di fronte a una musica.</v>
      </c>
    </row>
    <row r="10814">
      <c r="A10814" s="4" t="s">
        <v>13592</v>
      </c>
      <c r="B10814" s="6" t="s">
        <v>13595</v>
      </c>
      <c r="C10814" s="5" t="str">
        <f>IFERROR(__xludf.DUMMYFUNCTION("GOOGLETRANSLATE(B10814,""en"",""it"")"),"L'uomo corre le dita su e giù per le chiavi e si apre la fisarmonica e si chiude con le mani libere prima di terminare la performance e strofinandosi i capelli con la mano.")</f>
        <v>L'uomo corre le dita su e giù per le chiavi e si apre la fisarmonica e si chiude con le mani libere prima di terminare la performance e strofinandosi i capelli con la mano.</v>
      </c>
    </row>
    <row r="10815">
      <c r="A10815" s="4" t="s">
        <v>13596</v>
      </c>
      <c r="B10815" s="4" t="s">
        <v>13597</v>
      </c>
      <c r="C10815" s="5" t="str">
        <f>IFERROR(__xludf.DUMMYFUNCTION("GOOGLETRANSLATE(B10815,""en"",""it"")"),"Un uomo salta su barre parallele e fa una routine di ginnastica.")</f>
        <v>Un uomo salta su barre parallele e fa una routine di ginnastica.</v>
      </c>
    </row>
    <row r="10816">
      <c r="A10816" s="4" t="s">
        <v>13596</v>
      </c>
      <c r="B10816" s="4" t="s">
        <v>13598</v>
      </c>
      <c r="C10816" s="5" t="str">
        <f>IFERROR(__xludf.DUMMYFUNCTION("GOOGLETRANSLATE(B10816,""en"",""it"")"),"Il pubblico lo sta guardando sugli spalti.")</f>
        <v>Il pubblico lo sta guardando sugli spalti.</v>
      </c>
    </row>
    <row r="10817">
      <c r="A10817" s="4" t="s">
        <v>13596</v>
      </c>
      <c r="B10817" s="4" t="s">
        <v>13599</v>
      </c>
      <c r="C10817" s="5" t="str">
        <f>IFERROR(__xludf.DUMMYFUNCTION("GOOGLETRANSLATE(B10817,""en"",""it"")"),"Salta via e atterra sul tappeto con le mani sollevate.")</f>
        <v>Salta via e atterra sul tappeto con le mani sollevate.</v>
      </c>
    </row>
    <row r="10818">
      <c r="A10818" s="4" t="s">
        <v>13600</v>
      </c>
      <c r="B10818" s="4" t="s">
        <v>13601</v>
      </c>
      <c r="C10818" s="5" t="str">
        <f>IFERROR(__xludf.DUMMYFUNCTION("GOOGLETRANSLATE(B10818,""en"",""it"")"),"Una ginnasta è vista in piedi e fa saltare un braccio in aria.")</f>
        <v>Una ginnasta è vista in piedi e fa saltare un braccio in aria.</v>
      </c>
    </row>
    <row r="10819">
      <c r="A10819" s="4" t="s">
        <v>13600</v>
      </c>
      <c r="B10819" s="6" t="s">
        <v>13602</v>
      </c>
      <c r="C10819" s="5" t="str">
        <f>IFERROR(__xludf.DUMMYFUNCTION("GOOGLETRANSLATE(B10819,""en"",""it"")"),"Salta su un set di barre irregolari ed esegue una routine di ginnastica composta su lanci e trucchi.")</f>
        <v>Salta su un set di barre irregolari ed esegue una routine di ginnastica composta su lanci e trucchi.</v>
      </c>
    </row>
    <row r="10820">
      <c r="A10820" s="4" t="s">
        <v>13600</v>
      </c>
      <c r="B10820" s="4" t="s">
        <v>13603</v>
      </c>
      <c r="C10820" s="5" t="str">
        <f>IFERROR(__xludf.DUMMYFUNCTION("GOOGLETRANSLATE(B10820,""en"",""it"")"),"Salta giù dalle sbarre alla fine e agita le braccia in aria mentre il suo allenatore applaude per lei.")</f>
        <v>Salta giù dalle sbarre alla fine e agita le braccia in aria mentre il suo allenatore applaude per lei.</v>
      </c>
    </row>
    <row r="10821">
      <c r="A10821" s="4" t="s">
        <v>13604</v>
      </c>
      <c r="B10821" s="4" t="s">
        <v>13605</v>
      </c>
      <c r="C10821" s="5" t="str">
        <f>IFERROR(__xludf.DUMMYFUNCTION("GOOGLETRANSLATE(B10821,""en"",""it"")"),"I ragazzi giocano a hockey su un'arena di ghiaccio.")</f>
        <v>I ragazzi giocano a hockey su un'arena di ghiaccio.</v>
      </c>
    </row>
    <row r="10822">
      <c r="A10822" s="4" t="s">
        <v>13604</v>
      </c>
      <c r="B10822" s="4" t="s">
        <v>13606</v>
      </c>
      <c r="C10822" s="5" t="str">
        <f>IFERROR(__xludf.DUMMYFUNCTION("GOOGLETRANSLATE(B10822,""en"",""it"")"),"Alcuni giocatori sono disposti.")</f>
        <v>Alcuni giocatori sono disposti.</v>
      </c>
    </row>
    <row r="10823">
      <c r="A10823" s="4" t="s">
        <v>13604</v>
      </c>
      <c r="B10823" s="4" t="s">
        <v>13607</v>
      </c>
      <c r="C10823" s="5" t="str">
        <f>IFERROR(__xludf.DUMMYFUNCTION("GOOGLETRANSLATE(B10823,""en"",""it"")"),"Una pila di giocatori giaceva su un atleta caduto.")</f>
        <v>Una pila di giocatori giaceva su un atleta caduto.</v>
      </c>
    </row>
    <row r="10824">
      <c r="A10824" s="4" t="s">
        <v>13604</v>
      </c>
      <c r="B10824" s="4" t="s">
        <v>13608</v>
      </c>
      <c r="C10824" s="5" t="str">
        <f>IFERROR(__xludf.DUMMYFUNCTION("GOOGLETRANSLATE(B10824,""en"",""it"")"),"Un giocatore viene bussato al ghiaccio e anche al casco.")</f>
        <v>Un giocatore viene bussato al ghiaccio e anche al casco.</v>
      </c>
    </row>
    <row r="10825">
      <c r="A10825" s="4" t="s">
        <v>13604</v>
      </c>
      <c r="B10825" s="4" t="s">
        <v>13609</v>
      </c>
      <c r="C10825" s="5" t="str">
        <f>IFERROR(__xludf.DUMMYFUNCTION("GOOGLETRANSLATE(B10825,""en"",""it"")"),"Un ragazzo ha un infortunio alla testa e sta insanguendo sul ghiaccio dopo che cade.")</f>
        <v>Un ragazzo ha un infortunio alla testa e sta insanguendo sul ghiaccio dopo che cade.</v>
      </c>
    </row>
    <row r="10826">
      <c r="A10826" s="4" t="s">
        <v>13610</v>
      </c>
      <c r="B10826" s="4" t="s">
        <v>13611</v>
      </c>
      <c r="C10826" s="5" t="str">
        <f>IFERROR(__xludf.DUMMYFUNCTION("GOOGLETRANSLATE(B10826,""en"",""it"")"),"Una ginnasta è vista appoggiata a un lungo bar con una persona in piedi accanto a lei a terra.")</f>
        <v>Una ginnasta è vista appoggiata a un lungo bar con una persona in piedi accanto a lei a terra.</v>
      </c>
    </row>
    <row r="10827">
      <c r="A10827" s="4" t="s">
        <v>13610</v>
      </c>
      <c r="B10827" s="4" t="s">
        <v>13612</v>
      </c>
      <c r="C10827" s="5" t="str">
        <f>IFERROR(__xludf.DUMMYFUNCTION("GOOGLETRANSLATE(B10827,""en"",""it"")"),"La ragazza poi salta sul raggio.")</f>
        <v>La ragazza poi salta sul raggio.</v>
      </c>
    </row>
    <row r="10828">
      <c r="A10828" s="4" t="s">
        <v>13610</v>
      </c>
      <c r="B10828" s="4" t="s">
        <v>13613</v>
      </c>
      <c r="C10828" s="5" t="str">
        <f>IFERROR(__xludf.DUMMYFUNCTION("GOOGLETRANSLATE(B10828,""en"",""it"")"),"Alla fine la ragazza inizia a oscillare.")</f>
        <v>Alla fine la ragazza inizia a oscillare.</v>
      </c>
    </row>
    <row r="10829">
      <c r="A10829" s="4" t="s">
        <v>13614</v>
      </c>
      <c r="B10829" s="4" t="s">
        <v>13615</v>
      </c>
      <c r="C10829" s="5" t="str">
        <f>IFERROR(__xludf.DUMMYFUNCTION("GOOGLETRANSLATE(B10829,""en"",""it"")"),"Un gruppo si trova in una stazione ferroviaria.")</f>
        <v>Un gruppo si trova in una stazione ferroviaria.</v>
      </c>
    </row>
    <row r="10830">
      <c r="A10830" s="4" t="s">
        <v>13614</v>
      </c>
      <c r="B10830" s="4" t="s">
        <v>13616</v>
      </c>
      <c r="C10830" s="5" t="str">
        <f>IFERROR(__xludf.DUMMYFUNCTION("GOOGLETRANSLATE(B10830,""en"",""it"")"),"Un uomo spala la neve dal marciapiede.")</f>
        <v>Un uomo spala la neve dal marciapiede.</v>
      </c>
    </row>
    <row r="10831">
      <c r="A10831" s="4" t="s">
        <v>13614</v>
      </c>
      <c r="B10831" s="4" t="s">
        <v>13617</v>
      </c>
      <c r="C10831" s="5" t="str">
        <f>IFERROR(__xludf.DUMMYFUNCTION("GOOGLETRANSLATE(B10831,""en"",""it"")"),"Un uomo su una sedia a rotelle scende un marciapiede in una fredda giornata invernale.")</f>
        <v>Un uomo su una sedia a rotelle scende un marciapiede in una fredda giornata invernale.</v>
      </c>
    </row>
    <row r="10832">
      <c r="A10832" s="4" t="s">
        <v>13614</v>
      </c>
      <c r="B10832" s="4" t="s">
        <v>13618</v>
      </c>
      <c r="C10832" s="5" t="str">
        <f>IFERROR(__xludf.DUMMYFUNCTION("GOOGLETRANSLATE(B10832,""en"",""it"")"),"Una donna in giacca a neve spala la neve da un marciapiede.")</f>
        <v>Una donna in giacca a neve spala la neve da un marciapiede.</v>
      </c>
    </row>
    <row r="10833">
      <c r="A10833" s="4" t="s">
        <v>13614</v>
      </c>
      <c r="B10833" s="4" t="s">
        <v>13619</v>
      </c>
      <c r="C10833" s="5" t="str">
        <f>IFERROR(__xludf.DUMMYFUNCTION("GOOGLETRANSLATE(B10833,""en"",""it"")"),"Un uomo rompe il ghiaccio con una vanga.")</f>
        <v>Un uomo rompe il ghiaccio con una vanga.</v>
      </c>
    </row>
    <row r="10834">
      <c r="A10834" s="4" t="s">
        <v>13614</v>
      </c>
      <c r="B10834" s="4" t="s">
        <v>13620</v>
      </c>
      <c r="C10834" s="5" t="str">
        <f>IFERROR(__xludf.DUMMYFUNCTION("GOOGLETRANSLATE(B10834,""en"",""it"")"),"Un uomo spala la neve da un marciapiede in una fioriera fiancheggiata.")</f>
        <v>Un uomo spala la neve da un marciapiede in una fioriera fiancheggiata.</v>
      </c>
    </row>
    <row r="10835">
      <c r="A10835" s="4" t="s">
        <v>13621</v>
      </c>
      <c r="B10835" s="4" t="s">
        <v>13622</v>
      </c>
      <c r="C10835" s="5" t="str">
        <f>IFERROR(__xludf.DUMMYFUNCTION("GOOGLETRANSLATE(B10835,""en"",""it"")"),"Si vedono due persone con le racchette da tennis e colpire una palla in una piccola stanza.")</f>
        <v>Si vedono due persone con le racchette da tennis e colpire una palla in una piccola stanza.</v>
      </c>
    </row>
    <row r="10836">
      <c r="A10836" s="4" t="s">
        <v>13621</v>
      </c>
      <c r="B10836" s="4" t="s">
        <v>13623</v>
      </c>
      <c r="C10836" s="5" t="str">
        <f>IFERROR(__xludf.DUMMYFUNCTION("GOOGLETRANSLATE(B10836,""en"",""it"")"),"Gli uomini continuano a colpire la palla e quarto l'uno all'altro e corrono attorno alla palla.")</f>
        <v>Gli uomini continuano a colpire la palla e quarto l'uno all'altro e corrono attorno alla palla.</v>
      </c>
    </row>
    <row r="10837">
      <c r="A10837" s="4" t="s">
        <v>13624</v>
      </c>
      <c r="B10837" s="4" t="s">
        <v>13625</v>
      </c>
      <c r="C10837" s="5" t="str">
        <f>IFERROR(__xludf.DUMMYFUNCTION("GOOGLETRANSLATE(B10837,""en"",""it"")"),"Un ragazzo si trova nei campi e accende un pezzo di carta.")</f>
        <v>Un ragazzo si trova nei campi e accende un pezzo di carta.</v>
      </c>
    </row>
    <row r="10838">
      <c r="A10838" s="4" t="s">
        <v>13624</v>
      </c>
      <c r="B10838" s="4" t="s">
        <v>13626</v>
      </c>
      <c r="C10838" s="5" t="str">
        <f>IFERROR(__xludf.DUMMYFUNCTION("GOOGLETRANSLATE(B10838,""en"",""it"")"),"Un ragazzo lancia il pezzo di carta verso Stack Wood e poi corre.")</f>
        <v>Un ragazzo lancia il pezzo di carta verso Stack Wood e poi corre.</v>
      </c>
    </row>
    <row r="10839">
      <c r="A10839" s="4" t="s">
        <v>13624</v>
      </c>
      <c r="B10839" s="4" t="s">
        <v>13627</v>
      </c>
      <c r="C10839" s="5" t="str">
        <f>IFERROR(__xludf.DUMMYFUNCTION("GOOGLETRANSLATE(B10839,""en"",""it"")"),"Il legno prende fuoco.")</f>
        <v>Il legno prende fuoco.</v>
      </c>
    </row>
    <row r="10840">
      <c r="A10840" s="4" t="s">
        <v>13624</v>
      </c>
      <c r="B10840" s="4" t="s">
        <v>13628</v>
      </c>
      <c r="C10840" s="5" t="str">
        <f>IFERROR(__xludf.DUMMYFUNCTION("GOOGLETRANSLATE(B10840,""en"",""it"")"),"Il ragazzo cammina verso un uomo.")</f>
        <v>Il ragazzo cammina verso un uomo.</v>
      </c>
    </row>
    <row r="10841">
      <c r="A10841" s="4" t="s">
        <v>13629</v>
      </c>
      <c r="B10841" s="4" t="s">
        <v>13630</v>
      </c>
      <c r="C10841" s="5" t="str">
        <f>IFERROR(__xludf.DUMMYFUNCTION("GOOGLETRANSLATE(B10841,""en"",""it"")"),"Una telecamera si panoramica in una palestra interna e conduce a clip di persone che voltano su una barra.")</f>
        <v>Una telecamera si panoramica in una palestra interna e conduce a clip di persone che voltano su una barra.</v>
      </c>
    </row>
    <row r="10842">
      <c r="A10842" s="4" t="s">
        <v>13629</v>
      </c>
      <c r="B10842" s="4" t="s">
        <v>13631</v>
      </c>
      <c r="C10842" s="5" t="str">
        <f>IFERROR(__xludf.DUMMYFUNCTION("GOOGLETRANSLATE(B10842,""en"",""it"")"),"Diverse persone vengono mostrate correre con un palo su un raggio e su un tappetino dopo l'altro.")</f>
        <v>Diverse persone vengono mostrate correre con un palo su un raggio e su un tappetino dopo l'altro.</v>
      </c>
    </row>
    <row r="10843">
      <c r="A10843" s="4" t="s">
        <v>13629</v>
      </c>
      <c r="B10843" s="4" t="s">
        <v>13632</v>
      </c>
      <c r="C10843" s="5" t="str">
        <f>IFERROR(__xludf.DUMMYFUNCTION("GOOGLETRANSLATE(B10843,""en"",""it"")"),"Più persone fanno i loro turni mentre altri camminano in palestra e li guardano ai lati.")</f>
        <v>Più persone fanno i loro turni mentre altri camminano in palestra e li guardano ai lati.</v>
      </c>
    </row>
    <row r="10844">
      <c r="A10844" s="4" t="s">
        <v>13633</v>
      </c>
      <c r="B10844" s="6" t="s">
        <v>13634</v>
      </c>
      <c r="C10844" s="5" t="str">
        <f>IFERROR(__xludf.DUMMYFUNCTION("GOOGLETRANSLATE(B10844,""en"",""it"")"),"La parola Brenmar è al centro dello schermo che gira, quindi passa alla parola uniiqu3 e hoola hoop.")</f>
        <v>La parola Brenmar è al centro dello schermo che gira, quindi passa alla parola uniiqu3 e hoola hoop.</v>
      </c>
    </row>
    <row r="10845">
      <c r="A10845" s="4" t="s">
        <v>13633</v>
      </c>
      <c r="B10845" s="4" t="s">
        <v>13635</v>
      </c>
      <c r="C10845" s="5" t="str">
        <f>IFERROR(__xludf.DUMMYFUNCTION("GOOGLETRANSLATE(B10845,""en"",""it"")"),"Tre donne che indossano tutto il nero sono in piedi con un Hoola bianco sulle mani.")</f>
        <v>Tre donne che indossano tutto il nero sono in piedi con un Hoola bianco sulle mani.</v>
      </c>
    </row>
    <row r="10846">
      <c r="A10846" s="4" t="s">
        <v>13633</v>
      </c>
      <c r="B10846" s="4" t="s">
        <v>13636</v>
      </c>
      <c r="C10846" s="5" t="str">
        <f>IFERROR(__xludf.DUMMYFUNCTION("GOOGLETRANSLATE(B10846,""en"",""it"")"),"Un uomo si piega sul pavimento Srrondad da Hoola Hoops.")</f>
        <v>Un uomo si piega sul pavimento Srrondad da Hoola Hoops.</v>
      </c>
    </row>
    <row r="10847">
      <c r="A10847" s="4" t="s">
        <v>13633</v>
      </c>
      <c r="B10847" s="4" t="s">
        <v>13637</v>
      </c>
      <c r="C10847" s="5" t="str">
        <f>IFERROR(__xludf.DUMMYFUNCTION("GOOGLETRANSLATE(B10847,""en"",""it"")"),"Donna che indossa pantaloni neri e camicia bianca inizia a ballare con un telaio Hoola con il collo.")</f>
        <v>Donna che indossa pantaloni neri e camicia bianca inizia a ballare con un telaio Hoola con il collo.</v>
      </c>
    </row>
    <row r="10848">
      <c r="A10848" s="4" t="s">
        <v>13633</v>
      </c>
      <c r="B10848" s="6" t="s">
        <v>13638</v>
      </c>
      <c r="C10848" s="5" t="str">
        <f>IFERROR(__xludf.DUMMYFUNCTION("GOOGLETRANSLATE(B10848,""en"",""it"")"),"La seconda donna con i capelli gialli inizia a ballare due persone e una serie di donne danzanti sembra fare trucchi con un telavo Hoola mentre l'uomo li sta guardando, la donna con la giacca verde canta la canzone.")</f>
        <v>La seconda donna con i capelli gialli inizia a ballare due persone e una serie di donne danzanti sembra fare trucchi con un telavo Hoola mentre l'uomo li sta guardando, la donna con la giacca verde canta la canzone.</v>
      </c>
    </row>
    <row r="10849">
      <c r="A10849" s="4" t="s">
        <v>13633</v>
      </c>
      <c r="B10849" s="6" t="s">
        <v>13639</v>
      </c>
      <c r="C10849" s="5" t="str">
        <f>IFERROR(__xludf.DUMMYFUNCTION("GOOGLETRANSLATE(B10849,""en"",""it"")"),"Le donne appaiono in una stanza buia con brillanti cerchi Hoola che ballano e fanno trucchi, la donna con i capelli gialli continua a ballare da sola.")</f>
        <v>Le donne appaiono in una stanza buia con brillanti cerchi Hoola che ballano e fanno trucchi, la donna con i capelli gialli continua a ballare da sola.</v>
      </c>
    </row>
    <row r="10850">
      <c r="A10850" s="4" t="s">
        <v>13640</v>
      </c>
      <c r="B10850" s="4" t="s">
        <v>13641</v>
      </c>
      <c r="C10850" s="5" t="str">
        <f>IFERROR(__xludf.DUMMYFUNCTION("GOOGLETRANSLATE(B10850,""en"",""it"")"),"L'uomo con la camicia nera è in ginocchio e raggiunge la sua gamba posteriore.")</f>
        <v>L'uomo con la camicia nera è in ginocchio e raggiunge la sua gamba posteriore.</v>
      </c>
    </row>
    <row r="10851">
      <c r="A10851" s="4" t="s">
        <v>13640</v>
      </c>
      <c r="B10851" s="4" t="s">
        <v>13642</v>
      </c>
      <c r="C10851" s="5" t="str">
        <f>IFERROR(__xludf.DUMMYFUNCTION("GOOGLETRANSLATE(B10851,""en"",""it"")"),"L'uomo si mosse leggermente in avanti.")</f>
        <v>L'uomo si mosse leggermente in avanti.</v>
      </c>
    </row>
    <row r="10852">
      <c r="A10852" s="4" t="s">
        <v>13640</v>
      </c>
      <c r="B10852" s="4" t="s">
        <v>13643</v>
      </c>
      <c r="C10852" s="5" t="str">
        <f>IFERROR(__xludf.DUMMYFUNCTION("GOOGLETRANSLATE(B10852,""en"",""it"")"),"L'uomo si fermò in avanti mentre tiene la caviglia.")</f>
        <v>L'uomo si fermò in avanti mentre tiene la caviglia.</v>
      </c>
    </row>
    <row r="10853">
      <c r="A10853" s="4" t="s">
        <v>13644</v>
      </c>
      <c r="B10853" s="6" t="s">
        <v>13645</v>
      </c>
      <c r="C10853" s="5" t="str">
        <f>IFERROR(__xludf.DUMMYFUNCTION("GOOGLETRANSLATE(B10853,""en"",""it"")"),"Quest'uomo sta sci acqua e lo fa seduto e si alza, tranne per il fatto che si tiene sulle barre di manico all'indietro.")</f>
        <v>Quest'uomo sta sci acqua e lo fa seduto e si alza, tranne per il fatto che si tiene sulle barre di manico all'indietro.</v>
      </c>
    </row>
    <row r="10854">
      <c r="A10854" s="4" t="s">
        <v>13644</v>
      </c>
      <c r="B10854" s="6" t="s">
        <v>13646</v>
      </c>
      <c r="C10854" s="5" t="str">
        <f>IFERROR(__xludf.DUMMYFUNCTION("GOOGLETRANSLATE(B10854,""en"",""it"")"),"Mentre sta sciare, cerca di stare avanti come normalmente, ma fa volare quando cerca di voltarsi.")</f>
        <v>Mentre sta sciare, cerca di stare avanti come normalmente, ma fa volare quando cerca di voltarsi.</v>
      </c>
    </row>
    <row r="10855">
      <c r="A10855" s="4" t="s">
        <v>13647</v>
      </c>
      <c r="B10855" s="4" t="s">
        <v>13648</v>
      </c>
      <c r="C10855" s="5" t="str">
        <f>IFERROR(__xludf.DUMMYFUNCTION("GOOGLETRANSLATE(B10855,""en"",""it"")"),"Una persona sta spingendo la neve dal marciapiede.")</f>
        <v>Una persona sta spingendo la neve dal marciapiede.</v>
      </c>
    </row>
    <row r="10856">
      <c r="A10856" s="4" t="s">
        <v>13647</v>
      </c>
      <c r="B10856" s="4" t="s">
        <v>13649</v>
      </c>
      <c r="C10856" s="5" t="str">
        <f>IFERROR(__xludf.DUMMYFUNCTION("GOOGLETRANSLATE(B10856,""en"",""it"")"),"Un cane sta saltando sulla neve che sta gettando.")</f>
        <v>Un cane sta saltando sulla neve che sta gettando.</v>
      </c>
    </row>
    <row r="10857">
      <c r="A10857" s="4" t="s">
        <v>13647</v>
      </c>
      <c r="B10857" s="4" t="s">
        <v>13650</v>
      </c>
      <c r="C10857" s="5" t="str">
        <f>IFERROR(__xludf.DUMMYFUNCTION("GOOGLETRANSLATE(B10857,""en"",""it"")"),"Le parole arrivano sullo schermo.")</f>
        <v>Le parole arrivano sullo schermo.</v>
      </c>
    </row>
    <row r="10858">
      <c r="A10858" s="4" t="s">
        <v>13651</v>
      </c>
      <c r="B10858" s="4" t="s">
        <v>13652</v>
      </c>
      <c r="C10858" s="5" t="str">
        <f>IFERROR(__xludf.DUMMYFUNCTION("GOOGLETRANSLATE(B10858,""en"",""it"")"),"Un uomo viene visto agire pazzo verso una macchina fotografica mentre si trova a un tavolo da poker con un altro uomo.")</f>
        <v>Un uomo viene visto agire pazzo verso una macchina fotografica mentre si trova a un tavolo da poker con un altro uomo.</v>
      </c>
    </row>
    <row r="10859">
      <c r="A10859" s="4" t="s">
        <v>13651</v>
      </c>
      <c r="B10859" s="6" t="s">
        <v>13653</v>
      </c>
      <c r="C10859" s="5" t="str">
        <f>IFERROR(__xludf.DUMMYFUNCTION("GOOGLETRANSLATE(B10859,""en"",""it"")"),"Gli uomini sporgono le lingue alla telecamera e la telecamera si muove su un altro tavolo con persone che giocano.")</f>
        <v>Gli uomini sporgono le lingue alla telecamera e la telecamera si muove su un altro tavolo con persone che giocano.</v>
      </c>
    </row>
    <row r="10860">
      <c r="A10860" s="4" t="s">
        <v>13651</v>
      </c>
      <c r="B10860" s="4" t="s">
        <v>13654</v>
      </c>
      <c r="C10860" s="5" t="str">
        <f>IFERROR(__xludf.DUMMYFUNCTION("GOOGLETRANSLATE(B10860,""en"",""it"")"),"Alla fine affronta la telecamera verso se stesso.")</f>
        <v>Alla fine affronta la telecamera verso se stesso.</v>
      </c>
    </row>
    <row r="10861">
      <c r="A10861" s="4" t="s">
        <v>13655</v>
      </c>
      <c r="B10861" s="4" t="s">
        <v>13656</v>
      </c>
      <c r="C10861" s="5" t="str">
        <f>IFERROR(__xludf.DUMMYFUNCTION("GOOGLETRANSLATE(B10861,""en"",""it"")"),"Un adolescente tiene un violino e poi suona davanti ad altri adolescenti che parlano e ridono.")</f>
        <v>Un adolescente tiene un violino e poi suona davanti ad altri adolescenti che parlano e ridono.</v>
      </c>
    </row>
    <row r="10862">
      <c r="A10862" s="4" t="s">
        <v>13655</v>
      </c>
      <c r="B10862" s="4" t="s">
        <v>13657</v>
      </c>
      <c r="C10862" s="5" t="str">
        <f>IFERROR(__xludf.DUMMYFUNCTION("GOOGLETRANSLATE(B10862,""en"",""it"")"),"Gli adolescenti parlano e fanno commenti e una donna ridere.")</f>
        <v>Gli adolescenti parlano e fanno commenti e una donna ridere.</v>
      </c>
    </row>
    <row r="10863">
      <c r="A10863" s="4" t="s">
        <v>13655</v>
      </c>
      <c r="B10863" s="4" t="s">
        <v>13658</v>
      </c>
      <c r="C10863" s="5" t="str">
        <f>IFERROR(__xludf.DUMMYFUNCTION("GOOGLETRANSLATE(B10863,""en"",""it"")"),"Quindi le persone nella stanza applaude.")</f>
        <v>Quindi le persone nella stanza applaude.</v>
      </c>
    </row>
    <row r="10864">
      <c r="A10864" s="4" t="s">
        <v>13659</v>
      </c>
      <c r="B10864" s="6" t="s">
        <v>13660</v>
      </c>
      <c r="C10864" s="5" t="str">
        <f>IFERROR(__xludf.DUMMYFUNCTION("GOOGLETRANSLATE(B10864,""en"",""it"")"),"Due donne in cucina, una ragazza indossa un top nero e l'altra indossa un top beige.")</f>
        <v>Due donne in cucina, una ragazza indossa un top nero e l'altra indossa un top beige.</v>
      </c>
    </row>
    <row r="10865">
      <c r="A10865" s="4" t="s">
        <v>13659</v>
      </c>
      <c r="B10865" s="6" t="s">
        <v>13661</v>
      </c>
      <c r="C10865" s="5" t="str">
        <f>IFERROR(__xludf.DUMMYFUNCTION("GOOGLETRANSLATE(B10865,""en"",""it"")"),"La donna in beige mostrò un panino sul bancone della cucina, quindi iniziò a fare pipì il cetriolo verde usando un pelapatate, quindi inizia a tagliare il cetriolo.")</f>
        <v>La donna in beige mostrò un panino sul bancone della cucina, quindi iniziò a fare pipì il cetriolo verde usando un pelapatate, quindi inizia a tagliare il cetriolo.</v>
      </c>
    </row>
    <row r="10866">
      <c r="A10866" s="4" t="s">
        <v>13659</v>
      </c>
      <c r="B10866" s="6" t="s">
        <v>13662</v>
      </c>
      <c r="C10866" s="5" t="str">
        <f>IFERROR(__xludf.DUMMYFUNCTION("GOOGLETRANSLATE(B10866,""en"",""it"")"),"Quindi allargò il burro sul pane, mise il cetriolo a fette sul pane, cospargi un po 'di sale, taglia i bordi del pane, quindi lo fece tagliare nel triangolo, quindi posizionato sul piatto bianco, quindi entrambe le donne mangiavano il sandwich.")</f>
        <v>Quindi allargò il burro sul pane, mise il cetriolo a fette sul pane, cospargi un po 'di sale, taglia i bordi del pane, quindi lo fece tagliare nel triangolo, quindi posizionato sul piatto bianco, quindi entrambe le donne mangiavano il sandwich.</v>
      </c>
    </row>
    <row r="10867">
      <c r="A10867" s="4" t="s">
        <v>13663</v>
      </c>
      <c r="B10867" s="4" t="s">
        <v>13664</v>
      </c>
      <c r="C10867" s="5" t="str">
        <f>IFERROR(__xludf.DUMMYFUNCTION("GOOGLETRANSLATE(B10867,""en"",""it"")"),"Un bambino piccolo viene visto camminare in avanti con un bastone in mano e spingere un disco lungo una pista.")</f>
        <v>Un bambino piccolo viene visto camminare in avanti con un bastone in mano e spingere un disco lungo una pista.</v>
      </c>
    </row>
    <row r="10868">
      <c r="A10868" s="4" t="s">
        <v>13663</v>
      </c>
      <c r="B10868" s="4" t="s">
        <v>13665</v>
      </c>
      <c r="C10868" s="5" t="str">
        <f>IFERROR(__xludf.DUMMYFUNCTION("GOOGLETRANSLATE(B10868,""en"",""it"")"),"Torna indietro mentre un altro ragazzo colpisce il disco e diverse persone guardano a margine.")</f>
        <v>Torna indietro mentre un altro ragazzo colpisce il disco e diverse persone guardano a margine.</v>
      </c>
    </row>
    <row r="10869">
      <c r="A10869" s="4" t="s">
        <v>13663</v>
      </c>
      <c r="B10869" s="4" t="s">
        <v>13666</v>
      </c>
      <c r="C10869" s="5" t="str">
        <f>IFERROR(__xludf.DUMMYFUNCTION("GOOGLETRANSLATE(B10869,""en"",""it"")"),"Il ragazzo continua a tornare indietro e quarto.")</f>
        <v>Il ragazzo continua a tornare indietro e quarto.</v>
      </c>
    </row>
    <row r="10870">
      <c r="A10870" s="4" t="s">
        <v>13667</v>
      </c>
      <c r="B10870" s="6" t="s">
        <v>13668</v>
      </c>
      <c r="C10870" s="5" t="str">
        <f>IFERROR(__xludf.DUMMYFUNCTION("GOOGLETRANSLATE(B10870,""en"",""it"")"),"Viene visto un uomo che parla alla telecamera seguita da vari ingredienti disposti e che taglia le verdure.")</f>
        <v>Viene visto un uomo che parla alla telecamera seguita da vari ingredienti disposti e che taglia le verdure.</v>
      </c>
    </row>
    <row r="10871">
      <c r="A10871" s="4" t="s">
        <v>13667</v>
      </c>
      <c r="B10871" s="4" t="s">
        <v>13669</v>
      </c>
      <c r="C10871" s="5" t="str">
        <f>IFERROR(__xludf.DUMMYFUNCTION("GOOGLETRANSLATE(B10871,""en"",""it"")"),"L'uomo continua a tagliare e mescola gli ingredienti in una ciotola.")</f>
        <v>L'uomo continua a tagliare e mescola gli ingredienti in una ciotola.</v>
      </c>
    </row>
    <row r="10872">
      <c r="A10872" s="4" t="s">
        <v>13667</v>
      </c>
      <c r="B10872" s="4" t="s">
        <v>13670</v>
      </c>
      <c r="C10872" s="5" t="str">
        <f>IFERROR(__xludf.DUMMYFUNCTION("GOOGLETRANSLATE(B10872,""en"",""it"")"),"Versa liquido nella ciotola e termina presentandolo su un piatto.")</f>
        <v>Versa liquido nella ciotola e termina presentandolo su un piatto.</v>
      </c>
    </row>
    <row r="10873">
      <c r="A10873" s="4" t="s">
        <v>13671</v>
      </c>
      <c r="B10873" s="4" t="s">
        <v>13672</v>
      </c>
      <c r="C10873" s="5" t="str">
        <f>IFERROR(__xludf.DUMMYFUNCTION("GOOGLETRANSLATE(B10873,""en"",""it"")"),"Viene mostrato un video del balletto del lago Swan.")</f>
        <v>Viene mostrato un video del balletto del lago Swan.</v>
      </c>
    </row>
    <row r="10874">
      <c r="A10874" s="4" t="s">
        <v>13671</v>
      </c>
      <c r="B10874" s="4" t="s">
        <v>13673</v>
      </c>
      <c r="C10874" s="5" t="str">
        <f>IFERROR(__xludf.DUMMYFUNCTION("GOOGLETRANSLATE(B10874,""en"",""it"")"),"Eseguono l'atto e intervistano parte del cast.")</f>
        <v>Eseguono l'atto e intervistano parte del cast.</v>
      </c>
    </row>
    <row r="10875">
      <c r="A10875" s="4" t="s">
        <v>13674</v>
      </c>
      <c r="B10875" s="6" t="s">
        <v>13675</v>
      </c>
      <c r="C10875" s="5" t="str">
        <f>IFERROR(__xludf.DUMMYFUNCTION("GOOGLETRANSLATE(B10875,""en"",""it"")"),"Il video conduce in diversi colpi di cani che camminano e conduce in una donna che accarezza una pelliccia di cani.")</f>
        <v>Il video conduce in diversi colpi di cani che camminano e conduce in una donna che accarezza una pelliccia di cani.</v>
      </c>
    </row>
    <row r="10876">
      <c r="A10876" s="4" t="s">
        <v>13674</v>
      </c>
      <c r="B10876" s="4" t="s">
        <v>13676</v>
      </c>
      <c r="C10876" s="5" t="str">
        <f>IFERROR(__xludf.DUMMYFUNCTION("GOOGLETRANSLATE(B10876,""en"",""it"")"),"La donna continua a spazzolare e mostra clip del cane che corre lungo un parco.")</f>
        <v>La donna continua a spazzolare e mostra clip del cane che corre lungo un parco.</v>
      </c>
    </row>
    <row r="10877">
      <c r="A10877" s="4" t="s">
        <v>13677</v>
      </c>
      <c r="B10877" s="4" t="s">
        <v>13678</v>
      </c>
      <c r="C10877" s="5" t="str">
        <f>IFERROR(__xludf.DUMMYFUNCTION("GOOGLETRANSLATE(B10877,""en"",""it"")"),"Due uomini adulti nei caschi insegnano ai ragazzini come giocare a hockey su ghiaccio.")</f>
        <v>Due uomini adulti nei caschi insegnano ai ragazzini come giocare a hockey su ghiaccio.</v>
      </c>
    </row>
    <row r="10878">
      <c r="A10878" s="4" t="s">
        <v>13677</v>
      </c>
      <c r="B10878" s="4" t="s">
        <v>13679</v>
      </c>
      <c r="C10878" s="5" t="str">
        <f>IFERROR(__xludf.DUMMYFUNCTION("GOOGLETRANSLATE(B10878,""en"",""it"")"),"I ragazzi si radunano in cerchio, colpendo i loro bastoncini a terra.")</f>
        <v>I ragazzi si radunano in cerchio, colpendo i loro bastoncini a terra.</v>
      </c>
    </row>
    <row r="10879">
      <c r="A10879" s="4" t="s">
        <v>13677</v>
      </c>
      <c r="B10879" s="4" t="s">
        <v>13680</v>
      </c>
      <c r="C10879" s="5" t="str">
        <f>IFERROR(__xludf.DUMMYFUNCTION("GOOGLETRANSLATE(B10879,""en"",""it"")"),"Quindi esultano e pattinano via.")</f>
        <v>Quindi esultano e pattinano via.</v>
      </c>
    </row>
    <row r="10880">
      <c r="A10880" s="4" t="s">
        <v>13681</v>
      </c>
      <c r="B10880" s="4" t="s">
        <v>13682</v>
      </c>
      <c r="C10880" s="5" t="str">
        <f>IFERROR(__xludf.DUMMYFUNCTION("GOOGLETRANSLATE(B10880,""en"",""it"")"),"Una donna in abito bianco inizia un tosaerba.")</f>
        <v>Una donna in abito bianco inizia un tosaerba.</v>
      </c>
    </row>
    <row r="10881">
      <c r="A10881" s="4" t="s">
        <v>13681</v>
      </c>
      <c r="B10881" s="4" t="s">
        <v>13683</v>
      </c>
      <c r="C10881" s="5" t="str">
        <f>IFERROR(__xludf.DUMMYFUNCTION("GOOGLETRANSLATE(B10881,""en"",""it"")"),"Comincia a falciare il prato.")</f>
        <v>Comincia a falciare il prato.</v>
      </c>
    </row>
    <row r="10882">
      <c r="A10882" s="4" t="s">
        <v>13681</v>
      </c>
      <c r="B10882" s="4" t="s">
        <v>13684</v>
      </c>
      <c r="C10882" s="5" t="str">
        <f>IFERROR(__xludf.DUMMYFUNCTION("GOOGLETRANSLATE(B10882,""en"",""it"")"),"Si gira e risale all'altra parte.")</f>
        <v>Si gira e risale all'altra parte.</v>
      </c>
    </row>
    <row r="10883">
      <c r="A10883" s="4" t="s">
        <v>13685</v>
      </c>
      <c r="B10883" s="4" t="s">
        <v>13686</v>
      </c>
      <c r="C10883" s="5" t="str">
        <f>IFERROR(__xludf.DUMMYFUNCTION("GOOGLETRANSLATE(B10883,""en"",""it"")"),"Un uomo viene visto in piedi su un campo e inizia a oscillare un oggetto intorno e intorno.")</f>
        <v>Un uomo viene visto in piedi su un campo e inizia a oscillare un oggetto intorno e intorno.</v>
      </c>
    </row>
    <row r="10884">
      <c r="A10884" s="4" t="s">
        <v>13685</v>
      </c>
      <c r="B10884" s="4" t="s">
        <v>13687</v>
      </c>
      <c r="C10884" s="5" t="str">
        <f>IFERROR(__xludf.DUMMYFUNCTION("GOOGLETRANSLATE(B10884,""en"",""it"")"),"Continua a oscillare e finisce in piedi sul campo.")</f>
        <v>Continua a oscillare e finisce in piedi sul campo.</v>
      </c>
    </row>
    <row r="10885">
      <c r="A10885" s="4" t="s">
        <v>13688</v>
      </c>
      <c r="B10885" s="4" t="s">
        <v>13689</v>
      </c>
      <c r="C10885" s="5" t="str">
        <f>IFERROR(__xludf.DUMMYFUNCTION("GOOGLETRANSLATE(B10885,""en"",""it"")"),"Un cartello dice Superfresco facile sullo schermo.")</f>
        <v>Un cartello dice Superfresco facile sullo schermo.</v>
      </c>
    </row>
    <row r="10886">
      <c r="A10886" s="4" t="s">
        <v>13688</v>
      </c>
      <c r="B10886" s="4" t="s">
        <v>13690</v>
      </c>
      <c r="C10886" s="5" t="str">
        <f>IFERROR(__xludf.DUMMYFUNCTION("GOOGLETRANSLATE(B10886,""en"",""it"")"),"Viene mostrato un uomo dipingendo un muro con vernice grigia.")</f>
        <v>Viene mostrato un uomo dipingendo un muro con vernice grigia.</v>
      </c>
    </row>
    <row r="10887">
      <c r="A10887" s="4" t="s">
        <v>13688</v>
      </c>
      <c r="B10887" s="4" t="s">
        <v>13691</v>
      </c>
      <c r="C10887" s="5" t="str">
        <f>IFERROR(__xludf.DUMMYFUNCTION("GOOGLETRANSLATE(B10887,""en"",""it"")"),"Usa ampie spazzate per coprire completamente il muro.")</f>
        <v>Usa ampie spazzate per coprire completamente il muro.</v>
      </c>
    </row>
    <row r="10888">
      <c r="A10888" s="4" t="s">
        <v>13692</v>
      </c>
      <c r="B10888" s="4" t="s">
        <v>13693</v>
      </c>
      <c r="C10888" s="5" t="str">
        <f>IFERROR(__xludf.DUMMYFUNCTION("GOOGLETRANSLATE(B10888,""en"",""it"")"),"Diverse viste sono viste dall'interno di uno stadio.")</f>
        <v>Diverse viste sono viste dall'interno di uno stadio.</v>
      </c>
    </row>
    <row r="10889">
      <c r="A10889" s="4" t="s">
        <v>13692</v>
      </c>
      <c r="B10889" s="4" t="s">
        <v>13694</v>
      </c>
      <c r="C10889" s="5" t="str">
        <f>IFERROR(__xludf.DUMMYFUNCTION("GOOGLETRANSLATE(B10889,""en"",""it"")"),"Un gruppo di squadre cammina sul campo, incoraggiando.")</f>
        <v>Un gruppo di squadre cammina sul campo, incoraggiando.</v>
      </c>
    </row>
    <row r="10890">
      <c r="A10890" s="4" t="s">
        <v>13692</v>
      </c>
      <c r="B10890" s="4" t="s">
        <v>13695</v>
      </c>
      <c r="C10890" s="5" t="str">
        <f>IFERROR(__xludf.DUMMYFUNCTION("GOOGLETRANSLATE(B10890,""en"",""it"")"),"La folla applaude mentre le squadre fanno obiettivi durante la partita.")</f>
        <v>La folla applaude mentre le squadre fanno obiettivi durante la partita.</v>
      </c>
    </row>
    <row r="10891">
      <c r="A10891" s="4" t="s">
        <v>13696</v>
      </c>
      <c r="B10891" s="4" t="s">
        <v>13697</v>
      </c>
      <c r="C10891" s="5" t="str">
        <f>IFERROR(__xludf.DUMMYFUNCTION("GOOGLETRANSLATE(B10891,""en"",""it"")"),"Un uomo in abbigliamento da surf è presente con il suo nome e le sue dimensioni della sua tavola.")</f>
        <v>Un uomo in abbigliamento da surf è presente con il suo nome e le sue dimensioni della sua tavola.</v>
      </c>
    </row>
    <row r="10892">
      <c r="A10892" s="4" t="s">
        <v>13696</v>
      </c>
      <c r="B10892" s="4" t="s">
        <v>13698</v>
      </c>
      <c r="C10892" s="5" t="str">
        <f>IFERROR(__xludf.DUMMYFUNCTION("GOOGLETRANSLATE(B10892,""en"",""it"")"),"Il video taglia la spiaggia e l'uomo inizia a navigare.")</f>
        <v>Il video taglia la spiaggia e l'uomo inizia a navigare.</v>
      </c>
    </row>
    <row r="10893">
      <c r="A10893" s="4" t="s">
        <v>13696</v>
      </c>
      <c r="B10893" s="4" t="s">
        <v>13699</v>
      </c>
      <c r="C10893" s="5" t="str">
        <f>IFERROR(__xludf.DUMMYFUNCTION("GOOGLETRANSLATE(B10893,""en"",""it"")"),"Cattura le onde ma si asciuga presto la maggior parte di esse.")</f>
        <v>Cattura le onde ma si asciuga presto la maggior parte di esse.</v>
      </c>
    </row>
    <row r="10894">
      <c r="A10894" s="4" t="s">
        <v>13696</v>
      </c>
      <c r="B10894" s="4" t="s">
        <v>13700</v>
      </c>
      <c r="C10894" s="5" t="str">
        <f>IFERROR(__xludf.DUMMYFUNCTION("GOOGLETRANSLATE(B10894,""en"",""it"")"),"Un uccello sembra immergersi nell'oceano.")</f>
        <v>Un uccello sembra immergersi nell'oceano.</v>
      </c>
    </row>
    <row r="10895">
      <c r="A10895" s="4" t="s">
        <v>13696</v>
      </c>
      <c r="B10895" s="4" t="s">
        <v>13701</v>
      </c>
      <c r="C10895" s="5" t="str">
        <f>IFERROR(__xludf.DUMMYFUNCTION("GOOGLETRANSLATE(B10895,""en"",""it"")"),"Altri surfisti appaiono più fuori.")</f>
        <v>Altri surfisti appaiono più fuori.</v>
      </c>
    </row>
    <row r="10896">
      <c r="A10896" s="4" t="s">
        <v>13702</v>
      </c>
      <c r="B10896" s="4" t="s">
        <v>13703</v>
      </c>
      <c r="C10896" s="5" t="str">
        <f>IFERROR(__xludf.DUMMYFUNCTION("GOOGLETRANSLATE(B10896,""en"",""it"")"),"Una donna entra in cucina e gira le manopole sul forno.")</f>
        <v>Una donna entra in cucina e gira le manopole sul forno.</v>
      </c>
    </row>
    <row r="10897">
      <c r="A10897" s="4" t="s">
        <v>13702</v>
      </c>
      <c r="B10897" s="6" t="s">
        <v>13704</v>
      </c>
      <c r="C10897" s="5" t="str">
        <f>IFERROR(__xludf.DUMMYFUNCTION("GOOGLETRANSLATE(B10897,""en"",""it"")"),"Un frullatore viene quindi messo sul bancone e la leva viene tirata giù seguita da una bustina di tè posizionata in una tazza.")</f>
        <v>Un frullatore viene quindi messo sul bancone e la leva viene tirata giù seguita da una bustina di tè posizionata in una tazza.</v>
      </c>
    </row>
    <row r="10898">
      <c r="A10898" s="4" t="s">
        <v>13702</v>
      </c>
      <c r="B10898" s="4" t="s">
        <v>13705</v>
      </c>
      <c r="C10898" s="5" t="str">
        <f>IFERROR(__xludf.DUMMYFUNCTION("GOOGLETRANSLATE(B10898,""en"",""it"")"),"La signora si sposta quindi su un bancone e aggiunge un pezzo di carta da forno su due grandi rack.")</f>
        <v>La signora si sposta quindi su un bancone e aggiunge un pezzo di carta da forno su due grandi rack.</v>
      </c>
    </row>
    <row r="10899">
      <c r="A10899" s="4" t="s">
        <v>13702</v>
      </c>
      <c r="B10899" s="4" t="s">
        <v>13706</v>
      </c>
      <c r="C10899" s="5" t="str">
        <f>IFERROR(__xludf.DUMMYFUNCTION("GOOGLETRANSLATE(B10899,""en"",""it"")"),"Quindi afferra l'acqua calda bollente e la versa nella tazza.")</f>
        <v>Quindi afferra l'acqua calda bollente e la versa nella tazza.</v>
      </c>
    </row>
    <row r="10900">
      <c r="A10900" s="4" t="s">
        <v>13702</v>
      </c>
      <c r="B10900" s="4" t="s">
        <v>13707</v>
      </c>
      <c r="C10900" s="5" t="str">
        <f>IFERROR(__xludf.DUMMYFUNCTION("GOOGLETRANSLATE(B10900,""en"",""it"")"),"Ritorna al bancone e inizia a posizionare rotoli di pasta per biscotti sugli scaffali.")</f>
        <v>Ritorna al bancone e inizia a posizionare rotoli di pasta per biscotti sugli scaffali.</v>
      </c>
    </row>
    <row r="10901">
      <c r="A10901" s="4" t="s">
        <v>13702</v>
      </c>
      <c r="B10901" s="6" t="s">
        <v>13708</v>
      </c>
      <c r="C10901" s="5" t="str">
        <f>IFERROR(__xludf.DUMMYFUNCTION("GOOGLETRANSLATE(B10901,""en"",""it"")"),"È finalmente il momento che i biscotti siano messi nel forno e lei mette il timer sul suo telefono in modo che non li bruci.")</f>
        <v>È finalmente il momento che i biscotti siano messi nel forno e lei mette il timer sul suo telefono in modo che non li bruci.</v>
      </c>
    </row>
    <row r="10902">
      <c r="A10902" s="4" t="s">
        <v>13702</v>
      </c>
      <c r="B10902" s="6" t="s">
        <v>13709</v>
      </c>
      <c r="C10902" s="5" t="str">
        <f>IFERROR(__xludf.DUMMYFUNCTION("GOOGLETRANSLATE(B10902,""en"",""it"")"),"Dopo che il tempo è scaduto, li toglie dal forno ne aggiunge uno su un piatto e lo porta in una ragazza in fondo al corridoio.")</f>
        <v>Dopo che il tempo è scaduto, li toglie dal forno ne aggiunge uno su un piatto e lo porta in una ragazza in fondo al corridoio.</v>
      </c>
    </row>
    <row r="10903">
      <c r="A10903" s="4" t="s">
        <v>13710</v>
      </c>
      <c r="B10903" s="4" t="s">
        <v>13711</v>
      </c>
      <c r="C10903" s="5" t="str">
        <f>IFERROR(__xludf.DUMMYFUNCTION("GOOGLETRANSLATE(B10903,""en"",""it"")"),"Un uomo parla alla telecamera.")</f>
        <v>Un uomo parla alla telecamera.</v>
      </c>
    </row>
    <row r="10904">
      <c r="A10904" s="4" t="s">
        <v>13710</v>
      </c>
      <c r="B10904" s="4" t="s">
        <v>13712</v>
      </c>
      <c r="C10904" s="5" t="str">
        <f>IFERROR(__xludf.DUMMYFUNCTION("GOOGLETRANSLATE(B10904,""en"",""it"")"),"Rotola una grande scatola nella stanza e procede ad aprire una scatola in cui si trova una bicicletta all'interno.")</f>
        <v>Rotola una grande scatola nella stanza e procede ad aprire una scatola in cui si trova una bicicletta all'interno.</v>
      </c>
    </row>
    <row r="10905">
      <c r="A10905" s="4" t="s">
        <v>13710</v>
      </c>
      <c r="B10905" s="6" t="s">
        <v>13713</v>
      </c>
      <c r="C10905" s="5" t="str">
        <f>IFERROR(__xludf.DUMMYFUNCTION("GOOGLETRANSLATE(B10905,""en"",""it"")"),"Dall'interno della scatola, tira fuori una piccola scatola piena di strumenti per l'uso dell'assemblaggio della bicicletta.")</f>
        <v>Dall'interno della scatola, tira fuori una piccola scatola piena di strumenti per l'uso dell'assemblaggio della bicicletta.</v>
      </c>
    </row>
    <row r="10906">
      <c r="A10906" s="4" t="s">
        <v>13710</v>
      </c>
      <c r="B10906" s="4" t="s">
        <v>13714</v>
      </c>
      <c r="C10906" s="5" t="str">
        <f>IFERROR(__xludf.DUMMYFUNCTION("GOOGLETRANSLATE(B10906,""en"",""it"")"),"Ha visto di nuovo parlare con la telecamera.")</f>
        <v>Ha visto di nuovo parlare con la telecamera.</v>
      </c>
    </row>
    <row r="10907">
      <c r="A10907" s="4" t="s">
        <v>13710</v>
      </c>
      <c r="B10907" s="4" t="s">
        <v>13715</v>
      </c>
      <c r="C10907" s="5" t="str">
        <f>IFERROR(__xludf.DUMMYFUNCTION("GOOGLETRANSLATE(B10907,""en"",""it"")"),"Rimuove tutte le scatole sedute intorno alla bicicletta e assembla la bici.")</f>
        <v>Rimuove tutte le scatole sedute intorno alla bicicletta e assembla la bici.</v>
      </c>
    </row>
    <row r="10908">
      <c r="A10908" s="4" t="s">
        <v>13710</v>
      </c>
      <c r="B10908" s="4" t="s">
        <v>13716</v>
      </c>
      <c r="C10908" s="5" t="str">
        <f>IFERROR(__xludf.DUMMYFUNCTION("GOOGLETRANSLATE(B10908,""en"",""it"")"),"Ancora una volta, parla alla telecamera.")</f>
        <v>Ancora una volta, parla alla telecamera.</v>
      </c>
    </row>
    <row r="10909">
      <c r="A10909" s="4" t="s">
        <v>13710</v>
      </c>
      <c r="B10909" s="4" t="s">
        <v>13717</v>
      </c>
      <c r="C10909" s="5" t="str">
        <f>IFERROR(__xludf.DUMMYFUNCTION("GOOGLETRANSLATE(B10909,""en"",""it"")"),"Rimuove due pedali dalle borse e attacca entrambi i pedali sulla bicicletta.")</f>
        <v>Rimuove due pedali dalle borse e attacca entrambi i pedali sulla bicicletta.</v>
      </c>
    </row>
    <row r="10910">
      <c r="A10910" s="4" t="s">
        <v>13710</v>
      </c>
      <c r="B10910" s="4" t="s">
        <v>13718</v>
      </c>
      <c r="C10910" s="5" t="str">
        <f>IFERROR(__xludf.DUMMYFUNCTION("GOOGLETRANSLATE(B10910,""en"",""it"")"),"Prende la bicicletta per un giro.")</f>
        <v>Prende la bicicletta per un giro.</v>
      </c>
    </row>
    <row r="10911">
      <c r="A10911" s="4" t="s">
        <v>13710</v>
      </c>
      <c r="B10911" s="4" t="s">
        <v>13719</v>
      </c>
      <c r="C10911" s="5" t="str">
        <f>IFERROR(__xludf.DUMMYFUNCTION("GOOGLETRANSLATE(B10911,""en"",""it"")"),"In breve, parla alla telecamera.")</f>
        <v>In breve, parla alla telecamera.</v>
      </c>
    </row>
    <row r="10912">
      <c r="A10912" s="4" t="s">
        <v>13720</v>
      </c>
      <c r="B10912" s="4" t="s">
        <v>13721</v>
      </c>
      <c r="C10912" s="5" t="str">
        <f>IFERROR(__xludf.DUMMYFUNCTION("GOOGLETRANSLATE(B10912,""en"",""it"")"),"Vediamo due persone che giocano a palla.")</f>
        <v>Vediamo due persone che giocano a palla.</v>
      </c>
    </row>
    <row r="10913">
      <c r="A10913" s="4" t="s">
        <v>13720</v>
      </c>
      <c r="B10913" s="4" t="s">
        <v>13722</v>
      </c>
      <c r="C10913" s="5" t="str">
        <f>IFERROR(__xludf.DUMMYFUNCTION("GOOGLETRANSLATE(B10913,""en"",""it"")"),"Un uomo con una camicia nera lascia la stanza e si gira prima di partire.")</f>
        <v>Un uomo con una camicia nera lascia la stanza e si gira prima di partire.</v>
      </c>
    </row>
    <row r="10914">
      <c r="A10914" s="4" t="s">
        <v>13720</v>
      </c>
      <c r="B10914" s="4" t="s">
        <v>13723</v>
      </c>
      <c r="C10914" s="5" t="str">
        <f>IFERROR(__xludf.DUMMYFUNCTION("GOOGLETRANSLATE(B10914,""en"",""it"")"),"Un uomo mette il viso davanti alla telecamera.")</f>
        <v>Un uomo mette il viso davanti alla telecamera.</v>
      </c>
    </row>
    <row r="10915">
      <c r="A10915" s="4" t="s">
        <v>13724</v>
      </c>
      <c r="B10915" s="4" t="s">
        <v>13725</v>
      </c>
      <c r="C10915" s="5" t="str">
        <f>IFERROR(__xludf.DUMMYFUNCTION("GOOGLETRANSLATE(B10915,""en"",""it"")"),"Un uomo sta mostrando un ragazzo che cerca di risolvere un cubo Rubix.")</f>
        <v>Un uomo sta mostrando un ragazzo che cerca di risolvere un cubo Rubix.</v>
      </c>
    </row>
    <row r="10916">
      <c r="A10916" s="4" t="s">
        <v>13724</v>
      </c>
      <c r="B10916" s="4" t="s">
        <v>13726</v>
      </c>
      <c r="C10916" s="5" t="str">
        <f>IFERROR(__xludf.DUMMYFUNCTION("GOOGLETRANSLATE(B10916,""en"",""it"")"),"Anche un timer sta andando a fare il ragazzo e anche altre persone intorno a lui.")</f>
        <v>Anche un timer sta andando a fare il ragazzo e anche altre persone intorno a lui.</v>
      </c>
    </row>
    <row r="10917">
      <c r="A10917" s="4" t="s">
        <v>13724</v>
      </c>
      <c r="B10917" s="4" t="s">
        <v>13727</v>
      </c>
      <c r="C10917" s="5" t="str">
        <f>IFERROR(__xludf.DUMMYFUNCTION("GOOGLETRANSLATE(B10917,""en"",""it"")"),"Sullers vanno da un tavolo all'altro all'altro.")</f>
        <v>Sullers vanno da un tavolo all'altro all'altro.</v>
      </c>
    </row>
    <row r="10918">
      <c r="A10918" s="4" t="s">
        <v>13724</v>
      </c>
      <c r="B10918" s="4" t="s">
        <v>13728</v>
      </c>
      <c r="C10918" s="5" t="str">
        <f>IFERROR(__xludf.DUMMYFUNCTION("GOOGLETRANSLATE(B10918,""en"",""it"")"),"Un ragazzo afferra una penna e l'uomo risolve il puzzle.")</f>
        <v>Un ragazzo afferra una penna e l'uomo risolve il puzzle.</v>
      </c>
    </row>
    <row r="10919">
      <c r="A10919" s="4" t="s">
        <v>13729</v>
      </c>
      <c r="B10919" s="4" t="s">
        <v>13730</v>
      </c>
      <c r="C10919" s="5" t="str">
        <f>IFERROR(__xludf.DUMMYFUNCTION("GOOGLETRANSLATE(B10919,""en"",""it"")"),"Un uomo in uniforme bianca è in piedi al bancone della cucina.")</f>
        <v>Un uomo in uniforme bianca è in piedi al bancone della cucina.</v>
      </c>
    </row>
    <row r="10920">
      <c r="A10920" s="4" t="s">
        <v>13729</v>
      </c>
      <c r="B10920" s="4" t="s">
        <v>13731</v>
      </c>
      <c r="C10920" s="5" t="str">
        <f>IFERROR(__xludf.DUMMYFUNCTION("GOOGLETRANSLATE(B10920,""en"",""it"")"),"L'uomo tira fuori un coltello e un affiliatore, toccò il bordo del coltello.")</f>
        <v>L'uomo tira fuori un coltello e un affiliatore, toccò il bordo del coltello.</v>
      </c>
    </row>
    <row r="10921">
      <c r="A10921" s="4" t="s">
        <v>13729</v>
      </c>
      <c r="B10921" s="4" t="s">
        <v>13732</v>
      </c>
      <c r="C10921" s="5" t="str">
        <f>IFERROR(__xludf.DUMMYFUNCTION("GOOGLETRANSLATE(B10921,""en"",""it"")"),"L'uomo tiene la temperama del coltello di metallo e affila lentamente il coltello da un lato all'altro.")</f>
        <v>L'uomo tiene la temperama del coltello di metallo e affila lentamente il coltello da un lato all'altro.</v>
      </c>
    </row>
    <row r="10922">
      <c r="A10922" s="4" t="s">
        <v>13729</v>
      </c>
      <c r="B10922" s="4" t="s">
        <v>13733</v>
      </c>
      <c r="C10922" s="5" t="str">
        <f>IFERROR(__xludf.DUMMYFUNCTION("GOOGLETRANSLATE(B10922,""en"",""it"")"),"L'uomo usa diversi tipi di strumenti per affinare il coltello come macchina e pietra d'acqua.")</f>
        <v>L'uomo usa diversi tipi di strumenti per affinare il coltello come macchina e pietra d'acqua.</v>
      </c>
    </row>
    <row r="10923">
      <c r="A10923" s="4" t="s">
        <v>13734</v>
      </c>
      <c r="B10923" s="4" t="s">
        <v>13735</v>
      </c>
      <c r="C10923" s="5" t="str">
        <f>IFERROR(__xludf.DUMMYFUNCTION("GOOGLETRANSLATE(B10923,""en"",""it"")"),"Un uomo lascia cadere una racchetta da tennis con la palla, quindi colpisce la palla.")</f>
        <v>Un uomo lascia cadere una racchetta da tennis con la palla, quindi colpisce la palla.</v>
      </c>
    </row>
    <row r="10924">
      <c r="A10924" s="4" t="s">
        <v>13734</v>
      </c>
      <c r="B10924" s="4" t="s">
        <v>13736</v>
      </c>
      <c r="C10924" s="5" t="str">
        <f>IFERROR(__xludf.DUMMYFUNCTION("GOOGLETRANSLATE(B10924,""en"",""it"")"),"Un'altra persona fa lo stesso trucco e poi mostra che viene dalla Serbia.")</f>
        <v>Un'altra persona fa lo stesso trucco e poi mostra che viene dalla Serbia.</v>
      </c>
    </row>
    <row r="10925">
      <c r="A10925" s="4" t="s">
        <v>13737</v>
      </c>
      <c r="B10925" s="4" t="s">
        <v>13738</v>
      </c>
      <c r="C10925" s="5" t="str">
        <f>IFERROR(__xludf.DUMMYFUNCTION("GOOGLETRANSLATE(B10925,""en"",""it"")"),"Un uomo sta giocando con un cane sull'erba.")</f>
        <v>Un uomo sta giocando con un cane sull'erba.</v>
      </c>
    </row>
    <row r="10926">
      <c r="A10926" s="4" t="s">
        <v>13737</v>
      </c>
      <c r="B10926" s="4" t="s">
        <v>13739</v>
      </c>
      <c r="C10926" s="5" t="str">
        <f>IFERROR(__xludf.DUMMYFUNCTION("GOOGLETRANSLATE(B10926,""en"",""it"")"),"Quindi gira e lancia un frisbee.")</f>
        <v>Quindi gira e lancia un frisbee.</v>
      </c>
    </row>
    <row r="10927">
      <c r="A10927" s="4" t="s">
        <v>13737</v>
      </c>
      <c r="B10927" s="4" t="s">
        <v>13740</v>
      </c>
      <c r="C10927" s="5" t="str">
        <f>IFERROR(__xludf.DUMMYFUNCTION("GOOGLETRANSLATE(B10927,""en"",""it"")"),"Il cane corre da un lato all'altro e lo insegue.")</f>
        <v>Il cane corre da un lato all'altro e lo insegue.</v>
      </c>
    </row>
    <row r="10928">
      <c r="A10928" s="4" t="s">
        <v>13737</v>
      </c>
      <c r="B10928" s="4" t="s">
        <v>13741</v>
      </c>
      <c r="C10928" s="5" t="str">
        <f>IFERROR(__xludf.DUMMYFUNCTION("GOOGLETRANSLATE(B10928,""en"",""it"")"),"Afferra altri due frisbee e li lancia mentre il cane salta.")</f>
        <v>Afferra altri due frisbee e li lancia mentre il cane salta.</v>
      </c>
    </row>
    <row r="10929">
      <c r="A10929" s="4" t="s">
        <v>13737</v>
      </c>
      <c r="B10929" s="4" t="s">
        <v>13742</v>
      </c>
      <c r="C10929" s="5" t="str">
        <f>IFERROR(__xludf.DUMMYFUNCTION("GOOGLETRANSLATE(B10929,""en"",""it"")"),"Lancia un po 'di più al Frisbee mentre il cane corre.")</f>
        <v>Lancia un po 'di più al Frisbee mentre il cane corre.</v>
      </c>
    </row>
    <row r="10930">
      <c r="A10930" s="4" t="s">
        <v>13737</v>
      </c>
      <c r="B10930" s="4" t="s">
        <v>13743</v>
      </c>
      <c r="C10930" s="5" t="str">
        <f>IFERROR(__xludf.DUMMYFUNCTION("GOOGLETRANSLATE(B10930,""en"",""it"")"),"Il cane continua a saltare da un lato all'altro e corre in tutte le direzioni mentre vengono lanciati.")</f>
        <v>Il cane continua a saltare da un lato all'altro e corre in tutte le direzioni mentre vengono lanciati.</v>
      </c>
    </row>
    <row r="10931">
      <c r="A10931" s="4" t="s">
        <v>13744</v>
      </c>
      <c r="B10931" s="4" t="s">
        <v>13745</v>
      </c>
      <c r="C10931" s="5" t="str">
        <f>IFERROR(__xludf.DUMMYFUNCTION("GOOGLETRANSLATE(B10931,""en"",""it"")"),"Un uomo e una donna sorseggiano un liquido blu e sciacquano la bocca.")</f>
        <v>Un uomo e una donna sorseggiano un liquido blu e sciacquano la bocca.</v>
      </c>
    </row>
    <row r="10932">
      <c r="A10932" s="4" t="s">
        <v>13744</v>
      </c>
      <c r="B10932" s="4" t="s">
        <v>13746</v>
      </c>
      <c r="C10932" s="5" t="str">
        <f>IFERROR(__xludf.DUMMYFUNCTION("GOOGLETRANSLATE(B10932,""en"",""it"")"),"Quindi, la donna si piega e getta il liquido mentre l'uomo continua a sciacquarsi la bocca.")</f>
        <v>Quindi, la donna si piega e getta il liquido mentre l'uomo continua a sciacquarsi la bocca.</v>
      </c>
    </row>
    <row r="10933">
      <c r="A10933" s="4" t="s">
        <v>13747</v>
      </c>
      <c r="B10933" s="4" t="s">
        <v>13748</v>
      </c>
      <c r="C10933" s="5" t="str">
        <f>IFERROR(__xludf.DUMMYFUNCTION("GOOGLETRANSLATE(B10933,""en"",""it"")"),"Una donna viene mostrata parlare con la telecamera e conduce al suo inizio a dipingere una foto.")</f>
        <v>Una donna viene mostrata parlare con la telecamera e conduce al suo inizio a dipingere una foto.</v>
      </c>
    </row>
    <row r="10934">
      <c r="A10934" s="4" t="s">
        <v>13747</v>
      </c>
      <c r="B10934" s="6" t="s">
        <v>13749</v>
      </c>
      <c r="C10934" s="5" t="str">
        <f>IFERROR(__xludf.DUMMYFUNCTION("GOOGLETRANSLATE(B10934,""en"",""it"")"),"Sposta il pennello indietro e quarto sulla tela e mette in vari colori e turbini intorno ai lati.")</f>
        <v>Sposta il pennello indietro e quarto sulla tela e mette in vari colori e turbini intorno ai lati.</v>
      </c>
    </row>
    <row r="10935">
      <c r="A10935" s="4" t="s">
        <v>13750</v>
      </c>
      <c r="B10935" s="4" t="s">
        <v>13751</v>
      </c>
      <c r="C10935" s="5" t="str">
        <f>IFERROR(__xludf.DUMMYFUNCTION("GOOGLETRANSLATE(B10935,""en"",""it"")"),"Una persona è vista in piedi su un campo da tennis che rimbalza una palla.")</f>
        <v>Una persona è vista in piedi su un campo da tennis che rimbalza una palla.</v>
      </c>
    </row>
    <row r="10936">
      <c r="A10936" s="4" t="s">
        <v>13750</v>
      </c>
      <c r="B10936" s="4" t="s">
        <v>13752</v>
      </c>
      <c r="C10936" s="5" t="str">
        <f>IFERROR(__xludf.DUMMYFUNCTION("GOOGLETRANSLATE(B10936,""en"",""it"")"),"Un altro uomo è visto in piedi dall'altra parte di fronte a un vasto pubblico.")</f>
        <v>Un altro uomo è visto in piedi dall'altra parte di fronte a un vasto pubblico.</v>
      </c>
    </row>
    <row r="10937">
      <c r="A10937" s="4" t="s">
        <v>13750</v>
      </c>
      <c r="B10937" s="4" t="s">
        <v>13753</v>
      </c>
      <c r="C10937" s="5" t="str">
        <f>IFERROR(__xludf.DUMMYFUNCTION("GOOGLETRANSLATE(B10937,""en"",""it"")"),"L'uomo colpisce quindi la palla sopra la rete e rimbalza dall'altra parte.")</f>
        <v>L'uomo colpisce quindi la palla sopra la rete e rimbalza dall'altra parte.</v>
      </c>
    </row>
    <row r="10938">
      <c r="A10938" s="4" t="s">
        <v>13754</v>
      </c>
      <c r="B10938" s="6" t="s">
        <v>13755</v>
      </c>
      <c r="C10938" s="5" t="str">
        <f>IFERROR(__xludf.DUMMYFUNCTION("GOOGLETRANSLATE(B10938,""en"",""it"")"),"Una ragazza è vista seduta su una sedia con un'altra persona che si asciugò il viso e le consegna uno specchio per guardare.")</f>
        <v>Una ragazza è vista seduta su una sedia con un'altra persona che si asciugò il viso e le consegna uno specchio per guardare.</v>
      </c>
    </row>
    <row r="10939">
      <c r="A10939" s="4" t="s">
        <v>13754</v>
      </c>
      <c r="B10939" s="4" t="s">
        <v>13756</v>
      </c>
      <c r="C10939" s="5" t="str">
        <f>IFERROR(__xludf.DUMMYFUNCTION("GOOGLETRANSLATE(B10939,""en"",""it"")"),"Quindi trafigge le guance della ragazza e la telecamera si ingrandisce sulla faccia della ragazza quando ha finito.")</f>
        <v>Quindi trafigge le guance della ragazza e la telecamera si ingrandisce sulla faccia della ragazza quando ha finito.</v>
      </c>
    </row>
    <row r="10940">
      <c r="A10940" s="4" t="s">
        <v>13757</v>
      </c>
      <c r="B10940" s="4" t="s">
        <v>13758</v>
      </c>
      <c r="C10940" s="5" t="str">
        <f>IFERROR(__xludf.DUMMYFUNCTION("GOOGLETRANSLATE(B10940,""en"",""it"")"),"Viene vista una donna parlare alla telecamera mentre si trova in una doccia e tiene vari oggetti.")</f>
        <v>Viene vista una donna parlare alla telecamera mentre si trova in una doccia e tiene vari oggetti.</v>
      </c>
    </row>
    <row r="10941">
      <c r="A10941" s="4" t="s">
        <v>13757</v>
      </c>
      <c r="B10941" s="6" t="s">
        <v>13759</v>
      </c>
      <c r="C10941" s="5" t="str">
        <f>IFERROR(__xludf.DUMMYFUNCTION("GOOGLETRANSLATE(B10941,""en"",""it"")"),"La donna quindi si strofina le lozioni su tutte le gambe e inizia a radersi le gambe e finendo parlando alla telecamera.")</f>
        <v>La donna quindi si strofina le lozioni su tutte le gambe e inizia a radersi le gambe e finendo parlando alla telecamera.</v>
      </c>
    </row>
    <row r="10942">
      <c r="A10942" s="4" t="s">
        <v>13760</v>
      </c>
      <c r="B10942" s="4" t="s">
        <v>13761</v>
      </c>
      <c r="C10942" s="5" t="str">
        <f>IFERROR(__xludf.DUMMYFUNCTION("GOOGLETRANSLATE(B10942,""en"",""it"")"),"Viene visto un uomo parlare con la telecamera in possesso di un basket.")</f>
        <v>Viene visto un uomo parlare con la telecamera in possesso di un basket.</v>
      </c>
    </row>
    <row r="10943">
      <c r="A10943" s="4" t="s">
        <v>13760</v>
      </c>
      <c r="B10943" s="4" t="s">
        <v>13762</v>
      </c>
      <c r="C10943" s="5" t="str">
        <f>IFERROR(__xludf.DUMMYFUNCTION("GOOGLETRANSLATE(B10943,""en"",""it"")"),"L'uomo inizia quindi a lanciare la palla nel cerchio più volte.")</f>
        <v>L'uomo inizia quindi a lanciare la palla nel cerchio più volte.</v>
      </c>
    </row>
    <row r="10944">
      <c r="A10944" s="4" t="s">
        <v>13760</v>
      </c>
      <c r="B10944" s="4" t="s">
        <v>13763</v>
      </c>
      <c r="C10944" s="5" t="str">
        <f>IFERROR(__xludf.DUMMYFUNCTION("GOOGLETRANSLATE(B10944,""en"",""it"")"),"Torna alla telecamera e continua a parlare mentre si muove le mani.")</f>
        <v>Torna alla telecamera e continua a parlare mentre si muove le mani.</v>
      </c>
    </row>
    <row r="10945">
      <c r="A10945" s="4" t="s">
        <v>13764</v>
      </c>
      <c r="B10945" s="6" t="s">
        <v>13765</v>
      </c>
      <c r="C10945" s="5" t="str">
        <f>IFERROR(__xludf.DUMMYFUNCTION("GOOGLETRANSLATE(B10945,""en"",""it"")"),"Una giovane donna viene vista parlare con la telecamera e le passa con i capelli davanti al viso.")</f>
        <v>Una giovane donna viene vista parlare con la telecamera e le passa con i capelli davanti al viso.</v>
      </c>
    </row>
    <row r="10946">
      <c r="A10946" s="4" t="s">
        <v>13764</v>
      </c>
      <c r="B10946" s="4" t="s">
        <v>13766</v>
      </c>
      <c r="C10946" s="5" t="str">
        <f>IFERROR(__xludf.DUMMYFUNCTION("GOOGLETRANSLATE(B10946,""en"",""it"")"),"Spazzola lentamente e si ricopre i capelli e capovolge i capelli alla fine.")</f>
        <v>Spazzola lentamente e si ricopre i capelli e capovolge i capelli alla fine.</v>
      </c>
    </row>
    <row r="10947">
      <c r="A10947" s="4" t="s">
        <v>13767</v>
      </c>
      <c r="B10947" s="4" t="s">
        <v>13768</v>
      </c>
      <c r="C10947" s="5" t="str">
        <f>IFERROR(__xludf.DUMMYFUNCTION("GOOGLETRANSLATE(B10947,""en"",""it"")"),"Un piccolo gruppo di ragazze viene visto rannicchiato e inizia a muoversi nel campo.")</f>
        <v>Un piccolo gruppo di ragazze viene visto rannicchiato e inizia a muoversi nel campo.</v>
      </c>
    </row>
    <row r="10948">
      <c r="A10948" s="4" t="s">
        <v>13767</v>
      </c>
      <c r="B10948" s="4" t="s">
        <v>13769</v>
      </c>
      <c r="C10948" s="5" t="str">
        <f>IFERROR(__xludf.DUMMYFUNCTION("GOOGLETRANSLATE(B10948,""en"",""it"")"),"Sono viste più donne correre intorno al grande campo da gioco da campo.")</f>
        <v>Sono viste più donne correre intorno al grande campo da gioco da campo.</v>
      </c>
    </row>
    <row r="10949">
      <c r="A10949" s="4" t="s">
        <v>13767</v>
      </c>
      <c r="B10949" s="4" t="s">
        <v>13770</v>
      </c>
      <c r="C10949" s="5" t="str">
        <f>IFERROR(__xludf.DUMMYFUNCTION("GOOGLETRANSLATE(B10949,""en"",""it"")"),"Le ragazze continuano a giocare l'una contro l'altra e finiscono con Waling Away.")</f>
        <v>Le ragazze continuano a giocare l'una contro l'altra e finiscono con Waling Away.</v>
      </c>
    </row>
    <row r="10950">
      <c r="A10950" s="4" t="s">
        <v>13771</v>
      </c>
      <c r="B10950" s="6" t="s">
        <v>13772</v>
      </c>
      <c r="C10950" s="5" t="str">
        <f>IFERROR(__xludf.DUMMYFUNCTION("GOOGLETRANSLATE(B10950,""en"",""it"")"),"Viene mostrato un primo piano di un bambino che si muove su un'altalena e la gente in piedi intorno a lui per spingere.")</f>
        <v>Viene mostrato un primo piano di un bambino che si muove su un'altalena e la gente in piedi intorno a lui per spingere.</v>
      </c>
    </row>
    <row r="10951">
      <c r="A10951" s="4" t="s">
        <v>13771</v>
      </c>
      <c r="B10951" s="6" t="s">
        <v>13773</v>
      </c>
      <c r="C10951" s="5" t="str">
        <f>IFERROR(__xludf.DUMMYFUNCTION("GOOGLETRANSLATE(B10951,""en"",""it"")"),"La telecamera continua a seguire il ragazzo intorno al cortile mentre la mamma si trova nell'erba e poi la figlia che oscilla.")</f>
        <v>La telecamera continua a seguire il ragazzo intorno al cortile mentre la mamma si trova nell'erba e poi la figlia che oscilla.</v>
      </c>
    </row>
    <row r="10952">
      <c r="A10952" s="4" t="s">
        <v>13771</v>
      </c>
      <c r="B10952" s="4" t="s">
        <v>13774</v>
      </c>
      <c r="C10952" s="5" t="str">
        <f>IFERROR(__xludf.DUMMYFUNCTION("GOOGLETRANSLATE(B10952,""en"",""it"")"),"I genitori giocano di più con i bambini, danno loro un bacio e il papà si allontana con la figlia.")</f>
        <v>I genitori giocano di più con i bambini, danno loro un bacio e il papà si allontana con la figlia.</v>
      </c>
    </row>
    <row r="10953">
      <c r="A10953" s="4" t="s">
        <v>13775</v>
      </c>
      <c r="B10953" s="6" t="s">
        <v>13776</v>
      </c>
      <c r="C10953" s="5" t="str">
        <f>IFERROR(__xludf.DUMMYFUNCTION("GOOGLETRANSLATE(B10953,""en"",""it"")"),"Un artista di strada è seduto su una cassa e tamburella su secchi e padelle con tamburi.")</f>
        <v>Un artista di strada è seduto su una cassa e tamburella su secchi e padelle con tamburi.</v>
      </c>
    </row>
    <row r="10954">
      <c r="A10954" s="4" t="s">
        <v>13775</v>
      </c>
      <c r="B10954" s="4" t="s">
        <v>13777</v>
      </c>
      <c r="C10954" s="5" t="str">
        <f>IFERROR(__xludf.DUMMYFUNCTION("GOOGLETRANSLATE(B10954,""en"",""it"")"),"Busta i secchi e, con frustrazione, lo pugnala con il bastone.")</f>
        <v>Busta i secchi e, con frustrazione, lo pugnala con il bastone.</v>
      </c>
    </row>
    <row r="10955">
      <c r="A10955" s="4" t="s">
        <v>13775</v>
      </c>
      <c r="B10955" s="4" t="s">
        <v>13778</v>
      </c>
      <c r="C10955" s="5" t="str">
        <f>IFERROR(__xludf.DUMMYFUNCTION("GOOGLETRANSLATE(B10955,""en"",""it"")"),"Sostituisce il secchio e ricomincia nel suo ritmo mentre una folla si riunisce.")</f>
        <v>Sostituisce il secchio e ricomincia nel suo ritmo mentre una folla si riunisce.</v>
      </c>
    </row>
    <row r="10956">
      <c r="A10956" s="4" t="s">
        <v>13775</v>
      </c>
      <c r="B10956" s="4" t="s">
        <v>13779</v>
      </c>
      <c r="C10956" s="5" t="str">
        <f>IFERROR(__xludf.DUMMYFUNCTION("GOOGLETRANSLATE(B10956,""en"",""it"")"),"Riorganizza ancora una volta i secchi e continua a fare la batteria.")</f>
        <v>Riorganizza ancora una volta i secchi e continua a fare la batteria.</v>
      </c>
    </row>
    <row r="10957">
      <c r="A10957" s="4" t="s">
        <v>13780</v>
      </c>
      <c r="B10957" s="6" t="s">
        <v>13781</v>
      </c>
      <c r="C10957" s="5" t="str">
        <f>IFERROR(__xludf.DUMMYFUNCTION("GOOGLETRANSLATE(B10957,""en"",""it"")"),"Una grande folla è vista seduta davanti a una piscina seguita da diversi scatti di due persone che si tuffano in una piscina.")</f>
        <v>Una grande folla è vista seduta davanti a una piscina seguita da diversi scatti di due persone che si tuffano in una piscina.</v>
      </c>
    </row>
    <row r="10958">
      <c r="A10958" s="4" t="s">
        <v>13780</v>
      </c>
      <c r="B10958" s="6" t="s">
        <v>13782</v>
      </c>
      <c r="C10958" s="5" t="str">
        <f>IFERROR(__xludf.DUMMYFUNCTION("GOOGLETRANSLATE(B10958,""en"",""it"")"),"Vengono mostrati più colpi di subacquei che eseguono acrobazie impressionanti in piscina e finiscono con loro che si allontanano e il loro punteggio viene mostrato.")</f>
        <v>Vengono mostrati più colpi di subacquei che eseguono acrobazie impressionanti in piscina e finiscono con loro che si allontanano e il loro punteggio viene mostrato.</v>
      </c>
    </row>
    <row r="10959">
      <c r="A10959" s="4" t="s">
        <v>13780</v>
      </c>
      <c r="B10959" s="4" t="s">
        <v>13783</v>
      </c>
      <c r="C10959" s="5" t="str">
        <f>IFERROR(__xludf.DUMMYFUNCTION("GOOGLETRANSLATE(B10959,""en"",""it"")"),"Un uomo parla in lontananza e i subacquei si trovano insieme per ottenere le loro medaglie.")</f>
        <v>Un uomo parla in lontananza e i subacquei si trovano insieme per ottenere le loro medaglie.</v>
      </c>
    </row>
    <row r="10960">
      <c r="A10960" s="4" t="s">
        <v>13784</v>
      </c>
      <c r="B10960" s="6" t="s">
        <v>13785</v>
      </c>
      <c r="C10960" s="5" t="str">
        <f>IFERROR(__xludf.DUMMYFUNCTION("GOOGLETRANSLATE(B10960,""en"",""it"")"),"Appare uno schermo con una montagna innevata con alberi di pino e una sovrapposizione sullo schermo di un logo e parole che dicono ""punte efficienti in ceretta calda riduce i rifiuti di materiale, i costi e il pasticcio"".")</f>
        <v>Appare uno schermo con una montagna innevata con alberi di pino e una sovrapposizione sullo schermo di un logo e parole che dicono "punte efficienti in ceretta calda riduce i rifiuti di materiale, i costi e il pasticcio".</v>
      </c>
    </row>
    <row r="10961">
      <c r="A10961" s="4" t="s">
        <v>13784</v>
      </c>
      <c r="B10961" s="6" t="s">
        <v>13786</v>
      </c>
      <c r="C10961" s="5" t="str">
        <f>IFERROR(__xludf.DUMMYFUNCTION("GOOGLETRANSLATE(B10961,""en"",""it"")"),"Un paio di sci sono in un seminario e un uomo sta facendo un po 'di lavoro su di loro che includeva round che sfregano la cera sugli sci, stirando gli sci, raschiando gli sci mentre le parole sul fondo appaiono durante l'intero processo mentre spiega cosa"&amp;" viene fatto.")</f>
        <v>Un paio di sci sono in un seminario e un uomo sta facendo un po 'di lavoro su di loro che includeva round che sfregano la cera sugli sci, stirando gli sci, raschiando gli sci mentre le parole sul fondo appaiono durante l'intero processo mentre spiega cosa viene fatto.</v>
      </c>
    </row>
    <row r="10962">
      <c r="A10962" s="4" t="s">
        <v>13784</v>
      </c>
      <c r="B10962" s="6" t="s">
        <v>13787</v>
      </c>
      <c r="C10962" s="5" t="str">
        <f>IFERROR(__xludf.DUMMYFUNCTION("GOOGLETRANSLATE(B10962,""en"",""it"")"),"L'uomo ora sta affilando i bordi di un file quindi inizia a raschiare gli sci, quindi finisce stirandolo con abiti diversi tra il ferro e gli sci.")</f>
        <v>L'uomo ora sta affilando i bordi di un file quindi inizia a raschiare gli sci, quindi finisce stirandolo con abiti diversi tra il ferro e gli sci.</v>
      </c>
    </row>
    <row r="10963">
      <c r="A10963" s="4" t="s">
        <v>13784</v>
      </c>
      <c r="B10963" s="6" t="s">
        <v>13788</v>
      </c>
      <c r="C10963" s="5" t="str">
        <f>IFERROR(__xludf.DUMMYFUNCTION("GOOGLETRANSLATE(B10963,""en"",""it"")"),"Viene visualizzata la schermata Outro ed è l'immagine esatta come l'intro, ma le parole ora dicono ""controlla il nostro video raschiatura e spazzolatura"" e include anche il logo dell'azienda.")</f>
        <v>Viene visualizzata la schermata Outro ed è l'immagine esatta come l'intro, ma le parole ora dicono "controlla il nostro video raschiatura e spazzolatura" e include anche il logo dell'azienda.</v>
      </c>
    </row>
    <row r="10964">
      <c r="A10964" s="4" t="s">
        <v>13789</v>
      </c>
      <c r="B10964" s="4" t="s">
        <v>13790</v>
      </c>
      <c r="C10964" s="5" t="str">
        <f>IFERROR(__xludf.DUMMYFUNCTION("GOOGLETRANSLATE(B10964,""en"",""it"")"),"Viene vista una donna parlare alla telecamera mentre afferra varie borse e li sta sporgendo.")</f>
        <v>Viene vista una donna parlare alla telecamera mentre afferra varie borse e li sta sporgendo.</v>
      </c>
    </row>
    <row r="10965">
      <c r="A10965" s="4" t="s">
        <v>13789</v>
      </c>
      <c r="B10965" s="4" t="s">
        <v>13791</v>
      </c>
      <c r="C10965" s="5" t="str">
        <f>IFERROR(__xludf.DUMMYFUNCTION("GOOGLETRANSLATE(B10965,""en"",""it"")"),"Mette e si oppone in una borsa mentre indica una scatola accanto a lei.")</f>
        <v>Mette e si oppone in una borsa mentre indica una scatola accanto a lei.</v>
      </c>
    </row>
    <row r="10966">
      <c r="A10966" s="4" t="s">
        <v>13789</v>
      </c>
      <c r="B10966" s="4" t="s">
        <v>13792</v>
      </c>
      <c r="C10966" s="5" t="str">
        <f>IFERROR(__xludf.DUMMYFUNCTION("GOOGLETRANSLATE(B10966,""en"",""it"")"),"Piena la carta nella borsa e termina legando un fiocco sopra.")</f>
        <v>Piena la carta nella borsa e termina legando un fiocco sopra.</v>
      </c>
    </row>
    <row r="10967">
      <c r="A10967" s="4" t="s">
        <v>13793</v>
      </c>
      <c r="B10967" s="4" t="s">
        <v>13794</v>
      </c>
      <c r="C10967" s="5" t="str">
        <f>IFERROR(__xludf.DUMMYFUNCTION("GOOGLETRANSLATE(B10967,""en"",""it"")"),"Un uomo suona l'armonica sul fronte un microfono, poi finisce e saluta.")</f>
        <v>Un uomo suona l'armonica sul fronte un microfono, poi finisce e saluta.</v>
      </c>
    </row>
    <row r="10968">
      <c r="A10968" s="4" t="s">
        <v>13793</v>
      </c>
      <c r="B10968" s="4" t="s">
        <v>13795</v>
      </c>
      <c r="C10968" s="5" t="str">
        <f>IFERROR(__xludf.DUMMYFUNCTION("GOOGLETRANSLATE(B10968,""en"",""it"")"),"Quindi, una ragazza si alza sul palco e parla con il microfono.")</f>
        <v>Quindi, una ragazza si alza sul palco e parla con il microfono.</v>
      </c>
    </row>
    <row r="10969">
      <c r="A10969" s="4" t="s">
        <v>13796</v>
      </c>
      <c r="B10969" s="4" t="s">
        <v>13797</v>
      </c>
      <c r="C10969" s="5" t="str">
        <f>IFERROR(__xludf.DUMMYFUNCTION("GOOGLETRANSLATE(B10969,""en"",""it"")"),"Ci sono quattro bambini di diverse età che giocano a calcio nel loro cortile.")</f>
        <v>Ci sono quattro bambini di diverse età che giocano a calcio nel loro cortile.</v>
      </c>
    </row>
    <row r="10970">
      <c r="A10970" s="4" t="s">
        <v>13796</v>
      </c>
      <c r="B10970" s="6" t="s">
        <v>13798</v>
      </c>
      <c r="C10970" s="5" t="str">
        <f>IFERROR(__xludf.DUMMYFUNCTION("GOOGLETRANSLATE(B10970,""en"",""it"")"),"La ragazza in rosa prende a calci la palla a suo fratello con la camicia arancione mentre i bambini corrono e giocano.")</f>
        <v>La ragazza in rosa prende a calci la palla a suo fratello con la camicia arancione mentre i bambini corrono e giocano.</v>
      </c>
    </row>
    <row r="10971">
      <c r="A10971" s="4" t="s">
        <v>13796</v>
      </c>
      <c r="B10971" s="4" t="s">
        <v>13799</v>
      </c>
      <c r="C10971" s="5" t="str">
        <f>IFERROR(__xludf.DUMMYFUNCTION("GOOGLETRANSLATE(B10971,""en"",""it"")"),"C'è un bambino seduto a terra in un buttafuori che li guarda giocare.")</f>
        <v>C'è un bambino seduto a terra in un buttafuori che li guarda giocare.</v>
      </c>
    </row>
    <row r="10972">
      <c r="A10972" s="4" t="s">
        <v>13800</v>
      </c>
      <c r="B10972" s="4" t="s">
        <v>13801</v>
      </c>
      <c r="C10972" s="5" t="str">
        <f>IFERROR(__xludf.DUMMYFUNCTION("GOOGLETRANSLATE(B10972,""en"",""it"")"),"Un uomo parla alla telecamera mentre rastrella intermittente.")</f>
        <v>Un uomo parla alla telecamera mentre rastrella intermittente.</v>
      </c>
    </row>
    <row r="10973">
      <c r="A10973" s="4" t="s">
        <v>13800</v>
      </c>
      <c r="B10973" s="4" t="s">
        <v>13802</v>
      </c>
      <c r="C10973" s="5" t="str">
        <f>IFERROR(__xludf.DUMMYFUNCTION("GOOGLETRANSLATE(B10973,""en"",""it"")"),"Viene mostrato un primo piano di una pila di foglie.")</f>
        <v>Viene mostrato un primo piano di una pila di foglie.</v>
      </c>
    </row>
    <row r="10974">
      <c r="A10974" s="4" t="s">
        <v>13803</v>
      </c>
      <c r="B10974" s="6" t="s">
        <v>13804</v>
      </c>
      <c r="C10974" s="5" t="str">
        <f>IFERROR(__xludf.DUMMYFUNCTION("GOOGLETRANSLATE(B10974,""en"",""it"")"),"Una signora sta parlando con la telecamera, poi ride e guarda in basso e la telecamera si concentra altrove.")</f>
        <v>Una signora sta parlando con la telecamera, poi ride e guarda in basso e la telecamera si concentra altrove.</v>
      </c>
    </row>
    <row r="10975">
      <c r="A10975" s="4" t="s">
        <v>13803</v>
      </c>
      <c r="B10975" s="6" t="s">
        <v>13805</v>
      </c>
      <c r="C10975" s="5" t="str">
        <f>IFERROR(__xludf.DUMMYFUNCTION("GOOGLETRANSLATE(B10975,""en"",""it"")"),"La telecamera è tornata dalla signora e un uomo ora si sta tagliando i capelli mentre la sua bocca è aperta incredulo e l'uomo sta ridendo mentre si taglia i capelli in un rapido movimento intorno alla testa.")</f>
        <v>La telecamera è tornata dalla signora e un uomo ora si sta tagliando i capelli mentre la sua bocca è aperta incredulo e l'uomo sta ridendo mentre si taglia i capelli in un rapido movimento intorno alla testa.</v>
      </c>
    </row>
    <row r="10976">
      <c r="A10976" s="4" t="s">
        <v>13803</v>
      </c>
      <c r="B10976" s="6" t="s">
        <v>13806</v>
      </c>
      <c r="C10976" s="5" t="str">
        <f>IFERROR(__xludf.DUMMYFUNCTION("GOOGLETRANSLATE(B10976,""en"",""it"")"),"La signora è così scioccata e lascia cadere i capelli dalle sue ginocchia e guarda il terreno su tutti i capelli, si tocca i capelli, si alza per guardarsi allo specchio, urla, piange, inizia a impazzire, si siede e si alza di nuovo Guardarsi allo specchi"&amp;"o.")</f>
        <v>La signora è così scioccata e lascia cadere i capelli dalle sue ginocchia e guarda il terreno su tutti i capelli, si tocca i capelli, si alza per guardarsi allo specchio, urla, piange, inizia a impazzire, si siede e si alza di nuovo Guardarsi allo specchio.</v>
      </c>
    </row>
    <row r="10977">
      <c r="A10977" s="4" t="s">
        <v>13803</v>
      </c>
      <c r="B10977" s="4" t="s">
        <v>13807</v>
      </c>
      <c r="C10977" s="5" t="str">
        <f>IFERROR(__xludf.DUMMYFUNCTION("GOOGLETRANSLATE(B10977,""en"",""it"")"),"La signora si guarda allo specchio e sorride ma puoi dire che non è felice.")</f>
        <v>La signora si guarda allo specchio e sorride ma puoi dire che non è felice.</v>
      </c>
    </row>
    <row r="10978">
      <c r="A10978" s="4" t="s">
        <v>13808</v>
      </c>
      <c r="B10978" s="4" t="s">
        <v>13809</v>
      </c>
      <c r="C10978" s="5" t="str">
        <f>IFERROR(__xludf.DUMMYFUNCTION("GOOGLETRANSLATE(B10978,""en"",""it"")"),"Un ragazzo viene visto sorridere e ridere nella telecamera e cominciare a suonare il piano.")</f>
        <v>Un ragazzo viene visto sorridere e ridere nella telecamera e cominciare a suonare il piano.</v>
      </c>
    </row>
    <row r="10979">
      <c r="A10979" s="4" t="s">
        <v>13808</v>
      </c>
      <c r="B10979" s="6" t="s">
        <v>13810</v>
      </c>
      <c r="C10979" s="5" t="str">
        <f>IFERROR(__xludf.DUMMYFUNCTION("GOOGLETRANSLATE(B10979,""en"",""it"")"),"Il ragazzo suona furiosamente il piano a un ritmo veloce e conduce in lui indossando una camicia diversa e continua a giocare.")</f>
        <v>Il ragazzo suona furiosamente il piano a un ritmo veloce e conduce in lui indossando una camicia diversa e continua a giocare.</v>
      </c>
    </row>
    <row r="10980">
      <c r="A10980" s="4" t="s">
        <v>13808</v>
      </c>
      <c r="B10980" s="4" t="s">
        <v>13811</v>
      </c>
      <c r="C10980" s="5" t="str">
        <f>IFERROR(__xludf.DUMMYFUNCTION("GOOGLETRANSLATE(B10980,""en"",""it"")"),"Finisce mettendo il suo corpo sul piano e poi sorride nella telecamera.")</f>
        <v>Finisce mettendo il suo corpo sul piano e poi sorride nella telecamera.</v>
      </c>
    </row>
    <row r="10981">
      <c r="A10981" s="4" t="s">
        <v>13812</v>
      </c>
      <c r="B10981" s="4" t="s">
        <v>13813</v>
      </c>
      <c r="C10981" s="5" t="str">
        <f>IFERROR(__xludf.DUMMYFUNCTION("GOOGLETRANSLATE(B10981,""en"",""it"")"),"Un uomo pose una bottiglia di Coca Cola su un fascio di fieno.")</f>
        <v>Un uomo pose una bottiglia di Coca Cola su un fascio di fieno.</v>
      </c>
    </row>
    <row r="10982">
      <c r="A10982" s="4" t="s">
        <v>13812</v>
      </c>
      <c r="B10982" s="4" t="s">
        <v>13814</v>
      </c>
      <c r="C10982" s="5" t="str">
        <f>IFERROR(__xludf.DUMMYFUNCTION("GOOGLETRANSLATE(B10982,""en"",""it"")"),"L'uomo colpisce una freccia da un arco.")</f>
        <v>L'uomo colpisce una freccia da un arco.</v>
      </c>
    </row>
    <row r="10983">
      <c r="A10983" s="4" t="s">
        <v>13812</v>
      </c>
      <c r="B10983" s="4" t="s">
        <v>13815</v>
      </c>
      <c r="C10983" s="5" t="str">
        <f>IFERROR(__xludf.DUMMYFUNCTION("GOOGLETRANSLATE(B10983,""en"",""it"")"),"La freccia unisce la bottiglia.")</f>
        <v>La freccia unisce la bottiglia.</v>
      </c>
    </row>
    <row r="10984">
      <c r="A10984" s="4" t="s">
        <v>13816</v>
      </c>
      <c r="B10984" s="4" t="s">
        <v>13817</v>
      </c>
      <c r="C10984" s="5" t="str">
        <f>IFERROR(__xludf.DUMMYFUNCTION("GOOGLETRANSLATE(B10984,""en"",""it"")"),"Qualcuno sta mettendo uno sfiato sul tetto di una casa.")</f>
        <v>Qualcuno sta mettendo uno sfiato sul tetto di una casa.</v>
      </c>
    </row>
    <row r="10985">
      <c r="A10985" s="4" t="s">
        <v>13816</v>
      </c>
      <c r="B10985" s="4" t="s">
        <v>13818</v>
      </c>
      <c r="C10985" s="5" t="str">
        <f>IFERROR(__xludf.DUMMYFUNCTION("GOOGLETRANSLATE(B10985,""en"",""it"")"),"Sigillano lo sfiato con la colla.")</f>
        <v>Sigillano lo sfiato con la colla.</v>
      </c>
    </row>
    <row r="10986">
      <c r="A10986" s="4" t="s">
        <v>13819</v>
      </c>
      <c r="B10986" s="4" t="s">
        <v>13820</v>
      </c>
      <c r="C10986" s="5" t="str">
        <f>IFERROR(__xludf.DUMMYFUNCTION("GOOGLETRANSLATE(B10986,""en"",""it"")"),"Due ragazzi sono in piedi dietro un tavolo.")</f>
        <v>Due ragazzi sono in piedi dietro un tavolo.</v>
      </c>
    </row>
    <row r="10987">
      <c r="A10987" s="4" t="s">
        <v>13819</v>
      </c>
      <c r="B10987" s="4" t="s">
        <v>13821</v>
      </c>
      <c r="C10987" s="5" t="str">
        <f>IFERROR(__xludf.DUMMYFUNCTION("GOOGLETRANSLATE(B10987,""en"",""it"")"),"Hanno un bicchiere e un limone sul tavolo.")</f>
        <v>Hanno un bicchiere e un limone sul tavolo.</v>
      </c>
    </row>
    <row r="10988">
      <c r="A10988" s="4" t="s">
        <v>13819</v>
      </c>
      <c r="B10988" s="4" t="s">
        <v>13822</v>
      </c>
      <c r="C10988" s="5" t="str">
        <f>IFERROR(__xludf.DUMMYFUNCTION("GOOGLETRANSLATE(B10988,""en"",""it"")"),"Lo versano in una brocca d'acqua e fanno qualcosa da bere.")</f>
        <v>Lo versano in una brocca d'acqua e fanno qualcosa da bere.</v>
      </c>
    </row>
    <row r="10989">
      <c r="A10989" s="4" t="s">
        <v>13819</v>
      </c>
      <c r="B10989" s="4" t="s">
        <v>13823</v>
      </c>
      <c r="C10989" s="5" t="str">
        <f>IFERROR(__xludf.DUMMYFUNCTION("GOOGLETRANSLATE(B10989,""en"",""it"")"),"Versano la bevanda in due bicchieri.")</f>
        <v>Versano la bevanda in due bicchieri.</v>
      </c>
    </row>
    <row r="10990">
      <c r="A10990" s="4" t="s">
        <v>13819</v>
      </c>
      <c r="B10990" s="4" t="s">
        <v>13824</v>
      </c>
      <c r="C10990" s="5" t="str">
        <f>IFERROR(__xludf.DUMMYFUNCTION("GOOGLETRANSLATE(B10990,""en"",""it"")"),"Entrambi prendono un drink dalla cannuccia.")</f>
        <v>Entrambi prendono un drink dalla cannuccia.</v>
      </c>
    </row>
    <row r="10991">
      <c r="A10991" s="4" t="s">
        <v>13825</v>
      </c>
      <c r="B10991" s="6" t="s">
        <v>13826</v>
      </c>
      <c r="C10991" s="5" t="str">
        <f>IFERROR(__xludf.DUMMYFUNCTION("GOOGLETRANSLATE(B10991,""en"",""it"")"),"I ragazzi giocano a calcio indoor mentre calciano la palla e la passano ai compagni di gioco, quindi l'arbitro entra al centro e dà istruzioni.")</f>
        <v>I ragazzi giocano a calcio indoor mentre calciano la palla e la passano ai compagni di gioco, quindi l'arbitro entra al centro e dà istruzioni.</v>
      </c>
    </row>
    <row r="10992">
      <c r="A10992" s="4" t="s">
        <v>13825</v>
      </c>
      <c r="B10992" s="6" t="s">
        <v>13827</v>
      </c>
      <c r="C10992" s="5" t="str">
        <f>IFERROR(__xludf.DUMMYFUNCTION("GOOGLETRANSLATE(B10992,""en"",""it"")"),"Quindi, l'arbitro mette la palla sull'area del goal e un ragazzo calcia la palla, ma il portiere fermò la palla.")</f>
        <v>Quindi, l'arbitro mette la palla sull'area del goal e un ragazzo calcia la palla, ma il portiere fermò la palla.</v>
      </c>
    </row>
    <row r="10993">
      <c r="A10993" s="4" t="s">
        <v>13825</v>
      </c>
      <c r="B10993" s="4" t="s">
        <v>13828</v>
      </c>
      <c r="C10993" s="5" t="str">
        <f>IFERROR(__xludf.DUMMYFUNCTION("GOOGLETRANSLATE(B10993,""en"",""it"")"),"I ragazzi giocano a sparare alla palla al portiere ferma la palla.")</f>
        <v>I ragazzi giocano a sparare alla palla al portiere ferma la palla.</v>
      </c>
    </row>
    <row r="10994">
      <c r="A10994" s="4" t="s">
        <v>13825</v>
      </c>
      <c r="B10994" s="4" t="s">
        <v>13829</v>
      </c>
      <c r="C10994" s="5" t="str">
        <f>IFERROR(__xludf.DUMMYFUNCTION("GOOGLETRANSLATE(B10994,""en"",""it"")"),"Dopo, un giocatore segna e le squadre continuano a giocare.")</f>
        <v>Dopo, un giocatore segna e le squadre continuano a giocare.</v>
      </c>
    </row>
    <row r="10995">
      <c r="A10995" s="4" t="s">
        <v>13830</v>
      </c>
      <c r="B10995" s="4" t="s">
        <v>13831</v>
      </c>
      <c r="C10995" s="5" t="str">
        <f>IFERROR(__xludf.DUMMYFUNCTION("GOOGLETRANSLATE(B10995,""en"",""it"")"),"Vengono mostrati diversi scatti di paesaggi che portano a un uomo e una donna che parla alla telecamera.")</f>
        <v>Vengono mostrati diversi scatti di paesaggi che portano a un uomo e una donna che parla alla telecamera.</v>
      </c>
    </row>
    <row r="10996">
      <c r="A10996" s="4" t="s">
        <v>13830</v>
      </c>
      <c r="B10996" s="4" t="s">
        <v>13832</v>
      </c>
      <c r="C10996" s="5" t="str">
        <f>IFERROR(__xludf.DUMMYFUNCTION("GOOGLETRANSLATE(B10996,""en"",""it"")"),"La coppia cammina su una fossa sabbiosa e una padella attorno a un gruppo di giocatori.")</f>
        <v>La coppia cammina su una fossa sabbiosa e una padella attorno a un gruppo di giocatori.</v>
      </c>
    </row>
    <row r="10997">
      <c r="A10997" s="4" t="s">
        <v>13830</v>
      </c>
      <c r="B10997" s="6" t="s">
        <v>13833</v>
      </c>
      <c r="C10997" s="5" t="str">
        <f>IFERROR(__xludf.DUMMYFUNCTION("GOOGLETRANSLATE(B10997,""en"",""it"")"),"Si vedono più persone parlare alla telecamera che mostra colpi di loro giocando a pallavolo e finiscono con la coppia.")</f>
        <v>Si vedono più persone parlare alla telecamera che mostra colpi di loro giocando a pallavolo e finiscono con la coppia.</v>
      </c>
    </row>
    <row r="10998">
      <c r="A10998" s="4" t="s">
        <v>13834</v>
      </c>
      <c r="B10998" s="6" t="s">
        <v>13835</v>
      </c>
      <c r="C10998" s="5" t="str">
        <f>IFERROR(__xludf.DUMMYFUNCTION("GOOGLETRANSLATE(B10998,""en"",""it"")"),"Un anziano sacerdote è seduto sulla sedia al chiuso in un grande edificio e 3 uomini diversi si spezzano la danza a terra di fronte a lui mentre le persone intorno a lui iniziano a applaudire e le luci si spengono da tutti i lampi.")</f>
        <v>Un anziano sacerdote è seduto sulla sedia al chiuso in un grande edificio e 3 uomini diversi si spezzano la danza a terra di fronte a lui mentre le persone intorno a lui iniziano a applaudire e le luci si spengono da tutti i lampi.</v>
      </c>
    </row>
    <row r="10999">
      <c r="A10999" s="4" t="s">
        <v>13834</v>
      </c>
      <c r="B10999" s="6" t="s">
        <v>13836</v>
      </c>
      <c r="C10999" s="5" t="str">
        <f>IFERROR(__xludf.DUMMYFUNCTION("GOOGLETRANSLATE(B10999,""en"",""it"")"),"Quando gli uomini hanno finito di ballare, si alzano di fronte alla gente e al sacerdote e si inchinano al sacerdote e alla gente.")</f>
        <v>Quando gli uomini hanno finito di ballare, si alzano di fronte alla gente e al sacerdote e si inchinano al sacerdote e alla gente.</v>
      </c>
    </row>
    <row r="11000">
      <c r="A11000" s="4" t="s">
        <v>13834</v>
      </c>
      <c r="B11000" s="6" t="s">
        <v>13837</v>
      </c>
      <c r="C11000" s="5" t="str">
        <f>IFERROR(__xludf.DUMMYFUNCTION("GOOGLETRANSLATE(B11000,""en"",""it"")"),"Gli uomini si avvicinano quindi al sacerdote e ognuno baciano le parole e le parole bianche appaiono sullo schermo e dicono ""Bilder: Reuters Redigering: Malin Lagerlof"".")</f>
        <v>Gli uomini si avvicinano quindi al sacerdote e ognuno baciano le parole e le parole bianche appaiono sullo schermo e dicono "Bilder: Reuters Redigering: Malin Lagerlof".</v>
      </c>
    </row>
    <row r="11001">
      <c r="A11001" s="4" t="s">
        <v>13838</v>
      </c>
      <c r="B11001" s="4" t="s">
        <v>13839</v>
      </c>
      <c r="C11001" s="5" t="str">
        <f>IFERROR(__xludf.DUMMYFUNCTION("GOOGLETRANSLATE(B11001,""en"",""it"")"),"Un'intro di ehow arriva sullo schermo con la musica in background.")</f>
        <v>Un'intro di ehow arriva sullo schermo con la musica in background.</v>
      </c>
    </row>
    <row r="11002">
      <c r="A11002" s="4" t="s">
        <v>13838</v>
      </c>
      <c r="B11002" s="4" t="s">
        <v>13840</v>
      </c>
      <c r="C11002" s="5" t="str">
        <f>IFERROR(__xludf.DUMMYFUNCTION("GOOGLETRANSLATE(B11002,""en"",""it"")"),"Io appare sullo schermo che narra il video su come radersi.")</f>
        <v>Io appare sullo schermo che narra il video su come radersi.</v>
      </c>
    </row>
    <row r="11003">
      <c r="A11003" s="4" t="s">
        <v>13838</v>
      </c>
      <c r="B11003" s="4" t="s">
        <v>13841</v>
      </c>
      <c r="C11003" s="5" t="str">
        <f>IFERROR(__xludf.DUMMYFUNCTION("GOOGLETRANSLATE(B11003,""en"",""it"")"),"Viene mostrato un uomo che la sua pelle idrata e ha una crema da barba lucidata sul viso.")</f>
        <v>Viene mostrato un uomo che la sua pelle idrata e ha una crema da barba lucidata sul viso.</v>
      </c>
    </row>
    <row r="11004">
      <c r="A11004" s="4" t="s">
        <v>13838</v>
      </c>
      <c r="B11004" s="4" t="s">
        <v>13842</v>
      </c>
      <c r="C11004" s="5" t="str">
        <f>IFERROR(__xludf.DUMMYFUNCTION("GOOGLETRANSLATE(B11004,""en"",""it"")"),"Il video termina con i crediti di chiusura EHOW.")</f>
        <v>Il video termina con i crediti di chiusura EHOW.</v>
      </c>
    </row>
    <row r="11005">
      <c r="A11005" s="4" t="s">
        <v>13843</v>
      </c>
      <c r="B11005" s="4" t="s">
        <v>13844</v>
      </c>
      <c r="C11005" s="5" t="str">
        <f>IFERROR(__xludf.DUMMYFUNCTION("GOOGLETRANSLATE(B11005,""en"",""it"")"),"Un uomo ha alcuni strumenti e sta pompando la sua auto in modo da poter togliere la gomma.")</f>
        <v>Un uomo ha alcuni strumenti e sta pompando la sua auto in modo da poter togliere la gomma.</v>
      </c>
    </row>
    <row r="11006">
      <c r="A11006" s="4" t="s">
        <v>13843</v>
      </c>
      <c r="B11006" s="4" t="s">
        <v>13845</v>
      </c>
      <c r="C11006" s="5" t="str">
        <f>IFERROR(__xludf.DUMMYFUNCTION("GOOGLETRANSLATE(B11006,""en"",""it"")"),"Usa lo strumento per togliere tutti i dadi uno per uno.")</f>
        <v>Usa lo strumento per togliere tutti i dadi uno per uno.</v>
      </c>
    </row>
    <row r="11007">
      <c r="A11007" s="4" t="s">
        <v>13843</v>
      </c>
      <c r="B11007" s="4" t="s">
        <v>13846</v>
      </c>
      <c r="C11007" s="5" t="str">
        <f>IFERROR(__xludf.DUMMYFUNCTION("GOOGLETRANSLATE(B11007,""en"",""it"")"),"Quindi afferra la gomma e la sposta e mette su un'altra gomma.")</f>
        <v>Quindi afferra la gomma e la sposta e mette su un'altra gomma.</v>
      </c>
    </row>
    <row r="11008">
      <c r="A11008" s="4" t="s">
        <v>13843</v>
      </c>
      <c r="B11008" s="6" t="s">
        <v>13847</v>
      </c>
      <c r="C11008" s="5" t="str">
        <f>IFERROR(__xludf.DUMMYFUNCTION("GOOGLETRANSLATE(B11008,""en"",""it"")"),"Fa tutto quello che faceva prima, ma il contrario, mettendo i dadi in posizione per stringere la gomma, poi riporta la macchina.")</f>
        <v>Fa tutto quello che faceva prima, ma il contrario, mettendo i dadi in posizione per stringere la gomma, poi riporta la macchina.</v>
      </c>
    </row>
    <row r="11009">
      <c r="A11009" s="4" t="s">
        <v>13848</v>
      </c>
      <c r="B11009" s="6" t="s">
        <v>13849</v>
      </c>
      <c r="C11009" s="5" t="str">
        <f>IFERROR(__xludf.DUMMYFUNCTION("GOOGLETRANSLATE(B11009,""en"",""it"")"),"Un adolescente skateboard in una strada, poi cammina con un amico che tiene il suo skateboard, poi lo skateboard.")</f>
        <v>Un adolescente skateboard in una strada, poi cammina con un amico che tiene il suo skateboard, poi lo skateboard.</v>
      </c>
    </row>
    <row r="11010">
      <c r="A11010" s="4" t="s">
        <v>13848</v>
      </c>
      <c r="B11010" s="4" t="s">
        <v>13850</v>
      </c>
      <c r="C11010" s="5" t="str">
        <f>IFERROR(__xludf.DUMMYFUNCTION("GOOGLETRANSLATE(B11010,""en"",""it"")"),"Un'auto entra per la strada in cui lo skateboard per adolescenti.")</f>
        <v>Un'auto entra per la strada in cui lo skateboard per adolescenti.</v>
      </c>
    </row>
    <row r="11011">
      <c r="A11011" s="4" t="s">
        <v>13848</v>
      </c>
      <c r="B11011" s="4" t="s">
        <v>13851</v>
      </c>
      <c r="C11011" s="5" t="str">
        <f>IFERROR(__xludf.DUMMYFUNCTION("GOOGLETRANSLATE(B11011,""en"",""it"")"),"Un giovane che indossa una maglietta rosa per strada.")</f>
        <v>Un giovane che indossa una maglietta rosa per strada.</v>
      </c>
    </row>
    <row r="11012">
      <c r="A11012" s="4" t="s">
        <v>13848</v>
      </c>
      <c r="B11012" s="4" t="s">
        <v>13852</v>
      </c>
      <c r="C11012" s="5" t="str">
        <f>IFERROR(__xludf.DUMMYFUNCTION("GOOGLETRANSLATE(B11012,""en"",""it"")"),"L'adolescente cammina con il suo skateboard.")</f>
        <v>L'adolescente cammina con il suo skateboard.</v>
      </c>
    </row>
    <row r="11013">
      <c r="A11013" s="4" t="s">
        <v>13848</v>
      </c>
      <c r="B11013" s="4" t="s">
        <v>13853</v>
      </c>
      <c r="C11013" s="5" t="str">
        <f>IFERROR(__xludf.DUMMYFUNCTION("GOOGLETRANSLATE(B11013,""en"",""it"")"),"Gli adolescenti skateboard nella strada realizzano trucchi e girano.")</f>
        <v>Gli adolescenti skateboard nella strada realizzano trucchi e girano.</v>
      </c>
    </row>
    <row r="11014">
      <c r="A11014" s="4" t="s">
        <v>13848</v>
      </c>
      <c r="B11014" s="4" t="s">
        <v>13854</v>
      </c>
      <c r="C11014" s="5" t="str">
        <f>IFERROR(__xludf.DUMMYFUNCTION("GOOGLETRANSLATE(B11014,""en"",""it"")"),"Dopo, due adolescenti camminano per strada e poi lo skateboard.")</f>
        <v>Dopo, due adolescenti camminano per strada e poi lo skateboard.</v>
      </c>
    </row>
    <row r="11015">
      <c r="A11015" s="4" t="s">
        <v>13855</v>
      </c>
      <c r="B11015" s="6" t="s">
        <v>13856</v>
      </c>
      <c r="C11015" s="5" t="str">
        <f>IFERROR(__xludf.DUMMYFUNCTION("GOOGLETRANSLATE(B11015,""en"",""it"")"),"Un uomo è in piedi su un palco di notte con molte luci da palcoscenico, una band dietro di lui e una folla di fronte a lui e sta suonando un tubo di borsa.")</f>
        <v>Un uomo è in piedi su un palco di notte con molte luci da palcoscenico, una band dietro di lui e una folla di fronte a lui e sta suonando un tubo di borsa.</v>
      </c>
    </row>
    <row r="11016">
      <c r="A11016" s="4" t="s">
        <v>13855</v>
      </c>
      <c r="B11016" s="4" t="s">
        <v>13857</v>
      </c>
      <c r="C11016" s="5" t="str">
        <f>IFERROR(__xludf.DUMMYFUNCTION("GOOGLETRANSLATE(B11016,""en"",""it"")"),"Un altro uomo sale sul palco suonando la chitarra e le luci vanno a lampeggiare.")</f>
        <v>Un altro uomo sale sul palco suonando la chitarra e le luci vanno a lampeggiare.</v>
      </c>
    </row>
    <row r="11017">
      <c r="A11017" s="4" t="s">
        <v>13855</v>
      </c>
      <c r="B11017" s="6" t="s">
        <v>13858</v>
      </c>
      <c r="C11017" s="5" t="str">
        <f>IFERROR(__xludf.DUMMYFUNCTION("GOOGLETRANSLATE(B11017,""en"",""it"")"),"Quando l'uomo ha finito di suonare la cornamusa, un altro uomo corre sul palco per prenderlo da lui, e l'uomo che suonava la cornamusa prende qualcosa da bere, poi afferra un microfono e inizia a cantare e agitarsi il braccio destro in aria.")</f>
        <v>Quando l'uomo ha finito di suonare la cornamusa, un altro uomo corre sul palco per prenderlo da lui, e l'uomo che suonava la cornamusa prende qualcosa da bere, poi afferra un microfono e inizia a cantare e agitarsi il braccio destro in aria.</v>
      </c>
    </row>
    <row r="11018">
      <c r="A11018" s="4" t="s">
        <v>13859</v>
      </c>
      <c r="B11018" s="6" t="s">
        <v>13860</v>
      </c>
      <c r="C11018" s="5" t="str">
        <f>IFERROR(__xludf.DUMMYFUNCTION("GOOGLETRANSLATE(B11018,""en"",""it"")"),"Due uomini fuori nei boschi mentre un uomo che indossa un cappuccio in maglia si bilancia su una corda legata su due alberi mentre un uomo con una barba nera sostiene l'uomo con il cappuccio in maglia.")</f>
        <v>Due uomini fuori nei boschi mentre un uomo che indossa un cappuccio in maglia si bilancia su una corda legata su due alberi mentre un uomo con una barba nera sostiene l'uomo con il cappuccio in maglia.</v>
      </c>
    </row>
    <row r="11019">
      <c r="A11019" s="4" t="s">
        <v>13859</v>
      </c>
      <c r="B11019" s="4" t="s">
        <v>13861</v>
      </c>
      <c r="C11019" s="5" t="str">
        <f>IFERROR(__xludf.DUMMYFUNCTION("GOOGLETRANSLATE(B11019,""en"",""it"")"),"L'uomo con la barba libera l'uomo sulla corda e si allontana.")</f>
        <v>L'uomo con la barba libera l'uomo sulla corda e si allontana.</v>
      </c>
    </row>
    <row r="11020">
      <c r="A11020" s="4" t="s">
        <v>13859</v>
      </c>
      <c r="B11020" s="6" t="s">
        <v>13862</v>
      </c>
      <c r="C11020" s="5" t="str">
        <f>IFERROR(__xludf.DUMMYFUNCTION("GOOGLETRANSLATE(B11020,""en"",""it"")"),"Un uomo in una felpa verde si bilancia sulla corda mentre l'uomo nella barba sostiene l'uomo sulla corda.")</f>
        <v>Un uomo in una felpa verde si bilancia sulla corda mentre l'uomo nella barba sostiene l'uomo sulla corda.</v>
      </c>
    </row>
    <row r="11021">
      <c r="A11021" s="4" t="s">
        <v>13859</v>
      </c>
      <c r="B11021" s="6" t="s">
        <v>13863</v>
      </c>
      <c r="C11021" s="5" t="str">
        <f>IFERROR(__xludf.DUMMYFUNCTION("GOOGLETRANSLATE(B11021,""en"",""it"")"),"Un uomo con una camicia grigia si allontana da un uomo che indossa una camicia nera e si esibisce con una capriola e atterra saldamente sul terreno coperto di foglie.")</f>
        <v>Un uomo con una camicia grigia si allontana da un uomo che indossa una camicia nera e si esibisce con una capriola e atterra saldamente sul terreno coperto di foglie.</v>
      </c>
    </row>
    <row r="11022">
      <c r="A11022" s="4" t="s">
        <v>13864</v>
      </c>
      <c r="B11022" s="6" t="s">
        <v>13865</v>
      </c>
      <c r="C11022" s="5" t="str">
        <f>IFERROR(__xludf.DUMMYFUNCTION("GOOGLETRANSLATE(B11022,""en"",""it"")"),"Una schermata introduttiva bianca appare con effetti speciali e molta colorazione che include parole, numeri e loghi.")</f>
        <v>Una schermata introduttiva bianca appare con effetti speciali e molta colorazione che include parole, numeri e loghi.</v>
      </c>
    </row>
    <row r="11023">
      <c r="A11023" s="4" t="s">
        <v>13864</v>
      </c>
      <c r="B11023" s="6" t="s">
        <v>13866</v>
      </c>
      <c r="C11023" s="5" t="str">
        <f>IFERROR(__xludf.DUMMYFUNCTION("GOOGLETRANSLATE(B11023,""en"",""it"")"),"Gli uomini vengono quindi mostrati in una stanza buia piena di persone mentre mettono le camicie, stringono le mani con gli altri, posano e poi iniziano una partita di biliardo mentre le immagini della loro bandiera si presentano brevemente sullo schermo "&amp;"e molte persone intorno a loro guardano Come uomini diversi si uniscono l'uno contro l'altro.")</f>
        <v>Gli uomini vengono quindi mostrati in una stanza buia piena di persone mentre mettono le camicie, stringono le mani con gli altri, posano e poi iniziano una partita di biliardo mentre le immagini della loro bandiera si presentano brevemente sullo schermo e molte persone intorno a loro guardano Come uomini diversi si uniscono l'uno contro l'altro.</v>
      </c>
    </row>
    <row r="11024">
      <c r="A11024" s="4" t="s">
        <v>13864</v>
      </c>
      <c r="B11024" s="6" t="s">
        <v>13867</v>
      </c>
      <c r="C11024" s="5" t="str">
        <f>IFERROR(__xludf.DUMMYFUNCTION("GOOGLETRANSLATE(B11024,""en"",""it"")"),"Quando hanno finito di suonare un uomo e una donna sono in piedi e parlano a un microfono mentre un uomo si svolge su una scatola per un altro uomo e scendono dal palco.")</f>
        <v>Quando hanno finito di suonare un uomo e una donna sono in piedi e parlano a un microfono mentre un uomo si svolge su una scatola per un altro uomo e scendono dal palco.</v>
      </c>
    </row>
    <row r="11025">
      <c r="A11025" s="4" t="s">
        <v>13864</v>
      </c>
      <c r="B11025" s="6" t="s">
        <v>13868</v>
      </c>
      <c r="C11025" s="5" t="str">
        <f>IFERROR(__xludf.DUMMYFUNCTION("GOOGLETRANSLATE(B11025,""en"",""it"")"),"Lo stesso schermo bianco dall'inizio appare con effetti speciali e molte parole colorate, quindi svanisce sul nero.")</f>
        <v>Lo stesso schermo bianco dall'inizio appare con effetti speciali e molte parole colorate, quindi svanisce sul nero.</v>
      </c>
    </row>
    <row r="11026">
      <c r="A11026" s="4" t="s">
        <v>13869</v>
      </c>
      <c r="B11026" s="4" t="s">
        <v>69</v>
      </c>
      <c r="C11026" s="5" t="str">
        <f>IFERROR(__xludf.DUMMYFUNCTION("GOOGLETRANSLATE(B11026,""en"",""it"")"),"Le persone giocano a lacrosse su un campo d'erba.")</f>
        <v>Le persone giocano a lacrosse su un campo d'erba.</v>
      </c>
    </row>
    <row r="11027">
      <c r="A11027" s="4" t="s">
        <v>13869</v>
      </c>
      <c r="B11027" s="4" t="s">
        <v>13870</v>
      </c>
      <c r="C11027" s="5" t="str">
        <f>IFERROR(__xludf.DUMMYFUNCTION("GOOGLETRANSLATE(B11027,""en"",""it"")"),"Un uomo con una camicia bianca sta parlando con la telecamera.")</f>
        <v>Un uomo con una camicia bianca sta parlando con la telecamera.</v>
      </c>
    </row>
    <row r="11028">
      <c r="A11028" s="4" t="s">
        <v>13869</v>
      </c>
      <c r="B11028" s="4" t="s">
        <v>13871</v>
      </c>
      <c r="C11028" s="5" t="str">
        <f>IFERROR(__xludf.DUMMYFUNCTION("GOOGLETRANSLATE(B11028,""en"",""it"")"),"Una ragazza poi parla con la telecamera.")</f>
        <v>Una ragazza poi parla con la telecamera.</v>
      </c>
    </row>
    <row r="11029">
      <c r="A11029" s="4" t="s">
        <v>13869</v>
      </c>
      <c r="B11029" s="4" t="s">
        <v>13872</v>
      </c>
      <c r="C11029" s="5" t="str">
        <f>IFERROR(__xludf.DUMMYFUNCTION("GOOGLETRANSLATE(B11029,""en"",""it"")"),"Le bottiglie d'acqua rosa sono in una scatola.")</f>
        <v>Le bottiglie d'acqua rosa sono in una scatola.</v>
      </c>
    </row>
    <row r="11030">
      <c r="A11030" s="4" t="s">
        <v>13869</v>
      </c>
      <c r="B11030" s="4" t="s">
        <v>13873</v>
      </c>
      <c r="C11030" s="5" t="str">
        <f>IFERROR(__xludf.DUMMYFUNCTION("GOOGLETRANSLATE(B11030,""en"",""it"")"),"Camminano sul campo e iniziano a giocare.")</f>
        <v>Camminano sul campo e iniziano a giocare.</v>
      </c>
    </row>
    <row r="11031">
      <c r="A11031" s="4" t="s">
        <v>13874</v>
      </c>
      <c r="B11031" s="4" t="s">
        <v>13875</v>
      </c>
      <c r="C11031" s="5" t="str">
        <f>IFERROR(__xludf.DUMMYFUNCTION("GOOGLETRANSLATE(B11031,""en"",""it"")"),"Un gioco generato da un uomo di un uomo, inizia a girare.")</f>
        <v>Un gioco generato da un uomo di un uomo, inizia a girare.</v>
      </c>
    </row>
    <row r="11032">
      <c r="A11032" s="4" t="s">
        <v>13874</v>
      </c>
      <c r="B11032" s="4" t="s">
        <v>13876</v>
      </c>
      <c r="C11032" s="5" t="str">
        <f>IFERROR(__xludf.DUMMYFUNCTION("GOOGLETRANSLATE(B11032,""en"",""it"")"),"Si gira rapidamente e lascia andare il frisbee e gli arbitri si sono imbattuti per segnare dove atterra.")</f>
        <v>Si gira rapidamente e lascia andare il frisbee e gli arbitri si sono imbattuti per segnare dove atterra.</v>
      </c>
    </row>
    <row r="11033">
      <c r="A11033" s="4" t="s">
        <v>13874</v>
      </c>
      <c r="B11033" s="4" t="s">
        <v>13877</v>
      </c>
      <c r="C11033" s="5" t="str">
        <f>IFERROR(__xludf.DUMMYFUNCTION("GOOGLETRANSLATE(B11033,""en"",""it"")"),"L'uomo ricomincia a farlo, gira e lancia di nuovo.")</f>
        <v>L'uomo ricomincia a farlo, gira e lancia di nuovo.</v>
      </c>
    </row>
    <row r="11034">
      <c r="A11034" s="4" t="s">
        <v>13874</v>
      </c>
      <c r="B11034" s="6" t="s">
        <v>13878</v>
      </c>
      <c r="C11034" s="5" t="str">
        <f>IFERROR(__xludf.DUMMYFUNCTION("GOOGLETRANSLATE(B11034,""en"",""it"")"),"Il punteggio viene visualizzato sullo schermo prima che giri e lancia di nuovo e poi applaude nell'eccitazione.")</f>
        <v>Il punteggio viene visualizzato sullo schermo prima che giri e lancia di nuovo e poi applaude nell'eccitazione.</v>
      </c>
    </row>
    <row r="11035">
      <c r="A11035" s="4" t="s">
        <v>13879</v>
      </c>
      <c r="B11035" s="6" t="s">
        <v>13880</v>
      </c>
      <c r="C11035" s="5" t="str">
        <f>IFERROR(__xludf.DUMMYFUNCTION("GOOGLETRANSLATE(B11035,""en"",""it"")"),"Alcuni stanno trasportando una custodia per strumenti che cammina fuori, mettono giù la custodia a terra ed eliminano un violino.")</f>
        <v>Alcuni stanno trasportando una custodia per strumenti che cammina fuori, mettono giù la custodia a terra ed eliminano un violino.</v>
      </c>
    </row>
    <row r="11036">
      <c r="A11036" s="4" t="s">
        <v>13879</v>
      </c>
      <c r="B11036" s="4" t="s">
        <v>13881</v>
      </c>
      <c r="C11036" s="5" t="str">
        <f>IFERROR(__xludf.DUMMYFUNCTION("GOOGLETRANSLATE(B11036,""en"",""it"")"),"La donna suona il violino ovunque vada e balla anche mentre suona.")</f>
        <v>La donna suona il violino ovunque vada e balla anche mentre suona.</v>
      </c>
    </row>
    <row r="11037">
      <c r="A11037" s="4" t="s">
        <v>13879</v>
      </c>
      <c r="B11037" s="6" t="s">
        <v>13882</v>
      </c>
      <c r="C11037" s="5" t="str">
        <f>IFERROR(__xludf.DUMMYFUNCTION("GOOGLETRANSLATE(B11037,""en"",""it"")"),"Fa alcuni movimenti del suo corpo facendole piegare quasi toccando il terreno mentre ancora si intreccia sul violino.")</f>
        <v>Fa alcuni movimenti del suo corpo facendole piegare quasi toccando il terreno mentre ancora si intreccia sul violino.</v>
      </c>
    </row>
    <row r="11038">
      <c r="A11038" s="4" t="s">
        <v>13879</v>
      </c>
      <c r="B11038" s="4" t="s">
        <v>13883</v>
      </c>
      <c r="C11038" s="5" t="str">
        <f>IFERROR(__xludf.DUMMYFUNCTION("GOOGLETRANSLATE(B11038,""en"",""it"")"),"È molto intensa al riguardo, suona e gioca e quando ha finito si allontana casualmente.")</f>
        <v>È molto intensa al riguardo, suona e gioca e quando ha finito si allontana casualmente.</v>
      </c>
    </row>
    <row r="11039">
      <c r="A11039" s="4" t="s">
        <v>13884</v>
      </c>
      <c r="B11039" s="4" t="s">
        <v>13885</v>
      </c>
      <c r="C11039" s="5" t="str">
        <f>IFERROR(__xludf.DUMMYFUNCTION("GOOGLETRANSLATE(B11039,""en"",""it"")"),"Una donna suona il flauto seduto su un piano mentre si muove i piedi.")</f>
        <v>Una donna suona il flauto seduto su un piano mentre si muove i piedi.</v>
      </c>
    </row>
    <row r="11040">
      <c r="A11040" s="4" t="s">
        <v>13884</v>
      </c>
      <c r="B11040" s="4" t="s">
        <v>13886</v>
      </c>
      <c r="C11040" s="5" t="str">
        <f>IFERROR(__xludf.DUMMYFUNCTION("GOOGLETRANSLATE(B11040,""en"",""it"")"),"La donna finisce di giocare a prua e sorride.")</f>
        <v>La donna finisce di giocare a prua e sorride.</v>
      </c>
    </row>
    <row r="11041">
      <c r="A11041" s="4" t="s">
        <v>13887</v>
      </c>
      <c r="B11041" s="4" t="s">
        <v>13888</v>
      </c>
      <c r="C11041" s="5" t="str">
        <f>IFERROR(__xludf.DUMMYFUNCTION("GOOGLETRANSLATE(B11041,""en"",""it"")"),"Viene vista una donna parlare alla telecamera e riversare liquidi in una custodia.")</f>
        <v>Viene vista una donna parlare alla telecamera e riversare liquidi in una custodia.</v>
      </c>
    </row>
    <row r="11042">
      <c r="A11042" s="4" t="s">
        <v>13887</v>
      </c>
      <c r="B11042" s="4" t="s">
        <v>13889</v>
      </c>
      <c r="C11042" s="5" t="str">
        <f>IFERROR(__xludf.DUMMYFUNCTION("GOOGLETRANSLATE(B11042,""en"",""it"")"),"Quindi tira i contatti nella custodia e poi ne mette uno in ogni occhio.")</f>
        <v>Quindi tira i contatti nella custodia e poi ne mette uno in ogni occhio.</v>
      </c>
    </row>
    <row r="11043">
      <c r="A11043" s="4" t="s">
        <v>13887</v>
      </c>
      <c r="B11043" s="4" t="s">
        <v>13890</v>
      </c>
      <c r="C11043" s="5" t="str">
        <f>IFERROR(__xludf.DUMMYFUNCTION("GOOGLETRANSLATE(B11043,""en"",""it"")"),"Al fine regge il caso seguito da lei che ha riportato i contatti nel caso.")</f>
        <v>Al fine regge il caso seguito da lei che ha riportato i contatti nel caso.</v>
      </c>
    </row>
    <row r="11044">
      <c r="A11044" s="4" t="s">
        <v>13891</v>
      </c>
      <c r="B11044" s="4" t="s">
        <v>13892</v>
      </c>
      <c r="C11044" s="5" t="str">
        <f>IFERROR(__xludf.DUMMYFUNCTION("GOOGLETRANSLATE(B11044,""en"",""it"")"),"La gente si affretta a un fiume roccioso.")</f>
        <v>La gente si affretta a un fiume roccioso.</v>
      </c>
    </row>
    <row r="11045">
      <c r="A11045" s="4" t="s">
        <v>13891</v>
      </c>
      <c r="B11045" s="4" t="s">
        <v>13893</v>
      </c>
      <c r="C11045" s="5" t="str">
        <f>IFERROR(__xludf.DUMMYFUNCTION("GOOGLETRANSLATE(B11045,""en"",""it"")"),"Improvvisamente, la barca si gira e tutti gli uomini cadono in acqua.")</f>
        <v>Improvvisamente, la barca si gira e tutti gli uomini cadono in acqua.</v>
      </c>
    </row>
    <row r="11046">
      <c r="A11046" s="4" t="s">
        <v>13891</v>
      </c>
      <c r="B11046" s="4" t="s">
        <v>13894</v>
      </c>
      <c r="C11046" s="5" t="str">
        <f>IFERROR(__xludf.DUMMYFUNCTION("GOOGLETRANSLATE(B11046,""en"",""it"")"),"Quindi, le persone raggiungono la riva, mentre un uomo sale una roccia.")</f>
        <v>Quindi, le persone raggiungono la riva, mentre un uomo sale una roccia.</v>
      </c>
    </row>
    <row r="11047">
      <c r="A11047" s="4" t="s">
        <v>13891</v>
      </c>
      <c r="B11047" s="4" t="s">
        <v>13895</v>
      </c>
      <c r="C11047" s="5" t="str">
        <f>IFERROR(__xludf.DUMMYFUNCTION("GOOGLETRANSLATE(B11047,""en"",""it"")"),"Dopo, le persone in una barca salvano un uomo in acqua e recuperano la barca.")</f>
        <v>Dopo, le persone in una barca salvano un uomo in acqua e recuperano la barca.</v>
      </c>
    </row>
    <row r="11048">
      <c r="A11048" s="4" t="s">
        <v>13891</v>
      </c>
      <c r="B11048" s="4" t="s">
        <v>13896</v>
      </c>
      <c r="C11048" s="5" t="str">
        <f>IFERROR(__xludf.DUMMYFUNCTION("GOOGLETRANSLATE(B11048,""en"",""it"")"),"Due uomini sono sulla riva accanto a una scala.")</f>
        <v>Due uomini sono sulla riva accanto a una scala.</v>
      </c>
    </row>
    <row r="11049">
      <c r="A11049" s="4" t="s">
        <v>13891</v>
      </c>
      <c r="B11049" s="4" t="s">
        <v>13897</v>
      </c>
      <c r="C11049" s="5" t="str">
        <f>IFERROR(__xludf.DUMMYFUNCTION("GOOGLETRANSLATE(B11049,""en"",""it"")"),"Le travi sono ancora in acqua in attesa.")</f>
        <v>Le travi sono ancora in acqua in attesa.</v>
      </c>
    </row>
    <row r="11050">
      <c r="A11050" s="4" t="s">
        <v>13898</v>
      </c>
      <c r="B11050" s="4" t="s">
        <v>13899</v>
      </c>
      <c r="C11050" s="5" t="str">
        <f>IFERROR(__xludf.DUMMYFUNCTION("GOOGLETRANSLATE(B11050,""en"",""it"")"),"Le persone giocano a Beer Pong mentre altre persone guardano.")</f>
        <v>Le persone giocano a Beer Pong mentre altre persone guardano.</v>
      </c>
    </row>
    <row r="11051">
      <c r="A11051" s="4" t="s">
        <v>13898</v>
      </c>
      <c r="B11051" s="4" t="s">
        <v>13900</v>
      </c>
      <c r="C11051" s="5" t="str">
        <f>IFERROR(__xludf.DUMMYFUNCTION("GOOGLETRANSLATE(B11051,""en"",""it"")"),"Le persone si sono felici quando la palla entra in una tazza.")</f>
        <v>Le persone si sono felici quando la palla entra in una tazza.</v>
      </c>
    </row>
    <row r="11052">
      <c r="A11052" s="4" t="s">
        <v>13898</v>
      </c>
      <c r="B11052" s="4" t="s">
        <v>13901</v>
      </c>
      <c r="C11052" s="5" t="str">
        <f>IFERROR(__xludf.DUMMYFUNCTION("GOOGLETRANSLATE(B11052,""en"",""it"")"),"Quindi, un uomo lancia una palla all'interno di una tazza e una persona beve il liquido nella tazza.")</f>
        <v>Quindi, un uomo lancia una palla all'interno di una tazza e una persona beve il liquido nella tazza.</v>
      </c>
    </row>
    <row r="11053">
      <c r="A11053" s="4" t="s">
        <v>13898</v>
      </c>
      <c r="B11053" s="4" t="s">
        <v>13902</v>
      </c>
      <c r="C11053" s="5" t="str">
        <f>IFERROR(__xludf.DUMMYFUNCTION("GOOGLETRANSLATE(B11053,""en"",""it"")"),"Un uomo lancia una palla all'interno di una tazza e la gente si congratula e abbraccia l'uomo.")</f>
        <v>Un uomo lancia una palla all'interno di una tazza e la gente si congratula e abbraccia l'uomo.</v>
      </c>
    </row>
    <row r="11054">
      <c r="A11054" s="4" t="s">
        <v>13903</v>
      </c>
      <c r="B11054" s="6" t="s">
        <v>13904</v>
      </c>
      <c r="C11054" s="5" t="str">
        <f>IFERROR(__xludf.DUMMYFUNCTION("GOOGLETRANSLATE(B11054,""en"",""it"")"),"Viene vista una persona parlare alla telecamera e camminare in un negozio di tatuaggi, seguita da una persona tatuata da un artista.")</f>
        <v>Viene vista una persona parlare alla telecamera e camminare in un negozio di tatuaggi, seguita da una persona tatuata da un artista.</v>
      </c>
    </row>
    <row r="11055">
      <c r="A11055" s="4" t="s">
        <v>13903</v>
      </c>
      <c r="B11055" s="6" t="s">
        <v>13905</v>
      </c>
      <c r="C11055" s="5" t="str">
        <f>IFERROR(__xludf.DUMMYFUNCTION("GOOGLETRANSLATE(B11055,""en"",""it"")"),"L'uomo continua a parlare con la telecamera mentre un altro viene tatuato in background e continua a parlare con la telecamera.")</f>
        <v>L'uomo continua a parlare con la telecamera mentre un altro viene tatuato in background e continua a parlare con la telecamera.</v>
      </c>
    </row>
    <row r="11056">
      <c r="A11056" s="4" t="s">
        <v>13906</v>
      </c>
      <c r="B11056" s="4" t="s">
        <v>13907</v>
      </c>
      <c r="C11056" s="5" t="str">
        <f>IFERROR(__xludf.DUMMYFUNCTION("GOOGLETRANSLATE(B11056,""en"",""it"")"),"Vediamo una scheda blu.")</f>
        <v>Vediamo una scheda blu.</v>
      </c>
    </row>
    <row r="11057">
      <c r="A11057" s="4" t="s">
        <v>13906</v>
      </c>
      <c r="B11057" s="4" t="s">
        <v>13908</v>
      </c>
      <c r="C11057" s="5" t="str">
        <f>IFERROR(__xludf.DUMMYFUNCTION("GOOGLETRANSLATE(B11057,""en"",""it"")"),"Un uomo e una donna iniziano a ballare in una sala da ballo.")</f>
        <v>Un uomo e una donna iniziano a ballare in una sala da ballo.</v>
      </c>
    </row>
    <row r="11058">
      <c r="A11058" s="4" t="s">
        <v>13906</v>
      </c>
      <c r="B11058" s="4" t="s">
        <v>13909</v>
      </c>
      <c r="C11058" s="5" t="str">
        <f>IFERROR(__xludf.DUMMYFUNCTION("GOOGLETRANSLATE(B11058,""en"",""it"")"),"Si fermano e la signora le spinge la gamba.")</f>
        <v>Si fermano e la signora le spinge la gamba.</v>
      </c>
    </row>
    <row r="11059">
      <c r="A11059" s="4" t="s">
        <v>13906</v>
      </c>
      <c r="B11059" s="4" t="s">
        <v>13910</v>
      </c>
      <c r="C11059" s="5" t="str">
        <f>IFERROR(__xludf.DUMMYFUNCTION("GOOGLETRANSLATE(B11059,""en"",""it"")"),"L'uomo immerge la signora.")</f>
        <v>L'uomo immerge la signora.</v>
      </c>
    </row>
    <row r="11060">
      <c r="A11060" s="4" t="s">
        <v>13906</v>
      </c>
      <c r="B11060" s="4" t="s">
        <v>13911</v>
      </c>
      <c r="C11060" s="5" t="str">
        <f>IFERROR(__xludf.DUMMYFUNCTION("GOOGLETRANSLATE(B11060,""en"",""it"")"),"La signora scivola a terra.")</f>
        <v>La signora scivola a terra.</v>
      </c>
    </row>
    <row r="11061">
      <c r="A11061" s="4" t="s">
        <v>13906</v>
      </c>
      <c r="B11061" s="4" t="s">
        <v>13912</v>
      </c>
      <c r="C11061" s="5" t="str">
        <f>IFERROR(__xludf.DUMMYFUNCTION("GOOGLETRANSLATE(B11061,""en"",""it"")"),"La signora fa le divisioni.")</f>
        <v>La signora fa le divisioni.</v>
      </c>
    </row>
    <row r="11062">
      <c r="A11062" s="4" t="s">
        <v>13906</v>
      </c>
      <c r="B11062" s="4" t="s">
        <v>13913</v>
      </c>
      <c r="C11062" s="5" t="str">
        <f>IFERROR(__xludf.DUMMYFUNCTION("GOOGLETRANSLATE(B11062,""en"",""it"")"),"L'uomo solleva la signora in aria.")</f>
        <v>L'uomo solleva la signora in aria.</v>
      </c>
    </row>
    <row r="11063">
      <c r="A11063" s="4" t="s">
        <v>13906</v>
      </c>
      <c r="B11063" s="4" t="s">
        <v>13914</v>
      </c>
      <c r="C11063" s="5" t="str">
        <f>IFERROR(__xludf.DUMMYFUNCTION("GOOGLETRANSLATE(B11063,""en"",""it"")"),"Cambiamo e vediamo persone che ballano in luoghi diversi.")</f>
        <v>Cambiamo e vediamo persone che ballano in luoghi diversi.</v>
      </c>
    </row>
    <row r="11064">
      <c r="A11064" s="4" t="s">
        <v>13906</v>
      </c>
      <c r="B11064" s="4" t="s">
        <v>13915</v>
      </c>
      <c r="C11064" s="5" t="str">
        <f>IFERROR(__xludf.DUMMYFUNCTION("GOOGLETRANSLATE(B11064,""en"",""it"")"),"Vediamo lo schermo di fine blu.")</f>
        <v>Vediamo lo schermo di fine blu.</v>
      </c>
    </row>
    <row r="11065">
      <c r="A11065" s="4" t="s">
        <v>13916</v>
      </c>
      <c r="B11065" s="4" t="s">
        <v>13917</v>
      </c>
      <c r="C11065" s="5" t="str">
        <f>IFERROR(__xludf.DUMMYFUNCTION("GOOGLETRANSLATE(B11065,""en"",""it"")"),"Un uomo viene visto ballare in una discoteca con due donne intorno a lui.")</f>
        <v>Un uomo viene visto ballare in una discoteca con due donne intorno a lui.</v>
      </c>
    </row>
    <row r="11066">
      <c r="A11066" s="4" t="s">
        <v>13916</v>
      </c>
      <c r="B11066" s="4" t="s">
        <v>13918</v>
      </c>
      <c r="C11066" s="5" t="str">
        <f>IFERROR(__xludf.DUMMYFUNCTION("GOOGLETRANSLATE(B11066,""en"",""it"")"),"I tre continuano a ballare l'uno con l'altro mentre altri ballano sul lato.")</f>
        <v>I tre continuano a ballare l'uno con l'altro mentre altri ballano sul lato.</v>
      </c>
    </row>
    <row r="11067">
      <c r="A11067" s="4" t="s">
        <v>13916</v>
      </c>
      <c r="B11067" s="4" t="s">
        <v>13919</v>
      </c>
      <c r="C11067" s="5" t="str">
        <f>IFERROR(__xludf.DUMMYFUNCTION("GOOGLETRANSLATE(B11067,""en"",""it"")"),"Le persone ballano l'una verso l'altra mentre la telecamera cattura i loro movimenti.")</f>
        <v>Le persone ballano l'una verso l'altra mentre la telecamera cattura i loro movimenti.</v>
      </c>
    </row>
    <row r="11068">
      <c r="A11068" s="4" t="s">
        <v>13920</v>
      </c>
      <c r="B11068" s="4" t="s">
        <v>13921</v>
      </c>
      <c r="C11068" s="5" t="str">
        <f>IFERROR(__xludf.DUMMYFUNCTION("GOOGLETRANSLATE(B11068,""en"",""it"")"),"Una persona dipinge unghie a una donna che usa lo smalto viola.")</f>
        <v>Una persona dipinge unghie a una donna che usa lo smalto viola.</v>
      </c>
    </row>
    <row r="11069">
      <c r="A11069" s="4" t="s">
        <v>13920</v>
      </c>
      <c r="B11069" s="4" t="s">
        <v>13922</v>
      </c>
      <c r="C11069" s="5" t="str">
        <f>IFERROR(__xludf.DUMMYFUNCTION("GOOGLETRANSLATE(B11069,""en"",""it"")"),"Una donna sta guardando in basso.")</f>
        <v>Una donna sta guardando in basso.</v>
      </c>
    </row>
    <row r="11070">
      <c r="A11070" s="4" t="s">
        <v>13923</v>
      </c>
      <c r="B11070" s="6" t="s">
        <v>13924</v>
      </c>
      <c r="C11070" s="5" t="str">
        <f>IFERROR(__xludf.DUMMYFUNCTION("GOOGLETRANSLATE(B11070,""en"",""it"")"),"Una donna è vista seduta su una sedia che parla e saluta la telecamera e si guarda allo specchio che mostra a lei e all'uomo della telecamera.")</f>
        <v>Una donna è vista seduta su una sedia che parla e saluta la telecamera e si guarda allo specchio che mostra a lei e all'uomo della telecamera.</v>
      </c>
    </row>
    <row r="11071">
      <c r="A11071" s="4" t="s">
        <v>13923</v>
      </c>
      <c r="B11071" s="4" t="s">
        <v>13925</v>
      </c>
      <c r="C11071" s="5" t="str">
        <f>IFERROR(__xludf.DUMMYFUNCTION("GOOGLETRANSLATE(B11071,""en"",""it"")"),"Un tatuatore si inserisce quindi nella cornice e inizia a tatuare un simbolo sul collo della ragazza.")</f>
        <v>Un tatuatore si inserisce quindi nella cornice e inizia a tatuare un simbolo sul collo della ragazza.</v>
      </c>
    </row>
    <row r="11072">
      <c r="A11072" s="4" t="s">
        <v>13923</v>
      </c>
      <c r="B11072" s="4" t="s">
        <v>13926</v>
      </c>
      <c r="C11072" s="5" t="str">
        <f>IFERROR(__xludf.DUMMYFUNCTION("GOOGLETRANSLATE(B11072,""en"",""it"")"),"Alla fine vengono mostrate le foto del tatuaggio della ragazza.")</f>
        <v>Alla fine vengono mostrate le foto del tatuaggio della ragazza.</v>
      </c>
    </row>
    <row r="11073">
      <c r="A11073" s="4" t="s">
        <v>13927</v>
      </c>
      <c r="B11073" s="4" t="s">
        <v>13928</v>
      </c>
      <c r="C11073" s="5" t="str">
        <f>IFERROR(__xludf.DUMMYFUNCTION("GOOGLETRANSLATE(B11073,""en"",""it"")"),"Un'introduzione porta a un piccolo gruppo di bambini piccoli in piedi su un palcoscenico che tiene strumenti.")</f>
        <v>Un'introduzione porta a un piccolo gruppo di bambini piccoli in piedi su un palcoscenico che tiene strumenti.</v>
      </c>
    </row>
    <row r="11074">
      <c r="A11074" s="4" t="s">
        <v>13927</v>
      </c>
      <c r="B11074" s="4" t="s">
        <v>13929</v>
      </c>
      <c r="C11074" s="5" t="str">
        <f>IFERROR(__xludf.DUMMYFUNCTION("GOOGLETRANSLATE(B11074,""en"",""it"")"),"Iniziano a suonare gli strumenti mentre la telecamera si zoom di ciascuno di essi giocando.")</f>
        <v>Iniziano a suonare gli strumenti mentre la telecamera si zoom di ciascuno di essi giocando.</v>
      </c>
    </row>
    <row r="11075">
      <c r="A11075" s="4" t="s">
        <v>13930</v>
      </c>
      <c r="B11075" s="4" t="s">
        <v>13931</v>
      </c>
      <c r="C11075" s="5" t="str">
        <f>IFERROR(__xludf.DUMMYFUNCTION("GOOGLETRANSLATE(B11075,""en"",""it"")"),"Una donna che indossa un cappello da Babbo Natale sta parlando.")</f>
        <v>Una donna che indossa un cappello da Babbo Natale sta parlando.</v>
      </c>
    </row>
    <row r="11076">
      <c r="A11076" s="4" t="s">
        <v>13930</v>
      </c>
      <c r="B11076" s="4" t="s">
        <v>13932</v>
      </c>
      <c r="C11076" s="5" t="str">
        <f>IFERROR(__xludf.DUMMYFUNCTION("GOOGLETRANSLATE(B11076,""en"",""it"")"),"Mette le luci di Natale sull'albero.")</f>
        <v>Mette le luci di Natale sull'albero.</v>
      </c>
    </row>
    <row r="11077">
      <c r="A11077" s="4" t="s">
        <v>13930</v>
      </c>
      <c r="B11077" s="4" t="s">
        <v>13933</v>
      </c>
      <c r="C11077" s="5" t="str">
        <f>IFERROR(__xludf.DUMMYFUNCTION("GOOGLETRANSLATE(B11077,""en"",""it"")"),"Mette il nastro attorno all'albero.")</f>
        <v>Mette il nastro attorno all'albero.</v>
      </c>
    </row>
    <row r="11078">
      <c r="A11078" s="4" t="s">
        <v>13930</v>
      </c>
      <c r="B11078" s="4" t="s">
        <v>13934</v>
      </c>
      <c r="C11078" s="5" t="str">
        <f>IFERROR(__xludf.DUMMYFUNCTION("GOOGLETRANSLATE(B11078,""en"",""it"")"),"Stringe le decorazioni intorno all'albero.")</f>
        <v>Stringe le decorazioni intorno all'albero.</v>
      </c>
    </row>
    <row r="11079">
      <c r="A11079" s="4" t="s">
        <v>13930</v>
      </c>
      <c r="B11079" s="4" t="s">
        <v>13935</v>
      </c>
      <c r="C11079" s="5" t="str">
        <f>IFERROR(__xludf.DUMMYFUNCTION("GOOGLETRANSLATE(B11079,""en"",""it"")"),"Mette le lampadine sull'albero di Natale.")</f>
        <v>Mette le lampadine sull'albero di Natale.</v>
      </c>
    </row>
    <row r="11080">
      <c r="A11080" s="4" t="s">
        <v>13930</v>
      </c>
      <c r="B11080" s="4" t="s">
        <v>13936</v>
      </c>
      <c r="C11080" s="5" t="str">
        <f>IFERROR(__xludf.DUMMYFUNCTION("GOOGLETRANSLATE(B11080,""en"",""it"")"),"Mette piccoli animali di peluche sull'albero.")</f>
        <v>Mette piccoli animali di peluche sull'albero.</v>
      </c>
    </row>
    <row r="11081">
      <c r="A11081" s="4" t="s">
        <v>13930</v>
      </c>
      <c r="B11081" s="4" t="s">
        <v>13937</v>
      </c>
      <c r="C11081" s="5" t="str">
        <f>IFERROR(__xludf.DUMMYFUNCTION("GOOGLETRANSLATE(B11081,""en"",""it"")"),"Mette le canne di caramelle sull'albero.")</f>
        <v>Mette le canne di caramelle sull'albero.</v>
      </c>
    </row>
    <row r="11082">
      <c r="A11082" s="4" t="s">
        <v>13930</v>
      </c>
      <c r="B11082" s="4" t="s">
        <v>13938</v>
      </c>
      <c r="C11082" s="5" t="str">
        <f>IFERROR(__xludf.DUMMYFUNCTION("GOOGLETRANSLATE(B11082,""en"",""it"")"),"Mette una stella sull'albero.")</f>
        <v>Mette una stella sull'albero.</v>
      </c>
    </row>
    <row r="11083">
      <c r="A11083" s="4" t="s">
        <v>13930</v>
      </c>
      <c r="B11083" s="4" t="s">
        <v>13939</v>
      </c>
      <c r="C11083" s="5" t="str">
        <f>IFERROR(__xludf.DUMMYFUNCTION("GOOGLETRANSLATE(B11083,""en"",""it"")"),"La stella cade dall'albero.")</f>
        <v>La stella cade dall'albero.</v>
      </c>
    </row>
    <row r="11084">
      <c r="A11084" s="4" t="s">
        <v>13930</v>
      </c>
      <c r="B11084" s="4" t="s">
        <v>13940</v>
      </c>
      <c r="C11084" s="5" t="str">
        <f>IFERROR(__xludf.DUMMYFUNCTION("GOOGLETRANSLATE(B11084,""en"",""it"")"),"Mette il cotone sotto l'albero.")</f>
        <v>Mette il cotone sotto l'albero.</v>
      </c>
    </row>
    <row r="11085">
      <c r="A11085" s="4" t="s">
        <v>13941</v>
      </c>
      <c r="B11085" s="4" t="s">
        <v>13942</v>
      </c>
      <c r="C11085" s="5" t="str">
        <f>IFERROR(__xludf.DUMMYFUNCTION("GOOGLETRANSLATE(B11085,""en"",""it"")"),"Una ragazza in una stanza parla con una macchina fotografica e mostra il suo stile di capelli.")</f>
        <v>Una ragazza in una stanza parla con una macchina fotografica e mostra il suo stile di capelli.</v>
      </c>
    </row>
    <row r="11086">
      <c r="A11086" s="4" t="s">
        <v>13941</v>
      </c>
      <c r="B11086" s="4" t="s">
        <v>13943</v>
      </c>
      <c r="C11086" s="5" t="str">
        <f>IFERROR(__xludf.DUMMYFUNCTION("GOOGLETRANSLATE(B11086,""en"",""it"")"),"Quindi torna a prima che fosse intrecciato e lo spegne, sezionandolo.")</f>
        <v>Quindi torna a prima che fosse intrecciato e lo spegne, sezionandolo.</v>
      </c>
    </row>
    <row r="11087">
      <c r="A11087" s="4" t="s">
        <v>13941</v>
      </c>
      <c r="B11087" s="6" t="s">
        <v>13944</v>
      </c>
      <c r="C11087" s="5" t="str">
        <f>IFERROR(__xludf.DUMMYFUNCTION("GOOGLETRANSLATE(B11087,""en"",""it"")"),"Quindi prende due sezioni e le intreccia, e afferra più lunghezze di capelli mentre scende la treccia.")</f>
        <v>Quindi prende due sezioni e le intreccia, e afferra più lunghezze di capelli mentre scende la treccia.</v>
      </c>
    </row>
    <row r="11088">
      <c r="A11088" s="4" t="s">
        <v>13941</v>
      </c>
      <c r="B11088" s="6" t="s">
        <v>13945</v>
      </c>
      <c r="C11088" s="5" t="str">
        <f>IFERROR(__xludf.DUMMYFUNCTION("GOOGLETRANSLATE(B11088,""en"",""it"")"),"Quindi mette la treccia di lato e afferra le lunghezze dei capelli per fissarla sul lato e incorpora le lunghezze dalla parte posteriore dei capelli.")</f>
        <v>Quindi mette la treccia di lato e afferra le lunghezze dei capelli per fissarla sul lato e incorpora le lunghezze dalla parte posteriore dei capelli.</v>
      </c>
    </row>
    <row r="11089">
      <c r="A11089" s="4" t="s">
        <v>13941</v>
      </c>
      <c r="B11089" s="4" t="s">
        <v>13946</v>
      </c>
      <c r="C11089" s="5" t="str">
        <f>IFERROR(__xludf.DUMMYFUNCTION("GOOGLETRANSLATE(B11089,""en"",""it"")"),"I suoi capelli sono intrecciati con successo e lei mostra l'aspetto finito.")</f>
        <v>I suoi capelli sono intrecciati con successo e lei mostra l'aspetto finito.</v>
      </c>
    </row>
    <row r="11090">
      <c r="A11090" s="4" t="s">
        <v>13947</v>
      </c>
      <c r="B11090" s="6" t="s">
        <v>13948</v>
      </c>
      <c r="C11090" s="5" t="str">
        <f>IFERROR(__xludf.DUMMYFUNCTION("GOOGLETRANSLATE(B11090,""en"",""it"")"),"Un uomo in attrezzatura di scherma inizia a parlare di attrezzatura di scherma che si prepara a parlare delle sue esperienze di scherma.")</f>
        <v>Un uomo in attrezzatura di scherma inizia a parlare di attrezzatura di scherma che si prepara a parlare delle sue esperienze di scherma.</v>
      </c>
    </row>
    <row r="11091">
      <c r="A11091" s="4" t="s">
        <v>13947</v>
      </c>
      <c r="B11091" s="4" t="s">
        <v>13949</v>
      </c>
      <c r="C11091" s="5" t="str">
        <f>IFERROR(__xludf.DUMMYFUNCTION("GOOGLETRANSLATE(B11091,""en"",""it"")"),"Si vesti alla sua attrezzatura e va in studio per esercitarsi.")</f>
        <v>Si vesti alla sua attrezzatura e va in studio per esercitarsi.</v>
      </c>
    </row>
    <row r="11092">
      <c r="A11092" s="4" t="s">
        <v>13947</v>
      </c>
      <c r="B11092" s="4" t="s">
        <v>13950</v>
      </c>
      <c r="C11092" s="5" t="str">
        <f>IFERROR(__xludf.DUMMYFUNCTION("GOOGLETRANSLATE(B11092,""en"",""it"")"),"Lui e un altro uomo si esercitano tra loro mentre un timer sta correndo.")</f>
        <v>Lui e un altro uomo si esercitano tra loro mentre un timer sta correndo.</v>
      </c>
    </row>
    <row r="11093">
      <c r="A11093" s="4" t="s">
        <v>13947</v>
      </c>
      <c r="B11093" s="6" t="s">
        <v>13951</v>
      </c>
      <c r="C11093" s="5" t="str">
        <f>IFERROR(__xludf.DUMMYFUNCTION("GOOGLETRANSLATE(B11093,""en"",""it"")"),"C'è una certa posizione e il modo in cui ti muovi i piedi quando la recinzione che aiuta a muoverti verso e dall'avversario.")</f>
        <v>C'è una certa posizione e il modo in cui ti muovi i piedi quando la recinzione che aiuta a muoverti verso e dall'avversario.</v>
      </c>
    </row>
    <row r="11094">
      <c r="A11094" s="4" t="s">
        <v>13952</v>
      </c>
      <c r="B11094" s="4" t="s">
        <v>13953</v>
      </c>
      <c r="C11094" s="5" t="str">
        <f>IFERROR(__xludf.DUMMYFUNCTION("GOOGLETRANSLATE(B11094,""en"",""it"")"),"Una telecamera si panoramica in un cielo che mostra gli aquiloni in aria.")</f>
        <v>Una telecamera si panoramica in un cielo che mostra gli aquiloni in aria.</v>
      </c>
    </row>
    <row r="11095">
      <c r="A11095" s="4" t="s">
        <v>13952</v>
      </c>
      <c r="B11095" s="4" t="s">
        <v>13954</v>
      </c>
      <c r="C11095" s="5" t="str">
        <f>IFERROR(__xludf.DUMMYFUNCTION("GOOGLETRANSLATE(B11095,""en"",""it"")"),"Una persona viene quindi vista cavalcare una tavola di aquiloni sull'acqua.")</f>
        <v>Una persona viene quindi vista cavalcare una tavola di aquiloni sull'acqua.</v>
      </c>
    </row>
    <row r="11096">
      <c r="A11096" s="4" t="s">
        <v>13952</v>
      </c>
      <c r="B11096" s="4" t="s">
        <v>13955</v>
      </c>
      <c r="C11096" s="5" t="str">
        <f>IFERROR(__xludf.DUMMYFUNCTION("GOOGLETRANSLATE(B11096,""en"",""it"")"),"La persona continua a girare mentre la telecamera osserva.")</f>
        <v>La persona continua a girare mentre la telecamera osserva.</v>
      </c>
    </row>
    <row r="11097">
      <c r="A11097" s="4" t="s">
        <v>13956</v>
      </c>
      <c r="B11097" s="6" t="s">
        <v>13957</v>
      </c>
      <c r="C11097" s="5" t="str">
        <f>IFERROR(__xludf.DUMMYFUNCTION("GOOGLETRANSLATE(B11097,""en"",""it"")"),"Una ragazza è vista in piedi davanti a una serie di barre di scimmia e sorride mentre parla alla telecamera.")</f>
        <v>Una ragazza è vista in piedi davanti a una serie di barre di scimmia e sorride mentre parla alla telecamera.</v>
      </c>
    </row>
    <row r="11098">
      <c r="A11098" s="4" t="s">
        <v>13956</v>
      </c>
      <c r="B11098" s="4" t="s">
        <v>13958</v>
      </c>
      <c r="C11098" s="5" t="str">
        <f>IFERROR(__xludf.DUMMYFUNCTION("GOOGLETRANSLATE(B11098,""en"",""it"")"),"Quindi si porta lungo il set di barre di scimmia e si sposta indietro e quarto nel set da gioco.")</f>
        <v>Quindi si porta lungo il set di barre di scimmia e si sposta indietro e quarto nel set da gioco.</v>
      </c>
    </row>
    <row r="11099">
      <c r="A11099" s="4" t="s">
        <v>13956</v>
      </c>
      <c r="B11099" s="4" t="s">
        <v>13959</v>
      </c>
      <c r="C11099" s="5" t="str">
        <f>IFERROR(__xludf.DUMMYFUNCTION("GOOGLETRANSLATE(B11099,""en"",""it"")"),"Torna all'inizio e scende alla scala alla fine guardando la telecamera.")</f>
        <v>Torna all'inizio e scende alla scala alla fine guardando la telecamera.</v>
      </c>
    </row>
    <row r="11100">
      <c r="A11100" s="4" t="s">
        <v>13960</v>
      </c>
      <c r="B11100" s="4" t="s">
        <v>13961</v>
      </c>
      <c r="C11100" s="5" t="str">
        <f>IFERROR(__xludf.DUMMYFUNCTION("GOOGLETRANSLATE(B11100,""en"",""it"")"),"Una donna parla davanti ai ciechi.")</f>
        <v>Una donna parla davanti ai ciechi.</v>
      </c>
    </row>
    <row r="11101">
      <c r="A11101" s="4" t="s">
        <v>13960</v>
      </c>
      <c r="B11101" s="4" t="s">
        <v>13962</v>
      </c>
      <c r="C11101" s="5" t="str">
        <f>IFERROR(__xludf.DUMMYFUNCTION("GOOGLETRANSLATE(B11101,""en"",""it"")"),"Quindi, la donna suona quattro tam-tam, interpreta principalmente il tam-tam di fronte.")</f>
        <v>Quindi, la donna suona quattro tam-tam, interpreta principalmente il tam-tam di fronte.</v>
      </c>
    </row>
    <row r="11102">
      <c r="A11102" s="4" t="s">
        <v>13960</v>
      </c>
      <c r="B11102" s="4" t="s">
        <v>13963</v>
      </c>
      <c r="C11102" s="5" t="str">
        <f>IFERROR(__xludf.DUMMYFUNCTION("GOOGLETRANSLATE(B11102,""en"",""it"")"),"Quindi, la donna smette di giocare e sorridere.")</f>
        <v>Quindi, la donna smette di giocare e sorridere.</v>
      </c>
    </row>
    <row r="11103">
      <c r="A11103" s="4" t="s">
        <v>13964</v>
      </c>
      <c r="B11103" s="4" t="s">
        <v>13965</v>
      </c>
      <c r="C11103" s="5" t="str">
        <f>IFERROR(__xludf.DUMMYFUNCTION("GOOGLETRANSLATE(B11103,""en"",""it"")"),"Un uomo e due donne stanno facendo una danza aerobica all'interno di un edificio.")</f>
        <v>Un uomo e due donne stanno facendo una danza aerobica all'interno di un edificio.</v>
      </c>
    </row>
    <row r="11104">
      <c r="A11104" s="4" t="s">
        <v>13964</v>
      </c>
      <c r="B11104" s="4" t="s">
        <v>13966</v>
      </c>
      <c r="C11104" s="5" t="str">
        <f>IFERROR(__xludf.DUMMYFUNCTION("GOOGLETRANSLATE(B11104,""en"",""it"")"),"Eseguono diverse mosse, accelerando il tempo.")</f>
        <v>Eseguono diverse mosse, accelerando il tempo.</v>
      </c>
    </row>
    <row r="11105">
      <c r="A11105" s="4" t="s">
        <v>13964</v>
      </c>
      <c r="B11105" s="4" t="s">
        <v>13967</v>
      </c>
      <c r="C11105" s="5" t="str">
        <f>IFERROR(__xludf.DUMMYFUNCTION("GOOGLETRANSLATE(B11105,""en"",""it"")"),"Si fermano, battono e asciugano i capelli dai loro volti quando hanno finito.")</f>
        <v>Si fermano, battono e asciugano i capelli dai loro volti quando hanno finito.</v>
      </c>
    </row>
    <row r="11106">
      <c r="A11106" s="4" t="s">
        <v>13968</v>
      </c>
      <c r="B11106" s="4" t="s">
        <v>13969</v>
      </c>
      <c r="C11106" s="5" t="str">
        <f>IFERROR(__xludf.DUMMYFUNCTION("GOOGLETRANSLATE(B11106,""en"",""it"")"),"Un uomo sta camminando in un campo.")</f>
        <v>Un uomo sta camminando in un campo.</v>
      </c>
    </row>
    <row r="11107">
      <c r="A11107" s="4" t="s">
        <v>13968</v>
      </c>
      <c r="B11107" s="6" t="s">
        <v>13970</v>
      </c>
      <c r="C11107" s="5" t="str">
        <f>IFERROR(__xludf.DUMMYFUNCTION("GOOGLETRANSLATE(B11107,""en"",""it"")"),"Vediamo la schiena e vediamo sangue e un'imbracatura nella sua pelle e altri due uomini che hanno l'imbracatura della pelle.")</f>
        <v>Vediamo la schiena e vediamo sangue e un'imbracatura nella sua pelle e altri due uomini che hanno l'imbracatura della pelle.</v>
      </c>
    </row>
    <row r="11108">
      <c r="A11108" s="4" t="s">
        <v>13968</v>
      </c>
      <c r="B11108" s="4" t="s">
        <v>13971</v>
      </c>
      <c r="C11108" s="5" t="str">
        <f>IFERROR(__xludf.DUMMYFUNCTION("GOOGLETRANSLATE(B11108,""en"",""it"")"),"Vediamo gli uomini arrampicarsi e stare in piedi su una gru in alto nel cielo.")</f>
        <v>Vediamo gli uomini arrampicarsi e stare in piedi su una gru in alto nel cielo.</v>
      </c>
    </row>
    <row r="11109">
      <c r="A11109" s="4" t="s">
        <v>13968</v>
      </c>
      <c r="B11109" s="4" t="s">
        <v>13972</v>
      </c>
      <c r="C11109" s="5" t="str">
        <f>IFERROR(__xludf.DUMMYFUNCTION("GOOGLETRANSLATE(B11109,""en"",""it"")"),"Gli uomini con l'imbracatura della pelle saltano da una gru in alto sopra una foresta.")</f>
        <v>Gli uomini con l'imbracatura della pelle saltano da una gru in alto sopra una foresta.</v>
      </c>
    </row>
    <row r="11110">
      <c r="A11110" s="4" t="s">
        <v>13968</v>
      </c>
      <c r="B11110" s="4" t="s">
        <v>13973</v>
      </c>
      <c r="C11110" s="5" t="str">
        <f>IFERROR(__xludf.DUMMYFUNCTION("GOOGLETRANSLATE(B11110,""en"",""it"")"),"Vediamo il terreno qui sotto.")</f>
        <v>Vediamo il terreno qui sotto.</v>
      </c>
    </row>
    <row r="11111">
      <c r="A11111" s="4" t="s">
        <v>13974</v>
      </c>
      <c r="B11111" s="4" t="s">
        <v>13975</v>
      </c>
      <c r="C11111" s="5" t="str">
        <f>IFERROR(__xludf.DUMMYFUNCTION("GOOGLETRANSLATE(B11111,""en"",""it"")"),"Viene mostrato un cartone animato di un arco e conduce in un uomo che mette i pomodori su un piatto.")</f>
        <v>Viene mostrato un cartone animato di un arco e conduce in un uomo che mette i pomodori su un piatto.</v>
      </c>
    </row>
    <row r="11112">
      <c r="A11112" s="4" t="s">
        <v>13974</v>
      </c>
      <c r="B11112" s="4" t="s">
        <v>13976</v>
      </c>
      <c r="C11112" s="5" t="str">
        <f>IFERROR(__xludf.DUMMYFUNCTION("GOOGLETRANSLATE(B11112,""en"",""it"")"),"Mette cipolle e altri ingredienti su un piatto e taglia molti altri ingredienti.")</f>
        <v>Mette cipolle e altri ingredienti su un piatto e taglia molti altri ingredienti.</v>
      </c>
    </row>
    <row r="11113">
      <c r="A11113" s="4" t="s">
        <v>13974</v>
      </c>
      <c r="B11113" s="6" t="s">
        <v>13977</v>
      </c>
      <c r="C11113" s="5" t="str">
        <f>IFERROR(__xludf.DUMMYFUNCTION("GOOGLETRANSLATE(B11113,""en"",""it"")"),"Inserisce gli ingredienti finali nella ciotola mentre parla con la telecamera e fa la panoramica sul pasto che ha fatto.")</f>
        <v>Inserisce gli ingredienti finali nella ciotola mentre parla con la telecamera e fa la panoramica sul pasto che ha fatto.</v>
      </c>
    </row>
    <row r="11114">
      <c r="A11114" s="4" t="s">
        <v>13978</v>
      </c>
      <c r="B11114" s="4" t="s">
        <v>13979</v>
      </c>
      <c r="C11114" s="5" t="str">
        <f>IFERROR(__xludf.DUMMYFUNCTION("GOOGLETRANSLATE(B11114,""en"",""it"")"),"Due bambini maschi sono fuori su un vialetto che parlano tra loro.")</f>
        <v>Due bambini maschi sono fuori su un vialetto che parlano tra loro.</v>
      </c>
    </row>
    <row r="11115">
      <c r="A11115" s="4" t="s">
        <v>13978</v>
      </c>
      <c r="B11115" s="6" t="s">
        <v>13980</v>
      </c>
      <c r="C11115" s="5" t="str">
        <f>IFERROR(__xludf.DUMMYFUNCTION("GOOGLETRANSLATE(B11115,""en"",""it"")"),"Una volta che hanno finito la conversazione, iniziano a skateboard lungo la strada in un parco aperto.")</f>
        <v>Una volta che hanno finito la conversazione, iniziano a skateboard lungo la strada in un parco aperto.</v>
      </c>
    </row>
    <row r="11116">
      <c r="A11116" s="4" t="s">
        <v>13978</v>
      </c>
      <c r="B11116" s="6" t="s">
        <v>13981</v>
      </c>
      <c r="C11116" s="5" t="str">
        <f>IFERROR(__xludf.DUMMYFUNCTION("GOOGLETRANSLATE(B11116,""en"",""it"")"),"I due ragazzi arrivano alla loro fermata di destinazione e parlano, poi uno decolla e l'altro ragazzo lo segue e continuano a rollerblad.")</f>
        <v>I due ragazzi arrivano alla loro fermata di destinazione e parlano, poi uno decolla e l'altro ragazzo lo segue e continuano a rollerblad.</v>
      </c>
    </row>
    <row r="11117">
      <c r="A11117" s="4" t="s">
        <v>13982</v>
      </c>
      <c r="B11117" s="4" t="s">
        <v>13983</v>
      </c>
      <c r="C11117" s="5" t="str">
        <f>IFERROR(__xludf.DUMMYFUNCTION("GOOGLETRANSLATE(B11117,""en"",""it"")"),"Una serie di donne sono mostrate in primo piano.")</f>
        <v>Una serie di donne sono mostrate in primo piano.</v>
      </c>
    </row>
    <row r="11118">
      <c r="A11118" s="4" t="s">
        <v>13982</v>
      </c>
      <c r="B11118" s="4" t="s">
        <v>13984</v>
      </c>
      <c r="C11118" s="5" t="str">
        <f>IFERROR(__xludf.DUMMYFUNCTION("GOOGLETRANSLATE(B11118,""en"",""it"")"),"Uno stilista è in piedi accanto a una ragazza seduta sulla sedia.")</f>
        <v>Uno stilista è in piedi accanto a una ragazza seduta sulla sedia.</v>
      </c>
    </row>
    <row r="11119">
      <c r="A11119" s="4" t="s">
        <v>13982</v>
      </c>
      <c r="B11119" s="4" t="s">
        <v>13985</v>
      </c>
      <c r="C11119" s="5" t="str">
        <f>IFERROR(__xludf.DUMMYFUNCTION("GOOGLETRANSLATE(B11119,""en"",""it"")"),"Dà istruzioni su come modellare i suoi capelli.")</f>
        <v>Dà istruzioni su come modellare i suoi capelli.</v>
      </c>
    </row>
    <row r="11120">
      <c r="A11120" s="4" t="s">
        <v>13982</v>
      </c>
      <c r="B11120" s="4" t="s">
        <v>13986</v>
      </c>
      <c r="C11120" s="5" t="str">
        <f>IFERROR(__xludf.DUMMYFUNCTION("GOOGLETRANSLATE(B11120,""en"",""it"")"),"Usa un asciugatrice per soffiarsi i capelli, quindi li ritaglia.")</f>
        <v>Usa un asciugatrice per soffiarsi i capelli, quindi li ritaglia.</v>
      </c>
    </row>
    <row r="11121">
      <c r="A11121" s="4" t="s">
        <v>13987</v>
      </c>
      <c r="B11121" s="6" t="s">
        <v>13988</v>
      </c>
      <c r="C11121" s="5" t="str">
        <f>IFERROR(__xludf.DUMMYFUNCTION("GOOGLETRANSLATE(B11121,""en"",""it"")"),"Viene visto un uomo che cammina in un telaio piegarsi per prendere una serie di pesi e inizia a sollevarsi verso l'alto.")</f>
        <v>Viene visto un uomo che cammina in un telaio piegarsi per prendere una serie di pesi e inizia a sollevarsi verso l'alto.</v>
      </c>
    </row>
    <row r="11122">
      <c r="A11122" s="4" t="s">
        <v>13987</v>
      </c>
      <c r="B11122" s="6" t="s">
        <v>13989</v>
      </c>
      <c r="C11122" s="5" t="str">
        <f>IFERROR(__xludf.DUMMYFUNCTION("GOOGLETRANSLATE(B11122,""en"",""it"")"),"Quindi solleva il peso sopra la sua spalla più volte mentre salta per darci slancio.")</f>
        <v>Quindi solleva il peso sopra la sua spalla più volte mentre salta per darci slancio.</v>
      </c>
    </row>
    <row r="11123">
      <c r="A11123" s="4" t="s">
        <v>13990</v>
      </c>
      <c r="B11123" s="6" t="s">
        <v>13991</v>
      </c>
      <c r="C11123" s="5" t="str">
        <f>IFERROR(__xludf.DUMMYFUNCTION("GOOGLETRANSLATE(B11123,""en"",""it"")"),"Un uomo scolpisce una zucca e un pezzo di ghiaccio, quindi l'uomo tiene una zucca intagliata e la mette su una panchina.")</f>
        <v>Un uomo scolpisce una zucca e un pezzo di ghiaccio, quindi l'uomo tiene una zucca intagliata e la mette su una panchina.</v>
      </c>
    </row>
    <row r="11124">
      <c r="A11124" s="4" t="s">
        <v>13990</v>
      </c>
      <c r="B11124" s="6" t="s">
        <v>13992</v>
      </c>
      <c r="C11124" s="5" t="str">
        <f>IFERROR(__xludf.DUMMYFUNCTION("GOOGLETRANSLATE(B11124,""en"",""it"")"),"Un giovane scatta foto di sculture artistiche di ghiaccio, mentre una persona scolpisce un pezzo di ghiaccio per strada.")</f>
        <v>Un giovane scatta foto di sculture artistiche di ghiaccio, mentre una persona scolpisce un pezzo di ghiaccio per strada.</v>
      </c>
    </row>
    <row r="11125">
      <c r="A11125" s="4" t="s">
        <v>13990</v>
      </c>
      <c r="B11125" s="4" t="s">
        <v>13993</v>
      </c>
      <c r="C11125" s="5" t="str">
        <f>IFERROR(__xludf.DUMMYFUNCTION("GOOGLETRANSLATE(B11125,""en"",""it"")"),"L'uomo mostra come scolpire una zucca usando strumenti di intaglio per realizzare facce.")</f>
        <v>L'uomo mostra come scolpire una zucca usando strumenti di intaglio per realizzare facce.</v>
      </c>
    </row>
    <row r="11126">
      <c r="A11126" s="4" t="s">
        <v>13990</v>
      </c>
      <c r="B11126" s="4" t="s">
        <v>13994</v>
      </c>
      <c r="C11126" s="5" t="str">
        <f>IFERROR(__xludf.DUMMYFUNCTION("GOOGLETRANSLATE(B11126,""en"",""it"")"),"Le zucche intagliate con facce spaventose e sculture di ghiaccio sono visualizzate in una stanza.")</f>
        <v>Le zucche intagliate con facce spaventose e sculture di ghiaccio sono visualizzate in una stanza.</v>
      </c>
    </row>
    <row r="11127">
      <c r="A11127" s="4" t="s">
        <v>13995</v>
      </c>
      <c r="B11127" s="4" t="s">
        <v>1251</v>
      </c>
      <c r="C11127" s="5" t="str">
        <f>IFERROR(__xludf.DUMMYFUNCTION("GOOGLETRANSLATE(B11127,""en"",""it"")"),"Vengono visualizzati i crediti della clip.")</f>
        <v>Vengono visualizzati i crediti della clip.</v>
      </c>
    </row>
    <row r="11128">
      <c r="A11128" s="4" t="s">
        <v>13995</v>
      </c>
      <c r="B11128" s="4" t="s">
        <v>13996</v>
      </c>
      <c r="C11128" s="5" t="str">
        <f>IFERROR(__xludf.DUMMYFUNCTION("GOOGLETRANSLATE(B11128,""en"",""it"")"),"Le persone girano su bici da esercizio.")</f>
        <v>Le persone girano su bici da esercizio.</v>
      </c>
    </row>
    <row r="11129">
      <c r="A11129" s="4" t="s">
        <v>13995</v>
      </c>
      <c r="B11129" s="4" t="s">
        <v>573</v>
      </c>
      <c r="C11129" s="5" t="str">
        <f>IFERROR(__xludf.DUMMYFUNCTION("GOOGLETRANSLATE(B11129,""en"",""it"")"),"Vengono visualizzati i crediti del video.")</f>
        <v>Vengono visualizzati i crediti del video.</v>
      </c>
    </row>
    <row r="11130">
      <c r="A11130" s="4" t="s">
        <v>13997</v>
      </c>
      <c r="B11130" s="6" t="s">
        <v>13998</v>
      </c>
      <c r="C11130" s="5" t="str">
        <f>IFERROR(__xludf.DUMMYFUNCTION("GOOGLETRANSLATE(B11130,""en"",""it"")"),"Un individuo che indossa la copertura del viso trascina un dispositivo di tipo a tubo interno lungo la neve, circondato da altre persone che fanno la stessa cosa.")</f>
        <v>Un individuo che indossa la copertura del viso trascina un dispositivo di tipo a tubo interno lungo la neve, circondato da altre persone che fanno la stessa cosa.</v>
      </c>
    </row>
    <row r="11131">
      <c r="A11131" s="4" t="s">
        <v>13997</v>
      </c>
      <c r="B11131" s="4" t="s">
        <v>13999</v>
      </c>
      <c r="C11131" s="5" t="str">
        <f>IFERROR(__xludf.DUMMYFUNCTION("GOOGLETRANSLATE(B11131,""en"",""it"")"),"Il singolo cammina verso un altro individuo che indossa una giacca rossa.")</f>
        <v>Il singolo cammina verso un altro individuo che indossa una giacca rossa.</v>
      </c>
    </row>
    <row r="11132">
      <c r="A11132" s="4" t="s">
        <v>13997</v>
      </c>
      <c r="B11132" s="4" t="s">
        <v>14000</v>
      </c>
      <c r="C11132" s="5" t="str">
        <f>IFERROR(__xludf.DUMMYFUNCTION("GOOGLETRANSLATE(B11132,""en"",""it"")"),"Le singole consegna il branco per il dispositivo alla persona nella giacca rossa e si siede sul dispositivo.")</f>
        <v>Le singole consegna il branco per il dispositivo alla persona nella giacca rossa e si siede sul dispositivo.</v>
      </c>
    </row>
    <row r="11133">
      <c r="A11133" s="4" t="s">
        <v>13997</v>
      </c>
      <c r="B11133" s="6" t="s">
        <v>14001</v>
      </c>
      <c r="C11133" s="5" t="str">
        <f>IFERROR(__xludf.DUMMYFUNCTION("GOOGLETRANSLATE(B11133,""en"",""it"")"),"La persona nella giacca rossa tira il dispositivo in discesa e il primo individuo cavalca il pendio.")</f>
        <v>La persona nella giacca rossa tira il dispositivo in discesa e il primo individuo cavalca il pendio.</v>
      </c>
    </row>
    <row r="11134">
      <c r="A11134" s="4" t="s">
        <v>13997</v>
      </c>
      <c r="B11134" s="4" t="s">
        <v>14002</v>
      </c>
      <c r="C11134" s="5" t="str">
        <f>IFERROR(__xludf.DUMMYFUNCTION("GOOGLETRANSLATE(B11134,""en"",""it"")"),"Il primo individuo smonta e riprende il dispositivo.")</f>
        <v>Il primo individuo smonta e riprende il dispositivo.</v>
      </c>
    </row>
    <row r="11135">
      <c r="A11135" s="4" t="s">
        <v>13997</v>
      </c>
      <c r="B11135" s="4" t="s">
        <v>14003</v>
      </c>
      <c r="C11135" s="5" t="str">
        <f>IFERROR(__xludf.DUMMYFUNCTION("GOOGLETRANSLATE(B11135,""en"",""it"")"),"L'individuo tira il dispositivo lungo una sorta di passerella coperta con un pavimento in movimento.")</f>
        <v>L'individuo tira il dispositivo lungo una sorta di passerella coperta con un pavimento in movimento.</v>
      </c>
    </row>
    <row r="11136">
      <c r="A11136" s="4" t="s">
        <v>14004</v>
      </c>
      <c r="B11136" s="4" t="s">
        <v>14005</v>
      </c>
      <c r="C11136" s="5" t="str">
        <f>IFERROR(__xludf.DUMMYFUNCTION("GOOGLETRANSLATE(B11136,""en"",""it"")"),"Un campo di due squadre viene mostrato a combattere su una palla di lacrosse nel mezzo di un grande campo verde.")</f>
        <v>Un campo di due squadre viene mostrato a combattere su una palla di lacrosse nel mezzo di un grande campo verde.</v>
      </c>
    </row>
    <row r="11137">
      <c r="A11137" s="4" t="s">
        <v>14004</v>
      </c>
      <c r="B11137" s="4" t="s">
        <v>14006</v>
      </c>
      <c r="C11137" s="5" t="str">
        <f>IFERROR(__xludf.DUMMYFUNCTION("GOOGLETRANSLATE(B11137,""en"",""it"")"),"Quindi si alzano e continuano a giocare attraverso il grande campo.")</f>
        <v>Quindi si alzano e continuano a giocare attraverso il grande campo.</v>
      </c>
    </row>
    <row r="11138">
      <c r="A11138" s="4" t="s">
        <v>14004</v>
      </c>
      <c r="B11138" s="6" t="s">
        <v>14007</v>
      </c>
      <c r="C11138" s="5" t="str">
        <f>IFERROR(__xludf.DUMMYFUNCTION("GOOGLETRANSLATE(B11138,""en"",""it"")"),"Poco dopo, inizia una piccola rissa nel mezzo della piscina e un uomo con un naso uniforme nero inizia a sanguinare e il gioco è fermo e vengono mostrati i replay.")</f>
        <v>Poco dopo, inizia una piccola rissa nel mezzo della piscina e un uomo con un naso uniforme nero inizia a sanguinare e il gioco è fermo e vengono mostrati i replay.</v>
      </c>
    </row>
    <row r="11139">
      <c r="A11139" s="4" t="s">
        <v>14008</v>
      </c>
      <c r="B11139" s="4" t="s">
        <v>14009</v>
      </c>
      <c r="C11139" s="5" t="str">
        <f>IFERROR(__xludf.DUMMYFUNCTION("GOOGLETRANSLATE(B11139,""en"",""it"")"),"Viene visualizzato un annuncio per i servizi di chiamata Beckon.")</f>
        <v>Viene visualizzato un annuncio per i servizi di chiamata Beckon.</v>
      </c>
    </row>
    <row r="11140">
      <c r="A11140" s="4" t="s">
        <v>14008</v>
      </c>
      <c r="B11140" s="4" t="s">
        <v>14010</v>
      </c>
      <c r="C11140" s="5" t="str">
        <f>IFERROR(__xludf.DUMMYFUNCTION("GOOGLETRANSLATE(B11140,""en"",""it"")"),"Un uomo è in piedi in un cortile parlando.")</f>
        <v>Un uomo è in piedi in un cortile parlando.</v>
      </c>
    </row>
    <row r="11141">
      <c r="A11141" s="4" t="s">
        <v>14008</v>
      </c>
      <c r="B11141" s="4" t="s">
        <v>14011</v>
      </c>
      <c r="C11141" s="5" t="str">
        <f>IFERROR(__xludf.DUMMYFUNCTION("GOOGLETRANSLATE(B11141,""en"",""it"")"),"Raccoglie diversi schermi delle finestre mentre ne parla.")</f>
        <v>Raccoglie diversi schermi delle finestre mentre ne parla.</v>
      </c>
    </row>
    <row r="11142">
      <c r="A11142" s="4" t="s">
        <v>14008</v>
      </c>
      <c r="B11142" s="4" t="s">
        <v>14012</v>
      </c>
      <c r="C11142" s="5" t="str">
        <f>IFERROR(__xludf.DUMMYFUNCTION("GOOGLETRANSLATE(B11142,""en"",""it"")"),"Li aggiunge allo stack e se ne va.")</f>
        <v>Li aggiunge allo stack e se ne va.</v>
      </c>
    </row>
    <row r="11143">
      <c r="A11143" s="4" t="s">
        <v>14013</v>
      </c>
      <c r="B11143" s="4" t="s">
        <v>14014</v>
      </c>
      <c r="C11143" s="5" t="str">
        <f>IFERROR(__xludf.DUMMYFUNCTION("GOOGLETRANSLATE(B11143,""en"",""it"")"),"Una band di marcia si trova pronta su una strada mentre un pubblico guarda.")</f>
        <v>Una band di marcia si trova pronta su una strada mentre un pubblico guarda.</v>
      </c>
    </row>
    <row r="11144">
      <c r="A11144" s="4" t="s">
        <v>14013</v>
      </c>
      <c r="B11144" s="4" t="s">
        <v>14015</v>
      </c>
      <c r="C11144" s="5" t="str">
        <f>IFERROR(__xludf.DUMMYFUNCTION("GOOGLETRANSLATE(B11144,""en"",""it"")"),"Il conduttore conduce la banda.")</f>
        <v>Il conduttore conduce la banda.</v>
      </c>
    </row>
    <row r="11145">
      <c r="A11145" s="4" t="s">
        <v>14013</v>
      </c>
      <c r="B11145" s="4" t="s">
        <v>14016</v>
      </c>
      <c r="C11145" s="5" t="str">
        <f>IFERROR(__xludf.DUMMYFUNCTION("GOOGLETRANSLATE(B11145,""en"",""it"")"),"La band suona per strada mentre il pubblico guarda.")</f>
        <v>La band suona per strada mentre il pubblico guarda.</v>
      </c>
    </row>
    <row r="11146">
      <c r="A11146" s="4" t="s">
        <v>14017</v>
      </c>
      <c r="B11146" s="4" t="s">
        <v>14018</v>
      </c>
      <c r="C11146" s="5" t="str">
        <f>IFERROR(__xludf.DUMMYFUNCTION("GOOGLETRANSLATE(B11146,""en"",""it"")"),"Un giovane viene visto parlare alla telecamera e inizia a tenere una sigaretta.")</f>
        <v>Un giovane viene visto parlare alla telecamera e inizia a tenere una sigaretta.</v>
      </c>
    </row>
    <row r="11147">
      <c r="A11147" s="4" t="s">
        <v>14017</v>
      </c>
      <c r="B11147" s="4" t="s">
        <v>14019</v>
      </c>
      <c r="C11147" s="5" t="str">
        <f>IFERROR(__xludf.DUMMYFUNCTION("GOOGLETRANSLATE(B11147,""en"",""it"")"),"L'uomo prende uno sbuffo dalla sigaretta mentre parla ancora alla telecamera.")</f>
        <v>L'uomo prende uno sbuffo dalla sigaretta mentre parla ancora alla telecamera.</v>
      </c>
    </row>
    <row r="11148">
      <c r="A11148" s="4" t="s">
        <v>14017</v>
      </c>
      <c r="B11148" s="4" t="s">
        <v>14020</v>
      </c>
      <c r="C11148" s="5" t="str">
        <f>IFERROR(__xludf.DUMMYFUNCTION("GOOGLETRANSLATE(B11148,""en"",""it"")"),"L'uomo continua a fumare mentre guarda e parla alla telecamera.")</f>
        <v>L'uomo continua a fumare mentre guarda e parla alla telecamera.</v>
      </c>
    </row>
    <row r="11149">
      <c r="A11149" s="4" t="s">
        <v>14021</v>
      </c>
      <c r="B11149" s="4" t="s">
        <v>14022</v>
      </c>
      <c r="C11149" s="5" t="str">
        <f>IFERROR(__xludf.DUMMYFUNCTION("GOOGLETRANSLATE(B11149,""en"",""it"")"),"Una schermata del titolo conduce in due donne che si alzano su e giù su un blocco.")</f>
        <v>Una schermata del titolo conduce in due donne che si alzano su e giù su un blocco.</v>
      </c>
    </row>
    <row r="11150">
      <c r="A11150" s="4" t="s">
        <v>14021</v>
      </c>
      <c r="B11150" s="6" t="s">
        <v>14023</v>
      </c>
      <c r="C11150" s="5" t="str">
        <f>IFERROR(__xludf.DUMMYFUNCTION("GOOGLETRANSLATE(B11150,""en"",""it"")"),"Eseguono diversi esercizi sul raggio e si muovono insieme in un movimento sincronizzato.")</f>
        <v>Eseguono diversi esercizi sul raggio e si muovono insieme in un movimento sincronizzato.</v>
      </c>
    </row>
    <row r="11151">
      <c r="A11151" s="4" t="s">
        <v>14021</v>
      </c>
      <c r="B11151" s="4" t="s">
        <v>14024</v>
      </c>
      <c r="C11151" s="5" t="str">
        <f>IFERROR(__xludf.DUMMYFUNCTION("GOOGLETRANSLATE(B11151,""en"",""it"")"),"Le ragazze girano e girano, poi sperano di nuovo e poi giù sul raggio.")</f>
        <v>Le ragazze girano e girano, poi sperano di nuovo e poi giù sul raggio.</v>
      </c>
    </row>
    <row r="11152">
      <c r="A11152" s="4" t="s">
        <v>14025</v>
      </c>
      <c r="B11152" s="4" t="s">
        <v>14026</v>
      </c>
      <c r="C11152" s="5" t="str">
        <f>IFERROR(__xludf.DUMMYFUNCTION("GOOGLETRANSLATE(B11152,""en"",""it"")"),"Due squadre sono in campo con arbitri.")</f>
        <v>Due squadre sono in campo con arbitri.</v>
      </c>
    </row>
    <row r="11153">
      <c r="A11153" s="4" t="s">
        <v>14025</v>
      </c>
      <c r="B11153" s="4" t="s">
        <v>14027</v>
      </c>
      <c r="C11153" s="5" t="str">
        <f>IFERROR(__xludf.DUMMYFUNCTION("GOOGLETRANSLATE(B11153,""en"",""it"")"),"Sono coinvolti in una partita di lacrosse.")</f>
        <v>Sono coinvolti in una partita di lacrosse.</v>
      </c>
    </row>
    <row r="11154">
      <c r="A11154" s="4" t="s">
        <v>14025</v>
      </c>
      <c r="B11154" s="4" t="s">
        <v>14028</v>
      </c>
      <c r="C11154" s="5" t="str">
        <f>IFERROR(__xludf.DUMMYFUNCTION("GOOGLETRANSLATE(B11154,""en"",""it"")"),"Si imbattono in campo, cercando di tenere la palla fuori dall'obiettivo dell'avversario.")</f>
        <v>Si imbattono in campo, cercando di tenere la palla fuori dall'obiettivo dell'avversario.</v>
      </c>
    </row>
    <row r="11155">
      <c r="A11155" s="4" t="s">
        <v>14029</v>
      </c>
      <c r="B11155" s="4" t="s">
        <v>14030</v>
      </c>
      <c r="C11155" s="5" t="str">
        <f>IFERROR(__xludf.DUMMYFUNCTION("GOOGLETRANSLATE(B11155,""en"",""it"")"),"Un uomo più anziano viene visto in piedi davanti a due dischi mentre un'altra persona li spinge lungo il ghiaccio.")</f>
        <v>Un uomo più anziano viene visto in piedi davanti a due dischi mentre un'altra persona li spinge lungo il ghiaccio.</v>
      </c>
    </row>
    <row r="11156">
      <c r="A11156" s="4" t="s">
        <v>14029</v>
      </c>
      <c r="B11156" s="4" t="s">
        <v>14031</v>
      </c>
      <c r="C11156" s="5" t="str">
        <f>IFERROR(__xludf.DUMMYFUNCTION("GOOGLETRANSLATE(B11156,""en"",""it"")"),"L'uomo si china più volte e poi scivola lungo il ghiaccio con i dischi.")</f>
        <v>L'uomo si china più volte e poi scivola lungo il ghiaccio con i dischi.</v>
      </c>
    </row>
    <row r="11157">
      <c r="A11157" s="4" t="s">
        <v>14032</v>
      </c>
      <c r="B11157" s="4" t="s">
        <v>14033</v>
      </c>
      <c r="C11157" s="5" t="str">
        <f>IFERROR(__xludf.DUMMYFUNCTION("GOOGLETRANSLATE(B11157,""en"",""it"")"),"Un'introduzione conduce in un uomo che lancia freccette su una tavola.")</f>
        <v>Un'introduzione conduce in un uomo che lancia freccette su una tavola.</v>
      </c>
    </row>
    <row r="11158">
      <c r="A11158" s="4" t="s">
        <v>14032</v>
      </c>
      <c r="B11158" s="4" t="s">
        <v>14034</v>
      </c>
      <c r="C11158" s="5" t="str">
        <f>IFERROR(__xludf.DUMMYFUNCTION("GOOGLETRANSLATE(B11158,""en"",""it"")"),"Guarda da vicino in lontananza e continua a lanciare freccette.")</f>
        <v>Guarda da vicino in lontananza e continua a lanciare freccette.</v>
      </c>
    </row>
    <row r="11159">
      <c r="A11159" s="4" t="s">
        <v>14032</v>
      </c>
      <c r="B11159" s="4" t="s">
        <v>14035</v>
      </c>
      <c r="C11159" s="5" t="str">
        <f>IFERROR(__xludf.DUMMYFUNCTION("GOOGLETRANSLATE(B11159,""en"",""it"")"),"La fotocamera mostra la tavola alla fine e l'uomo che la lancia.")</f>
        <v>La fotocamera mostra la tavola alla fine e l'uomo che la lancia.</v>
      </c>
    </row>
    <row r="11160">
      <c r="A11160" s="4" t="s">
        <v>14036</v>
      </c>
      <c r="B11160" s="4" t="s">
        <v>14037</v>
      </c>
      <c r="C11160" s="5" t="str">
        <f>IFERROR(__xludf.DUMMYFUNCTION("GOOGLETRANSLATE(B11160,""en"",""it"")"),"Una donna si siede su un tosaerba in lontananza in lontananza.")</f>
        <v>Una donna si siede su un tosaerba in lontananza in lontananza.</v>
      </c>
    </row>
    <row r="11161">
      <c r="A11161" s="4" t="s">
        <v>14036</v>
      </c>
      <c r="B11161" s="4" t="s">
        <v>14038</v>
      </c>
      <c r="C11161" s="5" t="str">
        <f>IFERROR(__xludf.DUMMYFUNCTION("GOOGLETRANSLATE(B11161,""en"",""it"")"),"La donna guida il tosaerba verso la telecamera.")</f>
        <v>La donna guida il tosaerba verso la telecamera.</v>
      </c>
    </row>
    <row r="11162">
      <c r="A11162" s="4" t="s">
        <v>14036</v>
      </c>
      <c r="B11162" s="4" t="s">
        <v>14039</v>
      </c>
      <c r="C11162" s="5" t="str">
        <f>IFERROR(__xludf.DUMMYFUNCTION("GOOGLETRANSLATE(B11162,""en"",""it"")"),"La donna inizia a girare il tosaerba in un angolo di recinzione.")</f>
        <v>La donna inizia a girare il tosaerba in un angolo di recinzione.</v>
      </c>
    </row>
    <row r="11163">
      <c r="A11163" s="4" t="s">
        <v>14040</v>
      </c>
      <c r="B11163" s="4" t="s">
        <v>4366</v>
      </c>
      <c r="C11163" s="5" t="str">
        <f>IFERROR(__xludf.DUMMYFUNCTION("GOOGLETRANSLATE(B11163,""en"",""it"")"),"Vengono visualizzati i crediti della clip.")</f>
        <v>Vengono visualizzati i crediti della clip.</v>
      </c>
    </row>
    <row r="11164">
      <c r="A11164" s="4" t="s">
        <v>14040</v>
      </c>
      <c r="B11164" s="4" t="s">
        <v>14041</v>
      </c>
      <c r="C11164" s="5" t="str">
        <f>IFERROR(__xludf.DUMMYFUNCTION("GOOGLETRANSLATE(B11164,""en"",""it"")"),"Una persona raggruppa l'acciaio con un'attrezzatura di saldatura.")</f>
        <v>Una persona raggruppa l'acciaio con un'attrezzatura di saldatura.</v>
      </c>
    </row>
    <row r="11165">
      <c r="A11165" s="4" t="s">
        <v>14040</v>
      </c>
      <c r="B11165" s="4" t="s">
        <v>14042</v>
      </c>
      <c r="C11165" s="5" t="str">
        <f>IFERROR(__xludf.DUMMYFUNCTION("GOOGLETRANSLATE(B11165,""en"",""it"")"),"Una persona utilizza un martello e un'attrezzatura piatta per rimuovere i detriti.")</f>
        <v>Una persona utilizza un martello e un'attrezzatura piatta per rimuovere i detriti.</v>
      </c>
    </row>
    <row r="11166">
      <c r="A11166" s="4" t="s">
        <v>14040</v>
      </c>
      <c r="B11166" s="4" t="s">
        <v>14043</v>
      </c>
      <c r="C11166" s="5" t="str">
        <f>IFERROR(__xludf.DUMMYFUNCTION("GOOGLETRANSLATE(B11166,""en"",""it"")"),"Una persona utilizza un'attrezzatura piatta per rimuovere i detriti in acciaio fuso.")</f>
        <v>Una persona utilizza un'attrezzatura piatta per rimuovere i detriti in acciaio fuso.</v>
      </c>
    </row>
    <row r="11167">
      <c r="A11167" s="4" t="s">
        <v>14040</v>
      </c>
      <c r="B11167" s="4" t="s">
        <v>14044</v>
      </c>
      <c r="C11167" s="5" t="str">
        <f>IFERROR(__xludf.DUMMYFUNCTION("GOOGLETRANSLATE(B11167,""en"",""it"")"),"La persona pone due acciaio a forma di manubri in apertura che sta saldando.")</f>
        <v>La persona pone due acciaio a forma di manubri in apertura che sta saldando.</v>
      </c>
    </row>
    <row r="11168">
      <c r="A11168" s="4" t="s">
        <v>14040</v>
      </c>
      <c r="B11168" s="4" t="s">
        <v>14045</v>
      </c>
      <c r="C11168" s="5" t="str">
        <f>IFERROR(__xludf.DUMMYFUNCTION("GOOGLETRANSLATE(B11168,""en"",""it"")"),"Una persona utilizza un'attrezzatura piatta per pulire l'apertura saldata.")</f>
        <v>Una persona utilizza un'attrezzatura piatta per pulire l'apertura saldata.</v>
      </c>
    </row>
    <row r="11169">
      <c r="A11169" s="4" t="s">
        <v>14040</v>
      </c>
      <c r="B11169" s="6" t="s">
        <v>14046</v>
      </c>
      <c r="C11169" s="5" t="str">
        <f>IFERROR(__xludf.DUMMYFUNCTION("GOOGLETRANSLATE(B11169,""en"",""it"")"),"Una persona usa un'attrezzatura piatta per spostare gli acciai a forma di manubri e poi li rimuove con la mano.")</f>
        <v>Una persona usa un'attrezzatura piatta per spostare gli acciai a forma di manubri e poi li rimuove con la mano.</v>
      </c>
    </row>
    <row r="11170">
      <c r="A11170" s="4" t="s">
        <v>14040</v>
      </c>
      <c r="B11170" s="4" t="s">
        <v>14047</v>
      </c>
      <c r="C11170" s="5" t="str">
        <f>IFERROR(__xludf.DUMMYFUNCTION("GOOGLETRANSLATE(B11170,""en"",""it"")"),"Vengono visualizzati i crediti del video.")</f>
        <v>Vengono visualizzati i crediti del video.</v>
      </c>
    </row>
    <row r="11171">
      <c r="A11171" s="4" t="s">
        <v>14048</v>
      </c>
      <c r="B11171" s="4" t="s">
        <v>14049</v>
      </c>
      <c r="C11171" s="5" t="str">
        <f>IFERROR(__xludf.DUMMYFUNCTION("GOOGLETRANSLATE(B11171,""en"",""it"")"),"Una donna che consegna una barra rossa e fa diversi tiri di braccio.")</f>
        <v>Una donna che consegna una barra rossa e fa diversi tiri di braccio.</v>
      </c>
    </row>
    <row r="11172">
      <c r="A11172" s="4" t="s">
        <v>14048</v>
      </c>
      <c r="B11172" s="4" t="s">
        <v>14050</v>
      </c>
      <c r="C11172" s="5" t="str">
        <f>IFERROR(__xludf.DUMMYFUNCTION("GOOGLETRANSLATE(B11172,""en"",""it"")"),"Poi decolla le gambe e salta giù con le mani al fianco.")</f>
        <v>Poi decolla le gambe e salta giù con le mani al fianco.</v>
      </c>
    </row>
    <row r="11173">
      <c r="A11173" s="4" t="s">
        <v>14048</v>
      </c>
      <c r="B11173" s="4" t="s">
        <v>14051</v>
      </c>
      <c r="C11173" s="5" t="str">
        <f>IFERROR(__xludf.DUMMYFUNCTION("GOOGLETRANSLATE(B11173,""en"",""it"")"),"Un logo della vita di vita quindi lampeggia sullo schermo.")</f>
        <v>Un logo della vita di vita quindi lampeggia sullo schermo.</v>
      </c>
    </row>
    <row r="11174">
      <c r="A11174" s="4" t="s">
        <v>14052</v>
      </c>
      <c r="B11174" s="4" t="s">
        <v>14053</v>
      </c>
      <c r="C11174" s="5" t="str">
        <f>IFERROR(__xludf.DUMMYFUNCTION("GOOGLETRANSLATE(B11174,""en"",""it"")"),"Viene vista una persona che soffia foglie intorno a un cortile usando un soffiatore di foglie seduto sulla schiena.")</f>
        <v>Viene vista una persona che soffia foglie intorno a un cortile usando un soffiatore di foglie seduto sulla schiena.</v>
      </c>
    </row>
    <row r="11175">
      <c r="A11175" s="4" t="s">
        <v>14052</v>
      </c>
      <c r="B11175" s="6" t="s">
        <v>14054</v>
      </c>
      <c r="C11175" s="5" t="str">
        <f>IFERROR(__xludf.DUMMYFUNCTION("GOOGLETRANSLATE(B11175,""en"",""it"")"),"La telecamera lo segue mentre l'uomo si muove su e giù per il cortile che soffia foglie in tutta l'area.")</f>
        <v>La telecamera lo segue mentre l'uomo si muove su e giù per il cortile che soffia foglie in tutta l'area.</v>
      </c>
    </row>
    <row r="11176">
      <c r="A11176" s="4" t="s">
        <v>14055</v>
      </c>
      <c r="B11176" s="4" t="s">
        <v>14056</v>
      </c>
      <c r="C11176" s="5" t="str">
        <f>IFERROR(__xludf.DUMMYFUNCTION("GOOGLETRANSLATE(B11176,""en"",""it"")"),"Un uomo è seduto su una bici ciclabile che si allena.")</f>
        <v>Un uomo è seduto su una bici ciclabile che si allena.</v>
      </c>
    </row>
    <row r="11177">
      <c r="A11177" s="4" t="s">
        <v>14055</v>
      </c>
      <c r="B11177" s="4" t="s">
        <v>14057</v>
      </c>
      <c r="C11177" s="5" t="str">
        <f>IFERROR(__xludf.DUMMYFUNCTION("GOOGLETRANSLATE(B11177,""en"",""it"")"),"Un uomo si alza accanto a lui parlando.")</f>
        <v>Un uomo si alza accanto a lui parlando.</v>
      </c>
    </row>
    <row r="11178">
      <c r="A11178" s="4" t="s">
        <v>14055</v>
      </c>
      <c r="B11178" s="4" t="s">
        <v>14058</v>
      </c>
      <c r="C11178" s="5" t="str">
        <f>IFERROR(__xludf.DUMMYFUNCTION("GOOGLETRANSLATE(B11178,""en"",""it"")"),"Un logo in bianco e nero arriva sullo schermo.")</f>
        <v>Un logo in bianco e nero arriva sullo schermo.</v>
      </c>
    </row>
    <row r="11179">
      <c r="A11179" s="4" t="s">
        <v>14059</v>
      </c>
      <c r="B11179" s="6" t="s">
        <v>14060</v>
      </c>
      <c r="C11179" s="5" t="str">
        <f>IFERROR(__xludf.DUMMYFUNCTION("GOOGLETRANSLATE(B11179,""en"",""it"")"),"La ginnasta Micah Ross monta il raggio di equilibrio davanti a un pubblico celebre mentre la folla esercita e grida il suo nome.")</f>
        <v>La ginnasta Micah Ross monta il raggio di equilibrio davanti a un pubblico celebre mentre la folla esercita e grida il suo nome.</v>
      </c>
    </row>
    <row r="11180">
      <c r="A11180" s="4" t="s">
        <v>14059</v>
      </c>
      <c r="B11180" s="4" t="s">
        <v>14061</v>
      </c>
      <c r="C11180" s="5" t="str">
        <f>IFERROR(__xludf.DUMMYFUNCTION("GOOGLETRANSLATE(B11180,""en"",""it"")"),"La sua routine inizia con un capovolgimento, una divisione e un estate.")</f>
        <v>La sua routine inizia con un capovolgimento, una divisione e un estate.</v>
      </c>
    </row>
    <row r="11181">
      <c r="A11181" s="4" t="s">
        <v>14059</v>
      </c>
      <c r="B11181" s="4" t="s">
        <v>14062</v>
      </c>
      <c r="C11181" s="5" t="str">
        <f>IFERROR(__xludf.DUMMYFUNCTION("GOOGLETRANSLATE(B11181,""en"",""it"")"),"Quindi esegue due lanci all'indietro e una piroetta.")</f>
        <v>Quindi esegue due lanci all'indietro e una piroetta.</v>
      </c>
    </row>
    <row r="11182">
      <c r="A11182" s="4" t="s">
        <v>14059</v>
      </c>
      <c r="B11182" s="4" t="s">
        <v>14063</v>
      </c>
      <c r="C11182" s="5" t="str">
        <f>IFERROR(__xludf.DUMMYFUNCTION("GOOGLETRANSLATE(B11182,""en"",""it"")"),"Un lancio in avanti e un salto segue insieme a un capovolgimento laterale.")</f>
        <v>Un lancio in avanti e un salto segue insieme a un capovolgimento laterale.</v>
      </c>
    </row>
    <row r="11183">
      <c r="A11183" s="4" t="s">
        <v>14059</v>
      </c>
      <c r="B11183" s="6" t="s">
        <v>14064</v>
      </c>
      <c r="C11183" s="5" t="str">
        <f>IFERROR(__xludf.DUMMYFUNCTION("GOOGLETRANSLATE(B11183,""en"",""it"")"),"Dopo aver brevemente oscillato sulla barra, Micah riacquista la sua compostezza ed esegue un'estate in avanti.")</f>
        <v>Dopo aver brevemente oscillato sulla barra, Micah riacquista la sua compostezza ed esegue un'estate in avanti.</v>
      </c>
    </row>
    <row r="11184">
      <c r="A11184" s="4" t="s">
        <v>14059</v>
      </c>
      <c r="B11184" s="4" t="s">
        <v>14065</v>
      </c>
      <c r="C11184" s="5" t="str">
        <f>IFERROR(__xludf.DUMMYFUNCTION("GOOGLETRANSLATE(B11184,""en"",""it"")"),"Ross sminuisce con successo con un doppio capovolgimento agli applausi del pubblico.")</f>
        <v>Ross sminuisce con successo con un doppio capovolgimento agli applausi del pubblico.</v>
      </c>
    </row>
    <row r="11185">
      <c r="A11185" s="4" t="s">
        <v>14066</v>
      </c>
      <c r="B11185" s="4" t="s">
        <v>14067</v>
      </c>
      <c r="C11185" s="5" t="str">
        <f>IFERROR(__xludf.DUMMYFUNCTION("GOOGLETRANSLATE(B11185,""en"",""it"")"),"Un batterista sta battendo, poi il bastone si è rotto.")</f>
        <v>Un batterista sta battendo, poi il bastone si è rotto.</v>
      </c>
    </row>
    <row r="11186">
      <c r="A11186" s="4" t="s">
        <v>14066</v>
      </c>
      <c r="B11186" s="4" t="s">
        <v>14068</v>
      </c>
      <c r="C11186" s="5" t="str">
        <f>IFERROR(__xludf.DUMMYFUNCTION("GOOGLETRANSLATE(B11186,""en"",""it"")"),"Un ragazzo con camicia blu ha colpito il tamburo, ma il grande tamburo continua a muoversi, poi è caduto.")</f>
        <v>Un ragazzo con camicia blu ha colpito il tamburo, ma il grande tamburo continua a muoversi, poi è caduto.</v>
      </c>
    </row>
    <row r="11187">
      <c r="A11187" s="4" t="s">
        <v>14066</v>
      </c>
      <c r="B11187" s="4" t="s">
        <v>14069</v>
      </c>
      <c r="C11187" s="5" t="str">
        <f>IFERROR(__xludf.DUMMYFUNCTION("GOOGLETRANSLATE(B11187,""en"",""it"")"),"Un ragazzo con auricolari sta battendo e il bastone è rimasto bloccato nello strumento.")</f>
        <v>Un ragazzo con auricolari sta battendo e il bastone è rimasto bloccato nello strumento.</v>
      </c>
    </row>
    <row r="11188">
      <c r="A11188" s="4" t="s">
        <v>14066</v>
      </c>
      <c r="B11188" s="4" t="s">
        <v>14070</v>
      </c>
      <c r="C11188" s="5" t="str">
        <f>IFERROR(__xludf.DUMMYFUNCTION("GOOGLETRANSLATE(B11188,""en"",""it"")"),"La band suona, mentre l'uomo canta, il batterista è caduto dalla sedia.")</f>
        <v>La band suona, mentre l'uomo canta, il batterista è caduto dalla sedia.</v>
      </c>
    </row>
    <row r="11189">
      <c r="A11189" s="4" t="s">
        <v>14066</v>
      </c>
      <c r="B11189" s="6" t="s">
        <v>14071</v>
      </c>
      <c r="C11189" s="5" t="str">
        <f>IFERROR(__xludf.DUMMYFUNCTION("GOOGLETRANSLATE(B11189,""en"",""it"")"),"La band di Marching suona i loro tamburi, poi uno dei batteristi è caduto a terra, una persona è venuta per aiutarlo.")</f>
        <v>La band di Marching suona i loro tamburi, poi uno dei batteristi è caduto a terra, una persona è venuta per aiutarlo.</v>
      </c>
    </row>
    <row r="11190">
      <c r="A11190" s="4" t="s">
        <v>14066</v>
      </c>
      <c r="B11190" s="4" t="s">
        <v>14072</v>
      </c>
      <c r="C11190" s="5" t="str">
        <f>IFERROR(__xludf.DUMMYFUNCTION("GOOGLETRANSLATE(B11190,""en"",""it"")"),"Un batterista sul palco è caduto sul palco.")</f>
        <v>Un batterista sul palco è caduto sul palco.</v>
      </c>
    </row>
    <row r="11191">
      <c r="A11191" s="4" t="s">
        <v>14073</v>
      </c>
      <c r="B11191" s="4" t="s">
        <v>14074</v>
      </c>
      <c r="C11191" s="5" t="str">
        <f>IFERROR(__xludf.DUMMYFUNCTION("GOOGLETRANSLATE(B11191,""en"",""it"")"),"Un ragazzo e una signora interagiscono.")</f>
        <v>Un ragazzo e una signora interagiscono.</v>
      </c>
    </row>
    <row r="11192">
      <c r="A11192" s="4" t="s">
        <v>14073</v>
      </c>
      <c r="B11192" s="4" t="s">
        <v>14075</v>
      </c>
      <c r="C11192" s="5" t="str">
        <f>IFERROR(__xludf.DUMMYFUNCTION("GOOGLETRANSLATE(B11192,""en"",""it"")"),"La signora regge documenti e libri.")</f>
        <v>La signora regge documenti e libri.</v>
      </c>
    </row>
    <row r="11193">
      <c r="A11193" s="4" t="s">
        <v>14073</v>
      </c>
      <c r="B11193" s="4" t="s">
        <v>14076</v>
      </c>
      <c r="C11193" s="5" t="str">
        <f>IFERROR(__xludf.DUMMYFUNCTION("GOOGLETRANSLATE(B11193,""en"",""it"")"),"Il ragazzo applaude e applausi.")</f>
        <v>Il ragazzo applaude e applausi.</v>
      </c>
    </row>
    <row r="11194">
      <c r="A11194" s="4" t="s">
        <v>14073</v>
      </c>
      <c r="B11194" s="4" t="s">
        <v>14077</v>
      </c>
      <c r="C11194" s="5" t="str">
        <f>IFERROR(__xludf.DUMMYFUNCTION("GOOGLETRANSLATE(B11194,""en"",""it"")"),"La signora suona un flauto mentre guarda in basso le note sui giornali.")</f>
        <v>La signora suona un flauto mentre guarda in basso le note sui giornali.</v>
      </c>
    </row>
    <row r="11195">
      <c r="A11195" s="4" t="s">
        <v>14073</v>
      </c>
      <c r="B11195" s="4" t="s">
        <v>14078</v>
      </c>
      <c r="C11195" s="5" t="str">
        <f>IFERROR(__xludf.DUMMYFUNCTION("GOOGLETRANSLATE(B11195,""en"",""it"")"),"La signora smette di suonare il flauto e lo presenta.")</f>
        <v>La signora smette di suonare il flauto e lo presenta.</v>
      </c>
    </row>
    <row r="11196">
      <c r="A11196" s="4" t="s">
        <v>14073</v>
      </c>
      <c r="B11196" s="4" t="s">
        <v>14079</v>
      </c>
      <c r="C11196" s="5" t="str">
        <f>IFERROR(__xludf.DUMMYFUNCTION("GOOGLETRANSLATE(B11196,""en"",""it"")"),"Il ragazzo suona un'armonica.")</f>
        <v>Il ragazzo suona un'armonica.</v>
      </c>
    </row>
    <row r="11197">
      <c r="A11197" s="4" t="s">
        <v>14073</v>
      </c>
      <c r="B11197" s="4" t="s">
        <v>14080</v>
      </c>
      <c r="C11197" s="5" t="str">
        <f>IFERROR(__xludf.DUMMYFUNCTION("GOOGLETRANSLATE(B11197,""en"",""it"")"),"Il ragazzo sembra arrabbiato e la signora sembra scusa.")</f>
        <v>Il ragazzo sembra arrabbiato e la signora sembra scusa.</v>
      </c>
    </row>
    <row r="11198">
      <c r="A11198" s="4" t="s">
        <v>14073</v>
      </c>
      <c r="B11198" s="4" t="s">
        <v>14081</v>
      </c>
      <c r="C11198" s="5" t="str">
        <f>IFERROR(__xludf.DUMMYFUNCTION("GOOGLETRANSLATE(B11198,""en"",""it"")"),"Il ragazzo abbassa la testa.")</f>
        <v>Il ragazzo abbassa la testa.</v>
      </c>
    </row>
    <row r="11199">
      <c r="A11199" s="4" t="s">
        <v>14073</v>
      </c>
      <c r="B11199" s="4" t="s">
        <v>14082</v>
      </c>
      <c r="C11199" s="5" t="str">
        <f>IFERROR(__xludf.DUMMYFUNCTION("GOOGLETRANSLATE(B11199,""en"",""it"")"),"Il ragazzo e la signora salutano.")</f>
        <v>Il ragazzo e la signora salutano.</v>
      </c>
    </row>
    <row r="11200">
      <c r="A11200" s="4" t="s">
        <v>14073</v>
      </c>
      <c r="B11200" s="4" t="s">
        <v>14083</v>
      </c>
      <c r="C11200" s="5" t="str">
        <f>IFERROR(__xludf.DUMMYFUNCTION("GOOGLETRANSLATE(B11200,""en"",""it"")"),"Il ragazzo prende il flauto dalla signora e finge di colpirla sul mento.")</f>
        <v>Il ragazzo prende il flauto dalla signora e finge di colpirla sul mento.</v>
      </c>
    </row>
    <row r="11201">
      <c r="A11201" s="4" t="s">
        <v>14084</v>
      </c>
      <c r="B11201" s="4" t="s">
        <v>14085</v>
      </c>
      <c r="C11201" s="5" t="str">
        <f>IFERROR(__xludf.DUMMYFUNCTION("GOOGLETRANSLATE(B11201,""en"",""it"")"),"Una donna è in piedi alla luce del sole, in posa e modella per la telecamera.")</f>
        <v>Una donna è in piedi alla luce del sole, in posa e modella per la telecamera.</v>
      </c>
    </row>
    <row r="11202">
      <c r="A11202" s="4" t="s">
        <v>14084</v>
      </c>
      <c r="B11202" s="4" t="s">
        <v>14086</v>
      </c>
      <c r="C11202" s="5" t="str">
        <f>IFERROR(__xludf.DUMMYFUNCTION("GOOGLETRANSLATE(B11202,""en"",""it"")"),"Mostra i suoi capelli naturali, quindi dimostra come modellarlo usando un colpo.")</f>
        <v>Mostra i suoi capelli naturali, quindi dimostra come modellarlo usando un colpo.</v>
      </c>
    </row>
    <row r="11203">
      <c r="A11203" s="4" t="s">
        <v>14087</v>
      </c>
      <c r="B11203" s="4" t="s">
        <v>14088</v>
      </c>
      <c r="C11203" s="5" t="str">
        <f>IFERROR(__xludf.DUMMYFUNCTION("GOOGLETRANSLATE(B11203,""en"",""it"")"),"Un uomo viene visto in piedi con le braccia e poi inizia una routine di ginnaste.")</f>
        <v>Un uomo viene visto in piedi con le braccia e poi inizia una routine di ginnaste.</v>
      </c>
    </row>
    <row r="11204">
      <c r="A11204" s="4" t="s">
        <v>14087</v>
      </c>
      <c r="B11204" s="4" t="s">
        <v>14089</v>
      </c>
      <c r="C11204" s="5" t="str">
        <f>IFERROR(__xludf.DUMMYFUNCTION("GOOGLETRANSLATE(B11204,""en"",""it"")"),"L'uomo continua a oscillare sulle barre irregolari e saltando fuori per finire.")</f>
        <v>L'uomo continua a oscillare sulle barre irregolari e saltando fuori per finire.</v>
      </c>
    </row>
    <row r="11205">
      <c r="A11205" s="4" t="s">
        <v>14087</v>
      </c>
      <c r="B11205" s="4" t="s">
        <v>14090</v>
      </c>
      <c r="C11205" s="5" t="str">
        <f>IFERROR(__xludf.DUMMYFUNCTION("GOOGLETRANSLATE(B11205,""en"",""it"")"),"L'uomo si allontana mentre viene mostrato il suo punteggio e la sua routine viene nuovamente mostrata al rallentatore.")</f>
        <v>L'uomo si allontana mentre viene mostrato il suo punteggio e la sua routine viene nuovamente mostrata al rallentatore.</v>
      </c>
    </row>
    <row r="11206">
      <c r="A11206" s="4" t="s">
        <v>14091</v>
      </c>
      <c r="B11206" s="4" t="s">
        <v>14092</v>
      </c>
      <c r="C11206" s="5" t="str">
        <f>IFERROR(__xludf.DUMMYFUNCTION("GOOGLETRANSLATE(B11206,""en"",""it"")"),"Un uomo parla davanti a una recinzione di un cortile.")</f>
        <v>Un uomo parla davanti a una recinzione di un cortile.</v>
      </c>
    </row>
    <row r="11207">
      <c r="A11207" s="4" t="s">
        <v>14091</v>
      </c>
      <c r="B11207" s="4" t="s">
        <v>14093</v>
      </c>
      <c r="C11207" s="5" t="str">
        <f>IFERROR(__xludf.DUMMYFUNCTION("GOOGLETRANSLATE(B11207,""en"",""it"")"),"Quindi, l'uomo parla di una persona in un negozio di vernici e la persona gli mostra strumenti in una vetrina.")</f>
        <v>Quindi, l'uomo parla di una persona in un negozio di vernici e la persona gli mostra strumenti in una vetrina.</v>
      </c>
    </row>
    <row r="11208">
      <c r="A11208" s="4" t="s">
        <v>14091</v>
      </c>
      <c r="B11208" s="4" t="s">
        <v>14094</v>
      </c>
      <c r="C11208" s="5" t="str">
        <f>IFERROR(__xludf.DUMMYFUNCTION("GOOGLETRANSLATE(B11208,""en"",""it"")"),"Dopo, l'uomo mostra i bottoni della macchina da pittura nel cortile.")</f>
        <v>Dopo, l'uomo mostra i bottoni della macchina da pittura nel cortile.</v>
      </c>
    </row>
    <row r="11209">
      <c r="A11209" s="4" t="s">
        <v>14091</v>
      </c>
      <c r="B11209" s="4" t="s">
        <v>14095</v>
      </c>
      <c r="C11209" s="5" t="str">
        <f>IFERROR(__xludf.DUMMYFUNCTION("GOOGLETRANSLATE(B11209,""en"",""it"")"),"Dopo, l'uomo mette il nastro blu sul lato della recinzione e copre un binario.")</f>
        <v>Dopo, l'uomo mette il nastro blu sul lato della recinzione e copre un binario.</v>
      </c>
    </row>
    <row r="11210">
      <c r="A11210" s="4" t="s">
        <v>14091</v>
      </c>
      <c r="B11210" s="4" t="s">
        <v>14096</v>
      </c>
      <c r="C11210" s="5" t="str">
        <f>IFERROR(__xludf.DUMMYFUNCTION("GOOGLETRANSLATE(B11210,""en"",""it"")"),"Quindi, l'uomo dipinge la recinzione con il tubo della macchina mentre indossa una maschera.")</f>
        <v>Quindi, l'uomo dipinge la recinzione con il tubo della macchina mentre indossa una maschera.</v>
      </c>
    </row>
    <row r="11211">
      <c r="A11211" s="4" t="s">
        <v>14091</v>
      </c>
      <c r="B11211" s="4" t="s">
        <v>14097</v>
      </c>
      <c r="C11211" s="5" t="str">
        <f>IFERROR(__xludf.DUMMYFUNCTION("GOOGLETRANSLATE(B11211,""en"",""it"")"),"L'uomo continua a spiegare davanti la macchina e i secchi di vernice.")</f>
        <v>L'uomo continua a spiegare davanti la macchina e i secchi di vernice.</v>
      </c>
    </row>
    <row r="11212">
      <c r="A11212" s="4" t="s">
        <v>14098</v>
      </c>
      <c r="B11212" s="4" t="s">
        <v>14099</v>
      </c>
      <c r="C11212" s="5" t="str">
        <f>IFERROR(__xludf.DUMMYFUNCTION("GOOGLETRANSLATE(B11212,""en"",""it"")"),"Un gruppo di bambini è in una classe come l'impostazione in cerchio.")</f>
        <v>Un gruppo di bambini è in una classe come l'impostazione in cerchio.</v>
      </c>
    </row>
    <row r="11213">
      <c r="A11213" s="4" t="s">
        <v>14098</v>
      </c>
      <c r="B11213" s="4" t="s">
        <v>14100</v>
      </c>
      <c r="C11213" s="5" t="str">
        <f>IFERROR(__xludf.DUMMYFUNCTION("GOOGLETRANSLATE(B11213,""en"",""it"")"),"Nel mezzo del cerchio, una donna sta colpendo una pinata avvolta in carta blu.")</f>
        <v>Nel mezzo del cerchio, una donna sta colpendo una pinata avvolta in carta blu.</v>
      </c>
    </row>
    <row r="11214">
      <c r="A11214" s="4" t="s">
        <v>14101</v>
      </c>
      <c r="B11214" s="4" t="s">
        <v>14102</v>
      </c>
      <c r="C11214" s="5" t="str">
        <f>IFERROR(__xludf.DUMMYFUNCTION("GOOGLETRANSLATE(B11214,""en"",""it"")"),"Little Kid sta saltando su foglie asciutte.")</f>
        <v>Little Kid sta saltando su foglie asciutte.</v>
      </c>
    </row>
    <row r="11215">
      <c r="A11215" s="4" t="s">
        <v>14101</v>
      </c>
      <c r="B11215" s="4" t="s">
        <v>14103</v>
      </c>
      <c r="C11215" s="5" t="str">
        <f>IFERROR(__xludf.DUMMYFUNCTION("GOOGLETRANSLATE(B11215,""en"",""it"")"),"La donna sta rastrellando foglie secche su un cortile.")</f>
        <v>La donna sta rastrellando foglie secche su un cortile.</v>
      </c>
    </row>
    <row r="11216">
      <c r="A11216" s="4" t="s">
        <v>14101</v>
      </c>
      <c r="B11216" s="4" t="s">
        <v>14104</v>
      </c>
      <c r="C11216" s="5" t="str">
        <f>IFERROR(__xludf.DUMMYFUNCTION("GOOGLETRANSLATE(B11216,""en"",""it"")"),"Kid si inginocchia e afferra una foglia secca per metterlo nel cestino.")</f>
        <v>Kid si inginocchia e afferra una foglia secca per metterlo nel cestino.</v>
      </c>
    </row>
    <row r="11217">
      <c r="A11217" s="4" t="s">
        <v>14105</v>
      </c>
      <c r="B11217" s="4" t="s">
        <v>14106</v>
      </c>
      <c r="C11217" s="5" t="str">
        <f>IFERROR(__xludf.DUMMYFUNCTION("GOOGLETRANSLATE(B11217,""en"",""it"")"),"Una bambina oscilla attraverso le barre delle scimmie su un terreno di gioco.")</f>
        <v>Una bambina oscilla attraverso le barre delle scimmie su un terreno di gioco.</v>
      </c>
    </row>
    <row r="11218">
      <c r="A11218" s="4" t="s">
        <v>14105</v>
      </c>
      <c r="B11218" s="4" t="s">
        <v>14107</v>
      </c>
      <c r="C11218" s="5" t="str">
        <f>IFERROR(__xludf.DUMMYFUNCTION("GOOGLETRANSLATE(B11218,""en"",""it"")"),"Passa attraverso ogni barra prima di saltare a terra.")</f>
        <v>Passa attraverso ogni barra prima di saltare a terra.</v>
      </c>
    </row>
    <row r="11219">
      <c r="A11219" s="4" t="s">
        <v>14105</v>
      </c>
      <c r="B11219" s="4" t="s">
        <v>14108</v>
      </c>
      <c r="C11219" s="5" t="str">
        <f>IFERROR(__xludf.DUMMYFUNCTION("GOOGLETRANSLATE(B11219,""en"",""it"")"),"Torna all'inizio e oscilla di nuovo attraverso le sbarre.")</f>
        <v>Torna all'inizio e oscilla di nuovo attraverso le sbarre.</v>
      </c>
    </row>
    <row r="11220">
      <c r="A11220" s="4" t="s">
        <v>14109</v>
      </c>
      <c r="B11220" s="4" t="s">
        <v>14110</v>
      </c>
      <c r="C11220" s="5" t="str">
        <f>IFERROR(__xludf.DUMMYFUNCTION("GOOGLETRANSLATE(B11220,""en"",""it"")"),"Un giovane sta parlando con la telecamera fuori mentre toglie i sbuffi da un narghilè.")</f>
        <v>Un giovane sta parlando con la telecamera fuori mentre toglie i sbuffi da un narghilè.</v>
      </c>
    </row>
    <row r="11221">
      <c r="A11221" s="4" t="s">
        <v>14109</v>
      </c>
      <c r="B11221" s="4" t="s">
        <v>14111</v>
      </c>
      <c r="C11221" s="5" t="str">
        <f>IFERROR(__xludf.DUMMYFUNCTION("GOOGLETRANSLATE(B11221,""en"",""it"")"),"Mette via il tubo e toglie un'altalena da una bevanda energetica.")</f>
        <v>Mette via il tubo e toglie un'altalena da una bevanda energetica.</v>
      </c>
    </row>
    <row r="11222">
      <c r="A11222" s="4" t="s">
        <v>14109</v>
      </c>
      <c r="B11222" s="6" t="s">
        <v>14112</v>
      </c>
      <c r="C11222" s="5" t="str">
        <f>IFERROR(__xludf.DUMMYFUNCTION("GOOGLETRANSLATE(B11222,""en"",""it"")"),"Muove la telecamera per mostrare un altro uomo e continua a fumare il narghilè accanto all'altro uomo.")</f>
        <v>Muove la telecamera per mostrare un altro uomo e continua a fumare il narghilè accanto all'altro uomo.</v>
      </c>
    </row>
    <row r="11223">
      <c r="A11223" s="4" t="s">
        <v>14109</v>
      </c>
      <c r="B11223" s="4" t="s">
        <v>14113</v>
      </c>
      <c r="C11223" s="5" t="str">
        <f>IFERROR(__xludf.DUMMYFUNCTION("GOOGLETRANSLATE(B11223,""en"",""it"")"),"Entrambi guardano nella telecamera mentre fumano e il ragazzo continua ancora a bere la bevanda energetica.")</f>
        <v>Entrambi guardano nella telecamera mentre fumano e il ragazzo continua ancora a bere la bevanda energetica.</v>
      </c>
    </row>
    <row r="11224">
      <c r="A11224" s="4" t="s">
        <v>14114</v>
      </c>
      <c r="B11224" s="4" t="s">
        <v>14115</v>
      </c>
      <c r="C11224" s="5" t="str">
        <f>IFERROR(__xludf.DUMMYFUNCTION("GOOGLETRANSLATE(B11224,""en"",""it"")"),"Molte persone sono sedute su stand su un toro.")</f>
        <v>Molte persone sono sedute su stand su un toro.</v>
      </c>
    </row>
    <row r="11225">
      <c r="A11225" s="4" t="s">
        <v>14114</v>
      </c>
      <c r="B11225" s="4" t="s">
        <v>14116</v>
      </c>
      <c r="C11225" s="5" t="str">
        <f>IFERROR(__xludf.DUMMYFUNCTION("GOOGLETRANSLATE(B11225,""en"",""it"")"),"I bullfighters tengono in tessuto rosso e correndo su un toro.")</f>
        <v>I bullfighters tengono in tessuto rosso e correndo su un toro.</v>
      </c>
    </row>
    <row r="11226">
      <c r="A11226" s="4" t="s">
        <v>14117</v>
      </c>
      <c r="B11226" s="4" t="s">
        <v>14118</v>
      </c>
      <c r="C11226" s="5" t="str">
        <f>IFERROR(__xludf.DUMMYFUNCTION("GOOGLETRANSLATE(B11226,""en"",""it"")"),"Diversi premi sono raffigurati su un caminetto e poi si spostano sul muro a sinistra.")</f>
        <v>Diversi premi sono raffigurati su un caminetto e poi si spostano sul muro a sinistra.</v>
      </c>
    </row>
    <row r="11227">
      <c r="A11227" s="4" t="s">
        <v>14117</v>
      </c>
      <c r="B11227" s="4" t="s">
        <v>14119</v>
      </c>
      <c r="C11227" s="5" t="str">
        <f>IFERROR(__xludf.DUMMYFUNCTION("GOOGLETRANSLATE(B11227,""en"",""it"")"),"Viene mostrato un tavolo di cibo e la persona che registra prende un biscotto e lascia la stanza.")</f>
        <v>Viene mostrato un tavolo di cibo e la persona che registra prende un biscotto e lascia la stanza.</v>
      </c>
    </row>
    <row r="11228">
      <c r="A11228" s="4" t="s">
        <v>14117</v>
      </c>
      <c r="B11228" s="6" t="s">
        <v>14120</v>
      </c>
      <c r="C11228" s="5" t="str">
        <f>IFERROR(__xludf.DUMMYFUNCTION("GOOGLETRANSLATE(B11228,""en"",""it"")"),"La stanza accanto che entra, ci sono diverse persone in giro per giocare a Beer Pong e procede a camminare per la casa.")</f>
        <v>La stanza accanto che entra, ci sono diverse persone in giro per giocare a Beer Pong e procede a camminare per la casa.</v>
      </c>
    </row>
    <row r="11229">
      <c r="A11229" s="4" t="s">
        <v>14121</v>
      </c>
      <c r="B11229" s="4" t="s">
        <v>14122</v>
      </c>
      <c r="C11229" s="5" t="str">
        <f>IFERROR(__xludf.DUMMYFUNCTION("GOOGLETRANSLATE(B11229,""en"",""it"")"),"Una donna viene mostrata a Wal-Mart, ridendo e scegliendo orecchini da un rack.")</f>
        <v>Una donna viene mostrata a Wal-Mart, ridendo e scegliendo orecchini da un rack.</v>
      </c>
    </row>
    <row r="11230">
      <c r="A11230" s="4" t="s">
        <v>14121</v>
      </c>
      <c r="B11230" s="4" t="s">
        <v>14123</v>
      </c>
      <c r="C11230" s="5" t="str">
        <f>IFERROR(__xludf.DUMMYFUNCTION("GOOGLETRANSLATE(B11230,""en"",""it"")"),"Si siede su una sedia e un dipendente spara un orecchino nel suo lobo con una pistola penetrante.")</f>
        <v>Si siede su una sedia e un dipendente spara un orecchino nel suo lobo con una pistola penetrante.</v>
      </c>
    </row>
    <row r="11231">
      <c r="A11231" s="4" t="s">
        <v>14121</v>
      </c>
      <c r="B11231" s="4" t="s">
        <v>14124</v>
      </c>
      <c r="C11231" s="5" t="str">
        <f>IFERROR(__xludf.DUMMYFUNCTION("GOOGLETRANSLATE(B11231,""en"",""it"")"),"Si arrampica per il dolore mentre gli entra nell'orecchio.")</f>
        <v>Si arrampica per il dolore mentre gli entra nell'orecchio.</v>
      </c>
    </row>
    <row r="11232">
      <c r="A11232" s="4" t="s">
        <v>14125</v>
      </c>
      <c r="B11232" s="4" t="s">
        <v>14126</v>
      </c>
      <c r="C11232" s="5" t="str">
        <f>IFERROR(__xludf.DUMMYFUNCTION("GOOGLETRANSLATE(B11232,""en"",""it"")"),"Vediamo tre schermi introduttivi separati.")</f>
        <v>Vediamo tre schermi introduttivi separati.</v>
      </c>
    </row>
    <row r="11233">
      <c r="A11233" s="4" t="s">
        <v>14125</v>
      </c>
      <c r="B11233" s="4" t="s">
        <v>14127</v>
      </c>
      <c r="C11233" s="5" t="str">
        <f>IFERROR(__xludf.DUMMYFUNCTION("GOOGLETRANSLATE(B11233,""en"",""it"")"),"Vediamo un uomo che fa colpi nell'hockey con schermi del titolo in mezzo.")</f>
        <v>Vediamo un uomo che fa colpi nell'hockey con schermi del titolo in mezzo.</v>
      </c>
    </row>
    <row r="11234">
      <c r="A11234" s="4" t="s">
        <v>14125</v>
      </c>
      <c r="B11234" s="4" t="s">
        <v>14128</v>
      </c>
      <c r="C11234" s="5" t="str">
        <f>IFERROR(__xludf.DUMMYFUNCTION("GOOGLETRANSLATE(B11234,""en"",""it"")"),"Un uomo spara a un colpo all'hockey e lo fa e vediamo un riepilogo del rallentatore.")</f>
        <v>Un uomo spara a un colpo all'hockey e lo fa e vediamo un riepilogo del rallentatore.</v>
      </c>
    </row>
    <row r="11235">
      <c r="A11235" s="4" t="s">
        <v>14125</v>
      </c>
      <c r="B11235" s="4" t="s">
        <v>14129</v>
      </c>
      <c r="C11235" s="5" t="str">
        <f>IFERROR(__xludf.DUMMYFUNCTION("GOOGLETRANSLATE(B11235,""en"",""it"")"),"L'uomo fa un altro colpo e lo fa e ne vediamo anche un riepilogo.")</f>
        <v>L'uomo fa un altro colpo e lo fa e ne vediamo anche un riepilogo.</v>
      </c>
    </row>
    <row r="11236">
      <c r="A11236" s="4" t="s">
        <v>14125</v>
      </c>
      <c r="B11236" s="4" t="s">
        <v>14130</v>
      </c>
      <c r="C11236" s="5" t="str">
        <f>IFERROR(__xludf.DUMMYFUNCTION("GOOGLETRANSLATE(B11236,""en"",""it"")"),"Vediamo lo scatto dall'alto e un riepilogo.")</f>
        <v>Vediamo lo scatto dall'alto e un riepilogo.</v>
      </c>
    </row>
    <row r="11237">
      <c r="A11237" s="4" t="s">
        <v>14131</v>
      </c>
      <c r="B11237" s="4" t="s">
        <v>14132</v>
      </c>
      <c r="C11237" s="5" t="str">
        <f>IFERROR(__xludf.DUMMYFUNCTION("GOOGLETRANSLATE(B11237,""en"",""it"")"),"Un ragazzo sta gestendo un presser elettrico.")</f>
        <v>Un ragazzo sta gestendo un presser elettrico.</v>
      </c>
    </row>
    <row r="11238">
      <c r="A11238" s="4" t="s">
        <v>14131</v>
      </c>
      <c r="B11238" s="4" t="s">
        <v>14133</v>
      </c>
      <c r="C11238" s="5" t="str">
        <f>IFERROR(__xludf.DUMMYFUNCTION("GOOGLETRANSLATE(B11238,""en"",""it"")"),"Un uomo sta frustando con un tappeto scuro.")</f>
        <v>Un uomo sta frustando con un tappeto scuro.</v>
      </c>
    </row>
    <row r="11239">
      <c r="A11239" s="4" t="s">
        <v>14131</v>
      </c>
      <c r="B11239" s="4" t="s">
        <v>14134</v>
      </c>
      <c r="C11239" s="5" t="str">
        <f>IFERROR(__xludf.DUMMYFUNCTION("GOOGLETRANSLATE(B11239,""en"",""it"")"),"Il ragazzo fa gestire il lavoro della macchina.")</f>
        <v>Il ragazzo fa gestire il lavoro della macchina.</v>
      </c>
    </row>
    <row r="11240">
      <c r="A11240" s="4" t="s">
        <v>14135</v>
      </c>
      <c r="B11240" s="6" t="s">
        <v>14136</v>
      </c>
      <c r="C11240" s="5" t="str">
        <f>IFERROR(__xludf.DUMMYFUNCTION("GOOGLETRANSLATE(B11240,""en"",""it"")"),"Un gruppo di ragazzi gioca ad acqua con una palla gialla in una piscina all'aperto circondata da una recinzione e alberi alti e fogliame.")</f>
        <v>Un gruppo di ragazzi gioca ad acqua con una palla gialla in una piscina all'aperto circondata da una recinzione e alberi alti e fogliame.</v>
      </c>
    </row>
    <row r="11241">
      <c r="A11241" s="4" t="s">
        <v>14135</v>
      </c>
      <c r="B11241" s="6" t="s">
        <v>14137</v>
      </c>
      <c r="C11241" s="5" t="str">
        <f>IFERROR(__xludf.DUMMYFUNCTION("GOOGLETRANSLATE(B11241,""en"",""it"")"),"Un gruppo di ragazzi gioca a prendere in una piscina all'aperto con una palla gialla, lanciandosi la palla e poi lancia la palla dalla piscina a una festa invisibile.")</f>
        <v>Un gruppo di ragazzi gioca a prendere in una piscina all'aperto con una palla gialla, lanciandosi la palla e poi lancia la palla dalla piscina a una festa invisibile.</v>
      </c>
    </row>
    <row r="11242">
      <c r="A11242" s="4" t="s">
        <v>14135</v>
      </c>
      <c r="B11242" s="4" t="s">
        <v>14138</v>
      </c>
      <c r="C11242" s="5" t="str">
        <f>IFERROR(__xludf.DUMMYFUNCTION("GOOGLETRANSLATE(B11242,""en"",""it"")"),"La palla viene gettata di nuovo in piscina e i ragazzi procedono a buttarla di nuovo fuori.")</f>
        <v>La palla viene gettata di nuovo in piscina e i ragazzi procedono a buttarla di nuovo fuori.</v>
      </c>
    </row>
    <row r="11243">
      <c r="A11243" s="4" t="s">
        <v>14139</v>
      </c>
      <c r="B11243" s="6" t="s">
        <v>14140</v>
      </c>
      <c r="C11243" s="5" t="str">
        <f>IFERROR(__xludf.DUMMYFUNCTION("GOOGLETRANSLATE(B11243,""en"",""it"")"),"Un'introduzione piena di effetti speciali di diversi schermi che si uniscono e il risultato finale è un segno quadrato che recita ""gethitsweet Get It Sweet 2014"" e il colore è bianco, rosa, rosa scuro e marrone con l'effetto del cioccolato che gocciola "&amp;"da la parte superiore del segno.")</f>
        <v>Un'introduzione piena di effetti speciali di diversi schermi che si uniscono e il risultato finale è un segno quadrato che recita "gethitsweet Get It Sweet 2014" e il colore è bianco, rosa, rosa scuro e marrone con l'effetto del cioccolato che gocciola da la parte superiore del segno.</v>
      </c>
    </row>
    <row r="11244">
      <c r="A11244" s="4" t="s">
        <v>14139</v>
      </c>
      <c r="B11244" s="6" t="s">
        <v>14141</v>
      </c>
      <c r="C11244" s="5" t="str">
        <f>IFERROR(__xludf.DUMMYFUNCTION("GOOGLETRANSLATE(B11244,""en"",""it"")"),"Un lotto di biscotti alla cannella su un vassoio e compaiono un rapido elenco di ingredienti insieme agli ingredienti reali in diverse ciotole.")</f>
        <v>Un lotto di biscotti alla cannella su un vassoio e compaiono un rapido elenco di ingredienti insieme agli ingredienti reali in diverse ciotole.</v>
      </c>
    </row>
    <row r="11245">
      <c r="A11245" s="4" t="s">
        <v>14139</v>
      </c>
      <c r="B11245" s="6" t="s">
        <v>14142</v>
      </c>
      <c r="C11245" s="5" t="str">
        <f>IFERROR(__xludf.DUMMYFUNCTION("GOOGLETRANSLATE(B11245,""en"",""it"")"),"Gli ingredienti vengono ora mostrati versati in una grande ciotola trasparente che viene mescolata con un mixer a mano e le istruzioni si aprono occasionalmente sullo schermo.")</f>
        <v>Gli ingredienti vengono ora mostrati versati in una grande ciotola trasparente che viene mescolata con un mixer a mano e le istruzioni si aprono occasionalmente sullo schermo.</v>
      </c>
    </row>
    <row r="11246">
      <c r="A11246" s="4" t="s">
        <v>14139</v>
      </c>
      <c r="B11246" s="6" t="s">
        <v>14143</v>
      </c>
      <c r="C11246" s="5" t="str">
        <f>IFERROR(__xludf.DUMMYFUNCTION("GOOGLETRANSLATE(B11246,""en"",""it"")"),"Quando gli ingredienti vengono miscelati accuratamente la persona si appiattisce tra la plastica, la raffredda, quindi lo mette su un tagliere per stenderlo, quindi aggiunge zucchero e cannella alla superficie piana.")</f>
        <v>Quando gli ingredienti vengono miscelati accuratamente la persona si appiattisce tra la plastica, la raffredda, quindi lo mette su un tagliere per stenderlo, quindi aggiunge zucchero e cannella alla superficie piana.</v>
      </c>
    </row>
    <row r="11247">
      <c r="A11247" s="4" t="s">
        <v>14139</v>
      </c>
      <c r="B11247" s="6" t="s">
        <v>14144</v>
      </c>
      <c r="C11247" s="5" t="str">
        <f>IFERROR(__xludf.DUMMYFUNCTION("GOOGLETRANSLATE(B11247,""en"",""it"")"),"La persona quindi lo rotola e lo mette su un pezzo di involucro di Saran che si trova accanto al tagliere, quindi avvolge la confezione di Saran, rotola un po 'dove le istruzioni dicono di raffredderlo per 30 minuti.")</f>
        <v>La persona quindi lo rotola e lo mette su un pezzo di involucro di Saran che si trova accanto al tagliere, quindi avvolge la confezione di Saran, rotola un po 'dove le istruzioni dicono di raffredderlo per 30 minuti.</v>
      </c>
    </row>
    <row r="11248">
      <c r="A11248" s="4" t="s">
        <v>14139</v>
      </c>
      <c r="B11248" s="6" t="s">
        <v>14145</v>
      </c>
      <c r="C11248" s="5" t="str">
        <f>IFERROR(__xludf.DUMMYFUNCTION("GOOGLETRANSLATE(B11248,""en"",""it"")"),"Una volta che è stato raffreddato, viene rimosso, tagliato sul tagliere, posizionato su un foglio di cottura e quindi cotto.")</f>
        <v>Una volta che è stato raffreddato, viene rimosso, tagliato sul tagliere, posizionato su un foglio di cottura e quindi cotto.</v>
      </c>
    </row>
    <row r="11249">
      <c r="A11249" s="4" t="s">
        <v>14139</v>
      </c>
      <c r="B11249" s="6" t="s">
        <v>14146</v>
      </c>
      <c r="C11249" s="5" t="str">
        <f>IFERROR(__xludf.DUMMYFUNCTION("GOOGLETRANSLATE(B11249,""en"",""it"")"),"I prodotti cotti vengono quindi mostrati su piatti bianchi con una tazza di caffè e la persona lo raccoglie e lo morde.")</f>
        <v>I prodotti cotti vengono quindi mostrati su piatti bianchi con una tazza di caffè e la persona lo raccoglie e lo morde.</v>
      </c>
    </row>
    <row r="11250">
      <c r="A11250" s="4" t="s">
        <v>14139</v>
      </c>
      <c r="B11250" s="6" t="s">
        <v>14147</v>
      </c>
      <c r="C11250" s="5" t="str">
        <f>IFERROR(__xludf.DUMMYFUNCTION("GOOGLETRANSLATE(B11250,""en"",""it"")"),"L'ultima schermata è una promozione di YouTube del canale della persona che ha 2 piccoli video su cui puoi fare clic e la formulazione che ti incoraggia a iscriverti.")</f>
        <v>L'ultima schermata è una promozione di YouTube del canale della persona che ha 2 piccoli video su cui puoi fare clic e la formulazione che ti incoraggia a iscriverti.</v>
      </c>
    </row>
    <row r="11251">
      <c r="A11251" s="4" t="s">
        <v>14148</v>
      </c>
      <c r="B11251" s="4" t="s">
        <v>14149</v>
      </c>
      <c r="C11251" s="5" t="str">
        <f>IFERROR(__xludf.DUMMYFUNCTION("GOOGLETRANSLATE(B11251,""en"",""it"")"),"Le persone stanno ballando in una piccola stanza facendo una coreografia.")</f>
        <v>Le persone stanno ballando in una piccola stanza facendo una coreografia.</v>
      </c>
    </row>
    <row r="11252">
      <c r="A11252" s="4" t="s">
        <v>14148</v>
      </c>
      <c r="B11252" s="4" t="s">
        <v>14150</v>
      </c>
      <c r="C11252" s="5" t="str">
        <f>IFERROR(__xludf.DUMMYFUNCTION("GOOGLETRANSLATE(B11252,""en"",""it"")"),"L'uomo smette di ballare e continua a fare la coreografia.")</f>
        <v>L'uomo smette di ballare e continua a fare la coreografia.</v>
      </c>
    </row>
    <row r="11253">
      <c r="A11253" s="4" t="s">
        <v>14148</v>
      </c>
      <c r="B11253" s="6" t="s">
        <v>14151</v>
      </c>
      <c r="C11253" s="5" t="str">
        <f>IFERROR(__xludf.DUMMYFUNCTION("GOOGLETRANSLATE(B11253,""en"",""it"")"),"Uomo che indossa pantaloncini rossi e camicia grigia che guida la coreografia di fronte alla gente nella stanza.")</f>
        <v>Uomo che indossa pantaloncini rossi e camicia grigia che guida la coreografia di fronte alla gente nella stanza.</v>
      </c>
    </row>
    <row r="11254">
      <c r="A11254" s="4" t="s">
        <v>14152</v>
      </c>
      <c r="B11254" s="4" t="s">
        <v>14153</v>
      </c>
      <c r="C11254" s="5" t="str">
        <f>IFERROR(__xludf.DUMMYFUNCTION("GOOGLETRANSLATE(B11254,""en"",""it"")"),"Una finestra su un'auto è superato e un uomo senza camicia cammina verso l'AR.")</f>
        <v>Una finestra su un'auto è superato e un uomo senza camicia cammina verso l'AR.</v>
      </c>
    </row>
    <row r="11255">
      <c r="A11255" s="4" t="s">
        <v>14152</v>
      </c>
      <c r="B11255" s="4" t="s">
        <v>14154</v>
      </c>
      <c r="C11255" s="5" t="str">
        <f>IFERROR(__xludf.DUMMYFUNCTION("GOOGLETRANSLATE(B11255,""en"",""it"")"),"Vediamo uomini senza camicia in piccole biancheria intima che lava le auto.")</f>
        <v>Vediamo uomini senza camicia in piccole biancheria intima che lava le auto.</v>
      </c>
    </row>
    <row r="11256">
      <c r="A11256" s="4" t="s">
        <v>14152</v>
      </c>
      <c r="B11256" s="4" t="s">
        <v>14155</v>
      </c>
      <c r="C11256" s="5" t="str">
        <f>IFERROR(__xludf.DUMMYFUNCTION("GOOGLETRANSLATE(B11256,""en"",""it"")"),"Gli uomini camminano nel parcheggio in linea con solo biancheria intima.")</f>
        <v>Gli uomini camminano nel parcheggio in linea con solo biancheria intima.</v>
      </c>
    </row>
    <row r="11257">
      <c r="A11257" s="4" t="s">
        <v>14152</v>
      </c>
      <c r="B11257" s="4" t="s">
        <v>14156</v>
      </c>
      <c r="C11257" s="5" t="str">
        <f>IFERROR(__xludf.DUMMYFUNCTION("GOOGLETRANSLATE(B11257,""en"",""it"")"),"Un uomo scuote i capelli bagnati.")</f>
        <v>Un uomo scuote i capelli bagnati.</v>
      </c>
    </row>
    <row r="11258">
      <c r="A11258" s="4" t="s">
        <v>14152</v>
      </c>
      <c r="B11258" s="4" t="s">
        <v>14157</v>
      </c>
      <c r="C11258" s="5" t="str">
        <f>IFERROR(__xludf.DUMMYFUNCTION("GOOGLETRANSLATE(B11258,""en"",""it"")"),"Un uomo lava il sedere di un altro uomo.")</f>
        <v>Un uomo lava il sedere di un altro uomo.</v>
      </c>
    </row>
    <row r="11259">
      <c r="A11259" s="4" t="s">
        <v>14152</v>
      </c>
      <c r="B11259" s="4" t="s">
        <v>14158</v>
      </c>
      <c r="C11259" s="5" t="str">
        <f>IFERROR(__xludf.DUMMYFUNCTION("GOOGLETRANSLATE(B11259,""en"",""it"")"),"Un uomo si asciuga l'acqua e guarda la fotocamera.")</f>
        <v>Un uomo si asciuga l'acqua e guarda la fotocamera.</v>
      </c>
    </row>
    <row r="11260">
      <c r="A11260" s="4" t="s">
        <v>14152</v>
      </c>
      <c r="B11260" s="4" t="s">
        <v>14159</v>
      </c>
      <c r="C11260" s="5" t="str">
        <f>IFERROR(__xludf.DUMMYFUNCTION("GOOGLETRANSLATE(B11260,""en"",""it"")"),"Gli uomini fanno balli in una linea e scene di lavare l'auto.")</f>
        <v>Gli uomini fanno balli in una linea e scene di lavare l'auto.</v>
      </c>
    </row>
    <row r="11261">
      <c r="A11261" s="4" t="s">
        <v>14152</v>
      </c>
      <c r="B11261" s="4" t="s">
        <v>777</v>
      </c>
      <c r="C11261" s="5" t="str">
        <f>IFERROR(__xludf.DUMMYFUNCTION("GOOGLETRANSLATE(B11261,""en"",""it"")"),"Vediamo la schermata del titolo finale.")</f>
        <v>Vediamo la schermata del titolo finale.</v>
      </c>
    </row>
    <row r="11262">
      <c r="A11262" s="4" t="s">
        <v>14160</v>
      </c>
      <c r="B11262" s="4" t="s">
        <v>14161</v>
      </c>
      <c r="C11262" s="5" t="str">
        <f>IFERROR(__xludf.DUMMYFUNCTION("GOOGLETRANSLATE(B11262,""en"",""it"")"),"Due lottatori di sumo si trovano in un'arena.")</f>
        <v>Due lottatori di sumo si trovano in un'arena.</v>
      </c>
    </row>
    <row r="11263">
      <c r="A11263" s="4" t="s">
        <v>14160</v>
      </c>
      <c r="B11263" s="4" t="s">
        <v>14162</v>
      </c>
      <c r="C11263" s="5" t="str">
        <f>IFERROR(__xludf.DUMMYFUNCTION("GOOGLETRANSLATE(B11263,""en"",""it"")"),"Uno fa cadere l'altro.")</f>
        <v>Uno fa cadere l'altro.</v>
      </c>
    </row>
    <row r="11264">
      <c r="A11264" s="4" t="s">
        <v>14160</v>
      </c>
      <c r="B11264" s="4" t="s">
        <v>14163</v>
      </c>
      <c r="C11264" s="5" t="str">
        <f>IFERROR(__xludf.DUMMYFUNCTION("GOOGLETRANSLATE(B11264,""en"",""it"")"),"Il vincitore è alto sull'arena.")</f>
        <v>Il vincitore è alto sull'arena.</v>
      </c>
    </row>
    <row r="11265">
      <c r="A11265" s="4" t="s">
        <v>14160</v>
      </c>
      <c r="B11265" s="4" t="s">
        <v>14164</v>
      </c>
      <c r="C11265" s="5" t="str">
        <f>IFERROR(__xludf.DUMMYFUNCTION("GOOGLETRANSLATE(B11265,""en"",""it"")"),"La folla guarda il vincitore.")</f>
        <v>La folla guarda il vincitore.</v>
      </c>
    </row>
    <row r="11266">
      <c r="A11266" s="4" t="s">
        <v>14165</v>
      </c>
      <c r="B11266" s="6" t="s">
        <v>14166</v>
      </c>
      <c r="C11266" s="5" t="str">
        <f>IFERROR(__xludf.DUMMYFUNCTION("GOOGLETRANSLATE(B11266,""en"",""it"")"),"Il video mostra un uomo in occhiali e cuffie, che indossa un cappello e una camicia marrone che fa un tutorial su come suonare un flauto in PVC.")</f>
        <v>Il video mostra un uomo in occhiali e cuffie, che indossa un cappello e una camicia marrone che fa un tutorial su come suonare un flauto in PVC.</v>
      </c>
    </row>
    <row r="11267">
      <c r="A11267" s="4" t="s">
        <v>14165</v>
      </c>
      <c r="B11267" s="6" t="s">
        <v>14167</v>
      </c>
      <c r="C11267" s="5" t="str">
        <f>IFERROR(__xludf.DUMMYFUNCTION("GOOGLETRANSLATE(B11267,""en"",""it"")"),"Prende il flauto tra le mani e inizia a suonare spostando le dita lungo i buchi mentre soffia nel flauto.")</f>
        <v>Prende il flauto tra le mani e inizia a suonare spostando le dita lungo i buchi mentre soffia nel flauto.</v>
      </c>
    </row>
    <row r="11268">
      <c r="A11268" s="4" t="s">
        <v>14165</v>
      </c>
      <c r="B11268" s="4" t="s">
        <v>14168</v>
      </c>
      <c r="C11268" s="5" t="str">
        <f>IFERROR(__xludf.DUMMYFUNCTION("GOOGLETRANSLATE(B11268,""en"",""it"")"),"Continua a suonare il flauto fino a quando non finisce la melodia.")</f>
        <v>Continua a suonare il flauto fino a quando non finisce la melodia.</v>
      </c>
    </row>
    <row r="11269">
      <c r="A11269" s="4" t="s">
        <v>14169</v>
      </c>
      <c r="B11269" s="6" t="s">
        <v>14170</v>
      </c>
      <c r="C11269" s="5" t="str">
        <f>IFERROR(__xludf.DUMMYFUNCTION("GOOGLETRANSLATE(B11269,""en"",""it"")"),"Un uomo gioca a molti giochi di shuffleboard in una stanza occupata da altre persone e da molte altre shuffle board.")</f>
        <v>Un uomo gioca a molti giochi di shuffleboard in una stanza occupata da altre persone e da molte altre shuffle board.</v>
      </c>
    </row>
    <row r="11270">
      <c r="A11270" s="4" t="s">
        <v>14169</v>
      </c>
      <c r="B11270" s="6" t="s">
        <v>14171</v>
      </c>
      <c r="C11270" s="5" t="str">
        <f>IFERROR(__xludf.DUMMYFUNCTION("GOOGLETRANSLATE(B11270,""en"",""it"")"),"Un uomo con una camicia e occhiali con colletto gioca shuffleboard con dischi di metallo e uno shuffleboard di legno lungo davanti a un punteggio di punteggio illuminato in una stanza.")</f>
        <v>Un uomo con una camicia e occhiali con colletto gioca shuffleboard con dischi di metallo e uno shuffleboard di legno lungo davanti a un punteggio di punteggio illuminato in una stanza.</v>
      </c>
    </row>
    <row r="11271">
      <c r="A11271" s="4" t="s">
        <v>14169</v>
      </c>
      <c r="B11271" s="6" t="s">
        <v>14172</v>
      </c>
      <c r="C11271" s="5" t="str">
        <f>IFERROR(__xludf.DUMMYFUNCTION("GOOGLETRANSLATE(B11271,""en"",""it"")"),"L'uomo mette asciugamani di carta sugli occhi e sotto gli occhiali per assorbire il sudore dall'intensità del gioco shuffleboard.")</f>
        <v>L'uomo mette asciugamani di carta sugli occhi e sotto gli occhiali per assorbire il sudore dall'intensità del gioco shuffleboard.</v>
      </c>
    </row>
    <row r="11272">
      <c r="A11272" s="4" t="s">
        <v>14169</v>
      </c>
      <c r="B11272" s="6" t="s">
        <v>14173</v>
      </c>
      <c r="C11272" s="5" t="str">
        <f>IFERROR(__xludf.DUMMYFUNCTION("GOOGLETRANSLATE(B11272,""en"",""it"")"),"L'uomo continua a giocare a shuffleboard con alcuni curiosi in una stanza con uno scatto visivo finale di tutti tranne uno dei dischi fuori dallo shuffleboard.")</f>
        <v>L'uomo continua a giocare a shuffleboard con alcuni curiosi in una stanza con uno scatto visivo finale di tutti tranne uno dei dischi fuori dallo shuffleboard.</v>
      </c>
    </row>
    <row r="11273">
      <c r="A11273" s="4" t="s">
        <v>14174</v>
      </c>
      <c r="B11273" s="4" t="s">
        <v>14175</v>
      </c>
      <c r="C11273" s="5" t="str">
        <f>IFERROR(__xludf.DUMMYFUNCTION("GOOGLETRANSLATE(B11273,""en"",""it"")"),"Una donna che indossa l'attrezzatura per immersioni subacquee è sott'acqua.")</f>
        <v>Una donna che indossa l'attrezzatura per immersioni subacquee è sott'acqua.</v>
      </c>
    </row>
    <row r="11274">
      <c r="A11274" s="4" t="s">
        <v>14174</v>
      </c>
      <c r="B11274" s="4" t="s">
        <v>14176</v>
      </c>
      <c r="C11274" s="5" t="str">
        <f>IFERROR(__xludf.DUMMYFUNCTION("GOOGLETRANSLATE(B11274,""en"",""it"")"),"Esplora il fondo dell'oceano, guardando il pesce e la fauna selvatica mentre un uomo nuota dietro di lei.")</f>
        <v>Esplora il fondo dell'oceano, guardando il pesce e la fauna selvatica mentre un uomo nuota dietro di lei.</v>
      </c>
    </row>
    <row r="11275">
      <c r="A11275" s="4" t="s">
        <v>14174</v>
      </c>
      <c r="B11275" s="4" t="s">
        <v>14177</v>
      </c>
      <c r="C11275" s="5" t="str">
        <f>IFERROR(__xludf.DUMMYFUNCTION("GOOGLETRANSLATE(B11275,""en"",""it"")"),"Danno segnali ok alla persona con la fotocamera.")</f>
        <v>Danno segnali ok alla persona con la fotocamera.</v>
      </c>
    </row>
    <row r="11276">
      <c r="A11276" s="4" t="s">
        <v>14178</v>
      </c>
      <c r="B11276" s="6" t="s">
        <v>14179</v>
      </c>
      <c r="C11276" s="5" t="str">
        <f>IFERROR(__xludf.DUMMYFUNCTION("GOOGLETRANSLATE(B11276,""en"",""it"")"),"Viene mostrata una donna atletica che salta al rallentatore su un palo, seguito da molte più donne che tentano lo stesso salto.")</f>
        <v>Viene mostrata una donna atletica che salta al rallentatore su un palo, seguito da molte più donne che tentano lo stesso salto.</v>
      </c>
    </row>
    <row r="11277">
      <c r="A11277" s="4" t="s">
        <v>14178</v>
      </c>
      <c r="B11277" s="6" t="s">
        <v>14180</v>
      </c>
      <c r="C11277" s="5" t="str">
        <f>IFERROR(__xludf.DUMMYFUNCTION("GOOGLETRANSLATE(B11277,""en"",""it"")"),"Diverse altre donne seguono dietro il salto mentre la fotocamera le cattura al rallentatore.")</f>
        <v>Diverse altre donne seguono dietro il salto mentre la fotocamera le cattura al rallentatore.</v>
      </c>
    </row>
    <row r="11278">
      <c r="A11278" s="4" t="s">
        <v>14181</v>
      </c>
      <c r="B11278" s="4" t="s">
        <v>14182</v>
      </c>
      <c r="C11278" s="5" t="str">
        <f>IFERROR(__xludf.DUMMYFUNCTION("GOOGLETRANSLATE(B11278,""en"",""it"")"),"Le persone vengono mostrate lentamente jogging in questa maratona.")</f>
        <v>Le persone vengono mostrate lentamente jogging in questa maratona.</v>
      </c>
    </row>
    <row r="11279">
      <c r="A11279" s="4" t="s">
        <v>14181</v>
      </c>
      <c r="B11279" s="6" t="s">
        <v>14183</v>
      </c>
      <c r="C11279" s="5" t="str">
        <f>IFERROR(__xludf.DUMMYFUNCTION("GOOGLETRANSLATE(B11279,""en"",""it"")"),"C'è solo un uomo che si destreggia tra le palline bianche tra le mani mentre si fa jogging all'indietro per tutto il tutto.")</f>
        <v>C'è solo un uomo che si destreggia tra le palline bianche tra le mani mentre si fa jogging all'indietro per tutto il tutto.</v>
      </c>
    </row>
    <row r="11280">
      <c r="A11280" s="4" t="s">
        <v>14181</v>
      </c>
      <c r="B11280" s="6" t="s">
        <v>14184</v>
      </c>
      <c r="C11280" s="5" t="str">
        <f>IFERROR(__xludf.DUMMYFUNCTION("GOOGLETRANSLATE(B11280,""en"",""it"")"),"Alla fine, il numero di persone diminuisce e c'è solo una persona che corre e l'uomo che si destreggia con le palle.")</f>
        <v>Alla fine, il numero di persone diminuisce e c'è solo una persona che corre e l'uomo che si destreggia con le palle.</v>
      </c>
    </row>
    <row r="11281">
      <c r="A11281" s="4" t="s">
        <v>14185</v>
      </c>
      <c r="B11281" s="4" t="s">
        <v>14186</v>
      </c>
      <c r="C11281" s="5" t="str">
        <f>IFERROR(__xludf.DUMMYFUNCTION("GOOGLETRANSLATE(B11281,""en"",""it"")"),"Un uomo è fuori cercando di spalare la neve dal loro parabrezza.")</f>
        <v>Un uomo è fuori cercando di spalare la neve dal loro parabrezza.</v>
      </c>
    </row>
    <row r="11282">
      <c r="A11282" s="4" t="s">
        <v>14185</v>
      </c>
      <c r="B11282" s="4" t="s">
        <v>14187</v>
      </c>
      <c r="C11282" s="5" t="str">
        <f>IFERROR(__xludf.DUMMYFUNCTION("GOOGLETRANSLATE(B11282,""en"",""it"")"),"L'uomo poi entra e inizia a parlare.")</f>
        <v>L'uomo poi entra e inizia a parlare.</v>
      </c>
    </row>
    <row r="11283">
      <c r="A11283" s="4" t="s">
        <v>14185</v>
      </c>
      <c r="B11283" s="4" t="s">
        <v>14188</v>
      </c>
      <c r="C11283" s="5" t="str">
        <f>IFERROR(__xludf.DUMMYFUNCTION("GOOGLETRANSLATE(B11283,""en"",""it"")"),"Una volta finito, esce fuori dal suo garage e mette alla prova il prodotto di Iicescreen.")</f>
        <v>Una volta finito, esce fuori dal suo garage e mette alla prova il prodotto di Iicescreen.</v>
      </c>
    </row>
    <row r="11284">
      <c r="A11284" s="4" t="s">
        <v>14189</v>
      </c>
      <c r="B11284" s="4" t="s">
        <v>14190</v>
      </c>
      <c r="C11284" s="5" t="str">
        <f>IFERROR(__xludf.DUMMYFUNCTION("GOOGLETRANSLATE(B11284,""en"",""it"")"),"Le persone si trovano su un campo guardando gli aquiloni nel cielo.")</f>
        <v>Le persone si trovano su un campo guardando gli aquiloni nel cielo.</v>
      </c>
    </row>
    <row r="11285">
      <c r="A11285" s="4" t="s">
        <v>14189</v>
      </c>
      <c r="B11285" s="4" t="s">
        <v>14191</v>
      </c>
      <c r="C11285" s="5" t="str">
        <f>IFERROR(__xludf.DUMMYFUNCTION("GOOGLETRANSLATE(B11285,""en"",""it"")"),"Un aquilone è mostrato nel cielo da un albero.")</f>
        <v>Un aquilone è mostrato nel cielo da un albero.</v>
      </c>
    </row>
    <row r="11286">
      <c r="A11286" s="4" t="s">
        <v>14189</v>
      </c>
      <c r="B11286" s="4" t="s">
        <v>14192</v>
      </c>
      <c r="C11286" s="5" t="str">
        <f>IFERROR(__xludf.DUMMYFUNCTION("GOOGLETRANSLATE(B11286,""en"",""it"")"),"Un ragazzo insegue l'aquilone e le catture.")</f>
        <v>Un ragazzo insegue l'aquilone e le catture.</v>
      </c>
    </row>
    <row r="11287">
      <c r="A11287" s="4" t="s">
        <v>14193</v>
      </c>
      <c r="B11287" s="4" t="s">
        <v>14194</v>
      </c>
      <c r="C11287" s="5" t="str">
        <f>IFERROR(__xludf.DUMMYFUNCTION("GOOGLETRANSLATE(B11287,""en"",""it"")"),"Varie immagini mostrano che le persone portano le canoe da un camion e le caricano in acqua.")</f>
        <v>Varie immagini mostrano che le persone portano le canoe da un camion e le caricano in acqua.</v>
      </c>
    </row>
    <row r="11288">
      <c r="A11288" s="4" t="s">
        <v>14193</v>
      </c>
      <c r="B11288" s="4" t="s">
        <v>14195</v>
      </c>
      <c r="C11288" s="5" t="str">
        <f>IFERROR(__xludf.DUMMYFUNCTION("GOOGLETRANSLATE(B11288,""en"",""it"")"),"La gente viene quindi vista pescare e cavalcare lungo il fiume mostrato in diverse immagini.")</f>
        <v>La gente viene quindi vista pescare e cavalcare lungo il fiume mostrato in diverse immagini.</v>
      </c>
    </row>
    <row r="11289">
      <c r="A11289" s="4" t="s">
        <v>14196</v>
      </c>
      <c r="B11289" s="4" t="s">
        <v>14197</v>
      </c>
      <c r="C11289" s="5" t="str">
        <f>IFERROR(__xludf.DUMMYFUNCTION("GOOGLETRANSLATE(B11289,""en"",""it"")"),"L'uomo a piedi nudi serve la palla ma lo ha perso.")</f>
        <v>L'uomo a piedi nudi serve la palla ma lo ha perso.</v>
      </c>
    </row>
    <row r="11290">
      <c r="A11290" s="4" t="s">
        <v>14196</v>
      </c>
      <c r="B11290" s="4" t="s">
        <v>14198</v>
      </c>
      <c r="C11290" s="5" t="str">
        <f>IFERROR(__xludf.DUMMYFUNCTION("GOOGLETRANSLATE(B11290,""en"",""it"")"),"L'uomo ha servito la palla e ha colpito il muro, ma è rimbalzato così in basso che l'uomo non può colpirla.")</f>
        <v>L'uomo ha servito la palla e ha colpito il muro, ma è rimbalzato così in basso che l'uomo non può colpirla.</v>
      </c>
    </row>
    <row r="11291">
      <c r="A11291" s="4" t="s">
        <v>14196</v>
      </c>
      <c r="B11291" s="6" t="s">
        <v>14199</v>
      </c>
      <c r="C11291" s="5" t="str">
        <f>IFERROR(__xludf.DUMMYFUNCTION("GOOGLETRANSLATE(B11291,""en"",""it"")"),"L'uomo inseguono la palla che lo picchiava e colpì, poi un uomo senza camicia si avvicinò a lui e gli insegna a servire la palla.")</f>
        <v>L'uomo inseguono la palla che lo picchiava e colpì, poi un uomo senza camicia si avvicinò a lui e gli insegna a servire la palla.</v>
      </c>
    </row>
    <row r="11292">
      <c r="A11292" s="4" t="s">
        <v>14200</v>
      </c>
      <c r="B11292" s="4" t="s">
        <v>14201</v>
      </c>
      <c r="C11292" s="5" t="str">
        <f>IFERROR(__xludf.DUMMYFUNCTION("GOOGLETRANSLATE(B11292,""en"",""it"")"),"Una donna sorride alla telecamera.")</f>
        <v>Una donna sorride alla telecamera.</v>
      </c>
    </row>
    <row r="11293">
      <c r="A11293" s="4" t="s">
        <v>14200</v>
      </c>
      <c r="B11293" s="4" t="s">
        <v>14202</v>
      </c>
      <c r="C11293" s="5" t="str">
        <f>IFERROR(__xludf.DUMMYFUNCTION("GOOGLETRANSLATE(B11293,""en"",""it"")"),"La donna prende un ferro e inizia a stirare una camicia bianca con piccoli motivi circolari.")</f>
        <v>La donna prende un ferro e inizia a stirare una camicia bianca con piccoli motivi circolari.</v>
      </c>
    </row>
    <row r="11294">
      <c r="A11294" s="4" t="s">
        <v>14200</v>
      </c>
      <c r="B11294" s="4" t="s">
        <v>14203</v>
      </c>
      <c r="C11294" s="5" t="str">
        <f>IFERROR(__xludf.DUMMYFUNCTION("GOOGLETRANSLATE(B11294,""en"",""it"")"),"La donna usa entrambe le mani per spingere il ferro.")</f>
        <v>La donna usa entrambe le mani per spingere il ferro.</v>
      </c>
    </row>
    <row r="11295">
      <c r="A11295" s="4" t="s">
        <v>14200</v>
      </c>
      <c r="B11295" s="4" t="s">
        <v>14204</v>
      </c>
      <c r="C11295" s="5" t="str">
        <f>IFERROR(__xludf.DUMMYFUNCTION("GOOGLETRANSLATE(B11295,""en"",""it"")"),"Riprende la stiratura con una mano nello stesso punto.")</f>
        <v>Riprende la stiratura con una mano nello stesso punto.</v>
      </c>
    </row>
    <row r="11296">
      <c r="A11296" s="4" t="s">
        <v>14200</v>
      </c>
      <c r="B11296" s="4" t="s">
        <v>14205</v>
      </c>
      <c r="C11296" s="5" t="str">
        <f>IFERROR(__xludf.DUMMYFUNCTION("GOOGLETRANSLATE(B11296,""en"",""it"")"),"La donna ispeziona la stella sulla maglietta.")</f>
        <v>La donna ispeziona la stella sulla maglietta.</v>
      </c>
    </row>
    <row r="11297">
      <c r="A11297" s="4" t="s">
        <v>14200</v>
      </c>
      <c r="B11297" s="4" t="s">
        <v>14206</v>
      </c>
      <c r="C11297" s="5" t="str">
        <f>IFERROR(__xludf.DUMMYFUNCTION("GOOGLETRANSLATE(B11297,""en"",""it"")"),"La donna riprende quindi a stirare il motivo.")</f>
        <v>La donna riprende quindi a stirare il motivo.</v>
      </c>
    </row>
    <row r="11298">
      <c r="A11298" s="4" t="s">
        <v>14200</v>
      </c>
      <c r="B11298" s="4" t="s">
        <v>14207</v>
      </c>
      <c r="C11298" s="5" t="str">
        <f>IFERROR(__xludf.DUMMYFUNCTION("GOOGLETRANSLATE(B11298,""en"",""it"")"),"La donna sta allontanando la carta dal modello e poi riprende la stiratura.")</f>
        <v>La donna sta allontanando la carta dal modello e poi riprende la stiratura.</v>
      </c>
    </row>
    <row r="11299">
      <c r="A11299" s="4" t="s">
        <v>14200</v>
      </c>
      <c r="B11299" s="4" t="s">
        <v>14208</v>
      </c>
      <c r="C11299" s="5" t="str">
        <f>IFERROR(__xludf.DUMMYFUNCTION("GOOGLETRANSLATE(B11299,""en"",""it"")"),"La donna solleva la camicia dopo aver finito.")</f>
        <v>La donna solleva la camicia dopo aver finito.</v>
      </c>
    </row>
    <row r="11300">
      <c r="A11300" s="4" t="s">
        <v>14209</v>
      </c>
      <c r="B11300" s="4" t="s">
        <v>14210</v>
      </c>
      <c r="C11300" s="5" t="str">
        <f>IFERROR(__xludf.DUMMYFUNCTION("GOOGLETRANSLATE(B11300,""en"",""it"")"),"Un ragazzo parla a una macchina fotografica mentre tiene in mano un bastoncino di lacrosse e colpisce le palle in una rete.")</f>
        <v>Un ragazzo parla a una macchina fotografica mentre tiene in mano un bastoncino di lacrosse e colpisce le palle in una rete.</v>
      </c>
    </row>
    <row r="11301">
      <c r="A11301" s="4" t="s">
        <v>14209</v>
      </c>
      <c r="B11301" s="4" t="s">
        <v>14211</v>
      </c>
      <c r="C11301" s="5" t="str">
        <f>IFERROR(__xludf.DUMMYFUNCTION("GOOGLETRANSLATE(B11301,""en"",""it"")"),"Il ragazzo lancia diverse palle in rete più e più volte colpendo direttamente in rete.")</f>
        <v>Il ragazzo lancia diverse palle in rete più e più volte colpendo direttamente in rete.</v>
      </c>
    </row>
    <row r="11302">
      <c r="A11302" s="4" t="s">
        <v>14212</v>
      </c>
      <c r="B11302" s="4" t="s">
        <v>14213</v>
      </c>
      <c r="C11302" s="5" t="str">
        <f>IFERROR(__xludf.DUMMYFUNCTION("GOOGLETRANSLATE(B11302,""en"",""it"")"),"Un uomo è seduto su un divano, beve una birra da una bottiglia.")</f>
        <v>Un uomo è seduto su un divano, beve una birra da una bottiglia.</v>
      </c>
    </row>
    <row r="11303">
      <c r="A11303" s="4" t="s">
        <v>14212</v>
      </c>
      <c r="B11303" s="4" t="s">
        <v>14214</v>
      </c>
      <c r="C11303" s="5" t="str">
        <f>IFERROR(__xludf.DUMMYFUNCTION("GOOGLETRANSLATE(B11303,""en"",""it"")"),"Lascia cadere la bottiglia dalla bocca, sorridendo.")</f>
        <v>Lascia cadere la bottiglia dalla bocca, sorridendo.</v>
      </c>
    </row>
    <row r="11304">
      <c r="A11304" s="4" t="s">
        <v>14215</v>
      </c>
      <c r="B11304" s="4" t="s">
        <v>14216</v>
      </c>
      <c r="C11304" s="5" t="str">
        <f>IFERROR(__xludf.DUMMYFUNCTION("GOOGLETRANSLATE(B11304,""en"",""it"")"),"Le persone sono in giro in cerchio.")</f>
        <v>Le persone sono in giro in cerchio.</v>
      </c>
    </row>
    <row r="11305">
      <c r="A11305" s="4" t="s">
        <v>14215</v>
      </c>
      <c r="B11305" s="4" t="s">
        <v>14217</v>
      </c>
      <c r="C11305" s="5" t="str">
        <f>IFERROR(__xludf.DUMMYFUNCTION("GOOGLETRANSLATE(B11305,""en"",""it"")"),"Due persone iniziano a combattere nel cerchio.")</f>
        <v>Due persone iniziano a combattere nel cerchio.</v>
      </c>
    </row>
    <row r="11306">
      <c r="A11306" s="4" t="s">
        <v>14215</v>
      </c>
      <c r="B11306" s="4" t="s">
        <v>14218</v>
      </c>
      <c r="C11306" s="5" t="str">
        <f>IFERROR(__xludf.DUMMYFUNCTION("GOOGLETRANSLATE(B11306,""en"",""it"")"),"Un uomo sta facendo girare fuori sull'erba.")</f>
        <v>Un uomo sta facendo girare fuori sull'erba.</v>
      </c>
    </row>
    <row r="11307">
      <c r="A11307" s="4" t="s">
        <v>14215</v>
      </c>
      <c r="B11307" s="4" t="s">
        <v>14219</v>
      </c>
      <c r="C11307" s="5" t="str">
        <f>IFERROR(__xludf.DUMMYFUNCTION("GOOGLETRANSLATE(B11307,""en"",""it"")"),"Continuano a volare all'interno del cerchio.")</f>
        <v>Continuano a volare all'interno del cerchio.</v>
      </c>
    </row>
    <row r="11308">
      <c r="A11308" s="4" t="s">
        <v>14215</v>
      </c>
      <c r="B11308" s="4" t="s">
        <v>14220</v>
      </c>
      <c r="C11308" s="5" t="str">
        <f>IFERROR(__xludf.DUMMYFUNCTION("GOOGLETRANSLATE(B11308,""en"",""it"")"),"Un uomo è in piedi fuori parlando di fronte a una strada.")</f>
        <v>Un uomo è in piedi fuori parlando di fronte a una strada.</v>
      </c>
    </row>
    <row r="11309">
      <c r="A11309" s="4" t="s">
        <v>14215</v>
      </c>
      <c r="B11309" s="4" t="s">
        <v>14221</v>
      </c>
      <c r="C11309" s="5" t="str">
        <f>IFERROR(__xludf.DUMMYFUNCTION("GOOGLETRANSLATE(B11309,""en"",""it"")"),"Un uomo fa diversi ribaltamenti sulla schiena sull'erba.")</f>
        <v>Un uomo fa diversi ribaltamenti sulla schiena sull'erba.</v>
      </c>
    </row>
    <row r="11310">
      <c r="A11310" s="4" t="s">
        <v>14222</v>
      </c>
      <c r="B11310" s="4" t="s">
        <v>14223</v>
      </c>
      <c r="C11310" s="5" t="str">
        <f>IFERROR(__xludf.DUMMYFUNCTION("GOOGLETRANSLATE(B11310,""en"",""it"")"),"Una donna sta parlando con la telecamera, con un cane di fronte a lei.")</f>
        <v>Una donna sta parlando con la telecamera, con un cane di fronte a lei.</v>
      </c>
    </row>
    <row r="11311">
      <c r="A11311" s="4" t="s">
        <v>14222</v>
      </c>
      <c r="B11311" s="4" t="s">
        <v>14224</v>
      </c>
      <c r="C11311" s="5" t="str">
        <f>IFERROR(__xludf.DUMMYFUNCTION("GOOGLETRANSLATE(B11311,""en"",""it"")"),"La donna tiene la gamba anteriore del cane mentre parla.")</f>
        <v>La donna tiene la gamba anteriore del cane mentre parla.</v>
      </c>
    </row>
    <row r="11312">
      <c r="A11312" s="4" t="s">
        <v>14222</v>
      </c>
      <c r="B11312" s="4" t="s">
        <v>14225</v>
      </c>
      <c r="C11312" s="5" t="str">
        <f>IFERROR(__xludf.DUMMYFUNCTION("GOOGLETRANSLATE(B11312,""en"",""it"")"),"La donna spazzola il cane con un pennello blu.")</f>
        <v>La donna spazzola il cane con un pennello blu.</v>
      </c>
    </row>
    <row r="11313">
      <c r="A11313" s="4" t="s">
        <v>14226</v>
      </c>
      <c r="B11313" s="4" t="s">
        <v>14227</v>
      </c>
      <c r="C11313" s="5" t="str">
        <f>IFERROR(__xludf.DUMMYFUNCTION("GOOGLETRANSLATE(B11313,""en"",""it"")"),"Viene visualizzato un annuncio per l'imballaggio principale.")</f>
        <v>Viene visualizzato un annuncio per l'imballaggio principale.</v>
      </c>
    </row>
    <row r="11314">
      <c r="A11314" s="4" t="s">
        <v>14226</v>
      </c>
      <c r="B11314" s="4" t="s">
        <v>14228</v>
      </c>
      <c r="C11314" s="5" t="str">
        <f>IFERROR(__xludf.DUMMYFUNCTION("GOOGLETRANSLATE(B11314,""en"",""it"")"),"Una donna si trova in un ufficio di fronte a un cestino pieno di piccoli regali.")</f>
        <v>Una donna si trova in un ufficio di fronte a un cestino pieno di piccoli regali.</v>
      </c>
    </row>
    <row r="11315">
      <c r="A11315" s="4" t="s">
        <v>14226</v>
      </c>
      <c r="B11315" s="6" t="s">
        <v>14229</v>
      </c>
      <c r="C11315" s="5" t="str">
        <f>IFERROR(__xludf.DUMMYFUNCTION("GOOGLETRANSLATE(B11315,""en"",""it"")"),"Mostra come ha usato il cellophane e un'asciugacapelli per restringere i regali nel cestino e mantenere il sicuro e presentabile.")</f>
        <v>Mostra come ha usato il cellophane e un'asciugacapelli per restringere i regali nel cestino e mantenere il sicuro e presentabile.</v>
      </c>
    </row>
    <row r="11316">
      <c r="A11316" s="4" t="s">
        <v>14230</v>
      </c>
      <c r="B11316" s="4" t="s">
        <v>14231</v>
      </c>
      <c r="C11316" s="5" t="str">
        <f>IFERROR(__xludf.DUMMYFUNCTION("GOOGLETRANSLATE(B11316,""en"",""it"")"),"Una persona cavalca una sveglia dietro una barca attraverso l'acqua mosse.")</f>
        <v>Una persona cavalca una sveglia dietro una barca attraverso l'acqua mosse.</v>
      </c>
    </row>
    <row r="11317">
      <c r="A11317" s="4" t="s">
        <v>14230</v>
      </c>
      <c r="B11317" s="4" t="s">
        <v>14232</v>
      </c>
      <c r="C11317" s="5" t="str">
        <f>IFERROR(__xludf.DUMMYFUNCTION("GOOGLETRANSLATE(B11317,""en"",""it"")"),"La Wake Boarder salta sopra la scia della barca e si lancia.")</f>
        <v>La Wake Boarder salta sopra la scia della barca e si lancia.</v>
      </c>
    </row>
    <row r="11318">
      <c r="A11318" s="4" t="s">
        <v>14230</v>
      </c>
      <c r="B11318" s="4" t="s">
        <v>14233</v>
      </c>
      <c r="C11318" s="5" t="str">
        <f>IFERROR(__xludf.DUMMYFUNCTION("GOOGLETRANSLATE(B11318,""en"",""it"")"),"Il Wake Boarder fa un salto finale e cade in acqua.")</f>
        <v>Il Wake Boarder fa un salto finale e cade in acqua.</v>
      </c>
    </row>
    <row r="11319">
      <c r="A11319" s="4" t="s">
        <v>14234</v>
      </c>
      <c r="B11319" s="4" t="s">
        <v>14235</v>
      </c>
      <c r="C11319" s="5" t="str">
        <f>IFERROR(__xludf.DUMMYFUNCTION("GOOGLETRANSLATE(B11319,""en"",""it"")"),"Un primo piano di un camino si vede con la fotocamera che si muove intorno alla parte anteriore.")</f>
        <v>Un primo piano di un camino si vede con la fotocamera che si muove intorno alla parte anteriore.</v>
      </c>
    </row>
    <row r="11320">
      <c r="A11320" s="4" t="s">
        <v>14234</v>
      </c>
      <c r="B11320" s="4" t="s">
        <v>14236</v>
      </c>
      <c r="C11320" s="5" t="str">
        <f>IFERROR(__xludf.DUMMYFUNCTION("GOOGLETRANSLATE(B11320,""en"",""it"")"),"La fotocamera ingrandisce la fossa e mostra un uomo in ginocchio davanti.")</f>
        <v>La fotocamera ingrandisce la fossa e mostra un uomo in ginocchio davanti.</v>
      </c>
    </row>
    <row r="11321">
      <c r="A11321" s="4" t="s">
        <v>14234</v>
      </c>
      <c r="B11321" s="4" t="s">
        <v>14237</v>
      </c>
      <c r="C11321" s="5" t="str">
        <f>IFERROR(__xludf.DUMMYFUNCTION("GOOGLETRANSLATE(B11321,""en"",""it"")"),"L'uomo pone l'intonaco sulla parte anteriore e inizia a mettere la piastrellata sopra l'intonaco.")</f>
        <v>L'uomo pone l'intonaco sulla parte anteriore e inizia a mettere la piastrellata sopra l'intonaco.</v>
      </c>
    </row>
    <row r="11322">
      <c r="A11322" s="4" t="s">
        <v>14238</v>
      </c>
      <c r="B11322" s="6" t="s">
        <v>14239</v>
      </c>
      <c r="C11322" s="5" t="str">
        <f>IFERROR(__xludf.DUMMYFUNCTION("GOOGLETRANSLATE(B11322,""en"",""it"")"),"Il video si lancia in diversi scatti di persone che eseguono le partite di wrestling del braccio e urlano in seguito.")</f>
        <v>Il video si lancia in diversi scatti di persone che eseguono le partite di wrestling del braccio e urlano in seguito.</v>
      </c>
    </row>
    <row r="11323">
      <c r="A11323" s="4" t="s">
        <v>14238</v>
      </c>
      <c r="B11323" s="6" t="s">
        <v>14240</v>
      </c>
      <c r="C11323" s="5" t="str">
        <f>IFERROR(__xludf.DUMMYFUNCTION("GOOGLETRANSLATE(B11323,""en"",""it"")"),"Molte persone sono viste giocare tra loro e urlare verso la folla dopo la loro esibizione.")</f>
        <v>Molte persone sono viste giocare tra loro e urlare verso la folla dopo la loro esibizione.</v>
      </c>
    </row>
    <row r="11324">
      <c r="A11324" s="4" t="s">
        <v>14241</v>
      </c>
      <c r="B11324" s="4" t="s">
        <v>14242</v>
      </c>
      <c r="C11324" s="5" t="str">
        <f>IFERROR(__xludf.DUMMYFUNCTION("GOOGLETRANSLATE(B11324,""en"",""it"")"),"Un uomo e una donna sono seduti dietro un tavolo.")</f>
        <v>Un uomo e una donna sono seduti dietro un tavolo.</v>
      </c>
    </row>
    <row r="11325">
      <c r="A11325" s="4" t="s">
        <v>14241</v>
      </c>
      <c r="B11325" s="4" t="s">
        <v>14243</v>
      </c>
      <c r="C11325" s="5" t="str">
        <f>IFERROR(__xludf.DUMMYFUNCTION("GOOGLETRANSLATE(B11325,""en"",""it"")"),"I giocatori giocano a calcio su dirt, fuori.")</f>
        <v>I giocatori giocano a calcio su dirt, fuori.</v>
      </c>
    </row>
    <row r="11326">
      <c r="A11326" s="4" t="s">
        <v>14241</v>
      </c>
      <c r="B11326" s="4" t="s">
        <v>14244</v>
      </c>
      <c r="C11326" s="5" t="str">
        <f>IFERROR(__xludf.DUMMYFUNCTION("GOOGLETRANSLATE(B11326,""en"",""it"")"),"Fan e giocatori tifano o festeggiano.")</f>
        <v>Fan e giocatori tifano o festeggiano.</v>
      </c>
    </row>
    <row r="11327">
      <c r="A11327" s="4" t="s">
        <v>14245</v>
      </c>
      <c r="B11327" s="4" t="s">
        <v>14246</v>
      </c>
      <c r="C11327" s="5" t="str">
        <f>IFERROR(__xludf.DUMMYFUNCTION("GOOGLETRANSLATE(B11327,""en"",""it"")"),"Una persona viene vista camminare in avanti e saltare su e giù e immergersi in una piscina.")</f>
        <v>Una persona viene vista camminare in avanti e saltare su e giù e immergersi in una piscina.</v>
      </c>
    </row>
    <row r="11328">
      <c r="A11328" s="4" t="s">
        <v>14245</v>
      </c>
      <c r="B11328" s="6" t="s">
        <v>14247</v>
      </c>
      <c r="C11328" s="5" t="str">
        <f>IFERROR(__xludf.DUMMYFUNCTION("GOOGLETRANSLATE(B11328,""en"",""it"")"),"La stessa persona viene mostrata più volte eseguendo varie immersioni da una tavola alta mentre la telecamera lo cattura da diversi angoli.")</f>
        <v>La stessa persona viene mostrata più volte eseguendo varie immersioni da una tavola alta mentre la telecamera lo cattura da diversi angoli.</v>
      </c>
    </row>
    <row r="11329">
      <c r="A11329" s="4" t="s">
        <v>14248</v>
      </c>
      <c r="B11329" s="4" t="s">
        <v>14249</v>
      </c>
      <c r="C11329" s="5" t="str">
        <f>IFERROR(__xludf.DUMMYFUNCTION("GOOGLETRANSLATE(B11329,""en"",""it"")"),"Un tutorial video gioca con una donna che parla in sottofondo su come lavarti i denti.")</f>
        <v>Un tutorial video gioca con una donna che parla in sottofondo su come lavarti i denti.</v>
      </c>
    </row>
    <row r="11330">
      <c r="A11330" s="4" t="s">
        <v>14248</v>
      </c>
      <c r="B11330" s="4" t="s">
        <v>14250</v>
      </c>
      <c r="C11330" s="5" t="str">
        <f>IFERROR(__xludf.DUMMYFUNCTION("GOOGLETRANSLATE(B11330,""en"",""it"")"),"Elenca gli strumenti di cui hai bisogno e i passaggi da spazzolare.")</f>
        <v>Elenca gli strumenti di cui hai bisogno e i passaggi da spazzolare.</v>
      </c>
    </row>
    <row r="11331">
      <c r="A11331" s="4" t="s">
        <v>14248</v>
      </c>
      <c r="B11331" s="4" t="s">
        <v>14251</v>
      </c>
      <c r="C11331" s="5" t="str">
        <f>IFERROR(__xludf.DUMMYFUNCTION("GOOGLETRANSLATE(B11331,""en"",""it"")"),"Un uomo apre una bottiglia e ci mette il dentifricio.")</f>
        <v>Un uomo apre una bottiglia e ci mette il dentifricio.</v>
      </c>
    </row>
    <row r="11332">
      <c r="A11332" s="4" t="s">
        <v>14248</v>
      </c>
      <c r="B11332" s="4" t="s">
        <v>14252</v>
      </c>
      <c r="C11332" s="5" t="str">
        <f>IFERROR(__xludf.DUMMYFUNCTION("GOOGLETRANSLATE(B11332,""en"",""it"")"),"Comincia a lavarsi i denti seguendo le istruzioni della donna.")</f>
        <v>Comincia a lavarsi i denti seguendo le istruzioni della donna.</v>
      </c>
    </row>
    <row r="11333">
      <c r="A11333" s="4" t="s">
        <v>14248</v>
      </c>
      <c r="B11333" s="4" t="s">
        <v>14253</v>
      </c>
      <c r="C11333" s="5" t="str">
        <f>IFERROR(__xludf.DUMMYFUNCTION("GOOGLETRANSLATE(B11333,""en"",""it"")"),"L'uomo si sciacqua la bocca con acqua e sorride con la voce della donna.")</f>
        <v>L'uomo si sciacqua la bocca con acqua e sorride con la voce della donna.</v>
      </c>
    </row>
    <row r="11334">
      <c r="A11334" s="4" t="s">
        <v>14254</v>
      </c>
      <c r="B11334" s="4" t="s">
        <v>14255</v>
      </c>
      <c r="C11334" s="5" t="str">
        <f>IFERROR(__xludf.DUMMYFUNCTION("GOOGLETRANSLATE(B11334,""en"",""it"")"),"Un uomo parla in una stanza blu, quindi spruzza un'auto giocattolo e finge di lavarla.")</f>
        <v>Un uomo parla in una stanza blu, quindi spruzza un'auto giocattolo e finge di lavarla.</v>
      </c>
    </row>
    <row r="11335">
      <c r="A11335" s="4" t="s">
        <v>14254</v>
      </c>
      <c r="B11335" s="4" t="s">
        <v>14256</v>
      </c>
      <c r="C11335" s="5" t="str">
        <f>IFERROR(__xludf.DUMMYFUNCTION("GOOGLETRANSLATE(B11335,""en"",""it"")"),"Vediamo uno schermo del titolo e le persone in abiti lavano le auto come uno scherzo.")</f>
        <v>Vediamo uno schermo del titolo e le persone in abiti lavano le auto come uno scherzo.</v>
      </c>
    </row>
    <row r="11336">
      <c r="A11336" s="4" t="s">
        <v>14254</v>
      </c>
      <c r="B11336" s="4" t="s">
        <v>14257</v>
      </c>
      <c r="C11336" s="5" t="str">
        <f>IFERROR(__xludf.DUMMYFUNCTION("GOOGLETRANSLATE(B11336,""en"",""it"")"),"Un uomo e un ragazzino con tubi ad alta potenza di lavaggio di auto seguite da cheerleader.")</f>
        <v>Un uomo e un ragazzino con tubi ad alta potenza di lavaggio di auto seguite da cheerleader.</v>
      </c>
    </row>
    <row r="11337">
      <c r="A11337" s="4" t="s">
        <v>14254</v>
      </c>
      <c r="B11337" s="4" t="s">
        <v>14258</v>
      </c>
      <c r="C11337" s="5" t="str">
        <f>IFERROR(__xludf.DUMMYFUNCTION("GOOGLETRANSLATE(B11337,""en"",""it"")"),"Vediamo un furgone nero con persone che escono e un uomo con un cappello a cilindro tocca la macchina.")</f>
        <v>Vediamo un furgone nero con persone che escono e un uomo con un cappello a cilindro tocca la macchina.</v>
      </c>
    </row>
    <row r="11338">
      <c r="A11338" s="4" t="s">
        <v>14254</v>
      </c>
      <c r="B11338" s="4" t="s">
        <v>14259</v>
      </c>
      <c r="C11338" s="5" t="str">
        <f>IFERROR(__xludf.DUMMYFUNCTION("GOOGLETRANSLATE(B11338,""en"",""it"")"),"Le persone si mettono nel furgone nero e si allontanano per i proprietari di automobili per strada.")</f>
        <v>Le persone si mettono nel furgone nero e si allontanano per i proprietari di automobili per strada.</v>
      </c>
    </row>
    <row r="11339">
      <c r="A11339" s="4" t="s">
        <v>14254</v>
      </c>
      <c r="B11339" s="4" t="s">
        <v>14260</v>
      </c>
      <c r="C11339" s="5" t="str">
        <f>IFERROR(__xludf.DUMMYFUNCTION("GOOGLETRANSLATE(B11339,""en"",""it"")"),"Vediamo quindi la scena finale.")</f>
        <v>Vediamo quindi la scena finale.</v>
      </c>
    </row>
    <row r="11340">
      <c r="A11340" s="4" t="s">
        <v>14261</v>
      </c>
      <c r="B11340" s="4" t="s">
        <v>14262</v>
      </c>
      <c r="C11340" s="5" t="str">
        <f>IFERROR(__xludf.DUMMYFUNCTION("GOOGLETRANSLATE(B11340,""en"",""it"")"),"Un uomo sta fumando una pipa e soffia anelli di fumo.")</f>
        <v>Un uomo sta fumando una pipa e soffia anelli di fumo.</v>
      </c>
    </row>
    <row r="11341">
      <c r="A11341" s="4" t="s">
        <v>14261</v>
      </c>
      <c r="B11341" s="4" t="s">
        <v>14263</v>
      </c>
      <c r="C11341" s="5" t="str">
        <f>IFERROR(__xludf.DUMMYFUNCTION("GOOGLETRANSLATE(B11341,""en"",""it"")"),"L'uomo usa volgarità e lancia la fotocamera.")</f>
        <v>L'uomo usa volgarità e lancia la fotocamera.</v>
      </c>
    </row>
    <row r="11342">
      <c r="A11342" s="4" t="s">
        <v>14261</v>
      </c>
      <c r="B11342" s="4" t="s">
        <v>14264</v>
      </c>
      <c r="C11342" s="5" t="str">
        <f>IFERROR(__xludf.DUMMYFUNCTION("GOOGLETRANSLATE(B11342,""en"",""it"")"),"Un altro uomo è in piedi guardandolo.")</f>
        <v>Un altro uomo è in piedi guardandolo.</v>
      </c>
    </row>
    <row r="11343">
      <c r="A11343" s="4" t="s">
        <v>14265</v>
      </c>
      <c r="B11343" s="4" t="s">
        <v>14266</v>
      </c>
      <c r="C11343" s="5" t="str">
        <f>IFERROR(__xludf.DUMMYFUNCTION("GOOGLETRANSLATE(B11343,""en"",""it"")"),"Una persona viene vista entrare nella cornice in una stanza buia e cammina lungo una lunga serie di scale.")</f>
        <v>Una persona viene vista entrare nella cornice in una stanza buia e cammina lungo una lunga serie di scale.</v>
      </c>
    </row>
    <row r="11344">
      <c r="A11344" s="4" t="s">
        <v>14265</v>
      </c>
      <c r="B11344" s="4" t="s">
        <v>14267</v>
      </c>
      <c r="C11344" s="5" t="str">
        <f>IFERROR(__xludf.DUMMYFUNCTION("GOOGLETRANSLATE(B11344,""en"",""it"")"),"Un uomo è visto nell'angolo che si sposta indietro e il quarto in attrezzatura da esercizio.")</f>
        <v>Un uomo è visto nell'angolo che si sposta indietro e il quarto in attrezzatura da esercizio.</v>
      </c>
    </row>
    <row r="11345">
      <c r="A11345" s="4" t="s">
        <v>14265</v>
      </c>
      <c r="B11345" s="4" t="s">
        <v>14268</v>
      </c>
      <c r="C11345" s="5" t="str">
        <f>IFERROR(__xludf.DUMMYFUNCTION("GOOGLETRANSLATE(B11345,""en"",""it"")"),"Una donna parla quindi all'uomo mentre continua a remare e mostrando un primo piano della macchina.")</f>
        <v>Una donna parla quindi all'uomo mentre continua a remare e mostrando un primo piano della macchina.</v>
      </c>
    </row>
    <row r="11346">
      <c r="A11346" s="4" t="s">
        <v>14269</v>
      </c>
      <c r="B11346" s="4" t="s">
        <v>14270</v>
      </c>
      <c r="C11346" s="5" t="str">
        <f>IFERROR(__xludf.DUMMYFUNCTION("GOOGLETRANSLATE(B11346,""en"",""it"")"),"Un uomo si avvicina a un mop e un secchio.")</f>
        <v>Un uomo si avvicina a un mop e un secchio.</v>
      </c>
    </row>
    <row r="11347">
      <c r="A11347" s="4" t="s">
        <v>14269</v>
      </c>
      <c r="B11347" s="4" t="s">
        <v>14271</v>
      </c>
      <c r="C11347" s="5" t="str">
        <f>IFERROR(__xludf.DUMMYFUNCTION("GOOGLETRANSLATE(B11347,""en"",""it"")"),"Li prese fuori dal secchio e inizia a pulire il pavimento.")</f>
        <v>Li prese fuori dal secchio e inizia a pulire il pavimento.</v>
      </c>
    </row>
    <row r="11348">
      <c r="A11348" s="4" t="s">
        <v>14269</v>
      </c>
      <c r="B11348" s="4" t="s">
        <v>14272</v>
      </c>
      <c r="C11348" s="5" t="str">
        <f>IFERROR(__xludf.DUMMYFUNCTION("GOOGLETRANSLATE(B11348,""en"",""it"")"),"Dopo un momento inizia a fingere che stia ballando con la scopa.")</f>
        <v>Dopo un momento inizia a fingere che stia ballando con la scopa.</v>
      </c>
    </row>
    <row r="11349">
      <c r="A11349" s="4" t="s">
        <v>14273</v>
      </c>
      <c r="B11349" s="4" t="s">
        <v>14274</v>
      </c>
      <c r="C11349" s="5" t="str">
        <f>IFERROR(__xludf.DUMMYFUNCTION("GOOGLETRANSLATE(B11349,""en"",""it"")"),"Un uomo con una maglietta blu sta giocando a basket su un campo.")</f>
        <v>Un uomo con una maglietta blu sta giocando a basket su un campo.</v>
      </c>
    </row>
    <row r="11350">
      <c r="A11350" s="4" t="s">
        <v>14273</v>
      </c>
      <c r="B11350" s="4" t="s">
        <v>14275</v>
      </c>
      <c r="C11350" s="5" t="str">
        <f>IFERROR(__xludf.DUMMYFUNCTION("GOOGLETRANSLATE(B11350,""en"",""it"")"),"Spara al cerchio e lo manca.")</f>
        <v>Spara al cerchio e lo manca.</v>
      </c>
    </row>
    <row r="11351">
      <c r="A11351" s="4" t="s">
        <v>14273</v>
      </c>
      <c r="B11351" s="4" t="s">
        <v>14276</v>
      </c>
      <c r="C11351" s="5" t="str">
        <f>IFERROR(__xludf.DUMMYFUNCTION("GOOGLETRANSLATE(B11351,""en"",""it"")"),"Una persona in una camicia bianca è in piedi dietro di loro su un campo da tennis.")</f>
        <v>Una persona in una camicia bianca è in piedi dietro di loro su un campo da tennis.</v>
      </c>
    </row>
    <row r="11352">
      <c r="A11352" s="4" t="s">
        <v>14277</v>
      </c>
      <c r="B11352" s="4" t="s">
        <v>14278</v>
      </c>
      <c r="C11352" s="5" t="str">
        <f>IFERROR(__xludf.DUMMYFUNCTION("GOOGLETRANSLATE(B11352,""en"",""it"")"),"Un ragazzo tenta di aprire una pinata alla sua festa di compleanno all'interno di un garage.")</f>
        <v>Un ragazzo tenta di aprire una pinata alla sua festa di compleanno all'interno di un garage.</v>
      </c>
    </row>
    <row r="11353">
      <c r="A11353" s="4" t="s">
        <v>14277</v>
      </c>
      <c r="B11353" s="4" t="s">
        <v>14279</v>
      </c>
      <c r="C11353" s="5" t="str">
        <f>IFERROR(__xludf.DUMMYFUNCTION("GOOGLETRANSLATE(B11353,""en"",""it"")"),"Un altro ragazzo quasi entra nella gamma del bastone del ragazzo ma viene salvato da un adulto.")</f>
        <v>Un altro ragazzo quasi entra nella gamma del bastone del ragazzo ma viene salvato da un adulto.</v>
      </c>
    </row>
    <row r="11354">
      <c r="A11354" s="4" t="s">
        <v>14277</v>
      </c>
      <c r="B11354" s="4" t="s">
        <v>14280</v>
      </c>
      <c r="C11354" s="5" t="str">
        <f>IFERROR(__xludf.DUMMYFUNCTION("GOOGLETRANSLATE(B11354,""en"",""it"")"),"Il ragazzo continua a colpire la Pinata prima di fare una pausa e consegnare il bastone a un altro ragazzo.")</f>
        <v>Il ragazzo continua a colpire la Pinata prima di fare una pausa e consegnare il bastone a un altro ragazzo.</v>
      </c>
    </row>
    <row r="11355">
      <c r="A11355" s="4" t="s">
        <v>14281</v>
      </c>
      <c r="B11355" s="4" t="s">
        <v>14282</v>
      </c>
      <c r="C11355" s="5" t="str">
        <f>IFERROR(__xludf.DUMMYFUNCTION("GOOGLETRANSLATE(B11355,""en"",""it"")"),"Una donna bruna è seduta in un bagno a bolle con una gamba che la rasatura con un rasoio rosa.")</f>
        <v>Una donna bruna è seduta in un bagno a bolle con una gamba che la rasatura con un rasoio rosa.</v>
      </c>
    </row>
    <row r="11356">
      <c r="A11356" s="4" t="s">
        <v>14281</v>
      </c>
      <c r="B11356" s="4" t="s">
        <v>14283</v>
      </c>
      <c r="C11356" s="5" t="str">
        <f>IFERROR(__xludf.DUMMYFUNCTION("GOOGLETRANSLATE(B11356,""en"",""it"")"),"La donna sale un colpo di rasoio e ricomincia.")</f>
        <v>La donna sale un colpo di rasoio e ricomincia.</v>
      </c>
    </row>
    <row r="11357">
      <c r="A11357" s="4" t="s">
        <v>14281</v>
      </c>
      <c r="B11357" s="4" t="s">
        <v>14284</v>
      </c>
      <c r="C11357" s="5" t="str">
        <f>IFERROR(__xludf.DUMMYFUNCTION("GOOGLETRANSLATE(B11357,""en"",""it"")"),"Ripete questo processo che si rade la gamba e ricomincia alcune volte intorno alla sua gamba.")</f>
        <v>Ripete questo processo che si rade la gamba e ricomincia alcune volte intorno alla sua gamba.</v>
      </c>
    </row>
    <row r="11358">
      <c r="A11358" s="4" t="s">
        <v>14285</v>
      </c>
      <c r="B11358" s="4" t="s">
        <v>14286</v>
      </c>
      <c r="C11358" s="5" t="str">
        <f>IFERROR(__xludf.DUMMYFUNCTION("GOOGLETRANSLATE(B11358,""en"",""it"")"),"In una stanza blu due uomini usano gli strumenti e sistemano il tappeto.")</f>
        <v>In una stanza blu due uomini usano gli strumenti e sistemano il tappeto.</v>
      </c>
    </row>
    <row r="11359">
      <c r="A11359" s="4" t="s">
        <v>14285</v>
      </c>
      <c r="B11359" s="4" t="s">
        <v>14287</v>
      </c>
      <c r="C11359" s="5" t="str">
        <f>IFERROR(__xludf.DUMMYFUNCTION("GOOGLETRANSLATE(B11359,""en"",""it"")"),"Sembra che abbiano appena messo il nuovo tappeto e ora si stanno assicurando che sia tenuto correttamente.")</f>
        <v>Sembra che abbiano appena messo il nuovo tappeto e ora si stanno assicurando che sia tenuto correttamente.</v>
      </c>
    </row>
    <row r="11360">
      <c r="A11360" s="4" t="s">
        <v>14285</v>
      </c>
      <c r="B11360" s="4" t="s">
        <v>14288</v>
      </c>
      <c r="C11360" s="5" t="str">
        <f>IFERROR(__xludf.DUMMYFUNCTION("GOOGLETRANSLATE(B11360,""en"",""it"")"),"Usano una pistola per unghie di qualche tipo per inchiodare le estremità dell'angolo.")</f>
        <v>Usano una pistola per unghie di qualche tipo per inchiodare le estremità dell'angolo.</v>
      </c>
    </row>
    <row r="11361">
      <c r="A11361" s="4" t="s">
        <v>14285</v>
      </c>
      <c r="B11361" s="4" t="s">
        <v>14289</v>
      </c>
      <c r="C11361" s="5" t="str">
        <f>IFERROR(__xludf.DUMMYFUNCTION("GOOGLETRANSLATE(B11361,""en"",""it"")"),"Uno degli uomini va in giro controllando per vedere se non è mancato qualcosa.")</f>
        <v>Uno degli uomini va in giro controllando per vedere se non è mancato qualcosa.</v>
      </c>
    </row>
    <row r="11362">
      <c r="A11362" s="4" t="s">
        <v>14290</v>
      </c>
      <c r="B11362" s="4" t="s">
        <v>14291</v>
      </c>
      <c r="C11362" s="5" t="str">
        <f>IFERROR(__xludf.DUMMYFUNCTION("GOOGLETRANSLATE(B11362,""en"",""it"")"),"Vediamo una radura nei boschi.")</f>
        <v>Vediamo una radura nei boschi.</v>
      </c>
    </row>
    <row r="11363">
      <c r="A11363" s="4" t="s">
        <v>14290</v>
      </c>
      <c r="B11363" s="4" t="s">
        <v>14292</v>
      </c>
      <c r="C11363" s="5" t="str">
        <f>IFERROR(__xludf.DUMMYFUNCTION("GOOGLETRANSLATE(B11363,""en"",""it"")"),"Zettiamo un dollaro che cammina nei boschi.")</f>
        <v>Zettiamo un dollaro che cammina nei boschi.</v>
      </c>
    </row>
    <row r="11364">
      <c r="A11364" s="4" t="s">
        <v>14290</v>
      </c>
      <c r="B11364" s="4" t="s">
        <v>14293</v>
      </c>
      <c r="C11364" s="5" t="str">
        <f>IFERROR(__xludf.DUMMYFUNCTION("GOOGLETRANSLATE(B11364,""en"",""it"")"),"Il dollaro si ferma e sembra a sinistra, quindi a destra.")</f>
        <v>Il dollaro si ferma e sembra a sinistra, quindi a destra.</v>
      </c>
    </row>
    <row r="11365">
      <c r="A11365" s="4" t="s">
        <v>14290</v>
      </c>
      <c r="B11365" s="4" t="s">
        <v>14294</v>
      </c>
      <c r="C11365" s="5" t="str">
        <f>IFERROR(__xludf.DUMMYFUNCTION("GOOGLETRANSLATE(B11365,""en"",""it"")"),"Il dollaro sta bevendo da una pozzanghera le corse sorprese.")</f>
        <v>Il dollaro sta bevendo da una pozzanghera le corse sorprese.</v>
      </c>
    </row>
    <row r="11366">
      <c r="A11366" s="4" t="s">
        <v>14290</v>
      </c>
      <c r="B11366" s="4" t="s">
        <v>14295</v>
      </c>
      <c r="C11366" s="5" t="str">
        <f>IFERROR(__xludf.DUMMYFUNCTION("GOOGLETRANSLATE(B11366,""en"",""it"")"),"Il dollaro si trova nella radura.")</f>
        <v>Il dollaro si trova nella radura.</v>
      </c>
    </row>
    <row r="11367">
      <c r="A11367" s="4" t="s">
        <v>14290</v>
      </c>
      <c r="B11367" s="4" t="s">
        <v>14296</v>
      </c>
      <c r="C11367" s="5" t="str">
        <f>IFERROR(__xludf.DUMMYFUNCTION("GOOGLETRANSLATE(B11367,""en"",""it"")"),"Un uomo sta lavorando con un arco mentre un altro filma l'animale.")</f>
        <v>Un uomo sta lavorando con un arco mentre un altro filma l'animale.</v>
      </c>
    </row>
    <row r="11368">
      <c r="A11368" s="4" t="s">
        <v>14290</v>
      </c>
      <c r="B11368" s="4" t="s">
        <v>14297</v>
      </c>
      <c r="C11368" s="5" t="str">
        <f>IFERROR(__xludf.DUMMYFUNCTION("GOOGLETRANSLATE(B11368,""en"",""it"")"),"Il cacciatore spara all'animale con un arco e muore lentamente.")</f>
        <v>Il cacciatore spara all'animale con un arco e muore lentamente.</v>
      </c>
    </row>
    <row r="11369">
      <c r="A11369" s="4" t="s">
        <v>14290</v>
      </c>
      <c r="B11369" s="4" t="s">
        <v>14298</v>
      </c>
      <c r="C11369" s="5" t="str">
        <f>IFERROR(__xludf.DUMMYFUNCTION("GOOGLETRANSLATE(B11369,""en"",""it"")"),"Il cacciatore è fotografato con l'animale morto.")</f>
        <v>Il cacciatore è fotografato con l'animale morto.</v>
      </c>
    </row>
    <row r="11370">
      <c r="A11370" s="4" t="s">
        <v>14299</v>
      </c>
      <c r="B11370" s="6" t="s">
        <v>14300</v>
      </c>
      <c r="C11370" s="5" t="str">
        <f>IFERROR(__xludf.DUMMYFUNCTION("GOOGLETRANSLATE(B11370,""en"",""it"")"),"Vengono mostrati diversi scatti di un casinò, così come le persone che ricevono passaggi e camminano verso l'interno.")</f>
        <v>Vengono mostrati diversi scatti di un casinò, così come le persone che ricevono passaggi e camminano verso l'interno.</v>
      </c>
    </row>
    <row r="11371">
      <c r="A11371" s="4" t="s">
        <v>14299</v>
      </c>
      <c r="B11371" s="6" t="s">
        <v>14301</v>
      </c>
      <c r="C11371" s="5" t="str">
        <f>IFERROR(__xludf.DUMMYFUNCTION("GOOGLETRANSLATE(B11371,""en"",""it"")"),"La fotocamera si lancia attorno a diversi tavoli di giochi giocati, nonché slot machine e persone che giocano tra loro.")</f>
        <v>La fotocamera si lancia attorno a diversi tavoli di giochi giocati, nonché slot machine e persone che giocano tra loro.</v>
      </c>
    </row>
    <row r="11372">
      <c r="A11372" s="4" t="s">
        <v>14302</v>
      </c>
      <c r="B11372" s="4" t="s">
        <v>14303</v>
      </c>
      <c r="C11372" s="5" t="str">
        <f>IFERROR(__xludf.DUMMYFUNCTION("GOOGLETRANSLATE(B11372,""en"",""it"")"),"Una ragazza con i capelli intrecciati chiede ad un lavoratore in un centro equestre alcune domande.")</f>
        <v>Una ragazza con i capelli intrecciati chiede ad un lavoratore in un centro equestre alcune domande.</v>
      </c>
    </row>
    <row r="11373">
      <c r="A11373" s="4" t="s">
        <v>14302</v>
      </c>
      <c r="B11373" s="4" t="s">
        <v>14304</v>
      </c>
      <c r="C11373" s="5" t="str">
        <f>IFERROR(__xludf.DUMMYFUNCTION("GOOGLETRANSLATE(B11373,""en"",""it"")"),"La donna risponde e parla della cura dei cavalli.")</f>
        <v>La donna risponde e parla della cura dei cavalli.</v>
      </c>
    </row>
    <row r="11374">
      <c r="A11374" s="4" t="s">
        <v>14302</v>
      </c>
      <c r="B11374" s="4" t="s">
        <v>14305</v>
      </c>
      <c r="C11374" s="5" t="str">
        <f>IFERROR(__xludf.DUMMYFUNCTION("GOOGLETRANSLATE(B11374,""en"",""it"")"),"La ragazza spazzola la criniera del cavallo.")</f>
        <v>La ragazza spazzola la criniera del cavallo.</v>
      </c>
    </row>
    <row r="11375">
      <c r="A11375" s="4" t="s">
        <v>14302</v>
      </c>
      <c r="B11375" s="4" t="s">
        <v>14306</v>
      </c>
      <c r="C11375" s="5" t="str">
        <f>IFERROR(__xludf.DUMMYFUNCTION("GOOGLETRANSLATE(B11375,""en"",""it"")"),"I due continuano a superare la cura del cavallo.")</f>
        <v>I due continuano a superare la cura del cavallo.</v>
      </c>
    </row>
    <row r="11376">
      <c r="A11376" s="4" t="s">
        <v>14302</v>
      </c>
      <c r="B11376" s="4" t="s">
        <v>14307</v>
      </c>
      <c r="C11376" s="5" t="str">
        <f>IFERROR(__xludf.DUMMYFUNCTION("GOOGLETRANSLATE(B11376,""en"",""it"")"),"La ragazza e la donna lavorano entrambi sulle tecniche di spazzolatura.")</f>
        <v>La ragazza e la donna lavorano entrambi sulle tecniche di spazzolatura.</v>
      </c>
    </row>
    <row r="11377">
      <c r="A11377" s="4" t="s">
        <v>14302</v>
      </c>
      <c r="B11377" s="4" t="s">
        <v>14308</v>
      </c>
      <c r="C11377" s="5" t="str">
        <f>IFERROR(__xludf.DUMMYFUNCTION("GOOGLETRANSLATE(B11377,""en"",""it"")"),"La donna spazzola la coda dei cavalli è molta cura mentre la ragazza guarda.")</f>
        <v>La donna spazzola la coda dei cavalli è molta cura mentre la ragazza guarda.</v>
      </c>
    </row>
    <row r="11378">
      <c r="A11378" s="4" t="s">
        <v>14309</v>
      </c>
      <c r="B11378" s="4" t="s">
        <v>14310</v>
      </c>
      <c r="C11378" s="5" t="str">
        <f>IFERROR(__xludf.DUMMYFUNCTION("GOOGLETRANSLATE(B11378,""en"",""it"")"),"Una donna sta guardando uno chef che rimuove le foglie da un pezzo di lattuga.")</f>
        <v>Una donna sta guardando uno chef che rimuove le foglie da un pezzo di lattuga.</v>
      </c>
    </row>
    <row r="11379">
      <c r="A11379" s="4" t="s">
        <v>14309</v>
      </c>
      <c r="B11379" s="4" t="s">
        <v>14311</v>
      </c>
      <c r="C11379" s="5" t="str">
        <f>IFERROR(__xludf.DUMMYFUNCTION("GOOGLETRANSLATE(B11379,""en"",""it"")"),"Lo chef mostra alla donna come tagliare alcune parti della lattuga.")</f>
        <v>Lo chef mostra alla donna come tagliare alcune parti della lattuga.</v>
      </c>
    </row>
    <row r="11380">
      <c r="A11380" s="4" t="s">
        <v>14309</v>
      </c>
      <c r="B11380" s="4" t="s">
        <v>14312</v>
      </c>
      <c r="C11380" s="5" t="str">
        <f>IFERROR(__xludf.DUMMYFUNCTION("GOOGLETRANSLATE(B11380,""en"",""it"")"),"Lo chef e la donna hanno una lunga conversazione per quanto riguarda la lattuga.")</f>
        <v>Lo chef e la donna hanno una lunga conversazione per quanto riguarda la lattuga.</v>
      </c>
    </row>
    <row r="11381">
      <c r="A11381" s="4" t="s">
        <v>14313</v>
      </c>
      <c r="B11381" s="4" t="s">
        <v>14314</v>
      </c>
      <c r="C11381" s="5" t="str">
        <f>IFERROR(__xludf.DUMMYFUNCTION("GOOGLETRANSLATE(B11381,""en"",""it"")"),"Una donna è seduta su un vogatore.")</f>
        <v>Una donna è seduta su un vogatore.</v>
      </c>
    </row>
    <row r="11382">
      <c r="A11382" s="4" t="s">
        <v>14313</v>
      </c>
      <c r="B11382" s="4" t="s">
        <v>14315</v>
      </c>
      <c r="C11382" s="5" t="str">
        <f>IFERROR(__xludf.DUMMYFUNCTION("GOOGLETRANSLATE(B11382,""en"",""it"")"),"La donna mette i piedi sulle cinghie della macchina del vogatore.")</f>
        <v>La donna mette i piedi sulle cinghie della macchina del vogatore.</v>
      </c>
    </row>
    <row r="11383">
      <c r="A11383" s="4" t="s">
        <v>14313</v>
      </c>
      <c r="B11383" s="4" t="s">
        <v>14316</v>
      </c>
      <c r="C11383" s="5" t="str">
        <f>IFERROR(__xludf.DUMMYFUNCTION("GOOGLETRANSLATE(B11383,""en"",""it"")"),"La donna tiene i cavi e le file di canottaggio.")</f>
        <v>La donna tiene i cavi e le file di canottaggio.</v>
      </c>
    </row>
    <row r="11384">
      <c r="A11384" s="4" t="s">
        <v>14313</v>
      </c>
      <c r="B11384" s="4" t="s">
        <v>14317</v>
      </c>
      <c r="C11384" s="5" t="str">
        <f>IFERROR(__xludf.DUMMYFUNCTION("GOOGLETRANSLATE(B11384,""en"",""it"")"),"La donna si ferma e dimostra l'area motoria della macchina.")</f>
        <v>La donna si ferma e dimostra l'area motoria della macchina.</v>
      </c>
    </row>
    <row r="11385">
      <c r="A11385" s="4" t="s">
        <v>14313</v>
      </c>
      <c r="B11385" s="4" t="s">
        <v>14318</v>
      </c>
      <c r="C11385" s="5" t="str">
        <f>IFERROR(__xludf.DUMMYFUNCTION("GOOGLETRANSLATE(B11385,""en"",""it"")"),"Di ritorno sulla macchina del vogatore, rema ancora una volta e posiziona i cavi.")</f>
        <v>Di ritorno sulla macchina del vogatore, rema ancora una volta e posiziona i cavi.</v>
      </c>
    </row>
    <row r="11386">
      <c r="A11386" s="4" t="s">
        <v>14313</v>
      </c>
      <c r="B11386" s="4" t="s">
        <v>14319</v>
      </c>
      <c r="C11386" s="5" t="str">
        <f>IFERROR(__xludf.DUMMYFUNCTION("GOOGLETRANSLATE(B11386,""en"",""it"")"),"La donna rimuove i piedi dalle cinghie.")</f>
        <v>La donna rimuove i piedi dalle cinghie.</v>
      </c>
    </row>
    <row r="11387">
      <c r="A11387" s="4" t="s">
        <v>14320</v>
      </c>
      <c r="B11387" s="6" t="s">
        <v>14321</v>
      </c>
      <c r="C11387" s="5" t="str">
        <f>IFERROR(__xludf.DUMMYFUNCTION("GOOGLETRANSLATE(B11387,""en"",""it"")"),"Un uomo viene visto sdraiato sul pavimento e inizia a dimostrare come eseguire correttamente le mosse di danza e il modo sbagliato di eseguirle.")</f>
        <v>Un uomo viene visto sdraiato sul pavimento e inizia a dimostrare come eseguire correttamente le mosse di danza e il modo sbagliato di eseguirle.</v>
      </c>
    </row>
    <row r="11388">
      <c r="A11388" s="4" t="s">
        <v>14320</v>
      </c>
      <c r="B11388" s="6" t="s">
        <v>14322</v>
      </c>
      <c r="C11388" s="5" t="str">
        <f>IFERROR(__xludf.DUMMYFUNCTION("GOOGLETRANSLATE(B11388,""en"",""it"")"),"L'uomo continua a muoversi intorno al pavimento e conduce in diverse clip di persone che eseguono la mossa.")</f>
        <v>L'uomo continua a muoversi intorno al pavimento e conduce in diverse clip di persone che eseguono la mossa.</v>
      </c>
    </row>
    <row r="11389">
      <c r="A11389" s="4" t="s">
        <v>14323</v>
      </c>
      <c r="B11389" s="4" t="s">
        <v>14324</v>
      </c>
      <c r="C11389" s="5" t="str">
        <f>IFERROR(__xludf.DUMMYFUNCTION("GOOGLETRANSLATE(B11389,""en"",""it"")"),"Un uomo pulisce la neve con una pala per auto -sollevata che ha una canna per impulso della pala.")</f>
        <v>Un uomo pulisce la neve con una pala per auto -sollevata che ha una canna per impulso della pala.</v>
      </c>
    </row>
    <row r="11390">
      <c r="A11390" s="4" t="s">
        <v>14323</v>
      </c>
      <c r="B11390" s="4" t="s">
        <v>14325</v>
      </c>
      <c r="C11390" s="5" t="str">
        <f>IFERROR(__xludf.DUMMYFUNCTION("GOOGLETRANSLATE(B11390,""en"",""it"")"),"L'uomo mette la pala nella neve e si solleva e getta neve.")</f>
        <v>L'uomo mette la pala nella neve e si solleva e getta neve.</v>
      </c>
    </row>
    <row r="11391">
      <c r="A11391" s="4" t="s">
        <v>14323</v>
      </c>
      <c r="B11391" s="4" t="s">
        <v>14326</v>
      </c>
      <c r="C11391" s="5" t="str">
        <f>IFERROR(__xludf.DUMMYFUNCTION("GOOGLETRANSLATE(B11391,""en"",""it"")"),"L'uomo pala pesante neve induriva da terra senza sforzo.")</f>
        <v>L'uomo pala pesante neve induriva da terra senza sforzo.</v>
      </c>
    </row>
    <row r="11392">
      <c r="A11392" s="4" t="s">
        <v>14323</v>
      </c>
      <c r="B11392" s="4" t="s">
        <v>14327</v>
      </c>
      <c r="C11392" s="5" t="str">
        <f>IFERROR(__xludf.DUMMYFUNCTION("GOOGLETRANSLATE(B11392,""en"",""it"")"),"La persona mostra la pala che ha dietro un sollevatore di pesi.")</f>
        <v>La persona mostra la pala che ha dietro un sollevatore di pesi.</v>
      </c>
    </row>
    <row r="11393">
      <c r="A11393" s="4" t="s">
        <v>14328</v>
      </c>
      <c r="B11393" s="6" t="s">
        <v>14329</v>
      </c>
      <c r="C11393" s="5" t="str">
        <f>IFERROR(__xludf.DUMMYFUNCTION("GOOGLETRANSLATE(B11393,""en"",""it"")"),"Vengono mostrati diversi colpi di persone che camminano su una spiaggia e conducono a molte persone che navigano sull'acqua.")</f>
        <v>Vengono mostrati diversi colpi di persone che camminano su una spiaggia e conducono a molte persone che navigano sull'acqua.</v>
      </c>
    </row>
    <row r="11394">
      <c r="A11394" s="4" t="s">
        <v>14328</v>
      </c>
      <c r="B11394" s="6" t="s">
        <v>14330</v>
      </c>
      <c r="C11394" s="5" t="str">
        <f>IFERROR(__xludf.DUMMYFUNCTION("GOOGLETRANSLATE(B11394,""en"",""it"")"),"Dozzine di persone sono mostrate in varie clip che cavalcano le onde nell'acqua e le persone sedute in acqua da dietro.")</f>
        <v>Dozzine di persone sono mostrate in varie clip che cavalcano le onde nell'acqua e le persone sedute in acqua da dietro.</v>
      </c>
    </row>
    <row r="11395">
      <c r="A11395" s="4" t="s">
        <v>14331</v>
      </c>
      <c r="B11395" s="4" t="s">
        <v>14332</v>
      </c>
      <c r="C11395" s="5" t="str">
        <f>IFERROR(__xludf.DUMMYFUNCTION("GOOGLETRANSLATE(B11395,""en"",""it"")"),"Una donna si alza e inizia a saltare la corda.")</f>
        <v>Una donna si alza e inizia a saltare la corda.</v>
      </c>
    </row>
    <row r="11396">
      <c r="A11396" s="4" t="s">
        <v>14331</v>
      </c>
      <c r="B11396" s="4" t="s">
        <v>14333</v>
      </c>
      <c r="C11396" s="5" t="str">
        <f>IFERROR(__xludf.DUMMYFUNCTION("GOOGLETRANSLATE(B11396,""en"",""it"")"),"Il resto delle donne si alza e si unisce al suo salto.")</f>
        <v>Il resto delle donne si alza e si unisce al suo salto.</v>
      </c>
    </row>
    <row r="11397">
      <c r="A11397" s="4" t="s">
        <v>14331</v>
      </c>
      <c r="B11397" s="4" t="s">
        <v>14334</v>
      </c>
      <c r="C11397" s="5" t="str">
        <f>IFERROR(__xludf.DUMMYFUNCTION("GOOGLETRANSLATE(B11397,""en"",""it"")"),"Fanno un supporto per le mani a terra di fronte a loro.")</f>
        <v>Fanno un supporto per le mani a terra di fronte a loro.</v>
      </c>
    </row>
    <row r="11398">
      <c r="A11398" s="4" t="s">
        <v>14335</v>
      </c>
      <c r="B11398" s="4" t="s">
        <v>14336</v>
      </c>
      <c r="C11398" s="5" t="str">
        <f>IFERROR(__xludf.DUMMYFUNCTION("GOOGLETRANSLATE(B11398,""en"",""it"")"),"Un bambino che attraversa un po 'di attrezzatura a sabbia che portava intorno alla vita.")</f>
        <v>Un bambino che attraversa un po 'di attrezzatura a sabbia che portava intorno alla vita.</v>
      </c>
    </row>
    <row r="11399">
      <c r="A11399" s="4" t="s">
        <v>14335</v>
      </c>
      <c r="B11399" s="4" t="s">
        <v>14337</v>
      </c>
      <c r="C11399" s="5" t="str">
        <f>IFERROR(__xludf.DUMMYFUNCTION("GOOGLETRANSLATE(B11399,""en"",""it"")"),"Mentre si trova in campo scolastico, lancia un bastone.")</f>
        <v>Mentre si trova in campo scolastico, lancia un bastone.</v>
      </c>
    </row>
    <row r="11400">
      <c r="A11400" s="4" t="s">
        <v>14335</v>
      </c>
      <c r="B11400" s="4" t="s">
        <v>14338</v>
      </c>
      <c r="C11400" s="5" t="str">
        <f>IFERROR(__xludf.DUMMYFUNCTION("GOOGLETRANSLATE(B11400,""en"",""it"")"),"Di nuovo sulla sabbia, continua a camminare con l'attrezzatura attaccata alla vita.")</f>
        <v>Di nuovo sulla sabbia, continua a camminare con l'attrezzatura attaccata alla vita.</v>
      </c>
    </row>
    <row r="11401">
      <c r="A11401" s="4" t="s">
        <v>14335</v>
      </c>
      <c r="B11401" s="4" t="s">
        <v>14339</v>
      </c>
      <c r="C11401" s="5" t="str">
        <f>IFERROR(__xludf.DUMMYFUNCTION("GOOGLETRANSLATE(B11401,""en"",""it"")"),"Getta un ciottolo nella spiaggia.")</f>
        <v>Getta un ciottolo nella spiaggia.</v>
      </c>
    </row>
    <row r="11402">
      <c r="A11402" s="4" t="s">
        <v>14335</v>
      </c>
      <c r="B11402" s="4" t="s">
        <v>14340</v>
      </c>
      <c r="C11402" s="5" t="str">
        <f>IFERROR(__xludf.DUMMYFUNCTION("GOOGLETRANSLATE(B11402,""en"",""it"")"),"Su una pista scolastica, lancia un bastone.")</f>
        <v>Su una pista scolastica, lancia un bastone.</v>
      </c>
    </row>
    <row r="11403">
      <c r="A11403" s="4" t="s">
        <v>14335</v>
      </c>
      <c r="B11403" s="4" t="s">
        <v>14341</v>
      </c>
      <c r="C11403" s="5" t="str">
        <f>IFERROR(__xludf.DUMMYFUNCTION("GOOGLETRANSLATE(B11403,""en"",""it"")"),"Lancia un altro bastone in un campo erboso, dove i suoi allenatori guardano.")</f>
        <v>Lancia un altro bastone in un campo erboso, dove i suoi allenatori guardano.</v>
      </c>
    </row>
    <row r="11404">
      <c r="A11404" s="4" t="s">
        <v>14335</v>
      </c>
      <c r="B11404" s="4" t="s">
        <v>14342</v>
      </c>
      <c r="C11404" s="5" t="str">
        <f>IFERROR(__xludf.DUMMYFUNCTION("GOOGLETRANSLATE(B11404,""en"",""it"")"),"Un uomo le dà una medaglia.")</f>
        <v>Un uomo le dà una medaglia.</v>
      </c>
    </row>
    <row r="11405">
      <c r="A11405" s="4" t="s">
        <v>14335</v>
      </c>
      <c r="B11405" s="4" t="s">
        <v>14343</v>
      </c>
      <c r="C11405" s="5" t="str">
        <f>IFERROR(__xludf.DUMMYFUNCTION("GOOGLETRANSLATE(B11405,""en"",""it"")"),"In un campo erboso, lancia un bastone.")</f>
        <v>In un campo erboso, lancia un bastone.</v>
      </c>
    </row>
    <row r="11406">
      <c r="A11406" s="4" t="s">
        <v>14344</v>
      </c>
      <c r="B11406" s="4" t="s">
        <v>14345</v>
      </c>
      <c r="C11406" s="5" t="str">
        <f>IFERROR(__xludf.DUMMYFUNCTION("GOOGLETRANSLATE(B11406,""en"",""it"")"),"Viene mostrata un'immagine di un uomo e quindi disegni di vertebre umane.")</f>
        <v>Viene mostrata un'immagine di un uomo e quindi disegni di vertebre umane.</v>
      </c>
    </row>
    <row r="11407">
      <c r="A11407" s="4" t="s">
        <v>14344</v>
      </c>
      <c r="B11407" s="4" t="s">
        <v>14346</v>
      </c>
      <c r="C11407" s="5" t="str">
        <f>IFERROR(__xludf.DUMMYFUNCTION("GOOGLETRANSLATE(B11407,""en"",""it"")"),"L'uomo in grigio è in piedi in una stanza e ha iniziato a ruotare le mani in avanti e indietro.")</f>
        <v>L'uomo in grigio è in piedi in una stanza e ha iniziato a ruotare le mani in avanti e indietro.</v>
      </c>
    </row>
    <row r="11408">
      <c r="A11408" s="4" t="s">
        <v>14344</v>
      </c>
      <c r="B11408" s="4" t="s">
        <v>14347</v>
      </c>
      <c r="C11408" s="5" t="str">
        <f>IFERROR(__xludf.DUMMYFUNCTION("GOOGLETRANSLATE(B11408,""en"",""it"")"),"L'uomo ondeggia da un lato all'altro e muove le braccia di fronte a lui.")</f>
        <v>L'uomo ondeggia da un lato all'altro e muove le braccia di fronte a lui.</v>
      </c>
    </row>
    <row r="11409">
      <c r="A11409" s="4" t="s">
        <v>14348</v>
      </c>
      <c r="B11409" s="4" t="s">
        <v>14349</v>
      </c>
      <c r="C11409" s="5" t="str">
        <f>IFERROR(__xludf.DUMMYFUNCTION("GOOGLETRANSLATE(B11409,""en"",""it"")"),"Un uomo è in piedi davanti a un gatto che continua a camminare sulla sua carta da avvolgimento.")</f>
        <v>Un uomo è in piedi davanti a un gatto che continua a camminare sulla sua carta da avvolgimento.</v>
      </c>
    </row>
    <row r="11410">
      <c r="A11410" s="4" t="s">
        <v>14348</v>
      </c>
      <c r="B11410" s="4" t="s">
        <v>14350</v>
      </c>
      <c r="C11410" s="5" t="str">
        <f>IFERROR(__xludf.DUMMYFUNCTION("GOOGLETRANSLATE(B11410,""en"",""it"")"),"L'uomo spinge il gatto sulla carta e lo piega attorno al gatto.")</f>
        <v>L'uomo spinge il gatto sulla carta e lo piega attorno al gatto.</v>
      </c>
    </row>
    <row r="11411">
      <c r="A11411" s="4" t="s">
        <v>14348</v>
      </c>
      <c r="B11411" s="4" t="s">
        <v>14351</v>
      </c>
      <c r="C11411" s="5" t="str">
        <f>IFERROR(__xludf.DUMMYFUNCTION("GOOGLETRANSLATE(B11411,""en"",""it"")"),"Quindi registra la carta sul gatto, lasciando solo la testa sporgente.")</f>
        <v>Quindi registra la carta sul gatto, lasciando solo la testa sporgente.</v>
      </c>
    </row>
    <row r="11412">
      <c r="A11412" s="4" t="s">
        <v>14348</v>
      </c>
      <c r="B11412" s="4" t="s">
        <v>14352</v>
      </c>
      <c r="C11412" s="5" t="str">
        <f>IFERROR(__xludf.DUMMYFUNCTION("GOOGLETRANSLATE(B11412,""en"",""it"")"),"Quindi mette un inchino sulla testa del gatto.")</f>
        <v>Quindi mette un inchino sulla testa del gatto.</v>
      </c>
    </row>
    <row r="11413">
      <c r="A11413" s="4" t="s">
        <v>14353</v>
      </c>
      <c r="B11413" s="4" t="s">
        <v>14354</v>
      </c>
      <c r="C11413" s="5" t="str">
        <f>IFERROR(__xludf.DUMMYFUNCTION("GOOGLETRANSLATE(B11413,""en"",""it"")"),"Una madre cerca di spazzolare i denti di un bambino.")</f>
        <v>Una madre cerca di spazzolare i denti di un bambino.</v>
      </c>
    </row>
    <row r="11414">
      <c r="A11414" s="4" t="s">
        <v>14353</v>
      </c>
      <c r="B11414" s="4" t="s">
        <v>14355</v>
      </c>
      <c r="C11414" s="5" t="str">
        <f>IFERROR(__xludf.DUMMYFUNCTION("GOOGLETRANSLATE(B11414,""en"",""it"")"),"Il bambino prende lo spazzolino e si cerca.")</f>
        <v>Il bambino prende lo spazzolino e si cerca.</v>
      </c>
    </row>
    <row r="11415">
      <c r="A11415" s="4" t="s">
        <v>14353</v>
      </c>
      <c r="B11415" s="4" t="s">
        <v>14356</v>
      </c>
      <c r="C11415" s="5" t="str">
        <f>IFERROR(__xludf.DUMMYFUNCTION("GOOGLETRANSLATE(B11415,""en"",""it"")"),"Il bambino sputa un po 'di questo dentifricio ma continua a provare.")</f>
        <v>Il bambino sputa un po 'di questo dentifricio ma continua a provare.</v>
      </c>
    </row>
    <row r="11416">
      <c r="A11416" s="4" t="s">
        <v>14357</v>
      </c>
      <c r="B11416" s="4" t="s">
        <v>14358</v>
      </c>
      <c r="C11416" s="5" t="str">
        <f>IFERROR(__xludf.DUMMYFUNCTION("GOOGLETRANSLATE(B11416,""en"",""it"")"),"Una corda di salto nera e gialla si trova sul pavimento mentre tre persone sono sullo sfondo.")</f>
        <v>Una corda di salto nera e gialla si trova sul pavimento mentre tre persone sono sullo sfondo.</v>
      </c>
    </row>
    <row r="11417">
      <c r="A11417" s="4" t="s">
        <v>14357</v>
      </c>
      <c r="B11417" s="6" t="s">
        <v>14359</v>
      </c>
      <c r="C11417" s="5" t="str">
        <f>IFERROR(__xludf.DUMMYFUNCTION("GOOGLETRANSLATE(B11417,""en"",""it"")"),"Il titolo, ""Jump Rope Steffisburg"", appare sullo schermo mentre diverse persone con camicie verdi corrono dietro.")</f>
        <v>Il titolo, "Jump Rope Steffisburg", appare sullo schermo mentre diverse persone con camicie verdi corrono dietro.</v>
      </c>
    </row>
    <row r="11418">
      <c r="A11418" s="4" t="s">
        <v>14357</v>
      </c>
      <c r="B11418" s="4" t="s">
        <v>14360</v>
      </c>
      <c r="C11418" s="5" t="str">
        <f>IFERROR(__xludf.DUMMYFUNCTION("GOOGLETRANSLATE(B11418,""en"",""it"")"),"Due giovani donne si esibiscono in un capriole.")</f>
        <v>Due giovani donne si esibiscono in un capriole.</v>
      </c>
    </row>
    <row r="11419">
      <c r="A11419" s="4" t="s">
        <v>14357</v>
      </c>
      <c r="B11419" s="4" t="s">
        <v>14361</v>
      </c>
      <c r="C11419" s="5" t="str">
        <f>IFERROR(__xludf.DUMMYFUNCTION("GOOGLETRANSLATE(B11419,""en"",""it"")"),"Un folto gruppo di persone con camicie verdi eseguono varie acrobazie di corda da salto in una grande palestra.")</f>
        <v>Un folto gruppo di persone con camicie verdi eseguono varie acrobazie di corda da salto in una grande palestra.</v>
      </c>
    </row>
    <row r="11420">
      <c r="A11420" s="4" t="s">
        <v>14357</v>
      </c>
      <c r="B11420" s="4" t="s">
        <v>14362</v>
      </c>
      <c r="C11420" s="5" t="str">
        <f>IFERROR(__xludf.DUMMYFUNCTION("GOOGLETRANSLATE(B11420,""en"",""it"")"),"Qualcuno raccoglie una corda di salto giallo e nero dal pavimento e se ne va.")</f>
        <v>Qualcuno raccoglie una corda di salto giallo e nero dal pavimento e se ne va.</v>
      </c>
    </row>
    <row r="11421">
      <c r="A11421" s="4" t="s">
        <v>14363</v>
      </c>
      <c r="B11421" s="4" t="s">
        <v>14364</v>
      </c>
      <c r="C11421" s="5" t="str">
        <f>IFERROR(__xludf.DUMMYFUNCTION("GOOGLETRANSLATE(B11421,""en"",""it"")"),"Uno schermo nero pubblicizza il video.")</f>
        <v>Uno schermo nero pubblicizza il video.</v>
      </c>
    </row>
    <row r="11422">
      <c r="A11422" s="4" t="s">
        <v>14363</v>
      </c>
      <c r="B11422" s="4" t="s">
        <v>14365</v>
      </c>
      <c r="C11422" s="5" t="str">
        <f>IFERROR(__xludf.DUMMYFUNCTION("GOOGLETRANSLATE(B11422,""en"",""it"")"),"Un uomo viene mostrato sdraiato mentre qualcuno si rade la barba.")</f>
        <v>Un uomo viene mostrato sdraiato mentre qualcuno si rade la barba.</v>
      </c>
    </row>
    <row r="11423">
      <c r="A11423" s="4" t="s">
        <v>14363</v>
      </c>
      <c r="B11423" s="6" t="s">
        <v>14366</v>
      </c>
      <c r="C11423" s="5" t="str">
        <f>IFERROR(__xludf.DUMMYFUNCTION("GOOGLETRANSLATE(B11423,""en"",""it"")"),"La lama è mostrata molto vicino alla pelle mentre l'uomo lo rade con cura, sciacquando tra raschiature.")</f>
        <v>La lama è mostrata molto vicino alla pelle mentre l'uomo lo rade con cura, sciacquando tra raschiature.</v>
      </c>
    </row>
    <row r="11424">
      <c r="A11424" s="4" t="s">
        <v>14363</v>
      </c>
      <c r="B11424" s="4" t="s">
        <v>14367</v>
      </c>
      <c r="C11424" s="5" t="str">
        <f>IFERROR(__xludf.DUMMYFUNCTION("GOOGLETRANSLATE(B11424,""en"",""it"")"),"Lo schermo svanisce sul nero mentre l'uomo finisce la rasatura.")</f>
        <v>Lo schermo svanisce sul nero mentre l'uomo finisce la rasatura.</v>
      </c>
    </row>
    <row r="11425">
      <c r="A11425" s="4" t="s">
        <v>14368</v>
      </c>
      <c r="B11425" s="4" t="s">
        <v>14369</v>
      </c>
      <c r="C11425" s="5" t="str">
        <f>IFERROR(__xludf.DUMMYFUNCTION("GOOGLETRANSLATE(B11425,""en"",""it"")"),"Due maschi giocano a tennis da tavolo in una piccola stanza.")</f>
        <v>Due maschi giocano a tennis da tavolo in una piccola stanza.</v>
      </c>
    </row>
    <row r="11426">
      <c r="A11426" s="4" t="s">
        <v>14368</v>
      </c>
      <c r="B11426" s="4" t="s">
        <v>14370</v>
      </c>
      <c r="C11426" s="5" t="str">
        <f>IFERROR(__xludf.DUMMYFUNCTION("GOOGLETRANSLATE(B11426,""en"",""it"")"),"Un altro uomo cammina sullo sfondo.")</f>
        <v>Un altro uomo cammina sullo sfondo.</v>
      </c>
    </row>
    <row r="11427">
      <c r="A11427" s="4" t="s">
        <v>14371</v>
      </c>
      <c r="B11427" s="4" t="s">
        <v>14372</v>
      </c>
      <c r="C11427" s="5" t="str">
        <f>IFERROR(__xludf.DUMMYFUNCTION("GOOGLETRANSLATE(B11427,""en"",""it"")"),"Un gruppo di donne è in piedi mentre una di queste è su un cammello.")</f>
        <v>Un gruppo di donne è in piedi mentre una di queste è su un cammello.</v>
      </c>
    </row>
    <row r="11428">
      <c r="A11428" s="4" t="s">
        <v>14371</v>
      </c>
      <c r="B11428" s="4" t="s">
        <v>14373</v>
      </c>
      <c r="C11428" s="5" t="str">
        <f>IFERROR(__xludf.DUMMYFUNCTION("GOOGLETRANSLATE(B11428,""en"",""it"")"),"Il cammello solleva un addestratore e altri amici fissano.")</f>
        <v>Il cammello solleva un addestratore e altri amici fissano.</v>
      </c>
    </row>
    <row r="11429">
      <c r="A11429" s="4" t="s">
        <v>14371</v>
      </c>
      <c r="B11429" s="4" t="s">
        <v>14374</v>
      </c>
      <c r="C11429" s="5" t="str">
        <f>IFERROR(__xludf.DUMMYFUNCTION("GOOGLETRANSLATE(B11429,""en"",""it"")"),"Sembrano divertirsi mentre la fotocamera si tira indietro per mostrarli tutti.")</f>
        <v>Sembrano divertirsi mentre la fotocamera si tira indietro per mostrarli tutti.</v>
      </c>
    </row>
    <row r="11430">
      <c r="A11430" s="4" t="s">
        <v>14371</v>
      </c>
      <c r="B11430" s="4" t="s">
        <v>14375</v>
      </c>
      <c r="C11430" s="5" t="str">
        <f>IFERROR(__xludf.DUMMYFUNCTION("GOOGLETRANSLATE(B11430,""en"",""it"")"),"Andano avanti con il cammello molto lentamente, una signora che lo cavalca.")</f>
        <v>Andano avanti con il cammello molto lentamente, una signora che lo cavalca.</v>
      </c>
    </row>
    <row r="11431">
      <c r="A11431" s="4" t="s">
        <v>14371</v>
      </c>
      <c r="B11431" s="6" t="s">
        <v>14376</v>
      </c>
      <c r="C11431" s="5" t="str">
        <f>IFERROR(__xludf.DUMMYFUNCTION("GOOGLETRANSLATE(B11431,""en"",""it"")"),"Il video quindi taglia, mostrando che il cammello si ferma prima di cadere a terra per smettere la donna.")</f>
        <v>Il video quindi taglia, mostrando che il cammello si ferma prima di cadere a terra per smettere la donna.</v>
      </c>
    </row>
    <row r="11432">
      <c r="A11432" s="4" t="s">
        <v>14371</v>
      </c>
      <c r="B11432" s="4" t="s">
        <v>14377</v>
      </c>
      <c r="C11432" s="5" t="str">
        <f>IFERROR(__xludf.DUMMYFUNCTION("GOOGLETRANSLATE(B11432,""en"",""it"")"),"Lo animali domestici e il video finisce.")</f>
        <v>Lo animali domestici e il video finisce.</v>
      </c>
    </row>
    <row r="11433">
      <c r="A11433" s="4" t="s">
        <v>14378</v>
      </c>
      <c r="B11433" s="4" t="s">
        <v>14379</v>
      </c>
      <c r="C11433" s="5" t="str">
        <f>IFERROR(__xludf.DUMMYFUNCTION("GOOGLETRANSLATE(B11433,""en"",""it"")"),"I ragazzi sono in piedi vicino a una stalla.")</f>
        <v>I ragazzi sono in piedi vicino a una stalla.</v>
      </c>
    </row>
    <row r="11434">
      <c r="A11434" s="4" t="s">
        <v>14378</v>
      </c>
      <c r="B11434" s="4" t="s">
        <v>14380</v>
      </c>
      <c r="C11434" s="5" t="str">
        <f>IFERROR(__xludf.DUMMYFUNCTION("GOOGLETRANSLATE(B11434,""en"",""it"")"),"Un ragazzo a cavallo insegue un bestiame.")</f>
        <v>Un ragazzo a cavallo insegue un bestiame.</v>
      </c>
    </row>
    <row r="11435">
      <c r="A11435" s="4" t="s">
        <v>14378</v>
      </c>
      <c r="B11435" s="4" t="s">
        <v>14381</v>
      </c>
      <c r="C11435" s="5" t="str">
        <f>IFERROR(__xludf.DUMMYFUNCTION("GOOGLETRANSLATE(B11435,""en"",""it"")"),"Il ragazzo soffoca il bestiame e scende dal cavallo per legare le gambe del bestiame.")</f>
        <v>Il ragazzo soffoca il bestiame e scende dal cavallo per legare le gambe del bestiame.</v>
      </c>
    </row>
    <row r="11436">
      <c r="A11436" s="4" t="s">
        <v>14378</v>
      </c>
      <c r="B11436" s="4" t="s">
        <v>14382</v>
      </c>
      <c r="C11436" s="5" t="str">
        <f>IFERROR(__xludf.DUMMYFUNCTION("GOOGLETRANSLATE(B11436,""en"",""it"")"),"Due uomini rimuovono la corda attorno al collo e alle gambe del bestiame.")</f>
        <v>Due uomini rimuovono la corda attorno al collo e alle gambe del bestiame.</v>
      </c>
    </row>
    <row r="11437">
      <c r="A11437" s="4" t="s">
        <v>14378</v>
      </c>
      <c r="B11437" s="4" t="s">
        <v>14383</v>
      </c>
      <c r="C11437" s="5" t="str">
        <f>IFERROR(__xludf.DUMMYFUNCTION("GOOGLETRANSLATE(B11437,""en"",""it"")"),"Il bestiame sale e scappa.")</f>
        <v>Il bestiame sale e scappa.</v>
      </c>
    </row>
    <row r="11438">
      <c r="A11438" s="4" t="s">
        <v>14384</v>
      </c>
      <c r="B11438" s="4" t="s">
        <v>14385</v>
      </c>
      <c r="C11438" s="5" t="str">
        <f>IFERROR(__xludf.DUMMYFUNCTION("GOOGLETRANSLATE(B11438,""en"",""it"")"),"Una persona viene vista fare segni su un documento usando uno strumento e una matita.")</f>
        <v>Una persona viene vista fare segni su un documento usando uno strumento e una matita.</v>
      </c>
    </row>
    <row r="11439">
      <c r="A11439" s="4" t="s">
        <v>14384</v>
      </c>
      <c r="B11439" s="4" t="s">
        <v>14386</v>
      </c>
      <c r="C11439" s="5" t="str">
        <f>IFERROR(__xludf.DUMMYFUNCTION("GOOGLETRANSLATE(B11439,""en"",""it"")"),"Quindi avvita gli strumenti al posto dei fori e la fotocamera si lancia lungo l'area finita.")</f>
        <v>Quindi avvita gli strumenti al posto dei fori e la fotocamera si lancia lungo l'area finita.</v>
      </c>
    </row>
    <row r="11440">
      <c r="A11440" s="4" t="s">
        <v>14384</v>
      </c>
      <c r="B11440" s="6" t="s">
        <v>14387</v>
      </c>
      <c r="C11440" s="5" t="str">
        <f>IFERROR(__xludf.DUMMYFUNCTION("GOOGLETRANSLATE(B11440,""en"",""it"")"),"Quindi asciuga l'area, misura più area e quindi rotolando la carta su uno strumento.")</f>
        <v>Quindi asciuga l'area, misura più area e quindi rotolando la carta su uno strumento.</v>
      </c>
    </row>
    <row r="11441">
      <c r="A11441" s="4" t="s">
        <v>14384</v>
      </c>
      <c r="B11441" s="4" t="s">
        <v>14388</v>
      </c>
      <c r="C11441" s="5" t="str">
        <f>IFERROR(__xludf.DUMMYFUNCTION("GOOGLETRANSLATE(B11441,""en"",""it"")"),"Alla fine prende un oggetto acuto e lo esegue lungo la carta.")</f>
        <v>Alla fine prende un oggetto acuto e lo esegue lungo la carta.</v>
      </c>
    </row>
    <row r="11442">
      <c r="A11442" s="4" t="s">
        <v>14389</v>
      </c>
      <c r="B11442" s="4" t="s">
        <v>14390</v>
      </c>
      <c r="C11442" s="5" t="str">
        <f>IFERROR(__xludf.DUMMYFUNCTION("GOOGLETRANSLATE(B11442,""en"",""it"")"),"Una persona in un cubo di Rubik.")</f>
        <v>Una persona in un cubo di Rubik.</v>
      </c>
    </row>
    <row r="11443">
      <c r="A11443" s="4" t="s">
        <v>14389</v>
      </c>
      <c r="B11443" s="4" t="s">
        <v>14391</v>
      </c>
      <c r="C11443" s="5" t="str">
        <f>IFERROR(__xludf.DUMMYFUNCTION("GOOGLETRANSLATE(B11443,""en"",""it"")"),"La persona inizia a risolvere il cubo di Rubik.")</f>
        <v>La persona inizia a risolvere il cubo di Rubik.</v>
      </c>
    </row>
    <row r="11444">
      <c r="A11444" s="4" t="s">
        <v>14389</v>
      </c>
      <c r="B11444" s="4" t="s">
        <v>14392</v>
      </c>
      <c r="C11444" s="5" t="str">
        <f>IFERROR(__xludf.DUMMYFUNCTION("GOOGLETRANSLATE(B11444,""en"",""it"")"),"La persona posiziona il cubo di Rubik risolto sulla scrivania e fai clic in fretta.")</f>
        <v>La persona posiziona il cubo di Rubik risolto sulla scrivania e fai clic in fretta.</v>
      </c>
    </row>
    <row r="11445">
      <c r="A11445" s="4" t="s">
        <v>14389</v>
      </c>
      <c r="B11445" s="4" t="s">
        <v>14393</v>
      </c>
      <c r="C11445" s="5" t="str">
        <f>IFERROR(__xludf.DUMMYFUNCTION("GOOGLETRANSLATE(B11445,""en"",""it"")"),"La persona mostra lo schermo del suo computer.")</f>
        <v>La persona mostra lo schermo del suo computer.</v>
      </c>
    </row>
    <row r="11446">
      <c r="A11446" s="4" t="s">
        <v>14389</v>
      </c>
      <c r="B11446" s="4" t="s">
        <v>14394</v>
      </c>
      <c r="C11446" s="5" t="str">
        <f>IFERROR(__xludf.DUMMYFUNCTION("GOOGLETRANSLATE(B11446,""en"",""it"")"),"La persona raccoglie il cubo di Rubik e mostra ogni faccia del cubo di Rubik risolto.")</f>
        <v>La persona raccoglie il cubo di Rubik e mostra ogni faccia del cubo di Rubik risolto.</v>
      </c>
    </row>
    <row r="11447">
      <c r="A11447" s="4" t="s">
        <v>14395</v>
      </c>
      <c r="B11447" s="4" t="s">
        <v>14396</v>
      </c>
      <c r="C11447" s="5" t="str">
        <f>IFERROR(__xludf.DUMMYFUNCTION("GOOGLETRANSLATE(B11447,""en"",""it"")"),"Il ragazzo è in piedi sotto l'albero con una cosa con la benda per colpire il Pinata ma lo ha perso.")</f>
        <v>Il ragazzo è in piedi sotto l'albero con una cosa con la benda per colpire il Pinata ma lo ha perso.</v>
      </c>
    </row>
    <row r="11448">
      <c r="A11448" s="4" t="s">
        <v>14395</v>
      </c>
      <c r="B11448" s="4" t="s">
        <v>14397</v>
      </c>
      <c r="C11448" s="5" t="str">
        <f>IFERROR(__xludf.DUMMYFUNCTION("GOOGLETRANSLATE(B11448,""en"",""it"")"),"Un uomo si avvicinò a lui e lo assisteva, il ragazzo colpì la Pinata una volta.")</f>
        <v>Un uomo si avvicinò a lui e lo assisteva, il ragazzo colpì la Pinata una volta.</v>
      </c>
    </row>
    <row r="11449">
      <c r="A11449" s="4" t="s">
        <v>14395</v>
      </c>
      <c r="B11449" s="4" t="s">
        <v>14398</v>
      </c>
      <c r="C11449" s="5" t="str">
        <f>IFERROR(__xludf.DUMMYFUNCTION("GOOGLETRANSLATE(B11449,""en"",""it"")"),"L'uomo ruota la bambina e poi lasciò camminare un po 'e la ragazza colpì la Pinata.")</f>
        <v>L'uomo ruota la bambina e poi lasciò camminare un po 'e la ragazza colpì la Pinata.</v>
      </c>
    </row>
    <row r="11450">
      <c r="A11450" s="4" t="s">
        <v>14395</v>
      </c>
      <c r="B11450" s="4" t="s">
        <v>14399</v>
      </c>
      <c r="C11450" s="5" t="str">
        <f>IFERROR(__xludf.DUMMYFUNCTION("GOOGLETRANSLATE(B11450,""en"",""it"")"),"Un giovane ha colpito la pubblicità di Pinata, i bambini sono in fila per fare i loro turni per colpire la Pinata.")</f>
        <v>Un giovane ha colpito la pubblicità di Pinata, i bambini sono in fila per fare i loro turni per colpire la Pinata.</v>
      </c>
    </row>
    <row r="11451">
      <c r="A11451" s="4" t="s">
        <v>14400</v>
      </c>
      <c r="B11451" s="4" t="s">
        <v>14401</v>
      </c>
      <c r="C11451" s="5" t="str">
        <f>IFERROR(__xludf.DUMMYFUNCTION("GOOGLETRANSLATE(B11451,""en"",""it"")"),"Un wrestler in Maroon Brief sta provocando l'uomo di colore.")</f>
        <v>Un wrestler in Maroon Brief sta provocando l'uomo di colore.</v>
      </c>
    </row>
    <row r="11452">
      <c r="A11452" s="4" t="s">
        <v>14400</v>
      </c>
      <c r="B11452" s="4" t="s">
        <v>14402</v>
      </c>
      <c r="C11452" s="5" t="str">
        <f>IFERROR(__xludf.DUMMYFUNCTION("GOOGLETRANSLATE(B11452,""en"",""it"")"),"L'uomo di colore attaccò l'altro lottatore ma fu abbattuto.")</f>
        <v>L'uomo di colore attaccò l'altro lottatore ma fu abbattuto.</v>
      </c>
    </row>
    <row r="11453">
      <c r="A11453" s="4" t="s">
        <v>14400</v>
      </c>
      <c r="B11453" s="4" t="s">
        <v>14403</v>
      </c>
      <c r="C11453" s="5" t="str">
        <f>IFERROR(__xludf.DUMMYFUNCTION("GOOGLETRANSLATE(B11453,""en"",""it"")"),"Il wrestler con il brief marrone portava l'uomo nero e lo sbatté sul pavimento.")</f>
        <v>Il wrestler con il brief marrone portava l'uomo nero e lo sbatté sul pavimento.</v>
      </c>
    </row>
    <row r="11454">
      <c r="A11454" s="4" t="s">
        <v>14404</v>
      </c>
      <c r="B11454" s="4" t="s">
        <v>14405</v>
      </c>
      <c r="C11454" s="5" t="str">
        <f>IFERROR(__xludf.DUMMYFUNCTION("GOOGLETRANSLATE(B11454,""en"",""it"")"),"C'è un uomo seduto con il logo delle Olimpiadi dietro di lui, che parla di sport.")</f>
        <v>C'è un uomo seduto con il logo delle Olimpiadi dietro di lui, che parla di sport.</v>
      </c>
    </row>
    <row r="11455">
      <c r="A11455" s="4" t="s">
        <v>14404</v>
      </c>
      <c r="B11455" s="4" t="s">
        <v>14406</v>
      </c>
      <c r="C11455" s="5" t="str">
        <f>IFERROR(__xludf.DUMMYFUNCTION("GOOGLETRANSLATE(B11455,""en"",""it"")"),"Viene mostrata una fotografia di gruppo di molte persone di diverse fasce di età.")</f>
        <v>Viene mostrata una fotografia di gruppo di molte persone di diverse fasce di età.</v>
      </c>
    </row>
    <row r="11456">
      <c r="A11456" s="4" t="s">
        <v>14404</v>
      </c>
      <c r="B11456" s="6" t="s">
        <v>14407</v>
      </c>
      <c r="C11456" s="5" t="str">
        <f>IFERROR(__xludf.DUMMYFUNCTION("GOOGLETRANSLATE(B11456,""en"",""it"")"),"Ci sono alcune persone che giocano a pallavolo da spiaggia nella sabbia in una giornata di sole con diverse persone che li guardano.")</f>
        <v>Ci sono alcune persone che giocano a pallavolo da spiaggia nella sabbia in una giornata di sole con diverse persone che li guardano.</v>
      </c>
    </row>
    <row r="11457">
      <c r="A11457" s="4" t="s">
        <v>14404</v>
      </c>
      <c r="B11457" s="4" t="s">
        <v>14408</v>
      </c>
      <c r="C11457" s="5" t="str">
        <f>IFERROR(__xludf.DUMMYFUNCTION("GOOGLETRANSLATE(B11457,""en"",""it"")"),"Uno dei giocatori colpisce la palla al suo avversario colpendolo con il pugno.")</f>
        <v>Uno dei giocatori colpisce la palla al suo avversario colpendolo con il pugno.</v>
      </c>
    </row>
    <row r="11458">
      <c r="A11458" s="4" t="s">
        <v>14404</v>
      </c>
      <c r="B11458" s="4" t="s">
        <v>14409</v>
      </c>
      <c r="C11458" s="5" t="str">
        <f>IFERROR(__xludf.DUMMYFUNCTION("GOOGLETRANSLATE(B11458,""en"",""it"")"),"Un altro giocatore restituisce la palla calciandola attraverso la rete.")</f>
        <v>Un altro giocatore restituisce la palla calciandola attraverso la rete.</v>
      </c>
    </row>
    <row r="11459">
      <c r="A11459" s="4" t="s">
        <v>14404</v>
      </c>
      <c r="B11459" s="4" t="s">
        <v>14410</v>
      </c>
      <c r="C11459" s="5" t="str">
        <f>IFERROR(__xludf.DUMMYFUNCTION("GOOGLETRANSLATE(B11459,""en"",""it"")"),"I giocatori continuano a giocare colpendo la palla attraverso la rete.")</f>
        <v>I giocatori continuano a giocare colpendo la palla attraverso la rete.</v>
      </c>
    </row>
    <row r="11460">
      <c r="A11460" s="4" t="s">
        <v>14411</v>
      </c>
      <c r="B11460" s="6" t="s">
        <v>14412</v>
      </c>
      <c r="C11460" s="5" t="str">
        <f>IFERROR(__xludf.DUMMYFUNCTION("GOOGLETRANSLATE(B11460,""en"",""it"")"),"Un campo aperto è coperto di neve e poi improvvisamente un grande orso appare su un tavolo e viene quindi messo in una scatola.")</f>
        <v>Un campo aperto è coperto di neve e poi improvvisamente un grande orso appare su un tavolo e viene quindi messo in una scatola.</v>
      </c>
    </row>
    <row r="11461">
      <c r="A11461" s="4" t="s">
        <v>14411</v>
      </c>
      <c r="B11461" s="4" t="s">
        <v>14413</v>
      </c>
      <c r="C11461" s="5" t="str">
        <f>IFERROR(__xludf.DUMMYFUNCTION("GOOGLETRANSLATE(B11461,""en"",""it"")"),"Martha Stewart inizia quindi a registrare la scatola.")</f>
        <v>Martha Stewart inizia quindi a registrare la scatola.</v>
      </c>
    </row>
    <row r="11462">
      <c r="A11462" s="4" t="s">
        <v>14411</v>
      </c>
      <c r="B11462" s="6" t="s">
        <v>14414</v>
      </c>
      <c r="C11462" s="5" t="str">
        <f>IFERROR(__xludf.DUMMYFUNCTION("GOOGLETRANSLATE(B11462,""en"",""it"")"),"La scatola viene quindi posizionata sulla parte superiore del bancone e la carta da avvolgimento viene messa su entrambe le estremità a circa sei pollici nella scatola.")</f>
        <v>La scatola viene quindi posizionata sulla parte superiore del bancone e la carta da avvolgimento viene messa su entrambe le estremità a circa sei pollici nella scatola.</v>
      </c>
    </row>
    <row r="11463">
      <c r="A11463" s="4" t="s">
        <v>14411</v>
      </c>
      <c r="B11463" s="4" t="s">
        <v>14415</v>
      </c>
      <c r="C11463" s="5" t="str">
        <f>IFERROR(__xludf.DUMMYFUNCTION("GOOGLETRANSLATE(B11463,""en"",""it"")"),"Più carta da avvolgimento viene quindi estratta e avvolta attorno alla scatola ora coperta al centro.")</f>
        <v>Più carta da avvolgimento viene quindi estratta e avvolta attorno alla scatola ora coperta al centro.</v>
      </c>
    </row>
    <row r="11464">
      <c r="A11464" s="4" t="s">
        <v>14411</v>
      </c>
      <c r="B11464" s="4" t="s">
        <v>14416</v>
      </c>
      <c r="C11464" s="5" t="str">
        <f>IFERROR(__xludf.DUMMYFUNCTION("GOOGLETRANSLATE(B11464,""en"",""it"")"),"Dopo essere stati registrati, diversi archi glitter rossi vengono posizionati sulla parte superiore della carta da imballaggio.")</f>
        <v>Dopo essere stati registrati, diversi archi glitter rossi vengono posizionati sulla parte superiore della carta da imballaggio.</v>
      </c>
    </row>
    <row r="11465">
      <c r="A11465" s="4" t="s">
        <v>14411</v>
      </c>
      <c r="B11465" s="4" t="s">
        <v>14417</v>
      </c>
      <c r="C11465" s="5" t="str">
        <f>IFERROR(__xludf.DUMMYFUNCTION("GOOGLETRANSLATE(B11465,""en"",""it"")"),"Sul bancone, appare diverse altre file di carta da rap e tubi.")</f>
        <v>Sul bancone, appare diverse altre file di carta da rap e tubi.</v>
      </c>
    </row>
    <row r="11466">
      <c r="A11466" s="4" t="s">
        <v>14411</v>
      </c>
      <c r="B11466" s="4" t="s">
        <v>14418</v>
      </c>
      <c r="C11466" s="5" t="str">
        <f>IFERROR(__xludf.DUMMYFUNCTION("GOOGLETRANSLATE(B11466,""en"",""it"")"),"I calzini vengono quindi posizionati in un tubo e coperti nella carta di avvolgimento d'argento.")</f>
        <v>I calzini vengono quindi posizionati in un tubo e coperti nella carta di avvolgimento d'argento.</v>
      </c>
    </row>
    <row r="11467">
      <c r="A11467" s="4" t="s">
        <v>14411</v>
      </c>
      <c r="B11467" s="6" t="s">
        <v>14419</v>
      </c>
      <c r="C11467" s="5" t="str">
        <f>IFERROR(__xludf.DUMMYFUNCTION("GOOGLETRANSLATE(B11467,""en"",""it"")"),"La donna quindi prende un oggetto a forma di circolare e lo traccia con una matita e fa scricchiolare nel mezzo.")</f>
        <v>La donna quindi prende un oggetto a forma di circolare e lo traccia con una matita e fa scricchiolare nel mezzo.</v>
      </c>
    </row>
    <row r="11468">
      <c r="A11468" s="4" t="s">
        <v>14411</v>
      </c>
      <c r="B11468" s="6" t="s">
        <v>14420</v>
      </c>
      <c r="C11468" s="5" t="str">
        <f>IFERROR(__xludf.DUMMYFUNCTION("GOOGLETRANSLATE(B11468,""en"",""it"")"),"Dopo che sono stati tagliati, vengono posizionati all'estremità dei tubi e impilati insieme per dare l'illusione del legno di fuoco.")</f>
        <v>Dopo che sono stati tagliati, vengono posizionati all'estremità dei tubi e impilati insieme per dare l'illusione del legno di fuoco.</v>
      </c>
    </row>
    <row r="11469">
      <c r="A11469" s="4" t="s">
        <v>14421</v>
      </c>
      <c r="B11469" s="6" t="s">
        <v>14422</v>
      </c>
      <c r="C11469" s="5" t="str">
        <f>IFERROR(__xludf.DUMMYFUNCTION("GOOGLETRANSLATE(B11469,""en"",""it"")"),"Un gruppo di bambini si sta lanciando palle l'uno verso l'altro in una stanza rimbalzante in cui i pavimenti sono piattaforme di rimbalzo gonfiabili.")</f>
        <v>Un gruppo di bambini si sta lanciando palle l'uno verso l'altro in una stanza rimbalzante in cui i pavimenti sono piattaforme di rimbalzo gonfiabili.</v>
      </c>
    </row>
    <row r="11470">
      <c r="A11470" s="4" t="s">
        <v>14421</v>
      </c>
      <c r="B11470" s="6" t="s">
        <v>14423</v>
      </c>
      <c r="C11470" s="5" t="str">
        <f>IFERROR(__xludf.DUMMYFUNCTION("GOOGLETRANSLATE(B11470,""en"",""it"")"),"I bambini sul lato destro della stanza lanciano palline sul lato sinistro della stanza mentre le palle volano sul loro lato del tappeto nel tentativo di colpirli.")</f>
        <v>I bambini sul lato destro della stanza lanciano palline sul lato sinistro della stanza mentre le palle volano sul loro lato del tappeto nel tentativo di colpirli.</v>
      </c>
    </row>
    <row r="11471">
      <c r="A11471" s="4" t="s">
        <v>14421</v>
      </c>
      <c r="B11471" s="6" t="s">
        <v>14424</v>
      </c>
      <c r="C11471" s="5" t="str">
        <f>IFERROR(__xludf.DUMMYFUNCTION("GOOGLETRANSLATE(B11471,""en"",""it"")"),"I bambini lanciano e schivano con un bambino in una maglietta blu che si ritira nell'angolo all'estrema destra della stanza di rimbalzo per cercare di evitare una palla che gli viene lanciata da un'altra parte.")</f>
        <v>I bambini lanciano e schivano con un bambino in una maglietta blu che si ritira nell'angolo all'estrema destra della stanza di rimbalzo per cercare di evitare una palla che gli viene lanciata da un'altra parte.</v>
      </c>
    </row>
    <row r="11472">
      <c r="A11472" s="4" t="s">
        <v>14425</v>
      </c>
      <c r="B11472" s="4" t="s">
        <v>14426</v>
      </c>
      <c r="C11472" s="5" t="str">
        <f>IFERROR(__xludf.DUMMYFUNCTION("GOOGLETRANSLATE(B11472,""en"",""it"")"),"Un bambino piccolo viene visto sparare a un pavimento con una scopa e muoversi in tutte le aree della stanza.")</f>
        <v>Un bambino piccolo viene visto sparare a un pavimento con una scopa e muoversi in tutte le aree della stanza.</v>
      </c>
    </row>
    <row r="11473">
      <c r="A11473" s="4" t="s">
        <v>14425</v>
      </c>
      <c r="B11473" s="4" t="s">
        <v>14427</v>
      </c>
      <c r="C11473" s="5" t="str">
        <f>IFERROR(__xludf.DUMMYFUNCTION("GOOGLETRANSLATE(B11473,""en"",""it"")"),"Si ferma per giocare un po 'con il mop e spinge una scatola sotto uno stand.")</f>
        <v>Si ferma per giocare un po 'con il mop e spinge una scatola sotto uno stand.</v>
      </c>
    </row>
    <row r="11474">
      <c r="A11474" s="4" t="s">
        <v>14428</v>
      </c>
      <c r="B11474" s="4" t="s">
        <v>14429</v>
      </c>
      <c r="C11474" s="5" t="str">
        <f>IFERROR(__xludf.DUMMYFUNCTION("GOOGLETRANSLATE(B11474,""en"",""it"")"),"Una donna con una camicia nera balla in una stanza.")</f>
        <v>Una donna con una camicia nera balla in una stanza.</v>
      </c>
    </row>
    <row r="11475">
      <c r="A11475" s="4" t="s">
        <v>14428</v>
      </c>
      <c r="B11475" s="4" t="s">
        <v>14430</v>
      </c>
      <c r="C11475" s="5" t="str">
        <f>IFERROR(__xludf.DUMMYFUNCTION("GOOGLETRANSLATE(B11475,""en"",""it"")"),"Un piccolo cane sul pavimento accanto ai suoi orologi.")</f>
        <v>Un piccolo cane sul pavimento accanto ai suoi orologi.</v>
      </c>
    </row>
    <row r="11476">
      <c r="A11476" s="4" t="s">
        <v>14428</v>
      </c>
      <c r="B11476" s="4" t="s">
        <v>14431</v>
      </c>
      <c r="C11476" s="5" t="str">
        <f>IFERROR(__xludf.DUMMYFUNCTION("GOOGLETRANSLATE(B11476,""en"",""it"")"),"Allontana le mani alla fine.")</f>
        <v>Allontana le mani alla fine.</v>
      </c>
    </row>
    <row r="11477">
      <c r="A11477" s="4" t="s">
        <v>14432</v>
      </c>
      <c r="B11477" s="4" t="s">
        <v>14433</v>
      </c>
      <c r="C11477" s="5" t="str">
        <f>IFERROR(__xludf.DUMMYFUNCTION("GOOGLETRANSLATE(B11477,""en"",""it"")"),"Un gruppo di persone va in una pista da bowling e fallisce esilarante.")</f>
        <v>Un gruppo di persone va in una pista da bowling e fallisce esilarante.</v>
      </c>
    </row>
    <row r="11478">
      <c r="A11478" s="4" t="s">
        <v>14432</v>
      </c>
      <c r="B11478" s="4" t="s">
        <v>14434</v>
      </c>
      <c r="C11478" s="5" t="str">
        <f>IFERROR(__xludf.DUMMYFUNCTION("GOOGLETRANSLATE(B11478,""en"",""it"")"),"Una donna parla con i pin e capisce come vengono impostati e sostituiti i pin.")</f>
        <v>Una donna parla con i pin e capisce come vengono impostati e sostituiti i pin.</v>
      </c>
    </row>
    <row r="11479">
      <c r="A11479" s="4" t="s">
        <v>14435</v>
      </c>
      <c r="B11479" s="6" t="s">
        <v>14436</v>
      </c>
      <c r="C11479" s="5" t="str">
        <f>IFERROR(__xludf.DUMMYFUNCTION("GOOGLETRANSLATE(B11479,""en"",""it"")"),"Un piccolo gruppo di persone viene visto seduto attorno a un tavolo che parlava l'un l'altro mentre usano una penna di narghilè e vapore allo stesso tempo.")</f>
        <v>Un piccolo gruppo di persone viene visto seduto attorno a un tavolo che parlava l'un l'altro mentre usano una penna di narghilè e vapore allo stesso tempo.</v>
      </c>
    </row>
    <row r="11480">
      <c r="A11480" s="4" t="s">
        <v>14435</v>
      </c>
      <c r="B11480" s="6" t="s">
        <v>14437</v>
      </c>
      <c r="C11480" s="5" t="str">
        <f>IFERROR(__xludf.DUMMYFUNCTION("GOOGLETRANSLATE(B11480,""en"",""it"")"),"Gli uomini continuano a fumare e guardando nella telecamera quando si inizia a mostrare il suo corpo e fare una padella per la stanza.")</f>
        <v>Gli uomini continuano a fumare e guardando nella telecamera quando si inizia a mostrare il suo corpo e fare una padella per la stanza.</v>
      </c>
    </row>
    <row r="11481">
      <c r="A11481" s="4" t="s">
        <v>14438</v>
      </c>
      <c r="B11481" s="6" t="s">
        <v>14439</v>
      </c>
      <c r="C11481" s="5" t="str">
        <f>IFERROR(__xludf.DUMMYFUNCTION("GOOGLETRANSLATE(B11481,""en"",""it"")"),"Un tutorial su come avvolgere un regalo, prima metti la carta da avvolgimento abbastanza e posizionalo sopra per assicurarti che abbia una dimensione decente.")</f>
        <v>Un tutorial su come avvolgere un regalo, prima metti la carta da avvolgimento abbastanza e posizionalo sopra per assicurarti che abbia una dimensione decente.</v>
      </c>
    </row>
    <row r="11482">
      <c r="A11482" s="4" t="s">
        <v>14438</v>
      </c>
      <c r="B11482" s="4" t="s">
        <v>14440</v>
      </c>
      <c r="C11482" s="5" t="str">
        <f>IFERROR(__xludf.DUMMYFUNCTION("GOOGLETRANSLATE(B11482,""en"",""it"")"),"Quindi, si pieghi uno degli angoli della carta da avvolgimento in triangoli e lo premi ripetutamente.")</f>
        <v>Quindi, si pieghi uno degli angoli della carta da avvolgimento in triangoli e lo premi ripetutamente.</v>
      </c>
    </row>
    <row r="11483">
      <c r="A11483" s="4" t="s">
        <v>14438</v>
      </c>
      <c r="B11483" s="4" t="s">
        <v>14441</v>
      </c>
      <c r="C11483" s="5" t="str">
        <f>IFERROR(__xludf.DUMMYFUNCTION("GOOGLETRANSLATE(B11483,""en"",""it"")"),"Tagliare quindi i bordi e il nastro esterno dell'involucro in modo che si tratti.")</f>
        <v>Tagliare quindi i bordi e il nastro esterno dell'involucro in modo che si tratti.</v>
      </c>
    </row>
    <row r="11484">
      <c r="A11484" s="4" t="s">
        <v>14438</v>
      </c>
      <c r="B11484" s="6" t="s">
        <v>14442</v>
      </c>
      <c r="C11484" s="5" t="str">
        <f>IFERROR(__xludf.DUMMYFUNCTION("GOOGLETRANSLATE(B11484,""en"",""it"")"),"Infine, metti il ​​regalo all'interno della carta e pieghi bene la carta e la registrati e hai un regalo piuttosto avvolto.")</f>
        <v>Infine, metti il ​​regalo all'interno della carta e pieghi bene la carta e la registrati e hai un regalo piuttosto avvolto.</v>
      </c>
    </row>
    <row r="11485">
      <c r="A11485" s="4" t="s">
        <v>14443</v>
      </c>
      <c r="B11485" s="6" t="s">
        <v>14444</v>
      </c>
      <c r="C11485" s="5" t="str">
        <f>IFERROR(__xludf.DUMMYFUNCTION("GOOGLETRANSLATE(B11485,""en"",""it"")"),"Varie immagini di uomini sono mostrate all'inizio del video seguito da diverse righe di testo mostrate.")</f>
        <v>Varie immagini di uomini sono mostrate all'inizio del video seguito da diverse righe di testo mostrate.</v>
      </c>
    </row>
    <row r="11486">
      <c r="A11486" s="4" t="s">
        <v>14443</v>
      </c>
      <c r="B11486" s="4" t="s">
        <v>14445</v>
      </c>
      <c r="C11486" s="5" t="str">
        <f>IFERROR(__xludf.DUMMYFUNCTION("GOOGLETRANSLATE(B11486,""en"",""it"")"),"Gli uomini vengono quindi visti calciare i palloni da calcio in un goal mentre salvano un po 'e i blocchi da portiere.")</f>
        <v>Gli uomini vengono quindi visti calciare i palloni da calcio in un goal mentre salvano un po 'e i blocchi da portiere.</v>
      </c>
    </row>
    <row r="11487">
      <c r="A11487" s="4" t="s">
        <v>14446</v>
      </c>
      <c r="B11487" s="6" t="s">
        <v>14447</v>
      </c>
      <c r="C11487" s="5" t="str">
        <f>IFERROR(__xludf.DUMMYFUNCTION("GOOGLETRANSLATE(B11487,""en"",""it"")"),"Viene visto un uomo suonare un violino mentre la telecamera si muove intorno a lui muovendo le braccia su e giù.")</f>
        <v>Viene visto un uomo suonare un violino mentre la telecamera si muove intorno a lui muovendo le braccia su e giù.</v>
      </c>
    </row>
    <row r="11488">
      <c r="A11488" s="4" t="s">
        <v>14446</v>
      </c>
      <c r="B11488" s="6" t="s">
        <v>14448</v>
      </c>
      <c r="C11488" s="5" t="str">
        <f>IFERROR(__xludf.DUMMYFUNCTION("GOOGLETRANSLATE(B11488,""en"",""it"")"),"L'uomo continua a suonare mentre altri suonano dietro di lui e il violinista che suona e guarda il pubblico.")</f>
        <v>L'uomo continua a suonare mentre altri suonano dietro di lui e il violinista che suona e guarda il pubblico.</v>
      </c>
    </row>
    <row r="11489">
      <c r="A11489" s="4" t="s">
        <v>14449</v>
      </c>
      <c r="B11489" s="6" t="s">
        <v>14450</v>
      </c>
      <c r="C11489" s="5" t="str">
        <f>IFERROR(__xludf.DUMMYFUNCTION("GOOGLETRANSLATE(B11489,""en"",""it"")"),"Un gruppo di persone viene visto giocare una partita di calcio in un campo interno mentre un gruppo di persone guarda dai lati.")</f>
        <v>Un gruppo di persone viene visto giocare una partita di calcio in un campo interno mentre un gruppo di persone guarda dai lati.</v>
      </c>
    </row>
    <row r="11490">
      <c r="A11490" s="4" t="s">
        <v>14449</v>
      </c>
      <c r="B11490" s="6" t="s">
        <v>14451</v>
      </c>
      <c r="C11490" s="5" t="str">
        <f>IFERROR(__xludf.DUMMYFUNCTION("GOOGLETRANSLATE(B11490,""en"",""it"")"),"La gente mostrava combattere sugli spalti e i giocatori camminano guardando la lotta e i paramedici portano via un uomo.")</f>
        <v>La gente mostrava combattere sugli spalti e i giocatori camminano guardando la lotta e i paramedici portano via un uomo.</v>
      </c>
    </row>
    <row r="11491">
      <c r="A11491" s="4" t="s">
        <v>14452</v>
      </c>
      <c r="B11491" s="4" t="s">
        <v>14453</v>
      </c>
      <c r="C11491" s="5" t="str">
        <f>IFERROR(__xludf.DUMMYFUNCTION("GOOGLETRANSLATE(B11491,""en"",""it"")"),"Una schermata con testo fornisce i dettagli di un evento.")</f>
        <v>Una schermata con testo fornisce i dettagli di un evento.</v>
      </c>
    </row>
    <row r="11492">
      <c r="A11492" s="4" t="s">
        <v>14452</v>
      </c>
      <c r="B11492" s="4" t="s">
        <v>14454</v>
      </c>
      <c r="C11492" s="5" t="str">
        <f>IFERROR(__xludf.DUMMYFUNCTION("GOOGLETRANSLATE(B11492,""en"",""it"")"),"I volti dei ragazzi sono visti da vicino in un'intensa espressione facciale.")</f>
        <v>I volti dei ragazzi sono visti da vicino in un'intensa espressione facciale.</v>
      </c>
    </row>
    <row r="11493">
      <c r="A11493" s="4" t="s">
        <v>14452</v>
      </c>
      <c r="B11493" s="4" t="s">
        <v>14455</v>
      </c>
      <c r="C11493" s="5" t="str">
        <f>IFERROR(__xludf.DUMMYFUNCTION("GOOGLETRANSLATE(B11493,""en"",""it"")"),"Due ragazzi giocano un'intensa partita di calcio da tavolo.")</f>
        <v>Due ragazzi giocano un'intensa partita di calcio da tavolo.</v>
      </c>
    </row>
    <row r="11494">
      <c r="A11494" s="4" t="s">
        <v>14452</v>
      </c>
      <c r="B11494" s="4" t="s">
        <v>14456</v>
      </c>
      <c r="C11494" s="5" t="str">
        <f>IFERROR(__xludf.DUMMYFUNCTION("GOOGLETRANSLATE(B11494,""en"",""it"")"),"Il ragazzo vince il gioco e l'altro lo colpisce con una maniglia della partita di tennis da tavolo.")</f>
        <v>Il ragazzo vince il gioco e l'altro lo colpisce con una maniglia della partita di tennis da tavolo.</v>
      </c>
    </row>
    <row r="11495">
      <c r="A11495" s="4" t="s">
        <v>14457</v>
      </c>
      <c r="B11495" s="4" t="s">
        <v>14458</v>
      </c>
      <c r="C11495" s="5" t="str">
        <f>IFERROR(__xludf.DUMMYFUNCTION("GOOGLETRANSLATE(B11495,""en"",""it"")"),"Un uomo è nel suo cortile che va avanti e indietro falciando il prato.")</f>
        <v>Un uomo è nel suo cortile che va avanti e indietro falciando il prato.</v>
      </c>
    </row>
    <row r="11496">
      <c r="A11496" s="4" t="s">
        <v>14457</v>
      </c>
      <c r="B11496" s="4" t="s">
        <v>14459</v>
      </c>
      <c r="C11496" s="5" t="str">
        <f>IFERROR(__xludf.DUMMYFUNCTION("GOOGLETRANSLATE(B11496,""en"",""it"")"),"Il video quindi lo mostra falciare il prato in una posizione diversa rispetto alla prima posizione.")</f>
        <v>Il video quindi lo mostra falciare il prato in una posizione diversa rispetto alla prima posizione.</v>
      </c>
    </row>
    <row r="11497">
      <c r="A11497" s="4" t="s">
        <v>14460</v>
      </c>
      <c r="B11497" s="6" t="s">
        <v>14461</v>
      </c>
      <c r="C11497" s="5" t="str">
        <f>IFERROR(__xludf.DUMMYFUNCTION("GOOGLETRANSLATE(B11497,""en"",""it"")"),"Viene visto un uomo parlare alla telecamera mentre sta dietro una serie di pesi e indicando il suo corpo.")</f>
        <v>Viene visto un uomo parlare alla telecamera mentre sta dietro una serie di pesi e indicando il suo corpo.</v>
      </c>
    </row>
    <row r="11498">
      <c r="A11498" s="4" t="s">
        <v>14460</v>
      </c>
      <c r="B11498" s="4" t="s">
        <v>14462</v>
      </c>
      <c r="C11498" s="5" t="str">
        <f>IFERROR(__xludf.DUMMYFUNCTION("GOOGLETRANSLATE(B11498,""en"",""it"")"),"L'uomo quindi si piega e afferra la barra mentre parla ancora alla telecamera.")</f>
        <v>L'uomo quindi si piega e afferra la barra mentre parla ancora alla telecamera.</v>
      </c>
    </row>
    <row r="11499">
      <c r="A11499" s="4" t="s">
        <v>14460</v>
      </c>
      <c r="B11499" s="4" t="s">
        <v>14463</v>
      </c>
      <c r="C11499" s="5" t="str">
        <f>IFERROR(__xludf.DUMMYFUNCTION("GOOGLETRANSLATE(B11499,""en"",""it"")"),"L'uomo solleva la barra, poi di nuovo giù mentre parla ancora alla telecamera.")</f>
        <v>L'uomo solleva la barra, poi di nuovo giù mentre parla ancora alla telecamera.</v>
      </c>
    </row>
    <row r="11500">
      <c r="A11500" s="4" t="s">
        <v>14464</v>
      </c>
      <c r="B11500" s="4" t="s">
        <v>14465</v>
      </c>
      <c r="C11500" s="5" t="str">
        <f>IFERROR(__xludf.DUMMYFUNCTION("GOOGLETRANSLATE(B11500,""en"",""it"")"),"Un uomo in uno smoking bianco viene condotto a una pinata da una donna in abito da sposa.")</f>
        <v>Un uomo in uno smoking bianco viene condotto a una pinata da una donna in abito da sposa.</v>
      </c>
    </row>
    <row r="11501">
      <c r="A11501" s="4" t="s">
        <v>14464</v>
      </c>
      <c r="B11501" s="4" t="s">
        <v>14466</v>
      </c>
      <c r="C11501" s="5" t="str">
        <f>IFERROR(__xludf.DUMMYFUNCTION("GOOGLETRANSLATE(B11501,""en"",""it"")"),"Colpisce il Pinata che continua a muoversi su e giù.")</f>
        <v>Colpisce il Pinata che continua a muoversi su e giù.</v>
      </c>
    </row>
    <row r="11502">
      <c r="A11502" s="4" t="s">
        <v>14467</v>
      </c>
      <c r="B11502" s="4" t="s">
        <v>14468</v>
      </c>
      <c r="C11502" s="5" t="str">
        <f>IFERROR(__xludf.DUMMYFUNCTION("GOOGLETRANSLATE(B11502,""en"",""it"")"),"Un uomo sta lavorando all'interno di un negozio.")</f>
        <v>Un uomo sta lavorando all'interno di un negozio.</v>
      </c>
    </row>
    <row r="11503">
      <c r="A11503" s="4" t="s">
        <v>14467</v>
      </c>
      <c r="B11503" s="4" t="s">
        <v>14469</v>
      </c>
      <c r="C11503" s="5" t="str">
        <f>IFERROR(__xludf.DUMMYFUNCTION("GOOGLETRANSLATE(B11503,""en"",""it"")"),"Rotola uno pneumatico su un pezzo di equipaggiamento.")</f>
        <v>Rotola uno pneumatico su un pezzo di equipaggiamento.</v>
      </c>
    </row>
    <row r="11504">
      <c r="A11504" s="4" t="s">
        <v>14467</v>
      </c>
      <c r="B11504" s="4" t="s">
        <v>14470</v>
      </c>
      <c r="C11504" s="5" t="str">
        <f>IFERROR(__xludf.DUMMYFUNCTION("GOOGLETRANSLATE(B11504,""en"",""it"")"),"Mostra come montare il pneumatico sull'apparecchiatura.")</f>
        <v>Mostra come montare il pneumatico sull'apparecchiatura.</v>
      </c>
    </row>
    <row r="11505">
      <c r="A11505" s="4" t="s">
        <v>14471</v>
      </c>
      <c r="B11505" s="4" t="s">
        <v>14472</v>
      </c>
      <c r="C11505" s="5" t="str">
        <f>IFERROR(__xludf.DUMMYFUNCTION("GOOGLETRANSLATE(B11505,""en"",""it"")"),"Una donna sta parlando in un ufficio.")</f>
        <v>Una donna sta parlando in un ufficio.</v>
      </c>
    </row>
    <row r="11506">
      <c r="A11506" s="4" t="s">
        <v>14471</v>
      </c>
      <c r="B11506" s="4" t="s">
        <v>14473</v>
      </c>
      <c r="C11506" s="5" t="str">
        <f>IFERROR(__xludf.DUMMYFUNCTION("GOOGLETRANSLATE(B11506,""en"",""it"")"),"Lei viene mostrato un trattamento facciale a una donna anziana.")</f>
        <v>Lei viene mostrato un trattamento facciale a una donna anziana.</v>
      </c>
    </row>
    <row r="11507">
      <c r="A11507" s="4" t="s">
        <v>14471</v>
      </c>
      <c r="B11507" s="4" t="s">
        <v>14474</v>
      </c>
      <c r="C11507" s="5" t="str">
        <f>IFERROR(__xludf.DUMMYFUNCTION("GOOGLETRANSLATE(B11507,""en"",""it"")"),"Si asciuga a faccia con sostanze e lozioni.")</f>
        <v>Si asciuga a faccia con sostanze e lozioni.</v>
      </c>
    </row>
    <row r="11508">
      <c r="A11508" s="4" t="s">
        <v>14475</v>
      </c>
      <c r="B11508" s="4" t="s">
        <v>14476</v>
      </c>
      <c r="C11508" s="5" t="str">
        <f>IFERROR(__xludf.DUMMYFUNCTION("GOOGLETRANSLATE(B11508,""en"",""it"")"),"Una donna in un abito nero sta giocando a un tubo della borsa sul palco.")</f>
        <v>Una donna in un abito nero sta giocando a un tubo della borsa sul palco.</v>
      </c>
    </row>
    <row r="11509">
      <c r="A11509" s="4" t="s">
        <v>14475</v>
      </c>
      <c r="B11509" s="4" t="s">
        <v>14477</v>
      </c>
      <c r="C11509" s="5" t="str">
        <f>IFERROR(__xludf.DUMMYFUNCTION("GOOGLETRANSLATE(B11509,""en"",""it"")"),"La parola ""ilbo"" è in un carattere rosso e scorre verso il basso sul lato sinistro dello schermo.")</f>
        <v>La parola "ilbo" è in un carattere rosso e scorre verso il basso sul lato sinistro dello schermo.</v>
      </c>
    </row>
    <row r="11510">
      <c r="A11510" s="4" t="s">
        <v>14475</v>
      </c>
      <c r="B11510" s="4" t="s">
        <v>14478</v>
      </c>
      <c r="C11510" s="5" t="str">
        <f>IFERROR(__xludf.DUMMYFUNCTION("GOOGLETRANSLATE(B11510,""en"",""it"")"),"La fotocamera ingrandisce le dita della donna.")</f>
        <v>La fotocamera ingrandisce le dita della donna.</v>
      </c>
    </row>
    <row r="11511">
      <c r="A11511" s="4" t="s">
        <v>14475</v>
      </c>
      <c r="B11511" s="4" t="s">
        <v>14479</v>
      </c>
      <c r="C11511" s="5" t="str">
        <f>IFERROR(__xludf.DUMMYFUNCTION("GOOGLETRANSLATE(B11511,""en"",""it"")"),"La telecamera si sposta su qualcuno che suona un piano.")</f>
        <v>La telecamera si sposta su qualcuno che suona un piano.</v>
      </c>
    </row>
    <row r="11512">
      <c r="A11512" s="4" t="s">
        <v>14475</v>
      </c>
      <c r="B11512" s="4" t="s">
        <v>14480</v>
      </c>
      <c r="C11512" s="5" t="str">
        <f>IFERROR(__xludf.DUMMYFUNCTION("GOOGLETRANSLATE(B11512,""en"",""it"")"),"Una band suona anche strumenti musicali in sottofondo.")</f>
        <v>Una band suona anche strumenti musicali in sottofondo.</v>
      </c>
    </row>
    <row r="11513">
      <c r="A11513" s="4" t="s">
        <v>14475</v>
      </c>
      <c r="B11513" s="4" t="s">
        <v>14481</v>
      </c>
      <c r="C11513" s="5" t="str">
        <f>IFERROR(__xludf.DUMMYFUNCTION("GOOGLETRANSLATE(B11513,""en"",""it"")"),"La fotocamera ingrandisce la faccia della donna che gioca il tubo della borsa.")</f>
        <v>La fotocamera ingrandisce la faccia della donna che gioca il tubo della borsa.</v>
      </c>
    </row>
    <row r="11514">
      <c r="A11514" s="4" t="s">
        <v>14475</v>
      </c>
      <c r="B11514" s="4" t="s">
        <v>14482</v>
      </c>
      <c r="C11514" s="5" t="str">
        <f>IFERROR(__xludf.DUMMYFUNCTION("GOOGLETRANSLATE(B11514,""en"",""it"")"),"La donna finisce di suonare e l'applauso del pubblico.")</f>
        <v>La donna finisce di suonare e l'applauso del pubblico.</v>
      </c>
    </row>
    <row r="11515">
      <c r="A11515" s="4" t="s">
        <v>14483</v>
      </c>
      <c r="B11515" s="4" t="s">
        <v>14484</v>
      </c>
      <c r="C11515" s="5" t="str">
        <f>IFERROR(__xludf.DUMMYFUNCTION("GOOGLETRANSLATE(B11515,""en"",""it"")"),"Un ragazzo si siede nella sua stanza dietro un grande tamburo.")</f>
        <v>Un ragazzo si siede nella sua stanza dietro un grande tamburo.</v>
      </c>
    </row>
    <row r="11516">
      <c r="A11516" s="4" t="s">
        <v>14483</v>
      </c>
      <c r="B11516" s="4" t="s">
        <v>14485</v>
      </c>
      <c r="C11516" s="5" t="str">
        <f>IFERROR(__xludf.DUMMYFUNCTION("GOOGLETRANSLATE(B11516,""en"",""it"")"),"Suona delicatamente la batteria e i piatti.")</f>
        <v>Suona delicatamente la batteria e i piatti.</v>
      </c>
    </row>
    <row r="11517">
      <c r="A11517" s="4" t="s">
        <v>14483</v>
      </c>
      <c r="B11517" s="4" t="s">
        <v>14486</v>
      </c>
      <c r="C11517" s="5" t="str">
        <f>IFERROR(__xludf.DUMMYFUNCTION("GOOGLETRANSLATE(B11517,""en"",""it"")"),"Acceleva il tempo e la forza mentre costruisce fiducia.")</f>
        <v>Acceleva il tempo e la forza mentre costruisce fiducia.</v>
      </c>
    </row>
    <row r="11518">
      <c r="A11518" s="4" t="s">
        <v>14487</v>
      </c>
      <c r="B11518" s="4" t="s">
        <v>14488</v>
      </c>
      <c r="C11518" s="5" t="str">
        <f>IFERROR(__xludf.DUMMYFUNCTION("GOOGLETRANSLATE(B11518,""en"",""it"")"),"Un ragazzo è in piedi su una spiaggia che fa volare un aquilone.")</f>
        <v>Un ragazzo è in piedi su una spiaggia che fa volare un aquilone.</v>
      </c>
    </row>
    <row r="11519">
      <c r="A11519" s="4" t="s">
        <v>14487</v>
      </c>
      <c r="B11519" s="4" t="s">
        <v>14489</v>
      </c>
      <c r="C11519" s="5" t="str">
        <f>IFERROR(__xludf.DUMMYFUNCTION("GOOGLETRANSLATE(B11519,""en"",""it"")"),"Il ragazzo distoglie continuamente lo sguardo dalla posizione dell'aquilone.")</f>
        <v>Il ragazzo distoglie continuamente lo sguardo dalla posizione dell'aquilone.</v>
      </c>
    </row>
    <row r="11520">
      <c r="A11520" s="4" t="s">
        <v>14487</v>
      </c>
      <c r="B11520" s="4" t="s">
        <v>14490</v>
      </c>
      <c r="C11520" s="5" t="str">
        <f>IFERROR(__xludf.DUMMYFUNCTION("GOOGLETRANSLATE(B11520,""en"",""it"")"),"Un uomo si avvicina al ragazzo.")</f>
        <v>Un uomo si avvicina al ragazzo.</v>
      </c>
    </row>
    <row r="11521">
      <c r="A11521" s="4" t="s">
        <v>14491</v>
      </c>
      <c r="B11521" s="4" t="s">
        <v>14492</v>
      </c>
      <c r="C11521" s="5" t="str">
        <f>IFERROR(__xludf.DUMMYFUNCTION("GOOGLETRANSLATE(B11521,""en"",""it"")"),"Un uomo indossa attrezzatura protettiva.")</f>
        <v>Un uomo indossa attrezzatura protettiva.</v>
      </c>
    </row>
    <row r="11522">
      <c r="A11522" s="4" t="s">
        <v>14491</v>
      </c>
      <c r="B11522" s="4" t="s">
        <v>14493</v>
      </c>
      <c r="C11522" s="5" t="str">
        <f>IFERROR(__xludf.DUMMYFUNCTION("GOOGLETRANSLATE(B11522,""en"",""it"")"),"Sta usando un saldatore e crea una luce intensa mentre lavora su metallo.")</f>
        <v>Sta usando un saldatore e crea una luce intensa mentre lavora su metallo.</v>
      </c>
    </row>
    <row r="11523">
      <c r="A11523" s="4" t="s">
        <v>14491</v>
      </c>
      <c r="B11523" s="4" t="s">
        <v>14494</v>
      </c>
      <c r="C11523" s="5" t="str">
        <f>IFERROR(__xludf.DUMMYFUNCTION("GOOGLETRANSLATE(B11523,""en"",""it"")"),"Quando ha finito, si ferma e guarda la telecamera, mostrando la saldatura completa.")</f>
        <v>Quando ha finito, si ferma e guarda la telecamera, mostrando la saldatura completa.</v>
      </c>
    </row>
    <row r="11524">
      <c r="A11524" s="4" t="s">
        <v>14495</v>
      </c>
      <c r="B11524" s="4" t="s">
        <v>14496</v>
      </c>
      <c r="C11524" s="5" t="str">
        <f>IFERROR(__xludf.DUMMYFUNCTION("GOOGLETRANSLATE(B11524,""en"",""it"")"),"Viene mostrato un grande campo sportivo all'aperto.")</f>
        <v>Viene mostrato un grande campo sportivo all'aperto.</v>
      </c>
    </row>
    <row r="11525">
      <c r="A11525" s="4" t="s">
        <v>14495</v>
      </c>
      <c r="B11525" s="4" t="s">
        <v>14497</v>
      </c>
      <c r="C11525" s="5" t="str">
        <f>IFERROR(__xludf.DUMMYFUNCTION("GOOGLETRANSLATE(B11525,""en"",""it"")"),"Un uomo corre e fa un salto con pole di successo.")</f>
        <v>Un uomo corre e fa un salto con pole di successo.</v>
      </c>
    </row>
    <row r="11526">
      <c r="A11526" s="4" t="s">
        <v>14495</v>
      </c>
      <c r="B11526" s="4" t="s">
        <v>14498</v>
      </c>
      <c r="C11526" s="5" t="str">
        <f>IFERROR(__xludf.DUMMYFUNCTION("GOOGLETRANSLATE(B11526,""en"",""it"")"),"Si alza dal pad e raccoglie il palo.")</f>
        <v>Si alza dal pad e raccoglie il palo.</v>
      </c>
    </row>
    <row r="11527">
      <c r="A11527" s="4" t="s">
        <v>14499</v>
      </c>
      <c r="B11527" s="4" t="s">
        <v>14500</v>
      </c>
      <c r="C11527" s="5" t="str">
        <f>IFERROR(__xludf.DUMMYFUNCTION("GOOGLETRANSLATE(B11527,""en"",""it"")"),"Una telecamera si panoramica intorno a un parco e un lago e un uomo che parla alla telecamera.")</f>
        <v>Una telecamera si panoramica intorno a un parco e un lago e un uomo che parla alla telecamera.</v>
      </c>
    </row>
    <row r="11528">
      <c r="A11528" s="4" t="s">
        <v>14499</v>
      </c>
      <c r="B11528" s="6" t="s">
        <v>14501</v>
      </c>
      <c r="C11528" s="5" t="str">
        <f>IFERROR(__xludf.DUMMYFUNCTION("GOOGLETRANSLATE(B11528,""en"",""it"")"),"La fotocamera si muove attorno a una canoa piena di oggetti e conduce nell'uomo che si imbottiva e parla alla fotocamera.")</f>
        <v>La fotocamera si muove attorno a una canoa piena di oggetti e conduce nell'uomo che si imbottiva e parla alla fotocamera.</v>
      </c>
    </row>
    <row r="11529">
      <c r="A11529" s="4" t="s">
        <v>14499</v>
      </c>
      <c r="B11529" s="4" t="s">
        <v>14502</v>
      </c>
      <c r="C11529" s="5" t="str">
        <f>IFERROR(__xludf.DUMMYFUNCTION("GOOGLETRANSLATE(B11529,""en"",""it"")"),"Vengono mostrati altri colpi di animali nelle vicinanze e di un uomo e una donna che parlano alla telecamera.")</f>
        <v>Vengono mostrati altri colpi di animali nelle vicinanze e di un uomo e una donna che parlano alla telecamera.</v>
      </c>
    </row>
    <row r="11530">
      <c r="A11530" s="4" t="s">
        <v>14503</v>
      </c>
      <c r="B11530" s="4" t="s">
        <v>14504</v>
      </c>
      <c r="C11530" s="5" t="str">
        <f>IFERROR(__xludf.DUMMYFUNCTION("GOOGLETRANSLATE(B11530,""en"",""it"")"),"Le persone giocano a pallavolo su una spiaggia.")</f>
        <v>Le persone giocano a pallavolo su una spiaggia.</v>
      </c>
    </row>
    <row r="11531">
      <c r="A11531" s="4" t="s">
        <v>14503</v>
      </c>
      <c r="B11531" s="4" t="s">
        <v>14505</v>
      </c>
      <c r="C11531" s="5" t="str">
        <f>IFERROR(__xludf.DUMMYFUNCTION("GOOGLETRANSLATE(B11531,""en"",""it"")"),"Una ragazza cade sulla sabbia.")</f>
        <v>Una ragazza cade sulla sabbia.</v>
      </c>
    </row>
    <row r="11532">
      <c r="A11532" s="4" t="s">
        <v>14503</v>
      </c>
      <c r="B11532" s="4" t="s">
        <v>14506</v>
      </c>
      <c r="C11532" s="5" t="str">
        <f>IFERROR(__xludf.DUMMYFUNCTION("GOOGLETRANSLATE(B11532,""en"",""it"")"),"Una ragazza alza le mani in aria.")</f>
        <v>Una ragazza alza le mani in aria.</v>
      </c>
    </row>
    <row r="11533">
      <c r="A11533" s="4" t="s">
        <v>14507</v>
      </c>
      <c r="B11533" s="6" t="s">
        <v>14508</v>
      </c>
      <c r="C11533" s="5" t="str">
        <f>IFERROR(__xludf.DUMMYFUNCTION("GOOGLETRANSLATE(B11533,""en"",""it"")"),"Viene visualizzato uno schermo bianco con il testo nero che arriva due volte sullo schermo e quindi scorre lo schermo mentre si sbiadisce.")</f>
        <v>Viene visualizzato uno schermo bianco con il testo nero che arriva due volte sullo schermo e quindi scorre lo schermo mentre si sbiadisce.</v>
      </c>
    </row>
    <row r="11534">
      <c r="A11534" s="4" t="s">
        <v>14507</v>
      </c>
      <c r="B11534" s="4" t="s">
        <v>14509</v>
      </c>
      <c r="C11534" s="5" t="str">
        <f>IFERROR(__xludf.DUMMYFUNCTION("GOOGLETRANSLATE(B11534,""en"",""it"")"),"Tre bambini in giubbotti di salvataggio e due adulti supervisori sono in una zattera in attesa di andare a rafting.")</f>
        <v>Tre bambini in giubbotti di salvataggio e due adulti supervisori sono in una zattera in attesa di andare a rafting.</v>
      </c>
    </row>
    <row r="11535">
      <c r="A11535" s="4" t="s">
        <v>14507</v>
      </c>
      <c r="B11535" s="4" t="s">
        <v>14510</v>
      </c>
      <c r="C11535" s="5" t="str">
        <f>IFERROR(__xludf.DUMMYFUNCTION("GOOGLETRANSLATE(B11535,""en"",""it"")"),"Il gruppo rafting lungo un fiume con tutti i suoi dossi e schizzi d'acqua.")</f>
        <v>Il gruppo rafting lungo un fiume con tutti i suoi dossi e schizzi d'acqua.</v>
      </c>
    </row>
    <row r="11536">
      <c r="A11536" s="4" t="s">
        <v>14507</v>
      </c>
      <c r="B11536" s="4" t="s">
        <v>14511</v>
      </c>
      <c r="C11536" s="5" t="str">
        <f>IFERROR(__xludf.DUMMYFUNCTION("GOOGLETRANSLATE(B11536,""en"",""it"")"),"C'è un testo giallo che arriva sullo schermo che mostra le posizioni in cui si trovano.")</f>
        <v>C'è un testo giallo che arriva sullo schermo che mostra le posizioni in cui si trovano.</v>
      </c>
    </row>
    <row r="11537">
      <c r="A11537" s="4" t="s">
        <v>14507</v>
      </c>
      <c r="B11537" s="4" t="s">
        <v>14512</v>
      </c>
      <c r="C11537" s="5" t="str">
        <f>IFERROR(__xludf.DUMMYFUNCTION("GOOGLETRANSLATE(B11537,""en"",""it"")"),"I bambini sono a destinazione mentre una ragazza si avvicina alla cam e onde.")</f>
        <v>I bambini sono a destinazione mentre una ragazza si avvicina alla cam e onde.</v>
      </c>
    </row>
    <row r="11538">
      <c r="A11538" s="4" t="s">
        <v>14507</v>
      </c>
      <c r="B11538" s="6" t="s">
        <v>14513</v>
      </c>
      <c r="C11538" s="5" t="str">
        <f>IFERROR(__xludf.DUMMYFUNCTION("GOOGLETRANSLATE(B11538,""en"",""it"")"),"Appare uno schermo bianco e due parole appaiono una in giallo nella parte superiore dello Sceeen e una in blu nella parte inferiore sullo schermo ed entrambe, quindi spostano lo schermo.")</f>
        <v>Appare uno schermo bianco e due parole appaiono una in giallo nella parte superiore dello Sceeen e una in blu nella parte inferiore sullo schermo ed entrambe, quindi spostano lo schermo.</v>
      </c>
    </row>
    <row r="11539">
      <c r="A11539" s="4" t="s">
        <v>14514</v>
      </c>
      <c r="B11539" s="4" t="s">
        <v>14515</v>
      </c>
      <c r="C11539" s="5" t="str">
        <f>IFERROR(__xludf.DUMMYFUNCTION("GOOGLETRANSLATE(B11539,""en"",""it"")"),"Una donna è sul palco parlando con una bambina mentre tiene in mano un microfono.")</f>
        <v>Una donna è sul palco parlando con una bambina mentre tiene in mano un microfono.</v>
      </c>
    </row>
    <row r="11540">
      <c r="A11540" s="4" t="s">
        <v>14514</v>
      </c>
      <c r="B11540" s="4" t="s">
        <v>14516</v>
      </c>
      <c r="C11540" s="5" t="str">
        <f>IFERROR(__xludf.DUMMYFUNCTION("GOOGLETRANSLATE(B11540,""en"",""it"")"),"La ragazza parla nel microfono, quindi esegue un pezzo di balletto.")</f>
        <v>La ragazza parla nel microfono, quindi esegue un pezzo di balletto.</v>
      </c>
    </row>
    <row r="11541">
      <c r="A11541" s="4" t="s">
        <v>14514</v>
      </c>
      <c r="B11541" s="4" t="s">
        <v>14517</v>
      </c>
      <c r="C11541" s="5" t="str">
        <f>IFERROR(__xludf.DUMMYFUNCTION("GOOGLETRANSLATE(B11541,""en"",""it"")"),"Balla sul palco per il pubblico.")</f>
        <v>Balla sul palco per il pubblico.</v>
      </c>
    </row>
    <row r="11542">
      <c r="A11542" s="4" t="s">
        <v>14514</v>
      </c>
      <c r="B11542" s="4" t="s">
        <v>14518</v>
      </c>
      <c r="C11542" s="5" t="str">
        <f>IFERROR(__xludf.DUMMYFUNCTION("GOOGLETRANSLATE(B11542,""en"",""it"")"),"Cade su un ginocchio mentre completa la sua esibizione.")</f>
        <v>Cade su un ginocchio mentre completa la sua esibizione.</v>
      </c>
    </row>
    <row r="11543">
      <c r="A11543" s="4" t="s">
        <v>14519</v>
      </c>
      <c r="B11543" s="4" t="s">
        <v>14520</v>
      </c>
      <c r="C11543" s="5" t="str">
        <f>IFERROR(__xludf.DUMMYFUNCTION("GOOGLETRANSLATE(B11543,""en"",""it"")"),"Una persona mescola una grande ciotola di limonata.")</f>
        <v>Una persona mescola una grande ciotola di limonata.</v>
      </c>
    </row>
    <row r="11544">
      <c r="A11544" s="4" t="s">
        <v>14519</v>
      </c>
      <c r="B11544" s="4" t="s">
        <v>14521</v>
      </c>
      <c r="C11544" s="5" t="str">
        <f>IFERROR(__xludf.DUMMYFUNCTION("GOOGLETRANSLATE(B11544,""en"",""it"")"),"Una donna sta tagliando una patata.")</f>
        <v>Una donna sta tagliando una patata.</v>
      </c>
    </row>
    <row r="11545">
      <c r="A11545" s="4" t="s">
        <v>14519</v>
      </c>
      <c r="B11545" s="4" t="s">
        <v>14522</v>
      </c>
      <c r="C11545" s="5" t="str">
        <f>IFERROR(__xludf.DUMMYFUNCTION("GOOGLETRANSLATE(B11545,""en"",""it"")"),"Aggiunge la patata a una grande pentola d'acqua.")</f>
        <v>Aggiunge la patata a una grande pentola d'acqua.</v>
      </c>
    </row>
    <row r="11546">
      <c r="A11546" s="4" t="s">
        <v>14519</v>
      </c>
      <c r="B11546" s="4" t="s">
        <v>14523</v>
      </c>
      <c r="C11546" s="5" t="str">
        <f>IFERROR(__xludf.DUMMYFUNCTION("GOOGLETRANSLATE(B11546,""en"",""it"")"),"Aggiunge limoni e lattuga e cetrioli alla ciotola.")</f>
        <v>Aggiunge limoni e lattuga e cetrioli alla ciotola.</v>
      </c>
    </row>
    <row r="11547">
      <c r="A11547" s="4" t="s">
        <v>14519</v>
      </c>
      <c r="B11547" s="4" t="s">
        <v>14524</v>
      </c>
      <c r="C11547" s="5" t="str">
        <f>IFERROR(__xludf.DUMMYFUNCTION("GOOGLETRANSLATE(B11547,""en"",""it"")"),"Mescola tutto insieme in una ciotola.")</f>
        <v>Mescola tutto insieme in una ciotola.</v>
      </c>
    </row>
    <row r="11548">
      <c r="A11548" s="4" t="s">
        <v>14525</v>
      </c>
      <c r="B11548" s="4" t="s">
        <v>14526</v>
      </c>
      <c r="C11548" s="5" t="str">
        <f>IFERROR(__xludf.DUMMYFUNCTION("GOOGLETRANSLATE(B11548,""en"",""it"")"),"Vediamo un uomo che istruisce un altro uomo a sparare a freccia.")</f>
        <v>Vediamo un uomo che istruisce un altro uomo a sparare a freccia.</v>
      </c>
    </row>
    <row r="11549">
      <c r="A11549" s="4" t="s">
        <v>14525</v>
      </c>
      <c r="B11549" s="4" t="s">
        <v>14527</v>
      </c>
      <c r="C11549" s="5" t="str">
        <f>IFERROR(__xludf.DUMMYFUNCTION("GOOGLETRANSLATE(B11549,""en"",""it"")"),"La prima freccia di The Mans manca.")</f>
        <v>La prima freccia di The Mans manca.</v>
      </c>
    </row>
    <row r="11550">
      <c r="A11550" s="4" t="s">
        <v>14525</v>
      </c>
      <c r="B11550" s="4" t="s">
        <v>14528</v>
      </c>
      <c r="C11550" s="5" t="str">
        <f>IFERROR(__xludf.DUMMYFUNCTION("GOOGLETRANSLATE(B11550,""en"",""it"")"),"L'uomo carica un'altra freccia.")</f>
        <v>L'uomo carica un'altra freccia.</v>
      </c>
    </row>
    <row r="11551">
      <c r="A11551" s="4" t="s">
        <v>14525</v>
      </c>
      <c r="B11551" s="4" t="s">
        <v>14529</v>
      </c>
      <c r="C11551" s="5" t="str">
        <f>IFERROR(__xludf.DUMMYFUNCTION("GOOGLETRANSLATE(B11551,""en"",""it"")"),"Vediamo gli obiettivi di fronte a uno sfondo.")</f>
        <v>Vediamo gli obiettivi di fronte a uno sfondo.</v>
      </c>
    </row>
    <row r="11552">
      <c r="A11552" s="4" t="s">
        <v>14525</v>
      </c>
      <c r="B11552" s="4" t="s">
        <v>14530</v>
      </c>
      <c r="C11552" s="5" t="str">
        <f>IFERROR(__xludf.DUMMYFUNCTION("GOOGLETRANSLATE(B11552,""en"",""it"")"),"L'uomo colpisce lo sfondo e crolla.")</f>
        <v>L'uomo colpisce lo sfondo e crolla.</v>
      </c>
    </row>
    <row r="11553">
      <c r="A11553" s="4" t="s">
        <v>14525</v>
      </c>
      <c r="B11553" s="4" t="s">
        <v>14531</v>
      </c>
      <c r="C11553" s="5" t="str">
        <f>IFERROR(__xludf.DUMMYFUNCTION("GOOGLETRANSLATE(B11553,""en"",""it"")"),"Le persone stanno tutti ridendo.")</f>
        <v>Le persone stanno tutti ridendo.</v>
      </c>
    </row>
    <row r="11554">
      <c r="A11554" s="4" t="s">
        <v>14525</v>
      </c>
      <c r="B11554" s="4" t="s">
        <v>14532</v>
      </c>
      <c r="C11554" s="5" t="str">
        <f>IFERROR(__xludf.DUMMYFUNCTION("GOOGLETRANSLATE(B11554,""en"",""it"")"),"L'istruttore si avvicina agli obiettivi.")</f>
        <v>L'istruttore si avvicina agli obiettivi.</v>
      </c>
    </row>
    <row r="11555">
      <c r="A11555" s="4" t="s">
        <v>14533</v>
      </c>
      <c r="B11555" s="4" t="s">
        <v>14534</v>
      </c>
      <c r="C11555" s="5" t="str">
        <f>IFERROR(__xludf.DUMMYFUNCTION("GOOGLETRANSLATE(B11555,""en"",""it"")"),"Viene mostrato un pennacchio di fumo che attraversa un paio di sci.")</f>
        <v>Viene mostrato un pennacchio di fumo che attraversa un paio di sci.</v>
      </c>
    </row>
    <row r="11556">
      <c r="A11556" s="4" t="s">
        <v>14533</v>
      </c>
      <c r="B11556" s="4" t="s">
        <v>14535</v>
      </c>
      <c r="C11556" s="5" t="str">
        <f>IFERROR(__xludf.DUMMYFUNCTION("GOOGLETRANSLATE(B11556,""en"",""it"")"),"Un uomo sta scolpendo disegni, bruciandoli nel legno.")</f>
        <v>Un uomo sta scolpendo disegni, bruciandoli nel legno.</v>
      </c>
    </row>
    <row r="11557">
      <c r="A11557" s="4" t="s">
        <v>14533</v>
      </c>
      <c r="B11557" s="4" t="s">
        <v>14536</v>
      </c>
      <c r="C11557" s="5" t="str">
        <f>IFERROR(__xludf.DUMMYFUNCTION("GOOGLETRANSLATE(B11557,""en"",""it"")"),"Quindi rastrella un ferro tra le tavole, impostando l'immagine.")</f>
        <v>Quindi rastrella un ferro tra le tavole, impostando l'immagine.</v>
      </c>
    </row>
    <row r="11558">
      <c r="A11558" s="4" t="s">
        <v>14537</v>
      </c>
      <c r="B11558" s="6" t="s">
        <v>14538</v>
      </c>
      <c r="C11558" s="5" t="str">
        <f>IFERROR(__xludf.DUMMYFUNCTION("GOOGLETRANSLATE(B11558,""en"",""it"")"),"Un uomo viene visto parlare in un mike che passa in un primo piano di un tavolo da birra e persone che giocano.")</f>
        <v>Un uomo viene visto parlare in un mike che passa in un primo piano di un tavolo da birra e persone che giocano.</v>
      </c>
    </row>
    <row r="11559">
      <c r="A11559" s="4" t="s">
        <v>14537</v>
      </c>
      <c r="B11559" s="6" t="s">
        <v>14539</v>
      </c>
      <c r="C11559" s="5" t="str">
        <f>IFERROR(__xludf.DUMMYFUNCTION("GOOGLETRANSLATE(B11559,""en"",""it"")"),"Vengono versati colpi di birra, persone che suonano rock, carta, forbici, spacciate e schermi di computer per la musica.")</f>
        <v>Vengono versati colpi di birra, persone che suonano rock, carta, forbici, spacciate e schermi di computer per la musica.</v>
      </c>
    </row>
    <row r="11560">
      <c r="A11560" s="4" t="s">
        <v>14537</v>
      </c>
      <c r="B11560" s="6" t="s">
        <v>14540</v>
      </c>
      <c r="C11560" s="5" t="str">
        <f>IFERROR(__xludf.DUMMYFUNCTION("GOOGLETRANSLATE(B11560,""en"",""it"")"),"Altre persone vengono mostrate giocando a Beer Pong mentre vengono intervistate sulla telecamera e camminare per una stanza.")</f>
        <v>Altre persone vengono mostrate giocando a Beer Pong mentre vengono intervistate sulla telecamera e camminare per una stanza.</v>
      </c>
    </row>
    <row r="11561">
      <c r="A11561" s="4" t="s">
        <v>14537</v>
      </c>
      <c r="B11561" s="6" t="s">
        <v>14541</v>
      </c>
      <c r="C11561" s="5" t="str">
        <f>IFERROR(__xludf.DUMMYFUNCTION("GOOGLETRANSLATE(B11561,""en"",""it"")"),"Vengono mostrati diversi altri colpi di persone che ballano, giocano a pong, combattono e parlano tra loro.")</f>
        <v>Vengono mostrati diversi altri colpi di persone che ballano, giocano a pong, combattono e parlano tra loro.</v>
      </c>
    </row>
    <row r="11562">
      <c r="A11562" s="4" t="s">
        <v>14542</v>
      </c>
      <c r="B11562" s="6" t="s">
        <v>14543</v>
      </c>
      <c r="C11562" s="5" t="str">
        <f>IFERROR(__xludf.DUMMYFUNCTION("GOOGLETRANSLATE(B11562,""en"",""it"")"),"Due persone si vedono parlare con la telecamera e conducono in diverse clip di persone che giocano a pallavolo tra loro.")</f>
        <v>Due persone si vedono parlare con la telecamera e conducono in diverse clip di persone che giocano a pallavolo tra loro.</v>
      </c>
    </row>
    <row r="11563">
      <c r="A11563" s="4" t="s">
        <v>14542</v>
      </c>
      <c r="B11563" s="6" t="s">
        <v>14544</v>
      </c>
      <c r="C11563" s="5" t="str">
        <f>IFERROR(__xludf.DUMMYFUNCTION("GOOGLETRANSLATE(B11563,""en"",""it"")"),"Le persone continuano a praticare lo sport mentre altri parlano con la telecamera e guardano sui lati e si alzano.")</f>
        <v>Le persone continuano a praticare lo sport mentre altri parlano con la telecamera e guardano sui lati e si alzano.</v>
      </c>
    </row>
    <row r="11564">
      <c r="A11564" s="4" t="s">
        <v>14545</v>
      </c>
      <c r="B11564" s="4" t="s">
        <v>14546</v>
      </c>
      <c r="C11564" s="5" t="str">
        <f>IFERROR(__xludf.DUMMYFUNCTION("GOOGLETRANSLATE(B11564,""en"",""it"")"),"Un uomo cammina lungo un campo nudo mentre una donna cammina accanto a lui.")</f>
        <v>Un uomo cammina lungo un campo nudo mentre una donna cammina accanto a lui.</v>
      </c>
    </row>
    <row r="11565">
      <c r="A11565" s="4" t="s">
        <v>14545</v>
      </c>
      <c r="B11565" s="4" t="s">
        <v>14547</v>
      </c>
      <c r="C11565" s="5" t="str">
        <f>IFERROR(__xludf.DUMMYFUNCTION("GOOGLETRANSLATE(B11565,""en"",""it"")"),"Torna indietro e il quarto preparandosi a saltare e alla fine salta su un palo.")</f>
        <v>Torna indietro e il quarto preparandosi a saltare e alla fine salta su un palo.</v>
      </c>
    </row>
    <row r="11566">
      <c r="A11566" s="4" t="s">
        <v>14545</v>
      </c>
      <c r="B11566" s="4" t="s">
        <v>14548</v>
      </c>
      <c r="C11566" s="5" t="str">
        <f>IFERROR(__xludf.DUMMYFUNCTION("GOOGLETRANSLATE(B11566,""en"",""it"")"),"Una ragazza applaude per lui e la stessa mossa viene nuovamente mostrata al rallentatore.")</f>
        <v>Una ragazza applaude per lui e la stessa mossa viene nuovamente mostrata al rallentatore.</v>
      </c>
    </row>
    <row r="11567">
      <c r="A11567" s="4" t="s">
        <v>14549</v>
      </c>
      <c r="B11567" s="4" t="s">
        <v>14550</v>
      </c>
      <c r="C11567" s="5" t="str">
        <f>IFERROR(__xludf.DUMMYFUNCTION("GOOGLETRANSLATE(B11567,""en"",""it"")"),"Un video mostra come pulire la neve da un'auto.")</f>
        <v>Un video mostra come pulire la neve da un'auto.</v>
      </c>
    </row>
    <row r="11568">
      <c r="A11568" s="4" t="s">
        <v>14549</v>
      </c>
      <c r="B11568" s="4" t="s">
        <v>14551</v>
      </c>
      <c r="C11568" s="5" t="str">
        <f>IFERROR(__xludf.DUMMYFUNCTION("GOOGLETRANSLATE(B11568,""en"",""it"")"),"Una persona piega un panno blu, avvolgendolo in modo ordinato una spazzola da neve.")</f>
        <v>Una persona piega un panno blu, avvolgendolo in modo ordinato una spazzola da neve.</v>
      </c>
    </row>
    <row r="11569">
      <c r="A11569" s="4" t="s">
        <v>14549</v>
      </c>
      <c r="B11569" s="4" t="s">
        <v>14552</v>
      </c>
      <c r="C11569" s="5" t="str">
        <f>IFERROR(__xludf.DUMMYFUNCTION("GOOGLETRANSLATE(B11569,""en"",""it"")"),"Quindi usa il pennello per pulire delicatamente la neve da un veicolo.")</f>
        <v>Quindi usa il pennello per pulire delicatamente la neve da un veicolo.</v>
      </c>
    </row>
    <row r="11570">
      <c r="A11570" s="4" t="s">
        <v>14549</v>
      </c>
      <c r="B11570" s="4" t="s">
        <v>14553</v>
      </c>
      <c r="C11570" s="5" t="str">
        <f>IFERROR(__xludf.DUMMYFUNCTION("GOOGLETRANSLATE(B11570,""en"",""it"")"),"Il video termina con una pubblicità per un negozio di auto.")</f>
        <v>Il video termina con una pubblicità per un negozio di auto.</v>
      </c>
    </row>
    <row r="11571">
      <c r="A11571" s="4" t="s">
        <v>14554</v>
      </c>
      <c r="B11571" s="4" t="s">
        <v>14555</v>
      </c>
      <c r="C11571" s="5" t="str">
        <f>IFERROR(__xludf.DUMMYFUNCTION("GOOGLETRANSLATE(B11571,""en"",""it"")"),"Una signora incinta prepara una zucca per la decorazione e la scultura.")</f>
        <v>Una signora incinta prepara una zucca per la decorazione e la scultura.</v>
      </c>
    </row>
    <row r="11572">
      <c r="A11572" s="4" t="s">
        <v>14554</v>
      </c>
      <c r="B11572" s="4" t="s">
        <v>14556</v>
      </c>
      <c r="C11572" s="5" t="str">
        <f>IFERROR(__xludf.DUMMYFUNCTION("GOOGLETRANSLATE(B11572,""en"",""it"")"),"La signora pone la carta cerata sopra la zucca e colpisce i buchi sul disegno della carta oleata.")</f>
        <v>La signora pone la carta cerata sopra la zucca e colpisce i buchi sul disegno della carta oleata.</v>
      </c>
    </row>
    <row r="11573">
      <c r="A11573" s="4" t="s">
        <v>14554</v>
      </c>
      <c r="B11573" s="6" t="s">
        <v>14557</v>
      </c>
      <c r="C11573" s="5" t="str">
        <f>IFERROR(__xludf.DUMMYFUNCTION("GOOGLETRANSLATE(B11573,""en"",""it"")"),"La signora rimuove la carta cerata e procede a tagliare i tracce del foro della bocca e degli occhi che sono stati rintracciati con i fori punzonati dalla carta cerata.")</f>
        <v>La signora rimuove la carta cerata e procede a tagliare i tracce del foro della bocca e degli occhi che sono stati rintracciati con i fori punzonati dalla carta cerata.</v>
      </c>
    </row>
    <row r="11574">
      <c r="A11574" s="4" t="s">
        <v>14554</v>
      </c>
      <c r="B11574" s="4" t="s">
        <v>14558</v>
      </c>
      <c r="C11574" s="5" t="str">
        <f>IFERROR(__xludf.DUMMYFUNCTION("GOOGLETRANSLATE(B11574,""en"",""it"")"),"Vengono visualizzate le zucche intagliate completate.")</f>
        <v>Vengono visualizzate le zucche intagliate completate.</v>
      </c>
    </row>
    <row r="11575">
      <c r="A11575" s="4" t="s">
        <v>14559</v>
      </c>
      <c r="B11575" s="6" t="s">
        <v>14560</v>
      </c>
      <c r="C11575" s="5" t="str">
        <f>IFERROR(__xludf.DUMMYFUNCTION("GOOGLETRANSLATE(B11575,""en"",""it"")"),"Diversi subacquei si vedono nuotare intorno all'oceano mentre gli squali si muovono attorno a loro sotto.")</f>
        <v>Diversi subacquei si vedono nuotare intorno all'oceano mentre gli squali si muovono attorno a loro sotto.</v>
      </c>
    </row>
    <row r="11576">
      <c r="A11576" s="4" t="s">
        <v>14559</v>
      </c>
      <c r="B11576" s="6" t="s">
        <v>14561</v>
      </c>
      <c r="C11576" s="5" t="str">
        <f>IFERROR(__xludf.DUMMYFUNCTION("GOOGLETRANSLATE(B11576,""en"",""it"")"),"La fotocamera segue continuamente gli squali intorno all'acqua e i subacquei interagiscono tra loro mentre si muovono.")</f>
        <v>La fotocamera segue continuamente gli squali intorno all'acqua e i subacquei interagiscono tra loro mentre si muovono.</v>
      </c>
    </row>
    <row r="11577">
      <c r="A11577" s="4" t="s">
        <v>14562</v>
      </c>
      <c r="B11577" s="6" t="s">
        <v>14563</v>
      </c>
      <c r="C11577" s="5" t="str">
        <f>IFERROR(__xludf.DUMMYFUNCTION("GOOGLETRANSLATE(B11577,""en"",""it"")"),"Viene visualizzato uno schermo blu e sul lato sinistro una bottiglia trasparente sta versando liquido in un vetro martini chiaro e le parole bianche appaiono sul lato sinistro dello schermo che dicono ""ragazze che mescolano bevande dot com notre dame pic"&amp;"k-me-up con stacey"".")</f>
        <v>Viene visualizzato uno schermo blu e sul lato sinistro una bottiglia trasparente sta versando liquido in un vetro martini chiaro e le parole bianche appaiono sul lato sinistro dello schermo che dicono "ragazze che mescolano bevande dot com notre dame pick-me-up con stacey".</v>
      </c>
    </row>
    <row r="11578">
      <c r="A11578" s="4" t="s">
        <v>14562</v>
      </c>
      <c r="B11578" s="6" t="s">
        <v>14564</v>
      </c>
      <c r="C11578" s="5" t="str">
        <f>IFERROR(__xludf.DUMMYFUNCTION("GOOGLETRANSLATE(B11578,""en"",""it"")"),"Una donna bruna che indossa tutto il nero è in piedi in un bar a parlare, raccoglie un bicchiere chiaro, ci mette il ghiaccio e tocca tutti gli ingredienti che userà mentre ne parla.")</f>
        <v>Una donna bruna che indossa tutto il nero è in piedi in un bar a parlare, raccoglie un bicchiere chiaro, ci mette il ghiaccio e tocca tutti gli ingredienti che userà mentre ne parla.</v>
      </c>
    </row>
    <row r="11579">
      <c r="A11579" s="4" t="s">
        <v>14562</v>
      </c>
      <c r="B11579" s="6" t="s">
        <v>14565</v>
      </c>
      <c r="C11579" s="5" t="str">
        <f>IFERROR(__xludf.DUMMYFUNCTION("GOOGLETRANSLATE(B11579,""en"",""it"")"),"La donna quindi inizia a misurare ogni alcool in un bicchiere, li versa nella tazza, schizza il liquido da una bottiglia limpida nella tazza, versa un po 'di soda da una lattina nella tazza, versa il succo da una scatola nella tazza, quindi Aggiunge una c"&amp;"annuccia alla tazza e spinge la tazza alla parte anteriore del bancone.")</f>
        <v>La donna quindi inizia a misurare ogni alcool in un bicchiere, li versa nella tazza, schizza il liquido da una bottiglia limpida nella tazza, versa un po 'di soda da una lattina nella tazza, versa il succo da una scatola nella tazza, quindi Aggiunge una cannuccia alla tazza e spinge la tazza alla parte anteriore del bancone.</v>
      </c>
    </row>
    <row r="11580">
      <c r="A11580" s="4" t="s">
        <v>14562</v>
      </c>
      <c r="B11580" s="6" t="s">
        <v>14566</v>
      </c>
      <c r="C11580" s="5" t="str">
        <f>IFERROR(__xludf.DUMMYFUNCTION("GOOGLETRANSLATE(B11580,""en"",""it"")"),"Per tutto il tempo sta preparando la bevanda, il sito Web si apre di tanto in tanto nella parte inferiore dello schermo, quindi lo schermo overlo appare con uno sfondo diagonale rosso a due toni di strisce spesse e il sito Web nel mezzo recita Www Dot Gir"&amp;"ls Dreads Dot Com DOT COM Com. .")</f>
        <v>Per tutto il tempo sta preparando la bevanda, il sito Web si apre di tanto in tanto nella parte inferiore dello schermo, quindi lo schermo overlo appare con uno sfondo diagonale rosso a due toni di strisce spesse e il sito Web nel mezzo recita Www Dot Girls Dreads Dot Com DOT COM Com. .</v>
      </c>
    </row>
    <row r="11581">
      <c r="A11581" s="4" t="s">
        <v>14567</v>
      </c>
      <c r="B11581" s="4" t="s">
        <v>14568</v>
      </c>
      <c r="C11581" s="5" t="str">
        <f>IFERROR(__xludf.DUMMYFUNCTION("GOOGLETRANSLATE(B11581,""en"",""it"")"),"Una donna è in piedi dietro un bancone che affila un coltello.")</f>
        <v>Una donna è in piedi dietro un bancone che affila un coltello.</v>
      </c>
    </row>
    <row r="11582">
      <c r="A11582" s="4" t="s">
        <v>14567</v>
      </c>
      <c r="B11582" s="4" t="s">
        <v>14569</v>
      </c>
      <c r="C11582" s="5" t="str">
        <f>IFERROR(__xludf.DUMMYFUNCTION("GOOGLETRANSLATE(B11582,""en"",""it"")"),"Versa l'acqua sulla temperama del coltello e continua a affilare il coltello.")</f>
        <v>Versa l'acqua sulla temperama del coltello e continua a affilare il coltello.</v>
      </c>
    </row>
    <row r="11583">
      <c r="A11583" s="4" t="s">
        <v>14567</v>
      </c>
      <c r="B11583" s="4" t="s">
        <v>14570</v>
      </c>
      <c r="C11583" s="5" t="str">
        <f>IFERROR(__xludf.DUMMYFUNCTION("GOOGLETRANSLATE(B11583,""en"",""it"")"),"Raccoglie un temperamatite e affitta il coltello.")</f>
        <v>Raccoglie un temperamatite e affitta il coltello.</v>
      </c>
    </row>
    <row r="11584">
      <c r="A11584" s="4" t="s">
        <v>14571</v>
      </c>
      <c r="B11584" s="4" t="s">
        <v>14572</v>
      </c>
      <c r="C11584" s="5" t="str">
        <f>IFERROR(__xludf.DUMMYFUNCTION("GOOGLETRANSLATE(B11584,""en"",""it"")"),"Gli uomini appaiono in un campo con tori e le parole ""Bullfight Laos"" appaiono sullo schermo.")</f>
        <v>Gli uomini appaiono in un campo con tori e le parole "Bullfight Laos" appaiono sullo schermo.</v>
      </c>
    </row>
    <row r="11585">
      <c r="A11585" s="4" t="s">
        <v>14571</v>
      </c>
      <c r="B11585" s="4" t="s">
        <v>14573</v>
      </c>
      <c r="C11585" s="5" t="str">
        <f>IFERROR(__xludf.DUMMYFUNCTION("GOOGLETRANSLATE(B11585,""en"",""it"")"),"Gli uomini si radunano intorno al campo dove si trovano due tori.")</f>
        <v>Gli uomini si radunano intorno al campo dove si trovano due tori.</v>
      </c>
    </row>
    <row r="11586">
      <c r="A11586" s="4" t="s">
        <v>14571</v>
      </c>
      <c r="B11586" s="4" t="s">
        <v>14574</v>
      </c>
      <c r="C11586" s="5" t="str">
        <f>IFERROR(__xludf.DUMMYFUNCTION("GOOGLETRANSLATE(B11586,""en"",""it"")"),"I tori sono incoraggiati a combattere con le loro corna mentre le persone guardano.")</f>
        <v>I tori sono incoraggiati a combattere con le loro corna mentre le persone guardano.</v>
      </c>
    </row>
    <row r="11587">
      <c r="A11587" s="4" t="s">
        <v>14575</v>
      </c>
      <c r="B11587" s="4" t="s">
        <v>14576</v>
      </c>
      <c r="C11587" s="5" t="str">
        <f>IFERROR(__xludf.DUMMYFUNCTION("GOOGLETRANSLATE(B11587,""en"",""it"")"),"Un bambino piccolo colpisce un bongo in una stanza.")</f>
        <v>Un bambino piccolo colpisce un bongo in una stanza.</v>
      </c>
    </row>
    <row r="11588">
      <c r="A11588" s="4" t="s">
        <v>14575</v>
      </c>
      <c r="B11588" s="4" t="s">
        <v>14577</v>
      </c>
      <c r="C11588" s="5" t="str">
        <f>IFERROR(__xludf.DUMMYFUNCTION("GOOGLETRANSLATE(B11588,""en"",""it"")"),"Il bambino si ferma e si toglie qualcosa dalla mano.")</f>
        <v>Il bambino si ferma e si toglie qualcosa dalla mano.</v>
      </c>
    </row>
    <row r="11589">
      <c r="A11589" s="4" t="s">
        <v>14575</v>
      </c>
      <c r="B11589" s="4" t="s">
        <v>14578</v>
      </c>
      <c r="C11589" s="5" t="str">
        <f>IFERROR(__xludf.DUMMYFUNCTION("GOOGLETRANSLATE(B11589,""en"",""it"")"),"Il bambino torna a suonare il tamburo.")</f>
        <v>Il bambino torna a suonare il tamburo.</v>
      </c>
    </row>
    <row r="11590">
      <c r="A11590" s="4" t="s">
        <v>14579</v>
      </c>
      <c r="B11590" s="4" t="s">
        <v>14580</v>
      </c>
      <c r="C11590" s="5" t="str">
        <f>IFERROR(__xludf.DUMMYFUNCTION("GOOGLETRANSLATE(B11590,""en"",""it"")"),"Vediamo l'esterno di un ristorante con una neve come grafica sul fondo.")</f>
        <v>Vediamo l'esterno di un ristorante con una neve come grafica sul fondo.</v>
      </c>
    </row>
    <row r="11591">
      <c r="A11591" s="4" t="s">
        <v>14579</v>
      </c>
      <c r="B11591" s="4" t="s">
        <v>14581</v>
      </c>
      <c r="C11591" s="5" t="str">
        <f>IFERROR(__xludf.DUMMYFUNCTION("GOOGLETRANSLATE(B11591,""en"",""it"")"),"Vediamo uomini all'interno del bar e un uomo che parla in un microfono.")</f>
        <v>Vediamo uomini all'interno del bar e un uomo che parla in un microfono.</v>
      </c>
    </row>
    <row r="11592">
      <c r="A11592" s="4" t="s">
        <v>14579</v>
      </c>
      <c r="B11592" s="4" t="s">
        <v>14582</v>
      </c>
      <c r="C11592" s="5" t="str">
        <f>IFERROR(__xludf.DUMMYFUNCTION("GOOGLETRANSLATE(B11592,""en"",""it"")"),"Vediamo quindi signore che giocano a Beer Pong contro una squadra di uomini.")</f>
        <v>Vediamo quindi signore che giocano a Beer Pong contro una squadra di uomini.</v>
      </c>
    </row>
    <row r="11593">
      <c r="A11593" s="4" t="s">
        <v>14579</v>
      </c>
      <c r="B11593" s="6" t="s">
        <v>14583</v>
      </c>
      <c r="C11593" s="5" t="str">
        <f>IFERROR(__xludf.DUMMYFUNCTION("GOOGLETRANSLATE(B11593,""en"",""it"")"),"Due squadre di uomini giocano a Beer Pong insieme mentre un uomo si trova dietro di loro in aria con una macchina fotografica.")</f>
        <v>Due squadre di uomini giocano a Beer Pong insieme mentre un uomo si trova dietro di loro in aria con una macchina fotografica.</v>
      </c>
    </row>
    <row r="11594">
      <c r="A11594" s="4" t="s">
        <v>14579</v>
      </c>
      <c r="B11594" s="4" t="s">
        <v>14584</v>
      </c>
      <c r="C11594" s="5" t="str">
        <f>IFERROR(__xludf.DUMMYFUNCTION("GOOGLETRANSLATE(B11594,""en"",""it"")"),"Cambiamo e vediamo altre squadre nella stanza giocare e vediamo due donne parlare.")</f>
        <v>Cambiamo e vediamo altre squadre nella stanza giocare e vediamo due donne parlare.</v>
      </c>
    </row>
    <row r="11595">
      <c r="A11595" s="4" t="s">
        <v>14579</v>
      </c>
      <c r="B11595" s="4" t="s">
        <v>14585</v>
      </c>
      <c r="C11595" s="5" t="str">
        <f>IFERROR(__xludf.DUMMYFUNCTION("GOOGLETRANSLATE(B11595,""en"",""it"")"),"Quindi vediamo una signora lanciare una palla attraverso un tavolo.")</f>
        <v>Quindi vediamo una signora lanciare una palla attraverso un tavolo.</v>
      </c>
    </row>
    <row r="11596">
      <c r="A11596" s="4" t="s">
        <v>14579</v>
      </c>
      <c r="B11596" s="4" t="s">
        <v>3608</v>
      </c>
      <c r="C11596" s="5" t="str">
        <f>IFERROR(__xludf.DUMMYFUNCTION("GOOGLETRANSLATE(B11596,""en"",""it"")"),"Vediamo lo schermo finale.")</f>
        <v>Vediamo lo schermo finale.</v>
      </c>
    </row>
    <row r="11597">
      <c r="A11597" s="4" t="s">
        <v>14586</v>
      </c>
      <c r="B11597" s="4" t="s">
        <v>14587</v>
      </c>
      <c r="C11597" s="5" t="str">
        <f>IFERROR(__xludf.DUMMYFUNCTION("GOOGLETRANSLATE(B11597,""en"",""it"")"),"Un disegno di un tribunale è mostrato sullo schermo.")</f>
        <v>Un disegno di un tribunale è mostrato sullo schermo.</v>
      </c>
    </row>
    <row r="11598">
      <c r="A11598" s="4" t="s">
        <v>14586</v>
      </c>
      <c r="B11598" s="4" t="s">
        <v>14588</v>
      </c>
      <c r="C11598" s="5" t="str">
        <f>IFERROR(__xludf.DUMMYFUNCTION("GOOGLETRANSLATE(B11598,""en"",""it"")"),"Vediamo una partita di calcio in corso su un campo all'aperto.")</f>
        <v>Vediamo una partita di calcio in corso su un campo all'aperto.</v>
      </c>
    </row>
    <row r="11599">
      <c r="A11599" s="4" t="s">
        <v>14586</v>
      </c>
      <c r="B11599" s="4" t="s">
        <v>14589</v>
      </c>
      <c r="C11599" s="5" t="str">
        <f>IFERROR(__xludf.DUMMYFUNCTION("GOOGLETRANSLATE(B11599,""en"",""it"")"),"Gli uomini stanno calciando la palla l'uno dall'altro.")</f>
        <v>Gli uomini stanno calciando la palla l'uno dall'altro.</v>
      </c>
    </row>
    <row r="11600">
      <c r="A11600" s="4" t="s">
        <v>14586</v>
      </c>
      <c r="B11600" s="4" t="s">
        <v>14590</v>
      </c>
      <c r="C11600" s="5" t="str">
        <f>IFERROR(__xludf.DUMMYFUNCTION("GOOGLETRANSLATE(B11600,""en"",""it"")"),"Cercano di portare la palla negli obiettivi avversari.")</f>
        <v>Cercano di portare la palla negli obiettivi avversari.</v>
      </c>
    </row>
    <row r="11601">
      <c r="A11601" s="4" t="s">
        <v>14591</v>
      </c>
      <c r="B11601" s="4" t="s">
        <v>14592</v>
      </c>
      <c r="C11601" s="5" t="str">
        <f>IFERROR(__xludf.DUMMYFUNCTION("GOOGLETRANSLATE(B11601,""en"",""it"")"),"Due lottatori si incontrano a un tavolo all'interno di un anello di wrestling.")</f>
        <v>Due lottatori si incontrano a un tavolo all'interno di un anello di wrestling.</v>
      </c>
    </row>
    <row r="11602">
      <c r="A11602" s="4" t="s">
        <v>14591</v>
      </c>
      <c r="B11602" s="4" t="s">
        <v>14593</v>
      </c>
      <c r="C11602" s="5" t="str">
        <f>IFERROR(__xludf.DUMMYFUNCTION("GOOGLETRANSLATE(B11602,""en"",""it"")"),"Si siedono al tavolo e si tengono le mani reciproche, preparate a bramare il lotta.")</f>
        <v>Si siedono al tavolo e si tengono le mani reciproche, preparate a bramare il lotta.</v>
      </c>
    </row>
    <row r="11603">
      <c r="A11603" s="4" t="s">
        <v>14591</v>
      </c>
      <c r="B11603" s="4" t="s">
        <v>14594</v>
      </c>
      <c r="C11603" s="5" t="str">
        <f>IFERROR(__xludf.DUMMYFUNCTION("GOOGLETRANSLATE(B11603,""en"",""it"")"),"Gli uomini si sforzano di picchiarsi a vicenda, spingendo forte su ogni lato.")</f>
        <v>Gli uomini si sforzano di picchiarsi a vicenda, spingendo forte su ogni lato.</v>
      </c>
    </row>
    <row r="11604">
      <c r="A11604" s="4" t="s">
        <v>14591</v>
      </c>
      <c r="B11604" s="4" t="s">
        <v>14595</v>
      </c>
      <c r="C11604" s="5" t="str">
        <f>IFERROR(__xludf.DUMMYFUNCTION("GOOGLETRANSLATE(B11604,""en"",""it"")"),"Uno vince, poi si alzano e iniziano a combattere nel ring.")</f>
        <v>Uno vince, poi si alzano e iniziano a combattere nel ring.</v>
      </c>
    </row>
    <row r="11605">
      <c r="A11605" s="4" t="s">
        <v>14591</v>
      </c>
      <c r="B11605" s="4" t="s">
        <v>14596</v>
      </c>
      <c r="C11605" s="5" t="str">
        <f>IFERROR(__xludf.DUMMYFUNCTION("GOOGLETRANSLATE(B11605,""en"",""it"")"),"Uno viene cacciato dal ring, lasciando il gigante come il vincitore.")</f>
        <v>Uno viene cacciato dal ring, lasciando il gigante come il vincitore.</v>
      </c>
    </row>
    <row r="11606">
      <c r="A11606" s="4" t="s">
        <v>14597</v>
      </c>
      <c r="B11606" s="4" t="s">
        <v>14598</v>
      </c>
      <c r="C11606" s="5" t="str">
        <f>IFERROR(__xludf.DUMMYFUNCTION("GOOGLETRANSLATE(B11606,""en"",""it"")"),"Un cane corre accanto a un lago.")</f>
        <v>Un cane corre accanto a un lago.</v>
      </c>
    </row>
    <row r="11607">
      <c r="A11607" s="4" t="s">
        <v>14597</v>
      </c>
      <c r="B11607" s="4" t="s">
        <v>14599</v>
      </c>
      <c r="C11607" s="5" t="str">
        <f>IFERROR(__xludf.DUMMYFUNCTION("GOOGLETRANSLATE(B11607,""en"",""it"")"),"Un uomo è una scia dietro una barca.")</f>
        <v>Un uomo è una scia dietro una barca.</v>
      </c>
    </row>
    <row r="11608">
      <c r="A11608" s="4" t="s">
        <v>14597</v>
      </c>
      <c r="B11608" s="4" t="s">
        <v>14600</v>
      </c>
      <c r="C11608" s="5" t="str">
        <f>IFERROR(__xludf.DUMMYFUNCTION("GOOGLETRANSLATE(B11608,""en"",""it"")"),"Una persona è seduta in acqua.")</f>
        <v>Una persona è seduta in acqua.</v>
      </c>
    </row>
    <row r="11609">
      <c r="A11609" s="4" t="s">
        <v>14601</v>
      </c>
      <c r="B11609" s="4" t="s">
        <v>14602</v>
      </c>
      <c r="C11609" s="5" t="str">
        <f>IFERROR(__xludf.DUMMYFUNCTION("GOOGLETRANSLATE(B11609,""en"",""it"")"),"Un uomo sta cavalcando una barca d'acqua nell'oceano.")</f>
        <v>Un uomo sta cavalcando una barca d'acqua nell'oceano.</v>
      </c>
    </row>
    <row r="11610">
      <c r="A11610" s="4" t="s">
        <v>14601</v>
      </c>
      <c r="B11610" s="4" t="s">
        <v>14603</v>
      </c>
      <c r="C11610" s="5" t="str">
        <f>IFERROR(__xludf.DUMMYFUNCTION("GOOGLETRANSLATE(B11610,""en"",""it"")"),"Accanto a lui appare un uomo su una tavola da surf.")</f>
        <v>Accanto a lui appare un uomo su una tavola da surf.</v>
      </c>
    </row>
    <row r="11611">
      <c r="A11611" s="4" t="s">
        <v>14601</v>
      </c>
      <c r="B11611" s="4" t="s">
        <v>14604</v>
      </c>
      <c r="C11611" s="5" t="str">
        <f>IFERROR(__xludf.DUMMYFUNCTION("GOOGLETRANSLATE(B11611,""en"",""it"")"),"L'uomo sulla tavola da surf si accelera, lasciandolo sulla sua scia.")</f>
        <v>L'uomo sulla tavola da surf si accelera, lasciandolo sulla sua scia.</v>
      </c>
    </row>
    <row r="11612">
      <c r="A11612" s="4" t="s">
        <v>14605</v>
      </c>
      <c r="B11612" s="4" t="s">
        <v>14606</v>
      </c>
      <c r="C11612" s="5" t="str">
        <f>IFERROR(__xludf.DUMMYFUNCTION("GOOGLETRANSLATE(B11612,""en"",""it"")"),"Un piccolo gruppo di persone viene visto giocare tra loro in una grande palestra.")</f>
        <v>Un piccolo gruppo di persone viene visto giocare tra loro in una grande palestra.</v>
      </c>
    </row>
    <row r="11613">
      <c r="A11613" s="4" t="s">
        <v>14605</v>
      </c>
      <c r="B11613" s="6" t="s">
        <v>14607</v>
      </c>
      <c r="C11613" s="5" t="str">
        <f>IFERROR(__xludf.DUMMYFUNCTION("GOOGLETRANSLATE(B11613,""en"",""it"")"),"Molte persone guardano a bordo campo e le persone passano un cattivo mitte e quarto l'uno all'altro.")</f>
        <v>Molte persone guardano a bordo campo e le persone passano un cattivo mitte e quarto l'uno all'altro.</v>
      </c>
    </row>
    <row r="11614">
      <c r="A11614" s="4" t="s">
        <v>14608</v>
      </c>
      <c r="B11614" s="4" t="s">
        <v>14609</v>
      </c>
      <c r="C11614" s="5" t="str">
        <f>IFERROR(__xludf.DUMMYFUNCTION("GOOGLETRANSLATE(B11614,""en"",""it"")"),"Un uomo in un speedo nero è in piedi su una tavola da immersione con la mano sui lati.")</f>
        <v>Un uomo in un speedo nero è in piedi su una tavola da immersione con la mano sui lati.</v>
      </c>
    </row>
    <row r="11615">
      <c r="A11615" s="4" t="s">
        <v>14608</v>
      </c>
      <c r="B11615" s="4" t="s">
        <v>14610</v>
      </c>
      <c r="C11615" s="5" t="str">
        <f>IFERROR(__xludf.DUMMYFUNCTION("GOOGLETRANSLATE(B11615,""en"",""it"")"),"Quindi inizia a correre e fa due luppoli per arrivare alla fine del tabellone.")</f>
        <v>Quindi inizia a correre e fa due luppoli per arrivare alla fine del tabellone.</v>
      </c>
    </row>
    <row r="11616">
      <c r="A11616" s="4" t="s">
        <v>14608</v>
      </c>
      <c r="B11616" s="6" t="s">
        <v>14611</v>
      </c>
      <c r="C11616" s="5" t="str">
        <f>IFERROR(__xludf.DUMMYFUNCTION("GOOGLETRANSLATE(B11616,""en"",""it"")"),"Infine, è alla fine del tabellone e fa un capovolgimento in acqua mentre la folla sul lato orologio.")</f>
        <v>Infine, è alla fine del tabellone e fa un capovolgimento in acqua mentre la folla sul lato orologio.</v>
      </c>
    </row>
    <row r="11617">
      <c r="A11617" s="4" t="s">
        <v>14612</v>
      </c>
      <c r="B11617" s="4" t="s">
        <v>14613</v>
      </c>
      <c r="C11617" s="5" t="str">
        <f>IFERROR(__xludf.DUMMYFUNCTION("GOOGLETRANSLATE(B11617,""en"",""it"")"),"Un folto gruppo di persone viene visto correre lungo un campo giocando una partita di lacrosse.")</f>
        <v>Un folto gruppo di persone viene visto correre lungo un campo giocando una partita di lacrosse.</v>
      </c>
    </row>
    <row r="11618">
      <c r="A11618" s="4" t="s">
        <v>14612</v>
      </c>
      <c r="B11618" s="4" t="s">
        <v>14614</v>
      </c>
      <c r="C11618" s="5" t="str">
        <f>IFERROR(__xludf.DUMMYFUNCTION("GOOGLETRANSLATE(B11618,""en"",""it"")"),"La gente colpisce la palla lungo tutto il campo mentre un arbitro li osserva sul lato.")</f>
        <v>La gente colpisce la palla lungo tutto il campo mentre un arbitro li osserva sul lato.</v>
      </c>
    </row>
    <row r="11619">
      <c r="A11619" s="4" t="s">
        <v>14612</v>
      </c>
      <c r="B11619" s="4" t="s">
        <v>14615</v>
      </c>
      <c r="C11619" s="5" t="str">
        <f>IFERROR(__xludf.DUMMYFUNCTION("GOOGLETRANSLATE(B11619,""en"",""it"")"),"Il gruppo continua a giocare insieme mentre la fotocamera si sposta indietro e quarto.")</f>
        <v>Il gruppo continua a giocare insieme mentre la fotocamera si sposta indietro e quarto.</v>
      </c>
    </row>
    <row r="11620">
      <c r="A11620" s="4" t="s">
        <v>14616</v>
      </c>
      <c r="B11620" s="4" t="s">
        <v>14617</v>
      </c>
      <c r="C11620" s="5" t="str">
        <f>IFERROR(__xludf.DUMMYFUNCTION("GOOGLETRANSLATE(B11620,""en"",""it"")"),"Un grande aquilone viene visto volare su una spiaggia con persone che vagano ai lati.")</f>
        <v>Un grande aquilone viene visto volare su una spiaggia con persone che vagano ai lati.</v>
      </c>
    </row>
    <row r="11621">
      <c r="A11621" s="4" t="s">
        <v>14616</v>
      </c>
      <c r="B11621" s="4" t="s">
        <v>14618</v>
      </c>
      <c r="C11621" s="5" t="str">
        <f>IFERROR(__xludf.DUMMYFUNCTION("GOOGLETRANSLATE(B11621,""en"",""it"")"),"Un uomo viene visto volare sul grande aquilone mentre altri lo guardano sul lato.")</f>
        <v>Un uomo viene visto volare sul grande aquilone mentre altri lo guardano sul lato.</v>
      </c>
    </row>
    <row r="11622">
      <c r="A11622" s="4" t="s">
        <v>14616</v>
      </c>
      <c r="B11622" s="4" t="s">
        <v>14619</v>
      </c>
      <c r="C11622" s="5" t="str">
        <f>IFERROR(__xludf.DUMMYFUNCTION("GOOGLETRANSLATE(B11622,""en"",""it"")"),"Un altro aquilone viene mostrato volare accanto al suo e conduce in uno spettacolo dell'oceano.")</f>
        <v>Un altro aquilone viene mostrato volare accanto al suo e conduce in uno spettacolo dell'oceano.</v>
      </c>
    </row>
    <row r="11623">
      <c r="A11623" s="4" t="s">
        <v>14620</v>
      </c>
      <c r="B11623" s="6" t="s">
        <v>14621</v>
      </c>
      <c r="C11623" s="5" t="str">
        <f>IFERROR(__xludf.DUMMYFUNCTION("GOOGLETRANSLATE(B11623,""en"",""it"")"),"Un ragazzo viene visto allungarsi in un cerchio mentre si toglieva la camicia e si guarda in lontananza.")</f>
        <v>Un ragazzo viene visto allungarsi in un cerchio mentre si toglieva la camicia e si guarda in lontananza.</v>
      </c>
    </row>
    <row r="11624">
      <c r="A11624" s="4" t="s">
        <v>14620</v>
      </c>
      <c r="B11624" s="4" t="s">
        <v>14622</v>
      </c>
      <c r="C11624" s="5" t="str">
        <f>IFERROR(__xludf.DUMMYFUNCTION("GOOGLETRANSLATE(B11624,""en"",""it"")"),"Il ragazzo inizia quindi a eseguire varie arti marziali di fronte a una grande folla.")</f>
        <v>Il ragazzo inizia quindi a eseguire varie arti marziali di fronte a una grande folla.</v>
      </c>
    </row>
    <row r="11625">
      <c r="A11625" s="4" t="s">
        <v>14620</v>
      </c>
      <c r="B11625" s="4" t="s">
        <v>14623</v>
      </c>
      <c r="C11625" s="5" t="str">
        <f>IFERROR(__xludf.DUMMYFUNCTION("GOOGLETRANSLATE(B11625,""en"",""it"")"),"Il ragazzo continua a calciare e girare in giro mentre finisce per inchinarsi alla telecamera.")</f>
        <v>Il ragazzo continua a calciare e girare in giro mentre finisce per inchinarsi alla telecamera.</v>
      </c>
    </row>
    <row r="11626">
      <c r="A11626" s="4" t="s">
        <v>14624</v>
      </c>
      <c r="B11626" s="6" t="s">
        <v>14625</v>
      </c>
      <c r="C11626" s="5" t="str">
        <f>IFERROR(__xludf.DUMMYFUNCTION("GOOGLETRANSLATE(B11626,""en"",""it"")"),"Una pubblicità auto inizia con numerose persone che lavano un veicolo mentre attraversa un autolavaggio professionale.")</f>
        <v>Una pubblicità auto inizia con numerose persone che lavano un veicolo mentre attraversa un autolavaggio professionale.</v>
      </c>
    </row>
    <row r="11627">
      <c r="A11627" s="4" t="s">
        <v>14624</v>
      </c>
      <c r="B11627" s="4" t="s">
        <v>14626</v>
      </c>
      <c r="C11627" s="5" t="str">
        <f>IFERROR(__xludf.DUMMYFUNCTION("GOOGLETRANSLATE(B11627,""en"",""it"")"),"La gente sta in un gruppo, agitando gli stracci in aria alla telecamera, come per dire addio.")</f>
        <v>La gente sta in un gruppo, agitando gli stracci in aria alla telecamera, come per dire addio.</v>
      </c>
    </row>
    <row r="11628">
      <c r="A11628" s="4" t="s">
        <v>14624</v>
      </c>
      <c r="B11628" s="4" t="s">
        <v>14627</v>
      </c>
      <c r="C11628" s="5" t="str">
        <f>IFERROR(__xludf.DUMMYFUNCTION("GOOGLETRANSLATE(B11628,""en"",""it"")"),"Quindi taglia a una schermata finale che pubblicizza il nome del servizio.")</f>
        <v>Quindi taglia a una schermata finale che pubblicizza il nome del servizio.</v>
      </c>
    </row>
    <row r="11629">
      <c r="A11629" s="4" t="s">
        <v>14628</v>
      </c>
      <c r="B11629" s="4" t="s">
        <v>14629</v>
      </c>
      <c r="C11629" s="5" t="str">
        <f>IFERROR(__xludf.DUMMYFUNCTION("GOOGLETRANSLATE(B11629,""en"",""it"")"),"Un agente di polizia sta cavalcando un cavallo lungo la strada molto lentamente.")</f>
        <v>Un agente di polizia sta cavalcando un cavallo lungo la strada molto lentamente.</v>
      </c>
    </row>
    <row r="11630">
      <c r="A11630" s="4" t="s">
        <v>14628</v>
      </c>
      <c r="B11630" s="4" t="s">
        <v>14630</v>
      </c>
      <c r="C11630" s="5" t="str">
        <f>IFERROR(__xludf.DUMMYFUNCTION("GOOGLETRANSLATE(B11630,""en"",""it"")"),"Molti astanti stanno camminando, le auto passano e si muovono casualmente.")</f>
        <v>Molti astanti stanno camminando, le auto passano e si muovono casualmente.</v>
      </c>
    </row>
    <row r="11631">
      <c r="A11631" s="4" t="s">
        <v>14628</v>
      </c>
      <c r="B11631" s="6" t="s">
        <v>14631</v>
      </c>
      <c r="C11631" s="5" t="str">
        <f>IFERROR(__xludf.DUMMYFUNCTION("GOOGLETRANSLATE(B11631,""en"",""it"")"),"È solo un giorno normale che cavalca per la strada a protezione, assicurandoti che non vengano commessi crimini.")</f>
        <v>È solo un giorno normale che cavalca per la strada a protezione, assicurandoti che non vengano commessi crimini.</v>
      </c>
    </row>
    <row r="11632">
      <c r="A11632" s="4" t="s">
        <v>14628</v>
      </c>
      <c r="B11632" s="4" t="s">
        <v>14632</v>
      </c>
      <c r="C11632" s="5" t="str">
        <f>IFERROR(__xludf.DUMMYFUNCTION("GOOGLETRANSLATE(B11632,""en"",""it"")"),"Guida con una delle mani sulla sua pistola e l'altra che guida il cavallo.")</f>
        <v>Guida con una delle mani sulla sua pistola e l'altra che guida il cavallo.</v>
      </c>
    </row>
    <row r="11633">
      <c r="A11633" s="4" t="s">
        <v>14633</v>
      </c>
      <c r="B11633" s="4" t="s">
        <v>14634</v>
      </c>
      <c r="C11633" s="5" t="str">
        <f>IFERROR(__xludf.DUMMYFUNCTION("GOOGLETRANSLATE(B11633,""en"",""it"")"),"Vediamo uno schermo di apertura verde.")</f>
        <v>Vediamo uno schermo di apertura verde.</v>
      </c>
    </row>
    <row r="11634">
      <c r="A11634" s="4" t="s">
        <v>14633</v>
      </c>
      <c r="B11634" s="4" t="s">
        <v>14635</v>
      </c>
      <c r="C11634" s="5" t="str">
        <f>IFERROR(__xludf.DUMMYFUNCTION("GOOGLETRANSLATE(B11634,""en"",""it"")"),"Vediamo i capelli da donna in primo piano.")</f>
        <v>Vediamo i capelli da donna in primo piano.</v>
      </c>
    </row>
    <row r="11635">
      <c r="A11635" s="4" t="s">
        <v>14633</v>
      </c>
      <c r="B11635" s="4" t="s">
        <v>14636</v>
      </c>
      <c r="C11635" s="5" t="str">
        <f>IFERROR(__xludf.DUMMYFUNCTION("GOOGLETRANSLATE(B11635,""en"",""it"")"),"Una signora parla mentre si è seduta su un divano.")</f>
        <v>Una signora parla mentre si è seduta su un divano.</v>
      </c>
    </row>
    <row r="11636">
      <c r="A11636" s="4" t="s">
        <v>14633</v>
      </c>
      <c r="B11636" s="4" t="s">
        <v>14637</v>
      </c>
      <c r="C11636" s="5" t="str">
        <f>IFERROR(__xludf.DUMMYFUNCTION("GOOGLETRANSLATE(B11636,""en"",""it"")"),"Vediamo una signora che gli mette un rullo tra i capelli.")</f>
        <v>Vediamo una signora che gli mette un rullo tra i capelli.</v>
      </c>
    </row>
    <row r="11637">
      <c r="A11637" s="4" t="s">
        <v>14633</v>
      </c>
      <c r="B11637" s="4" t="s">
        <v>14638</v>
      </c>
      <c r="C11637" s="5" t="str">
        <f>IFERROR(__xludf.DUMMYFUNCTION("GOOGLETRANSLATE(B11637,""en"",""it"")"),"Vediamo quindi il prodotto finito.")</f>
        <v>Vediamo quindi il prodotto finito.</v>
      </c>
    </row>
    <row r="11638">
      <c r="A11638" s="4" t="s">
        <v>14639</v>
      </c>
      <c r="B11638" s="4" t="s">
        <v>14640</v>
      </c>
      <c r="C11638" s="5" t="str">
        <f>IFERROR(__xludf.DUMMYFUNCTION("GOOGLETRANSLATE(B11638,""en"",""it"")"),"Un uomo accende una macchina fotografica.")</f>
        <v>Un uomo accende una macchina fotografica.</v>
      </c>
    </row>
    <row r="11639">
      <c r="A11639" s="4" t="s">
        <v>14639</v>
      </c>
      <c r="B11639" s="4" t="s">
        <v>14641</v>
      </c>
      <c r="C11639" s="5" t="str">
        <f>IFERROR(__xludf.DUMMYFUNCTION("GOOGLETRANSLATE(B11639,""en"",""it"")"),"Un uomo con una camicia nera si accovaccia su un divano e un narghilè fumo.")</f>
        <v>Un uomo con una camicia nera si accovaccia su un divano e un narghilè fumo.</v>
      </c>
    </row>
    <row r="11640">
      <c r="A11640" s="4" t="s">
        <v>14639</v>
      </c>
      <c r="B11640" s="4" t="s">
        <v>14642</v>
      </c>
      <c r="C11640" s="5" t="str">
        <f>IFERROR(__xludf.DUMMYFUNCTION("GOOGLETRANSLATE(B11640,""en"",""it"")"),"L'uomo tenta di soffiare anelli di fumo.")</f>
        <v>L'uomo tenta di soffiare anelli di fumo.</v>
      </c>
    </row>
    <row r="11641">
      <c r="A11641" s="4" t="s">
        <v>14639</v>
      </c>
      <c r="B11641" s="4" t="s">
        <v>14643</v>
      </c>
      <c r="C11641" s="5" t="str">
        <f>IFERROR(__xludf.DUMMYFUNCTION("GOOGLETRANSLATE(B11641,""en"",""it"")"),"L'uomo soffia fuma direttamente alla fotocamera.")</f>
        <v>L'uomo soffia fuma direttamente alla fotocamera.</v>
      </c>
    </row>
    <row r="11642">
      <c r="A11642" s="4" t="s">
        <v>14639</v>
      </c>
      <c r="B11642" s="4" t="s">
        <v>14644</v>
      </c>
      <c r="C11642" s="5" t="str">
        <f>IFERROR(__xludf.DUMMYFUNCTION("GOOGLETRANSLATE(B11642,""en"",""it"")"),"L'uomo procede di nuovo a soffiare il fumo direttamente alla telecamera.")</f>
        <v>L'uomo procede di nuovo a soffiare il fumo direttamente alla telecamera.</v>
      </c>
    </row>
    <row r="11643">
      <c r="A11643" s="4" t="s">
        <v>14639</v>
      </c>
      <c r="B11643" s="4" t="s">
        <v>14645</v>
      </c>
      <c r="C11643" s="5" t="str">
        <f>IFERROR(__xludf.DUMMYFUNCTION("GOOGLETRANSLATE(B11643,""en"",""it"")"),"L'uomo raggiunge per spegnere la fotocamera.")</f>
        <v>L'uomo raggiunge per spegnere la fotocamera.</v>
      </c>
    </row>
    <row r="11644">
      <c r="A11644" s="4" t="s">
        <v>14646</v>
      </c>
      <c r="B11644" s="4" t="s">
        <v>14647</v>
      </c>
      <c r="C11644" s="5" t="str">
        <f>IFERROR(__xludf.DUMMYFUNCTION("GOOGLETRANSLATE(B11644,""en"",""it"")"),"La fotocamera si ingrandisce per mostrare la ruota anteriore dell'auto.")</f>
        <v>La fotocamera si ingrandisce per mostrare la ruota anteriore dell'auto.</v>
      </c>
    </row>
    <row r="11645">
      <c r="A11645" s="4" t="s">
        <v>14646</v>
      </c>
      <c r="B11645" s="4" t="s">
        <v>14648</v>
      </c>
      <c r="C11645" s="5" t="str">
        <f>IFERROR(__xludf.DUMMYFUNCTION("GOOGLETRANSLATE(B11645,""en"",""it"")"),"La fotocamera ingrandisce per mostrare l'uomo che spruzza l'auto con sapone.")</f>
        <v>La fotocamera ingrandisce per mostrare l'uomo che spruzza l'auto con sapone.</v>
      </c>
    </row>
    <row r="11646">
      <c r="A11646" s="4" t="s">
        <v>14646</v>
      </c>
      <c r="B11646" s="6" t="s">
        <v>14649</v>
      </c>
      <c r="C11646" s="5" t="str">
        <f>IFERROR(__xludf.DUMMYFUNCTION("GOOGLETRANSLATE(B11646,""en"",""it"")"),"La fotocamera si ingrandisce di nuovo per mostrare il sapone che scorre lungo la parte posteriore dell'auto, quindi la fotocamera si muove per mostrare il lato sinistro dell'auto.")</f>
        <v>La fotocamera si ingrandisce di nuovo per mostrare il sapone che scorre lungo la parte posteriore dell'auto, quindi la fotocamera si muove per mostrare il lato sinistro dell'auto.</v>
      </c>
    </row>
    <row r="11647">
      <c r="A11647" s="4" t="s">
        <v>14646</v>
      </c>
      <c r="B11647" s="4" t="s">
        <v>14650</v>
      </c>
      <c r="C11647" s="5" t="str">
        <f>IFERROR(__xludf.DUMMYFUNCTION("GOOGLETRANSLATE(B11647,""en"",""it"")"),"Quindi due uomini spruzzano acqua sulla macchina per lavare il sapone.")</f>
        <v>Quindi due uomini spruzzano acqua sulla macchina per lavare il sapone.</v>
      </c>
    </row>
    <row r="11648">
      <c r="A11648" s="4" t="s">
        <v>14651</v>
      </c>
      <c r="B11648" s="4" t="s">
        <v>14652</v>
      </c>
      <c r="C11648" s="5" t="str">
        <f>IFERROR(__xludf.DUMMYFUNCTION("GOOGLETRANSLATE(B11648,""en"",""it"")"),"Una donna cammina al centro della stanza.")</f>
        <v>Una donna cammina al centro della stanza.</v>
      </c>
    </row>
    <row r="11649">
      <c r="A11649" s="4" t="s">
        <v>14651</v>
      </c>
      <c r="B11649" s="4" t="s">
        <v>14653</v>
      </c>
      <c r="C11649" s="5" t="str">
        <f>IFERROR(__xludf.DUMMYFUNCTION("GOOGLETRANSLATE(B11649,""en"",""it"")"),"Esegue mosse di danza del ventre.")</f>
        <v>Esegue mosse di danza del ventre.</v>
      </c>
    </row>
    <row r="11650">
      <c r="A11650" s="4" t="s">
        <v>14651</v>
      </c>
      <c r="B11650" s="4" t="s">
        <v>14654</v>
      </c>
      <c r="C11650" s="5" t="str">
        <f>IFERROR(__xludf.DUMMYFUNCTION("GOOGLETRANSLATE(B11650,""en"",""it"")"),"Estende le dita e finisce la sua danza.")</f>
        <v>Estende le dita e finisce la sua danza.</v>
      </c>
    </row>
    <row r="11651">
      <c r="A11651" s="4" t="s">
        <v>14655</v>
      </c>
      <c r="B11651" s="4" t="s">
        <v>14656</v>
      </c>
      <c r="C11651" s="5" t="str">
        <f>IFERROR(__xludf.DUMMYFUNCTION("GOOGLETRANSLATE(B11651,""en"",""it"")"),"Una donna gira una persona con la benda che tiene un bastone davanti a una piñata.")</f>
        <v>Una donna gira una persona con la benda che tiene un bastone davanti a una piñata.</v>
      </c>
    </row>
    <row r="11652">
      <c r="A11652" s="4" t="s">
        <v>14655</v>
      </c>
      <c r="B11652" s="4" t="s">
        <v>14657</v>
      </c>
      <c r="C11652" s="5" t="str">
        <f>IFERROR(__xludf.DUMMYFUNCTION("GOOGLETRANSLATE(B11652,""en"",""it"")"),"Quindi, la persona colpisce il forte, mentre la Piñata si sta muovendo.")</f>
        <v>Quindi, la persona colpisce il forte, mentre la Piñata si sta muovendo.</v>
      </c>
    </row>
    <row r="11653">
      <c r="A11653" s="4" t="s">
        <v>14655</v>
      </c>
      <c r="B11653" s="4" t="s">
        <v>14658</v>
      </c>
      <c r="C11653" s="5" t="str">
        <f>IFERROR(__xludf.DUMMYFUNCTION("GOOGLETRANSLATE(B11653,""en"",""it"")"),"La persona ride e la donna si avvicina a lei.")</f>
        <v>La persona ride e la donna si avvicina a lei.</v>
      </c>
    </row>
    <row r="11654">
      <c r="A11654" s="4" t="s">
        <v>14659</v>
      </c>
      <c r="B11654" s="4" t="s">
        <v>14660</v>
      </c>
      <c r="C11654" s="5" t="str">
        <f>IFERROR(__xludf.DUMMYFUNCTION("GOOGLETRANSLATE(B11654,""en"",""it"")"),"Viene mostrata un'introduzione per un video su come pulire i picchi in esecuzione.")</f>
        <v>Viene mostrata un'introduzione per un video su come pulire i picchi in esecuzione.</v>
      </c>
    </row>
    <row r="11655">
      <c r="A11655" s="4" t="s">
        <v>14659</v>
      </c>
      <c r="B11655" s="4" t="s">
        <v>14661</v>
      </c>
      <c r="C11655" s="5" t="str">
        <f>IFERROR(__xludf.DUMMYFUNCTION("GOOGLETRANSLATE(B11655,""en"",""it"")"),"Un ragazzo spiega che pulirà le punte mentre mostra la terra sulle punte.")</f>
        <v>Un ragazzo spiega che pulirà le punte mentre mostra la terra sulle punte.</v>
      </c>
    </row>
    <row r="11656">
      <c r="A11656" s="4" t="s">
        <v>14659</v>
      </c>
      <c r="B11656" s="4" t="s">
        <v>14662</v>
      </c>
      <c r="C11656" s="5" t="str">
        <f>IFERROR(__xludf.DUMMYFUNCTION("GOOGLETRANSLATE(B11656,""en"",""it"")"),"Comincia spazzolando il fango dalle punte in un lavandino.")</f>
        <v>Comincia spazzolando il fango dalle punte in un lavandino.</v>
      </c>
    </row>
    <row r="11657">
      <c r="A11657" s="4" t="s">
        <v>14659</v>
      </c>
      <c r="B11657" s="4" t="s">
        <v>14663</v>
      </c>
      <c r="C11657" s="5" t="str">
        <f>IFERROR(__xludf.DUMMYFUNCTION("GOOGLETRANSLATE(B11657,""en"",""it"")"),"Mette una piccola quantità di acqua nel lavandino e continua a strofinare.")</f>
        <v>Mette una piccola quantità di acqua nel lavandino e continua a strofinare.</v>
      </c>
    </row>
    <row r="11658">
      <c r="A11658" s="4" t="s">
        <v>14659</v>
      </c>
      <c r="B11658" s="4" t="s">
        <v>14664</v>
      </c>
      <c r="C11658" s="5" t="str">
        <f>IFERROR(__xludf.DUMMYFUNCTION("GOOGLETRANSLATE(B11658,""en"",""it"")"),"Li porta fuori dal lavandino e mette alcuni giornali all'interno degli spettacoli per aiutarli ad asciugare.")</f>
        <v>Li porta fuori dal lavandino e mette alcuni giornali all'interno degli spettacoli per aiutarli ad asciugare.</v>
      </c>
    </row>
    <row r="11659">
      <c r="A11659" s="4" t="s">
        <v>14665</v>
      </c>
      <c r="B11659" s="4" t="s">
        <v>14666</v>
      </c>
      <c r="C11659" s="5" t="str">
        <f>IFERROR(__xludf.DUMMYFUNCTION("GOOGLETRANSLATE(B11659,""en"",""it"")"),"Un individuo usa un tubo per aspirapolvere per giocare con un cane.")</f>
        <v>Un individuo usa un tubo per aspirapolvere per giocare con un cane.</v>
      </c>
    </row>
    <row r="11660">
      <c r="A11660" s="4" t="s">
        <v>14665</v>
      </c>
      <c r="B11660" s="4" t="s">
        <v>14667</v>
      </c>
      <c r="C11660" s="5" t="str">
        <f>IFERROR(__xludf.DUMMYFUNCTION("GOOGLETRANSLATE(B11660,""en"",""it"")"),"La fotocamera passa a una vista più laterale del cane.")</f>
        <v>La fotocamera passa a una vista più laterale del cane.</v>
      </c>
    </row>
    <row r="11661">
      <c r="A11661" s="4" t="s">
        <v>14665</v>
      </c>
      <c r="B11661" s="4" t="s">
        <v>14668</v>
      </c>
      <c r="C11661" s="5" t="str">
        <f>IFERROR(__xludf.DUMMYFUNCTION("GOOGLETRANSLATE(B11661,""en"",""it"")"),"La fotocamera passa a una vista più in alto del cane.")</f>
        <v>La fotocamera passa a una vista più in alto del cane.</v>
      </c>
    </row>
    <row r="11662">
      <c r="A11662" s="4" t="s">
        <v>14669</v>
      </c>
      <c r="B11662" s="4" t="s">
        <v>14670</v>
      </c>
      <c r="C11662" s="5" t="str">
        <f>IFERROR(__xludf.DUMMYFUNCTION("GOOGLETRANSLATE(B11662,""en"",""it"")"),"Un uomo immerge una spugna in un secchio.")</f>
        <v>Un uomo immerge una spugna in un secchio.</v>
      </c>
    </row>
    <row r="11663">
      <c r="A11663" s="4" t="s">
        <v>14669</v>
      </c>
      <c r="B11663" s="4" t="s">
        <v>14671</v>
      </c>
      <c r="C11663" s="5" t="str">
        <f>IFERROR(__xludf.DUMMYFUNCTION("GOOGLETRANSLATE(B11663,""en"",""it"")"),"Usa la spugna per asciugare il fango nero su un ragazzo.")</f>
        <v>Usa la spugna per asciugare il fango nero su un ragazzo.</v>
      </c>
    </row>
    <row r="11664">
      <c r="A11664" s="4" t="s">
        <v>14669</v>
      </c>
      <c r="B11664" s="4" t="s">
        <v>14672</v>
      </c>
      <c r="C11664" s="5" t="str">
        <f>IFERROR(__xludf.DUMMYFUNCTION("GOOGLETRANSLATE(B11664,""en"",""it"")"),"Altre persone coprono le persone in vernice.")</f>
        <v>Altre persone coprono le persone in vernice.</v>
      </c>
    </row>
    <row r="11665">
      <c r="A11665" s="4" t="s">
        <v>14669</v>
      </c>
      <c r="B11665" s="4" t="s">
        <v>14673</v>
      </c>
      <c r="C11665" s="5" t="str">
        <f>IFERROR(__xludf.DUMMYFUNCTION("GOOGLETRANSLATE(B11665,""en"",""it"")"),"Si stanno preparando per la corsa dei tori in Spagna.")</f>
        <v>Si stanno preparando per la corsa dei tori in Spagna.</v>
      </c>
    </row>
    <row r="11666">
      <c r="A11666" s="4" t="s">
        <v>14674</v>
      </c>
      <c r="B11666" s="4" t="s">
        <v>14675</v>
      </c>
      <c r="C11666" s="5" t="str">
        <f>IFERROR(__xludf.DUMMYFUNCTION("GOOGLETRANSLATE(B11666,""en"",""it"")"),"Vediamo una schermata del titolo su White.")</f>
        <v>Vediamo una schermata del titolo su White.</v>
      </c>
    </row>
    <row r="11667">
      <c r="A11667" s="4" t="s">
        <v>14674</v>
      </c>
      <c r="B11667" s="4" t="s">
        <v>14676</v>
      </c>
      <c r="C11667" s="5" t="str">
        <f>IFERROR(__xludf.DUMMYFUNCTION("GOOGLETRANSLATE(B11667,""en"",""it"")"),"Una signora ha una torta capovolta che mette indietro nel vassoio.")</f>
        <v>Una signora ha una torta capovolta che mette indietro nel vassoio.</v>
      </c>
    </row>
    <row r="11668">
      <c r="A11668" s="4" t="s">
        <v>14674</v>
      </c>
      <c r="B11668" s="4" t="s">
        <v>14677</v>
      </c>
      <c r="C11668" s="5" t="str">
        <f>IFERROR(__xludf.DUMMYFUNCTION("GOOGLETRANSLATE(B11668,""en"",""it"")"),"La signora taglia parti della torta e la capovolge di nuovo.")</f>
        <v>La signora taglia parti della torta e la capovolge di nuovo.</v>
      </c>
    </row>
    <row r="11669">
      <c r="A11669" s="4" t="s">
        <v>14674</v>
      </c>
      <c r="B11669" s="4" t="s">
        <v>14678</v>
      </c>
      <c r="C11669" s="5" t="str">
        <f>IFERROR(__xludf.DUMMYFUNCTION("GOOGLETRANSLATE(B11669,""en"",""it"")"),"La signora taglia i bordi dalla torta.")</f>
        <v>La signora taglia i bordi dalla torta.</v>
      </c>
    </row>
    <row r="11670">
      <c r="A11670" s="4" t="s">
        <v>14674</v>
      </c>
      <c r="B11670" s="4" t="s">
        <v>14679</v>
      </c>
      <c r="C11670" s="5" t="str">
        <f>IFERROR(__xludf.DUMMYFUNCTION("GOOGLETRANSLATE(B11670,""en"",""it"")"),"La signora sposta tutto e lo riporta indietro.")</f>
        <v>La signora sposta tutto e lo riporta indietro.</v>
      </c>
    </row>
    <row r="11671">
      <c r="A11671" s="4" t="s">
        <v>14674</v>
      </c>
      <c r="B11671" s="4" t="s">
        <v>1380</v>
      </c>
      <c r="C11671" s="5" t="str">
        <f>IFERROR(__xludf.DUMMYFUNCTION("GOOGLETRANSLATE(B11671,""en"",""it"")"),"Vediamo quindi i titoli di coda.")</f>
        <v>Vediamo quindi i titoli di coda.</v>
      </c>
    </row>
    <row r="11672">
      <c r="A11672" s="4" t="s">
        <v>14680</v>
      </c>
      <c r="B11672" s="4" t="s">
        <v>14681</v>
      </c>
      <c r="C11672" s="5" t="str">
        <f>IFERROR(__xludf.DUMMYFUNCTION("GOOGLETRANSLATE(B11672,""en"",""it"")"),"Un uomo viene visto camminare accanto a una siepe in un'area pubblica con un cane accanto a lui.")</f>
        <v>Un uomo viene visto camminare accanto a una siepe in un'area pubblica con un cane accanto a lui.</v>
      </c>
    </row>
    <row r="11673">
      <c r="A11673" s="4" t="s">
        <v>14680</v>
      </c>
      <c r="B11673" s="4" t="s">
        <v>14682</v>
      </c>
      <c r="C11673" s="5" t="str">
        <f>IFERROR(__xludf.DUMMYFUNCTION("GOOGLETRANSLATE(B11673,""en"",""it"")"),"Il cane viene visto camminare sulle sue due gambe e scende alla fine.")</f>
        <v>Il cane viene visto camminare sulle sue due gambe e scende alla fine.</v>
      </c>
    </row>
    <row r="11674">
      <c r="A11674" s="4" t="s">
        <v>14683</v>
      </c>
      <c r="B11674" s="4" t="s">
        <v>14684</v>
      </c>
      <c r="C11674" s="5" t="str">
        <f>IFERROR(__xludf.DUMMYFUNCTION("GOOGLETRANSLATE(B11674,""en"",""it"")"),"Qualcuno sta disegnando sul nastro e lo sta tagliando.")</f>
        <v>Qualcuno sta disegnando sul nastro e lo sta tagliando.</v>
      </c>
    </row>
    <row r="11675">
      <c r="A11675" s="4" t="s">
        <v>14683</v>
      </c>
      <c r="B11675" s="4" t="s">
        <v>14685</v>
      </c>
      <c r="C11675" s="5" t="str">
        <f>IFERROR(__xludf.DUMMYFUNCTION("GOOGLETRANSLATE(B11675,""en"",""it"")"),"Immergono un pennello in vernice e la vernice lo mette su una spugna.")</f>
        <v>Immergono un pennello in vernice e la vernice lo mette su una spugna.</v>
      </c>
    </row>
    <row r="11676">
      <c r="A11676" s="4" t="s">
        <v>14683</v>
      </c>
      <c r="B11676" s="4" t="s">
        <v>14686</v>
      </c>
      <c r="C11676" s="5" t="str">
        <f>IFERROR(__xludf.DUMMYFUNCTION("GOOGLETRANSLATE(B11676,""en"",""it"")"),"Lo hanno messo sull'unghia e hanno messo un top coat.")</f>
        <v>Lo hanno messo sull'unghia e hanno messo un top coat.</v>
      </c>
    </row>
    <row r="11677">
      <c r="A11677" s="4" t="s">
        <v>14683</v>
      </c>
      <c r="B11677" s="4" t="s">
        <v>14687</v>
      </c>
      <c r="C11677" s="5" t="str">
        <f>IFERROR(__xludf.DUMMYFUNCTION("GOOGLETRANSLATE(B11677,""en"",""it"")"),"Hanno messo glitter sul cuore sull'unghia.")</f>
        <v>Hanno messo glitter sul cuore sull'unghia.</v>
      </c>
    </row>
    <row r="11678">
      <c r="A11678" s="4" t="s">
        <v>14688</v>
      </c>
      <c r="B11678" s="4" t="s">
        <v>14689</v>
      </c>
      <c r="C11678" s="5" t="str">
        <f>IFERROR(__xludf.DUMMYFUNCTION("GOOGLETRANSLATE(B11678,""en"",""it"")"),"Una ragazza ha diverse persone che tiene gli occhi aperti mentre un'altra cerca di mettere una lente a contatto.")</f>
        <v>Una ragazza ha diverse persone che tiene gli occhi aperti mentre un'altra cerca di mettere una lente a contatto.</v>
      </c>
    </row>
    <row r="11679">
      <c r="A11679" s="4" t="s">
        <v>14688</v>
      </c>
      <c r="B11679" s="4" t="s">
        <v>14690</v>
      </c>
      <c r="C11679" s="5" t="str">
        <f>IFERROR(__xludf.DUMMYFUNCTION("GOOGLETRANSLATE(B11679,""en"",""it"")"),"All'inizio non riescono a far entrare l'obiettivo all'occhio e provare ancora e ancora.")</f>
        <v>All'inizio non riescono a far entrare l'obiettivo all'occhio e provare ancora e ancora.</v>
      </c>
    </row>
    <row r="11680">
      <c r="A11680" s="4" t="s">
        <v>14688</v>
      </c>
      <c r="B11680" s="4" t="s">
        <v>14691</v>
      </c>
      <c r="C11680" s="5" t="str">
        <f>IFERROR(__xludf.DUMMYFUNCTION("GOOGLETRANSLATE(B11680,""en"",""it"")"),"Alla fine riescono a far entrare l'obiettivo, ma la ragazza si alza mentre ride.")</f>
        <v>Alla fine riescono a far entrare l'obiettivo, ma la ragazza si alza mentre ride.</v>
      </c>
    </row>
    <row r="11681">
      <c r="A11681" s="4" t="s">
        <v>14692</v>
      </c>
      <c r="B11681" s="4" t="s">
        <v>14693</v>
      </c>
      <c r="C11681" s="5" t="str">
        <f>IFERROR(__xludf.DUMMYFUNCTION("GOOGLETRANSLATE(B11681,""en"",""it"")"),"Le persone cavalcano cavalli in un'arena al coperto.")</f>
        <v>Le persone cavalcano cavalli in un'arena al coperto.</v>
      </c>
    </row>
    <row r="11682">
      <c r="A11682" s="4" t="s">
        <v>14692</v>
      </c>
      <c r="B11682" s="4" t="s">
        <v>14694</v>
      </c>
      <c r="C11682" s="5" t="str">
        <f>IFERROR(__xludf.DUMMYFUNCTION("GOOGLETRANSLATE(B11682,""en"",""it"")"),"Le persone sono sedute fuori dall'arena a guardarli.")</f>
        <v>Le persone sono sedute fuori dall'arena a guardarli.</v>
      </c>
    </row>
    <row r="11683">
      <c r="A11683" s="4" t="s">
        <v>14692</v>
      </c>
      <c r="B11683" s="4" t="s">
        <v>14695</v>
      </c>
      <c r="C11683" s="5" t="str">
        <f>IFERROR(__xludf.DUMMYFUNCTION("GOOGLETRANSLATE(B11683,""en"",""it"")"),"Fermano i cavalli e la ragazza si gira.")</f>
        <v>Fermano i cavalli e la ragazza si gira.</v>
      </c>
    </row>
    <row r="11684">
      <c r="A11684" s="4" t="s">
        <v>14696</v>
      </c>
      <c r="B11684" s="6" t="s">
        <v>14697</v>
      </c>
      <c r="C11684" s="5" t="str">
        <f>IFERROR(__xludf.DUMMYFUNCTION("GOOGLETRANSLATE(B11684,""en"",""it"")"),"Un uomo e una donna sono seduti a Hooters il ristorante, la femmina è un'impiegata e il ragazzo è un cliente normale.")</f>
        <v>Un uomo e una donna sono seduti a Hooters il ristorante, la femmina è un'impiegata e il ragazzo è un cliente normale.</v>
      </c>
    </row>
    <row r="11685">
      <c r="A11685" s="4" t="s">
        <v>14696</v>
      </c>
      <c r="B11685" s="4" t="s">
        <v>14698</v>
      </c>
      <c r="C11685" s="5" t="str">
        <f>IFERROR(__xludf.DUMMYFUNCTION("GOOGLETRANSLATE(B11685,""en"",""it"")"),"Prende una birra e poi bacia le ragazze.")</f>
        <v>Prende una birra e poi bacia le ragazze.</v>
      </c>
    </row>
    <row r="11686">
      <c r="A11686" s="4" t="s">
        <v>14696</v>
      </c>
      <c r="B11686" s="6" t="s">
        <v>14699</v>
      </c>
      <c r="C11686" s="5" t="str">
        <f>IFERROR(__xludf.DUMMYFUNCTION("GOOGLETRANSLATE(B11686,""en"",""it"")"),"Ci prova altre tre volte e ha successo, ma la terza ragazza è stata per caso e lei colpisce il ragazzo e ne diventa estremamente sconvolta.")</f>
        <v>Ci prova altre tre volte e ha successo, ma la terza ragazza è stata per caso e lei colpisce il ragazzo e ne diventa estremamente sconvolta.</v>
      </c>
    </row>
    <row r="11687">
      <c r="A11687" s="4" t="s">
        <v>14696</v>
      </c>
      <c r="B11687" s="4" t="s">
        <v>14700</v>
      </c>
      <c r="C11687" s="5" t="str">
        <f>IFERROR(__xludf.DUMMYFUNCTION("GOOGLETRANSLATE(B11687,""en"",""it"")"),"Il maschio lo fa di nuovo e più ragazze nel ristorante iniziano a baciarlo.")</f>
        <v>Il maschio lo fa di nuovo e più ragazze nel ristorante iniziano a baciarlo.</v>
      </c>
    </row>
    <row r="11688">
      <c r="A11688" s="4" t="s">
        <v>14701</v>
      </c>
      <c r="B11688" s="4" t="s">
        <v>14702</v>
      </c>
      <c r="C11688" s="5" t="str">
        <f>IFERROR(__xludf.DUMMYFUNCTION("GOOGLETRANSLATE(B11688,""en"",""it"")"),"C'è un uomo in piscina che gioca ad acqua.")</f>
        <v>C'è un uomo in piscina che gioca ad acqua.</v>
      </c>
    </row>
    <row r="11689">
      <c r="A11689" s="4" t="s">
        <v>14701</v>
      </c>
      <c r="B11689" s="4" t="s">
        <v>14703</v>
      </c>
      <c r="C11689" s="5" t="str">
        <f>IFERROR(__xludf.DUMMYFUNCTION("GOOGLETRANSLATE(B11689,""en"",""it"")"),"È in piscina giocando ad acqua polo con una palla gialla e altre due persone.")</f>
        <v>È in piscina giocando ad acqua polo con una palla gialla e altre due persone.</v>
      </c>
    </row>
    <row r="11690">
      <c r="A11690" s="4" t="s">
        <v>14701</v>
      </c>
      <c r="B11690" s="4" t="s">
        <v>14704</v>
      </c>
      <c r="C11690" s="5" t="str">
        <f>IFERROR(__xludf.DUMMYFUNCTION("GOOGLETRANSLATE(B11690,""en"",""it"")"),"Lancia la palla e le persone sedute a bordo piscina e guardandolo suonando ad altugnare ad alta voce.")</f>
        <v>Lancia la palla e le persone sedute a bordo piscina e guardandolo suonando ad altugnare ad alta voce.</v>
      </c>
    </row>
    <row r="11691">
      <c r="A11691" s="4" t="s">
        <v>14705</v>
      </c>
      <c r="B11691" s="4" t="s">
        <v>14706</v>
      </c>
      <c r="C11691" s="5" t="str">
        <f>IFERROR(__xludf.DUMMYFUNCTION("GOOGLETRANSLATE(B11691,""en"",""it"")"),"Due uomini sono visti indossare guanti da boxe e pugni e calci l'un l'altro.")</f>
        <v>Due uomini sono visti indossare guanti da boxe e pugni e calci l'un l'altro.</v>
      </c>
    </row>
    <row r="11692">
      <c r="A11692" s="4" t="s">
        <v>14705</v>
      </c>
      <c r="B11692" s="6" t="s">
        <v>14707</v>
      </c>
      <c r="C11692" s="5" t="str">
        <f>IFERROR(__xludf.DUMMYFUNCTION("GOOGLETRANSLATE(B11692,""en"",""it"")"),"Gli uomini continuano a tornare indietro e quarto tra loro e un testo appare alla fine del video.")</f>
        <v>Gli uomini continuano a tornare indietro e quarto tra loro e un testo appare alla fine del video.</v>
      </c>
    </row>
    <row r="11693">
      <c r="A11693" s="4" t="s">
        <v>14708</v>
      </c>
      <c r="B11693" s="4" t="s">
        <v>14709</v>
      </c>
      <c r="C11693" s="5" t="str">
        <f>IFERROR(__xludf.DUMMYFUNCTION("GOOGLETRANSLATE(B11693,""en"",""it"")"),"Un ragazzo si imbatte nel tiro e calcia un pallone da calcio.")</f>
        <v>Un ragazzo si imbatte nel tiro e calcia un pallone da calcio.</v>
      </c>
    </row>
    <row r="11694">
      <c r="A11694" s="4" t="s">
        <v>14708</v>
      </c>
      <c r="B11694" s="4" t="s">
        <v>14710</v>
      </c>
      <c r="C11694" s="5" t="str">
        <f>IFERROR(__xludf.DUMMYFUNCTION("GOOGLETRANSLATE(B11694,""en"",""it"")"),"La palla si lancia verso una folla in un parco.")</f>
        <v>La palla si lancia verso una folla in un parco.</v>
      </c>
    </row>
    <row r="11695">
      <c r="A11695" s="4" t="s">
        <v>14708</v>
      </c>
      <c r="B11695" s="4" t="s">
        <v>14711</v>
      </c>
      <c r="C11695" s="5" t="str">
        <f>IFERROR(__xludf.DUMMYFUNCTION("GOOGLETRANSLATE(B11695,""en"",""it"")"),"Pochi altri ragazzi cercano di catturare la palla in movimento.")</f>
        <v>Pochi altri ragazzi cercano di catturare la palla in movimento.</v>
      </c>
    </row>
    <row r="11696">
      <c r="A11696" s="4" t="s">
        <v>14708</v>
      </c>
      <c r="B11696" s="4" t="s">
        <v>14712</v>
      </c>
      <c r="C11696" s="5" t="str">
        <f>IFERROR(__xludf.DUMMYFUNCTION("GOOGLETRANSLATE(B11696,""en"",""it"")"),"Un ragazzo alla fine calcia la palla verso la telecamera.")</f>
        <v>Un ragazzo alla fine calcia la palla verso la telecamera.</v>
      </c>
    </row>
    <row r="11697">
      <c r="A11697" s="4" t="s">
        <v>14708</v>
      </c>
      <c r="B11697" s="6" t="s">
        <v>14713</v>
      </c>
      <c r="C11697" s="5" t="str">
        <f>IFERROR(__xludf.DUMMYFUNCTION("GOOGLETRANSLATE(B11697,""en"",""it"")"),"Una ragazza arriva da bordo campo e calcia la palla verso la folla di ragazzi e i bambini continuano questo ciclo di calci.")</f>
        <v>Una ragazza arriva da bordo campo e calcia la palla verso la folla di ragazzi e i bambini continuano questo ciclo di calci.</v>
      </c>
    </row>
    <row r="11698">
      <c r="A11698" s="4" t="s">
        <v>14714</v>
      </c>
      <c r="B11698" s="6" t="s">
        <v>14715</v>
      </c>
      <c r="C11698" s="5" t="str">
        <f>IFERROR(__xludf.DUMMYFUNCTION("GOOGLETRANSLATE(B11698,""en"",""it"")"),"Un uomo e una donna sono mostrati seduti a un tavolo con una sigaretta in bocca e le braccia si sono incrociate.")</f>
        <v>Un uomo e una donna sono mostrati seduti a un tavolo con una sigaretta in bocca e le braccia si sono incrociate.</v>
      </c>
    </row>
    <row r="11699">
      <c r="A11699" s="4" t="s">
        <v>14714</v>
      </c>
      <c r="B11699" s="4" t="s">
        <v>14716</v>
      </c>
      <c r="C11699" s="5" t="str">
        <f>IFERROR(__xludf.DUMMYFUNCTION("GOOGLETRANSLATE(B11699,""en"",""it"")"),"Iniziano i lottani del braccio e la ragazza con la sigaretta batte l'uomo.")</f>
        <v>Iniziano i lottani del braccio e la ragazza con la sigaretta batte l'uomo.</v>
      </c>
    </row>
    <row r="11700">
      <c r="A11700" s="4" t="s">
        <v>14717</v>
      </c>
      <c r="B11700" s="4" t="s">
        <v>14718</v>
      </c>
      <c r="C11700" s="5" t="str">
        <f>IFERROR(__xludf.DUMMYFUNCTION("GOOGLETRANSLATE(B11700,""en"",""it"")"),"Una persona viene vista muovere una serie di scale e trattenere vari oggetti di misurazione.")</f>
        <v>Una persona viene vista muovere una serie di scale e trattenere vari oggetti di misurazione.</v>
      </c>
    </row>
    <row r="11701">
      <c r="A11701" s="4" t="s">
        <v>14717</v>
      </c>
      <c r="B11701" s="4" t="s">
        <v>14719</v>
      </c>
      <c r="C11701" s="5" t="str">
        <f>IFERROR(__xludf.DUMMYFUNCTION("GOOGLETRANSLATE(B11701,""en"",""it"")"),"L'uomo si inginocchia e inizia a mettere in moquette sul pavimento e sulle scale.")</f>
        <v>L'uomo si inginocchia e inizia a mettere in moquette sul pavimento e sulle scale.</v>
      </c>
    </row>
    <row r="11702">
      <c r="A11702" s="4" t="s">
        <v>14717</v>
      </c>
      <c r="B11702" s="4" t="s">
        <v>14720</v>
      </c>
      <c r="C11702" s="5" t="str">
        <f>IFERROR(__xludf.DUMMYFUNCTION("GOOGLETRANSLATE(B11702,""en"",""it"")"),"L'uomo finisce di mettere giù il tappeto e la fotocamera si ingrandisce sul suo lavoro.")</f>
        <v>L'uomo finisce di mettere giù il tappeto e la fotocamera si ingrandisce sul suo lavoro.</v>
      </c>
    </row>
    <row r="11703">
      <c r="A11703" s="4" t="s">
        <v>14721</v>
      </c>
      <c r="B11703" s="4" t="s">
        <v>14722</v>
      </c>
      <c r="C11703" s="5" t="str">
        <f>IFERROR(__xludf.DUMMYFUNCTION("GOOGLETRANSLATE(B11703,""en"",""it"")"),"Un uomo seduto guarda un appuntante.")</f>
        <v>Un uomo seduto guarda un appuntante.</v>
      </c>
    </row>
    <row r="11704">
      <c r="A11704" s="4" t="s">
        <v>14721</v>
      </c>
      <c r="B11704" s="4" t="s">
        <v>14723</v>
      </c>
      <c r="C11704" s="5" t="str">
        <f>IFERROR(__xludf.DUMMYFUNCTION("GOOGLETRANSLATE(B11704,""en"",""it"")"),"L'uomo inizia a fumare da una pipa grande.")</f>
        <v>L'uomo inizia a fumare da una pipa grande.</v>
      </c>
    </row>
    <row r="11705">
      <c r="A11705" s="4" t="s">
        <v>14721</v>
      </c>
      <c r="B11705" s="4" t="s">
        <v>14724</v>
      </c>
      <c r="C11705" s="5" t="str">
        <f>IFERROR(__xludf.DUMMYFUNCTION("GOOGLETRANSLATE(B11705,""en"",""it"")"),"La fotocamera si piove per mostrare i vari oggetti sul tavolo davanti a lui.")</f>
        <v>La fotocamera si piove per mostrare i vari oggetti sul tavolo davanti a lui.</v>
      </c>
    </row>
    <row r="11706">
      <c r="A11706" s="4" t="s">
        <v>14721</v>
      </c>
      <c r="B11706" s="4" t="s">
        <v>14725</v>
      </c>
      <c r="C11706" s="5" t="str">
        <f>IFERROR(__xludf.DUMMYFUNCTION("GOOGLETRANSLATE(B11706,""en"",""it"")"),"La fotocamera torna all'uomo.")</f>
        <v>La fotocamera torna all'uomo.</v>
      </c>
    </row>
    <row r="11707">
      <c r="A11707" s="4" t="s">
        <v>14726</v>
      </c>
      <c r="B11707" s="6" t="s">
        <v>14727</v>
      </c>
      <c r="C11707" s="5" t="str">
        <f>IFERROR(__xludf.DUMMYFUNCTION("GOOGLETRANSLATE(B11707,""en"",""it"")"),"La gente naviga su una barca in un fiume e un uomo tira una serie di una persona che si prepara per eseguire sci d'acqua.")</f>
        <v>La gente naviga su una barca in un fiume e un uomo tira una serie di una persona che si prepara per eseguire sci d'acqua.</v>
      </c>
    </row>
    <row r="11708">
      <c r="A11708" s="4" t="s">
        <v>14726</v>
      </c>
      <c r="B11708" s="4" t="s">
        <v>14728</v>
      </c>
      <c r="C11708" s="5" t="str">
        <f>IFERROR(__xludf.DUMMYFUNCTION("GOOGLETRANSLATE(B11708,""en"",""it"")"),"Quindi, la persona che lo sci d'acqua dietro la barca guarda.")</f>
        <v>Quindi, la persona che lo sci d'acqua dietro la barca guarda.</v>
      </c>
    </row>
    <row r="11709">
      <c r="A11709" s="4" t="s">
        <v>14726</v>
      </c>
      <c r="B11709" s="4" t="s">
        <v>14729</v>
      </c>
      <c r="C11709" s="5" t="str">
        <f>IFERROR(__xludf.DUMMYFUNCTION("GOOGLETRANSLATE(B11709,""en"",""it"")"),"La persona cade in acqua, ma si trova di nuovo e continua a fare sci d'acqua.")</f>
        <v>La persona cade in acqua, ma si trova di nuovo e continua a fare sci d'acqua.</v>
      </c>
    </row>
    <row r="11710">
      <c r="A11710" s="4" t="s">
        <v>14726</v>
      </c>
      <c r="B11710" s="4" t="s">
        <v>14730</v>
      </c>
      <c r="C11710" s="5" t="str">
        <f>IFERROR(__xludf.DUMMYFUNCTION("GOOGLETRANSLATE(B11710,""en"",""it"")"),"Una barca appare nel fiume dietro la persona, mentre lo sci d'acqua.")</f>
        <v>Una barca appare nel fiume dietro la persona, mentre lo sci d'acqua.</v>
      </c>
    </row>
    <row r="11711">
      <c r="A11711" s="4" t="s">
        <v>14726</v>
      </c>
      <c r="B11711" s="4" t="s">
        <v>14731</v>
      </c>
      <c r="C11711" s="5" t="str">
        <f>IFERROR(__xludf.DUMMYFUNCTION("GOOGLETRANSLATE(B11711,""en"",""it"")"),"La persona cade di nuovo in acqua, le persone nella barca ride e un uomo fa il pollice in su.")</f>
        <v>La persona cade di nuovo in acqua, le persone nella barca ride e un uomo fa il pollice in su.</v>
      </c>
    </row>
    <row r="11712">
      <c r="A11712" s="4" t="s">
        <v>14732</v>
      </c>
      <c r="B11712" s="4" t="s">
        <v>14733</v>
      </c>
      <c r="C11712" s="5" t="str">
        <f>IFERROR(__xludf.DUMMYFUNCTION("GOOGLETRANSLATE(B11712,""en"",""it"")"),"Una ragazza con una corda da salto è in pantaloncini atletici e una maglietta, con una corda da salto.")</f>
        <v>Una ragazza con una corda da salto è in pantaloncini atletici e una maglietta, con una corda da salto.</v>
      </c>
    </row>
    <row r="11713">
      <c r="A11713" s="4" t="s">
        <v>14732</v>
      </c>
      <c r="B11713" s="6" t="s">
        <v>14734</v>
      </c>
      <c r="C11713" s="5" t="str">
        <f>IFERROR(__xludf.DUMMYFUNCTION("GOOGLETRANSLATE(B11713,""en"",""it"")"),"Comincia a preformare acrobazie complicate, come stand a mano, lanci e le divisioni mentre salta la corda.")</f>
        <v>Comincia a preformare acrobazie complicate, come stand a mano, lanci e le divisioni mentre salta la corda.</v>
      </c>
    </row>
    <row r="11714">
      <c r="A11714" s="4" t="s">
        <v>14732</v>
      </c>
      <c r="B11714" s="6" t="s">
        <v>14735</v>
      </c>
      <c r="C11714" s="5" t="str">
        <f>IFERROR(__xludf.DUMMYFUNCTION("GOOGLETRANSLATE(B11714,""en"",""it"")"),"Ha un breve incidente mentre lascia cadere la corda del salto e poi la raccoglie per riprendere la sua esibizione.")</f>
        <v>Ha un breve incidente mentre lascia cadere la corda del salto e poi la raccoglie per riprendere la sua esibizione.</v>
      </c>
    </row>
    <row r="11715">
      <c r="A11715" s="4" t="s">
        <v>14732</v>
      </c>
      <c r="B11715" s="6" t="s">
        <v>14736</v>
      </c>
      <c r="C11715" s="5" t="str">
        <f>IFERROR(__xludf.DUMMYFUNCTION("GOOGLETRANSLATE(B11715,""en"",""it"")"),"Molte persone sono sedute in disparte, alcune guardando come pubblico, alcune sono giudici, alcune stanno girando l'evento.")</f>
        <v>Molte persone sono sedute in disparte, alcune guardando come pubblico, alcune sono giudici, alcune stanno girando l'evento.</v>
      </c>
    </row>
    <row r="11716">
      <c r="A11716" s="4" t="s">
        <v>14737</v>
      </c>
      <c r="B11716" s="4" t="s">
        <v>14738</v>
      </c>
      <c r="C11716" s="5" t="str">
        <f>IFERROR(__xludf.DUMMYFUNCTION("GOOGLETRANSLATE(B11716,""en"",""it"")"),"Una telecamera si panoramica attorno a un grande cortile per mostrare due persone che muovono una barra di legno.")</f>
        <v>Una telecamera si panoramica attorno a un grande cortile per mostrare due persone che muovono una barra di legno.</v>
      </c>
    </row>
    <row r="11717">
      <c r="A11717" s="4" t="s">
        <v>14737</v>
      </c>
      <c r="B11717" s="4" t="s">
        <v>14739</v>
      </c>
      <c r="C11717" s="5" t="str">
        <f>IFERROR(__xludf.DUMMYFUNCTION("GOOGLETRANSLATE(B11717,""en"",""it"")"),"Un uomo quindi passa sulla barra e inizia a usare uno strumento per ridurre le siepi.")</f>
        <v>Un uomo quindi passa sulla barra e inizia a usare uno strumento per ridurre le siepi.</v>
      </c>
    </row>
    <row r="11718">
      <c r="A11718" s="4" t="s">
        <v>14737</v>
      </c>
      <c r="B11718" s="4" t="s">
        <v>14740</v>
      </c>
      <c r="C11718" s="5" t="str">
        <f>IFERROR(__xludf.DUMMYFUNCTION("GOOGLETRANSLATE(B11718,""en"",""it"")"),"L'uomo guarda indietro al parlare con la telecamera e gli uomini muovono la barra.")</f>
        <v>L'uomo guarda indietro al parlare con la telecamera e gli uomini muovono la barra.</v>
      </c>
    </row>
    <row r="11719">
      <c r="A11719" s="4" t="s">
        <v>14741</v>
      </c>
      <c r="B11719" s="4" t="s">
        <v>14742</v>
      </c>
      <c r="C11719" s="5" t="str">
        <f>IFERROR(__xludf.DUMMYFUNCTION("GOOGLETRANSLATE(B11719,""en"",""it"")"),"Vediamo un ragazzo in palestra che tiene una corda da salto.")</f>
        <v>Vediamo un ragazzo in palestra che tiene una corda da salto.</v>
      </c>
    </row>
    <row r="11720">
      <c r="A11720" s="4" t="s">
        <v>14741</v>
      </c>
      <c r="B11720" s="4" t="s">
        <v>14743</v>
      </c>
      <c r="C11720" s="5" t="str">
        <f>IFERROR(__xludf.DUMMYFUNCTION("GOOGLETRANSLATE(B11720,""en"",""it"")"),"Il ragazzo fa una routine di corda per saltare.")</f>
        <v>Il ragazzo fa una routine di corda per saltare.</v>
      </c>
    </row>
    <row r="11721">
      <c r="A11721" s="4" t="s">
        <v>14741</v>
      </c>
      <c r="B11721" s="4" t="s">
        <v>14744</v>
      </c>
      <c r="C11721" s="5" t="str">
        <f>IFERROR(__xludf.DUMMYFUNCTION("GOOGLETRANSLATE(B11721,""en"",""it"")"),"Il ragazzo fa un giro con la corda.")</f>
        <v>Il ragazzo fa un giro con la corda.</v>
      </c>
    </row>
    <row r="11722">
      <c r="A11722" s="4" t="s">
        <v>14741</v>
      </c>
      <c r="B11722" s="4" t="s">
        <v>14745</v>
      </c>
      <c r="C11722" s="5" t="str">
        <f>IFERROR(__xludf.DUMMYFUNCTION("GOOGLETRANSLATE(B11722,""en"",""it"")"),"Il ragazzo fa due push up.")</f>
        <v>Il ragazzo fa due push up.</v>
      </c>
    </row>
    <row r="11723">
      <c r="A11723" s="4" t="s">
        <v>14741</v>
      </c>
      <c r="B11723" s="4" t="s">
        <v>14746</v>
      </c>
      <c r="C11723" s="5" t="str">
        <f>IFERROR(__xludf.DUMMYFUNCTION("GOOGLETRANSLATE(B11723,""en"",""it"")"),"La gamba dei ragazzi viene catturata dalla corda.")</f>
        <v>La gamba dei ragazzi viene catturata dalla corda.</v>
      </c>
    </row>
    <row r="11724">
      <c r="A11724" s="4" t="s">
        <v>14741</v>
      </c>
      <c r="B11724" s="4" t="s">
        <v>14747</v>
      </c>
      <c r="C11724" s="5" t="str">
        <f>IFERROR(__xludf.DUMMYFUNCTION("GOOGLETRANSLATE(B11724,""en"",""it"")"),"Il ragazzo salta in alto e la corda si aggroviglia di nuovo.")</f>
        <v>Il ragazzo salta in alto e la corda si aggroviglia di nuovo.</v>
      </c>
    </row>
    <row r="11725">
      <c r="A11725" s="4" t="s">
        <v>14741</v>
      </c>
      <c r="B11725" s="4" t="s">
        <v>14748</v>
      </c>
      <c r="C11725" s="5" t="str">
        <f>IFERROR(__xludf.DUMMYFUNCTION("GOOGLETRANSLATE(B11725,""en"",""it"")"),"Il ragazzo finisce e giace a terra.")</f>
        <v>Il ragazzo finisce e giace a terra.</v>
      </c>
    </row>
    <row r="11726">
      <c r="A11726" s="4" t="s">
        <v>14741</v>
      </c>
      <c r="B11726" s="4" t="s">
        <v>14749</v>
      </c>
      <c r="C11726" s="5" t="str">
        <f>IFERROR(__xludf.DUMMYFUNCTION("GOOGLETRANSLATE(B11726,""en"",""it"")"),"Il ragazzo si alza e si allontana.")</f>
        <v>Il ragazzo si alza e si allontana.</v>
      </c>
    </row>
    <row r="11727">
      <c r="A11727" s="4" t="s">
        <v>14750</v>
      </c>
      <c r="B11727" s="4" t="s">
        <v>14751</v>
      </c>
      <c r="C11727" s="5" t="str">
        <f>IFERROR(__xludf.DUMMYFUNCTION("GOOGLETRANSLATE(B11727,""en"",""it"")"),"Una donna si posa su una tavola da immersione.")</f>
        <v>Una donna si posa su una tavola da immersione.</v>
      </c>
    </row>
    <row r="11728">
      <c r="A11728" s="4" t="s">
        <v>14750</v>
      </c>
      <c r="B11728" s="4" t="s">
        <v>14752</v>
      </c>
      <c r="C11728" s="5" t="str">
        <f>IFERROR(__xludf.DUMMYFUNCTION("GOOGLETRANSLATE(B11728,""en"",""it"")"),"Si avvicina all'indietro nell'acqua di fronte a un gruppo di osservazione.")</f>
        <v>Si avvicina all'indietro nell'acqua di fronte a un gruppo di osservazione.</v>
      </c>
    </row>
    <row r="11729">
      <c r="A11729" s="4" t="s">
        <v>14753</v>
      </c>
      <c r="B11729" s="4" t="s">
        <v>14754</v>
      </c>
      <c r="C11729" s="5" t="str">
        <f>IFERROR(__xludf.DUMMYFUNCTION("GOOGLETRANSLATE(B11729,""en"",""it"")"),"Vediamo un paio di ballare su una pista da ballo in un club.")</f>
        <v>Vediamo un paio di ballare su una pista da ballo in un club.</v>
      </c>
    </row>
    <row r="11730">
      <c r="A11730" s="4" t="s">
        <v>14753</v>
      </c>
      <c r="B11730" s="4" t="s">
        <v>14755</v>
      </c>
      <c r="C11730" s="5" t="str">
        <f>IFERROR(__xludf.DUMMYFUNCTION("GOOGLETRANSLATE(B11730,""en"",""it"")"),"Vediamo un uomo che guarda nella telecamera e apre la bocca mentre un gruppo di persone passa.")</f>
        <v>Vediamo un uomo che guarda nella telecamera e apre la bocca mentre un gruppo di persone passa.</v>
      </c>
    </row>
    <row r="11731">
      <c r="A11731" s="4" t="s">
        <v>14753</v>
      </c>
      <c r="B11731" s="4" t="s">
        <v>14756</v>
      </c>
      <c r="C11731" s="5" t="str">
        <f>IFERROR(__xludf.DUMMYFUNCTION("GOOGLETRANSLATE(B11731,""en"",""it"")"),"Un uomo con una camicia nera cammina oltre la telecamera e sta per un momento.")</f>
        <v>Un uomo con una camicia nera cammina oltre la telecamera e sta per un momento.</v>
      </c>
    </row>
    <row r="11732">
      <c r="A11732" s="4" t="s">
        <v>14753</v>
      </c>
      <c r="B11732" s="4" t="s">
        <v>14757</v>
      </c>
      <c r="C11732" s="5" t="str">
        <f>IFERROR(__xludf.DUMMYFUNCTION("GOOGLETRANSLATE(B11732,""en"",""it"")"),"La signora Shimmy's e si piega a terra e fa il backup.")</f>
        <v>La signora Shimmy's e si piega a terra e fa il backup.</v>
      </c>
    </row>
    <row r="11733">
      <c r="A11733" s="4" t="s">
        <v>14753</v>
      </c>
      <c r="B11733" s="4" t="s">
        <v>14758</v>
      </c>
      <c r="C11733" s="5" t="str">
        <f>IFERROR(__xludf.DUMMYFUNCTION("GOOGLETRANSLATE(B11733,""en"",""it"")"),"L'uomo immerge la donna e il sorriso alla telecamera.")</f>
        <v>L'uomo immerge la donna e il sorriso alla telecamera.</v>
      </c>
    </row>
    <row r="11734">
      <c r="A11734" s="4" t="s">
        <v>14759</v>
      </c>
      <c r="B11734" s="6" t="s">
        <v>14760</v>
      </c>
      <c r="C11734" s="5" t="str">
        <f>IFERROR(__xludf.DUMMYFUNCTION("GOOGLETRANSLATE(B11734,""en"",""it"")"),"Un piccolo gruppo di persone viene visto correre in un'arena all'aperto e giocare a paintball tra loro.")</f>
        <v>Un piccolo gruppo di persone viene visto correre in un'arena all'aperto e giocare a paintball tra loro.</v>
      </c>
    </row>
    <row r="11735">
      <c r="A11735" s="4" t="s">
        <v>14759</v>
      </c>
      <c r="B11735" s="6" t="s">
        <v>14761</v>
      </c>
      <c r="C11735" s="5" t="str">
        <f>IFERROR(__xludf.DUMMYFUNCTION("GOOGLETRANSLATE(B11735,""en"",""it"")"),"Un uomo corre in avanti e una grande nuvola di fumo gira intorno e un uomo agita le braccia in aria mentre un altro aiuta.")</f>
        <v>Un uomo corre in avanti e una grande nuvola di fumo gira intorno e un uomo agita le braccia in aria mentre un altro aiuta.</v>
      </c>
    </row>
    <row r="11736">
      <c r="A11736" s="4" t="s">
        <v>14762</v>
      </c>
      <c r="B11736" s="4" t="s">
        <v>14763</v>
      </c>
      <c r="C11736" s="5" t="str">
        <f>IFERROR(__xludf.DUMMYFUNCTION("GOOGLETRANSLATE(B11736,""en"",""it"")"),"Le persone sono sedute su sedie suonando la batteria.")</f>
        <v>Le persone sono sedute su sedie suonando la batteria.</v>
      </c>
    </row>
    <row r="11737">
      <c r="A11737" s="4" t="s">
        <v>14762</v>
      </c>
      <c r="B11737" s="4" t="s">
        <v>14764</v>
      </c>
      <c r="C11737" s="5" t="str">
        <f>IFERROR(__xludf.DUMMYFUNCTION("GOOGLETRANSLATE(B11737,""en"",""it"")"),"Le persone camminano sul marciapiede.")</f>
        <v>Le persone camminano sul marciapiede.</v>
      </c>
    </row>
    <row r="11738">
      <c r="A11738" s="4" t="s">
        <v>14762</v>
      </c>
      <c r="B11738" s="4" t="s">
        <v>14765</v>
      </c>
      <c r="C11738" s="5" t="str">
        <f>IFERROR(__xludf.DUMMYFUNCTION("GOOGLETRANSLATE(B11738,""en"",""it"")"),"Una persona che spinge un passeggino cammina dietro di loro.")</f>
        <v>Una persona che spinge un passeggino cammina dietro di loro.</v>
      </c>
    </row>
    <row r="11739">
      <c r="A11739" s="4" t="s">
        <v>14766</v>
      </c>
      <c r="B11739" s="4" t="s">
        <v>14767</v>
      </c>
      <c r="C11739" s="5" t="str">
        <f>IFERROR(__xludf.DUMMYFUNCTION("GOOGLETRANSLATE(B11739,""en"",""it"")"),"Un gatto è in piedi su un tavolo che viene accumulato.")</f>
        <v>Un gatto è in piedi su un tavolo che viene accumulato.</v>
      </c>
    </row>
    <row r="11740">
      <c r="A11740" s="4" t="s">
        <v>14766</v>
      </c>
      <c r="B11740" s="4" t="s">
        <v>14768</v>
      </c>
      <c r="C11740" s="5" t="str">
        <f>IFERROR(__xludf.DUMMYFUNCTION("GOOGLETRANSLATE(B11740,""en"",""it"")"),"Una persona prende la zampa di gatti e inizia a tagliare le unghie.")</f>
        <v>Una persona prende la zampa di gatti e inizia a tagliare le unghie.</v>
      </c>
    </row>
    <row r="11741">
      <c r="A11741" s="4" t="s">
        <v>14766</v>
      </c>
      <c r="B11741" s="4" t="s">
        <v>14769</v>
      </c>
      <c r="C11741" s="5" t="str">
        <f>IFERROR(__xludf.DUMMYFUNCTION("GOOGLETRANSLATE(B11741,""en"",""it"")"),"La persona raccoglie il gatto per tagliare le zampe posteriori.")</f>
        <v>La persona raccoglie il gatto per tagliare le zampe posteriori.</v>
      </c>
    </row>
    <row r="11742">
      <c r="A11742" s="4" t="s">
        <v>14766</v>
      </c>
      <c r="B11742" s="4" t="s">
        <v>14770</v>
      </c>
      <c r="C11742" s="5" t="str">
        <f>IFERROR(__xludf.DUMMYFUNCTION("GOOGLETRANSLATE(B11742,""en"",""it"")"),"La persona gli accoglie il gatto dopo aver tagliato le unghie.")</f>
        <v>La persona gli accoglie il gatto dopo aver tagliato le unghie.</v>
      </c>
    </row>
    <row r="11743">
      <c r="A11743" s="4" t="s">
        <v>14771</v>
      </c>
      <c r="B11743" s="4" t="s">
        <v>14772</v>
      </c>
      <c r="C11743" s="5" t="str">
        <f>IFERROR(__xludf.DUMMYFUNCTION("GOOGLETRANSLATE(B11743,""en"",""it"")"),"Una donna viene vista guardare la telecamera, quindi piangere e abbracciare un gruppo di persone.")</f>
        <v>Una donna viene vista guardare la telecamera, quindi piangere e abbracciare un gruppo di persone.</v>
      </c>
    </row>
    <row r="11744">
      <c r="A11744" s="4" t="s">
        <v>14771</v>
      </c>
      <c r="B11744" s="6" t="s">
        <v>14773</v>
      </c>
      <c r="C11744" s="5" t="str">
        <f>IFERROR(__xludf.DUMMYFUNCTION("GOOGLETRANSLATE(B11744,""en"",""it"")"),"Scatti di persone che giocano a shuffle board sono mostrate seguite da persone che celebrano e dalla donna che parlano alla telecamera.")</f>
        <v>Scatti di persone che giocano a shuffle board sono mostrate seguite da persone che celebrano e dalla donna che parlano alla telecamera.</v>
      </c>
    </row>
    <row r="11745">
      <c r="A11745" s="4" t="s">
        <v>14771</v>
      </c>
      <c r="B11745" s="4" t="s">
        <v>14774</v>
      </c>
      <c r="C11745" s="5" t="str">
        <f>IFERROR(__xludf.DUMMYFUNCTION("GOOGLETRANSLATE(B11745,""en"",""it"")"),"Vengono mostrati altri scatti di celebrazione e i compagni di squadra si abbracciano tutti.")</f>
        <v>Vengono mostrati altri scatti di celebrazione e i compagni di squadra si abbracciano tutti.</v>
      </c>
    </row>
    <row r="11746">
      <c r="A11746" s="4" t="s">
        <v>14775</v>
      </c>
      <c r="B11746" s="4" t="s">
        <v>14776</v>
      </c>
      <c r="C11746" s="5" t="str">
        <f>IFERROR(__xludf.DUMMYFUNCTION("GOOGLETRANSLATE(B11746,""en"",""it"")"),"Un ragazzo è in piedi nell'erba che oscilla una mazza contro una pinata.")</f>
        <v>Un ragazzo è in piedi nell'erba che oscilla una mazza contro una pinata.</v>
      </c>
    </row>
    <row r="11747">
      <c r="A11747" s="4" t="s">
        <v>14775</v>
      </c>
      <c r="B11747" s="4" t="s">
        <v>14777</v>
      </c>
      <c r="C11747" s="5" t="str">
        <f>IFERROR(__xludf.DUMMYFUNCTION("GOOGLETRANSLATE(B11747,""en"",""it"")"),"Le persone stanno guardando il ragazzo.")</f>
        <v>Le persone stanno guardando il ragazzo.</v>
      </c>
    </row>
    <row r="11748">
      <c r="A11748" s="4" t="s">
        <v>14775</v>
      </c>
      <c r="B11748" s="4" t="s">
        <v>14778</v>
      </c>
      <c r="C11748" s="5" t="str">
        <f>IFERROR(__xludf.DUMMYFUNCTION("GOOGLETRANSLATE(B11748,""en"",""it"")"),"Una ragazza in costume da bagno blu prende la mazza e inizia a oscillare al Pinata.")</f>
        <v>Una ragazza in costume da bagno blu prende la mazza e inizia a oscillare al Pinata.</v>
      </c>
    </row>
    <row r="11749">
      <c r="A11749" s="4" t="s">
        <v>14779</v>
      </c>
      <c r="B11749" s="4" t="s">
        <v>14780</v>
      </c>
      <c r="C11749" s="5" t="str">
        <f>IFERROR(__xludf.DUMMYFUNCTION("GOOGLETRANSLATE(B11749,""en"",""it"")"),"Vediamo una GoPro e la scheda del titolo.")</f>
        <v>Vediamo una GoPro e la scheda del titolo.</v>
      </c>
    </row>
    <row r="11750">
      <c r="A11750" s="4" t="s">
        <v>14779</v>
      </c>
      <c r="B11750" s="6" t="s">
        <v>14781</v>
      </c>
      <c r="C11750" s="5" t="str">
        <f>IFERROR(__xludf.DUMMYFUNCTION("GOOGLETRANSLATE(B11750,""en"",""it"")"),"Vediamo l'acqua e una barca piena di persone che cavalcano sull'acqua e mettiamo abiti bagnati ed entrano in acqua.")</f>
        <v>Vediamo l'acqua e una barca piena di persone che cavalcano sull'acqua e mettiamo abiti bagnati ed entrano in acqua.</v>
      </c>
    </row>
    <row r="11751">
      <c r="A11751" s="4" t="s">
        <v>14779</v>
      </c>
      <c r="B11751" s="4" t="s">
        <v>14782</v>
      </c>
      <c r="C11751" s="5" t="str">
        <f>IFERROR(__xludf.DUMMYFUNCTION("GOOGLETRANSLATE(B11751,""en"",""it"")"),"Vediamo le persone sott'acqua nuotare in giro.")</f>
        <v>Vediamo le persone sott'acqua nuotare in giro.</v>
      </c>
    </row>
    <row r="11752">
      <c r="A11752" s="4" t="s">
        <v>14779</v>
      </c>
      <c r="B11752" s="4" t="s">
        <v>14783</v>
      </c>
      <c r="C11752" s="5" t="str">
        <f>IFERROR(__xludf.DUMMYFUNCTION("GOOGLETRANSLATE(B11752,""en"",""it"")"),"Una persona nuota in un crepaccio.")</f>
        <v>Una persona nuota in un crepaccio.</v>
      </c>
    </row>
    <row r="11753">
      <c r="A11753" s="4" t="s">
        <v>14779</v>
      </c>
      <c r="B11753" s="4" t="s">
        <v>14784</v>
      </c>
      <c r="C11753" s="5" t="str">
        <f>IFERROR(__xludf.DUMMYFUNCTION("GOOGLETRANSLATE(B11753,""en"",""it"")"),"Vediamo un animale su una roccia.")</f>
        <v>Vediamo un animale su una roccia.</v>
      </c>
    </row>
    <row r="11754">
      <c r="A11754" s="4" t="s">
        <v>14779</v>
      </c>
      <c r="B11754" s="4" t="s">
        <v>14785</v>
      </c>
      <c r="C11754" s="5" t="str">
        <f>IFERROR(__xludf.DUMMYFUNCTION("GOOGLETRANSLATE(B11754,""en"",""it"")"),"Vediamo parte di una nave.")</f>
        <v>Vediamo parte di una nave.</v>
      </c>
    </row>
    <row r="11755">
      <c r="A11755" s="4" t="s">
        <v>14779</v>
      </c>
      <c r="B11755" s="4" t="s">
        <v>14786</v>
      </c>
      <c r="C11755" s="5" t="str">
        <f>IFERROR(__xludf.DUMMYFUNCTION("GOOGLETRANSLATE(B11755,""en"",""it"")"),"Ci vengono mostrate varie vita marine.")</f>
        <v>Ci vengono mostrate varie vita marine.</v>
      </c>
    </row>
    <row r="11756">
      <c r="A11756" s="4" t="s">
        <v>14779</v>
      </c>
      <c r="B11756" s="4" t="s">
        <v>14787</v>
      </c>
      <c r="C11756" s="5" t="str">
        <f>IFERROR(__xludf.DUMMYFUNCTION("GOOGLETRANSLATE(B11756,""en"",""it"")"),"Vediamo le persone vicino alla nave.")</f>
        <v>Vediamo le persone vicino alla nave.</v>
      </c>
    </row>
    <row r="11757">
      <c r="A11757" s="4" t="s">
        <v>14779</v>
      </c>
      <c r="B11757" s="4" t="s">
        <v>14788</v>
      </c>
      <c r="C11757" s="5" t="str">
        <f>IFERROR(__xludf.DUMMYFUNCTION("GOOGLETRANSLATE(B11757,""en"",""it"")"),"Le persone stanno tenendo un grande allegria di mare.")</f>
        <v>Le persone stanno tenendo un grande allegria di mare.</v>
      </c>
    </row>
    <row r="11758">
      <c r="A11758" s="4" t="s">
        <v>14779</v>
      </c>
      <c r="B11758" s="4" t="s">
        <v>14789</v>
      </c>
      <c r="C11758" s="5" t="str">
        <f>IFERROR(__xludf.DUMMYFUNCTION("GOOGLETRANSLATE(B11758,""en"",""it"")"),"Vediamo una grande tartaruga sottomarina a terra.")</f>
        <v>Vediamo una grande tartaruga sottomarina a terra.</v>
      </c>
    </row>
    <row r="11759">
      <c r="A11759" s="4" t="s">
        <v>14779</v>
      </c>
      <c r="B11759" s="4" t="s">
        <v>14790</v>
      </c>
      <c r="C11759" s="5" t="str">
        <f>IFERROR(__xludf.DUMMYFUNCTION("GOOGLETRANSLATE(B11759,""en"",""it"")"),"Bubble galleggia in superficie e il video termina.")</f>
        <v>Bubble galleggia in superficie e il video termina.</v>
      </c>
    </row>
    <row r="11760">
      <c r="A11760" s="4" t="s">
        <v>14791</v>
      </c>
      <c r="B11760" s="6" t="s">
        <v>14792</v>
      </c>
      <c r="C11760" s="5" t="str">
        <f>IFERROR(__xludf.DUMMYFUNCTION("GOOGLETRANSLATE(B11760,""en"",""it"")"),"Viene visualizzato uno schermo introduttivo nero con parole bianche e nota la posizione, la gente e la torta che faranno.")</f>
        <v>Viene visualizzato uno schermo introduttivo nero con parole bianche e nota la posizione, la gente e la torta che faranno.</v>
      </c>
    </row>
    <row r="11761">
      <c r="A11761" s="4" t="s">
        <v>14791</v>
      </c>
      <c r="B11761" s="6" t="s">
        <v>14793</v>
      </c>
      <c r="C11761" s="5" t="str">
        <f>IFERROR(__xludf.DUMMYFUNCTION("GOOGLETRANSLATE(B11761,""en"",""it"")"),"Un uomo e una donna che indossano grembiuli rossi appaiono in cucina con un mixer di aiuti da cucina bianca di fronte a loro e uno striscione sullo schermo che mostra tutti gli ingredienti.")</f>
        <v>Un uomo e una donna che indossano grembiuli rossi appaiono in cucina con un mixer di aiuti da cucina bianca di fronte a loro e uno striscione sullo schermo che mostra tutti gli ingredienti.</v>
      </c>
    </row>
    <row r="11762">
      <c r="A11762" s="4" t="s">
        <v>14791</v>
      </c>
      <c r="B11762" s="6" t="s">
        <v>14794</v>
      </c>
      <c r="C11762" s="5" t="str">
        <f>IFERROR(__xludf.DUMMYFUNCTION("GOOGLETRANSLATE(B11762,""en"",""it"")"),"La vista quindi cambia in un colpo dall'alto per mostrare ciò che sta facendo l'uomo e il banner sullo schermo mostra ancora gli ingredienti che vengono utilizzati.")</f>
        <v>La vista quindi cambia in un colpo dall'alto per mostrare ciò che sta facendo l'uomo e il banner sullo schermo mostra ancora gli ingredienti che vengono utilizzati.</v>
      </c>
    </row>
    <row r="11763">
      <c r="A11763" s="4" t="s">
        <v>14791</v>
      </c>
      <c r="B11763" s="4" t="s">
        <v>14795</v>
      </c>
      <c r="C11763" s="5" t="str">
        <f>IFERROR(__xludf.DUMMYFUNCTION("GOOGLETRANSLATE(B11763,""en"",""it"")"),"La vista cambia da una parte anteriore a un angolo superiore mentre l'uomo sta mescolando gli ingredienti.")</f>
        <v>La vista cambia da una parte anteriore a un angolo superiore mentre l'uomo sta mescolando gli ingredienti.</v>
      </c>
    </row>
    <row r="11764">
      <c r="A11764" s="4" t="s">
        <v>14791</v>
      </c>
      <c r="B11764" s="6" t="s">
        <v>14796</v>
      </c>
      <c r="C11764" s="5" t="str">
        <f>IFERROR(__xludf.DUMMYFUNCTION("GOOGLETRANSLATE(B11764,""en"",""it"")"),"La vista torna quindi a una vista frontale e l'uomo sposta l'aiuto della cucina di lato e afferra il bancone dietro di loro, una torta al forno e un piatto con una fetta di torta.")</f>
        <v>La vista torna quindi a una vista frontale e l'uomo sposta l'aiuto della cucina di lato e afferra il bancone dietro di loro, una torta al forno e un piatto con una fetta di torta.</v>
      </c>
    </row>
    <row r="11765">
      <c r="A11765" s="4" t="s">
        <v>14791</v>
      </c>
      <c r="B11765" s="6" t="s">
        <v>14797</v>
      </c>
      <c r="C11765" s="5" t="str">
        <f>IFERROR(__xludf.DUMMYFUNCTION("GOOGLETRANSLATE(B11765,""en"",""it"")"),"L'outro include una foto dell'uomo e della donna in piedi insieme, i loro nomi, il nome della torta che hanno fatto, il loro indirizzo e la stazione di notizie che l'ha trasmessa.")</f>
        <v>L'outro include una foto dell'uomo e della donna in piedi insieme, i loro nomi, il nome della torta che hanno fatto, il loro indirizzo e la stazione di notizie che l'ha trasmessa.</v>
      </c>
    </row>
    <row r="11766">
      <c r="A11766" s="4" t="s">
        <v>14791</v>
      </c>
      <c r="B11766" s="4" t="s">
        <v>14798</v>
      </c>
      <c r="C11766" s="5" t="str">
        <f>IFERROR(__xludf.DUMMYFUNCTION("GOOGLETRANSLATE(B11766,""en"",""it"")"),"I crediti iniziano quindi a scorrere dal basso verso la parte superiore su uno schermo nero con lettere bianche.")</f>
        <v>I crediti iniziano quindi a scorrere dal basso verso la parte superiore su uno schermo nero con lettere bianche.</v>
      </c>
    </row>
    <row r="11767">
      <c r="A11767" s="4" t="s">
        <v>14799</v>
      </c>
      <c r="B11767" s="4" t="s">
        <v>14800</v>
      </c>
      <c r="C11767" s="5" t="str">
        <f>IFERROR(__xludf.DUMMYFUNCTION("GOOGLETRANSLATE(B11767,""en"",""it"")"),"Un gruppo di uomini sta giocando a calcio.")</f>
        <v>Un gruppo di uomini sta giocando a calcio.</v>
      </c>
    </row>
    <row r="11768">
      <c r="A11768" s="4" t="s">
        <v>14799</v>
      </c>
      <c r="B11768" s="4" t="s">
        <v>14801</v>
      </c>
      <c r="C11768" s="5" t="str">
        <f>IFERROR(__xludf.DUMMYFUNCTION("GOOGLETRANSLATE(B11768,""en"",""it"")"),"Un giocatore dà il via alla palla in porta prima di andare per il goal avversario.")</f>
        <v>Un giocatore dà il via alla palla in porta prima di andare per il goal avversario.</v>
      </c>
    </row>
    <row r="11769">
      <c r="A11769" s="4" t="s">
        <v>14799</v>
      </c>
      <c r="B11769" s="4" t="s">
        <v>14802</v>
      </c>
      <c r="C11769" s="5" t="str">
        <f>IFERROR(__xludf.DUMMYFUNCTION("GOOGLETRANSLATE(B11769,""en"",""it"")"),"Continuano a combattere per la palla per un lungo periodo.")</f>
        <v>Continuano a combattere per la palla per un lungo periodo.</v>
      </c>
    </row>
    <row r="11770">
      <c r="A11770" s="4" t="s">
        <v>14803</v>
      </c>
      <c r="B11770" s="6" t="s">
        <v>14804</v>
      </c>
      <c r="C11770" s="5" t="str">
        <f>IFERROR(__xludf.DUMMYFUNCTION("GOOGLETRANSLATE(B11770,""en"",""it"")"),"Una camicia a strisce bianche è in piedi accanto a un ragazzo, sono in piedi al bancone, tagliano il lato del pane, si diffondono su di esso, rotolano il pane in plastica, tagliano il lato del pane, mettono carne Sul pane, grattugiato il formaggio, arroto"&amp;"lare il pane nella plastica.")</f>
        <v>Una camicia a strisce bianche è in piedi accanto a un ragazzo, sono in piedi al bancone, tagliano il lato del pane, si diffondono su di esso, rotolano il pane in plastica, tagliano il lato del pane, mettono carne Sul pane, grattugiato il formaggio, arrotolare il pane nella plastica.</v>
      </c>
    </row>
    <row r="11771">
      <c r="A11771" s="4" t="s">
        <v>14803</v>
      </c>
      <c r="B11771" s="4" t="s">
        <v>14805</v>
      </c>
      <c r="C11771" s="5" t="str">
        <f>IFERROR(__xludf.DUMMYFUNCTION("GOOGLETRANSLATE(B11771,""en"",""it"")"),"La donna ha tagliato la plastica con il pane, poi la mise in un piatto rettangolo.")</f>
        <v>La donna ha tagliato la plastica con il pane, poi la mise in un piatto rettangolo.</v>
      </c>
    </row>
    <row r="11772">
      <c r="A11772" s="4" t="s">
        <v>14806</v>
      </c>
      <c r="B11772" s="4" t="s">
        <v>14807</v>
      </c>
      <c r="C11772" s="5" t="str">
        <f>IFERROR(__xludf.DUMMYFUNCTION("GOOGLETRANSLATE(B11772,""en"",""it"")"),"Una donna è seduta su una sedia che suona una fisarmonica.")</f>
        <v>Una donna è seduta su una sedia che suona una fisarmonica.</v>
      </c>
    </row>
    <row r="11773">
      <c r="A11773" s="4" t="s">
        <v>14806</v>
      </c>
      <c r="B11773" s="4" t="s">
        <v>14808</v>
      </c>
      <c r="C11773" s="5" t="str">
        <f>IFERROR(__xludf.DUMMYFUNCTION("GOOGLETRANSLATE(B11773,""en"",""it"")"),"Smette di giocare e mette giù il braccio.")</f>
        <v>Smette di giocare e mette giù il braccio.</v>
      </c>
    </row>
    <row r="11774">
      <c r="A11774" s="4" t="s">
        <v>14806</v>
      </c>
      <c r="B11774" s="4" t="s">
        <v>14809</v>
      </c>
      <c r="C11774" s="5" t="str">
        <f>IFERROR(__xludf.DUMMYFUNCTION("GOOGLETRANSLATE(B11774,""en"",""it"")"),"Le parole lampeggiano sullo schermo.")</f>
        <v>Le parole lampeggiano sullo schermo.</v>
      </c>
    </row>
    <row r="11775">
      <c r="A11775" s="4" t="s">
        <v>14810</v>
      </c>
      <c r="B11775" s="4" t="s">
        <v>14811</v>
      </c>
      <c r="C11775" s="5" t="str">
        <f>IFERROR(__xludf.DUMMYFUNCTION("GOOGLETRANSLATE(B11775,""en"",""it"")"),"Una persona rade le gambe posteriori di un uomo che usa un rasoio mentre giace a faccia in giù.")</f>
        <v>Una persona rade le gambe posteriori di un uomo che usa un rasoio mentre giace a faccia in giù.</v>
      </c>
    </row>
    <row r="11776">
      <c r="A11776" s="4" t="s">
        <v>14810</v>
      </c>
      <c r="B11776" s="4" t="s">
        <v>14812</v>
      </c>
      <c r="C11776" s="5" t="str">
        <f>IFERROR(__xludf.DUMMYFUNCTION("GOOGLETRANSLATE(B11776,""en"",""it"")"),"Quindi l'uomo si alza a faccia in su e la persona inizia a radersi le gambe.")</f>
        <v>Quindi l'uomo si alza a faccia in su e la persona inizia a radersi le gambe.</v>
      </c>
    </row>
    <row r="11777">
      <c r="A11777" s="4" t="s">
        <v>14810</v>
      </c>
      <c r="B11777" s="6" t="s">
        <v>14813</v>
      </c>
      <c r="C11777" s="5" t="str">
        <f>IFERROR(__xludf.DUMMYFUNCTION("GOOGLETRANSLATE(B11777,""en"",""it"")"),"Dopo, la persona usa una macchina sulle gambe, quindi un'immagine mostra le gambe prima e dopo la rasatura.")</f>
        <v>Dopo, la persona usa una macchina sulle gambe, quindi un'immagine mostra le gambe prima e dopo la rasatura.</v>
      </c>
    </row>
    <row r="11778">
      <c r="A11778" s="4" t="s">
        <v>14814</v>
      </c>
      <c r="B11778" s="4" t="s">
        <v>14815</v>
      </c>
      <c r="C11778" s="5" t="str">
        <f>IFERROR(__xludf.DUMMYFUNCTION("GOOGLETRANSLATE(B11778,""en"",""it"")"),"Una donna dietro una recinzione guarda un gruppo di giocatori in un campo.")</f>
        <v>Una donna dietro una recinzione guarda un gruppo di giocatori in un campo.</v>
      </c>
    </row>
    <row r="11779">
      <c r="A11779" s="4" t="s">
        <v>14814</v>
      </c>
      <c r="B11779" s="4" t="s">
        <v>14816</v>
      </c>
      <c r="C11779" s="5" t="str">
        <f>IFERROR(__xludf.DUMMYFUNCTION("GOOGLETRANSLATE(B11779,""en"",""it"")"),"Una vecchia signora passa dietro la donna.")</f>
        <v>Una vecchia signora passa dietro la donna.</v>
      </c>
    </row>
    <row r="11780">
      <c r="A11780" s="4" t="s">
        <v>14814</v>
      </c>
      <c r="B11780" s="4" t="s">
        <v>14817</v>
      </c>
      <c r="C11780" s="5" t="str">
        <f>IFERROR(__xludf.DUMMYFUNCTION("GOOGLETRANSLATE(B11780,""en"",""it"")"),"Le persone giocano a lanciarsi in un campo.")</f>
        <v>Le persone giocano a lanciarsi in un campo.</v>
      </c>
    </row>
    <row r="11781">
      <c r="A11781" s="4" t="s">
        <v>14818</v>
      </c>
      <c r="B11781" s="4" t="s">
        <v>14819</v>
      </c>
      <c r="C11781" s="5" t="str">
        <f>IFERROR(__xludf.DUMMYFUNCTION("GOOGLETRANSLATE(B11781,""en"",""it"")"),"Un uomo mette uno pneumatico sopra una macchina e ruota la rima.")</f>
        <v>Un uomo mette uno pneumatico sopra una macchina e ruota la rima.</v>
      </c>
    </row>
    <row r="11782">
      <c r="A11782" s="4" t="s">
        <v>14818</v>
      </c>
      <c r="B11782" s="4" t="s">
        <v>14820</v>
      </c>
      <c r="C11782" s="5" t="str">
        <f>IFERROR(__xludf.DUMMYFUNCTION("GOOGLETRANSLATE(B11782,""en"",""it"")"),"Quindi, l'uomo usa uno strumento per perdere la rima, quindi la macchina rimuove lo pneumatico in gomma.")</f>
        <v>Quindi, l'uomo usa uno strumento per perdere la rima, quindi la macchina rimuove lo pneumatico in gomma.</v>
      </c>
    </row>
    <row r="11783">
      <c r="A11783" s="4" t="s">
        <v>14818</v>
      </c>
      <c r="B11783" s="6" t="s">
        <v>14821</v>
      </c>
      <c r="C11783" s="5" t="str">
        <f>IFERROR(__xludf.DUMMYFUNCTION("GOOGLETRANSLATE(B11783,""en"",""it"")"),"Dopo, l'uomo prende la colla e spazzola il pneumatico, quindi usando la macchina mette il pneumatico in gomma nel bordo.")</f>
        <v>Dopo, l'uomo prende la colla e spazzola il pneumatico, quindi usando la macchina mette il pneumatico in gomma nel bordo.</v>
      </c>
    </row>
    <row r="11784">
      <c r="A11784" s="4" t="s">
        <v>14822</v>
      </c>
      <c r="B11784" s="4" t="s">
        <v>14823</v>
      </c>
      <c r="C11784" s="5" t="str">
        <f>IFERROR(__xludf.DUMMYFUNCTION("GOOGLETRANSLATE(B11784,""en"",""it"")"),"Diverse persone sono all'aperto, una delle quali è cavalcare ed eseguire trucchi su uno skateboard.")</f>
        <v>Diverse persone sono all'aperto, una delle quali è cavalcare ed eseguire trucchi su uno skateboard.</v>
      </c>
    </row>
    <row r="11785">
      <c r="A11785" s="4" t="s">
        <v>14822</v>
      </c>
      <c r="B11785" s="6" t="s">
        <v>14824</v>
      </c>
      <c r="C11785" s="5" t="str">
        <f>IFERROR(__xludf.DUMMYFUNCTION("GOOGLETRANSLATE(B11785,""en"",""it"")"),"L'uomo entra in un gruppo di persone davanti a un altro uomo, poi un altro viene mostrato in discesa per strada cavalcando i loro skateboard.")</f>
        <v>L'uomo entra in un gruppo di persone davanti a un altro uomo, poi un altro viene mostrato in discesa per strada cavalcando i loro skateboard.</v>
      </c>
    </row>
    <row r="11786">
      <c r="A11786" s="4" t="s">
        <v>14822</v>
      </c>
      <c r="B11786" s="4" t="s">
        <v>14825</v>
      </c>
      <c r="C11786" s="5" t="str">
        <f>IFERROR(__xludf.DUMMYFUNCTION("GOOGLETRANSLATE(B11786,""en"",""it"")"),"Eseguono diversi trucchi e lancia mentre vanno.")</f>
        <v>Eseguono diversi trucchi e lancia mentre vanno.</v>
      </c>
    </row>
    <row r="11787">
      <c r="A11787" s="4" t="s">
        <v>14822</v>
      </c>
      <c r="B11787" s="4" t="s">
        <v>14826</v>
      </c>
      <c r="C11787" s="5" t="str">
        <f>IFERROR(__xludf.DUMMYFUNCTION("GOOGLETRANSLATE(B11787,""en"",""it"")"),"La gente applaude come il vincitore viene annunciato.")</f>
        <v>La gente applaude come il vincitore viene annunciato.</v>
      </c>
    </row>
    <row r="11788">
      <c r="A11788" s="4" t="s">
        <v>14827</v>
      </c>
      <c r="B11788" s="4" t="s">
        <v>14828</v>
      </c>
      <c r="C11788" s="5" t="str">
        <f>IFERROR(__xludf.DUMMYFUNCTION("GOOGLETRANSLATE(B11788,""en"",""it"")"),"Gli uomini stanno sollevando pesi pesanti sopra la testa più volte.")</f>
        <v>Gli uomini stanno sollevando pesi pesanti sopra la testa più volte.</v>
      </c>
    </row>
    <row r="11789">
      <c r="A11789" s="4" t="s">
        <v>14827</v>
      </c>
      <c r="B11789" s="4" t="s">
        <v>14829</v>
      </c>
      <c r="C11789" s="5" t="str">
        <f>IFERROR(__xludf.DUMMYFUNCTION("GOOGLETRANSLATE(B11789,""en"",""it"")"),"Un uomo con una camicia blu sta guardando uno degli uomini.")</f>
        <v>Un uomo con una camicia blu sta guardando uno degli uomini.</v>
      </c>
    </row>
    <row r="11790">
      <c r="A11790" s="4" t="s">
        <v>14827</v>
      </c>
      <c r="B11790" s="4" t="s">
        <v>14830</v>
      </c>
      <c r="C11790" s="5" t="str">
        <f>IFERROR(__xludf.DUMMYFUNCTION("GOOGLETRANSLATE(B11790,""en"",""it"")"),"Un uomo con una camicia grigia sta imitando la persona che solleva il peso.")</f>
        <v>Un uomo con una camicia grigia sta imitando la persona che solleva il peso.</v>
      </c>
    </row>
    <row r="11791">
      <c r="A11791" s="4" t="s">
        <v>14831</v>
      </c>
      <c r="B11791" s="6" t="s">
        <v>14832</v>
      </c>
      <c r="C11791" s="5" t="str">
        <f>IFERROR(__xludf.DUMMYFUNCTION("GOOGLETRANSLATE(B11791,""en"",""it"")"),"Un folto gruppo di bambini viene visto praticare esercitazioni di basket su un campo e passare rapidamente la palla.")</f>
        <v>Un folto gruppo di bambini viene visto praticare esercitazioni di basket su un campo e passare rapidamente la palla.</v>
      </c>
    </row>
    <row r="11792">
      <c r="A11792" s="4" t="s">
        <v>14831</v>
      </c>
      <c r="B11792" s="6" t="s">
        <v>14833</v>
      </c>
      <c r="C11792" s="5" t="str">
        <f>IFERROR(__xludf.DUMMYFUNCTION("GOOGLETRANSLATE(B11792,""en"",""it"")"),"Diversi ragazzi fanno cestini mentre si parlano ancora un allenatore che si muove e parla ai ragazzi.")</f>
        <v>Diversi ragazzi fanno cestini mentre si parlano ancora un allenatore che si muove e parla ai ragazzi.</v>
      </c>
    </row>
    <row r="11793">
      <c r="A11793" s="4" t="s">
        <v>14831</v>
      </c>
      <c r="B11793" s="4" t="s">
        <v>14834</v>
      </c>
      <c r="C11793" s="5" t="str">
        <f>IFERROR(__xludf.DUMMYFUNCTION("GOOGLETRANSLATE(B11793,""en"",""it"")"),"Si allontana e vengono mostrati altri esercitazioni con i ragazzi.")</f>
        <v>Si allontana e vengono mostrati altri esercitazioni con i ragazzi.</v>
      </c>
    </row>
    <row r="11794">
      <c r="A11794" s="4" t="s">
        <v>14835</v>
      </c>
      <c r="B11794" s="4" t="s">
        <v>14836</v>
      </c>
      <c r="C11794" s="5" t="str">
        <f>IFERROR(__xludf.DUMMYFUNCTION("GOOGLETRANSLATE(B11794,""en"",""it"")"),"Diversi primi piani di piante sono mostrati con un uomo che cammina nel telaio e che parla alla telecamera.")</f>
        <v>Diversi primi piani di piante sono mostrati con un uomo che cammina nel telaio e che parla alla telecamera.</v>
      </c>
    </row>
    <row r="11795">
      <c r="A11795" s="4" t="s">
        <v>14835</v>
      </c>
      <c r="B11795" s="6" t="s">
        <v>14837</v>
      </c>
      <c r="C11795" s="5" t="str">
        <f>IFERROR(__xludf.DUMMYFUNCTION("GOOGLETRANSLATE(B11795,""en"",""it"")"),"L'uomo continua a parlare mentre indica la telecamera e inizia a gettare pacciame per mettere tutte le piante.")</f>
        <v>L'uomo continua a parlare mentre indica la telecamera e inizia a gettare pacciame per mettere tutte le piante.</v>
      </c>
    </row>
    <row r="11796">
      <c r="A11796" s="4" t="s">
        <v>14835</v>
      </c>
      <c r="B11796" s="4" t="s">
        <v>14838</v>
      </c>
      <c r="C11796" s="5" t="str">
        <f>IFERROR(__xludf.DUMMYFUNCTION("GOOGLETRANSLATE(B11796,""en"",""it"")"),"L'uomo continua a spingere lo sporco e termina annaffiando tutte le piante.")</f>
        <v>L'uomo continua a spingere lo sporco e termina annaffiando tutte le piante.</v>
      </c>
    </row>
    <row r="11797">
      <c r="A11797" s="4" t="s">
        <v>14839</v>
      </c>
      <c r="B11797" s="6" t="s">
        <v>14840</v>
      </c>
      <c r="C11797" s="5" t="str">
        <f>IFERROR(__xludf.DUMMYFUNCTION("GOOGLETRANSLATE(B11797,""en"",""it"")"),"L'introduzione è uno schermo bianco, il sito Web in alto a sinistra, le parole ""Howcast originale"" appaiono e in seguito un'altra serie di parole che descrivono la lezione compaiono e legge ""Lezioni di violino per principianti vibrato"".")</f>
        <v>L'introduzione è uno schermo bianco, il sito Web in alto a sinistra, le parole "Howcast originale" appaiono e in seguito un'altra serie di parole che descrivono la lezione compaiono e legge "Lezioni di violino per principianti vibrato".</v>
      </c>
    </row>
    <row r="11798">
      <c r="A11798" s="4" t="s">
        <v>14839</v>
      </c>
      <c r="B11798" s="6" t="s">
        <v>14841</v>
      </c>
      <c r="C11798" s="5" t="str">
        <f>IFERROR(__xludf.DUMMYFUNCTION("GOOGLETRANSLATE(B11798,""en"",""it"")"),"Una donna di nome Julie Artzt Becker tiene il violino è seduta e parla davanti a uno schermo blu.")</f>
        <v>Una donna di nome Julie Artzt Becker tiene il violino è seduta e parla davanti a uno schermo blu.</v>
      </c>
    </row>
    <row r="11799">
      <c r="A11799" s="4" t="s">
        <v>14839</v>
      </c>
      <c r="B11799" s="4" t="s">
        <v>14842</v>
      </c>
      <c r="C11799" s="5" t="str">
        <f>IFERROR(__xludf.DUMMYFUNCTION("GOOGLETRANSLATE(B11799,""en"",""it"")"),"La donna mette il violino sul mento e continua a parlare.")</f>
        <v>La donna mette il violino sul mento e continua a parlare.</v>
      </c>
    </row>
    <row r="11800">
      <c r="A11800" s="4" t="s">
        <v>14839</v>
      </c>
      <c r="B11800" s="6" t="s">
        <v>14843</v>
      </c>
      <c r="C11800" s="5" t="str">
        <f>IFERROR(__xludf.DUMMYFUNCTION("GOOGLETRANSLATE(B11800,""en"",""it"")"),"La donna mette quindi le dita sulle corde e con l'altra mano tocca e punta sulle dita sulle corde e portando l'arco alle corde ogni tanto.")</f>
        <v>La donna mette quindi le dita sulle corde e con l'altra mano tocca e punta sulle dita sulle corde e portando l'arco alle corde ogni tanto.</v>
      </c>
    </row>
    <row r="11801">
      <c r="A11801" s="4" t="s">
        <v>14839</v>
      </c>
      <c r="B11801" s="6" t="s">
        <v>14844</v>
      </c>
      <c r="C11801" s="5" t="str">
        <f>IFERROR(__xludf.DUMMYFUNCTION("GOOGLETRANSLATE(B11801,""en"",""it"")"),"La donna parla durante l'intero video mentre dimostra i suoi movimenti o indica i suoi movimenti delle dita.")</f>
        <v>La donna parla durante l'intero video mentre dimostra i suoi movimenti o indica i suoi movimenti delle dita.</v>
      </c>
    </row>
    <row r="11802">
      <c r="A11802" s="4" t="s">
        <v>14839</v>
      </c>
      <c r="B11802" s="6" t="s">
        <v>14845</v>
      </c>
      <c r="C11802" s="5" t="str">
        <f>IFERROR(__xludf.DUMMYFUNCTION("GOOGLETRANSLATE(B11802,""en"",""it"")"),"Alla fine la donna smette di parlare e termina con un sorriso e le parole ""Howcast Original"" appaiono sullo schermo bianco.")</f>
        <v>Alla fine la donna smette di parlare e termina con un sorriso e le parole "Howcast Original" appaiono sullo schermo bianco.</v>
      </c>
    </row>
    <row r="11803">
      <c r="A11803" s="4" t="s">
        <v>14846</v>
      </c>
      <c r="B11803" s="4" t="s">
        <v>14847</v>
      </c>
      <c r="C11803" s="5" t="str">
        <f>IFERROR(__xludf.DUMMYFUNCTION("GOOGLETRANSLATE(B11803,""en"",""it"")"),"Due uomini stanno combattendo in una forma d'arte asiatica all'esterno.")</f>
        <v>Due uomini stanno combattendo in una forma d'arte asiatica all'esterno.</v>
      </c>
    </row>
    <row r="11804">
      <c r="A11804" s="4" t="s">
        <v>14846</v>
      </c>
      <c r="B11804" s="4" t="s">
        <v>14848</v>
      </c>
      <c r="C11804" s="5" t="str">
        <f>IFERROR(__xludf.DUMMYFUNCTION("GOOGLETRANSLATE(B11804,""en"",""it"")"),"Stanno prendendo altalene e colpi e calci a vicenda.")</f>
        <v>Stanno prendendo altalene e colpi e calci a vicenda.</v>
      </c>
    </row>
    <row r="11805">
      <c r="A11805" s="4" t="s">
        <v>14849</v>
      </c>
      <c r="B11805" s="4" t="s">
        <v>14850</v>
      </c>
      <c r="C11805" s="5" t="str">
        <f>IFERROR(__xludf.DUMMYFUNCTION("GOOGLETRANSLATE(B11805,""en"",""it"")"),"Un uomo è in piedi all'interno di una cucina davanti a un tavolino.")</f>
        <v>Un uomo è in piedi all'interno di una cucina davanti a un tavolino.</v>
      </c>
    </row>
    <row r="11806">
      <c r="A11806" s="4" t="s">
        <v>14849</v>
      </c>
      <c r="B11806" s="4" t="s">
        <v>14851</v>
      </c>
      <c r="C11806" s="5" t="str">
        <f>IFERROR(__xludf.DUMMYFUNCTION("GOOGLETRANSLATE(B11806,""en"",""it"")"),"Mostra e parla di olio d'oliva e succo di limone.")</f>
        <v>Mostra e parla di olio d'oliva e succo di limone.</v>
      </c>
    </row>
    <row r="11807">
      <c r="A11807" s="4" t="s">
        <v>14849</v>
      </c>
      <c r="B11807" s="4" t="s">
        <v>14852</v>
      </c>
      <c r="C11807" s="5" t="str">
        <f>IFERROR(__xludf.DUMMYFUNCTION("GOOGLETRANSLATE(B11807,""en"",""it"")"),"Usa gli oggetti per pulire e lucidare il tavolo dei graffi.")</f>
        <v>Usa gli oggetti per pulire e lucidare il tavolo dei graffi.</v>
      </c>
    </row>
    <row r="11808">
      <c r="A11808" s="4" t="s">
        <v>14853</v>
      </c>
      <c r="B11808" s="4" t="s">
        <v>14854</v>
      </c>
      <c r="C11808" s="5" t="str">
        <f>IFERROR(__xludf.DUMMYFUNCTION("GOOGLETRANSLATE(B11808,""en"",""it"")"),"Un'introduzione conduce in una donna che usa un pennello per spingere i capelli da un cane grosso.")</f>
        <v>Un'introduzione conduce in una donna che usa un pennello per spingere i capelli da un cane grosso.</v>
      </c>
    </row>
    <row r="11809">
      <c r="A11809" s="4" t="s">
        <v>14853</v>
      </c>
      <c r="B11809" s="6" t="s">
        <v>14855</v>
      </c>
      <c r="C11809" s="5" t="str">
        <f>IFERROR(__xludf.DUMMYFUNCTION("GOOGLETRANSLATE(B11809,""en"",""it"")"),"Continua a spazzolare molti altri cani e dando loro animali domestici prima di sedersi e accarezzarli.")</f>
        <v>Continua a spazzolare molti altri cani e dando loro animali domestici prima di sedersi e accarezzarli.</v>
      </c>
    </row>
    <row r="11810">
      <c r="A11810" s="4" t="s">
        <v>14856</v>
      </c>
      <c r="B11810" s="4" t="s">
        <v>14857</v>
      </c>
      <c r="C11810" s="5" t="str">
        <f>IFERROR(__xludf.DUMMYFUNCTION("GOOGLETRANSLATE(B11810,""en"",""it"")"),"Un uomo in occhiali parla alla fotocamera.")</f>
        <v>Un uomo in occhiali parla alla fotocamera.</v>
      </c>
    </row>
    <row r="11811">
      <c r="A11811" s="4" t="s">
        <v>14856</v>
      </c>
      <c r="B11811" s="4" t="s">
        <v>14858</v>
      </c>
      <c r="C11811" s="5" t="str">
        <f>IFERROR(__xludf.DUMMYFUNCTION("GOOGLETRANSLATE(B11811,""en"",""it"")"),"Dimostra una chiave intorno al collo e indica la sua tromba.")</f>
        <v>Dimostra una chiave intorno al collo e indica la sua tromba.</v>
      </c>
    </row>
    <row r="11812">
      <c r="A11812" s="4" t="s">
        <v>14856</v>
      </c>
      <c r="B11812" s="6" t="s">
        <v>14859</v>
      </c>
      <c r="C11812" s="5" t="str">
        <f>IFERROR(__xludf.DUMMYFUNCTION("GOOGLETRANSLATE(B11812,""en"",""it"")"),"Allega la chiave alla tromba e continua a parlare e dimostrare importanti caratteristiche della tromba.")</f>
        <v>Allega la chiave alla tromba e continua a parlare e dimostrare importanti caratteristiche della tromba.</v>
      </c>
    </row>
    <row r="11813">
      <c r="A11813" s="4" t="s">
        <v>14860</v>
      </c>
      <c r="B11813" s="4" t="s">
        <v>14861</v>
      </c>
      <c r="C11813" s="5" t="str">
        <f>IFERROR(__xludf.DUMMYFUNCTION("GOOGLETRANSLATE(B11813,""en"",""it"")"),"Due persone vengono viste sistemare un'auto e cambiare le gomme su un veicolo.")</f>
        <v>Due persone vengono viste sistemare un'auto e cambiare le gomme su un veicolo.</v>
      </c>
    </row>
    <row r="11814">
      <c r="A11814" s="4" t="s">
        <v>14860</v>
      </c>
      <c r="B11814" s="4" t="s">
        <v>14862</v>
      </c>
      <c r="C11814" s="5" t="str">
        <f>IFERROR(__xludf.DUMMYFUNCTION("GOOGLETRANSLATE(B11814,""en"",""it"")"),"Un altro uomo entra in un telaio e molti altri che registrano l'incidente.")</f>
        <v>Un altro uomo entra in un telaio e molti altri che registrano l'incidente.</v>
      </c>
    </row>
    <row r="11815">
      <c r="A11815" s="4" t="s">
        <v>14860</v>
      </c>
      <c r="B11815" s="4" t="s">
        <v>14863</v>
      </c>
      <c r="C11815" s="5" t="str">
        <f>IFERROR(__xludf.DUMMYFUNCTION("GOOGLETRANSLATE(B11815,""en"",""it"")"),"Una persona si arrampica in macchina e si allontana con tutti quelli che guardano.")</f>
        <v>Una persona si arrampica in macchina e si allontana con tutti quelli che guardano.</v>
      </c>
    </row>
    <row r="11816">
      <c r="A11816" s="4" t="s">
        <v>14864</v>
      </c>
      <c r="B11816" s="4" t="s">
        <v>14865</v>
      </c>
      <c r="C11816" s="5" t="str">
        <f>IFERROR(__xludf.DUMMYFUNCTION("GOOGLETRANSLATE(B11816,""en"",""it"")"),"Una persona tiene in mano un soffiatore di foglie rosse.")</f>
        <v>Una persona tiene in mano un soffiatore di foglie rosse.</v>
      </c>
    </row>
    <row r="11817">
      <c r="A11817" s="4" t="s">
        <v>14864</v>
      </c>
      <c r="B11817" s="4" t="s">
        <v>14866</v>
      </c>
      <c r="C11817" s="5" t="str">
        <f>IFERROR(__xludf.DUMMYFUNCTION("GOOGLETRANSLATE(B11817,""en"",""it"")"),"Cominciano a soffiare le foglie nel cortile.")</f>
        <v>Cominciano a soffiare le foglie nel cortile.</v>
      </c>
    </row>
    <row r="11818">
      <c r="A11818" s="4" t="s">
        <v>14864</v>
      </c>
      <c r="B11818" s="4" t="s">
        <v>14867</v>
      </c>
      <c r="C11818" s="5" t="str">
        <f>IFERROR(__xludf.DUMMYFUNCTION("GOOGLETRANSLATE(B11818,""en"",""it"")"),"Mostrano di nuovo il soffiatore di foglie.")</f>
        <v>Mostrano di nuovo il soffiatore di foglie.</v>
      </c>
    </row>
    <row r="11819">
      <c r="A11819" s="4" t="s">
        <v>14868</v>
      </c>
      <c r="B11819" s="6" t="s">
        <v>14869</v>
      </c>
      <c r="C11819" s="5" t="str">
        <f>IFERROR(__xludf.DUMMYFUNCTION("GOOGLETRANSLATE(B11819,""en"",""it"")"),"Un uomo più anziano e una giovane donna vengono visti girare attorno a un bastone mentre la ragazza è bendata e le persone sedute attorno all'orologio.")</f>
        <v>Un uomo più anziano e una giovane donna vengono visti girare attorno a un bastone mentre la ragazza è bendata e le persone sedute attorno all'orologio.</v>
      </c>
    </row>
    <row r="11820">
      <c r="A11820" s="4" t="s">
        <v>14868</v>
      </c>
      <c r="B11820" s="6" t="s">
        <v>14870</v>
      </c>
      <c r="C11820" s="5" t="str">
        <f>IFERROR(__xludf.DUMMYFUNCTION("GOOGLETRANSLATE(B11820,""en"",""it"")"),"La ragazza quindi fa oscillare il bastone attorno all'aria che mira al Pinata e colpisce l'oggetto più volte.")</f>
        <v>La ragazza quindi fa oscillare il bastone attorno all'aria che mira al Pinata e colpisce l'oggetto più volte.</v>
      </c>
    </row>
    <row r="11821">
      <c r="A11821" s="4" t="s">
        <v>14868</v>
      </c>
      <c r="B11821" s="4" t="s">
        <v>14871</v>
      </c>
      <c r="C11821" s="5" t="str">
        <f>IFERROR(__xludf.DUMMYFUNCTION("GOOGLETRANSLATE(B11821,""en"",""it"")"),"Continua a oscillare in aria fino alla fine quando finalmente la colpisce.")</f>
        <v>Continua a oscillare in aria fino alla fine quando finalmente la colpisce.</v>
      </c>
    </row>
    <row r="11822">
      <c r="A11822" s="4" t="s">
        <v>14872</v>
      </c>
      <c r="B11822" s="4" t="s">
        <v>14873</v>
      </c>
      <c r="C11822" s="5" t="str">
        <f>IFERROR(__xludf.DUMMYFUNCTION("GOOGLETRANSLATE(B11822,""en"",""it"")"),"Alcune persone sciano giù da una montagna e si stanno seguendo.")</f>
        <v>Alcune persone sciano giù da una montagna e si stanno seguendo.</v>
      </c>
    </row>
    <row r="11823">
      <c r="A11823" s="4" t="s">
        <v>14872</v>
      </c>
      <c r="B11823" s="4" t="s">
        <v>14874</v>
      </c>
      <c r="C11823" s="5" t="str">
        <f>IFERROR(__xludf.DUMMYFUNCTION("GOOGLETRANSLATE(B11823,""en"",""it"")"),"Finiscono andando sempre più velocemente fino a quando non finiscono.")</f>
        <v>Finiscono andando sempre più velocemente fino a quando non finiscono.</v>
      </c>
    </row>
    <row r="11824">
      <c r="A11824" s="4" t="s">
        <v>14875</v>
      </c>
      <c r="B11824" s="6" t="s">
        <v>14876</v>
      </c>
      <c r="C11824" s="5" t="str">
        <f>IFERROR(__xludf.DUMMYFUNCTION("GOOGLETRANSLATE(B11824,""en"",""it"")"),"Molti uomini sono in piedi all'aperto su un campo sterrato e ci sono due squadre in piedi lungo una corda mentre molte persone sono in piedi a guardarli.")</f>
        <v>Molti uomini sono in piedi all'aperto su un campo sterrato e ci sono due squadre in piedi lungo una corda mentre molte persone sono in piedi a guardarli.</v>
      </c>
    </row>
    <row r="11825">
      <c r="A11825" s="4" t="s">
        <v>14875</v>
      </c>
      <c r="B11825" s="6" t="s">
        <v>14877</v>
      </c>
      <c r="C11825" s="5" t="str">
        <f>IFERROR(__xludf.DUMMYFUNCTION("GOOGLETRANSLATE(B11825,""en"",""it"")"),"Gli uomini che indossano camicie gialle e blu prendono la corda e si mettono in posizione per giocare a rimorchiarsi.")</f>
        <v>Gli uomini che indossano camicie gialle e blu prendono la corda e si mettono in posizione per giocare a rimorchiarsi.</v>
      </c>
    </row>
    <row r="11826">
      <c r="A11826" s="4" t="s">
        <v>14875</v>
      </c>
      <c r="B11826" s="6" t="s">
        <v>14878</v>
      </c>
      <c r="C11826" s="5" t="str">
        <f>IFERROR(__xludf.DUMMYFUNCTION("GOOGLETRANSLATE(B11826,""en"",""it"")"),"All'improvviso gli uomini iniziano a tirare la corda mentre gli altri uomini li istruiranno e gli spettatori fanno il tifo.")</f>
        <v>All'improvviso gli uomini iniziano a tirare la corda mentre gli altri uomini li istruiranno e gli spettatori fanno il tifo.</v>
      </c>
    </row>
    <row r="11827">
      <c r="A11827" s="4" t="s">
        <v>14875</v>
      </c>
      <c r="B11827" s="6" t="s">
        <v>14879</v>
      </c>
      <c r="C11827" s="5" t="str">
        <f>IFERROR(__xludf.DUMMYFUNCTION("GOOGLETRANSLATE(B11827,""en"",""it"")"),"Gli uomini nelle camicie gialle e blu tirano facilmente la corda e hanno vinto mentre le persone intorno a loro tifano.")</f>
        <v>Gli uomini nelle camicie gialle e blu tirano facilmente la corda e hanno vinto mentre le persone intorno a loro tifano.</v>
      </c>
    </row>
    <row r="11828">
      <c r="A11828" s="4" t="s">
        <v>14880</v>
      </c>
      <c r="B11828" s="4" t="s">
        <v>14881</v>
      </c>
      <c r="C11828" s="5" t="str">
        <f>IFERROR(__xludf.DUMMYFUNCTION("GOOGLETRANSLATE(B11828,""en"",""it"")"),"Le sigarette sono posizionate su un tavolo.")</f>
        <v>Le sigarette sono posizionate su un tavolo.</v>
      </c>
    </row>
    <row r="11829">
      <c r="A11829" s="4" t="s">
        <v>14880</v>
      </c>
      <c r="B11829" s="4" t="s">
        <v>14882</v>
      </c>
      <c r="C11829" s="5" t="str">
        <f>IFERROR(__xludf.DUMMYFUNCTION("GOOGLETRANSLATE(B11829,""en"",""it"")"),"Qualcuno mescola le carte sul tavolo.")</f>
        <v>Qualcuno mescola le carte sul tavolo.</v>
      </c>
    </row>
    <row r="11830">
      <c r="A11830" s="4" t="s">
        <v>14880</v>
      </c>
      <c r="B11830" s="4" t="s">
        <v>14883</v>
      </c>
      <c r="C11830" s="5" t="str">
        <f>IFERROR(__xludf.DUMMYFUNCTION("GOOGLETRANSLATE(B11830,""en"",""it"")"),"Un uomo spinge una scopa dietro di loro.")</f>
        <v>Un uomo spinge una scopa dietro di loro.</v>
      </c>
    </row>
    <row r="11831">
      <c r="A11831" s="4" t="s">
        <v>14880</v>
      </c>
      <c r="B11831" s="4" t="s">
        <v>14884</v>
      </c>
      <c r="C11831" s="5" t="str">
        <f>IFERROR(__xludf.DUMMYFUNCTION("GOOGLETRANSLATE(B11831,""en"",""it"")"),"Continuano a giocare a carte al tavolo.")</f>
        <v>Continuano a giocare a carte al tavolo.</v>
      </c>
    </row>
    <row r="11832">
      <c r="A11832" s="4" t="s">
        <v>14885</v>
      </c>
      <c r="B11832" s="4" t="s">
        <v>14886</v>
      </c>
      <c r="C11832" s="5" t="str">
        <f>IFERROR(__xludf.DUMMYFUNCTION("GOOGLETRANSLATE(B11832,""en"",""it"")"),"Un video conduce in diverse clip di un uomo che esegue trucchi con un cane.")</f>
        <v>Un video conduce in diverse clip di un uomo che esegue trucchi con un cane.</v>
      </c>
    </row>
    <row r="11833">
      <c r="A11833" s="4" t="s">
        <v>14885</v>
      </c>
      <c r="B11833" s="6" t="s">
        <v>14887</v>
      </c>
      <c r="C11833" s="5" t="str">
        <f>IFERROR(__xludf.DUMMYFUNCTION("GOOGLETRANSLATE(B11833,""en"",""it"")"),"L'uomo continua a eseguire trucchi con il cane mentre la telecamera lo cattura da diverse angolazioni e altri che fanno trucchi con i loro cani.")</f>
        <v>L'uomo continua a eseguire trucchi con il cane mentre la telecamera lo cattura da diverse angolazioni e altri che fanno trucchi con i loro cani.</v>
      </c>
    </row>
    <row r="11834">
      <c r="A11834" s="4" t="s">
        <v>14888</v>
      </c>
      <c r="B11834" s="4" t="s">
        <v>14889</v>
      </c>
      <c r="C11834" s="5" t="str">
        <f>IFERROR(__xludf.DUMMYFUNCTION("GOOGLETRANSLATE(B11834,""en"",""it"")"),"Una bambina entra in un bagno e inizia a parlare con la telecamera.")</f>
        <v>Una bambina entra in un bagno e inizia a parlare con la telecamera.</v>
      </c>
    </row>
    <row r="11835">
      <c r="A11835" s="4" t="s">
        <v>14888</v>
      </c>
      <c r="B11835" s="4" t="s">
        <v>14890</v>
      </c>
      <c r="C11835" s="5" t="str">
        <f>IFERROR(__xludf.DUMMYFUNCTION("GOOGLETRANSLATE(B11835,""en"",""it"")"),"Il bagno si trasforma in una fabbrica.")</f>
        <v>Il bagno si trasforma in una fabbrica.</v>
      </c>
    </row>
    <row r="11836">
      <c r="A11836" s="4" t="s">
        <v>14888</v>
      </c>
      <c r="B11836" s="4" t="s">
        <v>14891</v>
      </c>
      <c r="C11836" s="5" t="str">
        <f>IFERROR(__xludf.DUMMYFUNCTION("GOOGLETRANSLATE(B11836,""en"",""it"")"),"La ragazza raccoglie uno spazzolino da denti e continua a parlare.")</f>
        <v>La ragazza raccoglie uno spazzolino da denti e continua a parlare.</v>
      </c>
    </row>
    <row r="11837">
      <c r="A11837" s="4" t="s">
        <v>14888</v>
      </c>
      <c r="B11837" s="4" t="s">
        <v>14892</v>
      </c>
      <c r="C11837" s="5" t="str">
        <f>IFERROR(__xludf.DUMMYFUNCTION("GOOGLETRANSLATE(B11837,""en"",""it"")"),"Il dentifricio viene applicato a uno spazzolino da dente.")</f>
        <v>Il dentifricio viene applicato a uno spazzolino da dente.</v>
      </c>
    </row>
    <row r="11838">
      <c r="A11838" s="4" t="s">
        <v>14888</v>
      </c>
      <c r="B11838" s="4" t="s">
        <v>14893</v>
      </c>
      <c r="C11838" s="5" t="str">
        <f>IFERROR(__xludf.DUMMYFUNCTION("GOOGLETRANSLATE(B11838,""en"",""it"")"),"La ragazza si sfiora i denti e la fabbrica torna in bagno.")</f>
        <v>La ragazza si sfiora i denti e la fabbrica torna in bagno.</v>
      </c>
    </row>
    <row r="11839">
      <c r="A11839" s="4" t="s">
        <v>14894</v>
      </c>
      <c r="B11839" s="4" t="s">
        <v>14895</v>
      </c>
      <c r="C11839" s="5" t="str">
        <f>IFERROR(__xludf.DUMMYFUNCTION("GOOGLETRANSLATE(B11839,""en"",""it"")"),"Un uomo sta parlando in un microfono.")</f>
        <v>Un uomo sta parlando in un microfono.</v>
      </c>
    </row>
    <row r="11840">
      <c r="A11840" s="4" t="s">
        <v>14894</v>
      </c>
      <c r="B11840" s="4" t="s">
        <v>14896</v>
      </c>
      <c r="C11840" s="5" t="str">
        <f>IFERROR(__xludf.DUMMYFUNCTION("GOOGLETRANSLATE(B11840,""en"",""it"")"),"Un uomo che indossa un mantello nero si sta razzando la barba.")</f>
        <v>Un uomo che indossa un mantello nero si sta razzando la barba.</v>
      </c>
    </row>
    <row r="11841">
      <c r="A11841" s="4" t="s">
        <v>14894</v>
      </c>
      <c r="B11841" s="4" t="s">
        <v>14897</v>
      </c>
      <c r="C11841" s="5" t="str">
        <f>IFERROR(__xludf.DUMMYFUNCTION("GOOGLETRANSLATE(B11841,""en"",""it"")"),"Una persona mette un asciugamano bianco sul viso dell'uomo.")</f>
        <v>Una persona mette un asciugamano bianco sul viso dell'uomo.</v>
      </c>
    </row>
    <row r="11842">
      <c r="A11842" s="4" t="s">
        <v>14894</v>
      </c>
      <c r="B11842" s="4" t="s">
        <v>14898</v>
      </c>
      <c r="C11842" s="5" t="str">
        <f>IFERROR(__xludf.DUMMYFUNCTION("GOOGLETRANSLATE(B11842,""en"",""it"")"),"Mette la crema da barba sul viso dell'uomo.")</f>
        <v>Mette la crema da barba sul viso dell'uomo.</v>
      </c>
    </row>
    <row r="11843">
      <c r="A11843" s="4" t="s">
        <v>14894</v>
      </c>
      <c r="B11843" s="4" t="s">
        <v>14899</v>
      </c>
      <c r="C11843" s="5" t="str">
        <f>IFERROR(__xludf.DUMMYFUNCTION("GOOGLETRANSLATE(B11843,""en"",""it"")"),"Quindi mette di nuovo un asciugamano sulla faccia dell'uomo.")</f>
        <v>Quindi mette di nuovo un asciugamano sulla faccia dell'uomo.</v>
      </c>
    </row>
    <row r="11844">
      <c r="A11844" s="4" t="s">
        <v>14894</v>
      </c>
      <c r="B11844" s="4" t="s">
        <v>14900</v>
      </c>
      <c r="C11844" s="5" t="str">
        <f>IFERROR(__xludf.DUMMYFUNCTION("GOOGLETRANSLATE(B11844,""en"",""it"")"),"Quindi rade la barba degli uomini con un rasoio.")</f>
        <v>Quindi rade la barba degli uomini con un rasoio.</v>
      </c>
    </row>
    <row r="11845">
      <c r="A11845" s="4" t="s">
        <v>14894</v>
      </c>
      <c r="B11845" s="4" t="s">
        <v>14901</v>
      </c>
      <c r="C11845" s="5" t="str">
        <f>IFERROR(__xludf.DUMMYFUNCTION("GOOGLETRANSLATE(B11845,""en"",""it"")"),"L'uomo mette di nuovo un asciugamano sul viso dell'altro uomo.")</f>
        <v>L'uomo mette di nuovo un asciugamano sul viso dell'altro uomo.</v>
      </c>
    </row>
    <row r="11846">
      <c r="A11846" s="4" t="s">
        <v>14894</v>
      </c>
      <c r="B11846" s="4" t="s">
        <v>14902</v>
      </c>
      <c r="C11846" s="5" t="str">
        <f>IFERROR(__xludf.DUMMYFUNCTION("GOOGLETRANSLATE(B11846,""en"",""it"")"),"Si toglie il mantello e si alza.")</f>
        <v>Si toglie il mantello e si alza.</v>
      </c>
    </row>
    <row r="11847">
      <c r="A11847" s="4" t="s">
        <v>14903</v>
      </c>
      <c r="B11847" s="4" t="s">
        <v>14904</v>
      </c>
      <c r="C11847" s="5" t="str">
        <f>IFERROR(__xludf.DUMMYFUNCTION("GOOGLETRANSLATE(B11847,""en"",""it"")"),"Un paio balla sul pavimento della sala da ballo con persone sedute ai tavoli nelle vicinanze.")</f>
        <v>Un paio balla sul pavimento della sala da ballo con persone sedute ai tavoli nelle vicinanze.</v>
      </c>
    </row>
    <row r="11848">
      <c r="A11848" s="4" t="s">
        <v>14903</v>
      </c>
      <c r="B11848" s="4" t="s">
        <v>14905</v>
      </c>
      <c r="C11848" s="5" t="str">
        <f>IFERROR(__xludf.DUMMYFUNCTION("GOOGLETRANSLATE(B11848,""en"",""it"")"),"Le persone nelle vicinanze scattano foto della coppia.")</f>
        <v>Le persone nelle vicinanze scattano foto della coppia.</v>
      </c>
    </row>
    <row r="11849">
      <c r="A11849" s="4" t="s">
        <v>14903</v>
      </c>
      <c r="B11849" s="4" t="s">
        <v>14906</v>
      </c>
      <c r="C11849" s="5" t="str">
        <f>IFERROR(__xludf.DUMMYFUNCTION("GOOGLETRANSLATE(B11849,""en"",""it"")"),"La coppia finisce e lascia la pista da ballo.")</f>
        <v>La coppia finisce e lascia la pista da ballo.</v>
      </c>
    </row>
    <row r="11850">
      <c r="A11850" s="4" t="s">
        <v>14907</v>
      </c>
      <c r="B11850" s="4" t="s">
        <v>14908</v>
      </c>
      <c r="C11850" s="5" t="str">
        <f>IFERROR(__xludf.DUMMYFUNCTION("GOOGLETRANSLATE(B11850,""en"",""it"")"),"Una ragazza mostra i suoi lunghi capelli fino alla vita.")</f>
        <v>Una ragazza mostra i suoi lunghi capelli fino alla vita.</v>
      </c>
    </row>
    <row r="11851">
      <c r="A11851" s="4" t="s">
        <v>14907</v>
      </c>
      <c r="B11851" s="4" t="s">
        <v>14909</v>
      </c>
      <c r="C11851" s="5" t="str">
        <f>IFERROR(__xludf.DUMMYFUNCTION("GOOGLETRANSLATE(B11851,""en"",""it"")"),"Quindi, un parrucchiere taglia i capelli della ragazza.")</f>
        <v>Quindi, un parrucchiere taglia i capelli della ragazza.</v>
      </c>
    </row>
    <row r="11852">
      <c r="A11852" s="4" t="s">
        <v>14907</v>
      </c>
      <c r="B11852" s="4" t="s">
        <v>14910</v>
      </c>
      <c r="C11852" s="5" t="str">
        <f>IFERROR(__xludf.DUMMYFUNCTION("GOOGLETRANSLATE(B11852,""en"",""it"")"),"Dopo, la ragazza mostra i suoi capelli corti e lunghi e due trecce.")</f>
        <v>Dopo, la ragazza mostra i suoi capelli corti e lunghi e due trecce.</v>
      </c>
    </row>
    <row r="11853">
      <c r="A11853" s="4" t="s">
        <v>14911</v>
      </c>
      <c r="B11853" s="4" t="s">
        <v>14912</v>
      </c>
      <c r="C11853" s="5" t="str">
        <f>IFERROR(__xludf.DUMMYFUNCTION("GOOGLETRANSLATE(B11853,""en"",""it"")"),"C'è una persona vestita con una pista blu che dimostra come usare una vogatrice.")</f>
        <v>C'è una persona vestita con una pista blu che dimostra come usare una vogatrice.</v>
      </c>
    </row>
    <row r="11854">
      <c r="A11854" s="4" t="s">
        <v>14911</v>
      </c>
      <c r="B11854" s="4" t="s">
        <v>14913</v>
      </c>
      <c r="C11854" s="5" t="str">
        <f>IFERROR(__xludf.DUMMYFUNCTION("GOOGLETRANSLATE(B11854,""en"",""it"")"),"Si siede sulla barra della macchina e fissa i piedi nel riposo.")</f>
        <v>Si siede sulla barra della macchina e fissa i piedi nel riposo.</v>
      </c>
    </row>
    <row r="11855">
      <c r="A11855" s="4" t="s">
        <v>14911</v>
      </c>
      <c r="B11855" s="4" t="s">
        <v>14914</v>
      </c>
      <c r="C11855" s="5" t="str">
        <f>IFERROR(__xludf.DUMMYFUNCTION("GOOGLETRANSLATE(B11855,""en"",""it"")"),"Quindi inizia tirando la corda verso il petto mentre raddrizzava le gambe.")</f>
        <v>Quindi inizia tirando la corda verso il petto mentre raddrizzava le gambe.</v>
      </c>
    </row>
    <row r="11856">
      <c r="A11856" s="4" t="s">
        <v>14911</v>
      </c>
      <c r="B11856" s="4" t="s">
        <v>14915</v>
      </c>
      <c r="C11856" s="5" t="str">
        <f>IFERROR(__xludf.DUMMYFUNCTION("GOOGLETRANSLATE(B11856,""en"",""it"")"),"Quindi continua a usare la macchina in avanti e indietro.")</f>
        <v>Quindi continua a usare la macchina in avanti e indietro.</v>
      </c>
    </row>
    <row r="11857">
      <c r="A11857" s="4" t="s">
        <v>14911</v>
      </c>
      <c r="B11857" s="4" t="s">
        <v>14916</v>
      </c>
      <c r="C11857" s="5" t="str">
        <f>IFERROR(__xludf.DUMMYFUNCTION("GOOGLETRANSLATE(B11857,""en"",""it"")"),"Poi si riposano rilasciando la corda e appoggiandosi all'indietro.")</f>
        <v>Poi si riposano rilasciando la corda e appoggiandosi all'indietro.</v>
      </c>
    </row>
    <row r="11858">
      <c r="A11858" s="4" t="s">
        <v>14917</v>
      </c>
      <c r="B11858" s="6" t="s">
        <v>14918</v>
      </c>
      <c r="C11858" s="5" t="str">
        <f>IFERROR(__xludf.DUMMYFUNCTION("GOOGLETRANSLATE(B11858,""en"",""it"")"),"Viene mostrato un primo piano di una sneaker seguita da una persona che accende un rubinetto e lascia che l'acqua corresse sopra la scarpa.")</f>
        <v>Viene mostrato un primo piano di una sneaker seguita da una persona che accende un rubinetto e lascia che l'acqua corresse sopra la scarpa.</v>
      </c>
    </row>
    <row r="11859">
      <c r="A11859" s="4" t="s">
        <v>14917</v>
      </c>
      <c r="B11859" s="6" t="s">
        <v>14919</v>
      </c>
      <c r="C11859" s="5" t="str">
        <f>IFERROR(__xludf.DUMMYFUNCTION("GOOGLETRANSLATE(B11859,""en"",""it"")"),"La persona prende quindi lo show polacco e inizia a strofinare la scarpa con uno spazzolino mentre la corri ancora sotto l'acqua.")</f>
        <v>La persona prende quindi lo show polacco e inizia a strofinare la scarpa con uno spazzolino mentre la corri ancora sotto l'acqua.</v>
      </c>
    </row>
    <row r="11860">
      <c r="A11860" s="4" t="s">
        <v>14917</v>
      </c>
      <c r="B11860" s="4" t="s">
        <v>14920</v>
      </c>
      <c r="C11860" s="5" t="str">
        <f>IFERROR(__xludf.DUMMYFUNCTION("GOOGLETRANSLATE(B11860,""en"",""it"")"),"La persona spegne l'acqua e presenta la scarpa nel lavandino.")</f>
        <v>La persona spegne l'acqua e presenta la scarpa nel lavandino.</v>
      </c>
    </row>
    <row r="11861">
      <c r="A11861" s="4" t="s">
        <v>14921</v>
      </c>
      <c r="B11861" s="4" t="s">
        <v>14922</v>
      </c>
      <c r="C11861" s="5" t="str">
        <f>IFERROR(__xludf.DUMMYFUNCTION("GOOGLETRANSLATE(B11861,""en"",""it"")"),"Una donna salta su due bar e fa una routine di ginnastica.")</f>
        <v>Una donna salta su due bar e fa una routine di ginnastica.</v>
      </c>
    </row>
    <row r="11862">
      <c r="A11862" s="4" t="s">
        <v>14921</v>
      </c>
      <c r="B11862" s="4" t="s">
        <v>14923</v>
      </c>
      <c r="C11862" s="5" t="str">
        <f>IFERROR(__xludf.DUMMYFUNCTION("GOOGLETRANSLATE(B11862,""en"",""it"")"),"Il pubblico la sta guardando esibirsi.")</f>
        <v>Il pubblico la sta guardando esibirsi.</v>
      </c>
    </row>
    <row r="11863">
      <c r="A11863" s="4" t="s">
        <v>14921</v>
      </c>
      <c r="B11863" s="4" t="s">
        <v>14924</v>
      </c>
      <c r="C11863" s="5" t="str">
        <f>IFERROR(__xludf.DUMMYFUNCTION("GOOGLETRANSLATE(B11863,""en"",""it"")"),"Salta dalle sbarre e atterra sul tappeto con le mani in aria.")</f>
        <v>Salta dalle sbarre e atterra sul tappeto con le mani in aria.</v>
      </c>
    </row>
    <row r="11864">
      <c r="A11864" s="4" t="s">
        <v>14921</v>
      </c>
      <c r="B11864" s="4" t="s">
        <v>14925</v>
      </c>
      <c r="C11864" s="5" t="str">
        <f>IFERROR(__xludf.DUMMYFUNCTION("GOOGLETRANSLATE(B11864,""en"",""it"")"),"Viene mostrato un replay della sua esibizione.")</f>
        <v>Viene mostrato un replay della sua esibizione.</v>
      </c>
    </row>
    <row r="11865">
      <c r="A11865" s="4" t="s">
        <v>14921</v>
      </c>
      <c r="B11865" s="4" t="s">
        <v>14926</v>
      </c>
      <c r="C11865" s="5" t="str">
        <f>IFERROR(__xludf.DUMMYFUNCTION("GOOGLETRANSLATE(B11865,""en"",""it"")"),"Le parole vengono quindi mostrate sullo schermo.")</f>
        <v>Le parole vengono quindi mostrate sullo schermo.</v>
      </c>
    </row>
    <row r="11866">
      <c r="A11866" s="4" t="s">
        <v>14927</v>
      </c>
      <c r="B11866" s="4" t="s">
        <v>14928</v>
      </c>
      <c r="C11866" s="5" t="str">
        <f>IFERROR(__xludf.DUMMYFUNCTION("GOOGLETRANSLATE(B11866,""en"",""it"")"),"Due uomini giocano a squash in una stanza.")</f>
        <v>Due uomini giocano a squash in una stanza.</v>
      </c>
    </row>
    <row r="11867">
      <c r="A11867" s="4" t="s">
        <v>14927</v>
      </c>
      <c r="B11867" s="4" t="s">
        <v>14929</v>
      </c>
      <c r="C11867" s="5" t="str">
        <f>IFERROR(__xludf.DUMMYFUNCTION("GOOGLETRANSLATE(B11867,""en"",""it"")"),"Un giocatore va a trovare la palla e lanciarla al suo partner.")</f>
        <v>Un giocatore va a trovare la palla e lanciarla al suo partner.</v>
      </c>
    </row>
    <row r="11868">
      <c r="A11868" s="4" t="s">
        <v>14927</v>
      </c>
      <c r="B11868" s="4" t="s">
        <v>14930</v>
      </c>
      <c r="C11868" s="5" t="str">
        <f>IFERROR(__xludf.DUMMYFUNCTION("GOOGLETRANSLATE(B11868,""en"",""it"")"),"Quindi, i due uomini continuano a giocare a squash.")</f>
        <v>Quindi, i due uomini continuano a giocare a squash.</v>
      </c>
    </row>
    <row r="11869">
      <c r="A11869" s="4" t="s">
        <v>14927</v>
      </c>
      <c r="B11869" s="4" t="s">
        <v>14931</v>
      </c>
      <c r="C11869" s="5" t="str">
        <f>IFERROR(__xludf.DUMMYFUNCTION("GOOGLETRANSLATE(B11869,""en"",""it"")"),"Un uomo raccoglie una palla dal pavimento e continua a squash.")</f>
        <v>Un uomo raccoglie una palla dal pavimento e continua a squash.</v>
      </c>
    </row>
    <row r="11870">
      <c r="A11870" s="4" t="s">
        <v>14932</v>
      </c>
      <c r="B11870" s="6" t="s">
        <v>14933</v>
      </c>
      <c r="C11870" s="5" t="str">
        <f>IFERROR(__xludf.DUMMYFUNCTION("GOOGLETRANSLATE(B11870,""en"",""it"")"),"Due serie di persone si trovano nel mezzo del kayak del bosco, in vibrante acqua bianca circondata da grandi rocce.")</f>
        <v>Due serie di persone si trovano nel mezzo del kayak del bosco, in vibrante acqua bianca circondata da grandi rocce.</v>
      </c>
    </row>
    <row r="11871">
      <c r="A11871" s="4" t="s">
        <v>14932</v>
      </c>
      <c r="B11871" s="6" t="s">
        <v>14934</v>
      </c>
      <c r="C11871" s="5" t="str">
        <f>IFERROR(__xludf.DUMMYFUNCTION("GOOGLETRANSLATE(B11871,""en"",""it"")"),"Cominciano a muoversi alla loro sinistra e cadono sulla prima collina di grandi rocce e si incontrano in un angolo e iniziano a parlare.")</f>
        <v>Cominciano a muoversi alla loro sinistra e cadono sulla prima collina di grandi rocce e si incontrano in un angolo e iniziano a parlare.</v>
      </c>
    </row>
    <row r="11872">
      <c r="A11872" s="4" t="s">
        <v>14932</v>
      </c>
      <c r="B11872" s="6" t="s">
        <v>14935</v>
      </c>
      <c r="C11872" s="5" t="str">
        <f>IFERROR(__xludf.DUMMYFUNCTION("GOOGLETRANSLATE(B11872,""en"",""it"")"),"La seconda persona inizia a kayak e scende ferocemente lungo la ripida collina di rocce e aspetta.")</f>
        <v>La seconda persona inizia a kayak e scende ferocemente lungo la ripida collina di rocce e aspetta.</v>
      </c>
    </row>
    <row r="11873">
      <c r="A11873" s="4" t="s">
        <v>14932</v>
      </c>
      <c r="B11873" s="4" t="s">
        <v>14936</v>
      </c>
      <c r="C11873" s="5" t="str">
        <f>IFERROR(__xludf.DUMMYFUNCTION("GOOGLETRANSLATE(B11873,""en"",""it"")"),"Poco dopo, l'uomo con la giacca blu segue il vestito e si trova dietro di loro.")</f>
        <v>Poco dopo, l'uomo con la giacca blu segue il vestito e si trova dietro di loro.</v>
      </c>
    </row>
    <row r="11874">
      <c r="A11874" s="4" t="s">
        <v>14932</v>
      </c>
      <c r="B11874" s="6" t="s">
        <v>14937</v>
      </c>
      <c r="C11874" s="5" t="str">
        <f>IFERROR(__xludf.DUMMYFUNCTION("GOOGLETRANSLATE(B11874,""en"",""it"")"),"Infine, scattano due foto con la foresta come goccia posteriore vicino a un cartello marrone con parole bianche che leggono Great Falls Overlook.")</f>
        <v>Infine, scattano due foto con la foresta come goccia posteriore vicino a un cartello marrone con parole bianche che leggono Great Falls Overlook.</v>
      </c>
    </row>
    <row r="11875">
      <c r="A11875" s="4" t="s">
        <v>14938</v>
      </c>
      <c r="B11875" s="4" t="s">
        <v>14939</v>
      </c>
      <c r="C11875" s="5" t="str">
        <f>IFERROR(__xludf.DUMMYFUNCTION("GOOGLETRANSLATE(B11875,""en"",""it"")"),"La persona sta spremendo i limoni nello spremiagrumi.")</f>
        <v>La persona sta spremendo i limoni nello spremiagrumi.</v>
      </c>
    </row>
    <row r="11876">
      <c r="A11876" s="4" t="s">
        <v>14938</v>
      </c>
      <c r="B11876" s="4" t="s">
        <v>14940</v>
      </c>
      <c r="C11876" s="5" t="str">
        <f>IFERROR(__xludf.DUMMYFUNCTION("GOOGLETRANSLATE(B11876,""en"",""it"")"),"La persona versa il limone nel flacone spray bianco e ha aggiunto acqua.")</f>
        <v>La persona versa il limone nel flacone spray bianco e ha aggiunto acqua.</v>
      </c>
    </row>
    <row r="11877">
      <c r="A11877" s="4" t="s">
        <v>14938</v>
      </c>
      <c r="B11877" s="4" t="s">
        <v>14941</v>
      </c>
      <c r="C11877" s="5" t="str">
        <f>IFERROR(__xludf.DUMMYFUNCTION("GOOGLETRANSLATE(B11877,""en"",""it"")"),"La persona spruzza il succo di limone in un arco e strofina la ciotola con spugna.")</f>
        <v>La persona spruzza il succo di limone in un arco e strofina la ciotola con spugna.</v>
      </c>
    </row>
    <row r="11878">
      <c r="A11878" s="4" t="s">
        <v>14942</v>
      </c>
      <c r="B11878" s="4" t="s">
        <v>14943</v>
      </c>
      <c r="C11878" s="5" t="str">
        <f>IFERROR(__xludf.DUMMYFUNCTION("GOOGLETRANSLATE(B11878,""en"",""it"")"),"Uno sportivo lancia un giavellotto in uno stadio.")</f>
        <v>Uno sportivo lancia un giavellotto in uno stadio.</v>
      </c>
    </row>
    <row r="11879">
      <c r="A11879" s="4" t="s">
        <v>14942</v>
      </c>
      <c r="B11879" s="4" t="s">
        <v>14944</v>
      </c>
      <c r="C11879" s="5" t="str">
        <f>IFERROR(__xludf.DUMMYFUNCTION("GOOGLETRANSLATE(B11879,""en"",""it"")"),"Il giavellotto vola in aria e atterra nella pista verde, quindi un uomo corre verso di esso.")</f>
        <v>Il giavellotto vola in aria e atterra nella pista verde, quindi un uomo corre verso di esso.</v>
      </c>
    </row>
    <row r="11880">
      <c r="A11880" s="4" t="s">
        <v>14942</v>
      </c>
      <c r="B11880" s="4" t="s">
        <v>14945</v>
      </c>
      <c r="C11880" s="5" t="str">
        <f>IFERROR(__xludf.DUMMYFUNCTION("GOOGLETRANSLATE(B11880,""en"",""it"")"),"La passeggiata sportiva alzando le mani e sbattono le mani.")</f>
        <v>La passeggiata sportiva alzando le mani e sbattono le mani.</v>
      </c>
    </row>
    <row r="11881">
      <c r="A11881" s="4" t="s">
        <v>14942</v>
      </c>
      <c r="B11881" s="4" t="s">
        <v>14946</v>
      </c>
      <c r="C11881" s="5" t="str">
        <f>IFERROR(__xludf.DUMMYFUNCTION("GOOGLETRANSLATE(B11881,""en"",""it"")"),"Un film per cameraman The Athlete.")</f>
        <v>Un film per cameraman The Athlete.</v>
      </c>
    </row>
    <row r="11882">
      <c r="A11882" s="4" t="s">
        <v>14942</v>
      </c>
      <c r="B11882" s="4" t="s">
        <v>14947</v>
      </c>
      <c r="C11882" s="5" t="str">
        <f>IFERROR(__xludf.DUMMYFUNCTION("GOOGLETRANSLATE(B11882,""en"",""it"")"),"La ginnasta lancia un giavellotto nello stadio.")</f>
        <v>La ginnasta lancia un giavellotto nello stadio.</v>
      </c>
    </row>
    <row r="11883">
      <c r="A11883" s="4" t="s">
        <v>14948</v>
      </c>
      <c r="B11883" s="6" t="s">
        <v>14949</v>
      </c>
      <c r="C11883" s="5" t="str">
        <f>IFERROR(__xludf.DUMMYFUNCTION("GOOGLETRANSLATE(B11883,""en"",""it"")"),"Vengono mostrate diverse immagini di persone che brillano di scarpe per altre in varie località usando stracci e pennelli sulle scarpe.")</f>
        <v>Vengono mostrate diverse immagini di persone che brillano di scarpe per altre in varie località usando stracci e pennelli sulle scarpe.</v>
      </c>
    </row>
    <row r="11884">
      <c r="A11884" s="4" t="s">
        <v>14948</v>
      </c>
      <c r="B11884" s="6" t="s">
        <v>14950</v>
      </c>
      <c r="C11884" s="5" t="str">
        <f>IFERROR(__xludf.DUMMYFUNCTION("GOOGLETRANSLATE(B11884,""en"",""it"")"),"Il video continua con molte altre immagini mostrate da persone che brillano di scarpe e un uomo in piedi con un grembiule alla fine.")</f>
        <v>Il video continua con molte altre immagini mostrate da persone che brillano di scarpe e un uomo in piedi con un grembiule alla fine.</v>
      </c>
    </row>
    <row r="11885">
      <c r="A11885" s="4" t="s">
        <v>14951</v>
      </c>
      <c r="B11885" s="4" t="s">
        <v>14952</v>
      </c>
      <c r="C11885" s="5" t="str">
        <f>IFERROR(__xludf.DUMMYFUNCTION("GOOGLETRANSLATE(B11885,""en"",""it"")"),"Una porta con segni rossi lo copre.")</f>
        <v>Una porta con segni rossi lo copre.</v>
      </c>
    </row>
    <row r="11886">
      <c r="A11886" s="4" t="s">
        <v>14951</v>
      </c>
      <c r="B11886" s="4" t="s">
        <v>14953</v>
      </c>
      <c r="C11886" s="5" t="str">
        <f>IFERROR(__xludf.DUMMYFUNCTION("GOOGLETRANSLATE(B11886,""en"",""it"")"),"Un pompiere corre fuori portando una tavola.")</f>
        <v>Un pompiere corre fuori portando una tavola.</v>
      </c>
    </row>
    <row r="11887">
      <c r="A11887" s="4" t="s">
        <v>14951</v>
      </c>
      <c r="B11887" s="4" t="s">
        <v>14954</v>
      </c>
      <c r="C11887" s="5" t="str">
        <f>IFERROR(__xludf.DUMMYFUNCTION("GOOGLETRANSLATE(B11887,""en"",""it"")"),"Si slitta lungo la strada dietro un'auto, girando giri e cadendo alcune volte.")</f>
        <v>Si slitta lungo la strada dietro un'auto, girando giri e cadendo alcune volte.</v>
      </c>
    </row>
    <row r="11888">
      <c r="A11888" s="4" t="s">
        <v>14955</v>
      </c>
      <c r="B11888" s="4" t="s">
        <v>14956</v>
      </c>
      <c r="C11888" s="5" t="str">
        <f>IFERROR(__xludf.DUMMYFUNCTION("GOOGLETRANSLATE(B11888,""en"",""it"")"),"Una ragazza in una camicetta viola si trova su un palo di recinzione mentre sta spazzolando un cavallo che è legato alla recinzione.")</f>
        <v>Una ragazza in una camicetta viola si trova su un palo di recinzione mentre sta spazzolando un cavallo che è legato alla recinzione.</v>
      </c>
    </row>
    <row r="11889">
      <c r="A11889" s="4" t="s">
        <v>14955</v>
      </c>
      <c r="B11889" s="4" t="s">
        <v>14957</v>
      </c>
      <c r="C11889" s="5" t="str">
        <f>IFERROR(__xludf.DUMMYFUNCTION("GOOGLETRANSLATE(B11889,""en"",""it"")"),"La ragazza si trova sul posto di recinzione mentre si raggiunge per spazzolare la criniera dei cavalli.")</f>
        <v>La ragazza si trova sul posto di recinzione mentre si raggiunge per spazzolare la criniera dei cavalli.</v>
      </c>
    </row>
    <row r="11890">
      <c r="A11890" s="4" t="s">
        <v>14955</v>
      </c>
      <c r="B11890" s="6" t="s">
        <v>14958</v>
      </c>
      <c r="C11890" s="5" t="str">
        <f>IFERROR(__xludf.DUMMYFUNCTION("GOOGLETRANSLATE(B11890,""en"",""it"")"),"La ragazza continua a stare in piedi sul recinto postale si appoggia ai cavalli e spazzola la parte posteriore del cavallo mentre sorride alla telecamera.")</f>
        <v>La ragazza continua a stare in piedi sul recinto postale si appoggia ai cavalli e spazzola la parte posteriore del cavallo mentre sorride alla telecamera.</v>
      </c>
    </row>
    <row r="11891">
      <c r="A11891" s="4" t="s">
        <v>14955</v>
      </c>
      <c r="B11891" s="4" t="s">
        <v>14959</v>
      </c>
      <c r="C11891" s="5" t="str">
        <f>IFERROR(__xludf.DUMMYFUNCTION("GOOGLETRANSLATE(B11891,""en"",""it"")"),"La ragazza si avvicina ai cavalli indietro mentre continua a spazzolare il collo e la criniera dei cavalli.")</f>
        <v>La ragazza si avvicina ai cavalli indietro mentre continua a spazzolare il collo e la criniera dei cavalli.</v>
      </c>
    </row>
    <row r="11892">
      <c r="A11892" s="4" t="s">
        <v>14955</v>
      </c>
      <c r="B11892" s="6" t="s">
        <v>14960</v>
      </c>
      <c r="C11892" s="5" t="str">
        <f>IFERROR(__xludf.DUMMYFUNCTION("GOOGLETRANSLATE(B11892,""en"",""it"")"),"La ragazza con la camicetta viola smontato il cavallo e si trova sul recinto post spazzola il quartiere posteriore dei cavalli.")</f>
        <v>La ragazza con la camicetta viola smontato il cavallo e si trova sul recinto post spazzola il quartiere posteriore dei cavalli.</v>
      </c>
    </row>
    <row r="11893">
      <c r="A11893" s="4" t="s">
        <v>14961</v>
      </c>
      <c r="B11893" s="6" t="s">
        <v>14962</v>
      </c>
      <c r="C11893" s="5" t="str">
        <f>IFERROR(__xludf.DUMMYFUNCTION("GOOGLETRANSLATE(B11893,""en"",""it"")"),"Varie immagini di ingredienti sono mostrate con testo sullo schermo e conducono a una donna che lava e sbuccia i limoni.")</f>
        <v>Varie immagini di ingredienti sono mostrate con testo sullo schermo e conducono a una donna che lava e sbuccia i limoni.</v>
      </c>
    </row>
    <row r="11894">
      <c r="A11894" s="4" t="s">
        <v>14961</v>
      </c>
      <c r="B11894" s="4" t="s">
        <v>14963</v>
      </c>
      <c r="C11894" s="5" t="str">
        <f>IFERROR(__xludf.DUMMYFUNCTION("GOOGLETRANSLATE(B11894,""en"",""it"")"),"Rotola i limoni su un tavolo e li taglia a metà.")</f>
        <v>Rotola i limoni su un tavolo e li taglia a metà.</v>
      </c>
    </row>
    <row r="11895">
      <c r="A11895" s="4" t="s">
        <v>14961</v>
      </c>
      <c r="B11895" s="4" t="s">
        <v>14964</v>
      </c>
      <c r="C11895" s="5" t="str">
        <f>IFERROR(__xludf.DUMMYFUNCTION("GOOGLETRANSLATE(B11895,""en"",""it"")"),"Quindi succhia il limone e versa il composto in una pentola capiente con zucchero.")</f>
        <v>Quindi succhia il limone e versa il composto in una pentola capiente con zucchero.</v>
      </c>
    </row>
    <row r="11896">
      <c r="A11896" s="4" t="s">
        <v>14961</v>
      </c>
      <c r="B11896" s="4" t="s">
        <v>14965</v>
      </c>
      <c r="C11896" s="5" t="str">
        <f>IFERROR(__xludf.DUMMYFUNCTION("GOOGLETRANSLATE(B11896,""en"",""it"")"),"Fa bollire la pentola e versa il risultato finale in diversi bicchieri, godendo di un sorso alla fine.")</f>
        <v>Fa bollire la pentola e versa il risultato finale in diversi bicchieri, godendo di un sorso alla fine.</v>
      </c>
    </row>
    <row r="11897">
      <c r="A11897" s="4" t="s">
        <v>14966</v>
      </c>
      <c r="B11897" s="4" t="s">
        <v>14967</v>
      </c>
      <c r="C11897" s="5" t="str">
        <f>IFERROR(__xludf.DUMMYFUNCTION("GOOGLETRANSLATE(B11897,""en"",""it"")"),"Viene mostrato un pennello a setole di cinghiale, quindi un video dvd di come radersi.")</f>
        <v>Viene mostrato un pennello a setole di cinghiale, quindi un video dvd di come radersi.</v>
      </c>
    </row>
    <row r="11898">
      <c r="A11898" s="4" t="s">
        <v>14966</v>
      </c>
      <c r="B11898" s="4" t="s">
        <v>14968</v>
      </c>
      <c r="C11898" s="5" t="str">
        <f>IFERROR(__xludf.DUMMYFUNCTION("GOOGLETRANSLATE(B11898,""en"",""it"")"),"Un uomo è sdraiato, schiuma sul viso mentre un barbiere si rade la barba.")</f>
        <v>Un uomo è sdraiato, schiuma sul viso mentre un barbiere si rade la barba.</v>
      </c>
    </row>
    <row r="11899">
      <c r="A11899" s="4" t="s">
        <v>14966</v>
      </c>
      <c r="B11899" s="4" t="s">
        <v>14969</v>
      </c>
      <c r="C11899" s="5" t="str">
        <f>IFERROR(__xludf.DUMMYFUNCTION("GOOGLETRANSLATE(B11899,""en"",""it"")"),"L'uomo poi gli sta la testa e la rada anche con un rasoio dritto.")</f>
        <v>L'uomo poi gli sta la testa e la rada anche con un rasoio dritto.</v>
      </c>
    </row>
    <row r="11900">
      <c r="A11900" s="4" t="s">
        <v>14966</v>
      </c>
      <c r="B11900" s="4" t="s">
        <v>14970</v>
      </c>
      <c r="C11900" s="5" t="str">
        <f>IFERROR(__xludf.DUMMYFUNCTION("GOOGLETRANSLATE(B11900,""en"",""it"")"),"Un'immagine del DVD viene nuovamente mostrata.")</f>
        <v>Un'immagine del DVD viene nuovamente mostrata.</v>
      </c>
    </row>
    <row r="11901">
      <c r="A11901" s="4" t="s">
        <v>14971</v>
      </c>
      <c r="B11901" s="4" t="s">
        <v>14972</v>
      </c>
      <c r="C11901" s="5" t="str">
        <f>IFERROR(__xludf.DUMMYFUNCTION("GOOGLETRANSLATE(B11901,""en"",""it"")"),"Un uomo e un cane si trovano in un campo circondato da un gruppo di persone.")</f>
        <v>Un uomo e un cane si trovano in un campo circondato da un gruppo di persone.</v>
      </c>
    </row>
    <row r="11902">
      <c r="A11902" s="4" t="s">
        <v>14971</v>
      </c>
      <c r="B11902" s="4" t="s">
        <v>14973</v>
      </c>
      <c r="C11902" s="5" t="str">
        <f>IFERROR(__xludf.DUMMYFUNCTION("GOOGLETRANSLATE(B11902,""en"",""it"")"),"Il cane continua e poi l'uomo viene visto uscire dal campo.")</f>
        <v>Il cane continua e poi l'uomo viene visto uscire dal campo.</v>
      </c>
    </row>
    <row r="11903">
      <c r="A11903" s="4" t="s">
        <v>14971</v>
      </c>
      <c r="B11903" s="6" t="s">
        <v>14974</v>
      </c>
      <c r="C11903" s="5" t="str">
        <f>IFERROR(__xludf.DUMMYFUNCTION("GOOGLETRANSLATE(B11903,""en"",""it"")"),"Tuttavia, una signora rimane e lei e il suo cane iniziano a fare frisbee e trucchi alla Purina Dog Challenge.")</f>
        <v>Tuttavia, una signora rimane e lei e il suo cane iniziano a fare frisbee e trucchi alla Purina Dog Challenge.</v>
      </c>
    </row>
    <row r="11904">
      <c r="A11904" s="4" t="s">
        <v>14975</v>
      </c>
      <c r="B11904" s="4" t="s">
        <v>14976</v>
      </c>
      <c r="C11904" s="5" t="str">
        <f>IFERROR(__xludf.DUMMYFUNCTION("GOOGLETRANSLATE(B11904,""en"",""it"")"),"Un uomo d'acqua su di fronte un ghiacciaio.")</f>
        <v>Un uomo d'acqua su di fronte un ghiacciaio.</v>
      </c>
    </row>
    <row r="11905">
      <c r="A11905" s="4" t="s">
        <v>14975</v>
      </c>
      <c r="B11905" s="4" t="s">
        <v>14977</v>
      </c>
      <c r="C11905" s="5" t="str">
        <f>IFERROR(__xludf.DUMMYFUNCTION("GOOGLETRANSLATE(B11905,""en"",""it"")"),"L'uomo osserva un sigillo e una balena nell'acqua fredda.")</f>
        <v>L'uomo osserva un sigillo e una balena nell'acqua fredda.</v>
      </c>
    </row>
    <row r="11906">
      <c r="A11906" s="4" t="s">
        <v>14975</v>
      </c>
      <c r="B11906" s="4" t="s">
        <v>14978</v>
      </c>
      <c r="C11906" s="5" t="str">
        <f>IFERROR(__xludf.DUMMYFUNCTION("GOOGLETRANSLATE(B11906,""en"",""it"")"),"L'uomo sci d'acqua nell'acqua con una corda tirata da una barca.")</f>
        <v>L'uomo sci d'acqua nell'acqua con una corda tirata da una barca.</v>
      </c>
    </row>
    <row r="11907">
      <c r="A11907" s="4" t="s">
        <v>14975</v>
      </c>
      <c r="B11907" s="4" t="s">
        <v>14979</v>
      </c>
      <c r="C11907" s="5" t="str">
        <f>IFERROR(__xludf.DUMMYFUNCTION("GOOGLETRANSLATE(B11907,""en"",""it"")"),"L'uomo si piega per passare un ghiacciaio, poi passa sopra un iceberg.")</f>
        <v>L'uomo si piega per passare un ghiacciaio, poi passa sopra un iceberg.</v>
      </c>
    </row>
    <row r="11908">
      <c r="A11908" s="4" t="s">
        <v>14975</v>
      </c>
      <c r="B11908" s="4" t="s">
        <v>14980</v>
      </c>
      <c r="C11908" s="5" t="str">
        <f>IFERROR(__xludf.DUMMYFUNCTION("GOOGLETRANSLATE(B11908,""en"",""it"")"),"Una balena nuotata nell'oceano.")</f>
        <v>Una balena nuotata nell'oceano.</v>
      </c>
    </row>
    <row r="11909">
      <c r="A11909" s="4" t="s">
        <v>14975</v>
      </c>
      <c r="B11909" s="4" t="s">
        <v>14981</v>
      </c>
      <c r="C11909" s="5" t="str">
        <f>IFERROR(__xludf.DUMMYFUNCTION("GOOGLETRANSLATE(B11909,""en"",""it"")"),"Dopo, l'uomo passa sopra un iceberg e gira, quindi lo snowboard su un grande iceberg.")</f>
        <v>Dopo, l'uomo passa sopra un iceberg e gira, quindi lo snowboard su un grande iceberg.</v>
      </c>
    </row>
    <row r="11910">
      <c r="A11910" s="4" t="s">
        <v>14975</v>
      </c>
      <c r="B11910" s="4" t="s">
        <v>14982</v>
      </c>
      <c r="C11910" s="5" t="str">
        <f>IFERROR(__xludf.DUMMYFUNCTION("GOOGLETRANSLATE(B11910,""en"",""it"")"),"L'uomo scivola da un iceberg e cade in acqua e la gente sta per guardare un iceberg cade.")</f>
        <v>L'uomo scivola da un iceberg e cade in acqua e la gente sta per guardare un iceberg cade.</v>
      </c>
    </row>
    <row r="11911">
      <c r="A11911" s="4" t="s">
        <v>14983</v>
      </c>
      <c r="B11911" s="4" t="s">
        <v>14984</v>
      </c>
      <c r="C11911" s="5" t="str">
        <f>IFERROR(__xludf.DUMMYFUNCTION("GOOGLETRANSLATE(B11911,""en"",""it"")"),"Uno snowboarder dà un tutorial su come fare un salto.")</f>
        <v>Uno snowboarder dà un tutorial su come fare un salto.</v>
      </c>
    </row>
    <row r="11912">
      <c r="A11912" s="4" t="s">
        <v>14983</v>
      </c>
      <c r="B11912" s="4" t="s">
        <v>14985</v>
      </c>
      <c r="C11912" s="5" t="str">
        <f>IFERROR(__xludf.DUMMYFUNCTION("GOOGLETRANSLATE(B11912,""en"",""it"")"),"Alcune tecniche sono mostrate in quattro parti.")</f>
        <v>Alcune tecniche sono mostrate in quattro parti.</v>
      </c>
    </row>
    <row r="11913">
      <c r="A11913" s="4" t="s">
        <v>14986</v>
      </c>
      <c r="B11913" s="4" t="s">
        <v>14987</v>
      </c>
      <c r="C11913" s="5" t="str">
        <f>IFERROR(__xludf.DUMMYFUNCTION("GOOGLETRANSLATE(B11913,""en"",""it"")"),"L'introduzione arriva sullo schermo introducendo un video su Ho per scalare le rocce.")</f>
        <v>L'introduzione arriva sullo schermo introducendo un video su Ho per scalare le rocce.</v>
      </c>
    </row>
    <row r="11914">
      <c r="A11914" s="4" t="s">
        <v>14986</v>
      </c>
      <c r="B11914" s="4" t="s">
        <v>14988</v>
      </c>
      <c r="C11914" s="5" t="str">
        <f>IFERROR(__xludf.DUMMYFUNCTION("GOOGLETRANSLATE(B11914,""en"",""it"")"),"Un uomo appare sullo schermo appeso a un'imbracatura per dare alcune istruzioni.")</f>
        <v>Un uomo appare sullo schermo appeso a un'imbracatura per dare alcune istruzioni.</v>
      </c>
    </row>
    <row r="11915">
      <c r="A11915" s="4" t="s">
        <v>14986</v>
      </c>
      <c r="B11915" s="4" t="s">
        <v>14989</v>
      </c>
      <c r="C11915" s="5" t="str">
        <f>IFERROR(__xludf.DUMMYFUNCTION("GOOGLETRANSLATE(B11915,""en"",""it"")"),"Il video gli taglia a scalare il muro mentre continua la sua narrazione.")</f>
        <v>Il video gli taglia a scalare il muro mentre continua la sua narrazione.</v>
      </c>
    </row>
    <row r="11916">
      <c r="A11916" s="4" t="s">
        <v>14986</v>
      </c>
      <c r="B11916" s="4" t="s">
        <v>14990</v>
      </c>
      <c r="C11916" s="5" t="str">
        <f>IFERROR(__xludf.DUMMYFUNCTION("GOOGLETRANSLATE(B11916,""en"",""it"")"),"Il video si taglia a un'altra persona in una camicia verde ricevendo aiuto per cercare di scalare il muro.")</f>
        <v>Il video si taglia a un'altra persona in una camicia verde ricevendo aiuto per cercare di scalare il muro.</v>
      </c>
    </row>
    <row r="11917">
      <c r="A11917" s="4" t="s">
        <v>14986</v>
      </c>
      <c r="B11917" s="4" t="s">
        <v>14991</v>
      </c>
      <c r="C11917" s="5" t="str">
        <f>IFERROR(__xludf.DUMMYFUNCTION("GOOGLETRANSLATE(B11917,""en"",""it"")"),"Il video mostra uno schermo diviso con due viste su un uomo che arrampica sul muro.")</f>
        <v>Il video mostra uno schermo diviso con due viste su un uomo che arrampica sul muro.</v>
      </c>
    </row>
    <row r="11918">
      <c r="A11918" s="4" t="s">
        <v>14986</v>
      </c>
      <c r="B11918" s="4" t="s">
        <v>14992</v>
      </c>
      <c r="C11918" s="5" t="str">
        <f>IFERROR(__xludf.DUMMYFUNCTION("GOOGLETRANSLATE(B11918,""en"",""it"")"),"Quindi, una donna viene mostrata cercando di scalare il muro.")</f>
        <v>Quindi, una donna viene mostrata cercando di scalare il muro.</v>
      </c>
    </row>
    <row r="11919">
      <c r="A11919" s="4" t="s">
        <v>14986</v>
      </c>
      <c r="B11919" s="4" t="s">
        <v>14993</v>
      </c>
      <c r="C11919" s="5" t="str">
        <f>IFERROR(__xludf.DUMMYFUNCTION("GOOGLETRANSLATE(B11919,""en"",""it"")"),"Un avviso viene visualizzato sullo schermo alla fine del video.")</f>
        <v>Un avviso viene visualizzato sullo schermo alla fine del video.</v>
      </c>
    </row>
    <row r="11920">
      <c r="A11920" s="4" t="s">
        <v>14994</v>
      </c>
      <c r="B11920" s="4" t="s">
        <v>14995</v>
      </c>
      <c r="C11920" s="5" t="str">
        <f>IFERROR(__xludf.DUMMYFUNCTION("GOOGLETRANSLATE(B11920,""en"",""it"")"),"Vediamo i crediti di apertura su uno schermo nero.")</f>
        <v>Vediamo i crediti di apertura su uno schermo nero.</v>
      </c>
    </row>
    <row r="11921">
      <c r="A11921" s="4" t="s">
        <v>14994</v>
      </c>
      <c r="B11921" s="4" t="s">
        <v>14996</v>
      </c>
      <c r="C11921" s="5" t="str">
        <f>IFERROR(__xludf.DUMMYFUNCTION("GOOGLETRANSLATE(B11921,""en"",""it"")"),"Vediamo quindi un uomo che allena un uomo in un garage e parla con la telecamera.")</f>
        <v>Vediamo quindi un uomo che allena un uomo in un garage e parla con la telecamera.</v>
      </c>
    </row>
    <row r="11922">
      <c r="A11922" s="4" t="s">
        <v>14994</v>
      </c>
      <c r="B11922" s="4" t="s">
        <v>14997</v>
      </c>
      <c r="C11922" s="5" t="str">
        <f>IFERROR(__xludf.DUMMYFUNCTION("GOOGLETRANSLATE(B11922,""en"",""it"")"),"L'uomo in grigio si mette sul ginocchio sul tappeto blu.")</f>
        <v>L'uomo in grigio si mette sul ginocchio sul tappeto blu.</v>
      </c>
    </row>
    <row r="11923">
      <c r="A11923" s="4" t="s">
        <v>14994</v>
      </c>
      <c r="B11923" s="4" t="s">
        <v>14998</v>
      </c>
      <c r="C11923" s="5" t="str">
        <f>IFERROR(__xludf.DUMMYFUNCTION("GOOGLETRANSLATE(B11923,""en"",""it"")"),"L'uomo si alza e si mette in ginocchio.")</f>
        <v>L'uomo si alza e si mette in ginocchio.</v>
      </c>
    </row>
    <row r="11924">
      <c r="A11924" s="4" t="s">
        <v>14994</v>
      </c>
      <c r="B11924" s="4" t="s">
        <v>14999</v>
      </c>
      <c r="C11924" s="5" t="str">
        <f>IFERROR(__xludf.DUMMYFUNCTION("GOOGLETRANSLATE(B11924,""en"",""it"")"),"L'uomo in ginocchio si alza di nuovo.")</f>
        <v>L'uomo in ginocchio si alza di nuovo.</v>
      </c>
    </row>
    <row r="11925">
      <c r="A11925" s="4" t="s">
        <v>14994</v>
      </c>
      <c r="B11925" s="4" t="s">
        <v>15000</v>
      </c>
      <c r="C11925" s="5" t="str">
        <f>IFERROR(__xludf.DUMMYFUNCTION("GOOGLETRANSLATE(B11925,""en"",""it"")"),"Vediamo uno schermo del titolo e vediamo l'uomo in ginocchio che tiene una macchina che tira giù e fuori.")</f>
        <v>Vediamo uno schermo del titolo e vediamo l'uomo in ginocchio che tiene una macchina che tira giù e fuori.</v>
      </c>
    </row>
    <row r="11926">
      <c r="A11926" s="4" t="s">
        <v>14994</v>
      </c>
      <c r="B11926" s="4" t="s">
        <v>15001</v>
      </c>
      <c r="C11926" s="5" t="str">
        <f>IFERROR(__xludf.DUMMYFUNCTION("GOOGLETRANSLATE(B11926,""en"",""it"")"),"Rilascia il cavo, i crediti nella corsa video.")</f>
        <v>Rilascia il cavo, i crediti nella corsa video.</v>
      </c>
    </row>
    <row r="11927">
      <c r="A11927" s="4" t="s">
        <v>15002</v>
      </c>
      <c r="B11927" s="4" t="s">
        <v>15003</v>
      </c>
      <c r="C11927" s="5" t="str">
        <f>IFERROR(__xludf.DUMMYFUNCTION("GOOGLETRANSLATE(B11927,""en"",""it"")"),"Little Kids sono in piedi davanti a un'ouse a parlare con la telecamera e preparando la limonata.")</f>
        <v>Little Kids sono in piedi davanti a un'ouse a parlare con la telecamera e preparando la limonata.</v>
      </c>
    </row>
    <row r="11928">
      <c r="A11928" s="4" t="s">
        <v>15002</v>
      </c>
      <c r="B11928" s="6" t="s">
        <v>15004</v>
      </c>
      <c r="C11928" s="5" t="str">
        <f>IFERROR(__xludf.DUMMYFUNCTION("GOOGLETRANSLATE(B11928,""en"",""it"")"),"Il bambino apre una pentola e afferra lo zucchero e si versa in una tazza d'acqua, succo di limone e mescolalo con un cucchiaio.")</f>
        <v>Il bambino apre una pentola e afferra lo zucchero e si versa in una tazza d'acqua, succo di limone e mescolalo con un cucchiaio.</v>
      </c>
    </row>
    <row r="11929">
      <c r="A11929" s="4" t="s">
        <v>15005</v>
      </c>
      <c r="B11929" s="4" t="s">
        <v>15006</v>
      </c>
      <c r="C11929" s="5" t="str">
        <f>IFERROR(__xludf.DUMMYFUNCTION("GOOGLETRANSLATE(B11929,""en"",""it"")"),"Un uomo è visto in piedi pronto con una serie di cornamuse e inizia a suonarli per la telecamera.")</f>
        <v>Un uomo è visto in piedi pronto con una serie di cornamuse e inizia a suonarli per la telecamera.</v>
      </c>
    </row>
    <row r="11930">
      <c r="A11930" s="4" t="s">
        <v>15005</v>
      </c>
      <c r="B11930" s="4" t="s">
        <v>15007</v>
      </c>
      <c r="C11930" s="5" t="str">
        <f>IFERROR(__xludf.DUMMYFUNCTION("GOOGLETRANSLATE(B11930,""en"",""it"")"),"L'uomo continua a giocare e poi si ferma a guardare la telecamera.")</f>
        <v>L'uomo continua a giocare e poi si ferma a guardare la telecamera.</v>
      </c>
    </row>
    <row r="11931">
      <c r="A11931" s="4" t="s">
        <v>15008</v>
      </c>
      <c r="B11931" s="4" t="s">
        <v>15009</v>
      </c>
      <c r="C11931" s="5" t="str">
        <f>IFERROR(__xludf.DUMMYFUNCTION("GOOGLETRANSLATE(B11931,""en"",""it"")"),"Uno schermo bianco con forme blu e bianche e parole nere lampeggiano sullo schermo.")</f>
        <v>Uno schermo bianco con forme blu e bianche e parole nere lampeggiano sullo schermo.</v>
      </c>
    </row>
    <row r="11932">
      <c r="A11932" s="4" t="s">
        <v>15008</v>
      </c>
      <c r="B11932" s="6" t="s">
        <v>15010</v>
      </c>
      <c r="C11932" s="5" t="str">
        <f>IFERROR(__xludf.DUMMYFUNCTION("GOOGLETRANSLATE(B11932,""en"",""it"")"),"Un uomo di colore sorridente si trova in una cucina residenziale e indossa un cappello da Babbo Natale e versa ingredienti in una ciotola capiente.")</f>
        <v>Un uomo di colore sorridente si trova in una cucina residenziale e indossa un cappello da Babbo Natale e versa ingredienti in una ciotola capiente.</v>
      </c>
    </row>
    <row r="11933">
      <c r="A11933" s="4" t="s">
        <v>15008</v>
      </c>
      <c r="B11933" s="6" t="s">
        <v>15011</v>
      </c>
      <c r="C11933" s="5" t="str">
        <f>IFERROR(__xludf.DUMMYFUNCTION("GOOGLETRANSLATE(B11933,""en"",""it"")"),"Una mano spinge una ciotola trasparente piena di fichi scuri e un tagliere appare immediatamente dopo e le istruzioni sullo schermo dicono di tagliare gli steli da 1 libbre di fichi e di un quarto.")</f>
        <v>Una mano spinge una ciotola trasparente piena di fichi scuri e un tagliere appare immediatamente dopo e le istruzioni sullo schermo dicono di tagliare gli steli da 1 libbre di fichi e di un quarto.</v>
      </c>
    </row>
    <row r="11934">
      <c r="A11934" s="4" t="s">
        <v>15008</v>
      </c>
      <c r="B11934" s="6" t="s">
        <v>15012</v>
      </c>
      <c r="C11934" s="5" t="str">
        <f>IFERROR(__xludf.DUMMYFUNCTION("GOOGLETRANSLATE(B11934,""en"",""it"")"),"Mentre l'elenco degli ingredienti sono mostrati che includono: 1 libbre fichi, uvetta da 1 libbre, ciliegie da 1 libbre, ribes da 1 libbre, prugne da 1 libbre, vino portuale e amari Angostura; Sono tutti versati in un secchio bianco.")</f>
        <v>Mentre l'elenco degli ingredienti sono mostrati che includono: 1 libbre fichi, uvetta da 1 libbre, ciliegie da 1 libbre, ribes da 1 libbre, prugne da 1 libbre, vino portuale e amari Angostura; Sono tutti versati in un secchio bianco.</v>
      </c>
    </row>
    <row r="11935">
      <c r="A11935" s="4" t="s">
        <v>15008</v>
      </c>
      <c r="B11935" s="6" t="s">
        <v>15013</v>
      </c>
      <c r="C11935" s="5" t="str">
        <f>IFERROR(__xludf.DUMMYFUNCTION("GOOGLETRANSLATE(B11935,""en"",""it"")"),"La mescolanza inizia immediatamente e le istruzioni sullo schermo dicono di lasciarlo in ammollo per almeno due settimane fino a 30 giorni.")</f>
        <v>La mescolanza inizia immediatamente e le istruzioni sullo schermo dicono di lasciarlo in ammollo per almeno due settimane fino a 30 giorni.</v>
      </c>
    </row>
    <row r="11936">
      <c r="A11936" s="4" t="s">
        <v>15008</v>
      </c>
      <c r="B11936" s="4" t="s">
        <v>15014</v>
      </c>
      <c r="C11936" s="5" t="str">
        <f>IFERROR(__xludf.DUMMYFUNCTION("GOOGLETRANSLATE(B11936,""en"",""it"")"),"30 giorni dopo il contenuto viene mescolato e messo in un robot da cucina e trasformato in una pasta.")</f>
        <v>30 giorni dopo il contenuto viene mescolato e messo in un robot da cucina e trasformato in una pasta.</v>
      </c>
    </row>
    <row r="11937">
      <c r="A11937" s="4" t="s">
        <v>15008</v>
      </c>
      <c r="B11937" s="4" t="s">
        <v>15015</v>
      </c>
      <c r="C11937" s="5" t="str">
        <f>IFERROR(__xludf.DUMMYFUNCTION("GOOGLETRANSLATE(B11937,""en"",""it"")"),"L'uomo ingrassa una tortiera rotonda 10x3 e la copre con carta pergamena.")</f>
        <v>L'uomo ingrassa una tortiera rotonda 10x3 e la copre con carta pergamena.</v>
      </c>
    </row>
    <row r="11938">
      <c r="A11938" s="4" t="s">
        <v>15008</v>
      </c>
      <c r="B11938" s="6" t="s">
        <v>15016</v>
      </c>
      <c r="C11938" s="5" t="str">
        <f>IFERROR(__xludf.DUMMYFUNCTION("GOOGLETRANSLATE(B11938,""en"",""it"")"),"Un elenco e ciotole di più ingredienti vengono preparati e versati in una grande pentola di metallo e mescolato vigorosamente.")</f>
        <v>Un elenco e ciotole di più ingredienti vengono preparati e versati in una grande pentola di metallo e mescolato vigorosamente.</v>
      </c>
    </row>
    <row r="11939">
      <c r="A11939" s="4" t="s">
        <v>15008</v>
      </c>
      <c r="B11939" s="4" t="s">
        <v>15017</v>
      </c>
      <c r="C11939" s="5" t="str">
        <f>IFERROR(__xludf.DUMMYFUNCTION("GOOGLETRANSLATE(B11939,""en"",""it"")"),"Una grande padella in metallo rettangolare appare con istruzioni che dicono di riempirla con una padella di acqua calda.")</f>
        <v>Una grande padella in metallo rettangolare appare con istruzioni che dicono di riempirla con una padella di acqua calda.</v>
      </c>
    </row>
    <row r="11940">
      <c r="A11940" s="4" t="s">
        <v>15008</v>
      </c>
      <c r="B11940" s="6" t="s">
        <v>15018</v>
      </c>
      <c r="C11940" s="5" t="str">
        <f>IFERROR(__xludf.DUMMYFUNCTION("GOOGLETRANSLATE(B11940,""en"",""it"")"),"Appare la torta circolare che era un grasso precedente e il contenuto agitato viene versato in essa e collocato nella padella di acqua calda dove sono tutti posizionati nel forno.")</f>
        <v>Appare la torta circolare che era un grasso precedente e il contenuto agitato viene versato in essa e collocato nella padella di acqua calda dove sono tutti posizionati nel forno.</v>
      </c>
    </row>
    <row r="11941">
      <c r="A11941" s="4" t="s">
        <v>15008</v>
      </c>
      <c r="B11941" s="6" t="s">
        <v>15019</v>
      </c>
      <c r="C11941" s="5" t="str">
        <f>IFERROR(__xludf.DUMMYFUNCTION("GOOGLETRANSLATE(B11941,""en"",""it"")"),"Quando ha finito di cuocere e raffreddato, la torta viene messa su un piatto in cui è vetrata, tagliata e una fetta viene messa su un altro piatto.")</f>
        <v>Quando ha finito di cuocere e raffreddato, la torta viene messa su un piatto in cui è vetrata, tagliata e una fetta viene messa su un altro piatto.</v>
      </c>
    </row>
    <row r="11942">
      <c r="A11942" s="4" t="s">
        <v>15020</v>
      </c>
      <c r="B11942" s="4" t="s">
        <v>15021</v>
      </c>
      <c r="C11942" s="5" t="str">
        <f>IFERROR(__xludf.DUMMYFUNCTION("GOOGLETRANSLATE(B11942,""en"",""it"")"),"Un uomo bendato oscilla a una pinata con una mazza mentre altri guardano dai sedili vicini.")</f>
        <v>Un uomo bendato oscilla a una pinata con una mazza mentre altri guardano dai sedili vicini.</v>
      </c>
    </row>
    <row r="11943">
      <c r="A11943" s="4" t="s">
        <v>15020</v>
      </c>
      <c r="B11943" s="4" t="s">
        <v>15022</v>
      </c>
      <c r="C11943" s="5" t="str">
        <f>IFERROR(__xludf.DUMMYFUNCTION("GOOGLETRANSLATE(B11943,""en"",""it"")"),"L'uomo riesce a rompere il Pinata.")</f>
        <v>L'uomo riesce a rompere il Pinata.</v>
      </c>
    </row>
    <row r="11944">
      <c r="A11944" s="4" t="s">
        <v>15020</v>
      </c>
      <c r="B11944" s="4" t="s">
        <v>15023</v>
      </c>
      <c r="C11944" s="5" t="str">
        <f>IFERROR(__xludf.DUMMYFUNCTION("GOOGLETRANSLATE(B11944,""en"",""it"")"),"L'uomo rimuove la sua benda mentre alcuni degli altri si avvicinano a lui.")</f>
        <v>L'uomo rimuove la sua benda mentre alcuni degli altri si avvicinano a lui.</v>
      </c>
    </row>
    <row r="11945">
      <c r="A11945" s="4" t="s">
        <v>15024</v>
      </c>
      <c r="B11945" s="4" t="s">
        <v>15025</v>
      </c>
      <c r="C11945" s="5" t="str">
        <f>IFERROR(__xludf.DUMMYFUNCTION("GOOGLETRANSLATE(B11945,""en"",""it"")"),"Due uomini entrano in un campo da zucca per competere in una partita di squash.")</f>
        <v>Due uomini entrano in un campo da zucca per competere in una partita di squash.</v>
      </c>
    </row>
    <row r="11946">
      <c r="A11946" s="4" t="s">
        <v>15024</v>
      </c>
      <c r="B11946" s="4" t="s">
        <v>15026</v>
      </c>
      <c r="C11946" s="5" t="str">
        <f>IFERROR(__xludf.DUMMYFUNCTION("GOOGLETRANSLATE(B11946,""en"",""it"")"),"Un uomo indossa una camicia bianca e l'altro uomo indossa una camicia scura.")</f>
        <v>Un uomo indossa una camicia bianca e l'altro uomo indossa una camicia scura.</v>
      </c>
    </row>
    <row r="11947">
      <c r="A11947" s="4" t="s">
        <v>15024</v>
      </c>
      <c r="B11947" s="4" t="s">
        <v>15027</v>
      </c>
      <c r="C11947" s="5" t="str">
        <f>IFERROR(__xludf.DUMMYFUNCTION("GOOGLETRANSLATE(B11947,""en"",""it"")"),"Gli uomini iniziano a giocare mentre il gioco avanza ogni uomo che serve dalla scatola da portata.")</f>
        <v>Gli uomini iniziano a giocare mentre il gioco avanza ogni uomo che serve dalla scatola da portata.</v>
      </c>
    </row>
    <row r="11948">
      <c r="A11948" s="4" t="s">
        <v>15024</v>
      </c>
      <c r="B11948" s="4" t="s">
        <v>15028</v>
      </c>
      <c r="C11948" s="5" t="str">
        <f>IFERROR(__xludf.DUMMYFUNCTION("GOOGLETRANSLATE(B11948,""en"",""it"")"),"Il gioco finisce con un frullato di mano e un'onda alla folla.")</f>
        <v>Il gioco finisce con un frullato di mano e un'onda alla folla.</v>
      </c>
    </row>
    <row r="11949">
      <c r="A11949" s="4" t="s">
        <v>15024</v>
      </c>
      <c r="B11949" s="4" t="s">
        <v>15029</v>
      </c>
      <c r="C11949" s="5" t="str">
        <f>IFERROR(__xludf.DUMMYFUNCTION("GOOGLETRANSLATE(B11949,""en"",""it"")"),"Una ragazza in una camicetta rosa entra nel campo da squash mentre un altro uomo entra in campo.")</f>
        <v>Una ragazza in una camicetta rosa entra nel campo da squash mentre un altro uomo entra in campo.</v>
      </c>
    </row>
    <row r="11950">
      <c r="A11950" s="4" t="s">
        <v>15030</v>
      </c>
      <c r="B11950" s="4" t="s">
        <v>15031</v>
      </c>
      <c r="C11950" s="5" t="str">
        <f>IFERROR(__xludf.DUMMYFUNCTION("GOOGLETRANSLATE(B11950,""en"",""it"")"),"Diverse foto conducono in clip di persone che cavalcano un fiume su canoe e kayak.")</f>
        <v>Diverse foto conducono in clip di persone che cavalcano un fiume su canoe e kayak.</v>
      </c>
    </row>
    <row r="11951">
      <c r="A11951" s="4" t="s">
        <v>15030</v>
      </c>
      <c r="B11951" s="4" t="s">
        <v>15032</v>
      </c>
      <c r="C11951" s="5" t="str">
        <f>IFERROR(__xludf.DUMMYFUNCTION("GOOGLETRANSLATE(B11951,""en"",""it"")"),"Diverse persone vengono mostrate a cavalcare lungo i fiumi ruvidi mentre si remato.")</f>
        <v>Diverse persone vengono mostrate a cavalcare lungo i fiumi ruvidi mentre si remato.</v>
      </c>
    </row>
    <row r="11952">
      <c r="A11952" s="4" t="s">
        <v>15030</v>
      </c>
      <c r="B11952" s="6" t="s">
        <v>15033</v>
      </c>
      <c r="C11952" s="5" t="str">
        <f>IFERROR(__xludf.DUMMYFUNCTION("GOOGLETRANSLATE(B11952,""en"",""it"")"),"Le persone continuano a spingersi lungo l'acqua mentre la telecamera segue i loro movimenti.")</f>
        <v>Le persone continuano a spingersi lungo l'acqua mentre la telecamera segue i loro movimenti.</v>
      </c>
    </row>
    <row r="11953">
      <c r="A11953" s="4" t="s">
        <v>15034</v>
      </c>
      <c r="B11953" s="4" t="s">
        <v>15035</v>
      </c>
      <c r="C11953" s="5" t="str">
        <f>IFERROR(__xludf.DUMMYFUNCTION("GOOGLETRANSLATE(B11953,""en"",""it"")"),"Le donne si siedono fuori su piccole sedie e lavare a mano vestiti in vasche di plastica.")</f>
        <v>Le donne si siedono fuori su piccole sedie e lavare a mano vestiti in vasche di plastica.</v>
      </c>
    </row>
    <row r="11954">
      <c r="A11954" s="4" t="s">
        <v>15034</v>
      </c>
      <c r="B11954" s="4" t="s">
        <v>15036</v>
      </c>
      <c r="C11954" s="5" t="str">
        <f>IFERROR(__xludf.DUMMYFUNCTION("GOOGLETRANSLATE(B11954,""en"",""it"")"),"La signora strofina un indumento su una tavola di legno.")</f>
        <v>La signora strofina un indumento su una tavola di legno.</v>
      </c>
    </row>
    <row r="11955">
      <c r="A11955" s="4" t="s">
        <v>15034</v>
      </c>
      <c r="B11955" s="4" t="s">
        <v>15037</v>
      </c>
      <c r="C11955" s="5" t="str">
        <f>IFERROR(__xludf.DUMMYFUNCTION("GOOGLETRANSLATE(B11955,""en"",""it"")"),"La signora suona l'acqua da un indumento, poi la getta da parte quando è finita di lavarlo.")</f>
        <v>La signora suona l'acqua da un indumento, poi la getta da parte quando è finita di lavarlo.</v>
      </c>
    </row>
    <row r="11956">
      <c r="A11956" s="4" t="s">
        <v>15038</v>
      </c>
      <c r="B11956" s="4" t="s">
        <v>15039</v>
      </c>
      <c r="C11956" s="5" t="str">
        <f>IFERROR(__xludf.DUMMYFUNCTION("GOOGLETRANSLATE(B11956,""en"",""it"")"),"Un ragazzo sta pattinando in un parcheggio.")</f>
        <v>Un ragazzo sta pattinando in un parcheggio.</v>
      </c>
    </row>
    <row r="11957">
      <c r="A11957" s="4" t="s">
        <v>15038</v>
      </c>
      <c r="B11957" s="4" t="s">
        <v>15040</v>
      </c>
      <c r="C11957" s="5" t="str">
        <f>IFERROR(__xludf.DUMMYFUNCTION("GOOGLETRANSLATE(B11957,""en"",""it"")"),"Fa diverse mosse, ballando e parlando.")</f>
        <v>Fa diverse mosse, ballando e parlando.</v>
      </c>
    </row>
    <row r="11958">
      <c r="A11958" s="4" t="s">
        <v>15038</v>
      </c>
      <c r="B11958" s="4" t="s">
        <v>15041</v>
      </c>
      <c r="C11958" s="5" t="str">
        <f>IFERROR(__xludf.DUMMYFUNCTION("GOOGLETRANSLATE(B11958,""en"",""it"")"),"Il ragazzo pattina intorno al parcheggio su pattini in linea.")</f>
        <v>Il ragazzo pattina intorno al parcheggio su pattini in linea.</v>
      </c>
    </row>
    <row r="11959">
      <c r="A11959" s="4" t="s">
        <v>15042</v>
      </c>
      <c r="B11959" s="6" t="s">
        <v>15043</v>
      </c>
      <c r="C11959" s="5" t="str">
        <f>IFERROR(__xludf.DUMMYFUNCTION("GOOGLETRANSLATE(B11959,""en"",""it"")"),"Un folto gruppo di persone viene visto camminare su un palco con un uomo che parla alla folla e conduce nel gruppo ballando l'uno con l'altro.")</f>
        <v>Un folto gruppo di persone viene visto camminare su un palco con un uomo che parla alla folla e conduce nel gruppo ballando l'uno con l'altro.</v>
      </c>
    </row>
    <row r="11960">
      <c r="A11960" s="4" t="s">
        <v>15042</v>
      </c>
      <c r="B11960" s="4" t="s">
        <v>15044</v>
      </c>
      <c r="C11960" s="5" t="str">
        <f>IFERROR(__xludf.DUMMYFUNCTION("GOOGLETRANSLATE(B11960,""en"",""it"")"),"La gente continua a ballare insieme mentre la telecamera li cattura da diversi angoli.")</f>
        <v>La gente continua a ballare insieme mentre la telecamera li cattura da diversi angoli.</v>
      </c>
    </row>
    <row r="11961">
      <c r="A11961" s="4" t="s">
        <v>15045</v>
      </c>
      <c r="B11961" s="4" t="s">
        <v>15046</v>
      </c>
      <c r="C11961" s="5" t="str">
        <f>IFERROR(__xludf.DUMMYFUNCTION("GOOGLETRANSLATE(B11961,""en"",""it"")"),"La telecamera si concentra su un uomo che pilota una barca a vela in un ambiente portuale.")</f>
        <v>La telecamera si concentra su un uomo che pilota una barca a vela in un ambiente portuale.</v>
      </c>
    </row>
    <row r="11962">
      <c r="A11962" s="4" t="s">
        <v>15045</v>
      </c>
      <c r="B11962" s="4" t="s">
        <v>15047</v>
      </c>
      <c r="C11962" s="5" t="str">
        <f>IFERROR(__xludf.DUMMYFUNCTION("GOOGLETRANSLATE(B11962,""en"",""it"")"),"La vela della barca si immerge nell'acqua.")</f>
        <v>La vela della barca si immerge nell'acqua.</v>
      </c>
    </row>
    <row r="11963">
      <c r="A11963" s="4" t="s">
        <v>15045</v>
      </c>
      <c r="B11963" s="4" t="s">
        <v>15048</v>
      </c>
      <c r="C11963" s="5" t="str">
        <f>IFERROR(__xludf.DUMMYFUNCTION("GOOGLETRANSLATE(B11963,""en"",""it"")"),"L'uomo difesa la barca a vela e continua.")</f>
        <v>L'uomo difesa la barca a vela e continua.</v>
      </c>
    </row>
    <row r="11964">
      <c r="A11964" s="4" t="s">
        <v>15049</v>
      </c>
      <c r="B11964" s="4" t="s">
        <v>15050</v>
      </c>
      <c r="C11964" s="5" t="str">
        <f>IFERROR(__xludf.DUMMYFUNCTION("GOOGLETRANSLATE(B11964,""en"",""it"")"),"Un uomo si sta esercitando in casa, sta facendo intervalli di salto durante la corsa.")</f>
        <v>Un uomo si sta esercitando in casa, sta facendo intervalli di salto durante la corsa.</v>
      </c>
    </row>
    <row r="11965">
      <c r="A11965" s="4" t="s">
        <v>15049</v>
      </c>
      <c r="B11965" s="4" t="s">
        <v>15051</v>
      </c>
      <c r="C11965" s="5" t="str">
        <f>IFERROR(__xludf.DUMMYFUNCTION("GOOGLETRANSLATE(B11965,""en"",""it"")"),"Una volta che atterra nella sabbia torna per ricominciare.")</f>
        <v>Una volta che atterra nella sabbia torna per ricominciare.</v>
      </c>
    </row>
    <row r="11966">
      <c r="A11966" s="4" t="s">
        <v>15049</v>
      </c>
      <c r="B11966" s="4" t="s">
        <v>15052</v>
      </c>
      <c r="C11966" s="5" t="str">
        <f>IFERROR(__xludf.DUMMYFUNCTION("GOOGLETRANSLATE(B11966,""en"",""it"")"),"Lo fa ancora e ancora ogni volta ricominciando più indietro.")</f>
        <v>Lo fa ancora e ancora ogni volta ricominciando più indietro.</v>
      </c>
    </row>
    <row r="11967">
      <c r="A11967" s="4" t="s">
        <v>15049</v>
      </c>
      <c r="B11967" s="4" t="s">
        <v>15053</v>
      </c>
      <c r="C11967" s="5" t="str">
        <f>IFERROR(__xludf.DUMMYFUNCTION("GOOGLETRANSLATE(B11967,""en"",""it"")"),"Quindi la pratica è finita e è fatta.")</f>
        <v>Quindi la pratica è finita e è fatta.</v>
      </c>
    </row>
    <row r="11968">
      <c r="A11968" s="4" t="s">
        <v>15054</v>
      </c>
      <c r="B11968" s="4" t="s">
        <v>15055</v>
      </c>
      <c r="C11968" s="5" t="str">
        <f>IFERROR(__xludf.DUMMYFUNCTION("GOOGLETRANSLATE(B11968,""en"",""it"")"),"Un furgone scende lungo una strada di campagna e si tira sul lato della strada con una gomma a terra.")</f>
        <v>Un furgone scende lungo una strada di campagna e si tira sul lato della strada con una gomma a terra.</v>
      </c>
    </row>
    <row r="11969">
      <c r="A11969" s="4" t="s">
        <v>15054</v>
      </c>
      <c r="B11969" s="4" t="s">
        <v>15056</v>
      </c>
      <c r="C11969" s="5" t="str">
        <f>IFERROR(__xludf.DUMMYFUNCTION("GOOGLETRANSLATE(B11969,""en"",""it"")"),"Il conducente si armeggia con un jack a mano ed è frustrato.")</f>
        <v>Il conducente si armeggia con un jack a mano ed è frustrato.</v>
      </c>
    </row>
    <row r="11970">
      <c r="A11970" s="4" t="s">
        <v>15054</v>
      </c>
      <c r="B11970" s="4" t="s">
        <v>15057</v>
      </c>
      <c r="C11970" s="5" t="str">
        <f>IFERROR(__xludf.DUMMYFUNCTION("GOOGLETRANSLATE(B11970,""en"",""it"")"),"Il conducente utilizza quindi un martine di auto elettrica per sollevare invece la ruota dell'auto.")</f>
        <v>Il conducente utilizza quindi un martine di auto elettrica per sollevare invece la ruota dell'auto.</v>
      </c>
    </row>
    <row r="11971">
      <c r="A11971" s="4" t="s">
        <v>15054</v>
      </c>
      <c r="B11971" s="4" t="s">
        <v>15058</v>
      </c>
      <c r="C11971" s="5" t="str">
        <f>IFERROR(__xludf.DUMMYFUNCTION("GOOGLETRANSLATE(B11971,""en"",""it"")"),"La donna si collega in un trapano a mano elettrica che lo usa per rimuovere i dadi.")</f>
        <v>La donna si collega in un trapano a mano elettrica che lo usa per rimuovere i dadi.</v>
      </c>
    </row>
    <row r="11972">
      <c r="A11972" s="4" t="s">
        <v>15054</v>
      </c>
      <c r="B11972" s="4" t="s">
        <v>15059</v>
      </c>
      <c r="C11972" s="5" t="str">
        <f>IFERROR(__xludf.DUMMYFUNCTION("GOOGLETRANSLATE(B11972,""en"",""it"")"),"La donna mette una nuova gomma sull'auto e la colpisce.")</f>
        <v>La donna mette una nuova gomma sull'auto e la colpisce.</v>
      </c>
    </row>
    <row r="11973">
      <c r="A11973" s="4" t="s">
        <v>15054</v>
      </c>
      <c r="B11973" s="4" t="s">
        <v>15060</v>
      </c>
      <c r="C11973" s="5" t="str">
        <f>IFERROR(__xludf.DUMMYFUNCTION("GOOGLETRANSLATE(B11973,""en"",""it"")"),"La donna abbassa la ruota dell'auto dal jack.")</f>
        <v>La donna abbassa la ruota dell'auto dal jack.</v>
      </c>
    </row>
    <row r="11974">
      <c r="A11974" s="4" t="s">
        <v>15054</v>
      </c>
      <c r="B11974" s="4" t="s">
        <v>15061</v>
      </c>
      <c r="C11974" s="5" t="str">
        <f>IFERROR(__xludf.DUMMYFUNCTION("GOOGLETRANSLATE(B11974,""en"",""it"")"),"Un uomo indica i diversi strumenti in una cassetta degli attrezzi.")</f>
        <v>Un uomo indica i diversi strumenti in una cassetta degli attrezzi.</v>
      </c>
    </row>
    <row r="11975">
      <c r="A11975" s="4" t="s">
        <v>15054</v>
      </c>
      <c r="B11975" s="4" t="s">
        <v>15062</v>
      </c>
      <c r="C11975" s="5" t="str">
        <f>IFERROR(__xludf.DUMMYFUNCTION("GOOGLETRANSLATE(B11975,""en"",""it"")"),"L'uomo aggancia un caricabatterie fino alla batteria dell'auto.")</f>
        <v>L'uomo aggancia un caricabatterie fino alla batteria dell'auto.</v>
      </c>
    </row>
    <row r="11976">
      <c r="A11976" s="4" t="s">
        <v>15063</v>
      </c>
      <c r="B11976" s="4" t="s">
        <v>15064</v>
      </c>
      <c r="C11976" s="5" t="str">
        <f>IFERROR(__xludf.DUMMYFUNCTION("GOOGLETRANSLATE(B11976,""en"",""it"")"),"Un uomo si inginocchia su una palla e tiene una canna.")</f>
        <v>Un uomo si inginocchia su una palla e tiene una canna.</v>
      </c>
    </row>
    <row r="11977">
      <c r="A11977" s="4" t="s">
        <v>15063</v>
      </c>
      <c r="B11977" s="4" t="s">
        <v>15065</v>
      </c>
      <c r="C11977" s="5" t="str">
        <f>IFERROR(__xludf.DUMMYFUNCTION("GOOGLETRANSLATE(B11977,""en"",""it"")"),"L'uomo spinge il suo corpo in avanti spingendo l'asta.")</f>
        <v>L'uomo spinge il suo corpo in avanti spingendo l'asta.</v>
      </c>
    </row>
    <row r="11978">
      <c r="A11978" s="4" t="s">
        <v>15063</v>
      </c>
      <c r="B11978" s="4" t="s">
        <v>15066</v>
      </c>
      <c r="C11978" s="5" t="str">
        <f>IFERROR(__xludf.DUMMYFUNCTION("GOOGLETRANSLATE(B11978,""en"",""it"")"),"Quindi, l'uomo porta il suo corpo in una posizione dritta, poi porta di nuovo il suo corpo in avanti.")</f>
        <v>Quindi, l'uomo porta il suo corpo in una posizione dritta, poi porta di nuovo il suo corpo in avanti.</v>
      </c>
    </row>
    <row r="11979">
      <c r="A11979" s="4" t="s">
        <v>15067</v>
      </c>
      <c r="B11979" s="4" t="s">
        <v>15068</v>
      </c>
      <c r="C11979" s="5" t="str">
        <f>IFERROR(__xludf.DUMMYFUNCTION("GOOGLETRANSLATE(B11979,""en"",""it"")"),"Una donna sta mordando il pavimento piastrellato bianco con una scopa.")</f>
        <v>Una donna sta mordando il pavimento piastrellato bianco con una scopa.</v>
      </c>
    </row>
    <row r="11980">
      <c r="A11980" s="4" t="s">
        <v>15067</v>
      </c>
      <c r="B11980" s="6" t="s">
        <v>15069</v>
      </c>
      <c r="C11980" s="5" t="str">
        <f>IFERROR(__xludf.DUMMYFUNCTION("GOOGLETRANSLATE(B11980,""en"",""it"")"),"La donna mise il mop in un secchio verde e la mise in un filtro per spremere l'acqua in eccesso, quindi spinse la maniglia della mappa del pavimento mentre stringeva l'acqua e iniziò a pulire il pavimento e sotto le sedie, lato del lato del divano, il liq"&amp;"uido sul pavimento.")</f>
        <v>La donna mise il mop in un secchio verde e la mise in un filtro per spremere l'acqua in eccesso, quindi spinse la maniglia della mappa del pavimento mentre stringeva l'acqua e iniziò a pulire il pavimento e sotto le sedie, lato del lato del divano, il liquido sul pavimento.</v>
      </c>
    </row>
    <row r="11981">
      <c r="A11981" s="4" t="s">
        <v>15070</v>
      </c>
      <c r="B11981" s="4" t="s">
        <v>15071</v>
      </c>
      <c r="C11981" s="5" t="str">
        <f>IFERROR(__xludf.DUMMYFUNCTION("GOOGLETRANSLATE(B11981,""en"",""it"")"),"Una donna di colore fa una routine sul raggio dell'equilibrio.")</f>
        <v>Una donna di colore fa una routine sul raggio dell'equilibrio.</v>
      </c>
    </row>
    <row r="11982">
      <c r="A11982" s="4" t="s">
        <v>15070</v>
      </c>
      <c r="B11982" s="4" t="s">
        <v>15072</v>
      </c>
      <c r="C11982" s="5" t="str">
        <f>IFERROR(__xludf.DUMMYFUNCTION("GOOGLETRANSLATE(B11982,""en"",""it"")"),"Gira, salta, gira e lancia.")</f>
        <v>Gira, salta, gira e lancia.</v>
      </c>
    </row>
    <row r="11983">
      <c r="A11983" s="4" t="s">
        <v>15070</v>
      </c>
      <c r="B11983" s="4" t="s">
        <v>15073</v>
      </c>
      <c r="C11983" s="5" t="str">
        <f>IFERROR(__xludf.DUMMYFUNCTION("GOOGLETRANSLATE(B11983,""en"",""it"")"),"Cade, finisce la sua routine e loro smontato a un pubblico che applaude.")</f>
        <v>Cade, finisce la sua routine e loro smontato a un pubblico che applaude.</v>
      </c>
    </row>
    <row r="11984">
      <c r="A11984" s="4" t="s">
        <v>15074</v>
      </c>
      <c r="B11984" s="4" t="s">
        <v>15075</v>
      </c>
      <c r="C11984" s="5" t="str">
        <f>IFERROR(__xludf.DUMMYFUNCTION("GOOGLETRANSLATE(B11984,""en"",""it"")"),"Le persone su una barca si snoda con attrezzatura subacquee, quindi saltano in acqua.")</f>
        <v>Le persone su una barca si snoda con attrezzatura subacquee, quindi saltano in acqua.</v>
      </c>
    </row>
    <row r="11985">
      <c r="A11985" s="4" t="s">
        <v>15074</v>
      </c>
      <c r="B11985" s="4" t="s">
        <v>15076</v>
      </c>
      <c r="C11985" s="5" t="str">
        <f>IFERROR(__xludf.DUMMYFUNCTION("GOOGLETRANSLATE(B11985,""en"",""it"")"),"I subacquei nuotano attraverso un'area della caverna.")</f>
        <v>I subacquei nuotano attraverso un'area della caverna.</v>
      </c>
    </row>
    <row r="11986">
      <c r="A11986" s="4" t="s">
        <v>15074</v>
      </c>
      <c r="B11986" s="4" t="s">
        <v>15077</v>
      </c>
      <c r="C11986" s="5" t="str">
        <f>IFERROR(__xludf.DUMMYFUNCTION("GOOGLETRANSLATE(B11986,""en"",""it"")"),"Si vede una spiaggia tropicale.")</f>
        <v>Si vede una spiaggia tropicale.</v>
      </c>
    </row>
    <row r="11987">
      <c r="A11987" s="4" t="s">
        <v>15074</v>
      </c>
      <c r="B11987" s="4" t="s">
        <v>15078</v>
      </c>
      <c r="C11987" s="5" t="str">
        <f>IFERROR(__xludf.DUMMYFUNCTION("GOOGLETRANSLATE(B11987,""en"",""it"")"),"Le tartarughe marine pascolano e nuotano nell'oceano.")</f>
        <v>Le tartarughe marine pascolano e nuotano nell'oceano.</v>
      </c>
    </row>
    <row r="11988">
      <c r="A11988" s="4" t="s">
        <v>15074</v>
      </c>
      <c r="B11988" s="4" t="s">
        <v>15079</v>
      </c>
      <c r="C11988" s="5" t="str">
        <f>IFERROR(__xludf.DUMMYFUNCTION("GOOGLETRANSLATE(B11988,""en"",""it"")"),"Vari pesci vengono visti nuotare attraverso la barriera corallina.")</f>
        <v>Vari pesci vengono visti nuotare attraverso la barriera corallina.</v>
      </c>
    </row>
    <row r="11989">
      <c r="A11989" s="4" t="s">
        <v>15074</v>
      </c>
      <c r="B11989" s="4" t="s">
        <v>15080</v>
      </c>
      <c r="C11989" s="5" t="str">
        <f>IFERROR(__xludf.DUMMYFUNCTION("GOOGLETRANSLATE(B11989,""en"",""it"")"),"Un manta ray nuota nell'oceano sopra una scogliera.")</f>
        <v>Un manta ray nuota nell'oceano sopra una scogliera.</v>
      </c>
    </row>
    <row r="11990">
      <c r="A11990" s="4" t="s">
        <v>15081</v>
      </c>
      <c r="B11990" s="4" t="s">
        <v>15082</v>
      </c>
      <c r="C11990" s="5" t="str">
        <f>IFERROR(__xludf.DUMMYFUNCTION("GOOGLETRANSLATE(B11990,""en"",""it"")"),"Una sala da tatuaggio viene mostrata dall'esterno e all'interno.")</f>
        <v>Una sala da tatuaggio viene mostrata dall'esterno e all'interno.</v>
      </c>
    </row>
    <row r="11991">
      <c r="A11991" s="4" t="s">
        <v>15081</v>
      </c>
      <c r="B11991" s="4" t="s">
        <v>15083</v>
      </c>
      <c r="C11991" s="5" t="str">
        <f>IFERROR(__xludf.DUMMYFUNCTION("GOOGLETRANSLATE(B11991,""en"",""it"")"),"Una serie di scelte di tatuaggi è mostrata su un muro.")</f>
        <v>Una serie di scelte di tatuaggi è mostrata su un muro.</v>
      </c>
    </row>
    <row r="11992">
      <c r="A11992" s="4" t="s">
        <v>15081</v>
      </c>
      <c r="B11992" s="4" t="s">
        <v>15084</v>
      </c>
      <c r="C11992" s="5" t="str">
        <f>IFERROR(__xludf.DUMMYFUNCTION("GOOGLETRANSLATE(B11992,""en"",""it"")"),"Un artista viene mostrato disegnare e colorare in tatuaggi su un pezzo di carta.")</f>
        <v>Un artista viene mostrato disegnare e colorare in tatuaggi su un pezzo di carta.</v>
      </c>
    </row>
    <row r="11993">
      <c r="A11993" s="4" t="s">
        <v>15085</v>
      </c>
      <c r="B11993" s="4" t="s">
        <v>15086</v>
      </c>
      <c r="C11993" s="5" t="str">
        <f>IFERROR(__xludf.DUMMYFUNCTION("GOOGLETRANSLATE(B11993,""en"",""it"")"),"Un gruppo di persone è raccolto su una collina innevata.")</f>
        <v>Un gruppo di persone è raccolto su una collina innevata.</v>
      </c>
    </row>
    <row r="11994">
      <c r="A11994" s="4" t="s">
        <v>15085</v>
      </c>
      <c r="B11994" s="4" t="s">
        <v>15087</v>
      </c>
      <c r="C11994" s="5" t="str">
        <f>IFERROR(__xludf.DUMMYFUNCTION("GOOGLETRANSLATE(B11994,""en"",""it"")"),"Stanno camminando con gli intertubi.")</f>
        <v>Stanno camminando con gli intertubi.</v>
      </c>
    </row>
    <row r="11995">
      <c r="A11995" s="4" t="s">
        <v>15085</v>
      </c>
      <c r="B11995" s="4" t="s">
        <v>15088</v>
      </c>
      <c r="C11995" s="5" t="str">
        <f>IFERROR(__xludf.DUMMYFUNCTION("GOOGLETRANSLATE(B11995,""en"",""it"")"),"Cavalcano le intertuttute lungo il fianco delle montagne innevate.")</f>
        <v>Cavalcano le intertuttute lungo il fianco delle montagne innevate.</v>
      </c>
    </row>
    <row r="11996">
      <c r="A11996" s="4" t="s">
        <v>15089</v>
      </c>
      <c r="B11996" s="6" t="s">
        <v>15090</v>
      </c>
      <c r="C11996" s="5" t="str">
        <f>IFERROR(__xludf.DUMMYFUNCTION("GOOGLETRANSLATE(B11996,""en"",""it"")"),"Una giovane ballerina che indossa un tutu si vede in piedi su un balletto che esegue varie mosse di balletto e si sposta sul pavimento.")</f>
        <v>Una giovane ballerina che indossa un tutu si vede in piedi su un balletto che esegue varie mosse di balletto e si sposta sul pavimento.</v>
      </c>
    </row>
    <row r="11997">
      <c r="A11997" s="4" t="s">
        <v>15089</v>
      </c>
      <c r="B11997" s="6" t="s">
        <v>15091</v>
      </c>
      <c r="C11997" s="5" t="str">
        <f>IFERROR(__xludf.DUMMYFUNCTION("GOOGLETRANSLATE(B11997,""en"",""it"")"),"Continua a muoversi sul pavimento ballando e porta a tenersi un rasoio e metterle la lozione sulle gambe.")</f>
        <v>Continua a muoversi sul pavimento ballando e porta a tenersi un rasoio e metterle la lozione sulle gambe.</v>
      </c>
    </row>
    <row r="11998">
      <c r="A11998" s="4" t="s">
        <v>15089</v>
      </c>
      <c r="B11998" s="4" t="s">
        <v>15092</v>
      </c>
      <c r="C11998" s="5" t="str">
        <f>IFERROR(__xludf.DUMMYFUNCTION("GOOGLETRANSLATE(B11998,""en"",""it"")"),"Si rade le gambe mentre muove le gambe e continua a ballare con il rasoio in vista.")</f>
        <v>Si rade le gambe mentre muove le gambe e continua a ballare con il rasoio in vista.</v>
      </c>
    </row>
    <row r="11999">
      <c r="A11999" s="4" t="s">
        <v>15093</v>
      </c>
      <c r="B11999" s="4" t="s">
        <v>15094</v>
      </c>
      <c r="C11999" s="5" t="str">
        <f>IFERROR(__xludf.DUMMYFUNCTION("GOOGLETRANSLATE(B11999,""en"",""it"")"),"Un uomo lancia una palla in una tazza.")</f>
        <v>Un uomo lancia una palla in una tazza.</v>
      </c>
    </row>
    <row r="12000">
      <c r="A12000" s="4" t="s">
        <v>15093</v>
      </c>
      <c r="B12000" s="4" t="s">
        <v>15095</v>
      </c>
      <c r="C12000" s="5" t="str">
        <f>IFERROR(__xludf.DUMMYFUNCTION("GOOGLETRANSLATE(B12000,""en"",""it"")"),"Un altro uomo lancia una palla in una tazza.")</f>
        <v>Un altro uomo lancia una palla in una tazza.</v>
      </c>
    </row>
    <row r="12001">
      <c r="A12001" s="4" t="s">
        <v>15093</v>
      </c>
      <c r="B12001" s="4" t="s">
        <v>15096</v>
      </c>
      <c r="C12001" s="5" t="str">
        <f>IFERROR(__xludf.DUMMYFUNCTION("GOOGLETRANSLATE(B12001,""en"",""it"")"),"I due uomini raccolgono una tazza e la bevono.")</f>
        <v>I due uomini raccolgono una tazza e la bevono.</v>
      </c>
    </row>
    <row r="12002">
      <c r="A12002" s="4" t="s">
        <v>15097</v>
      </c>
      <c r="B12002" s="4" t="s">
        <v>15098</v>
      </c>
      <c r="C12002" s="5" t="str">
        <f>IFERROR(__xludf.DUMMYFUNCTION("GOOGLETRANSLATE(B12002,""en"",""it"")"),"Un uomo è in piedi davanti ai fili e mette un casco di saldatura.")</f>
        <v>Un uomo è in piedi davanti ai fili e mette un casco di saldatura.</v>
      </c>
    </row>
    <row r="12003">
      <c r="A12003" s="4" t="s">
        <v>15097</v>
      </c>
      <c r="B12003" s="4" t="s">
        <v>15099</v>
      </c>
      <c r="C12003" s="5" t="str">
        <f>IFERROR(__xludf.DUMMYFUNCTION("GOOGLETRANSLATE(B12003,""en"",""it"")"),"Comincia a saldare l'angolo della stanza.")</f>
        <v>Comincia a saldare l'angolo della stanza.</v>
      </c>
    </row>
    <row r="12004">
      <c r="A12004" s="4" t="s">
        <v>15097</v>
      </c>
      <c r="B12004" s="4" t="s">
        <v>15100</v>
      </c>
      <c r="C12004" s="5" t="str">
        <f>IFERROR(__xludf.DUMMYFUNCTION("GOOGLETRANSLATE(B12004,""en"",""it"")"),"L'uomo leviga l'angolo dove stava saldando.")</f>
        <v>L'uomo leviga l'angolo dove stava saldando.</v>
      </c>
    </row>
    <row r="12005">
      <c r="A12005" s="4" t="s">
        <v>15097</v>
      </c>
      <c r="B12005" s="4" t="s">
        <v>15101</v>
      </c>
      <c r="C12005" s="5" t="str">
        <f>IFERROR(__xludf.DUMMYFUNCTION("GOOGLETRANSLATE(B12005,""en"",""it"")"),"Continua a saldare nello stesso angolo.")</f>
        <v>Continua a saldare nello stesso angolo.</v>
      </c>
    </row>
    <row r="12006">
      <c r="A12006" s="4" t="s">
        <v>15097</v>
      </c>
      <c r="B12006" s="4" t="s">
        <v>15102</v>
      </c>
      <c r="C12006" s="5" t="str">
        <f>IFERROR(__xludf.DUMMYFUNCTION("GOOGLETRANSLATE(B12006,""en"",""it"")"),"L'uomo spinge il casco e sostituisce di nuovo i fili e sabbie la stessa area.")</f>
        <v>L'uomo spinge il casco e sostituisce di nuovo i fili e sabbie la stessa area.</v>
      </c>
    </row>
    <row r="12007">
      <c r="A12007" s="4" t="s">
        <v>15097</v>
      </c>
      <c r="B12007" s="4" t="s">
        <v>15103</v>
      </c>
      <c r="C12007" s="5" t="str">
        <f>IFERROR(__xludf.DUMMYFUNCTION("GOOGLETRANSLATE(B12007,""en"",""it"")"),"Posiziona i guanti e mostra la saldatura che ha finito.")</f>
        <v>Posiziona i guanti e mostra la saldatura che ha finito.</v>
      </c>
    </row>
    <row r="12008">
      <c r="A12008" s="4" t="s">
        <v>15104</v>
      </c>
      <c r="B12008" s="4" t="s">
        <v>15105</v>
      </c>
      <c r="C12008" s="5" t="str">
        <f>IFERROR(__xludf.DUMMYFUNCTION("GOOGLETRANSLATE(B12008,""en"",""it"")"),"Un uomo sta fuori tenendo una bottiglia di schermo solare e parla.")</f>
        <v>Un uomo sta fuori tenendo una bottiglia di schermo solare e parla.</v>
      </c>
    </row>
    <row r="12009">
      <c r="A12009" s="4" t="s">
        <v>15104</v>
      </c>
      <c r="B12009" s="4" t="s">
        <v>15106</v>
      </c>
      <c r="C12009" s="5" t="str">
        <f>IFERROR(__xludf.DUMMYFUNCTION("GOOGLETRANSLATE(B12009,""en"",""it"")"),"Spruzza la schermata solare sul braccio e lo strofina.")</f>
        <v>Spruzza la schermata solare sul braccio e lo strofina.</v>
      </c>
    </row>
    <row r="12010">
      <c r="A12010" s="4" t="s">
        <v>15107</v>
      </c>
      <c r="B12010" s="4" t="s">
        <v>15108</v>
      </c>
      <c r="C12010" s="5" t="str">
        <f>IFERROR(__xludf.DUMMYFUNCTION("GOOGLETRANSLATE(B12010,""en"",""it"")"),"Un uomo che indossa una camicia blu lancia una palla da bowling lungo una pista da bowling.")</f>
        <v>Un uomo che indossa una camicia blu lancia una palla da bowling lungo una pista da bowling.</v>
      </c>
    </row>
    <row r="12011">
      <c r="A12011" s="4" t="s">
        <v>15107</v>
      </c>
      <c r="B12011" s="4" t="s">
        <v>15109</v>
      </c>
      <c r="C12011" s="5" t="str">
        <f>IFERROR(__xludf.DUMMYFUNCTION("GOOGLETRANSLATE(B12011,""en"",""it"")"),"La palla colpisce sia i perni che rimbalza nel vicolo adiacente che colpisce anche il perno laggiù.")</f>
        <v>La palla colpisce sia i perni che rimbalza nel vicolo adiacente che colpisce anche il perno laggiù.</v>
      </c>
    </row>
    <row r="12012">
      <c r="A12012" s="4" t="s">
        <v>15107</v>
      </c>
      <c r="B12012" s="4" t="s">
        <v>15110</v>
      </c>
      <c r="C12012" s="5" t="str">
        <f>IFERROR(__xludf.DUMMYFUNCTION("GOOGLETRANSLATE(B12012,""en"",""it"")"),"Un uomo seduto in una camicia rossa scuote la testa.")</f>
        <v>Un uomo seduto in una camicia rossa scuote la testa.</v>
      </c>
    </row>
    <row r="12013">
      <c r="A12013" s="4" t="s">
        <v>15107</v>
      </c>
      <c r="B12013" s="4" t="s">
        <v>15111</v>
      </c>
      <c r="C12013" s="5" t="str">
        <f>IFERROR(__xludf.DUMMYFUNCTION("GOOGLETRANSLATE(B12013,""en"",""it"")"),"L'uomo con la camicia blu torna indietro.")</f>
        <v>L'uomo con la camicia blu torna indietro.</v>
      </c>
    </row>
    <row r="12014">
      <c r="A12014" s="4" t="s">
        <v>15112</v>
      </c>
      <c r="B12014" s="4" t="s">
        <v>15113</v>
      </c>
      <c r="C12014" s="5" t="str">
        <f>IFERROR(__xludf.DUMMYFUNCTION("GOOGLETRANSLATE(B12014,""en"",""it"")"),"Un'introduzione arriva sullo schermo per un video sul Winter Sport Curling.")</f>
        <v>Un'introduzione arriva sullo schermo per un video sul Winter Sport Curling.</v>
      </c>
    </row>
    <row r="12015">
      <c r="A12015" s="4" t="s">
        <v>15112</v>
      </c>
      <c r="B12015" s="4" t="s">
        <v>15114</v>
      </c>
      <c r="C12015" s="5" t="str">
        <f>IFERROR(__xludf.DUMMYFUNCTION("GOOGLETRANSLATE(B12015,""en"",""it"")"),"I bigodini sono mostrati mentre scattano diversi e spazzano giù il ghiaccio.")</f>
        <v>I bigodini sono mostrati mentre scattano diversi e spazzano giù il ghiaccio.</v>
      </c>
    </row>
    <row r="12016">
      <c r="A12016" s="4" t="s">
        <v>15112</v>
      </c>
      <c r="B12016" s="4" t="s">
        <v>15115</v>
      </c>
      <c r="C12016" s="5" t="str">
        <f>IFERROR(__xludf.DUMMYFUNCTION("GOOGLETRANSLATE(B12016,""en"",""it"")"),"Il video termina con i crediti e la grafica di chiusura.")</f>
        <v>Il video termina con i crediti e la grafica di chiusura.</v>
      </c>
    </row>
    <row r="12017">
      <c r="A12017" s="4" t="s">
        <v>15116</v>
      </c>
      <c r="B12017" s="4" t="s">
        <v>15117</v>
      </c>
      <c r="C12017" s="5" t="str">
        <f>IFERROR(__xludf.DUMMYFUNCTION("GOOGLETRANSLATE(B12017,""en"",""it"")"),"Un uomo raschia la neve dal lato di un'auto.")</f>
        <v>Un uomo raschia la neve dal lato di un'auto.</v>
      </c>
    </row>
    <row r="12018">
      <c r="A12018" s="4" t="s">
        <v>15116</v>
      </c>
      <c r="B12018" s="4" t="s">
        <v>15118</v>
      </c>
      <c r="C12018" s="5" t="str">
        <f>IFERROR(__xludf.DUMMYFUNCTION("GOOGLETRANSLATE(B12018,""en"",""it"")"),"Quindi raschia la neve dal cofano.")</f>
        <v>Quindi raschia la neve dal cofano.</v>
      </c>
    </row>
    <row r="12019">
      <c r="A12019" s="4" t="s">
        <v>15116</v>
      </c>
      <c r="B12019" s="4" t="s">
        <v>15119</v>
      </c>
      <c r="C12019" s="5" t="str">
        <f>IFERROR(__xludf.DUMMYFUNCTION("GOOGLETRANSLATE(B12019,""en"",""it"")"),"Quindi si sposta dall'altra parte per rimuovere più neve.")</f>
        <v>Quindi si sposta dall'altra parte per rimuovere più neve.</v>
      </c>
    </row>
    <row r="12020">
      <c r="A12020" s="4" t="s">
        <v>15116</v>
      </c>
      <c r="B12020" s="4" t="s">
        <v>15120</v>
      </c>
      <c r="C12020" s="5" t="str">
        <f>IFERROR(__xludf.DUMMYFUNCTION("GOOGLETRANSLATE(B12020,""en"",""it"")"),"Alla fine finisce di liberare la macchina.")</f>
        <v>Alla fine finisce di liberare la macchina.</v>
      </c>
    </row>
    <row r="12021">
      <c r="A12021" s="4" t="s">
        <v>15121</v>
      </c>
      <c r="B12021" s="6" t="s">
        <v>15122</v>
      </c>
      <c r="C12021" s="5" t="str">
        <f>IFERROR(__xludf.DUMMYFUNCTION("GOOGLETRANSLATE(B12021,""en"",""it"")"),"Un bambino piccolo è seduto sul seggiolino immergendo una forchetta in un bicchiere di latte al cioccolato trattenuto da un adulto.")</f>
        <v>Un bambino piccolo è seduto sul seggiolino immergendo una forchetta in un bicchiere di latte al cioccolato trattenuto da un adulto.</v>
      </c>
    </row>
    <row r="12022">
      <c r="A12022" s="4" t="s">
        <v>15121</v>
      </c>
      <c r="B12022" s="4" t="s">
        <v>15123</v>
      </c>
      <c r="C12022" s="5" t="str">
        <f>IFERROR(__xludf.DUMMYFUNCTION("GOOGLETRANSLATE(B12022,""en"",""it"")"),"L'adulto fa diversi turni immergendo la forchetta nella tazza e leccandola.")</f>
        <v>L'adulto fa diversi turni immergendo la forchetta nella tazza e leccandola.</v>
      </c>
    </row>
    <row r="12023">
      <c r="A12023" s="4" t="s">
        <v>15121</v>
      </c>
      <c r="B12023" s="4" t="s">
        <v>15124</v>
      </c>
      <c r="C12023" s="5" t="str">
        <f>IFERROR(__xludf.DUMMYFUNCTION("GOOGLETRANSLATE(B12023,""en"",""it"")"),"Quindi fa una pausa per un minuto e inizia a giocare con la forchetta.")</f>
        <v>Quindi fa una pausa per un minuto e inizia a giocare con la forchetta.</v>
      </c>
    </row>
    <row r="12024">
      <c r="A12024" s="4" t="s">
        <v>15125</v>
      </c>
      <c r="B12024" s="6" t="s">
        <v>15126</v>
      </c>
      <c r="C12024" s="5" t="str">
        <f>IFERROR(__xludf.DUMMYFUNCTION("GOOGLETRANSLATE(B12024,""en"",""it"")"),"Viene mostrato un albero di Natale seguito da diverse persone che si muovono in movimento rapido appeso a una serie di luci.")</f>
        <v>Viene mostrato un albero di Natale seguito da diverse persone che si muovono in movimento rapido appeso a una serie di luci.</v>
      </c>
    </row>
    <row r="12025">
      <c r="A12025" s="4" t="s">
        <v>15125</v>
      </c>
      <c r="B12025" s="6" t="s">
        <v>15127</v>
      </c>
      <c r="C12025" s="5" t="str">
        <f>IFERROR(__xludf.DUMMYFUNCTION("GOOGLETRANSLATE(B12025,""en"",""it"")"),"Le persone si muovono in tutta la casa su e giù per la scala e finiscono spegnendo le luci per vedere.")</f>
        <v>Le persone si muovono in tutta la casa su e giù per la scala e finiscono spegnendo le luci per vedere.</v>
      </c>
    </row>
    <row r="12026">
      <c r="A12026" s="4" t="s">
        <v>15128</v>
      </c>
      <c r="B12026" s="6" t="s">
        <v>15129</v>
      </c>
      <c r="C12026" s="5" t="str">
        <f>IFERROR(__xludf.DUMMYFUNCTION("GOOGLETRANSLATE(B12026,""en"",""it"")"),"Viene mostrato un video di gioco molto lento di un uomo molto forte mentre raccoglie un bilanciere che ha molti pesi pesanti, e si accovaccia un po 'al petto.")</f>
        <v>Viene mostrato un video di gioco molto lento di un uomo molto forte mentre raccoglie un bilanciere che ha molti pesi pesanti, e si accovaccia un po 'al petto.</v>
      </c>
    </row>
    <row r="12027">
      <c r="A12027" s="4" t="s">
        <v>15128</v>
      </c>
      <c r="B12027" s="4" t="s">
        <v>15130</v>
      </c>
      <c r="C12027" s="5" t="str">
        <f>IFERROR(__xludf.DUMMYFUNCTION("GOOGLETRANSLATE(B12027,""en"",""it"")"),"L'uomo quindi si alza e tiene il bilanciere al petto.")</f>
        <v>L'uomo quindi si alza e tiene il bilanciere al petto.</v>
      </c>
    </row>
    <row r="12028">
      <c r="A12028" s="4" t="s">
        <v>15128</v>
      </c>
      <c r="B12028" s="6" t="s">
        <v>15131</v>
      </c>
      <c r="C12028" s="5" t="str">
        <f>IFERROR(__xludf.DUMMYFUNCTION("GOOGLETRANSLATE(B12028,""en"",""it"")"),"L'uomo cerca quindi di trattenere il bilanciere sopra la sua testa mentre si accovaccia, ma finisce per far cadere il bilanciere e poi si guarda le mani come se lo avessero fallito.")</f>
        <v>L'uomo cerca quindi di trattenere il bilanciere sopra la sua testa mentre si accovaccia, ma finisce per far cadere il bilanciere e poi si guarda le mani come se lo avessero fallito.</v>
      </c>
    </row>
    <row r="12029">
      <c r="A12029" s="4" t="s">
        <v>15132</v>
      </c>
      <c r="B12029" s="6" t="s">
        <v>15133</v>
      </c>
      <c r="C12029" s="5" t="str">
        <f>IFERROR(__xludf.DUMMYFUNCTION("GOOGLETRANSLATE(B12029,""en"",""it"")"),"Viene visualizzata una introduzione a tema di bowling speciale e il testo nella lettura di mezzo ""Chris Hardwick's All Star Celebrity Bowling"".")</f>
        <v>Viene visualizzata una introduzione a tema di bowling speciale e il testo nella lettura di mezzo "Chris Hardwick's All Star Celebrity Bowling".</v>
      </c>
    </row>
    <row r="12030">
      <c r="A12030" s="4" t="s">
        <v>15132</v>
      </c>
      <c r="B12030" s="6" t="s">
        <v>15134</v>
      </c>
      <c r="C12030" s="5" t="str">
        <f>IFERROR(__xludf.DUMMYFUNCTION("GOOGLETRANSLATE(B12030,""en"",""it"")"),"Ci sono quattro uomini in posa in una pista da bowling, tutti indossano camicie gialle e il loro nome della squadra dice ""Nerdist"".")</f>
        <v>Ci sono quattro uomini in posa in una pista da bowling, tutti indossano camicie gialle e il loro nome della squadra dice "Nerdist".</v>
      </c>
    </row>
    <row r="12031">
      <c r="A12031" s="4" t="s">
        <v>15132</v>
      </c>
      <c r="B12031" s="6" t="s">
        <v>15135</v>
      </c>
      <c r="C12031" s="5" t="str">
        <f>IFERROR(__xludf.DUMMYFUNCTION("GOOGLETRANSLATE(B12031,""en"",""it"")"),"Un gruppo di 4 persone appaiono dopo e ci sono 3 uomini e 1 donna e il nome della squadra Say Say ""WWE Superstars"" di ""WWE"".")</f>
        <v>Un gruppo di 4 persone appaiono dopo e ci sono 3 uomini e 1 donna e il nome della squadra Say Say "WWE Superstars" di "WWE".</v>
      </c>
    </row>
    <row r="12032">
      <c r="A12032" s="4" t="s">
        <v>15132</v>
      </c>
      <c r="B12032" s="6" t="s">
        <v>15136</v>
      </c>
      <c r="C12032" s="5" t="str">
        <f>IFERROR(__xludf.DUMMYFUNCTION("GOOGLETRANSLATE(B12032,""en"",""it"")"),"Le clip iniziano a giocare e include varie persone che bowling, parlare, dimostrare bowling, fare interviste, uscire, ridere, giocare in giro, radere i peli del viso, fare flessioni, mangiare, nutrirsi a vicenda ed eccetera.")</f>
        <v>Le clip iniziano a giocare e include varie persone che bowling, parlare, dimostrare bowling, fare interviste, uscire, ridere, giocare in giro, radere i peli del viso, fare flessioni, mangiare, nutrirsi a vicenda ed eccetera.</v>
      </c>
    </row>
    <row r="12033">
      <c r="A12033" s="4" t="s">
        <v>15132</v>
      </c>
      <c r="B12033" s="6" t="s">
        <v>15137</v>
      </c>
      <c r="C12033" s="5" t="str">
        <f>IFERROR(__xludf.DUMMYFUNCTION("GOOGLETRANSLATE(B12033,""en"",""it"")"),"Le grandi parole gialle sullo schermo appaiono e dice ""Le vittorie nerdiste della squadra!"" E l'intera squadra si alza e festeggia.")</f>
        <v>Le grandi parole gialle sullo schermo appaiono e dice "Le vittorie nerdiste della squadra!" E l'intera squadra si alza e festeggia.</v>
      </c>
    </row>
    <row r="12034">
      <c r="A12034" s="4" t="s">
        <v>15132</v>
      </c>
      <c r="B12034" s="6" t="s">
        <v>15138</v>
      </c>
      <c r="C12034" s="5" t="str">
        <f>IFERROR(__xludf.DUMMYFUNCTION("GOOGLETRANSLATE(B12034,""en"",""it"")"),"Un membro del team nerdista parla felicemente nella telecamera, e poi un membro infelice di un altro team parla infelicemente alla telecamera.")</f>
        <v>Un membro del team nerdista parla felicemente nella telecamera, e poi un membro infelice di un altro team parla infelicemente alla telecamera.</v>
      </c>
    </row>
    <row r="12035">
      <c r="A12035" s="4" t="s">
        <v>15139</v>
      </c>
      <c r="B12035" s="4" t="s">
        <v>15140</v>
      </c>
      <c r="C12035" s="5" t="str">
        <f>IFERROR(__xludf.DUMMYFUNCTION("GOOGLETRANSLATE(B12035,""en"",""it"")"),"Vediamo una scheda del titolo su uno schermo nero.")</f>
        <v>Vediamo una scheda del titolo su uno schermo nero.</v>
      </c>
    </row>
    <row r="12036">
      <c r="A12036" s="4" t="s">
        <v>15139</v>
      </c>
      <c r="B12036" s="4" t="s">
        <v>15141</v>
      </c>
      <c r="C12036" s="5" t="str">
        <f>IFERROR(__xludf.DUMMYFUNCTION("GOOGLETRANSLATE(B12036,""en"",""it"")"),"Cambia i trucchi per lo skateboarding.")</f>
        <v>Cambia i trucchi per lo skateboarding.</v>
      </c>
    </row>
    <row r="12037">
      <c r="A12037" s="4" t="s">
        <v>15139</v>
      </c>
      <c r="B12037" s="4" t="s">
        <v>15142</v>
      </c>
      <c r="C12037" s="5" t="str">
        <f>IFERROR(__xludf.DUMMYFUNCTION("GOOGLETRANSLATE(B12037,""en"",""it"")"),"Vediamo un fotografo scattare foto.")</f>
        <v>Vediamo un fotografo scattare foto.</v>
      </c>
    </row>
    <row r="12038">
      <c r="A12038" s="4" t="s">
        <v>15139</v>
      </c>
      <c r="B12038" s="4" t="s">
        <v>15143</v>
      </c>
      <c r="C12038" s="5" t="str">
        <f>IFERROR(__xludf.DUMMYFUNCTION("GOOGLETRANSLATE(B12038,""en"",""it"")"),"Un uomo salta un idranto.")</f>
        <v>Un uomo salta un idranto.</v>
      </c>
    </row>
    <row r="12039">
      <c r="A12039" s="4" t="s">
        <v>15139</v>
      </c>
      <c r="B12039" s="4" t="s">
        <v>15144</v>
      </c>
      <c r="C12039" s="5" t="str">
        <f>IFERROR(__xludf.DUMMYFUNCTION("GOOGLETRANSLATE(B12039,""en"",""it"")"),"Vediamo un uomo saltare da vicino le scale.")</f>
        <v>Vediamo un uomo saltare da vicino le scale.</v>
      </c>
    </row>
    <row r="12040">
      <c r="A12040" s="4" t="s">
        <v>15139</v>
      </c>
      <c r="B12040" s="4" t="s">
        <v>15145</v>
      </c>
      <c r="C12040" s="5" t="str">
        <f>IFERROR(__xludf.DUMMYFUNCTION("GOOGLETRANSLATE(B12040,""en"",""it"")"),"Un uomo cavalca con molte telecamere che lampeggiano.")</f>
        <v>Un uomo cavalca con molte telecamere che lampeggiano.</v>
      </c>
    </row>
    <row r="12041">
      <c r="A12041" s="4" t="s">
        <v>15139</v>
      </c>
      <c r="B12041" s="4" t="s">
        <v>15146</v>
      </c>
      <c r="C12041" s="5" t="str">
        <f>IFERROR(__xludf.DUMMYFUNCTION("GOOGLETRANSLATE(B12041,""en"",""it"")"),"La fotocamera rallenta e la scena termina.")</f>
        <v>La fotocamera rallenta e la scena termina.</v>
      </c>
    </row>
    <row r="12042">
      <c r="A12042" s="4" t="s">
        <v>15139</v>
      </c>
      <c r="B12042" s="4" t="s">
        <v>15147</v>
      </c>
      <c r="C12042" s="5" t="str">
        <f>IFERROR(__xludf.DUMMYFUNCTION("GOOGLETRANSLATE(B12042,""en"",""it"")"),"Vediamo uno schermo nero e crediti.")</f>
        <v>Vediamo uno schermo nero e crediti.</v>
      </c>
    </row>
    <row r="12043">
      <c r="A12043" s="4" t="s">
        <v>15148</v>
      </c>
      <c r="B12043" s="4" t="s">
        <v>15149</v>
      </c>
      <c r="C12043" s="5" t="str">
        <f>IFERROR(__xludf.DUMMYFUNCTION("GOOGLETRANSLATE(B12043,""en"",""it"")"),"Un giovane pompa su e giù in ginocchio su entrambe le gambe.")</f>
        <v>Un giovane pompa su e giù in ginocchio su entrambe le gambe.</v>
      </c>
    </row>
    <row r="12044">
      <c r="A12044" s="4" t="s">
        <v>15148</v>
      </c>
      <c r="B12044" s="6" t="s">
        <v>15150</v>
      </c>
      <c r="C12044" s="5" t="str">
        <f>IFERROR(__xludf.DUMMYFUNCTION("GOOGLETRANSLATE(B12044,""en"",""it"")"),"Lo studente salta dalla posizione in ginocchio e atterra in cima a una pila di tappetini, quindi atterra a terra.")</f>
        <v>Lo studente salta dalla posizione in ginocchio e atterra in cima a una pila di tappetini, quindi atterra a terra.</v>
      </c>
    </row>
    <row r="12045">
      <c r="A12045" s="4" t="s">
        <v>15151</v>
      </c>
      <c r="B12045" s="4" t="s">
        <v>15152</v>
      </c>
      <c r="C12045" s="5" t="str">
        <f>IFERROR(__xludf.DUMMYFUNCTION("GOOGLETRANSLATE(B12045,""en"",""it"")"),"Persone e cani camminano lungo un sentiero.")</f>
        <v>Persone e cani camminano lungo un sentiero.</v>
      </c>
    </row>
    <row r="12046">
      <c r="A12046" s="4" t="s">
        <v>15151</v>
      </c>
      <c r="B12046" s="4" t="s">
        <v>15153</v>
      </c>
      <c r="C12046" s="5" t="str">
        <f>IFERROR(__xludf.DUMMYFUNCTION("GOOGLETRANSLATE(B12046,""en"",""it"")"),"Vengono mostrati fiori rosa su un cespuglio.")</f>
        <v>Vengono mostrati fiori rosa su un cespuglio.</v>
      </c>
    </row>
    <row r="12047">
      <c r="A12047" s="4" t="s">
        <v>15151</v>
      </c>
      <c r="B12047" s="4" t="s">
        <v>15154</v>
      </c>
      <c r="C12047" s="5" t="str">
        <f>IFERROR(__xludf.DUMMYFUNCTION("GOOGLETRANSLATE(B12047,""en"",""it"")"),"Le persone camminano cani al guinzaglio lungo una strada.")</f>
        <v>Le persone camminano cani al guinzaglio lungo una strada.</v>
      </c>
    </row>
    <row r="12048">
      <c r="A12048" s="4" t="s">
        <v>15155</v>
      </c>
      <c r="B12048" s="4" t="s">
        <v>15156</v>
      </c>
      <c r="C12048" s="5" t="str">
        <f>IFERROR(__xludf.DUMMYFUNCTION("GOOGLETRANSLATE(B12048,""en"",""it"")"),"Un toro è su un anello, guardando i bullfighters all'esterno.")</f>
        <v>Un toro è su un anello, guardando i bullfighters all'esterno.</v>
      </c>
    </row>
    <row r="12049">
      <c r="A12049" s="4" t="s">
        <v>15155</v>
      </c>
      <c r="B12049" s="4" t="s">
        <v>15157</v>
      </c>
      <c r="C12049" s="5" t="str">
        <f>IFERROR(__xludf.DUMMYFUNCTION("GOOGLETRANSLATE(B12049,""en"",""it"")"),"Un mucchio di combattenti si avvicinano dietro di esso.")</f>
        <v>Un mucchio di combattenti si avvicinano dietro di esso.</v>
      </c>
    </row>
    <row r="12050">
      <c r="A12050" s="4" t="s">
        <v>15155</v>
      </c>
      <c r="B12050" s="6" t="s">
        <v>15158</v>
      </c>
      <c r="C12050" s="5" t="str">
        <f>IFERROR(__xludf.DUMMYFUNCTION("GOOGLETRANSLATE(B12050,""en"",""it"")"),"Cominciano a combattere con il toro, a volte tirando la coda e agitando il mantello di fronte a lui per fargli caricare.")</f>
        <v>Cominciano a combattere con il toro, a volte tirando la coda e agitando il mantello di fronte a lui per fargli caricare.</v>
      </c>
    </row>
    <row r="12051">
      <c r="A12051" s="4" t="s">
        <v>15159</v>
      </c>
      <c r="B12051" s="6" t="s">
        <v>15160</v>
      </c>
      <c r="C12051" s="5" t="str">
        <f>IFERROR(__xludf.DUMMYFUNCTION("GOOGLETRANSLATE(B12051,""en"",""it"")"),"Viene visto un uomo parlare alla telecamera mentre tiene una racchetta da tennis e inizia a colpire la palla contro il muro.")</f>
        <v>Viene visto un uomo parlare alla telecamera mentre tiene una racchetta da tennis e inizia a colpire la palla contro il muro.</v>
      </c>
    </row>
    <row r="12052">
      <c r="A12052" s="4" t="s">
        <v>15159</v>
      </c>
      <c r="B12052" s="4" t="s">
        <v>15161</v>
      </c>
      <c r="C12052" s="5" t="str">
        <f>IFERROR(__xludf.DUMMYFUNCTION("GOOGLETRANSLATE(B12052,""en"",""it"")"),"Continua a parlare con la telecamera e gli passa a colpire la palla.")</f>
        <v>Continua a parlare con la telecamera e gli passa a colpire la palla.</v>
      </c>
    </row>
    <row r="12053">
      <c r="A12053" s="4" t="s">
        <v>15162</v>
      </c>
      <c r="B12053" s="4" t="s">
        <v>15163</v>
      </c>
      <c r="C12053" s="5" t="str">
        <f>IFERROR(__xludf.DUMMYFUNCTION("GOOGLETRANSLATE(B12053,""en"",""it"")"),"Un uomo con una camicia di sudore grigia è in piedi alla fermata dell'autobus.")</f>
        <v>Un uomo con una camicia di sudore grigia è in piedi alla fermata dell'autobus.</v>
      </c>
    </row>
    <row r="12054">
      <c r="A12054" s="4" t="s">
        <v>15162</v>
      </c>
      <c r="B12054" s="4" t="s">
        <v>15164</v>
      </c>
      <c r="C12054" s="5" t="str">
        <f>IFERROR(__xludf.DUMMYFUNCTION("GOOGLETRANSLATE(B12054,""en"",""it"")"),"Comincia a sfogliare la lama lungo una strada e fare trucchi.")</f>
        <v>Comincia a sfogliare la lama lungo una strada e fare trucchi.</v>
      </c>
    </row>
    <row r="12055">
      <c r="A12055" s="4" t="s">
        <v>15162</v>
      </c>
      <c r="B12055" s="4" t="s">
        <v>15165</v>
      </c>
      <c r="C12055" s="5" t="str">
        <f>IFERROR(__xludf.DUMMYFUNCTION("GOOGLETRANSLATE(B12055,""en"",""it"")"),"L'uomo sta pattinando all'indietro.")</f>
        <v>L'uomo sta pattinando all'indietro.</v>
      </c>
    </row>
    <row r="12056">
      <c r="A12056" s="4" t="s">
        <v>15166</v>
      </c>
      <c r="B12056" s="4" t="s">
        <v>15167</v>
      </c>
      <c r="C12056" s="5" t="str">
        <f>IFERROR(__xludf.DUMMYFUNCTION("GOOGLETRANSLATE(B12056,""en"",""it"")"),"Un uomo con pantaloni neri è in piedi sul tetto e inchioda una lunga ghiaia sul tetto.")</f>
        <v>Un uomo con pantaloni neri è in piedi sul tetto e inchioda una lunga ghiaia sul tetto.</v>
      </c>
    </row>
    <row r="12057">
      <c r="A12057" s="4" t="s">
        <v>15166</v>
      </c>
      <c r="B12057" s="4" t="s">
        <v>15168</v>
      </c>
      <c r="C12057" s="5" t="str">
        <f>IFERROR(__xludf.DUMMYFUNCTION("GOOGLETRANSLATE(B12057,""en"",""it"")"),"Un uomo in pantaloncini blu appare sulla destra e sta anche inchiodando lunghi tegole sul tetto.")</f>
        <v>Un uomo in pantaloncini blu appare sulla destra e sta anche inchiodando lunghi tegole sul tetto.</v>
      </c>
    </row>
    <row r="12058">
      <c r="A12058" s="4" t="s">
        <v>15166</v>
      </c>
      <c r="B12058" s="6" t="s">
        <v>15169</v>
      </c>
      <c r="C12058" s="5" t="str">
        <f>IFERROR(__xludf.DUMMYFUNCTION("GOOGLETRANSLATE(B12058,""en"",""it"")"),"Lo zoom entra sugli indossare lunghi pantaloni neri e sta inchiodando tegole sul perimetro esterno del tetto.")</f>
        <v>Lo zoom entra sugli indossare lunghi pantaloni neri e sta inchiodando tegole sul perimetro esterno del tetto.</v>
      </c>
    </row>
    <row r="12059">
      <c r="A12059" s="4" t="s">
        <v>15170</v>
      </c>
      <c r="B12059" s="6" t="s">
        <v>15171</v>
      </c>
      <c r="C12059" s="5" t="str">
        <f>IFERROR(__xludf.DUMMYFUNCTION("GOOGLETRANSLATE(B12059,""en"",""it"")"),"Viene vista una donna suonare un flauto mentre un uomo parla in un microfono e due persone suonano il piano dietro di lei.")</f>
        <v>Viene vista una donna suonare un flauto mentre un uomo parla in un microfono e due persone suonano il piano dietro di lei.</v>
      </c>
    </row>
    <row r="12060">
      <c r="A12060" s="4" t="s">
        <v>15170</v>
      </c>
      <c r="B12060" s="4" t="s">
        <v>15172</v>
      </c>
      <c r="C12060" s="5" t="str">
        <f>IFERROR(__xludf.DUMMYFUNCTION("GOOGLETRANSLATE(B12060,""en"",""it"")"),"La donna fa una pausa per parlare con l'uomo e l'uomo le prende il flauto e suona.")</f>
        <v>La donna fa una pausa per parlare con l'uomo e l'uomo le prende il flauto e suona.</v>
      </c>
    </row>
    <row r="12061">
      <c r="A12061" s="4" t="s">
        <v>15170</v>
      </c>
      <c r="B12061" s="4" t="s">
        <v>15173</v>
      </c>
      <c r="C12061" s="5" t="str">
        <f>IFERROR(__xludf.DUMMYFUNCTION("GOOGLETRANSLATE(B12061,""en"",""it"")"),"L'uomo le consegna il flauto per giocare e finisce ancora parlando con lei.")</f>
        <v>L'uomo le consegna il flauto per giocare e finisce ancora parlando con lei.</v>
      </c>
    </row>
    <row r="12062">
      <c r="A12062" s="4" t="s">
        <v>15174</v>
      </c>
      <c r="B12062" s="4" t="s">
        <v>15175</v>
      </c>
      <c r="C12062" s="5" t="str">
        <f>IFERROR(__xludf.DUMMYFUNCTION("GOOGLETRANSLATE(B12062,""en"",""it"")"),"Un uomo atletico viene visto correre lungo una pista in una fossa.")</f>
        <v>Un uomo atletico viene visto correre lungo una pista in una fossa.</v>
      </c>
    </row>
    <row r="12063">
      <c r="A12063" s="4" t="s">
        <v>15174</v>
      </c>
      <c r="B12063" s="4" t="s">
        <v>15176</v>
      </c>
      <c r="C12063" s="5" t="str">
        <f>IFERROR(__xludf.DUMMYFUNCTION("GOOGLETRANSLATE(B12063,""en"",""it"")"),"Diverse altre persone vengono viste correre lungo la pista in una fossa.")</f>
        <v>Diverse altre persone vengono viste correre lungo la pista in una fossa.</v>
      </c>
    </row>
    <row r="12064">
      <c r="A12064" s="4" t="s">
        <v>15174</v>
      </c>
      <c r="B12064" s="4" t="s">
        <v>15177</v>
      </c>
      <c r="C12064" s="5" t="str">
        <f>IFERROR(__xludf.DUMMYFUNCTION("GOOGLETRANSLATE(B12064,""en"",""it"")"),"Uno dopo l'altro più persone saltano.")</f>
        <v>Uno dopo l'altro più persone saltano.</v>
      </c>
    </row>
    <row r="12065">
      <c r="A12065" s="4" t="s">
        <v>15178</v>
      </c>
      <c r="B12065" s="4" t="s">
        <v>15179</v>
      </c>
      <c r="C12065" s="5" t="str">
        <f>IFERROR(__xludf.DUMMYFUNCTION("GOOGLETRANSLATE(B12065,""en"",""it"")"),"Un'ancora di notizie in cappotto bianco sta parlando davanti alla telecamera.")</f>
        <v>Un'ancora di notizie in cappotto bianco sta parlando davanti alla telecamera.</v>
      </c>
    </row>
    <row r="12066">
      <c r="A12066" s="4" t="s">
        <v>15178</v>
      </c>
      <c r="B12066" s="4" t="s">
        <v>15180</v>
      </c>
      <c r="C12066" s="5" t="str">
        <f>IFERROR(__xludf.DUMMYFUNCTION("GOOGLETRANSLATE(B12066,""en"",""it"")"),"Il giocatore ha preso a calci la palla e ha segnato il goal.")</f>
        <v>Il giocatore ha preso a calci la palla e ha segnato il goal.</v>
      </c>
    </row>
    <row r="12067">
      <c r="A12067" s="4" t="s">
        <v>15178</v>
      </c>
      <c r="B12067" s="6" t="s">
        <v>15181</v>
      </c>
      <c r="C12067" s="5" t="str">
        <f>IFERROR(__xludf.DUMMYFUNCTION("GOOGLETRANSLATE(B12067,""en"",""it"")"),"Due giocatori in campo hanno iniziato a discutere e si sono spinti a vicenda e combattono, uno dei giocatori ha lanciato la palla all'altra persona, i giocatori hanno iniziato a inseguire e si sono spinti a vicenda, quindi la squadra in divise blu si è al"&amp;"lontanata.")</f>
        <v>Due giocatori in campo hanno iniziato a discutere e si sono spinti a vicenda e combattono, uno dei giocatori ha lanciato la palla all'altra persona, i giocatori hanno iniziato a inseguire e si sono spinti a vicenda, quindi la squadra in divise blu si è allontanata.</v>
      </c>
    </row>
    <row r="12068">
      <c r="A12068" s="4" t="s">
        <v>15178</v>
      </c>
      <c r="B12068" s="4" t="s">
        <v>15182</v>
      </c>
      <c r="C12068" s="5" t="str">
        <f>IFERROR(__xludf.DUMMYFUNCTION("GOOGLETRANSLATE(B12068,""en"",""it"")"),"La squadra in uniformi bianche rimase a campo e applaudiva.")</f>
        <v>La squadra in uniformi bianche rimase a campo e applaudiva.</v>
      </c>
    </row>
    <row r="12069">
      <c r="A12069" s="4" t="s">
        <v>15183</v>
      </c>
      <c r="B12069" s="6" t="s">
        <v>15184</v>
      </c>
      <c r="C12069" s="5" t="str">
        <f>IFERROR(__xludf.DUMMYFUNCTION("GOOGLETRANSLATE(B12069,""en"",""it"")"),"Viene mostrata un'introduzione di una donna a maglia con le mani mentre sullo sfondo sono mostrate varie immagini di gatti.")</f>
        <v>Viene mostrata un'introduzione di una donna a maglia con le mani mentre sullo sfondo sono mostrate varie immagini di gatti.</v>
      </c>
    </row>
    <row r="12070">
      <c r="A12070" s="4" t="s">
        <v>15183</v>
      </c>
      <c r="B12070" s="6" t="s">
        <v>15185</v>
      </c>
      <c r="C12070" s="5" t="str">
        <f>IFERROR(__xludf.DUMMYFUNCTION("GOOGLETRANSLATE(B12070,""en"",""it"")"),"Il testo su come lavorare a maglia appare mentre le sue mani continuano a muoversi per dimostrare come lavorare correttamente.")</f>
        <v>Il testo su come lavorare a maglia appare mentre le sue mani continuano a muoversi per dimostrare come lavorare correttamente.</v>
      </c>
    </row>
    <row r="12071">
      <c r="A12071" s="4" t="s">
        <v>15186</v>
      </c>
      <c r="B12071" s="4" t="s">
        <v>15187</v>
      </c>
      <c r="C12071" s="5" t="str">
        <f>IFERROR(__xludf.DUMMYFUNCTION("GOOGLETRANSLATE(B12071,""en"",""it"")"),"Una donna parla e si sdraia sul pavimento, poi piega le gambe e solleva entrambe.")</f>
        <v>Una donna parla e si sdraia sul pavimento, poi piega le gambe e solleva entrambe.</v>
      </c>
    </row>
    <row r="12072">
      <c r="A12072" s="4" t="s">
        <v>15186</v>
      </c>
      <c r="B12072" s="4" t="s">
        <v>15188</v>
      </c>
      <c r="C12072" s="5" t="str">
        <f>IFERROR(__xludf.DUMMYFUNCTION("GOOGLETRANSLATE(B12072,""en"",""it"")"),"Quindi, la donna solleva le due gambe dritte.")</f>
        <v>Quindi, la donna solleva le due gambe dritte.</v>
      </c>
    </row>
    <row r="12073">
      <c r="A12073" s="4" t="s">
        <v>15186</v>
      </c>
      <c r="B12073" s="4" t="s">
        <v>15189</v>
      </c>
      <c r="C12073" s="5" t="str">
        <f>IFERROR(__xludf.DUMMYFUNCTION("GOOGLETRANSLATE(B12073,""en"",""it"")"),"Dopo, la donna solleva solo una gamba e l'altra gamba si piega sul pavimento.")</f>
        <v>Dopo, la donna solleva solo una gamba e l'altra gamba si piega sul pavimento.</v>
      </c>
    </row>
    <row r="12074">
      <c r="A12074" s="4" t="s">
        <v>15190</v>
      </c>
      <c r="B12074" s="4" t="s">
        <v>15191</v>
      </c>
      <c r="C12074" s="5" t="str">
        <f>IFERROR(__xludf.DUMMYFUNCTION("GOOGLETRANSLATE(B12074,""en"",""it"")"),"Il ragazzino si siede nel kayak blu con in mano.")</f>
        <v>Il ragazzino si siede nel kayak blu con in mano.</v>
      </c>
    </row>
    <row r="12075">
      <c r="A12075" s="4" t="s">
        <v>15190</v>
      </c>
      <c r="B12075" s="4" t="s">
        <v>15192</v>
      </c>
      <c r="C12075" s="5" t="str">
        <f>IFERROR(__xludf.DUMMYFUNCTION("GOOGLETRANSLATE(B12075,""en"",""it"")"),"Quindi qualcun altro viene mostrato remare in acqua e ci sono persone in piedi sulla riva.")</f>
        <v>Quindi qualcun altro viene mostrato remare in acqua e ci sono persone in piedi sulla riva.</v>
      </c>
    </row>
    <row r="12076">
      <c r="A12076" s="4" t="s">
        <v>15190</v>
      </c>
      <c r="B12076" s="4" t="s">
        <v>15193</v>
      </c>
      <c r="C12076" s="5" t="str">
        <f>IFERROR(__xludf.DUMMYFUNCTION("GOOGLETRANSLATE(B12076,""en"",""it"")"),"La fotocamera si gira alcune volte per mostrare gli alberi e il cielo.")</f>
        <v>La fotocamera si gira alcune volte per mostrare gli alberi e il cielo.</v>
      </c>
    </row>
    <row r="12077">
      <c r="A12077" s="4" t="s">
        <v>15194</v>
      </c>
      <c r="B12077" s="4" t="s">
        <v>15195</v>
      </c>
      <c r="C12077" s="5" t="str">
        <f>IFERROR(__xludf.DUMMYFUNCTION("GOOGLETRANSLATE(B12077,""en"",""it"")"),"Una donna femminile sta parlando con la telecamera in una sala di notizie.")</f>
        <v>Una donna femminile sta parlando con la telecamera in una sala di notizie.</v>
      </c>
    </row>
    <row r="12078">
      <c r="A12078" s="4" t="s">
        <v>15194</v>
      </c>
      <c r="B12078" s="4" t="s">
        <v>15196</v>
      </c>
      <c r="C12078" s="5" t="str">
        <f>IFERROR(__xludf.DUMMYFUNCTION("GOOGLETRANSLATE(B12078,""en"",""it"")"),"Un'altra donna mette in mostra una serie di forniture per la pulizia.")</f>
        <v>Un'altra donna mette in mostra una serie di forniture per la pulizia.</v>
      </c>
    </row>
    <row r="12079">
      <c r="A12079" s="4" t="s">
        <v>15194</v>
      </c>
      <c r="B12079" s="4" t="s">
        <v>15197</v>
      </c>
      <c r="C12079" s="5" t="str">
        <f>IFERROR(__xludf.DUMMYFUNCTION("GOOGLETRANSLATE(B12079,""en"",""it"")"),"Lei istruisce come usarli, ma non mescolare determinati elementi.")</f>
        <v>Lei istruisce come usarli, ma non mescolare determinati elementi.</v>
      </c>
    </row>
    <row r="12080">
      <c r="A12080" s="4" t="s">
        <v>15194</v>
      </c>
      <c r="B12080" s="4" t="s">
        <v>15198</v>
      </c>
      <c r="C12080" s="5" t="str">
        <f>IFERROR(__xludf.DUMMYFUNCTION("GOOGLETRANSLATE(B12080,""en"",""it"")"),"Versa i liquidi in tazze e si trasforma in una bottiglia di spruzzo per pulire una cucina.")</f>
        <v>Versa i liquidi in tazze e si trasforma in una bottiglia di spruzzo per pulire una cucina.</v>
      </c>
    </row>
    <row r="12081">
      <c r="A12081" s="4" t="s">
        <v>15199</v>
      </c>
      <c r="B12081" s="4" t="s">
        <v>15200</v>
      </c>
      <c r="C12081" s="5" t="str">
        <f>IFERROR(__xludf.DUMMYFUNCTION("GOOGLETRANSLATE(B12081,""en"",""it"")"),"Un uomo è in piedi al bancone con un coltello Smith.")</f>
        <v>Un uomo è in piedi al bancone con un coltello Smith.</v>
      </c>
    </row>
    <row r="12082">
      <c r="A12082" s="4" t="s">
        <v>15199</v>
      </c>
      <c r="B12082" s="4" t="s">
        <v>15201</v>
      </c>
      <c r="C12082" s="5" t="str">
        <f>IFERROR(__xludf.DUMMYFUNCTION("GOOGLETRANSLATE(B12082,""en"",""it"")"),"Dimostra come affinare il coltello.")</f>
        <v>Dimostra come affinare il coltello.</v>
      </c>
    </row>
    <row r="12083">
      <c r="A12083" s="4" t="s">
        <v>15199</v>
      </c>
      <c r="B12083" s="4" t="s">
        <v>15202</v>
      </c>
      <c r="C12083" s="5" t="str">
        <f>IFERROR(__xludf.DUMMYFUNCTION("GOOGLETRANSLATE(B12083,""en"",""it"")"),"Versa olio sullo strumento di affilatura e suona il coltello.")</f>
        <v>Versa olio sullo strumento di affilatura e suona il coltello.</v>
      </c>
    </row>
    <row r="12084">
      <c r="A12084" s="4" t="s">
        <v>15199</v>
      </c>
      <c r="B12084" s="4" t="s">
        <v>15203</v>
      </c>
      <c r="C12084" s="5" t="str">
        <f>IFERROR(__xludf.DUMMYFUNCTION("GOOGLETRANSLATE(B12084,""en"",""it"")"),"Pulisce lo strumento e lo mette via.")</f>
        <v>Pulisce lo strumento e lo mette via.</v>
      </c>
    </row>
    <row r="12085">
      <c r="A12085" s="4" t="s">
        <v>15204</v>
      </c>
      <c r="B12085" s="4" t="s">
        <v>15205</v>
      </c>
      <c r="C12085" s="5" t="str">
        <f>IFERROR(__xludf.DUMMYFUNCTION("GOOGLETRANSLATE(B12085,""en"",""it"")"),"Una donna in rosso è in piedi accanto a un tavolo che spiega alcune cose.")</f>
        <v>Una donna in rosso è in piedi accanto a un tavolo che spiega alcune cose.</v>
      </c>
    </row>
    <row r="12086">
      <c r="A12086" s="4" t="s">
        <v>15204</v>
      </c>
      <c r="B12086" s="4" t="s">
        <v>15206</v>
      </c>
      <c r="C12086" s="5" t="str">
        <f>IFERROR(__xludf.DUMMYFUNCTION("GOOGLETRANSLATE(B12086,""en"",""it"")"),"Mette la mano sull'albero di Natale e ne parla ancora.")</f>
        <v>Mette la mano sull'albero di Natale e ne parla ancora.</v>
      </c>
    </row>
    <row r="12087">
      <c r="A12087" s="4" t="s">
        <v>15204</v>
      </c>
      <c r="B12087" s="4" t="s">
        <v>15207</v>
      </c>
      <c r="C12087" s="5" t="str">
        <f>IFERROR(__xludf.DUMMYFUNCTION("GOOGLETRANSLATE(B12087,""en"",""it"")"),"Afferra un po 'di nastro rosso e inizia a legarsi a un arco.")</f>
        <v>Afferra un po 'di nastro rosso e inizia a legarsi a un arco.</v>
      </c>
    </row>
    <row r="12088">
      <c r="A12088" s="4" t="s">
        <v>15204</v>
      </c>
      <c r="B12088" s="4" t="s">
        <v>15208</v>
      </c>
      <c r="C12088" s="5" t="str">
        <f>IFERROR(__xludf.DUMMYFUNCTION("GOOGLETRANSLATE(B12088,""en"",""it"")"),"Quindi va a metterlo sull'albero di Natale e continua a parlarne.")</f>
        <v>Quindi va a metterlo sull'albero di Natale e continua a parlarne.</v>
      </c>
    </row>
    <row r="12089">
      <c r="A12089" s="4" t="s">
        <v>15209</v>
      </c>
      <c r="B12089" s="4" t="s">
        <v>15210</v>
      </c>
      <c r="C12089" s="5" t="str">
        <f>IFERROR(__xludf.DUMMYFUNCTION("GOOGLETRANSLATE(B12089,""en"",""it"")"),"Gli strumenti di acconciatura sono mostrati in primo piano.")</f>
        <v>Gli strumenti di acconciatura sono mostrati in primo piano.</v>
      </c>
    </row>
    <row r="12090">
      <c r="A12090" s="4" t="s">
        <v>15209</v>
      </c>
      <c r="B12090" s="4" t="s">
        <v>15211</v>
      </c>
      <c r="C12090" s="5" t="str">
        <f>IFERROR(__xludf.DUMMYFUNCTION("GOOGLETRANSLATE(B12090,""en"",""it"")"),"Una donna cammina lungo una strada e in un salone.")</f>
        <v>Una donna cammina lungo una strada e in un salone.</v>
      </c>
    </row>
    <row r="12091">
      <c r="A12091" s="4" t="s">
        <v>15209</v>
      </c>
      <c r="B12091" s="4" t="s">
        <v>15212</v>
      </c>
      <c r="C12091" s="5" t="str">
        <f>IFERROR(__xludf.DUMMYFUNCTION("GOOGLETRANSLATE(B12091,""en"",""it"")"),"La donna interagisce con un uomo nel salone.")</f>
        <v>La donna interagisce con un uomo nel salone.</v>
      </c>
    </row>
    <row r="12092">
      <c r="A12092" s="4" t="s">
        <v>15209</v>
      </c>
      <c r="B12092" s="4" t="s">
        <v>15213</v>
      </c>
      <c r="C12092" s="5" t="str">
        <f>IFERROR(__xludf.DUMMYFUNCTION("GOOGLETRANSLATE(B12092,""en"",""it"")"),"L'uomo e la donna guardano insieme le foto delle acconciature.")</f>
        <v>L'uomo e la donna guardano insieme le foto delle acconciature.</v>
      </c>
    </row>
    <row r="12093">
      <c r="A12093" s="4" t="s">
        <v>15209</v>
      </c>
      <c r="B12093" s="4" t="s">
        <v>15214</v>
      </c>
      <c r="C12093" s="5" t="str">
        <f>IFERROR(__xludf.DUMMYFUNCTION("GOOGLETRANSLATE(B12093,""en"",""it"")"),"Vengono mostrate scene della donna con i capelli tagliati e disegnati.")</f>
        <v>Vengono mostrate scene della donna con i capelli tagliati e disegnati.</v>
      </c>
    </row>
    <row r="12094">
      <c r="A12094" s="4" t="s">
        <v>15209</v>
      </c>
      <c r="B12094" s="4" t="s">
        <v>15215</v>
      </c>
      <c r="C12094" s="5" t="str">
        <f>IFERROR(__xludf.DUMMYFUNCTION("GOOGLETRANSLATE(B12094,""en"",""it"")"),"L'uomo e la donna interagiscono mentre esaminano il suo nuovo stile.")</f>
        <v>L'uomo e la donna interagiscono mentre esaminano il suo nuovo stile.</v>
      </c>
    </row>
    <row r="12095">
      <c r="A12095" s="4" t="s">
        <v>15209</v>
      </c>
      <c r="B12095" s="4" t="s">
        <v>15216</v>
      </c>
      <c r="C12095" s="5" t="str">
        <f>IFERROR(__xludf.DUMMYFUNCTION("GOOGLETRANSLATE(B12095,""en"",""it"")"),"Viene mostrato un primo piano di capelli sul pavimento.")</f>
        <v>Viene mostrato un primo piano di capelli sul pavimento.</v>
      </c>
    </row>
    <row r="12096">
      <c r="A12096" s="4" t="s">
        <v>15217</v>
      </c>
      <c r="B12096" s="6" t="s">
        <v>15218</v>
      </c>
      <c r="C12096" s="5" t="str">
        <f>IFERROR(__xludf.DUMMYFUNCTION("GOOGLETRANSLATE(B12096,""en"",""it"")"),"Un uomo e le donne stanno parlando con una macchina fotografica e la ragazza dimostra su come tenere correttamente una discussione.")</f>
        <v>Un uomo e le donne stanno parlando con una macchina fotografica e la ragazza dimostra su come tenere correttamente una discussione.</v>
      </c>
    </row>
    <row r="12097">
      <c r="A12097" s="4" t="s">
        <v>15217</v>
      </c>
      <c r="B12097" s="6" t="s">
        <v>15219</v>
      </c>
      <c r="C12097" s="5" t="str">
        <f>IFERROR(__xludf.DUMMYFUNCTION("GOOGLETRANSLATE(B12097,""en"",""it"")"),"In secondo luogo, mostra la posizione corretta di lanciare l'oggetto e lancia la discussione su come in aria.")</f>
        <v>In secondo luogo, mostra la posizione corretta di lanciare l'oggetto e lancia la discussione su come in aria.</v>
      </c>
    </row>
    <row r="12098">
      <c r="A12098" s="4" t="s">
        <v>15217</v>
      </c>
      <c r="B12098" s="4" t="s">
        <v>15220</v>
      </c>
      <c r="C12098" s="5" t="str">
        <f>IFERROR(__xludf.DUMMYFUNCTION("GOOGLETRANSLATE(B12098,""en"",""it"")"),"Dimostra di piegarsi e girare con il disco e ne fa uno butta.")</f>
        <v>Dimostra di piegarsi e girare con il disco e ne fa uno butta.</v>
      </c>
    </row>
    <row r="12099">
      <c r="A12099" s="4" t="s">
        <v>15217</v>
      </c>
      <c r="B12099" s="4" t="s">
        <v>15221</v>
      </c>
      <c r="C12099" s="5" t="str">
        <f>IFERROR(__xludf.DUMMYFUNCTION("GOOGLETRANSLATE(B12099,""en"",""it"")"),"L'uomo quindi cerca di lanciare come ha fatto la donna e tenta di lanciare di più e migliorare.")</f>
        <v>L'uomo quindi cerca di lanciare come ha fatto la donna e tenta di lanciare di più e migliorare.</v>
      </c>
    </row>
    <row r="12100">
      <c r="A12100" s="4" t="s">
        <v>15222</v>
      </c>
      <c r="B12100" s="4" t="s">
        <v>15223</v>
      </c>
      <c r="C12100" s="5" t="str">
        <f>IFERROR(__xludf.DUMMYFUNCTION("GOOGLETRANSLATE(B12100,""en"",""it"")"),"Le persone sono sedute in macchine per paraurti che si schiantano l'una dall'altra.")</f>
        <v>Le persone sono sedute in macchine per paraurti che si schiantano l'una dall'altra.</v>
      </c>
    </row>
    <row r="12101">
      <c r="A12101" s="4" t="s">
        <v>15222</v>
      </c>
      <c r="B12101" s="4" t="s">
        <v>15224</v>
      </c>
      <c r="C12101" s="5" t="str">
        <f>IFERROR(__xludf.DUMMYFUNCTION("GOOGLETRANSLATE(B12101,""en"",""it"")"),"Si fermano e escono dalle macchine.")</f>
        <v>Si fermano e escono dalle macchine.</v>
      </c>
    </row>
    <row r="12102">
      <c r="A12102" s="4" t="s">
        <v>15222</v>
      </c>
      <c r="B12102" s="4" t="s">
        <v>15225</v>
      </c>
      <c r="C12102" s="5" t="str">
        <f>IFERROR(__xludf.DUMMYFUNCTION("GOOGLETRANSLATE(B12102,""en"",""it"")"),"Un ragazzo con una camicia bianca esce con un ragazzo con una camicia blu.")</f>
        <v>Un ragazzo con una camicia bianca esce con un ragazzo con una camicia blu.</v>
      </c>
    </row>
    <row r="12103">
      <c r="A12103" s="4" t="s">
        <v>15226</v>
      </c>
      <c r="B12103" s="4" t="s">
        <v>15227</v>
      </c>
      <c r="C12103" s="5" t="str">
        <f>IFERROR(__xludf.DUMMYFUNCTION("GOOGLETRANSLATE(B12103,""en"",""it"")"),"Una donna è vista seduta su un pezzo di attrezzatura da esercizio con le braccia e le gambe legate.")</f>
        <v>Una donna è vista seduta su un pezzo di attrezzatura da esercizio con le braccia e le gambe legate.</v>
      </c>
    </row>
    <row r="12104">
      <c r="A12104" s="4" t="s">
        <v>15226</v>
      </c>
      <c r="B12104" s="4" t="s">
        <v>15228</v>
      </c>
      <c r="C12104" s="5" t="str">
        <f>IFERROR(__xludf.DUMMYFUNCTION("GOOGLETRANSLATE(B12104,""en"",""it"")"),"La donna è vista tornare indietro e quarto sulla macchina mentre guardi avanti.")</f>
        <v>La donna è vista tornare indietro e quarto sulla macchina mentre guardi avanti.</v>
      </c>
    </row>
    <row r="12105">
      <c r="A12105" s="4" t="s">
        <v>15226</v>
      </c>
      <c r="B12105" s="4" t="s">
        <v>15229</v>
      </c>
      <c r="C12105" s="5" t="str">
        <f>IFERROR(__xludf.DUMMYFUNCTION("GOOGLETRANSLATE(B12105,""en"",""it"")"),"La donna continua a muoversi sulla macchina mentre la telecamera osserva i suoi movimenti.")</f>
        <v>La donna continua a muoversi sulla macchina mentre la telecamera osserva i suoi movimenti.</v>
      </c>
    </row>
    <row r="12106">
      <c r="A12106" s="4" t="s">
        <v>15230</v>
      </c>
      <c r="B12106" s="4" t="s">
        <v>1487</v>
      </c>
      <c r="C12106" s="5" t="str">
        <f>IFERROR(__xludf.DUMMYFUNCTION("GOOGLETRANSLATE(B12106,""en"",""it"")"),"Vediamo una schermata del titolo di apertura.")</f>
        <v>Vediamo una schermata del titolo di apertura.</v>
      </c>
    </row>
    <row r="12107">
      <c r="A12107" s="4" t="s">
        <v>15230</v>
      </c>
      <c r="B12107" s="4" t="s">
        <v>15231</v>
      </c>
      <c r="C12107" s="5" t="str">
        <f>IFERROR(__xludf.DUMMYFUNCTION("GOOGLETRANSLATE(B12107,""en"",""it"")"),"Una signora mostra le unghie.")</f>
        <v>Una signora mostra le unghie.</v>
      </c>
    </row>
    <row r="12108">
      <c r="A12108" s="4" t="s">
        <v>15230</v>
      </c>
      <c r="B12108" s="4" t="s">
        <v>15232</v>
      </c>
      <c r="C12108" s="5" t="str">
        <f>IFERROR(__xludf.DUMMYFUNCTION("GOOGLETRANSLATE(B12108,""en"",""it"")"),"La signora mette gocce di vernice bianca sulle unghie delle dita.")</f>
        <v>La signora mette gocce di vernice bianca sulle unghie delle dita.</v>
      </c>
    </row>
    <row r="12109">
      <c r="A12109" s="4" t="s">
        <v>15230</v>
      </c>
      <c r="B12109" s="4" t="s">
        <v>15233</v>
      </c>
      <c r="C12109" s="5" t="str">
        <f>IFERROR(__xludf.DUMMYFUNCTION("GOOGLETRANSLATE(B12109,""en"",""it"")"),"La signora usa uno stecchino e lo trascina attraverso la vernice bianca.")</f>
        <v>La signora usa uno stecchino e lo trascina attraverso la vernice bianca.</v>
      </c>
    </row>
    <row r="12110">
      <c r="A12110" s="4" t="s">
        <v>15230</v>
      </c>
      <c r="B12110" s="4" t="s">
        <v>15234</v>
      </c>
      <c r="C12110" s="5" t="str">
        <f>IFERROR(__xludf.DUMMYFUNCTION("GOOGLETRANSLATE(B12110,""en"",""it"")"),"Doe un'altra unghie con lo stesso processo.")</f>
        <v>Doe un'altra unghie con lo stesso processo.</v>
      </c>
    </row>
    <row r="12111">
      <c r="A12111" s="4" t="s">
        <v>15230</v>
      </c>
      <c r="B12111" s="4" t="s">
        <v>15235</v>
      </c>
      <c r="C12111" s="5" t="str">
        <f>IFERROR(__xludf.DUMMYFUNCTION("GOOGLETRANSLATE(B12111,""en"",""it"")"),"La signora ci mostra i disegni di fiori sulle unghie.")</f>
        <v>La signora ci mostra i disegni di fiori sulle unghie.</v>
      </c>
    </row>
    <row r="12112">
      <c r="A12112" s="4" t="s">
        <v>15236</v>
      </c>
      <c r="B12112" s="4" t="s">
        <v>15237</v>
      </c>
      <c r="C12112" s="5" t="str">
        <f>IFERROR(__xludf.DUMMYFUNCTION("GOOGLETRANSLATE(B12112,""en"",""it"")"),"Le bande musicali sono posizionate sul campo.")</f>
        <v>Le bande musicali sono posizionate sul campo.</v>
      </c>
    </row>
    <row r="12113">
      <c r="A12113" s="4" t="s">
        <v>15236</v>
      </c>
      <c r="B12113" s="4" t="s">
        <v>15238</v>
      </c>
      <c r="C12113" s="5" t="str">
        <f>IFERROR(__xludf.DUMMYFUNCTION("GOOGLETRANSLATE(B12113,""en"",""it"")"),"Quindi la band ha iniziato a suonare i loro strumenti.")</f>
        <v>Quindi la band ha iniziato a suonare i loro strumenti.</v>
      </c>
    </row>
    <row r="12114">
      <c r="A12114" s="4" t="s">
        <v>15236</v>
      </c>
      <c r="B12114" s="4" t="s">
        <v>15239</v>
      </c>
      <c r="C12114" s="5" t="str">
        <f>IFERROR(__xludf.DUMMYFUNCTION("GOOGLETRANSLATE(B12114,""en"",""it"")"),"Le donne con bandiere hanno spostato le loro bandiere su e giù e le ruotano mentre la band suona.")</f>
        <v>Le donne con bandiere hanno spostato le loro bandiere su e giù e le ruotano mentre la band suona.</v>
      </c>
    </row>
    <row r="12115">
      <c r="A12115" s="4" t="s">
        <v>15240</v>
      </c>
      <c r="B12115" s="4" t="s">
        <v>15241</v>
      </c>
      <c r="C12115" s="5" t="str">
        <f>IFERROR(__xludf.DUMMYFUNCTION("GOOGLETRANSLATE(B12115,""en"",""it"")"),"Un uomo è visto in piedi fuori tenendo una corda e lega attorno a una corteccia di albero.")</f>
        <v>Un uomo è visto in piedi fuori tenendo una corda e lega attorno a una corteccia di albero.</v>
      </c>
    </row>
    <row r="12116">
      <c r="A12116" s="4" t="s">
        <v>15240</v>
      </c>
      <c r="B12116" s="4" t="s">
        <v>15242</v>
      </c>
      <c r="C12116" s="5" t="str">
        <f>IFERROR(__xludf.DUMMYFUNCTION("GOOGLETRANSLATE(B12116,""en"",""it"")"),"Quindi ascetti il ​​tronco a terra e lo rompe in due.")</f>
        <v>Quindi ascetti il ​​tronco a terra e lo rompe in due.</v>
      </c>
    </row>
    <row r="12117">
      <c r="A12117" s="4" t="s">
        <v>15243</v>
      </c>
      <c r="B12117" s="4" t="s">
        <v>15244</v>
      </c>
      <c r="C12117" s="5" t="str">
        <f>IFERROR(__xludf.DUMMYFUNCTION("GOOGLETRANSLATE(B12117,""en"",""it"")"),"Viene mostrato un uomo che punta a uno pneumatico per biciclette e taglia un pezzo di filo usando le pinze.")</f>
        <v>Viene mostrato un uomo che punta a uno pneumatico per biciclette e taglia un pezzo di filo usando le pinze.</v>
      </c>
    </row>
    <row r="12118">
      <c r="A12118" s="4" t="s">
        <v>15243</v>
      </c>
      <c r="B12118" s="6" t="s">
        <v>15245</v>
      </c>
      <c r="C12118" s="5" t="str">
        <f>IFERROR(__xludf.DUMMYFUNCTION("GOOGLETRANSLATE(B12118,""en"",""it"")"),"Quindi si sposta sulle barre intorno e gira la ruota seguita da un bastone che preme contro la gomma.")</f>
        <v>Quindi si sposta sulle barre intorno e gira la ruota seguita da un bastone che preme contro la gomma.</v>
      </c>
    </row>
    <row r="12119">
      <c r="A12119" s="4" t="s">
        <v>15243</v>
      </c>
      <c r="B12119" s="4" t="s">
        <v>15246</v>
      </c>
      <c r="C12119" s="5" t="str">
        <f>IFERROR(__xludf.DUMMYFUNCTION("GOOGLETRANSLATE(B12119,""en"",""it"")"),"Spinge un tubo nel pneumatico e regola i fili usando un dispositivo.")</f>
        <v>Spinge un tubo nel pneumatico e regola i fili usando un dispositivo.</v>
      </c>
    </row>
    <row r="12120">
      <c r="A12120" s="4" t="s">
        <v>15243</v>
      </c>
      <c r="B12120" s="4" t="s">
        <v>15247</v>
      </c>
      <c r="C12120" s="5" t="str">
        <f>IFERROR(__xludf.DUMMYFUNCTION("GOOGLETRANSLATE(B12120,""en"",""it"")"),"Mette alla prova la ruota accuratamente e assicura che la bici sia pronta per partire.")</f>
        <v>Mette alla prova la ruota accuratamente e assicura che la bici sia pronta per partire.</v>
      </c>
    </row>
    <row r="12121">
      <c r="A12121" s="4" t="s">
        <v>15248</v>
      </c>
      <c r="B12121" s="4" t="s">
        <v>15249</v>
      </c>
      <c r="C12121" s="5" t="str">
        <f>IFERROR(__xludf.DUMMYFUNCTION("GOOGLETRANSLATE(B12121,""en"",""it"")"),"Una donna sta parlando con una macchina fotografica.")</f>
        <v>Una donna sta parlando con una macchina fotografica.</v>
      </c>
    </row>
    <row r="12122">
      <c r="A12122" s="4" t="s">
        <v>15248</v>
      </c>
      <c r="B12122" s="4" t="s">
        <v>15250</v>
      </c>
      <c r="C12122" s="5" t="str">
        <f>IFERROR(__xludf.DUMMYFUNCTION("GOOGLETRANSLATE(B12122,""en"",""it"")"),"Prende un flauto e inizia a giocare.")</f>
        <v>Prende un flauto e inizia a giocare.</v>
      </c>
    </row>
    <row r="12123">
      <c r="A12123" s="4" t="s">
        <v>15248</v>
      </c>
      <c r="B12123" s="4" t="s">
        <v>15251</v>
      </c>
      <c r="C12123" s="5" t="str">
        <f>IFERROR(__xludf.DUMMYFUNCTION("GOOGLETRANSLATE(B12123,""en"",""it"")"),"Lei mette la canna fumaria in grembo e continua a parlare.")</f>
        <v>Lei mette la canna fumaria in grembo e continua a parlare.</v>
      </c>
    </row>
    <row r="12124">
      <c r="A12124" s="4" t="s">
        <v>15248</v>
      </c>
      <c r="B12124" s="4" t="s">
        <v>15252</v>
      </c>
      <c r="C12124" s="5" t="str">
        <f>IFERROR(__xludf.DUMMYFUNCTION("GOOGLETRANSLATE(B12124,""en"",""it"")"),"Lei si alza il flauto in bocca e continua a giocare.")</f>
        <v>Lei si alza il flauto in bocca e continua a giocare.</v>
      </c>
    </row>
    <row r="12125">
      <c r="A12125" s="4" t="s">
        <v>15248</v>
      </c>
      <c r="B12125" s="4" t="s">
        <v>15253</v>
      </c>
      <c r="C12125" s="5" t="str">
        <f>IFERROR(__xludf.DUMMYFUNCTION("GOOGLETRANSLATE(B12125,""en"",""it"")"),"Mette indietro il flauto e annuisce la testa.")</f>
        <v>Mette indietro il flauto e annuisce la testa.</v>
      </c>
    </row>
    <row r="12126">
      <c r="A12126" s="4" t="s">
        <v>15248</v>
      </c>
      <c r="B12126" s="4" t="s">
        <v>15254</v>
      </c>
      <c r="C12126" s="5" t="str">
        <f>IFERROR(__xludf.DUMMYFUNCTION("GOOGLETRANSLATE(B12126,""en"",""it"")"),"Mette il flauto alle labbra e ai giochi.")</f>
        <v>Mette il flauto alle labbra e ai giochi.</v>
      </c>
    </row>
    <row r="12127">
      <c r="A12127" s="4" t="s">
        <v>15255</v>
      </c>
      <c r="B12127" s="4" t="s">
        <v>15256</v>
      </c>
      <c r="C12127" s="5" t="str">
        <f>IFERROR(__xludf.DUMMYFUNCTION("GOOGLETRANSLATE(B12127,""en"",""it"")"),"Una persona sta sciocca dietro una barca.")</f>
        <v>Una persona sta sciocca dietro una barca.</v>
      </c>
    </row>
    <row r="12128">
      <c r="A12128" s="4" t="s">
        <v>15255</v>
      </c>
      <c r="B12128" s="4" t="s">
        <v>15257</v>
      </c>
      <c r="C12128" s="5" t="str">
        <f>IFERROR(__xludf.DUMMYFUNCTION("GOOGLETRANSLATE(B12128,""en"",""it"")"),"Un'altra barca è vista nell'acqua dietro di loro.")</f>
        <v>Un'altra barca è vista nell'acqua dietro di loro.</v>
      </c>
    </row>
    <row r="12129">
      <c r="A12129" s="4" t="s">
        <v>15255</v>
      </c>
      <c r="B12129" s="4" t="s">
        <v>15258</v>
      </c>
      <c r="C12129" s="5" t="str">
        <f>IFERROR(__xludf.DUMMYFUNCTION("GOOGLETRANSLATE(B12129,""en"",""it"")"),"Stanno andando in giro con i coni gialli nell'acqua.")</f>
        <v>Stanno andando in giro con i coni gialli nell'acqua.</v>
      </c>
    </row>
    <row r="12130">
      <c r="A12130" s="4" t="s">
        <v>15259</v>
      </c>
      <c r="B12130" s="4" t="s">
        <v>15260</v>
      </c>
      <c r="C12130" s="5" t="str">
        <f>IFERROR(__xludf.DUMMYFUNCTION("GOOGLETRANSLATE(B12130,""en"",""it"")"),"Un uomo viene visto camminare lungo un campo seguito da diverse persone che correvano indietro e quarto.")</f>
        <v>Un uomo viene visto camminare lungo un campo seguito da diverse persone che correvano indietro e quarto.</v>
      </c>
    </row>
    <row r="12131">
      <c r="A12131" s="4" t="s">
        <v>15259</v>
      </c>
      <c r="B12131" s="4" t="s">
        <v>15261</v>
      </c>
      <c r="C12131" s="5" t="str">
        <f>IFERROR(__xludf.DUMMYFUNCTION("GOOGLETRANSLATE(B12131,""en"",""it"")"),"Gli uomini lanciano la palla intorno al cortile e continuano a correre su e giù sull'erba.")</f>
        <v>Gli uomini lanciano la palla intorno al cortile e continuano a correre su e giù sull'erba.</v>
      </c>
    </row>
    <row r="12132">
      <c r="A12132" s="4" t="s">
        <v>15262</v>
      </c>
      <c r="B12132" s="4" t="s">
        <v>15263</v>
      </c>
      <c r="C12132" s="5" t="str">
        <f>IFERROR(__xludf.DUMMYFUNCTION("GOOGLETRANSLATE(B12132,""en"",""it"")"),"Due coppie di uomini si stanno preparando per la scatola.")</f>
        <v>Due coppie di uomini si stanno preparando per la scatola.</v>
      </c>
    </row>
    <row r="12133">
      <c r="A12133" s="4" t="s">
        <v>15262</v>
      </c>
      <c r="B12133" s="4" t="s">
        <v>15264</v>
      </c>
      <c r="C12133" s="5" t="str">
        <f>IFERROR(__xludf.DUMMYFUNCTION("GOOGLETRANSLATE(B12133,""en"",""it"")"),"Entrambe le coppie di uomini sono viste boxe.")</f>
        <v>Entrambe le coppie di uomini sono viste boxe.</v>
      </c>
    </row>
    <row r="12134">
      <c r="A12134" s="4" t="s">
        <v>15262</v>
      </c>
      <c r="B12134" s="4" t="s">
        <v>15265</v>
      </c>
      <c r="C12134" s="5" t="str">
        <f>IFERROR(__xludf.DUMMYFUNCTION("GOOGLETRANSLATE(B12134,""en"",""it"")"),"Un altro paio di uomini viene visto parlare e gestire la boxe in lontananza.")</f>
        <v>Un altro paio di uomini viene visto parlare e gestire la boxe in lontananza.</v>
      </c>
    </row>
    <row r="12135">
      <c r="A12135" s="4" t="s">
        <v>15262</v>
      </c>
      <c r="B12135" s="4" t="s">
        <v>15266</v>
      </c>
      <c r="C12135" s="5" t="str">
        <f>IFERROR(__xludf.DUMMYFUNCTION("GOOGLETRANSLATE(B12135,""en"",""it"")"),"La coppia principale di pugili fa una breve pausa.")</f>
        <v>La coppia principale di pugili fa una breve pausa.</v>
      </c>
    </row>
    <row r="12136">
      <c r="A12136" s="4" t="s">
        <v>15262</v>
      </c>
      <c r="B12136" s="4" t="s">
        <v>15267</v>
      </c>
      <c r="C12136" s="5" t="str">
        <f>IFERROR(__xludf.DUMMYFUNCTION("GOOGLETRANSLATE(B12136,""en"",""it"")"),"Tutti i gruppi fermano la boxe e iniziano a parlare.")</f>
        <v>Tutti i gruppi fermano la boxe e iniziano a parlare.</v>
      </c>
    </row>
    <row r="12137">
      <c r="A12137" s="4" t="s">
        <v>15262</v>
      </c>
      <c r="B12137" s="4" t="s">
        <v>15268</v>
      </c>
      <c r="C12137" s="5" t="str">
        <f>IFERROR(__xludf.DUMMYFUNCTION("GOOGLETRANSLATE(B12137,""en"",""it"")"),"Uno degli uomini inizia a sostenere una corda e oscilla in avanti e all'indietro.")</f>
        <v>Uno degli uomini inizia a sostenere una corda e oscilla in avanti e all'indietro.</v>
      </c>
    </row>
    <row r="12138">
      <c r="A12138" s="4" t="s">
        <v>15269</v>
      </c>
      <c r="B12138" s="4" t="s">
        <v>15270</v>
      </c>
      <c r="C12138" s="5" t="str">
        <f>IFERROR(__xludf.DUMMYFUNCTION("GOOGLETRANSLATE(B12138,""en"",""it"")"),"Una donna vestita con una canotta nera e calzature nere sta facendo scricchiolio dello stomaco su un tappetino.")</f>
        <v>Una donna vestita con una canotta nera e calzature nere sta facendo scricchiolio dello stomaco su un tappetino.</v>
      </c>
    </row>
    <row r="12139">
      <c r="A12139" s="4" t="s">
        <v>15269</v>
      </c>
      <c r="B12139" s="4" t="s">
        <v>15271</v>
      </c>
      <c r="C12139" s="5" t="str">
        <f>IFERROR(__xludf.DUMMYFUNCTION("GOOGLETRANSLATE(B12139,""en"",""it"")"),"Si esercita su un pavimento in legno in palestra.")</f>
        <v>Si esercita su un pavimento in legno in palestra.</v>
      </c>
    </row>
    <row r="12140">
      <c r="A12140" s="4" t="s">
        <v>15269</v>
      </c>
      <c r="B12140" s="4" t="s">
        <v>15272</v>
      </c>
      <c r="C12140" s="5" t="str">
        <f>IFERROR(__xludf.DUMMYFUNCTION("GOOGLETRANSLATE(B12140,""en"",""it"")"),"Continua a fare scricchiolio dello stomaco.")</f>
        <v>Continua a fare scricchiolio dello stomaco.</v>
      </c>
    </row>
    <row r="12141">
      <c r="A12141" s="4" t="s">
        <v>15273</v>
      </c>
      <c r="B12141" s="4" t="s">
        <v>15274</v>
      </c>
      <c r="C12141" s="5" t="str">
        <f>IFERROR(__xludf.DUMMYFUNCTION("GOOGLETRANSLATE(B12141,""en"",""it"")"),"Un'introduzione conduce in un primo piano di un tavolo di foose e panoramica attorno a diverse specifiche del tavolo.")</f>
        <v>Un'introduzione conduce in un primo piano di un tavolo di foose e panoramica attorno a diverse specifiche del tavolo.</v>
      </c>
    </row>
    <row r="12142">
      <c r="A12142" s="4" t="s">
        <v>15273</v>
      </c>
      <c r="B12142" s="6" t="s">
        <v>15275</v>
      </c>
      <c r="C12142" s="5" t="str">
        <f>IFERROR(__xludf.DUMMYFUNCTION("GOOGLETRANSLATE(B12142,""en"",""it"")"),"Due persone si vedono giocare tra loro mentre la telecamera mostra il tavolo in diversi punti e i ragazzi si in alto.")</f>
        <v>Due persone si vedono giocare tra loro mentre la telecamera mostra il tavolo in diversi punti e i ragazzi si in alto.</v>
      </c>
    </row>
    <row r="12143">
      <c r="A12143" s="4" t="s">
        <v>15276</v>
      </c>
      <c r="B12143" s="4" t="s">
        <v>15277</v>
      </c>
      <c r="C12143" s="5" t="str">
        <f>IFERROR(__xludf.DUMMYFUNCTION("GOOGLETRANSLATE(B12143,""en"",""it"")"),"Varie immagini di persone che dipingono vengono mostrate usando diversi strumenti su pareti dure.")</f>
        <v>Varie immagini di persone che dipingono vengono mostrate usando diversi strumenti su pareti dure.</v>
      </c>
    </row>
    <row r="12144">
      <c r="A12144" s="4" t="s">
        <v>15276</v>
      </c>
      <c r="B12144" s="4" t="s">
        <v>15278</v>
      </c>
      <c r="C12144" s="5" t="str">
        <f>IFERROR(__xludf.DUMMYFUNCTION("GOOGLETRANSLATE(B12144,""en"",""it"")"),"Vengono mostrate altre immagini di persone che si intonacano con varie immagini di testo mostrate all'interno.")</f>
        <v>Vengono mostrate altre immagini di persone che si intonacano con varie immagini di testo mostrate all'interno.</v>
      </c>
    </row>
    <row r="12145">
      <c r="A12145" s="4" t="s">
        <v>15279</v>
      </c>
      <c r="B12145" s="4" t="s">
        <v>15280</v>
      </c>
      <c r="C12145" s="5" t="str">
        <f>IFERROR(__xludf.DUMMYFUNCTION("GOOGLETRANSLATE(B12145,""en"",""it"")"),"Un uomo sta assemblando una bici su un tavolo.")</f>
        <v>Un uomo sta assemblando una bici su un tavolo.</v>
      </c>
    </row>
    <row r="12146">
      <c r="A12146" s="4" t="s">
        <v>15279</v>
      </c>
      <c r="B12146" s="4" t="s">
        <v>15281</v>
      </c>
      <c r="C12146" s="5" t="str">
        <f>IFERROR(__xludf.DUMMYFUNCTION("GOOGLETRANSLATE(B12146,""en"",""it"")"),"Sta mettendo ruote da allenamento sulla ruota posteriore della bici.")</f>
        <v>Sta mettendo ruote da allenamento sulla ruota posteriore della bici.</v>
      </c>
    </row>
    <row r="12147">
      <c r="A12147" s="4" t="s">
        <v>15279</v>
      </c>
      <c r="B12147" s="4" t="s">
        <v>15282</v>
      </c>
      <c r="C12147" s="5" t="str">
        <f>IFERROR(__xludf.DUMMYFUNCTION("GOOGLETRANSLATE(B12147,""en"",""it"")"),"Mette la gomma anteriore sulla bici.")</f>
        <v>Mette la gomma anteriore sulla bici.</v>
      </c>
    </row>
    <row r="12148">
      <c r="A12148" s="4" t="s">
        <v>15279</v>
      </c>
      <c r="B12148" s="4" t="s">
        <v>15283</v>
      </c>
      <c r="C12148" s="5" t="str">
        <f>IFERROR(__xludf.DUMMYFUNCTION("GOOGLETRANSLATE(B12148,""en"",""it"")"),"Mette il manubrio sulla bici.")</f>
        <v>Mette il manubrio sulla bici.</v>
      </c>
    </row>
    <row r="12149">
      <c r="A12149" s="4" t="s">
        <v>15279</v>
      </c>
      <c r="B12149" s="4" t="s">
        <v>15284</v>
      </c>
      <c r="C12149" s="5" t="str">
        <f>IFERROR(__xludf.DUMMYFUNCTION("GOOGLETRANSLATE(B12149,""en"",""it"")"),"Mette i pedali sulla bici.")</f>
        <v>Mette i pedali sulla bici.</v>
      </c>
    </row>
    <row r="12150">
      <c r="A12150" s="4" t="s">
        <v>15279</v>
      </c>
      <c r="B12150" s="4" t="s">
        <v>15285</v>
      </c>
      <c r="C12150" s="5" t="str">
        <f>IFERROR(__xludf.DUMMYFUNCTION("GOOGLETRANSLATE(B12150,""en"",""it"")"),"Mette il sedile sulla bici.")</f>
        <v>Mette il sedile sulla bici.</v>
      </c>
    </row>
    <row r="12151">
      <c r="A12151" s="4" t="s">
        <v>15286</v>
      </c>
      <c r="B12151" s="4" t="s">
        <v>15287</v>
      </c>
      <c r="C12151" s="5" t="str">
        <f>IFERROR(__xludf.DUMMYFUNCTION("GOOGLETRANSLATE(B12151,""en"",""it"")"),"Un uomo fa oscillare una mazza da baseball.")</f>
        <v>Un uomo fa oscillare una mazza da baseball.</v>
      </c>
    </row>
    <row r="12152">
      <c r="A12152" s="4" t="s">
        <v>15286</v>
      </c>
      <c r="B12152" s="4" t="s">
        <v>15288</v>
      </c>
      <c r="C12152" s="5" t="str">
        <f>IFERROR(__xludf.DUMMYFUNCTION("GOOGLETRANSLATE(B12152,""en"",""it"")"),"Colpisce una palla e va su un tetto.")</f>
        <v>Colpisce una palla e va su un tetto.</v>
      </c>
    </row>
    <row r="12153">
      <c r="A12153" s="4" t="s">
        <v>15286</v>
      </c>
      <c r="B12153" s="4" t="s">
        <v>15289</v>
      </c>
      <c r="C12153" s="5" t="str">
        <f>IFERROR(__xludf.DUMMYFUNCTION("GOOGLETRANSLATE(B12153,""en"",""it"")"),"Un uomo corre e lancia una palla.")</f>
        <v>Un uomo corre e lancia una palla.</v>
      </c>
    </row>
    <row r="12154">
      <c r="A12154" s="4" t="s">
        <v>15290</v>
      </c>
      <c r="B12154" s="4" t="s">
        <v>15291</v>
      </c>
      <c r="C12154" s="5" t="str">
        <f>IFERROR(__xludf.DUMMYFUNCTION("GOOGLETRANSLATE(B12154,""en"",""it"")"),"Una donna sta versando colpi di alcol in un bicchiere di ghiaccio.")</f>
        <v>Una donna sta versando colpi di alcol in un bicchiere di ghiaccio.</v>
      </c>
    </row>
    <row r="12155">
      <c r="A12155" s="4" t="s">
        <v>15290</v>
      </c>
      <c r="B12155" s="4" t="s">
        <v>15292</v>
      </c>
      <c r="C12155" s="5" t="str">
        <f>IFERROR(__xludf.DUMMYFUNCTION("GOOGLETRANSLATE(B12155,""en"",""it"")"),"Scuote il bicchiere e lo mette giù.")</f>
        <v>Scuote il bicchiere e lo mette giù.</v>
      </c>
    </row>
    <row r="12156">
      <c r="A12156" s="4" t="s">
        <v>15290</v>
      </c>
      <c r="B12156" s="4" t="s">
        <v>15293</v>
      </c>
      <c r="C12156" s="5" t="str">
        <f>IFERROR(__xludf.DUMMYFUNCTION("GOOGLETRANSLATE(B12156,""en"",""it"")"),"Quindi lo versa in un altro bicchiere e ci infila una cannuccia.")</f>
        <v>Quindi lo versa in un altro bicchiere e ci infila una cannuccia.</v>
      </c>
    </row>
    <row r="12157">
      <c r="A12157" s="4" t="s">
        <v>15290</v>
      </c>
      <c r="B12157" s="4" t="s">
        <v>15294</v>
      </c>
      <c r="C12157" s="5" t="str">
        <f>IFERROR(__xludf.DUMMYFUNCTION("GOOGLETRANSLATE(B12157,""en"",""it"")"),"Solleva il drink mentre parla.")</f>
        <v>Solleva il drink mentre parla.</v>
      </c>
    </row>
    <row r="12158">
      <c r="A12158" s="4" t="s">
        <v>15295</v>
      </c>
      <c r="B12158" s="6" t="s">
        <v>15296</v>
      </c>
      <c r="C12158" s="5" t="str">
        <f>IFERROR(__xludf.DUMMYFUNCTION("GOOGLETRANSLATE(B12158,""en"",""it"")"),"Due gruppi di uomini che indossano uniformi, uno con camicie scure e una con camicie bianche, stanno giocando su un campo da pallavolo indoor.")</f>
        <v>Due gruppi di uomini che indossano uniformi, uno con camicie scure e una con camicie bianche, stanno giocando su un campo da pallavolo indoor.</v>
      </c>
    </row>
    <row r="12159">
      <c r="A12159" s="4" t="s">
        <v>15295</v>
      </c>
      <c r="B12159" s="4" t="s">
        <v>15297</v>
      </c>
      <c r="C12159" s="5" t="str">
        <f>IFERROR(__xludf.DUMMYFUNCTION("GOOGLETRANSLATE(B12159,""en"",""it"")"),"L'uomo nella maglia più scura che indossa il numero 17 si tuffa a terra per salvare la palla.")</f>
        <v>L'uomo nella maglia più scura che indossa il numero 17 si tuffa a terra per salvare la palla.</v>
      </c>
    </row>
    <row r="12160">
      <c r="A12160" s="4" t="s">
        <v>15295</v>
      </c>
      <c r="B12160" s="6" t="s">
        <v>15298</v>
      </c>
      <c r="C12160" s="5" t="str">
        <f>IFERROR(__xludf.DUMMYFUNCTION("GOOGLETRANSLATE(B12160,""en"",""it"")"),"Un membro della squadra che indossa una camicia scura aumenta la palla, ma esce dai limiti e la squadra con le camicie più chiare incoraggiano mentre il ragazzo che ha spuntato la palla fuori dai limiti si piega della delusione.")</f>
        <v>Un membro della squadra che indossa una camicia scura aumenta la palla, ma esce dai limiti e la squadra con le camicie più chiare incoraggiano mentre il ragazzo che ha spuntato la palla fuori dai limiti si piega della delusione.</v>
      </c>
    </row>
    <row r="12161">
      <c r="A12161" s="4" t="s">
        <v>15299</v>
      </c>
      <c r="B12161" s="4" t="s">
        <v>15300</v>
      </c>
      <c r="C12161" s="5" t="str">
        <f>IFERROR(__xludf.DUMMYFUNCTION("GOOGLETRANSLATE(B12161,""en"",""it"")"),"È mostrato due aspirapolvere uno più alto e uno è più corto.")</f>
        <v>È mostrato due aspirapolvere uno più alto e uno è più corto.</v>
      </c>
    </row>
    <row r="12162">
      <c r="A12162" s="4" t="s">
        <v>15299</v>
      </c>
      <c r="B12162" s="6" t="s">
        <v>15301</v>
      </c>
      <c r="C12162" s="5" t="str">
        <f>IFERROR(__xludf.DUMMYFUNCTION("GOOGLETRANSLATE(B12162,""en"",""it"")"),"Il vuoto viene utilizzato sul tappeto, sul pavimento di legno, sull'angolo, sotto il tavolo e sul lato della spazzatura e quindi sul tappeto.")</f>
        <v>Il vuoto viene utilizzato sul tappeto, sul pavimento di legno, sull'angolo, sotto il tavolo e sul lato della spazzatura e quindi sul tappeto.</v>
      </c>
    </row>
    <row r="12163">
      <c r="A12163" s="4" t="s">
        <v>15299</v>
      </c>
      <c r="B12163" s="6" t="s">
        <v>15302</v>
      </c>
      <c r="C12163" s="5" t="str">
        <f>IFERROR(__xludf.DUMMYFUNCTION("GOOGLETRANSLATE(B12163,""en"",""it"")"),"Una mano sta tirando fuori un tubo, usato il tubo per aspirare le scale e l'angolo del soffitto, quindi una mano ha tirato fuori il tubo e ha gettato via la polvere dal tubo trasparente.")</f>
        <v>Una mano sta tirando fuori un tubo, usato il tubo per aspirare le scale e l'angolo del soffitto, quindi una mano ha tirato fuori il tubo e ha gettato via la polvere dal tubo trasparente.</v>
      </c>
    </row>
    <row r="12164">
      <c r="A12164" s="4" t="s">
        <v>15299</v>
      </c>
      <c r="B12164" s="4" t="s">
        <v>15303</v>
      </c>
      <c r="C12164" s="5" t="str">
        <f>IFERROR(__xludf.DUMMYFUNCTION("GOOGLETRANSLATE(B12164,""en"",""it"")"),"Una donna porta il vuoto e lo mette in deposito.")</f>
        <v>Una donna porta il vuoto e lo mette in deposito.</v>
      </c>
    </row>
    <row r="12165">
      <c r="A12165" s="4" t="s">
        <v>15299</v>
      </c>
      <c r="B12165" s="4" t="s">
        <v>15304</v>
      </c>
      <c r="C12165" s="5" t="str">
        <f>IFERROR(__xludf.DUMMYFUNCTION("GOOGLETRANSLATE(B12165,""en"",""it"")"),"Una donna sta camminando in fabbrica, quindi una persona sta disegnando il vuoto in un foglio bianco.")</f>
        <v>Una donna sta camminando in fabbrica, quindi una persona sta disegnando il vuoto in un foglio bianco.</v>
      </c>
    </row>
    <row r="12166">
      <c r="A12166" s="4" t="s">
        <v>15305</v>
      </c>
      <c r="B12166" s="4" t="s">
        <v>15306</v>
      </c>
      <c r="C12166" s="5" t="str">
        <f>IFERROR(__xludf.DUMMYFUNCTION("GOOGLETRANSLATE(B12166,""en"",""it"")"),"Una persona fa irruzione in carta marrone.")</f>
        <v>Una persona fa irruzione in carta marrone.</v>
      </c>
    </row>
    <row r="12167">
      <c r="A12167" s="4" t="s">
        <v>15305</v>
      </c>
      <c r="B12167" s="4" t="s">
        <v>15307</v>
      </c>
      <c r="C12167" s="5" t="str">
        <f>IFERROR(__xludf.DUMMYFUNCTION("GOOGLETRANSLATE(B12167,""en"",""it"")"),"La persona lancia il ferro intorno e continua a stirare.")</f>
        <v>La persona lancia il ferro intorno e continua a stirare.</v>
      </c>
    </row>
    <row r="12168">
      <c r="A12168" s="4" t="s">
        <v>15305</v>
      </c>
      <c r="B12168" s="4" t="s">
        <v>15308</v>
      </c>
      <c r="C12168" s="5" t="str">
        <f>IFERROR(__xludf.DUMMYFUNCTION("GOOGLETRANSLATE(B12168,""en"",""it"")"),"Si stacca la carta stirata e la stabilisce.")</f>
        <v>Si stacca la carta stirata e la stabilisce.</v>
      </c>
    </row>
    <row r="12169">
      <c r="A12169" s="4" t="s">
        <v>15305</v>
      </c>
      <c r="B12169" s="4" t="s">
        <v>15309</v>
      </c>
      <c r="C12169" s="5" t="str">
        <f>IFERROR(__xludf.DUMMYFUNCTION("GOOGLETRANSLATE(B12169,""en"",""it"")"),"La persona lascia il ferro su una nuova carta marrone.")</f>
        <v>La persona lascia il ferro su una nuova carta marrone.</v>
      </c>
    </row>
    <row r="12170">
      <c r="A12170" s="4" t="s">
        <v>15310</v>
      </c>
      <c r="B12170" s="4" t="s">
        <v>15311</v>
      </c>
      <c r="C12170" s="5" t="str">
        <f>IFERROR(__xludf.DUMMYFUNCTION("GOOGLETRANSLATE(B12170,""en"",""it"")"),"Una folla osserva come diversi corridori in un passato da gara.")</f>
        <v>Una folla osserva come diversi corridori in un passato da gara.</v>
      </c>
    </row>
    <row r="12171">
      <c r="A12171" s="4" t="s">
        <v>15310</v>
      </c>
      <c r="B12171" s="4" t="s">
        <v>15312</v>
      </c>
      <c r="C12171" s="5" t="str">
        <f>IFERROR(__xludf.DUMMYFUNCTION("GOOGLETRANSLATE(B12171,""en"",""it"")"),"Continuano tutti a fare jogging, arrivando alla fine della gara.")</f>
        <v>Continuano tutti a fare jogging, arrivando alla fine della gara.</v>
      </c>
    </row>
    <row r="12172">
      <c r="A12172" s="4" t="s">
        <v>15313</v>
      </c>
      <c r="B12172" s="4" t="s">
        <v>15314</v>
      </c>
      <c r="C12172" s="5" t="str">
        <f>IFERROR(__xludf.DUMMYFUNCTION("GOOGLETRANSLATE(B12172,""en"",""it"")"),"Un gatto è in grembo a una donna in bagno.")</f>
        <v>Un gatto è in grembo a una donna in bagno.</v>
      </c>
    </row>
    <row r="12173">
      <c r="A12173" s="4" t="s">
        <v>15313</v>
      </c>
      <c r="B12173" s="4" t="s">
        <v>15315</v>
      </c>
      <c r="C12173" s="5" t="str">
        <f>IFERROR(__xludf.DUMMYFUNCTION("GOOGLETRANSLATE(B12173,""en"",""it"")"),"Tira un asciugamano sopra la testa del gatto.")</f>
        <v>Tira un asciugamano sopra la testa del gatto.</v>
      </c>
    </row>
    <row r="12174">
      <c r="A12174" s="4" t="s">
        <v>15313</v>
      </c>
      <c r="B12174" s="4" t="s">
        <v>15316</v>
      </c>
      <c r="C12174" s="5" t="str">
        <f>IFERROR(__xludf.DUMMYFUNCTION("GOOGLETRANSLATE(B12174,""en"",""it"")"),"Quindi cerca delicatamente di tagliare i suoi artigli uno alla volta.")</f>
        <v>Quindi cerca delicatamente di tagliare i suoi artigli uno alla volta.</v>
      </c>
    </row>
    <row r="12175">
      <c r="A12175" s="4" t="s">
        <v>15317</v>
      </c>
      <c r="B12175" s="4" t="s">
        <v>15318</v>
      </c>
      <c r="C12175" s="5" t="str">
        <f>IFERROR(__xludf.DUMMYFUNCTION("GOOGLETRANSLATE(B12175,""en"",""it"")"),"Una donna sta strofinando una sedia bianca con una spugna gialla.")</f>
        <v>Una donna sta strofinando una sedia bianca con una spugna gialla.</v>
      </c>
    </row>
    <row r="12176">
      <c r="A12176" s="4" t="s">
        <v>15317</v>
      </c>
      <c r="B12176" s="4" t="s">
        <v>15319</v>
      </c>
      <c r="C12176" s="5" t="str">
        <f>IFERROR(__xludf.DUMMYFUNCTION("GOOGLETRANSLATE(B12176,""en"",""it"")"),"Ora sta riversando qualcosa su uno straccio e lavando un tavolo bianco.")</f>
        <v>Ora sta riversando qualcosa su uno straccio e lavando un tavolo bianco.</v>
      </c>
    </row>
    <row r="12177">
      <c r="A12177" s="4" t="s">
        <v>15317</v>
      </c>
      <c r="B12177" s="4" t="s">
        <v>15320</v>
      </c>
      <c r="C12177" s="5" t="str">
        <f>IFERROR(__xludf.DUMMYFUNCTION("GOOGLETRANSLATE(B12177,""en"",""it"")"),"Sta dipingendo a spruzzo la sedia e il tavolo che ha appena lavato.")</f>
        <v>Sta dipingendo a spruzzo la sedia e il tavolo che ha appena lavato.</v>
      </c>
    </row>
    <row r="12178">
      <c r="A12178" s="4" t="s">
        <v>15317</v>
      </c>
      <c r="B12178" s="4" t="s">
        <v>15321</v>
      </c>
      <c r="C12178" s="5" t="str">
        <f>IFERROR(__xludf.DUMMYFUNCTION("GOOGLETRANSLATE(B12178,""en"",""it"")"),"Viene mostrato i mobili finiti.")</f>
        <v>Viene mostrato i mobili finiti.</v>
      </c>
    </row>
    <row r="12179">
      <c r="A12179" s="4" t="s">
        <v>15322</v>
      </c>
      <c r="B12179" s="4" t="s">
        <v>15323</v>
      </c>
      <c r="C12179" s="5" t="str">
        <f>IFERROR(__xludf.DUMMYFUNCTION("GOOGLETRANSLATE(B12179,""en"",""it"")"),"Un bambino è seduto su un tamburo.")</f>
        <v>Un bambino è seduto su un tamburo.</v>
      </c>
    </row>
    <row r="12180">
      <c r="A12180" s="4" t="s">
        <v>15322</v>
      </c>
      <c r="B12180" s="4" t="s">
        <v>15324</v>
      </c>
      <c r="C12180" s="5" t="str">
        <f>IFERROR(__xludf.DUMMYFUNCTION("GOOGLETRANSLATE(B12180,""en"",""it"")"),"Usando il piede per la base e battendo sullo rullante come un naturale.")</f>
        <v>Usando il piede per la base e battendo sullo rullante come un naturale.</v>
      </c>
    </row>
    <row r="12181">
      <c r="A12181" s="4" t="s">
        <v>15322</v>
      </c>
      <c r="B12181" s="4" t="s">
        <v>15325</v>
      </c>
      <c r="C12181" s="5" t="str">
        <f>IFERROR(__xludf.DUMMYFUNCTION("GOOGLETRANSLATE(B12181,""en"",""it"")"),"Una donna è su un piano suonando insieme al bambino.")</f>
        <v>Una donna è su un piano suonando insieme al bambino.</v>
      </c>
    </row>
    <row r="12182">
      <c r="A12182" s="4" t="s">
        <v>15322</v>
      </c>
      <c r="B12182" s="4" t="s">
        <v>15326</v>
      </c>
      <c r="C12182" s="5" t="str">
        <f>IFERROR(__xludf.DUMMYFUNCTION("GOOGLETRANSLATE(B12182,""en"",""it"")"),"Hanno un piccolo pubblico seduto e guardandoli esibirsi.")</f>
        <v>Hanno un piccolo pubblico seduto e guardandoli esibirsi.</v>
      </c>
    </row>
    <row r="12183">
      <c r="A12183" s="4" t="s">
        <v>15327</v>
      </c>
      <c r="B12183" s="4" t="s">
        <v>15328</v>
      </c>
      <c r="C12183" s="5" t="str">
        <f>IFERROR(__xludf.DUMMYFUNCTION("GOOGLETRANSLATE(B12183,""en"",""it"")"),"Un uomo vestito con un'uniforme blu sta combattendo contro un maschio vestito con un'uniforme rossa.")</f>
        <v>Un uomo vestito con un'uniforme blu sta combattendo contro un maschio vestito con un'uniforme rossa.</v>
      </c>
    </row>
    <row r="12184">
      <c r="A12184" s="4" t="s">
        <v>15327</v>
      </c>
      <c r="B12184" s="4" t="s">
        <v>15329</v>
      </c>
      <c r="C12184" s="5" t="str">
        <f>IFERROR(__xludf.DUMMYFUNCTION("GOOGLETRANSLATE(B12184,""en"",""it"")"),"L'uomo in rosso, lo raccoglie e lo lascia cadere nella partita di wrestling.")</f>
        <v>L'uomo in rosso, lo raccoglie e lo lascia cadere nella partita di wrestling.</v>
      </c>
    </row>
    <row r="12185">
      <c r="A12185" s="4" t="s">
        <v>15327</v>
      </c>
      <c r="B12185" s="4" t="s">
        <v>15330</v>
      </c>
      <c r="C12185" s="5" t="str">
        <f>IFERROR(__xludf.DUMMYFUNCTION("GOOGLETRANSLATE(B12185,""en"",""it"")"),"Dopo, l'arbitro cade e batte il tappetino che conta in basso la fine della partita.")</f>
        <v>Dopo, l'arbitro cade e batte il tappetino che conta in basso la fine della partita.</v>
      </c>
    </row>
    <row r="12186">
      <c r="A12186" s="4" t="s">
        <v>15331</v>
      </c>
      <c r="B12186" s="4" t="s">
        <v>15332</v>
      </c>
      <c r="C12186" s="5" t="str">
        <f>IFERROR(__xludf.DUMMYFUNCTION("GOOGLETRANSLATE(B12186,""en"",""it"")"),"Una giovane donna parla mentre sorride.")</f>
        <v>Una giovane donna parla mentre sorride.</v>
      </c>
    </row>
    <row r="12187">
      <c r="A12187" s="4" t="s">
        <v>15331</v>
      </c>
      <c r="B12187" s="4" t="s">
        <v>15333</v>
      </c>
      <c r="C12187" s="5" t="str">
        <f>IFERROR(__xludf.DUMMYFUNCTION("GOOGLETRANSLATE(B12187,""en"",""it"")"),"Stringe il lato dell'occhio destro e colpisce una lente a contatto.")</f>
        <v>Stringe il lato dell'occhio destro e colpisce una lente a contatto.</v>
      </c>
    </row>
    <row r="12188">
      <c r="A12188" s="4" t="s">
        <v>15331</v>
      </c>
      <c r="B12188" s="4" t="s">
        <v>15334</v>
      </c>
      <c r="C12188" s="5" t="str">
        <f>IFERROR(__xludf.DUMMYFUNCTION("GOOGLETRANSLATE(B12188,""en"",""it"")"),"Si muove sull'occhio sinistro e colpisce una lente a contatto.")</f>
        <v>Si muove sull'occhio sinistro e colpisce una lente a contatto.</v>
      </c>
    </row>
    <row r="12189">
      <c r="A12189" s="4" t="s">
        <v>15335</v>
      </c>
      <c r="B12189" s="4" t="s">
        <v>15336</v>
      </c>
      <c r="C12189" s="5" t="str">
        <f>IFERROR(__xludf.DUMMYFUNCTION("GOOGLETRANSLATE(B12189,""en"",""it"")"),"Un gruppo di giocatrici cammina su un campo dietro il loro allenatore.")</f>
        <v>Un gruppo di giocatrici cammina su un campo dietro il loro allenatore.</v>
      </c>
    </row>
    <row r="12190">
      <c r="A12190" s="4" t="s">
        <v>15335</v>
      </c>
      <c r="B12190" s="4" t="s">
        <v>15337</v>
      </c>
      <c r="C12190" s="5" t="str">
        <f>IFERROR(__xludf.DUMMYFUNCTION("GOOGLETRANSLATE(B12190,""en"",""it"")"),"Si impegnano in una partita di lacrosse, combattendo sulla palla con i loro pipistrelli.")</f>
        <v>Si impegnano in una partita di lacrosse, combattendo sulla palla con i loro pipistrelli.</v>
      </c>
    </row>
    <row r="12191">
      <c r="A12191" s="4" t="s">
        <v>15335</v>
      </c>
      <c r="B12191" s="4" t="s">
        <v>15338</v>
      </c>
      <c r="C12191" s="5" t="str">
        <f>IFERROR(__xludf.DUMMYFUNCTION("GOOGLETRANSLATE(B12191,""en"",""it"")"),"Le ragazze celebrano la loro vittoria con fiori e abbracci.")</f>
        <v>Le ragazze celebrano la loro vittoria con fiori e abbracci.</v>
      </c>
    </row>
    <row r="12192">
      <c r="A12192" s="4" t="s">
        <v>15339</v>
      </c>
      <c r="B12192" s="4" t="s">
        <v>15340</v>
      </c>
      <c r="C12192" s="5" t="str">
        <f>IFERROR(__xludf.DUMMYFUNCTION("GOOGLETRANSLATE(B12192,""en"",""it"")"),"Una ginnasta è vista in piedi con le braccia fuori e salta su una tavola.")</f>
        <v>Una ginnasta è vista in piedi con le braccia fuori e salta su una tavola.</v>
      </c>
    </row>
    <row r="12193">
      <c r="A12193" s="4" t="s">
        <v>15339</v>
      </c>
      <c r="B12193" s="4" t="s">
        <v>15341</v>
      </c>
      <c r="C12193" s="5" t="str">
        <f>IFERROR(__xludf.DUMMYFUNCTION("GOOGLETRANSLATE(B12193,""en"",""it"")"),"Quindi inizia a girarsi in giro mentre i giudici guardano dai lati.")</f>
        <v>Quindi inizia a girarsi in giro mentre i giudici guardano dai lati.</v>
      </c>
    </row>
    <row r="12194">
      <c r="A12194" s="4" t="s">
        <v>15339</v>
      </c>
      <c r="B12194" s="4" t="s">
        <v>15342</v>
      </c>
      <c r="C12194" s="5" t="str">
        <f>IFERROR(__xludf.DUMMYFUNCTION("GOOGLETRANSLATE(B12194,""en"",""it"")"),"Continua la sua routine e salta giù con le braccia.")</f>
        <v>Continua la sua routine e salta giù con le braccia.</v>
      </c>
    </row>
    <row r="12195">
      <c r="A12195" s="4" t="s">
        <v>15343</v>
      </c>
      <c r="B12195" s="6" t="s">
        <v>15344</v>
      </c>
      <c r="C12195" s="5" t="str">
        <f>IFERROR(__xludf.DUMMYFUNCTION("GOOGLETRANSLATE(B12195,""en"",""it"")"),"Un nuovo segmento conduce in clip di una donna che parla alla telecamera e alza un arco e una freccia.")</f>
        <v>Un nuovo segmento conduce in clip di una donna che parla alla telecamera e alza un arco e una freccia.</v>
      </c>
    </row>
    <row r="12196">
      <c r="A12196" s="4" t="s">
        <v>15343</v>
      </c>
      <c r="B12196" s="4" t="s">
        <v>15345</v>
      </c>
      <c r="C12196" s="5" t="str">
        <f>IFERROR(__xludf.DUMMYFUNCTION("GOOGLETRANSLATE(B12196,""en"",""it"")"),"La ragazza spara l'arco mentre parla ancora alla telecamera e piegando l'arco.")</f>
        <v>La ragazza spara l'arco mentre parla ancora alla telecamera e piegando l'arco.</v>
      </c>
    </row>
    <row r="12197">
      <c r="A12197" s="4" t="s">
        <v>15343</v>
      </c>
      <c r="B12197" s="4" t="s">
        <v>15346</v>
      </c>
      <c r="C12197" s="5" t="str">
        <f>IFERROR(__xludf.DUMMYFUNCTION("GOOGLETRANSLATE(B12197,""en"",""it"")"),"Continua a parlare mentre usa le mani e mostra le foto alla telecamera.")</f>
        <v>Continua a parlare mentre usa le mani e mostra le foto alla telecamera.</v>
      </c>
    </row>
    <row r="12198">
      <c r="A12198" s="4" t="s">
        <v>15347</v>
      </c>
      <c r="B12198" s="4" t="s">
        <v>15348</v>
      </c>
      <c r="C12198" s="5" t="str">
        <f>IFERROR(__xludf.DUMMYFUNCTION("GOOGLETRANSLATE(B12198,""en"",""it"")"),"Una ragazza balla mentre si siede in uno stand.")</f>
        <v>Una ragazza balla mentre si siede in uno stand.</v>
      </c>
    </row>
    <row r="12199">
      <c r="A12199" s="4" t="s">
        <v>15347</v>
      </c>
      <c r="B12199" s="4" t="s">
        <v>15349</v>
      </c>
      <c r="C12199" s="5" t="str">
        <f>IFERROR(__xludf.DUMMYFUNCTION("GOOGLETRANSLATE(B12199,""en"",""it"")"),"La ragazza mescola gli ingredienti insieme in una pentola.")</f>
        <v>La ragazza mescola gli ingredienti insieme in una pentola.</v>
      </c>
    </row>
    <row r="12200">
      <c r="A12200" s="4" t="s">
        <v>15347</v>
      </c>
      <c r="B12200" s="4" t="s">
        <v>15350</v>
      </c>
      <c r="C12200" s="5" t="str">
        <f>IFERROR(__xludf.DUMMYFUNCTION("GOOGLETRANSLATE(B12200,""en"",""it"")"),"La ragazza aggiunge ingredienti secchi alla pentola.")</f>
        <v>La ragazza aggiunge ingredienti secchi alla pentola.</v>
      </c>
    </row>
    <row r="12201">
      <c r="A12201" s="4" t="s">
        <v>15347</v>
      </c>
      <c r="B12201" s="4" t="s">
        <v>15351</v>
      </c>
      <c r="C12201" s="5" t="str">
        <f>IFERROR(__xludf.DUMMYFUNCTION("GOOGLETRANSLATE(B12201,""en"",""it"")"),"La ragazza aggiunge pomodoro e uova da un piatto alla pentola.")</f>
        <v>La ragazza aggiunge pomodoro e uova da un piatto alla pentola.</v>
      </c>
    </row>
    <row r="12202">
      <c r="A12202" s="4" t="s">
        <v>15347</v>
      </c>
      <c r="B12202" s="4" t="s">
        <v>15352</v>
      </c>
      <c r="C12202" s="5" t="str">
        <f>IFERROR(__xludf.DUMMYFUNCTION("GOOGLETRANSLATE(B12202,""en"",""it"")"),"Le ragazze salutano e si appoggiano allo stand.")</f>
        <v>Le ragazze salutano e si appoggiano allo stand.</v>
      </c>
    </row>
    <row r="12203">
      <c r="A12203" s="4" t="s">
        <v>15353</v>
      </c>
      <c r="B12203" s="4" t="s">
        <v>15354</v>
      </c>
      <c r="C12203" s="5" t="str">
        <f>IFERROR(__xludf.DUMMYFUNCTION("GOOGLETRANSLATE(B12203,""en"",""it"")"),"C'è un cavallo marrone legato fuori da un club di polo.")</f>
        <v>C'è un cavallo marrone legato fuori da un club di polo.</v>
      </c>
    </row>
    <row r="12204">
      <c r="A12204" s="4" t="s">
        <v>15353</v>
      </c>
      <c r="B12204" s="4" t="s">
        <v>15355</v>
      </c>
      <c r="C12204" s="5" t="str">
        <f>IFERROR(__xludf.DUMMYFUNCTION("GOOGLETRANSLATE(B12204,""en"",""it"")"),"Ci sono diversi fantini che suonano la polo sul campo in un evento.")</f>
        <v>Ci sono diversi fantini che suonano la polo sul campo in un evento.</v>
      </c>
    </row>
    <row r="12205">
      <c r="A12205" s="4" t="s">
        <v>15353</v>
      </c>
      <c r="B12205" s="4" t="s">
        <v>15356</v>
      </c>
      <c r="C12205" s="5" t="str">
        <f>IFERROR(__xludf.DUMMYFUNCTION("GOOGLETRANSLATE(B12205,""en"",""it"")"),"Ci sono anche diversi spettatori in piedi e guardano l'evento.")</f>
        <v>Ci sono anche diversi spettatori in piedi e guardano l'evento.</v>
      </c>
    </row>
    <row r="12206">
      <c r="A12206" s="4" t="s">
        <v>15353</v>
      </c>
      <c r="B12206" s="4" t="s">
        <v>15357</v>
      </c>
      <c r="C12206" s="5" t="str">
        <f>IFERROR(__xludf.DUMMYFUNCTION("GOOGLETRANSLATE(B12206,""en"",""it"")"),"Uno dei giocatori di polo è trotterellare sul cavallo attraverso il campo.")</f>
        <v>Uno dei giocatori di polo è trotterellare sul cavallo attraverso il campo.</v>
      </c>
    </row>
    <row r="12207">
      <c r="A12207" s="4" t="s">
        <v>15353</v>
      </c>
      <c r="B12207" s="4" t="s">
        <v>15358</v>
      </c>
      <c r="C12207" s="5" t="str">
        <f>IFERROR(__xludf.DUMMYFUNCTION("GOOGLETRANSLATE(B12207,""en"",""it"")"),"Un'altra partita di Polo si svolge in cui stanno guardando diversi spettatori.")</f>
        <v>Un'altra partita di Polo si svolge in cui stanno guardando diversi spettatori.</v>
      </c>
    </row>
    <row r="12208">
      <c r="A12208" s="4" t="s">
        <v>15353</v>
      </c>
      <c r="B12208" s="4" t="s">
        <v>15359</v>
      </c>
      <c r="C12208" s="5" t="str">
        <f>IFERROR(__xludf.DUMMYFUNCTION("GOOGLETRANSLATE(B12208,""en"",""it"")"),"Al termine dell'evento, il giudice Hands Awards ai vincitori.")</f>
        <v>Al termine dell'evento, il giudice Hands Awards ai vincitori.</v>
      </c>
    </row>
    <row r="12209">
      <c r="A12209" s="4" t="s">
        <v>15353</v>
      </c>
      <c r="B12209" s="4" t="s">
        <v>15360</v>
      </c>
      <c r="C12209" s="5" t="str">
        <f>IFERROR(__xludf.DUMMYFUNCTION("GOOGLETRANSLATE(B12209,""en"",""it"")"),"C'è una bandiera britannica che vola in alto sul campo.")</f>
        <v>C'è una bandiera britannica che vola in alto sul campo.</v>
      </c>
    </row>
    <row r="12210">
      <c r="A12210" s="4" t="s">
        <v>15361</v>
      </c>
      <c r="B12210" s="4" t="s">
        <v>15362</v>
      </c>
      <c r="C12210" s="5" t="str">
        <f>IFERROR(__xludf.DUMMYFUNCTION("GOOGLETRANSLATE(B12210,""en"",""it"")"),"Un ballerino di ventre cammina sul palco da dietro le tende.")</f>
        <v>Un ballerino di ventre cammina sul palco da dietro le tende.</v>
      </c>
    </row>
    <row r="12211">
      <c r="A12211" s="4" t="s">
        <v>15361</v>
      </c>
      <c r="B12211" s="4" t="s">
        <v>15363</v>
      </c>
      <c r="C12211" s="5" t="str">
        <f>IFERROR(__xludf.DUMMYFUNCTION("GOOGLETRANSLATE(B12211,""en"",""it"")"),"Il ballerino del ventre balla sul palco scuotendo i fianchi e il corpo.")</f>
        <v>Il ballerino del ventre balla sul palco scuotendo i fianchi e il corpo.</v>
      </c>
    </row>
    <row r="12212">
      <c r="A12212" s="4" t="s">
        <v>15361</v>
      </c>
      <c r="B12212" s="4" t="s">
        <v>15364</v>
      </c>
      <c r="C12212" s="5" t="str">
        <f>IFERROR(__xludf.DUMMYFUNCTION("GOOGLETRANSLATE(B12212,""en"",""it"")"),"Il ballerino del ventre gira in cerchi durante la performance.")</f>
        <v>Il ballerino del ventre gira in cerchi durante la performance.</v>
      </c>
    </row>
    <row r="12213">
      <c r="A12213" s="4" t="s">
        <v>15361</v>
      </c>
      <c r="B12213" s="4" t="s">
        <v>15365</v>
      </c>
      <c r="C12213" s="5" t="str">
        <f>IFERROR(__xludf.DUMMYFUNCTION("GOOGLETRANSLATE(B12213,""en"",""it"")"),"I ballerini si gira con le spalle al pubblico e balla.")</f>
        <v>I ballerini si gira con le spalle al pubblico e balla.</v>
      </c>
    </row>
    <row r="12214">
      <c r="A12214" s="4" t="s">
        <v>15361</v>
      </c>
      <c r="B12214" s="4" t="s">
        <v>15366</v>
      </c>
      <c r="C12214" s="5" t="str">
        <f>IFERROR(__xludf.DUMMYFUNCTION("GOOGLETRANSLATE(B12214,""en"",""it"")"),"Il ballerino si inchina alla fine della performance.")</f>
        <v>Il ballerino si inchina alla fine della performance.</v>
      </c>
    </row>
    <row r="12215">
      <c r="A12215" s="4" t="s">
        <v>15367</v>
      </c>
      <c r="B12215" s="4" t="s">
        <v>15368</v>
      </c>
      <c r="C12215" s="5" t="str">
        <f>IFERROR(__xludf.DUMMYFUNCTION("GOOGLETRANSLATE(B12215,""en"",""it"")"),"Due bambini sono in una macchina di litle che guardano un bambino che tiene un palo che colpisce un fulmine McQueen Piñata.")</f>
        <v>Due bambini sono in una macchina di litle che guardano un bambino che tiene un palo che colpisce un fulmine McQueen Piñata.</v>
      </c>
    </row>
    <row r="12216">
      <c r="A12216" s="4" t="s">
        <v>15367</v>
      </c>
      <c r="B12216" s="4" t="s">
        <v>15369</v>
      </c>
      <c r="C12216" s="5" t="str">
        <f>IFERROR(__xludf.DUMMYFUNCTION("GOOGLETRANSLATE(B12216,""en"",""it"")"),"Le persone sono riunite intorno al bambino piccolo.")</f>
        <v>Le persone sono riunite intorno al bambino piccolo.</v>
      </c>
    </row>
    <row r="12217">
      <c r="A12217" s="4" t="s">
        <v>15370</v>
      </c>
      <c r="B12217" s="4" t="s">
        <v>15371</v>
      </c>
      <c r="C12217" s="5" t="str">
        <f>IFERROR(__xludf.DUMMYFUNCTION("GOOGLETRANSLATE(B12217,""en"",""it"")"),"Ci sono due persone che parlano di palafitte usate da uomini acrobatici.")</f>
        <v>Ci sono due persone che parlano di palafitte usate da uomini acrobatici.</v>
      </c>
    </row>
    <row r="12218">
      <c r="A12218" s="4" t="s">
        <v>15370</v>
      </c>
      <c r="B12218" s="4" t="s">
        <v>15372</v>
      </c>
      <c r="C12218" s="5" t="str">
        <f>IFERROR(__xludf.DUMMYFUNCTION("GOOGLETRANSLATE(B12218,""en"",""it"")"),"Sono in piedi su una strada vicino a diversi club e ristoranti.")</f>
        <v>Sono in piedi su una strada vicino a diversi club e ristoranti.</v>
      </c>
    </row>
    <row r="12219">
      <c r="A12219" s="4" t="s">
        <v>15370</v>
      </c>
      <c r="B12219" s="4" t="s">
        <v>15373</v>
      </c>
      <c r="C12219" s="5" t="str">
        <f>IFERROR(__xludf.DUMMYFUNCTION("GOOGLETRANSLATE(B12219,""en"",""it"")"),"Uno degli uomini sta dimostrando come le trampoli sono usate in acrobazie.")</f>
        <v>Uno degli uomini sta dimostrando come le trampoli sono usate in acrobazie.</v>
      </c>
    </row>
    <row r="12220">
      <c r="A12220" s="4" t="s">
        <v>15370</v>
      </c>
      <c r="B12220" s="6" t="s">
        <v>15374</v>
      </c>
      <c r="C12220" s="5" t="str">
        <f>IFERROR(__xludf.DUMMYFUNCTION("GOOGLETRANSLATE(B12220,""en"",""it"")"),"Henry, il ragazzo vestito con la camicia bianca mostra quanto in alto può saltare con le trampoli ed eseguire acrobazie.")</f>
        <v>Henry, il ragazzo vestito con la camicia bianca mostra quanto in alto può saltare con le trampoli ed eseguire acrobazie.</v>
      </c>
    </row>
    <row r="12221">
      <c r="A12221" s="4" t="s">
        <v>15370</v>
      </c>
      <c r="B12221" s="4" t="s">
        <v>15375</v>
      </c>
      <c r="C12221" s="5" t="str">
        <f>IFERROR(__xludf.DUMMYFUNCTION("GOOGLETRANSLATE(B12221,""en"",""it"")"),"Mostra numerosi trucchi su come salta in alto e su panchine e tavoli.")</f>
        <v>Mostra numerosi trucchi su come salta in alto e su panchine e tavoli.</v>
      </c>
    </row>
    <row r="12222">
      <c r="A12222" s="4" t="s">
        <v>15370</v>
      </c>
      <c r="B12222" s="4" t="s">
        <v>15376</v>
      </c>
      <c r="C12222" s="5" t="str">
        <f>IFERROR(__xludf.DUMMYFUNCTION("GOOGLETRANSLATE(B12222,""en"",""it"")"),"Mostra come usa le abilità di salto del montante di potere per le strade e nel parco.")</f>
        <v>Mostra come usa le abilità di salto del montante di potere per le strade e nel parco.</v>
      </c>
    </row>
    <row r="12223">
      <c r="A12223" s="4" t="s">
        <v>15377</v>
      </c>
      <c r="B12223" s="6" t="s">
        <v>15378</v>
      </c>
      <c r="C12223" s="5" t="str">
        <f>IFERROR(__xludf.DUMMYFUNCTION("GOOGLETRANSLATE(B12223,""en"",""it"")"),"Una donna viene vista eseguire una routine di danza del ventre su un palco con fiori appesi sullo sfondo.")</f>
        <v>Una donna viene vista eseguire una routine di danza del ventre su un palco con fiori appesi sullo sfondo.</v>
      </c>
    </row>
    <row r="12224">
      <c r="A12224" s="4" t="s">
        <v>15377</v>
      </c>
      <c r="B12224" s="4" t="s">
        <v>15379</v>
      </c>
      <c r="C12224" s="5" t="str">
        <f>IFERROR(__xludf.DUMMYFUNCTION("GOOGLETRANSLATE(B12224,""en"",""it"")"),"Continua a eseguire la sua routine e termina girando e posando.")</f>
        <v>Continua a eseguire la sua routine e termina girando e posando.</v>
      </c>
    </row>
    <row r="12225">
      <c r="A12225" s="4" t="s">
        <v>15380</v>
      </c>
      <c r="B12225" s="4" t="s">
        <v>15381</v>
      </c>
      <c r="C12225" s="5" t="str">
        <f>IFERROR(__xludf.DUMMYFUNCTION("GOOGLETRANSLATE(B12225,""en"",""it"")"),"Un folto gruppo di persone si vede in piedi e sorride l'uno all'altro.")</f>
        <v>Un folto gruppo di persone si vede in piedi e sorride l'uno all'altro.</v>
      </c>
    </row>
    <row r="12226">
      <c r="A12226" s="4" t="s">
        <v>15380</v>
      </c>
      <c r="B12226" s="4" t="s">
        <v>15382</v>
      </c>
      <c r="C12226" s="5" t="str">
        <f>IFERROR(__xludf.DUMMYFUNCTION("GOOGLETRANSLATE(B12226,""en"",""it"")"),"Cominciano a suonare una serie di tamburi mentre un altro uomo viene visto suonare il piano.")</f>
        <v>Cominciano a suonare una serie di tamburi mentre un altro uomo viene visto suonare il piano.</v>
      </c>
    </row>
    <row r="12227">
      <c r="A12227" s="4" t="s">
        <v>15380</v>
      </c>
      <c r="B12227" s="4" t="s">
        <v>15383</v>
      </c>
      <c r="C12227" s="5" t="str">
        <f>IFERROR(__xludf.DUMMYFUNCTION("GOOGLETRANSLATE(B12227,""en"",""it"")"),"Più persone sono viste sui lati che ballano con la musica.")</f>
        <v>Più persone sono viste sui lati che ballano con la musica.</v>
      </c>
    </row>
    <row r="12228">
      <c r="A12228" s="4" t="s">
        <v>15384</v>
      </c>
      <c r="B12228" s="6" t="s">
        <v>15385</v>
      </c>
      <c r="C12228" s="5" t="str">
        <f>IFERROR(__xludf.DUMMYFUNCTION("GOOGLETRANSLATE(B12228,""en"",""it"")"),"Una donna con camicia bianca è in piedi accanto a un lavello di metallo, tira fuori due piastre bianche, contenitore d'argento, filtro, cucchiai e la colloca sul contenitore di metallo accanto al lavandino.")</f>
        <v>Una donna con camicia bianca è in piedi accanto a un lavello di metallo, tira fuori due piastre bianche, contenitore d'argento, filtro, cucchiai e la colloca sul contenitore di metallo accanto al lavandino.</v>
      </c>
    </row>
    <row r="12229">
      <c r="A12229" s="4" t="s">
        <v>15384</v>
      </c>
      <c r="B12229" s="6" t="s">
        <v>15386</v>
      </c>
      <c r="C12229" s="5" t="str">
        <f>IFERROR(__xludf.DUMMYFUNCTION("GOOGLETRANSLATE(B12229,""en"",""it"")"),"Quindi prende una padella nel lavandino, mette l'acqua, mette il sapone liquido in una spugna, strofinalo su piastre, coperchio, contenitore, cucchiai.")</f>
        <v>Quindi prende una padella nel lavandino, mette l'acqua, mette il sapone liquido in una spugna, strofinalo su piastre, coperchio, contenitore, cucchiai.</v>
      </c>
    </row>
    <row r="12230">
      <c r="A12230" s="4" t="s">
        <v>15384</v>
      </c>
      <c r="B12230" s="6" t="s">
        <v>15387</v>
      </c>
      <c r="C12230" s="5" t="str">
        <f>IFERROR(__xludf.DUMMYFUNCTION("GOOGLETRANSLATE(B12230,""en"",""it"")"),"Si asciugò il bancone con la mano, quindi mise un cestino verde, sciacquava le piastre, il coperchio, il contenitore, la padella e li mise nel cestino.")</f>
        <v>Si asciugò il bancone con la mano, quindi mise un cestino verde, sciacquava le piastre, il coperchio, il contenitore, la padella e li mise nel cestino.</v>
      </c>
    </row>
    <row r="12231">
      <c r="A12231" s="4" t="s">
        <v>15388</v>
      </c>
      <c r="B12231" s="4" t="s">
        <v>15389</v>
      </c>
      <c r="C12231" s="5" t="str">
        <f>IFERROR(__xludf.DUMMYFUNCTION("GOOGLETRANSLATE(B12231,""en"",""it"")"),"Una donna con una camicia blu si trova accanto a un cavallo marrone.")</f>
        <v>Una donna con una camicia blu si trova accanto a un cavallo marrone.</v>
      </c>
    </row>
    <row r="12232">
      <c r="A12232" s="4" t="s">
        <v>15388</v>
      </c>
      <c r="B12232" s="4" t="s">
        <v>15390</v>
      </c>
      <c r="C12232" s="5" t="str">
        <f>IFERROR(__xludf.DUMMYFUNCTION("GOOGLETRANSLATE(B12232,""en"",""it"")"),"Si tiene sul piombo rosso dei cavalli.")</f>
        <v>Si tiene sul piombo rosso dei cavalli.</v>
      </c>
    </row>
    <row r="12233">
      <c r="A12233" s="4" t="s">
        <v>15388</v>
      </c>
      <c r="B12233" s="4" t="s">
        <v>15391</v>
      </c>
      <c r="C12233" s="5" t="str">
        <f>IFERROR(__xludf.DUMMYFUNCTION("GOOGLETRANSLATE(B12233,""en"",""it"")"),"Sta spazzolando il lato del cavallo.")</f>
        <v>Sta spazzolando il lato del cavallo.</v>
      </c>
    </row>
    <row r="12234">
      <c r="A12234" s="4" t="s">
        <v>15388</v>
      </c>
      <c r="B12234" s="4" t="s">
        <v>15392</v>
      </c>
      <c r="C12234" s="5" t="str">
        <f>IFERROR(__xludf.DUMMYFUNCTION("GOOGLETRANSLATE(B12234,""en"",""it"")"),"Si allontana dal cavallo e si china.")</f>
        <v>Si allontana dal cavallo e si china.</v>
      </c>
    </row>
    <row r="12235">
      <c r="A12235" s="4" t="s">
        <v>15388</v>
      </c>
      <c r="B12235" s="4" t="s">
        <v>15393</v>
      </c>
      <c r="C12235" s="5" t="str">
        <f>IFERROR(__xludf.DUMMYFUNCTION("GOOGLETRANSLATE(B12235,""en"",""it"")"),"Raccoglie un pennello più grande e inizia a spazzolare di nuovo il cavallo.")</f>
        <v>Raccoglie un pennello più grande e inizia a spazzolare di nuovo il cavallo.</v>
      </c>
    </row>
    <row r="12236">
      <c r="A12236" s="4" t="s">
        <v>15388</v>
      </c>
      <c r="B12236" s="4" t="s">
        <v>15394</v>
      </c>
      <c r="C12236" s="5" t="str">
        <f>IFERROR(__xludf.DUMMYFUNCTION("GOOGLETRANSLATE(B12236,""en"",""it"")"),"Sta spazzolando il viso e il collo dei cavalli.")</f>
        <v>Sta spazzolando il viso e il collo dei cavalli.</v>
      </c>
    </row>
    <row r="12237">
      <c r="A12237" s="4" t="s">
        <v>15388</v>
      </c>
      <c r="B12237" s="4" t="s">
        <v>15395</v>
      </c>
      <c r="C12237" s="5" t="str">
        <f>IFERROR(__xludf.DUMMYFUNCTION("GOOGLETRANSLATE(B12237,""en"",""it"")"),"Sta spazzolando la gamba anteriore dei cavalli con un movimento verso il basso.")</f>
        <v>Sta spazzolando la gamba anteriore dei cavalli con un movimento verso il basso.</v>
      </c>
    </row>
    <row r="12238">
      <c r="A12238" s="4" t="s">
        <v>15396</v>
      </c>
      <c r="B12238" s="4" t="s">
        <v>15397</v>
      </c>
      <c r="C12238" s="5" t="str">
        <f>IFERROR(__xludf.DUMMYFUNCTION("GOOGLETRANSLATE(B12238,""en"",""it"")"),"Un salone di tatuaggi ha mostrato un ciclo di motori blu metallici.")</f>
        <v>Un salone di tatuaggi ha mostrato un ciclo di motori blu metallici.</v>
      </c>
    </row>
    <row r="12239">
      <c r="A12239" s="4" t="s">
        <v>15396</v>
      </c>
      <c r="B12239" s="4" t="s">
        <v>15398</v>
      </c>
      <c r="C12239" s="5" t="str">
        <f>IFERROR(__xludf.DUMMYFUNCTION("GOOGLETRANSLATE(B12239,""en"",""it"")"),"C'è una persona seduta sul bancone del salone.")</f>
        <v>C'è una persona seduta sul bancone del salone.</v>
      </c>
    </row>
    <row r="12240">
      <c r="A12240" s="4" t="s">
        <v>15396</v>
      </c>
      <c r="B12240" s="4" t="s">
        <v>15399</v>
      </c>
      <c r="C12240" s="5" t="str">
        <f>IFERROR(__xludf.DUMMYFUNCTION("GOOGLETRANSLATE(B12240,""en"",""it"")"),"Un cliente entra e dà la foto di un bambino al tatuatore.")</f>
        <v>Un cliente entra e dà la foto di un bambino al tatuatore.</v>
      </c>
    </row>
    <row r="12241">
      <c r="A12241" s="4" t="s">
        <v>15396</v>
      </c>
      <c r="B12241" s="4" t="s">
        <v>15400</v>
      </c>
      <c r="C12241" s="5" t="str">
        <f>IFERROR(__xludf.DUMMYFUNCTION("GOOGLETRANSLATE(B12241,""en"",""it"")"),"Il tatuatore traccia l'immagine del bambino su una carta.")</f>
        <v>Il tatuatore traccia l'immagine del bambino su una carta.</v>
      </c>
    </row>
    <row r="12242">
      <c r="A12242" s="4" t="s">
        <v>15396</v>
      </c>
      <c r="B12242" s="4" t="s">
        <v>15401</v>
      </c>
      <c r="C12242" s="5" t="str">
        <f>IFERROR(__xludf.DUMMYFUNCTION("GOOGLETRANSLATE(B12242,""en"",""it"")"),"Quindi pulisce le braccia del cliente con l'alcol.")</f>
        <v>Quindi pulisce le braccia del cliente con l'alcol.</v>
      </c>
    </row>
    <row r="12243">
      <c r="A12243" s="4" t="s">
        <v>15396</v>
      </c>
      <c r="B12243" s="4" t="s">
        <v>15402</v>
      </c>
      <c r="C12243" s="5" t="str">
        <f>IFERROR(__xludf.DUMMYFUNCTION("GOOGLETRANSLATE(B12243,""en"",""it"")"),"L'artista indossa un paio di guanti in lattice e inizia a tatuare il braccio del cliente.")</f>
        <v>L'artista indossa un paio di guanti in lattice e inizia a tatuare il braccio del cliente.</v>
      </c>
    </row>
    <row r="12244">
      <c r="A12244" s="4" t="s">
        <v>15396</v>
      </c>
      <c r="B12244" s="6" t="s">
        <v>15403</v>
      </c>
      <c r="C12244" s="5" t="str">
        <f>IFERROR(__xludf.DUMMYFUNCTION("GOOGLETRANSLATE(B12244,""en"",""it"")"),"Replica l'immagine tracciata dall'immagine sul braccio del cliente insieme ad alcuni design aggiuntivi.")</f>
        <v>Replica l'immagine tracciata dall'immagine sul braccio del cliente insieme ad alcuni design aggiuntivi.</v>
      </c>
    </row>
    <row r="12245">
      <c r="A12245" s="4" t="s">
        <v>15396</v>
      </c>
      <c r="B12245" s="4" t="s">
        <v>15404</v>
      </c>
      <c r="C12245" s="5" t="str">
        <f>IFERROR(__xludf.DUMMYFUNCTION("GOOGLETRANSLATE(B12245,""en"",""it"")"),"Quindi scatta una foto del braccio tatuato del cliente su un cellulare.")</f>
        <v>Quindi scatta una foto del braccio tatuato del cliente su un cellulare.</v>
      </c>
    </row>
    <row r="12246">
      <c r="A12246" s="4" t="s">
        <v>15405</v>
      </c>
      <c r="B12246" s="6" t="s">
        <v>15406</v>
      </c>
      <c r="C12246" s="5" t="str">
        <f>IFERROR(__xludf.DUMMYFUNCTION("GOOGLETRANSLATE(B12246,""en"",""it"")"),"Un folto gruppo di persone viene visto nuotare in una piscina che gioca mentre il video fa una pausa per mostrare i giocatori.")</f>
        <v>Un folto gruppo di persone viene visto nuotare in una piscina che gioca mentre il video fa una pausa per mostrare i giocatori.</v>
      </c>
    </row>
    <row r="12247">
      <c r="A12247" s="4" t="s">
        <v>15405</v>
      </c>
      <c r="B12247" s="6" t="s">
        <v>15407</v>
      </c>
      <c r="C12247" s="5" t="str">
        <f>IFERROR(__xludf.DUMMYFUNCTION("GOOGLETRANSLATE(B12247,""en"",""it"")"),"La fotocamera continua a panoramonare intorno ai giocatori che nuotano intorno alla piscina lanciando una palla e altri che reagiscono a margine.")</f>
        <v>La fotocamera continua a panoramonare intorno ai giocatori che nuotano intorno alla piscina lanciando una palla e altri che reagiscono a margine.</v>
      </c>
    </row>
    <row r="12248">
      <c r="A12248" s="4" t="s">
        <v>15408</v>
      </c>
      <c r="B12248" s="4" t="s">
        <v>15409</v>
      </c>
      <c r="C12248" s="5" t="str">
        <f>IFERROR(__xludf.DUMMYFUNCTION("GOOGLETRANSLATE(B12248,""en"",""it"")"),"Una persona salta nell'oceano e li vediamo essere tirati su una linea.")</f>
        <v>Una persona salta nell'oceano e li vediamo essere tirati su una linea.</v>
      </c>
    </row>
    <row r="12249">
      <c r="A12249" s="4" t="s">
        <v>15408</v>
      </c>
      <c r="B12249" s="4" t="s">
        <v>15410</v>
      </c>
      <c r="C12249" s="5" t="str">
        <f>IFERROR(__xludf.DUMMYFUNCTION("GOOGLETRANSLATE(B12249,""en"",""it"")"),"Vediamo diversi sott'acqua e vediamo SEALIFE e persone sulle barche.")</f>
        <v>Vediamo diversi sott'acqua e vediamo SEALIFE e persone sulle barche.</v>
      </c>
    </row>
    <row r="12250">
      <c r="A12250" s="4" t="s">
        <v>15408</v>
      </c>
      <c r="B12250" s="4" t="s">
        <v>15411</v>
      </c>
      <c r="C12250" s="5" t="str">
        <f>IFERROR(__xludf.DUMMYFUNCTION("GOOGLETRANSLATE(B12250,""en"",""it"")"),"Una persona con una macchina fotografica in testa salta dalla barca in acqua.")</f>
        <v>Una persona con una macchina fotografica in testa salta dalla barca in acqua.</v>
      </c>
    </row>
    <row r="12251">
      <c r="A12251" s="4" t="s">
        <v>15408</v>
      </c>
      <c r="B12251" s="4" t="s">
        <v>15412</v>
      </c>
      <c r="C12251" s="5" t="str">
        <f>IFERROR(__xludf.DUMMYFUNCTION("GOOGLETRANSLATE(B12251,""en"",""it"")"),"Due uomini salutano e vediamo SEALIFE tra cui un delfino che nuota accanto alla barca.")</f>
        <v>Due uomini salutano e vediamo SEALIFE tra cui un delfino che nuota accanto alla barca.</v>
      </c>
    </row>
    <row r="12252">
      <c r="A12252" s="4" t="s">
        <v>15408</v>
      </c>
      <c r="B12252" s="4" t="s">
        <v>15413</v>
      </c>
      <c r="C12252" s="5" t="str">
        <f>IFERROR(__xludf.DUMMYFUNCTION("GOOGLETRANSLATE(B12252,""en"",""it"")"),"Una signora finge di picchiare un uomo colpendolo in testa mentre era sott'acqua.")</f>
        <v>Una signora finge di picchiare un uomo colpendolo in testa mentre era sott'acqua.</v>
      </c>
    </row>
    <row r="12253">
      <c r="A12253" s="4" t="s">
        <v>15408</v>
      </c>
      <c r="B12253" s="4" t="s">
        <v>777</v>
      </c>
      <c r="C12253" s="5" t="str">
        <f>IFERROR(__xludf.DUMMYFUNCTION("GOOGLETRANSLATE(B12253,""en"",""it"")"),"Vediamo la schermata del titolo finale.")</f>
        <v>Vediamo la schermata del titolo finale.</v>
      </c>
    </row>
    <row r="12254">
      <c r="A12254" s="4" t="s">
        <v>15414</v>
      </c>
      <c r="B12254" s="4" t="s">
        <v>15415</v>
      </c>
      <c r="C12254" s="5" t="str">
        <f>IFERROR(__xludf.DUMMYFUNCTION("GOOGLETRANSLATE(B12254,""en"",""it"")"),"Una donna con una camicia rosa si infila lungo una pista e salta nella sabbia.")</f>
        <v>Una donna con una camicia rosa si infila lungo una pista e salta nella sabbia.</v>
      </c>
    </row>
    <row r="12255">
      <c r="A12255" s="4" t="s">
        <v>15414</v>
      </c>
      <c r="B12255" s="4" t="s">
        <v>15416</v>
      </c>
      <c r="C12255" s="5" t="str">
        <f>IFERROR(__xludf.DUMMYFUNCTION("GOOGLETRANSLATE(B12255,""en"",""it"")"),"Un replay del suo salto viene mostrato più volte.")</f>
        <v>Un replay del suo salto viene mostrato più volte.</v>
      </c>
    </row>
    <row r="12256">
      <c r="A12256" s="4" t="s">
        <v>15414</v>
      </c>
      <c r="B12256" s="4" t="s">
        <v>15417</v>
      </c>
      <c r="C12256" s="5" t="str">
        <f>IFERROR(__xludf.DUMMYFUNCTION("GOOGLETRANSLATE(B12256,""en"",""it"")"),"Si allontana sull'erba.")</f>
        <v>Si allontana sull'erba.</v>
      </c>
    </row>
    <row r="12257">
      <c r="A12257" s="4" t="s">
        <v>15418</v>
      </c>
      <c r="B12257" s="6" t="s">
        <v>15419</v>
      </c>
      <c r="C12257" s="5" t="str">
        <f>IFERROR(__xludf.DUMMYFUNCTION("GOOGLETRANSLATE(B12257,""en"",""it"")"),"Due boy scout sono visti in piedi e parlano con un folto gruppo di persone e tentano di accendere una partita.")</f>
        <v>Due boy scout sono visti in piedi e parlano con un folto gruppo di persone e tentano di accendere una partita.</v>
      </c>
    </row>
    <row r="12258">
      <c r="A12258" s="4" t="s">
        <v>15418</v>
      </c>
      <c r="B12258" s="4" t="s">
        <v>15420</v>
      </c>
      <c r="C12258" s="5" t="str">
        <f>IFERROR(__xludf.DUMMYFUNCTION("GOOGLETRANSLATE(B12258,""en"",""it"")"),"Uno si coppa le mani e crea una fiamma usando l'ossigeno e mette la fiamma in una fossa.")</f>
        <v>Uno si coppa le mani e crea una fiamma usando l'ossigeno e mette la fiamma in una fossa.</v>
      </c>
    </row>
    <row r="12259">
      <c r="A12259" s="4" t="s">
        <v>15421</v>
      </c>
      <c r="B12259" s="4" t="s">
        <v>15422</v>
      </c>
      <c r="C12259" s="5" t="str">
        <f>IFERROR(__xludf.DUMMYFUNCTION("GOOGLETRANSLATE(B12259,""en"",""it"")"),"Una donna in spiaggia parla alla telecamera.")</f>
        <v>Una donna in spiaggia parla alla telecamera.</v>
      </c>
    </row>
    <row r="12260">
      <c r="A12260" s="4" t="s">
        <v>15421</v>
      </c>
      <c r="B12260" s="4" t="s">
        <v>15423</v>
      </c>
      <c r="C12260" s="5" t="str">
        <f>IFERROR(__xludf.DUMMYFUNCTION("GOOGLETRANSLATE(B12260,""en"",""it"")"),"La telecamera panoramica avanti e indietro per mostrare l'attività di altri bagnanti intorno alla donna.")</f>
        <v>La telecamera panoramica avanti e indietro per mostrare l'attività di altri bagnanti intorno alla donna.</v>
      </c>
    </row>
    <row r="12261">
      <c r="A12261" s="4" t="s">
        <v>15421</v>
      </c>
      <c r="B12261" s="4" t="s">
        <v>15424</v>
      </c>
      <c r="C12261" s="5" t="str">
        <f>IFERROR(__xludf.DUMMYFUNCTION("GOOGLETRANSLATE(B12261,""en"",""it"")"),"La donna scarica un secchio di sabbia sulla spiaggia.")</f>
        <v>La donna scarica un secchio di sabbia sulla spiaggia.</v>
      </c>
    </row>
    <row r="12262">
      <c r="A12262" s="4" t="s">
        <v>15421</v>
      </c>
      <c r="B12262" s="4" t="s">
        <v>15425</v>
      </c>
      <c r="C12262" s="5" t="str">
        <f>IFERROR(__xludf.DUMMYFUNCTION("GOOGLETRANSLATE(B12262,""en"",""it"")"),"La donna combina sabbia e acqua in un secchio.")</f>
        <v>La donna combina sabbia e acqua in un secchio.</v>
      </c>
    </row>
    <row r="12263">
      <c r="A12263" s="4" t="s">
        <v>15421</v>
      </c>
      <c r="B12263" s="4" t="s">
        <v>15426</v>
      </c>
      <c r="C12263" s="5" t="str">
        <f>IFERROR(__xludf.DUMMYFUNCTION("GOOGLETRANSLATE(B12263,""en"",""it"")"),"La donna scarica il composto sulla spiaggia.")</f>
        <v>La donna scarica il composto sulla spiaggia.</v>
      </c>
    </row>
    <row r="12264">
      <c r="A12264" s="4" t="s">
        <v>15427</v>
      </c>
      <c r="B12264" s="4" t="s">
        <v>15428</v>
      </c>
      <c r="C12264" s="5" t="str">
        <f>IFERROR(__xludf.DUMMYFUNCTION("GOOGLETRANSLATE(B12264,""en"",""it"")"),"Viene vista una donna parlare alla telecamera mentre si trova davanti a una bici da ginnastica.")</f>
        <v>Viene vista una donna parlare alla telecamera mentre si trova davanti a una bici da ginnastica.</v>
      </c>
    </row>
    <row r="12265">
      <c r="A12265" s="4" t="s">
        <v>15427</v>
      </c>
      <c r="B12265" s="4" t="s">
        <v>15429</v>
      </c>
      <c r="C12265" s="5" t="str">
        <f>IFERROR(__xludf.DUMMYFUNCTION("GOOGLETRANSLATE(B12265,""en"",""it"")"),"La donna continua a parlare e inizia a arrampicarsi sulla bici.")</f>
        <v>La donna continua a parlare e inizia a arrampicarsi sulla bici.</v>
      </c>
    </row>
    <row r="12266">
      <c r="A12266" s="4" t="s">
        <v>15427</v>
      </c>
      <c r="B12266" s="6" t="s">
        <v>15430</v>
      </c>
      <c r="C12266" s="5" t="str">
        <f>IFERROR(__xludf.DUMMYFUNCTION("GOOGLETRANSLATE(B12266,""en"",""it"")"),"Si gira in bici mentre è seduta e in piedi e la telecamera che si faceva in giro per la ragazza.")</f>
        <v>Si gira in bici mentre è seduta e in piedi e la telecamera che si faceva in giro per la ragazza.</v>
      </c>
    </row>
    <row r="12267">
      <c r="A12267" s="4" t="s">
        <v>15431</v>
      </c>
      <c r="B12267" s="6" t="s">
        <v>15432</v>
      </c>
      <c r="C12267" s="5" t="str">
        <f>IFERROR(__xludf.DUMMYFUNCTION("GOOGLETRANSLATE(B12267,""en"",""it"")"),"Due persone vengono viste correre all'interno di una stanza chiusa al coperto e colpire una palla da tennis con racchette.")</f>
        <v>Due persone vengono viste correre all'interno di una stanza chiusa al coperto e colpire una palla da tennis con racchette.</v>
      </c>
    </row>
    <row r="12268">
      <c r="A12268" s="4" t="s">
        <v>15431</v>
      </c>
      <c r="B12268" s="4" t="s">
        <v>15433</v>
      </c>
      <c r="C12268" s="5" t="str">
        <f>IFERROR(__xludf.DUMMYFUNCTION("GOOGLETRANSLATE(B12268,""en"",""it"")"),"Gli uomini continuano a correre a colpire la palla dal muro.")</f>
        <v>Gli uomini continuano a correre a colpire la palla dal muro.</v>
      </c>
    </row>
    <row r="12269">
      <c r="A12269" s="4" t="s">
        <v>15434</v>
      </c>
      <c r="B12269" s="4" t="s">
        <v>15435</v>
      </c>
      <c r="C12269" s="5" t="str">
        <f>IFERROR(__xludf.DUMMYFUNCTION("GOOGLETRANSLATE(B12269,""en"",""it"")"),"Una donna grassa e una donna sottile parlano faccia a faccia in un salone di bellezza.")</f>
        <v>Una donna grassa e una donna sottile parlano faccia a faccia in un salone di bellezza.</v>
      </c>
    </row>
    <row r="12270">
      <c r="A12270" s="4" t="s">
        <v>15434</v>
      </c>
      <c r="B12270" s="4" t="s">
        <v>15436</v>
      </c>
      <c r="C12270" s="5" t="str">
        <f>IFERROR(__xludf.DUMMYFUNCTION("GOOGLETRANSLATE(B12270,""en"",""it"")"),"La donna grassa parla e la donna sottile si lava e si mette la crema in faccia.")</f>
        <v>La donna grassa parla e la donna sottile si lava e si mette la crema in faccia.</v>
      </c>
    </row>
    <row r="12271">
      <c r="A12271" s="4" t="s">
        <v>15434</v>
      </c>
      <c r="B12271" s="4" t="s">
        <v>15437</v>
      </c>
      <c r="C12271" s="5" t="str">
        <f>IFERROR(__xludf.DUMMYFUNCTION("GOOGLETRANSLATE(B12271,""en"",""it"")"),"Quindi, la donna grassa passa un dispositivo sulla faccia della donna sottile.")</f>
        <v>Quindi, la donna grassa passa un dispositivo sulla faccia della donna sottile.</v>
      </c>
    </row>
    <row r="12272">
      <c r="A12272" s="4" t="s">
        <v>15438</v>
      </c>
      <c r="B12272" s="4" t="s">
        <v>15439</v>
      </c>
      <c r="C12272" s="5" t="str">
        <f>IFERROR(__xludf.DUMMYFUNCTION("GOOGLETRANSLATE(B12272,""en"",""it"")"),"Un folto gruppo di persone è visto in palestra con due persone di fronte.")</f>
        <v>Un folto gruppo di persone è visto in palestra con due persone di fronte.</v>
      </c>
    </row>
    <row r="12273">
      <c r="A12273" s="4" t="s">
        <v>15438</v>
      </c>
      <c r="B12273" s="4" t="s">
        <v>15440</v>
      </c>
      <c r="C12273" s="5" t="str">
        <f>IFERROR(__xludf.DUMMYFUNCTION("GOOGLETRANSLATE(B12273,""en"",""it"")"),"Il gruppo inizia quindi a ballare l'uno con l'altro e conduce in un altro folto gruppo di persone.")</f>
        <v>Il gruppo inizia quindi a ballare l'uno con l'altro e conduce in un altro folto gruppo di persone.</v>
      </c>
    </row>
    <row r="12274">
      <c r="A12274" s="4" t="s">
        <v>15438</v>
      </c>
      <c r="B12274" s="4" t="s">
        <v>15441</v>
      </c>
      <c r="C12274" s="5" t="str">
        <f>IFERROR(__xludf.DUMMYFUNCTION("GOOGLETRANSLATE(B12274,""en"",""it"")"),"Le persone vengono viste parlare alla telecamera e portano a loro saltare alla fine.")</f>
        <v>Le persone vengono viste parlare alla telecamera e portano a loro saltare alla fine.</v>
      </c>
    </row>
    <row r="12275">
      <c r="A12275" s="4" t="s">
        <v>15442</v>
      </c>
      <c r="B12275" s="4" t="s">
        <v>15443</v>
      </c>
      <c r="C12275" s="5" t="str">
        <f>IFERROR(__xludf.DUMMYFUNCTION("GOOGLETRANSLATE(B12275,""en"",""it"")"),"Un uomo parla alla fotocamera che segue uno schermo introduttivo per pattinare.")</f>
        <v>Un uomo parla alla fotocamera che segue uno schermo introduttivo per pattinare.</v>
      </c>
    </row>
    <row r="12276">
      <c r="A12276" s="4" t="s">
        <v>15442</v>
      </c>
      <c r="B12276" s="6" t="s">
        <v>15444</v>
      </c>
      <c r="C12276" s="5" t="str">
        <f>IFERROR(__xludf.DUMMYFUNCTION("GOOGLETRANSLATE(B12276,""en"",""it"")"),"Continua a parlare con la telecamera ed esegue vari trucchi sulla sua tavola in tutta l'area.")</f>
        <v>Continua a parlare con la telecamera ed esegue vari trucchi sulla sua tavola in tutta l'area.</v>
      </c>
    </row>
    <row r="12277">
      <c r="A12277" s="4" t="s">
        <v>15445</v>
      </c>
      <c r="B12277" s="4" t="s">
        <v>15446</v>
      </c>
      <c r="C12277" s="5" t="str">
        <f>IFERROR(__xludf.DUMMYFUNCTION("GOOGLETRANSLATE(B12277,""en"",""it"")"),"Quest'uomo viene mostrato suonare un tamburo all'inizio del video e dice alcune parole.")</f>
        <v>Quest'uomo viene mostrato suonare un tamburo all'inizio del video e dice alcune parole.</v>
      </c>
    </row>
    <row r="12278">
      <c r="A12278" s="4" t="s">
        <v>15445</v>
      </c>
      <c r="B12278" s="6" t="s">
        <v>15447</v>
      </c>
      <c r="C12278" s="5" t="str">
        <f>IFERROR(__xludf.DUMMYFUNCTION("GOOGLETRANSLATE(B12278,""en"",""it"")"),"Quindi un uomo si siede accanto a lui e inizia a suonare la sua chitarra e l'altro uomo si unisce lentamente per iniziare a suonare la batteria.")</f>
        <v>Quindi un uomo si siede accanto a lui e inizia a suonare la sua chitarra e l'altro uomo si unisce lentamente per iniziare a suonare la batteria.</v>
      </c>
    </row>
    <row r="12279">
      <c r="A12279" s="4" t="s">
        <v>15445</v>
      </c>
      <c r="B12279" s="6" t="s">
        <v>15448</v>
      </c>
      <c r="C12279" s="5" t="str">
        <f>IFERROR(__xludf.DUMMYFUNCTION("GOOGLETRANSLATE(B12279,""en"",""it"")"),"L'uomo che è seduto accanto all'uomo che suona la batteria non solo suona la chitarra, ma sta cantando anche lui.")</f>
        <v>L'uomo che è seduto accanto all'uomo che suona la batteria non solo suona la chitarra, ma sta cantando anche lui.</v>
      </c>
    </row>
    <row r="12280">
      <c r="A12280" s="4" t="s">
        <v>15449</v>
      </c>
      <c r="B12280" s="4" t="s">
        <v>15450</v>
      </c>
      <c r="C12280" s="5" t="str">
        <f>IFERROR(__xludf.DUMMYFUNCTION("GOOGLETRANSLATE(B12280,""en"",""it"")"),"Vediamo un uomo che cammina sul ghiaccio.")</f>
        <v>Vediamo un uomo che cammina sul ghiaccio.</v>
      </c>
    </row>
    <row r="12281">
      <c r="A12281" s="4" t="s">
        <v>15449</v>
      </c>
      <c r="B12281" s="4" t="s">
        <v>15451</v>
      </c>
      <c r="C12281" s="5" t="str">
        <f>IFERROR(__xludf.DUMMYFUNCTION("GOOGLETRANSLATE(B12281,""en"",""it"")"),"Si muove un bastone e estrae una lenza da un buco.")</f>
        <v>Si muove un bastone e estrae una lenza da un buco.</v>
      </c>
    </row>
    <row r="12282">
      <c r="A12282" s="4" t="s">
        <v>15449</v>
      </c>
      <c r="B12282" s="4" t="s">
        <v>15452</v>
      </c>
      <c r="C12282" s="5" t="str">
        <f>IFERROR(__xludf.DUMMYFUNCTION("GOOGLETRANSLATE(B12282,""en"",""it"")"),"L'uomo tira fuori un pesce dal buco.")</f>
        <v>L'uomo tira fuori un pesce dal buco.</v>
      </c>
    </row>
    <row r="12283">
      <c r="A12283" s="4" t="s">
        <v>15449</v>
      </c>
      <c r="B12283" s="4" t="s">
        <v>15453</v>
      </c>
      <c r="C12283" s="5" t="str">
        <f>IFERROR(__xludf.DUMMYFUNCTION("GOOGLETRANSLATE(B12283,""en"",""it"")"),"Prende il pesce e ci mostra il pesce.")</f>
        <v>Prende il pesce e ci mostra il pesce.</v>
      </c>
    </row>
    <row r="12284">
      <c r="A12284" s="4" t="s">
        <v>15449</v>
      </c>
      <c r="B12284" s="4" t="s">
        <v>15454</v>
      </c>
      <c r="C12284" s="5" t="str">
        <f>IFERROR(__xludf.DUMMYFUNCTION("GOOGLETRANSLATE(B12284,""en"",""it"")"),"L'uomo quindi getta il pesce nel buco.")</f>
        <v>L'uomo quindi getta il pesce nel buco.</v>
      </c>
    </row>
    <row r="12285">
      <c r="A12285" s="4" t="s">
        <v>15455</v>
      </c>
      <c r="B12285" s="4" t="s">
        <v>15456</v>
      </c>
      <c r="C12285" s="5" t="str">
        <f>IFERROR(__xludf.DUMMYFUNCTION("GOOGLETRANSLATE(B12285,""en"",""it"")"),"Una donna in uomo in abbigliamento nero si trova insieme e discute di una routine.")</f>
        <v>Una donna in uomo in abbigliamento nero si trova insieme e discute di una routine.</v>
      </c>
    </row>
    <row r="12286">
      <c r="A12286" s="4" t="s">
        <v>15455</v>
      </c>
      <c r="B12286" s="4" t="s">
        <v>15457</v>
      </c>
      <c r="C12286" s="5" t="str">
        <f>IFERROR(__xludf.DUMMYFUNCTION("GOOGLETRANSLATE(B12286,""en"",""it"")"),"La donna inizia a ballare e va in cerchio alcune volte mentre l'uomo osserva.")</f>
        <v>La donna inizia a ballare e va in cerchio alcune volte mentre l'uomo osserva.</v>
      </c>
    </row>
    <row r="12287">
      <c r="A12287" s="4" t="s">
        <v>15455</v>
      </c>
      <c r="B12287" s="6" t="s">
        <v>15458</v>
      </c>
      <c r="C12287" s="5" t="str">
        <f>IFERROR(__xludf.DUMMYFUNCTION("GOOGLETRANSLATE(B12287,""en"",""it"")"),"La donna continua a discutere della routine, quindi tiene le mani con il suo partner e iniziano a ballare insieme.")</f>
        <v>La donna continua a discutere della routine, quindi tiene le mani con il suo partner e iniziano a ballare insieme.</v>
      </c>
    </row>
    <row r="12288">
      <c r="A12288" s="4" t="s">
        <v>15459</v>
      </c>
      <c r="B12288" s="4" t="s">
        <v>15460</v>
      </c>
      <c r="C12288" s="5" t="str">
        <f>IFERROR(__xludf.DUMMYFUNCTION("GOOGLETRANSLATE(B12288,""en"",""it"")"),"Una donna sta parlando di come preparare un'insalata.")</f>
        <v>Una donna sta parlando di come preparare un'insalata.</v>
      </c>
    </row>
    <row r="12289">
      <c r="A12289" s="4" t="s">
        <v>15459</v>
      </c>
      <c r="B12289" s="4" t="s">
        <v>15461</v>
      </c>
      <c r="C12289" s="5" t="str">
        <f>IFERROR(__xludf.DUMMYFUNCTION("GOOGLETRANSLATE(B12289,""en"",""it"")"),"Rompe la lattuga in parti più piccole.")</f>
        <v>Rompe la lattuga in parti più piccole.</v>
      </c>
    </row>
    <row r="12290">
      <c r="A12290" s="4" t="s">
        <v>15462</v>
      </c>
      <c r="B12290" s="6" t="s">
        <v>15463</v>
      </c>
      <c r="C12290" s="5" t="str">
        <f>IFERROR(__xludf.DUMMYFUNCTION("GOOGLETRANSLATE(B12290,""en"",""it"")"),"Un uomo e un bambino piccolo vengono visti spingere un tosaerba attraverso il cortile mentre il ragazzo sorride alla telecamera.")</f>
        <v>Un uomo e un bambino piccolo vengono visti spingere un tosaerba attraverso il cortile mentre il ragazzo sorride alla telecamera.</v>
      </c>
    </row>
    <row r="12291">
      <c r="A12291" s="4" t="s">
        <v>15462</v>
      </c>
      <c r="B12291" s="6" t="s">
        <v>15464</v>
      </c>
      <c r="C12291" s="5" t="str">
        <f>IFERROR(__xludf.DUMMYFUNCTION("GOOGLETRANSLATE(B12291,""en"",""it"")"),"L'uomo e il ragazzo continuano a spingere il tosaerba lungo il cortile mentre si fermano a guardare la telecamera.")</f>
        <v>L'uomo e il ragazzo continuano a spingere il tosaerba lungo il cortile mentre si fermano a guardare la telecamera.</v>
      </c>
    </row>
    <row r="12292">
      <c r="A12292" s="4" t="s">
        <v>15465</v>
      </c>
      <c r="B12292" s="6" t="s">
        <v>15466</v>
      </c>
      <c r="C12292" s="5" t="str">
        <f>IFERROR(__xludf.DUMMYFUNCTION("GOOGLETRANSLATE(B12292,""en"",""it"")"),"Tutti gli ingredienti di cui hai bisogno per fare la torta al burro sono sul bancone, qualcuno indica ogni ingrediente e inizia a afferrarli.")</f>
        <v>Tutti gli ingredienti di cui hai bisogno per fare la torta al burro sono sul bancone, qualcuno indica ogni ingrediente e inizia a afferrarli.</v>
      </c>
    </row>
    <row r="12293">
      <c r="A12293" s="4" t="s">
        <v>15465</v>
      </c>
      <c r="B12293" s="4" t="s">
        <v>15467</v>
      </c>
      <c r="C12293" s="5" t="str">
        <f>IFERROR(__xludf.DUMMYFUNCTION("GOOGLETRANSLATE(B12293,""en"",""it"")"),"Usano un mixer per mescolare alcuni degli ingredienti insieme.")</f>
        <v>Usano un mixer per mescolare alcuni degli ingredienti insieme.</v>
      </c>
    </row>
    <row r="12294">
      <c r="A12294" s="4" t="s">
        <v>15465</v>
      </c>
      <c r="B12294" s="6" t="s">
        <v>15468</v>
      </c>
      <c r="C12294" s="5" t="str">
        <f>IFERROR(__xludf.DUMMYFUNCTION("GOOGLETRANSLATE(B12294,""en"",""it"")"),"Aggiungono le uova in una per una mentre il mixer sta ancora mescolando e poi lo spegne e ne aggiungono un po 'di più.")</f>
        <v>Aggiungono le uova in una per una mentre il mixer sta ancora mescolando e poi lo spegne e ne aggiungono un po 'di più.</v>
      </c>
    </row>
    <row r="12295">
      <c r="A12295" s="4" t="s">
        <v>15465</v>
      </c>
      <c r="B12295" s="6" t="s">
        <v>15469</v>
      </c>
      <c r="C12295" s="5" t="str">
        <f>IFERROR(__xludf.DUMMYFUNCTION("GOOGLETRANSLATE(B12295,""en"",""it"")"),"Usano una padella e ci mettono un fondo e ci raccolgono la miscela prima di prepararsi finalmente a metterlo nel forno per cuocere.")</f>
        <v>Usano una padella e ci mettono un fondo e ci raccolgono la miscela prima di prepararsi finalmente a metterlo nel forno per cuocere.</v>
      </c>
    </row>
    <row r="12296">
      <c r="A12296" s="4" t="s">
        <v>15470</v>
      </c>
      <c r="B12296" s="4" t="s">
        <v>15471</v>
      </c>
      <c r="C12296" s="5" t="str">
        <f>IFERROR(__xludf.DUMMYFUNCTION("GOOGLETRANSLATE(B12296,""en"",""it"")"),"Si vede un primo piano di una crepa.")</f>
        <v>Si vede un primo piano di una crepa.</v>
      </c>
    </row>
    <row r="12297">
      <c r="A12297" s="4" t="s">
        <v>15470</v>
      </c>
      <c r="B12297" s="4" t="s">
        <v>15472</v>
      </c>
      <c r="C12297" s="5" t="str">
        <f>IFERROR(__xludf.DUMMYFUNCTION("GOOGLETRANSLATE(B12297,""en"",""it"")"),"Una donna è fuori, spalando la neve.")</f>
        <v>Una donna è fuori, spalando la neve.</v>
      </c>
    </row>
    <row r="12298">
      <c r="A12298" s="4" t="s">
        <v>15470</v>
      </c>
      <c r="B12298" s="4" t="s">
        <v>15473</v>
      </c>
      <c r="C12298" s="5" t="str">
        <f>IFERROR(__xludf.DUMMYFUNCTION("GOOGLETRANSLATE(B12298,""en"",""it"")"),"Un cane agita la coda mentre cerca di aiutare.")</f>
        <v>Un cane agita la coda mentre cerca di aiutare.</v>
      </c>
    </row>
    <row r="12299">
      <c r="A12299" s="4" t="s">
        <v>15474</v>
      </c>
      <c r="B12299" s="4" t="s">
        <v>15475</v>
      </c>
      <c r="C12299" s="5" t="str">
        <f>IFERROR(__xludf.DUMMYFUNCTION("GOOGLETRANSLATE(B12299,""en"",""it"")"),"Un gruppo di uomini è fuori in un grande campo sui cavalli che giocano a polo.")</f>
        <v>Un gruppo di uomini è fuori in un grande campo sui cavalli che giocano a polo.</v>
      </c>
    </row>
    <row r="12300">
      <c r="A12300" s="4" t="s">
        <v>15474</v>
      </c>
      <c r="B12300" s="6" t="s">
        <v>15476</v>
      </c>
      <c r="C12300" s="5" t="str">
        <f>IFERROR(__xludf.DUMMYFUNCTION("GOOGLETRANSLATE(B12300,""en"",""it"")"),"Il giocatore numero tre porta la palla fino alla fine del campo e viene quindi trascinato da altre quattro persone.")</f>
        <v>Il giocatore numero tre porta la palla fino alla fine del campo e viene quindi trascinato da altre quattro persone.</v>
      </c>
    </row>
    <row r="12301">
      <c r="A12301" s="4" t="s">
        <v>15474</v>
      </c>
      <c r="B12301" s="6" t="s">
        <v>15477</v>
      </c>
      <c r="C12301" s="5" t="str">
        <f>IFERROR(__xludf.DUMMYFUNCTION("GOOGLETRANSLATE(B12301,""en"",""it"")"),"Una volta che lasciano la fine del campo, tutti iniziano a tornare al centro dall'arbitro su un cavallo.")</f>
        <v>Una volta che lasciano la fine del campo, tutti iniziano a tornare al centro dall'arbitro su un cavallo.</v>
      </c>
    </row>
    <row r="12302">
      <c r="A12302" s="4" t="s">
        <v>15478</v>
      </c>
      <c r="B12302" s="4" t="s">
        <v>15479</v>
      </c>
      <c r="C12302" s="5" t="str">
        <f>IFERROR(__xludf.DUMMYFUNCTION("GOOGLETRANSLATE(B12302,""en"",""it"")"),"Vengono mostrati diversi colpi di segni e paesaggi e conducono in una persona che lega una corda.")</f>
        <v>Vengono mostrati diversi colpi di segni e paesaggi e conducono in una persona che lega una corda.</v>
      </c>
    </row>
    <row r="12303">
      <c r="A12303" s="4" t="s">
        <v>15478</v>
      </c>
      <c r="B12303" s="6" t="s">
        <v>15480</v>
      </c>
      <c r="C12303" s="5" t="str">
        <f>IFERROR(__xludf.DUMMYFUNCTION("GOOGLETRANSLATE(B12303,""en"",""it"")"),"Diverse persone vengono viste vagare e sorridere alla telecamera e arrampicarsi su una roccia.")</f>
        <v>Diverse persone vengono viste vagare e sorridere alla telecamera e arrampicarsi su una roccia.</v>
      </c>
    </row>
    <row r="12304">
      <c r="A12304" s="4" t="s">
        <v>15478</v>
      </c>
      <c r="B12304" s="4" t="s">
        <v>15481</v>
      </c>
      <c r="C12304" s="5" t="str">
        <f>IFERROR(__xludf.DUMMYFUNCTION("GOOGLETRANSLATE(B12304,""en"",""it"")"),"Si vedono più persone arrampicarsi sulla roccia e un uomo che si arrampica.")</f>
        <v>Si vedono più persone arrampicarsi sulla roccia e un uomo che si arrampica.</v>
      </c>
    </row>
    <row r="12305">
      <c r="A12305" s="4" t="s">
        <v>15482</v>
      </c>
      <c r="B12305" s="4" t="s">
        <v>15483</v>
      </c>
      <c r="C12305" s="5" t="str">
        <f>IFERROR(__xludf.DUMMYFUNCTION("GOOGLETRANSLATE(B12305,""en"",""it"")"),"Le due persone tengono le mani per iniziare una partita di wrestling del braccio.")</f>
        <v>Le due persone tengono le mani per iniziare una partita di wrestling del braccio.</v>
      </c>
    </row>
    <row r="12306">
      <c r="A12306" s="4" t="s">
        <v>15482</v>
      </c>
      <c r="B12306" s="4" t="s">
        <v>15484</v>
      </c>
      <c r="C12306" s="5" t="str">
        <f>IFERROR(__xludf.DUMMYFUNCTION("GOOGLETRANSLATE(B12306,""en"",""it"")"),"Le donne competono in una partita di wrestling del braccio seduto a un tavolo.")</f>
        <v>Le donne competono in una partita di wrestling del braccio seduto a un tavolo.</v>
      </c>
    </row>
    <row r="12307">
      <c r="A12307" s="4" t="s">
        <v>15482</v>
      </c>
      <c r="B12307" s="4" t="s">
        <v>15485</v>
      </c>
      <c r="C12307" s="5" t="str">
        <f>IFERROR(__xludf.DUMMYFUNCTION("GOOGLETRANSLATE(B12307,""en"",""it"")"),"Le donne cambiano le mani e il braccio lottano con le mani sinistra.")</f>
        <v>Le donne cambiano le mani e il braccio lottano con le mani sinistra.</v>
      </c>
    </row>
    <row r="12308">
      <c r="A12308" s="4" t="s">
        <v>15482</v>
      </c>
      <c r="B12308" s="4" t="s">
        <v>15486</v>
      </c>
      <c r="C12308" s="5" t="str">
        <f>IFERROR(__xludf.DUMMYFUNCTION("GOOGLETRANSLATE(B12308,""en"",""it"")"),"Le donne hanno una rivincita con le loro mani dominanti.")</f>
        <v>Le donne hanno una rivincita con le loro mani dominanti.</v>
      </c>
    </row>
    <row r="12309">
      <c r="A12309" s="4" t="s">
        <v>15482</v>
      </c>
      <c r="B12309" s="4" t="s">
        <v>15487</v>
      </c>
      <c r="C12309" s="5" t="str">
        <f>IFERROR(__xludf.DUMMYFUNCTION("GOOGLETRANSLATE(B12309,""en"",""it"")"),"I due atleti flettono le braccia.")</f>
        <v>I due atleti flettono le braccia.</v>
      </c>
    </row>
    <row r="12310">
      <c r="A12310" s="4" t="s">
        <v>15488</v>
      </c>
      <c r="B12310" s="6" t="s">
        <v>15489</v>
      </c>
      <c r="C12310" s="5" t="str">
        <f>IFERROR(__xludf.DUMMYFUNCTION("GOOGLETRANSLATE(B12310,""en"",""it"")"),"C'è un subacqueo che indossa tronchi da nuoto gialli si sta immergendo da una tavola da immersione in una piscina interna.")</f>
        <v>C'è un subacqueo che indossa tronchi da nuoto gialli si sta immergendo da una tavola da immersione in una piscina interna.</v>
      </c>
    </row>
    <row r="12311">
      <c r="A12311" s="4" t="s">
        <v>15488</v>
      </c>
      <c r="B12311" s="6" t="s">
        <v>15490</v>
      </c>
      <c r="C12311" s="5" t="str">
        <f>IFERROR(__xludf.DUMMYFUNCTION("GOOGLETRANSLATE(B12311,""en"",""it"")"),"Salta giù dal tabellone più volte mentre alcune altre persone nuotano tranquillamente in piscina.")</f>
        <v>Salta giù dal tabellone più volte mentre alcune altre persone nuotano tranquillamente in piscina.</v>
      </c>
    </row>
    <row r="12312">
      <c r="A12312" s="4" t="s">
        <v>15488</v>
      </c>
      <c r="B12312" s="6" t="s">
        <v>15491</v>
      </c>
      <c r="C12312" s="5" t="str">
        <f>IFERROR(__xludf.DUMMYFUNCTION("GOOGLETRANSLATE(B12312,""en"",""it"")"),"Fa le immersioni all'indietro e in avanti si muove mentre un altro giovane lo guarda immergersi in piscina.")</f>
        <v>Fa le immersioni all'indietro e in avanti si muove mentre un altro giovane lo guarda immergersi in piscina.</v>
      </c>
    </row>
    <row r="12313">
      <c r="A12313" s="4" t="s">
        <v>15488</v>
      </c>
      <c r="B12313" s="4" t="s">
        <v>15492</v>
      </c>
      <c r="C12313" s="5" t="str">
        <f>IFERROR(__xludf.DUMMYFUNCTION("GOOGLETRANSLATE(B12313,""en"",""it"")"),"Quindi un altro giovane si tuffa dalla stessa scheda di immersione.")</f>
        <v>Quindi un altro giovane si tuffa dalla stessa scheda di immersione.</v>
      </c>
    </row>
    <row r="12314">
      <c r="A12314" s="4" t="s">
        <v>15488</v>
      </c>
      <c r="B12314" s="4" t="s">
        <v>15493</v>
      </c>
      <c r="C12314" s="5" t="str">
        <f>IFERROR(__xludf.DUMMYFUNCTION("GOOGLETRANSLATE(B12314,""en"",""it"")"),"Entrambi fanno la mossa per le immersioni in avanti.")</f>
        <v>Entrambi fanno la mossa per le immersioni in avanti.</v>
      </c>
    </row>
    <row r="12315">
      <c r="A12315" s="4" t="s">
        <v>15488</v>
      </c>
      <c r="B12315" s="4" t="s">
        <v>15494</v>
      </c>
      <c r="C12315" s="5" t="str">
        <f>IFERROR(__xludf.DUMMYFUNCTION("GOOGLETRANSLATE(B12315,""en"",""it"")"),"Un altro sub sale molto più in alto e si tuffa direttamente per andare in piscina.")</f>
        <v>Un altro sub sale molto più in alto e si tuffa direttamente per andare in piscina.</v>
      </c>
    </row>
    <row r="12316">
      <c r="A12316" s="4" t="s">
        <v>15495</v>
      </c>
      <c r="B12316" s="4" t="s">
        <v>15496</v>
      </c>
      <c r="C12316" s="5" t="str">
        <f>IFERROR(__xludf.DUMMYFUNCTION("GOOGLETRANSLATE(B12316,""en"",""it"")"),"Una ragazza è vista seduta davanti a una macchina fotografica e presenta vari oggetti per unghie alla telecamera.")</f>
        <v>Una ragazza è vista seduta davanti a una macchina fotografica e presenta vari oggetti per unghie alla telecamera.</v>
      </c>
    </row>
    <row r="12317">
      <c r="A12317" s="4" t="s">
        <v>15495</v>
      </c>
      <c r="B12317" s="6" t="s">
        <v>15497</v>
      </c>
      <c r="C12317" s="5" t="str">
        <f>IFERROR(__xludf.DUMMYFUNCTION("GOOGLETRANSLATE(B12317,""en"",""it"")"),"Quindi inizia a dipingere accuratamente tutte le unghie e termina il video con varie foto di lei e delle sue unghie.")</f>
        <v>Quindi inizia a dipingere accuratamente tutte le unghie e termina il video con varie foto di lei e delle sue unghie.</v>
      </c>
    </row>
    <row r="12318">
      <c r="A12318" s="4" t="s">
        <v>15498</v>
      </c>
      <c r="B12318" s="4" t="s">
        <v>15499</v>
      </c>
      <c r="C12318" s="5" t="str">
        <f>IFERROR(__xludf.DUMMYFUNCTION("GOOGLETRANSLATE(B12318,""en"",""it"")"),"Un ragazzino in una camicia gialla tiene in mano un bastone giallo arricciata.")</f>
        <v>Un ragazzino in una camicia gialla tiene in mano un bastone giallo arricciata.</v>
      </c>
    </row>
    <row r="12319">
      <c r="A12319" s="4" t="s">
        <v>15498</v>
      </c>
      <c r="B12319" s="6" t="s">
        <v>15500</v>
      </c>
      <c r="C12319" s="5" t="str">
        <f>IFERROR(__xludf.DUMMYFUNCTION("GOOGLETRANSLATE(B12319,""en"",""it"")"),"Cerca di colpire il Batman Pinata sospeso, gli mancava poi lo colpì, gira intorno alla Pinata per colpirlo.")</f>
        <v>Cerca di colpire il Batman Pinata sospeso, gli mancava poi lo colpì, gira intorno alla Pinata per colpirlo.</v>
      </c>
    </row>
    <row r="12320">
      <c r="A12320" s="4" t="s">
        <v>15501</v>
      </c>
      <c r="B12320" s="4" t="s">
        <v>15502</v>
      </c>
      <c r="C12320" s="5" t="str">
        <f>IFERROR(__xludf.DUMMYFUNCTION("GOOGLETRANSLATE(B12320,""en"",""it"")"),"Una persona sta spingendo un love di neve attraverso la neve.")</f>
        <v>Una persona sta spingendo un love di neve attraverso la neve.</v>
      </c>
    </row>
    <row r="12321">
      <c r="A12321" s="4" t="s">
        <v>15501</v>
      </c>
      <c r="B12321" s="4" t="s">
        <v>15503</v>
      </c>
      <c r="C12321" s="5" t="str">
        <f>IFERROR(__xludf.DUMMYFUNCTION("GOOGLETRANSLATE(B12321,""en"",""it"")"),"Stanno cancellando un percorso lungo un marciapiede.")</f>
        <v>Stanno cancellando un percorso lungo un marciapiede.</v>
      </c>
    </row>
    <row r="12322">
      <c r="A12322" s="4" t="s">
        <v>15501</v>
      </c>
      <c r="B12322" s="4" t="s">
        <v>15504</v>
      </c>
      <c r="C12322" s="5" t="str">
        <f>IFERROR(__xludf.DUMMYFUNCTION("GOOGLETRANSLATE(B12322,""en"",""it"")"),"Un'auto bianca si tuffa per strada.")</f>
        <v>Un'auto bianca si tuffa per strada.</v>
      </c>
    </row>
    <row r="12323">
      <c r="A12323" s="4" t="s">
        <v>15505</v>
      </c>
      <c r="B12323" s="6" t="s">
        <v>15506</v>
      </c>
      <c r="C12323" s="5" t="str">
        <f>IFERROR(__xludf.DUMMYFUNCTION("GOOGLETRANSLATE(B12323,""en"",""it"")"),"Un piccolo gruppo di persone si vede che tirano il pacciame in un cestino quando un altro viene visto rastrellare l'albero.")</f>
        <v>Un piccolo gruppo di persone si vede che tirano il pacciame in un cestino quando un altro viene visto rastrellare l'albero.</v>
      </c>
    </row>
    <row r="12324">
      <c r="A12324" s="4" t="s">
        <v>15505</v>
      </c>
      <c r="B12324" s="6" t="s">
        <v>15507</v>
      </c>
      <c r="C12324" s="5" t="str">
        <f>IFERROR(__xludf.DUMMYFUNCTION("GOOGLETRANSLATE(B12324,""en"",""it"")"),"Continuano a raschiare dal pacciame mentre misurano l'area e conducono in uno che taglia l'erba attorno all'albero.")</f>
        <v>Continuano a raschiare dal pacciame mentre misurano l'area e conducono in uno che taglia l'erba attorno all'albero.</v>
      </c>
    </row>
    <row r="12325">
      <c r="A12325" s="4" t="s">
        <v>15505</v>
      </c>
      <c r="B12325" s="4" t="s">
        <v>15508</v>
      </c>
      <c r="C12325" s="5" t="str">
        <f>IFERROR(__xludf.DUMMYFUNCTION("GOOGLETRANSLATE(B12325,""en"",""it"")"),"Dispongono in modo più sporco mentre alcuni affermano le borse dietro di loro.")</f>
        <v>Dispongono in modo più sporco mentre alcuni affermano le borse dietro di loro.</v>
      </c>
    </row>
    <row r="12326">
      <c r="A12326" s="4" t="s">
        <v>15509</v>
      </c>
      <c r="B12326" s="4" t="s">
        <v>15510</v>
      </c>
      <c r="C12326" s="5" t="str">
        <f>IFERROR(__xludf.DUMMYFUNCTION("GOOGLETRANSLATE(B12326,""en"",""it"")"),"Una persona tiene una tazza di caffè in una pozza di koi.")</f>
        <v>Una persona tiene una tazza di caffè in una pozza di koi.</v>
      </c>
    </row>
    <row r="12327">
      <c r="A12327" s="4" t="s">
        <v>15509</v>
      </c>
      <c r="B12327" s="4" t="s">
        <v>15511</v>
      </c>
      <c r="C12327" s="5" t="str">
        <f>IFERROR(__xludf.DUMMYFUNCTION("GOOGLETRANSLATE(B12327,""en"",""it"")"),"Il Koi nuota verso la tazza di caffè.")</f>
        <v>Il Koi nuota verso la tazza di caffè.</v>
      </c>
    </row>
    <row r="12328">
      <c r="A12328" s="4" t="s">
        <v>15512</v>
      </c>
      <c r="B12328" s="4" t="s">
        <v>15513</v>
      </c>
      <c r="C12328" s="5" t="str">
        <f>IFERROR(__xludf.DUMMYFUNCTION("GOOGLETRANSLATE(B12328,""en"",""it"")"),"Una donna è su un campo che gioca con un bastone.")</f>
        <v>Una donna è su un campo che gioca con un bastone.</v>
      </c>
    </row>
    <row r="12329">
      <c r="A12329" s="4" t="s">
        <v>15512</v>
      </c>
      <c r="B12329" s="4" t="s">
        <v>15514</v>
      </c>
      <c r="C12329" s="5" t="str">
        <f>IFERROR(__xludf.DUMMYFUNCTION("GOOGLETRANSLATE(B12329,""en"",""it"")"),"Colpisce una palla in campo.")</f>
        <v>Colpisce una palla in campo.</v>
      </c>
    </row>
    <row r="12330">
      <c r="A12330" s="4" t="s">
        <v>15512</v>
      </c>
      <c r="B12330" s="4" t="s">
        <v>15515</v>
      </c>
      <c r="C12330" s="5" t="str">
        <f>IFERROR(__xludf.DUMMYFUNCTION("GOOGLETRANSLATE(B12330,""en"",""it"")"),"Dimostra come oscillare e colpire la palla.")</f>
        <v>Dimostra come oscillare e colpire la palla.</v>
      </c>
    </row>
    <row r="12331">
      <c r="A12331" s="4" t="s">
        <v>15516</v>
      </c>
      <c r="B12331" s="4" t="s">
        <v>15517</v>
      </c>
      <c r="C12331" s="5" t="str">
        <f>IFERROR(__xludf.DUMMYFUNCTION("GOOGLETRANSLATE(B12331,""en"",""it"")"),"Un uomo corre su un raggio e lo salta più volte.")</f>
        <v>Un uomo corre su un raggio e lo salta più volte.</v>
      </c>
    </row>
    <row r="12332">
      <c r="A12332" s="4" t="s">
        <v>15516</v>
      </c>
      <c r="B12332" s="4" t="s">
        <v>15518</v>
      </c>
      <c r="C12332" s="5" t="str">
        <f>IFERROR(__xludf.DUMMYFUNCTION("GOOGLETRANSLATE(B12332,""en"",""it"")"),"Fa almeno sei tentativi.")</f>
        <v>Fa almeno sei tentativi.</v>
      </c>
    </row>
    <row r="12333">
      <c r="A12333" s="4" t="s">
        <v>15519</v>
      </c>
      <c r="B12333" s="4" t="s">
        <v>15520</v>
      </c>
      <c r="C12333" s="5" t="str">
        <f>IFERROR(__xludf.DUMMYFUNCTION("GOOGLETRANSLATE(B12333,""en"",""it"")"),"Donne in body ballano insieme in una linea.")</f>
        <v>Donne in body ballano insieme in una linea.</v>
      </c>
    </row>
    <row r="12334">
      <c r="A12334" s="4" t="s">
        <v>15519</v>
      </c>
      <c r="B12334" s="4" t="s">
        <v>15521</v>
      </c>
      <c r="C12334" s="5" t="str">
        <f>IFERROR(__xludf.DUMMYFUNCTION("GOOGLETRANSLATE(B12334,""en"",""it"")"),"Le donne saltano in piscina.")</f>
        <v>Le donne saltano in piscina.</v>
      </c>
    </row>
    <row r="12335">
      <c r="A12335" s="4" t="s">
        <v>15519</v>
      </c>
      <c r="B12335" s="4" t="s">
        <v>15522</v>
      </c>
      <c r="C12335" s="5" t="str">
        <f>IFERROR(__xludf.DUMMYFUNCTION("GOOGLETRANSLATE(B12335,""en"",""it"")"),"Le donne sincronizzano la danza in piscina.")</f>
        <v>Le donne sincronizzano la danza in piscina.</v>
      </c>
    </row>
    <row r="12336">
      <c r="A12336" s="4" t="s">
        <v>15519</v>
      </c>
      <c r="B12336" s="4" t="s">
        <v>15523</v>
      </c>
      <c r="C12336" s="5" t="str">
        <f>IFERROR(__xludf.DUMMYFUNCTION("GOOGLETRANSLATE(B12336,""en"",""it"")"),"Gli annunciatori parlano alla telecamera.")</f>
        <v>Gli annunciatori parlano alla telecamera.</v>
      </c>
    </row>
    <row r="12337">
      <c r="A12337" s="4" t="s">
        <v>15519</v>
      </c>
      <c r="B12337" s="4" t="s">
        <v>15524</v>
      </c>
      <c r="C12337" s="5" t="str">
        <f>IFERROR(__xludf.DUMMYFUNCTION("GOOGLETRANSLATE(B12337,""en"",""it"")"),"Gli uomini al fianco del biliardo parlano.")</f>
        <v>Gli uomini al fianco del biliardo parlano.</v>
      </c>
    </row>
    <row r="12338">
      <c r="A12338" s="4" t="s">
        <v>15519</v>
      </c>
      <c r="B12338" s="4" t="s">
        <v>15525</v>
      </c>
      <c r="C12338" s="5" t="str">
        <f>IFERROR(__xludf.DUMMYFUNCTION("GOOGLETRANSLATE(B12338,""en"",""it"")"),"L'uomo in giallo parla alla telecamera.")</f>
        <v>L'uomo in giallo parla alla telecamera.</v>
      </c>
    </row>
    <row r="12339">
      <c r="A12339" s="4" t="s">
        <v>15519</v>
      </c>
      <c r="B12339" s="4" t="s">
        <v>15526</v>
      </c>
      <c r="C12339" s="5" t="str">
        <f>IFERROR(__xludf.DUMMYFUNCTION("GOOGLETRANSLATE(B12339,""en"",""it"")"),"L'uomo in body rosa salta fuori dalla piscina.")</f>
        <v>L'uomo in body rosa salta fuori dalla piscina.</v>
      </c>
    </row>
    <row r="12340">
      <c r="A12340" s="4" t="s">
        <v>15527</v>
      </c>
      <c r="B12340" s="4" t="s">
        <v>15528</v>
      </c>
      <c r="C12340" s="5" t="str">
        <f>IFERROR(__xludf.DUMMYFUNCTION("GOOGLETRANSLATE(B12340,""en"",""it"")"),"Un ragazzo si trova su un campo con un tiro messo in mano.")</f>
        <v>Un ragazzo si trova su un campo con un tiro messo in mano.</v>
      </c>
    </row>
    <row r="12341">
      <c r="A12341" s="4" t="s">
        <v>15527</v>
      </c>
      <c r="B12341" s="4" t="s">
        <v>15529</v>
      </c>
      <c r="C12341" s="5" t="str">
        <f>IFERROR(__xludf.DUMMYFUNCTION("GOOGLETRANSLATE(B12341,""en"",""it"")"),"Il ragazzo inizia a girare.")</f>
        <v>Il ragazzo inizia a girare.</v>
      </c>
    </row>
    <row r="12342">
      <c r="A12342" s="4" t="s">
        <v>15527</v>
      </c>
      <c r="B12342" s="4" t="s">
        <v>15530</v>
      </c>
      <c r="C12342" s="5" t="str">
        <f>IFERROR(__xludf.DUMMYFUNCTION("GOOGLETRANSLATE(B12342,""en"",""it"")"),"Il ragazzo lancia il tiro messo.")</f>
        <v>Il ragazzo lancia il tiro messo.</v>
      </c>
    </row>
    <row r="12343">
      <c r="A12343" s="4" t="s">
        <v>15527</v>
      </c>
      <c r="B12343" s="4" t="s">
        <v>15531</v>
      </c>
      <c r="C12343" s="5" t="str">
        <f>IFERROR(__xludf.DUMMYFUNCTION("GOOGLETRANSLATE(B12343,""en"",""it"")"),"Gli spin e lancia un altro colpo messo.")</f>
        <v>Gli spin e lancia un altro colpo messo.</v>
      </c>
    </row>
    <row r="12344">
      <c r="A12344" s="4" t="s">
        <v>15532</v>
      </c>
      <c r="B12344" s="6" t="s">
        <v>15533</v>
      </c>
      <c r="C12344" s="5" t="str">
        <f>IFERROR(__xludf.DUMMYFUNCTION("GOOGLETRANSLATE(B12344,""en"",""it"")"),"Una società di ristrutturazione di mobili pubblicizza i loro servizi mostrando diverse case e strumenti che hanno lavorato e utilizzato e quale tipo di lavoro svolgono.")</f>
        <v>Una società di ristrutturazione di mobili pubblicizza i loro servizi mostrando diverse case e strumenti che hanno lavorato e utilizzato e quale tipo di lavoro svolgono.</v>
      </c>
    </row>
    <row r="12345">
      <c r="A12345" s="4" t="s">
        <v>15532</v>
      </c>
      <c r="B12345" s="4" t="s">
        <v>15534</v>
      </c>
      <c r="C12345" s="5" t="str">
        <f>IFERROR(__xludf.DUMMYFUNCTION("GOOGLETRANSLATE(B12345,""en"",""it"")"),"Un uomo in un grembiule mette con cura una sostanza colorata su un piatto.")</f>
        <v>Un uomo in un grembiule mette con cura una sostanza colorata su un piatto.</v>
      </c>
    </row>
    <row r="12346">
      <c r="A12346" s="4" t="s">
        <v>15532</v>
      </c>
      <c r="B12346" s="4" t="s">
        <v>15535</v>
      </c>
      <c r="C12346" s="5" t="str">
        <f>IFERROR(__xludf.DUMMYFUNCTION("GOOGLETRANSLATE(B12346,""en"",""it"")"),"L'uomo mescola due delle diverse sostanze colorate con un pennello.")</f>
        <v>L'uomo mescola due delle diverse sostanze colorate con un pennello.</v>
      </c>
    </row>
    <row r="12347">
      <c r="A12347" s="4" t="s">
        <v>15532</v>
      </c>
      <c r="B12347" s="6" t="s">
        <v>15536</v>
      </c>
      <c r="C12347" s="5" t="str">
        <f>IFERROR(__xludf.DUMMYFUNCTION("GOOGLETRANSLATE(B12347,""en"",""it"")"),"L'uomo tocca attentamente il pennello a un vecchio tavolo da colorare del tavolo che sono state danneggiate.")</f>
        <v>L'uomo tocca attentamente il pennello a un vecchio tavolo da colorare del tavolo che sono state danneggiate.</v>
      </c>
    </row>
    <row r="12348">
      <c r="A12348" s="4" t="s">
        <v>15532</v>
      </c>
      <c r="B12348" s="4" t="s">
        <v>15537</v>
      </c>
      <c r="C12348" s="5" t="str">
        <f>IFERROR(__xludf.DUMMYFUNCTION("GOOGLETRANSLATE(B12348,""en"",""it"")"),"Un uomo diverso in un grembiule e una maschera per il viso samerà un vecchio tavolo.")</f>
        <v>Un uomo diverso in un grembiule e una maschera per il viso samerà un vecchio tavolo.</v>
      </c>
    </row>
    <row r="12349">
      <c r="A12349" s="4" t="s">
        <v>15532</v>
      </c>
      <c r="B12349" s="4" t="s">
        <v>15538</v>
      </c>
      <c r="C12349" s="5" t="str">
        <f>IFERROR(__xludf.DUMMYFUNCTION("GOOGLETRANSLATE(B12349,""en"",""it"")"),"L'uomo quindi mette lo smalto su uno straccio e lucida il tavolo.")</f>
        <v>L'uomo quindi mette lo smalto su uno straccio e lucida il tavolo.</v>
      </c>
    </row>
    <row r="12350">
      <c r="A12350" s="4" t="s">
        <v>15532</v>
      </c>
      <c r="B12350" s="4" t="s">
        <v>15539</v>
      </c>
      <c r="C12350" s="5" t="str">
        <f>IFERROR(__xludf.DUMMYFUNCTION("GOOGLETRANSLATE(B12350,""en"",""it"")"),"L'uomo lucida un vecchio tavolo vecchio.")</f>
        <v>L'uomo lucida un vecchio tavolo vecchio.</v>
      </c>
    </row>
    <row r="12351">
      <c r="A12351" s="4" t="s">
        <v>15532</v>
      </c>
      <c r="B12351" s="4" t="s">
        <v>15540</v>
      </c>
      <c r="C12351" s="5" t="str">
        <f>IFERROR(__xludf.DUMMYFUNCTION("GOOGLETRANSLATE(B12351,""en"",""it"")"),"Vengono visualizzate informazioni su come raggiungere la società di restauro.")</f>
        <v>Vengono visualizzate informazioni su come raggiungere la società di restauro.</v>
      </c>
    </row>
    <row r="12352">
      <c r="A12352" s="4" t="s">
        <v>15541</v>
      </c>
      <c r="B12352" s="4" t="s">
        <v>15542</v>
      </c>
      <c r="C12352" s="5" t="str">
        <f>IFERROR(__xludf.DUMMYFUNCTION("GOOGLETRANSLATE(B12352,""en"",""it"")"),"Una donna è vista in piedi accanto a una ragazza seduta a lavarsi i capelli.")</f>
        <v>Una donna è vista in piedi accanto a una ragazza seduta a lavarsi i capelli.</v>
      </c>
    </row>
    <row r="12353">
      <c r="A12353" s="4" t="s">
        <v>15541</v>
      </c>
      <c r="B12353" s="4" t="s">
        <v>15543</v>
      </c>
      <c r="C12353" s="5" t="str">
        <f>IFERROR(__xludf.DUMMYFUNCTION("GOOGLETRANSLATE(B12353,""en"",""it"")"),"Un ragazzo guarda sul lato mentre la donna continua a spazzolare i capelli.")</f>
        <v>Un ragazzo guarda sul lato mentre la donna continua a spazzolare i capelli.</v>
      </c>
    </row>
    <row r="12354">
      <c r="A12354" s="4" t="s">
        <v>15541</v>
      </c>
      <c r="B12354" s="4" t="s">
        <v>15544</v>
      </c>
      <c r="C12354" s="5" t="str">
        <f>IFERROR(__xludf.DUMMYFUNCTION("GOOGLETRANSLATE(B12354,""en"",""it"")"),"La donna parla alla ragazza mentre le passa il pennello su tutti i capelli.")</f>
        <v>La donna parla alla ragazza mentre le passa il pennello su tutti i capelli.</v>
      </c>
    </row>
    <row r="12355">
      <c r="A12355" s="4" t="s">
        <v>15545</v>
      </c>
      <c r="B12355" s="6" t="s">
        <v>15546</v>
      </c>
      <c r="C12355" s="5" t="str">
        <f>IFERROR(__xludf.DUMMYFUNCTION("GOOGLETRANSLATE(B12355,""en"",""it"")"),"Un uomo vestito con un abito nero e una donna vestita con un abito nero balla insieme alla musica latina.")</f>
        <v>Un uomo vestito con un abito nero e una donna vestita con un abito nero balla insieme alla musica latina.</v>
      </c>
    </row>
    <row r="12356">
      <c r="A12356" s="4" t="s">
        <v>15545</v>
      </c>
      <c r="B12356" s="4" t="s">
        <v>15547</v>
      </c>
      <c r="C12356" s="5" t="str">
        <f>IFERROR(__xludf.DUMMYFUNCTION("GOOGLETRANSLATE(B12356,""en"",""it"")"),"Stanno facendo una combinazione di ballo ballando e valzer.")</f>
        <v>Stanno facendo una combinazione di ballo ballando e valzer.</v>
      </c>
    </row>
    <row r="12357">
      <c r="A12357" s="4" t="s">
        <v>15545</v>
      </c>
      <c r="B12357" s="6" t="s">
        <v>15548</v>
      </c>
      <c r="C12357" s="5" t="str">
        <f>IFERROR(__xludf.DUMMYFUNCTION("GOOGLETRANSLATE(B12357,""en"",""it"")"),"Stanno ballando sul marciapiede di una città in cui ci sono diversi astanti che osservano e guardano ballare.")</f>
        <v>Stanno ballando sul marciapiede di una città in cui ci sono diversi astanti che osservano e guardano ballare.</v>
      </c>
    </row>
    <row r="12358">
      <c r="A12358" s="4" t="s">
        <v>15545</v>
      </c>
      <c r="B12358" s="4" t="s">
        <v>15549</v>
      </c>
      <c r="C12358" s="5" t="str">
        <f>IFERROR(__xludf.DUMMYFUNCTION("GOOGLETRANSLATE(B12358,""en"",""it"")"),"Continuano a ballare la mano nella mano alla musica.")</f>
        <v>Continuano a ballare la mano nella mano alla musica.</v>
      </c>
    </row>
    <row r="12359">
      <c r="A12359" s="4" t="s">
        <v>15545</v>
      </c>
      <c r="B12359" s="4" t="s">
        <v>15550</v>
      </c>
      <c r="C12359" s="5" t="str">
        <f>IFERROR(__xludf.DUMMYFUNCTION("GOOGLETRANSLATE(B12359,""en"",""it"")"),"Un gruppo di persone in piedi sulla destra inizia a applaudire.")</f>
        <v>Un gruppo di persone in piedi sulla destra inizia a applaudire.</v>
      </c>
    </row>
    <row r="12360">
      <c r="A12360" s="4" t="s">
        <v>15545</v>
      </c>
      <c r="B12360" s="4" t="s">
        <v>15551</v>
      </c>
      <c r="C12360" s="5" t="str">
        <f>IFERROR(__xludf.DUMMYFUNCTION("GOOGLETRANSLATE(B12360,""en"",""it"")"),"La coppia continua a turbinare e girare mentre la musica suona e più persone nella folla applaudono.")</f>
        <v>La coppia continua a turbinare e girare mentre la musica suona e più persone nella folla applaudono.</v>
      </c>
    </row>
    <row r="12361">
      <c r="A12361" s="4" t="s">
        <v>15545</v>
      </c>
      <c r="B12361" s="4" t="s">
        <v>15552</v>
      </c>
      <c r="C12361" s="5" t="str">
        <f>IFERROR(__xludf.DUMMYFUNCTION("GOOGLETRANSLATE(B12361,""en"",""it"")"),"La signora finalmente salta tra le braccia dell'uomo mentre la musica gira al termine.")</f>
        <v>La signora finalmente salta tra le braccia dell'uomo mentre la musica gira al termine.</v>
      </c>
    </row>
    <row r="12362">
      <c r="A12362" s="4" t="s">
        <v>15545</v>
      </c>
      <c r="B12362" s="4" t="s">
        <v>15553</v>
      </c>
      <c r="C12362" s="5" t="str">
        <f>IFERROR(__xludf.DUMMYFUNCTION("GOOGLETRANSLATE(B12362,""en"",""it"")"),"La folla esulta e applaud è forte la coppia.")</f>
        <v>La folla esulta e applaud è forte la coppia.</v>
      </c>
    </row>
    <row r="12363">
      <c r="A12363" s="4" t="s">
        <v>15554</v>
      </c>
      <c r="B12363" s="6" t="s">
        <v>15555</v>
      </c>
      <c r="C12363" s="5" t="str">
        <f>IFERROR(__xludf.DUMMYFUNCTION("GOOGLETRANSLATE(B12363,""en"",""it"")"),"Come Expo sta dimostrando come preparare un'insalata di tre fagioli con fagioli neri, fagioli e fagioli.")</f>
        <v>Come Expo sta dimostrando come preparare un'insalata di tre fagioli con fagioli neri, fagioli e fagioli.</v>
      </c>
    </row>
    <row r="12364">
      <c r="A12364" s="4" t="s">
        <v>15554</v>
      </c>
      <c r="B12364" s="6" t="s">
        <v>15556</v>
      </c>
      <c r="C12364" s="5" t="str">
        <f>IFERROR(__xludf.DUMMYFUNCTION("GOOGLETRANSLATE(B12364,""en"",""it"")"),"Il presentatore mostra aglio tritato, cipolle tritate e peperone rosso tritato, insieme a prezzemolo tritato e un cucchiaino di cumino.")</f>
        <v>Il presentatore mostra aglio tritato, cipolle tritate e peperone rosso tritato, insieme a prezzemolo tritato e un cucchiaino di cumino.</v>
      </c>
    </row>
    <row r="12365">
      <c r="A12365" s="4" t="s">
        <v>15554</v>
      </c>
      <c r="B12365" s="4" t="s">
        <v>15557</v>
      </c>
      <c r="C12365" s="5" t="str">
        <f>IFERROR(__xludf.DUMMYFUNCTION("GOOGLETRANSLATE(B12365,""en"",""it"")"),"Mostra anche gli ingredienti del condimento come olio d'oliva, aceto di vino rosso e sale.")</f>
        <v>Mostra anche gli ingredienti del condimento come olio d'oliva, aceto di vino rosso e sale.</v>
      </c>
    </row>
    <row r="12366">
      <c r="A12366" s="4" t="s">
        <v>15554</v>
      </c>
      <c r="B12366" s="4" t="s">
        <v>15558</v>
      </c>
      <c r="C12366" s="5" t="str">
        <f>IFERROR(__xludf.DUMMYFUNCTION("GOOGLETRANSLATE(B12366,""en"",""it"")"),"Quindi prende una grande ciotola e inizia a mescolare tutti gli ingredienti insieme.")</f>
        <v>Quindi prende una grande ciotola e inizia a mescolare tutti gli ingredienti insieme.</v>
      </c>
    </row>
    <row r="12367">
      <c r="A12367" s="4" t="s">
        <v>15554</v>
      </c>
      <c r="B12367" s="4" t="s">
        <v>15559</v>
      </c>
      <c r="C12367" s="5" t="str">
        <f>IFERROR(__xludf.DUMMYFUNCTION("GOOGLETRANSLATE(B12367,""en"",""it"")"),"Mescola tutto con i tre tipi di fagioli.")</f>
        <v>Mescola tutto con i tre tipi di fagioli.</v>
      </c>
    </row>
    <row r="12368">
      <c r="A12368" s="4" t="s">
        <v>15554</v>
      </c>
      <c r="B12368" s="4" t="s">
        <v>15560</v>
      </c>
      <c r="C12368" s="5" t="str">
        <f>IFERROR(__xludf.DUMMYFUNCTION("GOOGLETRANSLATE(B12368,""en"",""it"")"),"Prende una grande spatola e mescola tutto bene.")</f>
        <v>Prende una grande spatola e mescola tutto bene.</v>
      </c>
    </row>
    <row r="12369">
      <c r="A12369" s="4" t="s">
        <v>15554</v>
      </c>
      <c r="B12369" s="4" t="s">
        <v>15561</v>
      </c>
      <c r="C12369" s="5" t="str">
        <f>IFERROR(__xludf.DUMMYFUNCTION("GOOGLETRANSLATE(B12369,""en"",""it"")"),"Quindi prende un po 'di olio d'oliva e aceto e lo mescola insieme per la medicazione.")</f>
        <v>Quindi prende un po 'di olio d'oliva e aceto e lo mescola insieme per la medicazione.</v>
      </c>
    </row>
    <row r="12370">
      <c r="A12370" s="4" t="s">
        <v>15554</v>
      </c>
      <c r="B12370" s="4" t="s">
        <v>15562</v>
      </c>
      <c r="C12370" s="5" t="str">
        <f>IFERROR(__xludf.DUMMYFUNCTION("GOOGLETRANSLATE(B12370,""en"",""it"")"),"Versa l'insalata in un piatto e top è con il condimento per insalata.")</f>
        <v>Versa l'insalata in un piatto e top è con il condimento per insalata.</v>
      </c>
    </row>
    <row r="12371">
      <c r="A12371" s="4" t="s">
        <v>15563</v>
      </c>
      <c r="B12371" s="6" t="s">
        <v>15564</v>
      </c>
      <c r="C12371" s="5" t="str">
        <f>IFERROR(__xludf.DUMMYFUNCTION("GOOGLETRANSLATE(B12371,""en"",""it"")"),"Un ragazzo si sta immergendo da una tavola da immersione facendo girare in aria e atterra in una pozza d'acqua, il ragazzo si tuffa e fa diversi lanciate molte volte.")</f>
        <v>Un ragazzo si sta immergendo da una tavola da immersione facendo girare in aria e atterra in una pozza d'acqua, il ragazzo si tuffa e fa diversi lanciate molte volte.</v>
      </c>
    </row>
    <row r="12372">
      <c r="A12372" s="4" t="s">
        <v>15563</v>
      </c>
      <c r="B12372" s="4" t="s">
        <v>15565</v>
      </c>
      <c r="C12372" s="5" t="str">
        <f>IFERROR(__xludf.DUMMYFUNCTION("GOOGLETRANSLATE(B12372,""en"",""it"")"),"L'uomo sembra praticare le sue immersioni e le ribaltature della tavola da immersione.")</f>
        <v>L'uomo sembra praticare le sue immersioni e le ribaltature della tavola da immersione.</v>
      </c>
    </row>
    <row r="12373">
      <c r="A12373" s="4" t="s">
        <v>15563</v>
      </c>
      <c r="B12373" s="4" t="s">
        <v>15566</v>
      </c>
      <c r="C12373" s="5" t="str">
        <f>IFERROR(__xludf.DUMMYFUNCTION("GOOGLETRANSLATE(B12373,""en"",""it"")"),"Il ragazzo sta cercando di saltare il massimo per ottenere un miglior lancio da immersioni.")</f>
        <v>Il ragazzo sta cercando di saltare il massimo per ottenere un miglior lancio da immersioni.</v>
      </c>
    </row>
    <row r="12374">
      <c r="A12374" s="4" t="s">
        <v>15567</v>
      </c>
      <c r="B12374" s="4" t="s">
        <v>15568</v>
      </c>
      <c r="C12374" s="5" t="str">
        <f>IFERROR(__xludf.DUMMYFUNCTION("GOOGLETRANSLATE(B12374,""en"",""it"")"),"Un uomo viene visto parlare con la telecamera mentre crea uno sci su una panchina da lavoro all'interno di un negozio di sci.")</f>
        <v>Un uomo viene visto parlare con la telecamera mentre crea uno sci su una panchina da lavoro all'interno di un negozio di sci.</v>
      </c>
    </row>
    <row r="12375">
      <c r="A12375" s="4" t="s">
        <v>15567</v>
      </c>
      <c r="B12375" s="6" t="s">
        <v>15569</v>
      </c>
      <c r="C12375" s="5" t="str">
        <f>IFERROR(__xludf.DUMMYFUNCTION("GOOGLETRANSLATE(B12375,""en"",""it"")"),"Dopo aver messo in fila lo sci e assicurato in panchina, usa una carta di plastica e va oltre lo sci tre volte.")</f>
        <v>Dopo aver messo in fila lo sci e assicurato in panchina, usa una carta di plastica e va oltre lo sci tre volte.</v>
      </c>
    </row>
    <row r="12376">
      <c r="A12376" s="4" t="s">
        <v>15567</v>
      </c>
      <c r="B12376" s="4" t="s">
        <v>15570</v>
      </c>
      <c r="C12376" s="5" t="str">
        <f>IFERROR(__xludf.DUMMYFUNCTION("GOOGLETRANSLATE(B12376,""en"",""it"")"),"Successivamente usa un pennello setole e strofina il fondo dello sci.")</f>
        <v>Successivamente usa un pennello setole e strofina il fondo dello sci.</v>
      </c>
    </row>
    <row r="12377">
      <c r="A12377" s="4" t="s">
        <v>15567</v>
      </c>
      <c r="B12377" s="4" t="s">
        <v>15571</v>
      </c>
      <c r="C12377" s="5" t="str">
        <f>IFERROR(__xludf.DUMMYFUNCTION("GOOGLETRANSLATE(B12377,""en"",""it"")"),"Alla fine usa un pennello morbido e lo corre ancora una volta sopra lo sci.")</f>
        <v>Alla fine usa un pennello morbido e lo corre ancora una volta sopra lo sci.</v>
      </c>
    </row>
    <row r="12378">
      <c r="A12378" s="4" t="s">
        <v>15572</v>
      </c>
      <c r="B12378" s="4" t="s">
        <v>15573</v>
      </c>
      <c r="C12378" s="5" t="str">
        <f>IFERROR(__xludf.DUMMYFUNCTION("GOOGLETRANSLATE(B12378,""en"",""it"")"),"Il video inizia con una schermata del titolo.")</f>
        <v>Il video inizia con una schermata del titolo.</v>
      </c>
    </row>
    <row r="12379">
      <c r="A12379" s="4" t="s">
        <v>15572</v>
      </c>
      <c r="B12379" s="4" t="s">
        <v>15574</v>
      </c>
      <c r="C12379" s="5" t="str">
        <f>IFERROR(__xludf.DUMMYFUNCTION("GOOGLETRANSLATE(B12379,""en"",""it"")"),"Un uomo con una camicia bianca mostra applicando intonaco in una stanza.")</f>
        <v>Un uomo con una camicia bianca mostra applicando intonaco in una stanza.</v>
      </c>
    </row>
    <row r="12380">
      <c r="A12380" s="4" t="s">
        <v>15572</v>
      </c>
      <c r="B12380" s="4" t="s">
        <v>15575</v>
      </c>
      <c r="C12380" s="5" t="str">
        <f>IFERROR(__xludf.DUMMYFUNCTION("GOOGLETRANSLATE(B12380,""en"",""it"")"),"Mentre applica l'intonaco, una voce sta descrivendo le tecniche utilizzate dall'azienda.")</f>
        <v>Mentre applica l'intonaco, una voce sta descrivendo le tecniche utilizzate dall'azienda.</v>
      </c>
    </row>
    <row r="12381">
      <c r="A12381" s="4" t="s">
        <v>15572</v>
      </c>
      <c r="B12381" s="4" t="s">
        <v>15576</v>
      </c>
      <c r="C12381" s="5" t="str">
        <f>IFERROR(__xludf.DUMMYFUNCTION("GOOGLETRANSLATE(B12381,""en"",""it"")"),"Il video termina mentre l'uomo raggiunge la fine della stanza.")</f>
        <v>Il video termina mentre l'uomo raggiunge la fine della stanza.</v>
      </c>
    </row>
    <row r="12382">
      <c r="A12382" s="4" t="s">
        <v>15577</v>
      </c>
      <c r="B12382" s="4" t="s">
        <v>15578</v>
      </c>
      <c r="C12382" s="5" t="str">
        <f>IFERROR(__xludf.DUMMYFUNCTION("GOOGLETRANSLATE(B12382,""en"",""it"")"),"Una donna è in piedi dietro un bancone in cucina.")</f>
        <v>Una donna è in piedi dietro un bancone in cucina.</v>
      </c>
    </row>
    <row r="12383">
      <c r="A12383" s="4" t="s">
        <v>15577</v>
      </c>
      <c r="B12383" s="4" t="s">
        <v>15579</v>
      </c>
      <c r="C12383" s="5" t="str">
        <f>IFERROR(__xludf.DUMMYFUNCTION("GOOGLETRANSLATE(B12383,""en"",""it"")"),"Toglie il coperchio da una pentola di insalata.")</f>
        <v>Toglie il coperchio da una pentola di insalata.</v>
      </c>
    </row>
    <row r="12384">
      <c r="A12384" s="4" t="s">
        <v>15577</v>
      </c>
      <c r="B12384" s="4" t="s">
        <v>15580</v>
      </c>
      <c r="C12384" s="5" t="str">
        <f>IFERROR(__xludf.DUMMYFUNCTION("GOOGLETRANSLATE(B12384,""en"",""it"")"),"Sposta l'insalata in una nuova ciotola.")</f>
        <v>Sposta l'insalata in una nuova ciotola.</v>
      </c>
    </row>
    <row r="12385">
      <c r="A12385" s="4" t="s">
        <v>15577</v>
      </c>
      <c r="B12385" s="4" t="s">
        <v>15581</v>
      </c>
      <c r="C12385" s="5" t="str">
        <f>IFERROR(__xludf.DUMMYFUNCTION("GOOGLETRANSLATE(B12385,""en"",""it"")"),"Prende l'asciugamano e lo mette sulla lattuga.")</f>
        <v>Prende l'asciugamano e lo mette sulla lattuga.</v>
      </c>
    </row>
    <row r="12386">
      <c r="A12386" s="4" t="s">
        <v>15577</v>
      </c>
      <c r="B12386" s="4" t="s">
        <v>15582</v>
      </c>
      <c r="C12386" s="5" t="str">
        <f>IFERROR(__xludf.DUMMYFUNCTION("GOOGLETRANSLATE(B12386,""en"",""it"")"),"Prende la lattuga e la mette in una ciotola di legno.")</f>
        <v>Prende la lattuga e la mette in una ciotola di legno.</v>
      </c>
    </row>
    <row r="12387">
      <c r="A12387" s="4" t="s">
        <v>15577</v>
      </c>
      <c r="B12387" s="4" t="s">
        <v>15583</v>
      </c>
      <c r="C12387" s="5" t="str">
        <f>IFERROR(__xludf.DUMMYFUNCTION("GOOGLETRANSLATE(B12387,""en"",""it"")"),"Lancia l'insalata con due cucchiai.")</f>
        <v>Lancia l'insalata con due cucchiai.</v>
      </c>
    </row>
    <row r="12388">
      <c r="A12388" s="4" t="s">
        <v>15584</v>
      </c>
      <c r="B12388" s="4" t="s">
        <v>15585</v>
      </c>
      <c r="C12388" s="5" t="str">
        <f>IFERROR(__xludf.DUMMYFUNCTION("GOOGLETRANSLATE(B12388,""en"",""it"")"),"Un set di bambini è in auto paraurti e iniziano a guidare e colpirsi a vicenda.")</f>
        <v>Un set di bambini è in auto paraurti e iniziano a guidare e colpirsi a vicenda.</v>
      </c>
    </row>
    <row r="12389">
      <c r="A12389" s="4" t="s">
        <v>15584</v>
      </c>
      <c r="B12389" s="4" t="s">
        <v>15586</v>
      </c>
      <c r="C12389" s="5" t="str">
        <f>IFERROR(__xludf.DUMMYFUNCTION("GOOGLETRANSLATE(B12389,""en"",""it"")"),"Uno dei bambini si imbatte nel muro e i maschi che gestiscono il viaggio assistono il bambino.")</f>
        <v>Uno dei bambini si imbatte nel muro e i maschi che gestiscono il viaggio assistono il bambino.</v>
      </c>
    </row>
    <row r="12390">
      <c r="A12390" s="4" t="s">
        <v>15587</v>
      </c>
      <c r="B12390" s="4" t="s">
        <v>15588</v>
      </c>
      <c r="C12390" s="5" t="str">
        <f>IFERROR(__xludf.DUMMYFUNCTION("GOOGLETRANSLATE(B12390,""en"",""it"")"),"Le parole come applicare il mascara appaiono.")</f>
        <v>Le parole come applicare il mascara appaiono.</v>
      </c>
    </row>
    <row r="12391">
      <c r="A12391" s="4" t="s">
        <v>15587</v>
      </c>
      <c r="B12391" s="4" t="s">
        <v>15589</v>
      </c>
      <c r="C12391" s="5" t="str">
        <f>IFERROR(__xludf.DUMMYFUNCTION("GOOGLETRANSLATE(B12391,""en"",""it"")"),"Una donna con lunghi capelli neri sta parlando con la telecamera.")</f>
        <v>Una donna con lunghi capelli neri sta parlando con la telecamera.</v>
      </c>
    </row>
    <row r="12392">
      <c r="A12392" s="4" t="s">
        <v>15587</v>
      </c>
      <c r="B12392" s="4" t="s">
        <v>15590</v>
      </c>
      <c r="C12392" s="5" t="str">
        <f>IFERROR(__xludf.DUMMYFUNCTION("GOOGLETRANSLATE(B12392,""en"",""it"")"),"Alza una bacchetta di mascara.")</f>
        <v>Alza una bacchetta di mascara.</v>
      </c>
    </row>
    <row r="12393">
      <c r="A12393" s="4" t="s">
        <v>15587</v>
      </c>
      <c r="B12393" s="4" t="s">
        <v>15591</v>
      </c>
      <c r="C12393" s="5" t="str">
        <f>IFERROR(__xludf.DUMMYFUNCTION("GOOGLETRANSLATE(B12393,""en"",""it"")"),"Quindi mostra come applicarlo, un occhio alla volta.")</f>
        <v>Quindi mostra come applicarlo, un occhio alla volta.</v>
      </c>
    </row>
    <row r="12394">
      <c r="A12394" s="4" t="s">
        <v>15592</v>
      </c>
      <c r="B12394" s="4" t="s">
        <v>15593</v>
      </c>
      <c r="C12394" s="5" t="str">
        <f>IFERROR(__xludf.DUMMYFUNCTION("GOOGLETRANSLATE(B12394,""en"",""it"")"),"Diversi scatti di piatti sono mostrati con cibo che porta a un uomo che prepara il cibo.")</f>
        <v>Diversi scatti di piatti sono mostrati con cibo che porta a un uomo che prepara il cibo.</v>
      </c>
    </row>
    <row r="12395">
      <c r="A12395" s="4" t="s">
        <v>15592</v>
      </c>
      <c r="B12395" s="4" t="s">
        <v>15594</v>
      </c>
      <c r="C12395" s="5" t="str">
        <f>IFERROR(__xludf.DUMMYFUNCTION("GOOGLETRANSLATE(B12395,""en"",""it"")"),"L'uomo mette quindi più cibo in un piatto e gira attorno agli ingredienti.")</f>
        <v>L'uomo mette quindi più cibo in un piatto e gira attorno agli ingredienti.</v>
      </c>
    </row>
    <row r="12396">
      <c r="A12396" s="4" t="s">
        <v>15592</v>
      </c>
      <c r="B12396" s="4" t="s">
        <v>15595</v>
      </c>
      <c r="C12396" s="5" t="str">
        <f>IFERROR(__xludf.DUMMYFUNCTION("GOOGLETRANSLATE(B12396,""en"",""it"")"),"Continua a mettere il cibo su un piatto e termina presentandolo alla telecamera.")</f>
        <v>Continua a mettere il cibo su un piatto e termina presentandolo alla telecamera.</v>
      </c>
    </row>
    <row r="12397">
      <c r="A12397" s="4" t="s">
        <v>15596</v>
      </c>
      <c r="B12397" s="4" t="s">
        <v>15597</v>
      </c>
      <c r="C12397" s="5" t="str">
        <f>IFERROR(__xludf.DUMMYFUNCTION("GOOGLETRANSLATE(B12397,""en"",""it"")"),"Due persone sono viste colpire un tavolo da ping pong e quarto nel mezzo di un parco all'aperto.")</f>
        <v>Due persone sono viste colpire un tavolo da ping pong e quarto nel mezzo di un parco all'aperto.</v>
      </c>
    </row>
    <row r="12398">
      <c r="A12398" s="4" t="s">
        <v>15596</v>
      </c>
      <c r="B12398" s="4" t="s">
        <v>15598</v>
      </c>
      <c r="C12398" s="5" t="str">
        <f>IFERROR(__xludf.DUMMYFUNCTION("GOOGLETRANSLATE(B12398,""en"",""it"")"),"Lanciano la palla e la raccolgono e poi continuano a giocare.")</f>
        <v>Lanciano la palla e la raccolgono e poi continuano a giocare.</v>
      </c>
    </row>
    <row r="12399">
      <c r="A12399" s="4" t="s">
        <v>15599</v>
      </c>
      <c r="B12399" s="6" t="s">
        <v>15600</v>
      </c>
      <c r="C12399" s="5" t="str">
        <f>IFERROR(__xludf.DUMMYFUNCTION("GOOGLETRANSLATE(B12399,""en"",""it"")"),"La scarpa di una persona viene vista seduta in un lavandino e la persona strofina l'esterno della scarpa con acqua che scorre.")</f>
        <v>La scarpa di una persona viene vista seduta in un lavandino e la persona strofina l'esterno della scarpa con acqua che scorre.</v>
      </c>
    </row>
    <row r="12400">
      <c r="A12400" s="4" t="s">
        <v>15599</v>
      </c>
      <c r="B12400" s="4" t="s">
        <v>15601</v>
      </c>
      <c r="C12400" s="5" t="str">
        <f>IFERROR(__xludf.DUMMYFUNCTION("GOOGLETRANSLATE(B12400,""en"",""it"")"),"La persona spegne l'acqua e lascia che lo sporco dalla scarpa corri lungo il lavandino.")</f>
        <v>La persona spegne l'acqua e lascia che lo sporco dalla scarpa corri lungo il lavandino.</v>
      </c>
    </row>
    <row r="12401">
      <c r="A12401" s="4" t="s">
        <v>15602</v>
      </c>
      <c r="B12401" s="4" t="s">
        <v>15603</v>
      </c>
      <c r="C12401" s="5" t="str">
        <f>IFERROR(__xludf.DUMMYFUNCTION("GOOGLETRANSLATE(B12401,""en"",""it"")"),"Un uomo sta sci acqua su un fiume.")</f>
        <v>Un uomo sta sci acqua su un fiume.</v>
      </c>
    </row>
    <row r="12402">
      <c r="A12402" s="4" t="s">
        <v>15602</v>
      </c>
      <c r="B12402" s="4" t="s">
        <v>15604</v>
      </c>
      <c r="C12402" s="5" t="str">
        <f>IFERROR(__xludf.DUMMYFUNCTION("GOOGLETRANSLATE(B12402,""en"",""it"")"),"Si sporge all'indietro, ancora aggrappandosi.")</f>
        <v>Si sporge all'indietro, ancora aggrappandosi.</v>
      </c>
    </row>
    <row r="12403">
      <c r="A12403" s="4" t="s">
        <v>15602</v>
      </c>
      <c r="B12403" s="4" t="s">
        <v>15605</v>
      </c>
      <c r="C12403" s="5" t="str">
        <f>IFERROR(__xludf.DUMMYFUNCTION("GOOGLETRANSLATE(B12403,""en"",""it"")"),"Si gira e solleva anche un piede in aria.")</f>
        <v>Si gira e solleva anche un piede in aria.</v>
      </c>
    </row>
    <row r="12404">
      <c r="A12404" s="4" t="s">
        <v>15606</v>
      </c>
      <c r="B12404" s="4" t="s">
        <v>15607</v>
      </c>
      <c r="C12404" s="5" t="str">
        <f>IFERROR(__xludf.DUMMYFUNCTION("GOOGLETRANSLATE(B12404,""en"",""it"")"),"Una grande fascia musicale si vede in piedi nel mezzo di un prato.")</f>
        <v>Una grande fascia musicale si vede in piedi nel mezzo di un prato.</v>
      </c>
    </row>
    <row r="12405">
      <c r="A12405" s="4" t="s">
        <v>15606</v>
      </c>
      <c r="B12405" s="4" t="s">
        <v>15608</v>
      </c>
      <c r="C12405" s="5" t="str">
        <f>IFERROR(__xludf.DUMMYFUNCTION("GOOGLETRANSLATE(B12405,""en"",""it"")"),"Il centro del gruppo inizia a giocare seguito dal resto intorno a loro.")</f>
        <v>Il centro del gruppo inizia a giocare seguito dal resto intorno a loro.</v>
      </c>
    </row>
    <row r="12406">
      <c r="A12406" s="4" t="s">
        <v>15606</v>
      </c>
      <c r="B12406" s="4" t="s">
        <v>15609</v>
      </c>
      <c r="C12406" s="5" t="str">
        <f>IFERROR(__xludf.DUMMYFUNCTION("GOOGLETRANSLATE(B12406,""en"",""it"")"),"Il gruppo a turno gioca indietro e quarto e finisce in piedi.")</f>
        <v>Il gruppo a turno gioca indietro e quarto e finisce in piedi.</v>
      </c>
    </row>
    <row r="12407">
      <c r="A12407" s="4" t="s">
        <v>15610</v>
      </c>
      <c r="B12407" s="4" t="s">
        <v>15611</v>
      </c>
      <c r="C12407" s="5" t="str">
        <f>IFERROR(__xludf.DUMMYFUNCTION("GOOGLETRANSLATE(B12407,""en"",""it"")"),"L'uomo sta giocando alla guerra di un tiro in un campo aperto nel carattere di un lago.")</f>
        <v>L'uomo sta giocando alla guerra di un tiro in un campo aperto nel carattere di un lago.</v>
      </c>
    </row>
    <row r="12408">
      <c r="A12408" s="4" t="s">
        <v>15610</v>
      </c>
      <c r="B12408" s="4" t="s">
        <v>15612</v>
      </c>
      <c r="C12408" s="5" t="str">
        <f>IFERROR(__xludf.DUMMYFUNCTION("GOOGLETRANSLATE(B12408,""en"",""it"")"),"Gli uomini sono in piedi sul marciapiede a guardare gli uomini che giocano e scattano foto.")</f>
        <v>Gli uomini sono in piedi sul marciapiede a guardare gli uomini che giocano e scattano foto.</v>
      </c>
    </row>
    <row r="12409">
      <c r="A12409" s="4" t="s">
        <v>15610</v>
      </c>
      <c r="B12409" s="4" t="s">
        <v>15613</v>
      </c>
      <c r="C12409" s="5" t="str">
        <f>IFERROR(__xludf.DUMMYFUNCTION("GOOGLETRANSLATE(B12409,""en"",""it"")"),"Gli uomini si riuniscono e si mettono in una foto e molte videocamere stanno scattando foto.")</f>
        <v>Gli uomini si riuniscono e si mettono in una foto e molte videocamere stanno scattando foto.</v>
      </c>
    </row>
    <row r="12410">
      <c r="A12410" s="4" t="s">
        <v>15614</v>
      </c>
      <c r="B12410" s="4" t="s">
        <v>15615</v>
      </c>
      <c r="C12410" s="5" t="str">
        <f>IFERROR(__xludf.DUMMYFUNCTION("GOOGLETRANSLATE(B12410,""en"",""it"")"),"Un uomo sta mettendo un paio di scarpe.")</f>
        <v>Un uomo sta mettendo un paio di scarpe.</v>
      </c>
    </row>
    <row r="12411">
      <c r="A12411" s="4" t="s">
        <v>15614</v>
      </c>
      <c r="B12411" s="4" t="s">
        <v>15616</v>
      </c>
      <c r="C12411" s="5" t="str">
        <f>IFERROR(__xludf.DUMMYFUNCTION("GOOGLETRANSLATE(B12411,""en"",""it"")"),"Afferra i suoi cieli e si imbarca.")</f>
        <v>Afferra i suoi cieli e si imbarca.</v>
      </c>
    </row>
    <row r="12412">
      <c r="A12412" s="4" t="s">
        <v>15614</v>
      </c>
      <c r="B12412" s="4" t="s">
        <v>15617</v>
      </c>
      <c r="C12412" s="5" t="str">
        <f>IFERROR(__xludf.DUMMYFUNCTION("GOOGLETRANSLATE(B12412,""en"",""it"")"),"Viene quindi mostrato sciare lungo varie colline e montagne.")</f>
        <v>Viene quindi mostrato sciare lungo varie colline e montagne.</v>
      </c>
    </row>
    <row r="12413">
      <c r="A12413" s="4" t="s">
        <v>15618</v>
      </c>
      <c r="B12413" s="4" t="s">
        <v>15619</v>
      </c>
      <c r="C12413" s="5" t="str">
        <f>IFERROR(__xludf.DUMMYFUNCTION("GOOGLETRANSLATE(B12413,""en"",""it"")"),"Un uomo che parla di come allenarsi in una certa posizione.")</f>
        <v>Un uomo che parla di come allenarsi in una certa posizione.</v>
      </c>
    </row>
    <row r="12414">
      <c r="A12414" s="4" t="s">
        <v>15618</v>
      </c>
      <c r="B12414" s="4" t="s">
        <v>15620</v>
      </c>
      <c r="C12414" s="5" t="str">
        <f>IFERROR(__xludf.DUMMYFUNCTION("GOOGLETRANSLATE(B12414,""en"",""it"")"),"Lo spiega e mostra in dettaglio come dovrebbe essere fatto.")</f>
        <v>Lo spiega e mostra in dettaglio come dovrebbe essere fatto.</v>
      </c>
    </row>
    <row r="12415">
      <c r="A12415" s="4" t="s">
        <v>15618</v>
      </c>
      <c r="B12415" s="4" t="s">
        <v>15621</v>
      </c>
      <c r="C12415" s="5" t="str">
        <f>IFERROR(__xludf.DUMMYFUNCTION("GOOGLETRANSLATE(B12415,""en"",""it"")"),"Quindi afferra la barra e dimostra così.")</f>
        <v>Quindi afferra la barra e dimostra così.</v>
      </c>
    </row>
    <row r="12416">
      <c r="A12416" s="4" t="s">
        <v>15618</v>
      </c>
      <c r="B12416" s="4" t="s">
        <v>15622</v>
      </c>
      <c r="C12416" s="5" t="str">
        <f>IFERROR(__xludf.DUMMYFUNCTION("GOOGLETRANSLATE(B12416,""en"",""it"")"),"Comincia a farlo in ripetizione alcune volte prima di finire.")</f>
        <v>Comincia a farlo in ripetizione alcune volte prima di finire.</v>
      </c>
    </row>
    <row r="12417">
      <c r="A12417" s="4" t="s">
        <v>15623</v>
      </c>
      <c r="B12417" s="4" t="s">
        <v>15624</v>
      </c>
      <c r="C12417" s="5" t="str">
        <f>IFERROR(__xludf.DUMMYFUNCTION("GOOGLETRANSLATE(B12417,""en"",""it"")"),"Un uomo è nella spazzatura e fa uscire una valigia e ne toglie una bici.")</f>
        <v>Un uomo è nella spazzatura e fa uscire una valigia e ne toglie una bici.</v>
      </c>
    </row>
    <row r="12418">
      <c r="A12418" s="4" t="s">
        <v>15623</v>
      </c>
      <c r="B12418" s="4" t="s">
        <v>15625</v>
      </c>
      <c r="C12418" s="5" t="str">
        <f>IFERROR(__xludf.DUMMYFUNCTION("GOOGLETRANSLATE(B12418,""en"",""it"")"),"Comincia a svelare la bici e inizia a mettere tutto insieme.")</f>
        <v>Comincia a svelare la bici e inizia a mettere tutto insieme.</v>
      </c>
    </row>
    <row r="12419">
      <c r="A12419" s="4" t="s">
        <v>15623</v>
      </c>
      <c r="B12419" s="4" t="s">
        <v>15626</v>
      </c>
      <c r="C12419" s="5" t="str">
        <f>IFERROR(__xludf.DUMMYFUNCTION("GOOGLETRANSLATE(B12419,""en"",""it"")"),"Si avvita alcuni pezzi e mette le barre delle mani usando un coltello tascabile.")</f>
        <v>Si avvita alcuni pezzi e mette le barre delle mani usando un coltello tascabile.</v>
      </c>
    </row>
    <row r="12420">
      <c r="A12420" s="4" t="s">
        <v>15623</v>
      </c>
      <c r="B12420" s="4" t="s">
        <v>15627</v>
      </c>
      <c r="C12420" s="5" t="str">
        <f>IFERROR(__xludf.DUMMYFUNCTION("GOOGLETRANSLATE(B12420,""en"",""it"")"),"Gonfia le gomme con aria e finisce di mettere insieme il resto, e poi cavalca.")</f>
        <v>Gonfia le gomme con aria e finisce di mettere insieme il resto, e poi cavalca.</v>
      </c>
    </row>
    <row r="12421">
      <c r="A12421" s="4" t="s">
        <v>15628</v>
      </c>
      <c r="B12421" s="4" t="s">
        <v>15629</v>
      </c>
      <c r="C12421" s="5" t="str">
        <f>IFERROR(__xludf.DUMMYFUNCTION("GOOGLETRANSLATE(B12421,""en"",""it"")"),"Tre ragazze che abbinano i vestiti stanno saltando la corda in una competizione.")</f>
        <v>Tre ragazze che abbinano i vestiti stanno saltando la corda in una competizione.</v>
      </c>
    </row>
    <row r="12422">
      <c r="A12422" s="4" t="s">
        <v>15628</v>
      </c>
      <c r="B12422" s="4" t="s">
        <v>15630</v>
      </c>
      <c r="C12422" s="5" t="str">
        <f>IFERROR(__xludf.DUMMYFUNCTION("GOOGLETRANSLATE(B12422,""en"",""it"")"),"Iniziano a cambiare posto tra i saltatori, facendo trucchi mentre saltano.")</f>
        <v>Iniziano a cambiare posto tra i saltatori, facendo trucchi mentre saltano.</v>
      </c>
    </row>
    <row r="12423">
      <c r="A12423" s="4" t="s">
        <v>15628</v>
      </c>
      <c r="B12423" s="4" t="s">
        <v>15631</v>
      </c>
      <c r="C12423" s="5" t="str">
        <f>IFERROR(__xludf.DUMMYFUNCTION("GOOGLETRANSLATE(B12423,""en"",""it"")"),"Si muovono su e giù per il pavimento senza mai fermarsi.")</f>
        <v>Si muovono su e giù per il pavimento senza mai fermarsi.</v>
      </c>
    </row>
    <row r="12424">
      <c r="A12424" s="4" t="s">
        <v>15628</v>
      </c>
      <c r="B12424" s="4" t="s">
        <v>15632</v>
      </c>
      <c r="C12424" s="5" t="str">
        <f>IFERROR(__xludf.DUMMYFUNCTION("GOOGLETRANSLATE(B12424,""en"",""it"")"),"Quindi lasciano cadere la corda e l'arco.")</f>
        <v>Quindi lasciano cadere la corda e l'arco.</v>
      </c>
    </row>
    <row r="12425">
      <c r="A12425" s="4" t="s">
        <v>15633</v>
      </c>
      <c r="B12425" s="4" t="s">
        <v>15634</v>
      </c>
      <c r="C12425" s="5" t="str">
        <f>IFERROR(__xludf.DUMMYFUNCTION("GOOGLETRANSLATE(B12425,""en"",""it"")"),"Un gruppo di uomini è su un anello attorno a un tappetino.")</f>
        <v>Un gruppo di uomini è su un anello attorno a un tappetino.</v>
      </c>
    </row>
    <row r="12426">
      <c r="A12426" s="4" t="s">
        <v>15633</v>
      </c>
      <c r="B12426" s="4" t="s">
        <v>15635</v>
      </c>
      <c r="C12426" s="5" t="str">
        <f>IFERROR(__xludf.DUMMYFUNCTION("GOOGLETRANSLATE(B12426,""en"",""it"")"),"Due si accovacciano tra loro prima di spuntare sul tappeto, combattendo e calciando.")</f>
        <v>Due si accovacciano tra loro prima di spuntare sul tappeto, combattendo e calciando.</v>
      </c>
    </row>
    <row r="12427">
      <c r="A12427" s="4" t="s">
        <v>15633</v>
      </c>
      <c r="B12427" s="4" t="s">
        <v>15636</v>
      </c>
      <c r="C12427" s="5" t="str">
        <f>IFERROR(__xludf.DUMMYFUNCTION("GOOGLETRANSLATE(B12427,""en"",""it"")"),"Stanno eseguendo un tipo di arti marziali, combattendo il loro avversario mentre le telecamere Flash.")</f>
        <v>Stanno eseguendo un tipo di arti marziali, combattendo il loro avversario mentre le telecamere Flash.</v>
      </c>
    </row>
    <row r="12428">
      <c r="A12428" s="4" t="s">
        <v>15637</v>
      </c>
      <c r="B12428" s="4" t="s">
        <v>15638</v>
      </c>
      <c r="C12428" s="5" t="str">
        <f>IFERROR(__xludf.DUMMYFUNCTION("GOOGLETRANSLATE(B12428,""en"",""it"")"),"Un cane corre intorno a una casa da una stanza all'altra.")</f>
        <v>Un cane corre intorno a una casa da una stanza all'altra.</v>
      </c>
    </row>
    <row r="12429">
      <c r="A12429" s="4" t="s">
        <v>15637</v>
      </c>
      <c r="B12429" s="4" t="s">
        <v>15639</v>
      </c>
      <c r="C12429" s="5" t="str">
        <f>IFERROR(__xludf.DUMMYFUNCTION("GOOGLETRANSLATE(B12429,""en"",""it"")"),"Due uomini portano il cane in bagno e lo portano nella vasca da bagno.")</f>
        <v>Due uomini portano il cane in bagno e lo portano nella vasca da bagno.</v>
      </c>
    </row>
    <row r="12430">
      <c r="A12430" s="4" t="s">
        <v>15637</v>
      </c>
      <c r="B12430" s="4" t="s">
        <v>15640</v>
      </c>
      <c r="C12430" s="5" t="str">
        <f>IFERROR(__xludf.DUMMYFUNCTION("GOOGLETRANSLATE(B12430,""en"",""it"")"),"Uno degli uomini lava il cane.")</f>
        <v>Uno degli uomini lava il cane.</v>
      </c>
    </row>
    <row r="12431">
      <c r="A12431" s="4" t="s">
        <v>15637</v>
      </c>
      <c r="B12431" s="4" t="s">
        <v>15641</v>
      </c>
      <c r="C12431" s="5" t="str">
        <f>IFERROR(__xludf.DUMMYFUNCTION("GOOGLETRANSLATE(B12431,""en"",""it"")"),"L'altro uomo registra ciò che sta accadendo.")</f>
        <v>L'altro uomo registra ciò che sta accadendo.</v>
      </c>
    </row>
    <row r="12432">
      <c r="A12432" s="4" t="s">
        <v>15637</v>
      </c>
      <c r="B12432" s="4" t="s">
        <v>15642</v>
      </c>
      <c r="C12432" s="5" t="str">
        <f>IFERROR(__xludf.DUMMYFUNCTION("GOOGLETRANSLATE(B12432,""en"",""it"")"),"Il cane salta fuori dalla vasca e uno degli uomini lo asciuga.")</f>
        <v>Il cane salta fuori dalla vasca e uno degli uomini lo asciuga.</v>
      </c>
    </row>
    <row r="12433">
      <c r="A12433" s="4" t="s">
        <v>15637</v>
      </c>
      <c r="B12433" s="4" t="s">
        <v>15643</v>
      </c>
      <c r="C12433" s="5" t="str">
        <f>IFERROR(__xludf.DUMMYFUNCTION("GOOGLETRANSLATE(B12433,""en"",""it"")"),"Un uomo tiene aperta la bocca dei cani mentre l'altro uomo spazzola i denti dei cani.")</f>
        <v>Un uomo tiene aperta la bocca dei cani mentre l'altro uomo spazzola i denti dei cani.</v>
      </c>
    </row>
    <row r="12434">
      <c r="A12434" s="4" t="s">
        <v>15644</v>
      </c>
      <c r="B12434" s="4" t="s">
        <v>15645</v>
      </c>
      <c r="C12434" s="5" t="str">
        <f>IFERROR(__xludf.DUMMYFUNCTION("GOOGLETRANSLATE(B12434,""en"",""it"")"),"Una fotocamera si panoramica tutt'intorno a un percorso di paintball e mostra un primo piano di una persona che parla.")</f>
        <v>Una fotocamera si panoramica tutt'intorno a un percorso di paintball e mostra un primo piano di una persona che parla.</v>
      </c>
    </row>
    <row r="12435">
      <c r="A12435" s="4" t="s">
        <v>15644</v>
      </c>
      <c r="B12435" s="4" t="s">
        <v>15646</v>
      </c>
      <c r="C12435" s="5" t="str">
        <f>IFERROR(__xludf.DUMMYFUNCTION("GOOGLETRANSLATE(B12435,""en"",""it"")"),"Diverse clip si vedono di persone che corrono per il percorso e si sparano a paintball.")</f>
        <v>Diverse clip si vedono di persone che corrono per il percorso e si sparano a paintball.</v>
      </c>
    </row>
    <row r="12436">
      <c r="A12436" s="4" t="s">
        <v>15644</v>
      </c>
      <c r="B12436" s="6" t="s">
        <v>15647</v>
      </c>
      <c r="C12436" s="5" t="str">
        <f>IFERROR(__xludf.DUMMYFUNCTION("GOOGLETRANSLATE(B12436,""en"",""it"")"),"Altri primi piani sono mostrati da una pistola e da un uomo che parla alla telecamera e altri socializzando l'uno con l'altro.")</f>
        <v>Altri primi piani sono mostrati da una pistola e da un uomo che parla alla telecamera e altri socializzando l'uno con l'altro.</v>
      </c>
    </row>
    <row r="12437">
      <c r="A12437" s="4" t="s">
        <v>15648</v>
      </c>
      <c r="B12437" s="4" t="s">
        <v>15649</v>
      </c>
      <c r="C12437" s="5" t="str">
        <f>IFERROR(__xludf.DUMMYFUNCTION("GOOGLETRANSLATE(B12437,""en"",""it"")"),"Un tavolino si trova in cima a un altro tavolo.")</f>
        <v>Un tavolino si trova in cima a un altro tavolo.</v>
      </c>
    </row>
    <row r="12438">
      <c r="A12438" s="4" t="s">
        <v>15648</v>
      </c>
      <c r="B12438" s="4" t="s">
        <v>15650</v>
      </c>
      <c r="C12438" s="5" t="str">
        <f>IFERROR(__xludf.DUMMYFUNCTION("GOOGLETRANSLATE(B12438,""en"",""it"")"),"Un uomo entra indossando una felpa con cappuccio nero.")</f>
        <v>Un uomo entra indossando una felpa con cappuccio nero.</v>
      </c>
    </row>
    <row r="12439">
      <c r="A12439" s="4" t="s">
        <v>15648</v>
      </c>
      <c r="B12439" s="4" t="s">
        <v>15651</v>
      </c>
      <c r="C12439" s="5" t="str">
        <f>IFERROR(__xludf.DUMMYFUNCTION("GOOGLETRANSLATE(B12439,""en"",""it"")"),"Apre un barattolo e tira fuori qualcosa.")</f>
        <v>Apre un barattolo e tira fuori qualcosa.</v>
      </c>
    </row>
    <row r="12440">
      <c r="A12440" s="4" t="s">
        <v>15648</v>
      </c>
      <c r="B12440" s="4" t="s">
        <v>15652</v>
      </c>
      <c r="C12440" s="5" t="str">
        <f>IFERROR(__xludf.DUMMYFUNCTION("GOOGLETRANSLATE(B12440,""en"",""it"")"),"Quindi si interrompe il tavolo.")</f>
        <v>Quindi si interrompe il tavolo.</v>
      </c>
    </row>
    <row r="12441">
      <c r="A12441" s="4" t="s">
        <v>15653</v>
      </c>
      <c r="B12441" s="6" t="s">
        <v>15654</v>
      </c>
      <c r="C12441" s="5" t="str">
        <f>IFERROR(__xludf.DUMMYFUNCTION("GOOGLETRANSLATE(B12441,""en"",""it"")"),"Un'introduzione di uno schermo nero con un logo e le parole che Cameron Hansen Gallery appaiono insieme al sito Web in basso a destra.")</f>
        <v>Un'introduzione di uno schermo nero con un logo e le parole che Cameron Hansen Gallery appaiono insieme al sito Web in basso a destra.</v>
      </c>
    </row>
    <row r="12442">
      <c r="A12442" s="4" t="s">
        <v>15653</v>
      </c>
      <c r="B12442" s="6" t="s">
        <v>15655</v>
      </c>
      <c r="C12442" s="5" t="str">
        <f>IFERROR(__xludf.DUMMYFUNCTION("GOOGLETRANSLATE(B12442,""en"",""it"")"),"Viene visualizzata una scuola di pesci nell'oceano e viene visualizzata la posizione e la descrizione del video.")</f>
        <v>Viene visualizzata una scuola di pesci nell'oceano e viene visualizzata la posizione e la descrizione del video.</v>
      </c>
    </row>
    <row r="12443">
      <c r="A12443" s="4" t="s">
        <v>15653</v>
      </c>
      <c r="B12443" s="6" t="s">
        <v>15656</v>
      </c>
      <c r="C12443" s="5" t="str">
        <f>IFERROR(__xludf.DUMMYFUNCTION("GOOGLETRANSLATE(B12443,""en"",""it"")"),"Inizia una serie di video diversi e include filmati da sott'acqua con uno snorkeler, molti diversi nuoto della vita marina e persino un elefante che nuota.")</f>
        <v>Inizia una serie di video diversi e include filmati da sott'acqua con uno snorkeler, molti diversi nuoto della vita marina e persino un elefante che nuota.</v>
      </c>
    </row>
    <row r="12444">
      <c r="A12444" s="4" t="s">
        <v>15653</v>
      </c>
      <c r="B12444" s="6" t="s">
        <v>15657</v>
      </c>
      <c r="C12444" s="5" t="str">
        <f>IFERROR(__xludf.DUMMYFUNCTION("GOOGLETRANSLATE(B12444,""en"",""it"")"),"Il prossimo set di clip include vari filmati di persone che sono al di sopra dell'acqua e lo scenario che li circonda.")</f>
        <v>Il prossimo set di clip include vari filmati di persone che sono al di sopra dell'acqua e lo scenario che li circonda.</v>
      </c>
    </row>
    <row r="12445">
      <c r="A12445" s="4" t="s">
        <v>15653</v>
      </c>
      <c r="B12445" s="6" t="s">
        <v>15658</v>
      </c>
      <c r="C12445" s="5" t="str">
        <f>IFERROR(__xludf.DUMMYFUNCTION("GOOGLETRANSLATE(B12445,""en"",""it"")"),"Quindi passa alle grotte e mostra l'esterno, dentro e poi lo snorkeler di nuovo sott'acqua con una torcia per vedere come è molto buio.")</f>
        <v>Quindi passa alle grotte e mostra l'esterno, dentro e poi lo snorkeler di nuovo sott'acqua con una torcia per vedere come è molto buio.</v>
      </c>
    </row>
    <row r="12446">
      <c r="A12446" s="4" t="s">
        <v>15653</v>
      </c>
      <c r="B12446" s="6" t="s">
        <v>15659</v>
      </c>
      <c r="C12446" s="5" t="str">
        <f>IFERROR(__xludf.DUMMYFUNCTION("GOOGLETRANSLATE(B12446,""en"",""it"")"),"Il focus risale ad altre clip in cui l'elefante nuota di nuovo, viene visualizzata un'immagine ancora scattata della spiaggia e più clip dall'acqua sopra.")</f>
        <v>Il focus risale ad altre clip in cui l'elefante nuota di nuovo, viene visualizzata un'immagine ancora scattata della spiaggia e più clip dall'acqua sopra.</v>
      </c>
    </row>
    <row r="12447">
      <c r="A12447" s="4" t="s">
        <v>15653</v>
      </c>
      <c r="B12447" s="6" t="s">
        <v>15660</v>
      </c>
      <c r="C12447" s="5" t="str">
        <f>IFERROR(__xludf.DUMMYFUNCTION("GOOGLETRANSLATE(B12447,""en"",""it"")"),"Termina con una foto di un grande ramo di alberi vicino all'acqua e le parole le isole Andamane appaiono nella parte superiore e svaniscono su uno schermo interamente nero.")</f>
        <v>Termina con una foto di un grande ramo di alberi vicino all'acqua e le parole le isole Andamane appaiono nella parte superiore e svaniscono su uno schermo interamente nero.</v>
      </c>
    </row>
    <row r="12448">
      <c r="A12448" s="4" t="s">
        <v>15661</v>
      </c>
      <c r="B12448" s="4" t="s">
        <v>15662</v>
      </c>
      <c r="C12448" s="5" t="str">
        <f>IFERROR(__xludf.DUMMYFUNCTION("GOOGLETRANSLATE(B12448,""en"",""it"")"),"Una giovane donna è seduta sulla soglia di un edificio.")</f>
        <v>Una giovane donna è seduta sulla soglia di un edificio.</v>
      </c>
    </row>
    <row r="12449">
      <c r="A12449" s="4" t="s">
        <v>15661</v>
      </c>
      <c r="B12449" s="4" t="s">
        <v>15663</v>
      </c>
      <c r="C12449" s="5" t="str">
        <f>IFERROR(__xludf.DUMMYFUNCTION("GOOGLETRANSLATE(B12449,""en"",""it"")"),"Sta fissando la telecamera.")</f>
        <v>Sta fissando la telecamera.</v>
      </c>
    </row>
    <row r="12450">
      <c r="A12450" s="4" t="s">
        <v>15661</v>
      </c>
      <c r="B12450" s="4" t="s">
        <v>15664</v>
      </c>
      <c r="C12450" s="5" t="str">
        <f>IFERROR(__xludf.DUMMYFUNCTION("GOOGLETRANSLATE(B12450,""en"",""it"")"),"Continua a prendere sbuffi da una sigaretta mentre si siede.")</f>
        <v>Continua a prendere sbuffi da una sigaretta mentre si siede.</v>
      </c>
    </row>
    <row r="12451">
      <c r="A12451" s="4" t="s">
        <v>15665</v>
      </c>
      <c r="B12451" s="6" t="s">
        <v>15666</v>
      </c>
      <c r="C12451" s="5" t="str">
        <f>IFERROR(__xludf.DUMMYFUNCTION("GOOGLETRANSLATE(B12451,""en"",""it"")"),"Inizia un segmento di notizie e l'immagine in bianco e nero di una ragazza sorridente appare sullo schermo e lo striscione sullo schermo dice ""Henrico Teen muore dopo che Race Father racconta gli ultimi momenti della figlia"".")</f>
        <v>Inizia un segmento di notizie e l'immagine in bianco e nero di una ragazza sorridente appare sullo schermo e lo striscione sullo schermo dice "Henrico Teen muore dopo che Race Father racconta gli ultimi momenti della figlia".</v>
      </c>
    </row>
    <row r="12452">
      <c r="A12452" s="4" t="s">
        <v>15665</v>
      </c>
      <c r="B12452" s="6" t="s">
        <v>15667</v>
      </c>
      <c r="C12452" s="5" t="str">
        <f>IFERROR(__xludf.DUMMYFUNCTION("GOOGLETRANSLATE(B12452,""en"",""it"")"),"Il giornalista appare con i suoi genitori che parlano della ragazza mentre le clip del gioco di gara e hanno ancora girato le foto della ragazza appaiono sulla telecamera.")</f>
        <v>Il giornalista appare con i suoi genitori che parlano della ragazza mentre le clip del gioco di gara e hanno ancora girato le foto della ragazza appaiono sulla telecamera.</v>
      </c>
    </row>
    <row r="12453">
      <c r="A12453" s="4" t="s">
        <v>15665</v>
      </c>
      <c r="B12453" s="6" t="s">
        <v>15668</v>
      </c>
      <c r="C12453" s="5" t="str">
        <f>IFERROR(__xludf.DUMMYFUNCTION("GOOGLETRANSLATE(B12453,""en"",""it"")"),"Quando le foto e i video clip dell'intervista e della gara sono finiti, il Newscaster parla da solo alla stazione di notizie.")</f>
        <v>Quando le foto e i video clip dell'intervista e della gara sono finiti, il Newscaster parla da solo alla stazione di notizie.</v>
      </c>
    </row>
    <row r="12454">
      <c r="A12454" s="4" t="s">
        <v>15669</v>
      </c>
      <c r="B12454" s="6" t="s">
        <v>15670</v>
      </c>
      <c r="C12454" s="5" t="str">
        <f>IFERROR(__xludf.DUMMYFUNCTION("GOOGLETRANSLATE(B12454,""en"",""it"")"),"Due bambini piccoli sono seduti in stile indiano sul tappeto all'interno della casa, hanno un narghilè e lo stanno fumando.")</f>
        <v>Due bambini piccoli sono seduti in stile indiano sul tappeto all'interno della casa, hanno un narghilè e lo stanno fumando.</v>
      </c>
    </row>
    <row r="12455">
      <c r="A12455" s="4" t="s">
        <v>15669</v>
      </c>
      <c r="B12455" s="4" t="s">
        <v>15671</v>
      </c>
      <c r="C12455" s="5" t="str">
        <f>IFERROR(__xludf.DUMMYFUNCTION("GOOGLETRANSLATE(B12455,""en"",""it"")"),"A turno si inspirano ed espirano il fumo.")</f>
        <v>A turno si inspirano ed espirano il fumo.</v>
      </c>
    </row>
    <row r="12456">
      <c r="A12456" s="4" t="s">
        <v>15669</v>
      </c>
      <c r="B12456" s="4" t="s">
        <v>15672</v>
      </c>
      <c r="C12456" s="5" t="str">
        <f>IFERROR(__xludf.DUMMYFUNCTION("GOOGLETRANSLATE(B12456,""en"",""it"")"),"Espirano dal loro naso come lo fanno spesso e sono stati addestrati come piccoli professionisti.")</f>
        <v>Espirano dal loro naso come lo fanno spesso e sono stati addestrati come piccoli professionisti.</v>
      </c>
    </row>
    <row r="12457">
      <c r="A12457" s="4" t="s">
        <v>15669</v>
      </c>
      <c r="B12457" s="4" t="s">
        <v>15673</v>
      </c>
      <c r="C12457" s="5" t="str">
        <f>IFERROR(__xludf.DUMMYFUNCTION("GOOGLETRANSLATE(B12457,""en"",""it"")"),"È molto triste che questi bambini possano farlo come è normale, sembrano divertirsi anche a loro.")</f>
        <v>È molto triste che questi bambini possano farlo come è normale, sembrano divertirsi anche a loro.</v>
      </c>
    </row>
    <row r="12458">
      <c r="A12458" s="4" t="s">
        <v>15674</v>
      </c>
      <c r="B12458" s="4" t="s">
        <v>15675</v>
      </c>
      <c r="C12458" s="5" t="str">
        <f>IFERROR(__xludf.DUMMYFUNCTION("GOOGLETRANSLATE(B12458,""en"",""it"")"),"Due ragazze vengono viste parlare alla telecamera con una che dà un pollice in su.")</f>
        <v>Due ragazze vengono viste parlare alla telecamera con una che dà un pollice in su.</v>
      </c>
    </row>
    <row r="12459">
      <c r="A12459" s="4" t="s">
        <v>15674</v>
      </c>
      <c r="B12459" s="4" t="s">
        <v>15676</v>
      </c>
      <c r="C12459" s="5" t="str">
        <f>IFERROR(__xludf.DUMMYFUNCTION("GOOGLETRANSLATE(B12459,""en"",""it"")"),"Le ragazze giocano quindi una partita di Scotch Hop l'uno con l'altro e si danno l'un l'altro alla fine.")</f>
        <v>Le ragazze giocano quindi una partita di Scotch Hop l'uno con l'altro e si danno l'un l'altro alla fine.</v>
      </c>
    </row>
    <row r="12460">
      <c r="A12460" s="4" t="s">
        <v>15677</v>
      </c>
      <c r="B12460" s="4" t="s">
        <v>15678</v>
      </c>
      <c r="C12460" s="5" t="str">
        <f>IFERROR(__xludf.DUMMYFUNCTION("GOOGLETRANSLATE(B12460,""en"",""it"")"),"Una donna viene vista trattenere un pennello e afferrare un pennello.")</f>
        <v>Una donna viene vista trattenere un pennello e afferrare un pennello.</v>
      </c>
    </row>
    <row r="12461">
      <c r="A12461" s="4" t="s">
        <v>15677</v>
      </c>
      <c r="B12461" s="4" t="s">
        <v>15679</v>
      </c>
      <c r="C12461" s="5" t="str">
        <f>IFERROR(__xludf.DUMMYFUNCTION("GOOGLETRANSLATE(B12461,""en"",""it"")"),"Un'altra ragazza si lava i capelli mentre la telecamera pioveva i movimenti.")</f>
        <v>Un'altra ragazza si lava i capelli mentre la telecamera pioveva i movimenti.</v>
      </c>
    </row>
    <row r="12462">
      <c r="A12462" s="4" t="s">
        <v>15677</v>
      </c>
      <c r="B12462" s="4" t="s">
        <v>15680</v>
      </c>
      <c r="C12462" s="5" t="str">
        <f>IFERROR(__xludf.DUMMYFUNCTION("GOOGLETRANSLATE(B12462,""en"",""it"")"),"Continua a spazzolare i capelli dell'altro mentre guarda alla telecamera.")</f>
        <v>Continua a spazzolare i capelli dell'altro mentre guarda alla telecamera.</v>
      </c>
    </row>
    <row r="12463">
      <c r="A12463" s="4" t="s">
        <v>15681</v>
      </c>
      <c r="B12463" s="4" t="s">
        <v>15682</v>
      </c>
      <c r="C12463" s="5" t="str">
        <f>IFERROR(__xludf.DUMMYFUNCTION("GOOGLETRANSLATE(B12463,""en"",""it"")"),"Vediamo uno schermo del titolo bianco.")</f>
        <v>Vediamo uno schermo del titolo bianco.</v>
      </c>
    </row>
    <row r="12464">
      <c r="A12464" s="4" t="s">
        <v>15681</v>
      </c>
      <c r="B12464" s="4" t="s">
        <v>15683</v>
      </c>
      <c r="C12464" s="5" t="str">
        <f>IFERROR(__xludf.DUMMYFUNCTION("GOOGLETRANSLATE(B12464,""en"",""it"")"),"Vediamo quindi una signora che spuntare e strizzare il mop a mano.")</f>
        <v>Vediamo quindi una signora che spuntare e strizzare il mop a mano.</v>
      </c>
    </row>
    <row r="12465">
      <c r="A12465" s="4" t="s">
        <v>15681</v>
      </c>
      <c r="B12465" s="4" t="s">
        <v>15684</v>
      </c>
      <c r="C12465" s="5" t="str">
        <f>IFERROR(__xludf.DUMMYFUNCTION("GOOGLETRANSLATE(B12465,""en"",""it"")"),"Vediamo un secchio che suona una scopa rotonda senza toccarlo.")</f>
        <v>Vediamo un secchio che suona una scopa rotonda senza toccarlo.</v>
      </c>
    </row>
    <row r="12466">
      <c r="A12466" s="4" t="s">
        <v>15681</v>
      </c>
      <c r="B12466" s="4" t="s">
        <v>15685</v>
      </c>
      <c r="C12466" s="5" t="str">
        <f>IFERROR(__xludf.DUMMYFUNCTION("GOOGLETRANSLATE(B12466,""en"",""it"")"),"Una signora cambia la testa di scopa con il piede.")</f>
        <v>Una signora cambia la testa di scopa con il piede.</v>
      </c>
    </row>
    <row r="12467">
      <c r="A12467" s="4" t="s">
        <v>15681</v>
      </c>
      <c r="B12467" s="4" t="s">
        <v>15686</v>
      </c>
      <c r="C12467" s="5" t="str">
        <f>IFERROR(__xludf.DUMMYFUNCTION("GOOGLETRANSLATE(B12467,""en"",""it"")"),"Tre signore danno sponsorizzazioni e le vediamo usare il mop.")</f>
        <v>Tre signore danno sponsorizzazioni e le vediamo usare il mop.</v>
      </c>
    </row>
    <row r="12468">
      <c r="A12468" s="4" t="s">
        <v>15681</v>
      </c>
      <c r="B12468" s="4" t="s">
        <v>15687</v>
      </c>
      <c r="C12468" s="5" t="str">
        <f>IFERROR(__xludf.DUMMYFUNCTION("GOOGLETRANSLATE(B12468,""en"",""it"")"),"Vediamo quindi più mop in azione.")</f>
        <v>Vediamo quindi più mop in azione.</v>
      </c>
    </row>
    <row r="12469">
      <c r="A12469" s="4" t="s">
        <v>15681</v>
      </c>
      <c r="B12469" s="4" t="s">
        <v>777</v>
      </c>
      <c r="C12469" s="5" t="str">
        <f>IFERROR(__xludf.DUMMYFUNCTION("GOOGLETRANSLATE(B12469,""en"",""it"")"),"Vediamo la schermata del titolo finale.")</f>
        <v>Vediamo la schermata del titolo finale.</v>
      </c>
    </row>
    <row r="12470">
      <c r="A12470" s="4" t="s">
        <v>15688</v>
      </c>
      <c r="B12470" s="4" t="s">
        <v>15689</v>
      </c>
      <c r="C12470" s="5" t="str">
        <f>IFERROR(__xludf.DUMMYFUNCTION("GOOGLETRANSLATE(B12470,""en"",""it"")"),"La gente si siede sui gradini, dopo che le persone sono sulle barche in un fiume.")</f>
        <v>La gente si siede sui gradini, dopo che le persone sono sulle barche in un fiume.</v>
      </c>
    </row>
    <row r="12471">
      <c r="A12471" s="4" t="s">
        <v>15688</v>
      </c>
      <c r="B12471" s="4" t="s">
        <v>15690</v>
      </c>
      <c r="C12471" s="5" t="str">
        <f>IFERROR(__xludf.DUMMYFUNCTION("GOOGLETRANSLATE(B12471,""en"",""it"")"),"Un adulto e diversi adolescenti in canoa contiene pagaie.")</f>
        <v>Un adulto e diversi adolescenti in canoa contiene pagaie.</v>
      </c>
    </row>
    <row r="12472">
      <c r="A12472" s="4" t="s">
        <v>15688</v>
      </c>
      <c r="B12472" s="4" t="s">
        <v>15691</v>
      </c>
      <c r="C12472" s="5" t="str">
        <f>IFERROR(__xludf.DUMMYFUNCTION("GOOGLETRANSLATE(B12472,""en"",""it"")"),"L'uomo mostra agli adolescenti come spostare i remi.")</f>
        <v>L'uomo mostra agli adolescenti come spostare i remi.</v>
      </c>
    </row>
    <row r="12473">
      <c r="A12473" s="4" t="s">
        <v>15688</v>
      </c>
      <c r="B12473" s="4" t="s">
        <v>15692</v>
      </c>
      <c r="C12473" s="5" t="str">
        <f>IFERROR(__xludf.DUMMYFUNCTION("GOOGLETRANSLATE(B12473,""en"",""it"")"),"Gli adolescenti seguono le istruzioni dell'uomo e remano i remi.")</f>
        <v>Gli adolescenti seguono le istruzioni dell'uomo e remano i remi.</v>
      </c>
    </row>
    <row r="12474">
      <c r="A12474" s="4" t="s">
        <v>15693</v>
      </c>
      <c r="B12474" s="4" t="s">
        <v>15694</v>
      </c>
      <c r="C12474" s="5" t="str">
        <f>IFERROR(__xludf.DUMMYFUNCTION("GOOGLETRANSLATE(B12474,""en"",""it"")"),"Ci sono scarpe posizionate sul pavimento solo lì.")</f>
        <v>Ci sono scarpe posizionate sul pavimento solo lì.</v>
      </c>
    </row>
    <row r="12475">
      <c r="A12475" s="4" t="s">
        <v>15693</v>
      </c>
      <c r="B12475" s="4" t="s">
        <v>15695</v>
      </c>
      <c r="C12475" s="5" t="str">
        <f>IFERROR(__xludf.DUMMYFUNCTION("GOOGLETRANSLATE(B12475,""en"",""it"")"),"Qualcuno mette i piedi in una delle loro scarpe molto lentamente.")</f>
        <v>Qualcuno mette i piedi in una delle loro scarpe molto lentamente.</v>
      </c>
    </row>
    <row r="12476">
      <c r="A12476" s="4" t="s">
        <v>15693</v>
      </c>
      <c r="B12476" s="4" t="s">
        <v>15696</v>
      </c>
      <c r="C12476" s="5" t="str">
        <f>IFERROR(__xludf.DUMMYFUNCTION("GOOGLETRANSLATE(B12476,""en"",""it"")"),"Cominciano a piegare le cinghie sulla scarpa sinistra.")</f>
        <v>Cominciano a piegare le cinghie sulla scarpa sinistra.</v>
      </c>
    </row>
    <row r="12477">
      <c r="A12477" s="4" t="s">
        <v>15693</v>
      </c>
      <c r="B12477" s="6" t="s">
        <v>15697</v>
      </c>
      <c r="C12477" s="5" t="str">
        <f>IFERROR(__xludf.DUMMYFUNCTION("GOOGLETRANSLATE(B12477,""en"",""it"")"),"Quindi mettono il piede più saldamente nella scarpa giusta, finalmente controllando anche le cinghie su quella scarpa.")</f>
        <v>Quindi mettono il piede più saldamente nella scarpa giusta, finalmente controllando anche le cinghie su quella scarpa.</v>
      </c>
    </row>
    <row r="12478">
      <c r="A12478" s="4" t="s">
        <v>15698</v>
      </c>
      <c r="B12478" s="4" t="s">
        <v>15699</v>
      </c>
      <c r="C12478" s="5" t="str">
        <f>IFERROR(__xludf.DUMMYFUNCTION("GOOGLETRANSLATE(B12478,""en"",""it"")"),"Un uomo e una donna stanno parlando.")</f>
        <v>Un uomo e una donna stanno parlando.</v>
      </c>
    </row>
    <row r="12479">
      <c r="A12479" s="4" t="s">
        <v>15698</v>
      </c>
      <c r="B12479" s="4" t="s">
        <v>15700</v>
      </c>
      <c r="C12479" s="5" t="str">
        <f>IFERROR(__xludf.DUMMYFUNCTION("GOOGLETRANSLATE(B12479,""en"",""it"")"),"Un uomo inizia a suonare un'armonica.")</f>
        <v>Un uomo inizia a suonare un'armonica.</v>
      </c>
    </row>
    <row r="12480">
      <c r="A12480" s="4" t="s">
        <v>15698</v>
      </c>
      <c r="B12480" s="4" t="s">
        <v>15701</v>
      </c>
      <c r="C12480" s="5" t="str">
        <f>IFERROR(__xludf.DUMMYFUNCTION("GOOGLETRANSLATE(B12480,""en"",""it"")"),"La folla lo guarda giocare.")</f>
        <v>La folla lo guarda giocare.</v>
      </c>
    </row>
    <row r="12481">
      <c r="A12481" s="4" t="s">
        <v>15702</v>
      </c>
      <c r="B12481" s="4" t="s">
        <v>15703</v>
      </c>
      <c r="C12481" s="5" t="str">
        <f>IFERROR(__xludf.DUMMYFUNCTION("GOOGLETRANSLATE(B12481,""en"",""it"")"),"Una bici viene mostrata nella stretta passerella.")</f>
        <v>Una bici viene mostrata nella stretta passerella.</v>
      </c>
    </row>
    <row r="12482">
      <c r="A12482" s="4" t="s">
        <v>15702</v>
      </c>
      <c r="B12482" s="6" t="s">
        <v>15704</v>
      </c>
      <c r="C12482" s="5" t="str">
        <f>IFERROR(__xludf.DUMMYFUNCTION("GOOGLETRANSLATE(B12482,""en"",""it"")"),"Un vecchio che indossa una camicia grigia si mette e avvita le barre della maniglia nera nella parte anteriore della bici, quindi mette la ruota anteriore della bici, stringe la vite e infine ha messo il sedile.")</f>
        <v>Un vecchio che indossa una camicia grigia si mette e avvita le barre della maniglia nera nella parte anteriore della bici, quindi mette la ruota anteriore della bici, stringe la vite e infine ha messo il sedile.</v>
      </c>
    </row>
    <row r="12483">
      <c r="A12483" s="4" t="s">
        <v>15705</v>
      </c>
      <c r="B12483" s="4" t="s">
        <v>15706</v>
      </c>
      <c r="C12483" s="5" t="str">
        <f>IFERROR(__xludf.DUMMYFUNCTION("GOOGLETRANSLATE(B12483,""en"",""it"")"),"Una ragazza è in piedi a casa sua con le mani dietro la schiena e la larghezza della spalla delle gambe.")</f>
        <v>Una ragazza è in piedi a casa sua con le mani dietro la schiena e la larghezza della spalla delle gambe.</v>
      </c>
    </row>
    <row r="12484">
      <c r="A12484" s="4" t="s">
        <v>15705</v>
      </c>
      <c r="B12484" s="6" t="s">
        <v>15707</v>
      </c>
      <c r="C12484" s="5" t="str">
        <f>IFERROR(__xludf.DUMMYFUNCTION("GOOGLETRANSLATE(B12484,""en"",""it"")"),"La ragazza poi lascia saldamente le mani sul fianco, unisce i piedi e fa un arco e continua a fare una routine di varie mosse di karate.")</f>
        <v>La ragazza poi lascia saldamente le mani sul fianco, unisce i piedi e fa un arco e continua a fare una routine di varie mosse di karate.</v>
      </c>
    </row>
    <row r="12485">
      <c r="A12485" s="4" t="s">
        <v>15705</v>
      </c>
      <c r="B12485" s="6" t="s">
        <v>15708</v>
      </c>
      <c r="C12485" s="5" t="str">
        <f>IFERROR(__xludf.DUMMYFUNCTION("GOOGLETRANSLATE(B12485,""en"",""it"")"),"La ragazza termina un po 'più in là dal punto in cui ha iniziato e lascia cadere fermamente le mani sul fianco e fa un po' di fiocco, quindi apre la lunghezza delle spalle delle gambe e torna nella stessa posizione in cui si trovava quando ha iniziato.")</f>
        <v>La ragazza termina un po 'più in là dal punto in cui ha iniziato e lascia cadere fermamente le mani sul fianco e fa un po' di fiocco, quindi apre la lunghezza delle spalle delle gambe e torna nella stessa posizione in cui si trovava quando ha iniziato.</v>
      </c>
    </row>
    <row r="12486">
      <c r="A12486" s="4" t="s">
        <v>15705</v>
      </c>
      <c r="B12486" s="4" t="s">
        <v>15709</v>
      </c>
      <c r="C12486" s="5" t="str">
        <f>IFERROR(__xludf.DUMMYFUNCTION("GOOGLETRANSLATE(B12486,""en"",""it"")"),"Dopo aver finito di tenere la posizione per un po 'la ragazza si rilassa e poi se ne va.")</f>
        <v>Dopo aver finito di tenere la posizione per un po 'la ragazza si rilassa e poi se ne va.</v>
      </c>
    </row>
    <row r="12487">
      <c r="A12487" s="4" t="s">
        <v>15710</v>
      </c>
      <c r="B12487" s="4" t="s">
        <v>15711</v>
      </c>
      <c r="C12487" s="5" t="str">
        <f>IFERROR(__xludf.DUMMYFUNCTION("GOOGLETRANSLATE(B12487,""en"",""it"")"),"Due persone vengono viste inginocchiarsi davanti a una tavola e spingere gli oggetti.")</f>
        <v>Due persone vengono viste inginocchiarsi davanti a una tavola e spingere gli oggetti.</v>
      </c>
    </row>
    <row r="12488">
      <c r="A12488" s="4" t="s">
        <v>15710</v>
      </c>
      <c r="B12488" s="4" t="s">
        <v>15712</v>
      </c>
      <c r="C12488" s="5" t="str">
        <f>IFERROR(__xludf.DUMMYFUNCTION("GOOGLETRANSLATE(B12488,""en"",""it"")"),"Altre persone guardano sul lato mentre i due robot iniziano ad attaccarsi l'un l'altro.")</f>
        <v>Altre persone guardano sul lato mentre i due robot iniziano ad attaccarsi l'un l'altro.</v>
      </c>
    </row>
    <row r="12489">
      <c r="A12489" s="4" t="s">
        <v>15710</v>
      </c>
      <c r="B12489" s="4" t="s">
        <v>15713</v>
      </c>
      <c r="C12489" s="5" t="str">
        <f>IFERROR(__xludf.DUMMYFUNCTION("GOOGLETRANSLATE(B12489,""en"",""it"")"),"Uno spinge l'altro di distanza e gli uomini rimettono i robot a combattere molti altri.")</f>
        <v>Uno spinge l'altro di distanza e gli uomini rimettono i robot a combattere molti altri.</v>
      </c>
    </row>
    <row r="12490">
      <c r="A12490" s="4" t="s">
        <v>15714</v>
      </c>
      <c r="B12490" s="4" t="s">
        <v>15715</v>
      </c>
      <c r="C12490" s="5" t="str">
        <f>IFERROR(__xludf.DUMMYFUNCTION("GOOGLETRANSLATE(B12490,""en"",""it"")"),"Un uomo ha le mani in aria.")</f>
        <v>Un uomo ha le mani in aria.</v>
      </c>
    </row>
    <row r="12491">
      <c r="A12491" s="4" t="s">
        <v>15714</v>
      </c>
      <c r="B12491" s="4" t="s">
        <v>15716</v>
      </c>
      <c r="C12491" s="5" t="str">
        <f>IFERROR(__xludf.DUMMYFUNCTION("GOOGLETRANSLATE(B12491,""en"",""it"")"),"Due lottatori vengono mostrati saltando sul ring.")</f>
        <v>Due lottatori vengono mostrati saltando sul ring.</v>
      </c>
    </row>
    <row r="12492">
      <c r="A12492" s="4" t="s">
        <v>15714</v>
      </c>
      <c r="B12492" s="4" t="s">
        <v>15717</v>
      </c>
      <c r="C12492" s="5" t="str">
        <f>IFERROR(__xludf.DUMMYFUNCTION("GOOGLETRANSLATE(B12492,""en"",""it"")"),"Crollano come persone diverse fanno lo stesso salto.")</f>
        <v>Crollano come persone diverse fanno lo stesso salto.</v>
      </c>
    </row>
    <row r="12493">
      <c r="A12493" s="4" t="s">
        <v>15718</v>
      </c>
      <c r="B12493" s="6" t="s">
        <v>15719</v>
      </c>
      <c r="C12493" s="5" t="str">
        <f>IFERROR(__xludf.DUMMYFUNCTION("GOOGLETRANSLATE(B12493,""en"",""it"")"),"Una donna atletica viene vista parlare con la telecamera e conduce a insegnare a una lezione di ciclismo con gli altri.")</f>
        <v>Una donna atletica viene vista parlare con la telecamera e conduce a insegnare a una lezione di ciclismo con gli altri.</v>
      </c>
    </row>
    <row r="12494">
      <c r="A12494" s="4" t="s">
        <v>15718</v>
      </c>
      <c r="B12494" s="4" t="s">
        <v>15720</v>
      </c>
      <c r="C12494" s="5" t="str">
        <f>IFERROR(__xludf.DUMMYFUNCTION("GOOGLETRANSLATE(B12494,""en"",""it"")"),"Altri scatti del suo leader sono mostrati in diverse aree.")</f>
        <v>Altri scatti del suo leader sono mostrati in diverse aree.</v>
      </c>
    </row>
    <row r="12495">
      <c r="A12495" s="4" t="s">
        <v>15721</v>
      </c>
      <c r="B12495" s="4" t="s">
        <v>15722</v>
      </c>
      <c r="C12495" s="5" t="str">
        <f>IFERROR(__xludf.DUMMYFUNCTION("GOOGLETRANSLATE(B12495,""en"",""it"")"),"Una signora si siede sotto la doccia che lava un cane soffice.")</f>
        <v>Una signora si siede sotto la doccia che lava un cane soffice.</v>
      </c>
    </row>
    <row r="12496">
      <c r="A12496" s="4" t="s">
        <v>15721</v>
      </c>
      <c r="B12496" s="4" t="s">
        <v>15723</v>
      </c>
      <c r="C12496" s="5" t="str">
        <f>IFERROR(__xludf.DUMMYFUNCTION("GOOGLETRANSLATE(B12496,""en"",""it"")"),"La signora si sporge sul cane e lava la zampa anteriore a sinistra.")</f>
        <v>La signora si sporge sul cane e lava la zampa anteriore a sinistra.</v>
      </c>
    </row>
    <row r="12497">
      <c r="A12497" s="4" t="s">
        <v>15724</v>
      </c>
      <c r="B12497" s="4" t="s">
        <v>15725</v>
      </c>
      <c r="C12497" s="5" t="str">
        <f>IFERROR(__xludf.DUMMYFUNCTION("GOOGLETRANSLATE(B12497,""en"",""it"")"),"Una telecamera segue una piccola barca che si muove lungo l'acqua e paesaggi.")</f>
        <v>Una telecamera segue una piccola barca che si muove lungo l'acqua e paesaggi.</v>
      </c>
    </row>
    <row r="12498">
      <c r="A12498" s="4" t="s">
        <v>15724</v>
      </c>
      <c r="B12498" s="4" t="s">
        <v>15726</v>
      </c>
      <c r="C12498" s="5" t="str">
        <f>IFERROR(__xludf.DUMMYFUNCTION("GOOGLETRANSLATE(B12498,""en"",""it"")"),"La fotocamera si ingrandisce sulla barca e mostra le persone che cavalcano all'interno.")</f>
        <v>La fotocamera si ingrandisce sulla barca e mostra le persone che cavalcano all'interno.</v>
      </c>
    </row>
    <row r="12499">
      <c r="A12499" s="4" t="s">
        <v>15727</v>
      </c>
      <c r="B12499" s="4" t="s">
        <v>15728</v>
      </c>
      <c r="C12499" s="5" t="str">
        <f>IFERROR(__xludf.DUMMYFUNCTION("GOOGLETRANSLATE(B12499,""en"",""it"")"),"Un uomo sta salendo una scala su un tetto.")</f>
        <v>Un uomo sta salendo una scala su un tetto.</v>
      </c>
    </row>
    <row r="12500">
      <c r="A12500" s="4" t="s">
        <v>15727</v>
      </c>
      <c r="B12500" s="4" t="s">
        <v>15729</v>
      </c>
      <c r="C12500" s="5" t="str">
        <f>IFERROR(__xludf.DUMMYFUNCTION("GOOGLETRANSLATE(B12500,""en"",""it"")"),"È in piedi davanti a una casa a parlare.")</f>
        <v>È in piedi davanti a una casa a parlare.</v>
      </c>
    </row>
    <row r="12501">
      <c r="A12501" s="4" t="s">
        <v>15727</v>
      </c>
      <c r="B12501" s="4" t="s">
        <v>15730</v>
      </c>
      <c r="C12501" s="5" t="str">
        <f>IFERROR(__xludf.DUMMYFUNCTION("GOOGLETRANSLATE(B12501,""en"",""it"")"),"Gli uomini stanno mettendo nuove tegole su un tetto.")</f>
        <v>Gli uomini stanno mettendo nuove tegole su un tetto.</v>
      </c>
    </row>
    <row r="12502">
      <c r="A12502" s="4" t="s">
        <v>15731</v>
      </c>
      <c r="B12502" s="4" t="s">
        <v>15732</v>
      </c>
      <c r="C12502" s="5" t="str">
        <f>IFERROR(__xludf.DUMMYFUNCTION("GOOGLETRANSLATE(B12502,""en"",""it"")"),"Un bambino nuota in una piscina sulla schiena.")</f>
        <v>Un bambino nuota in una piscina sulla schiena.</v>
      </c>
    </row>
    <row r="12503">
      <c r="A12503" s="4" t="s">
        <v>15731</v>
      </c>
      <c r="B12503" s="4" t="s">
        <v>15733</v>
      </c>
      <c r="C12503" s="5" t="str">
        <f>IFERROR(__xludf.DUMMYFUNCTION("GOOGLETRANSLATE(B12503,""en"",""it"")"),"Il bambino sta calciando i piedi in acqua.")</f>
        <v>Il bambino sta calciando i piedi in acqua.</v>
      </c>
    </row>
    <row r="12504">
      <c r="A12504" s="4" t="s">
        <v>15731</v>
      </c>
      <c r="B12504" s="4" t="s">
        <v>15734</v>
      </c>
      <c r="C12504" s="5" t="str">
        <f>IFERROR(__xludf.DUMMYFUNCTION("GOOGLETRANSLATE(B12504,""en"",""it"")"),"La mano di qualcuno tiene quel bambino in acqua.")</f>
        <v>La mano di qualcuno tiene quel bambino in acqua.</v>
      </c>
    </row>
    <row r="12505">
      <c r="A12505" s="4" t="s">
        <v>15735</v>
      </c>
      <c r="B12505" s="6" t="s">
        <v>15736</v>
      </c>
      <c r="C12505" s="5" t="str">
        <f>IFERROR(__xludf.DUMMYFUNCTION("GOOGLETRANSLATE(B12505,""en"",""it"")"),"L'elenco di partenza per l'evento per il salto con l'asta maschile viene visualizzato sullo sfondo dell'area di competizione.")</f>
        <v>L'elenco di partenza per l'evento per il salto con l'asta maschile viene visualizzato sullo sfondo dell'area di competizione.</v>
      </c>
    </row>
    <row r="12506">
      <c r="A12506" s="4" t="s">
        <v>15735</v>
      </c>
      <c r="B12506" s="4" t="s">
        <v>15737</v>
      </c>
      <c r="C12506" s="5" t="str">
        <f>IFERROR(__xludf.DUMMYFUNCTION("GOOGLETRANSLATE(B12506,""en"",""it"")"),"Valori multipli tentano di scavalcare, uno dopo l'altro, altri con successo e altri no.")</f>
        <v>Valori multipli tentano di scavalcare, uno dopo l'altro, altri con successo e altri no.</v>
      </c>
    </row>
    <row r="12507">
      <c r="A12507" s="4" t="s">
        <v>15735</v>
      </c>
      <c r="B12507" s="6" t="s">
        <v>15738</v>
      </c>
      <c r="C12507" s="5" t="str">
        <f>IFERROR(__xludf.DUMMYFUNCTION("GOOGLETRANSLATE(B12507,""en"",""it"")"),"La fotocamera taglia un uomo che si asciugò la faccia con un asciugamano, quindi un colpo veloce dell'ultimo tentativo di volta, quindi un breve colpo di un altro uomo che si allontana dalla telecamera.")</f>
        <v>La fotocamera taglia un uomo che si asciugò la faccia con un asciugamano, quindi un colpo veloce dell'ultimo tentativo di volta, quindi un breve colpo di un altro uomo che si allontana dalla telecamera.</v>
      </c>
    </row>
    <row r="12508">
      <c r="A12508" s="4" t="s">
        <v>15735</v>
      </c>
      <c r="B12508" s="4" t="s">
        <v>15739</v>
      </c>
      <c r="C12508" s="5" t="str">
        <f>IFERROR(__xludf.DUMMYFUNCTION("GOOGLETRANSLATE(B12508,""en"",""it"")"),"Un altro uomo nelle volte bianche e blu e ha successo.")</f>
        <v>Un altro uomo nelle volte bianche e blu e ha successo.</v>
      </c>
    </row>
    <row r="12509">
      <c r="A12509" s="4" t="s">
        <v>15735</v>
      </c>
      <c r="B12509" s="4" t="s">
        <v>15740</v>
      </c>
      <c r="C12509" s="5" t="str">
        <f>IFERROR(__xludf.DUMMYFUNCTION("GOOGLETRANSLATE(B12509,""en"",""it"")"),"La fotocamera taglia ad altri quattro concorrenti che guardano.")</f>
        <v>La fotocamera taglia ad altri quattro concorrenti che guardano.</v>
      </c>
    </row>
    <row r="12510">
      <c r="A12510" s="4" t="s">
        <v>15735</v>
      </c>
      <c r="B12510" s="4" t="s">
        <v>15741</v>
      </c>
      <c r="C12510" s="5" t="str">
        <f>IFERROR(__xludf.DUMMYFUNCTION("GOOGLETRANSLATE(B12510,""en"",""it"")"),"La telecamera taglia a un uomo in bianco e blu che celebra mentre tiene una bandiera contro il suo nero.")</f>
        <v>La telecamera taglia a un uomo in bianco e blu che celebra mentre tiene una bandiera contro il suo nero.</v>
      </c>
    </row>
    <row r="12511">
      <c r="A12511" s="4" t="s">
        <v>15735</v>
      </c>
      <c r="B12511" s="4" t="s">
        <v>15742</v>
      </c>
      <c r="C12511" s="5" t="str">
        <f>IFERROR(__xludf.DUMMYFUNCTION("GOOGLETRANSLATE(B12511,""en"",""it"")"),"L'uomo che ha celebrato viene intervistato.")</f>
        <v>L'uomo che ha celebrato viene intervistato.</v>
      </c>
    </row>
    <row r="12512">
      <c r="A12512" s="4" t="s">
        <v>15735</v>
      </c>
      <c r="B12512" s="4" t="s">
        <v>15743</v>
      </c>
      <c r="C12512" s="5" t="str">
        <f>IFERROR(__xludf.DUMMYFUNCTION("GOOGLETRANSLATE(B12512,""en"",""it"")"),"Un concorrente diverso, che indossa il rosso, viene intervistato.")</f>
        <v>Un concorrente diverso, che indossa il rosso, viene intervistato.</v>
      </c>
    </row>
    <row r="12513">
      <c r="A12513" s="4" t="s">
        <v>15744</v>
      </c>
      <c r="B12513" s="4" t="s">
        <v>15745</v>
      </c>
      <c r="C12513" s="5" t="str">
        <f>IFERROR(__xludf.DUMMYFUNCTION("GOOGLETRANSLATE(B12513,""en"",""it"")"),"Un uomo si siede di fronte a un letto.")</f>
        <v>Un uomo si siede di fronte a un letto.</v>
      </c>
    </row>
    <row r="12514">
      <c r="A12514" s="4" t="s">
        <v>15744</v>
      </c>
      <c r="B12514" s="4" t="s">
        <v>15746</v>
      </c>
      <c r="C12514" s="5" t="str">
        <f>IFERROR(__xludf.DUMMYFUNCTION("GOOGLETRANSLATE(B12514,""en"",""it"")"),"Comincia a suonare una chitarra elettrica.")</f>
        <v>Comincia a suonare una chitarra elettrica.</v>
      </c>
    </row>
    <row r="12515">
      <c r="A12515" s="4" t="s">
        <v>15744</v>
      </c>
      <c r="B12515" s="4" t="s">
        <v>15747</v>
      </c>
      <c r="C12515" s="5" t="str">
        <f>IFERROR(__xludf.DUMMYFUNCTION("GOOGLETRANSLATE(B12515,""en"",""it"")"),"Finisce giocando e si alza.")</f>
        <v>Finisce giocando e si alza.</v>
      </c>
    </row>
    <row r="12516">
      <c r="A12516" s="4" t="s">
        <v>15748</v>
      </c>
      <c r="B12516" s="4" t="s">
        <v>15749</v>
      </c>
      <c r="C12516" s="5" t="str">
        <f>IFERROR(__xludf.DUMMYFUNCTION("GOOGLETRANSLATE(B12516,""en"",""it"")"),"Due ragazze si trovano in un negozio e si abbracciano.")</f>
        <v>Due ragazze si trovano in un negozio e si abbracciano.</v>
      </c>
    </row>
    <row r="12517">
      <c r="A12517" s="4" t="s">
        <v>15748</v>
      </c>
      <c r="B12517" s="4" t="s">
        <v>15750</v>
      </c>
      <c r="C12517" s="5" t="str">
        <f>IFERROR(__xludf.DUMMYFUNCTION("GOOGLETRANSLATE(B12517,""en"",""it"")"),"Le due ragazze riconoscono la ragazza che tiene la macchina fotografica.")</f>
        <v>Le due ragazze riconoscono la ragazza che tiene la macchina fotografica.</v>
      </c>
    </row>
    <row r="12518">
      <c r="A12518" s="4" t="s">
        <v>15748</v>
      </c>
      <c r="B12518" s="4" t="s">
        <v>15751</v>
      </c>
      <c r="C12518" s="5" t="str">
        <f>IFERROR(__xludf.DUMMYFUNCTION("GOOGLETRANSLATE(B12518,""en"",""it"")"),"Ognuno di loro mostrano le loro orecchie che vogliono essere trafitti.")</f>
        <v>Ognuno di loro mostrano le loro orecchie che vogliono essere trafitti.</v>
      </c>
    </row>
    <row r="12519">
      <c r="A12519" s="4" t="s">
        <v>15748</v>
      </c>
      <c r="B12519" s="6" t="s">
        <v>15752</v>
      </c>
      <c r="C12519" s="5" t="str">
        <f>IFERROR(__xludf.DUMMYFUNCTION("GOOGLETRANSLATE(B12519,""en"",""it"")"),"La donna che lavora nel negozio raddrizza la testa delle ragazze e segna l'orecchio e le trafigge l'orecchio destro, mentre la ragazza fa i volti.")</f>
        <v>La donna che lavora nel negozio raddrizza la testa delle ragazze e segna l'orecchio e le trafigge l'orecchio destro, mentre la ragazza fa i volti.</v>
      </c>
    </row>
    <row r="12520">
      <c r="A12520" s="4" t="s">
        <v>15748</v>
      </c>
      <c r="B12520" s="4" t="s">
        <v>15753</v>
      </c>
      <c r="C12520" s="5" t="str">
        <f>IFERROR(__xludf.DUMMYFUNCTION("GOOGLETRANSLATE(B12520,""en"",""it"")"),"La donna sembra scioccata mentre la lavoratrice le parla e tiene lo specchio per vedere l'orecchio.")</f>
        <v>La donna sembra scioccata mentre la lavoratrice le parla e tiene lo specchio per vedere l'orecchio.</v>
      </c>
    </row>
    <row r="12521">
      <c r="A12521" s="4" t="s">
        <v>15748</v>
      </c>
      <c r="B12521" s="4" t="s">
        <v>15754</v>
      </c>
      <c r="C12521" s="5" t="str">
        <f>IFERROR(__xludf.DUMMYFUNCTION("GOOGLETRANSLATE(B12521,""en"",""it"")"),"Da continuare è mostrato sullo schermo.")</f>
        <v>Da continuare è mostrato sullo schermo.</v>
      </c>
    </row>
    <row r="12522">
      <c r="A12522" s="4" t="s">
        <v>15748</v>
      </c>
      <c r="B12522" s="6" t="s">
        <v>15755</v>
      </c>
      <c r="C12522" s="5" t="str">
        <f>IFERROR(__xludf.DUMMYFUNCTION("GOOGLETRANSLATE(B12522,""en"",""it"")"),"La ragazza mostra l'orecchio mentre si siede sulla sedia e cerca di non piangere mentre la telecamera si ingrandisce all'orecchio.")</f>
        <v>La ragazza mostra l'orecchio mentre si siede sulla sedia e cerca di non piangere mentre la telecamera si ingrandisce all'orecchio.</v>
      </c>
    </row>
    <row r="12523">
      <c r="A12523" s="4" t="s">
        <v>15756</v>
      </c>
      <c r="B12523" s="6" t="s">
        <v>15757</v>
      </c>
      <c r="C12523" s="5" t="str">
        <f>IFERROR(__xludf.DUMMYFUNCTION("GOOGLETRANSLATE(B12523,""en"",""it"")"),"Viene vista una donna parlare con una macchina fotografica e conduce in se stessa con i capelli bagnati e la spazzola.")</f>
        <v>Viene vista una donna parlare con una macchina fotografica e conduce in se stessa con i capelli bagnati e la spazzola.</v>
      </c>
    </row>
    <row r="12524">
      <c r="A12524" s="4" t="s">
        <v>15756</v>
      </c>
      <c r="B12524" s="4" t="s">
        <v>15758</v>
      </c>
      <c r="C12524" s="5" t="str">
        <f>IFERROR(__xludf.DUMMYFUNCTION("GOOGLETRANSLATE(B12524,""en"",""it"")"),"I suoi capelli sono asciutti sulla neve e lei si mette le clip nei capelli e inizia a arricciarsi.")</f>
        <v>I suoi capelli sono asciutti sulla neve e lei si mette le clip nei capelli e inizia a arricciarsi.</v>
      </c>
    </row>
    <row r="12525">
      <c r="A12525" s="4" t="s">
        <v>15756</v>
      </c>
      <c r="B12525" s="6" t="s">
        <v>15759</v>
      </c>
      <c r="C12525" s="5" t="str">
        <f>IFERROR(__xludf.DUMMYFUNCTION("GOOGLETRANSLATE(B12525,""en"",""it"")"),"Continua a cuocere le estremità dei capelli e fa scorrere le dita alla fine e sorride alla telecamera mentre dà un pollice in su.")</f>
        <v>Continua a cuocere le estremità dei capelli e fa scorrere le dita alla fine e sorride alla telecamera mentre dà un pollice in su.</v>
      </c>
    </row>
    <row r="12526">
      <c r="A12526" s="4" t="s">
        <v>15760</v>
      </c>
      <c r="B12526" s="6" t="s">
        <v>15761</v>
      </c>
      <c r="C12526" s="5" t="str">
        <f>IFERROR(__xludf.DUMMYFUNCTION("GOOGLETRANSLATE(B12526,""en"",""it"")"),"Una grande bidone di immondizia verde viene spinta contro un muro di mattoni e una renna salta fuori bevendo da una tazza di caffè.")</f>
        <v>Una grande bidone di immondizia verde viene spinta contro un muro di mattoni e una renna salta fuori bevendo da una tazza di caffè.</v>
      </c>
    </row>
    <row r="12527">
      <c r="A12527" s="4" t="s">
        <v>15760</v>
      </c>
      <c r="B12527" s="6" t="s">
        <v>15762</v>
      </c>
      <c r="C12527" s="5" t="str">
        <f>IFERROR(__xludf.DUMMYFUNCTION("GOOGLETRANSLATE(B12527,""en"",""it"")"),"La renna continua a bere dalla tazza di caffè e alla fine cade dalla bidiera della spazzatura.")</f>
        <v>La renna continua a bere dalla tazza di caffè e alla fine cade dalla bidiera della spazzatura.</v>
      </c>
    </row>
    <row r="12528">
      <c r="A12528" s="4" t="s">
        <v>15763</v>
      </c>
      <c r="B12528" s="4" t="s">
        <v>15764</v>
      </c>
      <c r="C12528" s="5" t="str">
        <f>IFERROR(__xludf.DUMMYFUNCTION("GOOGLETRANSLATE(B12528,""en"",""it"")"),"Lo schermo mostra le parole scattate che mettono uomini.")</f>
        <v>Lo schermo mostra le parole scattate che mettono uomini.</v>
      </c>
    </row>
    <row r="12529">
      <c r="A12529" s="4" t="s">
        <v>15763</v>
      </c>
      <c r="B12529" s="4" t="s">
        <v>15765</v>
      </c>
      <c r="C12529" s="5" t="str">
        <f>IFERROR(__xludf.DUMMYFUNCTION("GOOGLETRANSLATE(B12529,""en"",""it"")"),"Kurt Roberts, in una parte superiore gialla, lancia la palla e un uomo si precipita per misurare il tiro.")</f>
        <v>Kurt Roberts, in una parte superiore gialla, lancia la palla e un uomo si precipita per misurare il tiro.</v>
      </c>
    </row>
    <row r="12530">
      <c r="A12530" s="4" t="s">
        <v>15763</v>
      </c>
      <c r="B12530" s="4" t="s">
        <v>15766</v>
      </c>
      <c r="C12530" s="5" t="str">
        <f>IFERROR(__xludf.DUMMYFUNCTION("GOOGLETRANSLATE(B12530,""en"",""it"")"),"Kurt beve da una bottiglia Gatorade.")</f>
        <v>Kurt beve da una bottiglia Gatorade.</v>
      </c>
    </row>
    <row r="12531">
      <c r="A12531" s="4" t="s">
        <v>15763</v>
      </c>
      <c r="B12531" s="4" t="s">
        <v>15767</v>
      </c>
      <c r="C12531" s="5" t="str">
        <f>IFERROR(__xludf.DUMMYFUNCTION("GOOGLETRANSLATE(B12531,""en"",""it"")"),"Reese Hoffa si fa avanti e lancia la palla e un uomo si precipita per misurare il tiro.")</f>
        <v>Reese Hoffa si fa avanti e lancia la palla e un uomo si precipita per misurare il tiro.</v>
      </c>
    </row>
    <row r="12532">
      <c r="A12532" s="4" t="s">
        <v>15763</v>
      </c>
      <c r="B12532" s="4" t="s">
        <v>15768</v>
      </c>
      <c r="C12532" s="5" t="str">
        <f>IFERROR(__xludf.DUMMYFUNCTION("GOOGLETRANSLATE(B12532,""en"",""it"")"),"Reese si regola la camicia e aspetta il suo punteggio.")</f>
        <v>Reese si regola la camicia e aspetta il suo punteggio.</v>
      </c>
    </row>
    <row r="12533">
      <c r="A12533" s="4" t="s">
        <v>15763</v>
      </c>
      <c r="B12533" s="4" t="s">
        <v>15769</v>
      </c>
      <c r="C12533" s="5" t="str">
        <f>IFERROR(__xludf.DUMMYFUNCTION("GOOGLETRANSLATE(B12533,""en"",""it"")"),"Davis Storl si siede ed è presente sullo schermo.")</f>
        <v>Davis Storl si siede ed è presente sullo schermo.</v>
      </c>
    </row>
    <row r="12534">
      <c r="A12534" s="4" t="s">
        <v>15763</v>
      </c>
      <c r="B12534" s="4" t="s">
        <v>15770</v>
      </c>
      <c r="C12534" s="5" t="str">
        <f>IFERROR(__xludf.DUMMYFUNCTION("GOOGLETRANSLATE(B12534,""en"",""it"")"),"Quindi lancia la palla e l'uomo si precipita per misurare la distanza.")</f>
        <v>Quindi lancia la palla e l'uomo si precipita per misurare la distanza.</v>
      </c>
    </row>
    <row r="12535">
      <c r="A12535" s="4" t="s">
        <v>15763</v>
      </c>
      <c r="B12535" s="4" t="s">
        <v>15771</v>
      </c>
      <c r="C12535" s="5" t="str">
        <f>IFERROR(__xludf.DUMMYFUNCTION("GOOGLETRANSLATE(B12535,""en"",""it"")"),"Viene mostrato in piedi con la sua squadra e viene mostrato un replay istantaneo del tiro.")</f>
        <v>Viene mostrato in piedi con la sua squadra e viene mostrato un replay istantaneo del tiro.</v>
      </c>
    </row>
    <row r="12536">
      <c r="A12536" s="4" t="s">
        <v>15763</v>
      </c>
      <c r="B12536" s="4" t="s">
        <v>15772</v>
      </c>
      <c r="C12536" s="5" t="str">
        <f>IFERROR(__xludf.DUMMYFUNCTION("GOOGLETRANSLATE(B12536,""en"",""it"")"),"Il punteggio è mostrato sullo schermo.")</f>
        <v>Il punteggio è mostrato sullo schermo.</v>
      </c>
    </row>
    <row r="12537">
      <c r="A12537" s="4" t="s">
        <v>15763</v>
      </c>
      <c r="B12537" s="4" t="s">
        <v>15773</v>
      </c>
      <c r="C12537" s="5" t="str">
        <f>IFERROR(__xludf.DUMMYFUNCTION("GOOGLETRANSLATE(B12537,""en"",""it"")"),"I fan vengono mostrati facendo l'onda.")</f>
        <v>I fan vengono mostrati facendo l'onda.</v>
      </c>
    </row>
    <row r="12538">
      <c r="A12538" s="4" t="s">
        <v>15774</v>
      </c>
      <c r="B12538" s="4" t="s">
        <v>15775</v>
      </c>
      <c r="C12538" s="5" t="str">
        <f>IFERROR(__xludf.DUMMYFUNCTION("GOOGLETRANSLATE(B12538,""en"",""it"")"),"Un bambino sci sulla neve con due pali e indossa cieli.")</f>
        <v>Un bambino sci sulla neve con due pali e indossa cieli.</v>
      </c>
    </row>
    <row r="12539">
      <c r="A12539" s="4" t="s">
        <v>15774</v>
      </c>
      <c r="B12539" s="4" t="s">
        <v>15776</v>
      </c>
      <c r="C12539" s="5" t="str">
        <f>IFERROR(__xludf.DUMMYFUNCTION("GOOGLETRANSLATE(B12539,""en"",""it"")"),"Gli adulti sciano dietro il bambino.")</f>
        <v>Gli adulti sciano dietro il bambino.</v>
      </c>
    </row>
    <row r="12540">
      <c r="A12540" s="4" t="s">
        <v>15774</v>
      </c>
      <c r="B12540" s="4" t="s">
        <v>15777</v>
      </c>
      <c r="C12540" s="5" t="str">
        <f>IFERROR(__xludf.DUMMYFUNCTION("GOOGLETRANSLATE(B12540,""en"",""it"")"),"Quindi il bambino si ferma, quindi inizia a camminare fino a quando inizia a scivolare sulla collina.")</f>
        <v>Quindi il bambino si ferma, quindi inizia a camminare fino a quando inizia a scivolare sulla collina.</v>
      </c>
    </row>
    <row r="12541">
      <c r="A12541" s="4" t="s">
        <v>15778</v>
      </c>
      <c r="B12541" s="4" t="s">
        <v>15779</v>
      </c>
      <c r="C12541" s="5" t="str">
        <f>IFERROR(__xludf.DUMMYFUNCTION("GOOGLETRANSLATE(B12541,""en"",""it"")"),"Viene mostrata una vista aerea di un campo e animali.")</f>
        <v>Viene mostrata una vista aerea di un campo e animali.</v>
      </c>
    </row>
    <row r="12542">
      <c r="A12542" s="4" t="s">
        <v>15778</v>
      </c>
      <c r="B12542" s="4" t="s">
        <v>15780</v>
      </c>
      <c r="C12542" s="5" t="str">
        <f>IFERROR(__xludf.DUMMYFUNCTION("GOOGLETRANSLATE(B12542,""en"",""it"")"),"Le persone macinano un dardo e poi iniziano a fare le cose del boscaiolo con tronchi.")</f>
        <v>Le persone macinano un dardo e poi iniziano a fare le cose del boscaiolo con tronchi.</v>
      </c>
    </row>
    <row r="12543">
      <c r="A12543" s="4" t="s">
        <v>15778</v>
      </c>
      <c r="B12543" s="4" t="s">
        <v>15781</v>
      </c>
      <c r="C12543" s="5" t="str">
        <f>IFERROR(__xludf.DUMMYFUNCTION("GOOGLETRANSLATE(B12543,""en"",""it"")"),"Viene preparata una barca e il gruppo inizia lo sci d'acqua, il wakeboard e simili.")</f>
        <v>Viene preparata una barca e il gruppo inizia lo sci d'acqua, il wakeboard e simili.</v>
      </c>
    </row>
    <row r="12544">
      <c r="A12544" s="4" t="s">
        <v>15778</v>
      </c>
      <c r="B12544" s="4" t="s">
        <v>15782</v>
      </c>
      <c r="C12544" s="5" t="str">
        <f>IFERROR(__xludf.DUMMYFUNCTION("GOOGLETRANSLATE(B12544,""en"",""it"")"),"Alla fine, le persone si rilassano sulla barca.")</f>
        <v>Alla fine, le persone si rilassano sulla barca.</v>
      </c>
    </row>
    <row r="12545">
      <c r="A12545" s="4" t="s">
        <v>15783</v>
      </c>
      <c r="B12545" s="4" t="s">
        <v>15784</v>
      </c>
      <c r="C12545" s="5" t="str">
        <f>IFERROR(__xludf.DUMMYFUNCTION("GOOGLETRANSLATE(B12545,""en"",""it"")"),"Le persone giocano a badminton su un campo.")</f>
        <v>Le persone giocano a badminton su un campo.</v>
      </c>
    </row>
    <row r="12546">
      <c r="A12546" s="4" t="s">
        <v>15783</v>
      </c>
      <c r="B12546" s="4" t="s">
        <v>15785</v>
      </c>
      <c r="C12546" s="5" t="str">
        <f>IFERROR(__xludf.DUMMYFUNCTION("GOOGLETRANSLATE(B12546,""en"",""it"")"),"Un pubblico li sta guardando suonare.")</f>
        <v>Un pubblico li sta guardando suonare.</v>
      </c>
    </row>
    <row r="12547">
      <c r="A12547" s="4" t="s">
        <v>15783</v>
      </c>
      <c r="B12547" s="4" t="s">
        <v>15786</v>
      </c>
      <c r="C12547" s="5" t="str">
        <f>IFERROR(__xludf.DUMMYFUNCTION("GOOGLETRANSLATE(B12547,""en"",""it"")"),"Viene mostrato un cartone animato di persone che giocano il gioco.")</f>
        <v>Viene mostrato un cartone animato di persone che giocano il gioco.</v>
      </c>
    </row>
    <row r="12548">
      <c r="A12548" s="4" t="s">
        <v>15783</v>
      </c>
      <c r="B12548" s="4" t="s">
        <v>15787</v>
      </c>
      <c r="C12548" s="5" t="str">
        <f>IFERROR(__xludf.DUMMYFUNCTION("GOOGLETRANSLATE(B12548,""en"",""it"")"),"Un uomo in un maglione blu sta parlando con la telecamera.")</f>
        <v>Un uomo in un maglione blu sta parlando con la telecamera.</v>
      </c>
    </row>
    <row r="12549">
      <c r="A12549" s="4" t="s">
        <v>15788</v>
      </c>
      <c r="B12549" s="4" t="s">
        <v>15789</v>
      </c>
      <c r="C12549" s="5" t="str">
        <f>IFERROR(__xludf.DUMMYFUNCTION("GOOGLETRANSLATE(B12549,""en"",""it"")"),"Il fornaio sta mettendo un anello sicuro su uno stampatore in silicone.")</f>
        <v>Il fornaio sta mettendo un anello sicuro su uno stampatore in silicone.</v>
      </c>
    </row>
    <row r="12550">
      <c r="A12550" s="4" t="s">
        <v>15788</v>
      </c>
      <c r="B12550" s="6" t="s">
        <v>15790</v>
      </c>
      <c r="C12550" s="5" t="str">
        <f>IFERROR(__xludf.DUMMYFUNCTION("GOOGLETRANSLATE(B12550,""en"",""it"")"),"Il fornaio versa la pastella nello stampatore viola, quindi mette un vassoio di silicone nel forno e mette la torta nel forno.")</f>
        <v>Il fornaio versa la pastella nello stampatore viola, quindi mette un vassoio di silicone nel forno e mette la torta nel forno.</v>
      </c>
    </row>
    <row r="12551">
      <c r="A12551" s="4" t="s">
        <v>15788</v>
      </c>
      <c r="B12551" s="4" t="s">
        <v>15791</v>
      </c>
      <c r="C12551" s="5" t="str">
        <f>IFERROR(__xludf.DUMMYFUNCTION("GOOGLETRANSLATE(B12551,""en"",""it"")"),"Il fornaio gira la torta nel piatto e mette la glassa e la frutta in cima.")</f>
        <v>Il fornaio gira la torta nel piatto e mette la glassa e la frutta in cima.</v>
      </c>
    </row>
    <row r="12552">
      <c r="A12552" s="4" t="s">
        <v>15788</v>
      </c>
      <c r="B12552" s="4" t="s">
        <v>15792</v>
      </c>
      <c r="C12552" s="5" t="str">
        <f>IFERROR(__xludf.DUMMYFUNCTION("GOOGLETRANSLATE(B12552,""en"",""it"")"),"Il fornaio mise la sicurezza sul mucchio, ci mise una gelatina, poi mise la gelatina dallo stampario.")</f>
        <v>Il fornaio mise la sicurezza sul mucchio, ci mise una gelatina, poi mise la gelatina dallo stampario.</v>
      </c>
    </row>
    <row r="12553">
      <c r="A12553" s="4" t="s">
        <v>15788</v>
      </c>
      <c r="B12553" s="4" t="s">
        <v>15793</v>
      </c>
      <c r="C12553" s="5" t="str">
        <f>IFERROR(__xludf.DUMMYFUNCTION("GOOGLETRANSLATE(B12553,""en"",""it"")"),"Il fornaio ha realizzato ghiaccioli e decorazioni e cioccolatini con lo stampino.")</f>
        <v>Il fornaio ha realizzato ghiaccioli e decorazioni e cioccolatini con lo stampino.</v>
      </c>
    </row>
    <row r="12554">
      <c r="A12554" s="4" t="s">
        <v>15794</v>
      </c>
      <c r="B12554" s="4" t="s">
        <v>15795</v>
      </c>
      <c r="C12554" s="5" t="str">
        <f>IFERROR(__xludf.DUMMYFUNCTION("GOOGLETRANSLATE(B12554,""en"",""it"")"),"Un uomo viene visto andare avanti su un cavallo e poi corro un vitello mentre altri guardano.")</f>
        <v>Un uomo viene visto andare avanti su un cavallo e poi corro un vitello mentre altri guardano.</v>
      </c>
    </row>
    <row r="12555">
      <c r="A12555" s="4" t="s">
        <v>15794</v>
      </c>
      <c r="B12555" s="4" t="s">
        <v>15796</v>
      </c>
      <c r="C12555" s="5" t="str">
        <f>IFERROR(__xludf.DUMMYFUNCTION("GOOGLETRANSLATE(B12555,""en"",""it"")"),"L'uomo quindi si lega il polpaccio e si arrampica sul cavallo e altri salgono sul ring.")</f>
        <v>L'uomo quindi si lega il polpaccio e si arrampica sul cavallo e altri salgono sul ring.</v>
      </c>
    </row>
    <row r="12556">
      <c r="A12556" s="4" t="s">
        <v>15797</v>
      </c>
      <c r="B12556" s="4" t="s">
        <v>15798</v>
      </c>
      <c r="C12556" s="5" t="str">
        <f>IFERROR(__xludf.DUMMYFUNCTION("GOOGLETRANSLATE(B12556,""en"",""it"")"),"Una ginnasta femminile è mostrata in una fotografia.")</f>
        <v>Una ginnasta femminile è mostrata in una fotografia.</v>
      </c>
    </row>
    <row r="12557">
      <c r="A12557" s="4" t="s">
        <v>15797</v>
      </c>
      <c r="B12557" s="4" t="s">
        <v>15799</v>
      </c>
      <c r="C12557" s="5" t="str">
        <f>IFERROR(__xludf.DUMMYFUNCTION("GOOGLETRANSLATE(B12557,""en"",""it"")"),"Viene quindi mostrata prepararsi e quindi montare un raggio alto.")</f>
        <v>Viene quindi mostrata prepararsi e quindi montare un raggio alto.</v>
      </c>
    </row>
    <row r="12558">
      <c r="A12558" s="4" t="s">
        <v>15797</v>
      </c>
      <c r="B12558" s="4" t="s">
        <v>15800</v>
      </c>
      <c r="C12558" s="5" t="str">
        <f>IFERROR(__xludf.DUMMYFUNCTION("GOOGLETRANSLATE(B12558,""en"",""it"")"),"Cappa e gira il raggio, cambiando tra due travi.")</f>
        <v>Cappa e gira il raggio, cambiando tra due travi.</v>
      </c>
    </row>
    <row r="12559">
      <c r="A12559" s="4" t="s">
        <v>15797</v>
      </c>
      <c r="B12559" s="4" t="s">
        <v>15801</v>
      </c>
      <c r="C12559" s="5" t="str">
        <f>IFERROR(__xludf.DUMMYFUNCTION("GOOGLETRANSLATE(B12559,""en"",""it"")"),"Smonta, gettando le braccia in aria trionfalmente.")</f>
        <v>Smonta, gettando le braccia in aria trionfalmente.</v>
      </c>
    </row>
    <row r="12560">
      <c r="A12560" s="4" t="s">
        <v>15802</v>
      </c>
      <c r="B12560" s="4" t="s">
        <v>15803</v>
      </c>
      <c r="C12560" s="5" t="str">
        <f>IFERROR(__xludf.DUMMYFUNCTION("GOOGLETRANSLATE(B12560,""en"",""it"")"),"Un bambino è seduto su un bancone con un contenitore di colori dell'acqua.")</f>
        <v>Un bambino è seduto su un bancone con un contenitore di colori dell'acqua.</v>
      </c>
    </row>
    <row r="12561">
      <c r="A12561" s="4" t="s">
        <v>15802</v>
      </c>
      <c r="B12561" s="4" t="s">
        <v>15804</v>
      </c>
      <c r="C12561" s="5" t="str">
        <f>IFERROR(__xludf.DUMMYFUNCTION("GOOGLETRANSLATE(B12561,""en"",""it"")"),"Sta usando un pennello per applicare le vernici sul viso.")</f>
        <v>Sta usando un pennello per applicare le vernici sul viso.</v>
      </c>
    </row>
    <row r="12562">
      <c r="A12562" s="4" t="s">
        <v>15802</v>
      </c>
      <c r="B12562" s="4" t="s">
        <v>15805</v>
      </c>
      <c r="C12562" s="5" t="str">
        <f>IFERROR(__xludf.DUMMYFUNCTION("GOOGLETRANSLATE(B12562,""en"",""it"")"),"Quindi inizia a mettere la vernice su tutto il petto.")</f>
        <v>Quindi inizia a mettere la vernice su tutto il petto.</v>
      </c>
    </row>
    <row r="12563">
      <c r="A12563" s="4" t="s">
        <v>15806</v>
      </c>
      <c r="B12563" s="4" t="s">
        <v>15807</v>
      </c>
      <c r="C12563" s="5" t="str">
        <f>IFERROR(__xludf.DUMMYFUNCTION("GOOGLETRANSLATE(B12563,""en"",""it"")"),"Viene mostrato un conto alla rovescia che porta a una persona che ha segnato un canestro in una partita.")</f>
        <v>Viene mostrato un conto alla rovescia che porta a una persona che ha segnato un canestro in una partita.</v>
      </c>
    </row>
    <row r="12564">
      <c r="A12564" s="4" t="s">
        <v>15806</v>
      </c>
      <c r="B12564" s="4" t="s">
        <v>15808</v>
      </c>
      <c r="C12564" s="5" t="str">
        <f>IFERROR(__xludf.DUMMYFUNCTION("GOOGLETRANSLATE(B12564,""en"",""it"")"),"Vengono mostrati più testo con il conteggio di un elenco e mostrano un'altra persona che ha segnato un punto.")</f>
        <v>Vengono mostrati più testo con il conteggio di un elenco e mostrano un'altra persona che ha segnato un punto.</v>
      </c>
    </row>
    <row r="12565">
      <c r="A12565" s="4" t="s">
        <v>15806</v>
      </c>
      <c r="B12565" s="6" t="s">
        <v>15809</v>
      </c>
      <c r="C12565" s="5" t="str">
        <f>IFERROR(__xludf.DUMMYFUNCTION("GOOGLETRANSLATE(B12565,""en"",""it"")"),"Vengono mostrati diversi altri scatti di persone che eseguono tattiche sportive impressionanti mentre l'elenco conta.")</f>
        <v>Vengono mostrati diversi altri scatti di persone che eseguono tattiche sportive impressionanti mentre l'elenco conta.</v>
      </c>
    </row>
    <row r="12566">
      <c r="A12566" s="4" t="s">
        <v>15810</v>
      </c>
      <c r="B12566" s="4" t="s">
        <v>15811</v>
      </c>
      <c r="C12566" s="5" t="str">
        <f>IFERROR(__xludf.DUMMYFUNCTION("GOOGLETRANSLATE(B12566,""en"",""it"")"),"Una barca va su un lago con una corda dietro di essa.")</f>
        <v>Una barca va su un lago con una corda dietro di essa.</v>
      </c>
    </row>
    <row r="12567">
      <c r="A12567" s="4" t="s">
        <v>15810</v>
      </c>
      <c r="B12567" s="4" t="s">
        <v>15812</v>
      </c>
      <c r="C12567" s="5" t="str">
        <f>IFERROR(__xludf.DUMMYFUNCTION("GOOGLETRANSLATE(B12567,""en"",""it"")"),"Un ragazzo afferra la corda e va in acqua dopo la barca.")</f>
        <v>Un ragazzo afferra la corda e va in acqua dopo la barca.</v>
      </c>
    </row>
    <row r="12568">
      <c r="A12568" s="4" t="s">
        <v>15810</v>
      </c>
      <c r="B12568" s="4" t="s">
        <v>15813</v>
      </c>
      <c r="C12568" s="5" t="str">
        <f>IFERROR(__xludf.DUMMYFUNCTION("GOOGLETRANSLATE(B12568,""en"",""it"")"),"La barca inizia ad accelerare.")</f>
        <v>La barca inizia ad accelerare.</v>
      </c>
    </row>
    <row r="12569">
      <c r="A12569" s="4" t="s">
        <v>15810</v>
      </c>
      <c r="B12569" s="4" t="s">
        <v>15814</v>
      </c>
      <c r="C12569" s="5" t="str">
        <f>IFERROR(__xludf.DUMMYFUNCTION("GOOGLETRANSLATE(B12569,""en"",""it"")"),"Il ragazzo viene portato in piedi e inizia a sci d'acqua.")</f>
        <v>Il ragazzo viene portato in piedi e inizia a sci d'acqua.</v>
      </c>
    </row>
    <row r="12570">
      <c r="A12570" s="4" t="s">
        <v>15815</v>
      </c>
      <c r="B12570" s="4" t="s">
        <v>15816</v>
      </c>
      <c r="C12570" s="5" t="str">
        <f>IFERROR(__xludf.DUMMYFUNCTION("GOOGLETRANSLATE(B12570,""en"",""it"")"),"Un uomo cammina su un tappetino e solleva un grande peso sopra la testa.")</f>
        <v>Un uomo cammina su un tappetino e solleva un grande peso sopra la testa.</v>
      </c>
    </row>
    <row r="12571">
      <c r="A12571" s="4" t="s">
        <v>15815</v>
      </c>
      <c r="B12571" s="4" t="s">
        <v>15817</v>
      </c>
      <c r="C12571" s="5" t="str">
        <f>IFERROR(__xludf.DUMMYFUNCTION("GOOGLETRANSLATE(B12571,""en"",""it"")"),"Un uomo con una camicia rossa è seduto.")</f>
        <v>Un uomo con una camicia rossa è seduto.</v>
      </c>
    </row>
    <row r="12572">
      <c r="A12572" s="4" t="s">
        <v>15815</v>
      </c>
      <c r="B12572" s="4" t="s">
        <v>15818</v>
      </c>
      <c r="C12572" s="5" t="str">
        <f>IFERROR(__xludf.DUMMYFUNCTION("GOOGLETRANSLATE(B12572,""en"",""it"")"),"Un uomo si avvicina e solleva un grande peso sopra la testa e lo lascia cadere a terra.")</f>
        <v>Un uomo si avvicina e solleva un grande peso sopra la testa e lo lascia cadere a terra.</v>
      </c>
    </row>
    <row r="12573">
      <c r="A12573" s="4" t="s">
        <v>15815</v>
      </c>
      <c r="B12573" s="4" t="s">
        <v>15819</v>
      </c>
      <c r="C12573" s="5" t="str">
        <f>IFERROR(__xludf.DUMMYFUNCTION("GOOGLETRANSLATE(B12573,""en"",""it"")"),"Un altro uomo entra sul tappetino e solleva un peso sopra la testa.")</f>
        <v>Un altro uomo entra sul tappetino e solleva un peso sopra la testa.</v>
      </c>
    </row>
    <row r="12574">
      <c r="A12574" s="4" t="s">
        <v>15820</v>
      </c>
      <c r="B12574" s="4" t="s">
        <v>15821</v>
      </c>
      <c r="C12574" s="5" t="str">
        <f>IFERROR(__xludf.DUMMYFUNCTION("GOOGLETRANSLATE(B12574,""en"",""it"")"),"Un uomo è visto in piedi davanti a uno specchio che tiene un rasoio.")</f>
        <v>Un uomo è visto in piedi davanti a uno specchio che tiene un rasoio.</v>
      </c>
    </row>
    <row r="12575">
      <c r="A12575" s="4" t="s">
        <v>15820</v>
      </c>
      <c r="B12575" s="4" t="s">
        <v>15822</v>
      </c>
      <c r="C12575" s="5" t="str">
        <f>IFERROR(__xludf.DUMMYFUNCTION("GOOGLETRANSLATE(B12575,""en"",""it"")"),"Quindi inizia a radersi il viso mentre si guarda ancora allo specchio.")</f>
        <v>Quindi inizia a radersi il viso mentre si guarda ancora allo specchio.</v>
      </c>
    </row>
    <row r="12576">
      <c r="A12576" s="4" t="s">
        <v>15820</v>
      </c>
      <c r="B12576" s="4" t="s">
        <v>15823</v>
      </c>
      <c r="C12576" s="5" t="str">
        <f>IFERROR(__xludf.DUMMYFUNCTION("GOOGLETRANSLATE(B12576,""en"",""it"")"),"Finisce di radersi il viso e guarda indietro sorridendo alla telecamera.")</f>
        <v>Finisce di radersi il viso e guarda indietro sorridendo alla telecamera.</v>
      </c>
    </row>
    <row r="12577">
      <c r="A12577" s="4" t="s">
        <v>15824</v>
      </c>
      <c r="B12577" s="6" t="s">
        <v>15825</v>
      </c>
      <c r="C12577" s="5" t="str">
        <f>IFERROR(__xludf.DUMMYFUNCTION("GOOGLETRANSLATE(B12577,""en"",""it"")"),"La bambina con i capelli lunghi balla in un soggiorno con molti stivali e scarpe sul pavimento, li ha messi e toglierlo.")</f>
        <v>La bambina con i capelli lunghi balla in un soggiorno con molti stivali e scarpe sul pavimento, li ha messi e toglierlo.</v>
      </c>
    </row>
    <row r="12578">
      <c r="A12578" s="4" t="s">
        <v>15824</v>
      </c>
      <c r="B12578" s="4" t="s">
        <v>15826</v>
      </c>
      <c r="C12578" s="5" t="str">
        <f>IFERROR(__xludf.DUMMYFUNCTION("GOOGLETRANSLATE(B12578,""en"",""it"")"),"La ragazza è sullo skateboard nel soggiorno e di nuovo nella stanza.")</f>
        <v>La ragazza è sullo skateboard nel soggiorno e di nuovo nella stanza.</v>
      </c>
    </row>
    <row r="12579">
      <c r="A12579" s="4" t="s">
        <v>15824</v>
      </c>
      <c r="B12579" s="4" t="s">
        <v>15827</v>
      </c>
      <c r="C12579" s="5" t="str">
        <f>IFERROR(__xludf.DUMMYFUNCTION("GOOGLETRANSLATE(B12579,""en"",""it"")"),"La bambina è in biblioteca e prendi qualcosa e poi inizia a ballare nella stanza.")</f>
        <v>La bambina è in biblioteca e prendi qualcosa e poi inizia a ballare nella stanza.</v>
      </c>
    </row>
    <row r="12580">
      <c r="A12580" s="4" t="s">
        <v>15828</v>
      </c>
      <c r="B12580" s="4" t="s">
        <v>15829</v>
      </c>
      <c r="C12580" s="5" t="str">
        <f>IFERROR(__xludf.DUMMYFUNCTION("GOOGLETRANSLATE(B12580,""en"",""it"")"),"Le persone sono sedute dietro grande batteria.")</f>
        <v>Le persone sono sedute dietro grande batteria.</v>
      </c>
    </row>
    <row r="12581">
      <c r="A12581" s="4" t="s">
        <v>15828</v>
      </c>
      <c r="B12581" s="4" t="s">
        <v>15830</v>
      </c>
      <c r="C12581" s="5" t="str">
        <f>IFERROR(__xludf.DUMMYFUNCTION("GOOGLETRANSLATE(B12581,""en"",""it"")"),"Iniziano a suonare la batteria con le mani.")</f>
        <v>Iniziano a suonare la batteria con le mani.</v>
      </c>
    </row>
    <row r="12582">
      <c r="A12582" s="4" t="s">
        <v>15828</v>
      </c>
      <c r="B12582" s="4" t="s">
        <v>15831</v>
      </c>
      <c r="C12582" s="5" t="str">
        <f>IFERROR(__xludf.DUMMYFUNCTION("GOOGLETRANSLATE(B12582,""en"",""it"")"),"Le persone stanno per strada a guardarli.")</f>
        <v>Le persone stanno per strada a guardarli.</v>
      </c>
    </row>
    <row r="12583">
      <c r="A12583" s="4" t="s">
        <v>15828</v>
      </c>
      <c r="B12583" s="4" t="s">
        <v>15832</v>
      </c>
      <c r="C12583" s="5" t="str">
        <f>IFERROR(__xludf.DUMMYFUNCTION("GOOGLETRANSLATE(B12583,""en"",""it"")"),"Un uomo prende la sedia e la capovolge alla batteria.")</f>
        <v>Un uomo prende la sedia e la capovolge alla batteria.</v>
      </c>
    </row>
    <row r="12584">
      <c r="A12584" s="4" t="s">
        <v>15833</v>
      </c>
      <c r="B12584" s="4" t="s">
        <v>15834</v>
      </c>
      <c r="C12584" s="5" t="str">
        <f>IFERROR(__xludf.DUMMYFUNCTION("GOOGLETRANSLATE(B12584,""en"",""it"")"),"Un uomo e una donna sono su un palco insieme.")</f>
        <v>Un uomo e una donna sono su un palco insieme.</v>
      </c>
    </row>
    <row r="12585">
      <c r="A12585" s="4" t="s">
        <v>15833</v>
      </c>
      <c r="B12585" s="4" t="s">
        <v>15835</v>
      </c>
      <c r="C12585" s="5" t="str">
        <f>IFERROR(__xludf.DUMMYFUNCTION("GOOGLETRANSLATE(B12585,""en"",""it"")"),"Suonano rapidamente la batteria davanti a una folla.")</f>
        <v>Suonano rapidamente la batteria davanti a una folla.</v>
      </c>
    </row>
    <row r="12586">
      <c r="A12586" s="4" t="s">
        <v>15833</v>
      </c>
      <c r="B12586" s="4" t="s">
        <v>15836</v>
      </c>
      <c r="C12586" s="5" t="str">
        <f>IFERROR(__xludf.DUMMYFUNCTION("GOOGLETRANSLATE(B12586,""en"",""it"")"),"Un uomo più anziano viene quindi visto suonare anche tamburi.")</f>
        <v>Un uomo più anziano viene quindi visto suonare anche tamburi.</v>
      </c>
    </row>
    <row r="12587">
      <c r="A12587" s="4" t="s">
        <v>15837</v>
      </c>
      <c r="B12587" s="4" t="s">
        <v>15838</v>
      </c>
      <c r="C12587" s="5" t="str">
        <f>IFERROR(__xludf.DUMMYFUNCTION("GOOGLETRANSLATE(B12587,""en"",""it"")"),"Una macchina fotografica si muove intorno a un negozio e torna a una ragazza che parla.")</f>
        <v>Una macchina fotografica si muove intorno a un negozio e torna a una ragazza che parla.</v>
      </c>
    </row>
    <row r="12588">
      <c r="A12588" s="4" t="s">
        <v>15837</v>
      </c>
      <c r="B12588" s="4" t="s">
        <v>15839</v>
      </c>
      <c r="C12588" s="5" t="str">
        <f>IFERROR(__xludf.DUMMYFUNCTION("GOOGLETRANSLATE(B12588,""en"",""it"")"),"Lei indica il viso più volte e fa un piccolo tour della sua stanza.")</f>
        <v>Lei indica il viso più volte e fa un piccolo tour della sua stanza.</v>
      </c>
    </row>
    <row r="12589">
      <c r="A12589" s="4" t="s">
        <v>15837</v>
      </c>
      <c r="B12589" s="6" t="s">
        <v>15840</v>
      </c>
      <c r="C12589" s="5" t="str">
        <f>IFERROR(__xludf.DUMMYFUNCTION("GOOGLETRANSLATE(B12589,""en"",""it"")"),"Continua a parlare con la telecamera e alla fine mostra filmati che si fa perforare il naso.")</f>
        <v>Continua a parlare con la telecamera e alla fine mostra filmati che si fa perforare il naso.</v>
      </c>
    </row>
    <row r="12590">
      <c r="A12590" s="4" t="s">
        <v>15837</v>
      </c>
      <c r="B12590" s="4" t="s">
        <v>15841</v>
      </c>
      <c r="C12590" s="5" t="str">
        <f>IFERROR(__xludf.DUMMYFUNCTION("GOOGLETRANSLATE(B12590,""en"",""it"")"),"Di nuovo nella stanza con il naso trafitto e mostra un drink e sushi.")</f>
        <v>Di nuovo nella stanza con il naso trafitto e mostra un drink e sushi.</v>
      </c>
    </row>
    <row r="12591">
      <c r="A12591" s="4" t="s">
        <v>15837</v>
      </c>
      <c r="B12591" s="4" t="s">
        <v>15842</v>
      </c>
      <c r="C12591" s="5" t="str">
        <f>IFERROR(__xludf.DUMMYFUNCTION("GOOGLETRANSLATE(B12591,""en"",""it"")"),"Alla fine mostra un libro e una borsa con polvere bianca e se stessa in una coda di cavallo.")</f>
        <v>Alla fine mostra un libro e una borsa con polvere bianca e se stessa in una coda di cavallo.</v>
      </c>
    </row>
    <row r="12592">
      <c r="A12592" s="4" t="s">
        <v>15843</v>
      </c>
      <c r="B12592" s="4" t="s">
        <v>15844</v>
      </c>
      <c r="C12592" s="5" t="str">
        <f>IFERROR(__xludf.DUMMYFUNCTION("GOOGLETRANSLATE(B12592,""en"",""it"")"),"Un uomo parla davanti al batterista e tiene due bastoncini.")</f>
        <v>Un uomo parla davanti al batterista e tiene due bastoncini.</v>
      </c>
    </row>
    <row r="12593">
      <c r="A12593" s="4" t="s">
        <v>15843</v>
      </c>
      <c r="B12593" s="4" t="s">
        <v>15845</v>
      </c>
      <c r="C12593" s="5" t="str">
        <f>IFERROR(__xludf.DUMMYFUNCTION("GOOGLETRANSLATE(B12593,""en"",""it"")"),"L'uomo finge di suonare la batteria e poi continua a parlare.")</f>
        <v>L'uomo finge di suonare la batteria e poi continua a parlare.</v>
      </c>
    </row>
    <row r="12594">
      <c r="A12594" s="4" t="s">
        <v>15846</v>
      </c>
      <c r="B12594" s="4" t="s">
        <v>15847</v>
      </c>
      <c r="C12594" s="5" t="str">
        <f>IFERROR(__xludf.DUMMYFUNCTION("GOOGLETRANSLATE(B12594,""en"",""it"")"),"Una donna che indossa una canotta azzurra e pantaloncini neri si esercita su un ellittico.")</f>
        <v>Una donna che indossa una canotta azzurra e pantaloncini neri si esercita su un ellittico.</v>
      </c>
    </row>
    <row r="12595">
      <c r="A12595" s="4" t="s">
        <v>15846</v>
      </c>
      <c r="B12595" s="4" t="s">
        <v>15848</v>
      </c>
      <c r="C12595" s="5" t="str">
        <f>IFERROR(__xludf.DUMMYFUNCTION("GOOGLETRANSLATE(B12595,""en"",""it"")"),"Continua a camminare sull'ellittica mentre muove le mani in avanti e indietro.")</f>
        <v>Continua a camminare sull'ellittica mentre muove le mani in avanti e indietro.</v>
      </c>
    </row>
    <row r="12596">
      <c r="A12596" s="4" t="s">
        <v>15846</v>
      </c>
      <c r="B12596" s="6" t="s">
        <v>15849</v>
      </c>
      <c r="C12596" s="5" t="str">
        <f>IFERROR(__xludf.DUMMYFUNCTION("GOOGLETRANSLATE(B12596,""en"",""it"")"),"Quindi finisce la sua routine di allenamento, scende dall'attrezzatura e prende un drink d'acqua da una bottiglia d'acqua blu.")</f>
        <v>Quindi finisce la sua routine di allenamento, scende dall'attrezzatura e prende un drink d'acqua da una bottiglia d'acqua blu.</v>
      </c>
    </row>
    <row r="12597">
      <c r="A12597" s="4" t="s">
        <v>15846</v>
      </c>
      <c r="B12597" s="4" t="s">
        <v>15850</v>
      </c>
      <c r="C12597" s="5" t="str">
        <f>IFERROR(__xludf.DUMMYFUNCTION("GOOGLETRANSLATE(B12597,""en"",""it"")"),"Si allontana tenendo in mano la bottiglia.")</f>
        <v>Si allontana tenendo in mano la bottiglia.</v>
      </c>
    </row>
    <row r="12598">
      <c r="A12598" s="4" t="s">
        <v>15851</v>
      </c>
      <c r="B12598" s="4" t="s">
        <v>15852</v>
      </c>
      <c r="C12598" s="5" t="str">
        <f>IFERROR(__xludf.DUMMYFUNCTION("GOOGLETRANSLATE(B12598,""en"",""it"")"),"Vediamo una bambina che dipinge una recinzione rossa.")</f>
        <v>Vediamo una bambina che dipinge una recinzione rossa.</v>
      </c>
    </row>
    <row r="12599">
      <c r="A12599" s="4" t="s">
        <v>15851</v>
      </c>
      <c r="B12599" s="4" t="s">
        <v>15853</v>
      </c>
      <c r="C12599" s="5" t="str">
        <f>IFERROR(__xludf.DUMMYFUNCTION("GOOGLETRANSLATE(B12599,""en"",""it"")"),"La ragazza mette più vernice sul suo pennello.")</f>
        <v>La ragazza mette più vernice sul suo pennello.</v>
      </c>
    </row>
    <row r="12600">
      <c r="A12600" s="4" t="s">
        <v>15851</v>
      </c>
      <c r="B12600" s="4" t="s">
        <v>15854</v>
      </c>
      <c r="C12600" s="5" t="str">
        <f>IFERROR(__xludf.DUMMYFUNCTION("GOOGLETRANSLATE(B12600,""en"",""it"")"),"La ragazza riempie di nuovo il pennello.")</f>
        <v>La ragazza riempie di nuovo il pennello.</v>
      </c>
    </row>
    <row r="12601">
      <c r="A12601" s="4" t="s">
        <v>15851</v>
      </c>
      <c r="B12601" s="4" t="s">
        <v>15855</v>
      </c>
      <c r="C12601" s="5" t="str">
        <f>IFERROR(__xludf.DUMMYFUNCTION("GOOGLETRANSLATE(B12601,""en"",""it"")"),"Vediamo la recinzione e un adulto le mostra come dipingere.")</f>
        <v>Vediamo la recinzione e un adulto le mostra come dipingere.</v>
      </c>
    </row>
    <row r="12602">
      <c r="A12602" s="4" t="s">
        <v>15851</v>
      </c>
      <c r="B12602" s="4" t="s">
        <v>15856</v>
      </c>
      <c r="C12602" s="5" t="str">
        <f>IFERROR(__xludf.DUMMYFUNCTION("GOOGLETRANSLATE(B12602,""en"",""it"")"),"I punti adulti in un punto mancato.")</f>
        <v>I punti adulti in un punto mancato.</v>
      </c>
    </row>
    <row r="12603">
      <c r="A12603" s="4" t="s">
        <v>15857</v>
      </c>
      <c r="B12603" s="4" t="s">
        <v>15858</v>
      </c>
      <c r="C12603" s="5" t="str">
        <f>IFERROR(__xludf.DUMMYFUNCTION("GOOGLETRANSLATE(B12603,""en"",""it"")"),"Una donna con i capelli neri spiega qualcosa.")</f>
        <v>Una donna con i capelli neri spiega qualcosa.</v>
      </c>
    </row>
    <row r="12604">
      <c r="A12604" s="4" t="s">
        <v>15857</v>
      </c>
      <c r="B12604" s="4" t="s">
        <v>15859</v>
      </c>
      <c r="C12604" s="5" t="str">
        <f>IFERROR(__xludf.DUMMYFUNCTION("GOOGLETRANSLATE(B12604,""en"",""it"")"),"La donna tira fuori un contenitore con rotoli di capelli.")</f>
        <v>La donna tira fuori un contenitore con rotoli di capelli.</v>
      </c>
    </row>
    <row r="12605">
      <c r="A12605" s="4" t="s">
        <v>15857</v>
      </c>
      <c r="B12605" s="4" t="s">
        <v>15860</v>
      </c>
      <c r="C12605" s="5" t="str">
        <f>IFERROR(__xludf.DUMMYFUNCTION("GOOGLETRANSLATE(B12605,""en"",""it"")"),"La donna tira fuori una bottiglia di shampoo.")</f>
        <v>La donna tira fuori una bottiglia di shampoo.</v>
      </c>
    </row>
    <row r="12606">
      <c r="A12606" s="4" t="s">
        <v>15857</v>
      </c>
      <c r="B12606" s="4" t="s">
        <v>15861</v>
      </c>
      <c r="C12606" s="5" t="str">
        <f>IFERROR(__xludf.DUMMYFUNCTION("GOOGLETRANSLATE(B12606,""en"",""it"")"),"La donna rotola i capelli e li percorre in posizione e li lascia per dieci minuti.")</f>
        <v>La donna rotola i capelli e li percorre in posizione e li lascia per dieci minuti.</v>
      </c>
    </row>
    <row r="12607">
      <c r="A12607" s="4" t="s">
        <v>15857</v>
      </c>
      <c r="B12607" s="4" t="s">
        <v>15862</v>
      </c>
      <c r="C12607" s="5" t="str">
        <f>IFERROR(__xludf.DUMMYFUNCTION("GOOGLETRANSLATE(B12607,""en"",""it"")"),"Le donne si rimuovono i rotoli dai capelli.")</f>
        <v>Le donne si rimuovono i rotoli dai capelli.</v>
      </c>
    </row>
    <row r="12608">
      <c r="A12608" s="4" t="s">
        <v>15857</v>
      </c>
      <c r="B12608" s="4" t="s">
        <v>15863</v>
      </c>
      <c r="C12608" s="5" t="str">
        <f>IFERROR(__xludf.DUMMYFUNCTION("GOOGLETRANSLATE(B12608,""en"",""it"")"),"La donna tira fuori lacca per capelli e la spruzza sui capelli.")</f>
        <v>La donna tira fuori lacca per capelli e la spruzza sui capelli.</v>
      </c>
    </row>
    <row r="12609">
      <c r="A12609" s="4" t="s">
        <v>15864</v>
      </c>
      <c r="B12609" s="6" t="s">
        <v>15865</v>
      </c>
      <c r="C12609" s="5" t="str">
        <f>IFERROR(__xludf.DUMMYFUNCTION("GOOGLETRANSLATE(B12609,""en"",""it"")"),"Ci sono molte persone al chiuso in un grande edificio che cammina o in giro, e lo stendardo in basso dice ""What In the World? I campionati nazionali di rimorchiatore nazionale cinese"" e lui logo sul ""East Sports West"" di destra.")</f>
        <v>Ci sono molte persone al chiuso in un grande edificio che cammina o in giro, e lo stendardo in basso dice "What In the World? I campionati nazionali di rimorchiatore nazionale cinese" e lui logo sul "East Sports West" di destra.</v>
      </c>
    </row>
    <row r="12610">
      <c r="A12610" s="4" t="s">
        <v>15864</v>
      </c>
      <c r="B12610" s="4" t="s">
        <v>15866</v>
      </c>
      <c r="C12610" s="5" t="str">
        <f>IFERROR(__xludf.DUMMYFUNCTION("GOOGLETRANSLATE(B12610,""en"",""it"")"),"Ci sono due serie di persone lungo una corda e sono separate nel mezzo dagli arbitri.")</f>
        <v>Ci sono due serie di persone lungo una corda e sono separate nel mezzo dagli arbitri.</v>
      </c>
    </row>
    <row r="12611">
      <c r="A12611" s="4" t="s">
        <v>15864</v>
      </c>
      <c r="B12611" s="6" t="s">
        <v>15867</v>
      </c>
      <c r="C12611" s="5" t="str">
        <f>IFERROR(__xludf.DUMMYFUNCTION("GOOGLETRANSLATE(B12611,""en"",""it"")"),"Si inchinano, prendono la corda e ogni squadra inizia a tirarli sulla corda fino a quando non viene chiamato un vincitore.")</f>
        <v>Si inchinano, prendono la corda e ogni squadra inizia a tirarli sulla corda fino a quando non viene chiamato un vincitore.</v>
      </c>
    </row>
    <row r="12612">
      <c r="A12612" s="4" t="s">
        <v>15864</v>
      </c>
      <c r="B12612" s="6" t="s">
        <v>15868</v>
      </c>
      <c r="C12612" s="5" t="str">
        <f>IFERROR(__xludf.DUMMYFUNCTION("GOOGLETRANSLATE(B12612,""en"",""it"")"),"Un arbitro donna è ora in piedi con le sue due armi in alto e lei li fa cadere per indicare che le due squadre possono iniziare a tirarli sulla corda, e lo fanno fino a quando non soffia un fischio per indicare il vincitore.")</f>
        <v>Un arbitro donna è ora in piedi con le sue due armi in alto e lei li fa cadere per indicare che le due squadre possono iniziare a tirarli sulla corda, e lo fanno fino a quando non soffia un fischio per indicare il vincitore.</v>
      </c>
    </row>
    <row r="12613">
      <c r="A12613" s="4" t="s">
        <v>15864</v>
      </c>
      <c r="B12613" s="6" t="s">
        <v>15869</v>
      </c>
      <c r="C12613" s="5" t="str">
        <f>IFERROR(__xludf.DUMMYFUNCTION("GOOGLETRANSLATE(B12613,""en"",""it"")"),"Due cortometraggi giocano e mostra una partita di tiro alla fune femminile, quindi un uomo ma non mostra molto e poi va direttamente agli scatti all'aperto della città e il testo sullo schermo appare con il logo della rete, il sito Web, e diritti del vide"&amp;"o.")</f>
        <v>Due cortometraggi giocano e mostra una partita di tiro alla fune femminile, quindi un uomo ma non mostra molto e poi va direttamente agli scatti all'aperto della città e il testo sullo schermo appare con il logo della rete, il sito Web, e diritti del video.</v>
      </c>
    </row>
    <row r="12614">
      <c r="A12614" s="4" t="s">
        <v>15870</v>
      </c>
      <c r="B12614" s="4" t="s">
        <v>15871</v>
      </c>
      <c r="C12614" s="5" t="str">
        <f>IFERROR(__xludf.DUMMYFUNCTION("GOOGLETRANSLATE(B12614,""en"",""it"")"),"Un uomo guida un'auto, l'auto si ferma con una gomma a terra.")</f>
        <v>Un uomo guida un'auto, l'auto si ferma con una gomma a terra.</v>
      </c>
    </row>
    <row r="12615">
      <c r="A12615" s="4" t="s">
        <v>15870</v>
      </c>
      <c r="B12615" s="4" t="s">
        <v>15872</v>
      </c>
      <c r="C12615" s="5" t="str">
        <f>IFERROR(__xludf.DUMMYFUNCTION("GOOGLETRANSLATE(B12615,""en"",""it"")"),"L'uomo spegne le luci di emergenza e quindi utilizza un kit di riparazione per gonfiare il pneumatico.")</f>
        <v>L'uomo spegne le luci di emergenza e quindi utilizza un kit di riparazione per gonfiare il pneumatico.</v>
      </c>
    </row>
    <row r="12616">
      <c r="A12616" s="4" t="s">
        <v>15870</v>
      </c>
      <c r="B12616" s="4" t="s">
        <v>15873</v>
      </c>
      <c r="C12616" s="5" t="str">
        <f>IFERROR(__xludf.DUMMYFUNCTION("GOOGLETRANSLATE(B12616,""en"",""it"")"),"Quindi, l'uomo fa avanzare un po 'l'auto e la gomma si gonfia.")</f>
        <v>Quindi, l'uomo fa avanzare un po 'l'auto e la gomma si gonfia.</v>
      </c>
    </row>
    <row r="12617">
      <c r="A12617" s="4" t="s">
        <v>15870</v>
      </c>
      <c r="B12617" s="4" t="s">
        <v>15874</v>
      </c>
      <c r="C12617" s="5" t="str">
        <f>IFERROR(__xludf.DUMMYFUNCTION("GOOGLETRANSLATE(B12617,""en"",""it"")"),"Dopo, l'uomo guida la sua auto.")</f>
        <v>Dopo, l'uomo guida la sua auto.</v>
      </c>
    </row>
    <row r="12618">
      <c r="A12618" s="4" t="s">
        <v>15875</v>
      </c>
      <c r="B12618" s="4" t="s">
        <v>15876</v>
      </c>
      <c r="C12618" s="5" t="str">
        <f>IFERROR(__xludf.DUMMYFUNCTION("GOOGLETRANSLATE(B12618,""en"",""it"")"),"Una grande pila di foglie si vede che soffia attorno a un cortile mentre una persona usa uno strumento per spingerli.")</f>
        <v>Una grande pila di foglie si vede che soffia attorno a un cortile mentre una persona usa uno strumento per spingerli.</v>
      </c>
    </row>
    <row r="12619">
      <c r="A12619" s="4" t="s">
        <v>15875</v>
      </c>
      <c r="B12619" s="6" t="s">
        <v>15877</v>
      </c>
      <c r="C12619" s="5" t="str">
        <f>IFERROR(__xludf.DUMMYFUNCTION("GOOGLETRANSLATE(B12619,""en"",""it"")"),"La fotocamera continua a catturare l'uomo che soffia le foglie e utilizza diversi effetti della fotocamera sui telai.")</f>
        <v>La fotocamera continua a catturare l'uomo che soffia le foglie e utilizza diversi effetti della fotocamera sui telai.</v>
      </c>
    </row>
    <row r="12620">
      <c r="A12620" s="4" t="s">
        <v>15878</v>
      </c>
      <c r="B12620" s="6" t="s">
        <v>15879</v>
      </c>
      <c r="C12620" s="5" t="str">
        <f>IFERROR(__xludf.DUMMYFUNCTION("GOOGLETRANSLATE(B12620,""en"",""it"")"),"Un piccolo gruppo di persone viene visto cavalcare kayak lungo un fiume ruvido con una persona che esegue un capovolgimento nell'acqua.")</f>
        <v>Un piccolo gruppo di persone viene visto cavalcare kayak lungo un fiume ruvido con una persona che esegue un capovolgimento nell'acqua.</v>
      </c>
    </row>
    <row r="12621">
      <c r="A12621" s="4" t="s">
        <v>15878</v>
      </c>
      <c r="B12621" s="4" t="s">
        <v>15880</v>
      </c>
      <c r="C12621" s="5" t="str">
        <f>IFERROR(__xludf.DUMMYFUNCTION("GOOGLETRANSLATE(B12621,""en"",""it"")"),"La persona esegue molti altri lanci con la fotocamera lo cattura da lontano.")</f>
        <v>La persona esegue molti altri lanci con la fotocamera lo cattura da lontano.</v>
      </c>
    </row>
    <row r="12622">
      <c r="A12622" s="4" t="s">
        <v>15881</v>
      </c>
      <c r="B12622" s="4" t="s">
        <v>15882</v>
      </c>
      <c r="C12622" s="5" t="str">
        <f>IFERROR(__xludf.DUMMYFUNCTION("GOOGLETRANSLATE(B12622,""en"",""it"")"),"Vediamo gli schermi del titolo di apertura.")</f>
        <v>Vediamo gli schermi del titolo di apertura.</v>
      </c>
    </row>
    <row r="12623">
      <c r="A12623" s="4" t="s">
        <v>15881</v>
      </c>
      <c r="B12623" s="4" t="s">
        <v>15883</v>
      </c>
      <c r="C12623" s="5" t="str">
        <f>IFERROR(__xludf.DUMMYFUNCTION("GOOGLETRANSLATE(B12623,""en"",""it"")"),"Un uomo entra in una stanza e afferra un secchio e torna con esso.")</f>
        <v>Un uomo entra in una stanza e afferra un secchio e torna con esso.</v>
      </c>
    </row>
    <row r="12624">
      <c r="A12624" s="4" t="s">
        <v>15881</v>
      </c>
      <c r="B12624" s="4" t="s">
        <v>15884</v>
      </c>
      <c r="C12624" s="5" t="str">
        <f>IFERROR(__xludf.DUMMYFUNCTION("GOOGLETRANSLATE(B12624,""en"",""it"")"),"Vediamo un uomo in una camicia luminosa mescolare l'intonaco in un secchio e diffonderlo su un muro.")</f>
        <v>Vediamo un uomo in una camicia luminosa mescolare l'intonaco in un secchio e diffonderlo su un muro.</v>
      </c>
    </row>
    <row r="12625">
      <c r="A12625" s="4" t="s">
        <v>15881</v>
      </c>
      <c r="B12625" s="4" t="s">
        <v>15885</v>
      </c>
      <c r="C12625" s="5" t="str">
        <f>IFERROR(__xludf.DUMMYFUNCTION("GOOGLETRANSLATE(B12625,""en"",""it"")"),"L'uomo aggiunge più intonaco alla sua base e lo diffonde sul muro.")</f>
        <v>L'uomo aggiunge più intonaco alla sua base e lo diffonde sul muro.</v>
      </c>
    </row>
    <row r="12626">
      <c r="A12626" s="4" t="s">
        <v>15886</v>
      </c>
      <c r="B12626" s="6" t="s">
        <v>15887</v>
      </c>
      <c r="C12626" s="5" t="str">
        <f>IFERROR(__xludf.DUMMYFUNCTION("GOOGLETRANSLATE(B12626,""en"",""it"")"),"Vengono mostrate varie persone che cavalcano i cavalli con bastoncini in aria e si snodano l'uno verso l'altro.")</f>
        <v>Vengono mostrate varie persone che cavalcano i cavalli con bastoncini in aria e si snodano l'uno verso l'altro.</v>
      </c>
    </row>
    <row r="12627">
      <c r="A12627" s="4" t="s">
        <v>15886</v>
      </c>
      <c r="B12627" s="4" t="s">
        <v>15888</v>
      </c>
      <c r="C12627" s="5" t="str">
        <f>IFERROR(__xludf.DUMMYFUNCTION("GOOGLETRANSLATE(B12627,""en"",""it"")"),"Le persone entrano e fuori dalla cornice e le persone continuano a muoversi sui cavalli.")</f>
        <v>Le persone entrano e fuori dalla cornice e le persone continuano a muoversi sui cavalli.</v>
      </c>
    </row>
    <row r="12628">
      <c r="A12628" s="4" t="s">
        <v>15889</v>
      </c>
      <c r="B12628" s="4" t="s">
        <v>15890</v>
      </c>
      <c r="C12628" s="5" t="str">
        <f>IFERROR(__xludf.DUMMYFUNCTION("GOOGLETRANSLATE(B12628,""en"",""it"")"),"Un uomo si siede su una sedia che mette le sue scarpe da ginnastica e indica una volpe che corre.")</f>
        <v>Un uomo si siede su una sedia che mette le sue scarpe da ginnastica e indica una volpe che corre.</v>
      </c>
    </row>
    <row r="12629">
      <c r="A12629" s="4" t="s">
        <v>15889</v>
      </c>
      <c r="B12629" s="6" t="s">
        <v>15891</v>
      </c>
      <c r="C12629" s="5" t="str">
        <f>IFERROR(__xludf.DUMMYFUNCTION("GOOGLETRANSLATE(B12629,""en"",""it"")"),"La volpe si trova vicino all'uomo e salta su e giù in grembo mentre continua a indossare le scarpe.")</f>
        <v>La volpe si trova vicino all'uomo e salta su e giù in grembo mentre continua a indossare le scarpe.</v>
      </c>
    </row>
    <row r="12630">
      <c r="A12630" s="4" t="s">
        <v>15892</v>
      </c>
      <c r="B12630" s="4" t="s">
        <v>15893</v>
      </c>
      <c r="C12630" s="5" t="str">
        <f>IFERROR(__xludf.DUMMYFUNCTION("GOOGLETRANSLATE(B12630,""en"",""it"")"),"Una persona mette il nastro su un divano in pelle per formare un quadrato.")</f>
        <v>Una persona mette il nastro su un divano in pelle per formare un quadrato.</v>
      </c>
    </row>
    <row r="12631">
      <c r="A12631" s="4" t="s">
        <v>15892</v>
      </c>
      <c r="B12631" s="4" t="s">
        <v>15894</v>
      </c>
      <c r="C12631" s="5" t="str">
        <f>IFERROR(__xludf.DUMMYFUNCTION("GOOGLETRANSLATE(B12631,""en"",""it"")"),"Quindi, la persona applica schiuma a una spugna e pulisce all'interno del quadrato.")</f>
        <v>Quindi, la persona applica schiuma a una spugna e pulisce all'interno del quadrato.</v>
      </c>
    </row>
    <row r="12632">
      <c r="A12632" s="4" t="s">
        <v>15892</v>
      </c>
      <c r="B12632" s="4" t="s">
        <v>15895</v>
      </c>
      <c r="C12632" s="5" t="str">
        <f>IFERROR(__xludf.DUMMYFUNCTION("GOOGLETRANSLATE(B12632,""en"",""it"")"),"Dopo, la persona pulisce con un panno e sbuccia il nastro.")</f>
        <v>Dopo, la persona pulisce con un panno e sbuccia il nastro.</v>
      </c>
    </row>
    <row r="12633">
      <c r="A12633" s="4" t="s">
        <v>15892</v>
      </c>
      <c r="B12633" s="4" t="s">
        <v>15896</v>
      </c>
      <c r="C12633" s="5" t="str">
        <f>IFERROR(__xludf.DUMMYFUNCTION("GOOGLETRANSLATE(B12633,""en"",""it"")"),"Successivamente, la persona pulisce tutto il divano mette in schiuma su un panno e strofina il divano.")</f>
        <v>Successivamente, la persona pulisce tutto il divano mette in schiuma su un panno e strofina il divano.</v>
      </c>
    </row>
    <row r="12634">
      <c r="A12634" s="4" t="s">
        <v>15897</v>
      </c>
      <c r="B12634" s="4" t="s">
        <v>15898</v>
      </c>
      <c r="C12634" s="5" t="str">
        <f>IFERROR(__xludf.DUMMYFUNCTION("GOOGLETRANSLATE(B12634,""en"",""it"")"),"Una macchina per lucidare le scarpe si trova in un soggiorno.")</f>
        <v>Una macchina per lucidare le scarpe si trova in un soggiorno.</v>
      </c>
    </row>
    <row r="12635">
      <c r="A12635" s="4" t="s">
        <v>15897</v>
      </c>
      <c r="B12635" s="4" t="s">
        <v>15899</v>
      </c>
      <c r="C12635" s="5" t="str">
        <f>IFERROR(__xludf.DUMMYFUNCTION("GOOGLETRANSLATE(B12635,""en"",""it"")"),"Un uomo si avvicina alla macchina per lucidare le scarpe a accenderlo.")</f>
        <v>Un uomo si avvicina alla macchina per lucidare le scarpe a accenderlo.</v>
      </c>
    </row>
    <row r="12636">
      <c r="A12636" s="4" t="s">
        <v>15897</v>
      </c>
      <c r="B12636" s="4" t="s">
        <v>15900</v>
      </c>
      <c r="C12636" s="5" t="str">
        <f>IFERROR(__xludf.DUMMYFUNCTION("GOOGLETRANSLATE(B12636,""en"",""it"")"),"L'uomo che indossa jeans blu inizia a boschettare le scarpe nere.")</f>
        <v>L'uomo che indossa jeans blu inizia a boschettare le scarpe nere.</v>
      </c>
    </row>
    <row r="12637">
      <c r="A12637" s="4" t="s">
        <v>15897</v>
      </c>
      <c r="B12637" s="4" t="s">
        <v>15901</v>
      </c>
      <c r="C12637" s="5" t="str">
        <f>IFERROR(__xludf.DUMMYFUNCTION("GOOGLETRANSLATE(B12637,""en"",""it"")"),"L'uomo inizia quindi a sfiorare e lucidare le sue scarpe marroni.")</f>
        <v>L'uomo inizia quindi a sfiorare e lucidare le sue scarpe marroni.</v>
      </c>
    </row>
    <row r="12638">
      <c r="A12638" s="4" t="s">
        <v>15897</v>
      </c>
      <c r="B12638" s="4" t="s">
        <v>15902</v>
      </c>
      <c r="C12638" s="5" t="str">
        <f>IFERROR(__xludf.DUMMYFUNCTION("GOOGLETRANSLATE(B12638,""en"",""it"")"),"L'uomo si avvicina alla macchina per lucidare le scarpe e sfiora le sue scarpe da ginnastica grigie.")</f>
        <v>L'uomo si avvicina alla macchina per lucidare le scarpe e sfiora le sue scarpe da ginnastica grigie.</v>
      </c>
    </row>
    <row r="12639">
      <c r="A12639" s="4" t="s">
        <v>15897</v>
      </c>
      <c r="B12639" s="4" t="s">
        <v>15903</v>
      </c>
      <c r="C12639" s="5" t="str">
        <f>IFERROR(__xludf.DUMMYFUNCTION("GOOGLETRANSLATE(B12639,""en"",""it"")"),"L'uomo si accovaccia e tira fuori un cestino da sotto la macchina per lucidare.")</f>
        <v>L'uomo si accovaccia e tira fuori un cestino da sotto la macchina per lucidare.</v>
      </c>
    </row>
    <row r="12640">
      <c r="A12640" s="4" t="s">
        <v>15904</v>
      </c>
      <c r="B12640" s="6" t="s">
        <v>15905</v>
      </c>
      <c r="C12640" s="5" t="str">
        <f>IFERROR(__xludf.DUMMYFUNCTION("GOOGLETRANSLATE(B12640,""en"",""it"")"),"Un folto gruppo di persone viene visto in una folla quando un uomo che tiene un set di tubi di borse si alza e dà a tutti le corna del diavolo.")</f>
        <v>Un folto gruppo di persone viene visto in una folla quando un uomo che tiene un set di tubi di borse si alza e dà a tutti le corna del diavolo.</v>
      </c>
    </row>
    <row r="12641">
      <c r="A12641" s="4" t="s">
        <v>15904</v>
      </c>
      <c r="B12641" s="4" t="s">
        <v>15906</v>
      </c>
      <c r="C12641" s="5" t="str">
        <f>IFERROR(__xludf.DUMMYFUNCTION("GOOGLETRANSLATE(B12641,""en"",""it"")"),"Restituiscono le corna e l'uomo suona mentre cammina su e giù per il palco.")</f>
        <v>Restituiscono le corna e l'uomo suona mentre cammina su e giù per il palco.</v>
      </c>
    </row>
    <row r="12642">
      <c r="A12642" s="4" t="s">
        <v>15907</v>
      </c>
      <c r="B12642" s="4" t="s">
        <v>15908</v>
      </c>
      <c r="C12642" s="5" t="str">
        <f>IFERROR(__xludf.DUMMYFUNCTION("GOOGLETRANSLATE(B12642,""en"",""it"")"),"Vengono mostrati diversi segni per i negozi di tatuaggi, insieme a una ragazza che parla alla telecamera.")</f>
        <v>Vengono mostrati diversi segni per i negozi di tatuaggi, insieme a una ragazza che parla alla telecamera.</v>
      </c>
    </row>
    <row r="12643">
      <c r="A12643" s="4" t="s">
        <v>15907</v>
      </c>
      <c r="B12643" s="4" t="s">
        <v>15909</v>
      </c>
      <c r="C12643" s="5" t="str">
        <f>IFERROR(__xludf.DUMMYFUNCTION("GOOGLETRANSLATE(B12643,""en"",""it"")"),"Mostra il tatuaggio che vuole ottenere.")</f>
        <v>Mostra il tatuaggio che vuole ottenere.</v>
      </c>
    </row>
    <row r="12644">
      <c r="A12644" s="4" t="s">
        <v>15907</v>
      </c>
      <c r="B12644" s="4" t="s">
        <v>15910</v>
      </c>
      <c r="C12644" s="5" t="str">
        <f>IFERROR(__xludf.DUMMYFUNCTION("GOOGLETRANSLATE(B12644,""en"",""it"")"),"La donna si siede su una sedia mentre un tatuatore si fa un fiocco di neve sul braccio.")</f>
        <v>La donna si siede su una sedia mentre un tatuatore si fa un fiocco di neve sul braccio.</v>
      </c>
    </row>
    <row r="12645">
      <c r="A12645" s="4" t="s">
        <v>15907</v>
      </c>
      <c r="B12645" s="4" t="s">
        <v>15911</v>
      </c>
      <c r="C12645" s="5" t="str">
        <f>IFERROR(__xludf.DUMMYFUNCTION("GOOGLETRANSLATE(B12645,""en"",""it"")"),"Parla con la telecamera per tutto il tempo mentre la inserisce.")</f>
        <v>Parla con la telecamera per tutto il tempo mentre la inserisce.</v>
      </c>
    </row>
    <row r="12646">
      <c r="A12646" s="4" t="s">
        <v>15907</v>
      </c>
      <c r="B12646" s="4" t="s">
        <v>15912</v>
      </c>
      <c r="C12646" s="5" t="str">
        <f>IFERROR(__xludf.DUMMYFUNCTION("GOOGLETRANSLATE(B12646,""en"",""it"")"),"Successivamente, mostra il suo tatuaggio completato e ne parla.")</f>
        <v>Successivamente, mostra il suo tatuaggio completato e ne parla.</v>
      </c>
    </row>
    <row r="12647">
      <c r="A12647" s="4" t="s">
        <v>15913</v>
      </c>
      <c r="B12647" s="4" t="s">
        <v>15914</v>
      </c>
      <c r="C12647" s="5" t="str">
        <f>IFERROR(__xludf.DUMMYFUNCTION("GOOGLETRANSLATE(B12647,""en"",""it"")"),"Un uomo è in palestra.")</f>
        <v>Un uomo è in palestra.</v>
      </c>
    </row>
    <row r="12648">
      <c r="A12648" s="4" t="s">
        <v>15913</v>
      </c>
      <c r="B12648" s="4" t="s">
        <v>15915</v>
      </c>
      <c r="C12648" s="5" t="str">
        <f>IFERROR(__xludf.DUMMYFUNCTION("GOOGLETRANSLATE(B12648,""en"",""it"")"),"Si china e raccoglie un peso grande.")</f>
        <v>Si china e raccoglie un peso grande.</v>
      </c>
    </row>
    <row r="12649">
      <c r="A12649" s="4" t="s">
        <v>15913</v>
      </c>
      <c r="B12649" s="4" t="s">
        <v>15916</v>
      </c>
      <c r="C12649" s="5" t="str">
        <f>IFERROR(__xludf.DUMMYFUNCTION("GOOGLETRANSLATE(B12649,""en"",""it"")"),"Lo mette giù e parla alla telecamera.")</f>
        <v>Lo mette giù e parla alla telecamera.</v>
      </c>
    </row>
    <row r="12650">
      <c r="A12650" s="4" t="s">
        <v>15917</v>
      </c>
      <c r="B12650" s="4" t="s">
        <v>15918</v>
      </c>
      <c r="C12650" s="5" t="str">
        <f>IFERROR(__xludf.DUMMYFUNCTION("GOOGLETRANSLATE(B12650,""en"",""it"")"),"La donna sta cavalcando un cammello mentre parla con la telecamera.")</f>
        <v>La donna sta cavalcando un cammello mentre parla con la telecamera.</v>
      </c>
    </row>
    <row r="12651">
      <c r="A12651" s="4" t="s">
        <v>15917</v>
      </c>
      <c r="B12651" s="4" t="s">
        <v>15919</v>
      </c>
      <c r="C12651" s="5" t="str">
        <f>IFERROR(__xludf.DUMMYFUNCTION("GOOGLETRANSLATE(B12651,""en"",""it"")"),"Un uomo sta guidando il cammello e dà cibo al cammello.")</f>
        <v>Un uomo sta guidando il cammello e dà cibo al cammello.</v>
      </c>
    </row>
    <row r="12652">
      <c r="A12652" s="4" t="s">
        <v>15917</v>
      </c>
      <c r="B12652" s="4" t="s">
        <v>15920</v>
      </c>
      <c r="C12652" s="5" t="str">
        <f>IFERROR(__xludf.DUMMYFUNCTION("GOOGLETRANSLATE(B12652,""en"",""it"")"),"La donna sta riferendo mentre è sul retro del cammello.")</f>
        <v>La donna sta riferendo mentre è sul retro del cammello.</v>
      </c>
    </row>
    <row r="12653">
      <c r="A12653" s="4" t="s">
        <v>15921</v>
      </c>
      <c r="B12653" s="4" t="s">
        <v>15922</v>
      </c>
      <c r="C12653" s="5" t="str">
        <f>IFERROR(__xludf.DUMMYFUNCTION("GOOGLETRANSLATE(B12653,""en"",""it"")"),"Una persona apre un rubinetto e bagna le mani.")</f>
        <v>Una persona apre un rubinetto e bagna le mani.</v>
      </c>
    </row>
    <row r="12654">
      <c r="A12654" s="4" t="s">
        <v>15921</v>
      </c>
      <c r="B12654" s="4" t="s">
        <v>15923</v>
      </c>
      <c r="C12654" s="5" t="str">
        <f>IFERROR(__xludf.DUMMYFUNCTION("GOOGLETRANSLATE(B12654,""en"",""it"")"),"La persona usa il sapone per strofinare vigorosamente le mani.")</f>
        <v>La persona usa il sapone per strofinare vigorosamente le mani.</v>
      </c>
    </row>
    <row r="12655">
      <c r="A12655" s="4" t="s">
        <v>15921</v>
      </c>
      <c r="B12655" s="4" t="s">
        <v>15924</v>
      </c>
      <c r="C12655" s="5" t="str">
        <f>IFERROR(__xludf.DUMMYFUNCTION("GOOGLETRANSLATE(B12655,""en"",""it"")"),"Dopo, la persona sciacqua la mano accuratamente con molta acqua.")</f>
        <v>Dopo, la persona sciacqua la mano accuratamente con molta acqua.</v>
      </c>
    </row>
    <row r="12656">
      <c r="A12656" s="4" t="s">
        <v>15921</v>
      </c>
      <c r="B12656" s="4" t="s">
        <v>15925</v>
      </c>
      <c r="C12656" s="5" t="str">
        <f>IFERROR(__xludf.DUMMYFUNCTION("GOOGLETRANSLATE(B12656,""en"",""it"")"),"Dopo che la persona asciuga le mani con un asciugamano pulito e gira il lavandino usando l'asciugamano.")</f>
        <v>Dopo che la persona asciuga le mani con un asciugamano pulito e gira il lavandino usando l'asciugamano.</v>
      </c>
    </row>
    <row r="12657">
      <c r="A12657" s="4" t="s">
        <v>15926</v>
      </c>
      <c r="B12657" s="4" t="s">
        <v>15927</v>
      </c>
      <c r="C12657" s="5" t="str">
        <f>IFERROR(__xludf.DUMMYFUNCTION("GOOGLETRANSLATE(B12657,""en"",""it"")"),"Le parole ""Speed ​​Cubing 53 sec"" appaiono su uno schermo nero.")</f>
        <v>Le parole "Speed ​​Cubing 53 sec" appaiono su uno schermo nero.</v>
      </c>
    </row>
    <row r="12658">
      <c r="A12658" s="4" t="s">
        <v>15926</v>
      </c>
      <c r="B12658" s="4" t="s">
        <v>15928</v>
      </c>
      <c r="C12658" s="5" t="str">
        <f>IFERROR(__xludf.DUMMYFUNCTION("GOOGLETRANSLATE(B12658,""en"",""it"")"),"Un giovane si siede a un tavolo e inizia a giocare con un cubo di Rubik.")</f>
        <v>Un giovane si siede a un tavolo e inizia a giocare con un cubo di Rubik.</v>
      </c>
    </row>
    <row r="12659">
      <c r="A12659" s="4" t="s">
        <v>15926</v>
      </c>
      <c r="B12659" s="4" t="s">
        <v>15929</v>
      </c>
      <c r="C12659" s="5" t="str">
        <f>IFERROR(__xludf.DUMMYFUNCTION("GOOGLETRANSLATE(B12659,""en"",""it"")"),"L'uomo risolve il puzzle completando tutti i lati del cubo e lo schermo diventa nero.")</f>
        <v>L'uomo risolve il puzzle completando tutti i lati del cubo e lo schermo diventa nero.</v>
      </c>
    </row>
    <row r="12660">
      <c r="A12660" s="4" t="s">
        <v>15930</v>
      </c>
      <c r="B12660" s="4" t="s">
        <v>15931</v>
      </c>
      <c r="C12660" s="5" t="str">
        <f>IFERROR(__xludf.DUMMYFUNCTION("GOOGLETRANSLATE(B12660,""en"",""it"")"),"Un gatto si sta graffiando le zampe sul tappeto.")</f>
        <v>Un gatto si sta graffiando le zampe sul tappeto.</v>
      </c>
    </row>
    <row r="12661">
      <c r="A12661" s="4" t="s">
        <v>15930</v>
      </c>
      <c r="B12661" s="4" t="s">
        <v>15932</v>
      </c>
      <c r="C12661" s="5" t="str">
        <f>IFERROR(__xludf.DUMMYFUNCTION("GOOGLETRANSLATE(B12661,""en"",""it"")"),"Un uomo tiene la zampa dei gatti e inizia a tagliarsi le unghie.")</f>
        <v>Un uomo tiene la zampa dei gatti e inizia a tagliarsi le unghie.</v>
      </c>
    </row>
    <row r="12662">
      <c r="A12662" s="4" t="s">
        <v>15930</v>
      </c>
      <c r="B12662" s="4" t="s">
        <v>15933</v>
      </c>
      <c r="C12662" s="5" t="str">
        <f>IFERROR(__xludf.DUMMYFUNCTION("GOOGLETRANSLATE(B12662,""en"",""it"")"),"Tiene fuori il gatto.")</f>
        <v>Tiene fuori il gatto.</v>
      </c>
    </row>
    <row r="12663">
      <c r="A12663" s="4" t="s">
        <v>15934</v>
      </c>
      <c r="B12663" s="4" t="s">
        <v>15935</v>
      </c>
      <c r="C12663" s="5" t="str">
        <f>IFERROR(__xludf.DUMMYFUNCTION("GOOGLETRANSLATE(B12663,""en"",""it"")"),"Un gruppo di persone si riunisce su un asfalto.")</f>
        <v>Un gruppo di persone si riunisce su un asfalto.</v>
      </c>
    </row>
    <row r="12664">
      <c r="A12664" s="4" t="s">
        <v>15934</v>
      </c>
      <c r="B12664" s="4" t="s">
        <v>15936</v>
      </c>
      <c r="C12664" s="5" t="str">
        <f>IFERROR(__xludf.DUMMYFUNCTION("GOOGLETRANSLATE(B12664,""en"",""it"")"),"Saliranno sull'aereo prima di decollare, mostrando la pista e le nuvole nel cielo.")</f>
        <v>Saliranno sull'aereo prima di decollare, mostrando la pista e le nuvole nel cielo.</v>
      </c>
    </row>
    <row r="12665">
      <c r="A12665" s="4" t="s">
        <v>15934</v>
      </c>
      <c r="B12665" s="4" t="s">
        <v>15937</v>
      </c>
      <c r="C12665" s="5" t="str">
        <f>IFERROR(__xludf.DUMMYFUNCTION("GOOGLETRANSLATE(B12665,""en"",""it"")"),"Sono in un aeroporto, quindi guidano lungo la strada.")</f>
        <v>Sono in un aeroporto, quindi guidano lungo la strada.</v>
      </c>
    </row>
    <row r="12666">
      <c r="A12666" s="4" t="s">
        <v>15934</v>
      </c>
      <c r="B12666" s="4" t="s">
        <v>15938</v>
      </c>
      <c r="C12666" s="5" t="str">
        <f>IFERROR(__xludf.DUMMYFUNCTION("GOOGLETRANSLATE(B12666,""en"",""it"")"),"Finalmente stanno cavalcando una barca nel coean, guardando una mappa e noleggiando le acque.")</f>
        <v>Finalmente stanno cavalcando una barca nel coean, guardando una mappa e noleggiando le acque.</v>
      </c>
    </row>
    <row r="12667">
      <c r="A12667" s="4" t="s">
        <v>15934</v>
      </c>
      <c r="B12667" s="4" t="s">
        <v>15939</v>
      </c>
      <c r="C12667" s="5" t="str">
        <f>IFERROR(__xludf.DUMMYFUNCTION("GOOGLETRANSLATE(B12667,""en"",""it"")"),"Vanno surfing nelle grandi onde.")</f>
        <v>Vanno surfing nelle grandi onde.</v>
      </c>
    </row>
    <row r="12668">
      <c r="A12668" s="4" t="s">
        <v>15940</v>
      </c>
      <c r="B12668" s="6" t="s">
        <v>15941</v>
      </c>
      <c r="C12668" s="5" t="str">
        <f>IFERROR(__xludf.DUMMYFUNCTION("GOOGLETRANSLATE(B12668,""en"",""it"")"),"Un'introduzione arriva sullo schermo per un video che mostrerà una demo di alcuni prodotti di pulizia.")</f>
        <v>Un'introduzione arriva sullo schermo per un video che mostrerà una demo di alcuni prodotti di pulizia.</v>
      </c>
    </row>
    <row r="12669">
      <c r="A12669" s="4" t="s">
        <v>15940</v>
      </c>
      <c r="B12669" s="4" t="s">
        <v>15942</v>
      </c>
      <c r="C12669" s="5" t="str">
        <f>IFERROR(__xludf.DUMMYFUNCTION("GOOGLETRANSLATE(B12669,""en"",""it"")"),"Un uomo sullo schermo inizia a descrivere un mop e un set di secchi che vengono utilizzati per la pulizia dei pavimenti.")</f>
        <v>Un uomo sullo schermo inizia a descrivere un mop e un set di secchi che vengono utilizzati per la pulizia dei pavimenti.</v>
      </c>
    </row>
    <row r="12670">
      <c r="A12670" s="4" t="s">
        <v>15940</v>
      </c>
      <c r="B12670" s="4" t="s">
        <v>15943</v>
      </c>
      <c r="C12670" s="5" t="str">
        <f>IFERROR(__xludf.DUMMYFUNCTION("GOOGLETRANSLATE(B12670,""en"",""it"")"),"Quindi inizia a dimostrare come usare il mop e il set di secchi.")</f>
        <v>Quindi inizia a dimostrare come usare il mop e il set di secchi.</v>
      </c>
    </row>
    <row r="12671">
      <c r="A12671" s="4" t="s">
        <v>15940</v>
      </c>
      <c r="B12671" s="4" t="s">
        <v>15944</v>
      </c>
      <c r="C12671" s="5" t="str">
        <f>IFERROR(__xludf.DUMMYFUNCTION("GOOGLETRANSLATE(B12671,""en"",""it"")"),"Successivamente mostra i secchi da vicino e inizia a descrivere come usare i secchi.")</f>
        <v>Successivamente mostra i secchi da vicino e inizia a descrivere come usare i secchi.</v>
      </c>
    </row>
    <row r="12672">
      <c r="A12672" s="4" t="s">
        <v>15940</v>
      </c>
      <c r="B12672" s="4" t="s">
        <v>15945</v>
      </c>
      <c r="C12672" s="5" t="str">
        <f>IFERROR(__xludf.DUMMYFUNCTION("GOOGLETRANSLATE(B12672,""en"",""it"")"),"Alla fine del video vengono mostrati i crediti di chiusura.")</f>
        <v>Alla fine del video vengono mostrati i crediti di chiusura.</v>
      </c>
    </row>
    <row r="12673">
      <c r="A12673" s="4" t="s">
        <v>15946</v>
      </c>
      <c r="B12673" s="4" t="s">
        <v>15947</v>
      </c>
      <c r="C12673" s="5" t="str">
        <f>IFERROR(__xludf.DUMMYFUNCTION("GOOGLETRANSLATE(B12673,""en"",""it"")"),"Una giovane donna su un cavallo bianco viene mostrata cavalcando attraverso il campo.")</f>
        <v>Una giovane donna su un cavallo bianco viene mostrata cavalcando attraverso il campo.</v>
      </c>
    </row>
    <row r="12674">
      <c r="A12674" s="4" t="s">
        <v>15946</v>
      </c>
      <c r="B12674" s="4" t="s">
        <v>15948</v>
      </c>
      <c r="C12674" s="5" t="str">
        <f>IFERROR(__xludf.DUMMYFUNCTION("GOOGLETRANSLATE(B12674,""en"",""it"")"),"La signora viene quindi mostrata esercitarsi su un tappetino blu facendo diversi allungamenti yoga.")</f>
        <v>La signora viene quindi mostrata esercitarsi su un tappetino blu facendo diversi allungamenti yoga.</v>
      </c>
    </row>
    <row r="12675">
      <c r="A12675" s="4" t="s">
        <v>15946</v>
      </c>
      <c r="B12675" s="4" t="s">
        <v>15949</v>
      </c>
      <c r="C12675" s="5" t="str">
        <f>IFERROR(__xludf.DUMMYFUNCTION("GOOGLETRANSLATE(B12675,""en"",""it"")"),"Dopo, è raffigurata a casa sua a parlare mentre era seduta sul divano.")</f>
        <v>Dopo, è raffigurata a casa sua a parlare mentre era seduta sul divano.</v>
      </c>
    </row>
    <row r="12676">
      <c r="A12676" s="4" t="s">
        <v>15946</v>
      </c>
      <c r="B12676" s="6" t="s">
        <v>15950</v>
      </c>
      <c r="C12676" s="5" t="str">
        <f>IFERROR(__xludf.DUMMYFUNCTION("GOOGLETRANSLATE(B12676,""en"",""it"")"),"Infine, lo schermo torna e viene mostrata a cavallo sul campo che attraversa la stalla.")</f>
        <v>Infine, lo schermo torna e viene mostrata a cavallo sul campo che attraversa la stalla.</v>
      </c>
    </row>
    <row r="12677">
      <c r="A12677" s="4" t="s">
        <v>15951</v>
      </c>
      <c r="B12677" s="6" t="s">
        <v>15952</v>
      </c>
      <c r="C12677" s="5" t="str">
        <f>IFERROR(__xludf.DUMMYFUNCTION("GOOGLETRANSLATE(B12677,""en"",""it"")"),"Un piccolo gruppo di persone viene visto pattinare sul ghiaccio giocando una partita di hockey l'uno contro l'altro.")</f>
        <v>Un piccolo gruppo di persone viene visto pattinare sul ghiaccio giocando una partita di hockey l'uno contro l'altro.</v>
      </c>
    </row>
    <row r="12678">
      <c r="A12678" s="4" t="s">
        <v>15951</v>
      </c>
      <c r="B12678" s="4" t="s">
        <v>15953</v>
      </c>
      <c r="C12678" s="5" t="str">
        <f>IFERROR(__xludf.DUMMYFUNCTION("GOOGLETRANSLATE(B12678,""en"",""it"")"),"Un membro segna mentre la telecamera si muove intorno a loro e un uomo che guarda.")</f>
        <v>Un membro segna mentre la telecamera si muove intorno a loro e un uomo che guarda.</v>
      </c>
    </row>
    <row r="12679">
      <c r="A12679" s="4" t="s">
        <v>15954</v>
      </c>
      <c r="B12679" s="4" t="s">
        <v>15955</v>
      </c>
      <c r="C12679" s="5" t="str">
        <f>IFERROR(__xludf.DUMMYFUNCTION("GOOGLETRANSLATE(B12679,""en"",""it"")"),"Un uomo viene visto in piedi in una grande fossa con un gruppo di bambini e insegna loro come stare in piedi.")</f>
        <v>Un uomo viene visto in piedi in una grande fossa con un gruppo di bambini e insegna loro come stare in piedi.</v>
      </c>
    </row>
    <row r="12680">
      <c r="A12680" s="4" t="s">
        <v>15954</v>
      </c>
      <c r="B12680" s="4" t="s">
        <v>15956</v>
      </c>
      <c r="C12680" s="5" t="str">
        <f>IFERROR(__xludf.DUMMYFUNCTION("GOOGLETRANSLATE(B12680,""en"",""it"")"),"I bambini poi si mettono in polvere sulle mani e l'uomo li insegue e si diverte.")</f>
        <v>I bambini poi si mettono in polvere sulle mani e l'uomo li insegue e si diverte.</v>
      </c>
    </row>
    <row r="12681">
      <c r="A12681" s="4" t="s">
        <v>15957</v>
      </c>
      <c r="B12681" s="4" t="s">
        <v>15958</v>
      </c>
      <c r="C12681" s="5" t="str">
        <f>IFERROR(__xludf.DUMMYFUNCTION("GOOGLETRANSLATE(B12681,""en"",""it"")"),"La telecamera si muove attorno a una donna atletica in piedi e altri che la guardano sul lato.")</f>
        <v>La telecamera si muove attorno a una donna atletica in piedi e altri che la guardano sul lato.</v>
      </c>
    </row>
    <row r="12682">
      <c r="A12682" s="4" t="s">
        <v>15957</v>
      </c>
      <c r="B12682" s="6" t="s">
        <v>15959</v>
      </c>
      <c r="C12682" s="5" t="str">
        <f>IFERROR(__xludf.DUMMYFUNCTION("GOOGLETRANSLATE(B12682,""en"",""it"")"),"Salta in alto sopra un palo e si allontana mentre il suo salto viene mostrato di nuovo al rallentatore e un altro corridore si fa avanti.")</f>
        <v>Salta in alto sopra un palo e si allontana mentre il suo salto viene mostrato di nuovo al rallentatore e un altro corridore si fa avanti.</v>
      </c>
    </row>
    <row r="12683">
      <c r="A12683" s="4" t="s">
        <v>15957</v>
      </c>
      <c r="B12683" s="6" t="s">
        <v>15960</v>
      </c>
      <c r="C12683" s="5" t="str">
        <f>IFERROR(__xludf.DUMMYFUNCTION("GOOGLETRANSLATE(B12683,""en"",""it"")"),"Diverse altre donne vengono mostrate saltare oltre il raggio mentre i loro punteggi vengono mostrati immediatamente dopo.")</f>
        <v>Diverse altre donne vengono mostrate saltare oltre il raggio mentre i loro punteggi vengono mostrati immediatamente dopo.</v>
      </c>
    </row>
    <row r="12684">
      <c r="A12684" s="4" t="s">
        <v>15961</v>
      </c>
      <c r="B12684" s="4" t="s">
        <v>15962</v>
      </c>
      <c r="C12684" s="5" t="str">
        <f>IFERROR(__xludf.DUMMYFUNCTION("GOOGLETRANSLATE(B12684,""en"",""it"")"),"Vediamo uno schermo di apertura come un film in bianco e nero.")</f>
        <v>Vediamo uno schermo di apertura come un film in bianco e nero.</v>
      </c>
    </row>
    <row r="12685">
      <c r="A12685" s="4" t="s">
        <v>15961</v>
      </c>
      <c r="B12685" s="4" t="s">
        <v>15963</v>
      </c>
      <c r="C12685" s="5" t="str">
        <f>IFERROR(__xludf.DUMMYFUNCTION("GOOGLETRANSLATE(B12685,""en"",""it"")"),"Vediamo quindi persone che si mettono in giro per la scherma.")</f>
        <v>Vediamo quindi persone che si mettono in giro per la scherma.</v>
      </c>
    </row>
    <row r="12686">
      <c r="A12686" s="4" t="s">
        <v>15961</v>
      </c>
      <c r="B12686" s="4" t="s">
        <v>15964</v>
      </c>
      <c r="C12686" s="5" t="str">
        <f>IFERROR(__xludf.DUMMYFUNCTION("GOOGLETRANSLATE(B12686,""en"",""it"")"),"I due uomini recingono tra gli schermi del titolo.")</f>
        <v>I due uomini recingono tra gli schermi del titolo.</v>
      </c>
    </row>
    <row r="12687">
      <c r="A12687" s="4" t="s">
        <v>15961</v>
      </c>
      <c r="B12687" s="4" t="s">
        <v>15965</v>
      </c>
      <c r="C12687" s="5" t="str">
        <f>IFERROR(__xludf.DUMMYFUNCTION("GOOGLETRANSLATE(B12687,""en"",""it"")"),"Gli uomini passano dall'esterno agli interni.")</f>
        <v>Gli uomini passano dall'esterno agli interni.</v>
      </c>
    </row>
    <row r="12688">
      <c r="A12688" s="4" t="s">
        <v>15961</v>
      </c>
      <c r="B12688" s="4" t="s">
        <v>15966</v>
      </c>
      <c r="C12688" s="5" t="str">
        <f>IFERROR(__xludf.DUMMYFUNCTION("GOOGLETRANSLATE(B12688,""en"",""it"")"),"Vediamo il casco di un uomo.")</f>
        <v>Vediamo il casco di un uomo.</v>
      </c>
    </row>
    <row r="12689">
      <c r="A12689" s="4" t="s">
        <v>15961</v>
      </c>
      <c r="B12689" s="4" t="s">
        <v>15967</v>
      </c>
      <c r="C12689" s="5" t="str">
        <f>IFERROR(__xludf.DUMMYFUNCTION("GOOGLETRANSLATE(B12689,""en"",""it"")"),"Vediamo un uomo che combatte al rallentatore.")</f>
        <v>Vediamo un uomo che combatte al rallentatore.</v>
      </c>
    </row>
    <row r="12690">
      <c r="A12690" s="4" t="s">
        <v>15961</v>
      </c>
      <c r="B12690" s="4" t="s">
        <v>15968</v>
      </c>
      <c r="C12690" s="5" t="str">
        <f>IFERROR(__xludf.DUMMYFUNCTION("GOOGLETRANSLATE(B12690,""en"",""it"")"),"Gli uomini finiscono e si allontanano l'uno dall'altro.")</f>
        <v>Gli uomini finiscono e si allontanano l'uno dall'altro.</v>
      </c>
    </row>
    <row r="12691">
      <c r="A12691" s="4" t="s">
        <v>15969</v>
      </c>
      <c r="B12691" s="4" t="s">
        <v>15970</v>
      </c>
      <c r="C12691" s="5" t="str">
        <f>IFERROR(__xludf.DUMMYFUNCTION("GOOGLETRANSLATE(B12691,""en"",""it"")"),"Un uomo prende un peso pesante.")</f>
        <v>Un uomo prende un peso pesante.</v>
      </c>
    </row>
    <row r="12692">
      <c r="A12692" s="4" t="s">
        <v>15969</v>
      </c>
      <c r="B12692" s="4" t="s">
        <v>15971</v>
      </c>
      <c r="C12692" s="5" t="str">
        <f>IFERROR(__xludf.DUMMYFUNCTION("GOOGLETRANSLATE(B12692,""en"",""it"")"),"Lo lascia cadere a terra.")</f>
        <v>Lo lascia cadere a terra.</v>
      </c>
    </row>
    <row r="12693">
      <c r="A12693" s="4" t="s">
        <v>15972</v>
      </c>
      <c r="B12693" s="6" t="s">
        <v>15973</v>
      </c>
      <c r="C12693" s="5" t="str">
        <f>IFERROR(__xludf.DUMMYFUNCTION("GOOGLETRANSLATE(B12693,""en"",""it"")"),"C'è una donna vestita con un abito marrone in piedi accanto a un'altra signora in blu che sta dimostrando una ricetta.")</f>
        <v>C'è una donna vestita con un abito marrone in piedi accanto a un'altra signora in blu che sta dimostrando una ricetta.</v>
      </c>
    </row>
    <row r="12694">
      <c r="A12694" s="4" t="s">
        <v>15972</v>
      </c>
      <c r="B12694" s="6" t="s">
        <v>15974</v>
      </c>
      <c r="C12694" s="5" t="str">
        <f>IFERROR(__xludf.DUMMYFUNCTION("GOOGLETRANSLATE(B12694,""en"",""it"")"),"Sono in piedi accanto al bancone della cucina che ha diverse ciotole piene di vari ingredienti.")</f>
        <v>Sono in piedi accanto al bancone della cucina che ha diverse ciotole piene di vari ingredienti.</v>
      </c>
    </row>
    <row r="12695">
      <c r="A12695" s="4" t="s">
        <v>15972</v>
      </c>
      <c r="B12695" s="4" t="s">
        <v>15975</v>
      </c>
      <c r="C12695" s="5" t="str">
        <f>IFERROR(__xludf.DUMMYFUNCTION("GOOGLETRANSLATE(B12695,""en"",""it"")"),"Lo chef parla delle ricette per cui gli ingredienti vengono utilizzati.")</f>
        <v>Lo chef parla delle ricette per cui gli ingredienti vengono utilizzati.</v>
      </c>
    </row>
    <row r="12696">
      <c r="A12696" s="4" t="s">
        <v>15972</v>
      </c>
      <c r="B12696" s="4" t="s">
        <v>15976</v>
      </c>
      <c r="C12696" s="5" t="str">
        <f>IFERROR(__xludf.DUMMYFUNCTION("GOOGLETRANSLATE(B12696,""en"",""it"")"),"C'è un piatto bianco con carne grattugiata sul bancone della cucina.")</f>
        <v>C'è un piatto bianco con carne grattugiata sul bancone della cucina.</v>
      </c>
    </row>
    <row r="12697">
      <c r="A12697" s="4" t="s">
        <v>15972</v>
      </c>
      <c r="B12697" s="4" t="s">
        <v>15977</v>
      </c>
      <c r="C12697" s="5" t="str">
        <f>IFERROR(__xludf.DUMMYFUNCTION("GOOGLETRANSLATE(B12697,""en"",""it"")"),"Lo chef quindi raccoglie il piatto di carne e lo dà alla signora in marrone.")</f>
        <v>Lo chef quindi raccoglie il piatto di carne e lo dà alla signora in marrone.</v>
      </c>
    </row>
    <row r="12698">
      <c r="A12698" s="4" t="s">
        <v>15972</v>
      </c>
      <c r="B12698" s="4" t="s">
        <v>15978</v>
      </c>
      <c r="C12698" s="5" t="str">
        <f>IFERROR(__xludf.DUMMYFUNCTION("GOOGLETRANSLATE(B12698,""en"",""it"")"),"Il presentatore quindi svuota la carne in una ciotola blu.")</f>
        <v>Il presentatore quindi svuota la carne in una ciotola blu.</v>
      </c>
    </row>
    <row r="12699">
      <c r="A12699" s="4" t="s">
        <v>15972</v>
      </c>
      <c r="B12699" s="4" t="s">
        <v>15979</v>
      </c>
      <c r="C12699" s="5" t="str">
        <f>IFERROR(__xludf.DUMMYFUNCTION("GOOGLETRANSLATE(B12699,""en"",""it"")"),"Lo chef continua a spiegare la ricetta.")</f>
        <v>Lo chef continua a spiegare la ricetta.</v>
      </c>
    </row>
    <row r="12700">
      <c r="A12700" s="4" t="s">
        <v>15972</v>
      </c>
      <c r="B12700" s="4" t="s">
        <v>15980</v>
      </c>
      <c r="C12700" s="5" t="str">
        <f>IFERROR(__xludf.DUMMYFUNCTION("GOOGLETRANSLATE(B12700,""en"",""it"")"),"Quindi aggiungono un po 'di cetriolo tritato alla ciotola blu e mescolano con un cucchiaio.")</f>
        <v>Quindi aggiungono un po 'di cetriolo tritato alla ciotola blu e mescolano con un cucchiaio.</v>
      </c>
    </row>
    <row r="12701">
      <c r="A12701" s="4" t="s">
        <v>15972</v>
      </c>
      <c r="B12701" s="4" t="s">
        <v>15981</v>
      </c>
      <c r="C12701" s="5" t="str">
        <f>IFERROR(__xludf.DUMMYFUNCTION("GOOGLETRANSLATE(B12701,""en"",""it"")"),"Lo chef mostra i cetrioli che ha usato nell'insalata.")</f>
        <v>Lo chef mostra i cetrioli che ha usato nell'insalata.</v>
      </c>
    </row>
    <row r="12702">
      <c r="A12702" s="4" t="s">
        <v>15972</v>
      </c>
      <c r="B12702" s="4" t="s">
        <v>15982</v>
      </c>
      <c r="C12702" s="5" t="str">
        <f>IFERROR(__xludf.DUMMYFUNCTION("GOOGLETRANSLATE(B12702,""en"",""it"")"),"Quindi aggiungono pomodorini tritati, seguiti da cipolle bianche a fette e alcune verdure a foglia verde.")</f>
        <v>Quindi aggiungono pomodorini tritati, seguiti da cipolle bianche a fette e alcune verdure a foglia verde.</v>
      </c>
    </row>
    <row r="12703">
      <c r="A12703" s="4" t="s">
        <v>15972</v>
      </c>
      <c r="B12703" s="4" t="s">
        <v>15983</v>
      </c>
      <c r="C12703" s="5" t="str">
        <f>IFERROR(__xludf.DUMMYFUNCTION("GOOGLETRANSLATE(B12703,""en"",""it"")"),"Quindi aggiungono un po 'di più guarnizione sopra l'insalata.")</f>
        <v>Quindi aggiungono un po 'di più guarnizione sopra l'insalata.</v>
      </c>
    </row>
    <row r="12704">
      <c r="A12704" s="4" t="s">
        <v>15984</v>
      </c>
      <c r="B12704" s="4" t="s">
        <v>15985</v>
      </c>
      <c r="C12704" s="5" t="str">
        <f>IFERROR(__xludf.DUMMYFUNCTION("GOOGLETRANSLATE(B12704,""en"",""it"")"),"Una ragazza si muove in un parco giochi al coperto.")</f>
        <v>Una ragazza si muove in un parco giochi al coperto.</v>
      </c>
    </row>
    <row r="12705">
      <c r="A12705" s="4" t="s">
        <v>15984</v>
      </c>
      <c r="B12705" s="4" t="s">
        <v>15986</v>
      </c>
      <c r="C12705" s="5" t="str">
        <f>IFERROR(__xludf.DUMMYFUNCTION("GOOGLETRANSLATE(B12705,""en"",""it"")"),"La ragazza scivola giù e si arrampica su uno scivolo con il ragazzo.")</f>
        <v>La ragazza scivola giù e si arrampica su uno scivolo con il ragazzo.</v>
      </c>
    </row>
    <row r="12706">
      <c r="A12706" s="4" t="s">
        <v>15984</v>
      </c>
      <c r="B12706" s="4" t="s">
        <v>15987</v>
      </c>
      <c r="C12706" s="5" t="str">
        <f>IFERROR(__xludf.DUMMYFUNCTION("GOOGLETRANSLATE(B12706,""en"",""it"")"),"Un dito tocca i capelli e la testa delle ragazze.")</f>
        <v>Un dito tocca i capelli e la testa delle ragazze.</v>
      </c>
    </row>
    <row r="12707">
      <c r="A12707" s="4" t="s">
        <v>15988</v>
      </c>
      <c r="B12707" s="4" t="s">
        <v>15989</v>
      </c>
      <c r="C12707" s="5" t="str">
        <f>IFERROR(__xludf.DUMMYFUNCTION("GOOGLETRANSLATE(B12707,""en"",""it"")"),"Un uomo tiene un Hummer si trova a terra.")</f>
        <v>Un uomo tiene un Hummer si trova a terra.</v>
      </c>
    </row>
    <row r="12708">
      <c r="A12708" s="4" t="s">
        <v>15988</v>
      </c>
      <c r="B12708" s="4" t="s">
        <v>15990</v>
      </c>
      <c r="C12708" s="5" t="str">
        <f>IFERROR(__xludf.DUMMYFUNCTION("GOOGLETRANSLATE(B12708,""en"",""it"")"),"Quindi, l'uomo gira il martello più volte e lo getta lontano.")</f>
        <v>Quindi, l'uomo gira il martello più volte e lo getta lontano.</v>
      </c>
    </row>
    <row r="12709">
      <c r="A12709" s="4" t="s">
        <v>15988</v>
      </c>
      <c r="B12709" s="4" t="s">
        <v>15991</v>
      </c>
      <c r="C12709" s="5" t="str">
        <f>IFERROR(__xludf.DUMMYFUNCTION("GOOGLETRANSLATE(B12709,""en"",""it"")"),"Un altro uomo esegue il lancio del martello mentre le persone guardano.")</f>
        <v>Un altro uomo esegue il lancio del martello mentre le persone guardano.</v>
      </c>
    </row>
    <row r="12710">
      <c r="A12710" s="4" t="s">
        <v>15992</v>
      </c>
      <c r="B12710" s="4" t="s">
        <v>15993</v>
      </c>
      <c r="C12710" s="5" t="str">
        <f>IFERROR(__xludf.DUMMYFUNCTION("GOOGLETRANSLATE(B12710,""en"",""it"")"),"Ci sono molte persone in costume da bagno in piedi in un lago con barche a motore dietro di loro.")</f>
        <v>Ci sono molte persone in costume da bagno in piedi in un lago con barche a motore dietro di loro.</v>
      </c>
    </row>
    <row r="12711">
      <c r="A12711" s="4" t="s">
        <v>15992</v>
      </c>
      <c r="B12711" s="6" t="s">
        <v>15994</v>
      </c>
      <c r="C12711" s="5" t="str">
        <f>IFERROR(__xludf.DUMMYFUNCTION("GOOGLETRANSLATE(B12711,""en"",""it"")"),"Una ragazza che indossa un bikini e tiene in mano una lattina di coca in mano è strofinare la protezione solare sul petto di un'altra donna.")</f>
        <v>Una ragazza che indossa un bikini e tiene in mano una lattina di coca in mano è strofinare la protezione solare sul petto di un'altra donna.</v>
      </c>
    </row>
    <row r="12712">
      <c r="A12712" s="4" t="s">
        <v>15992</v>
      </c>
      <c r="B12712" s="4" t="s">
        <v>15995</v>
      </c>
      <c r="C12712" s="5" t="str">
        <f>IFERROR(__xludf.DUMMYFUNCTION("GOOGLETRANSLATE(B12712,""en"",""it"")"),"Ci sono alcuni uomini in piedi nei bauli da nuoto dietro di loro, che si parlano.")</f>
        <v>Ci sono alcuni uomini in piedi nei bauli da nuoto dietro di loro, che si parlano.</v>
      </c>
    </row>
    <row r="12713">
      <c r="A12713" s="4" t="s">
        <v>15996</v>
      </c>
      <c r="B12713" s="4" t="s">
        <v>15997</v>
      </c>
      <c r="C12713" s="5" t="str">
        <f>IFERROR(__xludf.DUMMYFUNCTION("GOOGLETRANSLATE(B12713,""en"",""it"")"),"Vengono mostrati ritagli di notizie di un giocatore di polo d'acqua, così come immagini e immagini fisse.")</f>
        <v>Vengono mostrati ritagli di notizie di un giocatore di polo d'acqua, così come immagini e immagini fisse.</v>
      </c>
    </row>
    <row r="12714">
      <c r="A12714" s="4" t="s">
        <v>15996</v>
      </c>
      <c r="B12714" s="4" t="s">
        <v>15998</v>
      </c>
      <c r="C12714" s="5" t="str">
        <f>IFERROR(__xludf.DUMMYFUNCTION("GOOGLETRANSLATE(B12714,""en"",""it"")"),"Vediamo quindi i giochi di polo d'acqua in video, mentre i giocatori cercano di lanciare la palla in una rete.")</f>
        <v>Vediamo quindi i giochi di polo d'acqua in video, mentre i giocatori cercano di lanciare la palla in una rete.</v>
      </c>
    </row>
    <row r="12715">
      <c r="A12715" s="4" t="s">
        <v>15996</v>
      </c>
      <c r="B12715" s="4" t="s">
        <v>15999</v>
      </c>
      <c r="C12715" s="5" t="str">
        <f>IFERROR(__xludf.DUMMYFUNCTION("GOOGLETRANSLATE(B12715,""en"",""it"")"),"Le persone combattono sopra la palla e una piccola folla applaude e applausi.")</f>
        <v>Le persone combattono sopra la palla e una piccola folla applaude e applausi.</v>
      </c>
    </row>
    <row r="12716">
      <c r="A12716" s="4" t="s">
        <v>16000</v>
      </c>
      <c r="B12716" s="4" t="s">
        <v>16001</v>
      </c>
      <c r="C12716" s="5" t="str">
        <f>IFERROR(__xludf.DUMMYFUNCTION("GOOGLETRANSLATE(B12716,""en"",""it"")"),"Una folla è raccolta attorno a una zona piastrellata nera.")</f>
        <v>Una folla è raccolta attorno a una zona piastrellata nera.</v>
      </c>
    </row>
    <row r="12717">
      <c r="A12717" s="4" t="s">
        <v>16000</v>
      </c>
      <c r="B12717" s="4" t="s">
        <v>16002</v>
      </c>
      <c r="C12717" s="5" t="str">
        <f>IFERROR(__xludf.DUMMYFUNCTION("GOOGLETRANSLATE(B12717,""en"",""it"")"),"Un uomo in nero fa delle mosse di rottura.")</f>
        <v>Un uomo in nero fa delle mosse di rottura.</v>
      </c>
    </row>
    <row r="12718">
      <c r="A12718" s="4" t="s">
        <v>16000</v>
      </c>
      <c r="B12718" s="6" t="s">
        <v>16003</v>
      </c>
      <c r="C12718" s="5" t="str">
        <f>IFERROR(__xludf.DUMMYFUNCTION("GOOGLETRANSLATE(B12718,""en"",""it"")"),"Quindi scambia con un uomo in bianco, diversi breakdancers scambiano mosse mentre la folla guarda.")</f>
        <v>Quindi scambia con un uomo in bianco, diversi breakdancers scambiano mosse mentre la folla guarda.</v>
      </c>
    </row>
    <row r="12719">
      <c r="A12719" s="4" t="s">
        <v>16000</v>
      </c>
      <c r="B12719" s="4" t="s">
        <v>16004</v>
      </c>
      <c r="C12719" s="5" t="str">
        <f>IFERROR(__xludf.DUMMYFUNCTION("GOOGLETRANSLATE(B12719,""en"",""it"")"),"Infine, l'ultimo breakdancer termina la sua routine.")</f>
        <v>Infine, l'ultimo breakdancer termina la sua routine.</v>
      </c>
    </row>
    <row r="12720">
      <c r="A12720" s="4" t="s">
        <v>16005</v>
      </c>
      <c r="B12720" s="4" t="s">
        <v>16006</v>
      </c>
      <c r="C12720" s="5" t="str">
        <f>IFERROR(__xludf.DUMMYFUNCTION("GOOGLETRANSLATE(B12720,""en"",""it"")"),"Una partita di polo viene tenuta all'aperto in un campo.")</f>
        <v>Una partita di polo viene tenuta all'aperto in un campo.</v>
      </c>
    </row>
    <row r="12721">
      <c r="A12721" s="4" t="s">
        <v>16005</v>
      </c>
      <c r="B12721" s="4" t="s">
        <v>16007</v>
      </c>
      <c r="C12721" s="5" t="str">
        <f>IFERROR(__xludf.DUMMYFUNCTION("GOOGLETRANSLATE(B12721,""en"",""it"")"),"Un giocatore su un cavallo colpisce la palla.")</f>
        <v>Un giocatore su un cavallo colpisce la palla.</v>
      </c>
    </row>
    <row r="12722">
      <c r="A12722" s="4" t="s">
        <v>16005</v>
      </c>
      <c r="B12722" s="4" t="s">
        <v>16008</v>
      </c>
      <c r="C12722" s="5" t="str">
        <f>IFERROR(__xludf.DUMMYFUNCTION("GOOGLETRANSLATE(B12722,""en"",""it"")"),"Viene mostrato un ampio scatto dell'azione sul campo di polo.")</f>
        <v>Viene mostrato un ampio scatto dell'azione sul campo di polo.</v>
      </c>
    </row>
    <row r="12723">
      <c r="A12723" s="4" t="s">
        <v>16009</v>
      </c>
      <c r="B12723" s="6" t="s">
        <v>16010</v>
      </c>
      <c r="C12723" s="5" t="str">
        <f>IFERROR(__xludf.DUMMYFUNCTION("GOOGLETRANSLATE(B12723,""en"",""it"")"),"Viene vista una giovane donna parlare alla telecamera e conduce a mostrarle i capelli, quindi lega a una coda di cavallo.")</f>
        <v>Viene vista una giovane donna parlare alla telecamera e conduce a mostrarle i capelli, quindi lega a una coda di cavallo.</v>
      </c>
    </row>
    <row r="12724">
      <c r="A12724" s="4" t="s">
        <v>16009</v>
      </c>
      <c r="B12724" s="6" t="s">
        <v>16011</v>
      </c>
      <c r="C12724" s="5" t="str">
        <f>IFERROR(__xludf.DUMMYFUNCTION("GOOGLETRANSLATE(B12724,""en"",""it"")"),"Si sposta sui capelli e poi le intreccia la frangia seguita spingendo la treccia in una coda di cavallo.")</f>
        <v>Si sposta sui capelli e poi le intreccia la frangia seguita spingendo la treccia in una coda di cavallo.</v>
      </c>
    </row>
    <row r="12725">
      <c r="A12725" s="4" t="s">
        <v>16009</v>
      </c>
      <c r="B12725" s="4" t="s">
        <v>16012</v>
      </c>
      <c r="C12725" s="5" t="str">
        <f>IFERROR(__xludf.DUMMYFUNCTION("GOOGLETRANSLATE(B12725,""en"",""it"")"),"Alla fine si mette un arco tra i capelli e sorride alla telecamera.")</f>
        <v>Alla fine si mette un arco tra i capelli e sorride alla telecamera.</v>
      </c>
    </row>
    <row r="12726">
      <c r="A12726" s="4" t="s">
        <v>16013</v>
      </c>
      <c r="B12726" s="6" t="s">
        <v>16014</v>
      </c>
      <c r="C12726" s="5" t="str">
        <f>IFERROR(__xludf.DUMMYFUNCTION("GOOGLETRANSLATE(B12726,""en"",""it"")"),"Viene visualizzato uno schermo bianco e vengono visualizzate le facce felici e le parole di testo nere leggi ""Happyface Entertainment"".")</f>
        <v>Viene visualizzato uno schermo bianco e vengono visualizzate le facce felici e le parole di testo nere leggi "Happyface Entertainment".</v>
      </c>
    </row>
    <row r="12727">
      <c r="A12727" s="4" t="s">
        <v>16013</v>
      </c>
      <c r="B12727" s="6" t="s">
        <v>16015</v>
      </c>
      <c r="C12727" s="5" t="str">
        <f>IFERROR(__xludf.DUMMYFUNCTION("GOOGLETRANSLATE(B12727,""en"",""it"")"),"Ci sono due donne asiatiche in piedi faccia a faccia molto vicine l'una all'altra e che parlano di una lattina mentre i sottotitoli si presentano in fondo.")</f>
        <v>Ci sono due donne asiatiche in piedi faccia a faccia molto vicine l'una all'altra e che parlano di una lattina mentre i sottotitoli si presentano in fondo.</v>
      </c>
    </row>
    <row r="12728">
      <c r="A12728" s="4" t="s">
        <v>16013</v>
      </c>
      <c r="B12728" s="6" t="s">
        <v>16016</v>
      </c>
      <c r="C12728" s="5" t="str">
        <f>IFERROR(__xludf.DUMMYFUNCTION("GOOGLETRANSLATE(B12728,""en"",""it"")"),"La donna che tiene la bottiglia a destra cerca di svitare la bottiglia e fa fatica, quindi qualcuno lo raggiunge e la apre per lei e la consegna indietro.")</f>
        <v>La donna che tiene la bottiglia a destra cerca di svitare la bottiglia e fa fatica, quindi qualcuno lo raggiunge e la apre per lei e la consegna indietro.</v>
      </c>
    </row>
    <row r="12729">
      <c r="A12729" s="4" t="s">
        <v>16013</v>
      </c>
      <c r="B12729" s="6" t="s">
        <v>16017</v>
      </c>
      <c r="C12729" s="5" t="str">
        <f>IFERROR(__xludf.DUMMYFUNCTION("GOOGLETRANSLATE(B12729,""en"",""it"")"),"Le donne ridono, annusano il contenuto nella bottiglia e la bruna ne ha un po 'ed entrambi ridono.")</f>
        <v>Le donne ridono, annusano il contenuto nella bottiglia e la bruna ne ha un po 'ed entrambi ridono.</v>
      </c>
    </row>
    <row r="12730">
      <c r="A12730" s="4" t="s">
        <v>16018</v>
      </c>
      <c r="B12730" s="4" t="s">
        <v>16019</v>
      </c>
      <c r="C12730" s="5" t="str">
        <f>IFERROR(__xludf.DUMMYFUNCTION("GOOGLETRANSLATE(B12730,""en"",""it"")"),"Viene visualizzato uno schermo nero con le lettere e i numeri bianchi che dicono l'esame 2012.")</f>
        <v>Viene visualizzato uno schermo nero con le lettere e i numeri bianchi che dicono l'esame 2012.</v>
      </c>
    </row>
    <row r="12731">
      <c r="A12731" s="4" t="s">
        <v>16018</v>
      </c>
      <c r="B12731" s="6" t="s">
        <v>16020</v>
      </c>
      <c r="C12731" s="5" t="str">
        <f>IFERROR(__xludf.DUMMYFUNCTION("GOOGLETRANSLATE(B12731,""en"",""it"")"),"Viene mostrato un edificio all'aperto di due piani e le lettere bianche sullo schermo dicono Bolshoi Ballet Academy.")</f>
        <v>Viene mostrato un edificio all'aperto di due piani e le lettere bianche sullo schermo dicono Bolshoi Ballet Academy.</v>
      </c>
    </row>
    <row r="12732">
      <c r="A12732" s="4" t="s">
        <v>16018</v>
      </c>
      <c r="B12732" s="6" t="s">
        <v>16021</v>
      </c>
      <c r="C12732" s="5" t="str">
        <f>IFERROR(__xludf.DUMMYFUNCTION("GOOGLETRANSLATE(B12732,""en"",""it"")"),"Una donna bionda viene mostrata seduta in un piano e mentre inizia a suonare un mucchio di giovani donne vengono mostrate vestite con la loro attrezzatura da balletto e balleranno ballergo su un palco mentre le persone li guardano.")</f>
        <v>Una donna bionda viene mostrata seduta in un piano e mentre inizia a suonare un mucchio di giovani donne vengono mostrate vestite con la loro attrezzatura da balletto e balleranno ballergo su un palco mentre le persone li guardano.</v>
      </c>
    </row>
    <row r="12733">
      <c r="A12733" s="4" t="s">
        <v>16018</v>
      </c>
      <c r="B12733" s="6" t="s">
        <v>16022</v>
      </c>
      <c r="C12733" s="5" t="str">
        <f>IFERROR(__xludf.DUMMYFUNCTION("GOOGLETRANSLATE(B12733,""en"",""it"")"),"Alcune ragazze vengono mostrate indossando tutus che si attaccano direttamente, camminano sul palco e iniziano a ballare mentre il loro tuto che si attaccano a rimbalzare con loro.")</f>
        <v>Alcune ragazze vengono mostrate indossando tutus che si attaccano direttamente, camminano sul palco e iniziano a ballare mentre il loro tuto che si attaccano a rimbalzare con loro.</v>
      </c>
    </row>
    <row r="12734">
      <c r="A12734" s="4" t="s">
        <v>16018</v>
      </c>
      <c r="B12734" s="6" t="s">
        <v>16023</v>
      </c>
      <c r="C12734" s="5" t="str">
        <f>IFERROR(__xludf.DUMMYFUNCTION("GOOGLETRANSLATE(B12734,""en"",""it"")"),"Le donne terminano la loro routine di balletto e tutte camminano sul lato del palco per afferrare la mano della donna, tutte routine sul palco, si inchinano e tutte le danze di balletto celebrano la loro esibizione e danno un altro abbraccio.")</f>
        <v>Le donne terminano la loro routine di balletto e tutte camminano sul lato del palco per afferrare la mano della donna, tutte routine sul palco, si inchinano e tutte le danze di balletto celebrano la loro esibizione e danno un altro abbraccio.</v>
      </c>
    </row>
    <row r="12735">
      <c r="A12735" s="4" t="s">
        <v>16024</v>
      </c>
      <c r="B12735" s="4" t="s">
        <v>16025</v>
      </c>
      <c r="C12735" s="5" t="str">
        <f>IFERROR(__xludf.DUMMYFUNCTION("GOOGLETRANSLATE(B12735,""en"",""it"")"),"Un sandwich è seduto su un bancone.")</f>
        <v>Un sandwich è seduto su un bancone.</v>
      </c>
    </row>
    <row r="12736">
      <c r="A12736" s="4" t="s">
        <v>16024</v>
      </c>
      <c r="B12736" s="4" t="s">
        <v>16026</v>
      </c>
      <c r="C12736" s="5" t="str">
        <f>IFERROR(__xludf.DUMMYFUNCTION("GOOGLETRANSLATE(B12736,""en"",""it"")"),"Ci sono molte verdure intorno al panino.")</f>
        <v>Ci sono molte verdure intorno al panino.</v>
      </c>
    </row>
    <row r="12737">
      <c r="A12737" s="4" t="s">
        <v>16024</v>
      </c>
      <c r="B12737" s="4" t="s">
        <v>16027</v>
      </c>
      <c r="C12737" s="5" t="str">
        <f>IFERROR(__xludf.DUMMYFUNCTION("GOOGLETRANSLATE(B12737,""en"",""it"")"),"Una persona mette i cetrioli sopra il panino.")</f>
        <v>Una persona mette i cetrioli sopra il panino.</v>
      </c>
    </row>
    <row r="12738">
      <c r="A12738" s="4" t="s">
        <v>16028</v>
      </c>
      <c r="B12738" s="6" t="s">
        <v>16029</v>
      </c>
      <c r="C12738" s="5" t="str">
        <f>IFERROR(__xludf.DUMMYFUNCTION("GOOGLETRANSLATE(B12738,""en"",""it"")"),"Viene mostrato un uomo che fuma una sigaretta che gli soffia continuamente il fumo dalla bocca e guardando nella telecamera.")</f>
        <v>Viene mostrato un uomo che fuma una sigaretta che gli soffia continuamente il fumo dalla bocca e guardando nella telecamera.</v>
      </c>
    </row>
    <row r="12739">
      <c r="A12739" s="4" t="s">
        <v>16028</v>
      </c>
      <c r="B12739" s="4" t="s">
        <v>16030</v>
      </c>
      <c r="C12739" s="5" t="str">
        <f>IFERROR(__xludf.DUMMYFUNCTION("GOOGLETRANSLATE(B12739,""en"",""it"")"),"Mette gli occhiali da sole e continua a togliersi i sbuffi dalla sigaretta.")</f>
        <v>Mette gli occhiali da sole e continua a togliersi i sbuffi dalla sigaretta.</v>
      </c>
    </row>
    <row r="12740">
      <c r="A12740" s="4" t="s">
        <v>16028</v>
      </c>
      <c r="B12740" s="4" t="s">
        <v>16031</v>
      </c>
      <c r="C12740" s="5" t="str">
        <f>IFERROR(__xludf.DUMMYFUNCTION("GOOGLETRANSLATE(B12740,""en"",""it"")"),"Accetta la telecamera a una crepa sul pavimento e torna in faccia fumando fuori.")</f>
        <v>Accetta la telecamera a una crepa sul pavimento e torna in faccia fumando fuori.</v>
      </c>
    </row>
    <row r="12741">
      <c r="A12741" s="4" t="s">
        <v>16032</v>
      </c>
      <c r="B12741" s="4" t="s">
        <v>16033</v>
      </c>
      <c r="C12741" s="5" t="str">
        <f>IFERROR(__xludf.DUMMYFUNCTION("GOOGLETRANSLATE(B12741,""en"",""it"")"),"Due bambini piccoli visti seduti a un tavolo ridendo l'uno con l'altro.")</f>
        <v>Due bambini piccoli visti seduti a un tavolo ridendo l'uno con l'altro.</v>
      </c>
    </row>
    <row r="12742">
      <c r="A12742" s="4" t="s">
        <v>16032</v>
      </c>
      <c r="B12742" s="4" t="s">
        <v>16034</v>
      </c>
      <c r="C12742" s="5" t="str">
        <f>IFERROR(__xludf.DUMMYFUNCTION("GOOGLETRANSLATE(B12742,""en"",""it"")"),"Una ragazza viene vista dipingere le unghie di un altro mentre guarda in lontananza.")</f>
        <v>Una ragazza viene vista dipingere le unghie di un altro mentre guarda in lontananza.</v>
      </c>
    </row>
    <row r="12743">
      <c r="A12743" s="4" t="s">
        <v>16032</v>
      </c>
      <c r="B12743" s="4" t="s">
        <v>16035</v>
      </c>
      <c r="C12743" s="5" t="str">
        <f>IFERROR(__xludf.DUMMYFUNCTION("GOOGLETRANSLATE(B12743,""en"",""it"")"),"La ragazza continua a dipingere le unghie degli altri mentre ride nella telecamera.")</f>
        <v>La ragazza continua a dipingere le unghie degli altri mentre ride nella telecamera.</v>
      </c>
    </row>
    <row r="12744">
      <c r="A12744" s="4" t="s">
        <v>16036</v>
      </c>
      <c r="B12744" s="4" t="s">
        <v>16037</v>
      </c>
      <c r="C12744" s="5" t="str">
        <f>IFERROR(__xludf.DUMMYFUNCTION("GOOGLETRANSLATE(B12744,""en"",""it"")"),"Una persona prende un coltello e taglia le estremità di una patata, quindi la persona sbuccia la patata.")</f>
        <v>Una persona prende un coltello e taglia le estremità di una patata, quindi la persona sbuccia la patata.</v>
      </c>
    </row>
    <row r="12745">
      <c r="A12745" s="4" t="s">
        <v>16036</v>
      </c>
      <c r="B12745" s="4" t="s">
        <v>16038</v>
      </c>
      <c r="C12745" s="5" t="str">
        <f>IFERROR(__xludf.DUMMYFUNCTION("GOOGLETRANSLATE(B12745,""en"",""it"")"),"Dopo, la persona ha tagliato la patata in quadrati.")</f>
        <v>Dopo, la persona ha tagliato la patata in quadrati.</v>
      </c>
    </row>
    <row r="12746">
      <c r="A12746" s="4" t="s">
        <v>16039</v>
      </c>
      <c r="B12746" s="4" t="s">
        <v>16040</v>
      </c>
      <c r="C12746" s="5" t="str">
        <f>IFERROR(__xludf.DUMMYFUNCTION("GOOGLETRANSLATE(B12746,""en"",""it"")"),"Vediamo una scena di apertura rosa.")</f>
        <v>Vediamo una scena di apertura rosa.</v>
      </c>
    </row>
    <row r="12747">
      <c r="A12747" s="4" t="s">
        <v>16039</v>
      </c>
      <c r="B12747" s="4" t="s">
        <v>16041</v>
      </c>
      <c r="C12747" s="5" t="str">
        <f>IFERROR(__xludf.DUMMYFUNCTION("GOOGLETRANSLATE(B12747,""en"",""it"")"),"Una signora sale su scale e la gente è raccolta in una piazza all'aperto.")</f>
        <v>Una signora sale su scale e la gente è raccolta in una piazza all'aperto.</v>
      </c>
    </row>
    <row r="12748">
      <c r="A12748" s="4" t="s">
        <v>16039</v>
      </c>
      <c r="B12748" s="4" t="s">
        <v>16042</v>
      </c>
      <c r="C12748" s="5" t="str">
        <f>IFERROR(__xludf.DUMMYFUNCTION("GOOGLETRANSLATE(B12748,""en"",""it"")"),"Vediamo uno stendardo e le persone che si muovono sotto lo stendardo.")</f>
        <v>Vediamo uno stendardo e le persone che si muovono sotto lo stendardo.</v>
      </c>
    </row>
    <row r="12749">
      <c r="A12749" s="4" t="s">
        <v>16039</v>
      </c>
      <c r="B12749" s="4" t="s">
        <v>16043</v>
      </c>
      <c r="C12749" s="5" t="str">
        <f>IFERROR(__xludf.DUMMYFUNCTION("GOOGLETRANSLATE(B12749,""en"",""it"")"),"I corridori stanno correndo in una strada cittadina in una maratona.")</f>
        <v>I corridori stanno correndo in una strada cittadina in una maratona.</v>
      </c>
    </row>
    <row r="12750">
      <c r="A12750" s="4" t="s">
        <v>16039</v>
      </c>
      <c r="B12750" s="4" t="s">
        <v>16044</v>
      </c>
      <c r="C12750" s="5" t="str">
        <f>IFERROR(__xludf.DUMMYFUNCTION("GOOGLETRANSLATE(B12750,""en"",""it"")"),"Vediamo uno stadio simile a una struttura un km 8.")</f>
        <v>Vediamo uno stadio simile a una struttura un km 8.</v>
      </c>
    </row>
    <row r="12751">
      <c r="A12751" s="4" t="s">
        <v>16039</v>
      </c>
      <c r="B12751" s="4" t="s">
        <v>16045</v>
      </c>
      <c r="C12751" s="5" t="str">
        <f>IFERROR(__xludf.DUMMYFUNCTION("GOOGLETRANSLATE(B12751,""en"",""it"")"),"Vediamo una fontana che spruzza acqua.")</f>
        <v>Vediamo una fontana che spruzza acqua.</v>
      </c>
    </row>
    <row r="12752">
      <c r="A12752" s="4" t="s">
        <v>16039</v>
      </c>
      <c r="B12752" s="4" t="s">
        <v>16046</v>
      </c>
      <c r="C12752" s="5" t="str">
        <f>IFERROR(__xludf.DUMMYFUNCTION("GOOGLETRANSLATE(B12752,""en"",""it"")"),"Una band Mariachi si siede sul marciapiede che suona musica seguita da batteristi.")</f>
        <v>Una band Mariachi si siede sul marciapiede che suona musica seguita da batteristi.</v>
      </c>
    </row>
    <row r="12753">
      <c r="A12753" s="4" t="s">
        <v>16039</v>
      </c>
      <c r="B12753" s="4" t="s">
        <v>16047</v>
      </c>
      <c r="C12753" s="5" t="str">
        <f>IFERROR(__xludf.DUMMYFUNCTION("GOOGLETRANSLATE(B12753,""en"",""it"")"),"Vediamo la fine e una tazza di caffè e una medaglia.")</f>
        <v>Vediamo la fine e una tazza di caffè e una medaglia.</v>
      </c>
    </row>
    <row r="12754">
      <c r="A12754" s="4" t="s">
        <v>16039</v>
      </c>
      <c r="B12754" s="4" t="s">
        <v>16048</v>
      </c>
      <c r="C12754" s="5" t="str">
        <f>IFERROR(__xludf.DUMMYFUNCTION("GOOGLETRANSLATE(B12754,""en"",""it"")"),"Una foto di Lady acquista la sua foto con la band Mariachi.")</f>
        <v>Una foto di Lady acquista la sua foto con la band Mariachi.</v>
      </c>
    </row>
    <row r="12755">
      <c r="A12755" s="4" t="s">
        <v>16039</v>
      </c>
      <c r="B12755" s="4" t="s">
        <v>1998</v>
      </c>
      <c r="C12755" s="5" t="str">
        <f>IFERROR(__xludf.DUMMYFUNCTION("GOOGLETRANSLATE(B12755,""en"",""it"")"),"Viene mostrata la schermata del titolo finale.")</f>
        <v>Viene mostrata la schermata del titolo finale.</v>
      </c>
    </row>
    <row r="12756">
      <c r="A12756" s="4" t="s">
        <v>16049</v>
      </c>
      <c r="B12756" s="4" t="s">
        <v>16050</v>
      </c>
      <c r="C12756" s="5" t="str">
        <f>IFERROR(__xludf.DUMMYFUNCTION("GOOGLETRANSLATE(B12756,""en"",""it"")"),"C'è una ragazza che parla di allegria, ginnastica e crollo.")</f>
        <v>C'è una ragazza che parla di allegria, ginnastica e crollo.</v>
      </c>
    </row>
    <row r="12757">
      <c r="A12757" s="4" t="s">
        <v>16049</v>
      </c>
      <c r="B12757" s="4" t="s">
        <v>16051</v>
      </c>
      <c r="C12757" s="5" t="str">
        <f>IFERROR(__xludf.DUMMYFUNCTION("GOOGLETRANSLATE(B12757,""en"",""it"")"),"Sta dimostrando come fare capriole, cartwheels, arrotonda e schiena e frontale.")</f>
        <v>Sta dimostrando come fare capriole, cartwheels, arrotonda e schiena e frontale.</v>
      </c>
    </row>
    <row r="12758">
      <c r="A12758" s="4" t="s">
        <v>16049</v>
      </c>
      <c r="B12758" s="4" t="s">
        <v>16052</v>
      </c>
      <c r="C12758" s="5" t="str">
        <f>IFERROR(__xludf.DUMMYFUNCTION("GOOGLETRANSLATE(B12758,""en"",""it"")"),"Mostra anche varie altre mosse come la molla aerea, Tic-Tic e posteriore.")</f>
        <v>Mostra anche varie altre mosse come la molla aerea, Tic-Tic e posteriore.</v>
      </c>
    </row>
    <row r="12759">
      <c r="A12759" s="4" t="s">
        <v>16049</v>
      </c>
      <c r="B12759" s="6" t="s">
        <v>16053</v>
      </c>
      <c r="C12759" s="5" t="str">
        <f>IFERROR(__xludf.DUMMYFUNCTION("GOOGLETRANSLATE(B12759,""en"",""it"")"),"Continua a dimostrare diverse altre mosse ginnastiche muovendo rapidamente il suo corpo attraverso le lanci anteriori.")</f>
        <v>Continua a dimostrare diverse altre mosse ginnastiche muovendo rapidamente il suo corpo attraverso le lanci anteriori.</v>
      </c>
    </row>
    <row r="12760">
      <c r="A12760" s="4" t="s">
        <v>16054</v>
      </c>
      <c r="B12760" s="6" t="s">
        <v>16055</v>
      </c>
      <c r="C12760" s="5" t="str">
        <f>IFERROR(__xludf.DUMMYFUNCTION("GOOGLETRANSLATE(B12760,""en"",""it"")"),"Un uomo con la giacca marrone sta tirando fuori una freccia dalla tavola bersaglio, poi stava parlando con la telecamera, poi tirò fuori l'arco e iniziò a usarlo con l'arco per colpire la tavola bersaglio, gli sparò più volte gli archi.")</f>
        <v>Un uomo con la giacca marrone sta tirando fuori una freccia dalla tavola bersaglio, poi stava parlando con la telecamera, poi tirò fuori l'arco e iniziò a usarlo con l'arco per colpire la tavola bersaglio, gli sparò più volte gli archi.</v>
      </c>
    </row>
    <row r="12761">
      <c r="A12761" s="4" t="s">
        <v>16054</v>
      </c>
      <c r="B12761" s="4" t="s">
        <v>16056</v>
      </c>
      <c r="C12761" s="5" t="str">
        <f>IFERROR(__xludf.DUMMYFUNCTION("GOOGLETRANSLATE(B12761,""en"",""it"")"),"L'uomo andò alla tavola di destinazione e parlò con la telecamera.")</f>
        <v>L'uomo andò alla tavola di destinazione e parlò con la telecamera.</v>
      </c>
    </row>
    <row r="12762">
      <c r="A12762" s="4" t="s">
        <v>16057</v>
      </c>
      <c r="B12762" s="6" t="s">
        <v>16058</v>
      </c>
      <c r="C12762" s="5" t="str">
        <f>IFERROR(__xludf.DUMMYFUNCTION("GOOGLETRANSLATE(B12762,""en"",""it"")"),"Un ragazzo viene mostrato che oscilla su un pezzo di attrezzatura da ginnastica con altri che si allenano in background.")</f>
        <v>Un ragazzo viene mostrato che oscilla su un pezzo di attrezzatura da ginnastica con altri che si allenano in background.</v>
      </c>
    </row>
    <row r="12763">
      <c r="A12763" s="4" t="s">
        <v>16057</v>
      </c>
      <c r="B12763" s="6" t="s">
        <v>16059</v>
      </c>
      <c r="C12763" s="5" t="str">
        <f>IFERROR(__xludf.DUMMYFUNCTION("GOOGLETRANSLATE(B12763,""en"",""it"")"),"La fotocamera mostra diversi scatti di ragazzi diversi che oscillano sull'attrezzatura intorno e intorno con la fotocamera che si panoramica su diversi angoli.")</f>
        <v>La fotocamera mostra diversi scatti di ragazzi diversi che oscillano sull'attrezzatura intorno e intorno con la fotocamera che si panoramica su diversi angoli.</v>
      </c>
    </row>
    <row r="12764">
      <c r="A12764" s="4" t="s">
        <v>16060</v>
      </c>
      <c r="B12764" s="4" t="s">
        <v>16061</v>
      </c>
      <c r="C12764" s="5" t="str">
        <f>IFERROR(__xludf.DUMMYFUNCTION("GOOGLETRANSLATE(B12764,""en"",""it"")"),"Un uomo e una donna sono visti in piedi su una corsia da bowling con un'altra lettura in lontananza.")</f>
        <v>Un uomo e una donna sono visti in piedi su una corsia da bowling con un'altra lettura in lontananza.</v>
      </c>
    </row>
    <row r="12765">
      <c r="A12765" s="4" t="s">
        <v>16060</v>
      </c>
      <c r="B12765" s="4" t="s">
        <v>16062</v>
      </c>
      <c r="C12765" s="5" t="str">
        <f>IFERROR(__xludf.DUMMYFUNCTION("GOOGLETRANSLATE(B12765,""en"",""it"")"),"Una donna entra e parla con la donna bionda e le consegna delle scarpe da bowling.")</f>
        <v>Una donna entra e parla con la donna bionda e le consegna delle scarpe da bowling.</v>
      </c>
    </row>
    <row r="12766">
      <c r="A12766" s="4" t="s">
        <v>16060</v>
      </c>
      <c r="B12766" s="4" t="s">
        <v>16063</v>
      </c>
      <c r="C12766" s="5" t="str">
        <f>IFERROR(__xludf.DUMMYFUNCTION("GOOGLETRANSLATE(B12766,""en"",""it"")"),"L'uomo parla e la ragazza lancia la palla da bowling con i talloni.")</f>
        <v>L'uomo parla e la ragazza lancia la palla da bowling con i talloni.</v>
      </c>
    </row>
    <row r="12767">
      <c r="A12767" s="4" t="s">
        <v>16064</v>
      </c>
      <c r="B12767" s="4" t="s">
        <v>16065</v>
      </c>
      <c r="C12767" s="5" t="str">
        <f>IFERROR(__xludf.DUMMYFUNCTION("GOOGLETRANSLATE(B12767,""en"",""it"")"),"Il lanciatore lancia la palla alla pastella giocando a criquet.")</f>
        <v>Il lanciatore lancia la palla alla pastella giocando a criquet.</v>
      </c>
    </row>
    <row r="12768">
      <c r="A12768" s="4" t="s">
        <v>16064</v>
      </c>
      <c r="B12768" s="4" t="s">
        <v>16066</v>
      </c>
      <c r="C12768" s="5" t="str">
        <f>IFERROR(__xludf.DUMMYFUNCTION("GOOGLETRANSLATE(B12768,""en"",""it"")"),"La pastella sta combattendo con l'uomo e le altre persone cercano di calmarlo.")</f>
        <v>La pastella sta combattendo con l'uomo e le altre persone cercano di calmarlo.</v>
      </c>
    </row>
    <row r="12769">
      <c r="A12769" s="4" t="s">
        <v>16064</v>
      </c>
      <c r="B12769" s="4" t="s">
        <v>16067</v>
      </c>
      <c r="C12769" s="5" t="str">
        <f>IFERROR(__xludf.DUMMYFUNCTION("GOOGLETRANSLATE(B12769,""en"",""it"")"),"Un Lo di persone che indossano gli unifrom neri corrono sul campo combattendo.")</f>
        <v>Un Lo di persone che indossano gli unifrom neri corrono sul campo combattendo.</v>
      </c>
    </row>
    <row r="12770">
      <c r="A12770" s="4" t="s">
        <v>16068</v>
      </c>
      <c r="B12770" s="6" t="s">
        <v>16069</v>
      </c>
      <c r="C12770" s="5" t="str">
        <f>IFERROR(__xludf.DUMMYFUNCTION("GOOGLETRANSLATE(B12770,""en"",""it"")"),"Vengono viste varie donne che camminano con un tiro mette in mano seguiti da più colpi di atleti che camminano, lanciano la palla e salutano la folla.")</f>
        <v>Vengono viste varie donne che camminano con un tiro mette in mano seguiti da più colpi di atleti che camminano, lanciano la palla e salutano la folla.</v>
      </c>
    </row>
    <row r="12771">
      <c r="A12771" s="4" t="s">
        <v>16068</v>
      </c>
      <c r="B12771" s="6" t="s">
        <v>16070</v>
      </c>
      <c r="C12771" s="5" t="str">
        <f>IFERROR(__xludf.DUMMYFUNCTION("GOOGLETRANSLATE(B12771,""en"",""it"")"),"Il video continua con diversi scatti di atleta che lanciano un tiro, oltre a fare il tifo alla folla e si muove.")</f>
        <v>Il video continua con diversi scatti di atleta che lanciano un tiro, oltre a fare il tifo alla folla e si muove.</v>
      </c>
    </row>
    <row r="12772">
      <c r="A12772" s="4" t="s">
        <v>16071</v>
      </c>
      <c r="B12772" s="6" t="s">
        <v>16072</v>
      </c>
      <c r="C12772" s="5" t="str">
        <f>IFERROR(__xludf.DUMMYFUNCTION("GOOGLETRANSLATE(B12772,""en"",""it"")"),"Due uomini suonano cornamusa, mentre sono fotografati in una cerimonia militare e di polizia all'aperto con un oratore in un podio circondato da uomini in uniforme e di fronte a un pubblico formalmente seduto.")</f>
        <v>Due uomini suonano cornamusa, mentre sono fotografati in una cerimonia militare e di polizia all'aperto con un oratore in un podio circondato da uomini in uniforme e di fronte a un pubblico formalmente seduto.</v>
      </c>
    </row>
    <row r="12773">
      <c r="A12773" s="4" t="s">
        <v>16071</v>
      </c>
      <c r="B12773" s="6" t="s">
        <v>16073</v>
      </c>
      <c r="C12773" s="5" t="str">
        <f>IFERROR(__xludf.DUMMYFUNCTION("GOOGLETRANSLATE(B12773,""en"",""it"")"),"Due uomini giocano a cornamusa davanti a una fila di agenti di polizia e un uomo in uniforme militare, il tutto come fotografo scatta la loro foto dal basso.")</f>
        <v>Due uomini giocano a cornamusa davanti a una fila di agenti di polizia e un uomo in uniforme militare, il tutto come fotografo scatta la loro foto dal basso.</v>
      </c>
    </row>
    <row r="12774">
      <c r="A12774" s="4" t="s">
        <v>16071</v>
      </c>
      <c r="B12774" s="6" t="s">
        <v>16074</v>
      </c>
      <c r="C12774" s="5" t="str">
        <f>IFERROR(__xludf.DUMMYFUNCTION("GOOGLETRANSLATE(B12774,""en"",""it"")"),"La telecamera si muove a un uomo in giacca e cravatta in un podio di fronte a un gruppo di persone che si trovano insieme alle file di persone in uniforme dietro l'altoparlante.")</f>
        <v>La telecamera si muove a un uomo in giacca e cravatta in un podio di fronte a un gruppo di persone che si trovano insieme alle file di persone in uniforme dietro l'altoparlante.</v>
      </c>
    </row>
    <row r="12775">
      <c r="A12775" s="4" t="s">
        <v>16071</v>
      </c>
      <c r="B12775" s="6" t="s">
        <v>16075</v>
      </c>
      <c r="C12775" s="5" t="str">
        <f>IFERROR(__xludf.DUMMYFUNCTION("GOOGLETRANSLATE(B12775,""en"",""it"")"),"La telecamera quindi si muove a tre aerei militari che volano in alto nell'ambito della cerimonia prima di tornare al popolo, che sono in piedi, di fronte all'uomo al podio.")</f>
        <v>La telecamera quindi si muove a tre aerei militari che volano in alto nell'ambito della cerimonia prima di tornare al popolo, che sono in piedi, di fronte all'uomo al podio.</v>
      </c>
    </row>
    <row r="12776">
      <c r="A12776" s="4" t="s">
        <v>16076</v>
      </c>
      <c r="B12776" s="6" t="s">
        <v>16077</v>
      </c>
      <c r="C12776" s="5" t="str">
        <f>IFERROR(__xludf.DUMMYFUNCTION("GOOGLETRANSLATE(B12776,""en"",""it"")"),"Vengono mostrati colpi di persone in piedi sui lati, così come un gruppo di ragazze che giocano a rimorchiarsi l'uno con l'altro.")</f>
        <v>Vengono mostrati colpi di persone in piedi sui lati, così come un gruppo di ragazze che giocano a rimorchiarsi l'uno con l'altro.</v>
      </c>
    </row>
    <row r="12777">
      <c r="A12777" s="4" t="s">
        <v>16076</v>
      </c>
      <c r="B12777" s="6" t="s">
        <v>16078</v>
      </c>
      <c r="C12777" s="5" t="str">
        <f>IFERROR(__xludf.DUMMYFUNCTION("GOOGLETRANSLATE(B12777,""en"",""it"")"),"Vengono mostrati diversi altri colpi di ragazze che giocano a tiro la guerra l'uno contro l'altro mentre le persone festeggiano sui lati e con i loro compagni di squadra.")</f>
        <v>Vengono mostrati diversi altri colpi di ragazze che giocano a tiro la guerra l'uno contro l'altro mentre le persone festeggiano sui lati e con i loro compagni di squadra.</v>
      </c>
    </row>
    <row r="12778">
      <c r="A12778" s="4" t="s">
        <v>16079</v>
      </c>
      <c r="B12778" s="4" t="s">
        <v>16080</v>
      </c>
      <c r="C12778" s="5" t="str">
        <f>IFERROR(__xludf.DUMMYFUNCTION("GOOGLETRANSLATE(B12778,""en"",""it"")"),"Un uomo che indossa i guanti è sulle sue mani e le ginocchia usando uno strumento elettrico che sta creando scintille.")</f>
        <v>Un uomo che indossa i guanti è sulle sue mani e le ginocchia usando uno strumento elettrico che sta creando scintille.</v>
      </c>
    </row>
    <row r="12779">
      <c r="A12779" s="4" t="s">
        <v>16079</v>
      </c>
      <c r="B12779" s="4" t="s">
        <v>16081</v>
      </c>
      <c r="C12779" s="5" t="str">
        <f>IFERROR(__xludf.DUMMYFUNCTION("GOOGLETRANSLATE(B12779,""en"",""it"")"),"Continua a usare l'oggetto mentre la telecamera osserva e finisce di bruciare l'oggetto.")</f>
        <v>Continua a usare l'oggetto mentre la telecamera osserva e finisce di bruciare l'oggetto.</v>
      </c>
    </row>
    <row r="12780">
      <c r="A12780" s="4" t="s">
        <v>16082</v>
      </c>
      <c r="B12780" s="4" t="s">
        <v>16083</v>
      </c>
      <c r="C12780" s="5" t="str">
        <f>IFERROR(__xludf.DUMMYFUNCTION("GOOGLETRANSLATE(B12780,""en"",""it"")"),"Il ragazzo è in piedi davanti a una porta che parla con altri ragazzi di fronte a una cucina.")</f>
        <v>Il ragazzo è in piedi davanti a una porta che parla con altri ragazzi di fronte a una cucina.</v>
      </c>
    </row>
    <row r="12781">
      <c r="A12781" s="4" t="s">
        <v>16082</v>
      </c>
      <c r="B12781" s="4" t="s">
        <v>16084</v>
      </c>
      <c r="C12781" s="5" t="str">
        <f>IFERROR(__xludf.DUMMYFUNCTION("GOOGLETRANSLATE(B12781,""en"",""it"")"),"L'uomo cammina in soggiorno di fronte a un tavolo da ping pong.")</f>
        <v>L'uomo cammina in soggiorno di fronte a un tavolo da ping pong.</v>
      </c>
    </row>
    <row r="12782">
      <c r="A12782" s="4" t="s">
        <v>16082</v>
      </c>
      <c r="B12782" s="6" t="s">
        <v>16085</v>
      </c>
      <c r="C12782" s="5" t="str">
        <f>IFERROR(__xludf.DUMMYFUNCTION("GOOGLETRANSLATE(B12782,""en"",""it"")"),"L'uomo sta mettendo le scarpe, afferra uno skateboard e si sta skateboard sul marciapiede con i suoi amici.")</f>
        <v>L'uomo sta mettendo le scarpe, afferra uno skateboard e si sta skateboard sul marciapiede con i suoi amici.</v>
      </c>
    </row>
    <row r="12783">
      <c r="A12783" s="4" t="s">
        <v>16082</v>
      </c>
      <c r="B12783" s="4" t="s">
        <v>16086</v>
      </c>
      <c r="C12783" s="5" t="str">
        <f>IFERROR(__xludf.DUMMYFUNCTION("GOOGLETRANSLATE(B12783,""en"",""it"")"),"L'uomo è appeso da Lianas su un albero su un parco.")</f>
        <v>L'uomo è appeso da Lianas su un albero su un parco.</v>
      </c>
    </row>
    <row r="12784">
      <c r="A12784" s="4" t="s">
        <v>16087</v>
      </c>
      <c r="B12784" s="4" t="s">
        <v>16088</v>
      </c>
      <c r="C12784" s="5" t="str">
        <f>IFERROR(__xludf.DUMMYFUNCTION("GOOGLETRANSLATE(B12784,""en"",""it"")"),"Un bambino è in piedi con alcuni uomini a un sollevamento della sedia, vestito con attrezzatura da sci.")</f>
        <v>Un bambino è in piedi con alcuni uomini a un sollevamento della sedia, vestito con attrezzatura da sci.</v>
      </c>
    </row>
    <row r="12785">
      <c r="A12785" s="4" t="s">
        <v>16087</v>
      </c>
      <c r="B12785" s="4" t="s">
        <v>16089</v>
      </c>
      <c r="C12785" s="5" t="str">
        <f>IFERROR(__xludf.DUMMYFUNCTION("GOOGLETRANSLATE(B12785,""en"",""it"")"),"Il ragazzo scivolò giù da una collina, ma cade.")</f>
        <v>Il ragazzo scivolò giù da una collina, ma cade.</v>
      </c>
    </row>
    <row r="12786">
      <c r="A12786" s="4" t="s">
        <v>16087</v>
      </c>
      <c r="B12786" s="4" t="s">
        <v>16090</v>
      </c>
      <c r="C12786" s="5" t="str">
        <f>IFERROR(__xludf.DUMMYFUNCTION("GOOGLETRANSLATE(B12786,""en"",""it"")"),"Viene quindi mostrato di fare un capovolgimento in aria, seguito da diverse rampe e lanciando trucchi.")</f>
        <v>Viene quindi mostrato di fare un capovolgimento in aria, seguito da diverse rampe e lanciando trucchi.</v>
      </c>
    </row>
    <row r="12787">
      <c r="A12787" s="4" t="s">
        <v>16087</v>
      </c>
      <c r="B12787" s="4" t="s">
        <v>16091</v>
      </c>
      <c r="C12787" s="5" t="str">
        <f>IFERROR(__xludf.DUMMYFUNCTION("GOOGLETRANSLATE(B12787,""en"",""it"")"),"Quando hanno finito, entrano in un edificio.")</f>
        <v>Quando hanno finito, entrano in un edificio.</v>
      </c>
    </row>
    <row r="12788">
      <c r="A12788" s="4" t="s">
        <v>16092</v>
      </c>
      <c r="B12788" s="6" t="s">
        <v>16093</v>
      </c>
      <c r="C12788" s="5" t="str">
        <f>IFERROR(__xludf.DUMMYFUNCTION("GOOGLETRANSLATE(B12788,""en"",""it"")"),"Vengono mostrati vari gruppi di uomini che porta a un uomo che indossa un'uniforme e parla alla telecamera.")</f>
        <v>Vengono mostrati vari gruppi di uomini che porta a un uomo che indossa un'uniforme e parla alla telecamera.</v>
      </c>
    </row>
    <row r="12789">
      <c r="A12789" s="4" t="s">
        <v>16092</v>
      </c>
      <c r="B12789" s="4" t="s">
        <v>16094</v>
      </c>
      <c r="C12789" s="5" t="str">
        <f>IFERROR(__xludf.DUMMYFUNCTION("GOOGLETRANSLATE(B12789,""en"",""it"")"),"Quindi guida un gruppo di persone a suonare uno strumento tutto insieme mentre la telecamera si muove in giro.")</f>
        <v>Quindi guida un gruppo di persone a suonare uno strumento tutto insieme mentre la telecamera si muove in giro.</v>
      </c>
    </row>
    <row r="12790">
      <c r="A12790" s="4" t="s">
        <v>16095</v>
      </c>
      <c r="B12790" s="4" t="s">
        <v>16096</v>
      </c>
      <c r="C12790" s="5" t="str">
        <f>IFERROR(__xludf.DUMMYFUNCTION("GOOGLETRANSLATE(B12790,""en"",""it"")"),"Un uomo viene visto in piedi davanti a un lavandino che lo strofina con una spugna.")</f>
        <v>Un uomo viene visto in piedi davanti a un lavandino che lo strofina con una spugna.</v>
      </c>
    </row>
    <row r="12791">
      <c r="A12791" s="4" t="s">
        <v>16095</v>
      </c>
      <c r="B12791" s="4" t="s">
        <v>16097</v>
      </c>
      <c r="C12791" s="5" t="str">
        <f>IFERROR(__xludf.DUMMYFUNCTION("GOOGLETRANSLATE(B12791,""en"",""it"")"),"L'uomo continua a pulire il bancone mentre occasionalmente guarda la telecamera.")</f>
        <v>L'uomo continua a pulire il bancone mentre occasionalmente guarda la telecamera.</v>
      </c>
    </row>
    <row r="12792">
      <c r="A12792" s="4" t="s">
        <v>16098</v>
      </c>
      <c r="B12792" s="4" t="s">
        <v>16099</v>
      </c>
      <c r="C12792" s="5" t="str">
        <f>IFERROR(__xludf.DUMMYFUNCTION("GOOGLETRANSLATE(B12792,""en"",""it"")"),"Diversi uomini stanno giocando a calcio indoor.")</f>
        <v>Diversi uomini stanno giocando a calcio indoor.</v>
      </c>
    </row>
    <row r="12793">
      <c r="A12793" s="4" t="s">
        <v>16098</v>
      </c>
      <c r="B12793" s="4" t="s">
        <v>16100</v>
      </c>
      <c r="C12793" s="5" t="str">
        <f>IFERROR(__xludf.DUMMYFUNCTION("GOOGLETRANSLATE(B12793,""en"",""it"")"),"Una grande folla guarda dagli spalti.")</f>
        <v>Una grande folla guarda dagli spalti.</v>
      </c>
    </row>
    <row r="12794">
      <c r="A12794" s="4" t="s">
        <v>16098</v>
      </c>
      <c r="B12794" s="6" t="s">
        <v>16101</v>
      </c>
      <c r="C12794" s="5" t="str">
        <f>IFERROR(__xludf.DUMMYFUNCTION("GOOGLETRANSLATE(B12794,""en"",""it"")"),"Un uomo che indossa il giallo dà il via alla palla in porta e festeggia con la sua squadra prima che venga mostrato un replay del suo goal.")</f>
        <v>Un uomo che indossa il giallo dà il via alla palla in porta e festeggia con la sua squadra prima che venga mostrato un replay del suo goal.</v>
      </c>
    </row>
    <row r="12795">
      <c r="A12795" s="4" t="s">
        <v>16098</v>
      </c>
      <c r="B12795" s="6" t="s">
        <v>16102</v>
      </c>
      <c r="C12795" s="5" t="str">
        <f>IFERROR(__xludf.DUMMYFUNCTION("GOOGLETRANSLATE(B12795,""en"",""it"")"),"Il gioco continua e due uomini si abbattono a vicenda prima che la squadra rossa segna un goal e viene mostrato un replay.")</f>
        <v>Il gioco continua e due uomini si abbattono a vicenda prima che la squadra rossa segna un goal e viene mostrato un replay.</v>
      </c>
    </row>
    <row r="12796">
      <c r="A12796" s="4" t="s">
        <v>16098</v>
      </c>
      <c r="B12796" s="6" t="s">
        <v>16103</v>
      </c>
      <c r="C12796" s="5" t="str">
        <f>IFERROR(__xludf.DUMMYFUNCTION("GOOGLETRANSLATE(B12796,""en"",""it"")"),"La squadra gialla cerca di segnare ed è bloccata più volte prima di segnare finalmente e un replay di questo obiettivo viene mostrato due volte.")</f>
        <v>La squadra gialla cerca di segnare ed è bloccata più volte prima di segnare finalmente e un replay di questo obiettivo viene mostrato due volte.</v>
      </c>
    </row>
    <row r="12797">
      <c r="A12797" s="4" t="s">
        <v>16098</v>
      </c>
      <c r="B12797" s="4" t="s">
        <v>16104</v>
      </c>
      <c r="C12797" s="5" t="str">
        <f>IFERROR(__xludf.DUMMYFUNCTION("GOOGLETRANSLATE(B12797,""en"",""it"")"),"Il gioco continua fino a quando la squadra rossa segna.")</f>
        <v>Il gioco continua fino a quando la squadra rossa segna.</v>
      </c>
    </row>
    <row r="12798">
      <c r="A12798" s="4" t="s">
        <v>16098</v>
      </c>
      <c r="B12798" s="6" t="s">
        <v>16105</v>
      </c>
      <c r="C12798" s="5" t="str">
        <f>IFERROR(__xludf.DUMMYFUNCTION("GOOGLETRANSLATE(B12798,""en"",""it"")"),"Un uomo di ogni squadra prende a calci la palla in porta, ogni uomo prende la palla in rete e vola indietro.")</f>
        <v>Un uomo di ogni squadra prende a calci la palla in porta, ogni uomo prende la palla in rete e vola indietro.</v>
      </c>
    </row>
    <row r="12799">
      <c r="A12799" s="4" t="s">
        <v>16098</v>
      </c>
      <c r="B12799" s="4" t="s">
        <v>16106</v>
      </c>
      <c r="C12799" s="5" t="str">
        <f>IFERROR(__xludf.DUMMYFUNCTION("GOOGLETRANSLATE(B12799,""en"",""it"")"),"La stessa cosa accade per un altro uomo di ogni squadra.")</f>
        <v>La stessa cosa accade per un altro uomo di ogni squadra.</v>
      </c>
    </row>
    <row r="12800">
      <c r="A12800" s="4" t="s">
        <v>16098</v>
      </c>
      <c r="B12800" s="4" t="s">
        <v>16107</v>
      </c>
      <c r="C12800" s="5" t="str">
        <f>IFERROR(__xludf.DUMMYFUNCTION("GOOGLETRANSLATE(B12800,""en"",""it"")"),"Quando il prossimo membro della squadra rossa prende a calci, il portiere blocca la palla.")</f>
        <v>Quando il prossimo membro della squadra rossa prende a calci, il portiere blocca la palla.</v>
      </c>
    </row>
    <row r="12801">
      <c r="A12801" s="4" t="s">
        <v>16098</v>
      </c>
      <c r="B12801" s="4" t="s">
        <v>16108</v>
      </c>
      <c r="C12801" s="5" t="str">
        <f>IFERROR(__xludf.DUMMYFUNCTION("GOOGLETRANSLATE(B12801,""en"",""it"")"),"Un altro uomo di ogni squadra segna prima che il portiere blocchi una palla calciata da un uomo in giallo.")</f>
        <v>Un altro uomo di ogni squadra segna prima che il portiere blocchi una palla calciata da un uomo in giallo.</v>
      </c>
    </row>
    <row r="12802">
      <c r="A12802" s="4" t="s">
        <v>16098</v>
      </c>
      <c r="B12802" s="6" t="s">
        <v>16109</v>
      </c>
      <c r="C12802" s="5" t="str">
        <f>IFERROR(__xludf.DUMMYFUNCTION("GOOGLETRANSLATE(B12802,""en"",""it"")"),"Un'altra palla della squadra rossa è bloccata e due uomini a margine in giacca e cravatta saltano su e corrono in campo e si stringono la mano con alcuni giocatori.")</f>
        <v>Un'altra palla della squadra rossa è bloccata e due uomini a margine in giacca e cravatta saltano su e corrono in campo e si stringono la mano con alcuni giocatori.</v>
      </c>
    </row>
    <row r="12803">
      <c r="A12803" s="4" t="s">
        <v>16098</v>
      </c>
      <c r="B12803" s="4" t="s">
        <v>16110</v>
      </c>
      <c r="C12803" s="5" t="str">
        <f>IFERROR(__xludf.DUMMYFUNCTION("GOOGLETRANSLATE(B12803,""en"",""it"")"),"I giocatori celebrano alcuni seguiti da una macchina fotografica.")</f>
        <v>I giocatori celebrano alcuni seguiti da una macchina fotografica.</v>
      </c>
    </row>
    <row r="12804">
      <c r="A12804" s="4" t="s">
        <v>16098</v>
      </c>
      <c r="B12804" s="6" t="s">
        <v>16111</v>
      </c>
      <c r="C12804" s="5" t="str">
        <f>IFERROR(__xludf.DUMMYFUNCTION("GOOGLETRANSLATE(B12804,""en"",""it"")"),"Gli uomini in abiti consegnano un trofeo a un uomo in giallo e lo tiene sopra la sua testa con tutti sullo sfondo che celebrano.")</f>
        <v>Gli uomini in abiti consegnano un trofeo a un uomo in giallo e lo tiene sopra la sua testa con tutti sullo sfondo che celebrano.</v>
      </c>
    </row>
    <row r="12805">
      <c r="A12805" s="4" t="s">
        <v>16112</v>
      </c>
      <c r="B12805" s="4" t="s">
        <v>16113</v>
      </c>
      <c r="C12805" s="5" t="str">
        <f>IFERROR(__xludf.DUMMYFUNCTION("GOOGLETRANSLATE(B12805,""en"",""it"")"),"Viene mostrata una vista su ripida neve di montagna.")</f>
        <v>Viene mostrata una vista su ripida neve di montagna.</v>
      </c>
    </row>
    <row r="12806">
      <c r="A12806" s="4" t="s">
        <v>16112</v>
      </c>
      <c r="B12806" s="4" t="s">
        <v>16114</v>
      </c>
      <c r="C12806" s="5" t="str">
        <f>IFERROR(__xludf.DUMMYFUNCTION("GOOGLETRANSLATE(B12806,""en"",""it"")"),"Gli sciatori viaggiano su un ascensore.")</f>
        <v>Gli sciatori viaggiano su un ascensore.</v>
      </c>
    </row>
    <row r="12807">
      <c r="A12807" s="4" t="s">
        <v>16112</v>
      </c>
      <c r="B12807" s="4" t="s">
        <v>16115</v>
      </c>
      <c r="C12807" s="5" t="str">
        <f>IFERROR(__xludf.DUMMYFUNCTION("GOOGLETRANSLATE(B12807,""en"",""it"")"),"Stanno slittando sulla neve lungo una ripida collina.")</f>
        <v>Stanno slittando sulla neve lungo una ripida collina.</v>
      </c>
    </row>
    <row r="12808">
      <c r="A12808" s="4" t="s">
        <v>16116</v>
      </c>
      <c r="B12808" s="4" t="s">
        <v>16117</v>
      </c>
      <c r="C12808" s="5" t="str">
        <f>IFERROR(__xludf.DUMMYFUNCTION("GOOGLETRANSLATE(B12808,""en"",""it"")"),"Un testo che legge ""la ricetta di Deeba"" appare sullo schermo.")</f>
        <v>Un testo che legge "la ricetta di Deeba" appare sullo schermo.</v>
      </c>
    </row>
    <row r="12809">
      <c r="A12809" s="4" t="s">
        <v>16116</v>
      </c>
      <c r="B12809" s="4" t="s">
        <v>16118</v>
      </c>
      <c r="C12809" s="5" t="str">
        <f>IFERROR(__xludf.DUMMYFUNCTION("GOOGLETRANSLATE(B12809,""en"",""it"")"),"Il video si taglia quindi a una donna in piedi dietro un tavolo pieno di ingredienti di cottura.")</f>
        <v>Il video si taglia quindi a una donna in piedi dietro un tavolo pieno di ingredienti di cottura.</v>
      </c>
    </row>
    <row r="12810">
      <c r="A12810" s="4" t="s">
        <v>16116</v>
      </c>
      <c r="B12810" s="4" t="s">
        <v>16119</v>
      </c>
      <c r="C12810" s="5" t="str">
        <f>IFERROR(__xludf.DUMMYFUNCTION("GOOGLETRANSLATE(B12810,""en"",""it"")"),"Parla alla telecamera mentre mostra un po 'di ciò che ha preparato per il piatto.")</f>
        <v>Parla alla telecamera mentre mostra un po 'di ciò che ha preparato per il piatto.</v>
      </c>
    </row>
    <row r="12811">
      <c r="A12811" s="4" t="s">
        <v>16116</v>
      </c>
      <c r="B12811" s="4" t="s">
        <v>16120</v>
      </c>
      <c r="C12811" s="5" t="str">
        <f>IFERROR(__xludf.DUMMYFUNCTION("GOOGLETRANSLATE(B12811,""en"",""it"")"),"Mette i vari ingredienti in una ciotola e la guarnisce in modo molto preciso.")</f>
        <v>Mette i vari ingredienti in una ciotola e la guarnisce in modo molto preciso.</v>
      </c>
    </row>
    <row r="12812">
      <c r="A12812" s="4" t="s">
        <v>16116</v>
      </c>
      <c r="B12812" s="4" t="s">
        <v>16121</v>
      </c>
      <c r="C12812" s="5" t="str">
        <f>IFERROR(__xludf.DUMMYFUNCTION("GOOGLETRANSLATE(B12812,""en"",""it"")"),"Quindi versa una salsa dappertutto.")</f>
        <v>Quindi versa una salsa dappertutto.</v>
      </c>
    </row>
    <row r="12813">
      <c r="A12813" s="4" t="s">
        <v>16116</v>
      </c>
      <c r="B12813" s="4" t="s">
        <v>16122</v>
      </c>
      <c r="C12813" s="5" t="str">
        <f>IFERROR(__xludf.DUMMYFUNCTION("GOOGLETRANSLATE(B12813,""en"",""it"")"),"Quindi parla un po 'di più alla telecamera per offrire suggerimenti su come preparare il piatto.")</f>
        <v>Quindi parla un po 'di più alla telecamera per offrire suggerimenti su come preparare il piatto.</v>
      </c>
    </row>
    <row r="12814">
      <c r="A12814" s="4" t="s">
        <v>16116</v>
      </c>
      <c r="B12814" s="4" t="s">
        <v>16123</v>
      </c>
      <c r="C12814" s="5" t="str">
        <f>IFERROR(__xludf.DUMMYFUNCTION("GOOGLETRANSLATE(B12814,""en"",""it"")"),"Un'altra serie di testo che mostra nuovamente la ricetta di ""Deeba"".")</f>
        <v>Un'altra serie di testo che mostra nuovamente la ricetta di "Deeba".</v>
      </c>
    </row>
    <row r="12815">
      <c r="A12815" s="4" t="s">
        <v>16124</v>
      </c>
      <c r="B12815" s="4" t="s">
        <v>16125</v>
      </c>
      <c r="C12815" s="5" t="str">
        <f>IFERROR(__xludf.DUMMYFUNCTION("GOOGLETRANSLATE(B12815,""en"",""it"")"),"Una persona viene vista con in mano un regalo avvolto e inizia a avvolgere la carta attorno a una scatola.")</f>
        <v>Una persona viene vista con in mano un regalo avvolto e inizia a avvolgere la carta attorno a una scatola.</v>
      </c>
    </row>
    <row r="12816">
      <c r="A12816" s="4" t="s">
        <v>16124</v>
      </c>
      <c r="B12816" s="4" t="s">
        <v>16126</v>
      </c>
      <c r="C12816" s="5" t="str">
        <f>IFERROR(__xludf.DUMMYFUNCTION("GOOGLETRANSLATE(B12816,""en"",""it"")"),"La ragazza lo spinge ai lati e inizia a toccare la scatola.")</f>
        <v>La ragazza lo spinge ai lati e inizia a toccare la scatola.</v>
      </c>
    </row>
    <row r="12817">
      <c r="A12817" s="4" t="s">
        <v>16124</v>
      </c>
      <c r="B12817" s="4" t="s">
        <v>16127</v>
      </c>
      <c r="C12817" s="5" t="str">
        <f>IFERROR(__xludf.DUMMYFUNCTION("GOOGLETRANSLATE(B12817,""en"",""it"")"),"Termina toccando tutto intorno alla scatola e termina presentandola alla fotocamera.")</f>
        <v>Termina toccando tutto intorno alla scatola e termina presentandola alla fotocamera.</v>
      </c>
    </row>
    <row r="12818">
      <c r="A12818" s="4" t="s">
        <v>16128</v>
      </c>
      <c r="B12818" s="4" t="s">
        <v>16129</v>
      </c>
      <c r="C12818" s="5" t="str">
        <f>IFERROR(__xludf.DUMMYFUNCTION("GOOGLETRANSLATE(B12818,""en"",""it"")"),"Lo schermo si apre con un promo ACDC.")</f>
        <v>Lo schermo si apre con un promo ACDC.</v>
      </c>
    </row>
    <row r="12819">
      <c r="A12819" s="4" t="s">
        <v>16128</v>
      </c>
      <c r="B12819" s="4" t="s">
        <v>16130</v>
      </c>
      <c r="C12819" s="5" t="str">
        <f>IFERROR(__xludf.DUMMYFUNCTION("GOOGLETRANSLATE(B12819,""en"",""it"")"),"Un bambino sta parlando alla telecamera.")</f>
        <v>Un bambino sta parlando alla telecamera.</v>
      </c>
    </row>
    <row r="12820">
      <c r="A12820" s="4" t="s">
        <v>16128</v>
      </c>
      <c r="B12820" s="4" t="s">
        <v>16131</v>
      </c>
      <c r="C12820" s="5" t="str">
        <f>IFERROR(__xludf.DUMMYFUNCTION("GOOGLETRANSLATE(B12820,""en"",""it"")"),"Il ragazzino inizia a rompere la danza e fa molti lanci.")</f>
        <v>Il ragazzino inizia a rompere la danza e fa molti lanci.</v>
      </c>
    </row>
    <row r="12821">
      <c r="A12821" s="4" t="s">
        <v>16128</v>
      </c>
      <c r="B12821" s="4" t="s">
        <v>16132</v>
      </c>
      <c r="C12821" s="5" t="str">
        <f>IFERROR(__xludf.DUMMYFUNCTION("GOOGLETRANSLATE(B12821,""en"",""it"")"),"Si alza e inizia a rap.")</f>
        <v>Si alza e inizia a rap.</v>
      </c>
    </row>
    <row r="12822">
      <c r="A12822" s="4" t="s">
        <v>16133</v>
      </c>
      <c r="B12822" s="4" t="s">
        <v>16134</v>
      </c>
      <c r="C12822" s="5" t="str">
        <f>IFERROR(__xludf.DUMMYFUNCTION("GOOGLETRANSLATE(B12822,""en"",""it"")"),"L'uomo è in piedi dietro un conteggio dietro la piscina.")</f>
        <v>L'uomo è in piedi dietro un conteggio dietro la piscina.</v>
      </c>
    </row>
    <row r="12823">
      <c r="A12823" s="4" t="s">
        <v>16133</v>
      </c>
      <c r="B12823" s="4" t="s">
        <v>16135</v>
      </c>
      <c r="C12823" s="5" t="str">
        <f>IFERROR(__xludf.DUMMYFUNCTION("GOOGLETRANSLATE(B12823,""en"",""it"")"),"Due uomini sono in cima ai trampolini e fanno un salto sincronizzato in piscina.")</f>
        <v>Due uomini sono in cima ai trampolini e fanno un salto sincronizzato in piscina.</v>
      </c>
    </row>
    <row r="12824">
      <c r="A12824" s="4" t="s">
        <v>16133</v>
      </c>
      <c r="B12824" s="4" t="s">
        <v>16136</v>
      </c>
      <c r="C12824" s="5" t="str">
        <f>IFERROR(__xludf.DUMMYFUNCTION("GOOGLETRANSLATE(B12824,""en"",""it"")"),"L'uomo sta salendo le scale fino al trampolino.")</f>
        <v>L'uomo sta salendo le scale fino al trampolino.</v>
      </c>
    </row>
    <row r="12825">
      <c r="A12825" s="4" t="s">
        <v>16137</v>
      </c>
      <c r="B12825" s="4" t="s">
        <v>16138</v>
      </c>
      <c r="C12825" s="5" t="str">
        <f>IFERROR(__xludf.DUMMYFUNCTION("GOOGLETRANSLATE(B12825,""en"",""it"")"),"La persona viene mostrata abbattuta 9 dei pin di bowling, il che significa che ha un ricambio.")</f>
        <v>La persona viene mostrata abbattuta 9 dei pin di bowling, il che significa che ha un ricambio.</v>
      </c>
    </row>
    <row r="12826">
      <c r="A12826" s="4" t="s">
        <v>16137</v>
      </c>
      <c r="B12826" s="4" t="s">
        <v>16139</v>
      </c>
      <c r="C12826" s="5" t="str">
        <f>IFERROR(__xludf.DUMMYFUNCTION("GOOGLETRANSLATE(B12826,""en"",""it"")"),"Successivamente abbatte tutti i pin e ottiene uno sciopero.")</f>
        <v>Successivamente abbatte tutti i pin e ottiene uno sciopero.</v>
      </c>
    </row>
    <row r="12827">
      <c r="A12827" s="4" t="s">
        <v>16140</v>
      </c>
      <c r="B12827" s="4" t="s">
        <v>16141</v>
      </c>
      <c r="C12827" s="5" t="str">
        <f>IFERROR(__xludf.DUMMYFUNCTION("GOOGLETRANSLATE(B12827,""en"",""it"")"),"Tre bambini stanno salendo una montagna senza qualsiasi corda.")</f>
        <v>Tre bambini stanno salendo una montagna senza qualsiasi corda.</v>
      </c>
    </row>
    <row r="12828">
      <c r="A12828" s="4" t="s">
        <v>16140</v>
      </c>
      <c r="B12828" s="4" t="s">
        <v>16142</v>
      </c>
      <c r="C12828" s="5" t="str">
        <f>IFERROR(__xludf.DUMMYFUNCTION("GOOGLETRANSLATE(B12828,""en"",""it"")"),"Quindi, stanno andando in giro nella loro stanza ridendo e si divertono.")</f>
        <v>Quindi, stanno andando in giro nella loro stanza ridendo e si divertono.</v>
      </c>
    </row>
    <row r="12829">
      <c r="A12829" s="4" t="s">
        <v>16140</v>
      </c>
      <c r="B12829" s="6" t="s">
        <v>16143</v>
      </c>
      <c r="C12829" s="5" t="str">
        <f>IFERROR(__xludf.DUMMYFUNCTION("GOOGLETRANSLATE(B12829,""en"",""it"")"),"Sono solo tre migliori amici che fanno tutto insieme, camminando, shopping, rilassanti e arrampicanti.")</f>
        <v>Sono solo tre migliori amici che fanno tutto insieme, camminando, shopping, rilassanti e arrampicanti.</v>
      </c>
    </row>
    <row r="12830">
      <c r="A12830" s="4" t="s">
        <v>16140</v>
      </c>
      <c r="B12830" s="4" t="s">
        <v>16144</v>
      </c>
      <c r="C12830" s="5" t="str">
        <f>IFERROR(__xludf.DUMMYFUNCTION("GOOGLETRANSLATE(B12830,""en"",""it"")"),"Quando arrivano in cima alla montagna si abbracciano.")</f>
        <v>Quando arrivano in cima alla montagna si abbracciano.</v>
      </c>
    </row>
    <row r="12831">
      <c r="A12831" s="4" t="s">
        <v>16145</v>
      </c>
      <c r="B12831" s="4" t="s">
        <v>16146</v>
      </c>
      <c r="C12831" s="5" t="str">
        <f>IFERROR(__xludf.DUMMYFUNCTION("GOOGLETRANSLATE(B12831,""en"",""it"")"),"Un gruppo sta giocando a calcio su un campo di grandi dimensioni.")</f>
        <v>Un gruppo sta giocando a calcio su un campo di grandi dimensioni.</v>
      </c>
    </row>
    <row r="12832">
      <c r="A12832" s="4" t="s">
        <v>16145</v>
      </c>
      <c r="B12832" s="4" t="s">
        <v>16147</v>
      </c>
      <c r="C12832" s="5" t="str">
        <f>IFERROR(__xludf.DUMMYFUNCTION("GOOGLETRANSLATE(B12832,""en"",""it"")"),"Una palla verde rimbalza improvvisamente attraverso la linea di cinquanta yard.")</f>
        <v>Una palla verde rimbalza improvvisamente attraverso la linea di cinquanta yard.</v>
      </c>
    </row>
    <row r="12833">
      <c r="A12833" s="4" t="s">
        <v>16145</v>
      </c>
      <c r="B12833" s="4" t="s">
        <v>16148</v>
      </c>
      <c r="C12833" s="5" t="str">
        <f>IFERROR(__xludf.DUMMYFUNCTION("GOOGLETRANSLATE(B12833,""en"",""it"")"),"Si ferma e le persone tornano via.")</f>
        <v>Si ferma e le persone tornano via.</v>
      </c>
    </row>
    <row r="12834">
      <c r="A12834" s="4" t="s">
        <v>16149</v>
      </c>
      <c r="B12834" s="4" t="s">
        <v>16150</v>
      </c>
      <c r="C12834" s="5" t="str">
        <f>IFERROR(__xludf.DUMMYFUNCTION("GOOGLETRANSLATE(B12834,""en"",""it"")"),"Una ginnasta femminile monta un raggio alto davanti al suo allenatore.")</f>
        <v>Una ginnasta femminile monta un raggio alto davanti al suo allenatore.</v>
      </c>
    </row>
    <row r="12835">
      <c r="A12835" s="4" t="s">
        <v>16149</v>
      </c>
      <c r="B12835" s="4" t="s">
        <v>16151</v>
      </c>
      <c r="C12835" s="5" t="str">
        <f>IFERROR(__xludf.DUMMYFUNCTION("GOOGLETRANSLATE(B12835,""en"",""it"")"),"Fa diversi giri in avanti e indietro.")</f>
        <v>Fa diversi giri in avanti e indietro.</v>
      </c>
    </row>
    <row r="12836">
      <c r="A12836" s="4" t="s">
        <v>16149</v>
      </c>
      <c r="B12836" s="4" t="s">
        <v>16152</v>
      </c>
      <c r="C12836" s="5" t="str">
        <f>IFERROR(__xludf.DUMMYFUNCTION("GOOGLETRANSLATE(B12836,""en"",""it"")"),"Smonde e lui applaude mentre se ne va.")</f>
        <v>Smonde e lui applaude mentre se ne va.</v>
      </c>
    </row>
    <row r="12837">
      <c r="A12837" s="4" t="s">
        <v>16153</v>
      </c>
      <c r="B12837" s="4" t="s">
        <v>16154</v>
      </c>
      <c r="C12837" s="5" t="str">
        <f>IFERROR(__xludf.DUMMYFUNCTION("GOOGLETRANSLATE(B12837,""en"",""it"")"),"Un uomo è sdraiato a letto sotto le coperte.")</f>
        <v>Un uomo è sdraiato a letto sotto le coperte.</v>
      </c>
    </row>
    <row r="12838">
      <c r="A12838" s="4" t="s">
        <v>16153</v>
      </c>
      <c r="B12838" s="4" t="s">
        <v>16155</v>
      </c>
      <c r="C12838" s="5" t="str">
        <f>IFERROR(__xludf.DUMMYFUNCTION("GOOGLETRANSLATE(B12838,""en"",""it"")"),"Si siede sul bordo del letto, grattandogli la barba.")</f>
        <v>Si siede sul bordo del letto, grattandogli la barba.</v>
      </c>
    </row>
    <row r="12839">
      <c r="A12839" s="4" t="s">
        <v>16153</v>
      </c>
      <c r="B12839" s="4" t="s">
        <v>16156</v>
      </c>
      <c r="C12839" s="5" t="str">
        <f>IFERROR(__xludf.DUMMYFUNCTION("GOOGLETRANSLATE(B12839,""en"",""it"")"),"Quindi fissa il rasoio sul suo tavolo, raccogliendolo.")</f>
        <v>Quindi fissa il rasoio sul suo tavolo, raccogliendolo.</v>
      </c>
    </row>
    <row r="12840">
      <c r="A12840" s="4" t="s">
        <v>16153</v>
      </c>
      <c r="B12840" s="6" t="s">
        <v>16157</v>
      </c>
      <c r="C12840" s="5" t="str">
        <f>IFERROR(__xludf.DUMMYFUNCTION("GOOGLETRANSLATE(B12840,""en"",""it"")"),"L'uomo rade l'orso, rendendolo molto più corto prima di sdraiarsi sul letto, coccolando con la borsa piena di capelli alla barba.")</f>
        <v>L'uomo rade l'orso, rendendolo molto più corto prima di sdraiarsi sul letto, coccolando con la borsa piena di capelli alla barba.</v>
      </c>
    </row>
    <row r="12841">
      <c r="A12841" s="4" t="s">
        <v>16158</v>
      </c>
      <c r="B12841" s="4" t="s">
        <v>16159</v>
      </c>
      <c r="C12841" s="5" t="str">
        <f>IFERROR(__xludf.DUMMYFUNCTION("GOOGLETRANSLATE(B12841,""en"",""it"")"),"Un folto gruppo di persone viene visto correre lungo la strada mentre molti guardano sui lati.")</f>
        <v>Un folto gruppo di persone viene visto correre lungo la strada mentre molti guardano sui lati.</v>
      </c>
    </row>
    <row r="12842">
      <c r="A12842" s="4" t="s">
        <v>16158</v>
      </c>
      <c r="B12842" s="4" t="s">
        <v>16160</v>
      </c>
      <c r="C12842" s="5" t="str">
        <f>IFERROR(__xludf.DUMMYFUNCTION("GOOGLETRANSLATE(B12842,""en"",""it"")"),"Diverse persone vengono viste parlare alla telecamera mentre vengono mostrati più scatti di persone che corrono.")</f>
        <v>Diverse persone vengono viste parlare alla telecamera mentre vengono mostrati più scatti di persone che corrono.</v>
      </c>
    </row>
    <row r="12843">
      <c r="A12843" s="4" t="s">
        <v>16158</v>
      </c>
      <c r="B12843" s="4" t="s">
        <v>16161</v>
      </c>
      <c r="C12843" s="5" t="str">
        <f>IFERROR(__xludf.DUMMYFUNCTION("GOOGLETRANSLATE(B12843,""en"",""it"")"),"Le persone rallegrano gli altri sui lati e le band in marce che suonano e le persone continuano a correre.")</f>
        <v>Le persone rallegrano gli altri sui lati e le band in marce che suonano e le persone continuano a correre.</v>
      </c>
    </row>
    <row r="12844">
      <c r="A12844" s="4" t="s">
        <v>16162</v>
      </c>
      <c r="B12844" s="4" t="s">
        <v>16163</v>
      </c>
      <c r="C12844" s="5" t="str">
        <f>IFERROR(__xludf.DUMMYFUNCTION("GOOGLETRANSLATE(B12844,""en"",""it"")"),"Una ragazza viene mostrata guardando diverse foto di acconciatura e conduce in un altro che taglia i capelli.")</f>
        <v>Una ragazza viene mostrata guardando diverse foto di acconciatura e conduce in un altro che taglia i capelli.</v>
      </c>
    </row>
    <row r="12845">
      <c r="A12845" s="4" t="s">
        <v>16162</v>
      </c>
      <c r="B12845" s="4" t="s">
        <v>16164</v>
      </c>
      <c r="C12845" s="5" t="str">
        <f>IFERROR(__xludf.DUMMYFUNCTION("GOOGLETRANSLATE(B12845,""en"",""it"")"),"I bambini si siedono pazientemente con un asciugamano sulla testa e parla alla telecamera.")</f>
        <v>I bambini si siedono pazientemente con un asciugamano sulla testa e parla alla telecamera.</v>
      </c>
    </row>
    <row r="12846">
      <c r="A12846" s="4" t="s">
        <v>16162</v>
      </c>
      <c r="B12846" s="4" t="s">
        <v>16165</v>
      </c>
      <c r="C12846" s="5" t="str">
        <f>IFERROR(__xludf.DUMMYFUNCTION("GOOGLETRANSLATE(B12846,""en"",""it"")"),"Un pesce rosso viene mostrato da un uomo che si taglia e lo styling i capelli.")</f>
        <v>Un pesce rosso viene mostrato da un uomo che si taglia e lo styling i capelli.</v>
      </c>
    </row>
    <row r="12847">
      <c r="A12847" s="4" t="s">
        <v>16162</v>
      </c>
      <c r="B12847" s="4" t="s">
        <v>16166</v>
      </c>
      <c r="C12847" s="5" t="str">
        <f>IFERROR(__xludf.DUMMYFUNCTION("GOOGLETRANSLATE(B12847,""en"",""it"")"),"L'uomo taglia i capelli della ragazza e li modella in un aspetto adorabile.")</f>
        <v>L'uomo taglia i capelli della ragazza e li modella in un aspetto adorabile.</v>
      </c>
    </row>
    <row r="12848">
      <c r="A12848" s="4" t="s">
        <v>16162</v>
      </c>
      <c r="B12848" s="4" t="s">
        <v>16167</v>
      </c>
      <c r="C12848" s="5" t="str">
        <f>IFERROR(__xludf.DUMMYFUNCTION("GOOGLETRANSLATE(B12848,""en"",""it"")"),"La ragazza sorride e lascia il parrucchiere che sembra felice.")</f>
        <v>La ragazza sorride e lascia il parrucchiere che sembra felice.</v>
      </c>
    </row>
    <row r="12849">
      <c r="A12849" s="4" t="s">
        <v>16168</v>
      </c>
      <c r="B12849" s="4" t="s">
        <v>16169</v>
      </c>
      <c r="C12849" s="5" t="str">
        <f>IFERROR(__xludf.DUMMYFUNCTION("GOOGLETRANSLATE(B12849,""en"",""it"")"),"Una persona parla con la telecamera mentre mostra vari strumenti a terra.")</f>
        <v>Una persona parla con la telecamera mentre mostra vari strumenti a terra.</v>
      </c>
    </row>
    <row r="12850">
      <c r="A12850" s="4" t="s">
        <v>16168</v>
      </c>
      <c r="B12850" s="4" t="s">
        <v>16170</v>
      </c>
      <c r="C12850" s="5" t="str">
        <f>IFERROR(__xludf.DUMMYFUNCTION("GOOGLETRANSLATE(B12850,""en"",""it"")"),"Una persona sta mettendo oggetti davanti a uno pneumatico per spostare l'auto.")</f>
        <v>Una persona sta mettendo oggetti davanti a uno pneumatico per spostare l'auto.</v>
      </c>
    </row>
    <row r="12851">
      <c r="A12851" s="4" t="s">
        <v>16168</v>
      </c>
      <c r="B12851" s="4" t="s">
        <v>16171</v>
      </c>
      <c r="C12851" s="5" t="str">
        <f>IFERROR(__xludf.DUMMYFUNCTION("GOOGLETRANSLATE(B12851,""en"",""it"")"),"Una persona spinge l'auto sopra l'oggetto per spostarla.")</f>
        <v>Una persona spinge l'auto sopra l'oggetto per spostarla.</v>
      </c>
    </row>
    <row r="12852">
      <c r="A12852" s="4" t="s">
        <v>16168</v>
      </c>
      <c r="B12852" s="4" t="s">
        <v>16172</v>
      </c>
      <c r="C12852" s="5" t="str">
        <f>IFERROR(__xludf.DUMMYFUNCTION("GOOGLETRANSLATE(B12852,""en"",""it"")"),"Lo pneumatico è ora seduto in cima a un oggetto e lo tolgono.")</f>
        <v>Lo pneumatico è ora seduto in cima a un oggetto e lo tolgono.</v>
      </c>
    </row>
    <row r="12853">
      <c r="A12853" s="4" t="s">
        <v>16168</v>
      </c>
      <c r="B12853" s="4" t="s">
        <v>16173</v>
      </c>
      <c r="C12853" s="5" t="str">
        <f>IFERROR(__xludf.DUMMYFUNCTION("GOOGLETRANSLATE(B12853,""en"",""it"")"),"Una persona fa emergere una vecchia bici e parla di ciò che deve essere fatto.")</f>
        <v>Una persona fa emergere una vecchia bici e parla di ciò che deve essere fatto.</v>
      </c>
    </row>
    <row r="12854">
      <c r="A12854" s="4" t="s">
        <v>16174</v>
      </c>
      <c r="B12854" s="4" t="s">
        <v>16175</v>
      </c>
      <c r="C12854" s="5" t="str">
        <f>IFERROR(__xludf.DUMMYFUNCTION("GOOGLETRANSLATE(B12854,""en"",""it"")"),"La persona sta paralizzando l'acqua.")</f>
        <v>La persona sta paralizzando l'acqua.</v>
      </c>
    </row>
    <row r="12855">
      <c r="A12855" s="4" t="s">
        <v>16174</v>
      </c>
      <c r="B12855" s="4" t="s">
        <v>16176</v>
      </c>
      <c r="C12855" s="5" t="str">
        <f>IFERROR(__xludf.DUMMYFUNCTION("GOOGLETRANSLATE(B12855,""en"",""it"")"),"Mentre la persona naviga, iniziò a rimbalzare sull'acqua.")</f>
        <v>Mentre la persona naviga, iniziò a rimbalzare sull'acqua.</v>
      </c>
    </row>
    <row r="12856">
      <c r="A12856" s="4" t="s">
        <v>16174</v>
      </c>
      <c r="B12856" s="4" t="s">
        <v>16177</v>
      </c>
      <c r="C12856" s="5" t="str">
        <f>IFERROR(__xludf.DUMMYFUNCTION("GOOGLETRANSLATE(B12856,""en"",""it"")"),"La persona manovra la vela per voltarsi.")</f>
        <v>La persona manovra la vela per voltarsi.</v>
      </c>
    </row>
    <row r="12857">
      <c r="A12857" s="4" t="s">
        <v>16178</v>
      </c>
      <c r="B12857" s="4" t="s">
        <v>16179</v>
      </c>
      <c r="C12857" s="5" t="str">
        <f>IFERROR(__xludf.DUMMYFUNCTION("GOOGLETRANSLATE(B12857,""en"",""it"")"),"Le donne ballano su un palco.")</f>
        <v>Le donne ballano su un palco.</v>
      </c>
    </row>
    <row r="12858">
      <c r="A12858" s="4" t="s">
        <v>16178</v>
      </c>
      <c r="B12858" s="4" t="s">
        <v>16180</v>
      </c>
      <c r="C12858" s="5" t="str">
        <f>IFERROR(__xludf.DUMMYFUNCTION("GOOGLETRANSLATE(B12858,""en"",""it"")"),"Le donne agitano bandiere dietro di loro.")</f>
        <v>Le donne agitano bandiere dietro di loro.</v>
      </c>
    </row>
    <row r="12859">
      <c r="A12859" s="4" t="s">
        <v>16178</v>
      </c>
      <c r="B12859" s="4" t="s">
        <v>16181</v>
      </c>
      <c r="C12859" s="5" t="str">
        <f>IFERROR(__xludf.DUMMYFUNCTION("GOOGLETRANSLATE(B12859,""en"",""it"")"),"Una donna sta facendo una danza del ventre nel mezzo del palco.")</f>
        <v>Una donna sta facendo una danza del ventre nel mezzo del palco.</v>
      </c>
    </row>
    <row r="12860">
      <c r="A12860" s="4" t="s">
        <v>16182</v>
      </c>
      <c r="B12860" s="6" t="s">
        <v>16183</v>
      </c>
      <c r="C12860" s="5" t="str">
        <f>IFERROR(__xludf.DUMMYFUNCTION("GOOGLETRANSLATE(B12860,""en"",""it"")"),"Il video inizia con scatti di persone che tifano e con diversi colpi di giocatori in piedi su una buca di sabbia.")</f>
        <v>Il video inizia con scatti di persone che tifano e con diversi colpi di giocatori in piedi su una buca di sabbia.</v>
      </c>
    </row>
    <row r="12861">
      <c r="A12861" s="4" t="s">
        <v>16182</v>
      </c>
      <c r="B12861" s="6" t="s">
        <v>16184</v>
      </c>
      <c r="C12861" s="5" t="str">
        <f>IFERROR(__xludf.DUMMYFUNCTION("GOOGLETRANSLATE(B12861,""en"",""it"")"),"La folla è vista fare l'onda e continua a tifare mentre la telecamera mostra varie clip di una partita di calcio in corso.")</f>
        <v>La folla è vista fare l'onda e continua a tifare mentre la telecamera mostra varie clip di una partita di calcio in corso.</v>
      </c>
    </row>
    <row r="12862">
      <c r="A12862" s="4" t="s">
        <v>16185</v>
      </c>
      <c r="B12862" s="4" t="s">
        <v>16186</v>
      </c>
      <c r="C12862" s="5" t="str">
        <f>IFERROR(__xludf.DUMMYFUNCTION("GOOGLETRANSLATE(B12862,""en"",""it"")"),"Un ragazzo sta oscillando avanti e indietro.")</f>
        <v>Un ragazzo sta oscillando avanti e indietro.</v>
      </c>
    </row>
    <row r="12863">
      <c r="A12863" s="4" t="s">
        <v>16185</v>
      </c>
      <c r="B12863" s="4" t="s">
        <v>16187</v>
      </c>
      <c r="C12863" s="5" t="str">
        <f>IFERROR(__xludf.DUMMYFUNCTION("GOOGLETRANSLATE(B12863,""en"",""it"")"),"Il ragazzo poi gli cade sul viso e piange.")</f>
        <v>Il ragazzo poi gli cade sul viso e piange.</v>
      </c>
    </row>
    <row r="12864">
      <c r="A12864" s="4" t="s">
        <v>16188</v>
      </c>
      <c r="B12864" s="4" t="s">
        <v>16189</v>
      </c>
      <c r="C12864" s="5" t="str">
        <f>IFERROR(__xludf.DUMMYFUNCTION("GOOGLETRANSLATE(B12864,""en"",""it"")"),"Una donna con i pantaloncini blu che le fa un dardo a un uomo.")</f>
        <v>Una donna con i pantaloncini blu che le fa un dardo a un uomo.</v>
      </c>
    </row>
    <row r="12865">
      <c r="A12865" s="4" t="s">
        <v>16188</v>
      </c>
      <c r="B12865" s="4" t="s">
        <v>16190</v>
      </c>
      <c r="C12865" s="5" t="str">
        <f>IFERROR(__xludf.DUMMYFUNCTION("GOOGLETRANSLATE(B12865,""en"",""it"")"),"Un uomo con un cappello bianco lancia un dardo su una tavola.")</f>
        <v>Un uomo con un cappello bianco lancia un dardo su una tavola.</v>
      </c>
    </row>
    <row r="12866">
      <c r="A12866" s="4" t="s">
        <v>16188</v>
      </c>
      <c r="B12866" s="4" t="s">
        <v>16191</v>
      </c>
      <c r="C12866" s="5" t="str">
        <f>IFERROR(__xludf.DUMMYFUNCTION("GOOGLETRANSLATE(B12866,""en"",""it"")"),"La donna si avvicina al tabellone.")</f>
        <v>La donna si avvicina al tabellone.</v>
      </c>
    </row>
    <row r="12867">
      <c r="A12867" s="4" t="s">
        <v>16192</v>
      </c>
      <c r="B12867" s="4" t="s">
        <v>16193</v>
      </c>
      <c r="C12867" s="5" t="str">
        <f>IFERROR(__xludf.DUMMYFUNCTION("GOOGLETRANSLATE(B12867,""en"",""it"")"),"Un uomo sta lavorando sul retro di un trailer.")</f>
        <v>Un uomo sta lavorando sul retro di un trailer.</v>
      </c>
    </row>
    <row r="12868">
      <c r="A12868" s="4" t="s">
        <v>16192</v>
      </c>
      <c r="B12868" s="4" t="s">
        <v>16194</v>
      </c>
      <c r="C12868" s="5" t="str">
        <f>IFERROR(__xludf.DUMMYFUNCTION("GOOGLETRANSLATE(B12868,""en"",""it"")"),"Sta saldando il metallo tra due pezzi di legno.")</f>
        <v>Sta saldando il metallo tra due pezzi di legno.</v>
      </c>
    </row>
    <row r="12869">
      <c r="A12869" s="4" t="s">
        <v>16192</v>
      </c>
      <c r="B12869" s="4" t="s">
        <v>16195</v>
      </c>
      <c r="C12869" s="5" t="str">
        <f>IFERROR(__xludf.DUMMYFUNCTION("GOOGLETRANSLATE(B12869,""en"",""it"")"),"Le scintille volano mentre lavora, accovacciando sul marciapiede.")</f>
        <v>Le scintille volano mentre lavora, accovacciando sul marciapiede.</v>
      </c>
    </row>
    <row r="12870">
      <c r="A12870" s="4" t="s">
        <v>16196</v>
      </c>
      <c r="B12870" s="4" t="s">
        <v>16197</v>
      </c>
      <c r="C12870" s="5" t="str">
        <f>IFERROR(__xludf.DUMMYFUNCTION("GOOGLETRANSLATE(B12870,""en"",""it"")"),"Un uomo con un vestito da chef sta parlando in cucina mentre tiene in mano una patata.")</f>
        <v>Un uomo con un vestito da chef sta parlando in cucina mentre tiene in mano una patata.</v>
      </c>
    </row>
    <row r="12871">
      <c r="A12871" s="4" t="s">
        <v>16196</v>
      </c>
      <c r="B12871" s="4" t="s">
        <v>16198</v>
      </c>
      <c r="C12871" s="5" t="str">
        <f>IFERROR(__xludf.DUMMYFUNCTION("GOOGLETRANSLATE(B12871,""en"",""it"")"),"Un uomo sta lavorando dietro di lui mentre sbuccia la patata con uno strumento.")</f>
        <v>Un uomo sta lavorando dietro di lui mentre sbuccia la patata con uno strumento.</v>
      </c>
    </row>
    <row r="12872">
      <c r="A12872" s="4" t="s">
        <v>16196</v>
      </c>
      <c r="B12872" s="4" t="s">
        <v>16199</v>
      </c>
      <c r="C12872" s="5" t="str">
        <f>IFERROR(__xludf.DUMMYFUNCTION("GOOGLETRANSLATE(B12872,""en"",""it"")"),"Si stacca estremamente velocemente, finendo in pochi secondi.")</f>
        <v>Si stacca estremamente velocemente, finendo in pochi secondi.</v>
      </c>
    </row>
    <row r="12873">
      <c r="A12873" s="4" t="s">
        <v>16200</v>
      </c>
      <c r="B12873" s="4" t="s">
        <v>16201</v>
      </c>
      <c r="C12873" s="5" t="str">
        <f>IFERROR(__xludf.DUMMYFUNCTION("GOOGLETRANSLATE(B12873,""en"",""it"")"),"Sono mostrati i primi tipi diversi di pool.")</f>
        <v>Sono mostrati i primi tipi diversi di pool.</v>
      </c>
    </row>
    <row r="12874">
      <c r="A12874" s="4" t="s">
        <v>16200</v>
      </c>
      <c r="B12874" s="4" t="s">
        <v>16202</v>
      </c>
      <c r="C12874" s="5" t="str">
        <f>IFERROR(__xludf.DUMMYFUNCTION("GOOGLETRANSLATE(B12874,""en"",""it"")"),"Quindi il ragazzo inizia a giocare a piscina da solo con le palle.")</f>
        <v>Quindi il ragazzo inizia a giocare a piscina da solo con le palle.</v>
      </c>
    </row>
    <row r="12875">
      <c r="A12875" s="4" t="s">
        <v>16203</v>
      </c>
      <c r="B12875" s="4" t="s">
        <v>16204</v>
      </c>
      <c r="C12875" s="5" t="str">
        <f>IFERROR(__xludf.DUMMYFUNCTION("GOOGLETRANSLATE(B12875,""en"",""it"")"),"Ci sono diversi fantini che cavalcano i cavalli marroni in uno stadio durante un evento Derby.")</f>
        <v>Ci sono diversi fantini che cavalcano i cavalli marroni in uno stadio durante un evento Derby.</v>
      </c>
    </row>
    <row r="12876">
      <c r="A12876" s="4" t="s">
        <v>16203</v>
      </c>
      <c r="B12876" s="4" t="s">
        <v>16205</v>
      </c>
      <c r="C12876" s="5" t="str">
        <f>IFERROR(__xludf.DUMMYFUNCTION("GOOGLETRANSLATE(B12876,""en"",""it"")"),"Lì la folla sta tifando forte mentre si trovano con cappelli di paglia e ombrelli.")</f>
        <v>Lì la folla sta tifando forte mentre si trovano con cappelli di paglia e ombrelli.</v>
      </c>
    </row>
    <row r="12877">
      <c r="A12877" s="4" t="s">
        <v>16203</v>
      </c>
      <c r="B12877" s="4" t="s">
        <v>16206</v>
      </c>
      <c r="C12877" s="5" t="str">
        <f>IFERROR(__xludf.DUMMYFUNCTION("GOOGLETRANSLATE(B12877,""en"",""it"")"),"I fantini si stanno preparando a giocare a polo mentre si muovono con i loro bastoncini.")</f>
        <v>I fantini si stanno preparando a giocare a polo mentre si muovono con i loro bastoncini.</v>
      </c>
    </row>
    <row r="12878">
      <c r="A12878" s="4" t="s">
        <v>16203</v>
      </c>
      <c r="B12878" s="4" t="s">
        <v>16207</v>
      </c>
      <c r="C12878" s="5" t="str">
        <f>IFERROR(__xludf.DUMMYFUNCTION("GOOGLETRANSLATE(B12878,""en"",""it"")"),"Una donna applaude ad alta voce nella telecamera.")</f>
        <v>Una donna applaude ad alta voce nella telecamera.</v>
      </c>
    </row>
    <row r="12879">
      <c r="A12879" s="4" t="s">
        <v>16203</v>
      </c>
      <c r="B12879" s="4" t="s">
        <v>16208</v>
      </c>
      <c r="C12879" s="5" t="str">
        <f>IFERROR(__xludf.DUMMYFUNCTION("GOOGLETRANSLATE(B12879,""en"",""it"")"),"I fantini cavalcano lentamente intorno al campo.")</f>
        <v>I fantini cavalcano lentamente intorno al campo.</v>
      </c>
    </row>
    <row r="12880">
      <c r="A12880" s="4" t="s">
        <v>16209</v>
      </c>
      <c r="B12880" s="4" t="s">
        <v>16210</v>
      </c>
      <c r="C12880" s="5" t="str">
        <f>IFERROR(__xludf.DUMMYFUNCTION("GOOGLETRANSLATE(B12880,""en"",""it"")"),"Il team di lacrosse dei ragazzi viene mostrato allenamenti.")</f>
        <v>Il team di lacrosse dei ragazzi viene mostrato allenamenti.</v>
      </c>
    </row>
    <row r="12881">
      <c r="A12881" s="4" t="s">
        <v>16209</v>
      </c>
      <c r="B12881" s="4" t="s">
        <v>16211</v>
      </c>
      <c r="C12881" s="5" t="str">
        <f>IFERROR(__xludf.DUMMYFUNCTION("GOOGLETRANSLATE(B12881,""en"",""it"")"),"Stanno quindi eseguendo esercitazioni sulla ghiaia.")</f>
        <v>Stanno quindi eseguendo esercitazioni sulla ghiaia.</v>
      </c>
    </row>
    <row r="12882">
      <c r="A12882" s="4" t="s">
        <v>16209</v>
      </c>
      <c r="B12882" s="4" t="s">
        <v>16212</v>
      </c>
      <c r="C12882" s="5" t="str">
        <f>IFERROR(__xludf.DUMMYFUNCTION("GOOGLETRANSLATE(B12882,""en"",""it"")"),"Successivamente, la squadra è in uno scrimmage sul campo.")</f>
        <v>Successivamente, la squadra è in uno scrimmage sul campo.</v>
      </c>
    </row>
    <row r="12883">
      <c r="A12883" s="4" t="s">
        <v>16209</v>
      </c>
      <c r="B12883" s="4" t="s">
        <v>16213</v>
      </c>
      <c r="C12883" s="5" t="str">
        <f>IFERROR(__xludf.DUMMYFUNCTION("GOOGLETRANSLATE(B12883,""en"",""it"")"),"Dopo di che sono stati mostrati a giocare una partita reale, correndo avanti e indietro.")</f>
        <v>Dopo di che sono stati mostrati a giocare una partita reale, correndo avanti e indietro.</v>
      </c>
    </row>
    <row r="12884">
      <c r="A12884" s="4" t="s">
        <v>16209</v>
      </c>
      <c r="B12884" s="4" t="s">
        <v>16214</v>
      </c>
      <c r="C12884" s="5" t="str">
        <f>IFERROR(__xludf.DUMMYFUNCTION("GOOGLETRANSLATE(B12884,""en"",""it"")"),"Infine, alcuni membri sono in un gioco professionale.")</f>
        <v>Infine, alcuni membri sono in un gioco professionale.</v>
      </c>
    </row>
    <row r="12885">
      <c r="A12885" s="4" t="s">
        <v>16215</v>
      </c>
      <c r="B12885" s="4" t="s">
        <v>16216</v>
      </c>
      <c r="C12885" s="5" t="str">
        <f>IFERROR(__xludf.DUMMYFUNCTION("GOOGLETRANSLATE(B12885,""en"",""it"")"),"Una donna viene vista piegarsi su un lavandino con un bambino piccolo accanto a lei.")</f>
        <v>Una donna viene vista piegarsi su un lavandino con un bambino piccolo accanto a lei.</v>
      </c>
    </row>
    <row r="12886">
      <c r="A12886" s="4" t="s">
        <v>16215</v>
      </c>
      <c r="B12886" s="4" t="s">
        <v>16217</v>
      </c>
      <c r="C12886" s="5" t="str">
        <f>IFERROR(__xludf.DUMMYFUNCTION("GOOGLETRANSLATE(B12886,""en"",""it"")"),"La donna e il bambino ti mettono le mani sotto un lavandino per lavarle via.")</f>
        <v>La donna e il bambino ti mettono le mani sotto un lavandino per lavarle via.</v>
      </c>
    </row>
    <row r="12887">
      <c r="A12887" s="4" t="s">
        <v>16215</v>
      </c>
      <c r="B12887" s="4" t="s">
        <v>16218</v>
      </c>
      <c r="C12887" s="5" t="str">
        <f>IFERROR(__xludf.DUMMYFUNCTION("GOOGLETRANSLATE(B12887,""en"",""it"")"),"La donna asciuga le mani alle mani alla fine e la mostra a mettere la lozione.")</f>
        <v>La donna asciuga le mani alle mani alla fine e la mostra a mettere la lozione.</v>
      </c>
    </row>
    <row r="12888">
      <c r="A12888" s="4" t="s">
        <v>16219</v>
      </c>
      <c r="B12888" s="4" t="s">
        <v>1251</v>
      </c>
      <c r="C12888" s="5" t="str">
        <f>IFERROR(__xludf.DUMMYFUNCTION("GOOGLETRANSLATE(B12888,""en"",""it"")"),"Vengono visualizzati i crediti della clip.")</f>
        <v>Vengono visualizzati i crediti della clip.</v>
      </c>
    </row>
    <row r="12889">
      <c r="A12889" s="4" t="s">
        <v>16219</v>
      </c>
      <c r="B12889" s="4" t="s">
        <v>16220</v>
      </c>
      <c r="C12889" s="5" t="str">
        <f>IFERROR(__xludf.DUMMYFUNCTION("GOOGLETRANSLATE(B12889,""en"",""it"")"),"Un ragazzo si trova accanto ai cavalli con un appuntante.")</f>
        <v>Un ragazzo si trova accanto ai cavalli con un appuntante.</v>
      </c>
    </row>
    <row r="12890">
      <c r="A12890" s="4" t="s">
        <v>16219</v>
      </c>
      <c r="B12890" s="4" t="s">
        <v>16221</v>
      </c>
      <c r="C12890" s="5" t="str">
        <f>IFERROR(__xludf.DUMMYFUNCTION("GOOGLETRANSLATE(B12890,""en"",""it"")"),"Un ragazzo cammina sotto una recinzione del cavallo.")</f>
        <v>Un ragazzo cammina sotto una recinzione del cavallo.</v>
      </c>
    </row>
    <row r="12891">
      <c r="A12891" s="4" t="s">
        <v>16219</v>
      </c>
      <c r="B12891" s="4" t="s">
        <v>16222</v>
      </c>
      <c r="C12891" s="5" t="str">
        <f>IFERROR(__xludf.DUMMYFUNCTION("GOOGLETRANSLATE(B12891,""en"",""it"")"),"Una persona guida un cavallo.")</f>
        <v>Una persona guida un cavallo.</v>
      </c>
    </row>
    <row r="12892">
      <c r="A12892" s="4" t="s">
        <v>16219</v>
      </c>
      <c r="B12892" s="4" t="s">
        <v>16223</v>
      </c>
      <c r="C12892" s="5" t="str">
        <f>IFERROR(__xludf.DUMMYFUNCTION("GOOGLETRANSLATE(B12892,""en"",""it"")"),"Il ragazzo sale in cima al cavallo.")</f>
        <v>Il ragazzo sale in cima al cavallo.</v>
      </c>
    </row>
    <row r="12893">
      <c r="A12893" s="4" t="s">
        <v>16219</v>
      </c>
      <c r="B12893" s="4" t="s">
        <v>16224</v>
      </c>
      <c r="C12893" s="5" t="str">
        <f>IFERROR(__xludf.DUMMYFUNCTION("GOOGLETRANSLATE(B12893,""en"",""it"")"),"Il ragazzo picchia il cavallo e va a cavallo.")</f>
        <v>Il ragazzo picchia il cavallo e va a cavallo.</v>
      </c>
    </row>
    <row r="12894">
      <c r="A12894" s="4" t="s">
        <v>16219</v>
      </c>
      <c r="B12894" s="4" t="s">
        <v>16225</v>
      </c>
      <c r="C12894" s="5" t="str">
        <f>IFERROR(__xludf.DUMMYFUNCTION("GOOGLETRANSLATE(B12894,""en"",""it"")"),"Le persone vanno a cavallo per un sentiero.")</f>
        <v>Le persone vanno a cavallo per un sentiero.</v>
      </c>
    </row>
    <row r="12895">
      <c r="A12895" s="4" t="s">
        <v>16226</v>
      </c>
      <c r="B12895" s="4" t="s">
        <v>16227</v>
      </c>
      <c r="C12895" s="5" t="str">
        <f>IFERROR(__xludf.DUMMYFUNCTION("GOOGLETRANSLATE(B12895,""en"",""it"")"),"Un colpo di un edificio conduce in un gioco 3D di uomini SUMO Wrestling.")</f>
        <v>Un colpo di un edificio conduce in un gioco 3D di uomini SUMO Wrestling.</v>
      </c>
    </row>
    <row r="12896">
      <c r="A12896" s="4" t="s">
        <v>16226</v>
      </c>
      <c r="B12896" s="4" t="s">
        <v>16228</v>
      </c>
      <c r="C12896" s="5" t="str">
        <f>IFERROR(__xludf.DUMMYFUNCTION("GOOGLETRANSLATE(B12896,""en"",""it"")"),"Il gioco continua con i personaggi che combattono e un arbitro che guarda sul lato.")</f>
        <v>Il gioco continua con i personaggi che combattono e un arbitro che guarda sul lato.</v>
      </c>
    </row>
    <row r="12897">
      <c r="A12897" s="4" t="s">
        <v>16226</v>
      </c>
      <c r="B12897" s="4" t="s">
        <v>16229</v>
      </c>
      <c r="C12897" s="5" t="str">
        <f>IFERROR(__xludf.DUMMYFUNCTION("GOOGLETRANSLATE(B12897,""en"",""it"")"),"Il gioco termina e mostra più foto di uomini sumo wrestling e puntamento.")</f>
        <v>Il gioco termina e mostra più foto di uomini sumo wrestling e puntamento.</v>
      </c>
    </row>
    <row r="12898">
      <c r="A12898" s="4" t="s">
        <v>16230</v>
      </c>
      <c r="B12898" s="4" t="s">
        <v>16231</v>
      </c>
      <c r="C12898" s="5" t="str">
        <f>IFERROR(__xludf.DUMMYFUNCTION("GOOGLETRANSLATE(B12898,""en"",""it"")"),"Un'introduzione rossa, bianca e nera ha un logo e le parole e la lettera W2K15.")</f>
        <v>Un'introduzione rossa, bianca e nera ha un logo e le parole e la lettera W2K15.</v>
      </c>
    </row>
    <row r="12899">
      <c r="A12899" s="4" t="s">
        <v>16230</v>
      </c>
      <c r="B12899" s="6" t="s">
        <v>16232</v>
      </c>
      <c r="C12899" s="5" t="str">
        <f>IFERROR(__xludf.DUMMYFUNCTION("GOOGLETRANSLATE(B12899,""en"",""it"")"),"Il videogioco inizia e ci sono 3 personaggi contro 1 personaggio e stanno lottando in una pista che eseguono numerosi trucchi come lo strangolamento, colpire, correre nel personaggio per farli cadere o raccoglierli e poi sbatterli a terra mentre il L'arbi"&amp;"tro è in piedi nell'angolo.")</f>
        <v>Il videogioco inizia e ci sono 3 personaggi contro 1 personaggio e stanno lottando in una pista che eseguono numerosi trucchi come lo strangolamento, colpire, correre nel personaggio per farli cadere o raccoglierli e poi sbatterli a terra mentre il L'arbitro è in piedi nell'angolo.</v>
      </c>
    </row>
    <row r="12900">
      <c r="A12900" s="4" t="s">
        <v>16230</v>
      </c>
      <c r="B12900" s="6" t="s">
        <v>16233</v>
      </c>
      <c r="C12900" s="5" t="str">
        <f>IFERROR(__xludf.DUMMYFUNCTION("GOOGLETRANSLATE(B12900,""en"",""it"")"),"Un nuovo round inizia con diversi personaggi che lottano e l'arbitro cerca di fermarli, ma uno dei personaggi raccoglie l'arbitro e poi lo sbatte a terra dove giace lì per alcuni secondi.")</f>
        <v>Un nuovo round inizia con diversi personaggi che lottano e l'arbitro cerca di fermarli, ma uno dei personaggi raccoglie l'arbitro e poi lo sbatte a terra dove giace lì per alcuni secondi.</v>
      </c>
    </row>
    <row r="12901">
      <c r="A12901" s="4" t="s">
        <v>16230</v>
      </c>
      <c r="B12901" s="6" t="s">
        <v>16234</v>
      </c>
      <c r="C12901" s="5" t="str">
        <f>IFERROR(__xludf.DUMMYFUNCTION("GOOGLETRANSLATE(B12901,""en"",""it"")"),"L'arbitro si alza e poi prende a calci uno dei personaggi dalla pista, poi cade a terra per sbattere la mano sulla pista per porre fine al round di lotta.")</f>
        <v>L'arbitro si alza e poi prende a calci uno dei personaggi dalla pista, poi cade a terra per sbattere la mano sulla pista per porre fine al round di lotta.</v>
      </c>
    </row>
    <row r="12902">
      <c r="A12902" s="4" t="s">
        <v>16230</v>
      </c>
      <c r="B12902" s="4" t="s">
        <v>16235</v>
      </c>
      <c r="C12902" s="5" t="str">
        <f>IFERROR(__xludf.DUMMYFUNCTION("GOOGLETRANSLATE(B12902,""en"",""it"")"),"Il video di Outro inizia ed è lo stesso del video introduttivo.")</f>
        <v>Il video di Outro inizia ed è lo stesso del video introduttivo.</v>
      </c>
    </row>
    <row r="12903">
      <c r="A12903" s="4" t="s">
        <v>16236</v>
      </c>
      <c r="B12903" s="4" t="s">
        <v>16237</v>
      </c>
      <c r="C12903" s="5" t="str">
        <f>IFERROR(__xludf.DUMMYFUNCTION("GOOGLETRANSLATE(B12903,""en"",""it"")"),"Un logo per ""The Galley"" con lo slogan ""reinventa la cucina"" appare brevemente.")</f>
        <v>Un logo per "The Galley" con lo slogan "reinventa la cucina" appare brevemente.</v>
      </c>
    </row>
    <row r="12904">
      <c r="A12904" s="4" t="s">
        <v>16236</v>
      </c>
      <c r="B12904" s="4" t="s">
        <v>16238</v>
      </c>
      <c r="C12904" s="5" t="str">
        <f>IFERROR(__xludf.DUMMYFUNCTION("GOOGLETRANSLATE(B12904,""en"",""it"")"),"La scena è narrata da un oratore femminile.")</f>
        <v>La scena è narrata da un oratore femminile.</v>
      </c>
    </row>
    <row r="12905">
      <c r="A12905" s="4" t="s">
        <v>16236</v>
      </c>
      <c r="B12905" s="6" t="s">
        <v>16239</v>
      </c>
      <c r="C12905" s="5" t="str">
        <f>IFERROR(__xludf.DUMMYFUNCTION("GOOGLETRANSLATE(B12905,""en"",""it"")"),"Una donna con capelli biondi prepara una stazione di lavaggio del lavandino con un lavandino sospeso e barre di asciugatura sopra un canale di metallo.")</f>
        <v>Una donna con capelli biondi prepara una stazione di lavaggio del lavandino con un lavandino sospeso e barre di asciugatura sopra un canale di metallo.</v>
      </c>
    </row>
    <row r="12906">
      <c r="A12906" s="4" t="s">
        <v>16236</v>
      </c>
      <c r="B12906" s="4" t="s">
        <v>16240</v>
      </c>
      <c r="C12906" s="5" t="str">
        <f>IFERROR(__xludf.DUMMYFUNCTION("GOOGLETRANSLATE(B12906,""en"",""it"")"),"La donna lava gli occhiali, le piastre e i coltelli e poi si mette sugli scaffali per asciugare.")</f>
        <v>La donna lava gli occhiali, le piastre e i coltelli e poi si mette sugli scaffali per asciugare.</v>
      </c>
    </row>
    <row r="12907">
      <c r="A12907" s="4" t="s">
        <v>16236</v>
      </c>
      <c r="B12907" s="6" t="s">
        <v>16241</v>
      </c>
      <c r="C12907" s="5" t="str">
        <f>IFERROR(__xludf.DUMMYFUNCTION("GOOGLETRANSLATE(B12907,""en"",""it"")"),"La donna termina tirando la spina sul lavandino sospeso permettendo all'acqua di fluire nel canale sotto.")</f>
        <v>La donna termina tirando la spina sul lavandino sospeso permettendo all'acqua di fluire nel canale sotto.</v>
      </c>
    </row>
    <row r="12908">
      <c r="A12908" s="4" t="s">
        <v>16236</v>
      </c>
      <c r="B12908" s="4" t="s">
        <v>16242</v>
      </c>
      <c r="C12908" s="5" t="str">
        <f>IFERROR(__xludf.DUMMYFUNCTION("GOOGLETRANSLATE(B12908,""en"",""it"")"),"Il logo ""The Galley"" appare di nuovo.")</f>
        <v>Il logo "The Galley" appare di nuovo.</v>
      </c>
    </row>
    <row r="12909">
      <c r="A12909" s="4" t="s">
        <v>16243</v>
      </c>
      <c r="B12909" s="4" t="s">
        <v>16244</v>
      </c>
      <c r="C12909" s="5" t="str">
        <f>IFERROR(__xludf.DUMMYFUNCTION("GOOGLETRANSLATE(B12909,""en"",""it"")"),"La donna è nelle notizie a parlare con la telecamera di una protezione solare manuale.")</f>
        <v>La donna è nelle notizie a parlare con la telecamera di una protezione solare manuale.</v>
      </c>
    </row>
    <row r="12910">
      <c r="A12910" s="4" t="s">
        <v>16243</v>
      </c>
      <c r="B12910" s="6" t="s">
        <v>16245</v>
      </c>
      <c r="C12910" s="5" t="str">
        <f>IFERROR(__xludf.DUMMYFUNCTION("GOOGLETRANSLATE(B12910,""en"",""it"")"),"La donna tiene in mano un tubo per la crema solare e lo mette tra le braccia, le mani e il viso e la donna in studio continua a parlare della protezione solare naturale.")</f>
        <v>La donna tiene in mano un tubo per la crema solare e lo mette tra le braccia, le mani e il viso e la donna in studio continua a parlare della protezione solare naturale.</v>
      </c>
    </row>
    <row r="12911">
      <c r="A12911" s="4" t="s">
        <v>16246</v>
      </c>
      <c r="B12911" s="6" t="s">
        <v>16247</v>
      </c>
      <c r="C12911" s="5" t="str">
        <f>IFERROR(__xludf.DUMMYFUNCTION("GOOGLETRANSLATE(B12911,""en"",""it"")"),"Un'introduzione al testo conduce in diversi scatti di una zucca e strumenti seguiti da un uomo che intaglia la zucca.")</f>
        <v>Un'introduzione al testo conduce in diversi scatti di una zucca e strumenti seguiti da un uomo che intaglia la zucca.</v>
      </c>
    </row>
    <row r="12912">
      <c r="A12912" s="4" t="s">
        <v>16246</v>
      </c>
      <c r="B12912" s="4" t="s">
        <v>16248</v>
      </c>
      <c r="C12912" s="5" t="str">
        <f>IFERROR(__xludf.DUMMYFUNCTION("GOOGLETRANSLATE(B12912,""en"",""it"")"),"L'uomo si disegna e taglia tutto intorno alla parte anteriore della zucca mentre si muove in movimento veloce.")</f>
        <v>L'uomo si disegna e taglia tutto intorno alla parte anteriore della zucca mentre si muove in movimento veloce.</v>
      </c>
    </row>
    <row r="12913">
      <c r="A12913" s="4" t="s">
        <v>16246</v>
      </c>
      <c r="B12913" s="4" t="s">
        <v>16249</v>
      </c>
      <c r="C12913" s="5" t="str">
        <f>IFERROR(__xludf.DUMMYFUNCTION("GOOGLETRANSLATE(B12913,""en"",""it"")"),"L'uomo finisce la zucca e la fotocamera piova tutto intorno al lato.")</f>
        <v>L'uomo finisce la zucca e la fotocamera piova tutto intorno al lato.</v>
      </c>
    </row>
    <row r="12914">
      <c r="A12914" s="4" t="s">
        <v>16250</v>
      </c>
      <c r="B12914" s="4" t="s">
        <v>16251</v>
      </c>
      <c r="C12914" s="5" t="str">
        <f>IFERROR(__xludf.DUMMYFUNCTION("GOOGLETRANSLATE(B12914,""en"",""it"")"),"Un uomo è in piedi fuori con una padella.")</f>
        <v>Un uomo è in piedi fuori con una padella.</v>
      </c>
    </row>
    <row r="12915">
      <c r="A12915" s="4" t="s">
        <v>16250</v>
      </c>
      <c r="B12915" s="4" t="s">
        <v>16252</v>
      </c>
      <c r="C12915" s="5" t="str">
        <f>IFERROR(__xludf.DUMMYFUNCTION("GOOGLETRANSLATE(B12915,""en"",""it"")"),"Parla mentre dimostra come dipingere il legno all'aperto.")</f>
        <v>Parla mentre dimostra come dipingere il legno all'aperto.</v>
      </c>
    </row>
    <row r="12916">
      <c r="A12916" s="4" t="s">
        <v>16250</v>
      </c>
      <c r="B12916" s="4" t="s">
        <v>16253</v>
      </c>
      <c r="C12916" s="5" t="str">
        <f>IFERROR(__xludf.DUMMYFUNCTION("GOOGLETRANSLATE(B12916,""en"",""it"")"),"Mostra un rullo di vernice.")</f>
        <v>Mostra un rullo di vernice.</v>
      </c>
    </row>
    <row r="12917">
      <c r="A12917" s="4" t="s">
        <v>16250</v>
      </c>
      <c r="B12917" s="4" t="s">
        <v>16254</v>
      </c>
      <c r="C12917" s="5" t="str">
        <f>IFERROR(__xludf.DUMMYFUNCTION("GOOGLETRANSLATE(B12917,""en"",""it"")"),"Continua a parlare del processo mentre sta lì.")</f>
        <v>Continua a parlare del processo mentre sta lì.</v>
      </c>
    </row>
    <row r="12918">
      <c r="A12918" s="4" t="s">
        <v>16255</v>
      </c>
      <c r="B12918" s="4" t="s">
        <v>16256</v>
      </c>
      <c r="C12918" s="5" t="str">
        <f>IFERROR(__xludf.DUMMYFUNCTION("GOOGLETRANSLATE(B12918,""en"",""it"")"),"Un uomo si tiene in un bar mentre si trova in uno sci d'acqua.")</f>
        <v>Un uomo si tiene in un bar mentre si trova in uno sci d'acqua.</v>
      </c>
    </row>
    <row r="12919">
      <c r="A12919" s="4" t="s">
        <v>16255</v>
      </c>
      <c r="B12919" s="4" t="s">
        <v>16257</v>
      </c>
      <c r="C12919" s="5" t="str">
        <f>IFERROR(__xludf.DUMMYFUNCTION("GOOGLETRANSLATE(B12919,""en"",""it"")"),"Viene tirato attraverso l'acqua da una barca a motore.")</f>
        <v>Viene tirato attraverso l'acqua da una barca a motore.</v>
      </c>
    </row>
    <row r="12920">
      <c r="A12920" s="4" t="s">
        <v>16255</v>
      </c>
      <c r="B12920" s="4" t="s">
        <v>16258</v>
      </c>
      <c r="C12920" s="5" t="str">
        <f>IFERROR(__xludf.DUMMYFUNCTION("GOOGLETRANSLATE(B12920,""en"",""it"")"),"Sta scivolando su un lungo lago, cercando di rimanere in posizione verticale.")</f>
        <v>Sta scivolando su un lungo lago, cercando di rimanere in posizione verticale.</v>
      </c>
    </row>
    <row r="12921">
      <c r="A12921" s="4" t="s">
        <v>16259</v>
      </c>
      <c r="B12921" s="4" t="s">
        <v>16260</v>
      </c>
      <c r="C12921" s="5" t="str">
        <f>IFERROR(__xludf.DUMMYFUNCTION("GOOGLETRANSLATE(B12921,""en"",""it"")"),"Una donna in un accappatoio di fronte a uno specchio pulisce le mani.")</f>
        <v>Una donna in un accappatoio di fronte a uno specchio pulisce le mani.</v>
      </c>
    </row>
    <row r="12922">
      <c r="A12922" s="4" t="s">
        <v>16259</v>
      </c>
      <c r="B12922" s="4" t="s">
        <v>16261</v>
      </c>
      <c r="C12922" s="5" t="str">
        <f>IFERROR(__xludf.DUMMYFUNCTION("GOOGLETRANSLATE(B12922,""en"",""it"")"),"La fotocamera taglia le scene ravvicinate delle dita raccogliendo una lente a contatto e le reggendo.")</f>
        <v>La fotocamera taglia le scene ravvicinate delle dita raccogliendo una lente a contatto e le reggendo.</v>
      </c>
    </row>
    <row r="12923">
      <c r="A12923" s="4" t="s">
        <v>16259</v>
      </c>
      <c r="B12923" s="4" t="s">
        <v>16262</v>
      </c>
      <c r="C12923" s="5" t="str">
        <f>IFERROR(__xludf.DUMMYFUNCTION("GOOGLETRANSLATE(B12923,""en"",""it"")"),"La fotocamera taglia brevemente la faccia della donna prima di tornare.")</f>
        <v>La fotocamera taglia brevemente la faccia della donna prima di tornare.</v>
      </c>
    </row>
    <row r="12924">
      <c r="A12924" s="4" t="s">
        <v>16259</v>
      </c>
      <c r="B12924" s="4" t="s">
        <v>16263</v>
      </c>
      <c r="C12924" s="5" t="str">
        <f>IFERROR(__xludf.DUMMYFUNCTION("GOOGLETRANSLATE(B12924,""en"",""it"")"),"La donna gli mette la lente a contatto.")</f>
        <v>La donna gli mette la lente a contatto.</v>
      </c>
    </row>
    <row r="12925">
      <c r="A12925" s="4" t="s">
        <v>16259</v>
      </c>
      <c r="B12925" s="4" t="s">
        <v>16264</v>
      </c>
      <c r="C12925" s="5" t="str">
        <f>IFERROR(__xludf.DUMMYFUNCTION("GOOGLETRANSLATE(B12925,""en"",""it"")"),"La donna applica la soluzione delle lenti a contatto nella sua custodia per le lenti.")</f>
        <v>La donna applica la soluzione delle lenti a contatto nella sua custodia per le lenti.</v>
      </c>
    </row>
    <row r="12926">
      <c r="A12926" s="4" t="s">
        <v>16259</v>
      </c>
      <c r="B12926" s="4" t="s">
        <v>16265</v>
      </c>
      <c r="C12926" s="5" t="str">
        <f>IFERROR(__xludf.DUMMYFUNCTION("GOOGLETRANSLATE(B12926,""en"",""it"")"),"La donna si lava le mani.")</f>
        <v>La donna si lava le mani.</v>
      </c>
    </row>
    <row r="12927">
      <c r="A12927" s="4" t="s">
        <v>16259</v>
      </c>
      <c r="B12927" s="4" t="s">
        <v>16266</v>
      </c>
      <c r="C12927" s="5" t="str">
        <f>IFERROR(__xludf.DUMMYFUNCTION("GOOGLETRANSLATE(B12927,""en"",""it"")"),"La donna rimuove le lenti a contatto dagli occhi.")</f>
        <v>La donna rimuove le lenti a contatto dagli occhi.</v>
      </c>
    </row>
    <row r="12928">
      <c r="A12928" s="4" t="s">
        <v>16259</v>
      </c>
      <c r="B12928" s="4" t="s">
        <v>16267</v>
      </c>
      <c r="C12928" s="5" t="str">
        <f>IFERROR(__xludf.DUMMYFUNCTION("GOOGLETRANSLATE(B12928,""en"",""it"")"),"La donna posiziona l'obiettivo sul palmo e, usando la soluzione, la pulisce.")</f>
        <v>La donna posiziona l'obiettivo sul palmo e, usando la soluzione, la pulisce.</v>
      </c>
    </row>
    <row r="12929">
      <c r="A12929" s="4" t="s">
        <v>16259</v>
      </c>
      <c r="B12929" s="4" t="s">
        <v>16268</v>
      </c>
      <c r="C12929" s="5" t="str">
        <f>IFERROR(__xludf.DUMMYFUNCTION("GOOGLETRANSLATE(B12929,""en"",""it"")"),"La donna mette l'obiettivo nella custodia e aggiunge soluzione.")</f>
        <v>La donna mette l'obiettivo nella custodia e aggiunge soluzione.</v>
      </c>
    </row>
    <row r="12930">
      <c r="A12930" s="4" t="s">
        <v>16259</v>
      </c>
      <c r="B12930" s="4" t="s">
        <v>16269</v>
      </c>
      <c r="C12930" s="5" t="str">
        <f>IFERROR(__xludf.DUMMYFUNCTION("GOOGLETRANSLATE(B12930,""en"",""it"")"),"La donna inizia a lasciare il telaio della fotocamera.")</f>
        <v>La donna inizia a lasciare il telaio della fotocamera.</v>
      </c>
    </row>
    <row r="12931">
      <c r="A12931" s="4" t="s">
        <v>16270</v>
      </c>
      <c r="B12931" s="4" t="s">
        <v>16271</v>
      </c>
      <c r="C12931" s="5" t="str">
        <f>IFERROR(__xludf.DUMMYFUNCTION("GOOGLETRANSLATE(B12931,""en"",""it"")"),"Una persona è vista seduta su una bici prima di una pista che guarda in basso.")</f>
        <v>Una persona è vista seduta su una bici prima di una pista che guarda in basso.</v>
      </c>
    </row>
    <row r="12932">
      <c r="A12932" s="4" t="s">
        <v>16270</v>
      </c>
      <c r="B12932" s="4" t="s">
        <v>16272</v>
      </c>
      <c r="C12932" s="5" t="str">
        <f>IFERROR(__xludf.DUMMYFUNCTION("GOOGLETRANSLATE(B12932,""en"",""it"")"),"L'uomo inizia quindi a cavalcare in pista con molti altri che cavalcano davanti.")</f>
        <v>L'uomo inizia quindi a cavalcare in pista con molti altri che cavalcano davanti.</v>
      </c>
    </row>
    <row r="12933">
      <c r="A12933" s="4" t="s">
        <v>16270</v>
      </c>
      <c r="B12933" s="4" t="s">
        <v>16273</v>
      </c>
      <c r="C12933" s="5" t="str">
        <f>IFERROR(__xludf.DUMMYFUNCTION("GOOGLETRANSLATE(B12933,""en"",""it"")"),"La persona cavalca in tutta l'area e termina con un logo Go Pro.")</f>
        <v>La persona cavalca in tutta l'area e termina con un logo Go Pro.</v>
      </c>
    </row>
    <row r="12934">
      <c r="A12934" s="4" t="s">
        <v>16274</v>
      </c>
      <c r="B12934" s="6" t="s">
        <v>16275</v>
      </c>
      <c r="C12934" s="5" t="str">
        <f>IFERROR(__xludf.DUMMYFUNCTION("GOOGLETRANSLATE(B12934,""en"",""it"")"),"Un uomo che indossa un abito in città cammina per le strade di New York e si incontra con un altro uomo a cui piace proprio come lui.")</f>
        <v>Un uomo che indossa un abito in città cammina per le strade di New York e si incontra con un altro uomo a cui piace proprio come lui.</v>
      </c>
    </row>
    <row r="12935">
      <c r="A12935" s="4" t="s">
        <v>16274</v>
      </c>
      <c r="B12935" s="4" t="s">
        <v>16276</v>
      </c>
      <c r="C12935" s="5" t="str">
        <f>IFERROR(__xludf.DUMMYFUNCTION("GOOGLETRANSLATE(B12935,""en"",""it"")"),"Gli uomini confrontano gli oggetti e poi eseguono una routine di danza al centro.")</f>
        <v>Gli uomini confrontano gli oggetti e poi eseguono una routine di danza al centro.</v>
      </c>
    </row>
    <row r="12936">
      <c r="A12936" s="4" t="s">
        <v>16274</v>
      </c>
      <c r="B12936" s="4" t="s">
        <v>16277</v>
      </c>
      <c r="C12936" s="5" t="str">
        <f>IFERROR(__xludf.DUMMYFUNCTION("GOOGLETRANSLATE(B12936,""en"",""it"")"),"Gli uomini afferrano le mani per porre fine alla routine, quindi si allontanano l'uno dall'altro.")</f>
        <v>Gli uomini afferrano le mani per porre fine alla routine, quindi si allontanano l'uno dall'altro.</v>
      </c>
    </row>
    <row r="12937">
      <c r="A12937" s="4" t="s">
        <v>16278</v>
      </c>
      <c r="B12937" s="6" t="s">
        <v>16279</v>
      </c>
      <c r="C12937" s="5" t="str">
        <f>IFERROR(__xludf.DUMMYFUNCTION("GOOGLETRANSLATE(B12937,""en"",""it"")"),"Un atleta viene visto camminare in avanti mentre scuote le braccia e le gambe e si aggira il suo seme di nuoto.")</f>
        <v>Un atleta viene visto camminare in avanti mentre scuote le braccia e le gambe e si aggira il suo seme di nuoto.</v>
      </c>
    </row>
    <row r="12938">
      <c r="A12938" s="4" t="s">
        <v>16278</v>
      </c>
      <c r="B12938" s="6" t="s">
        <v>16280</v>
      </c>
      <c r="C12938" s="5" t="str">
        <f>IFERROR(__xludf.DUMMYFUNCTION("GOOGLETRANSLATE(B12938,""en"",""it"")"),"La ragazza si piega in avanti ed esegue un tuffo nella piscina mentre la fotocamera torna a un tabellone.")</f>
        <v>La ragazza si piega in avanti ed esegue un tuffo nella piscina mentre la fotocamera torna a un tabellone.</v>
      </c>
    </row>
    <row r="12939">
      <c r="A12939" s="4" t="s">
        <v>16281</v>
      </c>
      <c r="B12939" s="4" t="s">
        <v>16282</v>
      </c>
      <c r="C12939" s="5" t="str">
        <f>IFERROR(__xludf.DUMMYFUNCTION("GOOGLETRANSLATE(B12939,""en"",""it"")"),"Un uomo ha il piede sul bagno.")</f>
        <v>Un uomo ha il piede sul bagno.</v>
      </c>
    </row>
    <row r="12940">
      <c r="A12940" s="4" t="s">
        <v>16281</v>
      </c>
      <c r="B12940" s="4" t="s">
        <v>16283</v>
      </c>
      <c r="C12940" s="5" t="str">
        <f>IFERROR(__xludf.DUMMYFUNCTION("GOOGLETRANSLATE(B12940,""en"",""it"")"),"Comincia a radersi la gamba con un rasoio.")</f>
        <v>Comincia a radersi la gamba con un rasoio.</v>
      </c>
    </row>
    <row r="12941">
      <c r="A12941" s="4" t="s">
        <v>16281</v>
      </c>
      <c r="B12941" s="4" t="s">
        <v>16284</v>
      </c>
      <c r="C12941" s="5" t="str">
        <f>IFERROR(__xludf.DUMMYFUNCTION("GOOGLETRANSLATE(B12941,""en"",""it"")"),"Si tira su i pantaloni e inizia a radersi l'altra gamba.")</f>
        <v>Si tira su i pantaloni e inizia a radersi l'altra gamba.</v>
      </c>
    </row>
    <row r="12942">
      <c r="A12942" s="4" t="s">
        <v>16285</v>
      </c>
      <c r="B12942" s="4" t="s">
        <v>16286</v>
      </c>
      <c r="C12942" s="5" t="str">
        <f>IFERROR(__xludf.DUMMYFUNCTION("GOOGLETRANSLATE(B12942,""en"",""it"")"),"Un uomo si sta spingendo un po 'di pacciame in una canna della ruota.")</f>
        <v>Un uomo si sta spingendo un po 'di pacciame in una canna della ruota.</v>
      </c>
    </row>
    <row r="12943">
      <c r="A12943" s="4" t="s">
        <v>16285</v>
      </c>
      <c r="B12943" s="6" t="s">
        <v>16287</v>
      </c>
      <c r="C12943" s="5" t="str">
        <f>IFERROR(__xludf.DUMMYFUNCTION("GOOGLETRANSLATE(B12943,""en"",""it"")"),"Porta la canna della ruota e la scarica in una pila in cui una donna sta usando un rastrello per diffonderla uniformemente.")</f>
        <v>Porta la canna della ruota e la scarica in una pila in cui una donna sta usando un rastrello per diffonderla uniformemente.</v>
      </c>
    </row>
    <row r="12944">
      <c r="A12944" s="4" t="s">
        <v>16285</v>
      </c>
      <c r="B12944" s="4" t="s">
        <v>16288</v>
      </c>
      <c r="C12944" s="5" t="str">
        <f>IFERROR(__xludf.DUMMYFUNCTION("GOOGLETRANSLATE(B12944,""en"",""it"")"),"Continuano a portare un sacco di pacciame e un uomo scarica un piccolo trattore di terra.")</f>
        <v>Continuano a portare un sacco di pacciame e un uomo scarica un piccolo trattore di terra.</v>
      </c>
    </row>
    <row r="12945">
      <c r="A12945" s="4" t="s">
        <v>16285</v>
      </c>
      <c r="B12945" s="4" t="s">
        <v>16289</v>
      </c>
      <c r="C12945" s="5" t="str">
        <f>IFERROR(__xludf.DUMMYFUNCTION("GOOGLETRANSLATE(B12945,""en"",""it"")"),"Si allontana sul piccolo cervo John Tractor mentre gli altri continuano a rastrellare.")</f>
        <v>Si allontana sul piccolo cervo John Tractor mentre gli altri continuano a rastrellare.</v>
      </c>
    </row>
    <row r="12946">
      <c r="A12946" s="4" t="s">
        <v>16290</v>
      </c>
      <c r="B12946" s="6" t="s">
        <v>16291</v>
      </c>
      <c r="C12946" s="5" t="str">
        <f>IFERROR(__xludf.DUMMYFUNCTION("GOOGLETRANSLATE(B12946,""en"",""it"")"),"Una persona viene vista camminare per un campo seguito da diversi colpi dal campo e persone che guardano sui lati.")</f>
        <v>Una persona viene vista camminare per un campo seguito da diversi colpi dal campo e persone che guardano sui lati.</v>
      </c>
    </row>
    <row r="12947">
      <c r="A12947" s="4" t="s">
        <v>16290</v>
      </c>
      <c r="B12947" s="4" t="s">
        <v>16292</v>
      </c>
      <c r="C12947" s="5" t="str">
        <f>IFERROR(__xludf.DUMMYFUNCTION("GOOGLETRANSLATE(B12947,""en"",""it"")"),"Il video passa in diversi scatti di addestratori che fanno trucchi con i loro cani usando frisbees.")</f>
        <v>Il video passa in diversi scatti di addestratori che fanno trucchi con i loro cani usando frisbees.</v>
      </c>
    </row>
    <row r="12948">
      <c r="A12948" s="4" t="s">
        <v>16290</v>
      </c>
      <c r="B12948" s="6" t="s">
        <v>16293</v>
      </c>
      <c r="C12948" s="5" t="str">
        <f>IFERROR(__xludf.DUMMYFUNCTION("GOOGLETRANSLATE(B12948,""en"",""it"")"),"La gente lancia continuamente il frisbee attorno al campo mentre il cane insegue in seguito e corre nel campo.")</f>
        <v>La gente lancia continuamente il frisbee attorno al campo mentre il cane insegue in seguito e corre nel campo.</v>
      </c>
    </row>
    <row r="12949">
      <c r="A12949" s="4" t="s">
        <v>16294</v>
      </c>
      <c r="B12949" s="6" t="s">
        <v>16295</v>
      </c>
      <c r="C12949" s="5" t="str">
        <f>IFERROR(__xludf.DUMMYFUNCTION("GOOGLETRANSLATE(B12949,""en"",""it"")"),"Il video inizia con un uomo che esegue varie mosse di balletto mentre la fotocamera segue e si ripete al rallentatore.")</f>
        <v>Il video inizia con un uomo che esegue varie mosse di balletto mentre la fotocamera segue e si ripete al rallentatore.</v>
      </c>
    </row>
    <row r="12950">
      <c r="A12950" s="4" t="s">
        <v>16294</v>
      </c>
      <c r="B12950" s="4" t="s">
        <v>16296</v>
      </c>
      <c r="C12950" s="5" t="str">
        <f>IFERROR(__xludf.DUMMYFUNCTION("GOOGLETRANSLATE(B12950,""en"",""it"")"),"L'uomo intervista la telecamera e conduce in un altro ballerino che esegue passaggi.")</f>
        <v>L'uomo intervista la telecamera e conduce in un altro ballerino che esegue passaggi.</v>
      </c>
    </row>
    <row r="12951">
      <c r="A12951" s="4" t="s">
        <v>16294</v>
      </c>
      <c r="B12951" s="4" t="s">
        <v>16297</v>
      </c>
      <c r="C12951" s="5" t="str">
        <f>IFERROR(__xludf.DUMMYFUNCTION("GOOGLETRANSLATE(B12951,""en"",""it"")"),"Diverse altre persone vengono viste eseguire mosse di danza e parlare alla telecamera.")</f>
        <v>Diverse altre persone vengono viste eseguire mosse di danza e parlare alla telecamera.</v>
      </c>
    </row>
    <row r="12952">
      <c r="A12952" s="4" t="s">
        <v>16298</v>
      </c>
      <c r="B12952" s="4" t="s">
        <v>16299</v>
      </c>
      <c r="C12952" s="5" t="str">
        <f>IFERROR(__xludf.DUMMYFUNCTION("GOOGLETRANSLATE(B12952,""en"",""it"")"),"Una persona mostra un mobile.")</f>
        <v>Una persona mostra un mobile.</v>
      </c>
    </row>
    <row r="12953">
      <c r="A12953" s="4" t="s">
        <v>16298</v>
      </c>
      <c r="B12953" s="4" t="s">
        <v>16300</v>
      </c>
      <c r="C12953" s="5" t="str">
        <f>IFERROR(__xludf.DUMMYFUNCTION("GOOGLETRANSLATE(B12953,""en"",""it"")"),"Quindi, la persona copre una scatola di legno con moquette e taglia gli avanzi.")</f>
        <v>Quindi, la persona copre una scatola di legno con moquette e taglia gli avanzi.</v>
      </c>
    </row>
    <row r="12954">
      <c r="A12954" s="4" t="s">
        <v>16298</v>
      </c>
      <c r="B12954" s="4" t="s">
        <v>16301</v>
      </c>
      <c r="C12954" s="5" t="str">
        <f>IFERROR(__xludf.DUMMYFUNCTION("GOOGLETRANSLATE(B12954,""en"",""it"")"),"Quindi, la persona piega il tappeto sui bordi e taglia le parti non necessarie.")</f>
        <v>Quindi, la persona piega il tappeto sui bordi e taglia le parti non necessarie.</v>
      </c>
    </row>
    <row r="12955">
      <c r="A12955" s="4" t="s">
        <v>16302</v>
      </c>
      <c r="B12955" s="6" t="s">
        <v>16303</v>
      </c>
      <c r="C12955" s="5" t="str">
        <f>IFERROR(__xludf.DUMMYFUNCTION("GOOGLETRANSLATE(B12955,""en"",""it"")"),"Una donna di caucasi è in piedi in cucina a parlare con un bambino e iniziano a sbattere il pugno sull'isola.")</f>
        <v>Una donna di caucasi è in piedi in cucina a parlare con un bambino e iniziano a sbattere il pugno sull'isola.</v>
      </c>
    </row>
    <row r="12956">
      <c r="A12956" s="4" t="s">
        <v>16302</v>
      </c>
      <c r="B12956" s="4" t="s">
        <v>16304</v>
      </c>
      <c r="C12956" s="5" t="str">
        <f>IFERROR(__xludf.DUMMYFUNCTION("GOOGLETRANSLATE(B12956,""en"",""it"")"),"Viene visualizzato uno schermo rosso con una foto di limonata e i due riapparite.")</f>
        <v>Viene visualizzato uno schermo rosso con una foto di limonata e i due riapparite.</v>
      </c>
    </row>
    <row r="12957">
      <c r="A12957" s="4" t="s">
        <v>16302</v>
      </c>
      <c r="B12957" s="4" t="s">
        <v>16305</v>
      </c>
      <c r="C12957" s="5" t="str">
        <f>IFERROR(__xludf.DUMMYFUNCTION("GOOGLETRANSLATE(B12957,""en"",""it"")"),"La signora inizia a parlare estremamente energico alla telecamera.")</f>
        <v>La signora inizia a parlare estremamente energico alla telecamera.</v>
      </c>
    </row>
    <row r="12958">
      <c r="A12958" s="4" t="s">
        <v>16302</v>
      </c>
      <c r="B12958" s="6" t="s">
        <v>16306</v>
      </c>
      <c r="C12958" s="5" t="str">
        <f>IFERROR(__xludf.DUMMYFUNCTION("GOOGLETRANSLATE(B12958,""en"",""it"")"),"I due iniziano quindi a scaricare gli ingredienti in un frullatore, a cominciare da fragole e finendo con lo sciroppo.")</f>
        <v>I due iniziano quindi a scaricare gli ingredienti in un frullatore, a cominciare da fragole e finendo con lo sciroppo.</v>
      </c>
    </row>
    <row r="12959">
      <c r="A12959" s="4" t="s">
        <v>16302</v>
      </c>
      <c r="B12959" s="4" t="s">
        <v>16307</v>
      </c>
      <c r="C12959" s="5" t="str">
        <f>IFERROR(__xludf.DUMMYFUNCTION("GOOGLETRANSLATE(B12959,""en"",""it"")"),"Infine, il bambino scarica una tazza di ghiaccio nel frullatore e la signora fonde gli ingredienti.")</f>
        <v>Infine, il bambino scarica una tazza di ghiaccio nel frullatore e la signora fonde gli ingredienti.</v>
      </c>
    </row>
    <row r="12960">
      <c r="A12960" s="4" t="s">
        <v>16302</v>
      </c>
      <c r="B12960" s="4" t="s">
        <v>16308</v>
      </c>
      <c r="C12960" s="5" t="str">
        <f>IFERROR(__xludf.DUMMYFUNCTION("GOOGLETRANSLATE(B12960,""en"",""it"")"),"Una volta fatto, la signora afferra due tazze e le riempie e loro due si godono un drink insieme.")</f>
        <v>Una volta fatto, la signora afferra due tazze e le riempie e loro due si godono un drink insieme.</v>
      </c>
    </row>
    <row r="12961">
      <c r="A12961" s="4" t="s">
        <v>16309</v>
      </c>
      <c r="B12961" s="4" t="s">
        <v>16310</v>
      </c>
      <c r="C12961" s="5" t="str">
        <f>IFERROR(__xludf.DUMMYFUNCTION("GOOGLETRANSLATE(B12961,""en"",""it"")"),"Un bambino è in piedi in un soggiorno.")</f>
        <v>Un bambino è in piedi in un soggiorno.</v>
      </c>
    </row>
    <row r="12962">
      <c r="A12962" s="4" t="s">
        <v>16309</v>
      </c>
      <c r="B12962" s="4" t="s">
        <v>16311</v>
      </c>
      <c r="C12962" s="5" t="str">
        <f>IFERROR(__xludf.DUMMYFUNCTION("GOOGLETRANSLATE(B12962,""en"",""it"")"),"Sta lanciando freccette contro un bersaglio.")</f>
        <v>Sta lanciando freccette contro un bersaglio.</v>
      </c>
    </row>
    <row r="12963">
      <c r="A12963" s="4" t="s">
        <v>16309</v>
      </c>
      <c r="B12963" s="4" t="s">
        <v>16312</v>
      </c>
      <c r="C12963" s="5" t="str">
        <f>IFERROR(__xludf.DUMMYFUNCTION("GOOGLETRANSLATE(B12963,""en"",""it"")"),"Si avvicina e rimuove le freccette prima di riprovare.")</f>
        <v>Si avvicina e rimuove le freccette prima di riprovare.</v>
      </c>
    </row>
    <row r="12964">
      <c r="A12964" s="4" t="s">
        <v>16313</v>
      </c>
      <c r="B12964" s="6" t="s">
        <v>16314</v>
      </c>
      <c r="C12964" s="5" t="str">
        <f>IFERROR(__xludf.DUMMYFUNCTION("GOOGLETRANSLATE(B12964,""en"",""it"")"),"L'alcool viene mostrato versato in un bicchiere e conduce in una donna che solleva un bicchiere e versando ghiaccio.")</f>
        <v>L'alcool viene mostrato versato in un bicchiere e conduce in una donna che solleva un bicchiere e versando ghiaccio.</v>
      </c>
    </row>
    <row r="12965">
      <c r="A12965" s="4" t="s">
        <v>16313</v>
      </c>
      <c r="B12965" s="6" t="s">
        <v>16315</v>
      </c>
      <c r="C12965" s="5" t="str">
        <f>IFERROR(__xludf.DUMMYFUNCTION("GOOGLETRANSLATE(B12965,""en"",""it"")"),"La donna versa quindi varie miscele di alcol nel vetro e termina presentando il vetro alla telecamera.")</f>
        <v>La donna versa quindi varie miscele di alcol nel vetro e termina presentando il vetro alla telecamera.</v>
      </c>
    </row>
    <row r="12966">
      <c r="A12966" s="4" t="s">
        <v>16316</v>
      </c>
      <c r="B12966" s="6" t="s">
        <v>16317</v>
      </c>
      <c r="C12966" s="5" t="str">
        <f>IFERROR(__xludf.DUMMYFUNCTION("GOOGLETRANSLATE(B12966,""en"",""it"")"),"Una ginnasta americana si arrampica sul raggio di equilibrio, si esibisce a quattro giri all'indietro e un capovolgimento in avanti.")</f>
        <v>Una ginnasta americana si arrampica sul raggio di equilibrio, si esibisce a quattro giri all'indietro e un capovolgimento in avanti.</v>
      </c>
    </row>
    <row r="12967">
      <c r="A12967" s="4" t="s">
        <v>16316</v>
      </c>
      <c r="B12967" s="6" t="s">
        <v>16318</v>
      </c>
      <c r="C12967" s="5" t="str">
        <f>IFERROR(__xludf.DUMMYFUNCTION("GOOGLETRANSLATE(B12967,""en"",""it"")"),"Quindi, la ginnasta gira all'indietro una volta dalla sua parte, poi salta e si lancia due volte all'indietro.")</f>
        <v>Quindi, la ginnasta gira all'indietro una volta dalla sua parte, poi salta e si lancia due volte all'indietro.</v>
      </c>
    </row>
    <row r="12968">
      <c r="A12968" s="4" t="s">
        <v>16316</v>
      </c>
      <c r="B12968" s="4" t="s">
        <v>16319</v>
      </c>
      <c r="C12968" s="5" t="str">
        <f>IFERROR(__xludf.DUMMYFUNCTION("GOOGLETRANSLATE(B12968,""en"",""it"")"),"Dopo che la ginnasta salta, gira e gira.")</f>
        <v>Dopo che la ginnasta salta, gira e gira.</v>
      </c>
    </row>
    <row r="12969">
      <c r="A12969" s="4" t="s">
        <v>16316</v>
      </c>
      <c r="B12969" s="6" t="s">
        <v>16320</v>
      </c>
      <c r="C12969" s="5" t="str">
        <f>IFERROR(__xludf.DUMMYFUNCTION("GOOGLETRANSLATE(B12969,""en"",""it"")"),"La ginnasta si trova sulla fine del raggio, quindi corre e si lancia in momenti e finisce sul tappeto.")</f>
        <v>La ginnasta si trova sulla fine del raggio, quindi corre e si lancia in momenti e finisce sul tappeto.</v>
      </c>
    </row>
    <row r="12970">
      <c r="A12970" s="4" t="s">
        <v>16316</v>
      </c>
      <c r="B12970" s="4" t="s">
        <v>16321</v>
      </c>
      <c r="C12970" s="5" t="str">
        <f>IFERROR(__xludf.DUMMYFUNCTION("GOOGLETRANSLATE(B12970,""en"",""it"")"),"Dopo, la ginnasta solleva le braccia e si congratula dalle persone.")</f>
        <v>Dopo, la ginnasta solleva le braccia e si congratula dalle persone.</v>
      </c>
    </row>
    <row r="12971">
      <c r="A12971" s="4" t="s">
        <v>16316</v>
      </c>
      <c r="B12971" s="4" t="s">
        <v>16322</v>
      </c>
      <c r="C12971" s="5" t="str">
        <f>IFERROR(__xludf.DUMMYFUNCTION("GOOGLETRANSLATE(B12971,""en"",""it"")"),"La routine della ginnasta si ripete di nuovo.")</f>
        <v>La routine della ginnasta si ripete di nuovo.</v>
      </c>
    </row>
    <row r="12972">
      <c r="A12972" s="4" t="s">
        <v>16323</v>
      </c>
      <c r="B12972" s="4" t="s">
        <v>16324</v>
      </c>
      <c r="C12972" s="5" t="str">
        <f>IFERROR(__xludf.DUMMYFUNCTION("GOOGLETRANSLATE(B12972,""en"",""it"")"),"Viene mostrata una foto prima e dopo di un lavandino.")</f>
        <v>Viene mostrata una foto prima e dopo di un lavandino.</v>
      </c>
    </row>
    <row r="12973">
      <c r="A12973" s="4" t="s">
        <v>16323</v>
      </c>
      <c r="B12973" s="4" t="s">
        <v>16325</v>
      </c>
      <c r="C12973" s="5" t="str">
        <f>IFERROR(__xludf.DUMMYFUNCTION("GOOGLETRANSLATE(B12973,""en"",""it"")"),"Una persona viene quindi mostrata che mettono il pulitore su una spugna e strofina un lavandino.")</f>
        <v>Una persona viene quindi mostrata che mettono il pulitore su una spugna e strofina un lavandino.</v>
      </c>
    </row>
    <row r="12974">
      <c r="A12974" s="4" t="s">
        <v>16323</v>
      </c>
      <c r="B12974" s="4" t="s">
        <v>16326</v>
      </c>
      <c r="C12974" s="5" t="str">
        <f>IFERROR(__xludf.DUMMYFUNCTION("GOOGLETRANSLATE(B12974,""en"",""it"")"),"Vengono quindi mostrati i prodotti per la pulizia e il lavandino pulito.")</f>
        <v>Vengono quindi mostrati i prodotti per la pulizia e il lavandino pulito.</v>
      </c>
    </row>
    <row r="12975">
      <c r="A12975" s="4" t="s">
        <v>16327</v>
      </c>
      <c r="B12975" s="4" t="s">
        <v>16328</v>
      </c>
      <c r="C12975" s="5" t="str">
        <f>IFERROR(__xludf.DUMMYFUNCTION("GOOGLETRANSLATE(B12975,""en"",""it"")"),"Sei bambini che indossano abiti bianchi e cinture arancioni si trovano in una stanza con gli altri che guardano.")</f>
        <v>Sei bambini che indossano abiti bianchi e cinture arancioni si trovano in una stanza con gli altri che guardano.</v>
      </c>
    </row>
    <row r="12976">
      <c r="A12976" s="4" t="s">
        <v>16327</v>
      </c>
      <c r="B12976" s="4" t="s">
        <v>16329</v>
      </c>
      <c r="C12976" s="5" t="str">
        <f>IFERROR(__xludf.DUMMYFUNCTION("GOOGLETRANSLATE(B12976,""en"",""it"")"),"Un uomo urla un ordine e i bambini dimostrano il loro Taekwondo.")</f>
        <v>Un uomo urla un ordine e i bambini dimostrano il loro Taekwondo.</v>
      </c>
    </row>
    <row r="12977">
      <c r="A12977" s="4" t="s">
        <v>16327</v>
      </c>
      <c r="B12977" s="4" t="s">
        <v>16330</v>
      </c>
      <c r="C12977" s="5" t="str">
        <f>IFERROR(__xludf.DUMMYFUNCTION("GOOGLETRANSLATE(B12977,""en"",""it"")"),"L'uomo urla di nuovo e i bambini si schierano e si inchinano.")</f>
        <v>L'uomo urla di nuovo e i bambini si schierano e si inchinano.</v>
      </c>
    </row>
    <row r="12978">
      <c r="A12978" s="4" t="s">
        <v>16327</v>
      </c>
      <c r="B12978" s="4" t="s">
        <v>16331</v>
      </c>
      <c r="C12978" s="5" t="str">
        <f>IFERROR(__xludf.DUMMYFUNCTION("GOOGLETRANSLATE(B12978,""en"",""it"")"),"I bambini dimostrano pose mentre l'uomo li ordina.")</f>
        <v>I bambini dimostrano pose mentre l'uomo li ordina.</v>
      </c>
    </row>
    <row r="12979">
      <c r="A12979" s="4" t="s">
        <v>16327</v>
      </c>
      <c r="B12979" s="4" t="s">
        <v>16332</v>
      </c>
      <c r="C12979" s="5" t="str">
        <f>IFERROR(__xludf.DUMMYFUNCTION("GOOGLETRANSLATE(B12979,""en"",""it"")"),"Quindi eseguono più mosse di arti marziali.")</f>
        <v>Quindi eseguono più mosse di arti marziali.</v>
      </c>
    </row>
    <row r="12980">
      <c r="A12980" s="4" t="s">
        <v>16327</v>
      </c>
      <c r="B12980" s="4" t="s">
        <v>16333</v>
      </c>
      <c r="C12980" s="5" t="str">
        <f>IFERROR(__xludf.DUMMYFUNCTION("GOOGLETRANSLATE(B12980,""en"",""it"")"),"Tornano alla linea in cui erano in piedi in precedenza.")</f>
        <v>Tornano alla linea in cui erano in piedi in precedenza.</v>
      </c>
    </row>
    <row r="12981">
      <c r="A12981" s="4" t="s">
        <v>16327</v>
      </c>
      <c r="B12981" s="4" t="s">
        <v>16334</v>
      </c>
      <c r="C12981" s="5" t="str">
        <f>IFERROR(__xludf.DUMMYFUNCTION("GOOGLETRANSLATE(B12981,""en"",""it"")"),"Dimostrano mosse aggiuntive tra cui calci e pugni.")</f>
        <v>Dimostrano mosse aggiuntive tra cui calci e pugni.</v>
      </c>
    </row>
    <row r="12982">
      <c r="A12982" s="4" t="s">
        <v>16327</v>
      </c>
      <c r="B12982" s="4" t="s">
        <v>16335</v>
      </c>
      <c r="C12982" s="5" t="str">
        <f>IFERROR(__xludf.DUMMYFUNCTION("GOOGLETRANSLATE(B12982,""en"",""it"")"),"Si allineano di nuovo e si inchinano per la seconda volta.")</f>
        <v>Si allineano di nuovo e si inchinano per la seconda volta.</v>
      </c>
    </row>
    <row r="12983">
      <c r="A12983" s="4" t="s">
        <v>16336</v>
      </c>
      <c r="B12983" s="4" t="s">
        <v>16337</v>
      </c>
      <c r="C12983" s="5" t="str">
        <f>IFERROR(__xludf.DUMMYFUNCTION("GOOGLETRANSLATE(B12983,""en"",""it"")"),"Una ragazza parla con una macchina fotografica che si tiene seguita da scatti di un negozio e dal suo cane in macchina.")</f>
        <v>Una ragazza parla con una macchina fotografica che si tiene seguita da scatti di un negozio e dal suo cane in macchina.</v>
      </c>
    </row>
    <row r="12984">
      <c r="A12984" s="4" t="s">
        <v>16336</v>
      </c>
      <c r="B12984" s="4" t="s">
        <v>16338</v>
      </c>
      <c r="C12984" s="5" t="str">
        <f>IFERROR(__xludf.DUMMYFUNCTION("GOOGLETRANSLATE(B12984,""en"",""it"")"),"Registra diversi articoli mostrati in tutto il negozio e poi se stessa in bikini.")</f>
        <v>Registra diversi articoli mostrati in tutto il negozio e poi se stessa in bikini.</v>
      </c>
    </row>
    <row r="12985">
      <c r="A12985" s="4" t="s">
        <v>16336</v>
      </c>
      <c r="B12985" s="4" t="s">
        <v>16339</v>
      </c>
      <c r="C12985" s="5" t="str">
        <f>IFERROR(__xludf.DUMMYFUNCTION("GOOGLETRANSLATE(B12985,""en"",""it"")"),"Mette la lozione su se stessa in piedi davanti a un lago e sorride nella telecamera.")</f>
        <v>Mette la lozione su se stessa in piedi davanti a un lago e sorride nella telecamera.</v>
      </c>
    </row>
    <row r="12986">
      <c r="A12986" s="4" t="s">
        <v>16340</v>
      </c>
      <c r="B12986" s="6" t="s">
        <v>16341</v>
      </c>
      <c r="C12986" s="5" t="str">
        <f>IFERROR(__xludf.DUMMYFUNCTION("GOOGLETRANSLATE(B12986,""en"",""it"")"),"Vengono mostrate diverse immagini di vari alimenti e conducono a una persona che taglia gli alimenti su un tagliere.")</f>
        <v>Vengono mostrate diverse immagini di vari alimenti e conducono a una persona che taglia gli alimenti su un tagliere.</v>
      </c>
    </row>
    <row r="12987">
      <c r="A12987" s="4" t="s">
        <v>16340</v>
      </c>
      <c r="B12987" s="4" t="s">
        <v>16342</v>
      </c>
      <c r="C12987" s="5" t="str">
        <f>IFERROR(__xludf.DUMMYFUNCTION("GOOGLETRANSLATE(B12987,""en"",""it"")"),"Vengono mostrate altre immagini mentre l'uomo taglia le verdure e le mescola in una ciotola.")</f>
        <v>Vengono mostrate altre immagini mentre l'uomo taglia le verdure e le mescola in una ciotola.</v>
      </c>
    </row>
    <row r="12988">
      <c r="A12988" s="4" t="s">
        <v>16340</v>
      </c>
      <c r="B12988" s="4" t="s">
        <v>16343</v>
      </c>
      <c r="C12988" s="5" t="str">
        <f>IFERROR(__xludf.DUMMYFUNCTION("GOOGLETRANSLATE(B12988,""en"",""it"")"),"Si muove attorno agli ingredienti e vengono mostrate altre immagini degli alimenti.")</f>
        <v>Si muove attorno agli ingredienti e vengono mostrate altre immagini degli alimenti.</v>
      </c>
    </row>
    <row r="12989">
      <c r="A12989" s="4" t="s">
        <v>16344</v>
      </c>
      <c r="B12989" s="4" t="s">
        <v>16345</v>
      </c>
      <c r="C12989" s="5" t="str">
        <f>IFERROR(__xludf.DUMMYFUNCTION("GOOGLETRANSLATE(B12989,""en"",""it"")"),"Vediamo un ragazzo suonare la batteria in un negozio di strumenti.")</f>
        <v>Vediamo un ragazzo suonare la batteria in un negozio di strumenti.</v>
      </c>
    </row>
    <row r="12990">
      <c r="A12990" s="4" t="s">
        <v>16344</v>
      </c>
      <c r="B12990" s="4" t="s">
        <v>16346</v>
      </c>
      <c r="C12990" s="5" t="str">
        <f>IFERROR(__xludf.DUMMYFUNCTION("GOOGLETRANSLATE(B12990,""en"",""it"")"),"Vediamo un uomo dall'altra parte della stanza suonare la batteria.")</f>
        <v>Vediamo un uomo dall'altra parte della stanza suonare la batteria.</v>
      </c>
    </row>
    <row r="12991">
      <c r="A12991" s="4" t="s">
        <v>16344</v>
      </c>
      <c r="B12991" s="4" t="s">
        <v>16347</v>
      </c>
      <c r="C12991" s="5" t="str">
        <f>IFERROR(__xludf.DUMMYFUNCTION("GOOGLETRANSLATE(B12991,""en"",""it"")"),"Vediamo una ragazza, un altro ragazzo e il papà.")</f>
        <v>Vediamo una ragazza, un altro ragazzo e il papà.</v>
      </c>
    </row>
    <row r="12992">
      <c r="A12992" s="4" t="s">
        <v>16344</v>
      </c>
      <c r="B12992" s="4" t="s">
        <v>16348</v>
      </c>
      <c r="C12992" s="5" t="str">
        <f>IFERROR(__xludf.DUMMYFUNCTION("GOOGLETRANSLATE(B12992,""en"",""it"")"),"Vediamo l'uomo dall'altra parte della stanza, poi il ragazzo.")</f>
        <v>Vediamo l'uomo dall'altra parte della stanza, poi il ragazzo.</v>
      </c>
    </row>
    <row r="12993">
      <c r="A12993" s="4" t="s">
        <v>16344</v>
      </c>
      <c r="B12993" s="4" t="s">
        <v>16349</v>
      </c>
      <c r="C12993" s="5" t="str">
        <f>IFERROR(__xludf.DUMMYFUNCTION("GOOGLETRANSLATE(B12993,""en"",""it"")"),"Il ragazzo in strisce tocca qualcosa alla batteria.")</f>
        <v>Il ragazzo in strisce tocca qualcosa alla batteria.</v>
      </c>
    </row>
    <row r="12994">
      <c r="A12994" s="4" t="s">
        <v>16344</v>
      </c>
      <c r="B12994" s="4" t="s">
        <v>16350</v>
      </c>
      <c r="C12994" s="5" t="str">
        <f>IFERROR(__xludf.DUMMYFUNCTION("GOOGLETRANSLATE(B12994,""en"",""it"")"),"Vediamo il ragazzo e l'uomo allo stesso tempo.")</f>
        <v>Vediamo il ragazzo e l'uomo allo stesso tempo.</v>
      </c>
    </row>
    <row r="12995">
      <c r="A12995" s="4" t="s">
        <v>16344</v>
      </c>
      <c r="B12995" s="4" t="s">
        <v>16351</v>
      </c>
      <c r="C12995" s="5" t="str">
        <f>IFERROR(__xludf.DUMMYFUNCTION("GOOGLETRANSLATE(B12995,""en"",""it"")"),"La camicia del ragazzo con le strisce si scuote avanti e indietro.")</f>
        <v>La camicia del ragazzo con le strisce si scuote avanti e indietro.</v>
      </c>
    </row>
    <row r="12996">
      <c r="A12996" s="4" t="s">
        <v>16344</v>
      </c>
      <c r="B12996" s="4" t="s">
        <v>16352</v>
      </c>
      <c r="C12996" s="5" t="str">
        <f>IFERROR(__xludf.DUMMYFUNCTION("GOOGLETRANSLATE(B12996,""en"",""it"")"),"Il ragazzo finisce e guarda la fotocamera.")</f>
        <v>Il ragazzo finisce e guarda la fotocamera.</v>
      </c>
    </row>
    <row r="12997">
      <c r="A12997" s="4" t="s">
        <v>16353</v>
      </c>
      <c r="B12997" s="4" t="s">
        <v>16354</v>
      </c>
      <c r="C12997" s="5" t="str">
        <f>IFERROR(__xludf.DUMMYFUNCTION("GOOGLETRANSLATE(B12997,""en"",""it"")"),"Un uomo sta lavorando fuori in un giardino.")</f>
        <v>Un uomo sta lavorando fuori in un giardino.</v>
      </c>
    </row>
    <row r="12998">
      <c r="A12998" s="4" t="s">
        <v>16353</v>
      </c>
      <c r="B12998" s="4" t="s">
        <v>16355</v>
      </c>
      <c r="C12998" s="5" t="str">
        <f>IFERROR(__xludf.DUMMYFUNCTION("GOOGLETRANSLATE(B12998,""en"",""it"")"),"Usa i trimmer per tagliare pezzi di una pianta.")</f>
        <v>Usa i trimmer per tagliare pezzi di una pianta.</v>
      </c>
    </row>
    <row r="12999">
      <c r="A12999" s="4" t="s">
        <v>16353</v>
      </c>
      <c r="B12999" s="4" t="s">
        <v>16356</v>
      </c>
      <c r="C12999" s="5" t="str">
        <f>IFERROR(__xludf.DUMMYFUNCTION("GOOGLETRANSLATE(B12999,""en"",""it"")"),"Quando ha finito, la pianta è completamente tagliata.")</f>
        <v>Quando ha finito, la pianta è completamente tagliata.</v>
      </c>
    </row>
    <row r="13000">
      <c r="A13000" s="4" t="s">
        <v>16357</v>
      </c>
      <c r="B13000" s="4" t="s">
        <v>16358</v>
      </c>
      <c r="C13000" s="5" t="str">
        <f>IFERROR(__xludf.DUMMYFUNCTION("GOOGLETRANSLATE(B13000,""en"",""it"")"),"Una schermata blu lampeggia con la scrittura gialla con un titolo e diversi paragrafi.")</f>
        <v>Una schermata blu lampeggia con la scrittura gialla con un titolo e diversi paragrafi.</v>
      </c>
    </row>
    <row r="13001">
      <c r="A13001" s="4" t="s">
        <v>16357</v>
      </c>
      <c r="B13001" s="4" t="s">
        <v>16359</v>
      </c>
      <c r="C13001" s="5" t="str">
        <f>IFERROR(__xludf.DUMMYFUNCTION("GOOGLETRANSLATE(B13001,""en"",""it"")"),"Un uomo appare quindi in una gabbia con un cerchio in essa girando in cerchio prima di lanciare un colpo.")</f>
        <v>Un uomo appare quindi in una gabbia con un cerchio in essa girando in cerchio prima di lanciare un colpo.</v>
      </c>
    </row>
    <row r="13002">
      <c r="A13002" s="4" t="s">
        <v>16357</v>
      </c>
      <c r="B13002" s="6" t="s">
        <v>16360</v>
      </c>
      <c r="C13002" s="5" t="str">
        <f>IFERROR(__xludf.DUMMYFUNCTION("GOOGLETRANSLATE(B13002,""en"",""it"")"),"Il video si riproduce e si ferma mentre fa i passaggi corretti per lanciare la palla a partire dalla spalla e seguendo il resto del corpo.")</f>
        <v>Il video si riproduce e si ferma mentre fa i passaggi corretti per lanciare la palla a partire dalla spalla e seguendo il resto del corpo.</v>
      </c>
    </row>
    <row r="13003">
      <c r="A13003" s="4" t="s">
        <v>16361</v>
      </c>
      <c r="B13003" s="4" t="s">
        <v>16362</v>
      </c>
      <c r="C13003" s="5" t="str">
        <f>IFERROR(__xludf.DUMMYFUNCTION("GOOGLETRANSLATE(B13003,""en"",""it"")"),"Viene mostrato un uomo che parla alla telecamera e conduce in lui in piedi davanti a un telaio per biciclette.")</f>
        <v>Viene mostrato un uomo che parla alla telecamera e conduce in lui in piedi davanti a un telaio per biciclette.</v>
      </c>
    </row>
    <row r="13004">
      <c r="A13004" s="4" t="s">
        <v>16361</v>
      </c>
      <c r="B13004" s="6" t="s">
        <v>16363</v>
      </c>
      <c r="C13004" s="5" t="str">
        <f>IFERROR(__xludf.DUMMYFUNCTION("GOOGLETRANSLATE(B13004,""en"",""it"")"),"Indica il telaio mentre parla alla telecamera e conduce in lui che avvita gli oggetti in posizione.")</f>
        <v>Indica il telaio mentre parla alla telecamera e conduce in lui che avvita gli oggetti in posizione.</v>
      </c>
    </row>
    <row r="13005">
      <c r="A13005" s="4" t="s">
        <v>16361</v>
      </c>
      <c r="B13005" s="6" t="s">
        <v>16364</v>
      </c>
      <c r="C13005" s="5" t="str">
        <f>IFERROR(__xludf.DUMMYFUNCTION("GOOGLETRANSLATE(B13005,""en"",""it"")"),"La persona continua a avvitare il telaio e la catena mentre si gira e si parla alla fotocamera.")</f>
        <v>La persona continua a avvitare il telaio e la catena mentre si gira e si parla alla fotocamera.</v>
      </c>
    </row>
    <row r="13006">
      <c r="A13006" s="4" t="s">
        <v>16365</v>
      </c>
      <c r="B13006" s="6" t="s">
        <v>16366</v>
      </c>
      <c r="C13006" s="5" t="str">
        <f>IFERROR(__xludf.DUMMYFUNCTION("GOOGLETRANSLATE(B13006,""en"",""it"")"),"Una palestra vuota viene mostrata quando una ragazza colpisce un pulsante il computer e inizia a iniziare una routine.")</f>
        <v>Una palestra vuota viene mostrata quando una ragazza colpisce un pulsante il computer e inizia a iniziare una routine.</v>
      </c>
    </row>
    <row r="13007">
      <c r="A13007" s="4" t="s">
        <v>16365</v>
      </c>
      <c r="B13007" s="4" t="s">
        <v>16367</v>
      </c>
      <c r="C13007" s="5" t="str">
        <f>IFERROR(__xludf.DUMMYFUNCTION("GOOGLETRANSLATE(B13007,""en"",""it"")"),"Si gira intorno al pavimento della palestra con un testimone e muove le braccia.")</f>
        <v>Si gira intorno al pavimento della palestra con un testimone e muove le braccia.</v>
      </c>
    </row>
    <row r="13008">
      <c r="A13008" s="4" t="s">
        <v>16365</v>
      </c>
      <c r="B13008" s="4" t="s">
        <v>16368</v>
      </c>
      <c r="C13008" s="5" t="str">
        <f>IFERROR(__xludf.DUMMYFUNCTION("GOOGLETRANSLATE(B13008,""en"",""it"")"),"Si prende a calci le gambe continuamente con le braccia.")</f>
        <v>Si prende a calci le gambe continuamente con le braccia.</v>
      </c>
    </row>
    <row r="13009">
      <c r="A13009" s="4" t="s">
        <v>16369</v>
      </c>
      <c r="B13009" s="4" t="s">
        <v>16370</v>
      </c>
      <c r="C13009" s="5" t="str">
        <f>IFERROR(__xludf.DUMMYFUNCTION("GOOGLETRANSLATE(B13009,""en"",""it"")"),"Una ragazza è in piedi nella stanza in una cami nera e gambe in bianco e nero che preparano a parlare.")</f>
        <v>Una ragazza è in piedi nella stanza in una cami nera e gambe in bianco e nero che preparano a parlare.</v>
      </c>
    </row>
    <row r="13010">
      <c r="A13010" s="4" t="s">
        <v>16369</v>
      </c>
      <c r="B13010" s="6" t="s">
        <v>16371</v>
      </c>
      <c r="C13010" s="5" t="str">
        <f>IFERROR(__xludf.DUMMYFUNCTION("GOOGLETRANSLATE(B13010,""en"",""it"")"),"Viene quindi mostrato di parlare con una ragazza con un maglione rosa e una gonna nera e vengono giocate più giochi di forbici di carta rocciosa tra lei e altre due ragazze.")</f>
        <v>Viene quindi mostrato di parlare con una ragazza con un maglione rosa e una gonna nera e vengono giocate più giochi di forbici di carta rocciosa tra lei e altre due ragazze.</v>
      </c>
    </row>
    <row r="13011">
      <c r="A13011" s="4" t="s">
        <v>16369</v>
      </c>
      <c r="B13011" s="4" t="s">
        <v>16372</v>
      </c>
      <c r="C13011" s="5" t="str">
        <f>IFERROR(__xludf.DUMMYFUNCTION("GOOGLETRANSLATE(B13011,""en"",""it"")"),"La ragazza con il maglione rosa vince e lei si siede sulla faccia delle ragazze.")</f>
        <v>La ragazza con il maglione rosa vince e lei si siede sulla faccia delle ragazze.</v>
      </c>
    </row>
    <row r="13012">
      <c r="A13012" s="4" t="s">
        <v>16369</v>
      </c>
      <c r="B13012" s="4" t="s">
        <v>16373</v>
      </c>
      <c r="C13012" s="5" t="str">
        <f>IFERROR(__xludf.DUMMYFUNCTION("GOOGLETRANSLATE(B13012,""en"",""it"")"),"Successivamente, le tre ragazze stanno insieme e iniziano a parlare con la telecamera.")</f>
        <v>Successivamente, le tre ragazze stanno insieme e iniziano a parlare con la telecamera.</v>
      </c>
    </row>
    <row r="13013">
      <c r="A13013" s="4" t="s">
        <v>16374</v>
      </c>
      <c r="B13013" s="4" t="s">
        <v>16375</v>
      </c>
      <c r="C13013" s="5" t="str">
        <f>IFERROR(__xludf.DUMMYFUNCTION("GOOGLETRANSLATE(B13013,""en"",""it"")"),"Le donne stanno facendo alcuni salti in palestra in un corridoio.")</f>
        <v>Le donne stanno facendo alcuni salti in palestra in un corridoio.</v>
      </c>
    </row>
    <row r="13014">
      <c r="A13014" s="4" t="s">
        <v>16374</v>
      </c>
      <c r="B13014" s="4" t="s">
        <v>16376</v>
      </c>
      <c r="C13014" s="5" t="str">
        <f>IFERROR(__xludf.DUMMYFUNCTION("GOOGLETRANSLATE(B13014,""en"",""it"")"),"Uomini e donne sono nei grandi magazzini facendo salti di ginnastica.")</f>
        <v>Uomini e donne sono nei grandi magazzini facendo salti di ginnastica.</v>
      </c>
    </row>
    <row r="13015">
      <c r="A13015" s="4" t="s">
        <v>16374</v>
      </c>
      <c r="B13015" s="4" t="s">
        <v>16377</v>
      </c>
      <c r="C13015" s="5" t="str">
        <f>IFERROR(__xludf.DUMMYFUNCTION("GOOGLETRANSLATE(B13015,""en"",""it"")"),"La donna sta preparando una mano a un parcheggio e nei negozi.")</f>
        <v>La donna sta preparando una mano a un parcheggio e nei negozi.</v>
      </c>
    </row>
    <row r="13016">
      <c r="A13016" s="4" t="s">
        <v>16374</v>
      </c>
      <c r="B13016" s="4" t="s">
        <v>16378</v>
      </c>
      <c r="C13016" s="5" t="str">
        <f>IFERROR(__xludf.DUMMYFUNCTION("GOOGLETRANSLATE(B13016,""en"",""it"")"),"L'uomo sta levigando in una recinzione in un centro commerciale che guarda il primo piano.")</f>
        <v>L'uomo sta levigando in una recinzione in un centro commerciale che guarda il primo piano.</v>
      </c>
    </row>
    <row r="13017">
      <c r="A13017" s="4" t="s">
        <v>16379</v>
      </c>
      <c r="B13017" s="4" t="s">
        <v>16380</v>
      </c>
      <c r="C13017" s="5" t="str">
        <f>IFERROR(__xludf.DUMMYFUNCTION("GOOGLETRANSLATE(B13017,""en"",""it"")"),"Una ragazza saluta la telecamera e inizia a parlare seguito da vari ingredienti disposti.")</f>
        <v>Una ragazza saluta la telecamera e inizia a parlare seguito da vari ingredienti disposti.</v>
      </c>
    </row>
    <row r="13018">
      <c r="A13018" s="4" t="s">
        <v>16379</v>
      </c>
      <c r="B13018" s="4" t="s">
        <v>16381</v>
      </c>
      <c r="C13018" s="5" t="str">
        <f>IFERROR(__xludf.DUMMYFUNCTION("GOOGLETRANSLATE(B13018,""en"",""it"")"),"La ragazza mette quindi gli ingredienti su un piatto e mette Saran avvolgendo il cibo.")</f>
        <v>La ragazza mette quindi gli ingredienti su un piatto e mette Saran avvolgendo il cibo.</v>
      </c>
    </row>
    <row r="13019">
      <c r="A13019" s="4" t="s">
        <v>16379</v>
      </c>
      <c r="B13019" s="4" t="s">
        <v>16382</v>
      </c>
      <c r="C13019" s="5" t="str">
        <f>IFERROR(__xludf.DUMMYFUNCTION("GOOGLETRANSLATE(B13019,""en"",""it"")"),"Mescola il cibo con altri ingredienti seguiti da pane in cima e tagliato a pezzi.")</f>
        <v>Mescola il cibo con altri ingredienti seguiti da pane in cima e tagliato a pezzi.</v>
      </c>
    </row>
    <row r="13020">
      <c r="A13020" s="4" t="s">
        <v>16379</v>
      </c>
      <c r="B13020" s="4" t="s">
        <v>16383</v>
      </c>
      <c r="C13020" s="5" t="str">
        <f>IFERROR(__xludf.DUMMYFUNCTION("GOOGLETRANSLATE(B13020,""en"",""it"")"),"Prende un boccone del cibo e alla fine porta a foto del suo cibo accanto a una tazza di tè.")</f>
        <v>Prende un boccone del cibo e alla fine porta a foto del suo cibo accanto a una tazza di tè.</v>
      </c>
    </row>
    <row r="13021">
      <c r="A13021" s="4" t="s">
        <v>16384</v>
      </c>
      <c r="B13021" s="4" t="s">
        <v>16385</v>
      </c>
      <c r="C13021" s="5" t="str">
        <f>IFERROR(__xludf.DUMMYFUNCTION("GOOGLETRANSLATE(B13021,""en"",""it"")"),"Una band è mostrata su un palco.")</f>
        <v>Una band è mostrata su un palco.</v>
      </c>
    </row>
    <row r="13022">
      <c r="A13022" s="4" t="s">
        <v>16384</v>
      </c>
      <c r="B13022" s="4" t="s">
        <v>16386</v>
      </c>
      <c r="C13022" s="5" t="str">
        <f>IFERROR(__xludf.DUMMYFUNCTION("GOOGLETRANSLATE(B13022,""en"",""it"")"),"Un uomo suona la chitarra e l'uomo alla sua destra sta suonando la batteria.")</f>
        <v>Un uomo suona la chitarra e l'uomo alla sua destra sta suonando la batteria.</v>
      </c>
    </row>
    <row r="13023">
      <c r="A13023" s="4" t="s">
        <v>16384</v>
      </c>
      <c r="B13023" s="4" t="s">
        <v>16387</v>
      </c>
      <c r="C13023" s="5" t="str">
        <f>IFERROR(__xludf.DUMMYFUNCTION("GOOGLETRANSLATE(B13023,""en"",""it"")"),"La persona di fronte a loro sta ballando e cantando.")</f>
        <v>La persona di fronte a loro sta ballando e cantando.</v>
      </c>
    </row>
    <row r="13024">
      <c r="A13024" s="4" t="s">
        <v>16388</v>
      </c>
      <c r="B13024" s="6" t="s">
        <v>16389</v>
      </c>
      <c r="C13024" s="5" t="str">
        <f>IFERROR(__xludf.DUMMYFUNCTION("GOOGLETRANSLATE(B13024,""en"",""it"")"),"Ci sono due vecchi che indossano cappelli di paglia, vestiti con magliette e pantaloncini che si preparano a giocare a shuffleboard.")</f>
        <v>Ci sono due vecchi che indossano cappelli di paglia, vestiti con magliette e pantaloncini che si preparano a giocare a shuffleboard.</v>
      </c>
    </row>
    <row r="13025">
      <c r="A13025" s="4" t="s">
        <v>16388</v>
      </c>
      <c r="B13025" s="4" t="s">
        <v>16390</v>
      </c>
      <c r="C13025" s="5" t="str">
        <f>IFERROR(__xludf.DUMMYFUNCTION("GOOGLETRANSLATE(B13025,""en"",""it"")"),"Ci sono altri due uomini in piedi a pochi metri di distanza con i loro bastoncini.")</f>
        <v>Ci sono altri due uomini in piedi a pochi metri di distanza con i loro bastoncini.</v>
      </c>
    </row>
    <row r="13026">
      <c r="A13026" s="4" t="s">
        <v>16388</v>
      </c>
      <c r="B13026" s="4" t="s">
        <v>16391</v>
      </c>
      <c r="C13026" s="5" t="str">
        <f>IFERROR(__xludf.DUMMYFUNCTION("GOOGLETRANSLATE(B13026,""en"",""it"")"),"Si vede una donna con capelli grigi e una camicia gialla che gioca a shuffleboard.")</f>
        <v>Si vede una donna con capelli grigi e una camicia gialla che gioca a shuffleboard.</v>
      </c>
    </row>
    <row r="13027">
      <c r="A13027" s="4" t="s">
        <v>16388</v>
      </c>
      <c r="B13027" s="4" t="s">
        <v>16392</v>
      </c>
      <c r="C13027" s="5" t="str">
        <f>IFERROR(__xludf.DUMMYFUNCTION("GOOGLETRANSLATE(B13027,""en"",""it"")"),"Ci sono due dischi sul terreno che vengono colpiti da un altro disco.")</f>
        <v>Ci sono due dischi sul terreno che vengono colpiti da un altro disco.</v>
      </c>
    </row>
    <row r="13028">
      <c r="A13028" s="4" t="s">
        <v>16388</v>
      </c>
      <c r="B13028" s="6" t="s">
        <v>16393</v>
      </c>
      <c r="C13028" s="5" t="str">
        <f>IFERROR(__xludf.DUMMYFUNCTION("GOOGLETRANSLATE(B13028,""en"",""it"")"),"Diversi spettatori stanno guardando un evento shuffleboard in cui varie persone sono in competizione e giocano.")</f>
        <v>Diversi spettatori stanno guardando un evento shuffleboard in cui varie persone sono in competizione e giocano.</v>
      </c>
    </row>
    <row r="13029">
      <c r="A13029" s="4" t="s">
        <v>16388</v>
      </c>
      <c r="B13029" s="4" t="s">
        <v>16394</v>
      </c>
      <c r="C13029" s="5" t="str">
        <f>IFERROR(__xludf.DUMMYFUNCTION("GOOGLETRANSLATE(B13029,""en"",""it"")"),"Uno dei giocatori regola i suoi dischi prima di colpirlo con il cue stick.")</f>
        <v>Uno dei giocatori regola i suoi dischi prima di colpirlo con il cue stick.</v>
      </c>
    </row>
    <row r="13030">
      <c r="A13030" s="4" t="s">
        <v>16395</v>
      </c>
      <c r="B13030" s="4" t="s">
        <v>16396</v>
      </c>
      <c r="C13030" s="5" t="str">
        <f>IFERROR(__xludf.DUMMYFUNCTION("GOOGLETRANSLATE(B13030,""en"",""it"")"),"Il testo bianco appare su uno sfondo blu.")</f>
        <v>Il testo bianco appare su uno sfondo blu.</v>
      </c>
    </row>
    <row r="13031">
      <c r="A13031" s="4" t="s">
        <v>16395</v>
      </c>
      <c r="B13031" s="4" t="s">
        <v>16397</v>
      </c>
      <c r="C13031" s="5" t="str">
        <f>IFERROR(__xludf.DUMMYFUNCTION("GOOGLETRANSLATE(B13031,""en"",""it"")"),"Una ragazza in trucco e cheerleader viene mostrato in una partita.")</f>
        <v>Una ragazza in trucco e cheerleader viene mostrato in una partita.</v>
      </c>
    </row>
    <row r="13032">
      <c r="A13032" s="4" t="s">
        <v>16395</v>
      </c>
      <c r="B13032" s="6" t="s">
        <v>16398</v>
      </c>
      <c r="C13032" s="5" t="str">
        <f>IFERROR(__xludf.DUMMYFUNCTION("GOOGLETRANSLATE(B13032,""en"",""it"")"),"Quindi vediamo una ginnasta che si lancia su un tappetino prima di fare una molla posteriore in diversi stili.")</f>
        <v>Quindi vediamo una ginnasta che si lancia su un tappetino prima di fare una molla posteriore in diversi stili.</v>
      </c>
    </row>
    <row r="13033">
      <c r="A13033" s="4" t="s">
        <v>16399</v>
      </c>
      <c r="B13033" s="4" t="s">
        <v>16400</v>
      </c>
      <c r="C13033" s="5" t="str">
        <f>IFERROR(__xludf.DUMMYFUNCTION("GOOGLETRANSLATE(B13033,""en"",""it"")"),"Una persona fa una lanterna di Jack O.")</f>
        <v>Una persona fa una lanterna di Jack O.</v>
      </c>
    </row>
    <row r="13034">
      <c r="A13034" s="4" t="s">
        <v>16399</v>
      </c>
      <c r="B13034" s="4" t="s">
        <v>16401</v>
      </c>
      <c r="C13034" s="5" t="str">
        <f>IFERROR(__xludf.DUMMYFUNCTION("GOOGLETRANSLATE(B13034,""en"",""it"")"),"Per prima cosa hanno tagliato la parte superiore da una zucca verde e raccoglieno i semi e altre cose.")</f>
        <v>Per prima cosa hanno tagliato la parte superiore da una zucca verde e raccoglieno i semi e altre cose.</v>
      </c>
    </row>
    <row r="13035">
      <c r="A13035" s="4" t="s">
        <v>16399</v>
      </c>
      <c r="B13035" s="4" t="s">
        <v>16402</v>
      </c>
      <c r="C13035" s="5" t="str">
        <f>IFERROR(__xludf.DUMMYFUNCTION("GOOGLETRANSLATE(B13035,""en"",""it"")"),"Gli interni rimanenti vengono tagliati e raschiati con una pallina di gelato.")</f>
        <v>Gli interni rimanenti vengono tagliati e raschiati con una pallina di gelato.</v>
      </c>
    </row>
    <row r="13036">
      <c r="A13036" s="4" t="s">
        <v>16399</v>
      </c>
      <c r="B13036" s="4" t="s">
        <v>16403</v>
      </c>
      <c r="C13036" s="5" t="str">
        <f>IFERROR(__xludf.DUMMYFUNCTION("GOOGLETRANSLATE(B13036,""en"",""it"")"),"Un design viene disegnato sulla zucca e quindi tagliato.")</f>
        <v>Un design viene disegnato sulla zucca e quindi tagliato.</v>
      </c>
    </row>
    <row r="13037">
      <c r="A13037" s="4" t="s">
        <v>16399</v>
      </c>
      <c r="B13037" s="4" t="s">
        <v>16404</v>
      </c>
      <c r="C13037" s="5" t="str">
        <f>IFERROR(__xludf.DUMMYFUNCTION("GOOGLETRANSLATE(B13037,""en"",""it"")"),"L'interno della zucca viene spruzzato con la rimozione dello stampo e asciutto.")</f>
        <v>L'interno della zucca viene spruzzato con la rimozione dello stampo e asciutto.</v>
      </c>
    </row>
    <row r="13038">
      <c r="A13038" s="4" t="s">
        <v>16399</v>
      </c>
      <c r="B13038" s="4" t="s">
        <v>16405</v>
      </c>
      <c r="C13038" s="5" t="str">
        <f>IFERROR(__xludf.DUMMYFUNCTION("GOOGLETRANSLATE(B13038,""en"",""it"")"),"Una candela viene collocata all'interno e illuminata e il coperchio viene rimesso.")</f>
        <v>Una candela viene collocata all'interno e illuminata e il coperchio viene rimesso.</v>
      </c>
    </row>
    <row r="13039">
      <c r="A13039" s="4" t="s">
        <v>16399</v>
      </c>
      <c r="B13039" s="4" t="s">
        <v>16406</v>
      </c>
      <c r="C13039" s="5" t="str">
        <f>IFERROR(__xludf.DUMMYFUNCTION("GOOGLETRANSLATE(B13039,""en"",""it"")"),"Con le luci abbassate, la lanterna di Jack O può essere visualizzata.")</f>
        <v>Con le luci abbassate, la lanterna di Jack O può essere visualizzata.</v>
      </c>
    </row>
    <row r="13040">
      <c r="A13040" s="4" t="s">
        <v>16407</v>
      </c>
      <c r="B13040" s="4" t="s">
        <v>16408</v>
      </c>
      <c r="C13040" s="5" t="str">
        <f>IFERROR(__xludf.DUMMYFUNCTION("GOOGLETRANSLATE(B13040,""en"",""it"")"),"Il video conduce in diversi scatti di corridori olimpici che completano salti lunghi in box di sabbia.")</f>
        <v>Il video conduce in diversi scatti di corridori olimpici che completano salti lunghi in box di sabbia.</v>
      </c>
    </row>
    <row r="13041">
      <c r="A13041" s="4" t="s">
        <v>16407</v>
      </c>
      <c r="B13041" s="6" t="s">
        <v>16409</v>
      </c>
      <c r="C13041" s="5" t="str">
        <f>IFERROR(__xludf.DUMMYFUNCTION("GOOGLETRANSLATE(B13041,""en"",""it"")"),"Il video continua a mostrare diversi corridori che completano i loro salti e dopo il tifo alla folla.")</f>
        <v>Il video continua a mostrare diversi corridori che completano i loro salti e dopo il tifo alla folla.</v>
      </c>
    </row>
    <row r="13042">
      <c r="A13042" s="4" t="s">
        <v>16410</v>
      </c>
      <c r="B13042" s="4" t="s">
        <v>16411</v>
      </c>
      <c r="C13042" s="5" t="str">
        <f>IFERROR(__xludf.DUMMYFUNCTION("GOOGLETRANSLATE(B13042,""en"",""it"")"),"Due persone si rilassano sui loro skateboard.")</f>
        <v>Due persone si rilassano sui loro skateboard.</v>
      </c>
    </row>
    <row r="13043">
      <c r="A13043" s="4" t="s">
        <v>16410</v>
      </c>
      <c r="B13043" s="4" t="s">
        <v>16412</v>
      </c>
      <c r="C13043" s="5" t="str">
        <f>IFERROR(__xludf.DUMMYFUNCTION("GOOGLETRANSLATE(B13043,""en"",""it"")"),"Riparano alcune parti e poi vanno in giro.")</f>
        <v>Riparano alcune parti e poi vanno in giro.</v>
      </c>
    </row>
    <row r="13044">
      <c r="A13044" s="4" t="s">
        <v>16413</v>
      </c>
      <c r="B13044" s="4" t="s">
        <v>16414</v>
      </c>
      <c r="C13044" s="5" t="str">
        <f>IFERROR(__xludf.DUMMYFUNCTION("GOOGLETRANSLATE(B13044,""en"",""it"")"),"Una donna è vista seduta su una sedia ridendo mentre un uomo indica di fronte a lei.")</f>
        <v>Una donna è vista seduta su una sedia ridendo mentre un uomo indica di fronte a lei.</v>
      </c>
    </row>
    <row r="13045">
      <c r="A13045" s="4" t="s">
        <v>16413</v>
      </c>
      <c r="B13045" s="4" t="s">
        <v>16415</v>
      </c>
      <c r="C13045" s="5" t="str">
        <f>IFERROR(__xludf.DUMMYFUNCTION("GOOGLETRANSLATE(B13045,""en"",""it"")"),"L'uomo quindi tiene una pistola al naso e le trafigge il naso.")</f>
        <v>L'uomo quindi tiene una pistola al naso e le trafigge il naso.</v>
      </c>
    </row>
    <row r="13046">
      <c r="A13046" s="4" t="s">
        <v>16413</v>
      </c>
      <c r="B13046" s="4" t="s">
        <v>16416</v>
      </c>
      <c r="C13046" s="5" t="str">
        <f>IFERROR(__xludf.DUMMYFUNCTION("GOOGLETRANSLATE(B13046,""en"",""it"")"),"Una donna gioca con i capelli delle ragazze mentre parla alla ragazza e si mostra il naso.")</f>
        <v>Una donna gioca con i capelli delle ragazze mentre parla alla ragazza e si mostra il naso.</v>
      </c>
    </row>
    <row r="13047">
      <c r="A13047" s="4" t="s">
        <v>16417</v>
      </c>
      <c r="B13047" s="4" t="s">
        <v>16418</v>
      </c>
      <c r="C13047" s="5" t="str">
        <f>IFERROR(__xludf.DUMMYFUNCTION("GOOGLETRANSLATE(B13047,""en"",""it"")"),"Un carpentiere spruzza un soffitto con vernice.")</f>
        <v>Un carpentiere spruzza un soffitto con vernice.</v>
      </c>
    </row>
    <row r="13048">
      <c r="A13048" s="4" t="s">
        <v>16417</v>
      </c>
      <c r="B13048" s="4" t="s">
        <v>16419</v>
      </c>
      <c r="C13048" s="5" t="str">
        <f>IFERROR(__xludf.DUMMYFUNCTION("GOOGLETRANSLATE(B13048,""en"",""it"")"),"Un secondo falegname appiana la vernice sul soffitto.")</f>
        <v>Un secondo falegname appiana la vernice sul soffitto.</v>
      </c>
    </row>
    <row r="13049">
      <c r="A13049" s="4" t="s">
        <v>16417</v>
      </c>
      <c r="B13049" s="4" t="s">
        <v>16420</v>
      </c>
      <c r="C13049" s="5" t="str">
        <f>IFERROR(__xludf.DUMMYFUNCTION("GOOGLETRANSLATE(B13049,""en"",""it"")"),"Il primo falegname spruzza dipinge su tutto il soffitto.")</f>
        <v>Il primo falegname spruzza dipinge su tutto il soffitto.</v>
      </c>
    </row>
    <row r="13050">
      <c r="A13050" s="4" t="s">
        <v>16417</v>
      </c>
      <c r="B13050" s="4" t="s">
        <v>16421</v>
      </c>
      <c r="C13050" s="5" t="str">
        <f>IFERROR(__xludf.DUMMYFUNCTION("GOOGLETRANSLATE(B13050,""en"",""it"")"),"Un paio di falegnami levigano la vernice sul soffitto.")</f>
        <v>Un paio di falegnami levigano la vernice sul soffitto.</v>
      </c>
    </row>
    <row r="13051">
      <c r="A13051" s="4" t="s">
        <v>16417</v>
      </c>
      <c r="B13051" s="4" t="s">
        <v>16422</v>
      </c>
      <c r="C13051" s="5" t="str">
        <f>IFERROR(__xludf.DUMMYFUNCTION("GOOGLETRANSLATE(B13051,""en"",""it"")"),"Uno dei falegnami si vede spruzzare il soffitto e si ferma per un secondo per muovere una luce.")</f>
        <v>Uno dei falegnami si vede spruzzare il soffitto e si ferma per un secondo per muovere una luce.</v>
      </c>
    </row>
    <row r="13052">
      <c r="A13052" s="4" t="s">
        <v>16417</v>
      </c>
      <c r="B13052" s="4" t="s">
        <v>16423</v>
      </c>
      <c r="C13052" s="5" t="str">
        <f>IFERROR(__xludf.DUMMYFUNCTION("GOOGLETRANSLATE(B13052,""en"",""it"")"),"Il dipinto continua e il levigatura della vernice.")</f>
        <v>Il dipinto continua e il levigatura della vernice.</v>
      </c>
    </row>
    <row r="13053">
      <c r="A13053" s="4" t="s">
        <v>16424</v>
      </c>
      <c r="B13053" s="4" t="s">
        <v>16425</v>
      </c>
      <c r="C13053" s="5" t="str">
        <f>IFERROR(__xludf.DUMMYFUNCTION("GOOGLETRANSLATE(B13053,""en"",""it"")"),"I bambini vengono mostrati a giocare a basket su un campo.")</f>
        <v>I bambini vengono mostrati a giocare a basket su un campo.</v>
      </c>
    </row>
    <row r="13054">
      <c r="A13054" s="4" t="s">
        <v>16424</v>
      </c>
      <c r="B13054" s="4" t="s">
        <v>16426</v>
      </c>
      <c r="C13054" s="5" t="str">
        <f>IFERROR(__xludf.DUMMYFUNCTION("GOOGLETRANSLATE(B13054,""en"",""it"")"),"L'allenatore sta parlando con loro e sta cercando di dire loro come giocare.")</f>
        <v>L'allenatore sta parlando con loro e sta cercando di dire loro come giocare.</v>
      </c>
    </row>
    <row r="13055">
      <c r="A13055" s="4" t="s">
        <v>16424</v>
      </c>
      <c r="B13055" s="4" t="s">
        <v>16427</v>
      </c>
      <c r="C13055" s="5" t="str">
        <f>IFERROR(__xludf.DUMMYFUNCTION("GOOGLETRANSLATE(B13055,""en"",""it"")"),"I bambini eseguono lay up.")</f>
        <v>I bambini eseguono lay up.</v>
      </c>
    </row>
    <row r="13056">
      <c r="A13056" s="4" t="s">
        <v>16428</v>
      </c>
      <c r="B13056" s="4" t="s">
        <v>1487</v>
      </c>
      <c r="C13056" s="5" t="str">
        <f>IFERROR(__xludf.DUMMYFUNCTION("GOOGLETRANSLATE(B13056,""en"",""it"")"),"Vediamo una schermata del titolo di apertura.")</f>
        <v>Vediamo una schermata del titolo di apertura.</v>
      </c>
    </row>
    <row r="13057">
      <c r="A13057" s="4" t="s">
        <v>16428</v>
      </c>
      <c r="B13057" s="4" t="s">
        <v>16429</v>
      </c>
      <c r="C13057" s="5" t="str">
        <f>IFERROR(__xludf.DUMMYFUNCTION("GOOGLETRANSLATE(B13057,""en"",""it"")"),"Vediamo una ragazza correre ed eseguire un salto in alto e fare il bar.")</f>
        <v>Vediamo una ragazza correre ed eseguire un salto in alto e fare il bar.</v>
      </c>
    </row>
    <row r="13058">
      <c r="A13058" s="4" t="s">
        <v>16428</v>
      </c>
      <c r="B13058" s="4" t="s">
        <v>16430</v>
      </c>
      <c r="C13058" s="5" t="str">
        <f>IFERROR(__xludf.DUMMYFUNCTION("GOOGLETRANSLATE(B13058,""en"",""it"")"),"Vediamo quindi un replay e un replay a moto lento.")</f>
        <v>Vediamo quindi un replay e un replay a moto lento.</v>
      </c>
    </row>
    <row r="13059">
      <c r="A13059" s="4" t="s">
        <v>16428</v>
      </c>
      <c r="B13059" s="4" t="s">
        <v>777</v>
      </c>
      <c r="C13059" s="5" t="str">
        <f>IFERROR(__xludf.DUMMYFUNCTION("GOOGLETRANSLATE(B13059,""en"",""it"")"),"Vediamo la schermata del titolo finale.")</f>
        <v>Vediamo la schermata del titolo finale.</v>
      </c>
    </row>
    <row r="13060">
      <c r="A13060" s="4" t="s">
        <v>16431</v>
      </c>
      <c r="B13060" s="4" t="s">
        <v>16432</v>
      </c>
      <c r="C13060" s="5" t="str">
        <f>IFERROR(__xludf.DUMMYFUNCTION("GOOGLETRANSLATE(B13060,""en"",""it"")"),"Un uomo dribbla un basket.")</f>
        <v>Un uomo dribbla un basket.</v>
      </c>
    </row>
    <row r="13061">
      <c r="A13061" s="4" t="s">
        <v>16431</v>
      </c>
      <c r="B13061" s="4" t="s">
        <v>16433</v>
      </c>
      <c r="C13061" s="5" t="str">
        <f>IFERROR(__xludf.DUMMYFUNCTION("GOOGLETRANSLATE(B13061,""en"",""it"")"),"Salta e spara al basket nel cerchio.")</f>
        <v>Salta e spara al basket nel cerchio.</v>
      </c>
    </row>
    <row r="13062">
      <c r="A13062" s="4" t="s">
        <v>16431</v>
      </c>
      <c r="B13062" s="4" t="s">
        <v>16434</v>
      </c>
      <c r="C13062" s="5" t="str">
        <f>IFERROR(__xludf.DUMMYFUNCTION("GOOGLETRANSLATE(B13062,""en"",""it"")"),"Le parole sono mostrate sullo schermo alla fine.")</f>
        <v>Le parole sono mostrate sullo schermo alla fine.</v>
      </c>
    </row>
    <row r="13063">
      <c r="A13063" s="4" t="s">
        <v>16435</v>
      </c>
      <c r="B13063" s="4" t="s">
        <v>16436</v>
      </c>
      <c r="C13063" s="5" t="str">
        <f>IFERROR(__xludf.DUMMYFUNCTION("GOOGLETRANSLATE(B13063,""en"",""it"")"),"Una donna si inginocchia su un tappetino blu.")</f>
        <v>Una donna si inginocchia su un tappetino blu.</v>
      </c>
    </row>
    <row r="13064">
      <c r="A13064" s="4" t="s">
        <v>16435</v>
      </c>
      <c r="B13064" s="4" t="s">
        <v>16437</v>
      </c>
      <c r="C13064" s="5" t="str">
        <f>IFERROR(__xludf.DUMMYFUNCTION("GOOGLETRANSLATE(B13064,""en"",""it"")"),"Un uomo sta dietro a lei parlando.")</f>
        <v>Un uomo sta dietro a lei parlando.</v>
      </c>
    </row>
    <row r="13065">
      <c r="A13065" s="4" t="s">
        <v>16435</v>
      </c>
      <c r="B13065" s="4" t="s">
        <v>16438</v>
      </c>
      <c r="C13065" s="5" t="str">
        <f>IFERROR(__xludf.DUMMYFUNCTION("GOOGLETRANSLATE(B13065,""en"",""it"")"),"La donna inizia a muovere le gambe e le braccia.")</f>
        <v>La donna inizia a muovere le gambe e le braccia.</v>
      </c>
    </row>
    <row r="13066">
      <c r="A13066" s="4" t="s">
        <v>16439</v>
      </c>
      <c r="B13066" s="4" t="s">
        <v>16440</v>
      </c>
      <c r="C13066" s="5" t="str">
        <f>IFERROR(__xludf.DUMMYFUNCTION("GOOGLETRANSLATE(B13066,""en"",""it"")"),"Due uomini sono in piedi fuori con una folla di persone che sollevano pesi ed esercitano.")</f>
        <v>Due uomini sono in piedi fuori con una folla di persone che sollevano pesi ed esercitano.</v>
      </c>
    </row>
    <row r="13067">
      <c r="A13067" s="4" t="s">
        <v>16439</v>
      </c>
      <c r="B13067" s="6" t="s">
        <v>16441</v>
      </c>
      <c r="C13067" s="5" t="str">
        <f>IFERROR(__xludf.DUMMYFUNCTION("GOOGLETRANSLATE(B13067,""en"",""it"")"),"Molte persone iniziano a filmare i ragazzi sul loro telefono, il sollevamento pesi continua e diverse persone tornano a fare interviste.")</f>
        <v>Molte persone iniziano a filmare i ragazzi sul loro telefono, il sollevamento pesi continua e diverse persone tornano a fare interviste.</v>
      </c>
    </row>
    <row r="13068">
      <c r="A13068" s="4" t="s">
        <v>16439</v>
      </c>
      <c r="B13068" s="4" t="s">
        <v>16442</v>
      </c>
      <c r="C13068" s="5" t="str">
        <f>IFERROR(__xludf.DUMMYFUNCTION("GOOGLETRANSLATE(B13068,""en"",""it"")"),"Vengono mostrate più persone e poi viene sponsorizzato un logo che è sponsorizzato da Reebok.")</f>
        <v>Vengono mostrate più persone e poi viene sponsorizzato un logo che è sponsorizzato da Reebok.</v>
      </c>
    </row>
    <row r="13069">
      <c r="A13069" s="4" t="s">
        <v>16443</v>
      </c>
      <c r="B13069" s="4" t="s">
        <v>16444</v>
      </c>
      <c r="C13069" s="5" t="str">
        <f>IFERROR(__xludf.DUMMYFUNCTION("GOOGLETRANSLATE(B13069,""en"",""it"")"),"Le persone corrono in giro giocando a paintball.")</f>
        <v>Le persone corrono in giro giocando a paintball.</v>
      </c>
    </row>
    <row r="13070">
      <c r="A13070" s="4" t="s">
        <v>16443</v>
      </c>
      <c r="B13070" s="4" t="s">
        <v>16445</v>
      </c>
      <c r="C13070" s="5" t="str">
        <f>IFERROR(__xludf.DUMMYFUNCTION("GOOGLETRANSLATE(B13070,""en"",""it"")"),"Un uomo cade in una grande pozza di fango.")</f>
        <v>Un uomo cade in una grande pozza di fango.</v>
      </c>
    </row>
    <row r="13071">
      <c r="A13071" s="4" t="s">
        <v>16443</v>
      </c>
      <c r="B13071" s="4" t="s">
        <v>16446</v>
      </c>
      <c r="C13071" s="5" t="str">
        <f>IFERROR(__xludf.DUMMYFUNCTION("GOOGLETRANSLATE(B13071,""en"",""it"")"),"Un uomo cade e un altro uomo corre per controllarlo.")</f>
        <v>Un uomo cade e un altro uomo corre per controllarlo.</v>
      </c>
    </row>
    <row r="13072">
      <c r="A13072" s="4" t="s">
        <v>16447</v>
      </c>
      <c r="B13072" s="4" t="s">
        <v>16448</v>
      </c>
      <c r="C13072" s="5" t="str">
        <f>IFERROR(__xludf.DUMMYFUNCTION("GOOGLETRANSLATE(B13072,""en"",""it"")"),"Viene vista una donna parlare alla telecamera e conduce nel suo shorts a pagamento.")</f>
        <v>Viene vista una donna parlare alla telecamera e conduce nel suo shorts a pagamento.</v>
      </c>
    </row>
    <row r="13073">
      <c r="A13073" s="4" t="s">
        <v>16447</v>
      </c>
      <c r="B13073" s="4" t="s">
        <v>16449</v>
      </c>
      <c r="C13073" s="5" t="str">
        <f>IFERROR(__xludf.DUMMYFUNCTION("GOOGLETRANSLATE(B13073,""en"",""it"")"),"Quindi dimostra come stirare correttamente gli oggetti di abbigliamento.")</f>
        <v>Quindi dimostra come stirare correttamente gli oggetti di abbigliamento.</v>
      </c>
    </row>
    <row r="13074">
      <c r="A13074" s="4" t="s">
        <v>16450</v>
      </c>
      <c r="B13074" s="4" t="s">
        <v>16451</v>
      </c>
      <c r="C13074" s="5" t="str">
        <f>IFERROR(__xludf.DUMMYFUNCTION("GOOGLETRANSLATE(B13074,""en"",""it"")"),"Una persona sta giocando a cornamuse in un parco.")</f>
        <v>Una persona sta giocando a cornamuse in un parco.</v>
      </c>
    </row>
    <row r="13075">
      <c r="A13075" s="4" t="s">
        <v>16450</v>
      </c>
      <c r="B13075" s="4" t="s">
        <v>16452</v>
      </c>
      <c r="C13075" s="5" t="str">
        <f>IFERROR(__xludf.DUMMYFUNCTION("GOOGLETRANSLATE(B13075,""en"",""it"")"),"Un uomo e due ragazzi che guardano da un lontano.")</f>
        <v>Un uomo e due ragazzi che guardano da un lontano.</v>
      </c>
    </row>
    <row r="13076">
      <c r="A13076" s="4" t="s">
        <v>16450</v>
      </c>
      <c r="B13076" s="4" t="s">
        <v>16453</v>
      </c>
      <c r="C13076" s="5" t="str">
        <f>IFERROR(__xludf.DUMMYFUNCTION("GOOGLETRANSLATE(B13076,""en"",""it"")"),"La telecamera spara aree in tutto il parco mentre le cornamuse giocano.")</f>
        <v>La telecamera spara aree in tutto il parco mentre le cornamuse giocano.</v>
      </c>
    </row>
    <row r="13077">
      <c r="A13077" s="4" t="s">
        <v>16454</v>
      </c>
      <c r="B13077" s="4" t="s">
        <v>16455</v>
      </c>
      <c r="C13077" s="5" t="str">
        <f>IFERROR(__xludf.DUMMYFUNCTION("GOOGLETRANSLATE(B13077,""en"",""it"")"),"Un atleta viene visto correre su una pista grande e gettare un giavellotto in aria.")</f>
        <v>Un atleta viene visto correre su una pista grande e gettare un giavellotto in aria.</v>
      </c>
    </row>
    <row r="13078">
      <c r="A13078" s="4" t="s">
        <v>16454</v>
      </c>
      <c r="B13078" s="4" t="s">
        <v>16456</v>
      </c>
      <c r="C13078" s="5" t="str">
        <f>IFERROR(__xludf.DUMMYFUNCTION("GOOGLETRANSLATE(B13078,""en"",""it"")"),"Il suo tiro viene nuovamente mostrato al rallentatore seguito da molti altri atleti che si svolgono.")</f>
        <v>Il suo tiro viene nuovamente mostrato al rallentatore seguito da molti altri atleti che si svolgono.</v>
      </c>
    </row>
    <row r="13079">
      <c r="A13079" s="4" t="s">
        <v>16457</v>
      </c>
      <c r="B13079" s="4" t="s">
        <v>16458</v>
      </c>
      <c r="C13079" s="5" t="str">
        <f>IFERROR(__xludf.DUMMYFUNCTION("GOOGLETRANSLATE(B13079,""en"",""it"")"),"Vediamo una schermata del titolo di apertura.")</f>
        <v>Vediamo una schermata del titolo di apertura.</v>
      </c>
    </row>
    <row r="13080">
      <c r="A13080" s="4" t="s">
        <v>16457</v>
      </c>
      <c r="B13080" s="4" t="s">
        <v>16459</v>
      </c>
      <c r="C13080" s="5" t="str">
        <f>IFERROR(__xludf.DUMMYFUNCTION("GOOGLETRANSLATE(B13080,""en"",""it"")"),"Le persone stanno lavorando alle telecamere in un seminario.")</f>
        <v>Le persone stanno lavorando alle telecamere in un seminario.</v>
      </c>
    </row>
    <row r="13081">
      <c r="A13081" s="4" t="s">
        <v>16457</v>
      </c>
      <c r="B13081" s="4" t="s">
        <v>16460</v>
      </c>
      <c r="C13081" s="5" t="str">
        <f>IFERROR(__xludf.DUMMYFUNCTION("GOOGLETRANSLATE(B13081,""en"",""it"")"),"Li vediamo montare su un tubo.")</f>
        <v>Li vediamo montare su un tubo.</v>
      </c>
    </row>
    <row r="13082">
      <c r="A13082" s="4" t="s">
        <v>16457</v>
      </c>
      <c r="B13082" s="4" t="s">
        <v>16461</v>
      </c>
      <c r="C13082" s="5" t="str">
        <f>IFERROR(__xludf.DUMMYFUNCTION("GOOGLETRANSLATE(B13082,""en"",""it"")"),"La signora quindi balla il cerchio di hula con il tubo.")</f>
        <v>La signora quindi balla il cerchio di hula con il tubo.</v>
      </c>
    </row>
    <row r="13083">
      <c r="A13083" s="4" t="s">
        <v>16457</v>
      </c>
      <c r="B13083" s="4" t="s">
        <v>16462</v>
      </c>
      <c r="C13083" s="5" t="str">
        <f>IFERROR(__xludf.DUMMYFUNCTION("GOOGLETRANSLATE(B13083,""en"",""it"")"),"Vediamo un uomo biondo apportare regolazioni al tubo.")</f>
        <v>Vediamo un uomo biondo apportare regolazioni al tubo.</v>
      </c>
    </row>
    <row r="13084">
      <c r="A13084" s="4" t="s">
        <v>16457</v>
      </c>
      <c r="B13084" s="4" t="s">
        <v>16463</v>
      </c>
      <c r="C13084" s="5" t="str">
        <f>IFERROR(__xludf.DUMMYFUNCTION("GOOGLETRANSLATE(B13084,""en"",""it"")"),"Vediamo lo schermo finale di chiusura.")</f>
        <v>Vediamo lo schermo finale di chiusura.</v>
      </c>
    </row>
    <row r="13085">
      <c r="A13085" s="4" t="s">
        <v>16464</v>
      </c>
      <c r="B13085" s="4" t="s">
        <v>16465</v>
      </c>
      <c r="C13085" s="5" t="str">
        <f>IFERROR(__xludf.DUMMYFUNCTION("GOOGLETRANSLATE(B13085,""en"",""it"")"),"Una telecamera si muove attorno a un gruppo di persone sedute a un tavolo seguito da un uomo in possesso di una tavola da surf.")</f>
        <v>Una telecamera si muove attorno a un gruppo di persone sedute a un tavolo seguito da un uomo in possesso di una tavola da surf.</v>
      </c>
    </row>
    <row r="13086">
      <c r="A13086" s="4" t="s">
        <v>16464</v>
      </c>
      <c r="B13086" s="4" t="s">
        <v>16466</v>
      </c>
      <c r="C13086" s="5" t="str">
        <f>IFERROR(__xludf.DUMMYFUNCTION("GOOGLETRANSLATE(B13086,""en"",""it"")"),"L'uomo porta la tavola sull'acqua e inizia a guidare l'acqua.")</f>
        <v>L'uomo porta la tavola sull'acqua e inizia a guidare l'acqua.</v>
      </c>
    </row>
    <row r="13087">
      <c r="A13087" s="4" t="s">
        <v>16464</v>
      </c>
      <c r="B13087" s="4" t="s">
        <v>16467</v>
      </c>
      <c r="C13087" s="5" t="str">
        <f>IFERROR(__xludf.DUMMYFUNCTION("GOOGLETRANSLATE(B13087,""en"",""it"")"),"La persona continua a cavalcare dopo un'altra persona sull'acqua.")</f>
        <v>La persona continua a cavalcare dopo un'altra persona sull'acqua.</v>
      </c>
    </row>
    <row r="13088">
      <c r="A13088" s="4" t="s">
        <v>16468</v>
      </c>
      <c r="B13088" s="6" t="s">
        <v>16469</v>
      </c>
      <c r="C13088" s="5" t="str">
        <f>IFERROR(__xludf.DUMMYFUNCTION("GOOGLETRANSLATE(B13088,""en"",""it"")"),"Vengono mostrati vari colpi di un parco a tema, tra cui giostre, persone che giocano e altre persone che interagiscono tra loro.")</f>
        <v>Vengono mostrati vari colpi di un parco a tema, tra cui giostre, persone che giocano e altre persone che interagiscono tra loro.</v>
      </c>
    </row>
    <row r="13089">
      <c r="A13089" s="4" t="s">
        <v>16468</v>
      </c>
      <c r="B13089" s="6" t="s">
        <v>16470</v>
      </c>
      <c r="C13089" s="5" t="str">
        <f>IFERROR(__xludf.DUMMYFUNCTION("GOOGLETRANSLATE(B13089,""en"",""it"")"),"Vengono quindi mostrati due uomini che guidano intorno a un'area su macchine per paraurti mentre ridono della telecamera e altri che parlano alla telecamera.")</f>
        <v>Vengono quindi mostrati due uomini che guidano intorno a un'area su macchine per paraurti mentre ridono della telecamera e altri che parlano alla telecamera.</v>
      </c>
    </row>
    <row r="13090">
      <c r="A13090" s="4" t="s">
        <v>16468</v>
      </c>
      <c r="B13090" s="4" t="s">
        <v>16471</v>
      </c>
      <c r="C13090" s="5" t="str">
        <f>IFERROR(__xludf.DUMMYFUNCTION("GOOGLETRANSLATE(B13090,""en"",""it"")"),"Gli uomini continuano a correre e finiscono con una donna che tira giù una copertura per il gioco.")</f>
        <v>Gli uomini continuano a correre e finiscono con una donna che tira giù una copertura per il gioco.</v>
      </c>
    </row>
    <row r="13091">
      <c r="A13091" s="4" t="s">
        <v>16472</v>
      </c>
      <c r="B13091" s="4" t="s">
        <v>16473</v>
      </c>
      <c r="C13091" s="5" t="str">
        <f>IFERROR(__xludf.DUMMYFUNCTION("GOOGLETRANSLATE(B13091,""en"",""it"")"),"Un uomo attraversa un corridoio, visto dalla vista della parte inferiore della corda.")</f>
        <v>Un uomo attraversa un corridoio, visto dalla vista della parte inferiore della corda.</v>
      </c>
    </row>
    <row r="13092">
      <c r="A13092" s="4" t="s">
        <v>16472</v>
      </c>
      <c r="B13092" s="4" t="s">
        <v>16474</v>
      </c>
      <c r="C13092" s="5" t="str">
        <f>IFERROR(__xludf.DUMMYFUNCTION("GOOGLETRANSLATE(B13092,""en"",""it"")"),"Una padella fuori dal fiume e un traghetto si vede a Hong Kong.")</f>
        <v>Una padella fuori dal fiume e un traghetto si vede a Hong Kong.</v>
      </c>
    </row>
    <row r="13093">
      <c r="A13093" s="4" t="s">
        <v>16472</v>
      </c>
      <c r="B13093" s="6" t="s">
        <v>16475</v>
      </c>
      <c r="C13093" s="5" t="str">
        <f>IFERROR(__xludf.DUMMYFUNCTION("GOOGLETRANSLATE(B13093,""en"",""it"")"),"Un uomo mette in scena uno spettacolo mentre si bilancia in diverse posizioni su un corridoio per una piccola folla.")</f>
        <v>Un uomo mette in scena uno spettacolo mentre si bilancia in diverse posizioni su un corridoio per una piccola folla.</v>
      </c>
    </row>
    <row r="13094">
      <c r="A13094" s="4" t="s">
        <v>16472</v>
      </c>
      <c r="B13094" s="4" t="s">
        <v>16476</v>
      </c>
      <c r="C13094" s="5" t="str">
        <f>IFERROR(__xludf.DUMMYFUNCTION("GOOGLETRANSLATE(B13094,""en"",""it"")"),"Un altro uomo si unisce a lui e si bilanciano, camminano e fanno push up.")</f>
        <v>Un altro uomo si unisce a lui e si bilanciano, camminano e fanno push up.</v>
      </c>
    </row>
    <row r="13095">
      <c r="A13095" s="4" t="s">
        <v>16477</v>
      </c>
      <c r="B13095" s="4" t="s">
        <v>16478</v>
      </c>
      <c r="C13095" s="5" t="str">
        <f>IFERROR(__xludf.DUMMYFUNCTION("GOOGLETRANSLATE(B13095,""en"",""it"")"),"Una persona sta camminando lentamente sul ghiaccio, cercando di spezzarlo.")</f>
        <v>Una persona sta camminando lentamente sul ghiaccio, cercando di spezzarlo.</v>
      </c>
    </row>
    <row r="13096">
      <c r="A13096" s="4" t="s">
        <v>16477</v>
      </c>
      <c r="B13096" s="6" t="s">
        <v>16479</v>
      </c>
      <c r="C13096" s="5" t="str">
        <f>IFERROR(__xludf.DUMMYFUNCTION("GOOGLETRANSLATE(B13096,""en"",""it"")"),"La persona ha fatto molti buchi di medie dimensioni nel ghiaccio e ha la lenza appesa in profondità nell'acqua sotto.")</f>
        <v>La persona ha fatto molti buchi di medie dimensioni nel ghiaccio e ha la lenza appesa in profondità nell'acqua sotto.</v>
      </c>
    </row>
    <row r="13097">
      <c r="A13097" s="4" t="s">
        <v>16477</v>
      </c>
      <c r="B13097" s="4" t="s">
        <v>16480</v>
      </c>
      <c r="C13097" s="5" t="str">
        <f>IFERROR(__xludf.DUMMYFUNCTION("GOOGLETRANSLATE(B13097,""en"",""it"")"),"La persona che cammina verso uno dei buchi e controlla la lenza per vedere se ha catturato il pesce.")</f>
        <v>La persona che cammina verso uno dei buchi e controlla la lenza per vedere se ha catturato il pesce.</v>
      </c>
    </row>
    <row r="13098">
      <c r="A13098" s="4" t="s">
        <v>16477</v>
      </c>
      <c r="B13098" s="4" t="s">
        <v>16481</v>
      </c>
      <c r="C13098" s="5" t="str">
        <f>IFERROR(__xludf.DUMMYFUNCTION("GOOGLETRANSLATE(B13098,""en"",""it"")"),"Il ragazzo quindi tira forte sulla lenza e lo trascina.")</f>
        <v>Il ragazzo quindi tira forte sulla lenza e lo trascina.</v>
      </c>
    </row>
    <row r="13099">
      <c r="A13099" s="4" t="s">
        <v>16477</v>
      </c>
      <c r="B13099" s="4" t="s">
        <v>16482</v>
      </c>
      <c r="C13099" s="5" t="str">
        <f>IFERROR(__xludf.DUMMYFUNCTION("GOOGLETRANSLATE(B13099,""en"",""it"")"),"Alla fine usa un lungo gancio di metallo per agganciare il pesce che ha catturato e lo porta fuori dal buco.")</f>
        <v>Alla fine usa un lungo gancio di metallo per agganciare il pesce che ha catturato e lo porta fuori dal buco.</v>
      </c>
    </row>
    <row r="13100">
      <c r="A13100" s="4" t="s">
        <v>16477</v>
      </c>
      <c r="B13100" s="6" t="s">
        <v>16483</v>
      </c>
      <c r="C13100" s="5" t="str">
        <f>IFERROR(__xludf.DUMMYFUNCTION("GOOGLETRANSLATE(B13100,""en"",""it"")"),"Quindi sgancia il lungo gancio e usa i suoi strumenti per sganciare il piccolo gancio di pesca la bocca del pesce lasciando il pesce sanguinoso.")</f>
        <v>Quindi sgancia il lungo gancio e usa i suoi strumenti per sganciare il piccolo gancio di pesca la bocca del pesce lasciando il pesce sanguinoso.</v>
      </c>
    </row>
    <row r="13101">
      <c r="A13101" s="4" t="s">
        <v>16484</v>
      </c>
      <c r="B13101" s="4" t="s">
        <v>16485</v>
      </c>
      <c r="C13101" s="5" t="str">
        <f>IFERROR(__xludf.DUMMYFUNCTION("GOOGLETRANSLATE(B13101,""en"",""it"")"),"Water Polo Team è in piedi accanto alla piscina parlando con la telecamera.")</f>
        <v>Water Polo Team è in piedi accanto alla piscina parlando con la telecamera.</v>
      </c>
    </row>
    <row r="13102">
      <c r="A13102" s="4" t="s">
        <v>16484</v>
      </c>
      <c r="B13102" s="4" t="s">
        <v>16486</v>
      </c>
      <c r="C13102" s="5" t="str">
        <f>IFERROR(__xludf.DUMMYFUNCTION("GOOGLETRANSLATE(B13102,""en"",""it"")"),"L'uomo salta in acqua e tiene una palla e Sart giocando in piscina.")</f>
        <v>L'uomo salta in acqua e tiene una palla e Sart giocando in piscina.</v>
      </c>
    </row>
    <row r="13103">
      <c r="A13103" s="4" t="s">
        <v>16487</v>
      </c>
      <c r="B13103" s="4" t="s">
        <v>16488</v>
      </c>
      <c r="C13103" s="5" t="str">
        <f>IFERROR(__xludf.DUMMYFUNCTION("GOOGLETRANSLATE(B13103,""en"",""it"")"),"Un uomo si piega e raccoglie due campane di bollitore.")</f>
        <v>Un uomo si piega e raccoglie due campane di bollitore.</v>
      </c>
    </row>
    <row r="13104">
      <c r="A13104" s="4" t="s">
        <v>16487</v>
      </c>
      <c r="B13104" s="4" t="s">
        <v>16489</v>
      </c>
      <c r="C13104" s="5" t="str">
        <f>IFERROR(__xludf.DUMMYFUNCTION("GOOGLETRANSLATE(B13104,""en"",""it"")"),"Solleva e abbassa le campane del bollitore.")</f>
        <v>Solleva e abbassa le campane del bollitore.</v>
      </c>
    </row>
    <row r="13105">
      <c r="A13105" s="4" t="s">
        <v>16487</v>
      </c>
      <c r="B13105" s="4" t="s">
        <v>16490</v>
      </c>
      <c r="C13105" s="5" t="str">
        <f>IFERROR(__xludf.DUMMYFUNCTION("GOOGLETRANSLATE(B13105,""en"",""it"")"),"Li mette giù sull'erba di fronte a lui.")</f>
        <v>Li mette giù sull'erba di fronte a lui.</v>
      </c>
    </row>
    <row r="13106">
      <c r="A13106" s="4" t="s">
        <v>16491</v>
      </c>
      <c r="B13106" s="4" t="s">
        <v>16492</v>
      </c>
      <c r="C13106" s="5" t="str">
        <f>IFERROR(__xludf.DUMMYFUNCTION("GOOGLETRANSLATE(B13106,""en"",""it"")"),"Un uomo si trova dietro un bar con diverse bevande miste.")</f>
        <v>Un uomo si trova dietro un bar con diverse bevande miste.</v>
      </c>
    </row>
    <row r="13107">
      <c r="A13107" s="4" t="s">
        <v>16491</v>
      </c>
      <c r="B13107" s="4" t="s">
        <v>16493</v>
      </c>
      <c r="C13107" s="5" t="str">
        <f>IFERROR(__xludf.DUMMYFUNCTION("GOOGLETRANSLATE(B13107,""en"",""it"")"),"Versa il ghiaccio in un bicchiere e lo tocca con liquori diversi.")</f>
        <v>Versa il ghiaccio in un bicchiere e lo tocca con liquori diversi.</v>
      </c>
    </row>
    <row r="13108">
      <c r="A13108" s="4" t="s">
        <v>16491</v>
      </c>
      <c r="B13108" s="4" t="s">
        <v>16494</v>
      </c>
      <c r="C13108" s="5" t="str">
        <f>IFERROR(__xludf.DUMMYFUNCTION("GOOGLETRANSLATE(B13108,""en"",""it"")"),"Quindi aggiunge una piccola cannuccia.")</f>
        <v>Quindi aggiunge una piccola cannuccia.</v>
      </c>
    </row>
    <row r="13109">
      <c r="A13109" s="4" t="s">
        <v>16495</v>
      </c>
      <c r="B13109" s="4" t="s">
        <v>16496</v>
      </c>
      <c r="C13109" s="5" t="str">
        <f>IFERROR(__xludf.DUMMYFUNCTION("GOOGLETRANSLATE(B13109,""en"",""it"")"),"Un'introduzione conduce a clip di persone che cavalcano tavole da surf sull'acqua e suoncini.")</f>
        <v>Un'introduzione conduce a clip di persone che cavalcano tavole da surf sull'acqua e suoncini.</v>
      </c>
    </row>
    <row r="13110">
      <c r="A13110" s="4" t="s">
        <v>16495</v>
      </c>
      <c r="B13110" s="4" t="s">
        <v>16497</v>
      </c>
      <c r="C13110" s="5" t="str">
        <f>IFERROR(__xludf.DUMMYFUNCTION("GOOGLETRANSLATE(B13110,""en"",""it"")"),"La fotocamera si panoramica nella zona e continua a mostrare più clip di persone che navigano.")</f>
        <v>La fotocamera si panoramica nella zona e continua a mostrare più clip di persone che navigano.</v>
      </c>
    </row>
    <row r="13111">
      <c r="A13111" s="4" t="s">
        <v>16495</v>
      </c>
      <c r="B13111" s="4" t="s">
        <v>16498</v>
      </c>
      <c r="C13111" s="5" t="str">
        <f>IFERROR(__xludf.DUMMYFUNCTION("GOOGLETRANSLATE(B13111,""en"",""it"")"),"Viene mostrato un primo piano di una tavola da surf seguita da molte più persone che navigano sull'acqua.")</f>
        <v>Viene mostrato un primo piano di una tavola da surf seguita da molte più persone che navigano sull'acqua.</v>
      </c>
    </row>
    <row r="13112">
      <c r="A13112" s="4" t="s">
        <v>16499</v>
      </c>
      <c r="B13112" s="6" t="s">
        <v>16500</v>
      </c>
      <c r="C13112" s="5" t="str">
        <f>IFERROR(__xludf.DUMMYFUNCTION("GOOGLETRANSLATE(B13112,""en"",""it"")"),"Viene visualizzato uno schermo con i raggi della bici come lo sfondo e le parole rosse che leggono ""revisione e regolazione di hub di tazze e cono"" e un sito Web in grigio proprio sotto le parole rosse.")</f>
        <v>Viene visualizzato uno schermo con i raggi della bici come lo sfondo e le parole rosse che leggono "revisione e regolazione di hub di tazze e cono" e un sito Web in grigio proprio sotto le parole rosse.</v>
      </c>
    </row>
    <row r="13113">
      <c r="A13113" s="4" t="s">
        <v>16499</v>
      </c>
      <c r="B13113" s="6" t="s">
        <v>16501</v>
      </c>
      <c r="C13113" s="5" t="str">
        <f>IFERROR(__xludf.DUMMYFUNCTION("GOOGLETRANSLATE(B13113,""en"",""it"")"),"Un uomo quindi entra e da dietro usa gli strumenti sull'hub per smontarlo, pulirlo accuratamente, ingrassare, quindi rimette tutto insieme e si assicura che tutto sia sicuro.")</f>
        <v>Un uomo quindi entra e da dietro usa gli strumenti sull'hub per smontarlo, pulirlo accuratamente, ingrassare, quindi rimette tutto insieme e si assicura che tutto sia sicuro.</v>
      </c>
    </row>
    <row r="13114">
      <c r="A13114" s="4" t="s">
        <v>16499</v>
      </c>
      <c r="B13114" s="6" t="s">
        <v>16502</v>
      </c>
      <c r="C13114" s="5" t="str">
        <f>IFERROR(__xludf.DUMMYFUNCTION("GOOGLETRANSLATE(B13114,""en"",""it"")"),"L'outro è una ruota rotante con parole a scorrimento rapido che vanno dal basso verso la parte superiore, quindi svanisce rapidamente a uno schermo nero.")</f>
        <v>L'outro è una ruota rotante con parole a scorrimento rapido che vanno dal basso verso la parte superiore, quindi svanisce rapidamente a uno schermo nero.</v>
      </c>
    </row>
    <row r="13115">
      <c r="A13115" s="4" t="s">
        <v>16503</v>
      </c>
      <c r="B13115" s="4" t="s">
        <v>16504</v>
      </c>
      <c r="C13115" s="5" t="str">
        <f>IFERROR(__xludf.DUMMYFUNCTION("GOOGLETRANSLATE(B13115,""en"",""it"")"),"Alle squadre giocano a scagliare in un campo mentre tiene il bastone.")</f>
        <v>Alle squadre giocano a scagliare in un campo mentre tiene il bastone.</v>
      </c>
    </row>
    <row r="13116">
      <c r="A13116" s="4" t="s">
        <v>16503</v>
      </c>
      <c r="B13116" s="4" t="s">
        <v>16505</v>
      </c>
      <c r="C13116" s="5" t="str">
        <f>IFERROR(__xludf.DUMMYFUNCTION("GOOGLETRANSLATE(B13116,""en"",""it"")"),"Una donna in piedi e una signora cammina davanti a una panchina.")</f>
        <v>Una donna in piedi e una signora cammina davanti a una panchina.</v>
      </c>
    </row>
    <row r="13117">
      <c r="A13117" s="4" t="s">
        <v>16503</v>
      </c>
      <c r="B13117" s="4" t="s">
        <v>16506</v>
      </c>
      <c r="C13117" s="5" t="str">
        <f>IFERROR(__xludf.DUMMYFUNCTION("GOOGLETRANSLATE(B13117,""en"",""it"")"),"L'arbitro si estende il braccio sinistro.")</f>
        <v>L'arbitro si estende il braccio sinistro.</v>
      </c>
    </row>
    <row r="13118">
      <c r="A13118" s="4" t="s">
        <v>16507</v>
      </c>
      <c r="B13118" s="4" t="s">
        <v>16508</v>
      </c>
      <c r="C13118" s="5" t="str">
        <f>IFERROR(__xludf.DUMMYFUNCTION("GOOGLETRANSLATE(B13118,""en"",""it"")"),"Vengono mostrati vari scatti di strumenti che conducono in un uomo seduto con una chitarra.")</f>
        <v>Vengono mostrati vari scatti di strumenti che conducono in un uomo seduto con una chitarra.</v>
      </c>
    </row>
    <row r="13119">
      <c r="A13119" s="4" t="s">
        <v>16507</v>
      </c>
      <c r="B13119" s="4" t="s">
        <v>16509</v>
      </c>
      <c r="C13119" s="5" t="str">
        <f>IFERROR(__xludf.DUMMYFUNCTION("GOOGLETRANSLATE(B13119,""en"",""it"")"),"L'uomo quindi stringe la chitarra per un po 'e fa una pausa.")</f>
        <v>L'uomo quindi stringe la chitarra per un po 'e fa una pausa.</v>
      </c>
    </row>
    <row r="13120">
      <c r="A13120" s="4" t="s">
        <v>16507</v>
      </c>
      <c r="B13120" s="4" t="s">
        <v>16510</v>
      </c>
      <c r="C13120" s="5" t="str">
        <f>IFERROR(__xludf.DUMMYFUNCTION("GOOGLETRANSLATE(B13120,""en"",""it"")"),"Viene quindi mostrato di giocare di nuovo così come mostrati più strumenti.")</f>
        <v>Viene quindi mostrato di giocare di nuovo così come mostrati più strumenti.</v>
      </c>
    </row>
    <row r="13121">
      <c r="A13121" s="4" t="s">
        <v>16511</v>
      </c>
      <c r="B13121" s="4" t="s">
        <v>16512</v>
      </c>
      <c r="C13121" s="5" t="str">
        <f>IFERROR(__xludf.DUMMYFUNCTION("GOOGLETRANSLATE(B13121,""en"",""it"")"),"Più gruppi di persone nelle barche sono fuori esplorazione di un fiume.")</f>
        <v>Più gruppi di persone nelle barche sono fuori esplorazione di un fiume.</v>
      </c>
    </row>
    <row r="13122">
      <c r="A13122" s="4" t="s">
        <v>16511</v>
      </c>
      <c r="B13122" s="4" t="s">
        <v>16513</v>
      </c>
      <c r="C13122" s="5" t="str">
        <f>IFERROR(__xludf.DUMMYFUNCTION("GOOGLETRANSLATE(B13122,""en"",""it"")"),"Il vento soffia gli alberi nel Grand Canyon.")</f>
        <v>Il vento soffia gli alberi nel Grand Canyon.</v>
      </c>
    </row>
    <row r="13123">
      <c r="A13123" s="4" t="s">
        <v>16511</v>
      </c>
      <c r="B13123" s="4" t="s">
        <v>16514</v>
      </c>
      <c r="C13123" s="5" t="str">
        <f>IFERROR(__xludf.DUMMYFUNCTION("GOOGLETRANSLATE(B13123,""en"",""it"")"),"Un gruppo di persone su una barca bianca rematrice nelle acque del fiume.")</f>
        <v>Un gruppo di persone su una barca bianca rematrice nelle acque del fiume.</v>
      </c>
    </row>
    <row r="13124">
      <c r="A13124" s="4" t="s">
        <v>16511</v>
      </c>
      <c r="B13124" s="4" t="s">
        <v>16515</v>
      </c>
      <c r="C13124" s="5" t="str">
        <f>IFERROR(__xludf.DUMMYFUNCTION("GOOGLETRANSLATE(B13124,""en"",""it"")"),"Molteplici gruppi combattono acque violente.")</f>
        <v>Molteplici gruppi combattono acque violente.</v>
      </c>
    </row>
    <row r="13125">
      <c r="A13125" s="4" t="s">
        <v>16511</v>
      </c>
      <c r="B13125" s="4" t="s">
        <v>16516</v>
      </c>
      <c r="C13125" s="5" t="str">
        <f>IFERROR(__xludf.DUMMYFUNCTION("GOOGLETRANSLATE(B13125,""en"",""it"")"),"Ad un certo punto, le acque violente sembrano quasi rovesciare uno dei gruppi.")</f>
        <v>Ad un certo punto, le acque violente sembrano quasi rovesciare uno dei gruppi.</v>
      </c>
    </row>
    <row r="13126">
      <c r="A13126" s="4" t="s">
        <v>16511</v>
      </c>
      <c r="B13126" s="4" t="s">
        <v>16517</v>
      </c>
      <c r="C13126" s="5" t="str">
        <f>IFERROR(__xludf.DUMMYFUNCTION("GOOGLETRANSLATE(B13126,""en"",""it"")"),"Un kayaker coraggioso e single si reca via alle acque.")</f>
        <v>Un kayaker coraggioso e single si reca via alle acque.</v>
      </c>
    </row>
    <row r="13127">
      <c r="A13127" s="4" t="s">
        <v>16518</v>
      </c>
      <c r="B13127" s="4" t="s">
        <v>16519</v>
      </c>
      <c r="C13127" s="5" t="str">
        <f>IFERROR(__xludf.DUMMYFUNCTION("GOOGLETRANSLATE(B13127,""en"",""it"")"),"Un uomo di mezza età è in piedi per strada indossando rollerble.")</f>
        <v>Un uomo di mezza età è in piedi per strada indossando rollerble.</v>
      </c>
    </row>
    <row r="13128">
      <c r="A13128" s="4" t="s">
        <v>16518</v>
      </c>
      <c r="B13128" s="4" t="s">
        <v>16520</v>
      </c>
      <c r="C13128" s="5" t="str">
        <f>IFERROR(__xludf.DUMMYFUNCTION("GOOGLETRANSLATE(B13128,""en"",""it"")"),"L'uomo pattina con precisione tra una fila stretta di piccoli coni.")</f>
        <v>L'uomo pattina con precisione tra una fila stretta di piccoli coni.</v>
      </c>
    </row>
    <row r="13129">
      <c r="A13129" s="4" t="s">
        <v>16518</v>
      </c>
      <c r="B13129" s="4" t="s">
        <v>16521</v>
      </c>
      <c r="C13129" s="5" t="str">
        <f>IFERROR(__xludf.DUMMYFUNCTION("GOOGLETRANSLATE(B13129,""en"",""it"")"),"L'uomo fa una verticale dopo aver completato il corso e torna all'inizio.")</f>
        <v>L'uomo fa una verticale dopo aver completato il corso e torna all'inizio.</v>
      </c>
    </row>
    <row r="13130">
      <c r="A13130" s="4" t="s">
        <v>16522</v>
      </c>
      <c r="B13130" s="4" t="s">
        <v>16523</v>
      </c>
      <c r="C13130" s="5" t="str">
        <f>IFERROR(__xludf.DUMMYFUNCTION("GOOGLETRANSLATE(B13130,""en"",""it"")"),"Due uomini camminano lungo la spiaggia con le loro tavole da surf.")</f>
        <v>Due uomini camminano lungo la spiaggia con le loro tavole da surf.</v>
      </c>
    </row>
    <row r="13131">
      <c r="A13131" s="4" t="s">
        <v>16522</v>
      </c>
      <c r="B13131" s="4" t="s">
        <v>16524</v>
      </c>
      <c r="C13131" s="5" t="str">
        <f>IFERROR(__xludf.DUMMYFUNCTION("GOOGLETRANSLATE(B13131,""en"",""it"")"),"Entrano nell'acqua e il surfista con la scheda bianca cattura un'onda.")</f>
        <v>Entrano nell'acqua e il surfista con la scheda bianca cattura un'onda.</v>
      </c>
    </row>
    <row r="13132">
      <c r="A13132" s="4" t="s">
        <v>16522</v>
      </c>
      <c r="B13132" s="6" t="s">
        <v>16525</v>
      </c>
      <c r="C13132" s="5" t="str">
        <f>IFERROR(__xludf.DUMMYFUNCTION("GOOGLETRANSLATE(B13132,""en"",""it"")"),"La scheda bianca cattura un'altra ondata mentre la tavola blu opta, vengono mostrate più onde prese dalla tavola bianca.")</f>
        <v>La scheda bianca cattura un'altra ondata mentre la tavola blu opta, vengono mostrate più onde prese dalla tavola bianca.</v>
      </c>
    </row>
    <row r="13133">
      <c r="A13133" s="4" t="s">
        <v>16522</v>
      </c>
      <c r="B13133" s="4" t="s">
        <v>16526</v>
      </c>
      <c r="C13133" s="5" t="str">
        <f>IFERROR(__xludf.DUMMYFUNCTION("GOOGLETRANSLATE(B13133,""en"",""it"")"),"Il surfista sulla scheda blu cattura alcune onde.")</f>
        <v>Il surfista sulla scheda blu cattura alcune onde.</v>
      </c>
    </row>
    <row r="13134">
      <c r="A13134" s="4" t="s">
        <v>16522</v>
      </c>
      <c r="B13134" s="4" t="s">
        <v>16527</v>
      </c>
      <c r="C13134" s="5" t="str">
        <f>IFERROR(__xludf.DUMMYFUNCTION("GOOGLETRANSLATE(B13134,""en"",""it"")"),"Il surfista della scheda bianca viene mostrato scivolare su più onde, chiaramente come un esperto.")</f>
        <v>Il surfista della scheda bianca viene mostrato scivolare su più onde, chiaramente come un esperto.</v>
      </c>
    </row>
    <row r="13135">
      <c r="A13135" s="4" t="s">
        <v>16528</v>
      </c>
      <c r="B13135" s="4" t="s">
        <v>16529</v>
      </c>
      <c r="C13135" s="5" t="str">
        <f>IFERROR(__xludf.DUMMYFUNCTION("GOOGLETRANSLATE(B13135,""en"",""it"")"),"Una serie di schermi appaiono con parole bianche e viola in forma di paragrafo.")</f>
        <v>Una serie di schermi appaiono con parole bianche e viola in forma di paragrafo.</v>
      </c>
    </row>
    <row r="13136">
      <c r="A13136" s="4" t="s">
        <v>16528</v>
      </c>
      <c r="B13136" s="4" t="s">
        <v>16530</v>
      </c>
      <c r="C13136" s="5" t="str">
        <f>IFERROR(__xludf.DUMMYFUNCTION("GOOGLETRANSLATE(B13136,""en"",""it"")"),"Una persona viene quindi mostrata di uscire in macchina con un utensile che toglie la neve dal vetro.")</f>
        <v>Una persona viene quindi mostrata di uscire in macchina con un utensile che toglie la neve dal vetro.</v>
      </c>
    </row>
    <row r="13137">
      <c r="A13137" s="4" t="s">
        <v>16528</v>
      </c>
      <c r="B13137" s="4" t="s">
        <v>16531</v>
      </c>
      <c r="C13137" s="5" t="str">
        <f>IFERROR(__xludf.DUMMYFUNCTION("GOOGLETRANSLATE(B13137,""en"",""it"")"),"Quindi un altro schermo appare con parole bianche e mostra una frase e la posizione.")</f>
        <v>Quindi un altro schermo appare con parole bianche e mostra una frase e la posizione.</v>
      </c>
    </row>
    <row r="13138">
      <c r="A13138" s="4" t="s">
        <v>16532</v>
      </c>
      <c r="B13138" s="4" t="s">
        <v>16533</v>
      </c>
      <c r="C13138" s="5" t="str">
        <f>IFERROR(__xludf.DUMMYFUNCTION("GOOGLETRANSLATE(B13138,""en"",""it"")"),"Due persone sono viste in piedi su un tappetino e iniziano a combattere l'un l'altro.")</f>
        <v>Due persone sono viste in piedi su un tappetino e iniziano a combattere l'un l'altro.</v>
      </c>
    </row>
    <row r="13139">
      <c r="A13139" s="4" t="s">
        <v>16532</v>
      </c>
      <c r="B13139" s="4" t="s">
        <v>16534</v>
      </c>
      <c r="C13139" s="5" t="str">
        <f>IFERROR(__xludf.DUMMYFUNCTION("GOOGLETRANSLATE(B13139,""en"",""it"")"),"Gli uomini si fermano per un momento e continuano a combattere mentre le persone guardano sul lato.")</f>
        <v>Gli uomini si fermano per un momento e continuano a combattere mentre le persone guardano sul lato.</v>
      </c>
    </row>
    <row r="13140">
      <c r="A13140" s="4" t="s">
        <v>16532</v>
      </c>
      <c r="B13140" s="4" t="s">
        <v>16535</v>
      </c>
      <c r="C13140" s="5" t="str">
        <f>IFERROR(__xludf.DUMMYFUNCTION("GOOGLETRANSLATE(B13140,""en"",""it"")"),"I ragazzi continuano a combattere e si fermano alla fine.")</f>
        <v>I ragazzi continuano a combattere e si fermano alla fine.</v>
      </c>
    </row>
    <row r="13141">
      <c r="A13141" s="4" t="s">
        <v>16536</v>
      </c>
      <c r="B13141" s="4" t="s">
        <v>16537</v>
      </c>
      <c r="C13141" s="5" t="str">
        <f>IFERROR(__xludf.DUMMYFUNCTION("GOOGLETRANSLATE(B13141,""en"",""it"")"),"Si vede una persona accendere un rubinetto e strofinarsi le mani sotto l'acqua.")</f>
        <v>Si vede una persona accendere un rubinetto e strofinarsi le mani sotto l'acqua.</v>
      </c>
    </row>
    <row r="13142">
      <c r="A13142" s="4" t="s">
        <v>16536</v>
      </c>
      <c r="B13142" s="6" t="s">
        <v>16538</v>
      </c>
      <c r="C13142" s="5" t="str">
        <f>IFERROR(__xludf.DUMMYFUNCTION("GOOGLETRANSLATE(B13142,""en"",""it"")"),"La persona spinge il sapone nelle loro mani, guardando il sapone che gocciolare e poi strofina le mani.")</f>
        <v>La persona spinge il sapone nelle loro mani, guardando il sapone che gocciolare e poi strofina le mani.</v>
      </c>
    </row>
    <row r="13143">
      <c r="A13143" s="4" t="s">
        <v>16539</v>
      </c>
      <c r="B13143" s="6" t="s">
        <v>16540</v>
      </c>
      <c r="C13143" s="5" t="str">
        <f>IFERROR(__xludf.DUMMYFUNCTION("GOOGLETRANSLATE(B13143,""en"",""it"")"),"C'è una donna con un tatuaggio a mano e chiodi dipinti in rosso che attaccano e avvitano una parte nel bagagliaio di un'auto per attaccare la ruota di scorta.")</f>
        <v>C'è una donna con un tatuaggio a mano e chiodi dipinti in rosso che attaccano e avvitano una parte nel bagagliaio di un'auto per attaccare la ruota di scorta.</v>
      </c>
    </row>
    <row r="13144">
      <c r="A13144" s="4" t="s">
        <v>16539</v>
      </c>
      <c r="B13144" s="4" t="s">
        <v>16541</v>
      </c>
      <c r="C13144" s="5" t="str">
        <f>IFERROR(__xludf.DUMMYFUNCTION("GOOGLETRANSLATE(B13144,""en"",""it"")"),"Quindi posiziona la ruota di scorta nella custodia metallica.")</f>
        <v>Quindi posiziona la ruota di scorta nella custodia metallica.</v>
      </c>
    </row>
    <row r="13145">
      <c r="A13145" s="4" t="s">
        <v>16539</v>
      </c>
      <c r="B13145" s="4" t="s">
        <v>16542</v>
      </c>
      <c r="C13145" s="5" t="str">
        <f>IFERROR(__xludf.DUMMYFUNCTION("GOOGLETRANSLATE(B13145,""en"",""it"")"),"Prende il quadrante di plastica e lo avvita in modo sicuro per adattarsi alla ruota di scorta nel bagagliaio.")</f>
        <v>Prende il quadrante di plastica e lo avvita in modo sicuro per adattarsi alla ruota di scorta nel bagagliaio.</v>
      </c>
    </row>
    <row r="13146">
      <c r="A13146" s="4" t="s">
        <v>16539</v>
      </c>
      <c r="B13146" s="4" t="s">
        <v>16543</v>
      </c>
      <c r="C13146" s="5" t="str">
        <f>IFERROR(__xludf.DUMMYFUNCTION("GOOGLETRANSLATE(B13146,""en"",""it"")"),"Mette la copertura sul pneumatico all'interno del bagagliaio.")</f>
        <v>Mette la copertura sul pneumatico all'interno del bagagliaio.</v>
      </c>
    </row>
    <row r="13147">
      <c r="A13147" s="4" t="s">
        <v>16544</v>
      </c>
      <c r="B13147" s="6" t="s">
        <v>16545</v>
      </c>
      <c r="C13147" s="5" t="str">
        <f>IFERROR(__xludf.DUMMYFUNCTION("GOOGLETRANSLATE(B13147,""en"",""it"")"),"Ci sono molti bambini che vanno dai più piccoli agli adolescenti che si divertono a una festa di compleanno nel cortile.")</f>
        <v>Ci sono molti bambini che vanno dai più piccoli agli adolescenti che si divertono a una festa di compleanno nel cortile.</v>
      </c>
    </row>
    <row r="13148">
      <c r="A13148" s="4" t="s">
        <v>16544</v>
      </c>
      <c r="B13148" s="4" t="s">
        <v>16546</v>
      </c>
      <c r="C13148" s="5" t="str">
        <f>IFERROR(__xludf.DUMMYFUNCTION("GOOGLETRANSLATE(B13148,""en"",""it"")"),"C'è una principessa Disney Piñata appesa a un albero.")</f>
        <v>C'è una principessa Disney Piñata appesa a un albero.</v>
      </c>
    </row>
    <row r="13149">
      <c r="A13149" s="4" t="s">
        <v>16544</v>
      </c>
      <c r="B13149" s="4" t="s">
        <v>16547</v>
      </c>
      <c r="C13149" s="5" t="str">
        <f>IFERROR(__xludf.DUMMYFUNCTION("GOOGLETRANSLATE(B13149,""en"",""it"")"),"I bambini si divertono a colpire la Piñata con un bastone blu.")</f>
        <v>I bambini si divertono a colpire la Piñata con un bastone blu.</v>
      </c>
    </row>
    <row r="13150">
      <c r="A13150" s="4" t="s">
        <v>16544</v>
      </c>
      <c r="B13150" s="4" t="s">
        <v>16548</v>
      </c>
      <c r="C13150" s="5" t="str">
        <f>IFERROR(__xludf.DUMMYFUNCTION("GOOGLETRANSLATE(B13150,""en"",""it"")"),"I bambini si alternano per colpire la Piñata.")</f>
        <v>I bambini si alternano per colpire la Piñata.</v>
      </c>
    </row>
    <row r="13151">
      <c r="A13151" s="4" t="s">
        <v>16544</v>
      </c>
      <c r="B13151" s="4" t="s">
        <v>16549</v>
      </c>
      <c r="C13151" s="5" t="str">
        <f>IFERROR(__xludf.DUMMYFUNCTION("GOOGLETRANSLATE(B13151,""en"",""it"")"),"Una bambina vestita con una gonna viola cerca di strappare la piñata colpendola forte con il bastone.")</f>
        <v>Una bambina vestita con una gonna viola cerca di strappare la piñata colpendola forte con il bastone.</v>
      </c>
    </row>
    <row r="13152">
      <c r="A13152" s="4" t="s">
        <v>16550</v>
      </c>
      <c r="B13152" s="4" t="s">
        <v>16551</v>
      </c>
      <c r="C13152" s="5" t="str">
        <f>IFERROR(__xludf.DUMMYFUNCTION("GOOGLETRANSLATE(B13152,""en"",""it"")"),"Un bambino piccolo viene visto in piedi davanti a un tavolo da shuffleboard con un bastone.")</f>
        <v>Un bambino piccolo viene visto in piedi davanti a un tavolo da shuffleboard con un bastone.</v>
      </c>
    </row>
    <row r="13153">
      <c r="A13153" s="4" t="s">
        <v>16550</v>
      </c>
      <c r="B13153" s="4" t="s">
        <v>16552</v>
      </c>
      <c r="C13153" s="5" t="str">
        <f>IFERROR(__xludf.DUMMYFUNCTION("GOOGLETRANSLATE(B13153,""en"",""it"")"),"Il ragazzo quindi spinge il disco attraverso il gioco.")</f>
        <v>Il ragazzo quindi spinge il disco attraverso il gioco.</v>
      </c>
    </row>
    <row r="13154">
      <c r="A13154" s="4" t="s">
        <v>16550</v>
      </c>
      <c r="B13154" s="4" t="s">
        <v>16553</v>
      </c>
      <c r="C13154" s="5" t="str">
        <f>IFERROR(__xludf.DUMMYFUNCTION("GOOGLETRANSLATE(B13154,""en"",""it"")"),"La fotocamera segue i movimenti dei dischi e riporta al ragazzo.")</f>
        <v>La fotocamera segue i movimenti dei dischi e riporta al ragazzo.</v>
      </c>
    </row>
    <row r="13155">
      <c r="A13155" s="4" t="s">
        <v>16554</v>
      </c>
      <c r="B13155" s="4" t="s">
        <v>16555</v>
      </c>
      <c r="C13155" s="5" t="str">
        <f>IFERROR(__xludf.DUMMYFUNCTION("GOOGLETRANSLATE(B13155,""en"",""it"")"),"Un uomo colpisce una palla con una mazza.")</f>
        <v>Un uomo colpisce una palla con una mazza.</v>
      </c>
    </row>
    <row r="13156">
      <c r="A13156" s="4" t="s">
        <v>16554</v>
      </c>
      <c r="B13156" s="4" t="s">
        <v>16556</v>
      </c>
      <c r="C13156" s="5" t="str">
        <f>IFERROR(__xludf.DUMMYFUNCTION("GOOGLETRANSLATE(B13156,""en"",""it"")"),"Tre uomini si trovano su un campo.")</f>
        <v>Tre uomini si trovano su un campo.</v>
      </c>
    </row>
    <row r="13157">
      <c r="A13157" s="4" t="s">
        <v>16554</v>
      </c>
      <c r="B13157" s="4" t="s">
        <v>16557</v>
      </c>
      <c r="C13157" s="5" t="str">
        <f>IFERROR(__xludf.DUMMYFUNCTION("GOOGLETRANSLATE(B13157,""en"",""it"")"),"Un uomo lancia una palla sul campo.")</f>
        <v>Un uomo lancia una palla sul campo.</v>
      </c>
    </row>
    <row r="13158">
      <c r="A13158" s="4" t="s">
        <v>16554</v>
      </c>
      <c r="B13158" s="4" t="s">
        <v>16558</v>
      </c>
      <c r="C13158" s="5" t="str">
        <f>IFERROR(__xludf.DUMMYFUNCTION("GOOGLETRANSLATE(B13158,""en"",""it"")"),"Tre uomini lanciano una moneta.")</f>
        <v>Tre uomini lanciano una moneta.</v>
      </c>
    </row>
    <row r="13159">
      <c r="A13159" s="4" t="s">
        <v>16559</v>
      </c>
      <c r="B13159" s="4" t="s">
        <v>16560</v>
      </c>
      <c r="C13159" s="5" t="str">
        <f>IFERROR(__xludf.DUMMYFUNCTION("GOOGLETRANSLATE(B13159,""en"",""it"")"),"Una persona suona una chitarra acustica.")</f>
        <v>Una persona suona una chitarra acustica.</v>
      </c>
    </row>
    <row r="13160">
      <c r="A13160" s="4" t="s">
        <v>16559</v>
      </c>
      <c r="B13160" s="4" t="s">
        <v>16561</v>
      </c>
      <c r="C13160" s="5" t="str">
        <f>IFERROR(__xludf.DUMMYFUNCTION("GOOGLETRANSLATE(B13160,""en"",""it"")"),"C'è un albero di Natale dietro di lui.")</f>
        <v>C'è un albero di Natale dietro di lui.</v>
      </c>
    </row>
    <row r="13161">
      <c r="A13161" s="4" t="s">
        <v>16559</v>
      </c>
      <c r="B13161" s="4" t="s">
        <v>16562</v>
      </c>
      <c r="C13161" s="5" t="str">
        <f>IFERROR(__xludf.DUMMYFUNCTION("GOOGLETRANSLATE(B13161,""en"",""it"")"),"Un logo con le parole arriva sullo schermo.")</f>
        <v>Un logo con le parole arriva sullo schermo.</v>
      </c>
    </row>
    <row r="13162">
      <c r="A13162" s="4" t="s">
        <v>16563</v>
      </c>
      <c r="B13162" s="4" t="s">
        <v>16564</v>
      </c>
      <c r="C13162" s="5" t="str">
        <f>IFERROR(__xludf.DUMMYFUNCTION("GOOGLETRANSLATE(B13162,""en"",""it"")"),"Sono viste diverse viste intorno a una città.")</f>
        <v>Sono viste diverse viste intorno a una città.</v>
      </c>
    </row>
    <row r="13163">
      <c r="A13163" s="4" t="s">
        <v>16563</v>
      </c>
      <c r="B13163" s="4" t="s">
        <v>16565</v>
      </c>
      <c r="C13163" s="5" t="str">
        <f>IFERROR(__xludf.DUMMYFUNCTION("GOOGLETRANSLATE(B13163,""en"",""it"")"),"Una grande folla è vista incoraggiare all'interno di un grande auditorium.")</f>
        <v>Una grande folla è vista incoraggiare all'interno di un grande auditorium.</v>
      </c>
    </row>
    <row r="13164">
      <c r="A13164" s="4" t="s">
        <v>16563</v>
      </c>
      <c r="B13164" s="6" t="s">
        <v>16566</v>
      </c>
      <c r="C13164" s="5" t="str">
        <f>IFERROR(__xludf.DUMMYFUNCTION("GOOGLETRANSLATE(B13164,""en"",""it"")"),"Gli atleti camminano insieme attraverso un corridoio, quindi si trovano sui tronchi e li attraversano in una competizione.")</f>
        <v>Gli atleti camminano insieme attraverso un corridoio, quindi si trovano sui tronchi e li attraversano in una competizione.</v>
      </c>
    </row>
    <row r="13165">
      <c r="A13165" s="4" t="s">
        <v>16563</v>
      </c>
      <c r="B13165" s="6" t="s">
        <v>16567</v>
      </c>
      <c r="C13165" s="5" t="str">
        <f>IFERROR(__xludf.DUMMYFUNCTION("GOOGLETRANSLATE(B13165,""en"",""it"")"),"Due atleti camminano attraverso indossare maglie verdi e arancioni, quindi hanno visto grandi tronchi in una competizione.")</f>
        <v>Due atleti camminano attraverso indossare maglie verdi e arancioni, quindi hanno visto grandi tronchi in una competizione.</v>
      </c>
    </row>
    <row r="13166">
      <c r="A13166" s="4" t="s">
        <v>16563</v>
      </c>
      <c r="B13166" s="4" t="s">
        <v>16568</v>
      </c>
      <c r="C13166" s="5" t="str">
        <f>IFERROR(__xludf.DUMMYFUNCTION("GOOGLETRANSLATE(B13166,""en"",""it"")"),"Il giudice ispeziona il registro e dichiara un vincitore alla gioia della folla.")</f>
        <v>Il giudice ispeziona il registro e dichiara un vincitore alla gioia della folla.</v>
      </c>
    </row>
    <row r="13167">
      <c r="A13167" s="4" t="s">
        <v>16563</v>
      </c>
      <c r="B13167" s="4" t="s">
        <v>16569</v>
      </c>
      <c r="C13167" s="5" t="str">
        <f>IFERROR(__xludf.DUMMYFUNCTION("GOOGLETRANSLATE(B13167,""en"",""it"")"),"Due atleti camminano attraverso un corridoio, quindi tagliano un tronco verticale in una competizione.")</f>
        <v>Due atleti camminano attraverso un corridoio, quindi tagliano un tronco verticale in una competizione.</v>
      </c>
    </row>
    <row r="13168">
      <c r="A13168" s="4" t="s">
        <v>16563</v>
      </c>
      <c r="B13168" s="4" t="s">
        <v>16570</v>
      </c>
      <c r="C13168" s="5" t="str">
        <f>IFERROR(__xludf.DUMMYFUNCTION("GOOGLETRANSLATE(B13168,""en"",""it"")"),"Le cheerleader entrano attraverso un corridoio, quindi ballano sul palco.")</f>
        <v>Le cheerleader entrano attraverso un corridoio, quindi ballano sul palco.</v>
      </c>
    </row>
    <row r="13169">
      <c r="A13169" s="4" t="s">
        <v>16563</v>
      </c>
      <c r="B13169" s="4" t="s">
        <v>16571</v>
      </c>
      <c r="C13169" s="5" t="str">
        <f>IFERROR(__xludf.DUMMYFUNCTION("GOOGLETRANSLATE(B13169,""en"",""it"")"),"Due atleti entrano attraverso un corridoio, quindi usano una sega a mano per tagliare un tronco.")</f>
        <v>Due atleti entrano attraverso un corridoio, quindi usano una sega a mano per tagliare un tronco.</v>
      </c>
    </row>
    <row r="13170">
      <c r="A13170" s="4" t="s">
        <v>16563</v>
      </c>
      <c r="B13170" s="6" t="s">
        <v>16572</v>
      </c>
      <c r="C13170" s="5" t="str">
        <f>IFERROR(__xludf.DUMMYFUNCTION("GOOGLETRANSLATE(B13170,""en"",""it"")"),"Due atleti entrano attraverso un corridoio, quindi mettono le assi in un tronco per stare su mentre lo tagliano.")</f>
        <v>Due atleti entrano attraverso un corridoio, quindi mettono le assi in un tronco per stare su mentre lo tagliano.</v>
      </c>
    </row>
    <row r="13171">
      <c r="A13171" s="4" t="s">
        <v>16563</v>
      </c>
      <c r="B13171" s="6" t="s">
        <v>16573</v>
      </c>
      <c r="C13171" s="5" t="str">
        <f>IFERROR(__xludf.DUMMYFUNCTION("GOOGLETRANSLATE(B13171,""en"",""it"")"),"Gli atleti competono in una competizione di motoseghe e hanno visto grandi tronchi prima di congratularsi a vicenda.")</f>
        <v>Gli atleti competono in una competizione di motoseghe e hanno visto grandi tronchi prima di congratularsi a vicenda.</v>
      </c>
    </row>
    <row r="13172">
      <c r="A13172" s="4" t="s">
        <v>16563</v>
      </c>
      <c r="B13172" s="4" t="s">
        <v>16574</v>
      </c>
      <c r="C13172" s="5" t="str">
        <f>IFERROR(__xludf.DUMMYFUNCTION("GOOGLETRANSLATE(B13172,""en"",""it"")"),"Il vincitore è visto tenere un trofeo insieme ai corridori e la folla applaude.")</f>
        <v>Il vincitore è visto tenere un trofeo insieme ai corridori e la folla applaude.</v>
      </c>
    </row>
    <row r="13173">
      <c r="A13173" s="4" t="s">
        <v>16575</v>
      </c>
      <c r="B13173" s="4" t="s">
        <v>16576</v>
      </c>
      <c r="C13173" s="5" t="str">
        <f>IFERROR(__xludf.DUMMYFUNCTION("GOOGLETRANSLATE(B13173,""en"",""it"")"),"Queste 2 squadre diverse stanno correndo sul campo perché giocano a Shinty.")</f>
        <v>Queste 2 squadre diverse stanno correndo sul campo perché giocano a Shinty.</v>
      </c>
    </row>
    <row r="13174">
      <c r="A13174" s="4" t="s">
        <v>16575</v>
      </c>
      <c r="B13174" s="6" t="s">
        <v>16577</v>
      </c>
      <c r="C13174" s="5" t="str">
        <f>IFERROR(__xludf.DUMMYFUNCTION("GOOGLETRANSLATE(B13174,""en"",""it"")"),"Solo la metà della folla è piena di persone, mentre l'altra parte è vuota senza nessuno lì per guardare nulla.")</f>
        <v>Solo la metà della folla è piena di persone, mentre l'altra parte è vuota senza nessuno lì per guardare nulla.</v>
      </c>
    </row>
    <row r="13175">
      <c r="A13175" s="4" t="s">
        <v>16575</v>
      </c>
      <c r="B13175" s="4" t="s">
        <v>16578</v>
      </c>
      <c r="C13175" s="5" t="str">
        <f>IFERROR(__xludf.DUMMYFUNCTION("GOOGLETRANSLATE(B13175,""en"",""it"")"),"Alla fine, qualcuno vince e le persone nella folla applauvano e esultano.")</f>
        <v>Alla fine, qualcuno vince e le persone nella folla applauvano e esultano.</v>
      </c>
    </row>
    <row r="13176">
      <c r="A13176" s="4" t="s">
        <v>16579</v>
      </c>
      <c r="B13176" s="4" t="s">
        <v>16580</v>
      </c>
      <c r="C13176" s="5" t="str">
        <f>IFERROR(__xludf.DUMMYFUNCTION("GOOGLETRANSLATE(B13176,""en"",""it"")"),"Un uomo è seduto con una chitarra elettrica.")</f>
        <v>Un uomo è seduto con una chitarra elettrica.</v>
      </c>
    </row>
    <row r="13177">
      <c r="A13177" s="4" t="s">
        <v>16579</v>
      </c>
      <c r="B13177" s="4" t="s">
        <v>16581</v>
      </c>
      <c r="C13177" s="5" t="str">
        <f>IFERROR(__xludf.DUMMYFUNCTION("GOOGLETRANSLATE(B13177,""en"",""it"")"),"Sta parlando alla telecamera, poi inizia a giocare.")</f>
        <v>Sta parlando alla telecamera, poi inizia a giocare.</v>
      </c>
    </row>
    <row r="13178">
      <c r="A13178" s="4" t="s">
        <v>16579</v>
      </c>
      <c r="B13178" s="4" t="s">
        <v>16582</v>
      </c>
      <c r="C13178" s="5" t="str">
        <f>IFERROR(__xludf.DUMMYFUNCTION("GOOGLETRANSLATE(B13178,""en"",""it"")"),"Un altro uomo suona gli accordi su un tavolo.")</f>
        <v>Un altro uomo suona gli accordi su un tavolo.</v>
      </c>
    </row>
    <row r="13179">
      <c r="A13179" s="4" t="s">
        <v>16583</v>
      </c>
      <c r="B13179" s="4" t="s">
        <v>16584</v>
      </c>
      <c r="C13179" s="5" t="str">
        <f>IFERROR(__xludf.DUMMYFUNCTION("GOOGLETRANSLATE(B13179,""en"",""it"")"),"Una donna con un cappello e un giubbotto compra un carrello.")</f>
        <v>Una donna con un cappello e un giubbotto compra un carrello.</v>
      </c>
    </row>
    <row r="13180">
      <c r="A13180" s="4" t="s">
        <v>16583</v>
      </c>
      <c r="B13180" s="4" t="s">
        <v>16585</v>
      </c>
      <c r="C13180" s="5" t="str">
        <f>IFERROR(__xludf.DUMMYFUNCTION("GOOGLETRANSLATE(B13180,""en"",""it"")"),"Sta all'uncinetto qualcosa in bianco e nero.")</f>
        <v>Sta all'uncinetto qualcosa in bianco e nero.</v>
      </c>
    </row>
    <row r="13181">
      <c r="A13181" s="4" t="s">
        <v>16583</v>
      </c>
      <c r="B13181" s="4" t="s">
        <v>16586</v>
      </c>
      <c r="C13181" s="5" t="str">
        <f>IFERROR(__xludf.DUMMYFUNCTION("GOOGLETRANSLATE(B13181,""en"",""it"")"),"Un'auto guida vicino al carrello.")</f>
        <v>Un'auto guida vicino al carrello.</v>
      </c>
    </row>
    <row r="13182">
      <c r="A13182" s="4" t="s">
        <v>16583</v>
      </c>
      <c r="B13182" s="4" t="s">
        <v>16587</v>
      </c>
      <c r="C13182" s="5" t="str">
        <f>IFERROR(__xludf.DUMMYFUNCTION("GOOGLETRANSLATE(B13182,""en"",""it"")"),"Un'altra persona raggiunge la macchina.")</f>
        <v>Un'altra persona raggiunge la macchina.</v>
      </c>
    </row>
    <row r="13183">
      <c r="A13183" s="4" t="s">
        <v>16588</v>
      </c>
      <c r="B13183" s="4" t="s">
        <v>16589</v>
      </c>
      <c r="C13183" s="5" t="str">
        <f>IFERROR(__xludf.DUMMYFUNCTION("GOOGLETRANSLATE(B13183,""en"",""it"")"),"Una persona che indossa un cappello non è un divano.")</f>
        <v>Una persona che indossa un cappello non è un divano.</v>
      </c>
    </row>
    <row r="13184">
      <c r="A13184" s="4" t="s">
        <v>16588</v>
      </c>
      <c r="B13184" s="4" t="s">
        <v>16590</v>
      </c>
      <c r="C13184" s="5" t="str">
        <f>IFERROR(__xludf.DUMMYFUNCTION("GOOGLETRANSLATE(B13184,""en"",""it"")"),"Cominciano a suonare una fisarmonica.")</f>
        <v>Cominciano a suonare una fisarmonica.</v>
      </c>
    </row>
    <row r="13185">
      <c r="A13185" s="4" t="s">
        <v>16588</v>
      </c>
      <c r="B13185" s="4" t="s">
        <v>16591</v>
      </c>
      <c r="C13185" s="5" t="str">
        <f>IFERROR(__xludf.DUMMYFUNCTION("GOOGLETRANSLATE(B13185,""en"",""it"")"),"Stanno puntando i pulsanti sulla fisarmonica con un cacciavite.")</f>
        <v>Stanno puntando i pulsanti sulla fisarmonica con un cacciavite.</v>
      </c>
    </row>
    <row r="13186">
      <c r="A13186" s="4" t="s">
        <v>16592</v>
      </c>
      <c r="B13186" s="6" t="s">
        <v>16593</v>
      </c>
      <c r="C13186" s="5" t="str">
        <f>IFERROR(__xludf.DUMMYFUNCTION("GOOGLETRANSLATE(B13186,""en"",""it"")"),"Una ginnasta viene vista oscillare su un bar facendo vari lanci e trucchi su due serie di travi.")</f>
        <v>Una ginnasta viene vista oscillare su un bar facendo vari lanci e trucchi su due serie di travi.</v>
      </c>
    </row>
    <row r="13187">
      <c r="A13187" s="4" t="s">
        <v>16592</v>
      </c>
      <c r="B13187" s="4" t="s">
        <v>16594</v>
      </c>
      <c r="C13187" s="5" t="str">
        <f>IFERROR(__xludf.DUMMYFUNCTION("GOOGLETRANSLATE(B13187,""en"",""it"")"),"Continua a girare in giro e finisce con le mani su e il suo allenatore applaude.")</f>
        <v>Continua a girare in giro e finisce con le mani su e il suo allenatore applaude.</v>
      </c>
    </row>
    <row r="13188">
      <c r="A13188" s="4" t="s">
        <v>16592</v>
      </c>
      <c r="B13188" s="4" t="s">
        <v>16595</v>
      </c>
      <c r="C13188" s="5" t="str">
        <f>IFERROR(__xludf.DUMMYFUNCTION("GOOGLETRANSLATE(B13188,""en"",""it"")"),"La gente guarda dai lati e i suoi punteggi sono mostrati alla fine.")</f>
        <v>La gente guarda dai lati e i suoi punteggi sono mostrati alla fine.</v>
      </c>
    </row>
    <row r="13189">
      <c r="A13189" s="4" t="s">
        <v>16596</v>
      </c>
      <c r="B13189" s="6" t="s">
        <v>16597</v>
      </c>
      <c r="C13189" s="5" t="str">
        <f>IFERROR(__xludf.DUMMYFUNCTION("GOOGLETRANSLATE(B13189,""en"",""it"")"),"Ci sono due studenti delle scuole superiori nella mensa delle scuole superiori in piedi accanto a un tavolo in cui alcuni studenti sono seduti.")</f>
        <v>Ci sono due studenti delle scuole superiori nella mensa delle scuole superiori in piedi accanto a un tavolo in cui alcuni studenti sono seduti.</v>
      </c>
    </row>
    <row r="13190">
      <c r="A13190" s="4" t="s">
        <v>16596</v>
      </c>
      <c r="B13190" s="6" t="s">
        <v>16598</v>
      </c>
      <c r="C13190" s="5" t="str">
        <f>IFERROR(__xludf.DUMMYFUNCTION("GOOGLETRANSLATE(B13190,""en"",""it"")"),"Uno degli studenti si spoglia e sta cambiando i suoi pantaloncini mentre l'altro studente in una camicia rossa lo sta guardando.")</f>
        <v>Uno degli studenti si spoglia e sta cambiando i suoi pantaloncini mentre l'altro studente in una camicia rossa lo sta guardando.</v>
      </c>
    </row>
    <row r="13191">
      <c r="A13191" s="4" t="s">
        <v>16596</v>
      </c>
      <c r="B13191" s="4" t="s">
        <v>16599</v>
      </c>
      <c r="C13191" s="5" t="str">
        <f>IFERROR(__xludf.DUMMYFUNCTION("GOOGLETRANSLATE(B13191,""en"",""it"")"),"Dopo che lo studente finisce di cambiare, il ragazzo con la camicia rossa lo prende in giro.")</f>
        <v>Dopo che lo studente finisce di cambiare, il ragazzo con la camicia rossa lo prende in giro.</v>
      </c>
    </row>
    <row r="13192">
      <c r="A13192" s="4" t="s">
        <v>16596</v>
      </c>
      <c r="B13192" s="6" t="s">
        <v>16600</v>
      </c>
      <c r="C13192" s="5" t="str">
        <f>IFERROR(__xludf.DUMMYFUNCTION("GOOGLETRANSLATE(B13192,""en"",""it"")"),"Lo studente viene provocato e colpisce il ragazzo con la camicia rossa sul viso, facendolo cadere a terra sulla testa.")</f>
        <v>Lo studente viene provocato e colpisce il ragazzo con la camicia rossa sul viso, facendolo cadere a terra sulla testa.</v>
      </c>
    </row>
    <row r="13193">
      <c r="A13193" s="4" t="s">
        <v>16601</v>
      </c>
      <c r="B13193" s="4" t="s">
        <v>16602</v>
      </c>
      <c r="C13193" s="5" t="str">
        <f>IFERROR(__xludf.DUMMYFUNCTION("GOOGLETRANSLATE(B13193,""en"",""it"")"),"Una donna cammina attorno a un palco con un sassofono.")</f>
        <v>Una donna cammina attorno a un palco con un sassofono.</v>
      </c>
    </row>
    <row r="13194">
      <c r="A13194" s="4" t="s">
        <v>16601</v>
      </c>
      <c r="B13194" s="4" t="s">
        <v>16603</v>
      </c>
      <c r="C13194" s="5" t="str">
        <f>IFERROR(__xludf.DUMMYFUNCTION("GOOGLETRANSLATE(B13194,""en"",""it"")"),"Comincia a suonare il sassofono mentre balla.")</f>
        <v>Comincia a suonare il sassofono mentre balla.</v>
      </c>
    </row>
    <row r="13195">
      <c r="A13195" s="4" t="s">
        <v>16601</v>
      </c>
      <c r="B13195" s="4" t="s">
        <v>16604</v>
      </c>
      <c r="C13195" s="5" t="str">
        <f>IFERROR(__xludf.DUMMYFUNCTION("GOOGLETRANSLATE(B13195,""en"",""it"")"),"Si ferma e parla di nuovo con la folla.")</f>
        <v>Si ferma e parla di nuovo con la folla.</v>
      </c>
    </row>
    <row r="13196">
      <c r="A13196" s="4" t="s">
        <v>16601</v>
      </c>
      <c r="B13196" s="4" t="s">
        <v>16605</v>
      </c>
      <c r="C13196" s="5" t="str">
        <f>IFERROR(__xludf.DUMMYFUNCTION("GOOGLETRANSLATE(B13196,""en"",""it"")"),"Comincia a suonare e ballare di nuovo.")</f>
        <v>Comincia a suonare e ballare di nuovo.</v>
      </c>
    </row>
    <row r="13197">
      <c r="A13197" s="4" t="s">
        <v>16606</v>
      </c>
      <c r="B13197" s="4" t="s">
        <v>16607</v>
      </c>
      <c r="C13197" s="5" t="str">
        <f>IFERROR(__xludf.DUMMYFUNCTION("GOOGLETRANSLATE(B13197,""en"",""it"")"),"Un uomo viene visto seduto davanti a un tavolo con un cubo Rubix su di esso e le sue mani su una piattaforma.")</f>
        <v>Un uomo viene visto seduto davanti a un tavolo con un cubo Rubix su di esso e le sue mani su una piattaforma.</v>
      </c>
    </row>
    <row r="13198">
      <c r="A13198" s="4" t="s">
        <v>16606</v>
      </c>
      <c r="B13198" s="4" t="s">
        <v>16608</v>
      </c>
      <c r="C13198" s="5" t="str">
        <f>IFERROR(__xludf.DUMMYFUNCTION("GOOGLETRANSLATE(B13198,""en"",""it"")"),"Quindi risolve il cubo Rubix in pochi secondi e mostra il suo tempo alla telecamera.")</f>
        <v>Quindi risolve il cubo Rubix in pochi secondi e mostra il suo tempo alla telecamera.</v>
      </c>
    </row>
    <row r="13199">
      <c r="A13199" s="4" t="s">
        <v>16609</v>
      </c>
      <c r="B13199" s="4" t="s">
        <v>16610</v>
      </c>
      <c r="C13199" s="5" t="str">
        <f>IFERROR(__xludf.DUMMYFUNCTION("GOOGLETRANSLATE(B13199,""en"",""it"")"),"Questa ragazza sta facendo un video su come rendere le tue scarpe bianche pulite luccicanti.")</f>
        <v>Questa ragazza sta facendo un video su come rendere le tue scarpe bianche pulite luccicanti.</v>
      </c>
    </row>
    <row r="13200">
      <c r="A13200" s="4" t="s">
        <v>16609</v>
      </c>
      <c r="B13200" s="6" t="s">
        <v>16611</v>
      </c>
      <c r="C13200" s="5" t="str">
        <f>IFERROR(__xludf.DUMMYFUNCTION("GOOGLETRANSLATE(B13200,""en"",""it"")"),"Avrai bisogno di uno spazzolino da denti, in polvere per bambini, una tazza di vetro o una ciotola, candeggina e tips, pompino e acqua.")</f>
        <v>Avrai bisogno di uno spazzolino da denti, in polvere per bambini, una tazza di vetro o una ciotola, candeggina e tips, pompino e acqua.</v>
      </c>
    </row>
    <row r="13201">
      <c r="A13201" s="4" t="s">
        <v>16609</v>
      </c>
      <c r="B13201" s="6" t="s">
        <v>16612</v>
      </c>
      <c r="C13201" s="5" t="str">
        <f>IFERROR(__xludf.DUMMYFUNCTION("GOOGLETRANSLATE(B13201,""en"",""it"")"),"Per prima cosa aggiunge che l'acqua versa un po 'di polvere per bambini nella piccola ciotola e la mescola usando lo spazzolino da denti.")</f>
        <v>Per prima cosa aggiunge che l'acqua versa un po 'di polvere per bambini nella piccola ciotola e la mescola usando lo spazzolino da denti.</v>
      </c>
    </row>
    <row r="13202">
      <c r="A13202" s="4" t="s">
        <v>16609</v>
      </c>
      <c r="B13202" s="4" t="s">
        <v>16613</v>
      </c>
      <c r="C13202" s="5" t="str">
        <f>IFERROR(__xludf.DUMMYFUNCTION("GOOGLETRANSLATE(B13202,""en"",""it"")"),"Mette lo spazzolino da denti imbevuto in polvere sulla scarpa e inizia a strofinarlo lì.")</f>
        <v>Mette lo spazzolino da denti imbevuto in polvere sulla scarpa e inizia a strofinarlo lì.</v>
      </c>
    </row>
    <row r="13203">
      <c r="A13203" s="4" t="s">
        <v>16609</v>
      </c>
      <c r="B13203" s="4" t="s">
        <v>16614</v>
      </c>
      <c r="C13203" s="5" t="str">
        <f>IFERROR(__xludf.DUMMYFUNCTION("GOOGLETRANSLATE(B13203,""en"",""it"")"),"Quindi afferra il colposo e colpisce la scarpa e li strofina di nuovo.")</f>
        <v>Quindi afferra il colposo e colpisce la scarpa e li strofina di nuovo.</v>
      </c>
    </row>
    <row r="13204">
      <c r="A13204" s="4" t="s">
        <v>16609</v>
      </c>
      <c r="B13204" s="6" t="s">
        <v>16615</v>
      </c>
      <c r="C13204" s="5" t="str">
        <f>IFERROR(__xludf.DUMMYFUNCTION("GOOGLETRANSLATE(B13204,""en"",""it"")"),"Quindi versa candeggina nella piccola ciotola che contiene la polvere e mette lo spazzolino nella ciotola e lo strofina di nuovo sulla scarpa.")</f>
        <v>Quindi versa candeggina nella piccola ciotola che contiene la polvere e mette lo spazzolino nella ciotola e lo strofina di nuovo sulla scarpa.</v>
      </c>
    </row>
    <row r="13205">
      <c r="A13205" s="4" t="s">
        <v>16609</v>
      </c>
      <c r="B13205" s="4" t="s">
        <v>16616</v>
      </c>
      <c r="C13205" s="5" t="str">
        <f>IFERROR(__xludf.DUMMYFUNCTION("GOOGLETRANSLATE(B13205,""en"",""it"")"),"Alla fine bagna un panno con acqua e si asciuga la scarpa.")</f>
        <v>Alla fine bagna un panno con acqua e si asciuga la scarpa.</v>
      </c>
    </row>
    <row r="13206">
      <c r="A13206" s="4" t="s">
        <v>16617</v>
      </c>
      <c r="B13206" s="4" t="s">
        <v>16618</v>
      </c>
      <c r="C13206" s="5" t="str">
        <f>IFERROR(__xludf.DUMMYFUNCTION("GOOGLETRANSLATE(B13206,""en"",""it"")"),"Un uomo e una donna sono il braccio che lottano su un tavolo.")</f>
        <v>Un uomo e una donna sono il braccio che lottano su un tavolo.</v>
      </c>
    </row>
    <row r="13207">
      <c r="A13207" s="4" t="s">
        <v>16617</v>
      </c>
      <c r="B13207" s="4" t="s">
        <v>16619</v>
      </c>
      <c r="C13207" s="5" t="str">
        <f>IFERROR(__xludf.DUMMYFUNCTION("GOOGLETRANSLATE(B13207,""en"",""it"")"),"Una donna in una camicia bianca passa davanti a loro.")</f>
        <v>Una donna in una camicia bianca passa davanti a loro.</v>
      </c>
    </row>
    <row r="13208">
      <c r="A13208" s="4" t="s">
        <v>16617</v>
      </c>
      <c r="B13208" s="4" t="s">
        <v>16620</v>
      </c>
      <c r="C13208" s="5" t="str">
        <f>IFERROR(__xludf.DUMMYFUNCTION("GOOGLETRANSLATE(B13208,""en"",""it"")"),"La donna vince e se ne va.")</f>
        <v>La donna vince e se ne va.</v>
      </c>
    </row>
    <row r="13209">
      <c r="A13209" s="4" t="s">
        <v>16621</v>
      </c>
      <c r="B13209" s="4" t="s">
        <v>16622</v>
      </c>
      <c r="C13209" s="5" t="str">
        <f>IFERROR(__xludf.DUMMYFUNCTION("GOOGLETRANSLATE(B13209,""en"",""it"")"),"Un artista penetrante rimuove un tessuto dal naso di una donna e si asciuga parte del naso.")</f>
        <v>Un artista penetrante rimuove un tessuto dal naso di una donna e si asciuga parte del naso.</v>
      </c>
    </row>
    <row r="13210">
      <c r="A13210" s="4" t="s">
        <v>16621</v>
      </c>
      <c r="B13210" s="4" t="s">
        <v>16623</v>
      </c>
      <c r="C13210" s="5" t="str">
        <f>IFERROR(__xludf.DUMMYFUNCTION("GOOGLETRANSLATE(B13210,""en"",""it"")"),"La donna tiene le pinze perforate contro il naso di una donna.")</f>
        <v>La donna tiene le pinze perforate contro il naso di una donna.</v>
      </c>
    </row>
    <row r="13211">
      <c r="A13211" s="4" t="s">
        <v>16621</v>
      </c>
      <c r="B13211" s="4" t="s">
        <v>16624</v>
      </c>
      <c r="C13211" s="5" t="str">
        <f>IFERROR(__xludf.DUMMYFUNCTION("GOOGLETRANSLATE(B13211,""en"",""it"")"),"Perfora un ago attraverso il naso e tiene le pinze in posizione.")</f>
        <v>Perfora un ago attraverso il naso e tiene le pinze in posizione.</v>
      </c>
    </row>
    <row r="13212">
      <c r="A13212" s="4" t="s">
        <v>16621</v>
      </c>
      <c r="B13212" s="4" t="s">
        <v>16625</v>
      </c>
      <c r="C13212" s="5" t="str">
        <f>IFERROR(__xludf.DUMMYFUNCTION("GOOGLETRANSLATE(B13212,""en"",""it"")"),"Rimuove le pinze dal naso della donna.")</f>
        <v>Rimuove le pinze dal naso della donna.</v>
      </c>
    </row>
    <row r="13213">
      <c r="A13213" s="4" t="s">
        <v>16621</v>
      </c>
      <c r="B13213" s="4" t="s">
        <v>16626</v>
      </c>
      <c r="C13213" s="5" t="str">
        <f>IFERROR(__xludf.DUMMYFUNCTION("GOOGLETRANSLATE(B13213,""en"",""it"")"),"La donna seduta parla.")</f>
        <v>La donna seduta parla.</v>
      </c>
    </row>
    <row r="13214">
      <c r="A13214" s="4" t="s">
        <v>16621</v>
      </c>
      <c r="B13214" s="4" t="s">
        <v>16627</v>
      </c>
      <c r="C13214" s="5" t="str">
        <f>IFERROR(__xludf.DUMMYFUNCTION("GOOGLETRANSLATE(B13214,""en"",""it"")"),"L'artista penetrante tocca l'ago e il naso mentre avvita un anello del naso.")</f>
        <v>L'artista penetrante tocca l'ago e il naso mentre avvita un anello del naso.</v>
      </c>
    </row>
    <row r="13215">
      <c r="A13215" s="4" t="s">
        <v>16621</v>
      </c>
      <c r="B13215" s="4" t="s">
        <v>16628</v>
      </c>
      <c r="C13215" s="5" t="str">
        <f>IFERROR(__xludf.DUMMYFUNCTION("GOOGLETRANSLATE(B13215,""en"",""it"")"),"Gli artisti penetranti organizzano il piercing all'interno del naso con alcune pinze.")</f>
        <v>Gli artisti penetranti organizzano il piercing all'interno del naso con alcune pinze.</v>
      </c>
    </row>
    <row r="13216">
      <c r="A13216" s="4" t="s">
        <v>16621</v>
      </c>
      <c r="B13216" s="4" t="s">
        <v>16629</v>
      </c>
      <c r="C13216" s="5" t="str">
        <f>IFERROR(__xludf.DUMMYFUNCTION("GOOGLETRANSLATE(B13216,""en"",""it"")"),"L'artista penetrante tocca il piercing.")</f>
        <v>L'artista penetrante tocca il piercing.</v>
      </c>
    </row>
    <row r="13217">
      <c r="A13217" s="4" t="s">
        <v>16621</v>
      </c>
      <c r="B13217" s="4" t="s">
        <v>16630</v>
      </c>
      <c r="C13217" s="5" t="str">
        <f>IFERROR(__xludf.DUMMYFUNCTION("GOOGLETRANSLATE(B13217,""en"",""it"")"),"Gli artisti penetranti usano un tessuto per raccogliere sangue attorno al piercing.")</f>
        <v>Gli artisti penetranti usano un tessuto per raccogliere sangue attorno al piercing.</v>
      </c>
    </row>
    <row r="13218">
      <c r="A13218" s="4" t="s">
        <v>16621</v>
      </c>
      <c r="B13218" s="4" t="s">
        <v>16631</v>
      </c>
      <c r="C13218" s="5" t="str">
        <f>IFERROR(__xludf.DUMMYFUNCTION("GOOGLETRANSLATE(B13218,""en"",""it"")"),"Una collezione di opere d'arte si vede sul muro.")</f>
        <v>Una collezione di opere d'arte si vede sul muro.</v>
      </c>
    </row>
    <row r="13219">
      <c r="A13219" s="4" t="s">
        <v>16621</v>
      </c>
      <c r="B13219" s="4" t="s">
        <v>16632</v>
      </c>
      <c r="C13219" s="5" t="str">
        <f>IFERROR(__xludf.DUMMYFUNCTION("GOOGLETRANSLATE(B13219,""en"",""it"")"),"L'artista penetrante usa continuamente un tessuto per asciugare il sangue dal naso della donna.")</f>
        <v>L'artista penetrante usa continuamente un tessuto per asciugare il sangue dal naso della donna.</v>
      </c>
    </row>
    <row r="13220">
      <c r="A13220" s="4" t="s">
        <v>16621</v>
      </c>
      <c r="B13220" s="4" t="s">
        <v>16633</v>
      </c>
      <c r="C13220" s="5" t="str">
        <f>IFERROR(__xludf.DUMMYFUNCTION("GOOGLETRANSLATE(B13220,""en"",""it"")"),"La donna si alza e ondate.")</f>
        <v>La donna si alza e ondate.</v>
      </c>
    </row>
    <row r="13221">
      <c r="A13221" s="4" t="s">
        <v>16634</v>
      </c>
      <c r="B13221" s="4" t="s">
        <v>16635</v>
      </c>
      <c r="C13221" s="5" t="str">
        <f>IFERROR(__xludf.DUMMYFUNCTION("GOOGLETRANSLATE(B13221,""en"",""it"")"),"Vediamo un libro su un tavolo.")</f>
        <v>Vediamo un libro su un tavolo.</v>
      </c>
    </row>
    <row r="13222">
      <c r="A13222" s="4" t="s">
        <v>16634</v>
      </c>
      <c r="B13222" s="4" t="s">
        <v>16636</v>
      </c>
      <c r="C13222" s="5" t="str">
        <f>IFERROR(__xludf.DUMMYFUNCTION("GOOGLETRANSLATE(B13222,""en"",""it"")"),"Vediamo l'immagine nel libro con video di persone a maglia.")</f>
        <v>Vediamo l'immagine nel libro con video di persone a maglia.</v>
      </c>
    </row>
    <row r="13223">
      <c r="A13223" s="4" t="s">
        <v>16634</v>
      </c>
      <c r="B13223" s="4" t="s">
        <v>16637</v>
      </c>
      <c r="C13223" s="5" t="str">
        <f>IFERROR(__xludf.DUMMYFUNCTION("GOOGLETRANSLATE(B13223,""en"",""it"")"),"Vediamo una signora che insegna a due ragazze.")</f>
        <v>Vediamo una signora che insegna a due ragazze.</v>
      </c>
    </row>
    <row r="13224">
      <c r="A13224" s="4" t="s">
        <v>16634</v>
      </c>
      <c r="B13224" s="4" t="s">
        <v>16638</v>
      </c>
      <c r="C13224" s="5" t="str">
        <f>IFERROR(__xludf.DUMMYFUNCTION("GOOGLETRANSLATE(B13224,""en"",""it"")"),"Vediamo un insegnante che insegna a un ragazzo a lavorare a maglia.")</f>
        <v>Vediamo un insegnante che insegna a un ragazzo a lavorare a maglia.</v>
      </c>
    </row>
    <row r="13225">
      <c r="A13225" s="4" t="s">
        <v>16634</v>
      </c>
      <c r="B13225" s="4" t="s">
        <v>16639</v>
      </c>
      <c r="C13225" s="5" t="str">
        <f>IFERROR(__xludf.DUMMYFUNCTION("GOOGLETRANSLATE(B13225,""en"",""it"")"),"Vediamo una signora che insegna a un gruppo di bambini a lavorare a maglia.")</f>
        <v>Vediamo una signora che insegna a un gruppo di bambini a lavorare a maglia.</v>
      </c>
    </row>
    <row r="13226">
      <c r="A13226" s="4" t="s">
        <v>16634</v>
      </c>
      <c r="B13226" s="4" t="s">
        <v>7242</v>
      </c>
      <c r="C13226" s="5" t="str">
        <f>IFERROR(__xludf.DUMMYFUNCTION("GOOGLETRANSLATE(B13226,""en"",""it"")"),"Vediamo quindi lo schermo di chiusura.")</f>
        <v>Vediamo quindi lo schermo di chiusura.</v>
      </c>
    </row>
    <row r="13227">
      <c r="A13227" s="4" t="s">
        <v>16640</v>
      </c>
      <c r="B13227" s="4" t="s">
        <v>16641</v>
      </c>
      <c r="C13227" s="5" t="str">
        <f>IFERROR(__xludf.DUMMYFUNCTION("GOOGLETRANSLATE(B13227,""en"",""it"")"),"Un gruppo di bambini è in auto paraurti.")</f>
        <v>Un gruppo di bambini è in auto paraurti.</v>
      </c>
    </row>
    <row r="13228">
      <c r="A13228" s="4" t="s">
        <v>16640</v>
      </c>
      <c r="B13228" s="4" t="s">
        <v>16642</v>
      </c>
      <c r="C13228" s="5" t="str">
        <f>IFERROR(__xludf.DUMMYFUNCTION("GOOGLETRANSLATE(B13228,""en"",""it"")"),"Cavalcano, cercando di colpirsi a vicenda.")</f>
        <v>Cavalcano, cercando di colpirsi a vicenda.</v>
      </c>
    </row>
    <row r="13229">
      <c r="A13229" s="4" t="s">
        <v>16640</v>
      </c>
      <c r="B13229" s="4" t="s">
        <v>16643</v>
      </c>
      <c r="C13229" s="5" t="str">
        <f>IFERROR(__xludf.DUMMYFUNCTION("GOOGLETRANSLATE(B13229,""en"",""it"")"),"Si imbattono nelle altre macchine mentre vanno.")</f>
        <v>Si imbattono nelle altre macchine mentre vanno.</v>
      </c>
    </row>
    <row r="13230">
      <c r="A13230" s="4" t="s">
        <v>16644</v>
      </c>
      <c r="B13230" s="4" t="s">
        <v>16645</v>
      </c>
      <c r="C13230" s="5" t="str">
        <f>IFERROR(__xludf.DUMMYFUNCTION("GOOGLETRANSLATE(B13230,""en"",""it"")"),"Un uomo viene visto in piedi in un grande campo che tiene su uno strumento.")</f>
        <v>Un uomo viene visto in piedi in un grande campo che tiene su uno strumento.</v>
      </c>
    </row>
    <row r="13231">
      <c r="A13231" s="4" t="s">
        <v>16644</v>
      </c>
      <c r="B13231" s="4" t="s">
        <v>16646</v>
      </c>
      <c r="C13231" s="5" t="str">
        <f>IFERROR(__xludf.DUMMYFUNCTION("GOOGLETRANSLATE(B13231,""en"",""it"")"),"L'uomo quindi usa lo strumento sull'erba nel carattere rapidamente di lui.")</f>
        <v>L'uomo quindi usa lo strumento sull'erba nel carattere rapidamente di lui.</v>
      </c>
    </row>
    <row r="13232">
      <c r="A13232" s="4" t="s">
        <v>16644</v>
      </c>
      <c r="B13232" s="4" t="s">
        <v>16647</v>
      </c>
      <c r="C13232" s="5" t="str">
        <f>IFERROR(__xludf.DUMMYFUNCTION("GOOGLETRANSLATE(B13232,""en"",""it"")"),"L'uomo continua a tagliare l'erba mentre la telecamera cattura il suo movimento.")</f>
        <v>L'uomo continua a tagliare l'erba mentre la telecamera cattura il suo movimento.</v>
      </c>
    </row>
    <row r="13233">
      <c r="A13233" s="4" t="s">
        <v>16648</v>
      </c>
      <c r="B13233" s="4" t="s">
        <v>16649</v>
      </c>
      <c r="C13233" s="5" t="str">
        <f>IFERROR(__xludf.DUMMYFUNCTION("GOOGLETRANSLATE(B13233,""en"",""it"")"),"Un uomo divide legno duro per l'uso in stufe a legna.")</f>
        <v>Un uomo divide legno duro per l'uso in stufe a legna.</v>
      </c>
    </row>
    <row r="13234">
      <c r="A13234" s="4" t="s">
        <v>16648</v>
      </c>
      <c r="B13234" s="4" t="s">
        <v>16650</v>
      </c>
      <c r="C13234" s="5" t="str">
        <f>IFERROR(__xludf.DUMMYFUNCTION("GOOGLETRANSLATE(B13234,""en"",""it"")"),"Ci sono due tecniche usate, una con un'ascia e una con un martello e un'ascia.")</f>
        <v>Ci sono due tecniche usate, una con un'ascia e una con un martello e un'ascia.</v>
      </c>
    </row>
    <row r="13235">
      <c r="A13235" s="4" t="s">
        <v>16651</v>
      </c>
      <c r="B13235" s="6" t="s">
        <v>16652</v>
      </c>
      <c r="C13235" s="5" t="str">
        <f>IFERROR(__xludf.DUMMYFUNCTION("GOOGLETRANSLATE(B13235,""en"",""it"")"),"Innanzitutto l'uomo mette il suo timer che è attaccato al suo petto e si siede e mette la gamba sullo sci.")</f>
        <v>Innanzitutto l'uomo mette il suo timer che è attaccato al suo petto e si siede e mette la gamba sullo sci.</v>
      </c>
    </row>
    <row r="13236">
      <c r="A13236" s="4" t="s">
        <v>16651</v>
      </c>
      <c r="B13236" s="6" t="s">
        <v>16653</v>
      </c>
      <c r="C13236" s="5" t="str">
        <f>IFERROR(__xludf.DUMMYFUNCTION("GOOGLETRANSLATE(B13236,""en"",""it"")"),"Successivamente si alza mentre si tiene su qualcosa e inizia a sci d'acqua mentre viene tirato dalla barca.")</f>
        <v>Successivamente si alza mentre si tiene su qualcosa e inizia a sci d'acqua mentre viene tirato dalla barca.</v>
      </c>
    </row>
    <row r="13237">
      <c r="A13237" s="4" t="s">
        <v>16651</v>
      </c>
      <c r="B13237" s="4" t="s">
        <v>16654</v>
      </c>
      <c r="C13237" s="5" t="str">
        <f>IFERROR(__xludf.DUMMYFUNCTION("GOOGLETRANSLATE(B13237,""en"",""it"")"),"Ma alla fine cade e viene visto in piedi in acqua.")</f>
        <v>Ma alla fine cade e viene visto in piedi in acqua.</v>
      </c>
    </row>
    <row r="13238">
      <c r="A13238" s="4" t="s">
        <v>16655</v>
      </c>
      <c r="B13238" s="4" t="s">
        <v>16656</v>
      </c>
      <c r="C13238" s="5" t="str">
        <f>IFERROR(__xludf.DUMMYFUNCTION("GOOGLETRANSLATE(B13238,""en"",""it"")"),"Una donna si esercita in una macchina.")</f>
        <v>Una donna si esercita in una macchina.</v>
      </c>
    </row>
    <row r="13239">
      <c r="A13239" s="4" t="s">
        <v>16655</v>
      </c>
      <c r="B13239" s="4" t="s">
        <v>16657</v>
      </c>
      <c r="C13239" s="5" t="str">
        <f>IFERROR(__xludf.DUMMYFUNCTION("GOOGLETRANSLATE(B13239,""en"",""it"")"),"La fotocamera si concentra e presenta parti specifiche della macchina.")</f>
        <v>La fotocamera si concentra e presenta parti specifiche della macchina.</v>
      </c>
    </row>
    <row r="13240">
      <c r="A13240" s="4" t="s">
        <v>16655</v>
      </c>
      <c r="B13240" s="4" t="s">
        <v>16658</v>
      </c>
      <c r="C13240" s="5" t="str">
        <f>IFERROR(__xludf.DUMMYFUNCTION("GOOGLETRANSLATE(B13240,""en"",""it"")"),"La donna dimostra piegare la macchina per la conservazione.")</f>
        <v>La donna dimostra piegare la macchina per la conservazione.</v>
      </c>
    </row>
    <row r="13241">
      <c r="A13241" s="4" t="s">
        <v>16655</v>
      </c>
      <c r="B13241" s="4" t="s">
        <v>16659</v>
      </c>
      <c r="C13241" s="5" t="str">
        <f>IFERROR(__xludf.DUMMYFUNCTION("GOOGLETRANSLATE(B13241,""en"",""it"")"),"La donna continua a esercitare sulla macchina.")</f>
        <v>La donna continua a esercitare sulla macchina.</v>
      </c>
    </row>
    <row r="13242">
      <c r="A13242" s="4" t="s">
        <v>16660</v>
      </c>
      <c r="B13242" s="4" t="s">
        <v>16661</v>
      </c>
      <c r="C13242" s="5" t="str">
        <f>IFERROR(__xludf.DUMMYFUNCTION("GOOGLETRANSLATE(B13242,""en"",""it"")"),"Un gruppo di uomini è fuori seduto attorno a una fontana giocando una partita di hopscotch stranamente disegnato.")</f>
        <v>Un gruppo di uomini è fuori seduto attorno a una fontana giocando una partita di hopscotch stranamente disegnato.</v>
      </c>
    </row>
    <row r="13243">
      <c r="A13243" s="4" t="s">
        <v>16660</v>
      </c>
      <c r="B13243" s="4" t="s">
        <v>16662</v>
      </c>
      <c r="C13243" s="5" t="str">
        <f>IFERROR(__xludf.DUMMYFUNCTION("GOOGLETRANSLATE(B13243,""en"",""it"")"),"Un ragazzo prende il suo turno e poi tutti ricominciano a parlare.")</f>
        <v>Un ragazzo prende il suo turno e poi tutti ricominciano a parlare.</v>
      </c>
    </row>
    <row r="13244">
      <c r="A13244" s="4" t="s">
        <v>16660</v>
      </c>
      <c r="B13244" s="4" t="s">
        <v>16663</v>
      </c>
      <c r="C13244" s="5" t="str">
        <f>IFERROR(__xludf.DUMMYFUNCTION("GOOGLETRANSLATE(B13244,""en"",""it"")"),"Successivamente, un ragazzo cerca di saltare sui mattoni ma finisce per cadere.")</f>
        <v>Successivamente, un ragazzo cerca di saltare sui mattoni ma finisce per cadere.</v>
      </c>
    </row>
    <row r="13245">
      <c r="A13245" s="4" t="s">
        <v>16660</v>
      </c>
      <c r="B13245" s="4" t="s">
        <v>16664</v>
      </c>
      <c r="C13245" s="5" t="str">
        <f>IFERROR(__xludf.DUMMYFUNCTION("GOOGLETRANSLATE(B13245,""en"",""it"")"),"Un altro ragazzo gli salta dietro e ha successo.")</f>
        <v>Un altro ragazzo gli salta dietro e ha successo.</v>
      </c>
    </row>
    <row r="13246">
      <c r="A13246" s="4" t="s">
        <v>16660</v>
      </c>
      <c r="B13246" s="6" t="s">
        <v>16665</v>
      </c>
      <c r="C13246" s="5" t="str">
        <f>IFERROR(__xludf.DUMMYFUNCTION("GOOGLETRANSLATE(B13246,""en"",""it"")"),"Tuttavia, il ragazzo successivo salta e deve stare su un piede e raccogliere tutti i pezzi lanciati dietro di lui.")</f>
        <v>Tuttavia, il ragazzo successivo salta e deve stare su un piede e raccogliere tutti i pezzi lanciati dietro di lui.</v>
      </c>
    </row>
    <row r="13247">
      <c r="A13247" s="4" t="s">
        <v>16666</v>
      </c>
      <c r="B13247" s="6" t="s">
        <v>16667</v>
      </c>
      <c r="C13247" s="5" t="str">
        <f>IFERROR(__xludf.DUMMYFUNCTION("GOOGLETRANSLATE(B13247,""en"",""it"")"),"Viene visto un uomo parlare alla telecamera e conduce in lui che tiene su uno strumento e indica diversi cespugli.")</f>
        <v>Viene visto un uomo parlare alla telecamera e conduce in lui che tiene su uno strumento e indica diversi cespugli.</v>
      </c>
    </row>
    <row r="13248">
      <c r="A13248" s="4" t="s">
        <v>16666</v>
      </c>
      <c r="B13248" s="6" t="s">
        <v>16668</v>
      </c>
      <c r="C13248" s="5" t="str">
        <f>IFERROR(__xludf.DUMMYFUNCTION("GOOGLETRANSLATE(B13248,""en"",""it"")"),"L'uomo si taglia quindi lungo il cespuglio mentre si ferma per parlare con la telecamera e sollevando lo strumento.")</f>
        <v>L'uomo si taglia quindi lungo il cespuglio mentre si ferma per parlare con la telecamera e sollevando lo strumento.</v>
      </c>
    </row>
    <row r="13249">
      <c r="A13249" s="4" t="s">
        <v>16669</v>
      </c>
      <c r="B13249" s="4" t="s">
        <v>16670</v>
      </c>
      <c r="C13249" s="5" t="str">
        <f>IFERROR(__xludf.DUMMYFUNCTION("GOOGLETRANSLATE(B13249,""en"",""it"")"),"Una ginnasta è vista in piedi su una trave e inizia a eseguire mosse ginnastiche sul raggio.")</f>
        <v>Una ginnasta è vista in piedi su una trave e inizia a eseguire mosse ginnastiche sul raggio.</v>
      </c>
    </row>
    <row r="13250">
      <c r="A13250" s="4" t="s">
        <v>16669</v>
      </c>
      <c r="B13250" s="4" t="s">
        <v>16671</v>
      </c>
      <c r="C13250" s="5" t="str">
        <f>IFERROR(__xludf.DUMMYFUNCTION("GOOGLETRANSLATE(B13250,""en"",""it"")"),"La ragazza gira e gira lungo tutto il raggio mentre la telecamera cattura i suoi movimenti.")</f>
        <v>La ragazza gira e gira lungo tutto il raggio mentre la telecamera cattura i suoi movimenti.</v>
      </c>
    </row>
    <row r="13251">
      <c r="A13251" s="4" t="s">
        <v>16669</v>
      </c>
      <c r="B13251" s="4" t="s">
        <v>16672</v>
      </c>
      <c r="C13251" s="5" t="str">
        <f>IFERROR(__xludf.DUMMYFUNCTION("GOOGLETRANSLATE(B13251,""en"",""it"")"),"Termina la sua routine ma salta giù da un lato con le braccia e si allontana.")</f>
        <v>Termina la sua routine ma salta giù da un lato con le braccia e si allontana.</v>
      </c>
    </row>
    <row r="13252">
      <c r="A13252" s="4" t="s">
        <v>16673</v>
      </c>
      <c r="B13252" s="6" t="s">
        <v>16674</v>
      </c>
      <c r="C13252" s="5" t="str">
        <f>IFERROR(__xludf.DUMMYFUNCTION("GOOGLETRANSLATE(B13252,""en"",""it"")"),"Due uomini camminano verso la canna in un cortile in un barbecue e gli uomini raggiungono entrambi l'ultima birra nella canna.")</f>
        <v>Due uomini camminano verso la canna in un cortile in un barbecue e gli uomini raggiungono entrambi l'ultima birra nella canna.</v>
      </c>
    </row>
    <row r="13253">
      <c r="A13253" s="4" t="s">
        <v>16673</v>
      </c>
      <c r="B13253" s="6" t="s">
        <v>16675</v>
      </c>
      <c r="C13253" s="5" t="str">
        <f>IFERROR(__xludf.DUMMYFUNCTION("GOOGLETRANSLATE(B13253,""en"",""it"")"),"Gli uomini fanno forbici di carta rocciosa e l'uomo destro colpisce a sinistra con una roccia, si toglie la birra e se ne va.")</f>
        <v>Gli uomini fanno forbici di carta rocciosa e l'uomo destro colpisce a sinistra con una roccia, si toglie la birra e se ne va.</v>
      </c>
    </row>
    <row r="13254">
      <c r="A13254" s="4" t="s">
        <v>16673</v>
      </c>
      <c r="B13254" s="4" t="s">
        <v>16676</v>
      </c>
      <c r="C13254" s="5" t="str">
        <f>IFERROR(__xludf.DUMMYFUNCTION("GOOGLETRANSLATE(B13254,""en"",""it"")"),"Vediamo una birra versata in un bicchiere.")</f>
        <v>Vediamo una birra versata in un bicchiere.</v>
      </c>
    </row>
    <row r="13255">
      <c r="A13255" s="4" t="s">
        <v>16673</v>
      </c>
      <c r="B13255" s="4" t="s">
        <v>16677</v>
      </c>
      <c r="C13255" s="5" t="str">
        <f>IFERROR(__xludf.DUMMYFUNCTION("GOOGLETRANSLATE(B13255,""en"",""it"")"),"Vediamo l'uomo ferito con la mano alzata e un uomo cammina e gli dà un alto cinque.")</f>
        <v>Vediamo l'uomo ferito con la mano alzata e un uomo cammina e gli dà un alto cinque.</v>
      </c>
    </row>
    <row r="13256">
      <c r="A13256" s="4" t="s">
        <v>16678</v>
      </c>
      <c r="B13256" s="4" t="s">
        <v>16679</v>
      </c>
      <c r="C13256" s="5" t="str">
        <f>IFERROR(__xludf.DUMMYFUNCTION("GOOGLETRANSLATE(B13256,""en"",""it"")"),"Viene visto un uomo parlare con la telecamera di fronte a un grande trailer di lui.")</f>
        <v>Viene visto un uomo parlare con la telecamera di fronte a un grande trailer di lui.</v>
      </c>
    </row>
    <row r="13257">
      <c r="A13257" s="4" t="s">
        <v>16678</v>
      </c>
      <c r="B13257" s="4" t="s">
        <v>16680</v>
      </c>
      <c r="C13257" s="5" t="str">
        <f>IFERROR(__xludf.DUMMYFUNCTION("GOOGLETRANSLATE(B13257,""en"",""it"")"),"L'uomo viene quindi visto inginocchiarsi sopra un fuoco e inizia ad accendere una fiamma in una fossa.")</f>
        <v>L'uomo viene quindi visto inginocchiarsi sopra un fuoco e inizia ad accendere una fiamma in una fossa.</v>
      </c>
    </row>
    <row r="13258">
      <c r="A13258" s="4" t="s">
        <v>16678</v>
      </c>
      <c r="B13258" s="6" t="s">
        <v>16681</v>
      </c>
      <c r="C13258" s="5" t="str">
        <f>IFERROR(__xludf.DUMMYFUNCTION("GOOGLETRANSLATE(B13258,""en"",""it"")"),"Un ragazzo viene visto camminare con una racchetta da tennis e punta a terra mentre l'uomo è ancora seduto davanti al fuoco.")</f>
        <v>Un ragazzo viene visto camminare con una racchetta da tennis e punta a terra mentre l'uomo è ancora seduto davanti al fuoco.</v>
      </c>
    </row>
    <row r="13259">
      <c r="A13259" s="4" t="s">
        <v>16682</v>
      </c>
      <c r="B13259" s="4" t="s">
        <v>16683</v>
      </c>
      <c r="C13259" s="5" t="str">
        <f>IFERROR(__xludf.DUMMYFUNCTION("GOOGLETRANSLATE(B13259,""en"",""it"")"),"Un'introduzione conduce in diversi clip di diversi atleti che eseguono colpi di tiro in un cerchio.")</f>
        <v>Un'introduzione conduce in diversi clip di diversi atleti che eseguono colpi di tiro in un cerchio.</v>
      </c>
    </row>
    <row r="13260">
      <c r="A13260" s="4" t="s">
        <v>16682</v>
      </c>
      <c r="B13260" s="4" t="s">
        <v>16684</v>
      </c>
      <c r="C13260" s="5" t="str">
        <f>IFERROR(__xludf.DUMMYFUNCTION("GOOGLETRANSLATE(B13260,""en"",""it"")"),"Più uomini continuano a intensificare e gettare l'oggetto mentre molti guardano a margine.")</f>
        <v>Più uomini continuano a intensificare e gettare l'oggetto mentre molti guardano a margine.</v>
      </c>
    </row>
    <row r="13261">
      <c r="A13261" s="4" t="s">
        <v>16685</v>
      </c>
      <c r="B13261" s="4" t="s">
        <v>16686</v>
      </c>
      <c r="C13261" s="5" t="str">
        <f>IFERROR(__xludf.DUMMYFUNCTION("GOOGLETRANSLATE(B13261,""en"",""it"")"),"Una ragazza adolescente si siede sul pavimento con una scarpa.")</f>
        <v>Una ragazza adolescente si siede sul pavimento con una scarpa.</v>
      </c>
    </row>
    <row r="13262">
      <c r="A13262" s="4" t="s">
        <v>16685</v>
      </c>
      <c r="B13262" s="4" t="s">
        <v>16687</v>
      </c>
      <c r="C13262" s="5" t="str">
        <f>IFERROR(__xludf.DUMMYFUNCTION("GOOGLETRANSLATE(B13262,""en"",""it"")"),"Viene quindi mostrato di pulire la scarpa con una soluzione di pulizia.")</f>
        <v>Viene quindi mostrato di pulire la scarpa con una soluzione di pulizia.</v>
      </c>
    </row>
    <row r="13263">
      <c r="A13263" s="4" t="s">
        <v>16685</v>
      </c>
      <c r="B13263" s="4" t="s">
        <v>16688</v>
      </c>
      <c r="C13263" s="5" t="str">
        <f>IFERROR(__xludf.DUMMYFUNCTION("GOOGLETRANSLATE(B13263,""en"",""it"")"),"Mostra la scarpa da vicino dopo aver finito.")</f>
        <v>Mostra la scarpa da vicino dopo aver finito.</v>
      </c>
    </row>
    <row r="13264">
      <c r="A13264" s="4" t="s">
        <v>16689</v>
      </c>
      <c r="B13264" s="4" t="s">
        <v>16690</v>
      </c>
      <c r="C13264" s="5" t="str">
        <f>IFERROR(__xludf.DUMMYFUNCTION("GOOGLETRANSLATE(B13264,""en"",""it"")"),"Un uomo è in piedi fuori da una grande finestra e inizia a pulirlo con un lungo bastone.")</f>
        <v>Un uomo è in piedi fuori da una grande finestra e inizia a pulirlo con un lungo bastone.</v>
      </c>
    </row>
    <row r="13265">
      <c r="A13265" s="4" t="s">
        <v>16689</v>
      </c>
      <c r="B13265" s="6" t="s">
        <v>16691</v>
      </c>
      <c r="C13265" s="5" t="str">
        <f>IFERROR(__xludf.DUMMYFUNCTION("GOOGLETRANSLATE(B13265,""en"",""it"")"),"Uno la finestra è bagnata, prende il rasoio come un bastone e lo trascina su e giù togliendo l'acqua.")</f>
        <v>Uno la finestra è bagnata, prende il rasoio come un bastone e lo trascina su e giù togliendo l'acqua.</v>
      </c>
    </row>
    <row r="13266">
      <c r="A13266" s="4" t="s">
        <v>16689</v>
      </c>
      <c r="B13266" s="4" t="s">
        <v>16692</v>
      </c>
      <c r="C13266" s="5" t="str">
        <f>IFERROR(__xludf.DUMMYFUNCTION("GOOGLETRANSLATE(B13266,""en"",""it"")"),"Dopo che le due finestre superiori sono complete, lascia gli altri due intatti e se ne va.")</f>
        <v>Dopo che le due finestre superiori sono complete, lascia gli altri due intatti e se ne va.</v>
      </c>
    </row>
    <row r="13267">
      <c r="A13267" s="4" t="s">
        <v>16693</v>
      </c>
      <c r="B13267" s="4" t="s">
        <v>16694</v>
      </c>
      <c r="C13267" s="5" t="str">
        <f>IFERROR(__xludf.DUMMYFUNCTION("GOOGLETRANSLATE(B13267,""en"",""it"")"),"Un uomo si piega alle ginocchia di fronte a un bilanciere.")</f>
        <v>Un uomo si piega alle ginocchia di fronte a un bilanciere.</v>
      </c>
    </row>
    <row r="13268">
      <c r="A13268" s="4" t="s">
        <v>16693</v>
      </c>
      <c r="B13268" s="4" t="s">
        <v>16695</v>
      </c>
      <c r="C13268" s="5" t="str">
        <f>IFERROR(__xludf.DUMMYFUNCTION("GOOGLETRANSLATE(B13268,""en"",""it"")"),"Lo solleva lentamente, portandolo sul petto.")</f>
        <v>Lo solleva lentamente, portandolo sul petto.</v>
      </c>
    </row>
    <row r="13269">
      <c r="A13269" s="4" t="s">
        <v>16693</v>
      </c>
      <c r="B13269" s="4" t="s">
        <v>16696</v>
      </c>
      <c r="C13269" s="5" t="str">
        <f>IFERROR(__xludf.DUMMYFUNCTION("GOOGLETRANSLATE(B13269,""en"",""it"")"),"Fa una pausa, poi se lo solleva sopra la testa prima di riportarlo a terra.")</f>
        <v>Fa una pausa, poi se lo solleva sopra la testa prima di riportarlo a terra.</v>
      </c>
    </row>
    <row r="13270">
      <c r="A13270" s="4" t="s">
        <v>16697</v>
      </c>
      <c r="B13270" s="4" t="s">
        <v>16698</v>
      </c>
      <c r="C13270" s="5" t="str">
        <f>IFERROR(__xludf.DUMMYFUNCTION("GOOGLETRANSLATE(B13270,""en"",""it"")"),"Un uomo è in piedi su una sporgenza di una torre.")</f>
        <v>Un uomo è in piedi su una sporgenza di una torre.</v>
      </c>
    </row>
    <row r="13271">
      <c r="A13271" s="4" t="s">
        <v>16697</v>
      </c>
      <c r="B13271" s="4" t="s">
        <v>16699</v>
      </c>
      <c r="C13271" s="5" t="str">
        <f>IFERROR(__xludf.DUMMYFUNCTION("GOOGLETRANSLATE(B13271,""en"",""it"")"),"Salta via e Bungee salta.")</f>
        <v>Salta via e Bungee salta.</v>
      </c>
    </row>
    <row r="13272">
      <c r="A13272" s="4" t="s">
        <v>16697</v>
      </c>
      <c r="B13272" s="4" t="s">
        <v>16700</v>
      </c>
      <c r="C13272" s="5" t="str">
        <f>IFERROR(__xludf.DUMMYFUNCTION("GOOGLETRANSLATE(B13272,""en"",""it"")"),"È mostrato al rallentatore.")</f>
        <v>È mostrato al rallentatore.</v>
      </c>
    </row>
    <row r="13273">
      <c r="A13273" s="4" t="s">
        <v>16701</v>
      </c>
      <c r="B13273" s="6" t="s">
        <v>16702</v>
      </c>
      <c r="C13273" s="5" t="str">
        <f>IFERROR(__xludf.DUMMYFUNCTION("GOOGLETRANSLATE(B13273,""en"",""it"")"),"La fotocamera si panoramica attorno a diversi uomini che bevono un grande contenitore di alcol e la fotocamera si ritorna all'inizio.")</f>
        <v>La fotocamera si panoramica attorno a diversi uomini che bevono un grande contenitore di alcol e la fotocamera si ritorna all'inizio.</v>
      </c>
    </row>
    <row r="13274">
      <c r="A13274" s="4" t="s">
        <v>16701</v>
      </c>
      <c r="B13274" s="6" t="s">
        <v>16703</v>
      </c>
      <c r="C13274" s="5" t="str">
        <f>IFERROR(__xludf.DUMMYFUNCTION("GOOGLETRANSLATE(B13274,""en"",""it"")"),"La telecamera continua a catturare gli uomini che bevono oltre a parlare tra loro e uno si strofina gli occhi alla fine.")</f>
        <v>La telecamera continua a catturare gli uomini che bevono oltre a parlare tra loro e uno si strofina gli occhi alla fine.</v>
      </c>
    </row>
    <row r="13275">
      <c r="A13275" s="4" t="s">
        <v>16704</v>
      </c>
      <c r="B13275" s="4" t="s">
        <v>16705</v>
      </c>
      <c r="C13275" s="5" t="str">
        <f>IFERROR(__xludf.DUMMYFUNCTION("GOOGLETRANSLATE(B13275,""en"",""it"")"),"Un giovane è seduto in un soggiorno.")</f>
        <v>Un giovane è seduto in un soggiorno.</v>
      </c>
    </row>
    <row r="13276">
      <c r="A13276" s="4" t="s">
        <v>16704</v>
      </c>
      <c r="B13276" s="4" t="s">
        <v>16706</v>
      </c>
      <c r="C13276" s="5" t="str">
        <f>IFERROR(__xludf.DUMMYFUNCTION("GOOGLETRANSLATE(B13276,""en"",""it"")"),"Sta giocando una tastiera elettronica.")</f>
        <v>Sta giocando una tastiera elettronica.</v>
      </c>
    </row>
    <row r="13277">
      <c r="A13277" s="4" t="s">
        <v>16704</v>
      </c>
      <c r="B13277" s="4" t="s">
        <v>16707</v>
      </c>
      <c r="C13277" s="5" t="str">
        <f>IFERROR(__xludf.DUMMYFUNCTION("GOOGLETRANSLATE(B13277,""en"",""it"")"),"La tastiera sta stampando un documento mentre va.")</f>
        <v>La tastiera sta stampando un documento mentre va.</v>
      </c>
    </row>
    <row r="13278">
      <c r="A13278" s="4" t="s">
        <v>16708</v>
      </c>
      <c r="B13278" s="6" t="s">
        <v>16709</v>
      </c>
      <c r="C13278" s="5" t="str">
        <f>IFERROR(__xludf.DUMMYFUNCTION("GOOGLETRANSLATE(B13278,""en"",""it"")"),"Una signora spiega le bevande e la loro miscelazione, afferra una tazza con ghiaccio e aggiunge un po 'di liquore usando un bicchiere da tiro per ottenere la giusta misurazione.")</f>
        <v>Una signora spiega le bevande e la loro miscelazione, afferra una tazza con ghiaccio e aggiunge un po 'di liquore usando un bicchiere da tiro per ottenere la giusta misurazione.</v>
      </c>
    </row>
    <row r="13279">
      <c r="A13279" s="4" t="s">
        <v>16708</v>
      </c>
      <c r="B13279" s="4" t="s">
        <v>16710</v>
      </c>
      <c r="C13279" s="5" t="str">
        <f>IFERROR(__xludf.DUMMYFUNCTION("GOOGLETRANSLATE(B13279,""en"",""it"")"),"La signora poi mescola un altro tipo di liquore al primo tipo che ha versato nel vetro.")</f>
        <v>La signora poi mescola un altro tipo di liquore al primo tipo che ha versato nel vetro.</v>
      </c>
    </row>
    <row r="13280">
      <c r="A13280" s="4" t="s">
        <v>16708</v>
      </c>
      <c r="B13280" s="4" t="s">
        <v>16711</v>
      </c>
      <c r="C13280" s="5" t="str">
        <f>IFERROR(__xludf.DUMMYFUNCTION("GOOGLETRANSLATE(B13280,""en"",""it"")"),"Alla fine aggiunge un tipo di succo alla bevanda con arancione e paglia affettata.")</f>
        <v>Alla fine aggiunge un tipo di succo alla bevanda con arancione e paglia affettata.</v>
      </c>
    </row>
    <row r="13281">
      <c r="A13281" s="4" t="s">
        <v>16712</v>
      </c>
      <c r="B13281" s="4" t="s">
        <v>16713</v>
      </c>
      <c r="C13281" s="5" t="str">
        <f>IFERROR(__xludf.DUMMYFUNCTION("GOOGLETRANSLATE(B13281,""en"",""it"")"),"Un uomo sta girando in cerchio e lancia una discussione per una competizione.")</f>
        <v>Un uomo sta girando in cerchio e lancia una discussione per una competizione.</v>
      </c>
    </row>
    <row r="13282">
      <c r="A13282" s="4" t="s">
        <v>16712</v>
      </c>
      <c r="B13282" s="4" t="s">
        <v>16714</v>
      </c>
      <c r="C13282" s="5" t="str">
        <f>IFERROR(__xludf.DUMMYFUNCTION("GOOGLETRANSLATE(B13282,""en"",""it"")"),"Il video rallenta e mostra lo stesso tiro ma al rallentatore.")</f>
        <v>Il video rallenta e mostra lo stesso tiro ma al rallentatore.</v>
      </c>
    </row>
    <row r="13283">
      <c r="A13283" s="4" t="s">
        <v>16712</v>
      </c>
      <c r="B13283" s="4" t="s">
        <v>16715</v>
      </c>
      <c r="C13283" s="5" t="str">
        <f>IFERROR(__xludf.DUMMYFUNCTION("GOOGLETRANSLATE(B13283,""en"",""it"")"),"Un altro uomo si avvicina al piatto e lancia la discussione.")</f>
        <v>Un altro uomo si avvicina al piatto e lancia la discussione.</v>
      </c>
    </row>
    <row r="13284">
      <c r="A13284" s="4" t="s">
        <v>16712</v>
      </c>
      <c r="B13284" s="4" t="s">
        <v>16716</v>
      </c>
      <c r="C13284" s="5" t="str">
        <f>IFERROR(__xludf.DUMMYFUNCTION("GOOGLETRANSLATE(B13284,""en"",""it"")"),"Ancora una volta il video rallenta e mostra lo stesso tiro al rallentatore.")</f>
        <v>Ancora una volta il video rallenta e mostra lo stesso tiro al rallentatore.</v>
      </c>
    </row>
    <row r="13285">
      <c r="A13285" s="4" t="s">
        <v>16712</v>
      </c>
      <c r="B13285" s="4" t="s">
        <v>16717</v>
      </c>
      <c r="C13285" s="5" t="str">
        <f>IFERROR(__xludf.DUMMYFUNCTION("GOOGLETRANSLATE(B13285,""en"",""it"")"),"Un terzo giocatore si alza e lancia la discussione al rallentatore.")</f>
        <v>Un terzo giocatore si alza e lancia la discussione al rallentatore.</v>
      </c>
    </row>
    <row r="13286">
      <c r="A13286" s="4" t="s">
        <v>16712</v>
      </c>
      <c r="B13286" s="4" t="s">
        <v>16718</v>
      </c>
      <c r="C13286" s="5" t="str">
        <f>IFERROR(__xludf.DUMMYFUNCTION("GOOGLETRANSLATE(B13286,""en"",""it"")"),"Diversi altri giocatori si fanno avanti e si svolgono lanciando il disco.")</f>
        <v>Diversi altri giocatori si fanno avanti e si svolgono lanciando il disco.</v>
      </c>
    </row>
    <row r="13287">
      <c r="A13287" s="4" t="s">
        <v>16719</v>
      </c>
      <c r="B13287" s="4" t="s">
        <v>16720</v>
      </c>
      <c r="C13287" s="5" t="str">
        <f>IFERROR(__xludf.DUMMYFUNCTION("GOOGLETRANSLATE(B13287,""en"",""it"")"),"Vediamo un'immagine di una signora e di un bambino.")</f>
        <v>Vediamo un'immagine di una signora e di un bambino.</v>
      </c>
    </row>
    <row r="13288">
      <c r="A13288" s="4" t="s">
        <v>16719</v>
      </c>
      <c r="B13288" s="4" t="s">
        <v>16721</v>
      </c>
      <c r="C13288" s="5" t="str">
        <f>IFERROR(__xludf.DUMMYFUNCTION("GOOGLETRANSLATE(B13288,""en"",""it"")"),"La signora svanisce, il bambino gioca un flauto e vediamo un uomo.")</f>
        <v>La signora svanisce, il bambino gioca un flauto e vediamo un uomo.</v>
      </c>
    </row>
    <row r="13289">
      <c r="A13289" s="4" t="s">
        <v>16719</v>
      </c>
      <c r="B13289" s="4" t="s">
        <v>16722</v>
      </c>
      <c r="C13289" s="5" t="str">
        <f>IFERROR(__xludf.DUMMYFUNCTION("GOOGLETRANSLATE(B13289,""en"",""it"")"),"L'uomo piange mentre il bambino gioca, vediamo le persone nel cielo.")</f>
        <v>L'uomo piange mentre il bambino gioca, vediamo le persone nel cielo.</v>
      </c>
    </row>
    <row r="13290">
      <c r="A13290" s="4" t="s">
        <v>16719</v>
      </c>
      <c r="B13290" s="4" t="s">
        <v>16723</v>
      </c>
      <c r="C13290" s="5" t="str">
        <f>IFERROR(__xludf.DUMMYFUNCTION("GOOGLETRANSLATE(B13290,""en"",""it"")"),"Vediamo un uomo e una donna che si abbracciano nel cielo.")</f>
        <v>Vediamo un uomo e una donna che si abbracciano nel cielo.</v>
      </c>
    </row>
    <row r="13291">
      <c r="A13291" s="4" t="s">
        <v>16719</v>
      </c>
      <c r="B13291" s="4" t="s">
        <v>16724</v>
      </c>
      <c r="C13291" s="5" t="str">
        <f>IFERROR(__xludf.DUMMYFUNCTION("GOOGLETRANSLATE(B13291,""en"",""it"")"),"Vediamo immagini della natura.")</f>
        <v>Vediamo immagini della natura.</v>
      </c>
    </row>
    <row r="13292">
      <c r="A13292" s="4" t="s">
        <v>16719</v>
      </c>
      <c r="B13292" s="4" t="s">
        <v>16725</v>
      </c>
      <c r="C13292" s="5" t="str">
        <f>IFERROR(__xludf.DUMMYFUNCTION("GOOGLETRANSLATE(B13292,""en"",""it"")"),"Le persone nel cielo si inchinano e danzano.")</f>
        <v>Le persone nel cielo si inchinano e danzano.</v>
      </c>
    </row>
    <row r="13293">
      <c r="A13293" s="4" t="s">
        <v>16719</v>
      </c>
      <c r="B13293" s="4" t="s">
        <v>16726</v>
      </c>
      <c r="C13293" s="5" t="str">
        <f>IFERROR(__xludf.DUMMYFUNCTION("GOOGLETRANSLATE(B13293,""en"",""it"")"),"L'uomo si sdraia in una posizione di preghiera.")</f>
        <v>L'uomo si sdraia in una posizione di preghiera.</v>
      </c>
    </row>
    <row r="13294">
      <c r="A13294" s="4" t="s">
        <v>16719</v>
      </c>
      <c r="B13294" s="4" t="s">
        <v>16727</v>
      </c>
      <c r="C13294" s="5" t="str">
        <f>IFERROR(__xludf.DUMMYFUNCTION("GOOGLETRANSLATE(B13294,""en"",""it"")"),"Il bambino finisce di giocare il flauto.")</f>
        <v>Il bambino finisce di giocare il flauto.</v>
      </c>
    </row>
    <row r="13295">
      <c r="A13295" s="4" t="s">
        <v>16728</v>
      </c>
      <c r="B13295" s="6" t="s">
        <v>16729</v>
      </c>
      <c r="C13295" s="5" t="str">
        <f>IFERROR(__xludf.DUMMYFUNCTION("GOOGLETRANSLATE(B13295,""en"",""it"")"),"La telecamera si panoramica attorno a diverse corri seduti in un bar e baristi che hanno partecipato alle esigenze delle persone.")</f>
        <v>La telecamera si panoramica attorno a diverse corri seduti in un bar e baristi che hanno partecipato alle esigenze delle persone.</v>
      </c>
    </row>
    <row r="13296">
      <c r="A13296" s="4" t="s">
        <v>16728</v>
      </c>
      <c r="B13296" s="6" t="s">
        <v>16730</v>
      </c>
      <c r="C13296" s="5" t="str">
        <f>IFERROR(__xludf.DUMMYFUNCTION("GOOGLETRANSLATE(B13296,""en"",""it"")"),"Vengono mostrati altri scatti di persone che interagiscono nel ristorante e infine persone che parlano alla telecamera.")</f>
        <v>Vengono mostrati altri scatti di persone che interagiscono nel ristorante e infine persone che parlano alla telecamera.</v>
      </c>
    </row>
    <row r="13297">
      <c r="A13297" s="4" t="s">
        <v>16731</v>
      </c>
      <c r="B13297" s="4" t="s">
        <v>16732</v>
      </c>
      <c r="C13297" s="5" t="str">
        <f>IFERROR(__xludf.DUMMYFUNCTION("GOOGLETRANSLATE(B13297,""en"",""it"")"),"Una giovane donna viene vista a lavarsi i capelli che la porta a parlare alla telecamera.")</f>
        <v>Una giovane donna viene vista a lavarsi i capelli che la porta a parlare alla telecamera.</v>
      </c>
    </row>
    <row r="13298">
      <c r="A13298" s="4" t="s">
        <v>16731</v>
      </c>
      <c r="B13298" s="4" t="s">
        <v>16733</v>
      </c>
      <c r="C13298" s="5" t="str">
        <f>IFERROR(__xludf.DUMMYFUNCTION("GOOGLETRANSLATE(B13298,""en"",""it"")"),"Solleva diversi pennelli mentre parla alla fotocamera e vari oggetti.")</f>
        <v>Solleva diversi pennelli mentre parla alla fotocamera e vari oggetti.</v>
      </c>
    </row>
    <row r="13299">
      <c r="A13299" s="4" t="s">
        <v>16731</v>
      </c>
      <c r="B13299" s="6" t="s">
        <v>16734</v>
      </c>
      <c r="C13299" s="5" t="str">
        <f>IFERROR(__xludf.DUMMYFUNCTION("GOOGLETRANSLATE(B13299,""en"",""it"")"),"Usa le forbici per togliersi i capelli da un pennello, nonché uno spazzolino da denti e una ciotola per pulire i suoi pennelli.")</f>
        <v>Usa le forbici per togliersi i capelli da un pennello, nonché uno spazzolino da denti e una ciotola per pulire i suoi pennelli.</v>
      </c>
    </row>
    <row r="13300">
      <c r="A13300" s="4" t="s">
        <v>16735</v>
      </c>
      <c r="B13300" s="4" t="s">
        <v>16736</v>
      </c>
      <c r="C13300" s="5" t="str">
        <f>IFERROR(__xludf.DUMMYFUNCTION("GOOGLETRANSLATE(B13300,""en"",""it"")"),"Un giovane balla in una stanza che muove le mani e mettendosi dietro la schiena.")</f>
        <v>Un giovane balla in una stanza che muove le mani e mettendosi dietro la schiena.</v>
      </c>
    </row>
    <row r="13301">
      <c r="A13301" s="4" t="s">
        <v>16735</v>
      </c>
      <c r="B13301" s="4" t="s">
        <v>16737</v>
      </c>
      <c r="C13301" s="5" t="str">
        <f>IFERROR(__xludf.DUMMYFUNCTION("GOOGLETRANSLATE(B13301,""en"",""it"")"),"Quindi, l'uomo si mise la mano dietro la testa.")</f>
        <v>Quindi, l'uomo si mise la mano dietro la testa.</v>
      </c>
    </row>
    <row r="13302">
      <c r="A13302" s="4" t="s">
        <v>16735</v>
      </c>
      <c r="B13302" s="4" t="s">
        <v>16738</v>
      </c>
      <c r="C13302" s="5" t="str">
        <f>IFERROR(__xludf.DUMMYFUNCTION("GOOGLETRANSLATE(B13302,""en"",""it"")"),"Il riflesso dell'uomo è allo specchio.")</f>
        <v>Il riflesso dell'uomo è allo specchio.</v>
      </c>
    </row>
    <row r="13303">
      <c r="A13303" s="4" t="s">
        <v>16739</v>
      </c>
      <c r="B13303" s="4" t="s">
        <v>16740</v>
      </c>
      <c r="C13303" s="5" t="str">
        <f>IFERROR(__xludf.DUMMYFUNCTION("GOOGLETRANSLATE(B13303,""en"",""it"")"),"Un uomo è visto in piedi su palafitte in una piazza della città mentre altre persone intorno a lui lama roll.")</f>
        <v>Un uomo è visto in piedi su palafitte in una piazza della città mentre altre persone intorno a lui lama roll.</v>
      </c>
    </row>
    <row r="13304">
      <c r="A13304" s="4" t="s">
        <v>16739</v>
      </c>
      <c r="B13304" s="4" t="s">
        <v>16741</v>
      </c>
      <c r="C13304" s="5" t="str">
        <f>IFERROR(__xludf.DUMMYFUNCTION("GOOGLETRANSLATE(B13304,""en"",""it"")"),"L'uomo decolla correndo lungo il blocco e poi corre di nuovo dove ha iniziato.")</f>
        <v>L'uomo decolla correndo lungo il blocco e poi corre di nuovo dove ha iniziato.</v>
      </c>
    </row>
    <row r="13305">
      <c r="A13305" s="4" t="s">
        <v>16742</v>
      </c>
      <c r="B13305" s="4" t="s">
        <v>16743</v>
      </c>
      <c r="C13305" s="5" t="str">
        <f>IFERROR(__xludf.DUMMYFUNCTION("GOOGLETRANSLATE(B13305,""en"",""it"")"),"Una donna in una camicia blu gira intorno e lancia una palla sul campo.")</f>
        <v>Una donna in una camicia blu gira intorno e lancia una palla sul campo.</v>
      </c>
    </row>
    <row r="13306">
      <c r="A13306" s="4" t="s">
        <v>16742</v>
      </c>
      <c r="B13306" s="4" t="s">
        <v>16744</v>
      </c>
      <c r="C13306" s="5" t="str">
        <f>IFERROR(__xludf.DUMMYFUNCTION("GOOGLETRANSLATE(B13306,""en"",""it"")"),"Un'altra persona viene e getta un disco sul campo.")</f>
        <v>Un'altra persona viene e getta un disco sul campo.</v>
      </c>
    </row>
    <row r="13307">
      <c r="A13307" s="4" t="s">
        <v>16742</v>
      </c>
      <c r="B13307" s="4" t="s">
        <v>16745</v>
      </c>
      <c r="C13307" s="5" t="str">
        <f>IFERROR(__xludf.DUMMYFUNCTION("GOOGLETRANSLATE(B13307,""en"",""it"")"),"Le persone sono in piedi dalla parte del campo sta guardando.")</f>
        <v>Le persone sono in piedi dalla parte del campo sta guardando.</v>
      </c>
    </row>
    <row r="13308">
      <c r="A13308" s="4" t="s">
        <v>16746</v>
      </c>
      <c r="B13308" s="6" t="s">
        <v>16747</v>
      </c>
      <c r="C13308" s="5" t="str">
        <f>IFERROR(__xludf.DUMMYFUNCTION("GOOGLETRANSLATE(B13308,""en"",""it"")"),"Viene mostrata un'azienda e l'area intorno e il nome sul business Say ""Lumberjack Nationals"" scolpito in un cartello di legno e il testo bianco sotto la ""Columbia Basin BMX Richland, WA"".")</f>
        <v>Viene mostrata un'azienda e l'area intorno e il nome sul business Say "Lumberjack Nationals" scolpito in un cartello di legno e il testo bianco sotto la "Columbia Basin BMX Richland, WA".</v>
      </c>
    </row>
    <row r="13309">
      <c r="A13309" s="4" t="s">
        <v>16746</v>
      </c>
      <c r="B13309" s="6" t="s">
        <v>16748</v>
      </c>
      <c r="C13309" s="5" t="str">
        <f>IFERROR(__xludf.DUMMYFUNCTION("GOOGLETRANSLATE(B13309,""en"",""it"")"),"Un ragazzo vestito in bicicletta sta mettendo un casco mentre si trova in piedi e il testo sul lato destro dello schermo appare e dice ""@Brycebetts13z Chase sostenendo"" mentre il ragazzo si mette in bici e lo spinge fuori dallo schermo.")</f>
        <v>Un ragazzo vestito in bicicletta sta mettendo un casco mentre si trova in piedi e il testo sul lato destro dello schermo appare e dice "@Brycebetts13z Chase sostenendo" mentre il ragazzo si mette in bici e lo spinge fuori dallo schermo.</v>
      </c>
    </row>
    <row r="13310">
      <c r="A13310" s="4" t="s">
        <v>16746</v>
      </c>
      <c r="B13310" s="6" t="s">
        <v>16749</v>
      </c>
      <c r="C13310" s="5" t="str">
        <f>IFERROR(__xludf.DUMMYFUNCTION("GOOGLETRANSLATE(B13310,""en"",""it"")"),"Il ragazzo è ora sulla pista di bici da bici sinuosa e tortuosa che cavalca molto velocemente e occasionalmente anche altre persone vengono mostrate in pista.")</f>
        <v>Il ragazzo è ora sulla pista di bici da bici sinuosa e tortuosa che cavalca molto velocemente e occasionalmente anche altre persone vengono mostrate in pista.</v>
      </c>
    </row>
    <row r="13311">
      <c r="A13311" s="4" t="s">
        <v>16746</v>
      </c>
      <c r="B13311" s="6" t="s">
        <v>16750</v>
      </c>
      <c r="C13311" s="5" t="str">
        <f>IFERROR(__xludf.DUMMYFUNCTION("GOOGLETRANSLATE(B13311,""en"",""it"")"),"Un effetto speciale outro appare con il ragazzo che continua a cavalcare la pista e altri testi e loghi appaiono sullo schermo fino a quando non si attenua a uno schermo bianco che si termina con una clip art a sinistra e parole grandi che leggono Mendo M"&amp;"edia a destra.")</f>
        <v>Un effetto speciale outro appare con il ragazzo che continua a cavalcare la pista e altri testi e loghi appaiono sullo schermo fino a quando non si attenua a uno schermo bianco che si termina con una clip art a sinistra e parole grandi che leggono Mendo Media a destra.</v>
      </c>
    </row>
    <row r="13312">
      <c r="A13312" s="4" t="s">
        <v>16751</v>
      </c>
      <c r="B13312" s="4" t="s">
        <v>16752</v>
      </c>
      <c r="C13312" s="5" t="str">
        <f>IFERROR(__xludf.DUMMYFUNCTION("GOOGLETRANSLATE(B13312,""en"",""it"")"),"I giocatori su un campo stanno correndo in giro a giocare.")</f>
        <v>I giocatori su un campo stanno correndo in giro a giocare.</v>
      </c>
    </row>
    <row r="13313">
      <c r="A13313" s="4" t="s">
        <v>16751</v>
      </c>
      <c r="B13313" s="4" t="s">
        <v>16753</v>
      </c>
      <c r="C13313" s="5" t="str">
        <f>IFERROR(__xludf.DUMMYFUNCTION("GOOGLETRANSLATE(B13313,""en"",""it"")"),"Entrano in una grande lotta sul campo.")</f>
        <v>Entrano in una grande lotta sul campo.</v>
      </c>
    </row>
    <row r="13314">
      <c r="A13314" s="4" t="s">
        <v>16751</v>
      </c>
      <c r="B13314" s="4" t="s">
        <v>16754</v>
      </c>
      <c r="C13314" s="5" t="str">
        <f>IFERROR(__xludf.DUMMYFUNCTION("GOOGLETRANSLATE(B13314,""en"",""it"")"),"L'arbitro arriva e rompe la lotta.")</f>
        <v>L'arbitro arriva e rompe la lotta.</v>
      </c>
    </row>
    <row r="13315">
      <c r="A13315" s="4" t="s">
        <v>16751</v>
      </c>
      <c r="B13315" s="4" t="s">
        <v>16755</v>
      </c>
      <c r="C13315" s="5" t="str">
        <f>IFERROR(__xludf.DUMMYFUNCTION("GOOGLETRANSLATE(B13315,""en"",""it"")"),"Un uomo con una camicia a strisce gialla sta parlando con l'arbitro.")</f>
        <v>Un uomo con una camicia a strisce gialla sta parlando con l'arbitro.</v>
      </c>
    </row>
    <row r="13316">
      <c r="A13316" s="4" t="s">
        <v>16756</v>
      </c>
      <c r="B13316" s="6" t="s">
        <v>16757</v>
      </c>
      <c r="C13316" s="5" t="str">
        <f>IFERROR(__xludf.DUMMYFUNCTION("GOOGLETRANSLATE(B13316,""en"",""it"")"),"Vengono mostrate diverse clip di persone che si arrampicano su e giù per le pareti di roccia mentre molti altri parlano alla telecamera.")</f>
        <v>Vengono mostrate diverse clip di persone che si arrampicano su e giù per le pareti di roccia mentre molti altri parlano alla telecamera.</v>
      </c>
    </row>
    <row r="13317">
      <c r="A13317" s="4" t="s">
        <v>16756</v>
      </c>
      <c r="B13317" s="6" t="s">
        <v>16758</v>
      </c>
      <c r="C13317" s="5" t="str">
        <f>IFERROR(__xludf.DUMMYFUNCTION("GOOGLETRANSLATE(B13317,""en"",""it"")"),"Diverse altre persone vengono mostrate arrampicarsi sulle rocce mentre parlano alla telecamera e si facevano su e giù.")</f>
        <v>Diverse altre persone vengono mostrate arrampicarsi sulle rocce mentre parlano alla telecamera e si facevano su e giù.</v>
      </c>
    </row>
    <row r="13318">
      <c r="A13318" s="4" t="s">
        <v>16759</v>
      </c>
      <c r="B13318" s="4" t="s">
        <v>16760</v>
      </c>
      <c r="C13318" s="5" t="str">
        <f>IFERROR(__xludf.DUMMYFUNCTION("GOOGLETRANSLATE(B13318,""en"",""it"")"),"Diversi cani camminano lungo una strada.")</f>
        <v>Diversi cani camminano lungo una strada.</v>
      </c>
    </row>
    <row r="13319">
      <c r="A13319" s="4" t="s">
        <v>16759</v>
      </c>
      <c r="B13319" s="4" t="s">
        <v>16761</v>
      </c>
      <c r="C13319" s="5" t="str">
        <f>IFERROR(__xludf.DUMMYFUNCTION("GOOGLETRANSLATE(B13319,""en"",""it"")"),"Sono in guinzaglio detenuti dai loro proprietari.")</f>
        <v>Sono in guinzaglio detenuti dai loro proprietari.</v>
      </c>
    </row>
    <row r="13320">
      <c r="A13320" s="4" t="s">
        <v>16759</v>
      </c>
      <c r="B13320" s="4" t="s">
        <v>16762</v>
      </c>
      <c r="C13320" s="5" t="str">
        <f>IFERROR(__xludf.DUMMYFUNCTION("GOOGLETRANSLATE(B13320,""en"",""it"")"),"Il flusso di loro è infinito.")</f>
        <v>Il flusso di loro è infinito.</v>
      </c>
    </row>
    <row r="13321">
      <c r="A13321" s="4" t="s">
        <v>16759</v>
      </c>
      <c r="B13321" s="4" t="s">
        <v>16763</v>
      </c>
      <c r="C13321" s="5" t="str">
        <f>IFERROR(__xludf.DUMMYFUNCTION("GOOGLETRANSLATE(B13321,""en"",""it"")"),"Una donna tiene il suo cane.")</f>
        <v>Una donna tiene il suo cane.</v>
      </c>
    </row>
    <row r="13322">
      <c r="A13322" s="4" t="s">
        <v>16764</v>
      </c>
      <c r="B13322" s="6" t="s">
        <v>16765</v>
      </c>
      <c r="C13322" s="5" t="str">
        <f>IFERROR(__xludf.DUMMYFUNCTION("GOOGLETRANSLATE(B13322,""en"",""it"")"),"Appare un'immagine ancora scattata di una specchio d'acqua e le parole gialle appaiono sullo schermo e leggi ""American disco"" e includono il sito Web.")</f>
        <v>Appare un'immagine ancora scattata di una specchio d'acqua e le parole gialle appaiono sullo schermo e leggi "American disco" e includono il sito Web.</v>
      </c>
    </row>
    <row r="13323">
      <c r="A13323" s="4" t="s">
        <v>16764</v>
      </c>
      <c r="B13323" s="4" t="s">
        <v>16766</v>
      </c>
      <c r="C13323" s="5" t="str">
        <f>IFERROR(__xludf.DUMMYFUNCTION("GOOGLETRANSLATE(B13323,""en"",""it"")"),"Una donna bruna ora sta parlando accanto all'acqua e sorride per tutto il tempo.")</f>
        <v>Una donna bruna ora sta parlando accanto all'acqua e sorride per tutto il tempo.</v>
      </c>
    </row>
    <row r="13324">
      <c r="A13324" s="4" t="s">
        <v>16764</v>
      </c>
      <c r="B13324" s="6" t="s">
        <v>16767</v>
      </c>
      <c r="C13324" s="5" t="str">
        <f>IFERROR(__xludf.DUMMYFUNCTION("GOOGLETRANSLATE(B13324,""en"",""it"")"),"Varie clip di persone giocano e sono tutte in piedi accanto o anche in acqua e sembrano tutte felici.")</f>
        <v>Varie clip di persone giocano e sono tutte in piedi accanto o anche in acqua e sembrano tutte felici.</v>
      </c>
    </row>
    <row r="13325">
      <c r="A13325" s="4" t="s">
        <v>16764</v>
      </c>
      <c r="B13325" s="6" t="s">
        <v>16768</v>
      </c>
      <c r="C13325" s="5" t="str">
        <f>IFERROR(__xludf.DUMMYFUNCTION("GOOGLETRANSLATE(B13325,""en"",""it"")"),"Le persone sono ora in acqua e fanno varie cose diverse, con una grande tavola circolare che sono in piedi, seduti, accovacciati, inginocchiandosi, cavalcando o fanno trucchi mentre a volte vengono tirati da una barca in rapido movimento.")</f>
        <v>Le persone sono ora in acqua e fanno varie cose diverse, con una grande tavola circolare che sono in piedi, seduti, accovacciati, inginocchiandosi, cavalcando o fanno trucchi mentre a volte vengono tirati da una barca in rapido movimento.</v>
      </c>
    </row>
    <row r="13326">
      <c r="A13326" s="4" t="s">
        <v>16764</v>
      </c>
      <c r="B13326" s="6" t="s">
        <v>16769</v>
      </c>
      <c r="C13326" s="5" t="str">
        <f>IFERROR(__xludf.DUMMYFUNCTION("GOOGLETRANSLATE(B13326,""en"",""it"")"),"Viene visualizzato uno schermo nero e le parole gialle vengono visualizzate sullo schermo e leggono ""il disco"", e ancora una volta la donna bruna sta parlando mentre si trova in piedi per l'acqua.")</f>
        <v>Viene visualizzato uno schermo nero e le parole gialle vengono visualizzate sullo schermo e leggono "il disco", e ancora una volta la donna bruna sta parlando mentre si trova in piedi per l'acqua.</v>
      </c>
    </row>
    <row r="13327">
      <c r="A13327" s="4" t="s">
        <v>16764</v>
      </c>
      <c r="B13327" s="4" t="s">
        <v>16770</v>
      </c>
      <c r="C13327" s="5" t="str">
        <f>IFERROR(__xludf.DUMMYFUNCTION("GOOGLETRANSLATE(B13327,""en"",""it"")"),"Lo schermo è quindi in nero e visualizza il loro sito Web in lettere gialle.")</f>
        <v>Lo schermo è quindi in nero e visualizza il loro sito Web in lettere gialle.</v>
      </c>
    </row>
    <row r="13328">
      <c r="A13328" s="4" t="s">
        <v>16771</v>
      </c>
      <c r="B13328" s="6" t="s">
        <v>16772</v>
      </c>
      <c r="C13328" s="5" t="str">
        <f>IFERROR(__xludf.DUMMYFUNCTION("GOOGLETRANSLATE(B13328,""en"",""it"")"),"Viene mostrato un primo piano di un tavolo che conduce in più clip di un disco che si muove lungo il tavolo da vari angoli.")</f>
        <v>Viene mostrato un primo piano di un tavolo che conduce in più clip di un disco che si muove lungo il tavolo da vari angoli.</v>
      </c>
    </row>
    <row r="13329">
      <c r="A13329" s="4" t="s">
        <v>16771</v>
      </c>
      <c r="B13329" s="6" t="s">
        <v>16773</v>
      </c>
      <c r="C13329" s="5" t="str">
        <f>IFERROR(__xludf.DUMMYFUNCTION("GOOGLETRANSLATE(B13329,""en"",""it"")"),"Le persone spingono e guardano in basso verso i dischi mentre si muovono e continuano a giocare tra loro e quarto.")</f>
        <v>Le persone spingono e guardano in basso verso i dischi mentre si muovono e continuano a giocare tra loro e quarto.</v>
      </c>
    </row>
    <row r="13330">
      <c r="A13330" s="4" t="s">
        <v>16774</v>
      </c>
      <c r="B13330" s="4" t="s">
        <v>16775</v>
      </c>
      <c r="C13330" s="5" t="str">
        <f>IFERROR(__xludf.DUMMYFUNCTION("GOOGLETRANSLATE(B13330,""en"",""it"")"),"Un gatto è seduto in un letto di gatto.")</f>
        <v>Un gatto è seduto in un letto di gatto.</v>
      </c>
    </row>
    <row r="13331">
      <c r="A13331" s="4" t="s">
        <v>16774</v>
      </c>
      <c r="B13331" s="4" t="s">
        <v>16776</v>
      </c>
      <c r="C13331" s="5" t="str">
        <f>IFERROR(__xludf.DUMMYFUNCTION("GOOGLETRANSLATE(B13331,""en"",""it"")"),"Sta leccando la zampa.")</f>
        <v>Sta leccando la zampa.</v>
      </c>
    </row>
    <row r="13332">
      <c r="A13332" s="4" t="s">
        <v>16774</v>
      </c>
      <c r="B13332" s="4" t="s">
        <v>16777</v>
      </c>
      <c r="C13332" s="5" t="str">
        <f>IFERROR(__xludf.DUMMYFUNCTION("GOOGLETRANSLATE(B13332,""en"",""it"")"),"Quindi si asciuga la zampa sull'orecchio.")</f>
        <v>Quindi si asciuga la zampa sull'orecchio.</v>
      </c>
    </row>
    <row r="13333">
      <c r="A13333" s="4" t="s">
        <v>16778</v>
      </c>
      <c r="B13333" s="4" t="s">
        <v>16779</v>
      </c>
      <c r="C13333" s="5" t="str">
        <f>IFERROR(__xludf.DUMMYFUNCTION("GOOGLETRANSLATE(B13333,""en"",""it"")"),"Una donna in un abito verde scintillante parla su un palco.")</f>
        <v>Una donna in un abito verde scintillante parla su un palco.</v>
      </c>
    </row>
    <row r="13334">
      <c r="A13334" s="4" t="s">
        <v>16778</v>
      </c>
      <c r="B13334" s="4" t="s">
        <v>16780</v>
      </c>
      <c r="C13334" s="5" t="str">
        <f>IFERROR(__xludf.DUMMYFUNCTION("GOOGLETRANSLATE(B13334,""en"",""it"")"),"Una coppia viene mostrata a ballare, calciare e vorticoso in modo creativo.")</f>
        <v>Una coppia viene mostrata a ballare, calciare e vorticoso in modo creativo.</v>
      </c>
    </row>
    <row r="13335">
      <c r="A13335" s="4" t="s">
        <v>16778</v>
      </c>
      <c r="B13335" s="4" t="s">
        <v>16781</v>
      </c>
      <c r="C13335" s="5" t="str">
        <f>IFERROR(__xludf.DUMMYFUNCTION("GOOGLETRANSLATE(B13335,""en"",""it"")"),"Quando hanno finito, si tengono per mano mentre la folla esercita.")</f>
        <v>Quando hanno finito, si tengono per mano mentre la folla esercita.</v>
      </c>
    </row>
    <row r="13336">
      <c r="A13336" s="4" t="s">
        <v>16778</v>
      </c>
      <c r="B13336" s="4" t="s">
        <v>16782</v>
      </c>
      <c r="C13336" s="5" t="str">
        <f>IFERROR(__xludf.DUMMYFUNCTION("GOOGLETRANSLATE(B13336,""en"",""it"")"),"Si avvicinano alla donna in un vestito verde, abbracciandola prima di lasciare il palco.")</f>
        <v>Si avvicinano alla donna in un vestito verde, abbracciandola prima di lasciare il palco.</v>
      </c>
    </row>
    <row r="13337">
      <c r="A13337" s="4" t="s">
        <v>16783</v>
      </c>
      <c r="B13337" s="4" t="s">
        <v>16784</v>
      </c>
      <c r="C13337" s="5" t="str">
        <f>IFERROR(__xludf.DUMMYFUNCTION("GOOGLETRANSLATE(B13337,""en"",""it"")"),"Due uomini giocano a tennis da tavolo mentre due giudici siedono alle due estremità.")</f>
        <v>Due uomini giocano a tennis da tavolo mentre due giudici siedono alle due estremità.</v>
      </c>
    </row>
    <row r="13338">
      <c r="A13338" s="4" t="s">
        <v>16783</v>
      </c>
      <c r="B13338" s="4" t="s">
        <v>16785</v>
      </c>
      <c r="C13338" s="5" t="str">
        <f>IFERROR(__xludf.DUMMYFUNCTION("GOOGLETRANSLATE(B13338,""en"",""it"")"),"Gli uomini colpiscono la palla avanti e indietro.")</f>
        <v>Gli uomini colpiscono la palla avanti e indietro.</v>
      </c>
    </row>
    <row r="13339">
      <c r="A13339" s="4" t="s">
        <v>16783</v>
      </c>
      <c r="B13339" s="4" t="s">
        <v>16786</v>
      </c>
      <c r="C13339" s="5" t="str">
        <f>IFERROR(__xludf.DUMMYFUNCTION("GOOGLETRANSLATE(B13339,""en"",""it"")"),"Il vincitore alza le mani mentre la folla esulta.")</f>
        <v>Il vincitore alza le mani mentre la folla esulta.</v>
      </c>
    </row>
    <row r="13340">
      <c r="A13340" s="4" t="s">
        <v>16783</v>
      </c>
      <c r="B13340" s="4" t="s">
        <v>16787</v>
      </c>
      <c r="C13340" s="5" t="str">
        <f>IFERROR(__xludf.DUMMYFUNCTION("GOOGLETRANSLATE(B13340,""en"",""it"")"),"La scena viene riprodotta dal suo successo di successo.")</f>
        <v>La scena viene riprodotta dal suo successo di successo.</v>
      </c>
    </row>
    <row r="13341">
      <c r="A13341" s="4" t="s">
        <v>16788</v>
      </c>
      <c r="B13341" s="4" t="s">
        <v>16789</v>
      </c>
      <c r="C13341" s="5" t="str">
        <f>IFERROR(__xludf.DUMMYFUNCTION("GOOGLETRANSLATE(B13341,""en"",""it"")"),"Un uomo è in palestra in ginocchio con una palla di medicina di medie dimensioni.")</f>
        <v>Un uomo è in palestra in ginocchio con una palla di medicina di medie dimensioni.</v>
      </c>
    </row>
    <row r="13342">
      <c r="A13342" s="4" t="s">
        <v>16788</v>
      </c>
      <c r="B13342" s="4" t="s">
        <v>16790</v>
      </c>
      <c r="C13342" s="5" t="str">
        <f>IFERROR(__xludf.DUMMYFUNCTION("GOOGLETRANSLATE(B13342,""en"",""it"")"),"Quindi si siede e inizia a gettare la palla avanti e indietro contro il muro.")</f>
        <v>Quindi si siede e inizia a gettare la palla avanti e indietro contro il muro.</v>
      </c>
    </row>
    <row r="13343">
      <c r="A13343" s="4" t="s">
        <v>16788</v>
      </c>
      <c r="B13343" s="4" t="s">
        <v>16791</v>
      </c>
      <c r="C13343" s="5" t="str">
        <f>IFERROR(__xludf.DUMMYFUNCTION("GOOGLETRANSLATE(B13343,""en"",""it"")"),"Dopo, un elenco di segnali appaiono prima di mostrare la sede e la loro pagina YouTube.")</f>
        <v>Dopo, un elenco di segnali appaiono prima di mostrare la sede e la loro pagina YouTube.</v>
      </c>
    </row>
    <row r="13344">
      <c r="A13344" s="4" t="s">
        <v>16792</v>
      </c>
      <c r="B13344" s="6" t="s">
        <v>16793</v>
      </c>
      <c r="C13344" s="5" t="str">
        <f>IFERROR(__xludf.DUMMYFUNCTION("GOOGLETRANSLATE(B13344,""en"",""it"")"),"Un uomo in verde seduto alla fine del quadrato di sabbia che gira video, ai lati della piazza ci sono tre uomini.")</f>
        <v>Un uomo in verde seduto alla fine del quadrato di sabbia che gira video, ai lati della piazza ci sono tre uomini.</v>
      </c>
    </row>
    <row r="13345">
      <c r="A13345" s="4" t="s">
        <v>16792</v>
      </c>
      <c r="B13345" s="4" t="s">
        <v>16794</v>
      </c>
      <c r="C13345" s="5" t="str">
        <f>IFERROR(__xludf.DUMMYFUNCTION("GOOGLETRANSLATE(B13345,""en"",""it"")"),"Il giovane atleta in uniforme blu corre in una corsia stretta, saltò e salta sul terreno sabbioso.")</f>
        <v>Il giovane atleta in uniforme blu corre in una corsia stretta, saltò e salta sul terreno sabbioso.</v>
      </c>
    </row>
    <row r="13346">
      <c r="A13346" s="4" t="s">
        <v>16795</v>
      </c>
      <c r="B13346" s="4" t="s">
        <v>16796</v>
      </c>
      <c r="C13346" s="5" t="str">
        <f>IFERROR(__xludf.DUMMYFUNCTION("GOOGLETRANSLATE(B13346,""en"",""it"")"),"Tre persone sono in una sala di notizie, parlano con la telecamera.")</f>
        <v>Tre persone sono in una sala di notizie, parlano con la telecamera.</v>
      </c>
    </row>
    <row r="13347">
      <c r="A13347" s="4" t="s">
        <v>16795</v>
      </c>
      <c r="B13347" s="4" t="s">
        <v>16797</v>
      </c>
      <c r="C13347" s="5" t="str">
        <f>IFERROR(__xludf.DUMMYFUNCTION("GOOGLETRANSLATE(B13347,""en"",""it"")"),"Una squadra sta giocando a hockey su ghiaccio e festeggia mentre vincono una partita.")</f>
        <v>Una squadra sta giocando a hockey su ghiaccio e festeggia mentre vincono una partita.</v>
      </c>
    </row>
    <row r="13348">
      <c r="A13348" s="4" t="s">
        <v>16795</v>
      </c>
      <c r="B13348" s="4" t="s">
        <v>16798</v>
      </c>
      <c r="C13348" s="5" t="str">
        <f>IFERROR(__xludf.DUMMYFUNCTION("GOOGLETRANSLATE(B13348,""en"",""it"")"),"I compagni di squadra felici sorridono per le interviste negli spogliatoi dopo.")</f>
        <v>I compagni di squadra felici sorridono per le interviste negli spogliatoi dopo.</v>
      </c>
    </row>
    <row r="13349">
      <c r="A13349" s="4" t="s">
        <v>16795</v>
      </c>
      <c r="B13349" s="4" t="s">
        <v>16799</v>
      </c>
      <c r="C13349" s="5" t="str">
        <f>IFERROR(__xludf.DUMMYFUNCTION("GOOGLETRANSLATE(B13349,""en"",""it"")"),"Le ruote di notizie sono mostrate con in mano bastoncini e ridono.")</f>
        <v>Le ruote di notizie sono mostrate con in mano bastoncini e ridono.</v>
      </c>
    </row>
    <row r="13350">
      <c r="A13350" s="4" t="s">
        <v>16800</v>
      </c>
      <c r="B13350" s="4" t="s">
        <v>16801</v>
      </c>
      <c r="C13350" s="5" t="str">
        <f>IFERROR(__xludf.DUMMYFUNCTION("GOOGLETRANSLATE(B13350,""en"",""it"")"),"Una donna viene vista estrarre il cibo da un frigorifero e parlare con una ragazza che cammina di sotto.")</f>
        <v>Una donna viene vista estrarre il cibo da un frigorifero e parlare con una ragazza che cammina di sotto.</v>
      </c>
    </row>
    <row r="13351">
      <c r="A13351" s="4" t="s">
        <v>16800</v>
      </c>
      <c r="B13351" s="4" t="s">
        <v>16802</v>
      </c>
      <c r="C13351" s="5" t="str">
        <f>IFERROR(__xludf.DUMMYFUNCTION("GOOGLETRANSLATE(B13351,""en"",""it"")"),"Le donne continuano a parlare quando un uomo scende anche le scale.")</f>
        <v>Le donne continuano a parlare quando un uomo scende anche le scale.</v>
      </c>
    </row>
    <row r="13352">
      <c r="A13352" s="4" t="s">
        <v>16800</v>
      </c>
      <c r="B13352" s="4" t="s">
        <v>16803</v>
      </c>
      <c r="C13352" s="5" t="str">
        <f>IFERROR(__xludf.DUMMYFUNCTION("GOOGLETRANSLATE(B13352,""en"",""it"")"),"La donna e l'uomo poi parlano e l'altra donna sale al piano di sopra.")</f>
        <v>La donna e l'uomo poi parlano e l'altra donna sale al piano di sopra.</v>
      </c>
    </row>
    <row r="13353">
      <c r="A13353" s="4" t="s">
        <v>16804</v>
      </c>
      <c r="B13353" s="4" t="s">
        <v>1487</v>
      </c>
      <c r="C13353" s="5" t="str">
        <f>IFERROR(__xludf.DUMMYFUNCTION("GOOGLETRANSLATE(B13353,""en"",""it"")"),"Vediamo una schermata del titolo di apertura.")</f>
        <v>Vediamo una schermata del titolo di apertura.</v>
      </c>
    </row>
    <row r="13354">
      <c r="A13354" s="4" t="s">
        <v>16804</v>
      </c>
      <c r="B13354" s="4" t="s">
        <v>16805</v>
      </c>
      <c r="C13354" s="5" t="str">
        <f>IFERROR(__xludf.DUMMYFUNCTION("GOOGLETRANSLATE(B13354,""en"",""it"")"),"Vediamo le mani di una donna con smalto per unghie.")</f>
        <v>Vediamo le mani di una donna con smalto per unghie.</v>
      </c>
    </row>
    <row r="13355">
      <c r="A13355" s="4" t="s">
        <v>16804</v>
      </c>
      <c r="B13355" s="4" t="s">
        <v>16806</v>
      </c>
      <c r="C13355" s="5" t="str">
        <f>IFERROR(__xludf.DUMMYFUNCTION("GOOGLETRANSLATE(B13355,""en"",""it"")"),"La signora si mette il nastro sul dito attorno all'unghia e mette su di loro lo smalto chiaro e bianco.")</f>
        <v>La signora si mette il nastro sul dito attorno all'unghia e mette su di loro lo smalto chiaro e bianco.</v>
      </c>
    </row>
    <row r="13356">
      <c r="A13356" s="4" t="s">
        <v>16804</v>
      </c>
      <c r="B13356" s="4" t="s">
        <v>16807</v>
      </c>
      <c r="C13356" s="5" t="str">
        <f>IFERROR(__xludf.DUMMYFUNCTION("GOOGLETRANSLATE(B13356,""en"",""it"")"),"La signora aggiunge gocce di smalto a un bicchiere di liquido e lo attraversa.")</f>
        <v>La signora aggiunge gocce di smalto a un bicchiere di liquido e lo attraversa.</v>
      </c>
    </row>
    <row r="13357">
      <c r="A13357" s="4" t="s">
        <v>16804</v>
      </c>
      <c r="B13357" s="4" t="s">
        <v>16808</v>
      </c>
      <c r="C13357" s="5" t="str">
        <f>IFERROR(__xludf.DUMMYFUNCTION("GOOGLETRANSLATE(B13357,""en"",""it"")"),"La signora mette un chiodo nella tazza e usa un bastone per rimuovere lo smalto.")</f>
        <v>La signora mette un chiodo nella tazza e usa un bastone per rimuovere lo smalto.</v>
      </c>
    </row>
    <row r="13358">
      <c r="A13358" s="4" t="s">
        <v>16804</v>
      </c>
      <c r="B13358" s="4" t="s">
        <v>16809</v>
      </c>
      <c r="C13358" s="5" t="str">
        <f>IFERROR(__xludf.DUMMYFUNCTION("GOOGLETRANSLATE(B13358,""en"",""it"")"),"La signora tira il nastro di poi mette un cappotto trasparente sulle unghie.")</f>
        <v>La signora tira il nastro di poi mette un cappotto trasparente sulle unghie.</v>
      </c>
    </row>
    <row r="13359">
      <c r="A13359" s="4" t="s">
        <v>16804</v>
      </c>
      <c r="B13359" s="4" t="s">
        <v>5107</v>
      </c>
      <c r="C13359" s="5" t="str">
        <f>IFERROR(__xludf.DUMMYFUNCTION("GOOGLETRANSLATE(B13359,""en"",""it"")"),"Vediamo quindi la schermata del titolo finale.")</f>
        <v>Vediamo quindi la schermata del titolo finale.</v>
      </c>
    </row>
    <row r="13360">
      <c r="A13360" s="4" t="s">
        <v>16810</v>
      </c>
      <c r="B13360" s="4" t="s">
        <v>16811</v>
      </c>
      <c r="C13360" s="5" t="str">
        <f>IFERROR(__xludf.DUMMYFUNCTION("GOOGLETRANSLATE(B13360,""en"",""it"")"),"Una donna è sul palco facendo una routine di danza del ventre, è molto appassionata.")</f>
        <v>Una donna è sul palco facendo una routine di danza del ventre, è molto appassionata.</v>
      </c>
    </row>
    <row r="13361">
      <c r="A13361" s="4" t="s">
        <v>16810</v>
      </c>
      <c r="B13361" s="4" t="s">
        <v>16812</v>
      </c>
      <c r="C13361" s="5" t="str">
        <f>IFERROR(__xludf.DUMMYFUNCTION("GOOGLETRANSLATE(B13361,""en"",""it"")"),"Comincia a girare in cerchio, il suo vestito rotea insieme a lei.")</f>
        <v>Comincia a girare in cerchio, il suo vestito rotea insieme a lei.</v>
      </c>
    </row>
    <row r="13362">
      <c r="A13362" s="4" t="s">
        <v>16810</v>
      </c>
      <c r="B13362" s="6" t="s">
        <v>16813</v>
      </c>
      <c r="C13362" s="5" t="str">
        <f>IFERROR(__xludf.DUMMYFUNCTION("GOOGLETRANSLATE(B13362,""en"",""it"")"),"Il suo vestito si alza sulla testa e poi fino alle sue spalle, continua a girare in cerchio e si toglie il vestito e lo tiene come un bambino.")</f>
        <v>Il suo vestito si alza sulla testa e poi fino alle sue spalle, continua a girare in cerchio e si toglie il vestito e lo tiene come un bambino.</v>
      </c>
    </row>
    <row r="13363">
      <c r="A13363" s="4" t="s">
        <v>16810</v>
      </c>
      <c r="B13363" s="4" t="s">
        <v>16814</v>
      </c>
      <c r="C13363" s="5" t="str">
        <f>IFERROR(__xludf.DUMMYFUNCTION("GOOGLETRANSLATE(B13363,""en"",""it"")"),"Torna a girare fino a quando la sua danza non è finita e poi scende a terra.")</f>
        <v>Torna a girare fino a quando la sua danza non è finita e poi scende a terra.</v>
      </c>
    </row>
    <row r="13364">
      <c r="A13364" s="4" t="s">
        <v>16815</v>
      </c>
      <c r="B13364" s="4" t="s">
        <v>16816</v>
      </c>
      <c r="C13364" s="5" t="str">
        <f>IFERROR(__xludf.DUMMYFUNCTION("GOOGLETRANSLATE(B13364,""en"",""it"")"),"Una donna e una ragazza stanno cercando di mettere un cane in una doccia.")</f>
        <v>Una donna e una ragazza stanno cercando di mettere un cane in una doccia.</v>
      </c>
    </row>
    <row r="13365">
      <c r="A13365" s="4" t="s">
        <v>16815</v>
      </c>
      <c r="B13365" s="4" t="s">
        <v>16817</v>
      </c>
      <c r="C13365" s="5" t="str">
        <f>IFERROR(__xludf.DUMMYFUNCTION("GOOGLETRANSLATE(B13365,""en"",""it"")"),"Il cane continua a saltare indietro.")</f>
        <v>Il cane continua a saltare indietro.</v>
      </c>
    </row>
    <row r="13366">
      <c r="A13366" s="4" t="s">
        <v>16815</v>
      </c>
      <c r="B13366" s="4" t="s">
        <v>16818</v>
      </c>
      <c r="C13366" s="5" t="str">
        <f>IFERROR(__xludf.DUMMYFUNCTION("GOOGLETRANSLATE(B13366,""en"",""it"")"),"Alla fine danno al cane un bagno all'aperto con un tubo.")</f>
        <v>Alla fine danno al cane un bagno all'aperto con un tubo.</v>
      </c>
    </row>
    <row r="13367">
      <c r="A13367" s="4" t="s">
        <v>16819</v>
      </c>
      <c r="B13367" s="6" t="s">
        <v>16820</v>
      </c>
      <c r="C13367" s="5" t="str">
        <f>IFERROR(__xludf.DUMMYFUNCTION("GOOGLETRANSLATE(B13367,""en"",""it"")"),"Un uomo snowboard su pendii e colline coperti in neve e molti altri oggetti come ringhiere, tetti, garage e monconi degli alberi.")</f>
        <v>Un uomo snowboard su pendii e colline coperti in neve e molti altri oggetti come ringhiere, tetti, garage e monconi degli alberi.</v>
      </c>
    </row>
    <row r="13368">
      <c r="A13368" s="4" t="s">
        <v>16819</v>
      </c>
      <c r="B13368" s="4" t="s">
        <v>16821</v>
      </c>
      <c r="C13368" s="5" t="str">
        <f>IFERROR(__xludf.DUMMYFUNCTION("GOOGLETRANSLATE(B13368,""en"",""it"")"),"Un uomo snowboard sulla collina innevata.")</f>
        <v>Un uomo snowboard sulla collina innevata.</v>
      </c>
    </row>
    <row r="13369">
      <c r="A13369" s="4" t="s">
        <v>16819</v>
      </c>
      <c r="B13369" s="4" t="s">
        <v>16822</v>
      </c>
      <c r="C13369" s="5" t="str">
        <f>IFERROR(__xludf.DUMMYFUNCTION("GOOGLETRANSLATE(B13369,""en"",""it"")"),"L'uomo continua quindi a fare snowboard da un tetto da garage, una ringhiera per scale e molti altri luoghi.")</f>
        <v>L'uomo continua quindi a fare snowboard da un tetto da garage, una ringhiera per scale e molti altri luoghi.</v>
      </c>
    </row>
    <row r="13370">
      <c r="A13370" s="4" t="s">
        <v>16819</v>
      </c>
      <c r="B13370" s="4" t="s">
        <v>16823</v>
      </c>
      <c r="C13370" s="5" t="str">
        <f>IFERROR(__xludf.DUMMYFUNCTION("GOOGLETRANSLATE(B13370,""en"",""it"")"),"L'uomo fa un giro completo nella neve nel colpo finale.")</f>
        <v>L'uomo fa un giro completo nella neve nel colpo finale.</v>
      </c>
    </row>
    <row r="13371">
      <c r="A13371" s="4" t="s">
        <v>16824</v>
      </c>
      <c r="B13371" s="4" t="s">
        <v>16825</v>
      </c>
      <c r="C13371" s="5" t="str">
        <f>IFERROR(__xludf.DUMMYFUNCTION("GOOGLETRANSLATE(B13371,""en"",""it"")"),"Un ragazzo si sciacqua il viso con l'acqua in un lavandino da bagno.")</f>
        <v>Un ragazzo si sciacqua il viso con l'acqua in un lavandino da bagno.</v>
      </c>
    </row>
    <row r="13372">
      <c r="A13372" s="4" t="s">
        <v>16824</v>
      </c>
      <c r="B13372" s="4" t="s">
        <v>16826</v>
      </c>
      <c r="C13372" s="5" t="str">
        <f>IFERROR(__xludf.DUMMYFUNCTION("GOOGLETRANSLATE(B13372,""en"",""it"")"),"I ragazzi ridono e scherzano insieme in bagno.")</f>
        <v>I ragazzi ridono e scherzano insieme in bagno.</v>
      </c>
    </row>
    <row r="13373">
      <c r="A13373" s="4" t="s">
        <v>16824</v>
      </c>
      <c r="B13373" s="4" t="s">
        <v>16827</v>
      </c>
      <c r="C13373" s="5" t="str">
        <f>IFERROR(__xludf.DUMMYFUNCTION("GOOGLETRANSLATE(B13373,""en"",""it"")"),"Un ragazzo si strofina il sapone sulle mani e poi sul viso.")</f>
        <v>Un ragazzo si strofina il sapone sulle mani e poi sul viso.</v>
      </c>
    </row>
    <row r="13374">
      <c r="A13374" s="4" t="s">
        <v>16824</v>
      </c>
      <c r="B13374" s="4" t="s">
        <v>16828</v>
      </c>
      <c r="C13374" s="5" t="str">
        <f>IFERROR(__xludf.DUMMYFUNCTION("GOOGLETRANSLATE(B13374,""en"",""it"")"),"Il ragazzo si sciacqua il sapone dal suo viso nel lavandino.")</f>
        <v>Il ragazzo si sciacqua il sapone dal suo viso nel lavandino.</v>
      </c>
    </row>
    <row r="13375">
      <c r="A13375" s="4" t="s">
        <v>16824</v>
      </c>
      <c r="B13375" s="4" t="s">
        <v>16829</v>
      </c>
      <c r="C13375" s="5" t="str">
        <f>IFERROR(__xludf.DUMMYFUNCTION("GOOGLETRANSLATE(B13375,""en"",""it"")"),"Il ragazzo rotola su l'asciugamano e lo lancia nell'angolo della stanza.")</f>
        <v>Il ragazzo rotola su l'asciugamano e lo lancia nell'angolo della stanza.</v>
      </c>
    </row>
    <row r="13376">
      <c r="A13376" s="4" t="s">
        <v>16830</v>
      </c>
      <c r="B13376" s="4" t="s">
        <v>16831</v>
      </c>
      <c r="C13376" s="5" t="str">
        <f>IFERROR(__xludf.DUMMYFUNCTION("GOOGLETRANSLATE(B13376,""en"",""it"")"),"Un vecchio capovolge uno skateboard con i piedi, poi prendilo e lancia sul pavimento e pattina.")</f>
        <v>Un vecchio capovolge uno skateboard con i piedi, poi prendilo e lancia sul pavimento e pattina.</v>
      </c>
    </row>
    <row r="13377">
      <c r="A13377" s="4" t="s">
        <v>16830</v>
      </c>
      <c r="B13377" s="6" t="s">
        <v>16832</v>
      </c>
      <c r="C13377" s="5" t="str">
        <f>IFERROR(__xludf.DUMMYFUNCTION("GOOGLETRANSLATE(B13377,""en"",""it"")"),"Dopo, l'uomo colpì lo skateboard con il piede e si alza in alto, l'uomo cerca di catturare lo skateboard ma gli manca.")</f>
        <v>Dopo, l'uomo colpì lo skateboard con il piede e si alza in alto, l'uomo cerca di catturare lo skateboard ma gli manca.</v>
      </c>
    </row>
    <row r="13378">
      <c r="A13378" s="4" t="s">
        <v>16830</v>
      </c>
      <c r="B13378" s="4" t="s">
        <v>16833</v>
      </c>
      <c r="C13378" s="5" t="str">
        <f>IFERROR(__xludf.DUMMYFUNCTION("GOOGLETRANSLATE(B13378,""en"",""it"")"),"Un ragazzo viene quasi colpito da uno skateboard.")</f>
        <v>Un ragazzo viene quasi colpito da uno skateboard.</v>
      </c>
    </row>
    <row r="13379">
      <c r="A13379" s="4" t="s">
        <v>16830</v>
      </c>
      <c r="B13379" s="4" t="s">
        <v>16834</v>
      </c>
      <c r="C13379" s="5" t="str">
        <f>IFERROR(__xludf.DUMMYFUNCTION("GOOGLETRANSLATE(B13379,""en"",""it"")"),"Quindi l'uomo pattina sul parco e poi va su una pista da skateboard.")</f>
        <v>Quindi l'uomo pattina sul parco e poi va su una pista da skateboard.</v>
      </c>
    </row>
    <row r="13380">
      <c r="A13380" s="4" t="s">
        <v>16835</v>
      </c>
      <c r="B13380" s="4" t="s">
        <v>16836</v>
      </c>
      <c r="C13380" s="5" t="str">
        <f>IFERROR(__xludf.DUMMYFUNCTION("GOOGLETRANSLATE(B13380,""en"",""it"")"),"Un ragazzo in un maglione blu salta fuori da un lato e si trova di fronte a una tavola da dardo.")</f>
        <v>Un ragazzo in un maglione blu salta fuori da un lato e si trova di fronte a una tavola da dardo.</v>
      </c>
    </row>
    <row r="13381">
      <c r="A13381" s="4" t="s">
        <v>16835</v>
      </c>
      <c r="B13381" s="4" t="s">
        <v>16837</v>
      </c>
      <c r="C13381" s="5" t="str">
        <f>IFERROR(__xludf.DUMMYFUNCTION("GOOGLETRANSLATE(B13381,""en"",""it"")"),"Una volta che si calma, si gira e inizia a lanciare freccette sul tabellone.")</f>
        <v>Una volta che si calma, si gira e inizia a lanciare freccette sul tabellone.</v>
      </c>
    </row>
    <row r="13382">
      <c r="A13382" s="4" t="s">
        <v>16835</v>
      </c>
      <c r="B13382" s="4" t="s">
        <v>16838</v>
      </c>
      <c r="C13382" s="5" t="str">
        <f>IFERROR(__xludf.DUMMYFUNCTION("GOOGLETRANSLATE(B13382,""en"",""it"")"),"Dopo che tutte le freccette vengono lanciate, la fotocamera si ingrandisce sui freccette per mostrare ciò che aveva fatto.")</f>
        <v>Dopo che tutte le freccette vengono lanciate, la fotocamera si ingrandisce sui freccette per mostrare ciò che aveva fatto.</v>
      </c>
    </row>
    <row r="13383">
      <c r="A13383" s="4" t="s">
        <v>16839</v>
      </c>
      <c r="B13383" s="4" t="s">
        <v>16840</v>
      </c>
      <c r="C13383" s="5" t="str">
        <f>IFERROR(__xludf.DUMMYFUNCTION("GOOGLETRANSLATE(B13383,""en"",""it"")"),"Un uomo con un cappello nero sta parlando con la telecamera.")</f>
        <v>Un uomo con un cappello nero sta parlando con la telecamera.</v>
      </c>
    </row>
    <row r="13384">
      <c r="A13384" s="4" t="s">
        <v>16839</v>
      </c>
      <c r="B13384" s="4" t="s">
        <v>16841</v>
      </c>
      <c r="C13384" s="5" t="str">
        <f>IFERROR(__xludf.DUMMYFUNCTION("GOOGLETRANSLATE(B13384,""en"",""it"")"),"Comincia a suonare un violino sulla spalla.")</f>
        <v>Comincia a suonare un violino sulla spalla.</v>
      </c>
    </row>
    <row r="13385">
      <c r="A13385" s="4" t="s">
        <v>16839</v>
      </c>
      <c r="B13385" s="4" t="s">
        <v>16842</v>
      </c>
      <c r="C13385" s="5" t="str">
        <f>IFERROR(__xludf.DUMMYFUNCTION("GOOGLETRANSLATE(B13385,""en"",""it"")"),"Smette di giocare e mette il violino al suo fianco.")</f>
        <v>Smette di giocare e mette il violino al suo fianco.</v>
      </c>
    </row>
    <row r="13386">
      <c r="A13386" s="4" t="s">
        <v>16843</v>
      </c>
      <c r="B13386" s="6" t="s">
        <v>16844</v>
      </c>
      <c r="C13386" s="5" t="str">
        <f>IFERROR(__xludf.DUMMYFUNCTION("GOOGLETRANSLATE(B13386,""en"",""it"")"),"Un uomo e un cane sono fuori in un campo e il cane tiene il frisbee tra le gambe e il cane salta sulla schiena della persona e prende il frisbee.")</f>
        <v>Un uomo e un cane sono fuori in un campo e il cane tiene il frisbee tra le gambe e il cane salta sulla schiena della persona e prende il frisbee.</v>
      </c>
    </row>
    <row r="13387">
      <c r="A13387" s="4" t="s">
        <v>16843</v>
      </c>
      <c r="B13387" s="6" t="s">
        <v>16845</v>
      </c>
      <c r="C13387" s="5" t="str">
        <f>IFERROR(__xludf.DUMMYFUNCTION("GOOGLETRANSLATE(B13387,""en"",""it"")"),"Il gioco continua e i due continuano a giocare con il frisbee mentre il proprietario mette le gambe per ottenere il cane.")</f>
        <v>Il gioco continua e i due continuano a giocare con il frisbee mentre il proprietario mette le gambe per ottenere il cane.</v>
      </c>
    </row>
    <row r="13388">
      <c r="A13388" s="4" t="s">
        <v>16843</v>
      </c>
      <c r="B13388" s="4" t="s">
        <v>16846</v>
      </c>
      <c r="C13388" s="5" t="str">
        <f>IFERROR(__xludf.DUMMYFUNCTION("GOOGLETRANSLATE(B13388,""en"",""it"")"),"Ora, l'umano ha quattro o cinque frisbee e inizia a lanciarli rapidamente per il cane.")</f>
        <v>Ora, l'umano ha quattro o cinque frisbee e inizia a lanciarli rapidamente per il cane.</v>
      </c>
    </row>
    <row r="13389">
      <c r="A13389" s="4" t="s">
        <v>16847</v>
      </c>
      <c r="B13389" s="4" t="s">
        <v>16848</v>
      </c>
      <c r="C13389" s="5" t="str">
        <f>IFERROR(__xludf.DUMMYFUNCTION("GOOGLETRANSLATE(B13389,""en"",""it"")"),"Una vista di una casa viene brevemente mostrata.")</f>
        <v>Una vista di una casa viene brevemente mostrata.</v>
      </c>
    </row>
    <row r="13390">
      <c r="A13390" s="4" t="s">
        <v>16847</v>
      </c>
      <c r="B13390" s="6" t="s">
        <v>16849</v>
      </c>
      <c r="C13390" s="5" t="str">
        <f>IFERROR(__xludf.DUMMYFUNCTION("GOOGLETRANSLATE(B13390,""en"",""it"")"),"Si lancia in un'altra stanza e mostra un bambino piccolo seduto su un tamburo, succhia un ciuccio e tiene due bacchette e colpendo la batteria.")</f>
        <v>Si lancia in un'altra stanza e mostra un bambino piccolo seduto su un tamburo, succhia un ciuccio e tiene due bacchette e colpendo la batteria.</v>
      </c>
    </row>
    <row r="13391">
      <c r="A13391" s="4" t="s">
        <v>16847</v>
      </c>
      <c r="B13391" s="6" t="s">
        <v>16850</v>
      </c>
      <c r="C13391" s="5" t="str">
        <f>IFERROR(__xludf.DUMMYFUNCTION("GOOGLETRANSLATE(B13391,""en"",""it"")"),"Il bambino colpisce i piatti alcune volte con la mano sinistra, quindi afferra le bacchette e inizia a colpire tutti i tamburi.")</f>
        <v>Il bambino colpisce i piatti alcune volte con la mano sinistra, quindi afferra le bacchette e inizia a colpire tutti i tamburi.</v>
      </c>
    </row>
    <row r="13392">
      <c r="A13392" s="4" t="s">
        <v>16851</v>
      </c>
      <c r="B13392" s="6" t="s">
        <v>16852</v>
      </c>
      <c r="C13392" s="5" t="str">
        <f>IFERROR(__xludf.DUMMYFUNCTION("GOOGLETRANSLATE(B13392,""en"",""it"")"),"Si vedono due uomini tenuti per mano con un ref che li tiene insieme e conduce in una partita di wrestling del braccio.")</f>
        <v>Si vedono due uomini tenuti per mano con un ref che li tiene insieme e conduce in una partita di wrestling del braccio.</v>
      </c>
    </row>
    <row r="13393">
      <c r="A13393" s="4" t="s">
        <v>16851</v>
      </c>
      <c r="B13393" s="4" t="s">
        <v>16853</v>
      </c>
      <c r="C13393" s="5" t="str">
        <f>IFERROR(__xludf.DUMMYFUNCTION("GOOGLETRANSLATE(B13393,""en"",""it"")"),"Un uomo vince e poi continua a bramare molte altre persone.")</f>
        <v>Un uomo vince e poi continua a bramare molte altre persone.</v>
      </c>
    </row>
    <row r="13394">
      <c r="A13394" s="4" t="s">
        <v>16854</v>
      </c>
      <c r="B13394" s="4" t="s">
        <v>16855</v>
      </c>
      <c r="C13394" s="5" t="str">
        <f>IFERROR(__xludf.DUMMYFUNCTION("GOOGLETRANSLATE(B13394,""en"",""it"")"),"Un uomo parla fuori in un giardino.")</f>
        <v>Un uomo parla fuori in un giardino.</v>
      </c>
    </row>
    <row r="13395">
      <c r="A13395" s="4" t="s">
        <v>16854</v>
      </c>
      <c r="B13395" s="4" t="s">
        <v>16856</v>
      </c>
      <c r="C13395" s="5" t="str">
        <f>IFERROR(__xludf.DUMMYFUNCTION("GOOGLETRANSLATE(B13395,""en"",""it"")"),"Tiene in mano un coltello tascabile.")</f>
        <v>Tiene in mano un coltello tascabile.</v>
      </c>
    </row>
    <row r="13396">
      <c r="A13396" s="4" t="s">
        <v>16854</v>
      </c>
      <c r="B13396" s="4" t="s">
        <v>16857</v>
      </c>
      <c r="C13396" s="5" t="str">
        <f>IFERROR(__xludf.DUMMYFUNCTION("GOOGLETRANSLATE(B13396,""en"",""it"")"),"Usa una pietra per affinare il coltello per la fotocamera.")</f>
        <v>Usa una pietra per affinare il coltello per la fotocamera.</v>
      </c>
    </row>
    <row r="13397">
      <c r="A13397" s="4" t="s">
        <v>16858</v>
      </c>
      <c r="B13397" s="4" t="s">
        <v>16859</v>
      </c>
      <c r="C13397" s="5" t="str">
        <f>IFERROR(__xludf.DUMMYFUNCTION("GOOGLETRANSLATE(B13397,""en"",""it"")"),"Le persone sono in piedi in un cerchio che applaudi.")</f>
        <v>Le persone sono in piedi in un cerchio che applaudi.</v>
      </c>
    </row>
    <row r="13398">
      <c r="A13398" s="4" t="s">
        <v>16858</v>
      </c>
      <c r="B13398" s="4" t="s">
        <v>16860</v>
      </c>
      <c r="C13398" s="5" t="str">
        <f>IFERROR(__xludf.DUMMYFUNCTION("GOOGLETRANSLATE(B13398,""en"",""it"")"),"Due persone iniziano a combattere nel cerchio.")</f>
        <v>Due persone iniziano a combattere nel cerchio.</v>
      </c>
    </row>
    <row r="13399">
      <c r="A13399" s="4" t="s">
        <v>16858</v>
      </c>
      <c r="B13399" s="4" t="s">
        <v>16861</v>
      </c>
      <c r="C13399" s="5" t="str">
        <f>IFERROR(__xludf.DUMMYFUNCTION("GOOGLETRANSLATE(B13399,""en"",""it"")"),"Le donne ballano e tengono bastoncini.")</f>
        <v>Le donne ballano e tengono bastoncini.</v>
      </c>
    </row>
    <row r="13400">
      <c r="A13400" s="4" t="s">
        <v>16862</v>
      </c>
      <c r="B13400" s="6" t="s">
        <v>16863</v>
      </c>
      <c r="C13400" s="5" t="str">
        <f>IFERROR(__xludf.DUMMYFUNCTION("GOOGLETRANSLATE(B13400,""en"",""it"")"),"Un uomo atletico viene visto inasprire fino a una serie di barre irregolari e mette le braccia per presentare che è pronto.")</f>
        <v>Un uomo atletico viene visto inasprire fino a una serie di barre irregolari e mette le braccia per presentare che è pronto.</v>
      </c>
    </row>
    <row r="13401">
      <c r="A13401" s="4" t="s">
        <v>16862</v>
      </c>
      <c r="B13401" s="4" t="s">
        <v>16864</v>
      </c>
      <c r="C13401" s="5" t="str">
        <f>IFERROR(__xludf.DUMMYFUNCTION("GOOGLETRANSLATE(B13401,""en"",""it"")"),"L'uomo continua a girare se stesso a esibirsi e trucchi sulle barre irregolari.")</f>
        <v>L'uomo continua a girare se stesso a esibirsi e trucchi sulle barre irregolari.</v>
      </c>
    </row>
    <row r="13402">
      <c r="A13402" s="4" t="s">
        <v>16862</v>
      </c>
      <c r="B13402" s="4" t="s">
        <v>16865</v>
      </c>
      <c r="C13402" s="5" t="str">
        <f>IFERROR(__xludf.DUMMYFUNCTION("GOOGLETRANSLATE(B13402,""en"",""it"")"),"L'uomo continua a girare e termina traballante ma mette le mani alzate per finire.")</f>
        <v>L'uomo continua a girare e termina traballante ma mette le mani alzate per finire.</v>
      </c>
    </row>
    <row r="13403">
      <c r="A13403" s="4" t="s">
        <v>16866</v>
      </c>
      <c r="B13403" s="4" t="s">
        <v>16867</v>
      </c>
      <c r="C13403" s="5" t="str">
        <f>IFERROR(__xludf.DUMMYFUNCTION("GOOGLETRANSLATE(B13403,""en"",""it"")"),"Un uomo si avvicina alla fine di un tavolo che ha un mucchio di tazze rosse disposte in un triangolo.")</f>
        <v>Un uomo si avvicina alla fine di un tavolo che ha un mucchio di tazze rosse disposte in un triangolo.</v>
      </c>
    </row>
    <row r="13404">
      <c r="A13404" s="4" t="s">
        <v>16866</v>
      </c>
      <c r="B13404" s="4" t="s">
        <v>16868</v>
      </c>
      <c r="C13404" s="5" t="str">
        <f>IFERROR(__xludf.DUMMYFUNCTION("GOOGLETRANSLATE(B13404,""en"",""it"")"),"Comincia a lanciare una palla nelle tazze.")</f>
        <v>Comincia a lanciare una palla nelle tazze.</v>
      </c>
    </row>
    <row r="13405">
      <c r="A13405" s="4" t="s">
        <v>16866</v>
      </c>
      <c r="B13405" s="4" t="s">
        <v>16869</v>
      </c>
      <c r="C13405" s="5" t="str">
        <f>IFERROR(__xludf.DUMMYFUNCTION("GOOGLETRANSLATE(B13405,""en"",""it"")"),"Il video va a nero e un grafico sembra chiudere la clip.")</f>
        <v>Il video va a nero e un grafico sembra chiudere la clip.</v>
      </c>
    </row>
    <row r="13406">
      <c r="A13406" s="4" t="s">
        <v>16870</v>
      </c>
      <c r="B13406" s="4" t="s">
        <v>16871</v>
      </c>
      <c r="C13406" s="5" t="str">
        <f>IFERROR(__xludf.DUMMYFUNCTION("GOOGLETRANSLATE(B13406,""en"",""it"")"),"Una donna con una camicia nera sta ballando.")</f>
        <v>Una donna con una camicia nera sta ballando.</v>
      </c>
    </row>
    <row r="13407">
      <c r="A13407" s="4" t="s">
        <v>16870</v>
      </c>
      <c r="B13407" s="4" t="s">
        <v>16872</v>
      </c>
      <c r="C13407" s="5" t="str">
        <f>IFERROR(__xludf.DUMMYFUNCTION("GOOGLETRANSLATE(B13407,""en"",""it"")"),"Sta facendo roteare un testimone.")</f>
        <v>Sta facendo roteare un testimone.</v>
      </c>
    </row>
    <row r="13408">
      <c r="A13408" s="4" t="s">
        <v>16870</v>
      </c>
      <c r="B13408" s="4" t="s">
        <v>16873</v>
      </c>
      <c r="C13408" s="5" t="str">
        <f>IFERROR(__xludf.DUMMYFUNCTION("GOOGLETRANSLATE(B13408,""en"",""it"")"),"Cattura il testimone e le roteare.")</f>
        <v>Cattura il testimone e le roteare.</v>
      </c>
    </row>
    <row r="13409">
      <c r="A13409" s="4" t="s">
        <v>16874</v>
      </c>
      <c r="B13409" s="4" t="s">
        <v>16875</v>
      </c>
      <c r="C13409" s="5" t="str">
        <f>IFERROR(__xludf.DUMMYFUNCTION("GOOGLETRANSLATE(B13409,""en"",""it"")"),"Un gruppo si reca verso un fiume, entrando in zattere gonfiabili.")</f>
        <v>Un gruppo si reca verso un fiume, entrando in zattere gonfiabili.</v>
      </c>
    </row>
    <row r="13410">
      <c r="A13410" s="4" t="s">
        <v>16874</v>
      </c>
      <c r="B13410" s="4" t="s">
        <v>16876</v>
      </c>
      <c r="C13410" s="5" t="str">
        <f>IFERROR(__xludf.DUMMYFUNCTION("GOOGLETRANSLATE(B13410,""en"",""it"")"),"Pagcano rapidamente lungo il fiume attraverso le rapide rapide bianche e su piccole cascate.")</f>
        <v>Pagcano rapidamente lungo il fiume attraverso le rapide rapide bianche e su piccole cascate.</v>
      </c>
    </row>
    <row r="13411">
      <c r="A13411" s="4" t="s">
        <v>16874</v>
      </c>
      <c r="B13411" s="4" t="s">
        <v>16877</v>
      </c>
      <c r="C13411" s="5" t="str">
        <f>IFERROR(__xludf.DUMMYFUNCTION("GOOGLETRANSLATE(B13411,""en"",""it"")"),"Fluttuano lentamente indietro mentre l'acqua spruzza su di loro da una caduta.")</f>
        <v>Fluttuano lentamente indietro mentre l'acqua spruzza su di loro da una caduta.</v>
      </c>
    </row>
    <row r="13412">
      <c r="A13412" s="4" t="s">
        <v>16878</v>
      </c>
      <c r="B13412" s="6" t="s">
        <v>16879</v>
      </c>
      <c r="C13412" s="5" t="str">
        <f>IFERROR(__xludf.DUMMYFUNCTION("GOOGLETRANSLATE(B13412,""en"",""it"")"),"Vediamo la faccia di un uomo da vicino con il suo nome imposto su di esso mentre l'uomo si prepara a correre su una pista.")</f>
        <v>Vediamo la faccia di un uomo da vicino con il suo nome imposto su di esso mentre l'uomo si prepara a correre su una pista.</v>
      </c>
    </row>
    <row r="13413">
      <c r="A13413" s="4" t="s">
        <v>16878</v>
      </c>
      <c r="B13413" s="4" t="s">
        <v>16880</v>
      </c>
      <c r="C13413" s="5" t="str">
        <f>IFERROR(__xludf.DUMMYFUNCTION("GOOGLETRANSLATE(B13413,""en"",""it"")"),"L'uomo corre lungo la pista ed esegue un salto in lungo e getta le braccia in aria.")</f>
        <v>L'uomo corre lungo la pista ed esegue un salto in lungo e getta le braccia in aria.</v>
      </c>
    </row>
    <row r="13414">
      <c r="A13414" s="4" t="s">
        <v>16878</v>
      </c>
      <c r="B13414" s="4" t="s">
        <v>16881</v>
      </c>
      <c r="C13414" s="5" t="str">
        <f>IFERROR(__xludf.DUMMYFUNCTION("GOOGLETRANSLATE(B13414,""en"",""it"")"),"Vediamo un altro uomo che allunga le braccia.")</f>
        <v>Vediamo un altro uomo che allunga le braccia.</v>
      </c>
    </row>
    <row r="13415">
      <c r="A13415" s="4" t="s">
        <v>16878</v>
      </c>
      <c r="B13415" s="6" t="s">
        <v>16882</v>
      </c>
      <c r="C13415" s="5" t="str">
        <f>IFERROR(__xludf.DUMMYFUNCTION("GOOGLETRANSLATE(B13415,""en"",""it"")"),"Il jumper attende che i punteggi appaiano sullo schermo e l'uomo che ha saltato le mani in aria e scappa.")</f>
        <v>Il jumper attende che i punteggi appaiano sullo schermo e l'uomo che ha saltato le mani in aria e scappa.</v>
      </c>
    </row>
    <row r="13416">
      <c r="A13416" s="4" t="s">
        <v>16878</v>
      </c>
      <c r="B13416" s="4" t="s">
        <v>16883</v>
      </c>
      <c r="C13416" s="5" t="str">
        <f>IFERROR(__xludf.DUMMYFUNCTION("GOOGLETRANSLATE(B13416,""en"",""it"")"),"Viene riprodotta una risposta del salto.")</f>
        <v>Viene riprodotta una risposta del salto.</v>
      </c>
    </row>
    <row r="13417">
      <c r="A13417" s="4" t="s">
        <v>16884</v>
      </c>
      <c r="B13417" s="4" t="s">
        <v>16885</v>
      </c>
      <c r="C13417" s="5" t="str">
        <f>IFERROR(__xludf.DUMMYFUNCTION("GOOGLETRANSLATE(B13417,""en"",""it"")"),"Un gruppo di uomini è in macchina, canta in un video e parla.")</f>
        <v>Un gruppo di uomini è in macchina, canta in un video e parla.</v>
      </c>
    </row>
    <row r="13418">
      <c r="A13418" s="4" t="s">
        <v>16884</v>
      </c>
      <c r="B13418" s="4" t="s">
        <v>16886</v>
      </c>
      <c r="C13418" s="5" t="str">
        <f>IFERROR(__xludf.DUMMYFUNCTION("GOOGLETRANSLATE(B13418,""en"",""it"")"),"Indossano occhiali da sole mentre cambiano molto a un magazzino coperto di vernice.")</f>
        <v>Indossano occhiali da sole mentre cambiano molto a un magazzino coperto di vernice.</v>
      </c>
    </row>
    <row r="13419">
      <c r="A13419" s="4" t="s">
        <v>16884</v>
      </c>
      <c r="B13419" s="4" t="s">
        <v>16887</v>
      </c>
      <c r="C13419" s="5" t="str">
        <f>IFERROR(__xludf.DUMMYFUNCTION("GOOGLETRANSLATE(B13419,""en"",""it"")"),"Un uomo è coperto di vernice e indossa guanti da boxe mentre si gongola alla telecamera.")</f>
        <v>Un uomo è coperto di vernice e indossa guanti da boxe mentre si gongola alla telecamera.</v>
      </c>
    </row>
    <row r="13420">
      <c r="A13420" s="4" t="s">
        <v>16888</v>
      </c>
      <c r="B13420" s="6" t="s">
        <v>16889</v>
      </c>
      <c r="C13420" s="5" t="str">
        <f>IFERROR(__xludf.DUMMYFUNCTION("GOOGLETRANSLATE(B13420,""en"",""it"")"),"Ci sono due persone su un pen")</f>
        <v>Ci sono due persone su un pen</v>
      </c>
    </row>
    <row r="13421">
      <c r="A13421" s="4" t="s">
        <v>16888</v>
      </c>
      <c r="B13421" s="4" t="s">
        <v>16890</v>
      </c>
      <c r="C13421" s="5" t="str">
        <f>IFERROR(__xludf.DUMMYFUNCTION("GOOGLETRANSLATE(B13421,""en"",""it"")"),"C'è una donna che raccoglie un po 'di ghiaccio che è caduto per terra.")</f>
        <v>C'è una donna che raccoglie un po 'di ghiaccio che è caduto per terra.</v>
      </c>
    </row>
    <row r="13422">
      <c r="A13422" s="4" t="s">
        <v>16888</v>
      </c>
      <c r="B13422" s="4" t="s">
        <v>16891</v>
      </c>
      <c r="C13422" s="5" t="str">
        <f>IFERROR(__xludf.DUMMYFUNCTION("GOOGLETRANSLATE(B13422,""en"",""it"")"),"Ci sono diverse persone che aspettano in fila per andare a neve.")</f>
        <v>Ci sono diverse persone che aspettano in fila per andare a neve.</v>
      </c>
    </row>
    <row r="13423">
      <c r="A13423" s="4" t="s">
        <v>16888</v>
      </c>
      <c r="B13423" s="4" t="s">
        <v>16892</v>
      </c>
      <c r="C13423" s="5" t="str">
        <f>IFERROR(__xludf.DUMMYFUNCTION("GOOGLETRANSLATE(B13423,""en"",""it"")"),"Dopo aver raggiunto la cima del pendio, entrano nei loro tubi e iniziano a scivolare in discesa.")</f>
        <v>Dopo aver raggiunto la cima del pendio, entrano nei loro tubi e iniziano a scivolare in discesa.</v>
      </c>
    </row>
    <row r="13424">
      <c r="A13424" s="4" t="s">
        <v>16888</v>
      </c>
      <c r="B13424" s="4" t="s">
        <v>16893</v>
      </c>
      <c r="C13424" s="5" t="str">
        <f>IFERROR(__xludf.DUMMYFUNCTION("GOOGLETRANSLATE(B13424,""en"",""it"")"),"Scendono i pendii innevati fino a raggiungere il fondo.")</f>
        <v>Scendono i pendii innevati fino a raggiungere il fondo.</v>
      </c>
    </row>
    <row r="13425">
      <c r="A13425" s="4" t="s">
        <v>16894</v>
      </c>
      <c r="B13425" s="4" t="s">
        <v>16895</v>
      </c>
      <c r="C13425" s="5" t="str">
        <f>IFERROR(__xludf.DUMMYFUNCTION("GOOGLETRANSLATE(B13425,""en"",""it"")"),"Le persone sono in piedi per un campeggio a tagliare il legno.")</f>
        <v>Le persone sono in piedi per un campeggio a tagliare il legno.</v>
      </c>
    </row>
    <row r="13426">
      <c r="A13426" s="4" t="s">
        <v>16894</v>
      </c>
      <c r="B13426" s="4" t="s">
        <v>16896</v>
      </c>
      <c r="C13426" s="5" t="str">
        <f>IFERROR(__xludf.DUMMYFUNCTION("GOOGLETRANSLATE(B13426,""en"",""it"")"),"Un ragazzo sta tenendo un bastone.")</f>
        <v>Un ragazzo sta tenendo un bastone.</v>
      </c>
    </row>
    <row r="13427">
      <c r="A13427" s="4" t="s">
        <v>16894</v>
      </c>
      <c r="B13427" s="4" t="s">
        <v>16897</v>
      </c>
      <c r="C13427" s="5" t="str">
        <f>IFERROR(__xludf.DUMMYFUNCTION("GOOGLETRANSLATE(B13427,""en"",""it"")"),"Un uomo getta pezzi di legno in una pila.")</f>
        <v>Un uomo getta pezzi di legno in una pila.</v>
      </c>
    </row>
    <row r="13428">
      <c r="A13428" s="4" t="s">
        <v>16894</v>
      </c>
      <c r="B13428" s="4" t="s">
        <v>16898</v>
      </c>
      <c r="C13428" s="5" t="str">
        <f>IFERROR(__xludf.DUMMYFUNCTION("GOOGLETRANSLATE(B13428,""en"",""it"")"),"Vengono mostrate sedie nel campeggio.")</f>
        <v>Vengono mostrate sedie nel campeggio.</v>
      </c>
    </row>
    <row r="13429">
      <c r="A13429" s="4" t="s">
        <v>16894</v>
      </c>
      <c r="B13429" s="4" t="s">
        <v>16899</v>
      </c>
      <c r="C13429" s="5" t="str">
        <f>IFERROR(__xludf.DUMMYFUNCTION("GOOGLETRANSLATE(B13429,""en"",""it"")"),"Un uomo cammina verso la telecamera a parlare.")</f>
        <v>Un uomo cammina verso la telecamera a parlare.</v>
      </c>
    </row>
    <row r="13430">
      <c r="A13430" s="4" t="s">
        <v>16894</v>
      </c>
      <c r="B13430" s="4" t="s">
        <v>16900</v>
      </c>
      <c r="C13430" s="5" t="str">
        <f>IFERROR(__xludf.DUMMYFUNCTION("GOOGLETRANSLATE(B13430,""en"",""it"")"),"Continuano a tagliare il legno nel campeggio.")</f>
        <v>Continuano a tagliare il legno nel campeggio.</v>
      </c>
    </row>
    <row r="13431">
      <c r="A13431" s="4" t="s">
        <v>16901</v>
      </c>
      <c r="B13431" s="4" t="s">
        <v>16902</v>
      </c>
      <c r="C13431" s="5" t="str">
        <f>IFERROR(__xludf.DUMMYFUNCTION("GOOGLETRANSLATE(B13431,""en"",""it"")"),"Una persona viene vista camminare per un cortile e molte persone in piedi.")</f>
        <v>Una persona viene vista camminare per un cortile e molte persone in piedi.</v>
      </c>
    </row>
    <row r="13432">
      <c r="A13432" s="4" t="s">
        <v>16901</v>
      </c>
      <c r="B13432" s="4" t="s">
        <v>16903</v>
      </c>
      <c r="C13432" s="5" t="str">
        <f>IFERROR(__xludf.DUMMYFUNCTION("GOOGLETRANSLATE(B13432,""en"",""it"")"),"Le persone quindi iniziano a giocare tra loro e corre nel cortile.")</f>
        <v>Le persone quindi iniziano a giocare tra loro e corre nel cortile.</v>
      </c>
    </row>
    <row r="13433">
      <c r="A13433" s="4" t="s">
        <v>16901</v>
      </c>
      <c r="B13433" s="6" t="s">
        <v>16904</v>
      </c>
      <c r="C13433" s="5" t="str">
        <f>IFERROR(__xludf.DUMMYFUNCTION("GOOGLETRANSLATE(B13433,""en"",""it"")"),"Le persone si rannicchiano insieme mentre portano più colpi di persone che giocano e parlano alla telecamera.")</f>
        <v>Le persone si rannicchiano insieme mentre portano più colpi di persone che giocano e parlano alla telecamera.</v>
      </c>
    </row>
    <row r="13434">
      <c r="A13434" s="4" t="s">
        <v>16905</v>
      </c>
      <c r="B13434" s="4" t="s">
        <v>16906</v>
      </c>
      <c r="C13434" s="5" t="str">
        <f>IFERROR(__xludf.DUMMYFUNCTION("GOOGLETRANSLATE(B13434,""en"",""it"")"),"Un primo piano delle lame a rulli di una persona è mostrato con un uomo in cornice.")</f>
        <v>Un primo piano delle lame a rulli di una persona è mostrato con un uomo in cornice.</v>
      </c>
    </row>
    <row r="13435">
      <c r="A13435" s="4" t="s">
        <v>16905</v>
      </c>
      <c r="B13435" s="4" t="s">
        <v>16907</v>
      </c>
      <c r="C13435" s="5" t="str">
        <f>IFERROR(__xludf.DUMMYFUNCTION("GOOGLETRANSLATE(B13435,""en"",""it"")"),"La persona quindi si illumina le lame e salta in posizione.")</f>
        <v>La persona quindi si illumina le lame e salta in posizione.</v>
      </c>
    </row>
    <row r="13436">
      <c r="A13436" s="4" t="s">
        <v>16905</v>
      </c>
      <c r="B13436" s="4" t="s">
        <v>16908</v>
      </c>
      <c r="C13436" s="5" t="str">
        <f>IFERROR(__xludf.DUMMYFUNCTION("GOOGLETRANSLATE(B13436,""en"",""it"")"),"La persona continua a cavalcare e sollevando i piedi mentre le scintille volano.")</f>
        <v>La persona continua a cavalcare e sollevando i piedi mentre le scintille volano.</v>
      </c>
    </row>
    <row r="13437">
      <c r="A13437" s="4" t="s">
        <v>16909</v>
      </c>
      <c r="B13437" s="6" t="s">
        <v>16910</v>
      </c>
      <c r="C13437" s="5" t="str">
        <f>IFERROR(__xludf.DUMMYFUNCTION("GOOGLETRANSLATE(B13437,""en"",""it"")"),"La mano di una persona si vede le carte di trattare su un tavolo e diverse clip di un casinò.")</f>
        <v>La mano di una persona si vede le carte di trattare su un tavolo e diverse clip di un casinò.</v>
      </c>
    </row>
    <row r="13438">
      <c r="A13438" s="4" t="s">
        <v>16909</v>
      </c>
      <c r="B13438" s="6" t="s">
        <v>16911</v>
      </c>
      <c r="C13438" s="5" t="str">
        <f>IFERROR(__xludf.DUMMYFUNCTION("GOOGLETRANSLATE(B13438,""en"",""it"")"),"Vengono mostrati più colpi di persone che trattano carte agli altri, nonché alle persone che tifano e continuano a gestire le carte.")</f>
        <v>Vengono mostrati più colpi di persone che trattano carte agli altri, nonché alle persone che tifano e continuano a gestire le carte.</v>
      </c>
    </row>
    <row r="13439">
      <c r="A13439" s="4" t="s">
        <v>16912</v>
      </c>
      <c r="B13439" s="4" t="s">
        <v>16913</v>
      </c>
      <c r="C13439" s="5" t="str">
        <f>IFERROR(__xludf.DUMMYFUNCTION("GOOGLETRANSLATE(B13439,""en"",""it"")"),"Un monitor del computer si trova su una scrivania.")</f>
        <v>Un monitor del computer si trova su una scrivania.</v>
      </c>
    </row>
    <row r="13440">
      <c r="A13440" s="4" t="s">
        <v>16912</v>
      </c>
      <c r="B13440" s="4" t="s">
        <v>16914</v>
      </c>
      <c r="C13440" s="5" t="str">
        <f>IFERROR(__xludf.DUMMYFUNCTION("GOOGLETRANSLATE(B13440,""en"",""it"")"),"Un ragazzo mette i guanti.")</f>
        <v>Un ragazzo mette i guanti.</v>
      </c>
    </row>
    <row r="13441">
      <c r="A13441" s="4" t="s">
        <v>16912</v>
      </c>
      <c r="B13441" s="4" t="s">
        <v>16915</v>
      </c>
      <c r="C13441" s="5" t="str">
        <f>IFERROR(__xludf.DUMMYFUNCTION("GOOGLETRANSLATE(B13441,""en"",""it"")"),"Quindi mette un casco.")</f>
        <v>Quindi mette un casco.</v>
      </c>
    </row>
    <row r="13442">
      <c r="A13442" s="4" t="s">
        <v>16912</v>
      </c>
      <c r="B13442" s="4" t="s">
        <v>16916</v>
      </c>
      <c r="C13442" s="5" t="str">
        <f>IFERROR(__xludf.DUMMYFUNCTION("GOOGLETRANSLATE(B13442,""en"",""it"")"),"Quindi cavalca un longboard.")</f>
        <v>Quindi cavalca un longboard.</v>
      </c>
    </row>
    <row r="13443">
      <c r="A13443" s="4" t="s">
        <v>16917</v>
      </c>
      <c r="B13443" s="4" t="s">
        <v>16918</v>
      </c>
      <c r="C13443" s="5" t="str">
        <f>IFERROR(__xludf.DUMMYFUNCTION("GOOGLETRANSLATE(B13443,""en"",""it"")"),"Un uomo sta dimostrando una performance di ginnastica su due bar.")</f>
        <v>Un uomo sta dimostrando una performance di ginnastica su due bar.</v>
      </c>
    </row>
    <row r="13444">
      <c r="A13444" s="4" t="s">
        <v>16917</v>
      </c>
      <c r="B13444" s="4" t="s">
        <v>16919</v>
      </c>
      <c r="C13444" s="5" t="str">
        <f>IFERROR(__xludf.DUMMYFUNCTION("GOOGLETRANSLATE(B13444,""en"",""it"")"),"Ci sono spettatori che guardano la performance.")</f>
        <v>Ci sono spettatori che guardano la performance.</v>
      </c>
    </row>
    <row r="13445">
      <c r="A13445" s="4" t="s">
        <v>16917</v>
      </c>
      <c r="B13445" s="4" t="s">
        <v>16920</v>
      </c>
      <c r="C13445" s="5" t="str">
        <f>IFERROR(__xludf.DUMMYFUNCTION("GOOGLETRANSLATE(B13445,""en"",""it"")"),"Una persona sta fotografando la performance.")</f>
        <v>Una persona sta fotografando la performance.</v>
      </c>
    </row>
    <row r="13446">
      <c r="A13446" s="4" t="s">
        <v>16917</v>
      </c>
      <c r="B13446" s="4" t="s">
        <v>16921</v>
      </c>
      <c r="C13446" s="5" t="str">
        <f>IFERROR(__xludf.DUMMYFUNCTION("GOOGLETRANSLATE(B13446,""en"",""it"")"),"La ginnasta salta giù dai bar e un'altra ginnasta corre verso di loro.")</f>
        <v>La ginnasta salta giù dai bar e un'altra ginnasta corre verso di loro.</v>
      </c>
    </row>
    <row r="13447">
      <c r="A13447" s="4" t="s">
        <v>16922</v>
      </c>
      <c r="B13447" s="4" t="s">
        <v>16923</v>
      </c>
      <c r="C13447" s="5" t="str">
        <f>IFERROR(__xludf.DUMMYFUNCTION("GOOGLETRANSLATE(B13447,""en"",""it"")"),"Un uomo suona i tamburi a mano in un soggiorno.")</f>
        <v>Un uomo suona i tamburi a mano in un soggiorno.</v>
      </c>
    </row>
    <row r="13448">
      <c r="A13448" s="4" t="s">
        <v>16922</v>
      </c>
      <c r="B13448" s="4" t="s">
        <v>16924</v>
      </c>
      <c r="C13448" s="5" t="str">
        <f>IFERROR(__xludf.DUMMYFUNCTION("GOOGLETRANSLATE(B13448,""en"",""it"")"),"L'uomo getta la testa indietro.")</f>
        <v>L'uomo getta la testa indietro.</v>
      </c>
    </row>
    <row r="13449">
      <c r="A13449" s="4" t="s">
        <v>16922</v>
      </c>
      <c r="B13449" s="4" t="s">
        <v>16925</v>
      </c>
      <c r="C13449" s="5" t="str">
        <f>IFERROR(__xludf.DUMMYFUNCTION("GOOGLETRANSLATE(B13449,""en"",""it"")"),"Zettiamo sulle mani dell'uomo.")</f>
        <v>Zettiamo sulle mani dell'uomo.</v>
      </c>
    </row>
    <row r="13450">
      <c r="A13450" s="4" t="s">
        <v>16922</v>
      </c>
      <c r="B13450" s="4" t="s">
        <v>16926</v>
      </c>
      <c r="C13450" s="5" t="str">
        <f>IFERROR(__xludf.DUMMYFUNCTION("GOOGLETRANSLATE(B13450,""en"",""it"")"),"Zettiamo e vediamo l'intero uomo.")</f>
        <v>Zettiamo e vediamo l'intero uomo.</v>
      </c>
    </row>
    <row r="13451">
      <c r="A13451" s="4" t="s">
        <v>16922</v>
      </c>
      <c r="B13451" s="4" t="s">
        <v>16927</v>
      </c>
      <c r="C13451" s="5" t="str">
        <f>IFERROR(__xludf.DUMMYFUNCTION("GOOGLETRANSLATE(B13451,""en"",""it"")"),"Finisce di giocare e prende un inchino.")</f>
        <v>Finisce di giocare e prende un inchino.</v>
      </c>
    </row>
    <row r="13452">
      <c r="A13452" s="4" t="s">
        <v>16928</v>
      </c>
      <c r="B13452" s="4" t="s">
        <v>16929</v>
      </c>
      <c r="C13452" s="5" t="str">
        <f>IFERROR(__xludf.DUMMYFUNCTION("GOOGLETRANSLATE(B13452,""en"",""it"")"),"Un uomo si avvicina a una pista e salta su una zona sterrata.")</f>
        <v>Un uomo si avvicina a una pista e salta su una zona sterrata.</v>
      </c>
    </row>
    <row r="13453">
      <c r="A13453" s="4" t="s">
        <v>16928</v>
      </c>
      <c r="B13453" s="4" t="s">
        <v>16930</v>
      </c>
      <c r="C13453" s="5" t="str">
        <f>IFERROR(__xludf.DUMMYFUNCTION("GOOGLETRANSLATE(B13453,""en"",""it"")"),"Un secondo uomo fa lo stesso.")</f>
        <v>Un secondo uomo fa lo stesso.</v>
      </c>
    </row>
    <row r="13454">
      <c r="A13454" s="4" t="s">
        <v>16928</v>
      </c>
      <c r="B13454" s="4" t="s">
        <v>16931</v>
      </c>
      <c r="C13454" s="5" t="str">
        <f>IFERROR(__xludf.DUMMYFUNCTION("GOOGLETRANSLATE(B13454,""en"",""it"")"),"Un terzo uomo lo segue.")</f>
        <v>Un terzo uomo lo segue.</v>
      </c>
    </row>
    <row r="13455">
      <c r="A13455" s="4" t="s">
        <v>16928</v>
      </c>
      <c r="B13455" s="4" t="s">
        <v>16932</v>
      </c>
      <c r="C13455" s="5" t="str">
        <f>IFERROR(__xludf.DUMMYFUNCTION("GOOGLETRANSLATE(B13455,""en"",""it"")"),"Un quarto uomo lo insegue.")</f>
        <v>Un quarto uomo lo insegue.</v>
      </c>
    </row>
    <row r="13456">
      <c r="A13456" s="4" t="s">
        <v>16928</v>
      </c>
      <c r="B13456" s="4" t="s">
        <v>16933</v>
      </c>
      <c r="C13456" s="5" t="str">
        <f>IFERROR(__xludf.DUMMYFUNCTION("GOOGLETRANSLATE(B13456,""en"",""it"")"),"Un quinto uomo inizia a correre mentre tiene un lungo bar.")</f>
        <v>Un quinto uomo inizia a correre mentre tiene un lungo bar.</v>
      </c>
    </row>
    <row r="13457">
      <c r="A13457" s="4" t="s">
        <v>16934</v>
      </c>
      <c r="B13457" s="4" t="s">
        <v>16935</v>
      </c>
      <c r="C13457" s="5" t="str">
        <f>IFERROR(__xludf.DUMMYFUNCTION("GOOGLETRANSLATE(B13457,""en"",""it"")"),"Le parole sono scritte sullo schermo.")</f>
        <v>Le parole sono scritte sullo schermo.</v>
      </c>
    </row>
    <row r="13458">
      <c r="A13458" s="4" t="s">
        <v>16934</v>
      </c>
      <c r="B13458" s="4" t="s">
        <v>16936</v>
      </c>
      <c r="C13458" s="5" t="str">
        <f>IFERROR(__xludf.DUMMYFUNCTION("GOOGLETRANSLATE(B13458,""en"",""it"")"),"Un coltello viene messo in un affiliatore e si muove avanti e indietro e usato su un affiliatore circolare.")</f>
        <v>Un coltello viene messo in un affiliatore e si muove avanti e indietro e usato su un affiliatore circolare.</v>
      </c>
    </row>
    <row r="13459">
      <c r="A13459" s="4" t="s">
        <v>16934</v>
      </c>
      <c r="B13459" s="4" t="s">
        <v>16937</v>
      </c>
      <c r="C13459" s="5" t="str">
        <f>IFERROR(__xludf.DUMMYFUNCTION("GOOGLETRANSLATE(B13459,""en"",""it"")"),"Una coppia di forbici è affilata sul temperamatite.")</f>
        <v>Una coppia di forbici è affilata sul temperamatite.</v>
      </c>
    </row>
    <row r="13460">
      <c r="A13460" s="4" t="s">
        <v>16934</v>
      </c>
      <c r="B13460" s="4" t="s">
        <v>16938</v>
      </c>
      <c r="C13460" s="5" t="str">
        <f>IFERROR(__xludf.DUMMYFUNCTION("GOOGLETRANSLATE(B13460,""en"",""it"")"),"Le forbici tagliano un asciugamano viola e un pezzo di carta.")</f>
        <v>Le forbici tagliano un asciugamano viola e un pezzo di carta.</v>
      </c>
    </row>
    <row r="13461">
      <c r="A13461" s="4" t="s">
        <v>16934</v>
      </c>
      <c r="B13461" s="4" t="s">
        <v>16939</v>
      </c>
      <c r="C13461" s="5" t="str">
        <f>IFERROR(__xludf.DUMMYFUNCTION("GOOGLETRANSLATE(B13461,""en"",""it"")"),"Le parole vengono mostrate di nuovo sullo schermo.")</f>
        <v>Le parole vengono mostrate di nuovo sullo schermo.</v>
      </c>
    </row>
    <row r="13462">
      <c r="A13462" s="4" t="s">
        <v>16940</v>
      </c>
      <c r="B13462" s="6" t="s">
        <v>16941</v>
      </c>
      <c r="C13462" s="5" t="str">
        <f>IFERROR(__xludf.DUMMYFUNCTION("GOOGLETRANSLATE(B13462,""en"",""it"")"),"Una ragazza con lunghi capelli biondi, che indossa una veste blu sta facendo un tutorial su come usare rulli caldi tra i capelli.")</f>
        <v>Una ragazza con lunghi capelli biondi, che indossa una veste blu sta facendo un tutorial su come usare rulli caldi tra i capelli.</v>
      </c>
    </row>
    <row r="13463">
      <c r="A13463" s="4" t="s">
        <v>16940</v>
      </c>
      <c r="B13463" s="6" t="s">
        <v>16942</v>
      </c>
      <c r="C13463" s="5" t="str">
        <f>IFERROR(__xludf.DUMMYFUNCTION("GOOGLETRANSLATE(B13463,""en"",""it"")"),"C'è un'altra donna che indossa bianca che sta dimostrando come sezionare i suoi capelli e iniziare a mettere i rulli in lei uno per uno.")</f>
        <v>C'è un'altra donna che indossa bianca che sta dimostrando come sezionare i suoi capelli e iniziare a mettere i rulli in lei uno per uno.</v>
      </c>
    </row>
    <row r="13464">
      <c r="A13464" s="4" t="s">
        <v>16940</v>
      </c>
      <c r="B13464" s="6" t="s">
        <v>16943</v>
      </c>
      <c r="C13464" s="5" t="str">
        <f>IFERROR(__xludf.DUMMYFUNCTION("GOOGLETRANSLATE(B13464,""en"",""it"")"),"Dopo aver finito di mettere i rulli su tutta la testa, usa un asciugacapelli per aggiungere un po 'di calore ai capelli.")</f>
        <v>Dopo aver finito di mettere i rulli su tutta la testa, usa un asciugacapelli per aggiungere un po 'di calore ai capelli.</v>
      </c>
    </row>
    <row r="13465">
      <c r="A13465" s="4" t="s">
        <v>16940</v>
      </c>
      <c r="B13465" s="4" t="s">
        <v>16944</v>
      </c>
      <c r="C13465" s="5" t="str">
        <f>IFERROR(__xludf.DUMMYFUNCTION("GOOGLETRANSLATE(B13465,""en"",""it"")"),"Quindi rimuove i rulli dai capelli della modella e inizia a far scorrere le dita tra i capelli.")</f>
        <v>Quindi rimuove i rulli dai capelli della modella e inizia a far scorrere le dita tra i capelli.</v>
      </c>
    </row>
    <row r="13466">
      <c r="A13466" s="4" t="s">
        <v>16940</v>
      </c>
      <c r="B13466" s="4" t="s">
        <v>16945</v>
      </c>
      <c r="C13466" s="5" t="str">
        <f>IFERROR(__xludf.DUMMYFUNCTION("GOOGLETRANSLATE(B13466,""en"",""it"")"),"Poi si parla delicatamente i capelli con un pennello.")</f>
        <v>Poi si parla delicatamente i capelli con un pennello.</v>
      </c>
    </row>
    <row r="13467">
      <c r="A13467" s="4" t="s">
        <v>16940</v>
      </c>
      <c r="B13467" s="6" t="s">
        <v>16946</v>
      </c>
      <c r="C13467" s="5" t="str">
        <f>IFERROR(__xludf.DUMMYFUNCTION("GOOGLETRANSLATE(B13467,""en"",""it"")"),"Mostra come finire il look facendo scorrere le dita tra i capelli senza usare un pennello.")</f>
        <v>Mostra come finire il look facendo scorrere le dita tra i capelli senza usare un pennello.</v>
      </c>
    </row>
    <row r="13468">
      <c r="A13468" s="4" t="s">
        <v>16947</v>
      </c>
      <c r="B13468" s="6" t="s">
        <v>16948</v>
      </c>
      <c r="C13468" s="5" t="str">
        <f>IFERROR(__xludf.DUMMYFUNCTION("GOOGLETRANSLATE(B13468,""en"",""it"")"),"Un uomo che indossa un giubbotto nero tiene in mano un disco bianco mentre un bordo Collie si trova davanti a lui.")</f>
        <v>Un uomo che indossa un giubbotto nero tiene in mano un disco bianco mentre un bordo Collie si trova davanti a lui.</v>
      </c>
    </row>
    <row r="13469">
      <c r="A13469" s="4" t="s">
        <v>16947</v>
      </c>
      <c r="B13469" s="4" t="s">
        <v>16949</v>
      </c>
      <c r="C13469" s="5" t="str">
        <f>IFERROR(__xludf.DUMMYFUNCTION("GOOGLETRANSLATE(B13469,""en"",""it"")"),"L'uomo fa un froward e schiaffeggia i dischi bianchi sulla sua coscia.")</f>
        <v>L'uomo fa un froward e schiaffeggia i dischi bianchi sulla sua coscia.</v>
      </c>
    </row>
    <row r="13470">
      <c r="A13470" s="4" t="s">
        <v>16947</v>
      </c>
      <c r="B13470" s="4" t="s">
        <v>16950</v>
      </c>
      <c r="C13470" s="5" t="str">
        <f>IFERROR(__xludf.DUMMYFUNCTION("GOOGLETRANSLATE(B13470,""en"",""it"")"),"L'uomo passa in avanti cambiando ciascun piede mentre il boarder Collie corre tra le gambe di Mans.")</f>
        <v>L'uomo passa in avanti cambiando ciascun piede mentre il boarder Collie corre tra le gambe di Mans.</v>
      </c>
    </row>
    <row r="13471">
      <c r="A13471" s="4" t="s">
        <v>16947</v>
      </c>
      <c r="B13471" s="6" t="s">
        <v>16951</v>
      </c>
      <c r="C13471" s="5" t="str">
        <f>IFERROR(__xludf.DUMMYFUNCTION("GOOGLETRANSLATE(B13471,""en"",""it"")"),"L'uomo tocca la testa con il disco bianco che si accovaccia e il pensionante Collie salta sulla schiena e bilancia il loro.")</f>
        <v>L'uomo tocca la testa con il disco bianco che si accovaccia e il pensionante Collie salta sulla schiena e bilancia il loro.</v>
      </c>
    </row>
    <row r="13472">
      <c r="A13472" s="4" t="s">
        <v>16947</v>
      </c>
      <c r="B13472" s="4" t="s">
        <v>16952</v>
      </c>
      <c r="C13472" s="5" t="str">
        <f>IFERROR(__xludf.DUMMYFUNCTION("GOOGLETRANSLATE(B13472,""en"",""it"")"),"L'uomo lancia il disco sopra la testa e il pensionante Collie lo prende e scappa.")</f>
        <v>L'uomo lancia il disco sopra la testa e il pensionante Collie lo prende e scappa.</v>
      </c>
    </row>
    <row r="13473">
      <c r="A13473" s="4" t="s">
        <v>16953</v>
      </c>
      <c r="B13473" s="6" t="s">
        <v>16954</v>
      </c>
      <c r="C13473" s="5" t="str">
        <f>IFERROR(__xludf.DUMMYFUNCTION("GOOGLETRANSLATE(B13473,""en"",""it"")"),"Vengono mostrate varie clip di giovani che ballano e festeggiano l'uno con l'altro, oltre a bere e giocare a Beer Pong.")</f>
        <v>Vengono mostrate varie clip di giovani che ballano e festeggiano l'uno con l'altro, oltre a bere e giocare a Beer Pong.</v>
      </c>
    </row>
    <row r="13474">
      <c r="A13474" s="4" t="s">
        <v>16953</v>
      </c>
      <c r="B13474" s="6" t="s">
        <v>16955</v>
      </c>
      <c r="C13474" s="5" t="str">
        <f>IFERROR(__xludf.DUMMYFUNCTION("GOOGLETRANSLATE(B13474,""en"",""it"")"),"Vengono mostrati più scatti di persone che guardano e parlano alla telecamera mentre giocano a pong e bevono birra tra loro.")</f>
        <v>Vengono mostrati più scatti di persone che guardano e parlano alla telecamera mentre giocano a pong e bevono birra tra loro.</v>
      </c>
    </row>
    <row r="13475">
      <c r="A13475" s="4" t="s">
        <v>16956</v>
      </c>
      <c r="B13475" s="4" t="s">
        <v>16957</v>
      </c>
      <c r="C13475" s="5" t="str">
        <f>IFERROR(__xludf.DUMMYFUNCTION("GOOGLETRANSLATE(B13475,""en"",""it"")"),"Un video di sciatore su una collina innevata gira un video di se stessi mentre lo sci mentre altri sciatori passano.")</f>
        <v>Un video di sciatore su una collina innevata gira un video di se stessi mentre lo sci mentre altri sciatori passano.</v>
      </c>
    </row>
    <row r="13476">
      <c r="A13476" s="4" t="s">
        <v>16956</v>
      </c>
      <c r="B13476" s="4" t="s">
        <v>16958</v>
      </c>
      <c r="C13476" s="5" t="str">
        <f>IFERROR(__xludf.DUMMYFUNCTION("GOOGLETRANSLATE(B13476,""en"",""it"")"),"Lo sciatore supera gli ascensori da sci mentre vanno dietro un angolo e superano di nuovo gli ascensori.")</f>
        <v>Lo sciatore supera gli ascensori da sci mentre vanno dietro un angolo e superano di nuovo gli ascensori.</v>
      </c>
    </row>
    <row r="13477">
      <c r="A13477" s="4" t="s">
        <v>16956</v>
      </c>
      <c r="B13477" s="6" t="s">
        <v>16959</v>
      </c>
      <c r="C13477" s="5" t="str">
        <f>IFERROR(__xludf.DUMMYFUNCTION("GOOGLETRANSLATE(B13477,""en"",""it"")"),"Quindi si girano di nuovo e vanno sotto l'ascensore e viaggiano più in basso su una collina su un sentiero che passano recinzioni blu, un cartello per il sentiero e finendo in un lodge.")</f>
        <v>Quindi si girano di nuovo e vanno sotto l'ascensore e viaggiano più in basso su una collina su un sentiero che passano recinzioni blu, un cartello per il sentiero e finendo in un lodge.</v>
      </c>
    </row>
    <row r="13478">
      <c r="A13478" s="4" t="s">
        <v>16960</v>
      </c>
      <c r="B13478" s="4" t="s">
        <v>16961</v>
      </c>
      <c r="C13478" s="5" t="str">
        <f>IFERROR(__xludf.DUMMYFUNCTION("GOOGLETRANSLATE(B13478,""en"",""it"")"),"Un bambino va e gioca in un playplace.")</f>
        <v>Un bambino va e gioca in un playplace.</v>
      </c>
    </row>
    <row r="13479">
      <c r="A13479" s="4" t="s">
        <v>16960</v>
      </c>
      <c r="B13479" s="4" t="s">
        <v>16962</v>
      </c>
      <c r="C13479" s="5" t="str">
        <f>IFERROR(__xludf.DUMMYFUNCTION("GOOGLETRANSLATE(B13479,""en"",""it"")"),"Si arrampica, scende scivoli, si piega avanti e indietro e ha allegria generale.")</f>
        <v>Si arrampica, scende scivoli, si piega avanti e indietro e ha allegria generale.</v>
      </c>
    </row>
    <row r="13480">
      <c r="A13480" s="4" t="s">
        <v>16963</v>
      </c>
      <c r="B13480" s="6" t="s">
        <v>16964</v>
      </c>
      <c r="C13480" s="5" t="str">
        <f>IFERROR(__xludf.DUMMYFUNCTION("GOOGLETRANSLATE(B13480,""en"",""it"")"),"Fuori mentre un gruppo guarda, un uomo solleva un ragazzo sulla spalla e lo getta su un tavolo che si rompe.")</f>
        <v>Fuori mentre un gruppo guarda, un uomo solleva un ragazzo sulla spalla e lo getta su un tavolo che si rompe.</v>
      </c>
    </row>
    <row r="13481">
      <c r="A13481" s="4" t="s">
        <v>16963</v>
      </c>
      <c r="B13481" s="4" t="s">
        <v>16965</v>
      </c>
      <c r="C13481" s="5" t="str">
        <f>IFERROR(__xludf.DUMMYFUNCTION("GOOGLETRANSLATE(B13481,""en"",""it"")"),"Fuori, una schiena maschile si lancia su un trampolino e gli atterra sul viso.")</f>
        <v>Fuori, una schiena maschile si lancia su un trampolino e gli atterra sul viso.</v>
      </c>
    </row>
    <row r="13482">
      <c r="A13482" s="4" t="s">
        <v>16963</v>
      </c>
      <c r="B13482" s="6" t="s">
        <v>16966</v>
      </c>
      <c r="C13482" s="5" t="str">
        <f>IFERROR(__xludf.DUMMYFUNCTION("GOOGLETRANSLATE(B13482,""en"",""it"")"),"Due uomini stendono il maschio e guardano il viso, e un'altra persona muove un individuo posa per guardare il viso del maschio.")</f>
        <v>Due uomini stendono il maschio e guardano il viso, e un'altra persona muove un individuo posa per guardare il viso del maschio.</v>
      </c>
    </row>
    <row r="13483">
      <c r="A13483" s="4" t="s">
        <v>16967</v>
      </c>
      <c r="B13483" s="4" t="s">
        <v>16968</v>
      </c>
      <c r="C13483" s="5" t="str">
        <f>IFERROR(__xludf.DUMMYFUNCTION("GOOGLETRANSLATE(B13483,""en"",""it"")"),"Una foto viene mostrata da un bambino giustapposto accanto a una bambina.")</f>
        <v>Una foto viene mostrata da un bambino giustapposto accanto a una bambina.</v>
      </c>
    </row>
    <row r="13484">
      <c r="A13484" s="4" t="s">
        <v>16967</v>
      </c>
      <c r="B13484" s="4" t="s">
        <v>16969</v>
      </c>
      <c r="C13484" s="5" t="str">
        <f>IFERROR(__xludf.DUMMYFUNCTION("GOOGLETRANSLATE(B13484,""en"",""it"")"),"Una donna viene vista con una ragazza mentre parla.")</f>
        <v>Una donna viene vista con una ragazza mentre parla.</v>
      </c>
    </row>
    <row r="13485">
      <c r="A13485" s="4" t="s">
        <v>16967</v>
      </c>
      <c r="B13485" s="4" t="s">
        <v>16970</v>
      </c>
      <c r="C13485" s="5" t="str">
        <f>IFERROR(__xludf.DUMMYFUNCTION("GOOGLETRANSLATE(B13485,""en"",""it"")"),"Poi si sede la ragazza mentre procede a intrecciare i capelli in pezzi lunghi e spessi.")</f>
        <v>Poi si sede la ragazza mentre procede a intrecciare i capelli in pezzi lunghi e spessi.</v>
      </c>
    </row>
    <row r="13486">
      <c r="A13486" s="4" t="s">
        <v>16967</v>
      </c>
      <c r="B13486" s="4" t="s">
        <v>16971</v>
      </c>
      <c r="C13486" s="5" t="str">
        <f>IFERROR(__xludf.DUMMYFUNCTION("GOOGLETRANSLATE(B13486,""en"",""it"")"),"Si attacca i capelli in posizione, poi saluta la telecamera.")</f>
        <v>Si attacca i capelli in posizione, poi saluta la telecamera.</v>
      </c>
    </row>
    <row r="13487">
      <c r="A13487" s="4" t="s">
        <v>16972</v>
      </c>
      <c r="B13487" s="4" t="s">
        <v>16973</v>
      </c>
      <c r="C13487" s="5" t="str">
        <f>IFERROR(__xludf.DUMMYFUNCTION("GOOGLETRANSLATE(B13487,""en"",""it"")"),"Un uomo lancia un foglio di carta da parati da un tubo, quindi una grande foto.")</f>
        <v>Un uomo lancia un foglio di carta da parati da un tubo, quindi una grande foto.</v>
      </c>
    </row>
    <row r="13488">
      <c r="A13488" s="4" t="s">
        <v>16972</v>
      </c>
      <c r="B13488" s="4" t="s">
        <v>16974</v>
      </c>
      <c r="C13488" s="5" t="str">
        <f>IFERROR(__xludf.DUMMYFUNCTION("GOOGLETRANSLATE(B13488,""en"",""it"")"),"Applica il foglio e le foto al muro, creando un murale di fotografia di vita reale.")</f>
        <v>Applica il foglio e le foto al muro, creando un murale di fotografia di vita reale.</v>
      </c>
    </row>
    <row r="13489">
      <c r="A13489" s="4" t="s">
        <v>16972</v>
      </c>
      <c r="B13489" s="4" t="s">
        <v>16975</v>
      </c>
      <c r="C13489" s="5" t="str">
        <f>IFERROR(__xludf.DUMMYFUNCTION("GOOGLETRANSLATE(B13489,""en"",""it"")"),"Elimina le immagini sul muro in modo pulito.")</f>
        <v>Elimina le immagini sul muro in modo pulito.</v>
      </c>
    </row>
    <row r="13490">
      <c r="A13490" s="4" t="s">
        <v>16976</v>
      </c>
      <c r="B13490" s="4" t="s">
        <v>16977</v>
      </c>
      <c r="C13490" s="5" t="str">
        <f>IFERROR(__xludf.DUMMYFUNCTION("GOOGLETRANSLATE(B13490,""en"",""it"")"),"Una folla è raccolta attorno a due donne che stanno wrestling.")</f>
        <v>Una folla è raccolta attorno a due donne che stanno wrestling.</v>
      </c>
    </row>
    <row r="13491">
      <c r="A13491" s="4" t="s">
        <v>16976</v>
      </c>
      <c r="B13491" s="4" t="s">
        <v>16978</v>
      </c>
      <c r="C13491" s="5" t="str">
        <f>IFERROR(__xludf.DUMMYFUNCTION("GOOGLETRANSLATE(B13491,""en"",""it"")"),"Le donne afferrano le mani e spingono il più forte possibile fino a quando uno di loro perde.")</f>
        <v>Le donne afferrano le mani e spingono il più forte possibile fino a quando uno di loro perde.</v>
      </c>
    </row>
    <row r="13492">
      <c r="A13492" s="4" t="s">
        <v>16976</v>
      </c>
      <c r="B13492" s="4" t="s">
        <v>16979</v>
      </c>
      <c r="C13492" s="5" t="str">
        <f>IFERROR(__xludf.DUMMYFUNCTION("GOOGLETRANSLATE(B13492,""en"",""it"")"),"Rifiutano il wrestling del braccio.")</f>
        <v>Rifiutano il wrestling del braccio.</v>
      </c>
    </row>
    <row r="13493">
      <c r="A13493" s="4" t="s">
        <v>16976</v>
      </c>
      <c r="B13493" s="4" t="s">
        <v>16980</v>
      </c>
      <c r="C13493" s="5" t="str">
        <f>IFERROR(__xludf.DUMMYFUNCTION("GOOGLETRANSLATE(B13493,""en"",""it"")"),"Una delle ragazze lascia perdere la mano e l'altra ragazza apre la bocca scioccata.")</f>
        <v>Una delle ragazze lascia perdere la mano e l'altra ragazza apre la bocca scioccata.</v>
      </c>
    </row>
    <row r="13494">
      <c r="A13494" s="4" t="s">
        <v>16981</v>
      </c>
      <c r="B13494" s="6" t="s">
        <v>16982</v>
      </c>
      <c r="C13494" s="5" t="str">
        <f>IFERROR(__xludf.DUMMYFUNCTION("GOOGLETRANSLATE(B13494,""en"",""it"")"),"Una persona è vista nel mezzo di una grande palestra che salta in giro con un altro uomo nel mezzo alzando le braccia.")</f>
        <v>Una persona è vista nel mezzo di una grande palestra che salta in giro con un altro uomo nel mezzo alzando le braccia.</v>
      </c>
    </row>
    <row r="13495">
      <c r="A13495" s="4" t="s">
        <v>16981</v>
      </c>
      <c r="B13495" s="4" t="s">
        <v>16983</v>
      </c>
      <c r="C13495" s="5" t="str">
        <f>IFERROR(__xludf.DUMMYFUNCTION("GOOGLETRANSLATE(B13495,""en"",""it"")"),"La persona su Silts quindi salta sopra la persona con le braccia su e un'altra.")</f>
        <v>La persona su Silts quindi salta sopra la persona con le braccia su e un'altra.</v>
      </c>
    </row>
    <row r="13496">
      <c r="A13496" s="4" t="s">
        <v>16984</v>
      </c>
      <c r="B13496" s="6" t="s">
        <v>16985</v>
      </c>
      <c r="C13496" s="5" t="str">
        <f>IFERROR(__xludf.DUMMYFUNCTION("GOOGLETRANSLATE(B13496,""en"",""it"")"),"Due uomini sono visti in piedi dietro un tavolo che parlano alla telecamera e quindi reggono vari oggetti alla fotocamera.")</f>
        <v>Due uomini sono visti in piedi dietro un tavolo che parlano alla telecamera e quindi reggono vari oggetti alla fotocamera.</v>
      </c>
    </row>
    <row r="13497">
      <c r="A13497" s="4" t="s">
        <v>16984</v>
      </c>
      <c r="B13497" s="4" t="s">
        <v>16986</v>
      </c>
      <c r="C13497" s="5" t="str">
        <f>IFERROR(__xludf.DUMMYFUNCTION("GOOGLETRANSLATE(B13497,""en"",""it"")"),"Usano strumenti su una lattina e poi vengono visti seduti fuori reggendo più strumenti.")</f>
        <v>Usano strumenti su una lattina e poi vengono visti seduti fuori reggendo più strumenti.</v>
      </c>
    </row>
    <row r="13498">
      <c r="A13498" s="4" t="s">
        <v>16987</v>
      </c>
      <c r="B13498" s="4" t="s">
        <v>16988</v>
      </c>
      <c r="C13498" s="5" t="str">
        <f>IFERROR(__xludf.DUMMYFUNCTION("GOOGLETRANSLATE(B13498,""en"",""it"")"),"Una band sta marciando lungo una strada suonando.")</f>
        <v>Una band sta marciando lungo una strada suonando.</v>
      </c>
    </row>
    <row r="13499">
      <c r="A13499" s="4" t="s">
        <v>16987</v>
      </c>
      <c r="B13499" s="4" t="s">
        <v>16989</v>
      </c>
      <c r="C13499" s="5" t="str">
        <f>IFERROR(__xludf.DUMMYFUNCTION("GOOGLETRANSLATE(B13499,""en"",""it"")"),"Una donna con un cappello nero è in piedi per strada a guardarli.")</f>
        <v>Una donna con un cappello nero è in piedi per strada a guardarli.</v>
      </c>
    </row>
    <row r="13500">
      <c r="A13500" s="4" t="s">
        <v>16987</v>
      </c>
      <c r="B13500" s="4" t="s">
        <v>16990</v>
      </c>
      <c r="C13500" s="5" t="str">
        <f>IFERROR(__xludf.DUMMYFUNCTION("GOOGLETRANSLATE(B13500,""en"",""it"")"),"Le persone si alzano in piedi a guardare la band.")</f>
        <v>Le persone si alzano in piedi a guardare la band.</v>
      </c>
    </row>
    <row r="13501">
      <c r="A13501" s="4" t="s">
        <v>16991</v>
      </c>
      <c r="B13501" s="4" t="s">
        <v>16992</v>
      </c>
      <c r="C13501" s="5" t="str">
        <f>IFERROR(__xludf.DUMMYFUNCTION("GOOGLETRANSLATE(B13501,""en"",""it"")"),"Un uomo viene mostrato che corre in un campo con un cane che tiene un frisbee tra i capelli.")</f>
        <v>Un uomo viene mostrato che corre in un campo con un cane che tiene un frisbee tra i capelli.</v>
      </c>
    </row>
    <row r="13502">
      <c r="A13502" s="4" t="s">
        <v>16991</v>
      </c>
      <c r="B13502" s="6" t="s">
        <v>16993</v>
      </c>
      <c r="C13502" s="5" t="str">
        <f>IFERROR(__xludf.DUMMYFUNCTION("GOOGLETRANSLATE(B13502,""en"",""it"")"),"L'uomo si muove attorno al frisbee con il cane ed esegue diversi trucchi al rallentatore con il cane.")</f>
        <v>L'uomo si muove attorno al frisbee con il cane ed esegue diversi trucchi al rallentatore con il cane.</v>
      </c>
    </row>
    <row r="13503">
      <c r="A13503" s="4" t="s">
        <v>16991</v>
      </c>
      <c r="B13503" s="6" t="s">
        <v>16994</v>
      </c>
      <c r="C13503" s="5" t="str">
        <f>IFERROR(__xludf.DUMMYFUNCTION("GOOGLETRANSLATE(B13503,""en"",""it"")"),"Ha mostrato in diverse altre posizioni da vari angoli della fotocamera che eseguono sempre più trucchi con il cane.")</f>
        <v>Ha mostrato in diverse altre posizioni da vari angoli della fotocamera che eseguono sempre più trucchi con il cane.</v>
      </c>
    </row>
    <row r="13504">
      <c r="A13504" s="4" t="s">
        <v>16995</v>
      </c>
      <c r="B13504" s="4" t="s">
        <v>16996</v>
      </c>
      <c r="C13504" s="5" t="str">
        <f>IFERROR(__xludf.DUMMYFUNCTION("GOOGLETRANSLATE(B13504,""en"",""it"")"),"Un uomo viene visto inginocchiarsi su una gomma e poi lo posiziona su una macchina.")</f>
        <v>Un uomo viene visto inginocchiarsi su una gomma e poi lo posiziona su una macchina.</v>
      </c>
    </row>
    <row r="13505">
      <c r="A13505" s="4" t="s">
        <v>16995</v>
      </c>
      <c r="B13505" s="6" t="s">
        <v>16997</v>
      </c>
      <c r="C13505" s="5" t="str">
        <f>IFERROR(__xludf.DUMMYFUNCTION("GOOGLETRANSLATE(B13505,""en"",""it"")"),"Continua a usare la macchina per togliere la gomma dal pneumatico e termina riposandola.")</f>
        <v>Continua a usare la macchina per togliere la gomma dal pneumatico e termina riposandola.</v>
      </c>
    </row>
    <row r="13506">
      <c r="A13506" s="4" t="s">
        <v>16998</v>
      </c>
      <c r="B13506" s="6" t="s">
        <v>16999</v>
      </c>
      <c r="C13506" s="5" t="str">
        <f>IFERROR(__xludf.DUMMYFUNCTION("GOOGLETRANSLATE(B13506,""en"",""it"")"),"Un cavallo è visto in lontananza seguita da un uomo che parla alla telecamera di fronte a un folto gruppo di cavalli.")</f>
        <v>Un cavallo è visto in lontananza seguita da un uomo che parla alla telecamera di fronte a un folto gruppo di cavalli.</v>
      </c>
    </row>
    <row r="13507">
      <c r="A13507" s="4" t="s">
        <v>16998</v>
      </c>
      <c r="B13507" s="6" t="s">
        <v>17000</v>
      </c>
      <c r="C13507" s="5" t="str">
        <f>IFERROR(__xludf.DUMMYFUNCTION("GOOGLETRANSLATE(B13507,""en"",""it"")"),"Vengono quindi viste varie persone che cavalcano i cavalli attraverso paesaggi diversi ed essere guidati da persone.")</f>
        <v>Vengono quindi viste varie persone che cavalcano i cavalli attraverso paesaggi diversi ed essere guidati da persone.</v>
      </c>
    </row>
    <row r="13508">
      <c r="A13508" s="4" t="s">
        <v>16998</v>
      </c>
      <c r="B13508" s="4" t="s">
        <v>17001</v>
      </c>
      <c r="C13508" s="5" t="str">
        <f>IFERROR(__xludf.DUMMYFUNCTION("GOOGLETRANSLATE(B13508,""en"",""it"")"),"Gli uomini continuano a condurre le persone in giro sui cavalli attraverso un grande specchio d'acqua.")</f>
        <v>Gli uomini continuano a condurre le persone in giro sui cavalli attraverso un grande specchio d'acqua.</v>
      </c>
    </row>
    <row r="13509">
      <c r="A13509" s="4" t="s">
        <v>17002</v>
      </c>
      <c r="B13509" s="4" t="s">
        <v>17003</v>
      </c>
      <c r="C13509" s="5" t="str">
        <f>IFERROR(__xludf.DUMMYFUNCTION("GOOGLETRANSLATE(B13509,""en"",""it"")"),"Uno chef lavora in cucina.")</f>
        <v>Uno chef lavora in cucina.</v>
      </c>
    </row>
    <row r="13510">
      <c r="A13510" s="4" t="s">
        <v>17002</v>
      </c>
      <c r="B13510" s="4" t="s">
        <v>17004</v>
      </c>
      <c r="C13510" s="5" t="str">
        <f>IFERROR(__xludf.DUMMYFUNCTION("GOOGLETRANSLATE(B13510,""en"",""it"")"),"Preme i pulsanti su uno schermo digitale.")</f>
        <v>Preme i pulsanti su uno schermo digitale.</v>
      </c>
    </row>
    <row r="13511">
      <c r="A13511" s="4" t="s">
        <v>17002</v>
      </c>
      <c r="B13511" s="4" t="s">
        <v>17005</v>
      </c>
      <c r="C13511" s="5" t="str">
        <f>IFERROR(__xludf.DUMMYFUNCTION("GOOGLETRANSLATE(B13511,""en"",""it"")"),"Prepara un grande piatto di pasta, che cucina nella macchina.")</f>
        <v>Prepara un grande piatto di pasta, che cucina nella macchina.</v>
      </c>
    </row>
    <row r="13512">
      <c r="A13512" s="4" t="s">
        <v>17006</v>
      </c>
      <c r="B13512" s="6" t="s">
        <v>17007</v>
      </c>
      <c r="C13512" s="5" t="str">
        <f>IFERROR(__xludf.DUMMYFUNCTION("GOOGLETRANSLATE(B13512,""en"",""it"")"),"Viene mostrato un uomo a parlare con una macchina fotografica seguita da lui e da un'altra donna in piedi vicino a una rete di pallavolo.")</f>
        <v>Viene mostrato un uomo a parlare con una macchina fotografica seguita da lui e da un'altra donna in piedi vicino a una rete di pallavolo.</v>
      </c>
    </row>
    <row r="13513">
      <c r="A13513" s="4" t="s">
        <v>17006</v>
      </c>
      <c r="B13513" s="4" t="s">
        <v>17008</v>
      </c>
      <c r="C13513" s="5" t="str">
        <f>IFERROR(__xludf.DUMMYFUNCTION("GOOGLETRANSLATE(B13513,""en"",""it"")"),"L'uomo lancia la palla alla ragazza che glielo rimbalza.")</f>
        <v>L'uomo lancia la palla alla ragazza che glielo rimbalza.</v>
      </c>
    </row>
    <row r="13514">
      <c r="A13514" s="4" t="s">
        <v>17006</v>
      </c>
      <c r="B13514" s="4" t="s">
        <v>17009</v>
      </c>
      <c r="C13514" s="5" t="str">
        <f>IFERROR(__xludf.DUMMYFUNCTION("GOOGLETRANSLATE(B13514,""en"",""it"")"),"Continua a parlare e dimostrare varie mosse di pallavolo per fare in modo appropriato.")</f>
        <v>Continua a parlare e dimostrare varie mosse di pallavolo per fare in modo appropriato.</v>
      </c>
    </row>
    <row r="13515">
      <c r="A13515" s="4" t="s">
        <v>17010</v>
      </c>
      <c r="B13515" s="4" t="s">
        <v>17011</v>
      </c>
      <c r="C13515" s="5" t="str">
        <f>IFERROR(__xludf.DUMMYFUNCTION("GOOGLETRANSLATE(B13515,""en"",""it"")"),"Un folto gruppo di persone è seduto attorno a un tavolo e passa a persone sedute su un ascensore da sci.")</f>
        <v>Un folto gruppo di persone è seduto attorno a un tavolo e passa a persone sedute su un ascensore da sci.</v>
      </c>
    </row>
    <row r="13516">
      <c r="A13516" s="4" t="s">
        <v>17010</v>
      </c>
      <c r="B13516" s="6" t="s">
        <v>17012</v>
      </c>
      <c r="C13516" s="5" t="str">
        <f>IFERROR(__xludf.DUMMYFUNCTION("GOOGLETRANSLATE(B13516,""en"",""it"")"),"Cominciano a turno a cavalcare la montagna innevata e vengono mostrati diversi colpi che cavalcano l'ascensore e giù per la montagna.")</f>
        <v>Cominciano a turno a cavalcare la montagna innevata e vengono mostrati diversi colpi che cavalcano l'ascensore e giù per la montagna.</v>
      </c>
    </row>
    <row r="13517">
      <c r="A13517" s="4" t="s">
        <v>17013</v>
      </c>
      <c r="B13517" s="4" t="s">
        <v>17014</v>
      </c>
      <c r="C13517" s="5" t="str">
        <f>IFERROR(__xludf.DUMMYFUNCTION("GOOGLETRANSLATE(B13517,""en"",""it"")"),"Una persona raccoglie un pezzo di frutta.")</f>
        <v>Una persona raccoglie un pezzo di frutta.</v>
      </c>
    </row>
    <row r="13518">
      <c r="A13518" s="4" t="s">
        <v>17013</v>
      </c>
      <c r="B13518" s="4" t="s">
        <v>17015</v>
      </c>
      <c r="C13518" s="5" t="str">
        <f>IFERROR(__xludf.DUMMYFUNCTION("GOOGLETRANSLATE(B13518,""en"",""it"")"),"Un pennello viene mostrato sullo schermo.")</f>
        <v>Un pennello viene mostrato sullo schermo.</v>
      </c>
    </row>
    <row r="13519">
      <c r="A13519" s="4" t="s">
        <v>17013</v>
      </c>
      <c r="B13519" s="4" t="s">
        <v>17016</v>
      </c>
      <c r="C13519" s="5" t="str">
        <f>IFERROR(__xludf.DUMMYFUNCTION("GOOGLETRANSLATE(B13519,""en"",""it"")"),"Un uomo si sta radermi la barba.")</f>
        <v>Un uomo si sta radermi la barba.</v>
      </c>
    </row>
    <row r="13520">
      <c r="A13520" s="4" t="s">
        <v>17017</v>
      </c>
      <c r="B13520" s="4" t="s">
        <v>17018</v>
      </c>
      <c r="C13520" s="5" t="str">
        <f>IFERROR(__xludf.DUMMYFUNCTION("GOOGLETRANSLATE(B13520,""en"",""it"")"),"Una persona viene vista cavalcare un monociclo nel mezzo di una foresta mentre tiene in mano uno strumento.")</f>
        <v>Una persona viene vista cavalcare un monociclo nel mezzo di una foresta mentre tiene in mano uno strumento.</v>
      </c>
    </row>
    <row r="13521">
      <c r="A13521" s="4" t="s">
        <v>17017</v>
      </c>
      <c r="B13521" s="4" t="s">
        <v>17019</v>
      </c>
      <c r="C13521" s="5" t="str">
        <f>IFERROR(__xludf.DUMMYFUNCTION("GOOGLETRANSLATE(B13521,""en"",""it"")"),"L'uomo continua a cavalcare lungo il percorso mentre la telecamera segue i suoi movimenti.")</f>
        <v>L'uomo continua a cavalcare lungo il percorso mentre la telecamera segue i suoi movimenti.</v>
      </c>
    </row>
    <row r="13522">
      <c r="A13522" s="4" t="s">
        <v>17020</v>
      </c>
      <c r="B13522" s="6" t="s">
        <v>17021</v>
      </c>
      <c r="C13522" s="5" t="str">
        <f>IFERROR(__xludf.DUMMYFUNCTION("GOOGLETRANSLATE(B13522,""en"",""it"")"),"Appare uno schermo nero con un logo rosso e bianco in alto a sinistra, parole in bianco e nero che vanno diagonali nella parte superiore del mezzo che leggono ""Sokol Dobris"" e il fondo ha parole viola e bianche che leggono ""Skipping Rope Skipping"".")</f>
        <v>Appare uno schermo nero con un logo rosso e bianco in alto a sinistra, parole in bianco e nero che vanno diagonali nella parte superiore del mezzo che leggono "Sokol Dobris" e il fondo ha parole viola e bianche che leggono "Skipping Rope Skipping".</v>
      </c>
    </row>
    <row r="13523">
      <c r="A13523" s="4" t="s">
        <v>17020</v>
      </c>
      <c r="B13523" s="6" t="s">
        <v>17022</v>
      </c>
      <c r="C13523" s="5" t="str">
        <f>IFERROR(__xludf.DUMMYFUNCTION("GOOGLETRANSLATE(B13523,""en"",""it"")"),"Il prossimo mostrato è uno scatto ancora di camicia nera con il logo in alto a sinistra del torace e la parola ""Dobris"" sotto di esso e una corda di salto rossa e bianca è sopra di essa.")</f>
        <v>Il prossimo mostrato è uno scatto ancora di camicia nera con il logo in alto a sinistra del torace e la parola "Dobris" sotto di esso e una corda di salto rossa e bianca è sopra di essa.</v>
      </c>
    </row>
    <row r="13524">
      <c r="A13524" s="4" t="s">
        <v>17020</v>
      </c>
      <c r="B13524" s="6" t="s">
        <v>17023</v>
      </c>
      <c r="C13524" s="5" t="str">
        <f>IFERROR(__xludf.DUMMYFUNCTION("GOOGLETRANSLATE(B13524,""en"",""it"")"),"Ci sono 4 persone diverse in piedi su un campo interno e 3 stanno tenendo estremità di 2 diverse corde di salto e 1 persona è saltare la corda.")</f>
        <v>Ci sono 4 persone diverse in piedi su un campo interno e 3 stanno tenendo estremità di 2 diverse corde di salto e 1 persona è saltare la corda.</v>
      </c>
    </row>
    <row r="13525">
      <c r="A13525" s="4" t="s">
        <v>17020</v>
      </c>
      <c r="B13525" s="6" t="s">
        <v>17024</v>
      </c>
      <c r="C13525" s="5" t="str">
        <f>IFERROR(__xludf.DUMMYFUNCTION("GOOGLETRANSLATE(B13525,""en"",""it"")"),"Varie clip di persone che saltano il gioco e talvolta ci sono solo 1 persona che salta da solo, ma la maggior parte delle volte ci sono tra 2 e 4 e molte volte si alternano tra salto e trattenendo la corda.")</f>
        <v>Varie clip di persone che saltano il gioco e talvolta ci sono solo 1 persona che salta da solo, ma la maggior parte delle volte ci sono tra 2 e 4 e molte volte si alternano tra salto e trattenendo la corda.</v>
      </c>
    </row>
    <row r="13526">
      <c r="A13526" s="4" t="s">
        <v>17020</v>
      </c>
      <c r="B13526" s="6" t="s">
        <v>17025</v>
      </c>
      <c r="C13526" s="5" t="str">
        <f>IFERROR(__xludf.DUMMYFUNCTION("GOOGLETRANSLATE(B13526,""en"",""it"")"),"Le clip dei video finiscono e varie immagini ancora scattate che coinvolgono il salto della corda sono mostrate sullo schermo e appare uno schermo nero quando le immagini sono fatte e le lettere viola e bianche appaiono sullo schermo che dicono ""saltare "&amp;"la corda"".")</f>
        <v>Le clip dei video finiscono e varie immagini ancora scattate che coinvolgono il salto della corda sono mostrate sullo schermo e appare uno schermo nero quando le immagini sono fatte e le lettere viola e bianche appaiono sullo schermo che dicono "saltare la corda".</v>
      </c>
    </row>
    <row r="13527">
      <c r="A13527" s="4" t="s">
        <v>17026</v>
      </c>
      <c r="B13527" s="4" t="s">
        <v>17027</v>
      </c>
      <c r="C13527" s="5" t="str">
        <f>IFERROR(__xludf.DUMMYFUNCTION("GOOGLETRANSLATE(B13527,""en"",""it"")"),"Un uomo con un arco e una freccia sta praticando il suo obiettivo e la sua forma.")</f>
        <v>Un uomo con un arco e una freccia sta praticando il suo obiettivo e la sua forma.</v>
      </c>
    </row>
    <row r="13528">
      <c r="A13528" s="4" t="s">
        <v>17026</v>
      </c>
      <c r="B13528" s="4" t="s">
        <v>17028</v>
      </c>
      <c r="C13528" s="5" t="str">
        <f>IFERROR(__xludf.DUMMYFUNCTION("GOOGLETRANSLATE(B13528,""en"",""it"")"),"Scatta una freccia e ne prende un'altra da dietro HM e si prepara a sparare di nuovo.")</f>
        <v>Scatta una freccia e ne prende un'altra da dietro HM e si prepara a sparare di nuovo.</v>
      </c>
    </row>
    <row r="13529">
      <c r="A13529" s="4" t="s">
        <v>17026</v>
      </c>
      <c r="B13529" s="4" t="s">
        <v>17029</v>
      </c>
      <c r="C13529" s="5" t="str">
        <f>IFERROR(__xludf.DUMMYFUNCTION("GOOGLETRANSLATE(B13529,""en"",""it"")"),"Tira indietro la corda sull'arco e la rilascia insieme alla freccia.")</f>
        <v>Tira indietro la corda sull'arco e la rilascia insieme alla freccia.</v>
      </c>
    </row>
    <row r="13530">
      <c r="A13530" s="4" t="s">
        <v>17026</v>
      </c>
      <c r="B13530" s="4" t="s">
        <v>17030</v>
      </c>
      <c r="C13530" s="5" t="str">
        <f>IFERROR(__xludf.DUMMYFUNCTION("GOOGLETRANSLATE(B13530,""en"",""it"")"),"Continua più e più volte questa routine, esercitandosi per la perfezione.")</f>
        <v>Continua più e più volte questa routine, esercitandosi per la perfezione.</v>
      </c>
    </row>
    <row r="13531">
      <c r="A13531" s="4" t="s">
        <v>17031</v>
      </c>
      <c r="B13531" s="4" t="s">
        <v>17032</v>
      </c>
      <c r="C13531" s="5" t="str">
        <f>IFERROR(__xludf.DUMMYFUNCTION("GOOGLETRANSLATE(B13531,""en"",""it"")"),"Una ragazza che indossa un maglione grigio con i capelli di colore rosso lungo si sta lavando i capelli.")</f>
        <v>Una ragazza che indossa un maglione grigio con i capelli di colore rosso lungo si sta lavando i capelli.</v>
      </c>
    </row>
    <row r="13532">
      <c r="A13532" s="4" t="s">
        <v>17031</v>
      </c>
      <c r="B13532" s="6" t="s">
        <v>17033</v>
      </c>
      <c r="C13532" s="5" t="str">
        <f>IFERROR(__xludf.DUMMYFUNCTION("GOOGLETRANSLATE(B13532,""en"",""it"")"),"Sta usando un pennello a pagaia d'argento per rimuovere i nodi dai capelli e devalcare mentre lo sfiora.")</f>
        <v>Sta usando un pennello a pagaia d'argento per rimuovere i nodi dai capelli e devalcare mentre lo sfiora.</v>
      </c>
    </row>
    <row r="13533">
      <c r="A13533" s="4" t="s">
        <v>17031</v>
      </c>
      <c r="B13533" s="4" t="s">
        <v>17034</v>
      </c>
      <c r="C13533" s="5" t="str">
        <f>IFERROR(__xludf.DUMMYFUNCTION("GOOGLETRANSLATE(B13533,""en"",""it"")"),"Improvvisamente inizia a urlare mentre si lava i capelli.")</f>
        <v>Improvvisamente inizia a urlare mentre si lava i capelli.</v>
      </c>
    </row>
    <row r="13534">
      <c r="A13534" s="4" t="s">
        <v>17035</v>
      </c>
      <c r="B13534" s="4" t="s">
        <v>17036</v>
      </c>
      <c r="C13534" s="5" t="str">
        <f>IFERROR(__xludf.DUMMYFUNCTION("GOOGLETRANSLATE(B13534,""en"",""it"")"),"Viene visto un bambino che tiene in mano un cono gelato e parla alla telecamera mentre sorride.")</f>
        <v>Viene visto un bambino che tiene in mano un cono gelato e parla alla telecamera mentre sorride.</v>
      </c>
    </row>
    <row r="13535">
      <c r="A13535" s="4" t="s">
        <v>17035</v>
      </c>
      <c r="B13535" s="4" t="s">
        <v>17037</v>
      </c>
      <c r="C13535" s="5" t="str">
        <f>IFERROR(__xludf.DUMMYFUNCTION("GOOGLETRANSLATE(B13535,""en"",""it"")"),"Parla con l'uomo della telecamera che tiene una bambola dall'altra parte, quindi si siede a terra.")</f>
        <v>Parla con l'uomo della telecamera che tiene una bambola dall'altra parte, quindi si siede a terra.</v>
      </c>
    </row>
    <row r="13536">
      <c r="A13536" s="4" t="s">
        <v>17038</v>
      </c>
      <c r="B13536" s="4" t="s">
        <v>17039</v>
      </c>
      <c r="C13536" s="5" t="str">
        <f>IFERROR(__xludf.DUMMYFUNCTION("GOOGLETRANSLATE(B13536,""en"",""it"")"),"Una donna e un uomo sono in piedi fuori facendo alcune tecniche interessanti tra loro.")</f>
        <v>Una donna e un uomo sono in piedi fuori facendo alcune tecniche interessanti tra loro.</v>
      </c>
    </row>
    <row r="13537">
      <c r="A13537" s="4" t="s">
        <v>17038</v>
      </c>
      <c r="B13537" s="4" t="s">
        <v>17040</v>
      </c>
      <c r="C13537" s="5" t="str">
        <f>IFERROR(__xludf.DUMMYFUNCTION("GOOGLETRANSLATE(B13537,""en"",""it"")"),"Sembrano funzionare bene l'uno con l'altro muovendosi in sincronizzazione o meno senza mai colpire l'altro.")</f>
        <v>Sembrano funzionare bene l'uno con l'altro muovendosi in sincronizzazione o meno senza mai colpire l'altro.</v>
      </c>
    </row>
    <row r="13538">
      <c r="A13538" s="4" t="s">
        <v>17038</v>
      </c>
      <c r="B13538" s="4" t="s">
        <v>17041</v>
      </c>
      <c r="C13538" s="5" t="str">
        <f>IFERROR(__xludf.DUMMYFUNCTION("GOOGLETRANSLATE(B13538,""en"",""it"")"),"Stanno facendo un qualche tipo di karate o qualcosa del genere.")</f>
        <v>Stanno facendo un qualche tipo di karate o qualcosa del genere.</v>
      </c>
    </row>
    <row r="13539">
      <c r="A13539" s="4" t="s">
        <v>17038</v>
      </c>
      <c r="B13539" s="4" t="s">
        <v>17042</v>
      </c>
      <c r="C13539" s="5" t="str">
        <f>IFERROR(__xludf.DUMMYFUNCTION("GOOGLETRANSLATE(B13539,""en"",""it"")"),"Quello afferra intensamente l'uomo e lo abbraccia, sembrava che volessero baciare ma non l'hanno fatto.")</f>
        <v>Quello afferra intensamente l'uomo e lo abbraccia, sembrava che volessero baciare ma non l'hanno fatto.</v>
      </c>
    </row>
    <row r="13540">
      <c r="A13540" s="4" t="s">
        <v>17043</v>
      </c>
      <c r="B13540" s="4" t="s">
        <v>17044</v>
      </c>
      <c r="C13540" s="5" t="str">
        <f>IFERROR(__xludf.DUMMYFUNCTION("GOOGLETRANSLATE(B13540,""en"",""it"")"),"Un gruppo di anziani è seduto sulle sedie all'esterno.")</f>
        <v>Un gruppo di anziani è seduto sulle sedie all'esterno.</v>
      </c>
    </row>
    <row r="13541">
      <c r="A13541" s="4" t="s">
        <v>17043</v>
      </c>
      <c r="B13541" s="4" t="s">
        <v>17045</v>
      </c>
      <c r="C13541" s="5" t="str">
        <f>IFERROR(__xludf.DUMMYFUNCTION("GOOGLETRANSLATE(B13541,""en"",""it"")"),"Un uomo sta suonando una melodia usando un bastone e una sega.")</f>
        <v>Un uomo sta suonando una melodia usando un bastone e una sega.</v>
      </c>
    </row>
    <row r="13542">
      <c r="A13542" s="4" t="s">
        <v>17043</v>
      </c>
      <c r="B13542" s="4" t="s">
        <v>17046</v>
      </c>
      <c r="C13542" s="5" t="str">
        <f>IFERROR(__xludf.DUMMYFUNCTION("GOOGLETRANSLATE(B13542,""en"",""it"")"),"Gli uomini accanto a lui tengono strumenti, aspettando il loro turno.")</f>
        <v>Gli uomini accanto a lui tengono strumenti, aspettando il loro turno.</v>
      </c>
    </row>
    <row r="13543">
      <c r="A13543" s="4" t="s">
        <v>17047</v>
      </c>
      <c r="B13543" s="4" t="s">
        <v>17048</v>
      </c>
      <c r="C13543" s="5" t="str">
        <f>IFERROR(__xludf.DUMMYFUNCTION("GOOGLETRANSLATE(B13543,""en"",""it"")"),"Viene mostrato un parco giochi e un cortile posteriore mentre la fotocamera si lancia su una finestra su un tetto.")</f>
        <v>Viene mostrato un parco giochi e un cortile posteriore mentre la fotocamera si lancia su una finestra su un tetto.</v>
      </c>
    </row>
    <row r="13544">
      <c r="A13544" s="4" t="s">
        <v>17047</v>
      </c>
      <c r="B13544" s="6" t="s">
        <v>17049</v>
      </c>
      <c r="C13544" s="5" t="str">
        <f>IFERROR(__xludf.DUMMYFUNCTION("GOOGLETRANSLATE(B13544,""en"",""it"")"),"Il video mostra varie immagini su come riparare un tetto e l'uomo piova di nuovo sopra la finestra con materiale.")</f>
        <v>Il video mostra varie immagini su come riparare un tetto e l'uomo piova di nuovo sopra la finestra con materiale.</v>
      </c>
    </row>
    <row r="13545">
      <c r="A13545" s="4" t="s">
        <v>17047</v>
      </c>
      <c r="B13545" s="6" t="s">
        <v>17050</v>
      </c>
      <c r="C13545" s="5" t="str">
        <f>IFERROR(__xludf.DUMMYFUNCTION("GOOGLETRANSLATE(B13545,""en"",""it"")"),"Posiziona vari oggetti intorno alla finestra e mostra più immagini del tetto con il prodotto finito.")</f>
        <v>Posiziona vari oggetti intorno alla finestra e mostra più immagini del tetto con il prodotto finito.</v>
      </c>
    </row>
    <row r="13546">
      <c r="A13546" s="4" t="s">
        <v>17051</v>
      </c>
      <c r="B13546" s="4" t="s">
        <v>17052</v>
      </c>
      <c r="C13546" s="5" t="str">
        <f>IFERROR(__xludf.DUMMYFUNCTION("GOOGLETRANSLATE(B13546,""en"",""it"")"),"Un pilota di rodeo esce dal cancello su un toro e viene buttato via.")</f>
        <v>Un pilota di rodeo esce dal cancello su un toro e viene buttato via.</v>
      </c>
    </row>
    <row r="13547">
      <c r="A13547" s="4" t="s">
        <v>17051</v>
      </c>
      <c r="B13547" s="4" t="s">
        <v>17053</v>
      </c>
      <c r="C13547" s="5" t="str">
        <f>IFERROR(__xludf.DUMMYFUNCTION("GOOGLETRANSLATE(B13547,""en"",""it"")"),"I pagliacci del rodeo distraggono il toro mentre il pilota si mette in salvo.")</f>
        <v>I pagliacci del rodeo distraggono il toro mentre il pilota si mette in salvo.</v>
      </c>
    </row>
    <row r="13548">
      <c r="A13548" s="4" t="s">
        <v>17051</v>
      </c>
      <c r="B13548" s="4" t="s">
        <v>17054</v>
      </c>
      <c r="C13548" s="5" t="str">
        <f>IFERROR(__xludf.DUMMYFUNCTION("GOOGLETRANSLATE(B13548,""en"",""it"")"),"Un clown si fa male e va per il trattamento di una bella signora.")</f>
        <v>Un clown si fa male e va per il trattamento di una bella signora.</v>
      </c>
    </row>
    <row r="13549">
      <c r="A13549" s="4" t="s">
        <v>17051</v>
      </c>
      <c r="B13549" s="4" t="s">
        <v>17055</v>
      </c>
      <c r="C13549" s="5" t="str">
        <f>IFERROR(__xludf.DUMMYFUNCTION("GOOGLETRANSLATE(B13549,""en"",""it"")"),"Un gruppo di uomini su cavalli parla e mentre cavalcano, il pagliaccio riavvia il suo lavoro sul ring.")</f>
        <v>Un gruppo di uomini su cavalli parla e mentre cavalcano, il pagliaccio riavvia il suo lavoro sul ring.</v>
      </c>
    </row>
    <row r="13550">
      <c r="A13550" s="4" t="s">
        <v>17051</v>
      </c>
      <c r="B13550" s="4" t="s">
        <v>17056</v>
      </c>
      <c r="C13550" s="5" t="str">
        <f>IFERROR(__xludf.DUMMYFUNCTION("GOOGLETRANSLATE(B13550,""en"",""it"")"),"Il pagliaccio si ferisce di nuovo mentre salta sopra una testa di tori e gli altri pagliacci lo aiutano.")</f>
        <v>Il pagliaccio si ferisce di nuovo mentre salta sopra una testa di tori e gli altri pagliacci lo aiutano.</v>
      </c>
    </row>
    <row r="13551">
      <c r="A13551" s="4" t="s">
        <v>17057</v>
      </c>
      <c r="B13551" s="6" t="s">
        <v>17058</v>
      </c>
      <c r="C13551" s="5" t="str">
        <f>IFERROR(__xludf.DUMMYFUNCTION("GOOGLETRANSLATE(B13551,""en"",""it"")"),"Un folto gruppo di persone è visto con una corda mentre altri due camminano nel telaio e la telecamera si chiude sulla gente.")</f>
        <v>Un folto gruppo di persone è visto con una corda mentre altri due camminano nel telaio e la telecamera si chiude sulla gente.</v>
      </c>
    </row>
    <row r="13552">
      <c r="A13552" s="4" t="s">
        <v>17057</v>
      </c>
      <c r="B13552" s="6" t="s">
        <v>17059</v>
      </c>
      <c r="C13552" s="5" t="str">
        <f>IFERROR(__xludf.DUMMYFUNCTION("GOOGLETRANSLATE(B13552,""en"",""it"")"),"La telecamera continua a fare il giro delle persone e conduce in una partita di tiro alla fune e le donne che celebrano.")</f>
        <v>La telecamera continua a fare il giro delle persone e conduce in una partita di tiro alla fune e le donne che celebrano.</v>
      </c>
    </row>
    <row r="13553">
      <c r="A13553" s="4" t="s">
        <v>17060</v>
      </c>
      <c r="B13553" s="4" t="s">
        <v>17061</v>
      </c>
      <c r="C13553" s="5" t="str">
        <f>IFERROR(__xludf.DUMMYFUNCTION("GOOGLETRANSLATE(B13553,""en"",""it"")"),"I ragazzi stanno o si siedono attorno alle loro bici da sporcizia.")</f>
        <v>I ragazzi stanno o si siedono attorno alle loro bici da sporcizia.</v>
      </c>
    </row>
    <row r="13554">
      <c r="A13554" s="4" t="s">
        <v>17060</v>
      </c>
      <c r="B13554" s="4" t="s">
        <v>17062</v>
      </c>
      <c r="C13554" s="5" t="str">
        <f>IFERROR(__xludf.DUMMYFUNCTION("GOOGLETRANSLATE(B13554,""en"",""it"")"),"I ragazzi stanno guidando le loro bici da terra.")</f>
        <v>I ragazzi stanno guidando le loro bici da terra.</v>
      </c>
    </row>
    <row r="13555">
      <c r="A13555" s="4" t="s">
        <v>17060</v>
      </c>
      <c r="B13555" s="4" t="s">
        <v>17063</v>
      </c>
      <c r="C13555" s="5" t="str">
        <f>IFERROR(__xludf.DUMMYFUNCTION("GOOGLETRANSLATE(B13555,""en"",""it"")"),"Un ragazzo si toglie l'armatura della parte superiore del corpo mentre era seduto sulla sua bici da terra.")</f>
        <v>Un ragazzo si toglie l'armatura della parte superiore del corpo mentre era seduto sulla sua bici da terra.</v>
      </c>
    </row>
    <row r="13556">
      <c r="A13556" s="4" t="s">
        <v>17064</v>
      </c>
      <c r="B13556" s="4" t="s">
        <v>17065</v>
      </c>
      <c r="C13556" s="5" t="str">
        <f>IFERROR(__xludf.DUMMYFUNCTION("GOOGLETRANSLATE(B13556,""en"",""it"")"),"Una lunga fila di motociclisti è mostrata al buio in un evento.")</f>
        <v>Una lunga fila di motociclisti è mostrata al buio in un evento.</v>
      </c>
    </row>
    <row r="13557">
      <c r="A13557" s="4" t="s">
        <v>17064</v>
      </c>
      <c r="B13557" s="4" t="s">
        <v>17066</v>
      </c>
      <c r="C13557" s="5" t="str">
        <f>IFERROR(__xludf.DUMMYFUNCTION("GOOGLETRANSLATE(B13557,""en"",""it"")"),"Un uomo parla sul palco delle persone mentre si preparano per l'evento principale.")</f>
        <v>Un uomo parla sul palco delle persone mentre si preparano per l'evento principale.</v>
      </c>
    </row>
    <row r="13558">
      <c r="A13558" s="4" t="s">
        <v>17064</v>
      </c>
      <c r="B13558" s="6" t="s">
        <v>17067</v>
      </c>
      <c r="C13558" s="5" t="str">
        <f>IFERROR(__xludf.DUMMYFUNCTION("GOOGLETRANSLATE(B13558,""en"",""it"")"),"Le persone corrono e facevano jogging oltre la folla incoraggiante, fino a raggiungere il traguardo, dove si fermano a parlare e trattengono la corda che hanno strappato.")</f>
        <v>Le persone corrono e facevano jogging oltre la folla incoraggiante, fino a raggiungere il traguardo, dove si fermano a parlare e trattengono la corda che hanno strappato.</v>
      </c>
    </row>
    <row r="13559">
      <c r="A13559" s="4" t="s">
        <v>17068</v>
      </c>
      <c r="B13559" s="6" t="s">
        <v>17069</v>
      </c>
      <c r="C13559" s="5" t="str">
        <f>IFERROR(__xludf.DUMMYFUNCTION("GOOGLETRANSLATE(B13559,""en"",""it"")"),"Un proprietario di un cane porta tre cani in un servizio di pulizia del cane e compagnia in cui i cani vengono lavati e asciugati.")</f>
        <v>Un proprietario di un cane porta tre cani in un servizio di pulizia del cane e compagnia in cui i cani vengono lavati e asciugati.</v>
      </c>
    </row>
    <row r="13560">
      <c r="A13560" s="4" t="s">
        <v>17068</v>
      </c>
      <c r="B13560" s="4" t="s">
        <v>17070</v>
      </c>
      <c r="C13560" s="5" t="str">
        <f>IFERROR(__xludf.DUMMYFUNCTION("GOOGLETRANSLATE(B13560,""en"",""it"")"),"Tre cani vengono mostrati sporchi svegliandosi in pozzanghere di fango e attraverso sporcizia ed erba.")</f>
        <v>Tre cani vengono mostrati sporchi svegliandosi in pozzanghere di fango e attraverso sporcizia ed erba.</v>
      </c>
    </row>
    <row r="13561">
      <c r="A13561" s="4" t="s">
        <v>17068</v>
      </c>
      <c r="B13561" s="6" t="s">
        <v>17071</v>
      </c>
      <c r="C13561" s="5" t="str">
        <f>IFERROR(__xludf.DUMMYFUNCTION("GOOGLETRANSLATE(B13561,""en"",""it"")"),"I cani vengono quindi caricati in un veicolo e portati in una compagnia di lavaggio per cani dove vengono collocati in lavandini.")</f>
        <v>I cani vengono quindi caricati in un veicolo e portati in una compagnia di lavaggio per cani dove vengono collocati in lavandini.</v>
      </c>
    </row>
    <row r="13562">
      <c r="A13562" s="4" t="s">
        <v>17068</v>
      </c>
      <c r="B13562" s="6" t="s">
        <v>17072</v>
      </c>
      <c r="C13562" s="5" t="str">
        <f>IFERROR(__xludf.DUMMYFUNCTION("GOOGLETRANSLATE(B13562,""en"",""it"")"),"Tutti e tre i cani vengono lavati e asciugati da persone, dopo di che le persone vengono mostrate pulendo l'area in cui i cani venivano lavati.")</f>
        <v>Tutti e tre i cani vengono lavati e asciugati da persone, dopo di che le persone vengono mostrate pulendo l'area in cui i cani venivano lavati.</v>
      </c>
    </row>
    <row r="13563">
      <c r="A13563" s="4" t="s">
        <v>17073</v>
      </c>
      <c r="B13563" s="4" t="s">
        <v>17074</v>
      </c>
      <c r="C13563" s="5" t="str">
        <f>IFERROR(__xludf.DUMMYFUNCTION("GOOGLETRANSLATE(B13563,""en"",""it"")"),"Un uomo sta iniziando a saldare.")</f>
        <v>Un uomo sta iniziando a saldare.</v>
      </c>
    </row>
    <row r="13564">
      <c r="A13564" s="4" t="s">
        <v>17073</v>
      </c>
      <c r="B13564" s="4" t="s">
        <v>17075</v>
      </c>
      <c r="C13564" s="5" t="str">
        <f>IFERROR(__xludf.DUMMYFUNCTION("GOOGLETRANSLATE(B13564,""en"",""it"")"),"Comincia a saldare un pezzo di metallo su una cornice.")</f>
        <v>Comincia a saldare un pezzo di metallo su una cornice.</v>
      </c>
    </row>
    <row r="13565">
      <c r="A13565" s="4" t="s">
        <v>17073</v>
      </c>
      <c r="B13565" s="4" t="s">
        <v>17076</v>
      </c>
      <c r="C13565" s="5" t="str">
        <f>IFERROR(__xludf.DUMMYFUNCTION("GOOGLETRANSLATE(B13565,""en"",""it"")"),"Finisce la saldatura e si allontana.")</f>
        <v>Finisce la saldatura e si allontana.</v>
      </c>
    </row>
    <row r="13566">
      <c r="A13566" s="4" t="s">
        <v>17077</v>
      </c>
      <c r="B13566" s="4" t="s">
        <v>17078</v>
      </c>
      <c r="C13566" s="5" t="str">
        <f>IFERROR(__xludf.DUMMYFUNCTION("GOOGLETRANSLATE(B13566,""en"",""it"")"),"Un uomo sta srotolando il tappeto sul pavimento.")</f>
        <v>Un uomo sta srotolando il tappeto sul pavimento.</v>
      </c>
    </row>
    <row r="13567">
      <c r="A13567" s="4" t="s">
        <v>17077</v>
      </c>
      <c r="B13567" s="4" t="s">
        <v>17079</v>
      </c>
      <c r="C13567" s="5" t="str">
        <f>IFERROR(__xludf.DUMMYFUNCTION("GOOGLETRANSLATE(B13567,""en"",""it"")"),"È in ginocchio tagliando il tappeto.")</f>
        <v>È in ginocchio tagliando il tappeto.</v>
      </c>
    </row>
    <row r="13568">
      <c r="A13568" s="4" t="s">
        <v>17077</v>
      </c>
      <c r="B13568" s="4" t="s">
        <v>17080</v>
      </c>
      <c r="C13568" s="5" t="str">
        <f>IFERROR(__xludf.DUMMYFUNCTION("GOOGLETRANSLATE(B13568,""en"",""it"")"),"Sta mettendo la colla sul pavimento.")</f>
        <v>Sta mettendo la colla sul pavimento.</v>
      </c>
    </row>
    <row r="13569">
      <c r="A13569" s="4" t="s">
        <v>17077</v>
      </c>
      <c r="B13569" s="4" t="s">
        <v>17081</v>
      </c>
      <c r="C13569" s="5" t="str">
        <f>IFERROR(__xludf.DUMMYFUNCTION("GOOGLETRANSLATE(B13569,""en"",""it"")"),"Quindi mette il tappeto sopra e lo liscia.")</f>
        <v>Quindi mette il tappeto sopra e lo liscia.</v>
      </c>
    </row>
    <row r="13570">
      <c r="A13570" s="4" t="s">
        <v>17077</v>
      </c>
      <c r="B13570" s="4" t="s">
        <v>17082</v>
      </c>
      <c r="C13570" s="5" t="str">
        <f>IFERROR(__xludf.DUMMYFUNCTION("GOOGLETRANSLATE(B13570,""en"",""it"")"),"Quindi aspira il tappeto quando ha finito.")</f>
        <v>Quindi aspira il tappeto quando ha finito.</v>
      </c>
    </row>
    <row r="13571">
      <c r="A13571" s="4" t="s">
        <v>17083</v>
      </c>
      <c r="B13571" s="4" t="s">
        <v>17084</v>
      </c>
      <c r="C13571" s="5" t="str">
        <f>IFERROR(__xludf.DUMMYFUNCTION("GOOGLETRANSLATE(B13571,""en"",""it"")"),"Un bambino è seduto sul pavimento con una tazza e un cucchiaio.")</f>
        <v>Un bambino è seduto sul pavimento con una tazza e un cucchiaio.</v>
      </c>
    </row>
    <row r="13572">
      <c r="A13572" s="4" t="s">
        <v>17083</v>
      </c>
      <c r="B13572" s="4" t="s">
        <v>17085</v>
      </c>
      <c r="C13572" s="5" t="str">
        <f>IFERROR(__xludf.DUMMYFUNCTION("GOOGLETRANSLATE(B13572,""en"",""it"")"),"Sta mangiando una sostanza bianca mentre sua madre viene a controllarlo.")</f>
        <v>Sta mangiando una sostanza bianca mentre sua madre viene a controllarlo.</v>
      </c>
    </row>
    <row r="13573">
      <c r="A13573" s="4" t="s">
        <v>17083</v>
      </c>
      <c r="B13573" s="4" t="s">
        <v>17086</v>
      </c>
      <c r="C13573" s="5" t="str">
        <f>IFERROR(__xludf.DUMMYFUNCTION("GOOGLETRANSLATE(B13573,""en"",""it"")"),"Continua a mangiare lentamente mentre cammina oltre.")</f>
        <v>Continua a mangiare lentamente mentre cammina oltre.</v>
      </c>
    </row>
    <row r="13574">
      <c r="A13574" s="4" t="s">
        <v>17087</v>
      </c>
      <c r="B13574" s="4" t="s">
        <v>17088</v>
      </c>
      <c r="C13574" s="5" t="str">
        <f>IFERROR(__xludf.DUMMYFUNCTION("GOOGLETRANSLATE(B13574,""en"",""it"")"),"Un paio di donne parlano mentre si trovano in un cortile.")</f>
        <v>Un paio di donne parlano mentre si trovano in un cortile.</v>
      </c>
    </row>
    <row r="13575">
      <c r="A13575" s="4" t="s">
        <v>17087</v>
      </c>
      <c r="B13575" s="4" t="s">
        <v>17089</v>
      </c>
      <c r="C13575" s="5" t="str">
        <f>IFERROR(__xludf.DUMMYFUNCTION("GOOGLETRANSLATE(B13575,""en"",""it"")"),"Stanno tenendo il muschio killer attaccato ai tubi.")</f>
        <v>Stanno tenendo il muschio killer attaccato ai tubi.</v>
      </c>
    </row>
    <row r="13576">
      <c r="A13576" s="4" t="s">
        <v>17087</v>
      </c>
      <c r="B13576" s="4" t="s">
        <v>17090</v>
      </c>
      <c r="C13576" s="5" t="str">
        <f>IFERROR(__xludf.DUMMYFUNCTION("GOOGLETRANSLATE(B13576,""en"",""it"")"),"Le donne spruzzano il muschio killer sul tetto di una tettoia, uccidendo la crescita con il liquido.")</f>
        <v>Le donne spruzzano il muschio killer sul tetto di una tettoia, uccidendo la crescita con il liquido.</v>
      </c>
    </row>
    <row r="13577">
      <c r="A13577" s="4" t="s">
        <v>17087</v>
      </c>
      <c r="B13577" s="4" t="s">
        <v>17091</v>
      </c>
      <c r="C13577" s="5" t="str">
        <f>IFERROR(__xludf.DUMMYFUNCTION("GOOGLETRANSLATE(B13577,""en"",""it"")"),"Respingono quindi le strisce di killer del muschio in una scatola.")</f>
        <v>Respingono quindi le strisce di killer del muschio in una scatola.</v>
      </c>
    </row>
    <row r="13578">
      <c r="A13578" s="4" t="s">
        <v>17092</v>
      </c>
      <c r="B13578" s="4" t="s">
        <v>17093</v>
      </c>
      <c r="C13578" s="5" t="str">
        <f>IFERROR(__xludf.DUMMYFUNCTION("GOOGLETRANSLATE(B13578,""en"",""it"")"),"Un uomo è seduto in un kayak nel fiume mentre parla alla telecamera del suo viaggio.")</f>
        <v>Un uomo è seduto in un kayak nel fiume mentre parla alla telecamera del suo viaggio.</v>
      </c>
    </row>
    <row r="13579">
      <c r="A13579" s="4" t="s">
        <v>17092</v>
      </c>
      <c r="B13579" s="4" t="s">
        <v>17094</v>
      </c>
      <c r="C13579" s="5" t="str">
        <f>IFERROR(__xludf.DUMMYFUNCTION("GOOGLETRANSLATE(B13579,""en"",""it"")"),"Si muove lentamente in acqua mentre dà istruzioni su come spostare correttamente il kayak.")</f>
        <v>Si muove lentamente in acqua mentre dà istruzioni su come spostare correttamente il kayak.</v>
      </c>
    </row>
    <row r="13580">
      <c r="A13580" s="4" t="s">
        <v>17092</v>
      </c>
      <c r="B13580" s="4" t="s">
        <v>17095</v>
      </c>
      <c r="C13580" s="5" t="str">
        <f>IFERROR(__xludf.DUMMYFUNCTION("GOOGLETRANSLATE(B13580,""en"",""it"")"),"Comincia a remare nel flusso e mostrare cosa fare se rimani bloccato.")</f>
        <v>Comincia a remare nel flusso e mostrare cosa fare se rimani bloccato.</v>
      </c>
    </row>
    <row r="13581">
      <c r="A13581" s="4" t="s">
        <v>17096</v>
      </c>
      <c r="B13581" s="4" t="s">
        <v>17097</v>
      </c>
      <c r="C13581" s="5" t="str">
        <f>IFERROR(__xludf.DUMMYFUNCTION("GOOGLETRANSLATE(B13581,""en"",""it"")"),"L'uomo sta parlando con una macchina fotografica e tiene un coltello e alcune riviste.")</f>
        <v>L'uomo sta parlando con una macchina fotografica e tiene un coltello e alcune riviste.</v>
      </c>
    </row>
    <row r="13582">
      <c r="A13582" s="4" t="s">
        <v>17096</v>
      </c>
      <c r="B13582" s="4" t="s">
        <v>17098</v>
      </c>
      <c r="C13582" s="5" t="str">
        <f>IFERROR(__xludf.DUMMYFUNCTION("GOOGLETRANSLATE(B13582,""en"",""it"")"),"L'uomo tiene il coltello e Shavea piccolo pezzo del braccio.")</f>
        <v>L'uomo tiene il coltello e Shavea piccolo pezzo del braccio.</v>
      </c>
    </row>
    <row r="13583">
      <c r="A13583" s="4" t="s">
        <v>17096</v>
      </c>
      <c r="B13583" s="4" t="s">
        <v>17099</v>
      </c>
      <c r="C13583" s="5" t="str">
        <f>IFERROR(__xludf.DUMMYFUNCTION("GOOGLETRANSLATE(B13583,""en"",""it"")"),"L'uomo afferra alcune rocce da una tazza d'acqua e affitta il coltello.")</f>
        <v>L'uomo afferra alcune rocce da una tazza d'acqua e affitta il coltello.</v>
      </c>
    </row>
    <row r="13584">
      <c r="A13584" s="4" t="s">
        <v>17096</v>
      </c>
      <c r="B13584" s="4" t="s">
        <v>17100</v>
      </c>
      <c r="C13584" s="5" t="str">
        <f>IFERROR(__xludf.DUMMYFUNCTION("GOOGLETRANSLATE(B13584,""en"",""it"")"),"L'uomo usa il coltello per tagliare la rivista.")</f>
        <v>L'uomo usa il coltello per tagliare la rivista.</v>
      </c>
    </row>
    <row r="13585">
      <c r="A13585" s="4" t="s">
        <v>17101</v>
      </c>
      <c r="B13585" s="4" t="s">
        <v>17102</v>
      </c>
      <c r="C13585" s="5" t="str">
        <f>IFERROR(__xludf.DUMMYFUNCTION("GOOGLETRANSLATE(B13585,""en"",""it"")"),"Un uomo è visto nelle acque dell'oceano.")</f>
        <v>Un uomo è visto nelle acque dell'oceano.</v>
      </c>
    </row>
    <row r="13586">
      <c r="A13586" s="4" t="s">
        <v>17101</v>
      </c>
      <c r="B13586" s="4" t="s">
        <v>17103</v>
      </c>
      <c r="C13586" s="5" t="str">
        <f>IFERROR(__xludf.DUMMYFUNCTION("GOOGLETRANSLATE(B13586,""en"",""it"")"),"Sta cavalcando un paio di sci d'acqua.")</f>
        <v>Sta cavalcando un paio di sci d'acqua.</v>
      </c>
    </row>
    <row r="13587">
      <c r="A13587" s="4" t="s">
        <v>17101</v>
      </c>
      <c r="B13587" s="4" t="s">
        <v>17104</v>
      </c>
      <c r="C13587" s="5" t="str">
        <f>IFERROR(__xludf.DUMMYFUNCTION("GOOGLETRANSLATE(B13587,""en"",""it"")"),"È drogato da una barca mentre scivolò tra le onde.")</f>
        <v>È drogato da una barca mentre scivolò tra le onde.</v>
      </c>
    </row>
    <row r="13588">
      <c r="A13588" s="4" t="s">
        <v>17105</v>
      </c>
      <c r="B13588" s="4" t="s">
        <v>15882</v>
      </c>
      <c r="C13588" s="5" t="str">
        <f>IFERROR(__xludf.DUMMYFUNCTION("GOOGLETRANSLATE(B13588,""en"",""it"")"),"Vediamo gli schermi del titolo di apertura.")</f>
        <v>Vediamo gli schermi del titolo di apertura.</v>
      </c>
    </row>
    <row r="13589">
      <c r="A13589" s="4" t="s">
        <v>17105</v>
      </c>
      <c r="B13589" s="4" t="s">
        <v>17106</v>
      </c>
      <c r="C13589" s="5" t="str">
        <f>IFERROR(__xludf.DUMMYFUNCTION("GOOGLETRANSLATE(B13589,""en"",""it"")"),"Una persona lava e taglia una zucca.")</f>
        <v>Una persona lava e taglia una zucca.</v>
      </c>
    </row>
    <row r="13590">
      <c r="A13590" s="4" t="s">
        <v>17105</v>
      </c>
      <c r="B13590" s="4" t="s">
        <v>17107</v>
      </c>
      <c r="C13590" s="5" t="str">
        <f>IFERROR(__xludf.DUMMYFUNCTION("GOOGLETRANSLATE(B13590,""en"",""it"")"),"La persona si pulisce verso gli interni e disegna una faccia sulla zucca.")</f>
        <v>La persona si pulisce verso gli interni e disegna una faccia sulla zucca.</v>
      </c>
    </row>
    <row r="13591">
      <c r="A13591" s="4" t="s">
        <v>17105</v>
      </c>
      <c r="B13591" s="4" t="s">
        <v>17108</v>
      </c>
      <c r="C13591" s="5" t="str">
        <f>IFERROR(__xludf.DUMMYFUNCTION("GOOGLETRANSLATE(B13591,""en"",""it"")"),"Scattinano il viso per fare un Jackolantern.")</f>
        <v>Scattinano il viso per fare un Jackolantern.</v>
      </c>
    </row>
    <row r="13592">
      <c r="A13592" s="4" t="s">
        <v>17105</v>
      </c>
      <c r="B13592" s="4" t="s">
        <v>17109</v>
      </c>
      <c r="C13592" s="5" t="str">
        <f>IFERROR(__xludf.DUMMYFUNCTION("GOOGLETRANSLATE(B13592,""en"",""it"")"),"Vediamo quindi la zucca intagliata con una candela all'interno e lo schermo di chiusura.")</f>
        <v>Vediamo quindi la zucca intagliata con una candela all'interno e lo schermo di chiusura.</v>
      </c>
    </row>
    <row r="13593">
      <c r="A13593" s="4" t="s">
        <v>17110</v>
      </c>
      <c r="B13593" s="4" t="s">
        <v>17111</v>
      </c>
      <c r="C13593" s="5" t="str">
        <f>IFERROR(__xludf.DUMMYFUNCTION("GOOGLETRANSLATE(B13593,""en"",""it"")"),"Vediamo una serie di bloopers da bowling.")</f>
        <v>Vediamo una serie di bloopers da bowling.</v>
      </c>
    </row>
    <row r="13594">
      <c r="A13594" s="4" t="s">
        <v>17110</v>
      </c>
      <c r="B13594" s="4" t="s">
        <v>17112</v>
      </c>
      <c r="C13594" s="5" t="str">
        <f>IFERROR(__xludf.DUMMYFUNCTION("GOOGLETRANSLATE(B13594,""en"",""it"")"),"Vediamo un bambino lanciare una palla e una caduta adulta.")</f>
        <v>Vediamo un bambino lanciare una palla e una caduta adulta.</v>
      </c>
    </row>
    <row r="13595">
      <c r="A13595" s="4" t="s">
        <v>17110</v>
      </c>
      <c r="B13595" s="4" t="s">
        <v>17113</v>
      </c>
      <c r="C13595" s="5" t="str">
        <f>IFERROR(__xludf.DUMMYFUNCTION("GOOGLETRANSLATE(B13595,""en"",""it"")"),"Vediamo una signora cadere mentre è seduta su una panchina.")</f>
        <v>Vediamo una signora cadere mentre è seduta su una panchina.</v>
      </c>
    </row>
    <row r="13596">
      <c r="A13596" s="4" t="s">
        <v>17110</v>
      </c>
      <c r="B13596" s="4" t="s">
        <v>17114</v>
      </c>
      <c r="C13596" s="5" t="str">
        <f>IFERROR(__xludf.DUMMYFUNCTION("GOOGLETRANSLATE(B13596,""en"",""it"")"),"Vediamo un uomo mettere una palla da bowling in un cannone e sparare attraverso un campo.")</f>
        <v>Vediamo un uomo mettere una palla da bowling in un cannone e sparare attraverso un campo.</v>
      </c>
    </row>
    <row r="13597">
      <c r="A13597" s="4" t="s">
        <v>17115</v>
      </c>
      <c r="B13597" s="4" t="s">
        <v>17116</v>
      </c>
      <c r="C13597" s="5" t="str">
        <f>IFERROR(__xludf.DUMMYFUNCTION("GOOGLETRANSLATE(B13597,""en"",""it"")"),"Un gruppo numeroso si trova all'interno di una zattera su un fiume.")</f>
        <v>Un gruppo numeroso si trova all'interno di una zattera su un fiume.</v>
      </c>
    </row>
    <row r="13598">
      <c r="A13598" s="4" t="s">
        <v>17115</v>
      </c>
      <c r="B13598" s="4" t="s">
        <v>17117</v>
      </c>
      <c r="C13598" s="5" t="str">
        <f>IFERROR(__xludf.DUMMYFUNCTION("GOOGLETRANSLATE(B13598,""en"",""it"")"),"Un uomo in un kayak è accanto a loro.")</f>
        <v>Un uomo in un kayak è accanto a loro.</v>
      </c>
    </row>
    <row r="13599">
      <c r="A13599" s="4" t="s">
        <v>17115</v>
      </c>
      <c r="B13599" s="4" t="s">
        <v>17118</v>
      </c>
      <c r="C13599" s="5" t="str">
        <f>IFERROR(__xludf.DUMMYFUNCTION("GOOGLETRANSLATE(B13599,""en"",""it"")"),"Fluttuano nelle rapide, cercando di attraversarli.")</f>
        <v>Fluttuano nelle rapide, cercando di attraversarli.</v>
      </c>
    </row>
    <row r="13600">
      <c r="A13600" s="4" t="s">
        <v>17119</v>
      </c>
      <c r="B13600" s="4" t="s">
        <v>17120</v>
      </c>
      <c r="C13600" s="5" t="str">
        <f>IFERROR(__xludf.DUMMYFUNCTION("GOOGLETRANSLATE(B13600,""en"",""it"")"),"Viene visualizzato un logo e le didascalie sono mostrate sullo schermo.")</f>
        <v>Viene visualizzato un logo e le didascalie sono mostrate sullo schermo.</v>
      </c>
    </row>
    <row r="13601">
      <c r="A13601" s="4" t="s">
        <v>17119</v>
      </c>
      <c r="B13601" s="4" t="s">
        <v>17121</v>
      </c>
      <c r="C13601" s="5" t="str">
        <f>IFERROR(__xludf.DUMMYFUNCTION("GOOGLETRANSLATE(B13601,""en"",""it"")"),"Alberi e pacciame sono mostrati con una leggera brezza.")</f>
        <v>Alberi e pacciame sono mostrati con una leggera brezza.</v>
      </c>
    </row>
    <row r="13602">
      <c r="A13602" s="4" t="s">
        <v>17119</v>
      </c>
      <c r="B13602" s="4" t="s">
        <v>17122</v>
      </c>
      <c r="C13602" s="5" t="str">
        <f>IFERROR(__xludf.DUMMYFUNCTION("GOOGLETRANSLATE(B13602,""en"",""it"")"),"Diverse persone vengono mostrate piantando un albero.")</f>
        <v>Diverse persone vengono mostrate piantando un albero.</v>
      </c>
    </row>
    <row r="13603">
      <c r="A13603" s="4" t="s">
        <v>17119</v>
      </c>
      <c r="B13603" s="4" t="s">
        <v>17123</v>
      </c>
      <c r="C13603" s="5" t="str">
        <f>IFERROR(__xludf.DUMMYFUNCTION("GOOGLETRANSLATE(B13603,""en"",""it"")"),"Le persone stanno diffondendo pacciame attorno all'albero.")</f>
        <v>Le persone stanno diffondendo pacciame attorno all'albero.</v>
      </c>
    </row>
    <row r="13604">
      <c r="A13604" s="4" t="s">
        <v>17119</v>
      </c>
      <c r="B13604" s="4" t="s">
        <v>17124</v>
      </c>
      <c r="C13604" s="5" t="str">
        <f>IFERROR(__xludf.DUMMYFUNCTION("GOOGLETRANSLATE(B13604,""en"",""it"")"),"Diversi loghi sono mostrati sullo schermo.")</f>
        <v>Diversi loghi sono mostrati sullo schermo.</v>
      </c>
    </row>
    <row r="13605">
      <c r="A13605" s="4" t="s">
        <v>17125</v>
      </c>
      <c r="B13605" s="6" t="s">
        <v>17126</v>
      </c>
      <c r="C13605" s="5" t="str">
        <f>IFERROR(__xludf.DUMMYFUNCTION("GOOGLETRANSLATE(B13605,""en"",""it"")"),"Un uomo dà una lezione di armonica con primi piani e fondamentalmente un modo per raccontare come suonare l'armonica.")</f>
        <v>Un uomo dà una lezione di armonica con primi piani e fondamentalmente un modo per raccontare come suonare l'armonica.</v>
      </c>
    </row>
    <row r="13606">
      <c r="A13606" s="4" t="s">
        <v>17125</v>
      </c>
      <c r="B13606" s="4" t="s">
        <v>17127</v>
      </c>
      <c r="C13606" s="5" t="str">
        <f>IFERROR(__xludf.DUMMYFUNCTION("GOOGLETRANSLATE(B13606,""en"",""it"")"),"L'uomo introduce anche altri tipi di armoniche.")</f>
        <v>L'uomo introduce anche altri tipi di armoniche.</v>
      </c>
    </row>
    <row r="13607">
      <c r="A13607" s="4" t="s">
        <v>17128</v>
      </c>
      <c r="B13607" s="4" t="s">
        <v>17129</v>
      </c>
      <c r="C13607" s="5" t="str">
        <f>IFERROR(__xludf.DUMMYFUNCTION("GOOGLETRANSLATE(B13607,""en"",""it"")"),"Un'introduzione al testo conduce in una persona vista seduta su una bici da esercizio.")</f>
        <v>Un'introduzione al testo conduce in una persona vista seduta su una bici da esercizio.</v>
      </c>
    </row>
    <row r="13608">
      <c r="A13608" s="4" t="s">
        <v>17128</v>
      </c>
      <c r="B13608" s="4" t="s">
        <v>17130</v>
      </c>
      <c r="C13608" s="5" t="str">
        <f>IFERROR(__xludf.DUMMYFUNCTION("GOOGLETRANSLATE(B13608,""en"",""it"")"),"La persona parla a una classe che parla mentre spacciava i piedi.")</f>
        <v>La persona parla a una classe che parla mentre spacciava i piedi.</v>
      </c>
    </row>
    <row r="13609">
      <c r="A13609" s="4" t="s">
        <v>17128</v>
      </c>
      <c r="B13609" s="4" t="s">
        <v>17131</v>
      </c>
      <c r="C13609" s="5" t="str">
        <f>IFERROR(__xludf.DUMMYFUNCTION("GOOGLETRANSLATE(B13609,""en"",""it"")"),"La donna continua a muovere i piedi e altri in classe.")</f>
        <v>La donna continua a muovere i piedi e altri in classe.</v>
      </c>
    </row>
    <row r="13610">
      <c r="A13610" s="4" t="s">
        <v>17132</v>
      </c>
      <c r="B13610" s="4" t="s">
        <v>17133</v>
      </c>
      <c r="C13610" s="5" t="str">
        <f>IFERROR(__xludf.DUMMYFUNCTION("GOOGLETRANSLATE(B13610,""en"",""it"")"),"Un uomo che indossa una camicia blu sta lanciando il tiro messo.")</f>
        <v>Un uomo che indossa una camicia blu sta lanciando il tiro messo.</v>
      </c>
    </row>
    <row r="13611">
      <c r="A13611" s="4" t="s">
        <v>17132</v>
      </c>
      <c r="B13611" s="4" t="s">
        <v>17134</v>
      </c>
      <c r="C13611" s="5" t="str">
        <f>IFERROR(__xludf.DUMMYFUNCTION("GOOGLETRANSLATE(B13611,""en"",""it"")"),"Sta andando in un movimento circolare su un cerchio rosso dipinto a terra.")</f>
        <v>Sta andando in un movimento circolare su un cerchio rosso dipinto a terra.</v>
      </c>
    </row>
    <row r="13612">
      <c r="A13612" s="4" t="s">
        <v>17132</v>
      </c>
      <c r="B13612" s="4" t="s">
        <v>17135</v>
      </c>
      <c r="C13612" s="5" t="str">
        <f>IFERROR(__xludf.DUMMYFUNCTION("GOOGLETRANSLATE(B13612,""en"",""it"")"),"Lancia il tiro messo in aria.")</f>
        <v>Lancia il tiro messo in aria.</v>
      </c>
    </row>
    <row r="13613">
      <c r="A13613" s="4" t="s">
        <v>17132</v>
      </c>
      <c r="B13613" s="4" t="s">
        <v>17136</v>
      </c>
      <c r="C13613" s="5" t="str">
        <f>IFERROR(__xludf.DUMMYFUNCTION("GOOGLETRANSLATE(B13613,""en"",""it"")"),"Un altro uomo sta oscillando in movimento circolare, pronto a lanciare il tiro messo.")</f>
        <v>Un altro uomo sta oscillando in movimento circolare, pronto a lanciare il tiro messo.</v>
      </c>
    </row>
    <row r="13614">
      <c r="A13614" s="4" t="s">
        <v>17137</v>
      </c>
      <c r="B13614" s="4" t="s">
        <v>17138</v>
      </c>
      <c r="C13614" s="5" t="str">
        <f>IFERROR(__xludf.DUMMYFUNCTION("GOOGLETRANSLATE(B13614,""en"",""it"")"),"Un cavaliere lancia una corda per catturare un vitello mentre la gente guarda.")</f>
        <v>Un cavaliere lancia una corda per catturare un vitello mentre la gente guarda.</v>
      </c>
    </row>
    <row r="13615">
      <c r="A13615" s="4" t="s">
        <v>17137</v>
      </c>
      <c r="B13615" s="4" t="s">
        <v>17139</v>
      </c>
      <c r="C13615" s="5" t="str">
        <f>IFERROR(__xludf.DUMMYFUNCTION("GOOGLETRANSLATE(B13615,""en"",""it"")"),"A intermedio, l'uomo scende il cavallo e lega il polpaccio.")</f>
        <v>A intermedio, l'uomo scende il cavallo e lega il polpaccio.</v>
      </c>
    </row>
    <row r="13616">
      <c r="A13616" s="4" t="s">
        <v>17137</v>
      </c>
      <c r="B13616" s="4" t="s">
        <v>17140</v>
      </c>
      <c r="C13616" s="5" t="str">
        <f>IFERROR(__xludf.DUMMYFUNCTION("GOOGLETRANSLATE(B13616,""en"",""it"")"),"Gli uomini camminano dietro il cavallo.")</f>
        <v>Gli uomini camminano dietro il cavallo.</v>
      </c>
    </row>
    <row r="13617">
      <c r="A13617" s="4" t="s">
        <v>17137</v>
      </c>
      <c r="B13617" s="4" t="s">
        <v>17141</v>
      </c>
      <c r="C13617" s="5" t="str">
        <f>IFERROR(__xludf.DUMMYFUNCTION("GOOGLETRANSLATE(B13617,""en"",""it"")"),"Dopo, l'uomo entra nel cavallo.")</f>
        <v>Dopo, l'uomo entra nel cavallo.</v>
      </c>
    </row>
    <row r="13618">
      <c r="A13618" s="4" t="s">
        <v>17142</v>
      </c>
      <c r="B13618" s="4" t="s">
        <v>17143</v>
      </c>
      <c r="C13618" s="5" t="str">
        <f>IFERROR(__xludf.DUMMYFUNCTION("GOOGLETRANSLATE(B13618,""en"",""it"")"),"Le anatre nuotano nell'acqua.")</f>
        <v>Le anatre nuotano nell'acqua.</v>
      </c>
    </row>
    <row r="13619">
      <c r="A13619" s="4" t="s">
        <v>17142</v>
      </c>
      <c r="B13619" s="4" t="s">
        <v>17144</v>
      </c>
      <c r="C13619" s="5" t="str">
        <f>IFERROR(__xludf.DUMMYFUNCTION("GOOGLETRANSLATE(B13619,""en"",""it"")"),"Le persone si stanno muovendo in un parco.")</f>
        <v>Le persone si stanno muovendo in un parco.</v>
      </c>
    </row>
    <row r="13620">
      <c r="A13620" s="4" t="s">
        <v>17142</v>
      </c>
      <c r="B13620" s="4" t="s">
        <v>17145</v>
      </c>
      <c r="C13620" s="5" t="str">
        <f>IFERROR(__xludf.DUMMYFUNCTION("GOOGLETRANSLATE(B13620,""en"",""it"")"),"Una donna con una camicia nera e gli occhiali parla alla telecamera.")</f>
        <v>Una donna con una camicia nera e gli occhiali parla alla telecamera.</v>
      </c>
    </row>
    <row r="13621">
      <c r="A13621" s="4" t="s">
        <v>17142</v>
      </c>
      <c r="B13621" s="4" t="s">
        <v>17146</v>
      </c>
      <c r="C13621" s="5" t="str">
        <f>IFERROR(__xludf.DUMMYFUNCTION("GOOGLETRANSLATE(B13621,""en"",""it"")"),"Le persone rastrellano lo sporco in giro.")</f>
        <v>Le persone rastrellano lo sporco in giro.</v>
      </c>
    </row>
    <row r="13622">
      <c r="A13622" s="4" t="s">
        <v>17142</v>
      </c>
      <c r="B13622" s="4" t="s">
        <v>17147</v>
      </c>
      <c r="C13622" s="5" t="str">
        <f>IFERROR(__xludf.DUMMYFUNCTION("GOOGLETRANSLATE(B13622,""en"",""it"")"),"Persone diverse parlano con la telecamera.")</f>
        <v>Persone diverse parlano con la telecamera.</v>
      </c>
    </row>
    <row r="13623">
      <c r="A13623" s="4" t="s">
        <v>17142</v>
      </c>
      <c r="B13623" s="4" t="s">
        <v>17148</v>
      </c>
      <c r="C13623" s="5" t="str">
        <f>IFERROR(__xludf.DUMMYFUNCTION("GOOGLETRANSLATE(B13623,""en"",""it"")"),"La gente continua a paesaggio al parco.")</f>
        <v>La gente continua a paesaggio al parco.</v>
      </c>
    </row>
    <row r="13624">
      <c r="A13624" s="4" t="s">
        <v>17149</v>
      </c>
      <c r="B13624" s="6" t="s">
        <v>17150</v>
      </c>
      <c r="C13624" s="5" t="str">
        <f>IFERROR(__xludf.DUMMYFUNCTION("GOOGLETRANSLATE(B13624,""en"",""it"")"),"Un'immagine ancora scattata di una frittata versata da una padella e appare su una piastra bianca e il testo bianco su di essa dice ""Come fare una frittata"".")</f>
        <v>Un'immagine ancora scattata di una frittata versata da una padella e appare su una piastra bianca e il testo bianco su di essa dice "Come fare una frittata".</v>
      </c>
    </row>
    <row r="13625">
      <c r="A13625" s="4" t="s">
        <v>17149</v>
      </c>
      <c r="B13625" s="6" t="s">
        <v>17151</v>
      </c>
      <c r="C13625" s="5" t="str">
        <f>IFERROR(__xludf.DUMMYFUNCTION("GOOGLETRANSLATE(B13625,""en"",""it"")"),"Appare uno schermo bianco con una clipart di leone rosso che indossa una corona e le parole blu ""la qualità del leone britannico è intorno al leone.")</f>
        <v>Appare uno schermo bianco con una clipart di leone rosso che indossa una corona e le parole blu "la qualità del leone britannico è intorno al leone.</v>
      </c>
    </row>
    <row r="13626">
      <c r="A13626" s="4" t="s">
        <v>17149</v>
      </c>
      <c r="B13626" s="6" t="s">
        <v>17152</v>
      </c>
      <c r="C13626" s="5" t="str">
        <f>IFERROR(__xludf.DUMMYFUNCTION("GOOGLETRANSLATE(B13626,""en"",""it"")"),"Una donna è ora in cucina in piedi davanti a una padella su una stufa, accese il forno, afferra una grande tazza di misurazione e inizia a rompere le uova, quindi aggiunge vari altri ingredienti alle uova, e poi lo mette in giro.")</f>
        <v>Una donna è ora in cucina in piedi davanti a una padella su una stufa, accese il forno, afferra una grande tazza di misurazione e inizia a rompere le uova, quindi aggiunge vari altri ingredienti alle uova, e poi lo mette in giro.</v>
      </c>
    </row>
    <row r="13627">
      <c r="A13627" s="4" t="s">
        <v>17149</v>
      </c>
      <c r="B13627" s="4" t="s">
        <v>17153</v>
      </c>
      <c r="C13627" s="5" t="str">
        <f>IFERROR(__xludf.DUMMYFUNCTION("GOOGLETRANSLATE(B13627,""en"",""it"")"),"La donna quindi mette il burro nella padella, lo scioglie tutto, quindi versa il suo mix di uova nella padella.")</f>
        <v>La donna quindi mette il burro nella padella, lo scioglie tutto, quindi versa il suo mix di uova nella padella.</v>
      </c>
    </row>
    <row r="13628">
      <c r="A13628" s="4" t="s">
        <v>17149</v>
      </c>
      <c r="B13628" s="6" t="s">
        <v>17154</v>
      </c>
      <c r="C13628" s="5" t="str">
        <f>IFERROR(__xludf.DUMMYFUNCTION("GOOGLETRANSLATE(B13628,""en"",""it"")"),"La donna afferra la sua spatola in legno e inizia a manipolare le uova nella padella assicurandoti che non si attacca e che cucina accuratamente.")</f>
        <v>La donna afferra la sua spatola in legno e inizia a manipolare le uova nella padella assicurandoti che non si attacca e che cucina accuratamente.</v>
      </c>
    </row>
    <row r="13629">
      <c r="A13629" s="4" t="s">
        <v>17149</v>
      </c>
      <c r="B13629" s="6" t="s">
        <v>17155</v>
      </c>
      <c r="C13629" s="5" t="str">
        <f>IFERROR(__xludf.DUMMYFUNCTION("GOOGLETRANSLATE(B13629,""en"",""it"")"),"La donna quindi porta l'uovo al piatto bianco e lo piega su di esso, quindi accanto a una manciata di verdure.")</f>
        <v>La donna quindi porta l'uovo al piatto bianco e lo piega su di esso, quindi accanto a una manciata di verdure.</v>
      </c>
    </row>
    <row r="13630">
      <c r="A13630" s="4" t="s">
        <v>17149</v>
      </c>
      <c r="B13630" s="6" t="s">
        <v>17156</v>
      </c>
      <c r="C13630" s="5" t="str">
        <f>IFERROR(__xludf.DUMMYFUNCTION("GOOGLETRANSLATE(B13630,""en"",""it"")"),"Viene visualizzato uno schermo bianco con il leone clipart rosso nel mezzo e le parole blu ""qualità del leone britannico"" che lo girano.")</f>
        <v>Viene visualizzato uno schermo bianco con il leone clipart rosso nel mezzo e le parole blu "qualità del leone britannico" che lo girano.</v>
      </c>
    </row>
    <row r="13631">
      <c r="A13631" s="4" t="s">
        <v>17157</v>
      </c>
      <c r="B13631" s="4" t="s">
        <v>17158</v>
      </c>
      <c r="C13631" s="5" t="str">
        <f>IFERROR(__xludf.DUMMYFUNCTION("GOOGLETRANSLATE(B13631,""en"",""it"")"),"Un uomo sta skateboard su un marciapiede.")</f>
        <v>Un uomo sta skateboard su un marciapiede.</v>
      </c>
    </row>
    <row r="13632">
      <c r="A13632" s="4" t="s">
        <v>17157</v>
      </c>
      <c r="B13632" s="4" t="s">
        <v>17159</v>
      </c>
      <c r="C13632" s="5" t="str">
        <f>IFERROR(__xludf.DUMMYFUNCTION("GOOGLETRANSLATE(B13632,""en"",""it"")"),"Fa un capovolgimento sullo skateboard.")</f>
        <v>Fa un capovolgimento sullo skateboard.</v>
      </c>
    </row>
    <row r="13633">
      <c r="A13633" s="4" t="s">
        <v>17157</v>
      </c>
      <c r="B13633" s="4" t="s">
        <v>17160</v>
      </c>
      <c r="C13633" s="5" t="str">
        <f>IFERROR(__xludf.DUMMYFUNCTION("GOOGLETRANSLATE(B13633,""en"",""it"")"),"Cade dallo skateboard a terra.")</f>
        <v>Cade dallo skateboard a terra.</v>
      </c>
    </row>
    <row r="13634">
      <c r="A13634" s="4" t="s">
        <v>17161</v>
      </c>
      <c r="B13634" s="4" t="s">
        <v>17162</v>
      </c>
      <c r="C13634" s="5" t="str">
        <f>IFERROR(__xludf.DUMMYFUNCTION("GOOGLETRANSLATE(B13634,""en"",""it"")"),"Un uomo e una donna stanno facendo sesso e baciando dentro una doccia.")</f>
        <v>Un uomo e una donna stanno facendo sesso e baciando dentro una doccia.</v>
      </c>
    </row>
    <row r="13635">
      <c r="A13635" s="4" t="s">
        <v>17161</v>
      </c>
      <c r="B13635" s="4" t="s">
        <v>17163</v>
      </c>
      <c r="C13635" s="5" t="str">
        <f>IFERROR(__xludf.DUMMYFUNCTION("GOOGLETRANSLATE(B13635,""en"",""it"")"),"Lo allontana e inizia a piangere.")</f>
        <v>Lo allontana e inizia a piangere.</v>
      </c>
    </row>
    <row r="13636">
      <c r="A13636" s="4" t="s">
        <v>17161</v>
      </c>
      <c r="B13636" s="4" t="s">
        <v>17164</v>
      </c>
      <c r="C13636" s="5" t="str">
        <f>IFERROR(__xludf.DUMMYFUNCTION("GOOGLETRANSLATE(B13636,""en"",""it"")"),"Una coppia fa sesso su un letto.")</f>
        <v>Una coppia fa sesso su un letto.</v>
      </c>
    </row>
    <row r="13637">
      <c r="A13637" s="4" t="s">
        <v>17161</v>
      </c>
      <c r="B13637" s="4" t="s">
        <v>17165</v>
      </c>
      <c r="C13637" s="5" t="str">
        <f>IFERROR(__xludf.DUMMYFUNCTION("GOOGLETRANSLATE(B13637,""en"",""it"")"),"La donna tira fuori una piuma e la lecca.")</f>
        <v>La donna tira fuori una piuma e la lecca.</v>
      </c>
    </row>
    <row r="13638">
      <c r="A13638" s="4" t="s">
        <v>17161</v>
      </c>
      <c r="B13638" s="4" t="s">
        <v>17166</v>
      </c>
      <c r="C13638" s="5" t="str">
        <f>IFERROR(__xludf.DUMMYFUNCTION("GOOGLETRANSLATE(B13638,""en"",""it"")"),"Lo strofina sul viso dell'uomo.")</f>
        <v>Lo strofina sul viso dell'uomo.</v>
      </c>
    </row>
    <row r="13639">
      <c r="A13639" s="4" t="s">
        <v>17161</v>
      </c>
      <c r="B13639" s="4" t="s">
        <v>17167</v>
      </c>
      <c r="C13639" s="5" t="str">
        <f>IFERROR(__xludf.DUMMYFUNCTION("GOOGLETRANSLATE(B13639,""en"",""it"")"),"Ha un coltello e lo strofina sul petto.")</f>
        <v>Ha un coltello e lo strofina sul petto.</v>
      </c>
    </row>
    <row r="13640">
      <c r="A13640" s="4" t="s">
        <v>17161</v>
      </c>
      <c r="B13640" s="4" t="s">
        <v>17168</v>
      </c>
      <c r="C13640" s="5" t="str">
        <f>IFERROR(__xludf.DUMMYFUNCTION("GOOGLETRANSLATE(B13640,""en"",""it"")"),"Lo guarda e accende una sigaretta.")</f>
        <v>Lo guarda e accende una sigaretta.</v>
      </c>
    </row>
    <row r="13641">
      <c r="A13641" s="4" t="s">
        <v>17161</v>
      </c>
      <c r="B13641" s="4" t="s">
        <v>17169</v>
      </c>
      <c r="C13641" s="5" t="str">
        <f>IFERROR(__xludf.DUMMYFUNCTION("GOOGLETRANSLATE(B13641,""en"",""it"")"),"Si sdraia sulla schiena e ride.")</f>
        <v>Si sdraia sulla schiena e ride.</v>
      </c>
    </row>
    <row r="13642">
      <c r="A13642" s="4" t="s">
        <v>17161</v>
      </c>
      <c r="B13642" s="4" t="s">
        <v>17170</v>
      </c>
      <c r="C13642" s="5" t="str">
        <f>IFERROR(__xludf.DUMMYFUNCTION("GOOGLETRANSLATE(B13642,""en"",""it"")"),"La donna sta parlando e ridendo mentre tiene un serpente.")</f>
        <v>La donna sta parlando e ridendo mentre tiene un serpente.</v>
      </c>
    </row>
    <row r="13643">
      <c r="A13643" s="4" t="s">
        <v>17161</v>
      </c>
      <c r="B13643" s="4" t="s">
        <v>17171</v>
      </c>
      <c r="C13643" s="5" t="str">
        <f>IFERROR(__xludf.DUMMYFUNCTION("GOOGLETRANSLATE(B13643,""en"",""it"")"),"La donna sta parlando con qualcuno.")</f>
        <v>La donna sta parlando con qualcuno.</v>
      </c>
    </row>
    <row r="13644">
      <c r="A13644" s="4" t="s">
        <v>17161</v>
      </c>
      <c r="B13644" s="4" t="s">
        <v>17172</v>
      </c>
      <c r="C13644" s="5" t="str">
        <f>IFERROR(__xludf.DUMMYFUNCTION("GOOGLETRANSLATE(B13644,""en"",""it"")"),"Viene mostrato un tavolo con cibo.")</f>
        <v>Viene mostrato un tavolo con cibo.</v>
      </c>
    </row>
    <row r="13645">
      <c r="A13645" s="4" t="s">
        <v>17161</v>
      </c>
      <c r="B13645" s="4" t="s">
        <v>17173</v>
      </c>
      <c r="C13645" s="5" t="str">
        <f>IFERROR(__xludf.DUMMYFUNCTION("GOOGLETRANSLATE(B13645,""en"",""it"")"),"Un bicchiere di vino viene dato a un uomo dalla donna.")</f>
        <v>Un bicchiere di vino viene dato a un uomo dalla donna.</v>
      </c>
    </row>
    <row r="13646">
      <c r="A13646" s="4" t="s">
        <v>17161</v>
      </c>
      <c r="B13646" s="4" t="s">
        <v>17174</v>
      </c>
      <c r="C13646" s="5" t="str">
        <f>IFERROR(__xludf.DUMMYFUNCTION("GOOGLETRANSLATE(B13646,""en"",""it"")"),"Nega il drink e lei prende un sorso.")</f>
        <v>Nega il drink e lei prende un sorso.</v>
      </c>
    </row>
    <row r="13647">
      <c r="A13647" s="4" t="s">
        <v>17161</v>
      </c>
      <c r="B13647" s="4" t="s">
        <v>17175</v>
      </c>
      <c r="C13647" s="5" t="str">
        <f>IFERROR(__xludf.DUMMYFUNCTION("GOOGLETRANSLATE(B13647,""en"",""it"")"),"Cominciano a baciarsi a vicenda.")</f>
        <v>Cominciano a baciarsi a vicenda.</v>
      </c>
    </row>
    <row r="13648">
      <c r="A13648" s="4" t="s">
        <v>17176</v>
      </c>
      <c r="B13648" s="4" t="s">
        <v>17177</v>
      </c>
      <c r="C13648" s="5" t="str">
        <f>IFERROR(__xludf.DUMMYFUNCTION("GOOGLETRANSLATE(B13648,""en"",""it"")"),"La fotocamera segue una persona in pantaloni rossi che snowboard su un pendio.")</f>
        <v>La fotocamera segue una persona in pantaloni rossi che snowboard su un pendio.</v>
      </c>
    </row>
    <row r="13649">
      <c r="A13649" s="4" t="s">
        <v>17176</v>
      </c>
      <c r="B13649" s="4" t="s">
        <v>17178</v>
      </c>
      <c r="C13649" s="5" t="str">
        <f>IFERROR(__xludf.DUMMYFUNCTION("GOOGLETRANSLATE(B13649,""en"",""it"")"),"La telecamera si allontana brevemente dalla donna per concentrarsi sul pendio.")</f>
        <v>La telecamera si allontana brevemente dalla donna per concentrarsi sul pendio.</v>
      </c>
    </row>
    <row r="13650">
      <c r="A13650" s="4" t="s">
        <v>17176</v>
      </c>
      <c r="B13650" s="4" t="s">
        <v>17179</v>
      </c>
      <c r="C13650" s="5" t="str">
        <f>IFERROR(__xludf.DUMMYFUNCTION("GOOGLETRANSLATE(B13650,""en"",""it"")"),"La telecamera si allontana dalla donna per concentrarsi sul pendio.")</f>
        <v>La telecamera si allontana dalla donna per concentrarsi sul pendio.</v>
      </c>
    </row>
    <row r="13651">
      <c r="A13651" s="4" t="s">
        <v>17180</v>
      </c>
      <c r="B13651" s="4" t="s">
        <v>17181</v>
      </c>
      <c r="C13651" s="5" t="str">
        <f>IFERROR(__xludf.DUMMYFUNCTION("GOOGLETRANSLATE(B13651,""en"",""it"")"),"Viene visto un uomo parlare con la telecamera con in mano una pagaia e sedersi in un kayak.")</f>
        <v>Viene visto un uomo parlare con la telecamera con in mano una pagaia e sedersi in un kayak.</v>
      </c>
    </row>
    <row r="13652">
      <c r="A13652" s="4" t="s">
        <v>17180</v>
      </c>
      <c r="B13652" s="6" t="s">
        <v>17182</v>
      </c>
      <c r="C13652" s="5" t="str">
        <f>IFERROR(__xludf.DUMMYFUNCTION("GOOGLETRANSLATE(B13652,""en"",""it"")"),"L'uomo poi si rema nella zona sul kayak che si gira e guardando alla telecamera.")</f>
        <v>L'uomo poi si rema nella zona sul kayak che si gira e guardando alla telecamera.</v>
      </c>
    </row>
    <row r="13653">
      <c r="A13653" s="4" t="s">
        <v>17183</v>
      </c>
      <c r="B13653" s="4" t="s">
        <v>17184</v>
      </c>
      <c r="C13653" s="5" t="str">
        <f>IFERROR(__xludf.DUMMYFUNCTION("GOOGLETRANSLATE(B13653,""en"",""it"")"),"Una donna cavalca un cavallo in un fienile al coperto mentre gioca a Polo Polo.")</f>
        <v>Una donna cavalca un cavallo in un fienile al coperto mentre gioca a Polo Polo.</v>
      </c>
    </row>
    <row r="13654">
      <c r="A13654" s="4" t="s">
        <v>17183</v>
      </c>
      <c r="B13654" s="6" t="s">
        <v>17185</v>
      </c>
      <c r="C13654" s="5" t="str">
        <f>IFERROR(__xludf.DUMMYFUNCTION("GOOGLETRANSLATE(B13654,""en"",""it"")"),"Una donna cavalca un cavallo in un fienile interno e gioca a polo mentre tiene una pallo da palla e insegue una palla rossa nell'ambiente interno.")</f>
        <v>Una donna cavalca un cavallo in un fienile interno e gioca a polo mentre tiene una pallo da palla e insegue una palla rossa nell'ambiente interno.</v>
      </c>
    </row>
    <row r="13655">
      <c r="A13655" s="4" t="s">
        <v>17183</v>
      </c>
      <c r="B13655" s="4" t="s">
        <v>17186</v>
      </c>
      <c r="C13655" s="5" t="str">
        <f>IFERROR(__xludf.DUMMYFUNCTION("GOOGLETRANSLATE(B13655,""en"",""it"")"),"La donna colpisce la palla mentre cavalca il cavallo in cerchio.")</f>
        <v>La donna colpisce la palla mentre cavalca il cavallo in cerchio.</v>
      </c>
    </row>
    <row r="13656">
      <c r="A13656" s="4" t="s">
        <v>17183</v>
      </c>
      <c r="B13656" s="4" t="s">
        <v>17187</v>
      </c>
      <c r="C13656" s="5" t="str">
        <f>IFERROR(__xludf.DUMMYFUNCTION("GOOGLETRANSLATE(B13656,""en"",""it"")"),"La donna cavalca il cavallo fino a quando il sole inizia a tramontare e la scena diventa sempre più scura.")</f>
        <v>La donna cavalca il cavallo fino a quando il sole inizia a tramontare e la scena diventa sempre più scura.</v>
      </c>
    </row>
    <row r="13657">
      <c r="A13657" s="4" t="s">
        <v>17188</v>
      </c>
      <c r="B13657" s="4" t="s">
        <v>17189</v>
      </c>
      <c r="C13657" s="5" t="str">
        <f>IFERROR(__xludf.DUMMYFUNCTION("GOOGLETRANSLATE(B13657,""en"",""it"")"),"I lottatori stanno combattendo su un anello.")</f>
        <v>I lottatori stanno combattendo su un anello.</v>
      </c>
    </row>
    <row r="13658">
      <c r="A13658" s="4" t="s">
        <v>17188</v>
      </c>
      <c r="B13658" s="4" t="s">
        <v>17190</v>
      </c>
      <c r="C13658" s="5" t="str">
        <f>IFERROR(__xludf.DUMMYFUNCTION("GOOGLETRANSLATE(B13658,""en"",""it"")"),"Un uomo viene raccolto e gettato giù da altri uomini.")</f>
        <v>Un uomo viene raccolto e gettato giù da altri uomini.</v>
      </c>
    </row>
    <row r="13659">
      <c r="A13659" s="4" t="s">
        <v>17188</v>
      </c>
      <c r="B13659" s="4" t="s">
        <v>17191</v>
      </c>
      <c r="C13659" s="5" t="str">
        <f>IFERROR(__xludf.DUMMYFUNCTION("GOOGLETRANSLATE(B13659,""en"",""it"")"),"Un uomo cade su un tavolo e lo rompe.")</f>
        <v>Un uomo cade su un tavolo e lo rompe.</v>
      </c>
    </row>
    <row r="13660">
      <c r="A13660" s="4" t="s">
        <v>17192</v>
      </c>
      <c r="B13660" s="4" t="s">
        <v>17193</v>
      </c>
      <c r="C13660" s="5" t="str">
        <f>IFERROR(__xludf.DUMMYFUNCTION("GOOGLETRANSLATE(B13660,""en"",""it"")"),"Un uomo che indossa gli occhiali è in piedi fuori nella neve con alcuni gadget che parlano.")</f>
        <v>Un uomo che indossa gli occhiali è in piedi fuori nella neve con alcuni gadget che parlano.</v>
      </c>
    </row>
    <row r="13661">
      <c r="A13661" s="4" t="s">
        <v>17192</v>
      </c>
      <c r="B13661" s="6" t="s">
        <v>17194</v>
      </c>
      <c r="C13661" s="5" t="str">
        <f>IFERROR(__xludf.DUMMYFUNCTION("GOOGLETRANSLATE(B13661,""en"",""it"")"),"Porta avanti il ​​gadget dall'aspetto blu grande, che parla ancora e poi afferra un'altra pala.")</f>
        <v>Porta avanti il ​​gadget dall'aspetto blu grande, che parla ancora e poi afferra un'altra pala.</v>
      </c>
    </row>
    <row r="13662">
      <c r="A13662" s="4" t="s">
        <v>17192</v>
      </c>
      <c r="B13662" s="4" t="s">
        <v>17195</v>
      </c>
      <c r="C13662" s="5" t="str">
        <f>IFERROR(__xludf.DUMMYFUNCTION("GOOGLETRANSLATE(B13662,""en"",""it"")"),"Getta la pala e poi cammina per dimostrare come spalare la neve.")</f>
        <v>Getta la pala e poi cammina per dimostrare come spalare la neve.</v>
      </c>
    </row>
    <row r="13663">
      <c r="A13663" s="4" t="s">
        <v>17192</v>
      </c>
      <c r="B13663" s="4" t="s">
        <v>17196</v>
      </c>
      <c r="C13663" s="5" t="str">
        <f>IFERROR(__xludf.DUMMYFUNCTION("GOOGLETRANSLATE(B13663,""en"",""it"")"),"Continua a parlare e poi inizia a usare di nuovo il gadget pala.")</f>
        <v>Continua a parlare e poi inizia a usare di nuovo il gadget pala.</v>
      </c>
    </row>
    <row r="13664">
      <c r="A13664" s="4" t="s">
        <v>17192</v>
      </c>
      <c r="B13664" s="4" t="s">
        <v>17197</v>
      </c>
      <c r="C13664" s="5" t="str">
        <f>IFERROR(__xludf.DUMMYFUNCTION("GOOGLETRANSLATE(B13664,""en"",""it"")"),"Sparca le pile di neve.")</f>
        <v>Sparca le pile di neve.</v>
      </c>
    </row>
    <row r="13665">
      <c r="A13665" s="4" t="s">
        <v>17198</v>
      </c>
      <c r="B13665" s="4" t="s">
        <v>17199</v>
      </c>
      <c r="C13665" s="5" t="str">
        <f>IFERROR(__xludf.DUMMYFUNCTION("GOOGLETRANSLATE(B13665,""en"",""it"")"),"Le persone sono in piedi su un anello di toro.")</f>
        <v>Le persone sono in piedi su un anello di toro.</v>
      </c>
    </row>
    <row r="13666">
      <c r="A13666" s="4" t="s">
        <v>17198</v>
      </c>
      <c r="B13666" s="4" t="s">
        <v>17200</v>
      </c>
      <c r="C13666" s="5" t="str">
        <f>IFERROR(__xludf.DUMMYFUNCTION("GOOGLETRANSLATE(B13666,""en"",""it"")"),"Un toro inizia a inseguire un uomo con in mano una coperta colorata.")</f>
        <v>Un toro inizia a inseguire un uomo con in mano una coperta colorata.</v>
      </c>
    </row>
    <row r="13667">
      <c r="A13667" s="4" t="s">
        <v>17198</v>
      </c>
      <c r="B13667" s="4" t="s">
        <v>17201</v>
      </c>
      <c r="C13667" s="5" t="str">
        <f>IFERROR(__xludf.DUMMYFUNCTION("GOOGLETRANSLATE(B13667,""en"",""it"")"),"Due cavalli stanno trascinando un toro dall'arena.")</f>
        <v>Due cavalli stanno trascinando un toro dall'arena.</v>
      </c>
    </row>
    <row r="13668">
      <c r="A13668" s="4" t="s">
        <v>17202</v>
      </c>
      <c r="B13668" s="6" t="s">
        <v>17203</v>
      </c>
      <c r="C13668" s="5" t="str">
        <f>IFERROR(__xludf.DUMMYFUNCTION("GOOGLETRANSLATE(B13668,""en"",""it"")"),"L'uomo è seduto in un negozio di musica suonando una chitarra acustica e parla con la telecamera che mostra la chitarra Ibanez.")</f>
        <v>L'uomo è seduto in un negozio di musica suonando una chitarra acustica e parla con la telecamera che mostra la chitarra Ibanez.</v>
      </c>
    </row>
    <row r="13669">
      <c r="A13669" s="4" t="s">
        <v>17202</v>
      </c>
      <c r="B13669" s="4" t="s">
        <v>17204</v>
      </c>
      <c r="C13669" s="5" t="str">
        <f>IFERROR(__xludf.DUMMYFUNCTION("GOOGLETRANSLATE(B13669,""en"",""it"")"),"L'uomo inizia a suonare la chitarra mostra come la chitarra sembra collegata a un amplificatore.")</f>
        <v>L'uomo inizia a suonare la chitarra mostra come la chitarra sembra collegata a un amplificatore.</v>
      </c>
    </row>
    <row r="13670">
      <c r="A13670" s="4" t="s">
        <v>17205</v>
      </c>
      <c r="B13670" s="4" t="s">
        <v>17206</v>
      </c>
      <c r="C13670" s="5" t="str">
        <f>IFERROR(__xludf.DUMMYFUNCTION("GOOGLETRANSLATE(B13670,""en"",""it"")"),"Diversi abiti delle persone vengono spinti dal basso verso l'alto.")</f>
        <v>Diversi abiti delle persone vengono spinti dal basso verso l'alto.</v>
      </c>
    </row>
    <row r="13671">
      <c r="A13671" s="4" t="s">
        <v>17205</v>
      </c>
      <c r="B13671" s="4" t="s">
        <v>17207</v>
      </c>
      <c r="C13671" s="5" t="str">
        <f>IFERROR(__xludf.DUMMYFUNCTION("GOOGLETRANSLATE(B13671,""en"",""it"")"),"Quindi un gruppo di tazze è sul tavolo e iniziano a giocare a Beer Pong con un gruppo di persone.")</f>
        <v>Quindi un gruppo di tazze è sul tavolo e iniziano a giocare a Beer Pong con un gruppo di persone.</v>
      </c>
    </row>
    <row r="13672">
      <c r="A13672" s="4" t="s">
        <v>17205</v>
      </c>
      <c r="B13672" s="4" t="s">
        <v>17208</v>
      </c>
      <c r="C13672" s="5" t="str">
        <f>IFERROR(__xludf.DUMMYFUNCTION("GOOGLETRANSLATE(B13672,""en"",""it"")"),"Vengono mostrate diverse stanze e coppie e la palla viene lanciata in una tazza.")</f>
        <v>Vengono mostrate diverse stanze e coppie e la palla viene lanciata in una tazza.</v>
      </c>
    </row>
    <row r="13673">
      <c r="A13673" s="4" t="s">
        <v>17205</v>
      </c>
      <c r="B13673" s="6" t="s">
        <v>17209</v>
      </c>
      <c r="C13673" s="5" t="str">
        <f>IFERROR(__xludf.DUMMYFUNCTION("GOOGLETRANSLATE(B13673,""en"",""it"")"),"Una volta fatto, la fotocamera si lancia e puoi vedere le coppie in competizione l'una contro l'altra in una stanza insieme.")</f>
        <v>Una volta fatto, la fotocamera si lancia e puoi vedere le coppie in competizione l'una contro l'altra in una stanza insieme.</v>
      </c>
    </row>
    <row r="13674">
      <c r="A13674" s="4" t="s">
        <v>17205</v>
      </c>
      <c r="B13674" s="4" t="s">
        <v>17210</v>
      </c>
      <c r="C13674" s="5" t="str">
        <f>IFERROR(__xludf.DUMMYFUNCTION("GOOGLETRANSLATE(B13674,""en"",""it"")"),"Le coppie tornano indietro e altri giochi di birra tornano.")</f>
        <v>Le coppie tornano indietro e altri giochi di birra tornano.</v>
      </c>
    </row>
    <row r="13675">
      <c r="A13675" s="4" t="s">
        <v>17211</v>
      </c>
      <c r="B13675" s="4" t="s">
        <v>17212</v>
      </c>
      <c r="C13675" s="5" t="str">
        <f>IFERROR(__xludf.DUMMYFUNCTION("GOOGLETRANSLATE(B13675,""en"",""it"")"),"Un uomo sta lanciando un frisbee blu e un cane lo insegue.")</f>
        <v>Un uomo sta lanciando un frisbee blu e un cane lo insegue.</v>
      </c>
    </row>
    <row r="13676">
      <c r="A13676" s="4" t="s">
        <v>17211</v>
      </c>
      <c r="B13676" s="4" t="s">
        <v>17213</v>
      </c>
      <c r="C13676" s="5" t="str">
        <f>IFERROR(__xludf.DUMMYFUNCTION("GOOGLETRANSLATE(B13676,""en"",""it"")"),"Il cane sta saltando sopra l'uomo in ginocchio sull'erba.")</f>
        <v>Il cane sta saltando sopra l'uomo in ginocchio sull'erba.</v>
      </c>
    </row>
    <row r="13677">
      <c r="A13677" s="4" t="s">
        <v>17211</v>
      </c>
      <c r="B13677" s="4" t="s">
        <v>17214</v>
      </c>
      <c r="C13677" s="5" t="str">
        <f>IFERROR(__xludf.DUMMYFUNCTION("GOOGLETRANSLATE(B13677,""en"",""it"")"),"Continuano a giocare a Frisbee con il cane.")</f>
        <v>Continuano a giocare a Frisbee con il cane.</v>
      </c>
    </row>
    <row r="13678">
      <c r="A13678" s="4" t="s">
        <v>17215</v>
      </c>
      <c r="B13678" s="4" t="s">
        <v>17216</v>
      </c>
      <c r="C13678" s="5" t="str">
        <f>IFERROR(__xludf.DUMMYFUNCTION("GOOGLETRANSLATE(B13678,""en"",""it"")"),"Questo uomo anziano si sta alzando tagliando il pomodoro rosso a fette.")</f>
        <v>Questo uomo anziano si sta alzando tagliando il pomodoro rosso a fette.</v>
      </c>
    </row>
    <row r="13679">
      <c r="A13679" s="4" t="s">
        <v>17215</v>
      </c>
      <c r="B13679" s="4" t="s">
        <v>17217</v>
      </c>
      <c r="C13679" s="5" t="str">
        <f>IFERROR(__xludf.DUMMYFUNCTION("GOOGLETRANSLATE(B13679,""en"",""it"")"),"È in cucina tagliando il pomodoro usando un coltello economico.")</f>
        <v>È in cucina tagliando il pomodoro usando un coltello economico.</v>
      </c>
    </row>
    <row r="13680">
      <c r="A13680" s="4" t="s">
        <v>17215</v>
      </c>
      <c r="B13680" s="6" t="s">
        <v>17218</v>
      </c>
      <c r="C13680" s="5" t="str">
        <f>IFERROR(__xludf.DUMMYFUNCTION("GOOGLETRANSLATE(B13680,""en"",""it"")"),"Sembra difficile per lui che cerca di usare un coltello che a malapena fa qualsiasi cosa per cercare di tagliare il pomodoro, ma la differenza si mostra in buoni prodotti.")</f>
        <v>Sembra difficile per lui che cerca di usare un coltello che a malapena fa qualsiasi cosa per cercare di tagliare il pomodoro, ma la differenza si mostra in buoni prodotti.</v>
      </c>
    </row>
    <row r="13681">
      <c r="A13681" s="4" t="s">
        <v>17219</v>
      </c>
      <c r="B13681" s="4" t="s">
        <v>17220</v>
      </c>
      <c r="C13681" s="5" t="str">
        <f>IFERROR(__xludf.DUMMYFUNCTION("GOOGLETRANSLATE(B13681,""en"",""it"")"),"Diversi motociclisti stanno tornando indietro e per un festival nel dessert.")</f>
        <v>Diversi motociclisti stanno tornando indietro e per un festival nel dessert.</v>
      </c>
    </row>
    <row r="13682">
      <c r="A13682" s="4" t="s">
        <v>17219</v>
      </c>
      <c r="B13682" s="6" t="s">
        <v>17221</v>
      </c>
      <c r="C13682" s="5" t="str">
        <f>IFERROR(__xludf.DUMMYFUNCTION("GOOGLETRANSLATE(B13682,""en"",""it"")"),"Un uomo vestito con abiti da donna arriva sullo schermo e inizia a Hula Hoop mentre una telecamera è attaccata al cerchio di hula.")</f>
        <v>Un uomo vestito con abiti da donna arriva sullo schermo e inizia a Hula Hoop mentre una telecamera è attaccata al cerchio di hula.</v>
      </c>
    </row>
    <row r="13683">
      <c r="A13683" s="4" t="s">
        <v>17219</v>
      </c>
      <c r="B13683" s="4" t="s">
        <v>17222</v>
      </c>
      <c r="C13683" s="5" t="str">
        <f>IFERROR(__xludf.DUMMYFUNCTION("GOOGLETRANSLATE(B13683,""en"",""it"")"),"Diverse altre persone si esibiscono all'interno della fotocamera Hula Hoop mentre la musica suona.")</f>
        <v>Diverse altre persone si esibiscono all'interno della fotocamera Hula Hoop mentre la musica suona.</v>
      </c>
    </row>
    <row r="13684">
      <c r="A13684" s="4" t="s">
        <v>17219</v>
      </c>
      <c r="B13684" s="4" t="s">
        <v>17223</v>
      </c>
      <c r="C13684" s="5" t="str">
        <f>IFERROR(__xludf.DUMMYFUNCTION("GOOGLETRANSLATE(B13684,""en"",""it"")"),"Quindi diverse persone vengono mostrate Waling fino alla fotocamera Hula Hoop che si prepara per Hula Hoop.")</f>
        <v>Quindi diverse persone vengono mostrate Waling fino alla fotocamera Hula Hoop che si prepara per Hula Hoop.</v>
      </c>
    </row>
    <row r="13685">
      <c r="A13685" s="4" t="s">
        <v>17219</v>
      </c>
      <c r="B13685" s="4" t="s">
        <v>17224</v>
      </c>
      <c r="C13685" s="5" t="str">
        <f>IFERROR(__xludf.DUMMYFUNCTION("GOOGLETRANSLATE(B13685,""en"",""it"")"),"L'uomo che è vestito da donna dà a qualcuno un abbraccio.")</f>
        <v>L'uomo che è vestito da donna dà a qualcuno un abbraccio.</v>
      </c>
    </row>
    <row r="13686">
      <c r="A13686" s="4" t="s">
        <v>17219</v>
      </c>
      <c r="B13686" s="4" t="s">
        <v>17225</v>
      </c>
      <c r="C13686" s="5" t="str">
        <f>IFERROR(__xludf.DUMMYFUNCTION("GOOGLETRANSLATE(B13686,""en"",""it"")"),"Il video termina con le persone che vanno in bicicletta mentre la fotocamera è attaccata alla bici.")</f>
        <v>Il video termina con le persone che vanno in bicicletta mentre la fotocamera è attaccata alla bici.</v>
      </c>
    </row>
    <row r="13687">
      <c r="A13687" s="4" t="s">
        <v>17226</v>
      </c>
      <c r="B13687" s="6" t="s">
        <v>17227</v>
      </c>
      <c r="C13687" s="5" t="str">
        <f>IFERROR(__xludf.DUMMYFUNCTION("GOOGLETRANSLATE(B13687,""en"",""it"")"),"Una donna è seduta su una sedia mentre estrae sottili pezzi di fogli d'arte da un tavolino davanti a lei e lo applica a un piccolo comò che si trova anche di fronte a lei.")</f>
        <v>Una donna è seduta su una sedia mentre estrae sottili pezzi di fogli d'arte da un tavolino davanti a lei e lo applica a un piccolo comò che si trova anche di fronte a lei.</v>
      </c>
    </row>
    <row r="13688">
      <c r="A13688" s="4" t="s">
        <v>17226</v>
      </c>
      <c r="B13688" s="6" t="s">
        <v>17228</v>
      </c>
      <c r="C13688" s="5" t="str">
        <f>IFERROR(__xludf.DUMMYFUNCTION("GOOGLETRANSLATE(B13688,""en"",""it"")"),"La donna quindi prende il pennello e inizia a spazzolare tutti i pezzi di fogli sul cassetto superiore mentre tiene sotto di essa una mano per catturare tutti i pezzi che cadono.")</f>
        <v>La donna quindi prende il pennello e inizia a spazzolare tutti i pezzi di fogli sul cassetto superiore mentre tiene sotto di essa una mano per catturare tutti i pezzi che cadono.</v>
      </c>
    </row>
    <row r="13689">
      <c r="A13689" s="4" t="s">
        <v>17226</v>
      </c>
      <c r="B13689" s="4" t="s">
        <v>17229</v>
      </c>
      <c r="C13689" s="5" t="str">
        <f>IFERROR(__xludf.DUMMYFUNCTION("GOOGLETRANSLATE(B13689,""en"",""it"")"),"La donna chiude quindi il cassetto e lo spazzola un po 'di più.")</f>
        <v>La donna chiude quindi il cassetto e lo spazzola un po 'di più.</v>
      </c>
    </row>
    <row r="13690">
      <c r="A13690" s="4" t="s">
        <v>17230</v>
      </c>
      <c r="B13690" s="4" t="s">
        <v>17231</v>
      </c>
      <c r="C13690" s="5" t="str">
        <f>IFERROR(__xludf.DUMMYFUNCTION("GOOGLETRANSLATE(B13690,""en"",""it"")"),"Una donna è in palestra a parlare.")</f>
        <v>Una donna è in palestra a parlare.</v>
      </c>
    </row>
    <row r="13691">
      <c r="A13691" s="4" t="s">
        <v>17230</v>
      </c>
      <c r="B13691" s="4" t="s">
        <v>17232</v>
      </c>
      <c r="C13691" s="5" t="str">
        <f>IFERROR(__xludf.DUMMYFUNCTION("GOOGLETRANSLATE(B13691,""en"",""it"")"),"La donna dimostra come fare un esercizio con un passo.")</f>
        <v>La donna dimostra come fare un esercizio con un passo.</v>
      </c>
    </row>
    <row r="13692">
      <c r="A13692" s="4" t="s">
        <v>17233</v>
      </c>
      <c r="B13692" s="4" t="s">
        <v>17234</v>
      </c>
      <c r="C13692" s="5" t="str">
        <f>IFERROR(__xludf.DUMMYFUNCTION("GOOGLETRANSLATE(B13692,""en"",""it"")"),"Un uomo cavalca un jetski su un fiume con la telecamera a distanza.")</f>
        <v>Un uomo cavalca un jetski su un fiume con la telecamera a distanza.</v>
      </c>
    </row>
    <row r="13693">
      <c r="A13693" s="4" t="s">
        <v>17233</v>
      </c>
      <c r="B13693" s="4" t="s">
        <v>17235</v>
      </c>
      <c r="C13693" s="5" t="str">
        <f>IFERROR(__xludf.DUMMYFUNCTION("GOOGLETRANSLATE(B13693,""en"",""it"")"),"L'uomo Jetskis mentre tiene la fotocamera a lungo.")</f>
        <v>L'uomo Jetskis mentre tiene la fotocamera a lungo.</v>
      </c>
    </row>
    <row r="13694">
      <c r="A13694" s="4" t="s">
        <v>17233</v>
      </c>
      <c r="B13694" s="4" t="s">
        <v>17236</v>
      </c>
      <c r="C13694" s="5" t="str">
        <f>IFERROR(__xludf.DUMMYFUNCTION("GOOGLETRANSLATE(B13694,""en"",""it"")"),"All'uomo viene mostrato lo stelo mentre è tirato dal Jetski.")</f>
        <v>All'uomo viene mostrato lo stelo mentre è tirato dal Jetski.</v>
      </c>
    </row>
    <row r="13695">
      <c r="A13695" s="4" t="s">
        <v>17233</v>
      </c>
      <c r="B13695" s="4" t="s">
        <v>17237</v>
      </c>
      <c r="C13695" s="5" t="str">
        <f>IFERROR(__xludf.DUMMYFUNCTION("GOOGLETRANSLATE(B13695,""en"",""it"")"),"L'uomo cade ed è brevemente sommerso.")</f>
        <v>L'uomo cade ed è brevemente sommerso.</v>
      </c>
    </row>
    <row r="13696">
      <c r="A13696" s="4" t="s">
        <v>17238</v>
      </c>
      <c r="B13696" s="4" t="s">
        <v>17239</v>
      </c>
      <c r="C13696" s="5" t="str">
        <f>IFERROR(__xludf.DUMMYFUNCTION("GOOGLETRANSLATE(B13696,""en"",""it"")"),"Una persona viene vista posare un tappetino su un pavimento con vari strumenti disposti intorno a lui.")</f>
        <v>Una persona viene vista posare un tappetino su un pavimento con vari strumenti disposti intorno a lui.</v>
      </c>
    </row>
    <row r="13697">
      <c r="A13697" s="4" t="s">
        <v>17238</v>
      </c>
      <c r="B13697" s="6" t="s">
        <v>17240</v>
      </c>
      <c r="C13697" s="5" t="str">
        <f>IFERROR(__xludf.DUMMYFUNCTION("GOOGLETRANSLATE(B13697,""en"",""it"")"),"Misura il pavimento con un righello seguito da lui che mette in gesso sul pavimento e mettendo giù il tappetino.")</f>
        <v>Misura il pavimento con un righello seguito da lui che mette in gesso sul pavimento e mettendo giù il tappetino.</v>
      </c>
    </row>
    <row r="13698">
      <c r="A13698" s="4" t="s">
        <v>17241</v>
      </c>
      <c r="B13698" s="4" t="s">
        <v>17242</v>
      </c>
      <c r="C13698" s="5" t="str">
        <f>IFERROR(__xludf.DUMMYFUNCTION("GOOGLETRANSLATE(B13698,""en"",""it"")"),"Un bambino giovane è fuori in acqua torbida che si aggrappa a un bar bianco.")</f>
        <v>Un bambino giovane è fuori in acqua torbida che si aggrappa a un bar bianco.</v>
      </c>
    </row>
    <row r="13699">
      <c r="A13699" s="4" t="s">
        <v>17241</v>
      </c>
      <c r="B13699" s="4" t="s">
        <v>17243</v>
      </c>
      <c r="C13699" s="5" t="str">
        <f>IFERROR(__xludf.DUMMYFUNCTION("GOOGLETRANSLATE(B13699,""en"",""it"")"),"Due uomini lo spingono e gli viene mostrato cavalcare un veicolo d'acqua che viene tirato da qualche tipo di cosa.")</f>
        <v>Due uomini lo spingono e gli viene mostrato cavalcare un veicolo d'acqua che viene tirato da qualche tipo di cosa.</v>
      </c>
    </row>
    <row r="13700">
      <c r="A13700" s="4" t="s">
        <v>17241</v>
      </c>
      <c r="B13700" s="6" t="s">
        <v>17244</v>
      </c>
      <c r="C13700" s="5" t="str">
        <f>IFERROR(__xludf.DUMMYFUNCTION("GOOGLETRANSLATE(B13700,""en"",""it"")"),"Mentre si muove, una donna è dalla parte di lui che lo segue e lo ferma lungo la strada assicurandosi che stia bene.")</f>
        <v>Mentre si muove, una donna è dalla parte di lui che lo segue e lo ferma lungo la strada assicurandosi che stia bene.</v>
      </c>
    </row>
    <row r="13701">
      <c r="A13701" s="4" t="s">
        <v>17245</v>
      </c>
      <c r="B13701" s="6" t="s">
        <v>17246</v>
      </c>
      <c r="C13701" s="5" t="str">
        <f>IFERROR(__xludf.DUMMYFUNCTION("GOOGLETRANSLATE(B13701,""en"",""it"")"),"Si vede una mano giocare con una macchina seguita da scatti di una spiaggia e un ragazzo che trasporta una vela del vento.")</f>
        <v>Si vede una mano giocare con una macchina seguita da scatti di una spiaggia e un ragazzo che trasporta una vela del vento.</v>
      </c>
    </row>
    <row r="13702">
      <c r="A13702" s="4" t="s">
        <v>17245</v>
      </c>
      <c r="B13702" s="6" t="s">
        <v>17247</v>
      </c>
      <c r="C13702" s="5" t="str">
        <f>IFERROR(__xludf.DUMMYFUNCTION("GOOGLETRANSLATE(B13702,""en"",""it"")"),"Molte persone stanno sulla spiaggia che camminano e portano a un uomo che tira su una vela su una barca e le persone si preparano al surf del vento.")</f>
        <v>Molte persone stanno sulla spiaggia che camminano e portano a un uomo che tira su una vela su una barca e le persone si preparano al surf del vento.</v>
      </c>
    </row>
    <row r="13703">
      <c r="A13703" s="4" t="s">
        <v>17245</v>
      </c>
      <c r="B13703" s="6" t="s">
        <v>17248</v>
      </c>
      <c r="C13703" s="5" t="str">
        <f>IFERROR(__xludf.DUMMYFUNCTION("GOOGLETRANSLATE(B13703,""en"",""it"")"),"Vengono mostrati diversi colpi di persone che cavalcano lungo l'acqua con un aquilone e persone su una barca e vari paesaggi.")</f>
        <v>Vengono mostrati diversi colpi di persone che cavalcano lungo l'acqua con un aquilone e persone su una barca e vari paesaggi.</v>
      </c>
    </row>
    <row r="13704">
      <c r="A13704" s="4" t="s">
        <v>17245</v>
      </c>
      <c r="B13704" s="4" t="s">
        <v>17249</v>
      </c>
      <c r="C13704" s="5" t="str">
        <f>IFERROR(__xludf.DUMMYFUNCTION("GOOGLETRANSLATE(B13704,""en"",""it"")"),"Alla fine viene mostrato un colpo di un tramonto.")</f>
        <v>Alla fine viene mostrato un colpo di un tramonto.</v>
      </c>
    </row>
    <row r="13705">
      <c r="A13705" s="4" t="s">
        <v>17250</v>
      </c>
      <c r="B13705" s="4" t="s">
        <v>17251</v>
      </c>
      <c r="C13705" s="5" t="str">
        <f>IFERROR(__xludf.DUMMYFUNCTION("GOOGLETRANSLATE(B13705,""en"",""it"")"),"Un uomo sta mettendo gli ingredienti in una padella.")</f>
        <v>Un uomo sta mettendo gli ingredienti in una padella.</v>
      </c>
    </row>
    <row r="13706">
      <c r="A13706" s="4" t="s">
        <v>17250</v>
      </c>
      <c r="B13706" s="4" t="s">
        <v>17252</v>
      </c>
      <c r="C13706" s="5" t="str">
        <f>IFERROR(__xludf.DUMMYFUNCTION("GOOGLETRANSLATE(B13706,""en"",""it"")"),"Lo mescola insieme su una stufa.")</f>
        <v>Lo mescola insieme su una stufa.</v>
      </c>
    </row>
    <row r="13707">
      <c r="A13707" s="4" t="s">
        <v>17250</v>
      </c>
      <c r="B13707" s="4" t="s">
        <v>17253</v>
      </c>
      <c r="C13707" s="5" t="str">
        <f>IFERROR(__xludf.DUMMYFUNCTION("GOOGLETRANSLATE(B13707,""en"",""it"")"),"Lo mette su un piatto e mostra la fotocamera.")</f>
        <v>Lo mette su un piatto e mostra la fotocamera.</v>
      </c>
    </row>
    <row r="13708">
      <c r="A13708" s="4" t="s">
        <v>17254</v>
      </c>
      <c r="B13708" s="4" t="s">
        <v>17255</v>
      </c>
      <c r="C13708" s="5" t="str">
        <f>IFERROR(__xludf.DUMMYFUNCTION("GOOGLETRANSLATE(B13708,""en"",""it"")"),"Un uomo sta correndo lungo la pista.")</f>
        <v>Un uomo sta correndo lungo la pista.</v>
      </c>
    </row>
    <row r="13709">
      <c r="A13709" s="4" t="s">
        <v>17254</v>
      </c>
      <c r="B13709" s="4" t="s">
        <v>17256</v>
      </c>
      <c r="C13709" s="5" t="str">
        <f>IFERROR(__xludf.DUMMYFUNCTION("GOOGLETRANSLATE(B13709,""en"",""it"")"),"Lancia un giavellotto sul campo.")</f>
        <v>Lancia un giavellotto sul campo.</v>
      </c>
    </row>
    <row r="13710">
      <c r="A13710" s="4" t="s">
        <v>17254</v>
      </c>
      <c r="B13710" s="4" t="s">
        <v>17257</v>
      </c>
      <c r="C13710" s="5" t="str">
        <f>IFERROR(__xludf.DUMMYFUNCTION("GOOGLETRANSLATE(B13710,""en"",""it"")"),"Il pubblico è dietro di lui negli spalti.")</f>
        <v>Il pubblico è dietro di lui negli spalti.</v>
      </c>
    </row>
    <row r="13711">
      <c r="A13711" s="4" t="s">
        <v>17258</v>
      </c>
      <c r="B13711" s="4" t="s">
        <v>17259</v>
      </c>
      <c r="C13711" s="5" t="str">
        <f>IFERROR(__xludf.DUMMYFUNCTION("GOOGLETRANSLATE(B13711,""en"",""it"")"),"Un uomo atletico viene visto correre per lanciare una palla e un'altra persona la colpisce nel pubblico.")</f>
        <v>Un uomo atletico viene visto correre per lanciare una palla e un'altra persona la colpisce nel pubblico.</v>
      </c>
    </row>
    <row r="13712">
      <c r="A13712" s="4" t="s">
        <v>17258</v>
      </c>
      <c r="B13712" s="6" t="s">
        <v>17260</v>
      </c>
      <c r="C13712" s="5" t="str">
        <f>IFERROR(__xludf.DUMMYFUNCTION("GOOGLETRANSLATE(B13712,""en"",""it"")"),"Vengono mostrate altre clip di persone che giocano sul campo con il pubblico e i giocatori si muovono in campo.")</f>
        <v>Vengono mostrate altre clip di persone che giocano sul campo con il pubblico e i giocatori si muovono in campo.</v>
      </c>
    </row>
    <row r="13713">
      <c r="A13713" s="4" t="s">
        <v>17261</v>
      </c>
      <c r="B13713" s="4" t="s">
        <v>17262</v>
      </c>
      <c r="C13713" s="5" t="str">
        <f>IFERROR(__xludf.DUMMYFUNCTION("GOOGLETRANSLATE(B13713,""en"",""it"")"),"Le persone stanno uscendo da un furgone che tiene snowboard.")</f>
        <v>Le persone stanno uscendo da un furgone che tiene snowboard.</v>
      </c>
    </row>
    <row r="13714">
      <c r="A13714" s="4" t="s">
        <v>17261</v>
      </c>
      <c r="B13714" s="4" t="s">
        <v>17263</v>
      </c>
      <c r="C13714" s="5" t="str">
        <f>IFERROR(__xludf.DUMMYFUNCTION("GOOGLETRANSLATE(B13714,""en"",""it"")"),"Un uomo suona il suo snowboard.")</f>
        <v>Un uomo suona il suo snowboard.</v>
      </c>
    </row>
    <row r="13715">
      <c r="A13715" s="4" t="s">
        <v>17261</v>
      </c>
      <c r="B13715" s="4" t="s">
        <v>17264</v>
      </c>
      <c r="C13715" s="5" t="str">
        <f>IFERROR(__xludf.DUMMYFUNCTION("GOOGLETRANSLATE(B13715,""en"",""it"")"),"Diverse persone stanno snowboard lungo una collina.")</f>
        <v>Diverse persone stanno snowboard lungo una collina.</v>
      </c>
    </row>
    <row r="13716">
      <c r="A13716" s="4" t="s">
        <v>17261</v>
      </c>
      <c r="B13716" s="4" t="s">
        <v>17265</v>
      </c>
      <c r="C13716" s="5" t="str">
        <f>IFERROR(__xludf.DUMMYFUNCTION("GOOGLETRANSLATE(B13716,""en"",""it"")"),"Un uomo in occhiali parla.")</f>
        <v>Un uomo in occhiali parla.</v>
      </c>
    </row>
    <row r="13717">
      <c r="A13717" s="4" t="s">
        <v>17261</v>
      </c>
      <c r="B13717" s="4" t="s">
        <v>17266</v>
      </c>
      <c r="C13717" s="5" t="str">
        <f>IFERROR(__xludf.DUMMYFUNCTION("GOOGLETRANSLATE(B13717,""en"",""it"")"),"Una donna tiene un bambino per baciare un uomo.")</f>
        <v>Una donna tiene un bambino per baciare un uomo.</v>
      </c>
    </row>
    <row r="13718">
      <c r="A13718" s="4" t="s">
        <v>17261</v>
      </c>
      <c r="B13718" s="4" t="s">
        <v>17267</v>
      </c>
      <c r="C13718" s="5" t="str">
        <f>IFERROR(__xludf.DUMMYFUNCTION("GOOGLETRANSLATE(B13718,""en"",""it"")"),"Le persone stanno snowboard lungo una collina.")</f>
        <v>Le persone stanno snowboard lungo una collina.</v>
      </c>
    </row>
    <row r="13719">
      <c r="A13719" s="4" t="s">
        <v>17261</v>
      </c>
      <c r="B13719" s="4" t="s">
        <v>17268</v>
      </c>
      <c r="C13719" s="5" t="str">
        <f>IFERROR(__xludf.DUMMYFUNCTION("GOOGLETRANSLATE(B13719,""en"",""it"")"),"Un uomo parla alla telecamera.")</f>
        <v>Un uomo parla alla telecamera.</v>
      </c>
    </row>
    <row r="13720">
      <c r="A13720" s="4" t="s">
        <v>17261</v>
      </c>
      <c r="B13720" s="4" t="s">
        <v>17269</v>
      </c>
      <c r="C13720" s="5" t="str">
        <f>IFERROR(__xludf.DUMMYFUNCTION("GOOGLETRANSLATE(B13720,""en"",""it"")"),"Diverse persone fanno trucchi sui loro snowboard.")</f>
        <v>Diverse persone fanno trucchi sui loro snowboard.</v>
      </c>
    </row>
    <row r="13721">
      <c r="A13721" s="4" t="s">
        <v>17261</v>
      </c>
      <c r="B13721" s="4" t="s">
        <v>17270</v>
      </c>
      <c r="C13721" s="5" t="str">
        <f>IFERROR(__xludf.DUMMYFUNCTION("GOOGLETRANSLATE(B13721,""en"",""it"")"),"Un uomo parla di nuovo con la telecamera.")</f>
        <v>Un uomo parla di nuovo con la telecamera.</v>
      </c>
    </row>
    <row r="13722">
      <c r="A13722" s="4" t="s">
        <v>17261</v>
      </c>
      <c r="B13722" s="4" t="s">
        <v>17271</v>
      </c>
      <c r="C13722" s="5" t="str">
        <f>IFERROR(__xludf.DUMMYFUNCTION("GOOGLETRANSLATE(B13722,""en"",""it"")"),"Molte altre persone stanno snowboard e parlano.")</f>
        <v>Molte altre persone stanno snowboard e parlano.</v>
      </c>
    </row>
    <row r="13723">
      <c r="A13723" s="4" t="s">
        <v>17261</v>
      </c>
      <c r="B13723" s="4" t="s">
        <v>17272</v>
      </c>
      <c r="C13723" s="5" t="str">
        <f>IFERROR(__xludf.DUMMYFUNCTION("GOOGLETRANSLATE(B13723,""en"",""it"")"),"Un uomo con la barba parla alla telecamera.")</f>
        <v>Un uomo con la barba parla alla telecamera.</v>
      </c>
    </row>
    <row r="13724">
      <c r="A13724" s="4" t="s">
        <v>17261</v>
      </c>
      <c r="B13724" s="4" t="s">
        <v>17273</v>
      </c>
      <c r="C13724" s="5" t="str">
        <f>IFERROR(__xludf.DUMMYFUNCTION("GOOGLETRANSLATE(B13724,""en"",""it"")"),"Un uomo si toglie il suo snowboard.")</f>
        <v>Un uomo si toglie il suo snowboard.</v>
      </c>
    </row>
    <row r="13725">
      <c r="A13725" s="4" t="s">
        <v>17274</v>
      </c>
      <c r="B13725" s="6" t="s">
        <v>17275</v>
      </c>
      <c r="C13725" s="5" t="str">
        <f>IFERROR(__xludf.DUMMYFUNCTION("GOOGLETRANSLATE(B13725,""en"",""it"")"),"Due ragazzi in abiti da karate blu e cinture rosse sono in piedi su un palco in una caffetteria scolastica e stanno facendo una routine di karate all'unisono.")</f>
        <v>Due ragazzi in abiti da karate blu e cinture rosse sono in piedi su un palco in una caffetteria scolastica e stanno facendo una routine di karate all'unisono.</v>
      </c>
    </row>
    <row r="13726">
      <c r="A13726" s="4" t="s">
        <v>17274</v>
      </c>
      <c r="B13726" s="6" t="s">
        <v>17276</v>
      </c>
      <c r="C13726" s="5" t="str">
        <f>IFERROR(__xludf.DUMMYFUNCTION("GOOGLETRANSLATE(B13726,""en"",""it"")"),"Quando hanno finito, si girano l'uno contro l'altro, si inchinano e fanno alcune partite di karate che implicano gettarsi delicatamente a terra e quando fatti con le partite si inchinano di fronte alla folla.")</f>
        <v>Quando hanno finito, si girano l'uno contro l'altro, si inchinano e fanno alcune partite di karate che implicano gettarsi delicatamente a terra e quando fatti con le partite si inchinano di fronte alla folla.</v>
      </c>
    </row>
    <row r="13727">
      <c r="A13727" s="4" t="s">
        <v>17274</v>
      </c>
      <c r="B13727" s="6" t="s">
        <v>17277</v>
      </c>
      <c r="C13727" s="5" t="str">
        <f>IFERROR(__xludf.DUMMYFUNCTION("GOOGLETRANSLATE(B13727,""en"",""it"")"),"I ragazzi iniziano quindi un'altra routine di karate e stanno facendo varie mosse con le braccia e le gambe mentre li fanno all'unisono il più possibile.")</f>
        <v>I ragazzi iniziano quindi un'altra routine di karate e stanno facendo varie mosse con le braccia e le gambe mentre li fanno all'unisono il più possibile.</v>
      </c>
    </row>
    <row r="13728">
      <c r="A13728" s="4" t="s">
        <v>17274</v>
      </c>
      <c r="B13728" s="4" t="s">
        <v>17278</v>
      </c>
      <c r="C13728" s="5" t="str">
        <f>IFERROR(__xludf.DUMMYFUNCTION("GOOGLETRANSLATE(B13728,""en"",""it"")"),"Al termine, entrambi si inchinano di fronte alla folla ed entrambi scappano dal palcoscenico della scuola.")</f>
        <v>Al termine, entrambi si inchinano di fronte alla folla ed entrambi scappano dal palcoscenico della scuola.</v>
      </c>
    </row>
    <row r="13729">
      <c r="A13729" s="4" t="s">
        <v>17279</v>
      </c>
      <c r="B13729" s="4" t="s">
        <v>17280</v>
      </c>
      <c r="C13729" s="5" t="str">
        <f>IFERROR(__xludf.DUMMYFUNCTION("GOOGLETRANSLATE(B13729,""en"",""it"")"),"Un uomo e un ragazzino stanno falciando un prato.")</f>
        <v>Un uomo e un ragazzino stanno falciando un prato.</v>
      </c>
    </row>
    <row r="13730">
      <c r="A13730" s="4" t="s">
        <v>17279</v>
      </c>
      <c r="B13730" s="4" t="s">
        <v>17281</v>
      </c>
      <c r="C13730" s="5" t="str">
        <f>IFERROR(__xludf.DUMMYFUNCTION("GOOGLETRANSLATE(B13730,""en"",""it"")"),"L'uomo spinge il vero tosaerba avanti e indietro.")</f>
        <v>L'uomo spinge il vero tosaerba avanti e indietro.</v>
      </c>
    </row>
    <row r="13731">
      <c r="A13731" s="4" t="s">
        <v>17279</v>
      </c>
      <c r="B13731" s="4" t="s">
        <v>17282</v>
      </c>
      <c r="C13731" s="5" t="str">
        <f>IFERROR(__xludf.DUMMYFUNCTION("GOOGLETRANSLATE(B13731,""en"",""it"")"),"Il ragazzino lo segue con un tosaerba giocattolo.")</f>
        <v>Il ragazzino lo segue con un tosaerba giocattolo.</v>
      </c>
    </row>
    <row r="13732">
      <c r="A13732" s="4" t="s">
        <v>17283</v>
      </c>
      <c r="B13732" s="4" t="s">
        <v>17284</v>
      </c>
      <c r="C13732" s="5" t="str">
        <f>IFERROR(__xludf.DUMMYFUNCTION("GOOGLETRANSLATE(B13732,""en"",""it"")"),"Un uomo viene visto fare vari capovolgimenti e trucchi su una palestra mentre altri si esercitano dietro di lui.")</f>
        <v>Un uomo viene visto fare vari capovolgimenti e trucchi su una palestra mentre altri si esercitano dietro di lui.</v>
      </c>
    </row>
    <row r="13733">
      <c r="A13733" s="4" t="s">
        <v>17283</v>
      </c>
      <c r="B13733" s="4" t="s">
        <v>17285</v>
      </c>
      <c r="C13733" s="5" t="str">
        <f>IFERROR(__xludf.DUMMYFUNCTION("GOOGLETRANSLATE(B13733,""en"",""it"")"),"L'uomo continua a scivolare per la stanza mentre le persone lo camminano si fermano e guardano.")</f>
        <v>L'uomo continua a scivolare per la stanza mentre le persone lo camminano si fermano e guardano.</v>
      </c>
    </row>
    <row r="13734">
      <c r="A13734" s="4" t="s">
        <v>17286</v>
      </c>
      <c r="B13734" s="4" t="s">
        <v>17287</v>
      </c>
      <c r="C13734" s="5" t="str">
        <f>IFERROR(__xludf.DUMMYFUNCTION("GOOGLETRANSLATE(B13734,""en"",""it"")"),"Un atleta esegue un salto in lungo durante un evento sportivo professionista mentre gli spettatori guardano e applaudono.")</f>
        <v>Un atleta esegue un salto in lungo durante un evento sportivo professionista mentre gli spettatori guardano e applaudono.</v>
      </c>
    </row>
    <row r="13735">
      <c r="A13735" s="4" t="s">
        <v>17286</v>
      </c>
      <c r="B13735" s="4" t="s">
        <v>17288</v>
      </c>
      <c r="C13735" s="5" t="str">
        <f>IFERROR(__xludf.DUMMYFUNCTION("GOOGLETRANSLATE(B13735,""en"",""it"")"),"Un uomo in un vestito atletico e un numero di carta appuntato al petto camminano su un campo sportivo.")</f>
        <v>Un uomo in un vestito atletico e un numero di carta appuntato al petto camminano su un campo sportivo.</v>
      </c>
    </row>
    <row r="13736">
      <c r="A13736" s="4" t="s">
        <v>17286</v>
      </c>
      <c r="B13736" s="4" t="s">
        <v>17289</v>
      </c>
      <c r="C13736" s="5" t="str">
        <f>IFERROR(__xludf.DUMMYFUNCTION("GOOGLETRANSLATE(B13736,""en"",""it"")"),"L'uomo corre a distanza ed esegue un salto in lungo.")</f>
        <v>L'uomo corre a distanza ed esegue un salto in lungo.</v>
      </c>
    </row>
    <row r="13737">
      <c r="A13737" s="4" t="s">
        <v>17286</v>
      </c>
      <c r="B13737" s="6" t="s">
        <v>17290</v>
      </c>
      <c r="C13737" s="5" t="str">
        <f>IFERROR(__xludf.DUMMYFUNCTION("GOOGLETRANSLATE(B13737,""en"",""it"")"),"L'uomo sorride e mette in valigia dopo il salto in lungo mentre una bandiera britannica ondate sullo sfondo e un modello della sua colonna sonora attraversa lo schermo insieme alle riprese del rallentatore.")</f>
        <v>L'uomo sorride e mette in valigia dopo il salto in lungo mentre una bandiera britannica ondate sullo sfondo e un modello della sua colonna sonora attraversa lo schermo insieme alle riprese del rallentatore.</v>
      </c>
    </row>
    <row r="13738">
      <c r="A13738" s="4" t="s">
        <v>17286</v>
      </c>
      <c r="B13738" s="4" t="s">
        <v>17291</v>
      </c>
      <c r="C13738" s="5" t="str">
        <f>IFERROR(__xludf.DUMMYFUNCTION("GOOGLETRANSLATE(B13738,""en"",""it"")"),"L'uomo si toglie le scarpe mentre era seduto su una panchina.")</f>
        <v>L'uomo si toglie le scarpe mentre era seduto su una panchina.</v>
      </c>
    </row>
    <row r="13739">
      <c r="A13739" s="4" t="s">
        <v>17292</v>
      </c>
      <c r="B13739" s="4" t="s">
        <v>17293</v>
      </c>
      <c r="C13739" s="5" t="str">
        <f>IFERROR(__xludf.DUMMYFUNCTION("GOOGLETRANSLATE(B13739,""en"",""it"")"),"Un gruppo di persone viene visto guidare in auto paraurti e che si incontrano.")</f>
        <v>Un gruppo di persone viene visto guidare in auto paraurti e che si incontrano.</v>
      </c>
    </row>
    <row r="13740">
      <c r="A13740" s="4" t="s">
        <v>17292</v>
      </c>
      <c r="B13740" s="6" t="s">
        <v>17294</v>
      </c>
      <c r="C13740" s="5" t="str">
        <f>IFERROR(__xludf.DUMMYFUNCTION("GOOGLETRANSLATE(B13740,""en"",""it"")"),"Le persone continuano a sbattere l'una con l'altra e guidano e poi si fermano a uscire dalle macchine.")</f>
        <v>Le persone continuano a sbattere l'una con l'altra e guidano e poi si fermano a uscire dalle macchine.</v>
      </c>
    </row>
    <row r="13741">
      <c r="A13741" s="4" t="s">
        <v>17295</v>
      </c>
      <c r="B13741" s="4" t="s">
        <v>17296</v>
      </c>
      <c r="C13741" s="5" t="str">
        <f>IFERROR(__xludf.DUMMYFUNCTION("GOOGLETRANSLATE(B13741,""en"",""it"")"),"Le persone guidano in macchina per strada.")</f>
        <v>Le persone guidano in macchina per strada.</v>
      </c>
    </row>
    <row r="13742">
      <c r="A13742" s="4" t="s">
        <v>17295</v>
      </c>
      <c r="B13742" s="4" t="s">
        <v>17297</v>
      </c>
      <c r="C13742" s="5" t="str">
        <f>IFERROR(__xludf.DUMMYFUNCTION("GOOGLETRANSLATE(B13742,""en"",""it"")"),"Un uomo è la scia in acqua piena di bacche.")</f>
        <v>Un uomo è la scia in acqua piena di bacche.</v>
      </c>
    </row>
    <row r="13743">
      <c r="A13743" s="4" t="s">
        <v>17295</v>
      </c>
      <c r="B13743" s="4" t="s">
        <v>17298</v>
      </c>
      <c r="C13743" s="5" t="str">
        <f>IFERROR(__xludf.DUMMYFUNCTION("GOOGLETRANSLATE(B13743,""en"",""it"")"),"Un furgone sta guidando su una strada per l'acqua.")</f>
        <v>Un furgone sta guidando su una strada per l'acqua.</v>
      </c>
    </row>
    <row r="13744">
      <c r="A13744" s="4" t="s">
        <v>17299</v>
      </c>
      <c r="B13744" s="4" t="s">
        <v>17300</v>
      </c>
      <c r="C13744" s="5" t="str">
        <f>IFERROR(__xludf.DUMMYFUNCTION("GOOGLETRANSLATE(B13744,""en"",""it"")"),"Una ragazza in un vestito giallo posa con un testimone.")</f>
        <v>Una ragazza in un vestito giallo posa con un testimone.</v>
      </c>
    </row>
    <row r="13745">
      <c r="A13745" s="4" t="s">
        <v>17299</v>
      </c>
      <c r="B13745" s="4" t="s">
        <v>17301</v>
      </c>
      <c r="C13745" s="5" t="str">
        <f>IFERROR(__xludf.DUMMYFUNCTION("GOOGLETRANSLATE(B13745,""en"",""it"")"),"Comincia a ballare, facendo roteare il testimone mentre va.")</f>
        <v>Comincia a ballare, facendo roteare il testimone mentre va.</v>
      </c>
    </row>
    <row r="13746">
      <c r="A13746" s="4" t="s">
        <v>17299</v>
      </c>
      <c r="B13746" s="4" t="s">
        <v>17302</v>
      </c>
      <c r="C13746" s="5" t="str">
        <f>IFERROR(__xludf.DUMMYFUNCTION("GOOGLETRANSLATE(B13746,""en"",""it"")"),"La ragazza gira, si siede, scivola e gira mentre si esibisce.")</f>
        <v>La ragazza gira, si siede, scivola e gira mentre si esibisce.</v>
      </c>
    </row>
    <row r="13747">
      <c r="A13747" s="4" t="s">
        <v>17299</v>
      </c>
      <c r="B13747" s="4" t="s">
        <v>17303</v>
      </c>
      <c r="C13747" s="5" t="str">
        <f>IFERROR(__xludf.DUMMYFUNCTION("GOOGLETRANSLATE(B13747,""en"",""it"")"),"Cade a terra in posa e sorride mentre finisce.")</f>
        <v>Cade a terra in posa e sorride mentre finisce.</v>
      </c>
    </row>
    <row r="13748">
      <c r="A13748" s="4" t="s">
        <v>17304</v>
      </c>
      <c r="B13748" s="4" t="s">
        <v>17305</v>
      </c>
      <c r="C13748" s="5" t="str">
        <f>IFERROR(__xludf.DUMMYFUNCTION("GOOGLETRANSLATE(B13748,""en"",""it"")"),"Un uomo viene visto inginocchiarsi su un pavimento e mette le mani dietro la testa.")</f>
        <v>Un uomo viene visto inginocchiarsi su un pavimento e mette le mani dietro la testa.</v>
      </c>
    </row>
    <row r="13749">
      <c r="A13749" s="4" t="s">
        <v>17304</v>
      </c>
      <c r="B13749" s="4" t="s">
        <v>17306</v>
      </c>
      <c r="C13749" s="5" t="str">
        <f>IFERROR(__xludf.DUMMYFUNCTION("GOOGLETRANSLATE(B13749,""en"",""it"")"),"Quindi piega il suo corpo in avanti ed esegue diversi salti in piedi.")</f>
        <v>Quindi piega il suo corpo in avanti ed esegue diversi salti in piedi.</v>
      </c>
    </row>
    <row r="13750">
      <c r="A13750" s="4" t="s">
        <v>17307</v>
      </c>
      <c r="B13750" s="6" t="s">
        <v>17308</v>
      </c>
      <c r="C13750" s="5" t="str">
        <f>IFERROR(__xludf.DUMMYFUNCTION("GOOGLETRANSLATE(B13750,""en"",""it"")"),"Tre persone stanno cavalcando skateboard su una strada in una città e il testo nello schermo in basso a sinistra dicono ""Tre clienti abituali - New Jack"" e stanno pattinando velocemente andando avanti, girando, curvando, piegandosi e facendo altri vari "&amp;"trucchi in tutto il città e non indossare caschi o altri attrezzature di sicurezza.")</f>
        <v>Tre persone stanno cavalcando skateboard su una strada in una città e il testo nello schermo in basso a sinistra dicono "Tre clienti abituali - New Jack" e stanno pattinando velocemente andando avanti, girando, curvando, piegandosi e facendo altri vari trucchi in tutto il città e non indossare caschi o altri attrezzature di sicurezza.</v>
      </c>
    </row>
    <row r="13751">
      <c r="A13751" s="4" t="s">
        <v>17307</v>
      </c>
      <c r="B13751" s="6" t="s">
        <v>17309</v>
      </c>
      <c r="C13751" s="5" t="str">
        <f>IFERROR(__xludf.DUMMYFUNCTION("GOOGLETRANSLATE(B13751,""en"",""it"")"),"Due dei ragazzi vengono fermati su una strada e all'improvviso uno di loro raccoglie uno skateboard e lo lancia molto forte contro il muro.")</f>
        <v>Due dei ragazzi vengono fermati su una strada e all'improvviso uno di loro raccoglie uno skateboard e lo lancia molto forte contro il muro.</v>
      </c>
    </row>
    <row r="13752">
      <c r="A13752" s="4" t="s">
        <v>17307</v>
      </c>
      <c r="B13752" s="6" t="s">
        <v>17310</v>
      </c>
      <c r="C13752" s="5" t="str">
        <f>IFERROR(__xludf.DUMMYFUNCTION("GOOGLETRANSLATE(B13752,""en"",""it"")"),"I ragazzi vengono mostrati di nuovo lo skateboard e questa volta indossano caschi mentre lo skateboard lungo le strade in questa città vanno molto velocemente e fanno più trucchi.")</f>
        <v>I ragazzi vengono mostrati di nuovo lo skateboard e questa volta indossano caschi mentre lo skateboard lungo le strade in questa città vanno molto velocemente e fanno più trucchi.</v>
      </c>
    </row>
    <row r="13753">
      <c r="A13753" s="4" t="s">
        <v>17311</v>
      </c>
      <c r="B13753" s="4" t="s">
        <v>17312</v>
      </c>
      <c r="C13753" s="5" t="str">
        <f>IFERROR(__xludf.DUMMYFUNCTION("GOOGLETRANSLATE(B13753,""en"",""it"")"),"Vediamo le giovani donne abbracciarsi su una pista.")</f>
        <v>Vediamo le giovani donne abbracciarsi su una pista.</v>
      </c>
    </row>
    <row r="13754">
      <c r="A13754" s="4" t="s">
        <v>17311</v>
      </c>
      <c r="B13754" s="4" t="s">
        <v>17313</v>
      </c>
      <c r="C13754" s="5" t="str">
        <f>IFERROR(__xludf.DUMMYFUNCTION("GOOGLETRANSLATE(B13754,""en"",""it"")"),"Vediamo quindi replay dalla loro corsa.")</f>
        <v>Vediamo quindi replay dalla loro corsa.</v>
      </c>
    </row>
    <row r="13755">
      <c r="A13755" s="4" t="s">
        <v>17311</v>
      </c>
      <c r="B13755" s="4" t="s">
        <v>17314</v>
      </c>
      <c r="C13755" s="5" t="str">
        <f>IFERROR(__xludf.DUMMYFUNCTION("GOOGLETRANSLATE(B13755,""en"",""it"")"),"Una signora fa oscillare le braccia mentre finisce.")</f>
        <v>Una signora fa oscillare le braccia mentre finisce.</v>
      </c>
    </row>
    <row r="13756">
      <c r="A13756" s="4" t="s">
        <v>17311</v>
      </c>
      <c r="B13756" s="4" t="s">
        <v>6208</v>
      </c>
      <c r="C13756" s="5" t="str">
        <f>IFERROR(__xludf.DUMMYFUNCTION("GOOGLETRANSLATE(B13756,""en"",""it"")"),"Vediamo una schermata del titolo.")</f>
        <v>Vediamo una schermata del titolo.</v>
      </c>
    </row>
    <row r="13757">
      <c r="A13757" s="4" t="s">
        <v>17311</v>
      </c>
      <c r="B13757" s="4" t="s">
        <v>17315</v>
      </c>
      <c r="C13757" s="5" t="str">
        <f>IFERROR(__xludf.DUMMYFUNCTION("GOOGLETRANSLATE(B13757,""en"",""it"")"),"Vediamo 4 donne che lanciano il martello.")</f>
        <v>Vediamo 4 donne che lanciano il martello.</v>
      </c>
    </row>
    <row r="13758">
      <c r="A13758" s="4" t="s">
        <v>17311</v>
      </c>
      <c r="B13758" s="4" t="s">
        <v>17316</v>
      </c>
      <c r="C13758" s="5" t="str">
        <f>IFERROR(__xludf.DUMMYFUNCTION("GOOGLETRANSLATE(B13758,""en"",""it"")"),"Una signora abbraccia qualcuno dopo la sua lancia.")</f>
        <v>Una signora abbraccia qualcuno dopo la sua lancia.</v>
      </c>
    </row>
    <row r="13759">
      <c r="A13759" s="4" t="s">
        <v>17311</v>
      </c>
      <c r="B13759" s="4" t="s">
        <v>17317</v>
      </c>
      <c r="C13759" s="5" t="str">
        <f>IFERROR(__xludf.DUMMYFUNCTION("GOOGLETRANSLATE(B13759,""en"",""it"")"),"Una signora abbraccia una donna e un uomo.")</f>
        <v>Una signora abbraccia una donna e un uomo.</v>
      </c>
    </row>
    <row r="13760">
      <c r="A13760" s="4" t="s">
        <v>17318</v>
      </c>
      <c r="B13760" s="4" t="s">
        <v>17319</v>
      </c>
      <c r="C13760" s="5" t="str">
        <f>IFERROR(__xludf.DUMMYFUNCTION("GOOGLETRANSLATE(B13760,""en"",""it"")"),"Un ragazzino oscilla da un grande pezzo di attrezzatura da gioco.")</f>
        <v>Un ragazzino oscilla da un grande pezzo di attrezzatura da gioco.</v>
      </c>
    </row>
    <row r="13761">
      <c r="A13761" s="4" t="s">
        <v>17318</v>
      </c>
      <c r="B13761" s="4" t="s">
        <v>17320</v>
      </c>
      <c r="C13761" s="5" t="str">
        <f>IFERROR(__xludf.DUMMYFUNCTION("GOOGLETRANSLATE(B13761,""en"",""it"")"),"Si oscilla attraverso le sbarre, cercando di resistere.")</f>
        <v>Si oscilla attraverso le sbarre, cercando di resistere.</v>
      </c>
    </row>
    <row r="13762">
      <c r="A13762" s="4" t="s">
        <v>17318</v>
      </c>
      <c r="B13762" s="4" t="s">
        <v>17321</v>
      </c>
      <c r="C13762" s="5" t="str">
        <f>IFERROR(__xludf.DUMMYFUNCTION("GOOGLETRANSLATE(B13762,""en"",""it"")"),"Arriva fino alla fine prima di saltare.")</f>
        <v>Arriva fino alla fine prima di saltare.</v>
      </c>
    </row>
    <row r="13763">
      <c r="A13763" s="4" t="s">
        <v>17322</v>
      </c>
      <c r="B13763" s="6" t="s">
        <v>17323</v>
      </c>
      <c r="C13763" s="5" t="str">
        <f>IFERROR(__xludf.DUMMYFUNCTION("GOOGLETRANSLATE(B13763,""en"",""it"")"),"Un primo piano di scarpe viene mostrato da una persona che tiene le scarpe e strofinando lo smalto intorno alle scarpe.")</f>
        <v>Un primo piano di scarpe viene mostrato da una persona che tiene le scarpe e strofinando lo smalto intorno alle scarpe.</v>
      </c>
    </row>
    <row r="13764">
      <c r="A13764" s="4" t="s">
        <v>17322</v>
      </c>
      <c r="B13764" s="6" t="s">
        <v>17324</v>
      </c>
      <c r="C13764" s="5" t="str">
        <f>IFERROR(__xludf.DUMMYFUNCTION("GOOGLETRANSLATE(B13764,""en"",""it"")"),"L'uomo quindi strofina lo smalto nell'altra scarpa sul tavolo e di nuovo a quella su cui ha iniziato.")</f>
        <v>L'uomo quindi strofina lo smalto nell'altra scarpa sul tavolo e di nuovo a quella su cui ha iniziato.</v>
      </c>
    </row>
    <row r="13765">
      <c r="A13765" s="4" t="s">
        <v>17322</v>
      </c>
      <c r="B13765" s="4" t="s">
        <v>17325</v>
      </c>
      <c r="C13765" s="5" t="str">
        <f>IFERROR(__xludf.DUMMYFUNCTION("GOOGLETRANSLATE(B13765,""en"",""it"")"),"Prende un pennello e lo usa sulla scarpa, finendo con lui afferrando la telecamera.")</f>
        <v>Prende un pennello e lo usa sulla scarpa, finendo con lui afferrando la telecamera.</v>
      </c>
    </row>
    <row r="13766">
      <c r="A13766" s="4" t="s">
        <v>17326</v>
      </c>
      <c r="B13766" s="4" t="s">
        <v>17327</v>
      </c>
      <c r="C13766" s="5" t="str">
        <f>IFERROR(__xludf.DUMMYFUNCTION("GOOGLETRANSLATE(B13766,""en"",""it"")"),"Questa donna mostra agli spettatori come fare un whisky acido.")</f>
        <v>Questa donna mostra agli spettatori come fare un whisky acido.</v>
      </c>
    </row>
    <row r="13767">
      <c r="A13767" s="4" t="s">
        <v>17326</v>
      </c>
      <c r="B13767" s="4" t="s">
        <v>17328</v>
      </c>
      <c r="C13767" s="5" t="str">
        <f>IFERROR(__xludf.DUMMYFUNCTION("GOOGLETRANSLATE(B13767,""en"",""it"")"),"Prima versa un'oncia di whisky sul ghiaccio nel vetro di Ross.")</f>
        <v>Prima versa un'oncia di whisky sul ghiaccio nel vetro di Ross.</v>
      </c>
    </row>
    <row r="13768">
      <c r="A13768" s="4" t="s">
        <v>17326</v>
      </c>
      <c r="B13768" s="4" t="s">
        <v>17329</v>
      </c>
      <c r="C13768" s="5" t="str">
        <f>IFERROR(__xludf.DUMMYFUNCTION("GOOGLETRANSLATE(B13768,""en"",""it"")"),"Quindi versa agrumi nel vetro e ci mette una cannuccia.")</f>
        <v>Quindi versa agrumi nel vetro e ci mette una cannuccia.</v>
      </c>
    </row>
    <row r="13769">
      <c r="A13769" s="4" t="s">
        <v>17330</v>
      </c>
      <c r="B13769" s="4" t="s">
        <v>17331</v>
      </c>
      <c r="C13769" s="5" t="str">
        <f>IFERROR(__xludf.DUMMYFUNCTION("GOOGLETRANSLATE(B13769,""en"",""it"")"),"Un uomo si trova in un parcheggio innevato.")</f>
        <v>Un uomo si trova in un parcheggio innevato.</v>
      </c>
    </row>
    <row r="13770">
      <c r="A13770" s="4" t="s">
        <v>17330</v>
      </c>
      <c r="B13770" s="4" t="s">
        <v>17332</v>
      </c>
      <c r="C13770" s="5" t="str">
        <f>IFERROR(__xludf.DUMMYFUNCTION("GOOGLETRANSLATE(B13770,""en"",""it"")"),"Sta usando un pennello per asciugare la neve dal parabrezza posteriore della sua auto.")</f>
        <v>Sta usando un pennello per asciugare la neve dal parabrezza posteriore della sua auto.</v>
      </c>
    </row>
    <row r="13771">
      <c r="A13771" s="4" t="s">
        <v>17330</v>
      </c>
      <c r="B13771" s="4" t="s">
        <v>17333</v>
      </c>
      <c r="C13771" s="5" t="str">
        <f>IFERROR(__xludf.DUMMYFUNCTION("GOOGLETRANSLATE(B13771,""en"",""it"")"),"Dà un'occhiata alla telecamera, quindi continua a pulire.")</f>
        <v>Dà un'occhiata alla telecamera, quindi continua a pulire.</v>
      </c>
    </row>
    <row r="13772">
      <c r="A13772" s="4" t="s">
        <v>17334</v>
      </c>
      <c r="B13772" s="4" t="s">
        <v>17335</v>
      </c>
      <c r="C13772" s="5" t="str">
        <f>IFERROR(__xludf.DUMMYFUNCTION("GOOGLETRANSLATE(B13772,""en"",""it"")"),"Viene visto un uomo parlare alla telecamera e inizia a tenere un rasoio in faccia.")</f>
        <v>Viene visto un uomo parlare alla telecamera e inizia a tenere un rasoio in faccia.</v>
      </c>
    </row>
    <row r="13773">
      <c r="A13773" s="4" t="s">
        <v>17334</v>
      </c>
      <c r="B13773" s="4" t="s">
        <v>17336</v>
      </c>
      <c r="C13773" s="5" t="str">
        <f>IFERROR(__xludf.DUMMYFUNCTION("GOOGLETRANSLATE(B13773,""en"",""it"")"),"L'uomo quindi si rade il viso intorno ai lati e finisce ancora parlando alla telecamera.")</f>
        <v>L'uomo quindi si rade il viso intorno ai lati e finisce ancora parlando alla telecamera.</v>
      </c>
    </row>
    <row r="13774">
      <c r="A13774" s="4" t="s">
        <v>17337</v>
      </c>
      <c r="B13774" s="4" t="s">
        <v>17338</v>
      </c>
      <c r="C13774" s="5" t="str">
        <f>IFERROR(__xludf.DUMMYFUNCTION("GOOGLETRANSLATE(B13774,""en"",""it"")"),"Una donna sta eseguendo mosse di arti parziali con un uomo su un palco.")</f>
        <v>Una donna sta eseguendo mosse di arti parziali con un uomo su un palco.</v>
      </c>
    </row>
    <row r="13775">
      <c r="A13775" s="4" t="s">
        <v>17337</v>
      </c>
      <c r="B13775" s="4" t="s">
        <v>17339</v>
      </c>
      <c r="C13775" s="5" t="str">
        <f>IFERROR(__xludf.DUMMYFUNCTION("GOOGLETRANSLATE(B13775,""en"",""it"")"),"Una band suona strumenti in background.")</f>
        <v>Una band suona strumenti in background.</v>
      </c>
    </row>
    <row r="13776">
      <c r="A13776" s="4" t="s">
        <v>17337</v>
      </c>
      <c r="B13776" s="4" t="s">
        <v>17340</v>
      </c>
      <c r="C13776" s="5" t="str">
        <f>IFERROR(__xludf.DUMMYFUNCTION("GOOGLETRANSLATE(B13776,""en"",""it"")"),"I due girano, lanciano e calciano, a turno.")</f>
        <v>I due girano, lanciano e calciano, a turno.</v>
      </c>
    </row>
    <row r="13777">
      <c r="A13777" s="4" t="s">
        <v>17341</v>
      </c>
      <c r="B13777" s="4" t="s">
        <v>17342</v>
      </c>
      <c r="C13777" s="5" t="str">
        <f>IFERROR(__xludf.DUMMYFUNCTION("GOOGLETRANSLATE(B13777,""en"",""it"")"),"Una signora gioca a piscina da sola al chiuso.")</f>
        <v>Una signora gioca a piscina da sola al chiuso.</v>
      </c>
    </row>
    <row r="13778">
      <c r="A13778" s="4" t="s">
        <v>17341</v>
      </c>
      <c r="B13778" s="4" t="s">
        <v>17343</v>
      </c>
      <c r="C13778" s="5" t="str">
        <f>IFERROR(__xludf.DUMMYFUNCTION("GOOGLETRANSLATE(B13778,""en"",""it"")"),"La palla bianca cade dal tavolo da biliardo.")</f>
        <v>La palla bianca cade dal tavolo da biliardo.</v>
      </c>
    </row>
    <row r="13779">
      <c r="A13779" s="4" t="s">
        <v>17341</v>
      </c>
      <c r="B13779" s="4" t="s">
        <v>17344</v>
      </c>
      <c r="C13779" s="5" t="str">
        <f>IFERROR(__xludf.DUMMYFUNCTION("GOOGLETRANSLATE(B13779,""en"",""it"")"),"La signora raccoglie la palla bianca dal pavimento.")</f>
        <v>La signora raccoglie la palla bianca dal pavimento.</v>
      </c>
    </row>
    <row r="13780">
      <c r="A13780" s="4" t="s">
        <v>17345</v>
      </c>
      <c r="B13780" s="4" t="s">
        <v>17346</v>
      </c>
      <c r="C13780" s="5" t="str">
        <f>IFERROR(__xludf.DUMMYFUNCTION("GOOGLETRANSLATE(B13780,""en"",""it"")"),"Vediamo un uomo correre e saltare su una zattera mentre scivola giù da una lunga collina innevata.")</f>
        <v>Vediamo un uomo correre e saltare su una zattera mentre scivola giù da una lunga collina innevata.</v>
      </c>
    </row>
    <row r="13781">
      <c r="A13781" s="4" t="s">
        <v>17345</v>
      </c>
      <c r="B13781" s="4" t="s">
        <v>17347</v>
      </c>
      <c r="C13781" s="5" t="str">
        <f>IFERROR(__xludf.DUMMYFUNCTION("GOOGLETRANSLATE(B13781,""en"",""it"")"),"La zattera si ferma e il cameraman si alza e va in giro mentre gira il terreno.")</f>
        <v>La zattera si ferma e il cameraman si alza e va in giro mentre gira il terreno.</v>
      </c>
    </row>
    <row r="13782">
      <c r="A13782" s="4" t="s">
        <v>17345</v>
      </c>
      <c r="B13782" s="4" t="s">
        <v>17348</v>
      </c>
      <c r="C13782" s="5" t="str">
        <f>IFERROR(__xludf.DUMMYFUNCTION("GOOGLETRANSLATE(B13782,""en"",""it"")"),"Una mano quindi copre la fotocamera.")</f>
        <v>Una mano quindi copre la fotocamera.</v>
      </c>
    </row>
    <row r="13783">
      <c r="A13783" s="4" t="s">
        <v>17349</v>
      </c>
      <c r="B13783" s="4" t="s">
        <v>17350</v>
      </c>
      <c r="C13783" s="5" t="str">
        <f>IFERROR(__xludf.DUMMYFUNCTION("GOOGLETRANSLATE(B13783,""en"",""it"")"),"Una donna più anziana sbuccia una patata sopra un tavolo.")</f>
        <v>Una donna più anziana sbuccia una patata sopra un tavolo.</v>
      </c>
    </row>
    <row r="13784">
      <c r="A13784" s="4" t="s">
        <v>17349</v>
      </c>
      <c r="B13784" s="4" t="s">
        <v>17351</v>
      </c>
      <c r="C13784" s="5" t="str">
        <f>IFERROR(__xludf.DUMMYFUNCTION("GOOGLETRANSLATE(B13784,""en"",""it"")"),"Mette il coltello sul tavolo.")</f>
        <v>Mette il coltello sul tavolo.</v>
      </c>
    </row>
    <row r="13785">
      <c r="A13785" s="4" t="s">
        <v>17352</v>
      </c>
      <c r="B13785" s="4" t="s">
        <v>17353</v>
      </c>
      <c r="C13785" s="5" t="str">
        <f>IFERROR(__xludf.DUMMYFUNCTION("GOOGLETRANSLATE(B13785,""en"",""it"")"),"Le persone fluttuano lungo un fiume nei tubi.")</f>
        <v>Le persone fluttuano lungo un fiume nei tubi.</v>
      </c>
    </row>
    <row r="13786">
      <c r="A13786" s="4" t="s">
        <v>17352</v>
      </c>
      <c r="B13786" s="4" t="s">
        <v>17354</v>
      </c>
      <c r="C13786" s="5" t="str">
        <f>IFERROR(__xludf.DUMMYFUNCTION("GOOGLETRANSLATE(B13786,""en"",""it"")"),"I piedi di una persona sono mostrati su un tubo.")</f>
        <v>I piedi di una persona sono mostrati su un tubo.</v>
      </c>
    </row>
    <row r="13787">
      <c r="A13787" s="4" t="s">
        <v>17352</v>
      </c>
      <c r="B13787" s="4" t="s">
        <v>17355</v>
      </c>
      <c r="C13787" s="5" t="str">
        <f>IFERROR(__xludf.DUMMYFUNCTION("GOOGLETRANSLATE(B13787,""en"",""it"")"),"Le persone sono in piedi sul corto accanto ai loro tubi.")</f>
        <v>Le persone sono in piedi sul corto accanto ai loro tubi.</v>
      </c>
    </row>
    <row r="13788">
      <c r="A13788" s="4" t="s">
        <v>17356</v>
      </c>
      <c r="B13788" s="4" t="s">
        <v>17357</v>
      </c>
      <c r="C13788" s="5" t="str">
        <f>IFERROR(__xludf.DUMMYFUNCTION("GOOGLETRANSLATE(B13788,""en"",""it"")"),"Gli uomini sono in una pista in pista in bicicletta facendo trucchi.")</f>
        <v>Gli uomini sono in una pista in pista in bicicletta facendo trucchi.</v>
      </c>
    </row>
    <row r="13789">
      <c r="A13789" s="4" t="s">
        <v>17356</v>
      </c>
      <c r="B13789" s="4" t="s">
        <v>17358</v>
      </c>
      <c r="C13789" s="5" t="str">
        <f>IFERROR(__xludf.DUMMYFUNCTION("GOOGLETRANSLATE(B13789,""en"",""it"")"),"I bambini piccoli stanno scendendo in una scivolata in un percorso di polvere.")</f>
        <v>I bambini piccoli stanno scendendo in una scivolata in un percorso di polvere.</v>
      </c>
    </row>
    <row r="13790">
      <c r="A13790" s="4" t="s">
        <v>17359</v>
      </c>
      <c r="B13790" s="4" t="s">
        <v>17360</v>
      </c>
      <c r="C13790" s="5" t="str">
        <f>IFERROR(__xludf.DUMMYFUNCTION("GOOGLETRANSLATE(B13790,""en"",""it"")"),"Un ragazzo sta spiegando come mettere le scarpe di punta sul piede sinistro.")</f>
        <v>Un ragazzo sta spiegando come mettere le scarpe di punta sul piede sinistro.</v>
      </c>
    </row>
    <row r="13791">
      <c r="A13791" s="4" t="s">
        <v>17359</v>
      </c>
      <c r="B13791" s="4" t="s">
        <v>17361</v>
      </c>
      <c r="C13791" s="5" t="str">
        <f>IFERROR(__xludf.DUMMYFUNCTION("GOOGLETRANSLATE(B13791,""en"",""it"")"),"Quindi, il ragazzo solleva il piede giusto ed elimina la scarpa del piede e continua a spiegare.")</f>
        <v>Quindi, il ragazzo solleva il piede giusto ed elimina la scarpa del piede e continua a spiegare.</v>
      </c>
    </row>
    <row r="13792">
      <c r="A13792" s="4" t="s">
        <v>17362</v>
      </c>
      <c r="B13792" s="4" t="s">
        <v>17363</v>
      </c>
      <c r="C13792" s="5" t="str">
        <f>IFERROR(__xludf.DUMMYFUNCTION("GOOGLETRANSLATE(B13792,""en"",""it"")"),"Una persona fa una pentola di caffè.")</f>
        <v>Una persona fa una pentola di caffè.</v>
      </c>
    </row>
    <row r="13793">
      <c r="A13793" s="4" t="s">
        <v>17362</v>
      </c>
      <c r="B13793" s="4" t="s">
        <v>17364</v>
      </c>
      <c r="C13793" s="5" t="str">
        <f>IFERROR(__xludf.DUMMYFUNCTION("GOOGLETRANSLATE(B13793,""en"",""it"")"),"La persona aggiunge quindi un sacco di prodotti zuccherati.")</f>
        <v>La persona aggiunge quindi un sacco di prodotti zuccherati.</v>
      </c>
    </row>
    <row r="13794">
      <c r="A13794" s="4" t="s">
        <v>17362</v>
      </c>
      <c r="B13794" s="4" t="s">
        <v>17365</v>
      </c>
      <c r="C13794" s="5" t="str">
        <f>IFERROR(__xludf.DUMMYFUNCTION("GOOGLETRANSLATE(B13794,""en"",""it"")"),"L'uomo lo beve e poi chiama le persone da uno smartphone.")</f>
        <v>L'uomo lo beve e poi chiama le persone da uno smartphone.</v>
      </c>
    </row>
    <row r="13795">
      <c r="A13795" s="4" t="s">
        <v>17366</v>
      </c>
      <c r="B13795" s="4" t="s">
        <v>17367</v>
      </c>
      <c r="C13795" s="5" t="str">
        <f>IFERROR(__xludf.DUMMYFUNCTION("GOOGLETRANSLATE(B13795,""en"",""it"")"),"Ci sono due boxer che gareggiano nel kickboxing l'uno contro l'altro in un evento di boxe.")</f>
        <v>Ci sono due boxer che gareggiano nel kickboxing l'uno contro l'altro in un evento di boxe.</v>
      </c>
    </row>
    <row r="13796">
      <c r="A13796" s="4" t="s">
        <v>17366</v>
      </c>
      <c r="B13796" s="4" t="s">
        <v>17368</v>
      </c>
      <c r="C13796" s="5" t="str">
        <f>IFERROR(__xludf.DUMMYFUNCTION("GOOGLETRANSLATE(B13796,""en"",""it"")"),"L'arbitro è in piedi accanto a loro.")</f>
        <v>L'arbitro è in piedi accanto a loro.</v>
      </c>
    </row>
    <row r="13797">
      <c r="A13797" s="4" t="s">
        <v>17366</v>
      </c>
      <c r="B13797" s="4" t="s">
        <v>17369</v>
      </c>
      <c r="C13797" s="5" t="str">
        <f>IFERROR(__xludf.DUMMYFUNCTION("GOOGLETRANSLATE(B13797,""en"",""it"")"),"Ci sono diversi spettatori che guardano i pugili competere.")</f>
        <v>Ci sono diversi spettatori che guardano i pugili competere.</v>
      </c>
    </row>
    <row r="13798">
      <c r="A13798" s="4" t="s">
        <v>17366</v>
      </c>
      <c r="B13798" s="4" t="s">
        <v>17370</v>
      </c>
      <c r="C13798" s="5" t="str">
        <f>IFERROR(__xludf.DUMMYFUNCTION("GOOGLETRANSLATE(B13798,""en"",""it"")"),"Dopo che l'arbitro ci ha provato, i concorrenti iniziano la partita.")</f>
        <v>Dopo che l'arbitro ci ha provato, i concorrenti iniziano la partita.</v>
      </c>
    </row>
    <row r="13799">
      <c r="A13799" s="4" t="s">
        <v>17366</v>
      </c>
      <c r="B13799" s="4" t="s">
        <v>17371</v>
      </c>
      <c r="C13799" s="5" t="str">
        <f>IFERROR(__xludf.DUMMYFUNCTION("GOOGLETRANSLATE(B13799,""en"",""it"")"),"La folla esercita per loro mentre competono.")</f>
        <v>La folla esercita per loro mentre competono.</v>
      </c>
    </row>
    <row r="13800">
      <c r="A13800" s="4" t="s">
        <v>17366</v>
      </c>
      <c r="B13800" s="4" t="s">
        <v>17372</v>
      </c>
      <c r="C13800" s="5" t="str">
        <f>IFERROR(__xludf.DUMMYFUNCTION("GOOGLETRANSLATE(B13800,""en"",""it"")"),"Il pugile nella divisa nera dà un pugno in rosso e la fa cadere.")</f>
        <v>Il pugile nella divisa nera dà un pugno in rosso e la fa cadere.</v>
      </c>
    </row>
    <row r="13801">
      <c r="A13801" s="4" t="s">
        <v>17366</v>
      </c>
      <c r="B13801" s="4" t="s">
        <v>17373</v>
      </c>
      <c r="C13801" s="5" t="str">
        <f>IFERROR(__xludf.DUMMYFUNCTION("GOOGLETRANSLATE(B13801,""en"",""it"")"),"Il pugile in rosso prende a calci il suo avversario.")</f>
        <v>Il pugile in rosso prende a calci il suo avversario.</v>
      </c>
    </row>
    <row r="13802">
      <c r="A13802" s="4" t="s">
        <v>17366</v>
      </c>
      <c r="B13802" s="4" t="s">
        <v>17374</v>
      </c>
      <c r="C13802" s="5" t="str">
        <f>IFERROR(__xludf.DUMMYFUNCTION("GOOGLETRANSLATE(B13802,""en"",""it"")"),"Il pugile in nero colpisce il suo avversario e il pugile in rosso le dà il viso.")</f>
        <v>Il pugile in nero colpisce il suo avversario e il pugile in rosso le dà il viso.</v>
      </c>
    </row>
    <row r="13803">
      <c r="A13803" s="4" t="s">
        <v>17366</v>
      </c>
      <c r="B13803" s="4" t="s">
        <v>17375</v>
      </c>
      <c r="C13803" s="5" t="str">
        <f>IFERROR(__xludf.DUMMYFUNCTION("GOOGLETRANSLATE(B13803,""en"",""it"")"),"L'arbitro dichiara il pugile in nero mentre il vincitore e la folla applaude la sua vittoria.")</f>
        <v>L'arbitro dichiara il pugile in nero mentre il vincitore e la folla applaude la sua vittoria.</v>
      </c>
    </row>
    <row r="13804">
      <c r="A13804" s="4" t="s">
        <v>17376</v>
      </c>
      <c r="B13804" s="6" t="s">
        <v>17377</v>
      </c>
      <c r="C13804" s="5" t="str">
        <f>IFERROR(__xludf.DUMMYFUNCTION("GOOGLETRANSLATE(B13804,""en"",""it"")"),"Una telecamera si muove attorno a una persona in piedi e conduce in lui guardando in lontananza e trasporta marcia.")</f>
        <v>Una telecamera si muove attorno a una persona in piedi e conduce in lui guardando in lontananza e trasporta marcia.</v>
      </c>
    </row>
    <row r="13805">
      <c r="A13805" s="4" t="s">
        <v>17376</v>
      </c>
      <c r="B13805" s="4" t="s">
        <v>17378</v>
      </c>
      <c r="C13805" s="5" t="str">
        <f>IFERROR(__xludf.DUMMYFUNCTION("GOOGLETRANSLATE(B13805,""en"",""it"")"),"L'uomo si adatta mentre la telecamera mostra i primi piani della sua tavola.")</f>
        <v>L'uomo si adatta mentre la telecamera mostra i primi piani della sua tavola.</v>
      </c>
    </row>
    <row r="13806">
      <c r="A13806" s="4" t="s">
        <v>17376</v>
      </c>
      <c r="B13806" s="4" t="s">
        <v>17379</v>
      </c>
      <c r="C13806" s="5" t="str">
        <f>IFERROR(__xludf.DUMMYFUNCTION("GOOGLETRANSLATE(B13806,""en"",""it"")"),"L'uomo viene quindi visto fare numerosi trucchi sull'acqua mentre segue dietro una barca.")</f>
        <v>L'uomo viene quindi visto fare numerosi trucchi sull'acqua mentre segue dietro una barca.</v>
      </c>
    </row>
    <row r="13807">
      <c r="A13807" s="4" t="s">
        <v>17380</v>
      </c>
      <c r="B13807" s="4" t="s">
        <v>17381</v>
      </c>
      <c r="C13807" s="5" t="str">
        <f>IFERROR(__xludf.DUMMYFUNCTION("GOOGLETRANSLATE(B13807,""en"",""it"")"),"Due uomini sono boxe in una palestra.")</f>
        <v>Due uomini sono boxe in una palestra.</v>
      </c>
    </row>
    <row r="13808">
      <c r="A13808" s="4" t="s">
        <v>17380</v>
      </c>
      <c r="B13808" s="4" t="s">
        <v>7190</v>
      </c>
      <c r="C13808" s="5" t="str">
        <f>IFERROR(__xludf.DUMMYFUNCTION("GOOGLETRANSLATE(B13808,""en"",""it"")"),"Sono impegnati in un'arte marziale chiamata kickboxing.")</f>
        <v>Sono impegnati in un'arte marziale chiamata kickboxing.</v>
      </c>
    </row>
    <row r="13809">
      <c r="A13809" s="4" t="s">
        <v>17380</v>
      </c>
      <c r="B13809" s="4" t="s">
        <v>17382</v>
      </c>
      <c r="C13809" s="5" t="str">
        <f>IFERROR(__xludf.DUMMYFUNCTION("GOOGLETRANSLATE(B13809,""en"",""it"")"),"I due uomini calciano e alternati colpi con pugni.")</f>
        <v>I due uomini calciano e alternati colpi con pugni.</v>
      </c>
    </row>
    <row r="13810">
      <c r="A13810" s="4" t="s">
        <v>17383</v>
      </c>
      <c r="B13810" s="4" t="s">
        <v>17384</v>
      </c>
      <c r="C13810" s="5" t="str">
        <f>IFERROR(__xludf.DUMMYFUNCTION("GOOGLETRANSLATE(B13810,""en"",""it"")"),"Una donna sta levigando uno scaffale di libri con una levigatrice.")</f>
        <v>Una donna sta levigando uno scaffale di libri con una levigatrice.</v>
      </c>
    </row>
    <row r="13811">
      <c r="A13811" s="4" t="s">
        <v>17383</v>
      </c>
      <c r="B13811" s="4" t="s">
        <v>17385</v>
      </c>
      <c r="C13811" s="5" t="str">
        <f>IFERROR(__xludf.DUMMYFUNCTION("GOOGLETRANSLATE(B13811,""en"",""it"")"),"Tocca la porzione levigata con la mano.")</f>
        <v>Tocca la porzione levigata con la mano.</v>
      </c>
    </row>
    <row r="13812">
      <c r="A13812" s="4" t="s">
        <v>17383</v>
      </c>
      <c r="B13812" s="4" t="s">
        <v>17386</v>
      </c>
      <c r="C13812" s="5" t="str">
        <f>IFERROR(__xludf.DUMMYFUNCTION("GOOGLETRANSLATE(B13812,""en"",""it"")"),"Si trova accanto allo scaffale a parlare.")</f>
        <v>Si trova accanto allo scaffale a parlare.</v>
      </c>
    </row>
    <row r="13813">
      <c r="A13813" s="4" t="s">
        <v>17387</v>
      </c>
      <c r="B13813" s="4" t="s">
        <v>17388</v>
      </c>
      <c r="C13813" s="5" t="str">
        <f>IFERROR(__xludf.DUMMYFUNCTION("GOOGLETRANSLATE(B13813,""en"",""it"")"),"Una persona viene vista camminare per una stanza che trasportava una scopa.")</f>
        <v>Una persona viene vista camminare per una stanza che trasportava una scopa.</v>
      </c>
    </row>
    <row r="13814">
      <c r="A13814" s="4" t="s">
        <v>17387</v>
      </c>
      <c r="B13814" s="4" t="s">
        <v>17389</v>
      </c>
      <c r="C13814" s="5" t="str">
        <f>IFERROR(__xludf.DUMMYFUNCTION("GOOGLETRANSLATE(B13814,""en"",""it"")"),"Lo spinge lungo il muro accanto a lei.")</f>
        <v>Lo spinge lungo il muro accanto a lei.</v>
      </c>
    </row>
    <row r="13815">
      <c r="A13815" s="4" t="s">
        <v>17387</v>
      </c>
      <c r="B13815" s="4" t="s">
        <v>17390</v>
      </c>
      <c r="C13815" s="5" t="str">
        <f>IFERROR(__xludf.DUMMYFUNCTION("GOOGLETRANSLATE(B13815,""en"",""it"")"),"Alla fine si gira e lo spinge indietro.")</f>
        <v>Alla fine si gira e lo spinge indietro.</v>
      </c>
    </row>
    <row r="13816">
      <c r="A13816" s="4" t="s">
        <v>17391</v>
      </c>
      <c r="B13816" s="6" t="s">
        <v>17392</v>
      </c>
      <c r="C13816" s="5" t="str">
        <f>IFERROR(__xludf.DUMMYFUNCTION("GOOGLETRANSLATE(B13816,""en"",""it"")"),"Una donna è vista fuori giocando a una palla da plolleguità da spiaggia che lo serve sopra la rete al rallentatore.")</f>
        <v>Una donna è vista fuori giocando a una palla da plolleguità da spiaggia che lo serve sopra la rete al rallentatore.</v>
      </c>
    </row>
    <row r="13817">
      <c r="A13817" s="4" t="s">
        <v>17391</v>
      </c>
      <c r="B13817" s="4" t="s">
        <v>17393</v>
      </c>
      <c r="C13817" s="5" t="str">
        <f>IFERROR(__xludf.DUMMYFUNCTION("GOOGLETRANSLATE(B13817,""en"",""it"")"),"Rendela in rete e l'altra squadra di due palle è in grado di riportarlo in rete.")</f>
        <v>Rendela in rete e l'altra squadra di due palle è in grado di riportarlo in rete.</v>
      </c>
    </row>
    <row r="13818">
      <c r="A13818" s="4" t="s">
        <v>17391</v>
      </c>
      <c r="B13818" s="6" t="s">
        <v>17394</v>
      </c>
      <c r="C13818" s="5" t="str">
        <f>IFERROR(__xludf.DUMMYFUNCTION("GOOGLETRANSLATE(B13818,""en"",""it"")"),"Entrambe le coppie di persone continuano a giocare e alla fine la squadra con l'uomo e la donna nella squadra finiscono per vincere.")</f>
        <v>Entrambe le coppie di persone continuano a giocare e alla fine la squadra con l'uomo e la donna nella squadra finiscono per vincere.</v>
      </c>
    </row>
    <row r="13819">
      <c r="A13819" s="4" t="s">
        <v>17395</v>
      </c>
      <c r="B13819" s="4" t="s">
        <v>17396</v>
      </c>
      <c r="C13819" s="5" t="str">
        <f>IFERROR(__xludf.DUMMYFUNCTION("GOOGLETRANSLATE(B13819,""en"",""it"")"),"Una ginnasta è vista in piedi davanti a una grande trave e alza le mani in aria.")</f>
        <v>Una ginnasta è vista in piedi davanti a una grande trave e alza le mani in aria.</v>
      </c>
    </row>
    <row r="13820">
      <c r="A13820" s="4" t="s">
        <v>17395</v>
      </c>
      <c r="B13820" s="6" t="s">
        <v>17397</v>
      </c>
      <c r="C13820" s="5" t="str">
        <f>IFERROR(__xludf.DUMMYFUNCTION("GOOGLETRANSLATE(B13820,""en"",""it"")"),"Quindi esegue una routine di ginnaste mentre si fa oscillare intorno al bar e termina saltando giù.")</f>
        <v>Quindi esegue una routine di ginnaste mentre si fa oscillare intorno al bar e termina saltando giù.</v>
      </c>
    </row>
    <row r="13821">
      <c r="A13821" s="4" t="s">
        <v>17398</v>
      </c>
      <c r="B13821" s="4" t="s">
        <v>17399</v>
      </c>
      <c r="C13821" s="5" t="str">
        <f>IFERROR(__xludf.DUMMYFUNCTION("GOOGLETRANSLATE(B13821,""en"",""it"")"),"Un bambino è visto seduto accanto a una vasca e si piega sul lato.")</f>
        <v>Un bambino è visto seduto accanto a una vasca e si piega sul lato.</v>
      </c>
    </row>
    <row r="13822">
      <c r="A13822" s="4" t="s">
        <v>17398</v>
      </c>
      <c r="B13822" s="4" t="s">
        <v>17400</v>
      </c>
      <c r="C13822" s="5" t="str">
        <f>IFERROR(__xludf.DUMMYFUNCTION("GOOGLETRANSLATE(B13822,""en"",""it"")"),"Una persona le parla sul lato mentre guarda indietro alla telecamera.")</f>
        <v>Una persona le parla sul lato mentre guarda indietro alla telecamera.</v>
      </c>
    </row>
    <row r="13823">
      <c r="A13823" s="4" t="s">
        <v>17398</v>
      </c>
      <c r="B13823" s="4" t="s">
        <v>17401</v>
      </c>
      <c r="C13823" s="5" t="str">
        <f>IFERROR(__xludf.DUMMYFUNCTION("GOOGLETRANSLATE(B13823,""en"",""it"")"),"Si piega ulteriormente nel lavandino, quindi torna alla fotocamera per guardare.")</f>
        <v>Si piega ulteriormente nel lavandino, quindi torna alla fotocamera per guardare.</v>
      </c>
    </row>
    <row r="13824">
      <c r="A13824" s="4" t="s">
        <v>17402</v>
      </c>
      <c r="B13824" s="4" t="s">
        <v>17403</v>
      </c>
      <c r="C13824" s="5" t="str">
        <f>IFERROR(__xludf.DUMMYFUNCTION("GOOGLETRANSLATE(B13824,""en"",""it"")"),"Una telecamera si ingrandisce su una persona che suona la chitarra e conduce in un uomo che parla.")</f>
        <v>Una telecamera si ingrandisce su una persona che suona la chitarra e conduce in un uomo che parla.</v>
      </c>
    </row>
    <row r="13825">
      <c r="A13825" s="4" t="s">
        <v>17402</v>
      </c>
      <c r="B13825" s="6" t="s">
        <v>17404</v>
      </c>
      <c r="C13825" s="5" t="str">
        <f>IFERROR(__xludf.DUMMYFUNCTION("GOOGLETRANSLATE(B13825,""en"",""it"")"),"Vengono mostrati diversi scatti di persone che suonano chitarra e chitarre sui muri, nonché lo stesso uomo che parla alla telecamera.")</f>
        <v>Vengono mostrati diversi scatti di persone che suonano chitarra e chitarre sui muri, nonché lo stesso uomo che parla alla telecamera.</v>
      </c>
    </row>
    <row r="13826">
      <c r="A13826" s="4" t="s">
        <v>17405</v>
      </c>
      <c r="B13826" s="4" t="s">
        <v>17406</v>
      </c>
      <c r="C13826" s="5" t="str">
        <f>IFERROR(__xludf.DUMMYFUNCTION("GOOGLETRANSLATE(B13826,""en"",""it"")"),"Vediamo un uomo che salta su paletti di salto.")</f>
        <v>Vediamo un uomo che salta su paletti di salto.</v>
      </c>
    </row>
    <row r="13827">
      <c r="A13827" s="4" t="s">
        <v>17405</v>
      </c>
      <c r="B13827" s="4" t="s">
        <v>17407</v>
      </c>
      <c r="C13827" s="5" t="str">
        <f>IFERROR(__xludf.DUMMYFUNCTION("GOOGLETRANSLATE(B13827,""en"",""it"")"),"Vediamo una persona seduta nel cortile.")</f>
        <v>Vediamo una persona seduta nel cortile.</v>
      </c>
    </row>
    <row r="13828">
      <c r="A13828" s="4" t="s">
        <v>17405</v>
      </c>
      <c r="B13828" s="4" t="s">
        <v>17408</v>
      </c>
      <c r="C13828" s="5" t="str">
        <f>IFERROR(__xludf.DUMMYFUNCTION("GOOGLETRANSLATE(B13828,""en"",""it"")"),"L'uomo sulle passioni si ferma e si gira verso la telecamera.")</f>
        <v>L'uomo sulle passioni si ferma e si gira verso la telecamera.</v>
      </c>
    </row>
    <row r="13829">
      <c r="A13829" s="4" t="s">
        <v>17409</v>
      </c>
      <c r="B13829" s="6" t="s">
        <v>17410</v>
      </c>
      <c r="C13829" s="5" t="str">
        <f>IFERROR(__xludf.DUMMYFUNCTION("GOOGLETRANSLATE(B13829,""en"",""it"")"),"Vengono mostrati spettacoli a mozione di persone che cavalcano cavalli su salti che conducono a una donna che parla alla telecamera con un cavallo dietro di lei.")</f>
        <v>Vengono mostrati spettacoli a mozione di persone che cavalcano cavalli su salti che conducono a una donna che parla alla telecamera con un cavallo dietro di lei.</v>
      </c>
    </row>
    <row r="13830">
      <c r="A13830" s="4" t="s">
        <v>17409</v>
      </c>
      <c r="B13830" s="6" t="s">
        <v>17411</v>
      </c>
      <c r="C13830" s="5" t="str">
        <f>IFERROR(__xludf.DUMMYFUNCTION("GOOGLETRANSLATE(B13830,""en"",""it"")"),"La donna indossa quindi un guanto e spazzola il cavallo mentre la cattura cattura i suoi movimenti e il cavallo.")</f>
        <v>La donna indossa quindi un guanto e spazzola il cavallo mentre la cattura cattura i suoi movimenti e il cavallo.</v>
      </c>
    </row>
    <row r="13831">
      <c r="A13831" s="4" t="s">
        <v>17409</v>
      </c>
      <c r="B13831" s="4" t="s">
        <v>17412</v>
      </c>
      <c r="C13831" s="5" t="str">
        <f>IFERROR(__xludf.DUMMYFUNCTION("GOOGLETRANSLATE(B13831,""en"",""it"")"),"Spazzola la parte posteriore della coda e finisce intorno alla sua pancia.")</f>
        <v>Spazzola la parte posteriore della coda e finisce intorno alla sua pancia.</v>
      </c>
    </row>
    <row r="13832">
      <c r="A13832" s="4" t="s">
        <v>17413</v>
      </c>
      <c r="B13832" s="4" t="s">
        <v>17414</v>
      </c>
      <c r="C13832" s="5" t="str">
        <f>IFERROR(__xludf.DUMMYFUNCTION("GOOGLETRANSLATE(B13832,""en"",""it"")"),"Le barbabietole vengono tagliate su un blocco.")</f>
        <v>Le barbabietole vengono tagliate su un blocco.</v>
      </c>
    </row>
    <row r="13833">
      <c r="A13833" s="4" t="s">
        <v>17413</v>
      </c>
      <c r="B13833" s="4" t="s">
        <v>17415</v>
      </c>
      <c r="C13833" s="5" t="str">
        <f>IFERROR(__xludf.DUMMYFUNCTION("GOOGLETRANSLATE(B13833,""en"",""it"")"),"Sono messi in una padella e coperti d'acqua.")</f>
        <v>Sono messi in una padella e coperti d'acqua.</v>
      </c>
    </row>
    <row r="13834">
      <c r="A13834" s="4" t="s">
        <v>17413</v>
      </c>
      <c r="B13834" s="4" t="s">
        <v>17416</v>
      </c>
      <c r="C13834" s="5" t="str">
        <f>IFERROR(__xludf.DUMMYFUNCTION("GOOGLETRANSLATE(B13834,""en"",""it"")"),"Kale viene tagliato su un tagliere.")</f>
        <v>Kale viene tagliato su un tagliere.</v>
      </c>
    </row>
    <row r="13835">
      <c r="A13835" s="4" t="s">
        <v>17413</v>
      </c>
      <c r="B13835" s="4" t="s">
        <v>17417</v>
      </c>
      <c r="C13835" s="5" t="str">
        <f>IFERROR(__xludf.DUMMYFUNCTION("GOOGLETRANSLATE(B13835,""en"",""it"")"),"Viene lanciato in sale per alcuni minuti.")</f>
        <v>Viene lanciato in sale per alcuni minuti.</v>
      </c>
    </row>
    <row r="13836">
      <c r="A13836" s="4" t="s">
        <v>17413</v>
      </c>
      <c r="B13836" s="4" t="s">
        <v>17418</v>
      </c>
      <c r="C13836" s="5" t="str">
        <f>IFERROR(__xludf.DUMMYFUNCTION("GOOGLETRANSLATE(B13836,""en"",""it"")"),"Le carote sono grattugiate sul cavolo.")</f>
        <v>Le carote sono grattugiate sul cavolo.</v>
      </c>
    </row>
    <row r="13837">
      <c r="A13837" s="4" t="s">
        <v>17413</v>
      </c>
      <c r="B13837" s="4" t="s">
        <v>17419</v>
      </c>
      <c r="C13837" s="5" t="str">
        <f>IFERROR(__xludf.DUMMYFUNCTION("GOOGLETRANSLATE(B13837,""en"",""it"")"),"Un pomodoro è a dadini e mescolati con condimento.")</f>
        <v>Un pomodoro è a dadini e mescolati con condimento.</v>
      </c>
    </row>
    <row r="13838">
      <c r="A13838" s="4" t="s">
        <v>17413</v>
      </c>
      <c r="B13838" s="4" t="s">
        <v>17420</v>
      </c>
      <c r="C13838" s="5" t="str">
        <f>IFERROR(__xludf.DUMMYFUNCTION("GOOGLETRANSLATE(B13838,""en"",""it"")"),"Questo viene quindi versato sul cavolo.")</f>
        <v>Questo viene quindi versato sul cavolo.</v>
      </c>
    </row>
    <row r="13839">
      <c r="A13839" s="4" t="s">
        <v>17413</v>
      </c>
      <c r="B13839" s="4" t="s">
        <v>17421</v>
      </c>
      <c r="C13839" s="5" t="str">
        <f>IFERROR(__xludf.DUMMYFUNCTION("GOOGLETRANSLATE(B13839,""en"",""it"")"),"Un uomo prende un boccone dell'insalata.")</f>
        <v>Un uomo prende un boccone dell'insalata.</v>
      </c>
    </row>
    <row r="13840">
      <c r="A13840" s="4" t="s">
        <v>17422</v>
      </c>
      <c r="B13840" s="4" t="s">
        <v>17423</v>
      </c>
      <c r="C13840" s="5" t="str">
        <f>IFERROR(__xludf.DUMMYFUNCTION("GOOGLETRANSLATE(B13840,""en"",""it"")"),"Una persona viene vista muoversi in movimento veloce disimballare una borsa e mettere insieme parti di una gomma.")</f>
        <v>Una persona viene vista muoversi in movimento veloce disimballare una borsa e mettere insieme parti di una gomma.</v>
      </c>
    </row>
    <row r="13841">
      <c r="A13841" s="4" t="s">
        <v>17422</v>
      </c>
      <c r="B13841" s="6" t="s">
        <v>17424</v>
      </c>
      <c r="C13841" s="5" t="str">
        <f>IFERROR(__xludf.DUMMYFUNCTION("GOOGLETRANSLATE(B13841,""en"",""it"")"),"Molte persone si fermano a guardare in disparte mentre l'uomo continua a costruire la bici e finisce impacchettando tutto e tenendo le braccia mentre sorride.")</f>
        <v>Molte persone si fermano a guardare in disparte mentre l'uomo continua a costruire la bici e finisce impacchettando tutto e tenendo le braccia mentre sorride.</v>
      </c>
    </row>
    <row r="13842">
      <c r="A13842" s="4" t="s">
        <v>17425</v>
      </c>
      <c r="B13842" s="4" t="s">
        <v>17426</v>
      </c>
      <c r="C13842" s="5" t="str">
        <f>IFERROR(__xludf.DUMMYFUNCTION("GOOGLETRANSLATE(B13842,""en"",""it"")"),"Una donna si arrampica sul retro di un furgone con altre persone.")</f>
        <v>Una donna si arrampica sul retro di un furgone con altre persone.</v>
      </c>
    </row>
    <row r="13843">
      <c r="A13843" s="4" t="s">
        <v>17425</v>
      </c>
      <c r="B13843" s="4" t="s">
        <v>17427</v>
      </c>
      <c r="C13843" s="5" t="str">
        <f>IFERROR(__xludf.DUMMYFUNCTION("GOOGLETRANSLATE(B13843,""en"",""it"")"),"Diversi uomini sono insieme in una linea prima di vedere una persona in tuta da gorilla.")</f>
        <v>Diversi uomini sono insieme in una linea prima di vedere una persona in tuta da gorilla.</v>
      </c>
    </row>
    <row r="13844">
      <c r="A13844" s="4" t="s">
        <v>17425</v>
      </c>
      <c r="B13844" s="6" t="s">
        <v>17428</v>
      </c>
      <c r="C13844" s="5" t="str">
        <f>IFERROR(__xludf.DUMMYFUNCTION("GOOGLETRANSLATE(B13844,""en"",""it"")"),"Molte persone ballano, cadono dalle skateboard e eseguono vari trucchi come camminare sul filo del filo del filo del filo del filo del filo del filo del filo del filo del filo del filo del filo del filo del filo")</f>
        <v>Molte persone ballano, cadono dalle skateboard e eseguono vari trucchi come camminare sul filo del filo del filo del filo del filo del filo del filo del filo del filo del filo del filo del filo del filo del filo</v>
      </c>
    </row>
    <row r="13845">
      <c r="A13845" s="4" t="s">
        <v>17425</v>
      </c>
      <c r="B13845" s="4" t="s">
        <v>17429</v>
      </c>
      <c r="C13845" s="5" t="str">
        <f>IFERROR(__xludf.DUMMYFUNCTION("GOOGLETRANSLATE(B13845,""en"",""it"")"),"Il gruppo esce dall'edificio insieme, facendo cartelli e volti alla telecamera.")</f>
        <v>Il gruppo esce dall'edificio insieme, facendo cartelli e volti alla telecamera.</v>
      </c>
    </row>
    <row r="13846">
      <c r="A13846" s="4" t="s">
        <v>17430</v>
      </c>
      <c r="B13846" s="4" t="s">
        <v>17431</v>
      </c>
      <c r="C13846" s="5" t="str">
        <f>IFERROR(__xludf.DUMMYFUNCTION("GOOGLETRANSLATE(B13846,""en"",""it"")"),"Un treno passa su una pista e si vedono diverse auto che guidano su una strada bagnata.")</f>
        <v>Un treno passa su una pista e si vedono diverse auto che guidano su una strada bagnata.</v>
      </c>
    </row>
    <row r="13847">
      <c r="A13847" s="4" t="s">
        <v>17430</v>
      </c>
      <c r="B13847" s="4" t="s">
        <v>17432</v>
      </c>
      <c r="C13847" s="5" t="str">
        <f>IFERROR(__xludf.DUMMYFUNCTION("GOOGLETRANSLATE(B13847,""en"",""it"")"),"Una donna esce e si accovaccia da una gomma a terra.")</f>
        <v>Una donna esce e si accovaccia da una gomma a terra.</v>
      </c>
    </row>
    <row r="13848">
      <c r="A13848" s="4" t="s">
        <v>17430</v>
      </c>
      <c r="B13848" s="4" t="s">
        <v>17433</v>
      </c>
      <c r="C13848" s="5" t="str">
        <f>IFERROR(__xludf.DUMMYFUNCTION("GOOGLETRANSLATE(B13848,""en"",""it"")"),"Usa le attrezzature per sollevare l'auto da terra, quindi rimuove lo pneumatico.")</f>
        <v>Usa le attrezzature per sollevare l'auto da terra, quindi rimuove lo pneumatico.</v>
      </c>
    </row>
    <row r="13849">
      <c r="A13849" s="4" t="s">
        <v>17430</v>
      </c>
      <c r="B13849" s="4" t="s">
        <v>17434</v>
      </c>
      <c r="C13849" s="5" t="str">
        <f>IFERROR(__xludf.DUMMYFUNCTION("GOOGLETRANSLATE(B13849,""en"",""it"")"),"Sostituisce la gomma cattiva con un ricambio.")</f>
        <v>Sostituisce la gomma cattiva con un ricambio.</v>
      </c>
    </row>
    <row r="13850">
      <c r="A13850" s="4" t="s">
        <v>17430</v>
      </c>
      <c r="B13850" s="4" t="s">
        <v>17435</v>
      </c>
      <c r="C13850" s="5" t="str">
        <f>IFERROR(__xludf.DUMMYFUNCTION("GOOGLETRANSLATE(B13850,""en"",""it"")"),"Quindi mette via la sua attrezzatura e dà un pollice in su prima di allontanarsi in sicurezza.")</f>
        <v>Quindi mette via la sua attrezzatura e dà un pollice in su prima di allontanarsi in sicurezza.</v>
      </c>
    </row>
    <row r="13851">
      <c r="A13851" s="4" t="s">
        <v>17436</v>
      </c>
      <c r="B13851" s="4" t="s">
        <v>17437</v>
      </c>
      <c r="C13851" s="5" t="str">
        <f>IFERROR(__xludf.DUMMYFUNCTION("GOOGLETRANSLATE(B13851,""en"",""it"")"),"C'è una persona che sveglia in un lago.")</f>
        <v>C'è una persona che sveglia in un lago.</v>
      </c>
    </row>
    <row r="13852">
      <c r="A13852" s="4" t="s">
        <v>17436</v>
      </c>
      <c r="B13852" s="4" t="s">
        <v>17438</v>
      </c>
      <c r="C13852" s="5" t="str">
        <f>IFERROR(__xludf.DUMMYFUNCTION("GOOGLETRANSLATE(B13852,""en"",""it"")"),"Viene tirato da una corda rossa che è fissata a un battello a vapore.")</f>
        <v>Viene tirato da una corda rossa che è fissata a un battello a vapore.</v>
      </c>
    </row>
    <row r="13853">
      <c r="A13853" s="4" t="s">
        <v>17436</v>
      </c>
      <c r="B13853" s="4" t="s">
        <v>17439</v>
      </c>
      <c r="C13853" s="5" t="str">
        <f>IFERROR(__xludf.DUMMYFUNCTION("GOOGLETRANSLATE(B13853,""en"",""it"")"),"Sta andando a una velocità costante dietro il battello a vapore.")</f>
        <v>Sta andando a una velocità costante dietro il battello a vapore.</v>
      </c>
    </row>
    <row r="13854">
      <c r="A13854" s="4" t="s">
        <v>17440</v>
      </c>
      <c r="B13854" s="6" t="s">
        <v>17441</v>
      </c>
      <c r="C13854" s="5" t="str">
        <f>IFERROR(__xludf.DUMMYFUNCTION("GOOGLETRANSLATE(B13854,""en"",""it"")"),"Una donna viene vista guidare su un equipaggiamento da esercizio seguito da diversi colpi di regolazione dell'attrezzatura e spostandola.")</f>
        <v>Una donna viene vista guidare su un equipaggiamento da esercizio seguito da diversi colpi di regolazione dell'attrezzatura e spostandola.</v>
      </c>
    </row>
    <row r="13855">
      <c r="A13855" s="4" t="s">
        <v>17440</v>
      </c>
      <c r="B13855" s="4" t="s">
        <v>17442</v>
      </c>
      <c r="C13855" s="5" t="str">
        <f>IFERROR(__xludf.DUMMYFUNCTION("GOOGLETRANSLATE(B13855,""en"",""it"")"),"Vengono mostrati altri colpi che cavalca l'attrezzatura e cambia le impostazioni sul davanti.")</f>
        <v>Vengono mostrati altri colpi che cavalca l'attrezzatura e cambia le impostazioni sul davanti.</v>
      </c>
    </row>
    <row r="13856">
      <c r="A13856" s="4" t="s">
        <v>17443</v>
      </c>
      <c r="B13856" s="6" t="s">
        <v>17444</v>
      </c>
      <c r="C13856" s="5" t="str">
        <f>IFERROR(__xludf.DUMMYFUNCTION("GOOGLETRANSLATE(B13856,""en"",""it"")"),"Una donna anziana viene mostrata seduta su un passo anteriore che mette le calze con un cagnolino in piedi vicino a lei.")</f>
        <v>Una donna anziana viene mostrata seduta su un passo anteriore che mette le calze con un cagnolino in piedi vicino a lei.</v>
      </c>
    </row>
    <row r="13857">
      <c r="A13857" s="4" t="s">
        <v>17443</v>
      </c>
      <c r="B13857" s="4" t="s">
        <v>17445</v>
      </c>
      <c r="C13857" s="5" t="str">
        <f>IFERROR(__xludf.DUMMYFUNCTION("GOOGLETRANSLATE(B13857,""en"",""it"")"),"Quindi mette la scarpa sul piede e il cane si guarda in lontananza.")</f>
        <v>Quindi mette la scarpa sul piede e il cane si guarda in lontananza.</v>
      </c>
    </row>
    <row r="13858">
      <c r="A13858" s="4" t="s">
        <v>17446</v>
      </c>
      <c r="B13858" s="4" t="s">
        <v>17447</v>
      </c>
      <c r="C13858" s="5" t="str">
        <f>IFERROR(__xludf.DUMMYFUNCTION("GOOGLETRANSLATE(B13858,""en"",""it"")"),"Una pentola mostra ingredienti per preparare la pasta per insalata mentre parla.")</f>
        <v>Una pentola mostra ingredienti per preparare la pasta per insalata mentre parla.</v>
      </c>
    </row>
    <row r="13859">
      <c r="A13859" s="4" t="s">
        <v>17446</v>
      </c>
      <c r="B13859" s="4" t="s">
        <v>17448</v>
      </c>
      <c r="C13859" s="5" t="str">
        <f>IFERROR(__xludf.DUMMYFUNCTION("GOOGLETRANSLATE(B13859,""en"",""it"")"),"Il fornello mette la pasta su un contenitore quadrato e aggiunge verdure.")</f>
        <v>Il fornello mette la pasta su un contenitore quadrato e aggiunge verdure.</v>
      </c>
    </row>
    <row r="13860">
      <c r="A13860" s="4" t="s">
        <v>17446</v>
      </c>
      <c r="B13860" s="4" t="s">
        <v>17449</v>
      </c>
      <c r="C13860" s="5" t="str">
        <f>IFERROR(__xludf.DUMMYFUNCTION("GOOGLETRANSLATE(B13860,""en"",""it"")"),"Quindi, il fornello aggiunge formaggio, brodo, panna bianca, sale e poi lo mescola.")</f>
        <v>Quindi, il fornello aggiunge formaggio, brodo, panna bianca, sale e poi lo mescola.</v>
      </c>
    </row>
    <row r="13861">
      <c r="A13861" s="4" t="s">
        <v>17446</v>
      </c>
      <c r="B13861" s="4" t="s">
        <v>17450</v>
      </c>
      <c r="C13861" s="5" t="str">
        <f>IFERROR(__xludf.DUMMYFUNCTION("GOOGLETRANSLATE(B13861,""en"",""it"")"),"L'uomo serve la pasta con un pezzo di pomodoro e assaggia l'insalata.")</f>
        <v>L'uomo serve la pasta con un pezzo di pomodoro e assaggia l'insalata.</v>
      </c>
    </row>
    <row r="13862">
      <c r="A13862" s="4" t="s">
        <v>17451</v>
      </c>
      <c r="B13862" s="4" t="s">
        <v>17452</v>
      </c>
      <c r="C13862" s="5" t="str">
        <f>IFERROR(__xludf.DUMMYFUNCTION("GOOGLETRANSLATE(B13862,""en"",""it"")"),"Una donna atletica è vista in piedi pronto tenendo un palo tra le mani e guardando giù e schiena.")</f>
        <v>Una donna atletica è vista in piedi pronto tenendo un palo tra le mani e guardando giù e schiena.</v>
      </c>
    </row>
    <row r="13863">
      <c r="A13863" s="4" t="s">
        <v>17451</v>
      </c>
      <c r="B13863" s="4" t="s">
        <v>17453</v>
      </c>
      <c r="C13863" s="5" t="str">
        <f>IFERROR(__xludf.DUMMYFUNCTION("GOOGLETRANSLATE(B13863,""en"",""it"")"),"Quindi tiene il bastone e la pole si volge su un tappetino.")</f>
        <v>Quindi tiene il bastone e la pole si volge su un tappetino.</v>
      </c>
    </row>
    <row r="13864">
      <c r="A13864" s="4" t="s">
        <v>17451</v>
      </c>
      <c r="B13864" s="4" t="s">
        <v>17454</v>
      </c>
      <c r="C13864" s="5" t="str">
        <f>IFERROR(__xludf.DUMMYFUNCTION("GOOGLETRANSLATE(B13864,""en"",""it"")"),"Accenda la folla e poi si allontana con gli altri che si preparano intorno a lei.")</f>
        <v>Accenda la folla e poi si allontana con gli altri che si preparano intorno a lei.</v>
      </c>
    </row>
    <row r="13865">
      <c r="A13865" s="4" t="s">
        <v>17455</v>
      </c>
      <c r="B13865" s="4" t="s">
        <v>17456</v>
      </c>
      <c r="C13865" s="5" t="str">
        <f>IFERROR(__xludf.DUMMYFUNCTION("GOOGLETRANSLATE(B13865,""en"",""it"")"),"Un uomo è seduto a gambe incrociate guardando uno spettacolo.")</f>
        <v>Un uomo è seduto a gambe incrociate guardando uno spettacolo.</v>
      </c>
    </row>
    <row r="13866">
      <c r="A13866" s="4" t="s">
        <v>17455</v>
      </c>
      <c r="B13866" s="4" t="s">
        <v>17457</v>
      </c>
      <c r="C13866" s="5" t="str">
        <f>IFERROR(__xludf.DUMMYFUNCTION("GOOGLETRANSLATE(B13866,""en"",""it"")"),"Un uomo si inginocchia di fronte alla folla, parlando.")</f>
        <v>Un uomo si inginocchia di fronte alla folla, parlando.</v>
      </c>
    </row>
    <row r="13867">
      <c r="A13867" s="4" t="s">
        <v>17455</v>
      </c>
      <c r="B13867" s="4" t="s">
        <v>17458</v>
      </c>
      <c r="C13867" s="5" t="str">
        <f>IFERROR(__xludf.DUMMYFUNCTION("GOOGLETRANSLATE(B13867,""en"",""it"")"),"Continua a parlare mentre la folla è estasiata, ascoltando ogni sua parola.")</f>
        <v>Continua a parlare mentre la folla è estasiata, ascoltando ogni sua parola.</v>
      </c>
    </row>
    <row r="13868">
      <c r="A13868" s="4" t="s">
        <v>17459</v>
      </c>
      <c r="B13868" s="6" t="s">
        <v>17460</v>
      </c>
      <c r="C13868" s="5" t="str">
        <f>IFERROR(__xludf.DUMMYFUNCTION("GOOGLETRANSLATE(B13868,""en"",""it"")"),"Viene mostrata una clip del top ingranaggio dello spettacolo con un uomo seduto in un'auto che parla alla telecamera e un altro che parla alla fotocamera in un'auto diversa.")</f>
        <v>Viene mostrata una clip del top ingranaggio dello spettacolo con un uomo seduto in un'auto che parla alla telecamera e un altro che parla alla fotocamera in un'auto diversa.</v>
      </c>
    </row>
    <row r="13869">
      <c r="A13869" s="4" t="s">
        <v>17459</v>
      </c>
      <c r="B13869" s="4" t="s">
        <v>17461</v>
      </c>
      <c r="C13869" s="5" t="str">
        <f>IFERROR(__xludf.DUMMYFUNCTION("GOOGLETRANSLATE(B13869,""en"",""it"")"),"Due uomini parlano di Walkie Talkies sul lato e gli uomini guidano le macchine l'una sull'altra.")</f>
        <v>Due uomini parlano di Walkie Talkies sul lato e gli uomini guidano le macchine l'una sull'altra.</v>
      </c>
    </row>
    <row r="13870">
      <c r="A13870" s="4" t="s">
        <v>17459</v>
      </c>
      <c r="B13870" s="4" t="s">
        <v>17462</v>
      </c>
      <c r="C13870" s="5" t="str">
        <f>IFERROR(__xludf.DUMMYFUNCTION("GOOGLETRANSLATE(B13870,""en"",""it"")"),"Uno spinge indietro la macchina e gli uomini escono e si parlano.")</f>
        <v>Uno spinge indietro la macchina e gli uomini escono e si parlano.</v>
      </c>
    </row>
    <row r="13871">
      <c r="A13871" s="4" t="s">
        <v>17459</v>
      </c>
      <c r="B13871" s="6" t="s">
        <v>17463</v>
      </c>
      <c r="C13871" s="5" t="str">
        <f>IFERROR(__xludf.DUMMYFUNCTION("GOOGLETRANSLATE(B13871,""en"",""it"")"),"Un'altra auto è testare con gli uomini che parlano alla telecamera e respinge l'auto mentre altri guardano increduli.")</f>
        <v>Un'altra auto è testare con gli uomini che parlano alla telecamera e respinge l'auto mentre altri guardano increduli.</v>
      </c>
    </row>
    <row r="13872">
      <c r="A13872" s="4" t="s">
        <v>17464</v>
      </c>
      <c r="B13872" s="6" t="s">
        <v>17465</v>
      </c>
      <c r="C13872" s="5" t="str">
        <f>IFERROR(__xludf.DUMMYFUNCTION("GOOGLETRANSLATE(B13872,""en"",""it"")"),"Un giornalista BTRTV visita uno studio e un negozio di cicli soul, intervista un istruttore di cicli soul e prende una classe di ciclo soul.")</f>
        <v>Un giornalista BTRTV visita uno studio e un negozio di cicli soul, intervista un istruttore di cicli soul e prende una classe di ciclo soul.</v>
      </c>
    </row>
    <row r="13873">
      <c r="A13873" s="4" t="s">
        <v>17464</v>
      </c>
      <c r="B13873" s="6" t="s">
        <v>17466</v>
      </c>
      <c r="C13873" s="5" t="str">
        <f>IFERROR(__xludf.DUMMYFUNCTION("GOOGLETRANSLATE(B13873,""en"",""it"")"),"Un giornalista in possesso di un microfono, si trova al di fuori di un negozio di cicli dell'anima che parla alla telecamera, quindi entra nel negozio e intervista un istruttore di cicli dell'anima.")</f>
        <v>Un giornalista in possesso di un microfono, si trova al di fuori di un negozio di cicli dell'anima che parla alla telecamera, quindi entra nel negozio e intervista un istruttore di cicli dell'anima.</v>
      </c>
    </row>
    <row r="13874">
      <c r="A13874" s="4" t="s">
        <v>17464</v>
      </c>
      <c r="B13874" s="6" t="s">
        <v>17467</v>
      </c>
      <c r="C13874" s="5" t="str">
        <f>IFERROR(__xludf.DUMMYFUNCTION("GOOGLETRANSLATE(B13874,""en"",""it"")"),"Il giornalista quindi cambia vestiti e prende una classe di ciclo dell'anima intervallata dal video delle lezioni di ciclo dell'anima a LED dell'istruttore.")</f>
        <v>Il giornalista quindi cambia vestiti e prende una classe di ciclo dell'anima intervallata dal video delle lezioni di ciclo dell'anima a LED dell'istruttore.</v>
      </c>
    </row>
    <row r="13875">
      <c r="A13875" s="4" t="s">
        <v>17464</v>
      </c>
      <c r="B13875" s="6" t="s">
        <v>17468</v>
      </c>
      <c r="C13875" s="5" t="str">
        <f>IFERROR(__xludf.DUMMYFUNCTION("GOOGLETRANSLATE(B13875,""en"",""it"")"),"Il giornalista torna a intervistare l'istruttore del ciclo dell'anima con un colpo finale di file di abbigliamento appeso nel negozio di cicli dell'anima.")</f>
        <v>Il giornalista torna a intervistare l'istruttore del ciclo dell'anima con un colpo finale di file di abbigliamento appeso nel negozio di cicli dell'anima.</v>
      </c>
    </row>
    <row r="13876">
      <c r="A13876" s="4" t="s">
        <v>17469</v>
      </c>
      <c r="B13876" s="4" t="s">
        <v>17470</v>
      </c>
      <c r="C13876" s="5" t="str">
        <f>IFERROR(__xludf.DUMMYFUNCTION("GOOGLETRANSLATE(B13876,""en"",""it"")"),"Viene mostrata una partita di scherma olimpica.")</f>
        <v>Viene mostrata una partita di scherma olimpica.</v>
      </c>
    </row>
    <row r="13877">
      <c r="A13877" s="4" t="s">
        <v>17469</v>
      </c>
      <c r="B13877" s="4" t="s">
        <v>17471</v>
      </c>
      <c r="C13877" s="5" t="str">
        <f>IFERROR(__xludf.DUMMYFUNCTION("GOOGLETRANSLATE(B13877,""en"",""it"")"),"Ogni lato segna punti e quindi viene mostrata una nuova partita.")</f>
        <v>Ogni lato segna punti e quindi viene mostrata una nuova partita.</v>
      </c>
    </row>
    <row r="13878">
      <c r="A13878" s="4" t="s">
        <v>17472</v>
      </c>
      <c r="B13878" s="4" t="s">
        <v>17473</v>
      </c>
      <c r="C13878" s="5" t="str">
        <f>IFERROR(__xludf.DUMMYFUNCTION("GOOGLETRANSLATE(B13878,""en"",""it"")"),"Vediamo una schermata del titolo su Black.")</f>
        <v>Vediamo una schermata del titolo su Black.</v>
      </c>
    </row>
    <row r="13879">
      <c r="A13879" s="4" t="s">
        <v>17472</v>
      </c>
      <c r="B13879" s="4" t="s">
        <v>17474</v>
      </c>
      <c r="C13879" s="5" t="str">
        <f>IFERROR(__xludf.DUMMYFUNCTION("GOOGLETRANSLATE(B13879,""en"",""it"")"),"Vediamo quindi una donna che pattina in una strada in una città.")</f>
        <v>Vediamo quindi una donna che pattina in una strada in una città.</v>
      </c>
    </row>
    <row r="13880">
      <c r="A13880" s="4" t="s">
        <v>17472</v>
      </c>
      <c r="B13880" s="4" t="s">
        <v>17475</v>
      </c>
      <c r="C13880" s="5" t="str">
        <f>IFERROR(__xludf.DUMMYFUNCTION("GOOGLETRANSLATE(B13880,""en"",""it"")"),"Le auto iniziano a passare la signora.")</f>
        <v>Le auto iniziano a passare la signora.</v>
      </c>
    </row>
    <row r="13881">
      <c r="A13881" s="4" t="s">
        <v>17472</v>
      </c>
      <c r="B13881" s="4" t="s">
        <v>17476</v>
      </c>
      <c r="C13881" s="5" t="str">
        <f>IFERROR(__xludf.DUMMYFUNCTION("GOOGLETRANSLATE(B13881,""en"",""it"")"),"La signora passa auto parcheggiate.")</f>
        <v>La signora passa auto parcheggiate.</v>
      </c>
    </row>
    <row r="13882">
      <c r="A13882" s="4" t="s">
        <v>17472</v>
      </c>
      <c r="B13882" s="4" t="s">
        <v>17477</v>
      </c>
      <c r="C13882" s="5" t="str">
        <f>IFERROR(__xludf.DUMMYFUNCTION("GOOGLETRANSLATE(B13882,""en"",""it"")"),"La signora parla mentre si trova di fronte a una porta dell'edificio.")</f>
        <v>La signora parla mentre si trova di fronte a una porta dell'edificio.</v>
      </c>
    </row>
    <row r="13883">
      <c r="A13883" s="4" t="s">
        <v>17472</v>
      </c>
      <c r="B13883" s="4" t="s">
        <v>17478</v>
      </c>
      <c r="C13883" s="5" t="str">
        <f>IFERROR(__xludf.DUMMYFUNCTION("GOOGLETRANSLATE(B13883,""en"",""it"")"),"Parla vicino a un'autostrada.")</f>
        <v>Parla vicino a un'autostrada.</v>
      </c>
    </row>
    <row r="13884">
      <c r="A13884" s="4" t="s">
        <v>17472</v>
      </c>
      <c r="B13884" s="4" t="s">
        <v>17479</v>
      </c>
      <c r="C13884" s="5" t="str">
        <f>IFERROR(__xludf.DUMMYFUNCTION("GOOGLETRANSLATE(B13884,""en"",""it"")"),"Vediamo lo schermo finale su nero.")</f>
        <v>Vediamo lo schermo finale su nero.</v>
      </c>
    </row>
    <row r="13885">
      <c r="A13885" s="4" t="s">
        <v>17480</v>
      </c>
      <c r="B13885" s="4" t="s">
        <v>17481</v>
      </c>
      <c r="C13885" s="5" t="str">
        <f>IFERROR(__xludf.DUMMYFUNCTION("GOOGLETRANSLATE(B13885,""en"",""it"")"),"Un gruppo di ballerini di pancia si posa sul palco.")</f>
        <v>Un gruppo di ballerini di pancia si posa sul palco.</v>
      </c>
    </row>
    <row r="13886">
      <c r="A13886" s="4" t="s">
        <v>17480</v>
      </c>
      <c r="B13886" s="4" t="s">
        <v>17482</v>
      </c>
      <c r="C13886" s="5" t="str">
        <f>IFERROR(__xludf.DUMMYFUNCTION("GOOGLETRANSLATE(B13886,""en"",""it"")"),"Cominciano a ballare, turbinando le loro sciarpe attorno ai loro corpi mentre ballano.")</f>
        <v>Cominciano a ballare, turbinando le loro sciarpe attorno ai loro corpi mentre ballano.</v>
      </c>
    </row>
    <row r="13887">
      <c r="A13887" s="4" t="s">
        <v>17480</v>
      </c>
      <c r="B13887" s="6" t="s">
        <v>17483</v>
      </c>
      <c r="C13887" s="5" t="str">
        <f>IFERROR(__xludf.DUMMYFUNCTION("GOOGLETRANSLATE(B13887,""en"",""it"")"),"Lasciano cadere le sciarpe, concentrandosi esclusivamente sulla danza prima di cadere a terra, quindi salire e ballare fuori dal palco.")</f>
        <v>Lasciano cadere le sciarpe, concentrandosi esclusivamente sulla danza prima di cadere a terra, quindi salire e ballare fuori dal palco.</v>
      </c>
    </row>
    <row r="13888">
      <c r="A13888" s="4" t="s">
        <v>17484</v>
      </c>
      <c r="B13888" s="4" t="s">
        <v>17485</v>
      </c>
      <c r="C13888" s="5" t="str">
        <f>IFERROR(__xludf.DUMMYFUNCTION("GOOGLETRANSLATE(B13888,""en"",""it"")"),"Un uomo sta rastrellando foglie nel suo cortile.")</f>
        <v>Un uomo sta rastrellando foglie nel suo cortile.</v>
      </c>
    </row>
    <row r="13889">
      <c r="A13889" s="4" t="s">
        <v>17484</v>
      </c>
      <c r="B13889" s="4" t="s">
        <v>17486</v>
      </c>
      <c r="C13889" s="5" t="str">
        <f>IFERROR(__xludf.DUMMYFUNCTION("GOOGLETRANSLATE(B13889,""en"",""it"")"),"Ha insaccato diverse foglie mentre le rastrella da un bagno di uccelli.")</f>
        <v>Ha insaccato diverse foglie mentre le rastrella da un bagno di uccelli.</v>
      </c>
    </row>
    <row r="13890">
      <c r="A13890" s="4" t="s">
        <v>17484</v>
      </c>
      <c r="B13890" s="4" t="s">
        <v>17487</v>
      </c>
      <c r="C13890" s="5" t="str">
        <f>IFERROR(__xludf.DUMMYFUNCTION("GOOGLETRANSLATE(B13890,""en"",""it"")"),"Continua a rastrellare, quindi apre una borsa per versare rocce attorno al bagno di uccelli.")</f>
        <v>Continua a rastrellare, quindi apre una borsa per versare rocce attorno al bagno di uccelli.</v>
      </c>
    </row>
    <row r="13891">
      <c r="A13891" s="4" t="s">
        <v>17488</v>
      </c>
      <c r="B13891" s="4" t="s">
        <v>17489</v>
      </c>
      <c r="C13891" s="5" t="str">
        <f>IFERROR(__xludf.DUMMYFUNCTION("GOOGLETRANSLATE(B13891,""en"",""it"")"),"Le persone compete in bici in un campo.")</f>
        <v>Le persone compete in bici in un campo.</v>
      </c>
    </row>
    <row r="13892">
      <c r="A13892" s="4" t="s">
        <v>17488</v>
      </c>
      <c r="B13892" s="4" t="s">
        <v>17490</v>
      </c>
      <c r="C13892" s="5" t="str">
        <f>IFERROR(__xludf.DUMMYFUNCTION("GOOGLETRANSLATE(B13892,""en"",""it"")"),"La gente è in bicicletta su una pista accidentata in cui una folla si riunisce per guardare la competizione Bike Cross.")</f>
        <v>La gente è in bicicletta su una pista accidentata in cui una folla si riunisce per guardare la competizione Bike Cross.</v>
      </c>
    </row>
    <row r="13893">
      <c r="A13893" s="4" t="s">
        <v>17488</v>
      </c>
      <c r="B13893" s="4" t="s">
        <v>17491</v>
      </c>
      <c r="C13893" s="5" t="str">
        <f>IFERROR(__xludf.DUMMYFUNCTION("GOOGLETRANSLATE(B13893,""en"",""it"")"),"Un motociclista cade a terra.")</f>
        <v>Un motociclista cade a terra.</v>
      </c>
    </row>
    <row r="13894">
      <c r="A13894" s="4" t="s">
        <v>17488</v>
      </c>
      <c r="B13894" s="4" t="s">
        <v>17492</v>
      </c>
      <c r="C13894" s="5" t="str">
        <f>IFERROR(__xludf.DUMMYFUNCTION("GOOGLETRANSLATE(B13894,""en"",""it"")"),"I motociclisti arrivano al traguardo.")</f>
        <v>I motociclisti arrivano al traguardo.</v>
      </c>
    </row>
    <row r="13895">
      <c r="A13895" s="4" t="s">
        <v>17493</v>
      </c>
      <c r="B13895" s="4" t="s">
        <v>17494</v>
      </c>
      <c r="C13895" s="5" t="str">
        <f>IFERROR(__xludf.DUMMYFUNCTION("GOOGLETRANSLATE(B13895,""en"",""it"")"),"Un uomo viene visto in palestra con una racchetta mentre la telecamera si muove per mostrare due uomini.")</f>
        <v>Un uomo viene visto in palestra con una racchetta mentre la telecamera si muove per mostrare due uomini.</v>
      </c>
    </row>
    <row r="13896">
      <c r="A13896" s="4" t="s">
        <v>17493</v>
      </c>
      <c r="B13896" s="4" t="s">
        <v>17495</v>
      </c>
      <c r="C13896" s="5" t="str">
        <f>IFERROR(__xludf.DUMMYFUNCTION("GOOGLETRANSLATE(B13896,""en"",""it"")"),"Gli uomini si muovono l'uno intorno all'altro in palestra colpendo una palla dal muro.")</f>
        <v>Gli uomini si muovono l'uno intorno all'altro in palestra colpendo una palla dal muro.</v>
      </c>
    </row>
    <row r="13897">
      <c r="A13897" s="4" t="s">
        <v>17493</v>
      </c>
      <c r="B13897" s="4" t="s">
        <v>17496</v>
      </c>
      <c r="C13897" s="5" t="str">
        <f>IFERROR(__xludf.DUMMYFUNCTION("GOOGLETRANSLATE(B13897,""en"",""it"")"),"I due continuano a colpire la palla e camminando per colpirla.")</f>
        <v>I due continuano a colpire la palla e camminando per colpirla.</v>
      </c>
    </row>
    <row r="13898">
      <c r="A13898" s="4" t="s">
        <v>17497</v>
      </c>
      <c r="B13898" s="4" t="s">
        <v>17498</v>
      </c>
      <c r="C13898" s="5" t="str">
        <f>IFERROR(__xludf.DUMMYFUNCTION("GOOGLETRANSLATE(B13898,""en"",""it"")"),"Uomini e donne sono in squadra giocando a palla di biliardo in un tavolo in un campo da basket.")</f>
        <v>Uomini e donne sono in squadra giocando a palla di biliardo in un tavolo in un campo da basket.</v>
      </c>
    </row>
    <row r="13899">
      <c r="A13899" s="4" t="s">
        <v>17497</v>
      </c>
      <c r="B13899" s="4" t="s">
        <v>17499</v>
      </c>
      <c r="C13899" s="5" t="str">
        <f>IFERROR(__xludf.DUMMYFUNCTION("GOOGLETRANSLATE(B13899,""en"",""it"")"),"L'arbitro è in piedi davanti al tavolo guardando il gioco.")</f>
        <v>L'arbitro è in piedi davanti al tavolo guardando il gioco.</v>
      </c>
    </row>
    <row r="13900">
      <c r="A13900" s="4" t="s">
        <v>17497</v>
      </c>
      <c r="B13900" s="4" t="s">
        <v>17500</v>
      </c>
      <c r="C13900" s="5" t="str">
        <f>IFERROR(__xludf.DUMMYFUNCTION("GOOGLETRANSLATE(B13900,""en"",""it"")"),"La gente è seduta in terrazze dietro il campo a guardare la partita.")</f>
        <v>La gente è seduta in terrazze dietro il campo a guardare la partita.</v>
      </c>
    </row>
    <row r="13901">
      <c r="A13901" s="4" t="s">
        <v>17501</v>
      </c>
      <c r="B13901" s="4" t="s">
        <v>17502</v>
      </c>
      <c r="C13901" s="5" t="str">
        <f>IFERROR(__xludf.DUMMYFUNCTION("GOOGLETRANSLATE(B13901,""en"",""it"")"),"Una ragazza si siede sul sedile dei conducenti di un'auto e gode di un cono gelato.")</f>
        <v>Una ragazza si siede sul sedile dei conducenti di un'auto e gode di un cono gelato.</v>
      </c>
    </row>
    <row r="13902">
      <c r="A13902" s="4" t="s">
        <v>17501</v>
      </c>
      <c r="B13902" s="4" t="s">
        <v>17503</v>
      </c>
      <c r="C13902" s="5" t="str">
        <f>IFERROR(__xludf.DUMMYFUNCTION("GOOGLETRANSLATE(B13902,""en"",""it"")"),"La ragazza ride mentre cerca di mangiare il gelato.")</f>
        <v>La ragazza ride mentre cerca di mangiare il gelato.</v>
      </c>
    </row>
    <row r="13903">
      <c r="A13903" s="4" t="s">
        <v>17501</v>
      </c>
      <c r="B13903" s="4" t="s">
        <v>17504</v>
      </c>
      <c r="C13903" s="5" t="str">
        <f>IFERROR(__xludf.DUMMYFUNCTION("GOOGLETRANSLATE(B13903,""en"",""it"")"),"La ragazza lecca il cono del gelato con la punta della lingua.")</f>
        <v>La ragazza lecca il cono del gelato con la punta della lingua.</v>
      </c>
    </row>
    <row r="13904">
      <c r="A13904" s="4" t="s">
        <v>17505</v>
      </c>
      <c r="B13904" s="6" t="s">
        <v>17506</v>
      </c>
      <c r="C13904" s="5" t="str">
        <f>IFERROR(__xludf.DUMMYFUNCTION("GOOGLETRANSLATE(B13904,""en"",""it"")"),"Un uomo viene visto in piedi in una stanza nera e procede a suonare un flauto mentre la telecamera lo cattura.")</f>
        <v>Un uomo viene visto in piedi in una stanza nera e procede a suonare un flauto mentre la telecamera lo cattura.</v>
      </c>
    </row>
    <row r="13905">
      <c r="A13905" s="4" t="s">
        <v>17505</v>
      </c>
      <c r="B13905" s="6" t="s">
        <v>17507</v>
      </c>
      <c r="C13905" s="5" t="str">
        <f>IFERROR(__xludf.DUMMYFUNCTION("GOOGLETRANSLATE(B13905,""en"",""it"")"),"L'uomo continua a posare lo strumento mentre si muove le mani su e giù e si muove la testa sul ritmo.")</f>
        <v>L'uomo continua a posare lo strumento mentre si muove le mani su e giù e si muove la testa sul ritmo.</v>
      </c>
    </row>
    <row r="13906">
      <c r="A13906" s="4" t="s">
        <v>17508</v>
      </c>
      <c r="B13906" s="4" t="s">
        <v>17509</v>
      </c>
      <c r="C13906" s="5" t="str">
        <f>IFERROR(__xludf.DUMMYFUNCTION("GOOGLETRANSLATE(B13906,""en"",""it"")"),"Due ragazze si trovano di fronte a un camino con violini.")</f>
        <v>Due ragazze si trovano di fronte a un camino con violini.</v>
      </c>
    </row>
    <row r="13907">
      <c r="A13907" s="4" t="s">
        <v>17508</v>
      </c>
      <c r="B13907" s="4" t="s">
        <v>17510</v>
      </c>
      <c r="C13907" s="5" t="str">
        <f>IFERROR(__xludf.DUMMYFUNCTION("GOOGLETRANSLATE(B13907,""en"",""it"")"),"Le ragazze iniziano a suonare un brano musicale sui violini e poi si inchinano alla fine.")</f>
        <v>Le ragazze iniziano a suonare un brano musicale sui violini e poi si inchinano alla fine.</v>
      </c>
    </row>
    <row r="13908">
      <c r="A13908" s="4" t="s">
        <v>17508</v>
      </c>
      <c r="B13908" s="4" t="s">
        <v>17511</v>
      </c>
      <c r="C13908" s="5" t="str">
        <f>IFERROR(__xludf.DUMMYFUNCTION("GOOGLETRANSLATE(B13908,""en"",""it"")"),"Due bambini più piccoli appaiono all'aperto con un indirizzo del sito Web sovrapposto.")</f>
        <v>Due bambini più piccoli appaiono all'aperto con un indirizzo del sito Web sovrapposto.</v>
      </c>
    </row>
    <row r="13909">
      <c r="A13909" s="4" t="s">
        <v>17512</v>
      </c>
      <c r="B13909" s="4" t="s">
        <v>17513</v>
      </c>
      <c r="C13909" s="5" t="str">
        <f>IFERROR(__xludf.DUMMYFUNCTION("GOOGLETRANSLATE(B13909,""en"",""it"")"),"Le forniture per avvolgere un regalo sono sdraiate su un tavolo di legno.")</f>
        <v>Le forniture per avvolgere un regalo sono sdraiate su un tavolo di legno.</v>
      </c>
    </row>
    <row r="13910">
      <c r="A13910" s="4" t="s">
        <v>17512</v>
      </c>
      <c r="B13910" s="4" t="s">
        <v>17514</v>
      </c>
      <c r="C13910" s="5" t="str">
        <f>IFERROR(__xludf.DUMMYFUNCTION("GOOGLETRANSLATE(B13910,""en"",""it"")"),"Un regalo avvolto in regalo è avvolto da una plastica trasparente e registrato in posizione.")</f>
        <v>Un regalo avvolto in regalo è avvolto da una plastica trasparente e registrato in posizione.</v>
      </c>
    </row>
    <row r="13911">
      <c r="A13911" s="4" t="s">
        <v>17512</v>
      </c>
      <c r="B13911" s="4" t="s">
        <v>17515</v>
      </c>
      <c r="C13911" s="5" t="str">
        <f>IFERROR(__xludf.DUMMYFUNCTION("GOOGLETRANSLATE(B13911,""en"",""it"")"),"I nastri rossi sono legati ad ogni estremità.")</f>
        <v>I nastri rossi sono legati ad ogni estremità.</v>
      </c>
    </row>
    <row r="13912">
      <c r="A13912" s="4" t="s">
        <v>17512</v>
      </c>
      <c r="B13912" s="4" t="s">
        <v>17516</v>
      </c>
      <c r="C13912" s="5" t="str">
        <f>IFERROR(__xludf.DUMMYFUNCTION("GOOGLETRANSLATE(B13912,""en"",""it"")"),"Una forbice viene utilizzata per tagliare la plastica trasparente in eccesso a ciascuna estremità.")</f>
        <v>Una forbice viene utilizzata per tagliare la plastica trasparente in eccesso a ciascuna estremità.</v>
      </c>
    </row>
    <row r="13913">
      <c r="A13913" s="4" t="s">
        <v>17512</v>
      </c>
      <c r="B13913" s="4" t="s">
        <v>17517</v>
      </c>
      <c r="C13913" s="5" t="str">
        <f>IFERROR(__xludf.DUMMYFUNCTION("GOOGLETRANSLATE(B13913,""en"",""it"")"),"Il prodotto finale avvolto è sdraiato sul tavolo.")</f>
        <v>Il prodotto finale avvolto è sdraiato sul tavolo.</v>
      </c>
    </row>
    <row r="13914">
      <c r="A13914" s="4" t="s">
        <v>17518</v>
      </c>
      <c r="B13914" s="4" t="s">
        <v>17519</v>
      </c>
      <c r="C13914" s="5" t="str">
        <f>IFERROR(__xludf.DUMMYFUNCTION("GOOGLETRANSLATE(B13914,""en"",""it"")"),"Una donna con i capelli lunghi viene vista guardare in profondità nella telecamera e accarezzarsi il viso.")</f>
        <v>Una donna con i capelli lunghi viene vista guardare in profondità nella telecamera e accarezzarsi il viso.</v>
      </c>
    </row>
    <row r="13915">
      <c r="A13915" s="4" t="s">
        <v>17518</v>
      </c>
      <c r="B13915" s="4" t="s">
        <v>17520</v>
      </c>
      <c r="C13915" s="5" t="str">
        <f>IFERROR(__xludf.DUMMYFUNCTION("GOOGLETRANSLATE(B13915,""en"",""it"")"),"Quindi si lava i capelli e termina il video sorridendo.")</f>
        <v>Quindi si lava i capelli e termina il video sorridendo.</v>
      </c>
    </row>
    <row r="13916">
      <c r="A13916" s="4" t="s">
        <v>17521</v>
      </c>
      <c r="B13916" s="4" t="s">
        <v>17522</v>
      </c>
      <c r="C13916" s="5" t="str">
        <f>IFERROR(__xludf.DUMMYFUNCTION("GOOGLETRANSLATE(B13916,""en"",""it"")"),"Una ragazza gioca in una piscina in plastica da interno con una diapositiva.")</f>
        <v>Una ragazza gioca in una piscina in plastica da interno con una diapositiva.</v>
      </c>
    </row>
    <row r="13917">
      <c r="A13917" s="4" t="s">
        <v>17521</v>
      </c>
      <c r="B13917" s="4" t="s">
        <v>17523</v>
      </c>
      <c r="C13917" s="5" t="str">
        <f>IFERROR(__xludf.DUMMYFUNCTION("GOOGLETRANSLATE(B13917,""en"",""it"")"),"La ragazza si arrampica su per le scale, quindi scivola lungo la diapositiva.")</f>
        <v>La ragazza si arrampica su per le scale, quindi scivola lungo la diapositiva.</v>
      </c>
    </row>
    <row r="13918">
      <c r="A13918" s="4" t="s">
        <v>17521</v>
      </c>
      <c r="B13918" s="4" t="s">
        <v>17524</v>
      </c>
      <c r="C13918" s="5" t="str">
        <f>IFERROR(__xludf.DUMMYFUNCTION("GOOGLETRANSLATE(B13918,""en"",""it"")"),"La ragazza si arrampica su una scala, quindi striscia attraverso un tunnel.")</f>
        <v>La ragazza si arrampica su una scala, quindi striscia attraverso un tunnel.</v>
      </c>
    </row>
    <row r="13919">
      <c r="A13919" s="4" t="s">
        <v>17521</v>
      </c>
      <c r="B13919" s="4" t="s">
        <v>17525</v>
      </c>
      <c r="C13919" s="5" t="str">
        <f>IFERROR(__xludf.DUMMYFUNCTION("GOOGLETRANSLATE(B13919,""en"",""it"")"),"La ragazza scivola giù in una piscina a sfera, quindi si arrampica su per la diapositiva.")</f>
        <v>La ragazza scivola giù in una piscina a sfera, quindi si arrampica su per la diapositiva.</v>
      </c>
    </row>
    <row r="13920">
      <c r="A13920" s="4" t="s">
        <v>17521</v>
      </c>
      <c r="B13920" s="4" t="s">
        <v>17526</v>
      </c>
      <c r="C13920" s="5" t="str">
        <f>IFERROR(__xludf.DUMMYFUNCTION("GOOGLETRANSLATE(B13920,""en"",""it"")"),"La ragazza gioca con la tavola da ticke-tack-toe prima di scivolare indietro.")</f>
        <v>La ragazza gioca con la tavola da ticke-tack-toe prima di scivolare indietro.</v>
      </c>
    </row>
    <row r="13921">
      <c r="A13921" s="4" t="s">
        <v>17521</v>
      </c>
      <c r="B13921" s="4" t="s">
        <v>17527</v>
      </c>
      <c r="C13921" s="5" t="str">
        <f>IFERROR(__xludf.DUMMYFUNCTION("GOOGLETRANSLATE(B13921,""en"",""it"")"),"Il bambino oscilla su uno swing.")</f>
        <v>Il bambino oscilla su uno swing.</v>
      </c>
    </row>
    <row r="13922">
      <c r="A13922" s="4" t="s">
        <v>17521</v>
      </c>
      <c r="B13922" s="4" t="s">
        <v>17528</v>
      </c>
      <c r="C13922" s="5" t="str">
        <f>IFERROR(__xludf.DUMMYFUNCTION("GOOGLETRANSLATE(B13922,""en"",""it"")"),"Il bambino entra in una stanza del trampolino, quindi salta su e giù.")</f>
        <v>Il bambino entra in una stanza del trampolino, quindi salta su e giù.</v>
      </c>
    </row>
    <row r="13923">
      <c r="A13923" s="4" t="s">
        <v>17521</v>
      </c>
      <c r="B13923" s="4" t="s">
        <v>17529</v>
      </c>
      <c r="C13923" s="5" t="str">
        <f>IFERROR(__xludf.DUMMYFUNCTION("GOOGLETRANSLATE(B13923,""en"",""it"")"),"Il bambino cammina su un ponte sospeso, quindi sopra un ponte con reti.")</f>
        <v>Il bambino cammina su un ponte sospeso, quindi sopra un ponte con reti.</v>
      </c>
    </row>
    <row r="13924">
      <c r="A13924" s="4" t="s">
        <v>17521</v>
      </c>
      <c r="B13924" s="4" t="s">
        <v>17530</v>
      </c>
      <c r="C13924" s="5" t="str">
        <f>IFERROR(__xludf.DUMMYFUNCTION("GOOGLETRANSLATE(B13924,""en"",""it"")"),"La ragazza scivola nella piscina, quindi si arrampica sul muro e salta di nuovo dentro.")</f>
        <v>La ragazza scivola nella piscina, quindi si arrampica sul muro e salta di nuovo dentro.</v>
      </c>
    </row>
    <row r="13925">
      <c r="A13925" s="4" t="s">
        <v>17521</v>
      </c>
      <c r="B13925" s="4" t="s">
        <v>17531</v>
      </c>
      <c r="C13925" s="5" t="str">
        <f>IFERROR(__xludf.DUMMYFUNCTION("GOOGLETRANSLATE(B13925,""en"",""it"")"),"La ragazza si arrampica sulla ringhiera dello scivolo.")</f>
        <v>La ragazza si arrampica sulla ringhiera dello scivolo.</v>
      </c>
    </row>
    <row r="13926">
      <c r="A13926" s="4" t="s">
        <v>17521</v>
      </c>
      <c r="B13926" s="4" t="s">
        <v>17532</v>
      </c>
      <c r="C13926" s="5" t="str">
        <f>IFERROR(__xludf.DUMMYFUNCTION("GOOGLETRANSLATE(B13926,""en"",""it"")"),"La ragazza scivola giù per un ripido scivolo arancione.")</f>
        <v>La ragazza scivola giù per un ripido scivolo arancione.</v>
      </c>
    </row>
    <row r="13927">
      <c r="A13927" s="4" t="s">
        <v>17521</v>
      </c>
      <c r="B13927" s="4" t="s">
        <v>17533</v>
      </c>
      <c r="C13927" s="5" t="str">
        <f>IFERROR(__xludf.DUMMYFUNCTION("GOOGLETRANSLATE(B13927,""en"",""it"")"),"Le palle vengono lanciate contro la ragazza e lei le respinge ridendo.")</f>
        <v>Le palle vengono lanciate contro la ragazza e lei le respinge ridendo.</v>
      </c>
    </row>
    <row r="13928">
      <c r="A13928" s="4" t="s">
        <v>17534</v>
      </c>
      <c r="B13928" s="6" t="s">
        <v>17535</v>
      </c>
      <c r="C13928" s="5" t="str">
        <f>IFERROR(__xludf.DUMMYFUNCTION("GOOGLETRANSLATE(B13928,""en"",""it"")"),"Viene visto un uomo suonare la batteria con un altro uomo accanto a lui con diverse luci che lampeggiano sul viso.")</f>
        <v>Viene visto un uomo suonare la batteria con un altro uomo accanto a lui con diverse luci che lampeggiano sul viso.</v>
      </c>
    </row>
    <row r="13929">
      <c r="A13929" s="4" t="s">
        <v>17534</v>
      </c>
      <c r="B13929" s="4" t="s">
        <v>17536</v>
      </c>
      <c r="C13929" s="5" t="str">
        <f>IFERROR(__xludf.DUMMYFUNCTION("GOOGLETRANSLATE(B13929,""en"",""it"")"),"Un altro uomo viene visto con in mano una chitarra e vengono mostrati diversi scatti di un palcoscenico.")</f>
        <v>Un altro uomo viene visto con in mano una chitarra e vengono mostrati diversi scatti di un palcoscenico.</v>
      </c>
    </row>
    <row r="13930">
      <c r="A13930" s="4" t="s">
        <v>17534</v>
      </c>
      <c r="B13930" s="4" t="s">
        <v>17537</v>
      </c>
      <c r="C13930" s="5" t="str">
        <f>IFERROR(__xludf.DUMMYFUNCTION("GOOGLETRANSLATE(B13930,""en"",""it"")"),"Il musicista afferra un microfono e il chitarrista salta sul palco con una sigaretta in bocca.")</f>
        <v>Il musicista afferra un microfono e il chitarrista salta sul palco con una sigaretta in bocca.</v>
      </c>
    </row>
    <row r="13931">
      <c r="A13931" s="4" t="s">
        <v>17538</v>
      </c>
      <c r="B13931" s="4" t="s">
        <v>17539</v>
      </c>
      <c r="C13931" s="5" t="str">
        <f>IFERROR(__xludf.DUMMYFUNCTION("GOOGLETRANSLATE(B13931,""en"",""it"")"),"Un uomo in possesso di un violino sta parlando alla telecamera con un ragazzo che tiene anche violino.")</f>
        <v>Un uomo in possesso di un violino sta parlando alla telecamera con un ragazzo che tiene anche violino.</v>
      </c>
    </row>
    <row r="13932">
      <c r="A13932" s="4" t="s">
        <v>17538</v>
      </c>
      <c r="B13932" s="6" t="s">
        <v>17540</v>
      </c>
      <c r="C13932" s="5" t="str">
        <f>IFERROR(__xludf.DUMMYFUNCTION("GOOGLETRANSLATE(B13932,""en"",""it"")"),"I ragazzi parlano e quarto per un po 'e l'uomo mostra al ragazzo come suonare correttamente il violino.")</f>
        <v>I ragazzi parlano e quarto per un po 'e l'uomo mostra al ragazzo come suonare correttamente il violino.</v>
      </c>
    </row>
    <row r="13933">
      <c r="A13933" s="4" t="s">
        <v>17538</v>
      </c>
      <c r="B13933" s="6" t="s">
        <v>17541</v>
      </c>
      <c r="C13933" s="5" t="str">
        <f>IFERROR(__xludf.DUMMYFUNCTION("GOOGLETRANSLATE(B13933,""en"",""it"")"),"Il ragazzo quindi fa esattamente ciò che l'istruttore gli ha insegnato mentre l'istruttore corregge il suo gioco.")</f>
        <v>Il ragazzo quindi fa esattamente ciò che l'istruttore gli ha insegnato mentre l'istruttore corregge il suo gioco.</v>
      </c>
    </row>
    <row r="13934">
      <c r="A13934" s="4" t="s">
        <v>17542</v>
      </c>
      <c r="B13934" s="4" t="s">
        <v>17543</v>
      </c>
      <c r="C13934" s="5" t="str">
        <f>IFERROR(__xludf.DUMMYFUNCTION("GOOGLETRANSLATE(B13934,""en"",""it"")"),"Le mani di una persona sono viste stendono l'argilla su una torta e inizia a dipingere oggetti sul lato.")</f>
        <v>Le mani di una persona sono viste stendono l'argilla su una torta e inizia a dipingere oggetti sul lato.</v>
      </c>
    </row>
    <row r="13935">
      <c r="A13935" s="4" t="s">
        <v>17542</v>
      </c>
      <c r="B13935" s="6" t="s">
        <v>17544</v>
      </c>
      <c r="C13935" s="5" t="str">
        <f>IFERROR(__xludf.DUMMYFUNCTION("GOOGLETRANSLATE(B13935,""en"",""it"")"),"La donna mette le decorazioni intorno alla torta e continua a decorare più oggetti sul lato.")</f>
        <v>La donna mette le decorazioni intorno alla torta e continua a decorare più oggetti sul lato.</v>
      </c>
    </row>
    <row r="13936">
      <c r="A13936" s="4" t="s">
        <v>17542</v>
      </c>
      <c r="B13936" s="4" t="s">
        <v>17545</v>
      </c>
      <c r="C13936" s="5" t="str">
        <f>IFERROR(__xludf.DUMMYFUNCTION("GOOGLETRANSLATE(B13936,""en"",""it"")"),"Termina la torta aggiungendo le decorazioni finali e presentandola alla telecamera.")</f>
        <v>Termina la torta aggiungendo le decorazioni finali e presentandola alla telecamera.</v>
      </c>
    </row>
    <row r="13937">
      <c r="A13937" s="4" t="s">
        <v>17546</v>
      </c>
      <c r="B13937" s="4" t="s">
        <v>17547</v>
      </c>
      <c r="C13937" s="5" t="str">
        <f>IFERROR(__xludf.DUMMYFUNCTION("GOOGLETRANSLATE(B13937,""en"",""it"")"),"Le persone sono in banchi a guardare due squadre in una piscina a giocare a piscina.")</f>
        <v>Le persone sono in banchi a guardare due squadre in una piscina a giocare a piscina.</v>
      </c>
    </row>
    <row r="13938">
      <c r="A13938" s="4" t="s">
        <v>17546</v>
      </c>
      <c r="B13938" s="6" t="s">
        <v>17548</v>
      </c>
      <c r="C13938" s="5" t="str">
        <f>IFERROR(__xludf.DUMMYFUNCTION("GOOGLETRANSLATE(B13938,""en"",""it"")"),"I giocatori stanno urlando e poi la palla viene colpita verso il goal e deviato mentre la folla li rallegra.")</f>
        <v>I giocatori stanno urlando e poi la palla viene colpita verso il goal e deviato mentre la folla li rallegra.</v>
      </c>
    </row>
    <row r="13939">
      <c r="A13939" s="4" t="s">
        <v>17546</v>
      </c>
      <c r="B13939" s="4" t="s">
        <v>17549</v>
      </c>
      <c r="C13939" s="5" t="str">
        <f>IFERROR(__xludf.DUMMYFUNCTION("GOOGLETRANSLATE(B13939,""en"",""it"")"),"La palla viene quindi gettata nella piscina.")</f>
        <v>La palla viene quindi gettata nella piscina.</v>
      </c>
    </row>
    <row r="13940">
      <c r="A13940" s="4" t="s">
        <v>17550</v>
      </c>
      <c r="B13940" s="4" t="s">
        <v>17551</v>
      </c>
      <c r="C13940" s="5" t="str">
        <f>IFERROR(__xludf.DUMMYFUNCTION("GOOGLETRANSLATE(B13940,""en"",""it"")"),"Un uomo si inginocchia in una palestra.")</f>
        <v>Un uomo si inginocchia in una palestra.</v>
      </c>
    </row>
    <row r="13941">
      <c r="A13941" s="4" t="s">
        <v>17550</v>
      </c>
      <c r="B13941" s="4" t="s">
        <v>17552</v>
      </c>
      <c r="C13941" s="5" t="str">
        <f>IFERROR(__xludf.DUMMYFUNCTION("GOOGLETRANSLATE(B13941,""en"",""it"")"),"Ha un bilanciere che poggia sulle sue spalle mentre salta.")</f>
        <v>Ha un bilanciere che poggia sulle sue spalle mentre salta.</v>
      </c>
    </row>
    <row r="13942">
      <c r="A13942" s="4" t="s">
        <v>17550</v>
      </c>
      <c r="B13942" s="4" t="s">
        <v>17553</v>
      </c>
      <c r="C13942" s="5" t="str">
        <f>IFERROR(__xludf.DUMMYFUNCTION("GOOGLETRANSLATE(B13942,""en"",""it"")"),"Si alza completamente, quindi lascia cadere i pesi.")</f>
        <v>Si alza completamente, quindi lascia cadere i pesi.</v>
      </c>
    </row>
    <row r="13943">
      <c r="A13943" s="4" t="s">
        <v>17554</v>
      </c>
      <c r="B13943" s="4" t="s">
        <v>17555</v>
      </c>
      <c r="C13943" s="5" t="str">
        <f>IFERROR(__xludf.DUMMYFUNCTION("GOOGLETRANSLATE(B13943,""en"",""it"")"),"Un uomo che indossa una camicia bianca si trova in una cucina con una scopa.")</f>
        <v>Un uomo che indossa una camicia bianca si trova in una cucina con una scopa.</v>
      </c>
    </row>
    <row r="13944">
      <c r="A13944" s="4" t="s">
        <v>17554</v>
      </c>
      <c r="B13944" s="4" t="s">
        <v>17556</v>
      </c>
      <c r="C13944" s="5" t="str">
        <f>IFERROR(__xludf.DUMMYFUNCTION("GOOGLETRANSLATE(B13944,""en"",""it"")"),"L'uomo inizia a pulire il pavimento mentre si trova davanti alle lavatrici.")</f>
        <v>L'uomo inizia a pulire il pavimento mentre si trova davanti alle lavatrici.</v>
      </c>
    </row>
    <row r="13945">
      <c r="A13945" s="4" t="s">
        <v>17554</v>
      </c>
      <c r="B13945" s="6" t="s">
        <v>17557</v>
      </c>
      <c r="C13945" s="5" t="str">
        <f>IFERROR(__xludf.DUMMYFUNCTION("GOOGLETRANSLATE(B13945,""en"",""it"")"),"L'uomo che mopping fa qualche passo e scivola mentre la gamba sinistra scivola sul pavimento e cade sul pavimento.")</f>
        <v>L'uomo che mopping fa qualche passo e scivola mentre la gamba sinistra scivola sul pavimento e cade sul pavimento.</v>
      </c>
    </row>
    <row r="13946">
      <c r="A13946" s="4" t="s">
        <v>17558</v>
      </c>
      <c r="B13946" s="4" t="s">
        <v>17559</v>
      </c>
      <c r="C13946" s="5" t="str">
        <f>IFERROR(__xludf.DUMMYFUNCTION("GOOGLETRANSLATE(B13946,""en"",""it"")"),"Due treni guidano lungo un binario elevato in una città.")</f>
        <v>Due treni guidano lungo un binario elevato in una città.</v>
      </c>
    </row>
    <row r="13947">
      <c r="A13947" s="4" t="s">
        <v>17558</v>
      </c>
      <c r="B13947" s="4" t="s">
        <v>17560</v>
      </c>
      <c r="C13947" s="5" t="str">
        <f>IFERROR(__xludf.DUMMYFUNCTION("GOOGLETRANSLATE(B13947,""en"",""it"")"),"La fotocamera piova per mostrare un uomo che gioca un'armonica mentre si è seduto su un tronco accanto a un fiume.")</f>
        <v>La fotocamera piova per mostrare un uomo che gioca un'armonica mentre si è seduto su un tronco accanto a un fiume.</v>
      </c>
    </row>
    <row r="13948">
      <c r="A13948" s="4" t="s">
        <v>17558</v>
      </c>
      <c r="B13948" s="4" t="s">
        <v>17561</v>
      </c>
      <c r="C13948" s="5" t="str">
        <f>IFERROR(__xludf.DUMMYFUNCTION("GOOGLETRANSLATE(B13948,""en"",""it"")"),"Una donna cammina vicino ai binari del treno mentre un treno passa.")</f>
        <v>Una donna cammina vicino ai binari del treno mentre un treno passa.</v>
      </c>
    </row>
    <row r="13949">
      <c r="A13949" s="4" t="s">
        <v>17558</v>
      </c>
      <c r="B13949" s="4" t="s">
        <v>17562</v>
      </c>
      <c r="C13949" s="5" t="str">
        <f>IFERROR(__xludf.DUMMYFUNCTION("GOOGLETRANSLATE(B13949,""en"",""it"")"),"La donna vede l'armonica suonare l'uomo in lontananza.")</f>
        <v>La donna vede l'armonica suonare l'uomo in lontananza.</v>
      </c>
    </row>
    <row r="13950">
      <c r="A13950" s="4" t="s">
        <v>17558</v>
      </c>
      <c r="B13950" s="4" t="s">
        <v>17563</v>
      </c>
      <c r="C13950" s="5" t="str">
        <f>IFERROR(__xludf.DUMMYFUNCTION("GOOGLETRANSLATE(B13950,""en"",""it"")"),"Lei lo guarda e lo ascolta suonare.")</f>
        <v>Lei lo guarda e lo ascolta suonare.</v>
      </c>
    </row>
    <row r="13951">
      <c r="A13951" s="4" t="s">
        <v>17558</v>
      </c>
      <c r="B13951" s="4" t="s">
        <v>17564</v>
      </c>
      <c r="C13951" s="5" t="str">
        <f>IFERROR(__xludf.DUMMYFUNCTION("GOOGLETRANSLATE(B13951,""en"",""it"")"),"Si allontana lasciando l'uomo.")</f>
        <v>Si allontana lasciando l'uomo.</v>
      </c>
    </row>
    <row r="13952">
      <c r="A13952" s="4" t="s">
        <v>17558</v>
      </c>
      <c r="B13952" s="4" t="s">
        <v>17565</v>
      </c>
      <c r="C13952" s="5" t="str">
        <f>IFERROR(__xludf.DUMMYFUNCTION("GOOGLETRANSLATE(B13952,""en"",""it"")"),"L'uomo finisce di giocare e rimane seduto.")</f>
        <v>L'uomo finisce di giocare e rimane seduto.</v>
      </c>
    </row>
    <row r="13953">
      <c r="A13953" s="4" t="s">
        <v>17566</v>
      </c>
      <c r="B13953" s="6" t="s">
        <v>17567</v>
      </c>
      <c r="C13953" s="5" t="str">
        <f>IFERROR(__xludf.DUMMYFUNCTION("GOOGLETRANSLATE(B13953,""en"",""it"")"),"Un uomo che indossa un grembiule pesante, guanti pesanti e una grande maschera di plastica sul viso si avvicina a uno strumento seduto su un tavolo di legno.")</f>
        <v>Un uomo che indossa un grembiule pesante, guanti pesanti e una grande maschera di plastica sul viso si avvicina a uno strumento seduto su un tavolo di legno.</v>
      </c>
    </row>
    <row r="13954">
      <c r="A13954" s="4" t="s">
        <v>17566</v>
      </c>
      <c r="B13954" s="4" t="s">
        <v>17568</v>
      </c>
      <c r="C13954" s="5" t="str">
        <f>IFERROR(__xludf.DUMMYFUNCTION("GOOGLETRANSLATE(B13954,""en"",""it"")"),"L'uomo raccoglie lo strumento e lo tocca a qualcosa sul tavolo facendo volare scintille.")</f>
        <v>L'uomo raccoglie lo strumento e lo tocca a qualcosa sul tavolo facendo volare scintille.</v>
      </c>
    </row>
    <row r="13955">
      <c r="A13955" s="4" t="s">
        <v>17566</v>
      </c>
      <c r="B13955" s="4" t="s">
        <v>17569</v>
      </c>
      <c r="C13955" s="5" t="str">
        <f>IFERROR(__xludf.DUMMYFUNCTION("GOOGLETRANSLATE(B13955,""en"",""it"")"),"Uno spruzzo continuo di Sparks spara fuori dallo strumento.")</f>
        <v>Uno spruzzo continuo di Sparks spara fuori dallo strumento.</v>
      </c>
    </row>
    <row r="13956">
      <c r="A13956" s="4" t="s">
        <v>17566</v>
      </c>
      <c r="B13956" s="6" t="s">
        <v>17570</v>
      </c>
      <c r="C13956" s="5" t="str">
        <f>IFERROR(__xludf.DUMMYFUNCTION("GOOGLETRANSLATE(B13956,""en"",""it"")"),"L'uomo si ferma e fa un passo indietro mentre si tira la maschera per il viso e si guarda l'oggetto sul tavolo.")</f>
        <v>L'uomo si ferma e fa un passo indietro mentre si tira la maschera per il viso e si guarda l'oggetto sul tavolo.</v>
      </c>
    </row>
    <row r="13957">
      <c r="A13957" s="4" t="s">
        <v>17566</v>
      </c>
      <c r="B13957" s="6" t="s">
        <v>17571</v>
      </c>
      <c r="C13957" s="5" t="str">
        <f>IFERROR(__xludf.DUMMYFUNCTION("GOOGLETRANSLATE(B13957,""en"",""it"")"),"L'uomo tira giù la maschera per il viso e inizia a usare di nuovo lo strumento inviando di nuovo scintille.")</f>
        <v>L'uomo tira giù la maschera per il viso e inizia a usare di nuovo lo strumento inviando di nuovo scintille.</v>
      </c>
    </row>
    <row r="13958">
      <c r="A13958" s="4" t="s">
        <v>17566</v>
      </c>
      <c r="B13958" s="4" t="s">
        <v>17572</v>
      </c>
      <c r="C13958" s="5" t="str">
        <f>IFERROR(__xludf.DUMMYFUNCTION("GOOGLETRANSLATE(B13958,""en"",""it"")"),"L'uomo fa una pausa e si allontana guardando l'oggetto sul tavolo.")</f>
        <v>L'uomo fa una pausa e si allontana guardando l'oggetto sul tavolo.</v>
      </c>
    </row>
    <row r="13959">
      <c r="A13959" s="4" t="s">
        <v>17566</v>
      </c>
      <c r="B13959" s="4" t="s">
        <v>17573</v>
      </c>
      <c r="C13959" s="5" t="str">
        <f>IFERROR(__xludf.DUMMYFUNCTION("GOOGLETRANSLATE(B13959,""en"",""it"")"),"Tocca lo strumento all'articolo ancora una volta.")</f>
        <v>Tocca lo strumento all'articolo ancora una volta.</v>
      </c>
    </row>
    <row r="13960">
      <c r="A13960" s="4" t="s">
        <v>17566</v>
      </c>
      <c r="B13960" s="4" t="s">
        <v>17574</v>
      </c>
      <c r="C13960" s="5" t="str">
        <f>IFERROR(__xludf.DUMMYFUNCTION("GOOGLETRANSLATE(B13960,""en"",""it"")"),"L'uomo guarda quindi lo strumento che sta usando e lo scuote un po 'prima di sederlo sul tavolo.")</f>
        <v>L'uomo guarda quindi lo strumento che sta usando e lo scuote un po 'prima di sederlo sul tavolo.</v>
      </c>
    </row>
    <row r="13961">
      <c r="A13961" s="4" t="s">
        <v>17566</v>
      </c>
      <c r="B13961" s="4" t="s">
        <v>17575</v>
      </c>
      <c r="C13961" s="5" t="str">
        <f>IFERROR(__xludf.DUMMYFUNCTION("GOOGLETRANSLATE(B13961,""en"",""it"")"),"L'uomo quindi rimuove uno dei suoi guanti e se ne va.")</f>
        <v>L'uomo quindi rimuove uno dei suoi guanti e se ne va.</v>
      </c>
    </row>
    <row r="13962">
      <c r="A13962" s="4" t="s">
        <v>17576</v>
      </c>
      <c r="B13962" s="6" t="s">
        <v>17577</v>
      </c>
      <c r="C13962" s="5" t="str">
        <f>IFERROR(__xludf.DUMMYFUNCTION("GOOGLETRANSLATE(B13962,""en"",""it"")"),"Un primo piano di palline che si muove attorno a un tavolo da biliardo è mostrato da una persona che cammina attorno al tavolo.")</f>
        <v>Un primo piano di palline che si muove attorno a un tavolo da biliardo è mostrato da una persona che cammina attorno al tavolo.</v>
      </c>
    </row>
    <row r="13963">
      <c r="A13963" s="4" t="s">
        <v>17576</v>
      </c>
      <c r="B13963" s="6" t="s">
        <v>17578</v>
      </c>
      <c r="C13963" s="5" t="str">
        <f>IFERROR(__xludf.DUMMYFUNCTION("GOOGLETRANSLATE(B13963,""en"",""it"")"),"Due uomini hanno quindi colpito le palle attorno al tavolo e quarto mentre molti guardano e reagiscono intorno a loro.")</f>
        <v>Due uomini hanno quindi colpito le palle attorno al tavolo e quarto mentre molti guardano e reagiscono intorno a loro.</v>
      </c>
    </row>
    <row r="13964">
      <c r="A13964" s="4" t="s">
        <v>17579</v>
      </c>
      <c r="B13964" s="4" t="s">
        <v>17580</v>
      </c>
      <c r="C13964" s="5" t="str">
        <f>IFERROR(__xludf.DUMMYFUNCTION("GOOGLETRANSLATE(B13964,""en"",""it"")"),"Un piccolo gruppo di persone è visto seduto in macchine per paraurti giocare tra loro.")</f>
        <v>Un piccolo gruppo di persone è visto seduto in macchine per paraurti giocare tra loro.</v>
      </c>
    </row>
    <row r="13965">
      <c r="A13965" s="4" t="s">
        <v>17579</v>
      </c>
      <c r="B13965" s="4" t="s">
        <v>17581</v>
      </c>
      <c r="C13965" s="5" t="str">
        <f>IFERROR(__xludf.DUMMYFUNCTION("GOOGLETRANSLATE(B13965,""en"",""it"")"),"Le persone che guidano in macchina mentre altri guardano sui lati.")</f>
        <v>Le persone che guidano in macchina mentre altri guardano sui lati.</v>
      </c>
    </row>
    <row r="13966">
      <c r="A13966" s="4" t="s">
        <v>17579</v>
      </c>
      <c r="B13966" s="4" t="s">
        <v>17582</v>
      </c>
      <c r="C13966" s="5" t="str">
        <f>IFERROR(__xludf.DUMMYFUNCTION("GOOGLETRANSLATE(B13966,""en"",""it"")"),"Un altro tiro viene mostrato da persone che giocano auto a paraurti e si schiantano l'una contro l'altra.")</f>
        <v>Un altro tiro viene mostrato da persone che giocano auto a paraurti e si schiantano l'una contro l'altra.</v>
      </c>
    </row>
    <row r="13967">
      <c r="A13967" s="4" t="s">
        <v>17583</v>
      </c>
      <c r="B13967" s="4" t="s">
        <v>17584</v>
      </c>
      <c r="C13967" s="5" t="str">
        <f>IFERROR(__xludf.DUMMYFUNCTION("GOOGLETRANSLATE(B13967,""en"",""it"")"),"Una ragazza si trova di fronte a uno specchio del bagno e si strofina vigorosamente il viso.")</f>
        <v>Una ragazza si trova di fronte a uno specchio del bagno e si strofina vigorosamente il viso.</v>
      </c>
    </row>
    <row r="13968">
      <c r="A13968" s="4" t="s">
        <v>17583</v>
      </c>
      <c r="B13968" s="4" t="s">
        <v>17585</v>
      </c>
      <c r="C13968" s="5" t="str">
        <f>IFERROR(__xludf.DUMMYFUNCTION("GOOGLETRANSLATE(B13968,""en"",""it"")"),"La ragazza accende il rubinetto.")</f>
        <v>La ragazza accende il rubinetto.</v>
      </c>
    </row>
    <row r="13969">
      <c r="A13969" s="4" t="s">
        <v>17583</v>
      </c>
      <c r="B13969" s="4" t="s">
        <v>17586</v>
      </c>
      <c r="C13969" s="5" t="str">
        <f>IFERROR(__xludf.DUMMYFUNCTION("GOOGLETRANSLATE(B13969,""en"",""it"")"),"La ragazza quindi schizza acqua sul viso più volte.")</f>
        <v>La ragazza quindi schizza acqua sul viso più volte.</v>
      </c>
    </row>
    <row r="13970">
      <c r="A13970" s="4" t="s">
        <v>17583</v>
      </c>
      <c r="B13970" s="4" t="s">
        <v>17587</v>
      </c>
      <c r="C13970" s="5" t="str">
        <f>IFERROR(__xludf.DUMMYFUNCTION("GOOGLETRANSLATE(B13970,""en"",""it"")"),"La ragazza si asciuga il viso con un asciugamano.")</f>
        <v>La ragazza si asciuga il viso con un asciugamano.</v>
      </c>
    </row>
    <row r="13971">
      <c r="A13971" s="4" t="s">
        <v>17588</v>
      </c>
      <c r="B13971" s="4" t="s">
        <v>17589</v>
      </c>
      <c r="C13971" s="5" t="str">
        <f>IFERROR(__xludf.DUMMYFUNCTION("GOOGLETRANSLATE(B13971,""en"",""it"")"),"Un'introduzione conduce in un uomo barbuto che parla con la telecamera e presenta un oggetto allo schermo.")</f>
        <v>Un'introduzione conduce in un uomo barbuto che parla con la telecamera e presenta un oggetto allo schermo.</v>
      </c>
    </row>
    <row r="13972">
      <c r="A13972" s="4" t="s">
        <v>17588</v>
      </c>
      <c r="B13972" s="4" t="s">
        <v>17590</v>
      </c>
      <c r="C13972" s="5" t="str">
        <f>IFERROR(__xludf.DUMMYFUNCTION("GOOGLETRANSLATE(B13972,""en"",""it"")"),"Usa lo strumento per spingere un'area del tappeto e continua a parlare con la fotocamera.")</f>
        <v>Usa lo strumento per spingere un'area del tappeto e continua a parlare con la fotocamera.</v>
      </c>
    </row>
    <row r="13973">
      <c r="A13973" s="4" t="s">
        <v>17591</v>
      </c>
      <c r="B13973" s="6" t="s">
        <v>17592</v>
      </c>
      <c r="C13973" s="5" t="str">
        <f>IFERROR(__xludf.DUMMYFUNCTION("GOOGLETRANSLATE(B13973,""en"",""it"")"),"Numerosi aquiloni a più colorati e sagomati volano in alto in aria sopra una spiaggia incastonata con immagini di persone che si preparano a far volare aquiloni e curiosi.")</f>
        <v>Numerosi aquiloni a più colorati e sagomati volano in alto in aria sopra una spiaggia incastonata con immagini di persone che si preparano a far volare aquiloni e curiosi.</v>
      </c>
    </row>
    <row r="13974">
      <c r="A13974" s="4" t="s">
        <v>17591</v>
      </c>
      <c r="B13974" s="4" t="s">
        <v>17593</v>
      </c>
      <c r="C13974" s="5" t="str">
        <f>IFERROR(__xludf.DUMMYFUNCTION("GOOGLETRANSLATE(B13974,""en"",""it"")"),"Diversi aquiloni volano in aria, in un cielo blu brillante, su una zona sabbiosa.")</f>
        <v>Diversi aquiloni volano in aria, in un cielo blu brillante, su una zona sabbiosa.</v>
      </c>
    </row>
    <row r="13975">
      <c r="A13975" s="4" t="s">
        <v>17591</v>
      </c>
      <c r="B13975" s="4" t="s">
        <v>17594</v>
      </c>
      <c r="C13975" s="5" t="str">
        <f>IFERROR(__xludf.DUMMYFUNCTION("GOOGLETRANSLATE(B13975,""en"",""it"")"),"Un uomo viene visto in ginocchio su alcune attrezzature nella sabbia.")</f>
        <v>Un uomo viene visto in ginocchio su alcune attrezzature nella sabbia.</v>
      </c>
    </row>
    <row r="13976">
      <c r="A13976" s="4" t="s">
        <v>17591</v>
      </c>
      <c r="B13976" s="4" t="s">
        <v>17595</v>
      </c>
      <c r="C13976" s="5" t="str">
        <f>IFERROR(__xludf.DUMMYFUNCTION("GOOGLETRANSLATE(B13976,""en"",""it"")"),"Più aquiloni volano mentre le persone guardano i vari stili di aquilone, tra cui un aquilone a forma di cane.")</f>
        <v>Più aquiloni volano mentre le persone guardano i vari stili di aquilone, tra cui un aquilone a forma di cane.</v>
      </c>
    </row>
    <row r="13977">
      <c r="A13977" s="4" t="s">
        <v>17596</v>
      </c>
      <c r="B13977" s="4" t="s">
        <v>17597</v>
      </c>
      <c r="C13977" s="5" t="str">
        <f>IFERROR(__xludf.DUMMYFUNCTION("GOOGLETRANSLATE(B13977,""en"",""it"")"),"Una signora si sdraia su un tappetino da yoga in una stanza di moquette e si siede mentre parla.")</f>
        <v>Una signora si sdraia su un tappetino da yoga in una stanza di moquette e si siede mentre parla.</v>
      </c>
    </row>
    <row r="13978">
      <c r="A13978" s="4" t="s">
        <v>17596</v>
      </c>
      <c r="B13978" s="4" t="s">
        <v>17598</v>
      </c>
      <c r="C13978" s="5" t="str">
        <f>IFERROR(__xludf.DUMMYFUNCTION("GOOGLETRANSLATE(B13978,""en"",""it"")"),"Un dito entra nello schermo.")</f>
        <v>Un dito entra nello schermo.</v>
      </c>
    </row>
    <row r="13979">
      <c r="A13979" s="4" t="s">
        <v>17596</v>
      </c>
      <c r="B13979" s="4" t="s">
        <v>17599</v>
      </c>
      <c r="C13979" s="5" t="str">
        <f>IFERROR(__xludf.DUMMYFUNCTION("GOOGLETRANSLATE(B13979,""en"",""it"")"),"La signora finisce e si ferma.")</f>
        <v>La signora finisce e si ferma.</v>
      </c>
    </row>
    <row r="13980">
      <c r="A13980" s="4" t="s">
        <v>17600</v>
      </c>
      <c r="B13980" s="6" t="s">
        <v>17601</v>
      </c>
      <c r="C13980" s="5" t="str">
        <f>IFERROR(__xludf.DUMMYFUNCTION("GOOGLETRANSLATE(B13980,""en"",""it"")"),"Viene mostrato un barista che parla alla telecamera mentre versa ghiaccio in un bicchiere e vari liquidi in un frullatore.")</f>
        <v>Viene mostrato un barista che parla alla telecamera mentre versa ghiaccio in un bicchiere e vari liquidi in un frullatore.</v>
      </c>
    </row>
    <row r="13981">
      <c r="A13981" s="4" t="s">
        <v>17600</v>
      </c>
      <c r="B13981" s="4" t="s">
        <v>17602</v>
      </c>
      <c r="C13981" s="5" t="str">
        <f>IFERROR(__xludf.DUMMYFUNCTION("GOOGLETRANSLATE(B13981,""en"",""it"")"),"Versa più ghiaccio nel frullatore e mescola tutti i liquidi tutti insieme.")</f>
        <v>Versa più ghiaccio nel frullatore e mescola tutti i liquidi tutti insieme.</v>
      </c>
    </row>
    <row r="13982">
      <c r="A13982" s="4" t="s">
        <v>17600</v>
      </c>
      <c r="B13982" s="4" t="s">
        <v>17603</v>
      </c>
      <c r="C13982" s="5" t="str">
        <f>IFERROR(__xludf.DUMMYFUNCTION("GOOGLETRANSLATE(B13982,""en"",""it"")"),"Versa il liquido e posiziona una cannuccia nel vetro mentre la fotocamera si muove intorno.")</f>
        <v>Versa il liquido e posiziona una cannuccia nel vetro mentre la fotocamera si muove intorno.</v>
      </c>
    </row>
    <row r="13983">
      <c r="A13983" s="4" t="s">
        <v>17604</v>
      </c>
      <c r="B13983" s="4" t="s">
        <v>17605</v>
      </c>
      <c r="C13983" s="5" t="str">
        <f>IFERROR(__xludf.DUMMYFUNCTION("GOOGLETRANSLATE(B13983,""en"",""it"")"),"Un uomo in palestra sta indossando un paio di guanti da boxe.")</f>
        <v>Un uomo in palestra sta indossando un paio di guanti da boxe.</v>
      </c>
    </row>
    <row r="13984">
      <c r="A13984" s="4" t="s">
        <v>17604</v>
      </c>
      <c r="B13984" s="4" t="s">
        <v>17606</v>
      </c>
      <c r="C13984" s="5" t="str">
        <f>IFERROR(__xludf.DUMMYFUNCTION("GOOGLETRANSLATE(B13984,""en"",""it"")"),"Comincia a dare un pugno alla borsa, andando in circolo mentre lo fa.")</f>
        <v>Comincia a dare un pugno alla borsa, andando in circolo mentre lo fa.</v>
      </c>
    </row>
    <row r="13985">
      <c r="A13985" s="4" t="s">
        <v>17604</v>
      </c>
      <c r="B13985" s="4" t="s">
        <v>17607</v>
      </c>
      <c r="C13985" s="5" t="str">
        <f>IFERROR(__xludf.DUMMYFUNCTION("GOOGLETRANSLATE(B13985,""en"",""it"")"),"Continua a prendere a pugni, poi vediamo una leggera vista di un uomo che salta la corda.")</f>
        <v>Continua a prendere a pugni, poi vediamo una leggera vista di un uomo che salta la corda.</v>
      </c>
    </row>
    <row r="13986">
      <c r="A13986" s="4" t="s">
        <v>17608</v>
      </c>
      <c r="B13986" s="4" t="s">
        <v>17609</v>
      </c>
      <c r="C13986" s="5" t="str">
        <f>IFERROR(__xludf.DUMMYFUNCTION("GOOGLETRANSLATE(B13986,""en"",""it"")"),"Vediamo un logo di apertura nero.")</f>
        <v>Vediamo un logo di apertura nero.</v>
      </c>
    </row>
    <row r="13987">
      <c r="A13987" s="4" t="s">
        <v>17608</v>
      </c>
      <c r="B13987" s="4" t="s">
        <v>17610</v>
      </c>
      <c r="C13987" s="5" t="str">
        <f>IFERROR(__xludf.DUMMYFUNCTION("GOOGLETRANSLATE(B13987,""en"",""it"")"),"Un uomo incide una zucca con un coltello simile a un coltello.")</f>
        <v>Un uomo incide una zucca con un coltello simile a un coltello.</v>
      </c>
    </row>
    <row r="13988">
      <c r="A13988" s="4" t="s">
        <v>17608</v>
      </c>
      <c r="B13988" s="4" t="s">
        <v>17611</v>
      </c>
      <c r="C13988" s="5" t="str">
        <f>IFERROR(__xludf.DUMMYFUNCTION("GOOGLETRANSLATE(B13988,""en"",""it"")"),"L'uomo quindi scolpisce un logo nella zucca.")</f>
        <v>L'uomo quindi scolpisce un logo nella zucca.</v>
      </c>
    </row>
    <row r="13989">
      <c r="A13989" s="4" t="s">
        <v>17608</v>
      </c>
      <c r="B13989" s="4" t="s">
        <v>17612</v>
      </c>
      <c r="C13989" s="5" t="str">
        <f>IFERROR(__xludf.DUMMYFUNCTION("GOOGLETRANSLATE(B13989,""en"",""it"")"),"Vediamo la zucca con una luce al suo interno.")</f>
        <v>Vediamo la zucca con una luce al suo interno.</v>
      </c>
    </row>
    <row r="13990">
      <c r="A13990" s="4" t="s">
        <v>17608</v>
      </c>
      <c r="B13990" s="4" t="s">
        <v>17613</v>
      </c>
      <c r="C13990" s="5" t="str">
        <f>IFERROR(__xludf.DUMMYFUNCTION("GOOGLETRANSLATE(B13990,""en"",""it"")"),"Vediamo quindi lo stesso logo di Open.")</f>
        <v>Vediamo quindi lo stesso logo di Open.</v>
      </c>
    </row>
    <row r="13991">
      <c r="A13991" s="4" t="s">
        <v>17614</v>
      </c>
      <c r="B13991" s="4" t="s">
        <v>17615</v>
      </c>
      <c r="C13991" s="5" t="str">
        <f>IFERROR(__xludf.DUMMYFUNCTION("GOOGLETRANSLATE(B13991,""en"",""it"")"),"Un uomo e una donna che indossano le lame a rulli si inginocchiano uno su un campo da basket.")</f>
        <v>Un uomo e una donna che indossano le lame a rulli si inginocchiano uno su un campo da basket.</v>
      </c>
    </row>
    <row r="13992">
      <c r="A13992" s="4" t="s">
        <v>17614</v>
      </c>
      <c r="B13992" s="4" t="s">
        <v>17616</v>
      </c>
      <c r="C13992" s="5" t="str">
        <f>IFERROR(__xludf.DUMMYFUNCTION("GOOGLETRANSLATE(B13992,""en"",""it"")"),"Un cane corre dall'uomo e dalla donna.")</f>
        <v>Un cane corre dall'uomo e dalla donna.</v>
      </c>
    </row>
    <row r="13993">
      <c r="A13993" s="4" t="s">
        <v>17614</v>
      </c>
      <c r="B13993" s="4" t="s">
        <v>17617</v>
      </c>
      <c r="C13993" s="5" t="str">
        <f>IFERROR(__xludf.DUMMYFUNCTION("GOOGLETRANSLATE(B13993,""en"",""it"")"),"L'uomo e la donna si alzano insieme.")</f>
        <v>L'uomo e la donna si alzano insieme.</v>
      </c>
    </row>
    <row r="13994">
      <c r="A13994" s="4" t="s">
        <v>17614</v>
      </c>
      <c r="B13994" s="4" t="s">
        <v>17618</v>
      </c>
      <c r="C13994" s="5" t="str">
        <f>IFERROR(__xludf.DUMMYFUNCTION("GOOGLETRANSLATE(B13994,""en"",""it"")"),"L'uomo e la donna eseguono una routine di lama a rulli abbinata.")</f>
        <v>L'uomo e la donna eseguono una routine di lama a rulli abbinata.</v>
      </c>
    </row>
    <row r="13995">
      <c r="A13995" s="4" t="s">
        <v>17614</v>
      </c>
      <c r="B13995" s="4" t="s">
        <v>17619</v>
      </c>
      <c r="C13995" s="5" t="str">
        <f>IFERROR(__xludf.DUMMYFUNCTION("GOOGLETRANSLATE(B13995,""en"",""it"")"),"L'uomo e la donna finiscono la routine e si spostano verso la telecamera.")</f>
        <v>L'uomo e la donna finiscono la routine e si spostano verso la telecamera.</v>
      </c>
    </row>
    <row r="13996">
      <c r="A13996" s="4" t="s">
        <v>17620</v>
      </c>
      <c r="B13996" s="4" t="s">
        <v>17621</v>
      </c>
      <c r="C13996" s="5" t="str">
        <f>IFERROR(__xludf.DUMMYFUNCTION("GOOGLETRANSLATE(B13996,""en"",""it"")"),"Viene visto un uomo parlare alla telecamera e porta a lui suonando su una serie di tamburi.")</f>
        <v>Viene visto un uomo parlare alla telecamera e porta a lui suonando su una serie di tamburi.</v>
      </c>
    </row>
    <row r="13997">
      <c r="A13997" s="4" t="s">
        <v>17620</v>
      </c>
      <c r="B13997" s="6" t="s">
        <v>17622</v>
      </c>
      <c r="C13997" s="5" t="str">
        <f>IFERROR(__xludf.DUMMYFUNCTION("GOOGLETRANSLATE(B13997,""en"",""it"")"),"L'uomo continua a parlare con la telecamera con le mani e muovendo i bastoncini mentre si guarda intorno.")</f>
        <v>L'uomo continua a parlare con la telecamera con le mani e muovendo i bastoncini mentre si guarda intorno.</v>
      </c>
    </row>
    <row r="13998">
      <c r="A13998" s="4" t="s">
        <v>17623</v>
      </c>
      <c r="B13998" s="4" t="s">
        <v>17624</v>
      </c>
      <c r="C13998" s="5" t="str">
        <f>IFERROR(__xludf.DUMMYFUNCTION("GOOGLETRANSLATE(B13998,""en"",""it"")"),"L'ospite entra in un negozio di armi e balla in giro.")</f>
        <v>L'ospite entra in un negozio di armi e balla in giro.</v>
      </c>
    </row>
    <row r="13999">
      <c r="A13999" s="4" t="s">
        <v>17623</v>
      </c>
      <c r="B13999" s="4" t="s">
        <v>17625</v>
      </c>
      <c r="C13999" s="5" t="str">
        <f>IFERROR(__xludf.DUMMYFUNCTION("GOOGLETRANSLATE(B13999,""en"",""it"")"),"Successivamente le opere teatrali per lo spettacolo.")</f>
        <v>Successivamente le opere teatrali per lo spettacolo.</v>
      </c>
    </row>
    <row r="14000">
      <c r="A14000" s="4" t="s">
        <v>17623</v>
      </c>
      <c r="B14000" s="4" t="s">
        <v>17626</v>
      </c>
      <c r="C14000" s="5" t="str">
        <f>IFERROR(__xludf.DUMMYFUNCTION("GOOGLETRANSLATE(B14000,""en"",""it"")"),"Quindi continua a parlare per un po 'nel negozio e gioca con una pistola su alcuni tagli.")</f>
        <v>Quindi continua a parlare per un po 'nel negozio e gioca con una pistola su alcuni tagli.</v>
      </c>
    </row>
    <row r="14001">
      <c r="A14001" s="4" t="s">
        <v>17623</v>
      </c>
      <c r="B14001" s="4" t="s">
        <v>17627</v>
      </c>
      <c r="C14001" s="5" t="str">
        <f>IFERROR(__xludf.DUMMYFUNCTION("GOOGLETRANSLATE(B14001,""en"",""it"")"),"Successivamente un outro per il segmento gioca con crediti.")</f>
        <v>Successivamente un outro per il segmento gioca con crediti.</v>
      </c>
    </row>
    <row r="14002">
      <c r="A14002" s="4" t="s">
        <v>17628</v>
      </c>
      <c r="B14002" s="4" t="s">
        <v>17629</v>
      </c>
      <c r="C14002" s="5" t="str">
        <f>IFERROR(__xludf.DUMMYFUNCTION("GOOGLETRANSLATE(B14002,""en"",""it"")"),"Una telecamera si allontana da una spiaggia seguita da centinaia di persone che remano canoe.")</f>
        <v>Una telecamera si allontana da una spiaggia seguita da centinaia di persone che remano canoe.</v>
      </c>
    </row>
    <row r="14003">
      <c r="A14003" s="4" t="s">
        <v>17628</v>
      </c>
      <c r="B14003" s="6" t="s">
        <v>17630</v>
      </c>
      <c r="C14003" s="5" t="str">
        <f>IFERROR(__xludf.DUMMYFUNCTION("GOOGLETRANSLATE(B14003,""en"",""it"")"),"Le persone sono viste correre lungo la spiaggia e remare le canoe e un uomo seduto a un tavolo.")</f>
        <v>Le persone sono viste correre lungo la spiaggia e remare le canoe e un uomo seduto a un tavolo.</v>
      </c>
    </row>
    <row r="14004">
      <c r="A14004" s="4" t="s">
        <v>17628</v>
      </c>
      <c r="B14004" s="6" t="s">
        <v>17631</v>
      </c>
      <c r="C14004" s="5" t="str">
        <f>IFERROR(__xludf.DUMMYFUNCTION("GOOGLETRANSLATE(B14004,""en"",""it"")"),"L'uomo controlla il suo telefono e si guarda in lontananza e viene mostrata un'altra scatto di canoa.")</f>
        <v>L'uomo controlla il suo telefono e si guarda in lontananza e viene mostrata un'altra scatto di canoa.</v>
      </c>
    </row>
    <row r="14005">
      <c r="A14005" s="4" t="s">
        <v>17632</v>
      </c>
      <c r="B14005" s="4" t="s">
        <v>17633</v>
      </c>
      <c r="C14005" s="5" t="str">
        <f>IFERROR(__xludf.DUMMYFUNCTION("GOOGLETRANSLATE(B14005,""en"",""it"")"),"Vediamo il titolo sullo schermo nero.")</f>
        <v>Vediamo il titolo sullo schermo nero.</v>
      </c>
    </row>
    <row r="14006">
      <c r="A14006" s="4" t="s">
        <v>17632</v>
      </c>
      <c r="B14006" s="4" t="s">
        <v>17634</v>
      </c>
      <c r="C14006" s="5" t="str">
        <f>IFERROR(__xludf.DUMMYFUNCTION("GOOGLETRANSLATE(B14006,""en"",""it"")"),"Vediamo strumenti e muro con il nome della scuola.")</f>
        <v>Vediamo strumenti e muro con il nome della scuola.</v>
      </c>
    </row>
    <row r="14007">
      <c r="A14007" s="4" t="s">
        <v>17632</v>
      </c>
      <c r="B14007" s="4" t="s">
        <v>17635</v>
      </c>
      <c r="C14007" s="5" t="str">
        <f>IFERROR(__xludf.DUMMYFUNCTION("GOOGLETRANSLATE(B14007,""en"",""it"")"),"Le persone vengono mostrate riscaldamenti.")</f>
        <v>Le persone vengono mostrate riscaldamenti.</v>
      </c>
    </row>
    <row r="14008">
      <c r="A14008" s="4" t="s">
        <v>17632</v>
      </c>
      <c r="B14008" s="4" t="s">
        <v>17636</v>
      </c>
      <c r="C14008" s="5" t="str">
        <f>IFERROR(__xludf.DUMMYFUNCTION("GOOGLETRANSLATE(B14008,""en"",""it"")"),"Ci viene quindi mostrata la tecnica Capoeira.")</f>
        <v>Ci viene quindi mostrata la tecnica Capoeira.</v>
      </c>
    </row>
    <row r="14009">
      <c r="A14009" s="4" t="s">
        <v>17632</v>
      </c>
      <c r="B14009" s="4" t="s">
        <v>17637</v>
      </c>
      <c r="C14009" s="5" t="str">
        <f>IFERROR(__xludf.DUMMYFUNCTION("GOOGLETRANSLATE(B14009,""en"",""it"")"),"Le persone praticano le mosse di Capoeira.")</f>
        <v>Le persone praticano le mosse di Capoeira.</v>
      </c>
    </row>
    <row r="14010">
      <c r="A14010" s="4" t="s">
        <v>17632</v>
      </c>
      <c r="B14010" s="4" t="s">
        <v>17638</v>
      </c>
      <c r="C14010" s="5" t="str">
        <f>IFERROR(__xludf.DUMMYFUNCTION("GOOGLETRANSLATE(B14010,""en"",""it"")"),"Le donne stanno spiegando perché hanno scelto Capoeira.")</f>
        <v>Le donne stanno spiegando perché hanno scelto Capoeira.</v>
      </c>
    </row>
    <row r="14011">
      <c r="A14011" s="4" t="s">
        <v>17632</v>
      </c>
      <c r="B14011" s="4" t="s">
        <v>17639</v>
      </c>
      <c r="C14011" s="5" t="str">
        <f>IFERROR(__xludf.DUMMYFUNCTION("GOOGLETRANSLATE(B14011,""en"",""it"")"),"Ci viene mostrata la scheda finale per il sito Web.")</f>
        <v>Ci viene mostrata la scheda finale per il sito Web.</v>
      </c>
    </row>
    <row r="14012">
      <c r="A14012" s="4" t="s">
        <v>17640</v>
      </c>
      <c r="B14012" s="4" t="s">
        <v>17641</v>
      </c>
      <c r="C14012" s="5" t="str">
        <f>IFERROR(__xludf.DUMMYFUNCTION("GOOGLETRANSLATE(B14012,""en"",""it"")"),"Un uomo diffonde un foglio bianco su un muro.")</f>
        <v>Un uomo diffonde un foglio bianco su un muro.</v>
      </c>
    </row>
    <row r="14013">
      <c r="A14013" s="4" t="s">
        <v>17640</v>
      </c>
      <c r="B14013" s="4" t="s">
        <v>17642</v>
      </c>
      <c r="C14013" s="5" t="str">
        <f>IFERROR(__xludf.DUMMYFUNCTION("GOOGLETRANSLATE(B14013,""en"",""it"")"),"Quindi preme un foglio con una foto stampata su di esso sullo sfondo bianco.")</f>
        <v>Quindi preme un foglio con una foto stampata su di esso sullo sfondo bianco.</v>
      </c>
    </row>
    <row r="14014">
      <c r="A14014" s="4" t="s">
        <v>17640</v>
      </c>
      <c r="B14014" s="6" t="s">
        <v>17643</v>
      </c>
      <c r="C14014" s="5" t="str">
        <f>IFERROR(__xludf.DUMMYFUNCTION("GOOGLETRANSLATE(B14014,""en"",""it"")"),"Quando è finito, c'è una foto di una moto gialla parcheggiata contro un muro di mattoni su un muro del soggiorno.")</f>
        <v>Quando è finito, c'è una foto di una moto gialla parcheggiata contro un muro di mattoni su un muro del soggiorno.</v>
      </c>
    </row>
    <row r="14015">
      <c r="A14015" s="4" t="s">
        <v>17644</v>
      </c>
      <c r="B14015" s="4" t="s">
        <v>17645</v>
      </c>
      <c r="C14015" s="5" t="str">
        <f>IFERROR(__xludf.DUMMYFUNCTION("GOOGLETRANSLATE(B14015,""en"",""it"")"),"Un uomo è in piedi di fronte a un armadio mentre parla.")</f>
        <v>Un uomo è in piedi di fronte a un armadio mentre parla.</v>
      </c>
    </row>
    <row r="14016">
      <c r="A14016" s="4" t="s">
        <v>17644</v>
      </c>
      <c r="B14016" s="4" t="s">
        <v>17646</v>
      </c>
      <c r="C14016" s="5" t="str">
        <f>IFERROR(__xludf.DUMMYFUNCTION("GOOGLETRANSLATE(B14016,""en"",""it"")"),"C'è un primo piano dell'Armoire, che dura la sua lunghezza.")</f>
        <v>C'è un primo piano dell'Armoire, che dura la sua lunghezza.</v>
      </c>
    </row>
    <row r="14017">
      <c r="A14017" s="4" t="s">
        <v>17644</v>
      </c>
      <c r="B14017" s="4" t="s">
        <v>17647</v>
      </c>
      <c r="C14017" s="5" t="str">
        <f>IFERROR(__xludf.DUMMYFUNCTION("GOOGLETRANSLATE(B14017,""en"",""it"")"),"L'uomo tocca diverse crepe e patatine nel legno, parlando di loro.")</f>
        <v>L'uomo tocca diverse crepe e patatine nel legno, parlando di loro.</v>
      </c>
    </row>
    <row r="14018">
      <c r="A14018" s="4" t="s">
        <v>17644</v>
      </c>
      <c r="B14018" s="4" t="s">
        <v>17648</v>
      </c>
      <c r="C14018" s="5" t="str">
        <f>IFERROR(__xludf.DUMMYFUNCTION("GOOGLETRANSLATE(B14018,""en"",""it"")"),"Diversi articoli per la casa sono mostrati individualmente sullo schermo.")</f>
        <v>Diversi articoli per la casa sono mostrati individualmente sullo schermo.</v>
      </c>
    </row>
    <row r="14019">
      <c r="A14019" s="4" t="s">
        <v>17644</v>
      </c>
      <c r="B14019" s="4" t="s">
        <v>17649</v>
      </c>
      <c r="C14019" s="5" t="str">
        <f>IFERROR(__xludf.DUMMYFUNCTION("GOOGLETRANSLATE(B14019,""en"",""it"")"),"L'uomo usa gli oggetti per raschiare, pulire e coprire le crepe e i graffi.")</f>
        <v>L'uomo usa gli oggetti per raschiare, pulire e coprire le crepe e i graffi.</v>
      </c>
    </row>
    <row r="14020">
      <c r="A14020" s="4" t="s">
        <v>17644</v>
      </c>
      <c r="B14020" s="6" t="s">
        <v>17650</v>
      </c>
      <c r="C14020" s="5" t="str">
        <f>IFERROR(__xludf.DUMMYFUNCTION("GOOGLETRANSLATE(B14020,""en"",""it"")"),"Il prodotto finito, privo di crepe e graffi, è mostrato mentre l'uomo dice le sue ultime parole alla telecamera.")</f>
        <v>Il prodotto finito, privo di crepe e graffi, è mostrato mentre l'uomo dice le sue ultime parole alla telecamera.</v>
      </c>
    </row>
    <row r="14021">
      <c r="A14021" s="4" t="s">
        <v>17651</v>
      </c>
      <c r="B14021" s="4" t="s">
        <v>17652</v>
      </c>
      <c r="C14021" s="5" t="str">
        <f>IFERROR(__xludf.DUMMYFUNCTION("GOOGLETRANSLATE(B14021,""en"",""it"")"),"Un uomo è seduto a un pianoforte.")</f>
        <v>Un uomo è seduto a un pianoforte.</v>
      </c>
    </row>
    <row r="14022">
      <c r="A14022" s="4" t="s">
        <v>17651</v>
      </c>
      <c r="B14022" s="4" t="s">
        <v>17653</v>
      </c>
      <c r="C14022" s="5" t="str">
        <f>IFERROR(__xludf.DUMMYFUNCTION("GOOGLETRANSLATE(B14022,""en"",""it"")"),"Comincia a suonare una melodia, guardando avanti e indietro alle chiavi mentre suona.")</f>
        <v>Comincia a suonare una melodia, guardando avanti e indietro alle chiavi mentre suona.</v>
      </c>
    </row>
    <row r="14023">
      <c r="A14023" s="4" t="s">
        <v>17651</v>
      </c>
      <c r="B14023" s="4" t="s">
        <v>17654</v>
      </c>
      <c r="C14023" s="5" t="str">
        <f>IFERROR(__xludf.DUMMYFUNCTION("GOOGLETRANSLATE(B14023,""en"",""it"")"),"Si ferma, girando la testa e parlando.")</f>
        <v>Si ferma, girando la testa e parlando.</v>
      </c>
    </row>
    <row r="14024">
      <c r="A14024" s="4" t="s">
        <v>17655</v>
      </c>
      <c r="B14024" s="4" t="s">
        <v>17656</v>
      </c>
      <c r="C14024" s="5" t="str">
        <f>IFERROR(__xludf.DUMMYFUNCTION("GOOGLETRANSLATE(B14024,""en"",""it"")"),"Un uomo che indossa una camicia blu scuro e lo sfoggia una treccia inizia a giocare ai bongos.")</f>
        <v>Un uomo che indossa una camicia blu scuro e lo sfoggia una treccia inizia a giocare ai bongos.</v>
      </c>
    </row>
    <row r="14025">
      <c r="A14025" s="4" t="s">
        <v>17655</v>
      </c>
      <c r="B14025" s="4" t="s">
        <v>17657</v>
      </c>
      <c r="C14025" s="5" t="str">
        <f>IFERROR(__xludf.DUMMYFUNCTION("GOOGLETRANSLATE(B14025,""en"",""it"")"),"Comincia a tamburi sui Bongos per un battito mentre scuote la testa ritmicamente.")</f>
        <v>Comincia a tamburi sui Bongos per un battito mentre scuote la testa ritmicamente.</v>
      </c>
    </row>
    <row r="14026">
      <c r="A14026" s="4" t="s">
        <v>17655</v>
      </c>
      <c r="B14026" s="4" t="s">
        <v>17658</v>
      </c>
      <c r="C14026" s="5" t="str">
        <f>IFERROR(__xludf.DUMMYFUNCTION("GOOGLETRANSLATE(B14026,""en"",""it"")"),"Continua a suonare i bongos alternati tra i due tamburi.")</f>
        <v>Continua a suonare i bongos alternati tra i due tamburi.</v>
      </c>
    </row>
    <row r="14027">
      <c r="A14027" s="4" t="s">
        <v>17655</v>
      </c>
      <c r="B14027" s="4" t="s">
        <v>17659</v>
      </c>
      <c r="C14027" s="5" t="str">
        <f>IFERROR(__xludf.DUMMYFUNCTION("GOOGLETRANSLATE(B14027,""en"",""it"")"),"Gioca per un po 'di tempo e poi smette di suonare i bongos.")</f>
        <v>Gioca per un po 'di tempo e poi smette di suonare i bongos.</v>
      </c>
    </row>
    <row r="14028">
      <c r="A14028" s="4" t="s">
        <v>17660</v>
      </c>
      <c r="B14028" s="4" t="s">
        <v>17661</v>
      </c>
      <c r="C14028" s="5" t="str">
        <f>IFERROR(__xludf.DUMMYFUNCTION("GOOGLETRANSLATE(B14028,""en"",""it"")"),"Un folto gruppo di persone è visto seduto all'interno di una zattera e remellarsi lungo un fiume ruvido.")</f>
        <v>Un folto gruppo di persone è visto seduto all'interno di una zattera e remellarsi lungo un fiume ruvido.</v>
      </c>
    </row>
    <row r="14029">
      <c r="A14029" s="4" t="s">
        <v>17660</v>
      </c>
      <c r="B14029" s="6" t="s">
        <v>17662</v>
      </c>
      <c r="C14029" s="5" t="str">
        <f>IFERROR(__xludf.DUMMYFUNCTION("GOOGLETRANSLATE(B14029,""en"",""it"")"),"La telecamera si muove tutt'intorno alle persone sedute nella zattera e continuano a muoversi e muoversi sotto un ponte.")</f>
        <v>La telecamera si muove tutt'intorno alle persone sedute nella zattera e continuano a muoversi e muoversi sotto un ponte.</v>
      </c>
    </row>
    <row r="14030">
      <c r="A14030" s="4" t="s">
        <v>17663</v>
      </c>
      <c r="B14030" s="4" t="s">
        <v>1487</v>
      </c>
      <c r="C14030" s="5" t="str">
        <f>IFERROR(__xludf.DUMMYFUNCTION("GOOGLETRANSLATE(B14030,""en"",""it"")"),"Vediamo una schermata del titolo di apertura.")</f>
        <v>Vediamo una schermata del titolo di apertura.</v>
      </c>
    </row>
    <row r="14031">
      <c r="A14031" s="4" t="s">
        <v>17663</v>
      </c>
      <c r="B14031" s="4" t="s">
        <v>17664</v>
      </c>
      <c r="C14031" s="5" t="str">
        <f>IFERROR(__xludf.DUMMYFUNCTION("GOOGLETRANSLATE(B14031,""en"",""it"")"),"Vediamo parlare un giornalista.")</f>
        <v>Vediamo parlare un giornalista.</v>
      </c>
    </row>
    <row r="14032">
      <c r="A14032" s="4" t="s">
        <v>17663</v>
      </c>
      <c r="B14032" s="6" t="s">
        <v>17665</v>
      </c>
      <c r="C14032" s="5" t="str">
        <f>IFERROR(__xludf.DUMMYFUNCTION("GOOGLETRANSLATE(B14032,""en"",""it"")"),"Vediamo un uomo in una stanza, poi una lotta e uomini in un ufficio prima di più combattimenti in un film d'azione.")</f>
        <v>Vediamo un uomo in una stanza, poi una lotta e uomini in un ufficio prima di più combattimenti in un film d'azione.</v>
      </c>
    </row>
    <row r="14033">
      <c r="A14033" s="4" t="s">
        <v>17663</v>
      </c>
      <c r="B14033" s="4" t="s">
        <v>17666</v>
      </c>
      <c r="C14033" s="5" t="str">
        <f>IFERROR(__xludf.DUMMYFUNCTION("GOOGLETRANSLATE(B14033,""en"",""it"")"),"Torniamo al giornalista mentre discute un film di supereroi.")</f>
        <v>Torniamo al giornalista mentre discute un film di supereroi.</v>
      </c>
    </row>
    <row r="14034">
      <c r="A14034" s="4" t="s">
        <v>17663</v>
      </c>
      <c r="B14034" s="4" t="s">
        <v>17667</v>
      </c>
      <c r="C14034" s="5" t="str">
        <f>IFERROR(__xludf.DUMMYFUNCTION("GOOGLETRANSLATE(B14034,""en"",""it"")"),"Il suo schermo cambia nella schermata del titolo.")</f>
        <v>Il suo schermo cambia nella schermata del titolo.</v>
      </c>
    </row>
    <row r="14035">
      <c r="A14035" s="4" t="s">
        <v>17668</v>
      </c>
      <c r="B14035" s="4" t="s">
        <v>17669</v>
      </c>
      <c r="C14035" s="5" t="str">
        <f>IFERROR(__xludf.DUMMYFUNCTION("GOOGLETRANSLATE(B14035,""en"",""it"")"),"Una giovane donna viene vista entrare nel telaio colpire una palla intorno a una stanza.")</f>
        <v>Una giovane donna viene vista entrare nel telaio colpire una palla intorno a una stanza.</v>
      </c>
    </row>
    <row r="14036">
      <c r="A14036" s="4" t="s">
        <v>17668</v>
      </c>
      <c r="B14036" s="4" t="s">
        <v>17670</v>
      </c>
      <c r="C14036" s="5" t="str">
        <f>IFERROR(__xludf.DUMMYFUNCTION("GOOGLETRANSLATE(B14036,""en"",""it"")"),"La ragazza cammina per la stanza e la quarta mentre tiene una racchetta da tennis e colpisce una palla.")</f>
        <v>La ragazza cammina per la stanza e la quarta mentre tiene una racchetta da tennis e colpisce una palla.</v>
      </c>
    </row>
    <row r="14037">
      <c r="A14037" s="4" t="s">
        <v>17668</v>
      </c>
      <c r="B14037" s="4" t="s">
        <v>17671</v>
      </c>
      <c r="C14037" s="5" t="str">
        <f>IFERROR(__xludf.DUMMYFUNCTION("GOOGLETRANSLATE(B14037,""en"",""it"")"),"La ragazza continua a colpire la palla mentre la fotocamera osserva.")</f>
        <v>La ragazza continua a colpire la palla mentre la fotocamera osserva.</v>
      </c>
    </row>
    <row r="14038">
      <c r="A14038" s="4" t="s">
        <v>17672</v>
      </c>
      <c r="B14038" s="4" t="s">
        <v>17673</v>
      </c>
      <c r="C14038" s="5" t="str">
        <f>IFERROR(__xludf.DUMMYFUNCTION("GOOGLETRANSLATE(B14038,""en"",""it"")"),"Ci sono due cani da hot dog marroni in piedi in un cancello che si trova alla fine di una scala.")</f>
        <v>Ci sono due cani da hot dog marroni in piedi in un cancello che si trova alla fine di una scala.</v>
      </c>
    </row>
    <row r="14039">
      <c r="A14039" s="4" t="s">
        <v>17672</v>
      </c>
      <c r="B14039" s="6" t="s">
        <v>17674</v>
      </c>
      <c r="C14039" s="5" t="str">
        <f>IFERROR(__xludf.DUMMYFUNCTION("GOOGLETRANSLATE(B14039,""en"",""it"")"),"Uno dei cani più vicini al cancello aprirà il cancello ed entrambi i cani salgono su per le scale a un ritmo molto veloce mentre la persona che li corre.")</f>
        <v>Uno dei cani più vicini al cancello aprirà il cancello ed entrambi i cani salgono su per le scale a un ritmo molto veloce mentre la persona che li corre.</v>
      </c>
    </row>
    <row r="14040">
      <c r="A14040" s="4" t="s">
        <v>17672</v>
      </c>
      <c r="B14040" s="6" t="s">
        <v>17675</v>
      </c>
      <c r="C14040" s="5" t="str">
        <f>IFERROR(__xludf.DUMMYFUNCTION("GOOGLETRANSLATE(B14040,""en"",""it"")"),"I cani sono così veloci che la persona della telecamera non riesce a stare al passo con loro e quando li trovano, i cani si stanno impegnando molto per entrare in una vasca da bagno che ha acqua.")</f>
        <v>I cani sono così veloci che la persona della telecamera non riesce a stare al passo con loro e quando li trovano, i cani si stanno impegnando molto per entrare in una vasca da bagno che ha acqua.</v>
      </c>
    </row>
    <row r="14041">
      <c r="A14041" s="4" t="s">
        <v>17672</v>
      </c>
      <c r="B14041" s="6" t="s">
        <v>17676</v>
      </c>
      <c r="C14041" s="5" t="str">
        <f>IFERROR(__xludf.DUMMYFUNCTION("GOOGLETRANSLATE(B14041,""en"",""it"")"),"Il primo cane riesce a saltare e inizia a nuotare in acqua, e l'altro cane non può entrare e continua a saltare e lottare fino a quando la persona della telecamera non mette il cane nella vasca e ora entrambi i cani giocano e nuotano felicemente nel acqua"&amp;".")</f>
        <v>Il primo cane riesce a saltare e inizia a nuotare in acqua, e l'altro cane non può entrare e continua a saltare e lottare fino a quando la persona della telecamera non mette il cane nella vasca e ora entrambi i cani giocano e nuotano felicemente nel acqua.</v>
      </c>
    </row>
    <row r="14042">
      <c r="A14042" s="4" t="s">
        <v>17677</v>
      </c>
      <c r="B14042" s="4" t="s">
        <v>17678</v>
      </c>
      <c r="C14042" s="5" t="str">
        <f>IFERROR(__xludf.DUMMYFUNCTION("GOOGLETRANSLATE(B14042,""en"",""it"")"),"Un'ancora di notizie televisive riporta una storia.")</f>
        <v>Un'ancora di notizie televisive riporta una storia.</v>
      </c>
    </row>
    <row r="14043">
      <c r="A14043" s="4" t="s">
        <v>17677</v>
      </c>
      <c r="B14043" s="4" t="s">
        <v>17679</v>
      </c>
      <c r="C14043" s="5" t="str">
        <f>IFERROR(__xludf.DUMMYFUNCTION("GOOGLETRANSLATE(B14043,""en"",""it"")"),"Una varietà di persone viene mostrata guardando le loro mani, mentre il rapporto parla di germi.")</f>
        <v>Una varietà di persone viene mostrata guardando le loro mani, mentre il rapporto parla di germi.</v>
      </c>
    </row>
    <row r="14044">
      <c r="A14044" s="4" t="s">
        <v>17677</v>
      </c>
      <c r="B14044" s="4" t="s">
        <v>17680</v>
      </c>
      <c r="C14044" s="5" t="str">
        <f>IFERROR(__xludf.DUMMYFUNCTION("GOOGLETRANSLATE(B14044,""en"",""it"")"),"Viene visualizzata un'ancora di notizie televisive.")</f>
        <v>Viene visualizzata un'ancora di notizie televisive.</v>
      </c>
    </row>
    <row r="14045">
      <c r="A14045" s="4" t="s">
        <v>17681</v>
      </c>
      <c r="B14045" s="4" t="s">
        <v>17682</v>
      </c>
      <c r="C14045" s="5" t="str">
        <f>IFERROR(__xludf.DUMMYFUNCTION("GOOGLETRANSLATE(B14045,""en"",""it"")"),"Le persone cavalcano cammelli attraverso il deserto.")</f>
        <v>Le persone cavalcano cammelli attraverso il deserto.</v>
      </c>
    </row>
    <row r="14046">
      <c r="A14046" s="4" t="s">
        <v>17681</v>
      </c>
      <c r="B14046" s="4" t="s">
        <v>17683</v>
      </c>
      <c r="C14046" s="5" t="str">
        <f>IFERROR(__xludf.DUMMYFUNCTION("GOOGLETRANSLATE(B14046,""en"",""it"")"),"Una persona che trasporta una macchina fotografica o un bagaglio con uno dei gruppi.")</f>
        <v>Una persona che trasporta una macchina fotografica o un bagaglio con uno dei gruppi.</v>
      </c>
    </row>
    <row r="14047">
      <c r="A14047" s="4" t="s">
        <v>17681</v>
      </c>
      <c r="B14047" s="4" t="s">
        <v>17684</v>
      </c>
      <c r="C14047" s="5" t="str">
        <f>IFERROR(__xludf.DUMMYFUNCTION("GOOGLETRANSLATE(B14047,""en"",""it"")"),"Il primo gruppo di cammelli inizia a tornare alla telecamera.")</f>
        <v>Il primo gruppo di cammelli inizia a tornare alla telecamera.</v>
      </c>
    </row>
    <row r="14048">
      <c r="A14048" s="4" t="s">
        <v>17685</v>
      </c>
      <c r="B14048" s="4" t="s">
        <v>17686</v>
      </c>
      <c r="C14048" s="5" t="str">
        <f>IFERROR(__xludf.DUMMYFUNCTION("GOOGLETRANSLATE(B14048,""en"",""it"")"),"Un gruppo di bambine e ragazzi sono vestiti come principesse e principi.")</f>
        <v>Un gruppo di bambine e ragazzi sono vestiti come principesse e principi.</v>
      </c>
    </row>
    <row r="14049">
      <c r="A14049" s="4" t="s">
        <v>17685</v>
      </c>
      <c r="B14049" s="4" t="s">
        <v>17687</v>
      </c>
      <c r="C14049" s="5" t="str">
        <f>IFERROR(__xludf.DUMMYFUNCTION("GOOGLETRANSLATE(B14049,""en"",""it"")"),"Una delle ragazze inizia a toccare una pinata con una mazza da baseball.")</f>
        <v>Una delle ragazze inizia a toccare una pinata con una mazza da baseball.</v>
      </c>
    </row>
    <row r="14050">
      <c r="A14050" s="4" t="s">
        <v>17685</v>
      </c>
      <c r="B14050" s="4" t="s">
        <v>17688</v>
      </c>
      <c r="C14050" s="5" t="str">
        <f>IFERROR(__xludf.DUMMYFUNCTION("GOOGLETRANSLATE(B14050,""en"",""it"")"),"Lo tocca più e più volte, ma non rompe il Pinata.")</f>
        <v>Lo tocca più e più volte, ma non rompe il Pinata.</v>
      </c>
    </row>
    <row r="14051">
      <c r="A14051" s="4" t="s">
        <v>17689</v>
      </c>
      <c r="B14051" s="4" t="s">
        <v>17690</v>
      </c>
      <c r="C14051" s="5" t="str">
        <f>IFERROR(__xludf.DUMMYFUNCTION("GOOGLETRANSLATE(B14051,""en"",""it"")"),"Un gruppo sta giocando a pallavolo su una spiaggia.")</f>
        <v>Un gruppo sta giocando a pallavolo su una spiaggia.</v>
      </c>
    </row>
    <row r="14052">
      <c r="A14052" s="4" t="s">
        <v>17689</v>
      </c>
      <c r="B14052" s="4" t="s">
        <v>17691</v>
      </c>
      <c r="C14052" s="5" t="str">
        <f>IFERROR(__xludf.DUMMYFUNCTION("GOOGLETRANSLATE(B14052,""en"",""it"")"),"Gli uomini pallavolo palla avanti e indietro sopra la rete.")</f>
        <v>Gli uomini pallavolo palla avanti e indietro sopra la rete.</v>
      </c>
    </row>
    <row r="14053">
      <c r="A14053" s="4" t="s">
        <v>17689</v>
      </c>
      <c r="B14053" s="4" t="s">
        <v>17692</v>
      </c>
      <c r="C14053" s="5" t="str">
        <f>IFERROR(__xludf.DUMMYFUNCTION("GOOGLETRANSLATE(B14053,""en"",""it"")"),"Uno dei giocatori cade sulla sabbia.")</f>
        <v>Uno dei giocatori cade sulla sabbia.</v>
      </c>
    </row>
    <row r="14054">
      <c r="A14054" s="4" t="s">
        <v>17693</v>
      </c>
      <c r="B14054" s="4" t="s">
        <v>17694</v>
      </c>
      <c r="C14054" s="5" t="str">
        <f>IFERROR(__xludf.DUMMYFUNCTION("GOOGLETRANSLATE(B14054,""en"",""it"")"),"Una donna parla davanti a un hopscotch.")</f>
        <v>Una donna parla davanti a un hopscotch.</v>
      </c>
    </row>
    <row r="14055">
      <c r="A14055" s="4" t="s">
        <v>17693</v>
      </c>
      <c r="B14055" s="4" t="s">
        <v>17695</v>
      </c>
      <c r="C14055" s="5" t="str">
        <f>IFERROR(__xludf.DUMMYFUNCTION("GOOGLETRANSLATE(B14055,""en"",""it"")"),"Quindi, la donna salta in hopscotch mentre parla.")</f>
        <v>Quindi, la donna salta in hopscotch mentre parla.</v>
      </c>
    </row>
    <row r="14056">
      <c r="A14056" s="4" t="s">
        <v>17693</v>
      </c>
      <c r="B14056" s="4" t="s">
        <v>17696</v>
      </c>
      <c r="C14056" s="5" t="str">
        <f>IFERROR(__xludf.DUMMYFUNCTION("GOOGLETRANSLATE(B14056,""en"",""it"")"),"La donna si gira quando arriva alla fine del hopscotch e continua a saltare.")</f>
        <v>La donna si gira quando arriva alla fine del hopscotch e continua a saltare.</v>
      </c>
    </row>
    <row r="14057">
      <c r="A14057" s="4" t="s">
        <v>17697</v>
      </c>
      <c r="B14057" s="4" t="s">
        <v>17698</v>
      </c>
      <c r="C14057" s="5" t="str">
        <f>IFERROR(__xludf.DUMMYFUNCTION("GOOGLETRANSLATE(B14057,""en"",""it"")"),"Un wrestler raccoglie un altro lottatore da terra.")</f>
        <v>Un wrestler raccoglie un altro lottatore da terra.</v>
      </c>
    </row>
    <row r="14058">
      <c r="A14058" s="4" t="s">
        <v>17697</v>
      </c>
      <c r="B14058" s="4" t="s">
        <v>17699</v>
      </c>
      <c r="C14058" s="5" t="str">
        <f>IFERROR(__xludf.DUMMYFUNCTION("GOOGLETRANSLATE(B14058,""en"",""it"")"),"Il lottatore lo solleva in aria.")</f>
        <v>Il lottatore lo solleva in aria.</v>
      </c>
    </row>
    <row r="14059">
      <c r="A14059" s="4" t="s">
        <v>17697</v>
      </c>
      <c r="B14059" s="4" t="s">
        <v>17700</v>
      </c>
      <c r="C14059" s="5" t="str">
        <f>IFERROR(__xludf.DUMMYFUNCTION("GOOGLETRANSLATE(B14059,""en"",""it"")"),"Infine, il wrestler lo lascia duro sul pavimento.")</f>
        <v>Infine, il wrestler lo lascia duro sul pavimento.</v>
      </c>
    </row>
    <row r="14060">
      <c r="A14060" s="4" t="s">
        <v>17701</v>
      </c>
      <c r="B14060" s="4" t="s">
        <v>17702</v>
      </c>
      <c r="C14060" s="5" t="str">
        <f>IFERROR(__xludf.DUMMYFUNCTION("GOOGLETRANSLATE(B14060,""en"",""it"")"),"Una ruota grande sta girando senza sosta su uno stand.")</f>
        <v>Una ruota grande sta girando senza sosta su uno stand.</v>
      </c>
    </row>
    <row r="14061">
      <c r="A14061" s="4" t="s">
        <v>17701</v>
      </c>
      <c r="B14061" s="4" t="s">
        <v>17703</v>
      </c>
      <c r="C14061" s="5" t="str">
        <f>IFERROR(__xludf.DUMMYFUNCTION("GOOGLETRANSLATE(B14061,""en"",""it"")"),"Abbiamo un primo piano dello stand di Truking e dei raggi.")</f>
        <v>Abbiamo un primo piano dello stand di Truking e dei raggi.</v>
      </c>
    </row>
    <row r="14062">
      <c r="A14062" s="4" t="s">
        <v>17701</v>
      </c>
      <c r="B14062" s="4" t="s">
        <v>17704</v>
      </c>
      <c r="C14062" s="5" t="str">
        <f>IFERROR(__xludf.DUMMYFUNCTION("GOOGLETRANSLATE(B14062,""en"",""it"")"),"La ruota della bici viene quindi regolata e fissa.")</f>
        <v>La ruota della bici viene quindi regolata e fissa.</v>
      </c>
    </row>
    <row r="14063">
      <c r="A14063" s="4" t="s">
        <v>17705</v>
      </c>
      <c r="B14063" s="4" t="s">
        <v>17706</v>
      </c>
      <c r="C14063" s="5" t="str">
        <f>IFERROR(__xludf.DUMMYFUNCTION("GOOGLETRANSLATE(B14063,""en"",""it"")"),"Vengono mostrati un primo piano di manubrio in bicicletta e una persona che regola il manubrio.")</f>
        <v>Vengono mostrati un primo piano di manubrio in bicicletta e una persona che regola il manubrio.</v>
      </c>
    </row>
    <row r="14064">
      <c r="A14064" s="4" t="s">
        <v>17705</v>
      </c>
      <c r="B14064" s="4" t="s">
        <v>17707</v>
      </c>
      <c r="C14064" s="5" t="str">
        <f>IFERROR(__xludf.DUMMYFUNCTION("GOOGLETRANSLATE(B14064,""en"",""it"")"),"La fotocamera ingrandisce le barre e la persona versa il liquido sul lato.")</f>
        <v>La fotocamera ingrandisce le barre e la persona versa il liquido sul lato.</v>
      </c>
    </row>
    <row r="14065">
      <c r="A14065" s="4" t="s">
        <v>17705</v>
      </c>
      <c r="B14065" s="4" t="s">
        <v>17708</v>
      </c>
      <c r="C14065" s="5" t="str">
        <f>IFERROR(__xludf.DUMMYFUNCTION("GOOGLETRANSLATE(B14065,""en"",""it"")"),"L'uomo continua a lavorare e termina rimettendo il manubrio e cavalcando.")</f>
        <v>L'uomo continua a lavorare e termina rimettendo il manubrio e cavalcando.</v>
      </c>
    </row>
    <row r="14066">
      <c r="A14066" s="4" t="s">
        <v>17709</v>
      </c>
      <c r="B14066" s="4" t="s">
        <v>17710</v>
      </c>
      <c r="C14066" s="5" t="str">
        <f>IFERROR(__xludf.DUMMYFUNCTION("GOOGLETRANSLATE(B14066,""en"",""it"")"),"Una donna sullo schermo parla di Lemonade.")</f>
        <v>Una donna sullo schermo parla di Lemonade.</v>
      </c>
    </row>
    <row r="14067">
      <c r="A14067" s="4" t="s">
        <v>17709</v>
      </c>
      <c r="B14067" s="4" t="s">
        <v>17711</v>
      </c>
      <c r="C14067" s="5" t="str">
        <f>IFERROR(__xludf.DUMMYFUNCTION("GOOGLETRANSLATE(B14067,""en"",""it"")"),"Documi i limoni su un tagliere, con un coltello e una ciotola.")</f>
        <v>Documi i limoni su un tagliere, con un coltello e una ciotola.</v>
      </c>
    </row>
    <row r="14068">
      <c r="A14068" s="4" t="s">
        <v>17709</v>
      </c>
      <c r="B14068" s="4" t="s">
        <v>17712</v>
      </c>
      <c r="C14068" s="5" t="str">
        <f>IFERROR(__xludf.DUMMYFUNCTION("GOOGLETRANSLATE(B14068,""en"",""it"")"),"Lei mette in giro il succo in una tazza più grande.")</f>
        <v>Lei mette in giro il succo in una tazza più grande.</v>
      </c>
    </row>
    <row r="14069">
      <c r="A14069" s="4" t="s">
        <v>17709</v>
      </c>
      <c r="B14069" s="4" t="s">
        <v>17713</v>
      </c>
      <c r="C14069" s="5" t="str">
        <f>IFERROR(__xludf.DUMMYFUNCTION("GOOGLETRANSLATE(B14069,""en"",""it"")"),"In un forno, prepara lo zucchero semplice con acqua e zucchero.")</f>
        <v>In un forno, prepara lo zucchero semplice con acqua e zucchero.</v>
      </c>
    </row>
    <row r="14070">
      <c r="A14070" s="4" t="s">
        <v>17709</v>
      </c>
      <c r="B14070" s="4" t="s">
        <v>17714</v>
      </c>
      <c r="C14070" s="5" t="str">
        <f>IFERROR(__xludf.DUMMYFUNCTION("GOOGLETRANSLATE(B14070,""en"",""it"")"),"Mescola tutti i suoi ingredienti in una brocca per preparare la limonata.")</f>
        <v>Mescola tutti i suoi ingredienti in una brocca per preparare la limonata.</v>
      </c>
    </row>
    <row r="14071">
      <c r="A14071" s="4" t="s">
        <v>17709</v>
      </c>
      <c r="B14071" s="4" t="s">
        <v>17715</v>
      </c>
      <c r="C14071" s="5" t="str">
        <f>IFERROR(__xludf.DUMMYFUNCTION("GOOGLETRANSLATE(B14071,""en"",""it"")"),"Mostra altre ricette di limonata.")</f>
        <v>Mostra altre ricette di limonata.</v>
      </c>
    </row>
    <row r="14072">
      <c r="A14072" s="4" t="s">
        <v>17716</v>
      </c>
      <c r="B14072" s="4" t="s">
        <v>17717</v>
      </c>
      <c r="C14072" s="5" t="str">
        <f>IFERROR(__xludf.DUMMYFUNCTION("GOOGLETRANSLATE(B14072,""en"",""it"")"),"Un uomo con una camicia blu solleva un bambino su un bancone.")</f>
        <v>Un uomo con una camicia blu solleva un bambino su un bancone.</v>
      </c>
    </row>
    <row r="14073">
      <c r="A14073" s="4" t="s">
        <v>17716</v>
      </c>
      <c r="B14073" s="4" t="s">
        <v>17718</v>
      </c>
      <c r="C14073" s="5" t="str">
        <f>IFERROR(__xludf.DUMMYFUNCTION("GOOGLETRANSLATE(B14073,""en"",""it"")"),"Il bambino inizia a lanciare freccette ai palloncini sul muro.")</f>
        <v>Il bambino inizia a lanciare freccette ai palloncini sul muro.</v>
      </c>
    </row>
    <row r="14074">
      <c r="A14074" s="4" t="s">
        <v>17716</v>
      </c>
      <c r="B14074" s="4" t="s">
        <v>17719</v>
      </c>
      <c r="C14074" s="5" t="str">
        <f>IFERROR(__xludf.DUMMYFUNCTION("GOOGLETRANSLATE(B14074,""en"",""it"")"),"La donna dietro la bancone consegna al ragazzo un giocattolo.")</f>
        <v>La donna dietro la bancone consegna al ragazzo un giocattolo.</v>
      </c>
    </row>
    <row r="14075">
      <c r="A14075" s="4" t="s">
        <v>17720</v>
      </c>
      <c r="B14075" s="6" t="s">
        <v>17721</v>
      </c>
      <c r="C14075" s="5" t="str">
        <f>IFERROR(__xludf.DUMMYFUNCTION("GOOGLETRANSLATE(B14075,""en"",""it"")"),"Due donne si vedono parlare tra loro e conducono in una partita di pallavolo giocata da un folto gruppo di persone.")</f>
        <v>Due donne si vedono parlare tra loro e conducono in una partita di pallavolo giocata da un folto gruppo di persone.</v>
      </c>
    </row>
    <row r="14076">
      <c r="A14076" s="4" t="s">
        <v>17720</v>
      </c>
      <c r="B14076" s="6" t="s">
        <v>17722</v>
      </c>
      <c r="C14076" s="5" t="str">
        <f>IFERROR(__xludf.DUMMYFUNCTION("GOOGLETRANSLATE(B14076,""en"",""it"")"),"Le persone continuano a suonare indietro e quarto mentre il pubblico applaudi e si ferma a parlarsi.")</f>
        <v>Le persone continuano a suonare indietro e quarto mentre il pubblico applaudi e si ferma a parlarsi.</v>
      </c>
    </row>
    <row r="14077">
      <c r="A14077" s="4" t="s">
        <v>17723</v>
      </c>
      <c r="B14077" s="4" t="s">
        <v>1487</v>
      </c>
      <c r="C14077" s="5" t="str">
        <f>IFERROR(__xludf.DUMMYFUNCTION("GOOGLETRANSLATE(B14077,""en"",""it"")"),"Vediamo una schermata del titolo di apertura.")</f>
        <v>Vediamo una schermata del titolo di apertura.</v>
      </c>
    </row>
    <row r="14078">
      <c r="A14078" s="4" t="s">
        <v>17723</v>
      </c>
      <c r="B14078" s="4" t="s">
        <v>17724</v>
      </c>
      <c r="C14078" s="5" t="str">
        <f>IFERROR(__xludf.DUMMYFUNCTION("GOOGLETRANSLATE(B14078,""en"",""it"")"),"Un uomo si tuffa in una grande piscina ripetutamente.")</f>
        <v>Un uomo si tuffa in una grande piscina ripetutamente.</v>
      </c>
    </row>
    <row r="14079">
      <c r="A14079" s="4" t="s">
        <v>17723</v>
      </c>
      <c r="B14079" s="4" t="s">
        <v>17725</v>
      </c>
      <c r="C14079" s="5" t="str">
        <f>IFERROR(__xludf.DUMMYFUNCTION("GOOGLETRANSLATE(B14079,""en"",""it"")"),"Un uomo seduto sul mezzo laterale scatta foto mentre si siede.")</f>
        <v>Un uomo seduto sul mezzo laterale scatta foto mentre si siede.</v>
      </c>
    </row>
    <row r="14080">
      <c r="A14080" s="4" t="s">
        <v>17723</v>
      </c>
      <c r="B14080" s="4" t="s">
        <v>17726</v>
      </c>
      <c r="C14080" s="5" t="str">
        <f>IFERROR(__xludf.DUMMYFUNCTION("GOOGLETRANSLATE(B14080,""en"",""it"")"),"L'uomo seduto si alza e scatta foto del sub.")</f>
        <v>L'uomo seduto si alza e scatta foto del sub.</v>
      </c>
    </row>
    <row r="14081">
      <c r="A14081" s="4" t="s">
        <v>17723</v>
      </c>
      <c r="B14081" s="4" t="s">
        <v>17727</v>
      </c>
      <c r="C14081" s="5" t="str">
        <f>IFERROR(__xludf.DUMMYFUNCTION("GOOGLETRANSLATE(B14081,""en"",""it"")"),"Il subacqueo nuota sul bordo della piscina.")</f>
        <v>Il subacqueo nuota sul bordo della piscina.</v>
      </c>
    </row>
    <row r="14082">
      <c r="A14082" s="4" t="s">
        <v>17728</v>
      </c>
      <c r="B14082" s="4" t="s">
        <v>17729</v>
      </c>
      <c r="C14082" s="5" t="str">
        <f>IFERROR(__xludf.DUMMYFUNCTION("GOOGLETRANSLATE(B14082,""en"",""it"")"),"Una persona senza braccia è vista seduta su una sedia e suonare la chitarra con i piedi.")</f>
        <v>Una persona senza braccia è vista seduta su una sedia e suonare la chitarra con i piedi.</v>
      </c>
    </row>
    <row r="14083">
      <c r="A14083" s="4" t="s">
        <v>17728</v>
      </c>
      <c r="B14083" s="4" t="s">
        <v>17730</v>
      </c>
      <c r="C14083" s="5" t="str">
        <f>IFERROR(__xludf.DUMMYFUNCTION("GOOGLETRANSLATE(B14083,""en"",""it"")"),"Continua a suonare mentre canta e muove i piedi su e giù per la chitarra.")</f>
        <v>Continua a suonare mentre canta e muove i piedi su e giù per la chitarra.</v>
      </c>
    </row>
    <row r="14084">
      <c r="A14084" s="4" t="s">
        <v>17731</v>
      </c>
      <c r="B14084" s="6" t="s">
        <v>17732</v>
      </c>
      <c r="C14084" s="5" t="str">
        <f>IFERROR(__xludf.DUMMYFUNCTION("GOOGLETRANSLATE(B14084,""en"",""it"")"),"Una donna in un abito bianco entra in casa tutta felice solo di essere molto delusa quando vede i piatti nel lavandino.")</f>
        <v>Una donna in un abito bianco entra in casa tutta felice solo di essere molto delusa quando vede i piatti nel lavandino.</v>
      </c>
    </row>
    <row r="14085">
      <c r="A14085" s="4" t="s">
        <v>17731</v>
      </c>
      <c r="B14085" s="6" t="s">
        <v>17733</v>
      </c>
      <c r="C14085" s="5" t="str">
        <f>IFERROR(__xludf.DUMMYFUNCTION("GOOGLETRANSLATE(B14085,""en"",""it"")"),"Si cambia dal vestito in alcuni vestiti comodi e si prepara in cucina a fare i piatti.")</f>
        <v>Si cambia dal vestito in alcuni vestiti comodi e si prepara in cucina a fare i piatti.</v>
      </c>
    </row>
    <row r="14086">
      <c r="A14086" s="4" t="s">
        <v>17731</v>
      </c>
      <c r="B14086" s="4" t="s">
        <v>17734</v>
      </c>
      <c r="C14086" s="5" t="str">
        <f>IFERROR(__xludf.DUMMYFUNCTION("GOOGLETRANSLATE(B14086,""en"",""it"")"),"Sta soffiando in modo molto infantile bolle con il sapone e balla in giro.")</f>
        <v>Sta soffiando in modo molto infantile bolle con il sapone e balla in giro.</v>
      </c>
    </row>
    <row r="14087">
      <c r="A14087" s="4" t="s">
        <v>17731</v>
      </c>
      <c r="B14087" s="6" t="s">
        <v>17735</v>
      </c>
      <c r="C14087" s="5" t="str">
        <f>IFERROR(__xludf.DUMMYFUNCTION("GOOGLETRANSLATE(B14087,""en"",""it"")"),"Si asciuga alcuni dei piatti con uno straccio e mette il resto nella lavastoviglie, una volta che i piatti sono stati realizzati nella lavatrice, li toglie e li mette via tutti.")</f>
        <v>Si asciuga alcuni dei piatti con uno straccio e mette il resto nella lavastoviglie, una volta che i piatti sono stati realizzati nella lavatrice, li toglie e li mette via tutti.</v>
      </c>
    </row>
    <row r="14088">
      <c r="A14088" s="4" t="s">
        <v>17736</v>
      </c>
      <c r="B14088" s="4" t="s">
        <v>17737</v>
      </c>
      <c r="C14088" s="5" t="str">
        <f>IFERROR(__xludf.DUMMYFUNCTION("GOOGLETRANSLATE(B14088,""en"",""it"")"),"Una donna le mette una lozione in mano.")</f>
        <v>Una donna le mette una lozione in mano.</v>
      </c>
    </row>
    <row r="14089">
      <c r="A14089" s="4" t="s">
        <v>17736</v>
      </c>
      <c r="B14089" s="4" t="s">
        <v>17738</v>
      </c>
      <c r="C14089" s="5" t="str">
        <f>IFERROR(__xludf.DUMMYFUNCTION("GOOGLETRANSLATE(B14089,""en"",""it"")"),"Si strofina la lozione sul viso.")</f>
        <v>Si strofina la lozione sul viso.</v>
      </c>
    </row>
    <row r="14090">
      <c r="A14090" s="4" t="s">
        <v>17736</v>
      </c>
      <c r="B14090" s="4" t="s">
        <v>17739</v>
      </c>
      <c r="C14090" s="5" t="str">
        <f>IFERROR(__xludf.DUMMYFUNCTION("GOOGLETRANSLATE(B14090,""en"",""it"")"),"Una dimostrazione dei cartoni animati è mostrata sullo schermo.")</f>
        <v>Una dimostrazione dei cartoni animati è mostrata sullo schermo.</v>
      </c>
    </row>
    <row r="14091">
      <c r="A14091" s="4" t="s">
        <v>17740</v>
      </c>
      <c r="B14091" s="4" t="s">
        <v>17741</v>
      </c>
      <c r="C14091" s="5" t="str">
        <f>IFERROR(__xludf.DUMMYFUNCTION("GOOGLETRANSLATE(B14091,""en"",""it"")"),"Una ragazza viene mostrata lavarsi e strofinarsi il viso più volte mentre parla nella telecamera.")</f>
        <v>Una ragazza viene mostrata lavarsi e strofinarsi il viso più volte mentre parla nella telecamera.</v>
      </c>
    </row>
    <row r="14092">
      <c r="A14092" s="4" t="s">
        <v>17740</v>
      </c>
      <c r="B14092" s="4" t="s">
        <v>17742</v>
      </c>
      <c r="C14092" s="5" t="str">
        <f>IFERROR(__xludf.DUMMYFUNCTION("GOOGLETRANSLATE(B14092,""en"",""it"")"),"Finisce accendendo il rubinetto e sciacquando l'acqua attraverso il viso.")</f>
        <v>Finisce accendendo il rubinetto e sciacquando l'acqua attraverso il viso.</v>
      </c>
    </row>
    <row r="14093">
      <c r="A14093" s="4" t="s">
        <v>17743</v>
      </c>
      <c r="B14093" s="4" t="s">
        <v>17744</v>
      </c>
      <c r="C14093" s="5" t="str">
        <f>IFERROR(__xludf.DUMMYFUNCTION("GOOGLETRANSLATE(B14093,""en"",""it"")"),"Un giovane gioca a bowling con un altro uomo mentre lancia palle e spille.")</f>
        <v>Un giovane gioca a bowling con un altro uomo mentre lancia palle e spille.</v>
      </c>
    </row>
    <row r="14094">
      <c r="A14094" s="4" t="s">
        <v>17743</v>
      </c>
      <c r="B14094" s="4" t="s">
        <v>17745</v>
      </c>
      <c r="C14094" s="5" t="str">
        <f>IFERROR(__xludf.DUMMYFUNCTION("GOOGLETRANSLATE(B14094,""en"",""it"")"),"Un'uscita a sfera forma un contenitore.")</f>
        <v>Un'uscita a sfera forma un contenitore.</v>
      </c>
    </row>
    <row r="14095">
      <c r="A14095" s="4" t="s">
        <v>17743</v>
      </c>
      <c r="B14095" s="4" t="s">
        <v>17746</v>
      </c>
      <c r="C14095" s="5" t="str">
        <f>IFERROR(__xludf.DUMMYFUNCTION("GOOGLETRANSLATE(B14095,""en"",""it"")"),"Un uomo tiene una palla da bowling sulle mani.")</f>
        <v>Un uomo tiene una palla da bowling sulle mani.</v>
      </c>
    </row>
    <row r="14096">
      <c r="A14096" s="4" t="s">
        <v>17743</v>
      </c>
      <c r="B14096" s="4" t="s">
        <v>17747</v>
      </c>
      <c r="C14096" s="5" t="str">
        <f>IFERROR(__xludf.DUMMYFUNCTION("GOOGLETRANSLATE(B14096,""en"",""it"")"),"Il giovane va in una stanza della struttura di bowling, continua a suonare.")</f>
        <v>Il giovane va in una stanza della struttura di bowling, continua a suonare.</v>
      </c>
    </row>
    <row r="14097">
      <c r="A14097" s="4" t="s">
        <v>17748</v>
      </c>
      <c r="B14097" s="4" t="s">
        <v>17749</v>
      </c>
      <c r="C14097" s="5" t="str">
        <f>IFERROR(__xludf.DUMMYFUNCTION("GOOGLETRANSLATE(B14097,""en"",""it"")"),"Un bambino sta colpendo una palla su una rete in palestra.")</f>
        <v>Un bambino sta colpendo una palla su una rete in palestra.</v>
      </c>
    </row>
    <row r="14098">
      <c r="A14098" s="4" t="s">
        <v>17748</v>
      </c>
      <c r="B14098" s="4" t="s">
        <v>17750</v>
      </c>
      <c r="C14098" s="5" t="str">
        <f>IFERROR(__xludf.DUMMYFUNCTION("GOOGLETRANSLATE(B14098,""en"",""it"")"),"Un uomo si trova dall'altra parte, che lo faceva la palla.")</f>
        <v>Un uomo si trova dall'altra parte, che lo faceva la palla.</v>
      </c>
    </row>
    <row r="14099">
      <c r="A14099" s="4" t="s">
        <v>17748</v>
      </c>
      <c r="B14099" s="4" t="s">
        <v>17751</v>
      </c>
      <c r="C14099" s="5" t="str">
        <f>IFERROR(__xludf.DUMMYFUNCTION("GOOGLETRANSLATE(B14099,""en"",""it"")"),"Continuano a colpire la palla avanti e indietro.")</f>
        <v>Continuano a colpire la palla avanti e indietro.</v>
      </c>
    </row>
    <row r="14100">
      <c r="A14100" s="4" t="s">
        <v>17752</v>
      </c>
      <c r="B14100" s="4" t="s">
        <v>17753</v>
      </c>
      <c r="C14100" s="5" t="str">
        <f>IFERROR(__xludf.DUMMYFUNCTION("GOOGLETRANSLATE(B14100,""en"",""it"")"),"Una persona viene vista seduta davanti a una macchina fotografica e conduce in lui che guarda e solleva una lente a contatto.")</f>
        <v>Una persona viene vista seduta davanti a una macchina fotografica e conduce in lui che guarda e solleva una lente a contatto.</v>
      </c>
    </row>
    <row r="14101">
      <c r="A14101" s="4" t="s">
        <v>17752</v>
      </c>
      <c r="B14101" s="6" t="s">
        <v>17754</v>
      </c>
      <c r="C14101" s="5" t="str">
        <f>IFERROR(__xludf.DUMMYFUNCTION("GOOGLETRANSLATE(B14101,""en"",""it"")"),"La persona quindi tiene gli occhi aperti e mette l'obiettivo seguito da guardare indietro alla telecamera.")</f>
        <v>La persona quindi tiene gli occhi aperti e mette l'obiettivo seguito da guardare indietro alla telecamera.</v>
      </c>
    </row>
    <row r="14102">
      <c r="A14102" s="4" t="s">
        <v>17755</v>
      </c>
      <c r="B14102" s="4" t="s">
        <v>17756</v>
      </c>
      <c r="C14102" s="5" t="str">
        <f>IFERROR(__xludf.DUMMYFUNCTION("GOOGLETRANSLATE(B14102,""en"",""it"")"),"Ci sono diversi lavoratori che imballano molte zattere in un camion da trascinare.")</f>
        <v>Ci sono diversi lavoratori che imballano molte zattere in un camion da trascinare.</v>
      </c>
    </row>
    <row r="14103">
      <c r="A14103" s="4" t="s">
        <v>17755</v>
      </c>
      <c r="B14103" s="4" t="s">
        <v>17757</v>
      </c>
      <c r="C14103" s="5" t="str">
        <f>IFERROR(__xludf.DUMMYFUNCTION("GOOGLETRANSLATE(B14103,""en"",""it"")"),"C'è un fiume turbolento che scorre rapido che scorre sotto un ponte.")</f>
        <v>C'è un fiume turbolento che scorre rapido che scorre sotto un ponte.</v>
      </c>
    </row>
    <row r="14104">
      <c r="A14104" s="4" t="s">
        <v>17755</v>
      </c>
      <c r="B14104" s="4" t="s">
        <v>17758</v>
      </c>
      <c r="C14104" s="5" t="str">
        <f>IFERROR(__xludf.DUMMYFUNCTION("GOOGLETRANSLATE(B14104,""en"",""it"")"),"La panoramica panoramica mostra le nuvole che soffiano nel vento.")</f>
        <v>La panoramica panoramica mostra le nuvole che soffiano nel vento.</v>
      </c>
    </row>
    <row r="14105">
      <c r="A14105" s="4" t="s">
        <v>17755</v>
      </c>
      <c r="B14105" s="4" t="s">
        <v>17759</v>
      </c>
      <c r="C14105" s="5" t="str">
        <f>IFERROR(__xludf.DUMMYFUNCTION("GOOGLETRANSLATE(B14105,""en"",""it"")"),"Ci sono molte travi fuori da una cabina di tronchi e si preparano per il loro viaggio di rafting.")</f>
        <v>Ci sono molte travi fuori da una cabina di tronchi e si preparano per il loro viaggio di rafting.</v>
      </c>
    </row>
    <row r="14106">
      <c r="A14106" s="4" t="s">
        <v>17755</v>
      </c>
      <c r="B14106" s="4" t="s">
        <v>17760</v>
      </c>
      <c r="C14106" s="5" t="str">
        <f>IFERROR(__xludf.DUMMYFUNCTION("GOOGLETRANSLATE(B14106,""en"",""it"")"),"Le travi iniziano la loro avventura in acqua selvaggia e turbolenta del fiume mentre cercano di rimanere a galla.")</f>
        <v>Le travi iniziano la loro avventura in acqua selvaggia e turbolenta del fiume mentre cercano di rimanere a galla.</v>
      </c>
    </row>
    <row r="14107">
      <c r="A14107" s="4" t="s">
        <v>17755</v>
      </c>
      <c r="B14107" s="6" t="s">
        <v>17761</v>
      </c>
      <c r="C14107" s="5" t="str">
        <f>IFERROR(__xludf.DUMMYFUNCTION("GOOGLETRANSLATE(B14107,""en"",""it"")"),"Le onde fluviali sono così turbolente che fa ribaltare la zattera e annegare le travi nelle onde forti.")</f>
        <v>Le onde fluviali sono così turbolente che fa ribaltare la zattera e annegare le travi nelle onde forti.</v>
      </c>
    </row>
    <row r="14108">
      <c r="A14108" s="4" t="s">
        <v>17755</v>
      </c>
      <c r="B14108" s="4" t="s">
        <v>17762</v>
      </c>
      <c r="C14108" s="5" t="str">
        <f>IFERROR(__xludf.DUMMYFUNCTION("GOOGLETRANSLATE(B14108,""en"",""it"")"),"Le travi si sforzano di rimanere nella zattera mentre combattono le feroci onde del fiume per rimanere a galla.")</f>
        <v>Le travi si sforzano di rimanere nella zattera mentre combattono le feroci onde del fiume per rimanere a galla.</v>
      </c>
    </row>
    <row r="14109">
      <c r="A14109" s="4" t="s">
        <v>17755</v>
      </c>
      <c r="B14109" s="4" t="s">
        <v>17763</v>
      </c>
      <c r="C14109" s="5" t="str">
        <f>IFERROR(__xludf.DUMMYFUNCTION("GOOGLETRANSLATE(B14109,""en"",""it"")"),"Le onde sono così forti che diventa difficile per le travi nella zattera.")</f>
        <v>Le onde sono così forti che diventa difficile per le travi nella zattera.</v>
      </c>
    </row>
    <row r="14110">
      <c r="A14110" s="4" t="s">
        <v>17755</v>
      </c>
      <c r="B14110" s="4" t="s">
        <v>17764</v>
      </c>
      <c r="C14110" s="5" t="str">
        <f>IFERROR(__xludf.DUMMYFUNCTION("GOOGLETRANSLATE(B14110,""en"",""it"")"),"Vengono espulsi con forza nel fiume mentre la zattera si ribalta su di loro.")</f>
        <v>Vengono espulsi con forza nel fiume mentre la zattera si ribalta su di loro.</v>
      </c>
    </row>
    <row r="14111">
      <c r="A14111" s="4" t="s">
        <v>17755</v>
      </c>
      <c r="B14111" s="4" t="s">
        <v>17765</v>
      </c>
      <c r="C14111" s="5" t="str">
        <f>IFERROR(__xludf.DUMMYFUNCTION("GOOGLETRANSLATE(B14111,""en"",""it"")"),"Una delle travi sorride e parla della sua esperienza mentre torna indietro con i suoi compagni travi.")</f>
        <v>Una delle travi sorride e parla della sua esperienza mentre torna indietro con i suoi compagni travi.</v>
      </c>
    </row>
    <row r="14112">
      <c r="A14112" s="4" t="s">
        <v>17766</v>
      </c>
      <c r="B14112" s="6" t="s">
        <v>17767</v>
      </c>
      <c r="C14112" s="5" t="str">
        <f>IFERROR(__xludf.DUMMYFUNCTION("GOOGLETRANSLATE(B14112,""en"",""it"")"),"Un folto gruppo di persone viene visto seduto in una palestra quando una ragazza si imbatte e esegue una routine sui bar irregolari.")</f>
        <v>Un folto gruppo di persone viene visto seduto in una palestra quando una ragazza si imbatte e esegue una routine sui bar irregolari.</v>
      </c>
    </row>
    <row r="14113">
      <c r="A14113" s="4" t="s">
        <v>17766</v>
      </c>
      <c r="B14113" s="6" t="s">
        <v>17768</v>
      </c>
      <c r="C14113" s="5" t="str">
        <f>IFERROR(__xludf.DUMMYFUNCTION("GOOGLETRANSLATE(B14113,""en"",""it"")"),"La ragazza continua a oscillare e termina con lei saltando di lato e salutando il pubblico.")</f>
        <v>La ragazza continua a oscillare e termina con lei saltando di lato e salutando il pubblico.</v>
      </c>
    </row>
    <row r="14114">
      <c r="A14114" s="4" t="s">
        <v>17769</v>
      </c>
      <c r="B14114" s="4" t="s">
        <v>17770</v>
      </c>
      <c r="C14114" s="5" t="str">
        <f>IFERROR(__xludf.DUMMYFUNCTION("GOOGLETRANSLATE(B14114,""en"",""it"")"),"Questo video ti mostra come preparare gli spaghetti con salsiccia con una semplice salsa di pomodoro.")</f>
        <v>Questo video ti mostra come preparare gli spaghetti con salsiccia con una semplice salsa di pomodoro.</v>
      </c>
    </row>
    <row r="14115">
      <c r="A14115" s="4" t="s">
        <v>17769</v>
      </c>
      <c r="B14115" s="6" t="s">
        <v>17771</v>
      </c>
      <c r="C14115" s="5" t="str">
        <f>IFERROR(__xludf.DUMMYFUNCTION("GOOGLETRANSLATE(B14115,""en"",""it"")"),"Per prima cosa mette la salsiccia su una teglia che ha un foglio di alluminio e la mette nel forno.")</f>
        <v>Per prima cosa mette la salsiccia su una teglia che ha un foglio di alluminio e la mette nel forno.</v>
      </c>
    </row>
    <row r="14116">
      <c r="A14116" s="4" t="s">
        <v>17769</v>
      </c>
      <c r="B14116" s="4" t="s">
        <v>17772</v>
      </c>
      <c r="C14116" s="5" t="str">
        <f>IFERROR(__xludf.DUMMYFUNCTION("GOOGLETRANSLATE(B14116,""en"",""it"")"),"Successivamente versa i pomodori in un piccolo frullatore e li fonde.")</f>
        <v>Successivamente versa i pomodori in un piccolo frullatore e li fonde.</v>
      </c>
    </row>
    <row r="14117">
      <c r="A14117" s="4" t="s">
        <v>17769</v>
      </c>
      <c r="B14117" s="6" t="s">
        <v>17773</v>
      </c>
      <c r="C14117" s="5" t="str">
        <f>IFERROR(__xludf.DUMMYFUNCTION("GOOGLETRANSLATE(B14117,""en"",""it"")"),"Quindi versa peperoni rossi schiacciati e aglio nella padella e ci versa la salsa di pomodoro.")</f>
        <v>Quindi versa peperoni rossi schiacciati e aglio nella padella e ci versa la salsa di pomodoro.</v>
      </c>
    </row>
    <row r="14118">
      <c r="A14118" s="4" t="s">
        <v>17769</v>
      </c>
      <c r="B14118" s="6" t="s">
        <v>17774</v>
      </c>
      <c r="C14118" s="5" t="str">
        <f>IFERROR(__xludf.DUMMYFUNCTION("GOOGLETRANSLATE(B14118,""en"",""it"")"),"Quindi lo mescola e prende la salsiccia per tagliarli in piccoli pezzi e lascia che cucinano ancora un po '.")</f>
        <v>Quindi lo mescola e prende la salsiccia per tagliarli in piccoli pezzi e lascia che cucinano ancora un po '.</v>
      </c>
    </row>
    <row r="14119">
      <c r="A14119" s="4" t="s">
        <v>17769</v>
      </c>
      <c r="B14119" s="6" t="s">
        <v>17775</v>
      </c>
      <c r="C14119" s="5" t="str">
        <f>IFERROR(__xludf.DUMMYFUNCTION("GOOGLETRANSLATE(B14119,""en"",""it"")"),"Alla fine li mette nella padella con la pasta e cucina tutto insieme creando un buon pasto.")</f>
        <v>Alla fine li mette nella padella con la pasta e cucina tutto insieme creando un buon pasto.</v>
      </c>
    </row>
    <row r="14120">
      <c r="A14120" s="4" t="s">
        <v>17776</v>
      </c>
      <c r="B14120" s="4" t="s">
        <v>17777</v>
      </c>
      <c r="C14120" s="5" t="str">
        <f>IFERROR(__xludf.DUMMYFUNCTION("GOOGLETRANSLATE(B14120,""en"",""it"")"),"Un uomo viene visto entrare nella cornice e inizia a piegarsi di fronte a una serie di pesi.")</f>
        <v>Un uomo viene visto entrare nella cornice e inizia a piegarsi di fronte a una serie di pesi.</v>
      </c>
    </row>
    <row r="14121">
      <c r="A14121" s="4" t="s">
        <v>17776</v>
      </c>
      <c r="B14121" s="6" t="s">
        <v>17778</v>
      </c>
      <c r="C14121" s="5" t="str">
        <f>IFERROR(__xludf.DUMMYFUNCTION("GOOGLETRANSLATE(B14121,""en"",""it"")"),"L'uomo quindi solleva i pesi su e giù sulle spalle mentre la telecamera si formano dietro.")</f>
        <v>L'uomo quindi solleva i pesi su e giù sulle spalle mentre la telecamera si formano dietro.</v>
      </c>
    </row>
    <row r="14122">
      <c r="A14122" s="4" t="s">
        <v>17776</v>
      </c>
      <c r="B14122" s="6" t="s">
        <v>17779</v>
      </c>
      <c r="C14122" s="5" t="str">
        <f>IFERROR(__xludf.DUMMYFUNCTION("GOOGLETRANSLATE(B14122,""en"",""it"")"),"L'uomo entra e fuori dal telaio camminando di nuovo verso i pesi e un altro uomo che entra in telaio per sollevare.")</f>
        <v>L'uomo entra e fuori dal telaio camminando di nuovo verso i pesi e un altro uomo che entra in telaio per sollevare.</v>
      </c>
    </row>
    <row r="14123">
      <c r="A14123" s="4" t="s">
        <v>17780</v>
      </c>
      <c r="B14123" s="4" t="s">
        <v>17781</v>
      </c>
      <c r="C14123" s="5" t="str">
        <f>IFERROR(__xludf.DUMMYFUNCTION("GOOGLETRANSLATE(B14123,""en"",""it"")"),"Un uomo mescola i materiali che si rannicchiano la scarpa in un barattolo.")</f>
        <v>Un uomo mescola i materiali che si rannicchiano la scarpa in un barattolo.</v>
      </c>
    </row>
    <row r="14124">
      <c r="A14124" s="4" t="s">
        <v>17780</v>
      </c>
      <c r="B14124" s="4" t="s">
        <v>17782</v>
      </c>
      <c r="C14124" s="5" t="str">
        <f>IFERROR(__xludf.DUMMYFUNCTION("GOOGLETRANSLATE(B14124,""en"",""it"")"),"Prepara la scarpa per brillare.")</f>
        <v>Prepara la scarpa per brillare.</v>
      </c>
    </row>
    <row r="14125">
      <c r="A14125" s="4" t="s">
        <v>17780</v>
      </c>
      <c r="B14125" s="4" t="s">
        <v>17783</v>
      </c>
      <c r="C14125" s="5" t="str">
        <f>IFERROR(__xludf.DUMMYFUNCTION("GOOGLETRANSLATE(B14125,""en"",""it"")"),"Spiega il suo metodo di scarpa che brilla.")</f>
        <v>Spiega il suo metodo di scarpa che brilla.</v>
      </c>
    </row>
    <row r="14126">
      <c r="A14126" s="4" t="s">
        <v>17780</v>
      </c>
      <c r="B14126" s="4" t="s">
        <v>17784</v>
      </c>
      <c r="C14126" s="5" t="str">
        <f>IFERROR(__xludf.DUMMYFUNCTION("GOOGLETRANSLATE(B14126,""en"",""it"")"),"L'uomo brilla la parte superiore di una scarpa e termina fissando i lacci della scarpa.")</f>
        <v>L'uomo brilla la parte superiore di una scarpa e termina fissando i lacci della scarpa.</v>
      </c>
    </row>
    <row r="14127">
      <c r="A14127" s="4" t="s">
        <v>17785</v>
      </c>
      <c r="B14127" s="4" t="s">
        <v>17786</v>
      </c>
      <c r="C14127" s="5" t="str">
        <f>IFERROR(__xludf.DUMMYFUNCTION("GOOGLETRANSLATE(B14127,""en"",""it"")"),"Una donna è vista in piedi nel mezzo di una buca di sabbia e inizia a oscillare un oggetto intorno.")</f>
        <v>Una donna è vista in piedi nel mezzo di una buca di sabbia e inizia a oscillare un oggetto intorno.</v>
      </c>
    </row>
    <row r="14128">
      <c r="A14128" s="4" t="s">
        <v>17785</v>
      </c>
      <c r="B14128" s="4" t="s">
        <v>17787</v>
      </c>
      <c r="C14128" s="5" t="str">
        <f>IFERROR(__xludf.DUMMYFUNCTION("GOOGLETRANSLATE(B14128,""en"",""it"")"),"Si gira intorno a se stessa più volte, poi inizia a oscillare.")</f>
        <v>Si gira intorno a se stessa più volte, poi inizia a oscillare.</v>
      </c>
    </row>
    <row r="14129">
      <c r="A14129" s="4" t="s">
        <v>17785</v>
      </c>
      <c r="B14129" s="4" t="s">
        <v>17788</v>
      </c>
      <c r="C14129" s="5" t="str">
        <f>IFERROR(__xludf.DUMMYFUNCTION("GOOGLETRANSLATE(B14129,""en"",""it"")"),"Continua a oscillare e finisce buttandolo in lontananza.")</f>
        <v>Continua a oscillare e finisce buttandolo in lontananza.</v>
      </c>
    </row>
    <row r="14130">
      <c r="A14130" s="4" t="s">
        <v>17789</v>
      </c>
      <c r="B14130" s="6" t="s">
        <v>17790</v>
      </c>
      <c r="C14130" s="5" t="str">
        <f>IFERROR(__xludf.DUMMYFUNCTION("GOOGLETRANSLATE(B14130,""en"",""it"")"),"Un uomo lancia un lancio a martello in una performance sportiva giudicata, fuori, su un campo coperto di erba con un gruppo di curiosi sulle linee laterali.")</f>
        <v>Un uomo lancia un lancio a martello in una performance sportiva giudicata, fuori, su un campo coperto di erba con un gruppo di curiosi sulle linee laterali.</v>
      </c>
    </row>
    <row r="14131">
      <c r="A14131" s="4" t="s">
        <v>17789</v>
      </c>
      <c r="B14131" s="4" t="s">
        <v>17791</v>
      </c>
      <c r="C14131" s="5" t="str">
        <f>IFERROR(__xludf.DUMMYFUNCTION("GOOGLETRANSLATE(B14131,""en"",""it"")"),"Un uomo si avvicina a una superficie bianca quadrata, asfaltata circondata da reti nera.")</f>
        <v>Un uomo si avvicina a una superficie bianca quadrata, asfaltata circondata da reti nera.</v>
      </c>
    </row>
    <row r="14132">
      <c r="A14132" s="4" t="s">
        <v>17789</v>
      </c>
      <c r="B14132" s="4" t="s">
        <v>17792</v>
      </c>
      <c r="C14132" s="5" t="str">
        <f>IFERROR(__xludf.DUMMYFUNCTION("GOOGLETRANSLATE(B14132,""en"",""it"")"),"L'uomo gira in posizione per guadagnare slancio e rilascia/lancia la palla da martello.")</f>
        <v>L'uomo gira in posizione per guadagnare slancio e rilascia/lancia la palla da martello.</v>
      </c>
    </row>
    <row r="14133">
      <c r="A14133" s="4" t="s">
        <v>17789</v>
      </c>
      <c r="B14133" s="6" t="s">
        <v>17793</v>
      </c>
      <c r="C14133" s="5" t="str">
        <f>IFERROR(__xludf.DUMMYFUNCTION("GOOGLETRANSLATE(B14133,""en"",""it"")"),"Due persone emergono con un metro a nastro lungo per misurare la distanza che è stata lanciata la palla da martello.")</f>
        <v>Due persone emergono con un metro a nastro lungo per misurare la distanza che è stata lanciata la palla da martello.</v>
      </c>
    </row>
    <row r="14134">
      <c r="A14134" s="4" t="s">
        <v>17789</v>
      </c>
      <c r="B14134" s="4" t="s">
        <v>17794</v>
      </c>
      <c r="C14134" s="5" t="str">
        <f>IFERROR(__xludf.DUMMYFUNCTION("GOOGLETRANSLATE(B14134,""en"",""it"")"),"L'atleta scappa saltando e sorridendo e il torace urta un altro giocatore.")</f>
        <v>L'atleta scappa saltando e sorridendo e il torace urta un altro giocatore.</v>
      </c>
    </row>
    <row r="14135">
      <c r="A14135" s="4" t="s">
        <v>17795</v>
      </c>
      <c r="B14135" s="4" t="s">
        <v>17796</v>
      </c>
      <c r="C14135" s="5" t="str">
        <f>IFERROR(__xludf.DUMMYFUNCTION("GOOGLETRANSLATE(B14135,""en"",""it"")"),"Una donna sta parlando su un tappetino da yoga in una zona del vialetto.")</f>
        <v>Una donna sta parlando su un tappetino da yoga in una zona del vialetto.</v>
      </c>
    </row>
    <row r="14136">
      <c r="A14136" s="4" t="s">
        <v>17795</v>
      </c>
      <c r="B14136" s="4" t="s">
        <v>17797</v>
      </c>
      <c r="C14136" s="5" t="str">
        <f>IFERROR(__xludf.DUMMYFUNCTION("GOOGLETRANSLATE(B14136,""en"",""it"")"),"La donna fa un allenamento aerobico che fa avanti e indietro e solleva le braccia sul tappeto.")</f>
        <v>La donna fa un allenamento aerobico che fa avanti e indietro e solleva le braccia sul tappeto.</v>
      </c>
    </row>
    <row r="14137">
      <c r="A14137" s="4" t="s">
        <v>17795</v>
      </c>
      <c r="B14137" s="4" t="s">
        <v>17798</v>
      </c>
      <c r="C14137" s="5" t="str">
        <f>IFERROR(__xludf.DUMMYFUNCTION("GOOGLETRANSLATE(B14137,""en"",""it"")"),"La donna salta avanti e indietro in un allenamento più vigoroso.")</f>
        <v>La donna salta avanti e indietro in un allenamento più vigoroso.</v>
      </c>
    </row>
    <row r="14138">
      <c r="A14138" s="4" t="s">
        <v>17799</v>
      </c>
      <c r="B14138" s="4" t="s">
        <v>17800</v>
      </c>
      <c r="C14138" s="5" t="str">
        <f>IFERROR(__xludf.DUMMYFUNCTION("GOOGLETRANSLATE(B14138,""en"",""it"")"),"Una bambina è dentro un portico coperto.")</f>
        <v>Una bambina è dentro un portico coperto.</v>
      </c>
    </row>
    <row r="14139">
      <c r="A14139" s="4" t="s">
        <v>17799</v>
      </c>
      <c r="B14139" s="4" t="s">
        <v>17801</v>
      </c>
      <c r="C14139" s="5" t="str">
        <f>IFERROR(__xludf.DUMMYFUNCTION("GOOGLETRANSLATE(B14139,""en"",""it"")"),"Oscilla un testimone in una piccola pinata.")</f>
        <v>Oscilla un testimone in una piccola pinata.</v>
      </c>
    </row>
    <row r="14140">
      <c r="A14140" s="4" t="s">
        <v>17799</v>
      </c>
      <c r="B14140" s="4" t="s">
        <v>17802</v>
      </c>
      <c r="C14140" s="5" t="str">
        <f>IFERROR(__xludf.DUMMYFUNCTION("GOOGLETRANSLATE(B14140,""en"",""it"")"),"È bendata mentre continua a oscillare ancora e ancora.")</f>
        <v>È bendata mentre continua a oscillare ancora e ancora.</v>
      </c>
    </row>
    <row r="14141">
      <c r="A14141" s="4" t="s">
        <v>17803</v>
      </c>
      <c r="B14141" s="4" t="s">
        <v>17804</v>
      </c>
      <c r="C14141" s="5" t="str">
        <f>IFERROR(__xludf.DUMMYFUNCTION("GOOGLETRANSLATE(B14141,""en"",""it"")"),"Una donna si mostra le unghie seguite da diverse clip di unghie dipinte da un pennello.")</f>
        <v>Una donna si mostra le unghie seguite da diverse clip di unghie dipinte da un pennello.</v>
      </c>
    </row>
    <row r="14142">
      <c r="A14142" s="4" t="s">
        <v>17803</v>
      </c>
      <c r="B14142" s="4" t="s">
        <v>17805</v>
      </c>
      <c r="C14142" s="5" t="str">
        <f>IFERROR(__xludf.DUMMYFUNCTION("GOOGLETRANSLATE(B14142,""en"",""it"")"),"Il pennello fa diverse linee sulle unghie e mostra celebrità con unghie alla moda.")</f>
        <v>Il pennello fa diverse linee sulle unghie e mostra celebrità con unghie alla moda.</v>
      </c>
    </row>
    <row r="14143">
      <c r="A14143" s="4" t="s">
        <v>17803</v>
      </c>
      <c r="B14143" s="4" t="s">
        <v>17806</v>
      </c>
      <c r="C14143" s="5" t="str">
        <f>IFERROR(__xludf.DUMMYFUNCTION("GOOGLETRANSLATE(B14143,""en"",""it"")"),"Il video accelera e mostra diversi design per smalto ed esempi.")</f>
        <v>Il video accelera e mostra diversi design per smalto ed esempi.</v>
      </c>
    </row>
    <row r="14144">
      <c r="A14144" s="4" t="s">
        <v>17807</v>
      </c>
      <c r="B14144" s="4" t="s">
        <v>17808</v>
      </c>
      <c r="C14144" s="5" t="str">
        <f>IFERROR(__xludf.DUMMYFUNCTION("GOOGLETRANSLATE(B14144,""en"",""it"")"),"Un primo piano delle unghie di una persona viene mostrato seguito da una persona che presenta le unghie di un'altra.")</f>
        <v>Un primo piano delle unghie di una persona viene mostrato seguito da una persona che presenta le unghie di un'altra.</v>
      </c>
    </row>
    <row r="14145">
      <c r="A14145" s="4" t="s">
        <v>17807</v>
      </c>
      <c r="B14145" s="4" t="s">
        <v>17809</v>
      </c>
      <c r="C14145" s="5" t="str">
        <f>IFERROR(__xludf.DUMMYFUNCTION("GOOGLETRANSLATE(B14145,""en"",""it"")"),"Vengono mostrati diversi prodotti e le unghie di una persona vengono dipinte e messe sotto calore.")</f>
        <v>Vengono mostrati diversi prodotti e le unghie di una persona vengono dipinte e messe sotto calore.</v>
      </c>
    </row>
    <row r="14146">
      <c r="A14146" s="4" t="s">
        <v>17807</v>
      </c>
      <c r="B14146" s="4" t="s">
        <v>17810</v>
      </c>
      <c r="C14146" s="5" t="str">
        <f>IFERROR(__xludf.DUMMYFUNCTION("GOOGLETRANSLATE(B14146,""en"",""it"")"),"La persona continua a dipingere le unghie e alla fine mette una gemma.")</f>
        <v>La persona continua a dipingere le unghie e alla fine mette una gemma.</v>
      </c>
    </row>
    <row r="14147">
      <c r="A14147" s="4" t="s">
        <v>17811</v>
      </c>
      <c r="B14147" s="4" t="s">
        <v>1487</v>
      </c>
      <c r="C14147" s="5" t="str">
        <f>IFERROR(__xludf.DUMMYFUNCTION("GOOGLETRANSLATE(B14147,""en"",""it"")"),"Vediamo una schermata del titolo di apertura.")</f>
        <v>Vediamo una schermata del titolo di apertura.</v>
      </c>
    </row>
    <row r="14148">
      <c r="A14148" s="4" t="s">
        <v>17811</v>
      </c>
      <c r="B14148" s="4" t="s">
        <v>17812</v>
      </c>
      <c r="C14148" s="5" t="str">
        <f>IFERROR(__xludf.DUMMYFUNCTION("GOOGLETRANSLATE(B14148,""en"",""it"")"),"Vediamo colpi di persone che giocano a calcio in un'arena al coperto.")</f>
        <v>Vediamo colpi di persone che giocano a calcio in un'arena al coperto.</v>
      </c>
    </row>
    <row r="14149">
      <c r="A14149" s="4" t="s">
        <v>17811</v>
      </c>
      <c r="B14149" s="4" t="s">
        <v>17813</v>
      </c>
      <c r="C14149" s="5" t="str">
        <f>IFERROR(__xludf.DUMMYFUNCTION("GOOGLETRANSLATE(B14149,""en"",""it"")"),"Vediamo un uomo saltare e deviare una palla dalla rete al rallentatore.")</f>
        <v>Vediamo un uomo saltare e deviare una palla dalla rete al rallentatore.</v>
      </c>
    </row>
    <row r="14150">
      <c r="A14150" s="4" t="s">
        <v>17811</v>
      </c>
      <c r="B14150" s="4" t="s">
        <v>17814</v>
      </c>
      <c r="C14150" s="5" t="str">
        <f>IFERROR(__xludf.DUMMYFUNCTION("GOOGLETRANSLATE(B14150,""en"",""it"")"),"Vediamo che due uomini si scontrano al rallentatore.")</f>
        <v>Vediamo che due uomini si scontrano al rallentatore.</v>
      </c>
    </row>
    <row r="14151">
      <c r="A14151" s="4" t="s">
        <v>17815</v>
      </c>
      <c r="B14151" s="4" t="s">
        <v>17816</v>
      </c>
      <c r="C14151" s="5" t="str">
        <f>IFERROR(__xludf.DUMMYFUNCTION("GOOGLETRANSLATE(B14151,""en"",""it"")"),"Il bambino è al lavandino a spazzolare la pentola.")</f>
        <v>Il bambino è al lavandino a spazzolare la pentola.</v>
      </c>
    </row>
    <row r="14152">
      <c r="A14152" s="4" t="s">
        <v>17815</v>
      </c>
      <c r="B14152" s="4" t="s">
        <v>17817</v>
      </c>
      <c r="C14152" s="5" t="str">
        <f>IFERROR(__xludf.DUMMYFUNCTION("GOOGLETRANSLATE(B14152,""en"",""it"")"),"Il ragazzo solleva il pennello dalla pentola e spazzola invece il lavandino, poi lo mise nella pentola.")</f>
        <v>Il ragazzo solleva il pennello dalla pentola e spazzola invece il lavandino, poi lo mise nella pentola.</v>
      </c>
    </row>
    <row r="14153">
      <c r="A14153" s="4" t="s">
        <v>17815</v>
      </c>
      <c r="B14153" s="6" t="s">
        <v>17818</v>
      </c>
      <c r="C14153" s="5" t="str">
        <f>IFERROR(__xludf.DUMMYFUNCTION("GOOGLETRANSLATE(B14153,""en"",""it"")"),"Il ragazzo spazzola il coperchio della pentola e un adulto mise piastre nella pentola e il ragazzo lo tirò fuori e immergi la forchetta.")</f>
        <v>Il ragazzo spazzola il coperchio della pentola e un adulto mise piastre nella pentola e il ragazzo lo tirò fuori e immergi la forchetta.</v>
      </c>
    </row>
    <row r="14154">
      <c r="A14154" s="4" t="s">
        <v>17819</v>
      </c>
      <c r="B14154" s="4" t="s">
        <v>17820</v>
      </c>
      <c r="C14154" s="5" t="str">
        <f>IFERROR(__xludf.DUMMYFUNCTION("GOOGLETRANSLATE(B14154,""en"",""it"")"),"Una persona che indossa gli attrezzi di sicurezza contiene un'asta di metallo con un morsetto.")</f>
        <v>Una persona che indossa gli attrezzi di sicurezza contiene un'asta di metallo con un morsetto.</v>
      </c>
    </row>
    <row r="14155">
      <c r="A14155" s="4" t="s">
        <v>17819</v>
      </c>
      <c r="B14155" s="4" t="s">
        <v>17821</v>
      </c>
      <c r="C14155" s="5" t="str">
        <f>IFERROR(__xludf.DUMMYFUNCTION("GOOGLETRANSLATE(B14155,""en"",""it"")"),"Quindi, la persona saldava su una superficie.")</f>
        <v>Quindi, la persona saldava su una superficie.</v>
      </c>
    </row>
    <row r="14156">
      <c r="A14156" s="4" t="s">
        <v>17819</v>
      </c>
      <c r="B14156" s="4" t="s">
        <v>17822</v>
      </c>
      <c r="C14156" s="5" t="str">
        <f>IFERROR(__xludf.DUMMYFUNCTION("GOOGLETRANSLATE(B14156,""en"",""it"")"),"Il fumo viene come il morsetto.")</f>
        <v>Il fumo viene come il morsetto.</v>
      </c>
    </row>
    <row r="14157">
      <c r="A14157" s="4" t="s">
        <v>17823</v>
      </c>
      <c r="B14157" s="4" t="s">
        <v>17824</v>
      </c>
      <c r="C14157" s="5" t="str">
        <f>IFERROR(__xludf.DUMMYFUNCTION("GOOGLETRANSLATE(B14157,""en"",""it"")"),"Un dipinto di un cielo nuvoloso sulle montagne viene visualizzato su una tela.")</f>
        <v>Un dipinto di un cielo nuvoloso sulle montagne viene visualizzato su una tela.</v>
      </c>
    </row>
    <row r="14158">
      <c r="A14158" s="4" t="s">
        <v>17823</v>
      </c>
      <c r="B14158" s="4" t="s">
        <v>17825</v>
      </c>
      <c r="C14158" s="5" t="str">
        <f>IFERROR(__xludf.DUMMYFUNCTION("GOOGLETRANSLATE(B14158,""en"",""it"")"),"Un pennello inizia a dipingere blu sulla tela.")</f>
        <v>Un pennello inizia a dipingere blu sulla tela.</v>
      </c>
    </row>
    <row r="14159">
      <c r="A14159" s="4" t="s">
        <v>17823</v>
      </c>
      <c r="B14159" s="6" t="s">
        <v>17826</v>
      </c>
      <c r="C14159" s="5" t="str">
        <f>IFERROR(__xludf.DUMMYFUNCTION("GOOGLETRANSLATE(B14159,""en"",""it"")"),"Un'immagine completa è mostrata in colori brillanti di una spiaggia prima di tornare ai colpi invariati.")</f>
        <v>Un'immagine completa è mostrata in colori brillanti di una spiaggia prima di tornare ai colpi invariati.</v>
      </c>
    </row>
    <row r="14160">
      <c r="A14160" s="4" t="s">
        <v>17823</v>
      </c>
      <c r="B14160" s="4" t="s">
        <v>17827</v>
      </c>
      <c r="C14160" s="5" t="str">
        <f>IFERROR(__xludf.DUMMYFUNCTION("GOOGLETRANSLATE(B14160,""en"",""it"")"),"L'oceano è completato nella scena finale.")</f>
        <v>L'oceano è completato nella scena finale.</v>
      </c>
    </row>
    <row r="14161">
      <c r="A14161" s="4" t="s">
        <v>17828</v>
      </c>
      <c r="B14161" s="4" t="s">
        <v>17829</v>
      </c>
      <c r="C14161" s="5" t="str">
        <f>IFERROR(__xludf.DUMMYFUNCTION("GOOGLETRANSLATE(B14161,""en"",""it"")"),"Una donna anziana è a maglia su un letto.")</f>
        <v>Una donna anziana è a maglia su un letto.</v>
      </c>
    </row>
    <row r="14162">
      <c r="A14162" s="4" t="s">
        <v>17828</v>
      </c>
      <c r="B14162" s="4" t="s">
        <v>17830</v>
      </c>
      <c r="C14162" s="5" t="str">
        <f>IFERROR(__xludf.DUMMYFUNCTION("GOOGLETRANSLATE(B14162,""en"",""it"")"),"Anche una bambina è seduta sul pavimento a maglia.")</f>
        <v>Anche una bambina è seduta sul pavimento a maglia.</v>
      </c>
    </row>
    <row r="14163">
      <c r="A14163" s="4" t="s">
        <v>17828</v>
      </c>
      <c r="B14163" s="4" t="s">
        <v>17831</v>
      </c>
      <c r="C14163" s="5" t="str">
        <f>IFERROR(__xludf.DUMMYFUNCTION("GOOGLETRANSLATE(B14163,""en"",""it"")"),"Parla con la telecamera mentre impara a lavorare a maglia.")</f>
        <v>Parla con la telecamera mentre impara a lavorare a maglia.</v>
      </c>
    </row>
    <row r="14164">
      <c r="A14164" s="4" t="s">
        <v>17832</v>
      </c>
      <c r="B14164" s="6" t="s">
        <v>17833</v>
      </c>
      <c r="C14164" s="5" t="str">
        <f>IFERROR(__xludf.DUMMYFUNCTION("GOOGLETRANSLATE(B14164,""en"",""it"")"),"Un giovane è in piedi su una porta aperta con le mani sui palmi della testa rivolti verso di lui su un bar fissato in cima alla porta.")</f>
        <v>Un giovane è in piedi su una porta aperta con le mani sui palmi della testa rivolti verso di lui su un bar fissato in cima alla porta.</v>
      </c>
    </row>
    <row r="14165">
      <c r="A14165" s="4" t="s">
        <v>17832</v>
      </c>
      <c r="B14165" s="6" t="s">
        <v>17834</v>
      </c>
      <c r="C14165" s="5" t="str">
        <f>IFERROR(__xludf.DUMMYFUNCTION("GOOGLETRANSLATE(B14165,""en"",""it"")"),"Il giovane si solleva e posiziona i piedi nel divario tra il bar e la parte superiore del telaio della porta.")</f>
        <v>Il giovane si solleva e posiziona i piedi nel divario tra il bar e la parte superiore del telaio della porta.</v>
      </c>
    </row>
    <row r="14166">
      <c r="A14166" s="4" t="s">
        <v>17832</v>
      </c>
      <c r="B14166" s="6" t="s">
        <v>17835</v>
      </c>
      <c r="C14166" s="5" t="str">
        <f>IFERROR(__xludf.DUMMYFUNCTION("GOOGLETRANSLATE(B14166,""en"",""it"")"),"Il giovane abbassa il suo corpo, estendendosi per tutta la lunghezza della porta, mani dietro la testa, gomiti.")</f>
        <v>Il giovane abbassa il suo corpo, estendendosi per tutta la lunghezza della porta, mani dietro la testa, gomiti.</v>
      </c>
    </row>
    <row r="14167">
      <c r="A14167" s="4" t="s">
        <v>17832</v>
      </c>
      <c r="B14167" s="4" t="s">
        <v>17836</v>
      </c>
      <c r="C14167" s="5" t="str">
        <f>IFERROR(__xludf.DUMMYFUNCTION("GOOGLETRANSLATE(B14167,""en"",""it"")"),"Il giovane fa due sit up.")</f>
        <v>Il giovane fa due sit up.</v>
      </c>
    </row>
    <row r="14168">
      <c r="A14168" s="4" t="s">
        <v>17832</v>
      </c>
      <c r="B14168" s="6" t="s">
        <v>17837</v>
      </c>
      <c r="C14168" s="5" t="str">
        <f>IFERROR(__xludf.DUMMYFUNCTION("GOOGLETRANSLATE(B14168,""en"",""it"")"),"La fotocamera mostra la parte superiore della porta incentrata sul bar e i piedi del giovane fissato nella parte superiore della porta.")</f>
        <v>La fotocamera mostra la parte superiore della porta incentrata sul bar e i piedi del giovane fissato nella parte superiore della porta.</v>
      </c>
    </row>
    <row r="14169">
      <c r="A14169" s="4" t="s">
        <v>17832</v>
      </c>
      <c r="B14169" s="4" t="s">
        <v>17838</v>
      </c>
      <c r="C14169" s="5" t="str">
        <f>IFERROR(__xludf.DUMMYFUNCTION("GOOGLETRANSLATE(B14169,""en"",""it"")"),"La telecamera ritorna alla vista completa del giovane che si siede sulla soglia.")</f>
        <v>La telecamera ritorna alla vista completa del giovane che si siede sulla soglia.</v>
      </c>
    </row>
    <row r="14170">
      <c r="A14170" s="4" t="s">
        <v>17832</v>
      </c>
      <c r="B14170" s="4" t="s">
        <v>17839</v>
      </c>
      <c r="C14170" s="5" t="str">
        <f>IFERROR(__xludf.DUMMYFUNCTION("GOOGLETRANSLATE(B14170,""en"",""it"")"),"Il giovane fa altri tre sit up.")</f>
        <v>Il giovane fa altri tre sit up.</v>
      </c>
    </row>
    <row r="14171">
      <c r="A14171" s="4" t="s">
        <v>17840</v>
      </c>
      <c r="B14171" s="4" t="s">
        <v>17841</v>
      </c>
      <c r="C14171" s="5" t="str">
        <f>IFERROR(__xludf.DUMMYFUNCTION("GOOGLETRANSLATE(B14171,""en"",""it"")"),"Una donna è in piedi accanto al vuoto.")</f>
        <v>Una donna è in piedi accanto al vuoto.</v>
      </c>
    </row>
    <row r="14172">
      <c r="A14172" s="4" t="s">
        <v>17840</v>
      </c>
      <c r="B14172" s="4" t="s">
        <v>17842</v>
      </c>
      <c r="C14172" s="5" t="str">
        <f>IFERROR(__xludf.DUMMYFUNCTION("GOOGLETRANSLATE(B14172,""en"",""it"")"),"Scarica qualcosa sul pavimento.")</f>
        <v>Scarica qualcosa sul pavimento.</v>
      </c>
    </row>
    <row r="14173">
      <c r="A14173" s="4" t="s">
        <v>17840</v>
      </c>
      <c r="B14173" s="4" t="s">
        <v>17843</v>
      </c>
      <c r="C14173" s="5" t="str">
        <f>IFERROR(__xludf.DUMMYFUNCTION("GOOGLETRANSLATE(B14173,""en"",""it"")"),"Prende il vuoto e aspira il disordine.")</f>
        <v>Prende il vuoto e aspira il disordine.</v>
      </c>
    </row>
    <row r="14174">
      <c r="A14174" s="4" t="s">
        <v>17840</v>
      </c>
      <c r="B14174" s="4" t="s">
        <v>17844</v>
      </c>
      <c r="C14174" s="5" t="str">
        <f>IFERROR(__xludf.DUMMYFUNCTION("GOOGLETRANSLATE(B14174,""en"",""it"")"),"Toglie il tubo dal vuoto e inizia a usarlo sul pavimento.")</f>
        <v>Toglie il tubo dal vuoto e inizia a usarlo sul pavimento.</v>
      </c>
    </row>
    <row r="14175">
      <c r="A14175" s="4" t="s">
        <v>17845</v>
      </c>
      <c r="B14175" s="4" t="s">
        <v>17846</v>
      </c>
      <c r="C14175" s="5" t="str">
        <f>IFERROR(__xludf.DUMMYFUNCTION("GOOGLETRANSLATE(B14175,""en"",""it"")"),"Un uomo sta guidando un tosaerba da equitazione.")</f>
        <v>Un uomo sta guidando un tosaerba da equitazione.</v>
      </c>
    </row>
    <row r="14176">
      <c r="A14176" s="4" t="s">
        <v>17845</v>
      </c>
      <c r="B14176" s="4" t="s">
        <v>17847</v>
      </c>
      <c r="C14176" s="5" t="str">
        <f>IFERROR(__xludf.DUMMYFUNCTION("GOOGLETRANSLATE(B14176,""en"",""it"")"),"Comincia a falciare il prato sul tosaerba.")</f>
        <v>Comincia a falciare il prato sul tosaerba.</v>
      </c>
    </row>
    <row r="14177">
      <c r="A14177" s="4" t="s">
        <v>17845</v>
      </c>
      <c r="B14177" s="4" t="s">
        <v>17848</v>
      </c>
      <c r="C14177" s="5" t="str">
        <f>IFERROR(__xludf.DUMMYFUNCTION("GOOGLETRANSLATE(B14177,""en"",""it"")"),"Alza la mano e continua a falciare il prato.")</f>
        <v>Alza la mano e continua a falciare il prato.</v>
      </c>
    </row>
    <row r="14178">
      <c r="A14178" s="4" t="s">
        <v>17849</v>
      </c>
      <c r="B14178" s="4" t="s">
        <v>17850</v>
      </c>
      <c r="C14178" s="5" t="str">
        <f>IFERROR(__xludf.DUMMYFUNCTION("GOOGLETRANSLATE(B14178,""en"",""it"")"),"Un mixologo sta parlando di come preparare bevande alcoliche.")</f>
        <v>Un mixologo sta parlando di come preparare bevande alcoliche.</v>
      </c>
    </row>
    <row r="14179">
      <c r="A14179" s="4" t="s">
        <v>17849</v>
      </c>
      <c r="B14179" s="4" t="s">
        <v>17851</v>
      </c>
      <c r="C14179" s="5" t="str">
        <f>IFERROR(__xludf.DUMMYFUNCTION("GOOGLETRANSLATE(B14179,""en"",""it"")"),"Parla delle bevande che fa molti preferiti.")</f>
        <v>Parla delle bevande che fa molti preferiti.</v>
      </c>
    </row>
    <row r="14180">
      <c r="A14180" s="4" t="s">
        <v>17849</v>
      </c>
      <c r="B14180" s="4" t="s">
        <v>17852</v>
      </c>
      <c r="C14180" s="5" t="str">
        <f>IFERROR(__xludf.DUMMYFUNCTION("GOOGLETRANSLATE(B14180,""en"",""it"")"),"Comincia con una soda Voda e come crearne una.")</f>
        <v>Comincia con una soda Voda e come crearne una.</v>
      </c>
    </row>
    <row r="14181">
      <c r="A14181" s="4" t="s">
        <v>17849</v>
      </c>
      <c r="B14181" s="4" t="s">
        <v>17853</v>
      </c>
      <c r="C14181" s="5" t="str">
        <f>IFERROR(__xludf.DUMMYFUNCTION("GOOGLETRANSLATE(B14181,""en"",""it"")"),"Il prossimo drink che produce è la vodka sette.")</f>
        <v>Il prossimo drink che produce è la vodka sette.</v>
      </c>
    </row>
    <row r="14182">
      <c r="A14182" s="4" t="s">
        <v>17849</v>
      </c>
      <c r="B14182" s="4" t="s">
        <v>17854</v>
      </c>
      <c r="C14182" s="5" t="str">
        <f>IFERROR(__xludf.DUMMYFUNCTION("GOOGLETRANSLATE(B14182,""en"",""it"")"),"Quindi produce un cacciavite, un levriero e poi mescolato con succo di mirtillo.")</f>
        <v>Quindi produce un cacciavite, un levriero e poi mescolato con succo di mirtillo.</v>
      </c>
    </row>
    <row r="14183">
      <c r="A14183" s="4" t="s">
        <v>17855</v>
      </c>
      <c r="B14183" s="6" t="s">
        <v>17856</v>
      </c>
      <c r="C14183" s="5" t="str">
        <f>IFERROR(__xludf.DUMMYFUNCTION("GOOGLETRANSLATE(B14183,""en"",""it"")"),"Una telecamera si allontana da una serie di attrezzature da esercizio e porta i piedi di una donna che si muovono.")</f>
        <v>Una telecamera si allontana da una serie di attrezzature da esercizio e porta i piedi di una donna che si muovono.</v>
      </c>
    </row>
    <row r="14184">
      <c r="A14184" s="4" t="s">
        <v>17855</v>
      </c>
      <c r="B14184" s="6" t="s">
        <v>17857</v>
      </c>
      <c r="C14184" s="5" t="str">
        <f>IFERROR(__xludf.DUMMYFUNCTION("GOOGLETRANSLATE(B14184,""en"",""it"")"),"La donna viene quindi vista usando la macchina, oltre a regolare le impostazioni e continuare a funzionare.")</f>
        <v>La donna viene quindi vista usando la macchina, oltre a regolare le impostazioni e continuare a funzionare.</v>
      </c>
    </row>
    <row r="14185">
      <c r="A14185" s="4" t="s">
        <v>17858</v>
      </c>
      <c r="B14185" s="4" t="s">
        <v>17859</v>
      </c>
      <c r="C14185" s="5" t="str">
        <f>IFERROR(__xludf.DUMMYFUNCTION("GOOGLETRANSLATE(B14185,""en"",""it"")"),"Un uomo vestito per il freddo è fuori nella neve che armeggia con una catena tra le mani.")</f>
        <v>Un uomo vestito per il freddo è fuori nella neve che armeggia con una catena tra le mani.</v>
      </c>
    </row>
    <row r="14186">
      <c r="A14186" s="4" t="s">
        <v>17858</v>
      </c>
      <c r="B14186" s="4" t="s">
        <v>17860</v>
      </c>
      <c r="C14186" s="5" t="str">
        <f>IFERROR(__xludf.DUMMYFUNCTION("GOOGLETRANSLATE(B14186,""en"",""it"")"),"La catena viene quindi posizionata attorno a un moncone e l'uomo raccoglie un'ascia.")</f>
        <v>La catena viene quindi posizionata attorno a un moncone e l'uomo raccoglie un'ascia.</v>
      </c>
    </row>
    <row r="14187">
      <c r="A14187" s="4" t="s">
        <v>17858</v>
      </c>
      <c r="B14187" s="6" t="s">
        <v>17861</v>
      </c>
      <c r="C14187" s="5" t="str">
        <f>IFERROR(__xludf.DUMMYFUNCTION("GOOGLETRANSLATE(B14187,""en"",""it"")"),"L'uomo colpisce continuamente i monconi fino a quando il moncone non viene fatto a pezzi e poi lo fa uncha nella parte posteriore del suo camion.")</f>
        <v>L'uomo colpisce continuamente i monconi fino a quando il moncone non viene fatto a pezzi e poi lo fa uncha nella parte posteriore del suo camion.</v>
      </c>
    </row>
    <row r="14188">
      <c r="A14188" s="4" t="s">
        <v>17862</v>
      </c>
      <c r="B14188" s="4" t="s">
        <v>17863</v>
      </c>
      <c r="C14188" s="5" t="str">
        <f>IFERROR(__xludf.DUMMYFUNCTION("GOOGLETRANSLATE(B14188,""en"",""it"")"),"Un uomo è in palestra mentre parla alla telecamera.")</f>
        <v>Un uomo è in palestra mentre parla alla telecamera.</v>
      </c>
    </row>
    <row r="14189">
      <c r="A14189" s="4" t="s">
        <v>17862</v>
      </c>
      <c r="B14189" s="4" t="s">
        <v>17864</v>
      </c>
      <c r="C14189" s="5" t="str">
        <f>IFERROR(__xludf.DUMMYFUNCTION("GOOGLETRANSLATE(B14189,""en"",""it"")"),"Altri uomini si stanno allenando dietro di lui.")</f>
        <v>Altri uomini si stanno allenando dietro di lui.</v>
      </c>
    </row>
    <row r="14190">
      <c r="A14190" s="4" t="s">
        <v>17862</v>
      </c>
      <c r="B14190" s="4" t="s">
        <v>17865</v>
      </c>
      <c r="C14190" s="5" t="str">
        <f>IFERROR(__xludf.DUMMYFUNCTION("GOOGLETRANSLATE(B14190,""en"",""it"")"),"Dimostra tramite volontario come utilizzare una macchina vogatore.")</f>
        <v>Dimostra tramite volontario come utilizzare una macchina vogatore.</v>
      </c>
    </row>
    <row r="14191">
      <c r="A14191" s="4" t="s">
        <v>17866</v>
      </c>
      <c r="B14191" s="4" t="s">
        <v>17867</v>
      </c>
      <c r="C14191" s="5" t="str">
        <f>IFERROR(__xludf.DUMMYFUNCTION("GOOGLETRANSLATE(B14191,""en"",""it"")"),"Gli uomini sono in piedi su un campo a parlare.")</f>
        <v>Gli uomini sono in piedi su un campo a parlare.</v>
      </c>
    </row>
    <row r="14192">
      <c r="A14192" s="4" t="s">
        <v>17866</v>
      </c>
      <c r="B14192" s="4" t="s">
        <v>17868</v>
      </c>
      <c r="C14192" s="5" t="str">
        <f>IFERROR(__xludf.DUMMYFUNCTION("GOOGLETRANSLATE(B14192,""en"",""it"")"),"Un uomo prende a calci un altro uomo.")</f>
        <v>Un uomo prende a calci un altro uomo.</v>
      </c>
    </row>
    <row r="14193">
      <c r="A14193" s="4" t="s">
        <v>17866</v>
      </c>
      <c r="B14193" s="4" t="s">
        <v>17869</v>
      </c>
      <c r="C14193" s="5" t="str">
        <f>IFERROR(__xludf.DUMMYFUNCTION("GOOGLETRANSLATE(B14193,""en"",""it"")"),"Quell'uomo fa oscillare una mazza contro di lui.")</f>
        <v>Quell'uomo fa oscillare una mazza contro di lui.</v>
      </c>
    </row>
    <row r="14194">
      <c r="A14194" s="4" t="s">
        <v>17870</v>
      </c>
      <c r="B14194" s="4" t="s">
        <v>17871</v>
      </c>
      <c r="C14194" s="5" t="str">
        <f>IFERROR(__xludf.DUMMYFUNCTION("GOOGLETRANSLATE(B14194,""en"",""it"")"),"Un uomo sta cavalcando una tavola da surf nell'oceano.")</f>
        <v>Un uomo sta cavalcando una tavola da surf nell'oceano.</v>
      </c>
    </row>
    <row r="14195">
      <c r="A14195" s="4" t="s">
        <v>17870</v>
      </c>
      <c r="B14195" s="4" t="s">
        <v>17872</v>
      </c>
      <c r="C14195" s="5" t="str">
        <f>IFERROR(__xludf.DUMMYFUNCTION("GOOGLETRANSLATE(B14195,""en"",""it"")"),"Si alza sul tabellone durante un'onda.")</f>
        <v>Si alza sul tabellone durante un'onda.</v>
      </c>
    </row>
    <row r="14196">
      <c r="A14196" s="4" t="s">
        <v>17870</v>
      </c>
      <c r="B14196" s="4" t="s">
        <v>17873</v>
      </c>
      <c r="C14196" s="5" t="str">
        <f>IFERROR(__xludf.DUMMYFUNCTION("GOOGLETRANSLATE(B14196,""en"",""it"")"),"Naviga attraverso l'onda, intrecciando dentro e fuori.")</f>
        <v>Naviga attraverso l'onda, intrecciando dentro e fuori.</v>
      </c>
    </row>
    <row r="14197">
      <c r="A14197" s="4" t="s">
        <v>17874</v>
      </c>
      <c r="B14197" s="4" t="s">
        <v>17875</v>
      </c>
      <c r="C14197" s="5" t="str">
        <f>IFERROR(__xludf.DUMMYFUNCTION("GOOGLETRANSLATE(B14197,""en"",""it"")"),"Le persone sono sedute in zattere che scendono lungo un fiume.")</f>
        <v>Le persone sono sedute in zattere che scendono lungo un fiume.</v>
      </c>
    </row>
    <row r="14198">
      <c r="A14198" s="4" t="s">
        <v>17874</v>
      </c>
      <c r="B14198" s="4" t="s">
        <v>17876</v>
      </c>
      <c r="C14198" s="5" t="str">
        <f>IFERROR(__xludf.DUMMYFUNCTION("GOOGLETRANSLATE(B14198,""en"",""it"")"),"Un uomo è in piedi sul lato di un fiume che scatta una foto.")</f>
        <v>Un uomo è in piedi sul lato di un fiume che scatta una foto.</v>
      </c>
    </row>
    <row r="14199">
      <c r="A14199" s="4" t="s">
        <v>17874</v>
      </c>
      <c r="B14199" s="4" t="s">
        <v>17877</v>
      </c>
      <c r="C14199" s="5" t="str">
        <f>IFERROR(__xludf.DUMMYFUNCTION("GOOGLETRANSLATE(B14199,""en"",""it"")"),"Le persone stanno uscendo dalla zattera sulla terra.")</f>
        <v>Le persone stanno uscendo dalla zattera sulla terra.</v>
      </c>
    </row>
    <row r="14200">
      <c r="A14200" s="4" t="s">
        <v>17878</v>
      </c>
      <c r="B14200" s="4" t="s">
        <v>17879</v>
      </c>
      <c r="C14200" s="5" t="str">
        <f>IFERROR(__xludf.DUMMYFUNCTION("GOOGLETRANSLATE(B14200,""en"",""it"")"),"Una persona sta saldando un metallo all'esterno.")</f>
        <v>Una persona sta saldando un metallo all'esterno.</v>
      </c>
    </row>
    <row r="14201">
      <c r="A14201" s="4" t="s">
        <v>17878</v>
      </c>
      <c r="B14201" s="4" t="s">
        <v>17880</v>
      </c>
      <c r="C14201" s="5" t="str">
        <f>IFERROR(__xludf.DUMMYFUNCTION("GOOGLETRANSLATE(B14201,""en"",""it"")"),"La persona smette di saldare il metallo sul pavimento.")</f>
        <v>La persona smette di saldare il metallo sul pavimento.</v>
      </c>
    </row>
    <row r="14202">
      <c r="A14202" s="4" t="s">
        <v>17878</v>
      </c>
      <c r="B14202" s="4" t="s">
        <v>17881</v>
      </c>
      <c r="C14202" s="5" t="str">
        <f>IFERROR(__xludf.DUMMYFUNCTION("GOOGLETRANSLATE(B14202,""en"",""it"")"),"La persona sposta dietro lo strumento di saldatura.")</f>
        <v>La persona sposta dietro lo strumento di saldatura.</v>
      </c>
    </row>
    <row r="14203">
      <c r="A14203" s="4" t="s">
        <v>17882</v>
      </c>
      <c r="B14203" s="4" t="s">
        <v>17883</v>
      </c>
      <c r="C14203" s="5" t="str">
        <f>IFERROR(__xludf.DUMMYFUNCTION("GOOGLETRANSLATE(B14203,""en"",""it"")"),"Due bambini piccoli si siedono in una scatola nella parte superiore dello scivolo in un'area di gioco al coperto.")</f>
        <v>Due bambini piccoli si siedono in una scatola nella parte superiore dello scivolo in un'area di gioco al coperto.</v>
      </c>
    </row>
    <row r="14204">
      <c r="A14204" s="4" t="s">
        <v>17882</v>
      </c>
      <c r="B14204" s="4" t="s">
        <v>17884</v>
      </c>
      <c r="C14204" s="5" t="str">
        <f>IFERROR(__xludf.DUMMYFUNCTION("GOOGLETRANSLATE(B14204,""en"",""it"")"),"Una bambina si unisce e gioca sulla diapositiva.")</f>
        <v>Una bambina si unisce e gioca sulla diapositiva.</v>
      </c>
    </row>
    <row r="14205">
      <c r="A14205" s="4" t="s">
        <v>17882</v>
      </c>
      <c r="B14205" s="4" t="s">
        <v>17885</v>
      </c>
      <c r="C14205" s="5" t="str">
        <f>IFERROR(__xludf.DUMMYFUNCTION("GOOGLETRANSLATE(B14205,""en"",""it"")"),"Le ragazze se ne va e i ragazzi si alternano scendendo dalla diapositiva.")</f>
        <v>Le ragazze se ne va e i ragazzi si alternano scendendo dalla diapositiva.</v>
      </c>
    </row>
    <row r="14206">
      <c r="A14206" s="4" t="s">
        <v>17882</v>
      </c>
      <c r="B14206" s="4" t="s">
        <v>17886</v>
      </c>
      <c r="C14206" s="5" t="str">
        <f>IFERROR(__xludf.DUMMYFUNCTION("GOOGLETRANSLATE(B14206,""en"",""it"")"),"I ragazzi collegano una diapositiva al primo e provano la nuova diapositiva.")</f>
        <v>I ragazzi collegano una diapositiva al primo e provano la nuova diapositiva.</v>
      </c>
    </row>
    <row r="14207">
      <c r="A14207" s="4" t="s">
        <v>17882</v>
      </c>
      <c r="B14207" s="4" t="s">
        <v>17887</v>
      </c>
      <c r="C14207" s="5" t="str">
        <f>IFERROR(__xludf.DUMMYFUNCTION("GOOGLETRANSLATE(B14207,""en"",""it"")"),"Due bambini corrono più e via.")</f>
        <v>Due bambini corrono più e via.</v>
      </c>
    </row>
    <row r="14208">
      <c r="A14208" s="4" t="s">
        <v>17882</v>
      </c>
      <c r="B14208" s="4" t="s">
        <v>17888</v>
      </c>
      <c r="C14208" s="5" t="str">
        <f>IFERROR(__xludf.DUMMYFUNCTION("GOOGLETRANSLATE(B14208,""en"",""it"")"),"L'ultimo ragazzo scappa e vediamo la scala della diapositiva.")</f>
        <v>L'ultimo ragazzo scappa e vediamo la scala della diapositiva.</v>
      </c>
    </row>
    <row r="14209">
      <c r="A14209" s="4" t="s">
        <v>17889</v>
      </c>
      <c r="B14209" s="4" t="s">
        <v>17890</v>
      </c>
      <c r="C14209" s="5" t="str">
        <f>IFERROR(__xludf.DUMMYFUNCTION("GOOGLETRANSLATE(B14209,""en"",""it"")"),"Due persone stanno kayak su un fiume ruvido.")</f>
        <v>Due persone stanno kayak su un fiume ruvido.</v>
      </c>
    </row>
    <row r="14210">
      <c r="A14210" s="4" t="s">
        <v>17889</v>
      </c>
      <c r="B14210" s="4" t="s">
        <v>17891</v>
      </c>
      <c r="C14210" s="5" t="str">
        <f>IFERROR(__xludf.DUMMYFUNCTION("GOOGLETRANSLATE(B14210,""en"",""it"")"),"Ora solo una persona può essere vista accanto alle rocce.")</f>
        <v>Ora solo una persona può essere vista accanto alle rocce.</v>
      </c>
    </row>
    <row r="14211">
      <c r="A14211" s="4" t="s">
        <v>17889</v>
      </c>
      <c r="B14211" s="4" t="s">
        <v>17892</v>
      </c>
      <c r="C14211" s="5" t="str">
        <f>IFERROR(__xludf.DUMMYFUNCTION("GOOGLETRANSLATE(B14211,""en"",""it"")"),"C'è un bordo di un portico con un paio di scarpe e un paio di gambe sul bordo del portico.")</f>
        <v>C'è un bordo di un portico con un paio di scarpe e un paio di gambe sul bordo del portico.</v>
      </c>
    </row>
    <row r="14212">
      <c r="A14212" s="4" t="s">
        <v>17893</v>
      </c>
      <c r="B14212" s="4" t="s">
        <v>17894</v>
      </c>
      <c r="C14212" s="5" t="str">
        <f>IFERROR(__xludf.DUMMYFUNCTION("GOOGLETRANSLATE(B14212,""en"",""it"")"),"Viene visto un bambino che parla alla telecamera e inizia a arrampicarsi su una serie di barre di scimmia.")</f>
        <v>Viene visto un bambino che parla alla telecamera e inizia a arrampicarsi su una serie di barre di scimmia.</v>
      </c>
    </row>
    <row r="14213">
      <c r="A14213" s="4" t="s">
        <v>17893</v>
      </c>
      <c r="B14213" s="4" t="s">
        <v>17895</v>
      </c>
      <c r="C14213" s="5" t="str">
        <f>IFERROR(__xludf.DUMMYFUNCTION("GOOGLETRANSLATE(B14213,""en"",""it"")"),"Arriva dall'altra parte sorridendo alla telecamera e poi si arrampica dopo.")</f>
        <v>Arriva dall'altra parte sorridendo alla telecamera e poi si arrampica dopo.</v>
      </c>
    </row>
    <row r="14214">
      <c r="A14214" s="4" t="s">
        <v>17896</v>
      </c>
      <c r="B14214" s="4" t="s">
        <v>17897</v>
      </c>
      <c r="C14214" s="5" t="str">
        <f>IFERROR(__xludf.DUMMYFUNCTION("GOOGLETRANSLATE(B14214,""en"",""it"")"),"Vediamo un uomo in una stanza parlare di una bici.")</f>
        <v>Vediamo un uomo in una stanza parlare di una bici.</v>
      </c>
    </row>
    <row r="14215">
      <c r="A14215" s="4" t="s">
        <v>17896</v>
      </c>
      <c r="B14215" s="4" t="s">
        <v>6208</v>
      </c>
      <c r="C14215" s="5" t="str">
        <f>IFERROR(__xludf.DUMMYFUNCTION("GOOGLETRANSLATE(B14215,""en"",""it"")"),"Vediamo una schermata del titolo.")</f>
        <v>Vediamo una schermata del titolo.</v>
      </c>
    </row>
    <row r="14216">
      <c r="A14216" s="4" t="s">
        <v>17896</v>
      </c>
      <c r="B14216" s="4" t="s">
        <v>17898</v>
      </c>
      <c r="C14216" s="5" t="str">
        <f>IFERROR(__xludf.DUMMYFUNCTION("GOOGLETRANSLATE(B14216,""en"",""it"")"),"Vediamo quindi l'uomo che regola la barra della bici.")</f>
        <v>Vediamo quindi l'uomo che regola la barra della bici.</v>
      </c>
    </row>
    <row r="14217">
      <c r="A14217" s="4" t="s">
        <v>17896</v>
      </c>
      <c r="B14217" s="4" t="s">
        <v>17899</v>
      </c>
      <c r="C14217" s="5" t="str">
        <f>IFERROR(__xludf.DUMMYFUNCTION("GOOGLETRANSLATE(B14217,""en"",""it"")"),"L'uomo dimostra come le leve si siedono e regolano le leve del freno.")</f>
        <v>L'uomo dimostra come le leve si siedono e regolano le leve del freno.</v>
      </c>
    </row>
    <row r="14218">
      <c r="A14218" s="4" t="s">
        <v>17896</v>
      </c>
      <c r="B14218" s="4" t="s">
        <v>17900</v>
      </c>
      <c r="C14218" s="5" t="str">
        <f>IFERROR(__xludf.DUMMYFUNCTION("GOOGLETRANSLATE(B14218,""en"",""it"")"),"L'uomo dimostra le posizioni sedute e la frenata e le avvita strette.")</f>
        <v>L'uomo dimostra le posizioni sedute e la frenata e le avvita strette.</v>
      </c>
    </row>
    <row r="14219">
      <c r="A14219" s="4" t="s">
        <v>17896</v>
      </c>
      <c r="B14219" s="4" t="s">
        <v>17901</v>
      </c>
      <c r="C14219" s="5" t="str">
        <f>IFERROR(__xludf.DUMMYFUNCTION("GOOGLETRANSLATE(B14219,""en"",""it"")"),"L'uomo quindi e regola la leva del cambio.")</f>
        <v>L'uomo quindi e regola la leva del cambio.</v>
      </c>
    </row>
    <row r="14220">
      <c r="A14220" s="4" t="s">
        <v>17896</v>
      </c>
      <c r="B14220" s="4" t="s">
        <v>17902</v>
      </c>
      <c r="C14220" s="5" t="str">
        <f>IFERROR(__xludf.DUMMYFUNCTION("GOOGLETRANSLATE(B14220,""en"",""it"")"),"Vediamo un riepilogo e la scena di chiusura del video.")</f>
        <v>Vediamo un riepilogo e la scena di chiusura del video.</v>
      </c>
    </row>
    <row r="14221">
      <c r="A14221" s="4" t="s">
        <v>17903</v>
      </c>
      <c r="B14221" s="4" t="s">
        <v>17904</v>
      </c>
      <c r="C14221" s="5" t="str">
        <f>IFERROR(__xludf.DUMMYFUNCTION("GOOGLETRANSLATE(B14221,""en"",""it"")"),"Un'introduzione arriva sullo schermo per un video su come riparare un lavandino puzzolente.")</f>
        <v>Un'introduzione arriva sullo schermo per un video su come riparare un lavandino puzzolente.</v>
      </c>
    </row>
    <row r="14222">
      <c r="A14222" s="4" t="s">
        <v>17903</v>
      </c>
      <c r="B14222" s="6" t="s">
        <v>17905</v>
      </c>
      <c r="C14222" s="5" t="str">
        <f>IFERROR(__xludf.DUMMYFUNCTION("GOOGLETRANSLATE(B14222,""en"",""it"")"),"Un uomo arriva sullo schermo e spiega diversi giorni fa per far uscire l'odore dal tuo lavandino.")</f>
        <v>Un uomo arriva sullo schermo e spiega diversi giorni fa per far uscire l'odore dal tuo lavandino.</v>
      </c>
    </row>
    <row r="14223">
      <c r="A14223" s="4" t="s">
        <v>17903</v>
      </c>
      <c r="B14223" s="6" t="s">
        <v>17906</v>
      </c>
      <c r="C14223" s="5" t="str">
        <f>IFERROR(__xludf.DUMMYFUNCTION("GOOGLETRANSLATE(B14223,""en"",""it"")"),"Per prima cosa spiega come puoi usare prodotti chimici diversi e metterli a nudo nello scarico per far uscire l'odore.")</f>
        <v>Per prima cosa spiega come puoi usare prodotti chimici diversi e metterli a nudo nello scarico per far uscire l'odore.</v>
      </c>
    </row>
    <row r="14224">
      <c r="A14224" s="4" t="s">
        <v>17903</v>
      </c>
      <c r="B14224" s="6" t="s">
        <v>17907</v>
      </c>
      <c r="C14224" s="5" t="str">
        <f>IFERROR(__xludf.DUMMYFUNCTION("GOOGLETRANSLATE(B14224,""en"",""it"")"),"Quindi ti mostra come rimuovere il fondo del lavandino per pulirlo, il che può aiutare con l'odore.")</f>
        <v>Quindi ti mostra come rimuovere il fondo del lavandino per pulirlo, il che può aiutare con l'odore.</v>
      </c>
    </row>
    <row r="14225">
      <c r="A14225" s="4" t="s">
        <v>17903</v>
      </c>
      <c r="B14225" s="4" t="s">
        <v>17908</v>
      </c>
      <c r="C14225" s="5" t="str">
        <f>IFERROR(__xludf.DUMMYFUNCTION("GOOGLETRANSLATE(B14225,""en"",""it"")"),"Il video è con i crediti di chiusura mostrati sullo schermo.")</f>
        <v>Il video è con i crediti di chiusura mostrati sullo schermo.</v>
      </c>
    </row>
    <row r="14226">
      <c r="A14226" s="4" t="s">
        <v>17909</v>
      </c>
      <c r="B14226" s="6" t="s">
        <v>17910</v>
      </c>
      <c r="C14226" s="5" t="str">
        <f>IFERROR(__xludf.DUMMYFUNCTION("GOOGLETRANSLATE(B14226,""en"",""it"")"),"C'è una donna in una camicia grigia e collant neri e capelli molto corti che eseguono trucchi con un piccolo bastone nel suo cortile accanto all'oscillazione.")</f>
        <v>C'è una donna in una camicia grigia e collant neri e capelli molto corti che eseguono trucchi con un piccolo bastone nel suo cortile accanto all'oscillazione.</v>
      </c>
    </row>
    <row r="14227">
      <c r="A14227" s="4" t="s">
        <v>17909</v>
      </c>
      <c r="B14227" s="6" t="s">
        <v>17911</v>
      </c>
      <c r="C14227" s="5" t="str">
        <f>IFERROR(__xludf.DUMMYFUNCTION("GOOGLETRANSLATE(B14227,""en"",""it"")"),"Si destreggia tra due bastoncini in mano e sta cercando di catturare un bastone mentre lancia l'altro in aria.")</f>
        <v>Si destreggia tra due bastoncini in mano e sta cercando di catturare un bastone mentre lancia l'altro in aria.</v>
      </c>
    </row>
    <row r="14228">
      <c r="A14228" s="4" t="s">
        <v>17912</v>
      </c>
      <c r="B14228" s="4" t="s">
        <v>17913</v>
      </c>
      <c r="C14228" s="5" t="str">
        <f>IFERROR(__xludf.DUMMYFUNCTION("GOOGLETRANSLATE(B14228,""en"",""it"")"),"Un uomo corre lungo una pista fuori.")</f>
        <v>Un uomo corre lungo una pista fuori.</v>
      </c>
    </row>
    <row r="14229">
      <c r="A14229" s="4" t="s">
        <v>17912</v>
      </c>
      <c r="B14229" s="4" t="s">
        <v>17914</v>
      </c>
      <c r="C14229" s="5" t="str">
        <f>IFERROR(__xludf.DUMMYFUNCTION("GOOGLETRANSLATE(B14229,""en"",""it"")"),"Ha in mano un lungo giavellotto.")</f>
        <v>Ha in mano un lungo giavellotto.</v>
      </c>
    </row>
    <row r="14230">
      <c r="A14230" s="4" t="s">
        <v>17912</v>
      </c>
      <c r="B14230" s="4" t="s">
        <v>17915</v>
      </c>
      <c r="C14230" s="5" t="str">
        <f>IFERROR(__xludf.DUMMYFUNCTION("GOOGLETRANSLATE(B14230,""en"",""it"")"),"Egli è in palio una barra su una barra.")</f>
        <v>Egli è in palio una barra su una barra.</v>
      </c>
    </row>
    <row r="14231">
      <c r="A14231" s="4" t="s">
        <v>17912</v>
      </c>
      <c r="B14231" s="4" t="s">
        <v>17916</v>
      </c>
      <c r="C14231" s="5" t="str">
        <f>IFERROR(__xludf.DUMMYFUNCTION("GOOGLETRANSLATE(B14231,""en"",""it"")"),"Fa di nuovo la stessa cosa in casa.")</f>
        <v>Fa di nuovo la stessa cosa in casa.</v>
      </c>
    </row>
    <row r="14232">
      <c r="A14232" s="4" t="s">
        <v>17917</v>
      </c>
      <c r="B14232" s="6" t="s">
        <v>17918</v>
      </c>
      <c r="C14232" s="5" t="str">
        <f>IFERROR(__xludf.DUMMYFUNCTION("GOOGLETRANSLATE(B14232,""en"",""it"")"),"Una persona viene vista battere le uova e mescolarle in una ciotola mentre separa i gusci dalle uova.")</f>
        <v>Una persona viene vista battere le uova e mescolarle in una ciotola mentre separa i gusci dalle uova.</v>
      </c>
    </row>
    <row r="14233">
      <c r="A14233" s="4" t="s">
        <v>17917</v>
      </c>
      <c r="B14233" s="6" t="s">
        <v>17919</v>
      </c>
      <c r="C14233" s="5" t="str">
        <f>IFERROR(__xludf.DUMMYFUNCTION("GOOGLETRANSLATE(B14233,""en"",""it"")"),"Mescolano le uova intorno a una ciotola e mettono il burro e il latte in un'altra ciotola e le mescolano tutte insieme.")</f>
        <v>Mescolano le uova intorno a una ciotola e mettono il burro e il latte in un'altra ciotola e le mescolano tutte insieme.</v>
      </c>
    </row>
    <row r="14234">
      <c r="A14234" s="4" t="s">
        <v>17917</v>
      </c>
      <c r="B14234" s="6" t="s">
        <v>17920</v>
      </c>
      <c r="C14234" s="5" t="str">
        <f>IFERROR(__xludf.DUMMYFUNCTION("GOOGLETRANSLATE(B14234,""en"",""it"")"),"Aggiungono molti altri ingredienti alla miscela e mostrano il risultato finale dei biscotti seduti su un piatto.")</f>
        <v>Aggiungono molti altri ingredienti alla miscela e mostrano il risultato finale dei biscotti seduti su un piatto.</v>
      </c>
    </row>
    <row r="14235">
      <c r="A14235" s="4" t="s">
        <v>17921</v>
      </c>
      <c r="B14235" s="4" t="s">
        <v>17922</v>
      </c>
      <c r="C14235" s="5" t="str">
        <f>IFERROR(__xludf.DUMMYFUNCTION("GOOGLETRANSLATE(B14235,""en"",""it"")"),"Un uomo è vicino alla fotocamera che introduce il video.")</f>
        <v>Un uomo è vicino alla fotocamera che introduce il video.</v>
      </c>
    </row>
    <row r="14236">
      <c r="A14236" s="4" t="s">
        <v>17921</v>
      </c>
      <c r="B14236" s="4" t="s">
        <v>17923</v>
      </c>
      <c r="C14236" s="5" t="str">
        <f>IFERROR(__xludf.DUMMYFUNCTION("GOOGLETRANSLATE(B14236,""en"",""it"")"),"Sua moglie sta pulendo rapidamente un pezzo di corpi da letto bianchi.")</f>
        <v>Sua moglie sta pulendo rapidamente un pezzo di corpi da letto bianchi.</v>
      </c>
    </row>
    <row r="14237">
      <c r="A14237" s="4" t="s">
        <v>17921</v>
      </c>
      <c r="B14237" s="4" t="s">
        <v>17924</v>
      </c>
      <c r="C14237" s="5" t="str">
        <f>IFERROR(__xludf.DUMMYFUNCTION("GOOGLETRANSLATE(B14237,""en"",""it"")"),"L'uomo mostra di nuovo il suo viso e torna da sua moglie.")</f>
        <v>L'uomo mostra di nuovo il suo viso e torna da sua moglie.</v>
      </c>
    </row>
    <row r="14238">
      <c r="A14238" s="4" t="s">
        <v>17925</v>
      </c>
      <c r="B14238" s="6" t="s">
        <v>17926</v>
      </c>
      <c r="C14238" s="5" t="str">
        <f>IFERROR(__xludf.DUMMYFUNCTION("GOOGLETRANSLATE(B14238,""en"",""it"")"),"Viene visualizzato uno schermo introduttivo nero e include molto testo in bianco, blu e verde che include numeri e lettere, e quindi un logo sul lato destro che è per Quicksilver e le clip provengono da una competizione di surf a Piha, Auckland Nuova Zela"&amp;"nda .")</f>
        <v>Viene visualizzato uno schermo introduttivo nero e include molto testo in bianco, blu e verde che include numeri e lettere, e quindi un logo sul lato destro che è per Quicksilver e le clip provengono da una competizione di surf a Piha, Auckland Nuova Zelanda .</v>
      </c>
    </row>
    <row r="14239">
      <c r="A14239" s="4" t="s">
        <v>17925</v>
      </c>
      <c r="B14239" s="6" t="s">
        <v>17927</v>
      </c>
      <c r="C14239" s="5" t="str">
        <f>IFERROR(__xludf.DUMMYFUNCTION("GOOGLETRANSLATE(B14239,""en"",""it"")"),"La spiaggia è mostrata e ci sono più persone e tende e le persone stanno guardando e tifano su vari surfisti che navigano in grandi e lunghe onde.")</f>
        <v>La spiaggia è mostrata e ci sono più persone e tende e le persone stanno guardando e tifano su vari surfisti che navigano in grandi e lunghe onde.</v>
      </c>
    </row>
    <row r="14240">
      <c r="A14240" s="4" t="s">
        <v>17925</v>
      </c>
      <c r="B14240" s="4" t="s">
        <v>17928</v>
      </c>
      <c r="C14240" s="5" t="str">
        <f>IFERROR(__xludf.DUMMYFUNCTION("GOOGLETRANSLATE(B14240,""en"",""it"")"),"Viene visualizzato il outro ed è lo stesso schermo nero con il logo e il testo come lo era per l'intro.")</f>
        <v>Viene visualizzato il outro ed è lo stesso schermo nero con il logo e il testo come lo era per l'intro.</v>
      </c>
    </row>
    <row r="14241">
      <c r="A14241" s="4" t="s">
        <v>17929</v>
      </c>
      <c r="B14241" s="4" t="s">
        <v>17930</v>
      </c>
      <c r="C14241" s="5" t="str">
        <f>IFERROR(__xludf.DUMMYFUNCTION("GOOGLETRANSLATE(B14241,""en"",""it"")"),"Una donna viene vista indossare lame a rulli e guardare indietro alla telecamera.")</f>
        <v>Una donna viene vista indossare lame a rulli e guardare indietro alla telecamera.</v>
      </c>
    </row>
    <row r="14242">
      <c r="A14242" s="4" t="s">
        <v>17929</v>
      </c>
      <c r="B14242" s="4" t="s">
        <v>17931</v>
      </c>
      <c r="C14242" s="5" t="str">
        <f>IFERROR(__xludf.DUMMYFUNCTION("GOOGLETRANSLATE(B14242,""en"",""it"")"),"Tenta di andare in giro mentre un'altra persona accanto ai suoi tentativi di aiutare.")</f>
        <v>Tenta di andare in giro mentre un'altra persona accanto ai suoi tentativi di aiutare.</v>
      </c>
    </row>
    <row r="14243">
      <c r="A14243" s="4" t="s">
        <v>17929</v>
      </c>
      <c r="B14243" s="4" t="s">
        <v>17932</v>
      </c>
      <c r="C14243" s="5" t="str">
        <f>IFERROR(__xludf.DUMMYFUNCTION("GOOGLETRANSLATE(B14243,""en"",""it"")"),"Un'altra persona si vede trattenere i bastoncini in lontananza e camminare verso la telecamera.")</f>
        <v>Un'altra persona si vede trattenere i bastoncini in lontananza e camminare verso la telecamera.</v>
      </c>
    </row>
    <row r="14244">
      <c r="A14244" s="4" t="s">
        <v>17933</v>
      </c>
      <c r="B14244" s="4" t="s">
        <v>17934</v>
      </c>
      <c r="C14244" s="5" t="str">
        <f>IFERROR(__xludf.DUMMYFUNCTION("GOOGLETRANSLATE(B14244,""en"",""it"")"),"Un adolescente parla, poi toglie una lente a contatto dall'occhio destro.")</f>
        <v>Un adolescente parla, poi toglie una lente a contatto dall'occhio destro.</v>
      </c>
    </row>
    <row r="14245">
      <c r="A14245" s="4" t="s">
        <v>17933</v>
      </c>
      <c r="B14245" s="4" t="s">
        <v>17935</v>
      </c>
      <c r="C14245" s="5" t="str">
        <f>IFERROR(__xludf.DUMMYFUNCTION("GOOGLETRANSLATE(B14245,""en"",""it"")"),"Quindi, Teen mette la lente a contatto sull'indice e poi la ripristina nella sua veste.")</f>
        <v>Quindi, Teen mette la lente a contatto sull'indice e poi la ripristina nella sua veste.</v>
      </c>
    </row>
    <row r="14246">
      <c r="A14246" s="4" t="s">
        <v>17933</v>
      </c>
      <c r="B14246" s="4" t="s">
        <v>17936</v>
      </c>
      <c r="C14246" s="5" t="str">
        <f>IFERROR(__xludf.DUMMYFUNCTION("GOOGLETRANSLATE(B14246,""en"",""it"")"),"Dopo, l'adolescente continua a parlare.")</f>
        <v>Dopo, l'adolescente continua a parlare.</v>
      </c>
    </row>
    <row r="14247">
      <c r="A14247" s="4" t="s">
        <v>17937</v>
      </c>
      <c r="B14247" s="4" t="s">
        <v>17938</v>
      </c>
      <c r="C14247" s="5" t="str">
        <f>IFERROR(__xludf.DUMMYFUNCTION("GOOGLETRANSLATE(B14247,""en"",""it"")"),"Una persona che mette pesi è mostrata seguita da una donna che solleva pesi sulla schiena.")</f>
        <v>Una persona che mette pesi è mostrata seguita da una donna che solleva pesi sulla schiena.</v>
      </c>
    </row>
    <row r="14248">
      <c r="A14248" s="4" t="s">
        <v>17937</v>
      </c>
      <c r="B14248" s="4" t="s">
        <v>17939</v>
      </c>
      <c r="C14248" s="5" t="str">
        <f>IFERROR(__xludf.DUMMYFUNCTION("GOOGLETRANSLATE(B14248,""en"",""it"")"),"Mette giù i pesi e un'altra donna viene mostrata sollevando una serie pesante di pesi.")</f>
        <v>Mette giù i pesi e un'altra donna viene mostrata sollevando una serie pesante di pesi.</v>
      </c>
    </row>
    <row r="14249">
      <c r="A14249" s="4" t="s">
        <v>17937</v>
      </c>
      <c r="B14249" s="6" t="s">
        <v>17940</v>
      </c>
      <c r="C14249" s="5" t="str">
        <f>IFERROR(__xludf.DUMMYFUNCTION("GOOGLETRANSLATE(B14249,""en"",""it"")"),"Diverse altre persone vengono mostrate eseguendo i loro talenti di sollevamento e termina con un logo della palestra mostrata.")</f>
        <v>Diverse altre persone vengono mostrate eseguendo i loro talenti di sollevamento e termina con un logo della palestra mostrata.</v>
      </c>
    </row>
    <row r="14250">
      <c r="A14250" s="4" t="s">
        <v>17941</v>
      </c>
      <c r="B14250" s="4" t="s">
        <v>17942</v>
      </c>
      <c r="C14250" s="5" t="str">
        <f>IFERROR(__xludf.DUMMYFUNCTION("GOOGLETRANSLATE(B14250,""en"",""it"")"),"Una donna parla, poi mette fette di pane su una teglia calda sulla stufa.")</f>
        <v>Una donna parla, poi mette fette di pane su una teglia calda sulla stufa.</v>
      </c>
    </row>
    <row r="14251">
      <c r="A14251" s="4" t="s">
        <v>17941</v>
      </c>
      <c r="B14251" s="4" t="s">
        <v>17943</v>
      </c>
      <c r="C14251" s="5" t="str">
        <f>IFERROR(__xludf.DUMMYFUNCTION("GOOGLETRANSLATE(B14251,""en"",""it"")"),"Quindi, la donna mette la crema di formaggio sul pane e cucina carne.")</f>
        <v>Quindi, la donna mette la crema di formaggio sul pane e cucina carne.</v>
      </c>
    </row>
    <row r="14252">
      <c r="A14252" s="4" t="s">
        <v>17941</v>
      </c>
      <c r="B14252" s="6" t="s">
        <v>17944</v>
      </c>
      <c r="C14252" s="5" t="str">
        <f>IFERROR(__xludf.DUMMYFUNCTION("GOOGLETRANSLATE(B14252,""en"",""it"")"),"Quando la carne è finita, la donna mette in cima a crauti e formaggio, quindi coprilo e prepara sandwich.")</f>
        <v>Quando la carne è finita, la donna mette in cima a crauti e formaggio, quindi coprilo e prepara sandwich.</v>
      </c>
    </row>
    <row r="14253">
      <c r="A14253" s="4" t="s">
        <v>17945</v>
      </c>
      <c r="B14253" s="4" t="s">
        <v>17946</v>
      </c>
      <c r="C14253" s="5" t="str">
        <f>IFERROR(__xludf.DUMMYFUNCTION("GOOGLETRANSLATE(B14253,""en"",""it"")"),"Un istruttore di pallavolo sta fornendo informazioni sulle sue abilità di pallavolo a Salt Lake City.")</f>
        <v>Un istruttore di pallavolo sta fornendo informazioni sulle sue abilità di pallavolo a Salt Lake City.</v>
      </c>
    </row>
    <row r="14254">
      <c r="A14254" s="4" t="s">
        <v>17945</v>
      </c>
      <c r="B14254" s="4" t="s">
        <v>17947</v>
      </c>
      <c r="C14254" s="5" t="str">
        <f>IFERROR(__xludf.DUMMYFUNCTION("GOOGLETRANSLATE(B14254,""en"",""it"")"),"Gioca con un altro istruttore in campo.")</f>
        <v>Gioca con un altro istruttore in campo.</v>
      </c>
    </row>
    <row r="14255">
      <c r="A14255" s="4" t="s">
        <v>17945</v>
      </c>
      <c r="B14255" s="4" t="s">
        <v>17948</v>
      </c>
      <c r="C14255" s="5" t="str">
        <f>IFERROR(__xludf.DUMMYFUNCTION("GOOGLETRANSLATE(B14255,""en"",""it"")"),"Parla e parla solo per un po 'di tutto.")</f>
        <v>Parla e parla solo per un po 'di tutto.</v>
      </c>
    </row>
    <row r="14256">
      <c r="A14256" s="4" t="s">
        <v>17945</v>
      </c>
      <c r="B14256" s="4" t="s">
        <v>17949</v>
      </c>
      <c r="C14256" s="5" t="str">
        <f>IFERROR(__xludf.DUMMYFUNCTION("GOOGLETRANSLATE(B14256,""en"",""it"")"),"Vedi The Volley Ball Net e poi l'allenatore continua a parlare.")</f>
        <v>Vedi The Volley Ball Net e poi l'allenatore continua a parlare.</v>
      </c>
    </row>
    <row r="14257">
      <c r="A14257" s="4" t="s">
        <v>17950</v>
      </c>
      <c r="B14257" s="4" t="s">
        <v>17951</v>
      </c>
      <c r="C14257" s="5" t="str">
        <f>IFERROR(__xludf.DUMMYFUNCTION("GOOGLETRANSLATE(B14257,""en"",""it"")"),"Una band di marcia suona in uno stadio mentre le cheerleader si esibiscono sul lato.")</f>
        <v>Una band di marcia suona in uno stadio mentre le cheerleader si esibiscono sul lato.</v>
      </c>
    </row>
    <row r="14258">
      <c r="A14258" s="4" t="s">
        <v>17950</v>
      </c>
      <c r="B14258" s="4" t="s">
        <v>17952</v>
      </c>
      <c r="C14258" s="5" t="str">
        <f>IFERROR(__xludf.DUMMYFUNCTION("GOOGLETRANSLATE(B14258,""en"",""it"")"),"Una squadra di giocatori di football si riunisce dietro la banda di marcia.")</f>
        <v>Una squadra di giocatori di football si riunisce dietro la banda di marcia.</v>
      </c>
    </row>
    <row r="14259">
      <c r="A14259" s="4" t="s">
        <v>17950</v>
      </c>
      <c r="B14259" s="4" t="s">
        <v>17953</v>
      </c>
      <c r="C14259" s="5" t="str">
        <f>IFERROR(__xludf.DUMMYFUNCTION("GOOGLETRANSLATE(B14259,""en"",""it"")"),"Un passaggio di cheerleader dietro la banda musicale.")</f>
        <v>Un passaggio di cheerleader dietro la banda musicale.</v>
      </c>
    </row>
    <row r="14260">
      <c r="A14260" s="4" t="s">
        <v>17950</v>
      </c>
      <c r="B14260" s="4" t="s">
        <v>17954</v>
      </c>
      <c r="C14260" s="5" t="str">
        <f>IFERROR(__xludf.DUMMYFUNCTION("GOOGLETRANSLATE(B14260,""en"",""it"")"),"Le cheerleader nelle gradinate si esibiscono con pom pom.")</f>
        <v>Le cheerleader nelle gradinate si esibiscono con pom pom.</v>
      </c>
    </row>
    <row r="14261">
      <c r="A14261" s="4" t="s">
        <v>17950</v>
      </c>
      <c r="B14261" s="4" t="s">
        <v>17955</v>
      </c>
      <c r="C14261" s="5" t="str">
        <f>IFERROR(__xludf.DUMMYFUNCTION("GOOGLETRANSLATE(B14261,""en"",""it"")"),"Quindi, le cheerleader accanto alla band si esibiscono saltando e muovendosi.")</f>
        <v>Quindi, le cheerleader accanto alla band si esibiscono saltando e muovendosi.</v>
      </c>
    </row>
    <row r="14262">
      <c r="A14262" s="4" t="s">
        <v>17956</v>
      </c>
      <c r="B14262" s="4" t="s">
        <v>1251</v>
      </c>
      <c r="C14262" s="5" t="str">
        <f>IFERROR(__xludf.DUMMYFUNCTION("GOOGLETRANSLATE(B14262,""en"",""it"")"),"Vengono visualizzati i crediti della clip.")</f>
        <v>Vengono visualizzati i crediti della clip.</v>
      </c>
    </row>
    <row r="14263">
      <c r="A14263" s="4" t="s">
        <v>17956</v>
      </c>
      <c r="B14263" s="4" t="s">
        <v>17957</v>
      </c>
      <c r="C14263" s="5" t="str">
        <f>IFERROR(__xludf.DUMMYFUNCTION("GOOGLETRANSLATE(B14263,""en"",""it"")"),"La gente calcia una palla al coperto tra i coni gialli su erba finta.")</f>
        <v>La gente calcia una palla al coperto tra i coni gialli su erba finta.</v>
      </c>
    </row>
    <row r="14264">
      <c r="A14264" s="4" t="s">
        <v>17956</v>
      </c>
      <c r="B14264" s="4" t="s">
        <v>17958</v>
      </c>
      <c r="C14264" s="5" t="str">
        <f>IFERROR(__xludf.DUMMYFUNCTION("GOOGLETRANSLATE(B14264,""en"",""it"")"),"Un giocatore prende a calci una palla sopra la testa di un ragazzo.")</f>
        <v>Un giocatore prende a calci una palla sopra la testa di un ragazzo.</v>
      </c>
    </row>
    <row r="14265">
      <c r="A14265" s="4" t="s">
        <v>17956</v>
      </c>
      <c r="B14265" s="4" t="s">
        <v>17959</v>
      </c>
      <c r="C14265" s="5" t="str">
        <f>IFERROR(__xludf.DUMMYFUNCTION("GOOGLETRANSLATE(B14265,""en"",""it"")"),"I giocatori calciano una palla che abbatte un cono giallo che raccolgono.")</f>
        <v>I giocatori calciano una palla che abbatte un cono giallo che raccolgono.</v>
      </c>
    </row>
    <row r="14266">
      <c r="A14266" s="4" t="s">
        <v>17960</v>
      </c>
      <c r="B14266" s="4" t="s">
        <v>17961</v>
      </c>
      <c r="C14266" s="5" t="str">
        <f>IFERROR(__xludf.DUMMYFUNCTION("GOOGLETRANSLATE(B14266,""en"",""it"")"),"Una persona si siede con un laptop mentre una donna si arriccia i capelli.")</f>
        <v>Una persona si siede con un laptop mentre una donna si arriccia i capelli.</v>
      </c>
    </row>
    <row r="14267">
      <c r="A14267" s="4" t="s">
        <v>17960</v>
      </c>
      <c r="B14267" s="6" t="s">
        <v>17962</v>
      </c>
      <c r="C14267" s="5" t="str">
        <f>IFERROR(__xludf.DUMMYFUNCTION("GOOGLETRANSLATE(B14267,""en"",""it"")"),"La donna prende una ciocca di capelli e mette sopra la testa, poi arriccia i capelli con un ferro arricciacapelli.")</f>
        <v>La donna prende una ciocca di capelli e mette sopra la testa, poi arriccia i capelli con un ferro arricciacapelli.</v>
      </c>
    </row>
    <row r="14268">
      <c r="A14268" s="4" t="s">
        <v>17963</v>
      </c>
      <c r="B14268" s="4" t="s">
        <v>17964</v>
      </c>
      <c r="C14268" s="5" t="str">
        <f>IFERROR(__xludf.DUMMYFUNCTION("GOOGLETRANSLATE(B14268,""en"",""it"")"),"Un uomo e una donna si sono preparati per ballare davanti a un pubblico.")</f>
        <v>Un uomo e una donna si sono preparati per ballare davanti a un pubblico.</v>
      </c>
    </row>
    <row r="14269">
      <c r="A14269" s="4" t="s">
        <v>17963</v>
      </c>
      <c r="B14269" s="4" t="s">
        <v>17965</v>
      </c>
      <c r="C14269" s="5" t="str">
        <f>IFERROR(__xludf.DUMMYFUNCTION("GOOGLETRANSLATE(B14269,""en"",""it"")"),"L'uomo e la donna ballano davanti al pubblico.")</f>
        <v>L'uomo e la donna ballano davanti al pubblico.</v>
      </c>
    </row>
    <row r="14270">
      <c r="A14270" s="4" t="s">
        <v>17963</v>
      </c>
      <c r="B14270" s="4" t="s">
        <v>17966</v>
      </c>
      <c r="C14270" s="5" t="str">
        <f>IFERROR(__xludf.DUMMYFUNCTION("GOOGLETRANSLATE(B14270,""en"",""it"")"),"La fotocamera mostra tre giudici dell'evento in piedi e applaudito o puntato.")</f>
        <v>La fotocamera mostra tre giudici dell'evento in piedi e applaudito o puntato.</v>
      </c>
    </row>
    <row r="14271">
      <c r="A14271" s="4" t="s">
        <v>17967</v>
      </c>
      <c r="B14271" s="4" t="s">
        <v>17968</v>
      </c>
      <c r="C14271" s="5" t="str">
        <f>IFERROR(__xludf.DUMMYFUNCTION("GOOGLETRANSLATE(B14271,""en"",""it"")"),"Due donne stanno lottando per un braccio su un tavolo.")</f>
        <v>Due donne stanno lottando per un braccio su un tavolo.</v>
      </c>
    </row>
    <row r="14272">
      <c r="A14272" s="4" t="s">
        <v>17967</v>
      </c>
      <c r="B14272" s="4" t="s">
        <v>17969</v>
      </c>
      <c r="C14272" s="5" t="str">
        <f>IFERROR(__xludf.DUMMYFUNCTION("GOOGLETRANSLATE(B14272,""en"",""it"")"),"Una donna in uniforme da arbitro è in piedi dietro di loro.")</f>
        <v>Una donna in uniforme da arbitro è in piedi dietro di loro.</v>
      </c>
    </row>
    <row r="14273">
      <c r="A14273" s="4" t="s">
        <v>17967</v>
      </c>
      <c r="B14273" s="4" t="s">
        <v>17970</v>
      </c>
      <c r="C14273" s="5" t="str">
        <f>IFERROR(__xludf.DUMMYFUNCTION("GOOGLETRANSLATE(B14273,""en"",""it"")"),"Una delle ragazze se ne va.")</f>
        <v>Una delle ragazze se ne va.</v>
      </c>
    </row>
    <row r="14274">
      <c r="A14274" s="4" t="s">
        <v>17971</v>
      </c>
      <c r="B14274" s="4" t="s">
        <v>17972</v>
      </c>
      <c r="C14274" s="5" t="str">
        <f>IFERROR(__xludf.DUMMYFUNCTION("GOOGLETRANSLATE(B14274,""en"",""it"")"),"Un gruppo di anziani si incontrano in un parco.")</f>
        <v>Un gruppo di anziani si incontrano in un parco.</v>
      </c>
    </row>
    <row r="14275">
      <c r="A14275" s="4" t="s">
        <v>17971</v>
      </c>
      <c r="B14275" s="4" t="s">
        <v>17973</v>
      </c>
      <c r="C14275" s="5" t="str">
        <f>IFERROR(__xludf.DUMMYFUNCTION("GOOGLETRANSLATE(B14275,""en"",""it"")"),"Parlano e fanno yoga insieme.")</f>
        <v>Parlano e fanno yoga insieme.</v>
      </c>
    </row>
    <row r="14276">
      <c r="A14276" s="4" t="s">
        <v>17971</v>
      </c>
      <c r="B14276" s="4" t="s">
        <v>17974</v>
      </c>
      <c r="C14276" s="5" t="str">
        <f>IFERROR(__xludf.DUMMYFUNCTION("GOOGLETRANSLATE(B14276,""en"",""it"")"),"Eseguono diverse mosse di yoga con l'aiuto di un istruttore.")</f>
        <v>Eseguono diverse mosse di yoga con l'aiuto di un istruttore.</v>
      </c>
    </row>
    <row r="14277">
      <c r="A14277" s="4" t="s">
        <v>17971</v>
      </c>
      <c r="B14277" s="4" t="s">
        <v>17975</v>
      </c>
      <c r="C14277" s="5" t="str">
        <f>IFERROR(__xludf.DUMMYFUNCTION("GOOGLETRANSLATE(B14277,""en"",""it"")"),"Quindi salutano e vanno per la loro strada.")</f>
        <v>Quindi salutano e vanno per la loro strada.</v>
      </c>
    </row>
    <row r="14278">
      <c r="A14278" s="4" t="s">
        <v>17976</v>
      </c>
      <c r="B14278" s="4" t="s">
        <v>17977</v>
      </c>
      <c r="C14278" s="5" t="str">
        <f>IFERROR(__xludf.DUMMYFUNCTION("GOOGLETRANSLATE(B14278,""en"",""it"")"),"Una ginnasta tiene una palla attaccata con una corda e poi gira che tiene la palla.")</f>
        <v>Una ginnasta tiene una palla attaccata con una corda e poi gira che tiene la palla.</v>
      </c>
    </row>
    <row r="14279">
      <c r="A14279" s="4" t="s">
        <v>17976</v>
      </c>
      <c r="B14279" s="4" t="s">
        <v>17978</v>
      </c>
      <c r="C14279" s="5" t="str">
        <f>IFERROR(__xludf.DUMMYFUNCTION("GOOGLETRANSLATE(B14279,""en"",""it"")"),"Quindi, la ginnasta lancia la palla mentre gira in campo.")</f>
        <v>Quindi, la ginnasta lancia la palla mentre gira in campo.</v>
      </c>
    </row>
    <row r="14280">
      <c r="A14280" s="4" t="s">
        <v>17979</v>
      </c>
      <c r="B14280" s="4" t="s">
        <v>17980</v>
      </c>
      <c r="C14280" s="5" t="str">
        <f>IFERROR(__xludf.DUMMYFUNCTION("GOOGLETRANSLATE(B14280,""en"",""it"")"),"Un uomo sta falciando il prato.")</f>
        <v>Un uomo sta falciando il prato.</v>
      </c>
    </row>
    <row r="14281">
      <c r="A14281" s="4" t="s">
        <v>17979</v>
      </c>
      <c r="B14281" s="4" t="s">
        <v>17981</v>
      </c>
      <c r="C14281" s="5" t="str">
        <f>IFERROR(__xludf.DUMMYFUNCTION("GOOGLETRANSLATE(B14281,""en"",""it"")"),"Alza lo sguardo e parla con qualcuno.")</f>
        <v>Alza lo sguardo e parla con qualcuno.</v>
      </c>
    </row>
    <row r="14282">
      <c r="A14282" s="4" t="s">
        <v>17979</v>
      </c>
      <c r="B14282" s="4" t="s">
        <v>17982</v>
      </c>
      <c r="C14282" s="5" t="str">
        <f>IFERROR(__xludf.DUMMYFUNCTION("GOOGLETRANSLATE(B14282,""en"",""it"")"),"L'uomo continua a falciare il prato.")</f>
        <v>L'uomo continua a falciare il prato.</v>
      </c>
    </row>
    <row r="14283">
      <c r="A14283" s="4" t="s">
        <v>17983</v>
      </c>
      <c r="B14283" s="4" t="s">
        <v>17984</v>
      </c>
      <c r="C14283" s="5" t="str">
        <f>IFERROR(__xludf.DUMMYFUNCTION("GOOGLETRANSLATE(B14283,""en"",""it"")"),"Una chef femmina in uniforme bianca mostra una pila di padelle in una grande cucina che le presentano.")</f>
        <v>Una chef femmina in uniforme bianca mostra una pila di padelle in una grande cucina che le presentano.</v>
      </c>
    </row>
    <row r="14284">
      <c r="A14284" s="4" t="s">
        <v>17983</v>
      </c>
      <c r="B14284" s="4" t="s">
        <v>17985</v>
      </c>
      <c r="C14284" s="5" t="str">
        <f>IFERROR(__xludf.DUMMYFUNCTION("GOOGLETRANSLATE(B14284,""en"",""it"")"),"Le padelle sono piene di dolci e caricate nel forno.")</f>
        <v>Le padelle sono piene di dolci e caricate nel forno.</v>
      </c>
    </row>
    <row r="14285">
      <c r="A14285" s="4" t="s">
        <v>17983</v>
      </c>
      <c r="B14285" s="4" t="s">
        <v>17986</v>
      </c>
      <c r="C14285" s="5" t="str">
        <f>IFERROR(__xludf.DUMMYFUNCTION("GOOGLETRANSLATE(B14285,""en"",""it"")"),"Un coltello viene utilizzato per tagliare l'impasto a forma di cilindro in round.")</f>
        <v>Un coltello viene utilizzato per tagliare l'impasto a forma di cilindro in round.</v>
      </c>
    </row>
    <row r="14286">
      <c r="A14286" s="4" t="s">
        <v>17983</v>
      </c>
      <c r="B14286" s="4" t="s">
        <v>17987</v>
      </c>
      <c r="C14286" s="5" t="str">
        <f>IFERROR(__xludf.DUMMYFUNCTION("GOOGLETRANSLATE(B14286,""en"",""it"")"),"Un vassoio di patate viene caricato nel forno e rimosso.")</f>
        <v>Un vassoio di patate viene caricato nel forno e rimosso.</v>
      </c>
    </row>
    <row r="14287">
      <c r="A14287" s="4" t="s">
        <v>17983</v>
      </c>
      <c r="B14287" s="4" t="s">
        <v>17988</v>
      </c>
      <c r="C14287" s="5" t="str">
        <f>IFERROR(__xludf.DUMMYFUNCTION("GOOGLETRANSLATE(B14287,""en"",""it"")"),"Un grande vassoio di torta viene capovolto e messo sul bancone.")</f>
        <v>Un grande vassoio di torta viene capovolto e messo sul bancone.</v>
      </c>
    </row>
    <row r="14288">
      <c r="A14288" s="4" t="s">
        <v>17983</v>
      </c>
      <c r="B14288" s="4" t="s">
        <v>17989</v>
      </c>
      <c r="C14288" s="5" t="str">
        <f>IFERROR(__xludf.DUMMYFUNCTION("GOOGLETRANSLATE(B14288,""en"",""it"")"),"Viene preparato un grande vassoio di carne, quindi viene rimosso dal forno da un aiutante quando è finito.")</f>
        <v>Viene preparato un grande vassoio di carne, quindi viene rimosso dal forno da un aiutante quando è finito.</v>
      </c>
    </row>
    <row r="14289">
      <c r="A14289" s="4" t="s">
        <v>17983</v>
      </c>
      <c r="B14289" s="4" t="s">
        <v>17990</v>
      </c>
      <c r="C14289" s="5" t="str">
        <f>IFERROR(__xludf.DUMMYFUNCTION("GOOGLETRANSLATE(B14289,""en"",""it"")"),"La donna chef si trova dietro la pila di scatole e ne prende una.")</f>
        <v>La donna chef si trova dietro la pila di scatole e ne prende una.</v>
      </c>
    </row>
    <row r="14290">
      <c r="A14290" s="4" t="s">
        <v>17991</v>
      </c>
      <c r="B14290" s="4" t="s">
        <v>17992</v>
      </c>
      <c r="C14290" s="5" t="str">
        <f>IFERROR(__xludf.DUMMYFUNCTION("GOOGLETRANSLATE(B14290,""en"",""it"")"),"L'uomo con camicia gialla sta rimbalzando la palla sulla pagaia.")</f>
        <v>L'uomo con camicia gialla sta rimbalzando la palla sulla pagaia.</v>
      </c>
    </row>
    <row r="14291">
      <c r="A14291" s="4" t="s">
        <v>17991</v>
      </c>
      <c r="B14291" s="4" t="s">
        <v>17993</v>
      </c>
      <c r="C14291" s="5" t="str">
        <f>IFERROR(__xludf.DUMMYFUNCTION("GOOGLETRANSLATE(B14291,""en"",""it"")"),"Il giocatore ha quasi colpito la palla con la pagaia.")</f>
        <v>Il giocatore ha quasi colpito la palla con la pagaia.</v>
      </c>
    </row>
    <row r="14292">
      <c r="A14292" s="4" t="s">
        <v>17991</v>
      </c>
      <c r="B14292" s="4" t="s">
        <v>17994</v>
      </c>
      <c r="C14292" s="5" t="str">
        <f>IFERROR(__xludf.DUMMYFUNCTION("GOOGLETRANSLATE(B14292,""en"",""it"")"),"Due giocatori si spingono a vicenda.")</f>
        <v>Due giocatori si spingono a vicenda.</v>
      </c>
    </row>
    <row r="14293">
      <c r="A14293" s="4" t="s">
        <v>17995</v>
      </c>
      <c r="B14293" s="6" t="s">
        <v>17996</v>
      </c>
      <c r="C14293" s="5" t="str">
        <f>IFERROR(__xludf.DUMMYFUNCTION("GOOGLETRANSLATE(B14293,""en"",""it"")"),"Una donna viene vista parlare nel mezzo di una grande palestra e conduce in diverse ginnaste che si esibiscono una dopo l'altra su bar irregolari.")</f>
        <v>Una donna viene vista parlare nel mezzo di una grande palestra e conduce in diverse ginnaste che si esibiscono una dopo l'altra su bar irregolari.</v>
      </c>
    </row>
    <row r="14294">
      <c r="A14294" s="4" t="s">
        <v>17995</v>
      </c>
      <c r="B14294" s="6" t="s">
        <v>17997</v>
      </c>
      <c r="C14294" s="5" t="str">
        <f>IFERROR(__xludf.DUMMYFUNCTION("GOOGLETRANSLATE(B14294,""en"",""it"")"),"Le ginnaste continuano a muoversi intorno alle barre e finiscono con una ragazza che va ancora e ancora e tutti salutano alla fine.")</f>
        <v>Le ginnaste continuano a muoversi intorno alle barre e finiscono con una ragazza che va ancora e ancora e tutti salutano alla fine.</v>
      </c>
    </row>
    <row r="14295">
      <c r="A14295" s="4" t="s">
        <v>17998</v>
      </c>
      <c r="B14295" s="4" t="s">
        <v>17999</v>
      </c>
      <c r="C14295" s="5" t="str">
        <f>IFERROR(__xludf.DUMMYFUNCTION("GOOGLETRANSLATE(B14295,""en"",""it"")"),"La donna è in un lago di vento con un windsurf rosso.")</f>
        <v>La donna è in un lago di vento con un windsurf rosso.</v>
      </c>
    </row>
    <row r="14296">
      <c r="A14296" s="4" t="s">
        <v>17998</v>
      </c>
      <c r="B14296" s="4" t="s">
        <v>18000</v>
      </c>
      <c r="C14296" s="5" t="str">
        <f>IFERROR(__xludf.DUMMYFUNCTION("GOOGLETRANSLATE(B14296,""en"",""it"")"),"Altre persone si trovano sul windsurfing nel lago.")</f>
        <v>Altre persone si trovano sul windsurfing nel lago.</v>
      </c>
    </row>
    <row r="14297">
      <c r="A14297" s="4" t="s">
        <v>17998</v>
      </c>
      <c r="B14297" s="4" t="s">
        <v>18001</v>
      </c>
      <c r="C14297" s="5" t="str">
        <f>IFERROR(__xludf.DUMMYFUNCTION("GOOGLETRANSLATE(B14297,""en"",""it"")"),"La barca a vela è in piedi nella parte posteriore della gente che fa il windsurf.")</f>
        <v>La barca a vela è in piedi nella parte posteriore della gente che fa il windsurf.</v>
      </c>
    </row>
    <row r="14298">
      <c r="A14298" s="4" t="s">
        <v>18002</v>
      </c>
      <c r="B14298" s="6" t="s">
        <v>18003</v>
      </c>
      <c r="C14298" s="5" t="str">
        <f>IFERROR(__xludf.DUMMYFUNCTION("GOOGLETRANSLATE(B14298,""en"",""it"")"),"Si vedono due donne parlare con la telecamera e guidano lo strofinamento dei mobili e mostrando lo smalto.")</f>
        <v>Si vedono due donne parlare con la telecamera e guidano lo strofinamento dei mobili e mostrando lo smalto.</v>
      </c>
    </row>
    <row r="14299">
      <c r="A14299" s="4" t="s">
        <v>18002</v>
      </c>
      <c r="B14299" s="6" t="s">
        <v>18004</v>
      </c>
      <c r="C14299" s="5" t="str">
        <f>IFERROR(__xludf.DUMMYFUNCTION("GOOGLETRANSLATE(B14299,""en"",""it"")"),"Le donne continuano a parlare mentre mostrano come funziona lo smalto e lo scenario della zona e un'altra donna che parla alla telecamera.")</f>
        <v>Le donne continuano a parlare mentre mostrano come funziona lo smalto e lo scenario della zona e un'altra donna che parla alla telecamera.</v>
      </c>
    </row>
    <row r="14300">
      <c r="A14300" s="4" t="s">
        <v>18005</v>
      </c>
      <c r="B14300" s="4" t="s">
        <v>18006</v>
      </c>
      <c r="C14300" s="5" t="str">
        <f>IFERROR(__xludf.DUMMYFUNCTION("GOOGLETRANSLATE(B14300,""en"",""it"")"),"Una persona balla e capovolge Capoeira mentre una band suona musica.")</f>
        <v>Una persona balla e capovolge Capoeira mentre una band suona musica.</v>
      </c>
    </row>
    <row r="14301">
      <c r="A14301" s="4" t="s">
        <v>18005</v>
      </c>
      <c r="B14301" s="4" t="s">
        <v>18007</v>
      </c>
      <c r="C14301" s="5" t="str">
        <f>IFERROR(__xludf.DUMMYFUNCTION("GOOGLETRANSLATE(B14301,""en"",""it"")"),"Quindi, una donna parla con l'uomo, dopo che l'uomo ballava in gruppo con altre persone.")</f>
        <v>Quindi, una donna parla con l'uomo, dopo che l'uomo ballava in gruppo con altre persone.</v>
      </c>
    </row>
    <row r="14302">
      <c r="A14302" s="4" t="s">
        <v>18005</v>
      </c>
      <c r="B14302" s="4" t="s">
        <v>18008</v>
      </c>
      <c r="C14302" s="5" t="str">
        <f>IFERROR(__xludf.DUMMYFUNCTION("GOOGLETRANSLATE(B14302,""en"",""it"")"),"Dopo, l'uomo balla in gruppo e con un partner, allora tutti salutano.")</f>
        <v>Dopo, l'uomo balla in gruppo e con un partner, allora tutti salutano.</v>
      </c>
    </row>
    <row r="14303">
      <c r="A14303" s="4" t="s">
        <v>18009</v>
      </c>
      <c r="B14303" s="4" t="s">
        <v>18010</v>
      </c>
      <c r="C14303" s="5" t="str">
        <f>IFERROR(__xludf.DUMMYFUNCTION("GOOGLETRANSLATE(B14303,""en"",""it"")"),"Una band è sul palco e una ragazza con una tromba e un ragazzo che batte la batteria stanno suonando.")</f>
        <v>Una band è sul palco e una ragazza con una tromba e un ragazzo che batte la batteria stanno suonando.</v>
      </c>
    </row>
    <row r="14304">
      <c r="A14304" s="4" t="s">
        <v>18009</v>
      </c>
      <c r="B14304" s="4" t="s">
        <v>18011</v>
      </c>
      <c r="C14304" s="5" t="str">
        <f>IFERROR(__xludf.DUMMYFUNCTION("GOOGLETRANSLATE(B14304,""en"",""it"")"),"Hanno un piccolo duetto mentre i sassofoni int la banca sono messi in pausa.")</f>
        <v>Hanno un piccolo duetto mentre i sassofoni int la banca sono messi in pausa.</v>
      </c>
    </row>
    <row r="14305">
      <c r="A14305" s="4" t="s">
        <v>18009</v>
      </c>
      <c r="B14305" s="4" t="s">
        <v>18012</v>
      </c>
      <c r="C14305" s="5" t="str">
        <f>IFERROR(__xludf.DUMMYFUNCTION("GOOGLETRANSLATE(B14305,""en"",""it"")"),"Il trombettista si avvicina e riprende un campanello.")</f>
        <v>Il trombettista si avvicina e riprende un campanello.</v>
      </c>
    </row>
    <row r="14306">
      <c r="A14306" s="4" t="s">
        <v>18009</v>
      </c>
      <c r="B14306" s="4" t="s">
        <v>18013</v>
      </c>
      <c r="C14306" s="5" t="str">
        <f>IFERROR(__xludf.DUMMYFUNCTION("GOOGLETRANSLATE(B14306,""en"",""it"")"),"Quindi è solo il batterista che sbatte alla batteria.")</f>
        <v>Quindi è solo il batterista che sbatte alla batteria.</v>
      </c>
    </row>
    <row r="14307">
      <c r="A14307" s="4" t="s">
        <v>18014</v>
      </c>
      <c r="B14307" s="4" t="s">
        <v>18015</v>
      </c>
      <c r="C14307" s="5" t="str">
        <f>IFERROR(__xludf.DUMMYFUNCTION("GOOGLETRANSLATE(B14307,""en"",""it"")"),"Un uomo con una camicia verde sta agitando un asciugamano rosso.")</f>
        <v>Un uomo con una camicia verde sta agitando un asciugamano rosso.</v>
      </c>
    </row>
    <row r="14308">
      <c r="A14308" s="4" t="s">
        <v>18014</v>
      </c>
      <c r="B14308" s="4" t="s">
        <v>18016</v>
      </c>
      <c r="C14308" s="5" t="str">
        <f>IFERROR(__xludf.DUMMYFUNCTION("GOOGLETRANSLATE(B14308,""en"",""it"")"),"Un toro marrone bussa a terra una persona.")</f>
        <v>Un toro marrone bussa a terra una persona.</v>
      </c>
    </row>
    <row r="14309">
      <c r="A14309" s="4" t="s">
        <v>18014</v>
      </c>
      <c r="B14309" s="4" t="s">
        <v>18017</v>
      </c>
      <c r="C14309" s="5" t="str">
        <f>IFERROR(__xludf.DUMMYFUNCTION("GOOGLETRANSLATE(B14309,""en"",""it"")"),"Le persone sono in piedi sui lati a guardare.")</f>
        <v>Le persone sono in piedi sui lati a guardare.</v>
      </c>
    </row>
    <row r="14310">
      <c r="A14310" s="4" t="s">
        <v>18018</v>
      </c>
      <c r="B14310" s="4" t="s">
        <v>18019</v>
      </c>
      <c r="C14310" s="5" t="str">
        <f>IFERROR(__xludf.DUMMYFUNCTION("GOOGLETRANSLATE(B14310,""en"",""it"")"),"Un bambino piccolo viene visto vagare per un parco giochi mentre la telecamera segue da vicino.")</f>
        <v>Un bambino piccolo viene visto vagare per un parco giochi mentre la telecamera segue da vicino.</v>
      </c>
    </row>
    <row r="14311">
      <c r="A14311" s="4" t="s">
        <v>18018</v>
      </c>
      <c r="B14311" s="6" t="s">
        <v>18020</v>
      </c>
      <c r="C14311" s="5" t="str">
        <f>IFERROR(__xludf.DUMMYFUNCTION("GOOGLETRANSLATE(B14311,""en"",""it"")"),"Il ragazzo gioca con molti altri bambini nel parco giochi e si vede arrampicarsi sui lati e scendere dalla diapositiva.")</f>
        <v>Il ragazzo gioca con molti altri bambini nel parco giochi e si vede arrampicarsi sui lati e scendere dalla diapositiva.</v>
      </c>
    </row>
    <row r="14312">
      <c r="A14312" s="4" t="s">
        <v>18018</v>
      </c>
      <c r="B14312" s="4" t="s">
        <v>18021</v>
      </c>
      <c r="C14312" s="5" t="str">
        <f>IFERROR(__xludf.DUMMYFUNCTION("GOOGLETRANSLATE(B14312,""en"",""it"")"),"Vengono mostrate altre clip dei bambini che giocano l'uno con l'altro e ridono per la telecamera.")</f>
        <v>Vengono mostrate altre clip dei bambini che giocano l'uno con l'altro e ridono per la telecamera.</v>
      </c>
    </row>
    <row r="14313">
      <c r="A14313" s="4" t="s">
        <v>18022</v>
      </c>
      <c r="B14313" s="6" t="s">
        <v>18023</v>
      </c>
      <c r="C14313" s="5" t="str">
        <f>IFERROR(__xludf.DUMMYFUNCTION("GOOGLETRANSLATE(B14313,""en"",""it"")"),"Un uomo viene visto allontanarsi dalla telecamera e inizia una routine di allenamento mentre parla alla telecamera.")</f>
        <v>Un uomo viene visto allontanarsi dalla telecamera e inizia una routine di allenamento mentre parla alla telecamera.</v>
      </c>
    </row>
    <row r="14314">
      <c r="A14314" s="4" t="s">
        <v>18022</v>
      </c>
      <c r="B14314" s="6" t="s">
        <v>18024</v>
      </c>
      <c r="C14314" s="5" t="str">
        <f>IFERROR(__xludf.DUMMYFUNCTION("GOOGLETRANSLATE(B14314,""en"",""it"")"),"L'uomo si muove su e giù per un bar mentre oscilla le braccia e cammina verso la telecamera alla fine.")</f>
        <v>L'uomo si muove su e giù per un bar mentre oscilla le braccia e cammina verso la telecamera alla fine.</v>
      </c>
    </row>
    <row r="14315">
      <c r="A14315" s="4" t="s">
        <v>18025</v>
      </c>
      <c r="B14315" s="4" t="s">
        <v>18026</v>
      </c>
      <c r="C14315" s="5" t="str">
        <f>IFERROR(__xludf.DUMMYFUNCTION("GOOGLETRANSLATE(B14315,""en"",""it"")"),"Una ginnasta che indossa un'uniforme rossa e nera salta sulla barra del cavallo.")</f>
        <v>Una ginnasta che indossa un'uniforme rossa e nera salta sulla barra del cavallo.</v>
      </c>
    </row>
    <row r="14316">
      <c r="A14316" s="4" t="s">
        <v>18025</v>
      </c>
      <c r="B14316" s="4" t="s">
        <v>18027</v>
      </c>
      <c r="C14316" s="5" t="str">
        <f>IFERROR(__xludf.DUMMYFUNCTION("GOOGLETRANSLATE(B14316,""en"",""it"")"),"Viene di nuovo correndo e salta sul bar e fa un capovolgimento.")</f>
        <v>Viene di nuovo correndo e salta sul bar e fa un capovolgimento.</v>
      </c>
    </row>
    <row r="14317">
      <c r="A14317" s="4" t="s">
        <v>18025</v>
      </c>
      <c r="B14317" s="6" t="s">
        <v>18028</v>
      </c>
      <c r="C14317" s="5" t="str">
        <f>IFERROR(__xludf.DUMMYFUNCTION("GOOGLETRANSLATE(B14317,""en"",""it"")"),"La terza volta che salta di nuovo sul bar e alza il piede sinistro, fa un capovolgimento e scende dal bar.")</f>
        <v>La terza volta che salta di nuovo sul bar e alza il piede sinistro, fa un capovolgimento e scende dal bar.</v>
      </c>
    </row>
    <row r="14318">
      <c r="A14318" s="4" t="s">
        <v>18025</v>
      </c>
      <c r="B14318" s="4" t="s">
        <v>18029</v>
      </c>
      <c r="C14318" s="5" t="str">
        <f>IFERROR(__xludf.DUMMYFUNCTION("GOOGLETRANSLATE(B14318,""en"",""it"")"),"Ripete di nuovo gli stessi passi e salta giù dalla barra del cavallo.")</f>
        <v>Ripete di nuovo gli stessi passi e salta giù dalla barra del cavallo.</v>
      </c>
    </row>
    <row r="14319">
      <c r="A14319" s="4" t="s">
        <v>18030</v>
      </c>
      <c r="B14319" s="4" t="s">
        <v>18031</v>
      </c>
      <c r="C14319" s="5" t="str">
        <f>IFERROR(__xludf.DUMMYFUNCTION("GOOGLETRANSLATE(B14319,""en"",""it"")"),"Si vedono due persone che eseguono mosse tango lentamente mentre il testo appare sullo schermo.")</f>
        <v>Si vedono due persone che eseguono mosse tango lentamente mentre il testo appare sullo schermo.</v>
      </c>
    </row>
    <row r="14320">
      <c r="A14320" s="4" t="s">
        <v>18030</v>
      </c>
      <c r="B14320" s="6" t="s">
        <v>18032</v>
      </c>
      <c r="C14320" s="5" t="str">
        <f>IFERROR(__xludf.DUMMYFUNCTION("GOOGLETRANSLATE(B14320,""en"",""it"")"),"La donna quindi fa le stesse mosse da sola mentre la silhouette dell'uomo e della donna viene mostrata accanto a loro.")</f>
        <v>La donna quindi fa le stesse mosse da sola mentre la silhouette dell'uomo e della donna viene mostrata accanto a loro.</v>
      </c>
    </row>
    <row r="14321">
      <c r="A14321" s="4" t="s">
        <v>18030</v>
      </c>
      <c r="B14321" s="4" t="s">
        <v>18033</v>
      </c>
      <c r="C14321" s="5" t="str">
        <f>IFERROR(__xludf.DUMMYFUNCTION("GOOGLETRANSLATE(B14321,""en"",""it"")"),"Quindi l'uomo esegue le sue mosse da solo e conduce nella coppia esibendosi di nuovo.")</f>
        <v>Quindi l'uomo esegue le sue mosse da solo e conduce nella coppia esibendosi di nuovo.</v>
      </c>
    </row>
    <row r="14322">
      <c r="A14322" s="4" t="s">
        <v>18034</v>
      </c>
      <c r="B14322" s="4" t="s">
        <v>18035</v>
      </c>
      <c r="C14322" s="5" t="str">
        <f>IFERROR(__xludf.DUMMYFUNCTION("GOOGLETRANSLATE(B14322,""en"",""it"")"),"Una squadra è sul ghiaccio, giocando una partita di hockey.")</f>
        <v>Una squadra è sul ghiaccio, giocando una partita di hockey.</v>
      </c>
    </row>
    <row r="14323">
      <c r="A14323" s="4" t="s">
        <v>18034</v>
      </c>
      <c r="B14323" s="4" t="s">
        <v>18036</v>
      </c>
      <c r="C14323" s="5" t="str">
        <f>IFERROR(__xludf.DUMMYFUNCTION("GOOGLETRANSLATE(B14323,""en"",""it"")"),"Scivolano intorno, colpendo il disco e cercando di tenerlo lontano dai loro avversari.")</f>
        <v>Scivolano intorno, colpendo il disco e cercando di tenerlo lontano dai loro avversari.</v>
      </c>
    </row>
    <row r="14324">
      <c r="A14324" s="4" t="s">
        <v>18034</v>
      </c>
      <c r="B14324" s="4" t="s">
        <v>18037</v>
      </c>
      <c r="C14324" s="5" t="str">
        <f>IFERROR(__xludf.DUMMYFUNCTION("GOOGLETRANSLATE(B14324,""en"",""it"")"),"Il portiere ha attestato per impedire al disco di entrare in porta.")</f>
        <v>Il portiere ha attestato per impedire al disco di entrare in porta.</v>
      </c>
    </row>
    <row r="14325">
      <c r="A14325" s="4" t="s">
        <v>18038</v>
      </c>
      <c r="B14325" s="6" t="s">
        <v>18039</v>
      </c>
      <c r="C14325" s="5" t="str">
        <f>IFERROR(__xludf.DUMMYFUNCTION("GOOGLETRANSLATE(B14325,""en"",""it"")"),"Un'introduzione conduce in varie immagini di strumenti di cavallo e una donna che parla alla telecamera con un pennello.")</f>
        <v>Un'introduzione conduce in varie immagini di strumenti di cavallo e una donna che parla alla telecamera con un pennello.</v>
      </c>
    </row>
    <row r="14326">
      <c r="A14326" s="4" t="s">
        <v>18038</v>
      </c>
      <c r="B14326" s="4" t="s">
        <v>18040</v>
      </c>
      <c r="C14326" s="5" t="str">
        <f>IFERROR(__xludf.DUMMYFUNCTION("GOOGLETRANSLATE(B14326,""en"",""it"")"),"Quindi spazzola accuratamente la criniera del cavallo mentre guarda alla telecamera e parla.")</f>
        <v>Quindi spazzola accuratamente la criniera del cavallo mentre guarda alla telecamera e parla.</v>
      </c>
    </row>
    <row r="14327">
      <c r="A14327" s="4" t="s">
        <v>18041</v>
      </c>
      <c r="B14327" s="4" t="s">
        <v>18042</v>
      </c>
      <c r="C14327" s="5" t="str">
        <f>IFERROR(__xludf.DUMMYFUNCTION("GOOGLETRANSLATE(B14327,""en"",""it"")"),"Un uomo parla con una commessa che taglia una pianta in una pentola, poi l'uomo ha messo via la pianta.")</f>
        <v>Un uomo parla con una commessa che taglia una pianta in una pentola, poi l'uomo ha messo via la pianta.</v>
      </c>
    </row>
    <row r="14328">
      <c r="A14328" s="4" t="s">
        <v>18041</v>
      </c>
      <c r="B14328" s="6" t="s">
        <v>18043</v>
      </c>
      <c r="C14328" s="5" t="str">
        <f>IFERROR(__xludf.DUMMYFUNCTION("GOOGLETRANSLATE(B14328,""en"",""it"")"),"Dopo, l'uomo mette un cespuglio davanti alla commessa che lo tagli mentre l'uomo punta la pianta e parla con la donna.")</f>
        <v>Dopo, l'uomo mette un cespuglio davanti alla commessa che lo tagli mentre l'uomo punta la pianta e parla con la donna.</v>
      </c>
    </row>
    <row r="14329">
      <c r="A14329" s="4" t="s">
        <v>18044</v>
      </c>
      <c r="B14329" s="4" t="s">
        <v>18045</v>
      </c>
      <c r="C14329" s="5" t="str">
        <f>IFERROR(__xludf.DUMMYFUNCTION("GOOGLETRANSLATE(B14329,""en"",""it"")"),"Una persona viene vista cavalcare una tavola lungo l'acqua con un aquilone in cima.")</f>
        <v>Una persona viene vista cavalcare una tavola lungo l'acqua con un aquilone in cima.</v>
      </c>
    </row>
    <row r="14330">
      <c r="A14330" s="4" t="s">
        <v>18044</v>
      </c>
      <c r="B14330" s="4" t="s">
        <v>18046</v>
      </c>
      <c r="C14330" s="5" t="str">
        <f>IFERROR(__xludf.DUMMYFUNCTION("GOOGLETRANSLATE(B14330,""en"",""it"")"),"Vengono mostrate altre clip della persona che torna indietro e quarta sul tabellone.")</f>
        <v>Vengono mostrate altre clip della persona che torna indietro e quarta sul tabellone.</v>
      </c>
    </row>
    <row r="14331">
      <c r="A14331" s="4" t="s">
        <v>18044</v>
      </c>
      <c r="B14331" s="4" t="s">
        <v>18047</v>
      </c>
      <c r="C14331" s="5" t="str">
        <f>IFERROR(__xludf.DUMMYFUNCTION("GOOGLETRANSLATE(B14331,""en"",""it"")"),"La persona continua a cavalcare il tabellone lungo l'acqua.")</f>
        <v>La persona continua a cavalcare il tabellone lungo l'acqua.</v>
      </c>
    </row>
    <row r="14332">
      <c r="A14332" s="4" t="s">
        <v>18048</v>
      </c>
      <c r="B14332" s="4" t="s">
        <v>18049</v>
      </c>
      <c r="C14332" s="5" t="str">
        <f>IFERROR(__xludf.DUMMYFUNCTION("GOOGLETRANSLATE(B14332,""en"",""it"")"),"Un uomo sta navigando su una grande ondata nell'acqua.")</f>
        <v>Un uomo sta navigando su una grande ondata nell'acqua.</v>
      </c>
    </row>
    <row r="14333">
      <c r="A14333" s="4" t="s">
        <v>18048</v>
      </c>
      <c r="B14333" s="4" t="s">
        <v>18050</v>
      </c>
      <c r="C14333" s="5" t="str">
        <f>IFERROR(__xludf.DUMMYFUNCTION("GOOGLETRANSLATE(B14333,""en"",""it"")"),"L'acqua e il cielo sono rossi.")</f>
        <v>L'acqua e il cielo sono rossi.</v>
      </c>
    </row>
    <row r="14334">
      <c r="A14334" s="4" t="s">
        <v>18048</v>
      </c>
      <c r="B14334" s="4" t="s">
        <v>18051</v>
      </c>
      <c r="C14334" s="5" t="str">
        <f>IFERROR(__xludf.DUMMYFUNCTION("GOOGLETRANSLATE(B14334,""en"",""it"")"),"Diverse persone navigano sull'acqua.")</f>
        <v>Diverse persone navigano sull'acqua.</v>
      </c>
    </row>
    <row r="14335">
      <c r="A14335" s="4" t="s">
        <v>18052</v>
      </c>
      <c r="B14335" s="4" t="s">
        <v>18053</v>
      </c>
      <c r="C14335" s="5" t="str">
        <f>IFERROR(__xludf.DUMMYFUNCTION("GOOGLETRANSLATE(B14335,""en"",""it"")"),"Una donna con gli occhiali è a maglia.")</f>
        <v>Una donna con gli occhiali è a maglia.</v>
      </c>
    </row>
    <row r="14336">
      <c r="A14336" s="4" t="s">
        <v>18052</v>
      </c>
      <c r="B14336" s="4" t="s">
        <v>18054</v>
      </c>
      <c r="C14336" s="5" t="str">
        <f>IFERROR(__xludf.DUMMYFUNCTION("GOOGLETRANSLATE(B14336,""en"",""it"")"),"Una ragazza con una camicia nera è seduta a parlare.")</f>
        <v>Una ragazza con una camicia nera è seduta a parlare.</v>
      </c>
    </row>
    <row r="14337">
      <c r="A14337" s="4" t="s">
        <v>18052</v>
      </c>
      <c r="B14337" s="4" t="s">
        <v>18055</v>
      </c>
      <c r="C14337" s="5" t="str">
        <f>IFERROR(__xludf.DUMMYFUNCTION("GOOGLETRANSLATE(B14337,""en"",""it"")"),"La donna a maglia risale alla ragazza.")</f>
        <v>La donna a maglia risale alla ragazza.</v>
      </c>
    </row>
    <row r="14338">
      <c r="A14338" s="4" t="s">
        <v>18056</v>
      </c>
      <c r="B14338" s="4" t="s">
        <v>18057</v>
      </c>
      <c r="C14338" s="5" t="str">
        <f>IFERROR(__xludf.DUMMYFUNCTION("GOOGLETRANSLATE(B14338,""en"",""it"")"),"Un uomo parla alla telecamera mentre la gente inizia a scendere un uomo fatto in acque bianche sui kayak.")</f>
        <v>Un uomo parla alla telecamera mentre la gente inizia a scendere un uomo fatto in acque bianche sui kayak.</v>
      </c>
    </row>
    <row r="14339">
      <c r="A14339" s="4" t="s">
        <v>18056</v>
      </c>
      <c r="B14339" s="4" t="s">
        <v>18058</v>
      </c>
      <c r="C14339" s="5" t="str">
        <f>IFERROR(__xludf.DUMMYFUNCTION("GOOGLETRANSLATE(B14339,""en"",""it"")"),"La gente si blocca leggermente, poi si staccano mentre scendono piccole cascate.")</f>
        <v>La gente si blocca leggermente, poi si staccano mentre scendono piccole cascate.</v>
      </c>
    </row>
    <row r="14340">
      <c r="A14340" s="4" t="s">
        <v>18056</v>
      </c>
      <c r="B14340" s="4" t="s">
        <v>18059</v>
      </c>
      <c r="C14340" s="5" t="str">
        <f>IFERROR(__xludf.DUMMYFUNCTION("GOOGLETRANSLATE(B14340,""en"",""it"")"),"Una donna cade e viene tirata indietro da un'altra persona.")</f>
        <v>Una donna cade e viene tirata indietro da un'altra persona.</v>
      </c>
    </row>
    <row r="14341">
      <c r="A14341" s="4" t="s">
        <v>18056</v>
      </c>
      <c r="B14341" s="4" t="s">
        <v>18060</v>
      </c>
      <c r="C14341" s="5" t="str">
        <f>IFERROR(__xludf.DUMMYFUNCTION("GOOGLETRANSLATE(B14341,""en"",""it"")"),"Vediamo quindi diverse immagini di persone in kayak sulle rapide.")</f>
        <v>Vediamo quindi diverse immagini di persone in kayak sulle rapide.</v>
      </c>
    </row>
    <row r="14342">
      <c r="A14342" s="4" t="s">
        <v>18061</v>
      </c>
      <c r="B14342" s="4" t="s">
        <v>18062</v>
      </c>
      <c r="C14342" s="5" t="str">
        <f>IFERROR(__xludf.DUMMYFUNCTION("GOOGLETRANSLATE(B14342,""en"",""it"")"),"Una persona parla in strada, quindi la persona skateboard sulla strada.")</f>
        <v>Una persona parla in strada, quindi la persona skateboard sulla strada.</v>
      </c>
    </row>
    <row r="14343">
      <c r="A14343" s="4" t="s">
        <v>18061</v>
      </c>
      <c r="B14343" s="4" t="s">
        <v>18063</v>
      </c>
      <c r="C14343" s="5" t="str">
        <f>IFERROR(__xludf.DUMMYFUNCTION("GOOGLETRANSLATE(B14343,""en"",""it"")"),"Quindi, la persona prende a calci lo skateboard.")</f>
        <v>Quindi, la persona prende a calci lo skateboard.</v>
      </c>
    </row>
    <row r="14344">
      <c r="A14344" s="4" t="s">
        <v>18061</v>
      </c>
      <c r="B14344" s="4" t="s">
        <v>18064</v>
      </c>
      <c r="C14344" s="5" t="str">
        <f>IFERROR(__xludf.DUMMYFUNCTION("GOOGLETRANSLATE(B14344,""en"",""it"")"),"Dopo che la persona ci salta via e lo skateboard scivola sulla strada.")</f>
        <v>Dopo che la persona ci salta via e lo skateboard scivola sulla strada.</v>
      </c>
    </row>
    <row r="14345">
      <c r="A14345" s="4" t="s">
        <v>18061</v>
      </c>
      <c r="B14345" s="4" t="s">
        <v>18065</v>
      </c>
      <c r="C14345" s="5" t="str">
        <f>IFERROR(__xludf.DUMMYFUNCTION("GOOGLETRANSLATE(B14345,""en"",""it"")"),"Successivamente, la persona pratica lo skateboard che trascina un piede, dopo che la persona usa l'erba per fare trucchi.")</f>
        <v>Successivamente, la persona pratica lo skateboard che trascina un piede, dopo che la persona usa l'erba per fare trucchi.</v>
      </c>
    </row>
    <row r="14346">
      <c r="A14346" s="4" t="s">
        <v>18066</v>
      </c>
      <c r="B14346" s="6" t="s">
        <v>18067</v>
      </c>
      <c r="C14346" s="5" t="str">
        <f>IFERROR(__xludf.DUMMYFUNCTION("GOOGLETRANSLATE(B14346,""en"",""it"")"),"La donna è in piedi in una grande stanza con in mano un'epée e Aman entra e tiene altre épée e inizia a combattere con la donna.")</f>
        <v>La donna è in piedi in una grande stanza con in mano un'epée e Aman entra e tiene altre épée e inizia a combattere con la donna.</v>
      </c>
    </row>
    <row r="14347">
      <c r="A14347" s="4" t="s">
        <v>18066</v>
      </c>
      <c r="B14347" s="4" t="s">
        <v>18068</v>
      </c>
      <c r="C14347" s="5" t="str">
        <f>IFERROR(__xludf.DUMMYFUNCTION("GOOGLETRANSLATE(B14347,""en"",""it"")"),"I bambini entrano in una stanza e corrono dall'uomo e dalla donna.")</f>
        <v>I bambini entrano in una stanza e corrono dall'uomo e dalla donna.</v>
      </c>
    </row>
    <row r="14348">
      <c r="A14348" s="4" t="s">
        <v>18066</v>
      </c>
      <c r="B14348" s="4" t="s">
        <v>18069</v>
      </c>
      <c r="C14348" s="5" t="str">
        <f>IFERROR(__xludf.DUMMYFUNCTION("GOOGLETRANSLATE(B14348,""en"",""it"")"),"L'uomo dà una maschera nera alla donna e la indossa.")</f>
        <v>L'uomo dà una maschera nera alla donna e la indossa.</v>
      </c>
    </row>
    <row r="14349">
      <c r="A14349" s="4" t="s">
        <v>18070</v>
      </c>
      <c r="B14349" s="4" t="s">
        <v>18071</v>
      </c>
      <c r="C14349" s="5" t="str">
        <f>IFERROR(__xludf.DUMMYFUNCTION("GOOGLETRANSLATE(B14349,""en"",""it"")"),"Un bambino in una stalla che spazzola un cavallo.")</f>
        <v>Un bambino in una stalla che spazzola un cavallo.</v>
      </c>
    </row>
    <row r="14350">
      <c r="A14350" s="4" t="s">
        <v>18070</v>
      </c>
      <c r="B14350" s="6" t="s">
        <v>18072</v>
      </c>
      <c r="C14350" s="5" t="str">
        <f>IFERROR(__xludf.DUMMYFUNCTION("GOOGLETRANSLATE(B14350,""en"",""it"")"),"Il bambino si allontana dal cavallo mentre parla per prendere una bottiglia di liquido, quindi ritorna a sfiorare i capelli del cavallo.")</f>
        <v>Il bambino si allontana dal cavallo mentre parla per prendere una bottiglia di liquido, quindi ritorna a sfiorare i capelli del cavallo.</v>
      </c>
    </row>
    <row r="14351">
      <c r="A14351" s="4" t="s">
        <v>18073</v>
      </c>
      <c r="B14351" s="6" t="s">
        <v>18074</v>
      </c>
      <c r="C14351" s="5" t="str">
        <f>IFERROR(__xludf.DUMMYFUNCTION("GOOGLETRANSLATE(B14351,""en"",""it"")"),"Una fotocamera si ingrandisce su una persona che esegue una routine su un grande palcoscenico che gira un bastone in aria.")</f>
        <v>Una fotocamera si ingrandisce su una persona che esegue una routine su un grande palcoscenico che gira un bastone in aria.</v>
      </c>
    </row>
    <row r="14352">
      <c r="A14352" s="4" t="s">
        <v>18073</v>
      </c>
      <c r="B14352" s="4" t="s">
        <v>18075</v>
      </c>
      <c r="C14352" s="5" t="str">
        <f>IFERROR(__xludf.DUMMYFUNCTION("GOOGLETRANSLATE(B14352,""en"",""it"")"),"La persona continua la routine e termina con una divisione e il pubblico applaude.")</f>
        <v>La persona continua la routine e termina con una divisione e il pubblico applaude.</v>
      </c>
    </row>
    <row r="14353">
      <c r="A14353" s="4" t="s">
        <v>18076</v>
      </c>
      <c r="B14353" s="4" t="s">
        <v>18077</v>
      </c>
      <c r="C14353" s="5" t="str">
        <f>IFERROR(__xludf.DUMMYFUNCTION("GOOGLETRANSLATE(B14353,""en"",""it"")"),"Un ragazzo si vede in piedi sopra una diapositiva e si fa strada.")</f>
        <v>Un ragazzo si vede in piedi sopra una diapositiva e si fa strada.</v>
      </c>
    </row>
    <row r="14354">
      <c r="A14354" s="4" t="s">
        <v>18076</v>
      </c>
      <c r="B14354" s="4" t="s">
        <v>18078</v>
      </c>
      <c r="C14354" s="5" t="str">
        <f>IFERROR(__xludf.DUMMYFUNCTION("GOOGLETRANSLATE(B14354,""en"",""it"")"),"Il ragazzo cavalca tutto lungo la diapositiva e la telecamera lo segue camminando dopo.")</f>
        <v>Il ragazzo cavalca tutto lungo la diapositiva e la telecamera lo segue camminando dopo.</v>
      </c>
    </row>
    <row r="14355">
      <c r="A14355" s="4" t="s">
        <v>18079</v>
      </c>
      <c r="B14355" s="4" t="s">
        <v>18080</v>
      </c>
      <c r="C14355" s="5" t="str">
        <f>IFERROR(__xludf.DUMMYFUNCTION("GOOGLETRANSLATE(B14355,""en"",""it"")"),"Un ragazzo si trova in un lavandino in cucina.")</f>
        <v>Un ragazzo si trova in un lavandino in cucina.</v>
      </c>
    </row>
    <row r="14356">
      <c r="A14356" s="4" t="s">
        <v>18079</v>
      </c>
      <c r="B14356" s="4" t="s">
        <v>18081</v>
      </c>
      <c r="C14356" s="5" t="str">
        <f>IFERROR(__xludf.DUMMYFUNCTION("GOOGLETRANSLATE(B14356,""en"",""it"")"),"Si sta asciugando la scarpa.")</f>
        <v>Si sta asciugando la scarpa.</v>
      </c>
    </row>
    <row r="14357">
      <c r="A14357" s="4" t="s">
        <v>18079</v>
      </c>
      <c r="B14357" s="4" t="s">
        <v>18082</v>
      </c>
      <c r="C14357" s="5" t="str">
        <f>IFERROR(__xludf.DUMMYFUNCTION("GOOGLETRANSLATE(B14357,""en"",""it"")"),"Si gira e sorride alla telecamera.")</f>
        <v>Si gira e sorride alla telecamera.</v>
      </c>
    </row>
    <row r="14358">
      <c r="A14358" s="4" t="s">
        <v>18083</v>
      </c>
      <c r="B14358" s="4" t="s">
        <v>18084</v>
      </c>
      <c r="C14358" s="5" t="str">
        <f>IFERROR(__xludf.DUMMYFUNCTION("GOOGLETRANSLATE(B14358,""en"",""it"")"),"Una donna sta parlando alla sua classe di saltare la corda.")</f>
        <v>Una donna sta parlando alla sua classe di saltare la corda.</v>
      </c>
    </row>
    <row r="14359">
      <c r="A14359" s="4" t="s">
        <v>18083</v>
      </c>
      <c r="B14359" s="4" t="s">
        <v>18085</v>
      </c>
      <c r="C14359" s="5" t="str">
        <f>IFERROR(__xludf.DUMMYFUNCTION("GOOGLETRANSLATE(B14359,""en"",""it"")"),"Mette la corda sotto i piedi e inizia a dimostrare un po '.")</f>
        <v>Mette la corda sotto i piedi e inizia a dimostrare un po '.</v>
      </c>
    </row>
    <row r="14360">
      <c r="A14360" s="4" t="s">
        <v>18083</v>
      </c>
      <c r="B14360" s="4" t="s">
        <v>18086</v>
      </c>
      <c r="C14360" s="5" t="str">
        <f>IFERROR(__xludf.DUMMYFUNCTION("GOOGLETRANSLATE(B14360,""en"",""it"")"),"Comincia a saltare la corda andando molto rapidamente.")</f>
        <v>Comincia a saltare la corda andando molto rapidamente.</v>
      </c>
    </row>
    <row r="14361">
      <c r="A14361" s="4" t="s">
        <v>18083</v>
      </c>
      <c r="B14361" s="4" t="s">
        <v>18087</v>
      </c>
      <c r="C14361" s="5" t="str">
        <f>IFERROR(__xludf.DUMMYFUNCTION("GOOGLETRANSLATE(B14361,""en"",""it"")"),"Si ferma e continua a parlare di più prima di ricominciare a saltare.")</f>
        <v>Si ferma e continua a parlare di più prima di ricominciare a saltare.</v>
      </c>
    </row>
    <row r="14362">
      <c r="A14362" s="4" t="s">
        <v>18088</v>
      </c>
      <c r="B14362" s="4" t="s">
        <v>18089</v>
      </c>
      <c r="C14362" s="5" t="str">
        <f>IFERROR(__xludf.DUMMYFUNCTION("GOOGLETRANSLATE(B14362,""en"",""it"")"),"Una donna indossa un asciugamano e in piedi accanto a una vasca da bagno.")</f>
        <v>Una donna indossa un asciugamano e in piedi accanto a una vasca da bagno.</v>
      </c>
    </row>
    <row r="14363">
      <c r="A14363" s="4" t="s">
        <v>18088</v>
      </c>
      <c r="B14363" s="4" t="s">
        <v>18090</v>
      </c>
      <c r="C14363" s="5" t="str">
        <f>IFERROR(__xludf.DUMMYFUNCTION("GOOGLETRANSLATE(B14363,""en"",""it"")"),"Mette la crema da barba sulla gamba e si rade la gamba.")</f>
        <v>Mette la crema da barba sulla gamba e si rade la gamba.</v>
      </c>
    </row>
    <row r="14364">
      <c r="A14364" s="4" t="s">
        <v>18091</v>
      </c>
      <c r="B14364" s="4" t="s">
        <v>18092</v>
      </c>
      <c r="C14364" s="5" t="str">
        <f>IFERROR(__xludf.DUMMYFUNCTION("GOOGLETRANSLATE(B14364,""en"",""it"")"),"Un uomo nello smoking inizia a spiegare Black Jack.")</f>
        <v>Un uomo nello smoking inizia a spiegare Black Jack.</v>
      </c>
    </row>
    <row r="14365">
      <c r="A14365" s="4" t="s">
        <v>18091</v>
      </c>
      <c r="B14365" s="4" t="s">
        <v>18093</v>
      </c>
      <c r="C14365" s="5" t="str">
        <f>IFERROR(__xludf.DUMMYFUNCTION("GOOGLETRANSLATE(B14365,""en"",""it"")"),"Un commerciante tratta le carte a quattro giocatori.")</f>
        <v>Un commerciante tratta le carte a quattro giocatori.</v>
      </c>
    </row>
    <row r="14366">
      <c r="A14366" s="4" t="s">
        <v>18091</v>
      </c>
      <c r="B14366" s="4" t="s">
        <v>18094</v>
      </c>
      <c r="C14366" s="5" t="str">
        <f>IFERROR(__xludf.DUMMYFUNCTION("GOOGLETRANSLATE(B14366,""en"",""it"")"),"Vengono mostrati diversi primi piani di carte.")</f>
        <v>Vengono mostrati diversi primi piani di carte.</v>
      </c>
    </row>
    <row r="14367">
      <c r="A14367" s="4" t="s">
        <v>18091</v>
      </c>
      <c r="B14367" s="4" t="s">
        <v>18095</v>
      </c>
      <c r="C14367" s="5" t="str">
        <f>IFERROR(__xludf.DUMMYFUNCTION("GOOGLETRANSLATE(B14367,""en"",""it"")"),"L'uomo nello smoking continua a spiegare le regole del blackjack.")</f>
        <v>L'uomo nello smoking continua a spiegare le regole del blackjack.</v>
      </c>
    </row>
    <row r="14368">
      <c r="A14368" s="4" t="s">
        <v>18096</v>
      </c>
      <c r="B14368" s="4" t="s">
        <v>18097</v>
      </c>
      <c r="C14368" s="5" t="str">
        <f>IFERROR(__xludf.DUMMYFUNCTION("GOOGLETRANSLATE(B14368,""en"",""it"")"),"Due donne non sono un braccio da tavola che lottano nel mezzo del palco.")</f>
        <v>Due donne non sono un braccio da tavola che lottano nel mezzo del palco.</v>
      </c>
    </row>
    <row r="14369">
      <c r="A14369" s="4" t="s">
        <v>18096</v>
      </c>
      <c r="B14369" s="4" t="s">
        <v>18098</v>
      </c>
      <c r="C14369" s="5" t="str">
        <f>IFERROR(__xludf.DUMMYFUNCTION("GOOGLETRANSLATE(B14369,""en"",""it"")"),"L'arbitro che indossa la camicia bianca e nera è in piedi dietro le ragazze.")</f>
        <v>L'arbitro che indossa la camicia bianca e nera è in piedi dietro le ragazze.</v>
      </c>
    </row>
    <row r="14370">
      <c r="A14370" s="4" t="s">
        <v>18096</v>
      </c>
      <c r="B14370" s="6" t="s">
        <v>18099</v>
      </c>
      <c r="C14370" s="5" t="str">
        <f>IFERROR(__xludf.DUMMYFUNCTION("GOOGLETRANSLATE(B14370,""en"",""it"")"),"Due donne calde sono il braccio che lottano su un tavolo e gli arbitri sono in piedi davanti o seduti nella parte posteriore.")</f>
        <v>Due donne calde sono il braccio che lottano su un tavolo e gli arbitri sono in piedi davanti o seduti nella parte posteriore.</v>
      </c>
    </row>
    <row r="14371">
      <c r="A14371" s="4" t="s">
        <v>18096</v>
      </c>
      <c r="B14371" s="4" t="s">
        <v>18100</v>
      </c>
      <c r="C14371" s="5" t="str">
        <f>IFERROR(__xludf.DUMMYFUNCTION("GOOGLETRANSLATE(B14371,""en"",""it"")"),"Le donne sono in un braccio da bar che lottano e molte persone sono intorno a loro guardarle.")</f>
        <v>Le donne sono in un braccio da bar che lottano e molte persone sono intorno a loro guardarle.</v>
      </c>
    </row>
    <row r="14372">
      <c r="A14372" s="4" t="s">
        <v>18101</v>
      </c>
      <c r="B14372" s="4" t="s">
        <v>18102</v>
      </c>
      <c r="C14372" s="5" t="str">
        <f>IFERROR(__xludf.DUMMYFUNCTION("GOOGLETRANSLATE(B14372,""en"",""it"")"),"Una donna gioca una partita di birra con un uomo corto vestito da leprechaun.")</f>
        <v>Una donna gioca una partita di birra con un uomo corto vestito da leprechaun.</v>
      </c>
    </row>
    <row r="14373">
      <c r="A14373" s="4" t="s">
        <v>18101</v>
      </c>
      <c r="B14373" s="4" t="s">
        <v>18103</v>
      </c>
      <c r="C14373" s="5" t="str">
        <f>IFERROR(__xludf.DUMMYFUNCTION("GOOGLETRANSLATE(B14373,""en"",""it"")"),"Un DJ suona gira un paio di giradischi sul palco per la folla.")</f>
        <v>Un DJ suona gira un paio di giradischi sul palco per la folla.</v>
      </c>
    </row>
    <row r="14374">
      <c r="A14374" s="4" t="s">
        <v>18101</v>
      </c>
      <c r="B14374" s="4" t="s">
        <v>18104</v>
      </c>
      <c r="C14374" s="5" t="str">
        <f>IFERROR(__xludf.DUMMYFUNCTION("GOOGLETRANSLATE(B14374,""en"",""it"")"),"La donna segna un tiro e celebra.")</f>
        <v>La donna segna un tiro e celebra.</v>
      </c>
    </row>
    <row r="14375">
      <c r="A14375" s="4" t="s">
        <v>18101</v>
      </c>
      <c r="B14375" s="4" t="s">
        <v>18105</v>
      </c>
      <c r="C14375" s="5" t="str">
        <f>IFERROR(__xludf.DUMMYFUNCTION("GOOGLETRANSLATE(B14375,""en"",""it"")"),"I due giocatori si abbracciano e sollevano il braccio della donna in vittoria.")</f>
        <v>I due giocatori si abbracciano e sollevano il braccio della donna in vittoria.</v>
      </c>
    </row>
    <row r="14376">
      <c r="A14376" s="4" t="s">
        <v>18106</v>
      </c>
      <c r="B14376" s="6" t="s">
        <v>18107</v>
      </c>
      <c r="C14376" s="5" t="str">
        <f>IFERROR(__xludf.DUMMYFUNCTION("GOOGLETRANSLATE(B14376,""en"",""it"")"),"Viene mostrato un nuovo ritaglio di carta animato e il video consiste in un mucchio di lettere in black block che danno il titolo.")</f>
        <v>Viene mostrato un nuovo ritaglio di carta animato e il video consiste in un mucchio di lettere in black block che danno il titolo.</v>
      </c>
    </row>
    <row r="14377">
      <c r="A14377" s="4" t="s">
        <v>18106</v>
      </c>
      <c r="B14377" s="4" t="s">
        <v>18108</v>
      </c>
      <c r="C14377" s="5" t="str">
        <f>IFERROR(__xludf.DUMMYFUNCTION("GOOGLETRANSLATE(B14377,""en"",""it"")"),"Poco dopo, una giovane femmina inizia a parlare mentre e butta giù un oggetto arricchito.")</f>
        <v>Poco dopo, una giovane femmina inizia a parlare mentre e butta giù un oggetto arricchito.</v>
      </c>
    </row>
    <row r="14378">
      <c r="A14378" s="4" t="s">
        <v>18106</v>
      </c>
      <c r="B14378" s="6" t="s">
        <v>18109</v>
      </c>
      <c r="C14378" s="5" t="str">
        <f>IFERROR(__xludf.DUMMYFUNCTION("GOOGLETRANSLATE(B14378,""en"",""it"")"),"La giovane donna si avvicina quindi a un maschio vestito di nero e inizia a fargli domande sul gioco.")</f>
        <v>La giovane donna si avvicina quindi a un maschio vestito di nero e inizia a fargli domande sul gioco.</v>
      </c>
    </row>
    <row r="14379">
      <c r="A14379" s="4" t="s">
        <v>18106</v>
      </c>
      <c r="B14379" s="4" t="s">
        <v>18110</v>
      </c>
      <c r="C14379" s="5" t="str">
        <f>IFERROR(__xludf.DUMMYFUNCTION("GOOGLETRANSLATE(B14379,""en"",""it"")"),"Mentre parlano, viene giocato un gioco e i due li guardano.")</f>
        <v>Mentre parlano, viene giocato un gioco e i due li guardano.</v>
      </c>
    </row>
    <row r="14380">
      <c r="A14380" s="4" t="s">
        <v>18106</v>
      </c>
      <c r="B14380" s="6" t="s">
        <v>18111</v>
      </c>
      <c r="C14380" s="5" t="str">
        <f>IFERROR(__xludf.DUMMYFUNCTION("GOOGLETRANSLATE(B14380,""en"",""it"")"),"Dopo, l'uomo inizia a insegnarle varie tecniche utilizzate nel gioco e iniziano a scivolare sul pavimento.")</f>
        <v>Dopo, l'uomo inizia a insegnarle varie tecniche utilizzate nel gioco e iniziano a scivolare sul pavimento.</v>
      </c>
    </row>
    <row r="14381">
      <c r="A14381" s="4" t="s">
        <v>18106</v>
      </c>
      <c r="B14381" s="4" t="s">
        <v>18112</v>
      </c>
      <c r="C14381" s="5" t="str">
        <f>IFERROR(__xludf.DUMMYFUNCTION("GOOGLETRANSLATE(B14381,""en"",""it"")"),"Una volta terminati, la donna torna alla telecamera e inizia a parlare di questo sport.")</f>
        <v>Una volta terminati, la donna torna alla telecamera e inizia a parlare di questo sport.</v>
      </c>
    </row>
    <row r="14382">
      <c r="A14382" s="4" t="s">
        <v>18113</v>
      </c>
      <c r="B14382" s="6" t="s">
        <v>18114</v>
      </c>
      <c r="C14382" s="5" t="str">
        <f>IFERROR(__xludf.DUMMYFUNCTION("GOOGLETRANSLATE(B14382,""en"",""it"")"),"Un cane grigio cammina all'aperto e il proprietario è un giovane maschio bianco che cammina insieme al cane all'aperto e parla con la telecamera.")</f>
        <v>Un cane grigio cammina all'aperto e il proprietario è un giovane maschio bianco che cammina insieme al cane all'aperto e parla con la telecamera.</v>
      </c>
    </row>
    <row r="14383">
      <c r="A14383" s="4" t="s">
        <v>18113</v>
      </c>
      <c r="B14383" s="6" t="s">
        <v>18115</v>
      </c>
      <c r="C14383" s="5" t="str">
        <f>IFERROR(__xludf.DUMMYFUNCTION("GOOGLETRANSLATE(B14383,""en"",""it"")"),"Viene visualizzata una schermata che visualizza due loghi nel Middel e il testo sopra i loghi letti ""dietro le quinte"" e sotto le parole del logo lette ""presentate da: Geico"".")</f>
        <v>Viene visualizzata una schermata che visualizza due loghi nel Middel e il testo sopra i loghi letti "dietro le quinte" e sotto le parole del logo lette "presentate da: Geico".</v>
      </c>
    </row>
    <row r="14384">
      <c r="A14384" s="4" t="s">
        <v>18113</v>
      </c>
      <c r="B14384" s="6" t="s">
        <v>18116</v>
      </c>
      <c r="C14384" s="5" t="str">
        <f>IFERROR(__xludf.DUMMYFUNCTION("GOOGLETRANSLATE(B14384,""en"",""it"")"),"Un uomo è ora vestito con attrezzature protettive ed è raggiunto da molti altri che sono vestiti lo stesso e le clip che giocano a pistole da paintball in un'area aperta e su un percorso.")</f>
        <v>Un uomo è ora vestito con attrezzature protettive ed è raggiunto da molti altri che sono vestiti lo stesso e le clip che giocano a pistole da paintball in un'area aperta e su un percorso.</v>
      </c>
    </row>
    <row r="14385">
      <c r="A14385" s="4" t="s">
        <v>18113</v>
      </c>
      <c r="B14385" s="6" t="s">
        <v>18117</v>
      </c>
      <c r="C14385" s="5" t="str">
        <f>IFERROR(__xludf.DUMMYFUNCTION("GOOGLETRANSLATE(B14385,""en"",""it"")"),"Un uomo è ora in piedi su una piattaforma molto alta guardando in basso un folto gruppo di persone, e le parole ""Comic-Con San Diego Ca"" sono in basso a destra e l'uomo salta su un materasso d'aria molto grande, si alza E inizia a correre lungo un perco"&amp;"rso ad ostacoli molto lungo che gli richiede di fare varie cose e la vista è da una macchina fotografica che la sua indossa al collo.")</f>
        <v>Un uomo è ora in piedi su una piattaforma molto alta guardando in basso un folto gruppo di persone, e le parole "Comic-Con San Diego Ca" sono in basso a destra e l'uomo salta su un materasso d'aria molto grande, si alza E inizia a correre lungo un percorso ad ostacoli molto lungo che gli richiede di fare varie cose e la vista è da una macchina fotografica che la sua indossa al collo.</v>
      </c>
    </row>
    <row r="14386">
      <c r="A14386" s="4" t="s">
        <v>18113</v>
      </c>
      <c r="B14386" s="6" t="s">
        <v>18118</v>
      </c>
      <c r="C14386" s="5" t="str">
        <f>IFERROR(__xludf.DUMMYFUNCTION("GOOGLETRANSLATE(B14386,""en"",""it"")"),"Completa il percorso a ostacoli e appare uno schermo di ravvello con 3 piccoli schermi video diversi che riproducono sul schermo principale e le parole migliori sullo schermo dicono ""presentate da Geico"".")</f>
        <v>Completa il percorso a ostacoli e appare uno schermo di ravvello con 3 piccoli schermi video diversi che riproducono sul schermo principale e le parole migliori sullo schermo dicono "presentate da Geico".</v>
      </c>
    </row>
    <row r="14387">
      <c r="A14387" s="4" t="s">
        <v>18119</v>
      </c>
      <c r="B14387" s="4" t="s">
        <v>18120</v>
      </c>
      <c r="C14387" s="5" t="str">
        <f>IFERROR(__xludf.DUMMYFUNCTION("GOOGLETRANSLATE(B14387,""en"",""it"")"),"Una ragazza viene mostrata parlare con la telecamera e mostrare varie vernici.")</f>
        <v>Una ragazza viene mostrata parlare con la telecamera e mostrare varie vernici.</v>
      </c>
    </row>
    <row r="14388">
      <c r="A14388" s="4" t="s">
        <v>18119</v>
      </c>
      <c r="B14388" s="4" t="s">
        <v>18121</v>
      </c>
      <c r="C14388" s="5" t="str">
        <f>IFERROR(__xludf.DUMMYFUNCTION("GOOGLETRANSLATE(B14388,""en"",""it"")"),"Si ingrandisce sui prodotti che possiede e mette la vernice su un pallet.")</f>
        <v>Si ingrandisce sui prodotti che possiede e mette la vernice su un pallet.</v>
      </c>
    </row>
    <row r="14389">
      <c r="A14389" s="4" t="s">
        <v>18119</v>
      </c>
      <c r="B14389" s="4" t="s">
        <v>18122</v>
      </c>
      <c r="C14389" s="5" t="str">
        <f>IFERROR(__xludf.DUMMYFUNCTION("GOOGLETRANSLATE(B14389,""en"",""it"")"),"Si tampona un pennello nella vernice e inizia a dipingere le unghie.")</f>
        <v>Si tampona un pennello nella vernice e inizia a dipingere le unghie.</v>
      </c>
    </row>
    <row r="14390">
      <c r="A14390" s="4" t="s">
        <v>18119</v>
      </c>
      <c r="B14390" s="4" t="s">
        <v>18123</v>
      </c>
      <c r="C14390" s="5" t="str">
        <f>IFERROR(__xludf.DUMMYFUNCTION("GOOGLETRANSLATE(B14390,""en"",""it"")"),"Esegui diversi stili sulle unghie e diverse foto di unghie finite.")</f>
        <v>Esegui diversi stili sulle unghie e diverse foto di unghie finite.</v>
      </c>
    </row>
    <row r="14391">
      <c r="A14391" s="4" t="s">
        <v>18124</v>
      </c>
      <c r="B14391" s="4" t="s">
        <v>18125</v>
      </c>
      <c r="C14391" s="5" t="str">
        <f>IFERROR(__xludf.DUMMYFUNCTION("GOOGLETRANSLATE(B14391,""en"",""it"")"),"Un uomo si trova su un campo da tennis che si prepara a servire la palla.")</f>
        <v>Un uomo si trova su un campo da tennis che si prepara a servire la palla.</v>
      </c>
    </row>
    <row r="14392">
      <c r="A14392" s="4" t="s">
        <v>18124</v>
      </c>
      <c r="B14392" s="4" t="s">
        <v>18126</v>
      </c>
      <c r="C14392" s="5" t="str">
        <f>IFERROR(__xludf.DUMMYFUNCTION("GOOGLETRANSLATE(B14392,""en"",""it"")"),"L'uomo colpisce la palla da tennis attraverso il campo.")</f>
        <v>L'uomo colpisce la palla da tennis attraverso il campo.</v>
      </c>
    </row>
    <row r="14393">
      <c r="A14393" s="4" t="s">
        <v>18124</v>
      </c>
      <c r="B14393" s="4" t="s">
        <v>18127</v>
      </c>
      <c r="C14393" s="5" t="str">
        <f>IFERROR(__xludf.DUMMYFUNCTION("GOOGLETRANSLATE(B14393,""en"",""it"")"),"L'uomo si gira e torna al cestino e prende una palla dalla tasca.")</f>
        <v>L'uomo si gira e torna al cestino e prende una palla dalla tasca.</v>
      </c>
    </row>
    <row r="14394">
      <c r="A14394" s="4" t="s">
        <v>18124</v>
      </c>
      <c r="B14394" s="4" t="s">
        <v>18128</v>
      </c>
      <c r="C14394" s="5" t="str">
        <f>IFERROR(__xludf.DUMMYFUNCTION("GOOGLETRANSLATE(B14394,""en"",""it"")"),"L'uomo rimbalza la palla a terra.")</f>
        <v>L'uomo rimbalza la palla a terra.</v>
      </c>
    </row>
    <row r="14395">
      <c r="A14395" s="4" t="s">
        <v>18129</v>
      </c>
      <c r="B14395" s="6" t="s">
        <v>18130</v>
      </c>
      <c r="C14395" s="5" t="str">
        <f>IFERROR(__xludf.DUMMYFUNCTION("GOOGLETRANSLATE(B14395,""en"",""it"")"),"Una donna viene vista chinarsi per prendere un sorso d'acqua e conduce a girare un cerchio di hula attorno a se stessa.")</f>
        <v>Una donna viene vista chinarsi per prendere un sorso d'acqua e conduce a girare un cerchio di hula attorno a se stessa.</v>
      </c>
    </row>
    <row r="14396">
      <c r="A14396" s="4" t="s">
        <v>18129</v>
      </c>
      <c r="B14396" s="6" t="s">
        <v>18131</v>
      </c>
      <c r="C14396" s="5" t="str">
        <f>IFERROR(__xludf.DUMMYFUNCTION("GOOGLETRANSLATE(B14396,""en"",""it"")"),"La donna continua a girare il cerchio di hula mentre afferra molti altri ed esegue trucchi nel centro della città.")</f>
        <v>La donna continua a girare il cerchio di hula mentre afferra molti altri ed esegue trucchi nel centro della città.</v>
      </c>
    </row>
    <row r="14397">
      <c r="A14397" s="4" t="s">
        <v>18132</v>
      </c>
      <c r="B14397" s="4" t="s">
        <v>18133</v>
      </c>
      <c r="C14397" s="5" t="str">
        <f>IFERROR(__xludf.DUMMYFUNCTION("GOOGLETRANSLATE(B14397,""en"",""it"")"),"Un uomo viene visto appendere una ruota in bicicletta e parlare alla telecamera.")</f>
        <v>Un uomo viene visto appendere una ruota in bicicletta e parlare alla telecamera.</v>
      </c>
    </row>
    <row r="14398">
      <c r="A14398" s="4" t="s">
        <v>18132</v>
      </c>
      <c r="B14398" s="4" t="s">
        <v>18134</v>
      </c>
      <c r="C14398" s="5" t="str">
        <f>IFERROR(__xludf.DUMMYFUNCTION("GOOGLETRANSLATE(B14398,""en"",""it"")"),"Comincia a regolare la bici e svitare le impostazioni sul retro.")</f>
        <v>Comincia a regolare la bici e svitare le impostazioni sul retro.</v>
      </c>
    </row>
    <row r="14399">
      <c r="A14399" s="4" t="s">
        <v>18132</v>
      </c>
      <c r="B14399" s="4" t="s">
        <v>18135</v>
      </c>
      <c r="C14399" s="5" t="str">
        <f>IFERROR(__xludf.DUMMYFUNCTION("GOOGLETRANSLATE(B14399,""en"",""it"")"),"Quindi indossa un paio di ruote da allenamento e mostra come si muove.")</f>
        <v>Quindi indossa un paio di ruote da allenamento e mostra come si muove.</v>
      </c>
    </row>
    <row r="14400">
      <c r="A14400" s="4" t="s">
        <v>18136</v>
      </c>
      <c r="B14400" s="4" t="s">
        <v>18137</v>
      </c>
      <c r="C14400" s="5" t="str">
        <f>IFERROR(__xludf.DUMMYFUNCTION("GOOGLETRANSLATE(B14400,""en"",""it"")"),"Un cane viene visto correre intorno a un uomo nel mezzo di un campo aperto.")</f>
        <v>Un cane viene visto correre intorno a un uomo nel mezzo di un campo aperto.</v>
      </c>
    </row>
    <row r="14401">
      <c r="A14401" s="4" t="s">
        <v>18136</v>
      </c>
      <c r="B14401" s="4" t="s">
        <v>18138</v>
      </c>
      <c r="C14401" s="5" t="str">
        <f>IFERROR(__xludf.DUMMYFUNCTION("GOOGLETRANSLATE(B14401,""en"",""it"")"),"L'uomo esegue trucchi con il cane mentre il cane salta sulla schiena.")</f>
        <v>L'uomo esegue trucchi con il cane mentre il cane salta sulla schiena.</v>
      </c>
    </row>
    <row r="14402">
      <c r="A14402" s="4" t="s">
        <v>18136</v>
      </c>
      <c r="B14402" s="4" t="s">
        <v>18139</v>
      </c>
      <c r="C14402" s="5" t="str">
        <f>IFERROR(__xludf.DUMMYFUNCTION("GOOGLETRANSLATE(B14402,""en"",""it"")"),"Continua a vagare con il cane che esegue trucchi con il cane e il frisbee.")</f>
        <v>Continua a vagare con il cane che esegue trucchi con il cane e il frisbee.</v>
      </c>
    </row>
    <row r="14403">
      <c r="A14403" s="4" t="s">
        <v>18140</v>
      </c>
      <c r="B14403" s="4" t="s">
        <v>18141</v>
      </c>
      <c r="C14403" s="5" t="str">
        <f>IFERROR(__xludf.DUMMYFUNCTION("GOOGLETRANSLATE(B14403,""en"",""it"")"),"Viene mostrato grafico su come eseguire lo sfondo digitale.")</f>
        <v>Viene mostrato grafico su come eseguire lo sfondo digitale.</v>
      </c>
    </row>
    <row r="14404">
      <c r="A14404" s="4" t="s">
        <v>18140</v>
      </c>
      <c r="B14404" s="4" t="s">
        <v>18142</v>
      </c>
      <c r="C14404" s="5" t="str">
        <f>IFERROR(__xludf.DUMMYFUNCTION("GOOGLETRANSLATE(B14404,""en"",""it"")"),"L'uomo è in una stanza con una macchina di carta digitale e la macchina sta stampando un cartello.")</f>
        <v>L'uomo è in una stanza con una macchina di carta digitale e la macchina sta stampando un cartello.</v>
      </c>
    </row>
    <row r="14405">
      <c r="A14405" s="4" t="s">
        <v>18140</v>
      </c>
      <c r="B14405" s="4" t="s">
        <v>18143</v>
      </c>
      <c r="C14405" s="5" t="str">
        <f>IFERROR(__xludf.DUMMYFUNCTION("GOOGLETRANSLATE(B14405,""en"",""it"")"),"Gli uomini stanno attaccando la carta da parati a una parete bianca.")</f>
        <v>Gli uomini stanno attaccando la carta da parati a una parete bianca.</v>
      </c>
    </row>
    <row r="14406">
      <c r="A14406" s="4" t="s">
        <v>18144</v>
      </c>
      <c r="B14406" s="4" t="s">
        <v>18145</v>
      </c>
      <c r="C14406" s="5" t="str">
        <f>IFERROR(__xludf.DUMMYFUNCTION("GOOGLETRANSLATE(B14406,""en"",""it"")"),"Un ragazzo sta saltando la corda e fa trucchi in cerchio.")</f>
        <v>Un ragazzo sta saltando la corda e fa trucchi in cerchio.</v>
      </c>
    </row>
    <row r="14407">
      <c r="A14407" s="4" t="s">
        <v>18144</v>
      </c>
      <c r="B14407" s="6" t="s">
        <v>18146</v>
      </c>
      <c r="C14407" s="5" t="str">
        <f>IFERROR(__xludf.DUMMYFUNCTION("GOOGLETRANSLATE(B14407,""en"",""it"")"),"Quindi, anche un altro ragazzo sta saltando la corda e la turbina e alla fine lancia la sua corda.")</f>
        <v>Quindi, anche un altro ragazzo sta saltando la corda e la turbina e alla fine lancia la sua corda.</v>
      </c>
    </row>
    <row r="14408">
      <c r="A14408" s="4" t="s">
        <v>18144</v>
      </c>
      <c r="B14408" s="4" t="s">
        <v>18147</v>
      </c>
      <c r="C14408" s="5" t="str">
        <f>IFERROR(__xludf.DUMMYFUNCTION("GOOGLETRANSLATE(B14408,""en"",""it"")"),"C'è un gruppo più ampio di 5 che salta la corda in sincronizzazione e fa molti trucchi interessanti.")</f>
        <v>C'è un gruppo più ampio di 5 che salta la corda in sincronizzazione e fa molti trucchi interessanti.</v>
      </c>
    </row>
    <row r="14409">
      <c r="A14409" s="4" t="s">
        <v>18144</v>
      </c>
      <c r="B14409" s="6" t="s">
        <v>18148</v>
      </c>
      <c r="C14409" s="5" t="str">
        <f>IFERROR(__xludf.DUMMYFUNCTION("GOOGLETRANSLATE(B14409,""en"",""it"")"),"Seguiti da molti video di molte persone diverse che saltano e in gruppi lo fanno in competizioni e per divertimento o pratica.")</f>
        <v>Seguiti da molti video di molte persone diverse che saltano e in gruppi lo fanno in competizioni e per divertimento o pratica.</v>
      </c>
    </row>
    <row r="14410">
      <c r="A14410" s="4" t="s">
        <v>18149</v>
      </c>
      <c r="B14410" s="4" t="s">
        <v>18150</v>
      </c>
      <c r="C14410" s="5" t="str">
        <f>IFERROR(__xludf.DUMMYFUNCTION("GOOGLETRANSLATE(B14410,""en"",""it"")"),"Una donna che applaude in disparte, incoraggiando qualcuno.")</f>
        <v>Una donna che applaude in disparte, incoraggiando qualcuno.</v>
      </c>
    </row>
    <row r="14411">
      <c r="A14411" s="4" t="s">
        <v>18149</v>
      </c>
      <c r="B14411" s="4" t="s">
        <v>18151</v>
      </c>
      <c r="C14411" s="5" t="str">
        <f>IFERROR(__xludf.DUMMYFUNCTION("GOOGLETRANSLATE(B14411,""en"",""it"")"),"Gli allenatori in piedi dall'altra parte della recinzione guardano per valutare.")</f>
        <v>Gli allenatori in piedi dall'altra parte della recinzione guardano per valutare.</v>
      </c>
    </row>
    <row r="14412">
      <c r="A14412" s="4" t="s">
        <v>18149</v>
      </c>
      <c r="B14412" s="4" t="s">
        <v>18152</v>
      </c>
      <c r="C14412" s="5" t="str">
        <f>IFERROR(__xludf.DUMMYFUNCTION("GOOGLETRANSLATE(B14412,""en"",""it"")"),"Il corridore corre lungo il tappeto erboso.")</f>
        <v>Il corridore corre lungo il tappeto erboso.</v>
      </c>
    </row>
    <row r="14413">
      <c r="A14413" s="4" t="s">
        <v>18149</v>
      </c>
      <c r="B14413" s="6" t="s">
        <v>18153</v>
      </c>
      <c r="C14413" s="5" t="str">
        <f>IFERROR(__xludf.DUMMYFUNCTION("GOOGLETRANSLATE(B14413,""en"",""it"")"),"Salta alla fine e atterra senza intoppi nella sabbia, mentre uno degli allenatori tira una corda.")</f>
        <v>Salta alla fine e atterra senza intoppi nella sabbia, mentre uno degli allenatori tira una corda.</v>
      </c>
    </row>
    <row r="14414">
      <c r="A14414" s="4" t="s">
        <v>18154</v>
      </c>
      <c r="B14414" s="4" t="s">
        <v>18155</v>
      </c>
      <c r="C14414" s="5" t="str">
        <f>IFERROR(__xludf.DUMMYFUNCTION("GOOGLETRANSLATE(B14414,""en"",""it"")"),"L'host saluta il video e introduce la sua ricetta.")</f>
        <v>L'host saluta il video e introduce la sua ricetta.</v>
      </c>
    </row>
    <row r="14415">
      <c r="A14415" s="4" t="s">
        <v>18154</v>
      </c>
      <c r="B14415" s="4" t="s">
        <v>18156</v>
      </c>
      <c r="C14415" s="5" t="str">
        <f>IFERROR(__xludf.DUMMYFUNCTION("GOOGLETRANSLATE(B14415,""en"",""it"")"),"L'elenco degli ingredienti appare e l'host ne parla.")</f>
        <v>L'elenco degli ingredienti appare e l'host ne parla.</v>
      </c>
    </row>
    <row r="14416">
      <c r="A14416" s="4" t="s">
        <v>18154</v>
      </c>
      <c r="B14416" s="4" t="s">
        <v>18157</v>
      </c>
      <c r="C14416" s="5" t="str">
        <f>IFERROR(__xludf.DUMMYFUNCTION("GOOGLETRANSLATE(B14416,""en"",""it"")"),"L'host inizia a preparare la bevanda iniziando uno sciroppo.")</f>
        <v>L'host inizia a preparare la bevanda iniziando uno sciroppo.</v>
      </c>
    </row>
    <row r="14417">
      <c r="A14417" s="4" t="s">
        <v>18154</v>
      </c>
      <c r="B14417" s="4" t="s">
        <v>18158</v>
      </c>
      <c r="C14417" s="5" t="str">
        <f>IFERROR(__xludf.DUMMYFUNCTION("GOOGLETRANSLATE(B14417,""en"",""it"")"),"I limoni successivi vengono tagliati su un tagliere.")</f>
        <v>I limoni successivi vengono tagliati su un tagliere.</v>
      </c>
    </row>
    <row r="14418">
      <c r="A14418" s="4" t="s">
        <v>18154</v>
      </c>
      <c r="B14418" s="4" t="s">
        <v>18159</v>
      </c>
      <c r="C14418" s="5" t="str">
        <f>IFERROR(__xludf.DUMMYFUNCTION("GOOGLETRANSLATE(B14418,""en"",""it"")"),"I molti limoni sono spremuti uno per uno.")</f>
        <v>I molti limoni sono spremuti uno per uno.</v>
      </c>
    </row>
    <row r="14419">
      <c r="A14419" s="4" t="s">
        <v>18154</v>
      </c>
      <c r="B14419" s="6" t="s">
        <v>18160</v>
      </c>
      <c r="C14419" s="5" t="str">
        <f>IFERROR(__xludf.DUMMYFUNCTION("GOOGLETRANSLATE(B14419,""en"",""it"")"),"L'host riempie il contenitore di ghiaccio e versa gli ingredienti liquidi, seguito da fette di basilico e limone.")</f>
        <v>L'host riempie il contenitore di ghiaccio e versa gli ingredienti liquidi, seguito da fette di basilico e limone.</v>
      </c>
    </row>
    <row r="14420">
      <c r="A14420" s="4" t="s">
        <v>18154</v>
      </c>
      <c r="B14420" s="4" t="s">
        <v>18161</v>
      </c>
      <c r="C14420" s="5" t="str">
        <f>IFERROR(__xludf.DUMMYFUNCTION("GOOGLETRANSLATE(B14420,""en"",""it"")"),"L'ospite decora alcune cannucce e finisce il suo drink.")</f>
        <v>L'ospite decora alcune cannucce e finisce il suo drink.</v>
      </c>
    </row>
    <row r="14421">
      <c r="A14421" s="4" t="s">
        <v>18162</v>
      </c>
      <c r="B14421" s="4" t="s">
        <v>18163</v>
      </c>
      <c r="C14421" s="5" t="str">
        <f>IFERROR(__xludf.DUMMYFUNCTION("GOOGLETRANSLATE(B14421,""en"",""it"")"),"Una grande piscina è seguita da una persona che entra e cade da una tavola.")</f>
        <v>Una grande piscina è seguita da una persona che entra e cade da una tavola.</v>
      </c>
    </row>
    <row r="14422">
      <c r="A14422" s="4" t="s">
        <v>18162</v>
      </c>
      <c r="B14422" s="4" t="s">
        <v>18164</v>
      </c>
      <c r="C14422" s="5" t="str">
        <f>IFERROR(__xludf.DUMMYFUNCTION("GOOGLETRANSLATE(B14422,""en"",""it"")"),"Un'altra persona viene vista camminare da una tavola da immersione e saltare in acqua.")</f>
        <v>Un'altra persona viene vista camminare da una tavola da immersione e saltare in acqua.</v>
      </c>
    </row>
    <row r="14423">
      <c r="A14423" s="4" t="s">
        <v>18162</v>
      </c>
      <c r="B14423" s="4" t="s">
        <v>18165</v>
      </c>
      <c r="C14423" s="5" t="str">
        <f>IFERROR(__xludf.DUMMYFUNCTION("GOOGLETRANSLATE(B14423,""en"",""it"")"),"Vengono mostrate diverse altre clip di persone che tentano di immergersi in acqua ma di fallire.")</f>
        <v>Vengono mostrate diverse altre clip di persone che tentano di immergersi in acqua ma di fallire.</v>
      </c>
    </row>
    <row r="14424">
      <c r="A14424" s="4" t="s">
        <v>18166</v>
      </c>
      <c r="B14424" s="6" t="s">
        <v>18167</v>
      </c>
      <c r="C14424" s="5" t="str">
        <f>IFERROR(__xludf.DUMMYFUNCTION("GOOGLETRANSLATE(B14424,""en"",""it"")"),"Una band che indossa Kilts Scottish suona cornamusa e altri strumenti nell'Auditorium della Front University.")</f>
        <v>Una band che indossa Kilts Scottish suona cornamusa e altri strumenti nell'Auditorium della Front University.</v>
      </c>
    </row>
    <row r="14425">
      <c r="A14425" s="4" t="s">
        <v>18166</v>
      </c>
      <c r="B14425" s="4" t="s">
        <v>18168</v>
      </c>
      <c r="C14425" s="5" t="str">
        <f>IFERROR(__xludf.DUMMYFUNCTION("GOOGLETRANSLATE(B14425,""en"",""it"")"),"La folla si guarda intorno e anticipa l'evento.")</f>
        <v>La folla si guarda intorno e anticipa l'evento.</v>
      </c>
    </row>
    <row r="14426">
      <c r="A14426" s="4" t="s">
        <v>18166</v>
      </c>
      <c r="B14426" s="4" t="s">
        <v>18169</v>
      </c>
      <c r="C14426" s="5" t="str">
        <f>IFERROR(__xludf.DUMMYFUNCTION("GOOGLETRANSLATE(B14426,""en"",""it"")"),"Il cartello scolastico è visto appeso sopra il podio.")</f>
        <v>Il cartello scolastico è visto appeso sopra il podio.</v>
      </c>
    </row>
    <row r="14427">
      <c r="A14427" s="4" t="s">
        <v>18170</v>
      </c>
      <c r="B14427" s="4" t="s">
        <v>18171</v>
      </c>
      <c r="C14427" s="5" t="str">
        <f>IFERROR(__xludf.DUMMYFUNCTION("GOOGLETRANSLATE(B14427,""en"",""it"")"),"Parla un uomo in abito marrone.")</f>
        <v>Parla un uomo in abito marrone.</v>
      </c>
    </row>
    <row r="14428">
      <c r="A14428" s="4" t="s">
        <v>18170</v>
      </c>
      <c r="B14428" s="4" t="s">
        <v>18172</v>
      </c>
      <c r="C14428" s="5" t="str">
        <f>IFERROR(__xludf.DUMMYFUNCTION("GOOGLETRANSLATE(B14428,""en"",""it"")"),"Le persone corrono in giro su un campo giocando a lacrosse.")</f>
        <v>Le persone corrono in giro su un campo giocando a lacrosse.</v>
      </c>
    </row>
    <row r="14429">
      <c r="A14429" s="4" t="s">
        <v>18173</v>
      </c>
      <c r="B14429" s="4" t="s">
        <v>18174</v>
      </c>
      <c r="C14429" s="5" t="str">
        <f>IFERROR(__xludf.DUMMYFUNCTION("GOOGLETRANSLATE(B14429,""en"",""it"")"),"Una donna entra sullo schermo in ginocchio con in mano con un bastone.")</f>
        <v>Una donna entra sullo schermo in ginocchio con in mano con un bastone.</v>
      </c>
    </row>
    <row r="14430">
      <c r="A14430" s="4" t="s">
        <v>18173</v>
      </c>
      <c r="B14430" s="4" t="s">
        <v>18175</v>
      </c>
      <c r="C14430" s="5" t="str">
        <f>IFERROR(__xludf.DUMMYFUNCTION("GOOGLETRANSLATE(B14430,""en"",""it"")"),"Comincia ad allungarsi più in profondità nella posizione mentre tiene il bastone per l'equilibrio.")</f>
        <v>Comincia ad allungarsi più in profondità nella posizione mentre tiene il bastone per l'equilibrio.</v>
      </c>
    </row>
    <row r="14431">
      <c r="A14431" s="4" t="s">
        <v>18173</v>
      </c>
      <c r="B14431" s="4" t="s">
        <v>18176</v>
      </c>
      <c r="C14431" s="5" t="str">
        <f>IFERROR(__xludf.DUMMYFUNCTION("GOOGLETRANSLATE(B14431,""en"",""it"")"),"Si ferma proprio prima che il video finisca.")</f>
        <v>Si ferma proprio prima che il video finisca.</v>
      </c>
    </row>
    <row r="14432">
      <c r="A14432" s="4" t="s">
        <v>18177</v>
      </c>
      <c r="B14432" s="4" t="s">
        <v>18178</v>
      </c>
      <c r="C14432" s="5" t="str">
        <f>IFERROR(__xludf.DUMMYFUNCTION("GOOGLETRANSLATE(B14432,""en"",""it"")"),"Le persone cavalcano in barche a vela sull'acqua.")</f>
        <v>Le persone cavalcano in barche a vela sull'acqua.</v>
      </c>
    </row>
    <row r="14433">
      <c r="A14433" s="4" t="s">
        <v>18177</v>
      </c>
      <c r="B14433" s="4" t="s">
        <v>18179</v>
      </c>
      <c r="C14433" s="5" t="str">
        <f>IFERROR(__xludf.DUMMYFUNCTION("GOOGLETRANSLATE(B14433,""en"",""it"")"),"Le persone sono in piedi su un bar su una barca.")</f>
        <v>Le persone sono in piedi su un bar su una barca.</v>
      </c>
    </row>
    <row r="14434">
      <c r="A14434" s="4" t="s">
        <v>18177</v>
      </c>
      <c r="B14434" s="4" t="s">
        <v>18180</v>
      </c>
      <c r="C14434" s="5" t="str">
        <f>IFERROR(__xludf.DUMMYFUNCTION("GOOGLETRANSLATE(B14434,""en"",""it"")"),"La gente toglie la vela dalla barca.")</f>
        <v>La gente toglie la vela dalla barca.</v>
      </c>
    </row>
    <row r="14435">
      <c r="A14435" s="4" t="s">
        <v>18181</v>
      </c>
      <c r="B14435" s="4" t="s">
        <v>18182</v>
      </c>
      <c r="C14435" s="5" t="str">
        <f>IFERROR(__xludf.DUMMYFUNCTION("GOOGLETRANSLATE(B14435,""en"",""it"")"),"L'uomo inizia a strappare il tappeto sotto il tappeto.")</f>
        <v>L'uomo inizia a strappare il tappeto sotto il tappeto.</v>
      </c>
    </row>
    <row r="14436">
      <c r="A14436" s="4" t="s">
        <v>18181</v>
      </c>
      <c r="B14436" s="4" t="s">
        <v>18183</v>
      </c>
      <c r="C14436" s="5" t="str">
        <f>IFERROR(__xludf.DUMMYFUNCTION("GOOGLETRANSLATE(B14436,""en"",""it"")"),"Misura la stecca da mettere tra l'apertura della porta.")</f>
        <v>Misura la stecca da mettere tra l'apertura della porta.</v>
      </c>
    </row>
    <row r="14437">
      <c r="A14437" s="4" t="s">
        <v>18181</v>
      </c>
      <c r="B14437" s="4" t="s">
        <v>18184</v>
      </c>
      <c r="C14437" s="5" t="str">
        <f>IFERROR(__xludf.DUMMYFUNCTION("GOOGLETRANSLATE(B14437,""en"",""it"")"),"Quindi posiziona i materiali sotto il tappeto sotto il tappeto.")</f>
        <v>Quindi posiziona i materiali sotto il tappeto sotto il tappeto.</v>
      </c>
    </row>
    <row r="14438">
      <c r="A14438" s="4" t="s">
        <v>18181</v>
      </c>
      <c r="B14438" s="4" t="s">
        <v>18185</v>
      </c>
      <c r="C14438" s="5" t="str">
        <f>IFERROR(__xludf.DUMMYFUNCTION("GOOGLETRANSLATE(B14438,""en"",""it"")"),"Mette una stecca di legno nell'ingresso della porta.")</f>
        <v>Mette una stecca di legno nell'ingresso della porta.</v>
      </c>
    </row>
    <row r="14439">
      <c r="A14439" s="4" t="s">
        <v>18181</v>
      </c>
      <c r="B14439" s="4" t="s">
        <v>18186</v>
      </c>
      <c r="C14439" s="5" t="str">
        <f>IFERROR(__xludf.DUMMYFUNCTION("GOOGLETRANSLATE(B14439,""en"",""it"")"),"Prende la stecca.")</f>
        <v>Prende la stecca.</v>
      </c>
    </row>
    <row r="14440">
      <c r="A14440" s="4" t="s">
        <v>18181</v>
      </c>
      <c r="B14440" s="4" t="s">
        <v>18187</v>
      </c>
      <c r="C14440" s="5" t="str">
        <f>IFERROR(__xludf.DUMMYFUNCTION("GOOGLETRANSLATE(B14440,""en"",""it"")"),"Taglia la stecca.")</f>
        <v>Taglia la stecca.</v>
      </c>
    </row>
    <row r="14441">
      <c r="A14441" s="4" t="s">
        <v>18181</v>
      </c>
      <c r="B14441" s="4" t="s">
        <v>18188</v>
      </c>
      <c r="C14441" s="5" t="str">
        <f>IFERROR(__xludf.DUMMYFUNCTION("GOOGLETRANSLATE(B14441,""en"",""it"")"),"Postre di nuovo la stecca.")</f>
        <v>Postre di nuovo la stecca.</v>
      </c>
    </row>
    <row r="14442">
      <c r="A14442" s="4" t="s">
        <v>18181</v>
      </c>
      <c r="B14442" s="4" t="s">
        <v>18189</v>
      </c>
      <c r="C14442" s="5" t="str">
        <f>IFERROR(__xludf.DUMMYFUNCTION("GOOGLETRANSLATE(B14442,""en"",""it"")"),"Lo perfora in posizione.")</f>
        <v>Lo perfora in posizione.</v>
      </c>
    </row>
    <row r="14443">
      <c r="A14443" s="4" t="s">
        <v>18181</v>
      </c>
      <c r="B14443" s="4" t="s">
        <v>18190</v>
      </c>
      <c r="C14443" s="5" t="str">
        <f>IFERROR(__xludf.DUMMYFUNCTION("GOOGLETRANSLATE(B14443,""en"",""it"")"),"Quindi posa le mani sulla parte superiore della stecca.")</f>
        <v>Quindi posa le mani sulla parte superiore della stecca.</v>
      </c>
    </row>
    <row r="14444">
      <c r="A14444" s="4" t="s">
        <v>18191</v>
      </c>
      <c r="B14444" s="4" t="s">
        <v>18192</v>
      </c>
      <c r="C14444" s="5" t="str">
        <f>IFERROR(__xludf.DUMMYFUNCTION("GOOGLETRANSLATE(B14444,""en"",""it"")"),"Una signora sta dando da mangiare a un gelato in macchina.")</f>
        <v>Una signora sta dando da mangiare a un gelato in macchina.</v>
      </c>
    </row>
    <row r="14445">
      <c r="A14445" s="4" t="s">
        <v>18191</v>
      </c>
      <c r="B14445" s="4" t="s">
        <v>18193</v>
      </c>
      <c r="C14445" s="5" t="str">
        <f>IFERROR(__xludf.DUMMYFUNCTION("GOOGLETRANSLATE(B14445,""en"",""it"")"),"La signora consegna il gelato alla signora accanto a lei e dà da mangiare al bambino qualcos'altro.")</f>
        <v>La signora consegna il gelato alla signora accanto a lei e dà da mangiare al bambino qualcos'altro.</v>
      </c>
    </row>
    <row r="14446">
      <c r="A14446" s="4" t="s">
        <v>18191</v>
      </c>
      <c r="B14446" s="4" t="s">
        <v>18194</v>
      </c>
      <c r="C14446" s="5" t="str">
        <f>IFERROR(__xludf.DUMMYFUNCTION("GOOGLETRANSLATE(B14446,""en"",""it"")"),"Il bambino cerca il cibo.")</f>
        <v>Il bambino cerca il cibo.</v>
      </c>
    </row>
    <row r="14447">
      <c r="A14447" s="4" t="s">
        <v>18191</v>
      </c>
      <c r="B14447" s="4" t="s">
        <v>18195</v>
      </c>
      <c r="C14447" s="5" t="str">
        <f>IFERROR(__xludf.DUMMYFUNCTION("GOOGLETRANSLATE(B14447,""en"",""it"")"),"Il bambino cerca di nuovo il cibo.")</f>
        <v>Il bambino cerca di nuovo il cibo.</v>
      </c>
    </row>
    <row r="14448">
      <c r="A14448" s="4" t="s">
        <v>18191</v>
      </c>
      <c r="B14448" s="4" t="s">
        <v>18196</v>
      </c>
      <c r="C14448" s="5" t="str">
        <f>IFERROR(__xludf.DUMMYFUNCTION("GOOGLETRANSLATE(B14448,""en"",""it"")"),"La signora si asciuga i bambini e la alza.")</f>
        <v>La signora si asciuga i bambini e la alza.</v>
      </c>
    </row>
    <row r="14449">
      <c r="A14449" s="4" t="s">
        <v>18191</v>
      </c>
      <c r="B14449" s="4" t="s">
        <v>18197</v>
      </c>
      <c r="C14449" s="5" t="str">
        <f>IFERROR(__xludf.DUMMYFUNCTION("GOOGLETRANSLATE(B14449,""en"",""it"")"),"Vediamo le donne parlare.")</f>
        <v>Vediamo le donne parlare.</v>
      </c>
    </row>
    <row r="14450">
      <c r="A14450" s="4" t="s">
        <v>18198</v>
      </c>
      <c r="B14450" s="4" t="s">
        <v>18199</v>
      </c>
      <c r="C14450" s="5" t="str">
        <f>IFERROR(__xludf.DUMMYFUNCTION("GOOGLETRANSLATE(B14450,""en"",""it"")"),"C'è una signora che fa un tutorial su come preparare una morbida torta di Ogura di cotone.")</f>
        <v>C'è una signora che fa un tutorial su come preparare una morbida torta di Ogura di cotone.</v>
      </c>
    </row>
    <row r="14451">
      <c r="A14451" s="4" t="s">
        <v>18198</v>
      </c>
      <c r="B14451" s="4" t="s">
        <v>18200</v>
      </c>
      <c r="C14451" s="5" t="str">
        <f>IFERROR(__xludf.DUMMYFUNCTION("GOOGLETRANSLATE(B14451,""en"",""it"")"),"Comincia mescolando gli ingredienti in una grande ciotola posizionata sul suo bancone della cucina.")</f>
        <v>Comincia mescolando gli ingredienti in una grande ciotola posizionata sul suo bancone della cucina.</v>
      </c>
    </row>
    <row r="14452">
      <c r="A14452" s="4" t="s">
        <v>18198</v>
      </c>
      <c r="B14452" s="4" t="s">
        <v>18201</v>
      </c>
      <c r="C14452" s="5" t="str">
        <f>IFERROR(__xludf.DUMMYFUNCTION("GOOGLETRANSLATE(B14452,""en"",""it"")"),"Aggiunge alcune uova alla farina insieme all'essenza della vaniglia.")</f>
        <v>Aggiunge alcune uova alla farina insieme all'essenza della vaniglia.</v>
      </c>
    </row>
    <row r="14453">
      <c r="A14453" s="4" t="s">
        <v>18198</v>
      </c>
      <c r="B14453" s="4" t="s">
        <v>18202</v>
      </c>
      <c r="C14453" s="5" t="str">
        <f>IFERROR(__xludf.DUMMYFUNCTION("GOOGLETRANSLATE(B14453,""en"",""it"")"),"Quindi usa un mixer a mano per fondere insieme gli ingredienti.")</f>
        <v>Quindi usa un mixer a mano per fondere insieme gli ingredienti.</v>
      </c>
    </row>
    <row r="14454">
      <c r="A14454" s="4" t="s">
        <v>18198</v>
      </c>
      <c r="B14454" s="4" t="s">
        <v>18203</v>
      </c>
      <c r="C14454" s="5" t="str">
        <f>IFERROR(__xludf.DUMMYFUNCTION("GOOGLETRANSLATE(B14454,""en"",""it"")"),"Quindi tira un po 'di panna e zucchero per preparare la glassa.")</f>
        <v>Quindi tira un po 'di panna e zucchero per preparare la glassa.</v>
      </c>
    </row>
    <row r="14455">
      <c r="A14455" s="4" t="s">
        <v>18198</v>
      </c>
      <c r="B14455" s="4" t="s">
        <v>18204</v>
      </c>
      <c r="C14455" s="5" t="str">
        <f>IFERROR(__xludf.DUMMYFUNCTION("GOOGLETRANSLATE(B14455,""en"",""it"")"),"Aggiunge la glassa alla pastella della torta e la mescola bene.")</f>
        <v>Aggiunge la glassa alla pastella della torta e la mescola bene.</v>
      </c>
    </row>
    <row r="14456">
      <c r="A14456" s="4" t="s">
        <v>18198</v>
      </c>
      <c r="B14456" s="4" t="s">
        <v>18205</v>
      </c>
      <c r="C14456" s="5" t="str">
        <f>IFERROR(__xludf.DUMMYFUNCTION("GOOGLETRANSLATE(B14456,""en"",""it"")"),"Quindi versa il composto in una ciotola da forno.")</f>
        <v>Quindi versa il composto in una ciotola da forno.</v>
      </c>
    </row>
    <row r="14457">
      <c r="A14457" s="4" t="s">
        <v>18198</v>
      </c>
      <c r="B14457" s="4" t="s">
        <v>18206</v>
      </c>
      <c r="C14457" s="5" t="str">
        <f>IFERROR(__xludf.DUMMYFUNCTION("GOOGLETRANSLATE(B14457,""en"",""it"")"),"Mette la ciotola in un foglio di biscotti e la posiziona sulla griglia.")</f>
        <v>Mette la ciotola in un foglio di biscotti e la posiziona sulla griglia.</v>
      </c>
    </row>
    <row r="14458">
      <c r="A14458" s="4" t="s">
        <v>18198</v>
      </c>
      <c r="B14458" s="4" t="s">
        <v>18207</v>
      </c>
      <c r="C14458" s="5" t="str">
        <f>IFERROR(__xludf.DUMMYFUNCTION("GOOGLETRANSLATE(B14458,""en"",""it"")"),"Cucia la torta e la tira fuori quando è finito.")</f>
        <v>Cucia la torta e la tira fuori quando è finito.</v>
      </c>
    </row>
    <row r="14459">
      <c r="A14459" s="4" t="s">
        <v>18198</v>
      </c>
      <c r="B14459" s="4" t="s">
        <v>18208</v>
      </c>
      <c r="C14459" s="5" t="str">
        <f>IFERROR(__xludf.DUMMYFUNCTION("GOOGLETRANSLATE(B14459,""en"",""it"")"),"Mostra anche alcune altre chicche al forno che ha preparato.")</f>
        <v>Mostra anche alcune altre chicche al forno che ha preparato.</v>
      </c>
    </row>
    <row r="14460">
      <c r="A14460" s="4" t="s">
        <v>18209</v>
      </c>
      <c r="B14460" s="4" t="s">
        <v>18210</v>
      </c>
      <c r="C14460" s="5" t="str">
        <f>IFERROR(__xludf.DUMMYFUNCTION("GOOGLETRANSLATE(B14460,""en"",""it"")"),"Una donna viene vista ospitare un segmento di notizie che conduce in una clip di un cane che salta.")</f>
        <v>Una donna viene vista ospitare un segmento di notizie che conduce in una clip di un cane che salta.</v>
      </c>
    </row>
    <row r="14461">
      <c r="A14461" s="4" t="s">
        <v>18209</v>
      </c>
      <c r="B14461" s="4" t="s">
        <v>18211</v>
      </c>
      <c r="C14461" s="5" t="str">
        <f>IFERROR(__xludf.DUMMYFUNCTION("GOOGLETRANSLATE(B14461,""en"",""it"")"),"Alle persone vengono mostrate trucchi con i loro cani e corri in tutto un campo.")</f>
        <v>Alle persone vengono mostrate trucchi con i loro cani e corri in tutto un campo.</v>
      </c>
    </row>
    <row r="14462">
      <c r="A14462" s="4" t="s">
        <v>18209</v>
      </c>
      <c r="B14462" s="4" t="s">
        <v>18212</v>
      </c>
      <c r="C14462" s="5" t="str">
        <f>IFERROR(__xludf.DUMMYFUNCTION("GOOGLETRANSLATE(B14462,""en"",""it"")"),"Vengono mostrate altre clip di persone che lanciano frisbee e cani che seguono.")</f>
        <v>Vengono mostrate altre clip di persone che lanciano frisbee e cani che seguono.</v>
      </c>
    </row>
    <row r="14463">
      <c r="A14463" s="4" t="s">
        <v>18213</v>
      </c>
      <c r="B14463" s="4" t="s">
        <v>18214</v>
      </c>
      <c r="C14463" s="5" t="str">
        <f>IFERROR(__xludf.DUMMYFUNCTION("GOOGLETRANSLATE(B14463,""en"",""it"")"),"Diverse persone sono all'aperto, lavando la biancheria nei bacini aperti.")</f>
        <v>Diverse persone sono all'aperto, lavando la biancheria nei bacini aperti.</v>
      </c>
    </row>
    <row r="14464">
      <c r="A14464" s="4" t="s">
        <v>18213</v>
      </c>
      <c r="B14464" s="4" t="s">
        <v>18215</v>
      </c>
      <c r="C14464" s="5" t="str">
        <f>IFERROR(__xludf.DUMMYFUNCTION("GOOGLETRANSLATE(B14464,""en"",""it"")"),"Le donne usano una pompa per portare acqua nei bacini.")</f>
        <v>Le donne usano una pompa per portare acqua nei bacini.</v>
      </c>
    </row>
    <row r="14465">
      <c r="A14465" s="4" t="s">
        <v>18216</v>
      </c>
      <c r="B14465" s="6" t="s">
        <v>18217</v>
      </c>
      <c r="C14465" s="5" t="str">
        <f>IFERROR(__xludf.DUMMYFUNCTION("GOOGLETRANSLATE(B14465,""en"",""it"")"),"Viene vista una donna parlare alla telecamera mentre tiene in mano un cerchio di hula e poi procede a girare l'oggetto intorno a lei.")</f>
        <v>Viene vista una donna parlare alla telecamera mentre tiene in mano un cerchio di hula e poi procede a girare l'oggetto intorno a lei.</v>
      </c>
    </row>
    <row r="14466">
      <c r="A14466" s="4" t="s">
        <v>18216</v>
      </c>
      <c r="B14466" s="6" t="s">
        <v>18218</v>
      </c>
      <c r="C14466" s="5" t="str">
        <f>IFERROR(__xludf.DUMMYFUNCTION("GOOGLETRANSLATE(B14466,""en"",""it"")"),"Continua a Hula Hoop più e più volte e alla fine conduce a foto di persone che si occupano.")</f>
        <v>Continua a Hula Hoop più e più volte e alla fine conduce a foto di persone che si occupano.</v>
      </c>
    </row>
    <row r="14467">
      <c r="A14467" s="4" t="s">
        <v>18219</v>
      </c>
      <c r="B14467" s="4" t="s">
        <v>18220</v>
      </c>
      <c r="C14467" s="5" t="str">
        <f>IFERROR(__xludf.DUMMYFUNCTION("GOOGLETRANSLATE(B14467,""en"",""it"")"),"Un uomo solleva una palla in aria e se la tiene contro il collo e lancia la palla lontano.")</f>
        <v>Un uomo solleva una palla in aria e se la tiene contro il collo e lancia la palla lontano.</v>
      </c>
    </row>
    <row r="14468">
      <c r="A14468" s="4" t="s">
        <v>18219</v>
      </c>
      <c r="B14468" s="4" t="s">
        <v>18221</v>
      </c>
      <c r="C14468" s="5" t="str">
        <f>IFERROR(__xludf.DUMMYFUNCTION("GOOGLETRANSLATE(B14468,""en"",""it"")"),"L'uomo tiene la palla contro il suo collo e si stringe la schiena e la lancia.")</f>
        <v>L'uomo tiene la palla contro il suo collo e si stringe la schiena e la lancia.</v>
      </c>
    </row>
    <row r="14469">
      <c r="A14469" s="4" t="s">
        <v>18219</v>
      </c>
      <c r="B14469" s="4" t="s">
        <v>18222</v>
      </c>
      <c r="C14469" s="5" t="str">
        <f>IFERROR(__xludf.DUMMYFUNCTION("GOOGLETRANSLATE(B14469,""en"",""it"")"),"L'uomo afferra la palla e fa un grande passo dietro di lui e lancia la palla.")</f>
        <v>L'uomo afferra la palla e fa un grande passo dietro di lui e lancia la palla.</v>
      </c>
    </row>
    <row r="14470">
      <c r="A14470" s="4" t="s">
        <v>18219</v>
      </c>
      <c r="B14470" s="4" t="s">
        <v>18223</v>
      </c>
      <c r="C14470" s="5" t="str">
        <f>IFERROR(__xludf.DUMMYFUNCTION("GOOGLETRANSLATE(B14470,""en"",""it"")"),"L'uomo gira il suo corpo alcune volte mentre tiene la palla contro il collo.")</f>
        <v>L'uomo gira il suo corpo alcune volte mentre tiene la palla contro il collo.</v>
      </c>
    </row>
    <row r="14471">
      <c r="A14471" s="4" t="s">
        <v>18219</v>
      </c>
      <c r="B14471" s="4" t="s">
        <v>18224</v>
      </c>
      <c r="C14471" s="5" t="str">
        <f>IFERROR(__xludf.DUMMYFUNCTION("GOOGLETRANSLATE(B14471,""en"",""it"")"),"L'uomo fa una mossa di 90 gradi mentre tiene la palla contro il collo.")</f>
        <v>L'uomo fa una mossa di 90 gradi mentre tiene la palla contro il collo.</v>
      </c>
    </row>
    <row r="14472">
      <c r="A14472" s="4" t="s">
        <v>18219</v>
      </c>
      <c r="B14472" s="4" t="s">
        <v>18225</v>
      </c>
      <c r="C14472" s="5" t="str">
        <f>IFERROR(__xludf.DUMMYFUNCTION("GOOGLETRANSLATE(B14472,""en"",""it"")"),"L'uomo tiene la palla contro il collo mentre fa una rotazione a 180 gradi con il suo corpo.")</f>
        <v>L'uomo tiene la palla contro il collo mentre fa una rotazione a 180 gradi con il suo corpo.</v>
      </c>
    </row>
    <row r="14473">
      <c r="A14473" s="4" t="s">
        <v>18219</v>
      </c>
      <c r="B14473" s="4" t="s">
        <v>18226</v>
      </c>
      <c r="C14473" s="5" t="str">
        <f>IFERROR(__xludf.DUMMYFUNCTION("GOOGLETRANSLATE(B14473,""en"",""it"")"),"Finge di tenere la palla mentre ruota il suo corpo in un movimento di 270 gradi.")</f>
        <v>Finge di tenere la palla mentre ruota il suo corpo in un movimento di 270 gradi.</v>
      </c>
    </row>
    <row r="14474">
      <c r="A14474" s="4" t="s">
        <v>18227</v>
      </c>
      <c r="B14474" s="4" t="s">
        <v>18228</v>
      </c>
      <c r="C14474" s="5" t="str">
        <f>IFERROR(__xludf.DUMMYFUNCTION("GOOGLETRANSLATE(B14474,""en"",""it"")"),"Viene visto un uomo parlare alla telecamera e conduce in lui con in mano diversi oggetti su un tavolo.")</f>
        <v>Viene visto un uomo parlare alla telecamera e conduce in lui con in mano diversi oggetti su un tavolo.</v>
      </c>
    </row>
    <row r="14475">
      <c r="A14475" s="4" t="s">
        <v>18227</v>
      </c>
      <c r="B14475" s="4" t="s">
        <v>18229</v>
      </c>
      <c r="C14475" s="5" t="str">
        <f>IFERROR(__xludf.DUMMYFUNCTION("GOOGLETRANSLATE(B14475,""en"",""it"")"),"L'uomo quindi affila un oggetto su una tavola e termina spazzando via la tavola.")</f>
        <v>L'uomo quindi affila un oggetto su una tavola e termina spazzando via la tavola.</v>
      </c>
    </row>
    <row r="14476">
      <c r="A14476" s="4" t="s">
        <v>18230</v>
      </c>
      <c r="B14476" s="4" t="s">
        <v>18231</v>
      </c>
      <c r="C14476" s="5" t="str">
        <f>IFERROR(__xludf.DUMMYFUNCTION("GOOGLETRANSLATE(B14476,""en"",""it"")"),"Un uomo è in piedi suonando un sassofono.")</f>
        <v>Un uomo è in piedi suonando un sassofono.</v>
      </c>
    </row>
    <row r="14477">
      <c r="A14477" s="4" t="s">
        <v>18230</v>
      </c>
      <c r="B14477" s="4" t="s">
        <v>18232</v>
      </c>
      <c r="C14477" s="5" t="str">
        <f>IFERROR(__xludf.DUMMYFUNCTION("GOOGLETRANSLATE(B14477,""en"",""it"")"),"Una band suona dietro di lui.")</f>
        <v>Una band suona dietro di lui.</v>
      </c>
    </row>
    <row r="14478">
      <c r="A14478" s="4" t="s">
        <v>18230</v>
      </c>
      <c r="B14478" s="4" t="s">
        <v>18233</v>
      </c>
      <c r="C14478" s="5" t="str">
        <f>IFERROR(__xludf.DUMMYFUNCTION("GOOGLETRANSLATE(B14478,""en"",""it"")"),"Le parole blu e bianche entrano sullo schermo.")</f>
        <v>Le parole blu e bianche entrano sullo schermo.</v>
      </c>
    </row>
    <row r="14479">
      <c r="A14479" s="4" t="s">
        <v>18234</v>
      </c>
      <c r="B14479" s="4" t="s">
        <v>18235</v>
      </c>
      <c r="C14479" s="5" t="str">
        <f>IFERROR(__xludf.DUMMYFUNCTION("GOOGLETRANSLATE(B14479,""en"",""it"")"),"Vediamo la schermata di apertura su Gray.")</f>
        <v>Vediamo la schermata di apertura su Gray.</v>
      </c>
    </row>
    <row r="14480">
      <c r="A14480" s="4" t="s">
        <v>18234</v>
      </c>
      <c r="B14480" s="4" t="s">
        <v>18236</v>
      </c>
      <c r="C14480" s="5" t="str">
        <f>IFERROR(__xludf.DUMMYFUNCTION("GOOGLETRANSLATE(B14480,""en"",""it"")"),"Vediamo quindi un uomo su dischi che levigano un pavimento di cemento.")</f>
        <v>Vediamo quindi un uomo su dischi che levigano un pavimento di cemento.</v>
      </c>
    </row>
    <row r="14481">
      <c r="A14481" s="4" t="s">
        <v>18234</v>
      </c>
      <c r="B14481" s="4" t="s">
        <v>18237</v>
      </c>
      <c r="C14481" s="5" t="str">
        <f>IFERROR(__xludf.DUMMYFUNCTION("GOOGLETRANSLATE(B14481,""en"",""it"")"),"L'uomo rimuove il cemento dalla sua cazzuola.")</f>
        <v>L'uomo rimuove il cemento dalla sua cazzuola.</v>
      </c>
    </row>
    <row r="14482">
      <c r="A14482" s="4" t="s">
        <v>18234</v>
      </c>
      <c r="B14482" s="4" t="s">
        <v>18238</v>
      </c>
      <c r="C14482" s="5" t="str">
        <f>IFERROR(__xludf.DUMMYFUNCTION("GOOGLETRANSLATE(B14482,""en"",""it"")"),"L'uomo usa la mano per rimuovere il cemento.")</f>
        <v>L'uomo usa la mano per rimuovere il cemento.</v>
      </c>
    </row>
    <row r="14483">
      <c r="A14483" s="4" t="s">
        <v>18234</v>
      </c>
      <c r="B14483" s="4" t="s">
        <v>1380</v>
      </c>
      <c r="C14483" s="5" t="str">
        <f>IFERROR(__xludf.DUMMYFUNCTION("GOOGLETRANSLATE(B14483,""en"",""it"")"),"Vediamo quindi i titoli di coda.")</f>
        <v>Vediamo quindi i titoli di coda.</v>
      </c>
    </row>
    <row r="14484">
      <c r="A14484" s="4" t="s">
        <v>18239</v>
      </c>
      <c r="B14484" s="4" t="s">
        <v>18240</v>
      </c>
      <c r="C14484" s="5" t="str">
        <f>IFERROR(__xludf.DUMMYFUNCTION("GOOGLETRANSLATE(B14484,""en"",""it"")"),"La donna è seduta in studio dando la notizia.")</f>
        <v>La donna è seduta in studio dando la notizia.</v>
      </c>
    </row>
    <row r="14485">
      <c r="A14485" s="4" t="s">
        <v>18239</v>
      </c>
      <c r="B14485" s="4" t="s">
        <v>18241</v>
      </c>
      <c r="C14485" s="5" t="str">
        <f>IFERROR(__xludf.DUMMYFUNCTION("GOOGLETRANSLATE(B14485,""en"",""it"")"),"Una persona è in un cortile che spazzano foglie secche.")</f>
        <v>Una persona è in un cortile che spazzano foglie secche.</v>
      </c>
    </row>
    <row r="14486">
      <c r="A14486" s="4" t="s">
        <v>18239</v>
      </c>
      <c r="B14486" s="4" t="s">
        <v>18242</v>
      </c>
      <c r="C14486" s="5" t="str">
        <f>IFERROR(__xludf.DUMMYFUNCTION("GOOGLETRANSLATE(B14486,""en"",""it"")"),"La vecchia viene intervistata e sta parlando con la telecamera in un soggiorno.")</f>
        <v>La vecchia viene intervistata e sta parlando con la telecamera in un soggiorno.</v>
      </c>
    </row>
    <row r="14487">
      <c r="A14487" s="4" t="s">
        <v>18239</v>
      </c>
      <c r="B14487" s="6" t="s">
        <v>18243</v>
      </c>
      <c r="C14487" s="5" t="str">
        <f>IFERROR(__xludf.DUMMYFUNCTION("GOOGLETRANSLATE(B14487,""en"",""it"")"),"Una donna e un uomo vengono intervistati e stanno parlando con la telecamera mentre spazzano le foglie.")</f>
        <v>Una donna e un uomo vengono intervistati e stanno parlando con la telecamera mentre spazzano le foglie.</v>
      </c>
    </row>
    <row r="14488">
      <c r="A14488" s="4" t="s">
        <v>18239</v>
      </c>
      <c r="B14488" s="4" t="s">
        <v>18244</v>
      </c>
      <c r="C14488" s="5" t="str">
        <f>IFERROR(__xludf.DUMMYFUNCTION("GOOGLETRANSLATE(B14488,""en"",""it"")"),"La vecchia è Agani Alking e torna in studio a parlare con la telecamera.")</f>
        <v>La vecchia è Agani Alking e torna in studio a parlare con la telecamera.</v>
      </c>
    </row>
    <row r="14489">
      <c r="A14489" s="4" t="s">
        <v>18245</v>
      </c>
      <c r="B14489" s="4" t="s">
        <v>18246</v>
      </c>
      <c r="C14489" s="5" t="str">
        <f>IFERROR(__xludf.DUMMYFUNCTION("GOOGLETRANSLATE(B14489,""en"",""it"")"),"Un assistente alimentare prepara un cono gelato da un distributore di yogurt congelato.")</f>
        <v>Un assistente alimentare prepara un cono gelato da un distributore di yogurt congelato.</v>
      </c>
    </row>
    <row r="14490">
      <c r="A14490" s="4" t="s">
        <v>18245</v>
      </c>
      <c r="B14490" s="4" t="s">
        <v>18247</v>
      </c>
      <c r="C14490" s="5" t="str">
        <f>IFERROR(__xludf.DUMMYFUNCTION("GOOGLETRANSLATE(B14490,""en"",""it"")"),"L'uomo guarda felicemente il suo gelato preparato.")</f>
        <v>L'uomo guarda felicemente il suo gelato preparato.</v>
      </c>
    </row>
    <row r="14491">
      <c r="A14491" s="4" t="s">
        <v>18245</v>
      </c>
      <c r="B14491" s="4" t="s">
        <v>18248</v>
      </c>
      <c r="C14491" s="5" t="str">
        <f>IFERROR(__xludf.DUMMYFUNCTION("GOOGLETRANSLATE(B14491,""en"",""it"")"),"L'uomo piace è il gelato che lo mangia il più velocemente possibile.")</f>
        <v>L'uomo piace è il gelato che lo mangia il più velocemente possibile.</v>
      </c>
    </row>
    <row r="14492">
      <c r="A14492" s="4" t="s">
        <v>18245</v>
      </c>
      <c r="B14492" s="4" t="s">
        <v>18249</v>
      </c>
      <c r="C14492" s="5" t="str">
        <f>IFERROR(__xludf.DUMMYFUNCTION("GOOGLETRANSLATE(B14492,""en"",""it"")"),"L'uomo si strofina la testa ed è sollevato.")</f>
        <v>L'uomo si strofina la testa ed è sollevato.</v>
      </c>
    </row>
    <row r="14493">
      <c r="A14493" s="4" t="s">
        <v>18250</v>
      </c>
      <c r="B14493" s="4" t="s">
        <v>18251</v>
      </c>
      <c r="C14493" s="5" t="str">
        <f>IFERROR(__xludf.DUMMYFUNCTION("GOOGLETRANSLATE(B14493,""en"",""it"")"),"Un uomo sta parlando in una palestra.")</f>
        <v>Un uomo sta parlando in una palestra.</v>
      </c>
    </row>
    <row r="14494">
      <c r="A14494" s="4" t="s">
        <v>18250</v>
      </c>
      <c r="B14494" s="4" t="s">
        <v>18252</v>
      </c>
      <c r="C14494" s="5" t="str">
        <f>IFERROR(__xludf.DUMMYFUNCTION("GOOGLETRANSLATE(B14494,""en"",""it"")"),"Sente a terra per fare set up, parlando dei meccanici dell'atto.")</f>
        <v>Sente a terra per fare set up, parlando dei meccanici dell'atto.</v>
      </c>
    </row>
    <row r="14495">
      <c r="A14495" s="4" t="s">
        <v>18250</v>
      </c>
      <c r="B14495" s="4" t="s">
        <v>18253</v>
      </c>
      <c r="C14495" s="5" t="str">
        <f>IFERROR(__xludf.DUMMYFUNCTION("GOOGLETRANSLATE(B14495,""en"",""it"")"),"L'uomo dimostra come fare sit up più e più volte.")</f>
        <v>L'uomo dimostra come fare sit up più e più volte.</v>
      </c>
    </row>
    <row r="14496">
      <c r="A14496" s="4" t="s">
        <v>18254</v>
      </c>
      <c r="B14496" s="4" t="s">
        <v>18255</v>
      </c>
      <c r="C14496" s="5" t="str">
        <f>IFERROR(__xludf.DUMMYFUNCTION("GOOGLETRANSLATE(B14496,""en"",""it"")"),"Una donna con i capelli lunghi viene vista seduta dietro un piano e parla alla telecamera.")</f>
        <v>Una donna con i capelli lunghi viene vista seduta dietro un piano e parla alla telecamera.</v>
      </c>
    </row>
    <row r="14497">
      <c r="A14497" s="4" t="s">
        <v>18254</v>
      </c>
      <c r="B14497" s="4" t="s">
        <v>18256</v>
      </c>
      <c r="C14497" s="5" t="str">
        <f>IFERROR(__xludf.DUMMYFUNCTION("GOOGLETRANSLATE(B14497,""en"",""it"")"),"Mette le mani attorno al piano e inizia a suonare una canzone.")</f>
        <v>Mette le mani attorno al piano e inizia a suonare una canzone.</v>
      </c>
    </row>
    <row r="14498">
      <c r="A14498" s="4" t="s">
        <v>18254</v>
      </c>
      <c r="B14498" s="4" t="s">
        <v>18257</v>
      </c>
      <c r="C14498" s="5" t="str">
        <f>IFERROR(__xludf.DUMMYFUNCTION("GOOGLETRANSLATE(B14498,""en"",""it"")"),"Continua a suonare lo strumento e fa una pausa per parlare un po 'alla telecamera.")</f>
        <v>Continua a suonare lo strumento e fa una pausa per parlare un po 'alla telecamera.</v>
      </c>
    </row>
    <row r="14499">
      <c r="A14499" s="4" t="s">
        <v>18254</v>
      </c>
      <c r="B14499" s="4" t="s">
        <v>18258</v>
      </c>
      <c r="C14499" s="5" t="str">
        <f>IFERROR(__xludf.DUMMYFUNCTION("GOOGLETRANSLATE(B14499,""en"",""it"")"),"Suona un po 'di più e finisce con lei ancora parlando alla telecamera.")</f>
        <v>Suona un po 'di più e finisce con lei ancora parlando alla telecamera.</v>
      </c>
    </row>
    <row r="14500">
      <c r="A14500" s="4" t="s">
        <v>18259</v>
      </c>
      <c r="B14500" s="4" t="s">
        <v>18260</v>
      </c>
      <c r="C14500" s="5" t="str">
        <f>IFERROR(__xludf.DUMMYFUNCTION("GOOGLETRANSLATE(B14500,""en"",""it"")"),"Una panchina è mostrata in un cortile di fronte ai cespugli.")</f>
        <v>Una panchina è mostrata in un cortile di fronte ai cespugli.</v>
      </c>
    </row>
    <row r="14501">
      <c r="A14501" s="4" t="s">
        <v>18259</v>
      </c>
      <c r="B14501" s="4" t="s">
        <v>18261</v>
      </c>
      <c r="C14501" s="5" t="str">
        <f>IFERROR(__xludf.DUMMYFUNCTION("GOOGLETRANSLATE(B14501,""en"",""it"")"),"Un uomo sta usando una scala per tagliare le siepi.")</f>
        <v>Un uomo sta usando una scala per tagliare le siepi.</v>
      </c>
    </row>
    <row r="14502">
      <c r="A14502" s="4" t="s">
        <v>18259</v>
      </c>
      <c r="B14502" s="4" t="s">
        <v>18262</v>
      </c>
      <c r="C14502" s="5" t="str">
        <f>IFERROR(__xludf.DUMMYFUNCTION("GOOGLETRANSLATE(B14502,""en"",""it"")"),"Muove la panchina e cammina con la scala, continuando a tagliare le siepi.")</f>
        <v>Muove la panchina e cammina con la scala, continuando a tagliare le siepi.</v>
      </c>
    </row>
    <row r="14503">
      <c r="A14503" s="4" t="s">
        <v>18263</v>
      </c>
      <c r="B14503" s="4" t="s">
        <v>18264</v>
      </c>
      <c r="C14503" s="5" t="str">
        <f>IFERROR(__xludf.DUMMYFUNCTION("GOOGLETRANSLATE(B14503,""en"",""it"")"),"Un uomo viene visto saltare sopra le barre e gettare un oggetto in luoghi diversi.")</f>
        <v>Un uomo viene visto saltare sopra le barre e gettare un oggetto in luoghi diversi.</v>
      </c>
    </row>
    <row r="14504">
      <c r="A14504" s="4" t="s">
        <v>18263</v>
      </c>
      <c r="B14504" s="6" t="s">
        <v>18265</v>
      </c>
      <c r="C14504" s="5" t="str">
        <f>IFERROR(__xludf.DUMMYFUNCTION("GOOGLETRANSLATE(B14504,""en"",""it"")"),"Gli uomini vengono quindi visti sollevare pesi e gettare l'oggetto di più e allontanandosi dalla telecamera.")</f>
        <v>Gli uomini vengono quindi visti sollevare pesi e gettare l'oggetto di più e allontanandosi dalla telecamera.</v>
      </c>
    </row>
    <row r="14505">
      <c r="A14505" s="4" t="s">
        <v>18263</v>
      </c>
      <c r="B14505" s="4" t="s">
        <v>18266</v>
      </c>
      <c r="C14505" s="5" t="str">
        <f>IFERROR(__xludf.DUMMYFUNCTION("GOOGLETRANSLATE(B14505,""en"",""it"")"),"Continua a esercitarsi gettando l'oggetto e la telecamera seguendo i suoi movimenti.")</f>
        <v>Continua a esercitarsi gettando l'oggetto e la telecamera seguendo i suoi movimenti.</v>
      </c>
    </row>
    <row r="14506">
      <c r="A14506" s="4" t="s">
        <v>18267</v>
      </c>
      <c r="B14506" s="4" t="s">
        <v>18268</v>
      </c>
      <c r="C14506" s="5" t="str">
        <f>IFERROR(__xludf.DUMMYFUNCTION("GOOGLETRANSLATE(B14506,""en"",""it"")"),"Una ragazza si avvicina a una diapositiva, si siede, poi scende nella diapositiva.")</f>
        <v>Una ragazza si avvicina a una diapositiva, si siede, poi scende nella diapositiva.</v>
      </c>
    </row>
    <row r="14507">
      <c r="A14507" s="4" t="s">
        <v>18267</v>
      </c>
      <c r="B14507" s="4" t="s">
        <v>18269</v>
      </c>
      <c r="C14507" s="5" t="str">
        <f>IFERROR(__xludf.DUMMYFUNCTION("GOOGLETRANSLATE(B14507,""en"",""it"")"),"Torna indietro per farlo di nuovo.")</f>
        <v>Torna indietro per farlo di nuovo.</v>
      </c>
    </row>
    <row r="14508">
      <c r="A14508" s="4" t="s">
        <v>18270</v>
      </c>
      <c r="B14508" s="6" t="s">
        <v>18271</v>
      </c>
      <c r="C14508" s="5" t="str">
        <f>IFERROR(__xludf.DUMMYFUNCTION("GOOGLETRANSLATE(B14508,""en"",""it"")"),"Un piccolo cavallo è fuori in un campo tenuto da una corda attaccata a una cintura avvolta attorno al collo del cavallo.")</f>
        <v>Un piccolo cavallo è fuori in un campo tenuto da una corda attaccata a una cintura avvolta attorno al collo del cavallo.</v>
      </c>
    </row>
    <row r="14509">
      <c r="A14509" s="4" t="s">
        <v>18270</v>
      </c>
      <c r="B14509" s="6" t="s">
        <v>18272</v>
      </c>
      <c r="C14509" s="5" t="str">
        <f>IFERROR(__xludf.DUMMYFUNCTION("GOOGLETRANSLATE(B14509,""en"",""it"")"),"La persona con la corda in mano ha una torcia come l'oggetto nella mano destra, ma sembra avere aria solo e inizia a spostarla avanti e indietro attraverso la faccia e la bocca dei cavalli.")</f>
        <v>La persona con la corda in mano ha una torcia come l'oggetto nella mano destra, ma sembra avere aria solo e inizia a spostarla avanti e indietro attraverso la faccia e la bocca dei cavalli.</v>
      </c>
    </row>
    <row r="14510">
      <c r="A14510" s="4" t="s">
        <v>18270</v>
      </c>
      <c r="B14510" s="6" t="s">
        <v>18273</v>
      </c>
      <c r="C14510" s="5" t="str">
        <f>IFERROR(__xludf.DUMMYFUNCTION("GOOGLETRANSLATE(B14510,""en"",""it"")"),"Tuttavia, il cavallo non sembra compiacere e inizia a muoversi il labbro cercando di evitare il trattamento.")</f>
        <v>Tuttavia, il cavallo non sembra compiacere e inizia a muoversi il labbro cercando di evitare il trattamento.</v>
      </c>
    </row>
    <row r="14511">
      <c r="A14511" s="4" t="s">
        <v>18274</v>
      </c>
      <c r="B14511" s="4" t="s">
        <v>18275</v>
      </c>
      <c r="C14511" s="5" t="str">
        <f>IFERROR(__xludf.DUMMYFUNCTION("GOOGLETRANSLATE(B14511,""en"",""it"")"),"Un ragazzo dimostra come guidare uno skateboard per strada attraverso l'esempio.")</f>
        <v>Un ragazzo dimostra come guidare uno skateboard per strada attraverso l'esempio.</v>
      </c>
    </row>
    <row r="14512">
      <c r="A14512" s="4" t="s">
        <v>18274</v>
      </c>
      <c r="B14512" s="6" t="s">
        <v>18276</v>
      </c>
      <c r="C14512" s="5" t="str">
        <f>IFERROR(__xludf.DUMMYFUNCTION("GOOGLETRANSLATE(B14512,""en"",""it"")"),"Un ragazzo si alza, all'aperto, tenendo uno skateboard tra le braccia e poi mette giù la tavola e inizia a calpestarlo.")</f>
        <v>Un ragazzo si alza, all'aperto, tenendo uno skateboard tra le braccia e poi mette giù la tavola e inizia a calpestarlo.</v>
      </c>
    </row>
    <row r="14513">
      <c r="A14513" s="4" t="s">
        <v>18274</v>
      </c>
      <c r="B14513" s="4" t="s">
        <v>18277</v>
      </c>
      <c r="C14513" s="5" t="str">
        <f>IFERROR(__xludf.DUMMYFUNCTION("GOOGLETRANSLATE(B14513,""en"",""it"")"),"Il ragazzo si trova quindi sul tabellone oscillando avanti e indietro su di esso.")</f>
        <v>Il ragazzo si trova quindi sul tabellone oscillando avanti e indietro su di esso.</v>
      </c>
    </row>
    <row r="14514">
      <c r="A14514" s="4" t="s">
        <v>18274</v>
      </c>
      <c r="B14514" s="6" t="s">
        <v>18278</v>
      </c>
      <c r="C14514" s="5" t="str">
        <f>IFERROR(__xludf.DUMMYFUNCTION("GOOGLETRANSLATE(B14514,""en"",""it"")"),"Il ragazzo mostra quindi giri della parte superiore del corpo mentre si trova sullo skateboard e alla fine si spinge via e cavalca nella strada sullo skateboard.")</f>
        <v>Il ragazzo mostra quindi giri della parte superiore del corpo mentre si trova sullo skateboard e alla fine si spinge via e cavalca nella strada sullo skateboard.</v>
      </c>
    </row>
    <row r="14515">
      <c r="A14515" s="4" t="s">
        <v>18274</v>
      </c>
      <c r="B14515" s="6" t="s">
        <v>18279</v>
      </c>
      <c r="C14515" s="5" t="str">
        <f>IFERROR(__xludf.DUMMYFUNCTION("GOOGLETRANSLATE(B14515,""en"",""it"")"),"Il ragazzo ritorna quindi sul marciapiede e mette un piede sul tabellone e l'altro a terra mentre si ferma.")</f>
        <v>Il ragazzo ritorna quindi sul marciapiede e mette un piede sul tabellone e l'altro a terra mentre si ferma.</v>
      </c>
    </row>
    <row r="14516">
      <c r="A14516" s="4" t="s">
        <v>18280</v>
      </c>
      <c r="B14516" s="4" t="s">
        <v>18281</v>
      </c>
      <c r="C14516" s="5" t="str">
        <f>IFERROR(__xludf.DUMMYFUNCTION("GOOGLETRANSLATE(B14516,""en"",""it"")"),"Vediamo un guanto di gomma sul pavimento.")</f>
        <v>Vediamo un guanto di gomma sul pavimento.</v>
      </c>
    </row>
    <row r="14517">
      <c r="A14517" s="4" t="s">
        <v>18280</v>
      </c>
      <c r="B14517" s="4" t="s">
        <v>18282</v>
      </c>
      <c r="C14517" s="5" t="str">
        <f>IFERROR(__xludf.DUMMYFUNCTION("GOOGLETRANSLATE(B14517,""en"",""it"")"),"Una persona taglia il guanto a metà e mette un buco alla fine.")</f>
        <v>Una persona taglia il guanto a metà e mette un buco alla fine.</v>
      </c>
    </row>
    <row r="14518">
      <c r="A14518" s="4" t="s">
        <v>18280</v>
      </c>
      <c r="B14518" s="4" t="s">
        <v>18283</v>
      </c>
      <c r="C14518" s="5" t="str">
        <f>IFERROR(__xludf.DUMMYFUNCTION("GOOGLETRANSLATE(B14518,""en"",""it"")"),"La persona mette il guanto su un cane con il suo artiglio che si attacca nel buco.")</f>
        <v>La persona mette il guanto su un cane con il suo artiglio che si attacca nel buco.</v>
      </c>
    </row>
    <row r="14519">
      <c r="A14519" s="4" t="s">
        <v>18280</v>
      </c>
      <c r="B14519" s="4" t="s">
        <v>18284</v>
      </c>
      <c r="C14519" s="5" t="str">
        <f>IFERROR(__xludf.DUMMYFUNCTION("GOOGLETRANSLATE(B14519,""en"",""it"")"),"Una persona mostra uno strumento di ritaglio.")</f>
        <v>Una persona mostra uno strumento di ritaglio.</v>
      </c>
    </row>
    <row r="14520">
      <c r="A14520" s="4" t="s">
        <v>18280</v>
      </c>
      <c r="B14520" s="4" t="s">
        <v>18285</v>
      </c>
      <c r="C14520" s="5" t="str">
        <f>IFERROR(__xludf.DUMMYFUNCTION("GOOGLETRANSLATE(B14520,""en"",""it"")"),"La persona quindi leviga i cani artigliati con una levigatrice elettrica.")</f>
        <v>La persona quindi leviga i cani artigliati con una levigatrice elettrica.</v>
      </c>
    </row>
    <row r="14521">
      <c r="A14521" s="4" t="s">
        <v>18286</v>
      </c>
      <c r="B14521" s="4" t="s">
        <v>18287</v>
      </c>
      <c r="C14521" s="5" t="str">
        <f>IFERROR(__xludf.DUMMYFUNCTION("GOOGLETRANSLATE(B14521,""en"",""it"")"),"Due giovani ragazzi sono in un lavandino.")</f>
        <v>Due giovani ragazzi sono in un lavandino.</v>
      </c>
    </row>
    <row r="14522">
      <c r="A14522" s="4" t="s">
        <v>18286</v>
      </c>
      <c r="B14522" s="4" t="s">
        <v>18288</v>
      </c>
      <c r="C14522" s="5" t="str">
        <f>IFERROR(__xludf.DUMMYFUNCTION("GOOGLETRANSLATE(B14522,""en"",""it"")"),"Uno dei ragazzi non ha mani.")</f>
        <v>Uno dei ragazzi non ha mani.</v>
      </c>
    </row>
    <row r="14523">
      <c r="A14523" s="4" t="s">
        <v>18286</v>
      </c>
      <c r="B14523" s="4" t="s">
        <v>18289</v>
      </c>
      <c r="C14523" s="5" t="str">
        <f>IFERROR(__xludf.DUMMYFUNCTION("GOOGLETRANSLATE(B14523,""en"",""it"")"),"Sta lavando i piatti.")</f>
        <v>Sta lavando i piatti.</v>
      </c>
    </row>
    <row r="14524">
      <c r="A14524" s="4" t="s">
        <v>18286</v>
      </c>
      <c r="B14524" s="4" t="s">
        <v>18290</v>
      </c>
      <c r="C14524" s="5" t="str">
        <f>IFERROR(__xludf.DUMMYFUNCTION("GOOGLETRANSLATE(B14524,""en"",""it"")"),"L'altro ragazzo lo aiuta a pulire.")</f>
        <v>L'altro ragazzo lo aiuta a pulire.</v>
      </c>
    </row>
    <row r="14525">
      <c r="A14525" s="4" t="s">
        <v>18291</v>
      </c>
      <c r="B14525" s="4" t="s">
        <v>18292</v>
      </c>
      <c r="C14525" s="5" t="str">
        <f>IFERROR(__xludf.DUMMYFUNCTION("GOOGLETRANSLATE(B14525,""en"",""it"")"),"Le cheerleader sono in palestra del gruppo.")</f>
        <v>Le cheerleader sono in palestra del gruppo.</v>
      </c>
    </row>
    <row r="14526">
      <c r="A14526" s="4" t="s">
        <v>18291</v>
      </c>
      <c r="B14526" s="4" t="s">
        <v>18293</v>
      </c>
      <c r="C14526" s="5" t="str">
        <f>IFERROR(__xludf.DUMMYFUNCTION("GOOGLETRANSLATE(B14526,""en"",""it"")"),"Le ragazze quindi eseguono una routine.")</f>
        <v>Le ragazze quindi eseguono una routine.</v>
      </c>
    </row>
    <row r="14527">
      <c r="A14527" s="4" t="s">
        <v>18291</v>
      </c>
      <c r="B14527" s="4" t="s">
        <v>18294</v>
      </c>
      <c r="C14527" s="5" t="str">
        <f>IFERROR(__xludf.DUMMYFUNCTION("GOOGLETRANSLATE(B14527,""en"",""it"")"),"Le ragazze si rompono in tre gruppi e i due sui lati si inginocchiano mentre il gruppo medio si accovaccia.")</f>
        <v>Le ragazze si rompono in tre gruppi e i due sui lati si inginocchiano mentre il gruppo medio si accovaccia.</v>
      </c>
    </row>
    <row r="14528">
      <c r="A14528" s="4" t="s">
        <v>18291</v>
      </c>
      <c r="B14528" s="4" t="s">
        <v>18295</v>
      </c>
      <c r="C14528" s="5" t="str">
        <f>IFERROR(__xludf.DUMMYFUNCTION("GOOGLETRANSLATE(B14528,""en"",""it"")"),"Si inginocchiano e gettano le mani in aria al traguardo.")</f>
        <v>Si inginocchiano e gettano le mani in aria al traguardo.</v>
      </c>
    </row>
    <row r="14529">
      <c r="A14529" s="4" t="s">
        <v>18296</v>
      </c>
      <c r="B14529" s="4" t="s">
        <v>18297</v>
      </c>
      <c r="C14529" s="5" t="str">
        <f>IFERROR(__xludf.DUMMYFUNCTION("GOOGLETRANSLATE(B14529,""en"",""it"")"),"Una donna con una camicia nera è seduta su una panchina.")</f>
        <v>Una donna con una camicia nera è seduta su una panchina.</v>
      </c>
    </row>
    <row r="14530">
      <c r="A14530" s="4" t="s">
        <v>18296</v>
      </c>
      <c r="B14530" s="4" t="s">
        <v>18298</v>
      </c>
      <c r="C14530" s="5" t="str">
        <f>IFERROR(__xludf.DUMMYFUNCTION("GOOGLETRANSLATE(B14530,""en"",""it"")"),"Un uomo si siede dietro una scrivania.")</f>
        <v>Un uomo si siede dietro una scrivania.</v>
      </c>
    </row>
    <row r="14531">
      <c r="A14531" s="4" t="s">
        <v>18296</v>
      </c>
      <c r="B14531" s="4" t="s">
        <v>18299</v>
      </c>
      <c r="C14531" s="5" t="str">
        <f>IFERROR(__xludf.DUMMYFUNCTION("GOOGLETRANSLATE(B14531,""en"",""it"")"),"Due persone sono sedute su una sedia a sacco di fagioli.")</f>
        <v>Due persone sono sedute su una sedia a sacco di fagioli.</v>
      </c>
    </row>
    <row r="14532">
      <c r="A14532" s="4" t="s">
        <v>18296</v>
      </c>
      <c r="B14532" s="4" t="s">
        <v>18300</v>
      </c>
      <c r="C14532" s="5" t="str">
        <f>IFERROR(__xludf.DUMMYFUNCTION("GOOGLETRANSLATE(B14532,""en"",""it"")"),"Un uomo beve da una tazza.")</f>
        <v>Un uomo beve da una tazza.</v>
      </c>
    </row>
    <row r="14533">
      <c r="A14533" s="4" t="s">
        <v>18301</v>
      </c>
      <c r="B14533" s="4" t="s">
        <v>18302</v>
      </c>
      <c r="C14533" s="5" t="str">
        <f>IFERROR(__xludf.DUMMYFUNCTION("GOOGLETRANSLATE(B14533,""en"",""it"")"),"Una donna con una camicia rosa sta parlando.")</f>
        <v>Una donna con una camicia rosa sta parlando.</v>
      </c>
    </row>
    <row r="14534">
      <c r="A14534" s="4" t="s">
        <v>18301</v>
      </c>
      <c r="B14534" s="4" t="s">
        <v>18303</v>
      </c>
      <c r="C14534" s="5" t="str">
        <f>IFERROR(__xludf.DUMMYFUNCTION("GOOGLETRANSLATE(B14534,""en"",""it"")"),"Prende una scatola trasparente e la apre.")</f>
        <v>Prende una scatola trasparente e la apre.</v>
      </c>
    </row>
    <row r="14535">
      <c r="A14535" s="4" t="s">
        <v>18301</v>
      </c>
      <c r="B14535" s="4" t="s">
        <v>18304</v>
      </c>
      <c r="C14535" s="5" t="str">
        <f>IFERROR(__xludf.DUMMYFUNCTION("GOOGLETRANSLATE(B14535,""en"",""it"")"),"Chiude la scatola e la mette via.")</f>
        <v>Chiude la scatola e la mette via.</v>
      </c>
    </row>
    <row r="14536">
      <c r="A14536" s="4" t="s">
        <v>18301</v>
      </c>
      <c r="B14536" s="4" t="s">
        <v>18305</v>
      </c>
      <c r="C14536" s="5" t="str">
        <f>IFERROR(__xludf.DUMMYFUNCTION("GOOGLETRANSLATE(B14536,""en"",""it"")"),"Raccoglie un grande animale di peluche.")</f>
        <v>Raccoglie un grande animale di peluche.</v>
      </c>
    </row>
    <row r="14537">
      <c r="A14537" s="4" t="s">
        <v>18301</v>
      </c>
      <c r="B14537" s="4" t="s">
        <v>18306</v>
      </c>
      <c r="C14537" s="5" t="str">
        <f>IFERROR(__xludf.DUMMYFUNCTION("GOOGLETRANSLATE(B14537,""en"",""it"")"),"Quindi raccoglie una piccola borsa rossa.")</f>
        <v>Quindi raccoglie una piccola borsa rossa.</v>
      </c>
    </row>
    <row r="14538">
      <c r="A14538" s="4" t="s">
        <v>18301</v>
      </c>
      <c r="B14538" s="4" t="s">
        <v>18307</v>
      </c>
      <c r="C14538" s="5" t="str">
        <f>IFERROR(__xludf.DUMMYFUNCTION("GOOGLETRANSLATE(B14538,""en"",""it"")"),"Raccoglie alcuni tessuti e nastri diversi.")</f>
        <v>Raccoglie alcuni tessuti e nastri diversi.</v>
      </c>
    </row>
    <row r="14539">
      <c r="A14539" s="4" t="s">
        <v>18308</v>
      </c>
      <c r="B14539" s="4" t="s">
        <v>18309</v>
      </c>
      <c r="C14539" s="5" t="str">
        <f>IFERROR(__xludf.DUMMYFUNCTION("GOOGLETRANSLATE(B14539,""en"",""it"")"),"Le parti del vuoto vengono visualizzate sul pavimento.")</f>
        <v>Le parti del vuoto vengono visualizzate sul pavimento.</v>
      </c>
    </row>
    <row r="14540">
      <c r="A14540" s="4" t="s">
        <v>18308</v>
      </c>
      <c r="B14540" s="4" t="s">
        <v>18310</v>
      </c>
      <c r="C14540" s="5" t="str">
        <f>IFERROR(__xludf.DUMMYFUNCTION("GOOGLETRANSLATE(B14540,""en"",""it"")"),"Una persona aspira il tappeto.")</f>
        <v>Una persona aspira il tappeto.</v>
      </c>
    </row>
    <row r="14541">
      <c r="A14541" s="4" t="s">
        <v>18308</v>
      </c>
      <c r="B14541" s="4" t="s">
        <v>18311</v>
      </c>
      <c r="C14541" s="5" t="str">
        <f>IFERROR(__xludf.DUMMYFUNCTION("GOOGLETRANSLATE(B14541,""en"",""it"")"),"Una persona bagna e aspira il tappeto.")</f>
        <v>Una persona bagna e aspira il tappeto.</v>
      </c>
    </row>
    <row r="14542">
      <c r="A14542" s="4" t="s">
        <v>18308</v>
      </c>
      <c r="B14542" s="4" t="s">
        <v>18312</v>
      </c>
      <c r="C14542" s="5" t="str">
        <f>IFERROR(__xludf.DUMMYFUNCTION("GOOGLETRANSLATE(B14542,""en"",""it"")"),"Una persona aspira o assorbe il caffè dal tappeto.")</f>
        <v>Una persona aspira o assorbe il caffè dal tappeto.</v>
      </c>
    </row>
    <row r="14543">
      <c r="A14543" s="4" t="s">
        <v>18308</v>
      </c>
      <c r="B14543" s="4" t="s">
        <v>18313</v>
      </c>
      <c r="C14543" s="5" t="str">
        <f>IFERROR(__xludf.DUMMYFUNCTION("GOOGLETRANSLATE(B14543,""en"",""it"")"),"Una persona strofina e asciuga un pavimento piastrellato con un vuoto.")</f>
        <v>Una persona strofina e asciuga un pavimento piastrellato con un vuoto.</v>
      </c>
    </row>
    <row r="14544">
      <c r="A14544" s="4" t="s">
        <v>18308</v>
      </c>
      <c r="B14544" s="4" t="s">
        <v>18314</v>
      </c>
      <c r="C14544" s="5" t="str">
        <f>IFERROR(__xludf.DUMMYFUNCTION("GOOGLETRANSLATE(B14544,""en"",""it"")"),"Una persona svuota il contenuto del vuoto in un lavandino bianco.")</f>
        <v>Una persona svuota il contenuto del vuoto in un lavandino bianco.</v>
      </c>
    </row>
    <row r="14545">
      <c r="A14545" s="4" t="s">
        <v>18308</v>
      </c>
      <c r="B14545" s="4" t="s">
        <v>18315</v>
      </c>
      <c r="C14545" s="5" t="str">
        <f>IFERROR(__xludf.DUMMYFUNCTION("GOOGLETRANSLATE(B14545,""en"",""it"")"),"I modi in cui è possibile utilizzare un vuoto è mostrato in schermi divisi.")</f>
        <v>I modi in cui è possibile utilizzare un vuoto è mostrato in schermi divisi.</v>
      </c>
    </row>
    <row r="14546">
      <c r="A14546" s="4" t="s">
        <v>18316</v>
      </c>
      <c r="B14546" s="6" t="s">
        <v>18317</v>
      </c>
      <c r="C14546" s="5" t="str">
        <f>IFERROR(__xludf.DUMMYFUNCTION("GOOGLETRANSLATE(B14546,""en"",""it"")"),"Si vede una grande ondata che si muove sull'acqua seguita da diverse persone che trasportano tavole da surf e navigano lungo l'acqua.")</f>
        <v>Si vede una grande ondata che si muove sull'acqua seguita da diverse persone che trasportano tavole da surf e navigano lungo l'acqua.</v>
      </c>
    </row>
    <row r="14547">
      <c r="A14547" s="4" t="s">
        <v>18316</v>
      </c>
      <c r="B14547" s="4" t="s">
        <v>18318</v>
      </c>
      <c r="C14547" s="5" t="str">
        <f>IFERROR(__xludf.DUMMYFUNCTION("GOOGLETRANSLATE(B14547,""en"",""it"")"),"Le persone continuano a cavalcare lungo l'acqua sulle tavole da surf e camminando sulla spiaggia.")</f>
        <v>Le persone continuano a cavalcare lungo l'acqua sulle tavole da surf e camminando sulla spiaggia.</v>
      </c>
    </row>
    <row r="14548">
      <c r="A14548" s="4" t="s">
        <v>18319</v>
      </c>
      <c r="B14548" s="4" t="s">
        <v>18320</v>
      </c>
      <c r="C14548" s="5" t="str">
        <f>IFERROR(__xludf.DUMMYFUNCTION("GOOGLETRANSLATE(B14548,""en"",""it"")"),"Un robot è seduto dietro un piano in una stanza.")</f>
        <v>Un robot è seduto dietro un piano in una stanza.</v>
      </c>
    </row>
    <row r="14549">
      <c r="A14549" s="4" t="s">
        <v>18319</v>
      </c>
      <c r="B14549" s="4" t="s">
        <v>18321</v>
      </c>
      <c r="C14549" s="5" t="str">
        <f>IFERROR(__xludf.DUMMYFUNCTION("GOOGLETRANSLATE(B14549,""en"",""it"")"),"Le sue mani non si illuminano per le chiavi del piano.")</f>
        <v>Le sue mani non si illuminano per le chiavi del piano.</v>
      </c>
    </row>
    <row r="14550">
      <c r="A14550" s="4" t="s">
        <v>18322</v>
      </c>
      <c r="B14550" s="4" t="s">
        <v>18323</v>
      </c>
      <c r="C14550" s="5" t="str">
        <f>IFERROR(__xludf.DUMMYFUNCTION("GOOGLETRANSLATE(B14550,""en"",""it"")"),"Una persona viene vista cavalcare in una lunga strada su uno skateboard mentre la telecamera segue da dietro.")</f>
        <v>Una persona viene vista cavalcare in una lunga strada su uno skateboard mentre la telecamera segue da dietro.</v>
      </c>
    </row>
    <row r="14551">
      <c r="A14551" s="4" t="s">
        <v>18322</v>
      </c>
      <c r="B14551" s="6" t="s">
        <v>18324</v>
      </c>
      <c r="C14551" s="5" t="str">
        <f>IFERROR(__xludf.DUMMYFUNCTION("GOOGLETRANSLATE(B14551,""en"",""it"")"),"La persona continua a cavalcare giù per la collina con la telecamera che cattura paesaggi e automobili, oltre a mettere la mano sul pensile di fronte a lui.")</f>
        <v>La persona continua a cavalcare giù per la collina con la telecamera che cattura paesaggi e automobili, oltre a mettere la mano sul pensile di fronte a lui.</v>
      </c>
    </row>
    <row r="14552">
      <c r="A14552" s="4" t="s">
        <v>18322</v>
      </c>
      <c r="B14552" s="4" t="s">
        <v>18325</v>
      </c>
      <c r="C14552" s="5" t="str">
        <f>IFERROR(__xludf.DUMMYFUNCTION("GOOGLETRANSLATE(B14552,""en"",""it"")"),"Alla fine passa vicino al pensionante e si ferma dalla macchina.")</f>
        <v>Alla fine passa vicino al pensionante e si ferma dalla macchina.</v>
      </c>
    </row>
    <row r="14553">
      <c r="A14553" s="4" t="s">
        <v>18326</v>
      </c>
      <c r="B14553" s="4" t="s">
        <v>18327</v>
      </c>
      <c r="C14553" s="5" t="str">
        <f>IFERROR(__xludf.DUMMYFUNCTION("GOOGLETRANSLATE(B14553,""en"",""it"")"),"Un uomo è sdraiato sulla schiena su un pavimento di piastrelle.")</f>
        <v>Un uomo è sdraiato sulla schiena su un pavimento di piastrelle.</v>
      </c>
    </row>
    <row r="14554">
      <c r="A14554" s="4" t="s">
        <v>18326</v>
      </c>
      <c r="B14554" s="6" t="s">
        <v>18328</v>
      </c>
      <c r="C14554" s="5" t="str">
        <f>IFERROR(__xludf.DUMMYFUNCTION("GOOGLETRANSLATE(B14554,""en"",""it"")"),"Sta cercando di fare set up, rallentando e smorzando man mano che lo sforzo diventa più difficile per ognuno.")</f>
        <v>Sta cercando di fare set up, rallentando e smorzando man mano che lo sforzo diventa più difficile per ognuno.</v>
      </c>
    </row>
    <row r="14555">
      <c r="A14555" s="4" t="s">
        <v>18326</v>
      </c>
      <c r="B14555" s="4" t="s">
        <v>18329</v>
      </c>
      <c r="C14555" s="5" t="str">
        <f>IFERROR(__xludf.DUMMYFUNCTION("GOOGLETRANSLATE(B14555,""en"",""it"")"),"Si ferma, sdraiato e ridendo.")</f>
        <v>Si ferma, sdraiato e ridendo.</v>
      </c>
    </row>
    <row r="14556">
      <c r="A14556" s="4" t="s">
        <v>18330</v>
      </c>
      <c r="B14556" s="4" t="s">
        <v>18331</v>
      </c>
      <c r="C14556" s="5" t="str">
        <f>IFERROR(__xludf.DUMMYFUNCTION("GOOGLETRANSLATE(B14556,""en"",""it"")"),"Una ragazza gioca a Hopscotch su un portico posteriore.")</f>
        <v>Una ragazza gioca a Hopscotch su un portico posteriore.</v>
      </c>
    </row>
    <row r="14557">
      <c r="A14557" s="4" t="s">
        <v>18330</v>
      </c>
      <c r="B14557" s="4" t="s">
        <v>18332</v>
      </c>
      <c r="C14557" s="5" t="str">
        <f>IFERROR(__xludf.DUMMYFUNCTION("GOOGLETRANSLATE(B14557,""en"",""it"")"),"Una persona è seduta su un tavolo da picnic guardandoli.")</f>
        <v>Una persona è seduta su un tavolo da picnic guardandoli.</v>
      </c>
    </row>
    <row r="14558">
      <c r="A14558" s="4" t="s">
        <v>18330</v>
      </c>
      <c r="B14558" s="4" t="s">
        <v>18333</v>
      </c>
      <c r="C14558" s="5" t="str">
        <f>IFERROR(__xludf.DUMMYFUNCTION("GOOGLETRANSLATE(B14558,""en"",""it"")"),"L'altra persona si alza e inizia a giocare.")</f>
        <v>L'altra persona si alza e inizia a giocare.</v>
      </c>
    </row>
    <row r="14559">
      <c r="A14559" s="4" t="s">
        <v>18334</v>
      </c>
      <c r="B14559" s="4" t="s">
        <v>18335</v>
      </c>
      <c r="C14559" s="5" t="str">
        <f>IFERROR(__xludf.DUMMYFUNCTION("GOOGLETRANSLATE(B14559,""en"",""it"")"),"Una persona viene vista estrarre oggetti da una scatola e presentarli alla telecamera.")</f>
        <v>Una persona viene vista estrarre oggetti da una scatola e presentarli alla telecamera.</v>
      </c>
    </row>
    <row r="14560">
      <c r="A14560" s="4" t="s">
        <v>18334</v>
      </c>
      <c r="B14560" s="6" t="s">
        <v>18336</v>
      </c>
      <c r="C14560" s="5" t="str">
        <f>IFERROR(__xludf.DUMMYFUNCTION("GOOGLETRANSLATE(B14560,""en"",""it"")"),"L'uomo quindi strofina una scarpa con uno straccio e presenta più oggetti alla fotocamera mentre si muove intorno.")</f>
        <v>L'uomo quindi strofina una scarpa con uno straccio e presenta più oggetti alla fotocamera mentre si muove intorno.</v>
      </c>
    </row>
    <row r="14561">
      <c r="A14561" s="4" t="s">
        <v>18337</v>
      </c>
      <c r="B14561" s="6" t="s">
        <v>18338</v>
      </c>
      <c r="C14561" s="5" t="str">
        <f>IFERROR(__xludf.DUMMYFUNCTION("GOOGLETRANSLATE(B14561,""en"",""it"")"),"Una persona viene vista legare le scarpe e condurre in diversi colpi di persone che saltano e si muovono sulla corda.")</f>
        <v>Una persona viene vista legare le scarpe e condurre in diversi colpi di persone che saltano e si muovono sulla corda.</v>
      </c>
    </row>
    <row r="14562">
      <c r="A14562" s="4" t="s">
        <v>18337</v>
      </c>
      <c r="B14562" s="6" t="s">
        <v>18339</v>
      </c>
      <c r="C14562" s="5" t="str">
        <f>IFERROR(__xludf.DUMMYFUNCTION("GOOGLETRANSLATE(B14562,""en"",""it"")"),"Vengono mostrati diversi colpi di paesaggi, così come più persone che tentano salti e trucchi su una lunga corda legata agli alberi.")</f>
        <v>Vengono mostrati diversi colpi di paesaggi, così come più persone che tentano salti e trucchi su una lunga corda legata agli alberi.</v>
      </c>
    </row>
    <row r="14563">
      <c r="A14563" s="4" t="s">
        <v>18340</v>
      </c>
      <c r="B14563" s="4" t="s">
        <v>18341</v>
      </c>
      <c r="C14563" s="5" t="str">
        <f>IFERROR(__xludf.DUMMYFUNCTION("GOOGLETRANSLATE(B14563,""en"",""it"")"),"Una donna e un po 'un ragazzo oscillano su un'altalena.")</f>
        <v>Una donna e un po 'un ragazzo oscillano su un'altalena.</v>
      </c>
    </row>
    <row r="14564">
      <c r="A14564" s="4" t="s">
        <v>18340</v>
      </c>
      <c r="B14564" s="4" t="s">
        <v>18342</v>
      </c>
      <c r="C14564" s="5" t="str">
        <f>IFERROR(__xludf.DUMMYFUNCTION("GOOGLETRANSLATE(B14564,""en"",""it"")"),"Una persona che spinge un passeggino è dietro di loro.")</f>
        <v>Una persona che spinge un passeggino è dietro di loro.</v>
      </c>
    </row>
    <row r="14565">
      <c r="A14565" s="4" t="s">
        <v>18340</v>
      </c>
      <c r="B14565" s="4" t="s">
        <v>18343</v>
      </c>
      <c r="C14565" s="5" t="str">
        <f>IFERROR(__xludf.DUMMYFUNCTION("GOOGLETRANSLATE(B14565,""en"",""it"")"),"Il ragazzo si allontana dalla telecamera.")</f>
        <v>Il ragazzo si allontana dalla telecamera.</v>
      </c>
    </row>
    <row r="14566">
      <c r="A14566" s="4" t="s">
        <v>18344</v>
      </c>
      <c r="B14566" s="4" t="s">
        <v>18345</v>
      </c>
      <c r="C14566" s="5" t="str">
        <f>IFERROR(__xludf.DUMMYFUNCTION("GOOGLETRANSLATE(B14566,""en"",""it"")"),"Una donna è sott'acqua e lei viene con grazia da sotto.")</f>
        <v>Una donna è sott'acqua e lei viene con grazia da sotto.</v>
      </c>
    </row>
    <row r="14567">
      <c r="A14567" s="4" t="s">
        <v>18344</v>
      </c>
      <c r="B14567" s="4" t="s">
        <v>18346</v>
      </c>
      <c r="C14567" s="5" t="str">
        <f>IFERROR(__xludf.DUMMYFUNCTION("GOOGLETRANSLATE(B14567,""en"",""it"")"),"In seguito sta nuotando con Tom e Jerry molto carina e stranamente.")</f>
        <v>In seguito sta nuotando con Tom e Jerry molto carina e stranamente.</v>
      </c>
    </row>
    <row r="14568">
      <c r="A14568" s="4" t="s">
        <v>18344</v>
      </c>
      <c r="B14568" s="4" t="s">
        <v>18347</v>
      </c>
      <c r="C14568" s="5" t="str">
        <f>IFERROR(__xludf.DUMMYFUNCTION("GOOGLETRANSLATE(B14568,""en"",""it"")"),"Quindi una è appesa da un cerchio sopra e salta giù nell'acqua.")</f>
        <v>Quindi una è appesa da un cerchio sopra e salta giù nell'acqua.</v>
      </c>
    </row>
    <row r="14569">
      <c r="A14569" s="4" t="s">
        <v>18344</v>
      </c>
      <c r="B14569" s="4" t="s">
        <v>18348</v>
      </c>
      <c r="C14569" s="5" t="str">
        <f>IFERROR(__xludf.DUMMYFUNCTION("GOOGLETRANSLATE(B14569,""en"",""it"")"),"Fa molti spettacoli diversi che coinvolgono la sua danza e il nuoto in acqua.")</f>
        <v>Fa molti spettacoli diversi che coinvolgono la sua danza e il nuoto in acqua.</v>
      </c>
    </row>
    <row r="14570">
      <c r="A14570" s="4" t="s">
        <v>18349</v>
      </c>
      <c r="B14570" s="6" t="s">
        <v>18350</v>
      </c>
      <c r="C14570" s="5" t="str">
        <f>IFERROR(__xludf.DUMMYFUNCTION("GOOGLETRANSLATE(B14570,""en"",""it"")"),"Appare uno schermo bianco con un marchio nero che dice ""The Shingle Hog"" e ha una foto di un maiale nella O della parola maiale.")</f>
        <v>Appare uno schermo bianco con un marchio nero che dice "The Shingle Hog" e ha una foto di un maiale nella O della parola maiale.</v>
      </c>
    </row>
    <row r="14571">
      <c r="A14571" s="4" t="s">
        <v>18349</v>
      </c>
      <c r="B14571" s="6" t="s">
        <v>18351</v>
      </c>
      <c r="C14571" s="5" t="str">
        <f>IFERROR(__xludf.DUMMYFUNCTION("GOOGLETRANSLATE(B14571,""en"",""it"")"),"Viene mostrata un'immagine rapida di uno strumento rosso e nero, quindi un uomo parla e le clip di persone che rimuovono l'herpes zoster giocano tra i momenti mostrati quando l'uomo parla.")</f>
        <v>Viene mostrata un'immagine rapida di uno strumento rosso e nero, quindi un uomo parla e le clip di persone che rimuovono l'herpes zoster giocano tra i momenti mostrati quando l'uomo parla.</v>
      </c>
    </row>
    <row r="14572">
      <c r="A14572" s="4" t="s">
        <v>18349</v>
      </c>
      <c r="B14572" s="6" t="s">
        <v>18352</v>
      </c>
      <c r="C14572" s="5" t="str">
        <f>IFERROR(__xludf.DUMMYFUNCTION("GOOGLETRANSLATE(B14572,""en"",""it"")"),"Lo strumento è ora mostrato da solo e il marchio e il logo vengono visualizzati sullo schermo in alto a destra.")</f>
        <v>Lo strumento è ora mostrato da solo e il marchio e il logo vengono visualizzati sullo schermo in alto a destra.</v>
      </c>
    </row>
    <row r="14573">
      <c r="A14573" s="4" t="s">
        <v>18349</v>
      </c>
      <c r="B14573" s="6" t="s">
        <v>18353</v>
      </c>
      <c r="C14573" s="5" t="str">
        <f>IFERROR(__xludf.DUMMYFUNCTION("GOOGLETRANSLATE(B14573,""en"",""it"")"),"Ora ci sono clip di persone sul tetto usando lo strumento per rimuovere l'herpes zoster e ancora una volta l'uomo sembra parlare tra le clip.")</f>
        <v>Ora ci sono clip di persone sul tetto usando lo strumento per rimuovere l'herpes zoster e ancora una volta l'uomo sembra parlare tra le clip.</v>
      </c>
    </row>
    <row r="14574">
      <c r="A14574" s="4" t="s">
        <v>18349</v>
      </c>
      <c r="B14574" s="6" t="s">
        <v>18354</v>
      </c>
      <c r="C14574" s="5" t="str">
        <f>IFERROR(__xludf.DUMMYFUNCTION("GOOGLETRANSLATE(B14574,""en"",""it"")"),"Viene visualizzato uno schermo nero e ha un elenco con molte parole bianche su di esso e il titolo è ""Risparmio per il maiale di ghiaia"".")</f>
        <v>Viene visualizzato uno schermo nero e ha un elenco con molte parole bianche su di esso e il titolo è "Risparmio per il maiale di ghiaia".</v>
      </c>
    </row>
    <row r="14575">
      <c r="A14575" s="4" t="s">
        <v>18349</v>
      </c>
      <c r="B14575" s="6" t="s">
        <v>18355</v>
      </c>
      <c r="C14575" s="5" t="str">
        <f>IFERROR(__xludf.DUMMYFUNCTION("GOOGLETRANSLATE(B14575,""en"",""it"")"),"L'uomo che parla e le clip dell'uomo che usano la macchina da scilping riproducono fino a quando non appare uno schermo bianco che include il marchio, il logo, le informazioni sul prodotto e il sito Web.")</f>
        <v>L'uomo che parla e le clip dell'uomo che usano la macchina da scilping riproducono fino a quando non appare uno schermo bianco che include il marchio, il logo, le informazioni sul prodotto e il sito Web.</v>
      </c>
    </row>
    <row r="14576">
      <c r="A14576" s="4" t="s">
        <v>18356</v>
      </c>
      <c r="B14576" s="4" t="s">
        <v>18357</v>
      </c>
      <c r="C14576" s="5" t="str">
        <f>IFERROR(__xludf.DUMMYFUNCTION("GOOGLETRANSLATE(B14576,""en"",""it"")"),"Sono mostrati quattro uomini in uniformi sportivi insieme a informazioni su AIB.")</f>
        <v>Sono mostrati quattro uomini in uniformi sportivi insieme a informazioni su AIB.</v>
      </c>
    </row>
    <row r="14577">
      <c r="A14577" s="4" t="s">
        <v>18356</v>
      </c>
      <c r="B14577" s="4" t="s">
        <v>18358</v>
      </c>
      <c r="C14577" s="5" t="str">
        <f>IFERROR(__xludf.DUMMYFUNCTION("GOOGLETRANSLATE(B14577,""en"",""it"")"),"Il primo uomo si presenta.")</f>
        <v>Il primo uomo si presenta.</v>
      </c>
    </row>
    <row r="14578">
      <c r="A14578" s="4" t="s">
        <v>18356</v>
      </c>
      <c r="B14578" s="4" t="s">
        <v>18359</v>
      </c>
      <c r="C14578" s="5" t="str">
        <f>IFERROR(__xludf.DUMMYFUNCTION("GOOGLETRANSLATE(B14578,""en"",""it"")"),"Il secondo uomo si presenta.")</f>
        <v>Il secondo uomo si presenta.</v>
      </c>
    </row>
    <row r="14579">
      <c r="A14579" s="4" t="s">
        <v>18356</v>
      </c>
      <c r="B14579" s="4" t="s">
        <v>18360</v>
      </c>
      <c r="C14579" s="5" t="str">
        <f>IFERROR(__xludf.DUMMYFUNCTION("GOOGLETRANSLATE(B14579,""en"",""it"")"),"Il terzo uomo si presenta.")</f>
        <v>Il terzo uomo si presenta.</v>
      </c>
    </row>
    <row r="14580">
      <c r="A14580" s="4" t="s">
        <v>18356</v>
      </c>
      <c r="B14580" s="4" t="s">
        <v>18361</v>
      </c>
      <c r="C14580" s="5" t="str">
        <f>IFERROR(__xludf.DUMMYFUNCTION("GOOGLETRANSLATE(B14580,""en"",""it"")"),"Alla fine, il quarto uomo si presenta.")</f>
        <v>Alla fine, il quarto uomo si presenta.</v>
      </c>
    </row>
    <row r="14581">
      <c r="A14581" s="4" t="s">
        <v>18356</v>
      </c>
      <c r="B14581" s="4" t="s">
        <v>18362</v>
      </c>
      <c r="C14581" s="5" t="str">
        <f>IFERROR(__xludf.DUMMYFUNCTION("GOOGLETRANSLATE(B14581,""en"",""it"")"),"Il primo uomo viene quindi mostrato esercitandosi cercando di colpire obiettivi sul muro.")</f>
        <v>Il primo uomo viene quindi mostrato esercitandosi cercando di colpire obiettivi sul muro.</v>
      </c>
    </row>
    <row r="14582">
      <c r="A14582" s="4" t="s">
        <v>18356</v>
      </c>
      <c r="B14582" s="4" t="s">
        <v>18363</v>
      </c>
      <c r="C14582" s="5" t="str">
        <f>IFERROR(__xludf.DUMMYFUNCTION("GOOGLETRANSLATE(B14582,""en"",""it"")"),"Il secondo uomo a presentarsi prende una svolta cercando di colpire gli obiettivi sul muro.")</f>
        <v>Il secondo uomo a presentarsi prende una svolta cercando di colpire gli obiettivi sul muro.</v>
      </c>
    </row>
    <row r="14583">
      <c r="A14583" s="4" t="s">
        <v>18356</v>
      </c>
      <c r="B14583" s="4" t="s">
        <v>18364</v>
      </c>
      <c r="C14583" s="5" t="str">
        <f>IFERROR(__xludf.DUMMYFUNCTION("GOOGLETRANSLATE(B14583,""en"",""it"")"),"L'uomo che indossa pantaloncini bianchi quindi prova il muro di pratica.")</f>
        <v>L'uomo che indossa pantaloncini bianchi quindi prova il muro di pratica.</v>
      </c>
    </row>
    <row r="14584">
      <c r="A14584" s="4" t="s">
        <v>18356</v>
      </c>
      <c r="B14584" s="4" t="s">
        <v>18365</v>
      </c>
      <c r="C14584" s="5" t="str">
        <f>IFERROR(__xludf.DUMMYFUNCTION("GOOGLETRANSLATE(B14584,""en"",""it"")"),"E infine l'uomo con i capelli rossi ci prova.")</f>
        <v>E infine l'uomo con i capelli rossi ci prova.</v>
      </c>
    </row>
    <row r="14585">
      <c r="A14585" s="4" t="s">
        <v>18356</v>
      </c>
      <c r="B14585" s="4" t="s">
        <v>18366</v>
      </c>
      <c r="C14585" s="5" t="str">
        <f>IFERROR(__xludf.DUMMYFUNCTION("GOOGLETRANSLATE(B14585,""en"",""it"")"),"Il primo uomo a praticare dà un commento sulla sua esibizione.")</f>
        <v>Il primo uomo a praticare dà un commento sulla sua esibizione.</v>
      </c>
    </row>
    <row r="14586">
      <c r="A14586" s="4" t="s">
        <v>18356</v>
      </c>
      <c r="B14586" s="4" t="s">
        <v>18367</v>
      </c>
      <c r="C14586" s="5" t="str">
        <f>IFERROR(__xludf.DUMMYFUNCTION("GOOGLETRANSLATE(B14586,""en"",""it"")"),"L'ultimo uomo a esercitarsi con i colloqui di capelli rossi.")</f>
        <v>L'ultimo uomo a esercitarsi con i colloqui di capelli rossi.</v>
      </c>
    </row>
    <row r="14587">
      <c r="A14587" s="4" t="s">
        <v>18356</v>
      </c>
      <c r="B14587" s="4" t="s">
        <v>18368</v>
      </c>
      <c r="C14587" s="5" t="str">
        <f>IFERROR(__xludf.DUMMYFUNCTION("GOOGLETRANSLATE(B14587,""en"",""it"")"),"Vengono mostrate informazioni sull'AIB e sul prossimo gioco.")</f>
        <v>Vengono mostrate informazioni sull'AIB e sul prossimo gioco.</v>
      </c>
    </row>
    <row r="14588">
      <c r="A14588" s="4" t="s">
        <v>18369</v>
      </c>
      <c r="B14588" s="6" t="s">
        <v>18370</v>
      </c>
      <c r="C14588" s="5" t="str">
        <f>IFERROR(__xludf.DUMMYFUNCTION("GOOGLETRANSLATE(B14588,""en"",""it"")"),"Un folto gruppo di persone è visto seduto su una spiaggia con diversi che mettono la protezione solare su tutto il corpo.")</f>
        <v>Un folto gruppo di persone è visto seduto su una spiaggia con diversi che mettono la protezione solare su tutto il corpo.</v>
      </c>
    </row>
    <row r="14589">
      <c r="A14589" s="4" t="s">
        <v>18369</v>
      </c>
      <c r="B14589" s="6" t="s">
        <v>18371</v>
      </c>
      <c r="C14589" s="5" t="str">
        <f>IFERROR(__xludf.DUMMYFUNCTION("GOOGLETRANSLATE(B14589,""en"",""it"")"),"Scatti di scienziati vengono mostrati realizzando la schermata solare mentre interagiscono tra loro e parlano alla telecamera.")</f>
        <v>Scatti di scienziati vengono mostrati realizzando la schermata solare mentre interagiscono tra loro e parlano alla telecamera.</v>
      </c>
    </row>
    <row r="14590">
      <c r="A14590" s="4" t="s">
        <v>18369</v>
      </c>
      <c r="B14590" s="4" t="s">
        <v>18372</v>
      </c>
      <c r="C14590" s="5" t="str">
        <f>IFERROR(__xludf.DUMMYFUNCTION("GOOGLETRANSLATE(B14590,""en"",""it"")"),"Finalmente un uomo viene visto fare le valigie in un negozio.")</f>
        <v>Finalmente un uomo viene visto fare le valigie in un negozio.</v>
      </c>
    </row>
    <row r="14591">
      <c r="A14591" s="4" t="s">
        <v>18373</v>
      </c>
      <c r="B14591" s="4" t="s">
        <v>18374</v>
      </c>
      <c r="C14591" s="5" t="str">
        <f>IFERROR(__xludf.DUMMYFUNCTION("GOOGLETRANSLATE(B14591,""en"",""it"")"),"Kid tiene in mano un soffiatore e sta soffiando foglie dalla strada.")</f>
        <v>Kid tiene in mano un soffiatore e sta soffiando foglie dalla strada.</v>
      </c>
    </row>
    <row r="14592">
      <c r="A14592" s="4" t="s">
        <v>18373</v>
      </c>
      <c r="B14592" s="4" t="s">
        <v>18375</v>
      </c>
      <c r="C14592" s="5" t="str">
        <f>IFERROR(__xludf.DUMMYFUNCTION("GOOGLETRANSLATE(B14592,""en"",""it"")"),"Il bambino cammina in un marciapiede e pulisce le foglie asciutte con il soffiatore e un uomo lo aiuta.")</f>
        <v>Il bambino cammina in un marciapiede e pulisce le foglie asciutte con il soffiatore e un uomo lo aiuta.</v>
      </c>
    </row>
    <row r="14593">
      <c r="A14593" s="4" t="s">
        <v>18373</v>
      </c>
      <c r="B14593" s="4" t="s">
        <v>18376</v>
      </c>
      <c r="C14593" s="5" t="str">
        <f>IFERROR(__xludf.DUMMYFUNCTION("GOOGLETRANSLATE(B14593,""en"",""it"")"),"Il vecchio tiene in mano un rastrello che rastrella le foglie asciutte.")</f>
        <v>Il vecchio tiene in mano un rastrello che rastrella le foglie asciutte.</v>
      </c>
    </row>
    <row r="14594">
      <c r="A14594" s="4" t="s">
        <v>18377</v>
      </c>
      <c r="B14594" s="4" t="s">
        <v>18378</v>
      </c>
      <c r="C14594" s="5" t="str">
        <f>IFERROR(__xludf.DUMMYFUNCTION("GOOGLETRANSLATE(B14594,""en"",""it"")"),"Un bambino si trova in un soggiorno disordinato.")</f>
        <v>Un bambino si trova in un soggiorno disordinato.</v>
      </c>
    </row>
    <row r="14595">
      <c r="A14595" s="4" t="s">
        <v>18377</v>
      </c>
      <c r="B14595" s="4" t="s">
        <v>18379</v>
      </c>
      <c r="C14595" s="5" t="str">
        <f>IFERROR(__xludf.DUMMYFUNCTION("GOOGLETRANSLATE(B14595,""en"",""it"")"),"Sta usando uno spazzolino elettrico.")</f>
        <v>Sta usando uno spazzolino elettrico.</v>
      </c>
    </row>
    <row r="14596">
      <c r="A14596" s="4" t="s">
        <v>18377</v>
      </c>
      <c r="B14596" s="4" t="s">
        <v>18380</v>
      </c>
      <c r="C14596" s="5" t="str">
        <f>IFERROR(__xludf.DUMMYFUNCTION("GOOGLETRANSLATE(B14596,""en"",""it"")"),"Strofina i denti con lo spazzolino da denti mentre sorride.")</f>
        <v>Strofina i denti con lo spazzolino da denti mentre sorride.</v>
      </c>
    </row>
    <row r="14597">
      <c r="A14597" s="4" t="s">
        <v>18381</v>
      </c>
      <c r="B14597" s="4" t="s">
        <v>18382</v>
      </c>
      <c r="C14597" s="5" t="str">
        <f>IFERROR(__xludf.DUMMYFUNCTION("GOOGLETRANSLATE(B14597,""en"",""it"")"),"Un uomo con una camicia azzurra rompe le palle da piscina per iniziare il gioco.")</f>
        <v>Un uomo con una camicia azzurra rompe le palle da piscina per iniziare il gioco.</v>
      </c>
    </row>
    <row r="14598">
      <c r="A14598" s="4" t="s">
        <v>18381</v>
      </c>
      <c r="B14598" s="4" t="s">
        <v>18383</v>
      </c>
      <c r="C14598" s="5" t="str">
        <f>IFERROR(__xludf.DUMMYFUNCTION("GOOGLETRANSLATE(B14598,""en"",""it"")"),"Cammina attorno al tavolo alla ricerca di un buon posto per colpire.")</f>
        <v>Cammina attorno al tavolo alla ricerca di un buon posto per colpire.</v>
      </c>
    </row>
    <row r="14599">
      <c r="A14599" s="4" t="s">
        <v>18381</v>
      </c>
      <c r="B14599" s="4" t="s">
        <v>18384</v>
      </c>
      <c r="C14599" s="5" t="str">
        <f>IFERROR(__xludf.DUMMYFUNCTION("GOOGLETRANSLATE(B14599,""en"",""it"")"),"Quindi si muove di nuovo attorno al tavolo e riesce di nuovo.")</f>
        <v>Quindi si muove di nuovo attorno al tavolo e riesce di nuovo.</v>
      </c>
    </row>
    <row r="14600">
      <c r="A14600" s="4" t="s">
        <v>18381</v>
      </c>
      <c r="B14600" s="4" t="s">
        <v>18385</v>
      </c>
      <c r="C14600" s="5" t="str">
        <f>IFERROR(__xludf.DUMMYFUNCTION("GOOGLETRANSLATE(B14600,""en"",""it"")"),"Alla fine colpisce la palla nera e termina il gioco.")</f>
        <v>Alla fine colpisce la palla nera e termina il gioco.</v>
      </c>
    </row>
    <row r="14601">
      <c r="A14601" s="4" t="s">
        <v>18386</v>
      </c>
      <c r="B14601" s="4" t="s">
        <v>18387</v>
      </c>
      <c r="C14601" s="5" t="str">
        <f>IFERROR(__xludf.DUMMYFUNCTION("GOOGLETRANSLATE(B14601,""en"",""it"")"),"Una donna salta in una piscina.")</f>
        <v>Una donna salta in una piscina.</v>
      </c>
    </row>
    <row r="14602">
      <c r="A14602" s="4" t="s">
        <v>18386</v>
      </c>
      <c r="B14602" s="4" t="s">
        <v>18388</v>
      </c>
      <c r="C14602" s="5" t="str">
        <f>IFERROR(__xludf.DUMMYFUNCTION("GOOGLETRANSLATE(B14602,""en"",""it"")"),"Una donna tiene una grande macchina fotografica che ride.")</f>
        <v>Una donna tiene una grande macchina fotografica che ride.</v>
      </c>
    </row>
    <row r="14603">
      <c r="A14603" s="4" t="s">
        <v>18386</v>
      </c>
      <c r="B14603" s="4" t="s">
        <v>18389</v>
      </c>
      <c r="C14603" s="5" t="str">
        <f>IFERROR(__xludf.DUMMYFUNCTION("GOOGLETRANSLATE(B14603,""en"",""it"")"),"Diverse altre donne si tuffano dalle tavole per immersioni in acqua.")</f>
        <v>Diverse altre donne si tuffano dalle tavole per immersioni in acqua.</v>
      </c>
    </row>
    <row r="14604">
      <c r="A14604" s="4" t="s">
        <v>18390</v>
      </c>
      <c r="B14604" s="4" t="s">
        <v>18391</v>
      </c>
      <c r="C14604" s="5" t="str">
        <f>IFERROR(__xludf.DUMMYFUNCTION("GOOGLETRANSLATE(B14604,""en"",""it"")"),"Uno chef parla alla fotocamera.")</f>
        <v>Uno chef parla alla fotocamera.</v>
      </c>
    </row>
    <row r="14605">
      <c r="A14605" s="4" t="s">
        <v>18390</v>
      </c>
      <c r="B14605" s="4" t="s">
        <v>18392</v>
      </c>
      <c r="C14605" s="5" t="str">
        <f>IFERROR(__xludf.DUMMYFUNCTION("GOOGLETRANSLATE(B14605,""en"",""it"")"),"Passa a tagliare molti funghi.")</f>
        <v>Passa a tagliare molti funghi.</v>
      </c>
    </row>
    <row r="14606">
      <c r="A14606" s="4" t="s">
        <v>18390</v>
      </c>
      <c r="B14606" s="4" t="s">
        <v>18393</v>
      </c>
      <c r="C14606" s="5" t="str">
        <f>IFERROR(__xludf.DUMMYFUNCTION("GOOGLETRANSLATE(B14606,""en"",""it"")"),"Si muove intorno ai funghi che ha appena tagliato.")</f>
        <v>Si muove intorno ai funghi che ha appena tagliato.</v>
      </c>
    </row>
    <row r="14607">
      <c r="A14607" s="4" t="s">
        <v>18394</v>
      </c>
      <c r="B14607" s="4" t="s">
        <v>18395</v>
      </c>
      <c r="C14607" s="5" t="str">
        <f>IFERROR(__xludf.DUMMYFUNCTION("GOOGLETRANSLATE(B14607,""en"",""it"")"),"Vediamo la scheda del titolo iniziale.")</f>
        <v>Vediamo la scheda del titolo iniziale.</v>
      </c>
    </row>
    <row r="14608">
      <c r="A14608" s="4" t="s">
        <v>18394</v>
      </c>
      <c r="B14608" s="4" t="s">
        <v>18396</v>
      </c>
      <c r="C14608" s="5" t="str">
        <f>IFERROR(__xludf.DUMMYFUNCTION("GOOGLETRANSLATE(B14608,""en"",""it"")"),"Una cheerleader salta e un ragazzo si avvicina e parla.")</f>
        <v>Una cheerleader salta e un ragazzo si avvicina e parla.</v>
      </c>
    </row>
    <row r="14609">
      <c r="A14609" s="4" t="s">
        <v>18394</v>
      </c>
      <c r="B14609" s="4" t="s">
        <v>18397</v>
      </c>
      <c r="C14609" s="5" t="str">
        <f>IFERROR(__xludf.DUMMYFUNCTION("GOOGLETRANSLATE(B14609,""en"",""it"")"),"Vediamo la ragazza suonare salti di cheerleader e manovre del braccio.")</f>
        <v>Vediamo la ragazza suonare salti di cheerleader e manovre del braccio.</v>
      </c>
    </row>
    <row r="14610">
      <c r="A14610" s="4" t="s">
        <v>18394</v>
      </c>
      <c r="B14610" s="4" t="s">
        <v>18398</v>
      </c>
      <c r="C14610" s="5" t="str">
        <f>IFERROR(__xludf.DUMMYFUNCTION("GOOGLETRANSLATE(B14610,""en"",""it"")"),"Vediamo i suoi piedi da vicino.")</f>
        <v>Vediamo i suoi piedi da vicino.</v>
      </c>
    </row>
    <row r="14611">
      <c r="A14611" s="4" t="s">
        <v>18394</v>
      </c>
      <c r="B14611" s="4" t="s">
        <v>18399</v>
      </c>
      <c r="C14611" s="5" t="str">
        <f>IFERROR(__xludf.DUMMYFUNCTION("GOOGLETRANSLATE(B14611,""en"",""it"")"),"La ragazza si estende piegando a terra e si siede a terra.")</f>
        <v>La ragazza si estende piegando a terra e si siede a terra.</v>
      </c>
    </row>
    <row r="14612">
      <c r="A14612" s="4" t="s">
        <v>18394</v>
      </c>
      <c r="B14612" s="4" t="s">
        <v>777</v>
      </c>
      <c r="C14612" s="5" t="str">
        <f>IFERROR(__xludf.DUMMYFUNCTION("GOOGLETRANSLATE(B14612,""en"",""it"")"),"Vediamo la schermata del titolo finale.")</f>
        <v>Vediamo la schermata del titolo finale.</v>
      </c>
    </row>
    <row r="14613">
      <c r="A14613" s="4" t="s">
        <v>18400</v>
      </c>
      <c r="B14613" s="4" t="s">
        <v>18401</v>
      </c>
      <c r="C14613" s="5" t="str">
        <f>IFERROR(__xludf.DUMMYFUNCTION("GOOGLETRANSLATE(B14613,""en"",""it"")"),"La giovane donna con lunghi capelli biondi mostra il suo polso che ha alcune cicatrici da un intervento chirurgico.")</f>
        <v>La giovane donna con lunghi capelli biondi mostra il suo polso che ha alcune cicatrici da un intervento chirurgico.</v>
      </c>
    </row>
    <row r="14614">
      <c r="A14614" s="4" t="s">
        <v>18400</v>
      </c>
      <c r="B14614" s="4" t="s">
        <v>18402</v>
      </c>
      <c r="C14614" s="5" t="str">
        <f>IFERROR(__xludf.DUMMYFUNCTION("GOOGLETRANSLATE(B14614,""en"",""it"")"),"Quindi prende un cerchio di hula di colore verde neon e lo gira intorno al suo corpo.")</f>
        <v>Quindi prende un cerchio di hula di colore verde neon e lo gira intorno al suo corpo.</v>
      </c>
    </row>
    <row r="14615">
      <c r="A14615" s="4" t="s">
        <v>18400</v>
      </c>
      <c r="B14615" s="6" t="s">
        <v>18403</v>
      </c>
      <c r="C14615" s="5" t="str">
        <f>IFERROR(__xludf.DUMMYFUNCTION("GOOGLETRANSLATE(B14615,""en"",""it"")"),"Dimostra come usare efficacemente il cerchio di hula tenendo il cerchio verso il petto.")</f>
        <v>Dimostra come usare efficacemente il cerchio di hula tenendo il cerchio verso il petto.</v>
      </c>
    </row>
    <row r="14616">
      <c r="A14616" s="4" t="s">
        <v>18400</v>
      </c>
      <c r="B14616" s="4" t="s">
        <v>18404</v>
      </c>
      <c r="C14616" s="5" t="str">
        <f>IFERROR(__xludf.DUMMYFUNCTION("GOOGLETRANSLATE(B14616,""en"",""it"")"),"Quindi inizia a girare con il cerchio sul petto.")</f>
        <v>Quindi inizia a girare con il cerchio sul petto.</v>
      </c>
    </row>
    <row r="14617">
      <c r="A14617" s="4" t="s">
        <v>18400</v>
      </c>
      <c r="B14617" s="4" t="s">
        <v>18405</v>
      </c>
      <c r="C14617" s="5" t="str">
        <f>IFERROR(__xludf.DUMMYFUNCTION("GOOGLETRANSLATE(B14617,""en"",""it"")"),"Mostra come girare il cerchio e ruotare il cerchio attorno al suo corpo senza lasciarlo cadere.")</f>
        <v>Mostra come girare il cerchio e ruotare il cerchio attorno al suo corpo senza lasciarlo cadere.</v>
      </c>
    </row>
    <row r="14618">
      <c r="A14618" s="4" t="s">
        <v>18400</v>
      </c>
      <c r="B14618" s="6" t="s">
        <v>18406</v>
      </c>
      <c r="C14618" s="5" t="str">
        <f>IFERROR(__xludf.DUMMYFUNCTION("GOOGLETRANSLATE(B14618,""en"",""it"")"),"Continua a mostrare come ruotare correttamente e girare il cerchio con le mani abbassato accanto al suo corpo.")</f>
        <v>Continua a mostrare come ruotare correttamente e girare il cerchio con le mani abbassato accanto al suo corpo.</v>
      </c>
    </row>
    <row r="14619">
      <c r="A14619" s="4" t="s">
        <v>18400</v>
      </c>
      <c r="B14619" s="4" t="s">
        <v>18407</v>
      </c>
      <c r="C14619" s="5" t="str">
        <f>IFERROR(__xludf.DUMMYFUNCTION("GOOGLETRANSLATE(B14619,""en"",""it"")"),"Quindi si ferma e fa roteare il cerchio in mano.")</f>
        <v>Quindi si ferma e fa roteare il cerchio in mano.</v>
      </c>
    </row>
    <row r="14620">
      <c r="A14620" s="4" t="s">
        <v>18408</v>
      </c>
      <c r="B14620" s="4" t="s">
        <v>18409</v>
      </c>
      <c r="C14620" s="5" t="str">
        <f>IFERROR(__xludf.DUMMYFUNCTION("GOOGLETRANSLATE(B14620,""en"",""it"")"),"Un uomo sta saldando un pezzo di metallo circolare.")</f>
        <v>Un uomo sta saldando un pezzo di metallo circolare.</v>
      </c>
    </row>
    <row r="14621">
      <c r="A14621" s="4" t="s">
        <v>18408</v>
      </c>
      <c r="B14621" s="4" t="s">
        <v>18410</v>
      </c>
      <c r="C14621" s="5" t="str">
        <f>IFERROR(__xludf.DUMMYFUNCTION("GOOGLETRANSLATE(B14621,""en"",""it"")"),"Una luce verde appare dal nulla.")</f>
        <v>Una luce verde appare dal nulla.</v>
      </c>
    </row>
    <row r="14622">
      <c r="A14622" s="4" t="s">
        <v>18408</v>
      </c>
      <c r="B14622" s="4" t="s">
        <v>18411</v>
      </c>
      <c r="C14622" s="5" t="str">
        <f>IFERROR(__xludf.DUMMYFUNCTION("GOOGLETRANSLATE(B14622,""en"",""it"")"),"L'uomo continua a saldare il pezzo di metallo circolare.")</f>
        <v>L'uomo continua a saldare il pezzo di metallo circolare.</v>
      </c>
    </row>
    <row r="14623">
      <c r="A14623" s="4" t="s">
        <v>18412</v>
      </c>
      <c r="B14623" s="6" t="s">
        <v>18413</v>
      </c>
      <c r="C14623" s="5" t="str">
        <f>IFERROR(__xludf.DUMMYFUNCTION("GOOGLETRANSLATE(B14623,""en"",""it"")"),"Un cane bianco e nero è in un parco per cani e il proprietario si piega e si muove di fronte al cane mentre lo guarda.")</f>
        <v>Un cane bianco e nero è in un parco per cani e il proprietario si piega e si muove di fronte al cane mentre lo guarda.</v>
      </c>
    </row>
    <row r="14624">
      <c r="A14624" s="4" t="s">
        <v>18412</v>
      </c>
      <c r="B14624" s="6" t="s">
        <v>18414</v>
      </c>
      <c r="C14624" s="5" t="str">
        <f>IFERROR(__xludf.DUMMYFUNCTION("GOOGLETRANSLATE(B14624,""en"",""it"")"),"Il proprietario entra quindi di più nell'erba che si tiene sui frisbee e non è solo unito al cane in bianco e nero, ma un altro cane che è marrone e bianco.")</f>
        <v>Il proprietario entra quindi di più nell'erba che si tiene sui frisbee e non è solo unito al cane in bianco e nero, ma un altro cane che è marrone e bianco.</v>
      </c>
    </row>
    <row r="14625">
      <c r="A14625" s="4" t="s">
        <v>18412</v>
      </c>
      <c r="B14625" s="6" t="s">
        <v>18415</v>
      </c>
      <c r="C14625" s="5" t="str">
        <f>IFERROR(__xludf.DUMMYFUNCTION("GOOGLETRANSLATE(B14625,""en"",""it"")"),"L'uomo inizia a gettare i frisbees in aria e i cani si alternano catturandoli e facendo trucchi per procurarli che includono persino saltare sulla schiena dell'uomo.")</f>
        <v>L'uomo inizia a gettare i frisbees in aria e i cani si alternano catturandoli e facendo trucchi per procurarli che includono persino saltare sulla schiena dell'uomo.</v>
      </c>
    </row>
    <row r="14626">
      <c r="A14626" s="4" t="s">
        <v>18416</v>
      </c>
      <c r="B14626" s="4" t="s">
        <v>18417</v>
      </c>
      <c r="C14626" s="5" t="str">
        <f>IFERROR(__xludf.DUMMYFUNCTION("GOOGLETRANSLATE(B14626,""en"",""it"")"),"Le persone cavalcano cavalli in un campo.")</f>
        <v>Le persone cavalcano cavalli in un campo.</v>
      </c>
    </row>
    <row r="14627">
      <c r="A14627" s="4" t="s">
        <v>18416</v>
      </c>
      <c r="B14627" s="4" t="s">
        <v>18418</v>
      </c>
      <c r="C14627" s="5" t="str">
        <f>IFERROR(__xludf.DUMMYFUNCTION("GOOGLETRANSLATE(B14627,""en"",""it"")"),"Stanno giocando a polo sui cavalli.")</f>
        <v>Stanno giocando a polo sui cavalli.</v>
      </c>
    </row>
    <row r="14628">
      <c r="A14628" s="4" t="s">
        <v>18416</v>
      </c>
      <c r="B14628" s="4" t="s">
        <v>18419</v>
      </c>
      <c r="C14628" s="5" t="str">
        <f>IFERROR(__xludf.DUMMYFUNCTION("GOOGLETRANSLATE(B14628,""en"",""it"")"),"Una persona in piedi in disparte ondeggia una bandiera bianca.")</f>
        <v>Una persona in piedi in disparte ondeggia una bandiera bianca.</v>
      </c>
    </row>
    <row r="14629">
      <c r="A14629" s="4" t="s">
        <v>18420</v>
      </c>
      <c r="B14629" s="4" t="s">
        <v>18421</v>
      </c>
      <c r="C14629" s="5" t="str">
        <f>IFERROR(__xludf.DUMMYFUNCTION("GOOGLETRANSLATE(B14629,""en"",""it"")"),"Due ragazze si avvicinano a una piscina, pronte per immergersi.")</f>
        <v>Due ragazze si avvicinano a una piscina, pronte per immergersi.</v>
      </c>
    </row>
    <row r="14630">
      <c r="A14630" s="4" t="s">
        <v>18420</v>
      </c>
      <c r="B14630" s="4" t="s">
        <v>18422</v>
      </c>
      <c r="C14630" s="5" t="str">
        <f>IFERROR(__xludf.DUMMYFUNCTION("GOOGLETRANSLATE(B14630,""en"",""it"")"),"Uno di loro alza le braccia in aria, quindi si tuffa nell'acqua prima di emergere.")</f>
        <v>Uno di loro alza le braccia in aria, quindi si tuffa nell'acqua prima di emergere.</v>
      </c>
    </row>
    <row r="14631">
      <c r="A14631" s="4" t="s">
        <v>18423</v>
      </c>
      <c r="B14631" s="4" t="s">
        <v>18424</v>
      </c>
      <c r="C14631" s="5" t="str">
        <f>IFERROR(__xludf.DUMMYFUNCTION("GOOGLETRANSLATE(B14631,""en"",""it"")"),"Uno strumento di saldatura viene applicato su una superficie.")</f>
        <v>Uno strumento di saldatura viene applicato su una superficie.</v>
      </c>
    </row>
    <row r="14632">
      <c r="A14632" s="4" t="s">
        <v>18423</v>
      </c>
      <c r="B14632" s="4" t="s">
        <v>18425</v>
      </c>
      <c r="C14632" s="5" t="str">
        <f>IFERROR(__xludf.DUMMYFUNCTION("GOOGLETRANSLATE(B14632,""en"",""it"")"),"Un ragazzo che tiene in mano uno strumento di saldatura indossa un casco.")</f>
        <v>Un ragazzo che tiene in mano uno strumento di saldatura indossa un casco.</v>
      </c>
    </row>
    <row r="14633">
      <c r="A14633" s="4" t="s">
        <v>18423</v>
      </c>
      <c r="B14633" s="4" t="s">
        <v>18426</v>
      </c>
      <c r="C14633" s="5" t="str">
        <f>IFERROR(__xludf.DUMMYFUNCTION("GOOGLETRANSLATE(B14633,""en"",""it"")"),"Due mani guantate usano una pistola di saldatura e si attaccano a un oggetto.")</f>
        <v>Due mani guantate usano una pistola di saldatura e si attaccano a un oggetto.</v>
      </c>
    </row>
    <row r="14634">
      <c r="A14634" s="4" t="s">
        <v>18427</v>
      </c>
      <c r="B14634" s="4" t="s">
        <v>18428</v>
      </c>
      <c r="C14634" s="5" t="str">
        <f>IFERROR(__xludf.DUMMYFUNCTION("GOOGLETRANSLATE(B14634,""en"",""it"")"),"Un uomo è vestito con armatura medievale scura.")</f>
        <v>Un uomo è vestito con armatura medievale scura.</v>
      </c>
    </row>
    <row r="14635">
      <c r="A14635" s="4" t="s">
        <v>18427</v>
      </c>
      <c r="B14635" s="6" t="s">
        <v>18429</v>
      </c>
      <c r="C14635" s="5" t="str">
        <f>IFERROR(__xludf.DUMMYFUNCTION("GOOGLETRANSLATE(B14635,""en"",""it"")"),"Diversi casi di uomini vestiti con diversi tipi di armature e tenendo vari scudi si stanno mostrando reciprocamente.")</f>
        <v>Diversi casi di uomini vestiti con diversi tipi di armature e tenendo vari scudi si stanno mostrando reciprocamente.</v>
      </c>
    </row>
    <row r="14636">
      <c r="A14636" s="4" t="s">
        <v>18427</v>
      </c>
      <c r="B14636" s="6" t="s">
        <v>18430</v>
      </c>
      <c r="C14636" s="5" t="str">
        <f>IFERROR(__xludf.DUMMYFUNCTION("GOOGLETRANSLATE(B14636,""en"",""it"")"),"Alla fine, l'uomo con lo scudo rotondo viene sconfitto quando cade a terra e pugnalato nella parte posteriore.")</f>
        <v>Alla fine, l'uomo con lo scudo rotondo viene sconfitto quando cade a terra e pugnalato nella parte posteriore.</v>
      </c>
    </row>
    <row r="14637">
      <c r="A14637" s="4" t="s">
        <v>18427</v>
      </c>
      <c r="B14637" s="4" t="s">
        <v>18431</v>
      </c>
      <c r="C14637" s="5" t="str">
        <f>IFERROR(__xludf.DUMMYFUNCTION("GOOGLETRANSLATE(B14637,""en"",""it"")"),"Il vincitore ora si gira contro un uomo che trasporta uno scudo a forma di diamante blu.")</f>
        <v>Il vincitore ora si gira contro un uomo che trasporta uno scudo a forma di diamante blu.</v>
      </c>
    </row>
    <row r="14638">
      <c r="A14638" s="4" t="s">
        <v>18427</v>
      </c>
      <c r="B14638" s="6" t="s">
        <v>18432</v>
      </c>
      <c r="C14638" s="5" t="str">
        <f>IFERROR(__xludf.DUMMYFUNCTION("GOOGLETRANSLATE(B14638,""en"",""it"")"),"Si girano più volte ma l'uomo con lo scudo blu viene sconfitto quando viene colpito alla testa e al petto e cade sulla schiena sulle ginocchia dell'altro guerriero.")</f>
        <v>Si girano più volte ma l'uomo con lo scudo blu viene sconfitto quando viene colpito alla testa e al petto e cade sulla schiena sulle ginocchia dell'altro guerriero.</v>
      </c>
    </row>
    <row r="14639">
      <c r="A14639" s="4" t="s">
        <v>18427</v>
      </c>
      <c r="B14639" s="4" t="s">
        <v>18433</v>
      </c>
      <c r="C14639" s="5" t="str">
        <f>IFERROR(__xludf.DUMMYFUNCTION("GOOGLETRANSLATE(B14639,""en"",""it"")"),"Viene mostrato un primo piano del guerriero sopravvissuto, chiaramente soddisfatto delle sue vittorie.")</f>
        <v>Viene mostrato un primo piano del guerriero sopravvissuto, chiaramente soddisfatto delle sue vittorie.</v>
      </c>
    </row>
    <row r="14640">
      <c r="A14640" s="4" t="s">
        <v>18434</v>
      </c>
      <c r="B14640" s="4" t="s">
        <v>18435</v>
      </c>
      <c r="C14640" s="5" t="str">
        <f>IFERROR(__xludf.DUMMYFUNCTION("GOOGLETRANSLATE(B14640,""en"",""it"")"),"Il video inizia con una sequenza e logo del titolo.")</f>
        <v>Il video inizia con una sequenza e logo del titolo.</v>
      </c>
    </row>
    <row r="14641">
      <c r="A14641" s="4" t="s">
        <v>18434</v>
      </c>
      <c r="B14641" s="4" t="s">
        <v>18436</v>
      </c>
      <c r="C14641" s="5" t="str">
        <f>IFERROR(__xludf.DUMMYFUNCTION("GOOGLETRANSLATE(B14641,""en"",""it"")"),"Diverse clip iniziano a giocare a campi di pallavolo con spettatori.")</f>
        <v>Diverse clip iniziano a giocare a campi di pallavolo con spettatori.</v>
      </c>
    </row>
    <row r="14642">
      <c r="A14642" s="4" t="s">
        <v>18434</v>
      </c>
      <c r="B14642" s="4" t="s">
        <v>18437</v>
      </c>
      <c r="C14642" s="5" t="str">
        <f>IFERROR(__xludf.DUMMYFUNCTION("GOOGLETRANSLATE(B14642,""en"",""it"")"),"La prima clip mostra ai giocatori che celebrano.")</f>
        <v>La prima clip mostra ai giocatori che celebrano.</v>
      </c>
    </row>
    <row r="14643">
      <c r="A14643" s="4" t="s">
        <v>18434</v>
      </c>
      <c r="B14643" s="4" t="s">
        <v>18438</v>
      </c>
      <c r="C14643" s="5" t="str">
        <f>IFERROR(__xludf.DUMMYFUNCTION("GOOGLETRANSLATE(B14643,""en"",""it"")"),"Il video passa ai membri di una band.")</f>
        <v>Il video passa ai membri di una band.</v>
      </c>
    </row>
    <row r="14644">
      <c r="A14644" s="4" t="s">
        <v>18434</v>
      </c>
      <c r="B14644" s="4" t="s">
        <v>18439</v>
      </c>
      <c r="C14644" s="5" t="str">
        <f>IFERROR(__xludf.DUMMYFUNCTION("GOOGLETRANSLATE(B14644,""en"",""it"")"),"Continua quindi a mostrare clip di uomini che giocano a pallavolo.")</f>
        <v>Continua quindi a mostrare clip di uomini che giocano a pallavolo.</v>
      </c>
    </row>
    <row r="14645">
      <c r="A14645" s="4" t="s">
        <v>18434</v>
      </c>
      <c r="B14645" s="4" t="s">
        <v>18440</v>
      </c>
      <c r="C14645" s="5" t="str">
        <f>IFERROR(__xludf.DUMMYFUNCTION("GOOGLETRANSLATE(B14645,""en"",""it"")"),"Il video termina con un primo piano del pubblico e una sequenza del titolo.")</f>
        <v>Il video termina con un primo piano del pubblico e una sequenza del titolo.</v>
      </c>
    </row>
    <row r="14646">
      <c r="A14646" s="4" t="s">
        <v>18441</v>
      </c>
      <c r="B14646" s="4" t="s">
        <v>18442</v>
      </c>
      <c r="C14646" s="5" t="str">
        <f>IFERROR(__xludf.DUMMYFUNCTION("GOOGLETRANSLATE(B14646,""en"",""it"")"),"Le persone iniziano a immergersi in una piscina vuota e li vedi sotto l'acqua.")</f>
        <v>Le persone iniziano a immergersi in una piscina vuota e li vedi sotto l'acqua.</v>
      </c>
    </row>
    <row r="14647">
      <c r="A14647" s="4" t="s">
        <v>18441</v>
      </c>
      <c r="B14647" s="4" t="s">
        <v>18443</v>
      </c>
      <c r="C14647" s="5" t="str">
        <f>IFERROR(__xludf.DUMMYFUNCTION("GOOGLETRANSLATE(B14647,""en"",""it"")"),"Quindi, sopra dalla tavola da immersione, due nuotatori sono in piedi e uno di loro si tuffa.")</f>
        <v>Quindi, sopra dalla tavola da immersione, due nuotatori sono in piedi e uno di loro si tuffa.</v>
      </c>
    </row>
    <row r="14648">
      <c r="A14648" s="4" t="s">
        <v>18441</v>
      </c>
      <c r="B14648" s="6" t="s">
        <v>18444</v>
      </c>
      <c r="C14648" s="5" t="str">
        <f>IFERROR(__xludf.DUMMYFUNCTION("GOOGLETRANSLATE(B14648,""en"",""it"")"),"Un gruppo di bambini che tiene il film della telecamera si immergono e fanno fantastici trucchi e si lancia in piscina.")</f>
        <v>Un gruppo di bambini che tiene il film della telecamera si immergono e fanno fantastici trucchi e si lancia in piscina.</v>
      </c>
    </row>
    <row r="14649">
      <c r="A14649" s="4" t="s">
        <v>18441</v>
      </c>
      <c r="B14649" s="6" t="s">
        <v>18445</v>
      </c>
      <c r="C14649" s="5" t="str">
        <f>IFERROR(__xludf.DUMMYFUNCTION("GOOGLETRANSLATE(B14649,""en"",""it"")"),"Da molto in alto, registrano la loro vista dall'alto verso l'acqua e la nuotata una volta entrati.")</f>
        <v>Da molto in alto, registrano la loro vista dall'alto verso l'acqua e la nuotata una volta entrati.</v>
      </c>
    </row>
    <row r="14650">
      <c r="A14650" s="4" t="s">
        <v>18446</v>
      </c>
      <c r="B14650" s="4" t="s">
        <v>18447</v>
      </c>
      <c r="C14650" s="5" t="str">
        <f>IFERROR(__xludf.DUMMYFUNCTION("GOOGLETRANSLATE(B14650,""en"",""it"")"),"Due donne di wrestling stanno combattendo su un anello.")</f>
        <v>Due donne di wrestling stanno combattendo su un anello.</v>
      </c>
    </row>
    <row r="14651">
      <c r="A14651" s="4" t="s">
        <v>18446</v>
      </c>
      <c r="B14651" s="4" t="s">
        <v>18448</v>
      </c>
      <c r="C14651" s="5" t="str">
        <f>IFERROR(__xludf.DUMMYFUNCTION("GOOGLETRANSLATE(B14651,""en"",""it"")"),"Fanno un suplex e l'arbitro conta con tre mentre la donna dai capelli scuri vince.")</f>
        <v>Fanno un suplex e l'arbitro conta con tre mentre la donna dai capelli scuri vince.</v>
      </c>
    </row>
    <row r="14652">
      <c r="A14652" s="4" t="s">
        <v>18449</v>
      </c>
      <c r="B14652" s="4" t="s">
        <v>18450</v>
      </c>
      <c r="C14652" s="5" t="str">
        <f>IFERROR(__xludf.DUMMYFUNCTION("GOOGLETRANSLATE(B14652,""en"",""it"")"),"Un gruppo di ragazzi sta giocando a palla su un campo.")</f>
        <v>Un gruppo di ragazzi sta giocando a palla su un campo.</v>
      </c>
    </row>
    <row r="14653">
      <c r="A14653" s="4" t="s">
        <v>18449</v>
      </c>
      <c r="B14653" s="4" t="s">
        <v>18451</v>
      </c>
      <c r="C14653" s="5" t="str">
        <f>IFERROR(__xludf.DUMMYFUNCTION("GOOGLETRANSLATE(B14653,""en"",""it"")"),"Sono guidati dal loro allenatore.")</f>
        <v>Sono guidati dal loro allenatore.</v>
      </c>
    </row>
    <row r="14654">
      <c r="A14654" s="4" t="s">
        <v>18449</v>
      </c>
      <c r="B14654" s="4" t="s">
        <v>18452</v>
      </c>
      <c r="C14654" s="5" t="str">
        <f>IFERROR(__xludf.DUMMYFUNCTION("GOOGLETRANSLATE(B14654,""en"",""it"")"),"Corrono con le palle, cercando di fare cestini.")</f>
        <v>Corrono con le palle, cercando di fare cestini.</v>
      </c>
    </row>
    <row r="14655">
      <c r="A14655" s="4" t="s">
        <v>18453</v>
      </c>
      <c r="B14655" s="4" t="s">
        <v>18454</v>
      </c>
      <c r="C14655" s="5" t="str">
        <f>IFERROR(__xludf.DUMMYFUNCTION("GOOGLETRANSLATE(B14655,""en"",""it"")"),"Una mano riempie una tazza con acqua.")</f>
        <v>Una mano riempie una tazza con acqua.</v>
      </c>
    </row>
    <row r="14656">
      <c r="A14656" s="4" t="s">
        <v>18453</v>
      </c>
      <c r="B14656" s="4" t="s">
        <v>18455</v>
      </c>
      <c r="C14656" s="5" t="str">
        <f>IFERROR(__xludf.DUMMYFUNCTION("GOOGLETRANSLATE(B14656,""en"",""it"")"),"Una donna mette due occhiali sul bancone.")</f>
        <v>Una donna mette due occhiali sul bancone.</v>
      </c>
    </row>
    <row r="14657">
      <c r="A14657" s="4" t="s">
        <v>18453</v>
      </c>
      <c r="B14657" s="4" t="s">
        <v>18456</v>
      </c>
      <c r="C14657" s="5" t="str">
        <f>IFERROR(__xludf.DUMMYFUNCTION("GOOGLETRANSLATE(B14657,""en"",""it"")"),"La donna mette birra e succo d'arancia in un bicchiere grosso, poi versa liquore nel bicchiere.")</f>
        <v>La donna mette birra e succo d'arancia in un bicchiere grosso, poi versa liquore nel bicchiere.</v>
      </c>
    </row>
    <row r="14658">
      <c r="A14658" s="4" t="s">
        <v>18453</v>
      </c>
      <c r="B14658" s="4" t="s">
        <v>18457</v>
      </c>
      <c r="C14658" s="5" t="str">
        <f>IFERROR(__xludf.DUMMYFUNCTION("GOOGLETRANSLATE(B14658,""en"",""it"")"),"Dopo, la donna mette il vetro piccolo all'interno del vetro grande.")</f>
        <v>Dopo, la donna mette il vetro piccolo all'interno del vetro grande.</v>
      </c>
    </row>
    <row r="14659">
      <c r="A14659" s="4" t="s">
        <v>18458</v>
      </c>
      <c r="B14659" s="4" t="s">
        <v>18459</v>
      </c>
      <c r="C14659" s="5" t="str">
        <f>IFERROR(__xludf.DUMMYFUNCTION("GOOGLETRANSLATE(B14659,""en"",""it"")"),"Viene mostrata una grande ondata seguita da una persona in piedi su una tavola da surf.")</f>
        <v>Viene mostrata una grande ondata seguita da una persona in piedi su una tavola da surf.</v>
      </c>
    </row>
    <row r="14660">
      <c r="A14660" s="4" t="s">
        <v>18458</v>
      </c>
      <c r="B14660" s="4" t="s">
        <v>18460</v>
      </c>
      <c r="C14660" s="5" t="str">
        <f>IFERROR(__xludf.DUMMYFUNCTION("GOOGLETRANSLATE(B14660,""en"",""it"")"),"La persona viene mostrata navigando lungo l'acqua mentre la telecamera si filma da dietro.")</f>
        <v>La persona viene mostrata navigando lungo l'acqua mentre la telecamera si filma da dietro.</v>
      </c>
    </row>
    <row r="14661">
      <c r="A14661" s="4" t="s">
        <v>18458</v>
      </c>
      <c r="B14661" s="4" t="s">
        <v>18461</v>
      </c>
      <c r="C14661" s="5" t="str">
        <f>IFERROR(__xludf.DUMMYFUNCTION("GOOGLETRANSLATE(B14661,""en"",""it"")"),"L'uomo continua a navigare e si reca verso una barca.")</f>
        <v>L'uomo continua a navigare e si reca verso una barca.</v>
      </c>
    </row>
    <row r="14662">
      <c r="A14662" s="4" t="s">
        <v>18462</v>
      </c>
      <c r="B14662" s="4" t="s">
        <v>18463</v>
      </c>
      <c r="C14662" s="5" t="str">
        <f>IFERROR(__xludf.DUMMYFUNCTION("GOOGLETRANSLATE(B14662,""en"",""it"")"),"Un uomo in una camicia rossa guida un trattore arancione attorno al prato.")</f>
        <v>Un uomo in una camicia rossa guida un trattore arancione attorno al prato.</v>
      </c>
    </row>
    <row r="14663">
      <c r="A14663" s="4" t="s">
        <v>18462</v>
      </c>
      <c r="B14663" s="4" t="s">
        <v>18464</v>
      </c>
      <c r="C14663" s="5" t="str">
        <f>IFERROR(__xludf.DUMMYFUNCTION("GOOGLETRANSLATE(B14663,""en"",""it"")"),"Un cane corre intorno al cortile.")</f>
        <v>Un cane corre intorno al cortile.</v>
      </c>
    </row>
    <row r="14664">
      <c r="A14664" s="4" t="s">
        <v>18462</v>
      </c>
      <c r="B14664" s="4" t="s">
        <v>18465</v>
      </c>
      <c r="C14664" s="5" t="str">
        <f>IFERROR(__xludf.DUMMYFUNCTION("GOOGLETRANSLATE(B14664,""en"",""it"")"),"Una donna guida il trattore arancione.")</f>
        <v>Una donna guida il trattore arancione.</v>
      </c>
    </row>
    <row r="14665">
      <c r="A14665" s="4" t="s">
        <v>18466</v>
      </c>
      <c r="B14665" s="4" t="s">
        <v>18467</v>
      </c>
      <c r="C14665" s="5" t="str">
        <f>IFERROR(__xludf.DUMMYFUNCTION("GOOGLETRANSLATE(B14665,""en"",""it"")"),"Due donne vengono viste camminare sul palco e conducono su di esse eseguendo una routine di danza del ventre.")</f>
        <v>Due donne vengono viste camminare sul palco e conducono su di esse eseguendo una routine di danza del ventre.</v>
      </c>
    </row>
    <row r="14666">
      <c r="A14666" s="4" t="s">
        <v>18466</v>
      </c>
      <c r="B14666" s="4" t="s">
        <v>18468</v>
      </c>
      <c r="C14666" s="5" t="str">
        <f>IFERROR(__xludf.DUMMYFUNCTION("GOOGLETRANSLATE(B14666,""en"",""it"")"),"Le donne ballano intorno al palco mentre le luci lampeggiano attorno a loro.")</f>
        <v>Le donne ballano intorno al palco mentre le luci lampeggiano attorno a loro.</v>
      </c>
    </row>
    <row r="14667">
      <c r="A14667" s="4" t="s">
        <v>18466</v>
      </c>
      <c r="B14667" s="4" t="s">
        <v>18469</v>
      </c>
      <c r="C14667" s="5" t="str">
        <f>IFERROR(__xludf.DUMMYFUNCTION("GOOGLETRANSLATE(B14667,""en"",""it"")"),"Le donne continuano a ballare l'una verso l'altra e finiscono ridendo l'una con l'altra.")</f>
        <v>Le donne continuano a ballare l'una verso l'altra e finiscono ridendo l'una con l'altra.</v>
      </c>
    </row>
    <row r="14668">
      <c r="A14668" s="4" t="s">
        <v>18470</v>
      </c>
      <c r="B14668" s="4" t="s">
        <v>18471</v>
      </c>
      <c r="C14668" s="5" t="str">
        <f>IFERROR(__xludf.DUMMYFUNCTION("GOOGLETRANSLATE(B14668,""en"",""it"")"),"Una donna di notizie sta parlando con una macchina fotografica.")</f>
        <v>Una donna di notizie sta parlando con una macchina fotografica.</v>
      </c>
    </row>
    <row r="14669">
      <c r="A14669" s="4" t="s">
        <v>18470</v>
      </c>
      <c r="B14669" s="4" t="s">
        <v>18472</v>
      </c>
      <c r="C14669" s="5" t="str">
        <f>IFERROR(__xludf.DUMMYFUNCTION("GOOGLETRANSLATE(B14669,""en"",""it"")"),"Ha una conversazione con un uomo che è anche un giornalista.")</f>
        <v>Ha una conversazione con un uomo che è anche un giornalista.</v>
      </c>
    </row>
    <row r="14670">
      <c r="A14670" s="4" t="s">
        <v>18470</v>
      </c>
      <c r="B14670" s="4" t="s">
        <v>18473</v>
      </c>
      <c r="C14670" s="5" t="str">
        <f>IFERROR(__xludf.DUMMYFUNCTION("GOOGLETRANSLATE(B14670,""en"",""it"")"),"Le immagini di stampi a mano sono mostrate sullo sfondo.")</f>
        <v>Le immagini di stampi a mano sono mostrate sullo sfondo.</v>
      </c>
    </row>
    <row r="14671">
      <c r="A14671" s="4" t="s">
        <v>18474</v>
      </c>
      <c r="B14671" s="6" t="s">
        <v>18475</v>
      </c>
      <c r="C14671" s="5" t="str">
        <f>IFERROR(__xludf.DUMMYFUNCTION("GOOGLETRANSLATE(B14671,""en"",""it"")"),"Viene visualizzato uno schermo nero e le parole bianche su di esso leggono ""Rob Lane è il milionario manutenzione"".")</f>
        <v>Viene visualizzato uno schermo nero e le parole bianche su di esso leggono "Rob Lane è il milionario manutenzione".</v>
      </c>
    </row>
    <row r="14672">
      <c r="A14672" s="4" t="s">
        <v>18474</v>
      </c>
      <c r="B14672" s="6" t="s">
        <v>18476</v>
      </c>
      <c r="C14672" s="5" t="str">
        <f>IFERROR(__xludf.DUMMYFUNCTION("GOOGLETRANSLATE(B14672,""en"",""it"")"),"Un uomo che indossa gli occhiali appare all'aperto di fronte a una recinzione e tiene una macchina a spazzola d'aria e parla.")</f>
        <v>Un uomo che indossa gli occhiali appare all'aperto di fronte a una recinzione e tiene una macchina a spazzola d'aria e parla.</v>
      </c>
    </row>
    <row r="14673">
      <c r="A14673" s="4" t="s">
        <v>18474</v>
      </c>
      <c r="B14673" s="4" t="s">
        <v>18477</v>
      </c>
      <c r="C14673" s="5" t="str">
        <f>IFERROR(__xludf.DUMMYFUNCTION("GOOGLETRANSLATE(B14673,""en"",""it"")"),"L'uomo si gira quindi e cammina verso la recinzione e inizia aerografate su di esso.")</f>
        <v>L'uomo si gira quindi e cammina verso la recinzione e inizia aerografate su di esso.</v>
      </c>
    </row>
    <row r="14674">
      <c r="A14674" s="4" t="s">
        <v>18474</v>
      </c>
      <c r="B14674" s="6" t="s">
        <v>18478</v>
      </c>
      <c r="C14674" s="5" t="str">
        <f>IFERROR(__xludf.DUMMYFUNCTION("GOOGLETRANSLATE(B14674,""en"",""it"")"),"L'uomo smette di aerografo e ricomincia a parlare mentre si fa a fare a mano alla recinzione e a questa macchina per aerografo.")</f>
        <v>L'uomo smette di aerografo e ricomincia a parlare mentre si fa a fare a mano alla recinzione e a questa macchina per aerografo.</v>
      </c>
    </row>
    <row r="14675">
      <c r="A14675" s="4" t="s">
        <v>18479</v>
      </c>
      <c r="B14675" s="4" t="s">
        <v>18480</v>
      </c>
      <c r="C14675" s="5" t="str">
        <f>IFERROR(__xludf.DUMMYFUNCTION("GOOGLETRANSLATE(B14675,""en"",""it"")"),"Viene vista una donna parlare alla telecamera mentre un piccolo tavolo di foose si trova davanti a lei.")</f>
        <v>Viene vista una donna parlare alla telecamera mentre un piccolo tavolo di foose si trova davanti a lei.</v>
      </c>
    </row>
    <row r="14676">
      <c r="A14676" s="4" t="s">
        <v>18479</v>
      </c>
      <c r="B14676" s="6" t="s">
        <v>18481</v>
      </c>
      <c r="C14676" s="5" t="str">
        <f>IFERROR(__xludf.DUMMYFUNCTION("GOOGLETRANSLATE(B14676,""en"",""it"")"),"La donna continua a parlare mentre gira in giro per il gioco di tanto in tanto e conduce a giocare con un'altra ragazza.")</f>
        <v>La donna continua a parlare mentre gira in giro per il gioco di tanto in tanto e conduce a giocare con un'altra ragazza.</v>
      </c>
    </row>
    <row r="14677">
      <c r="A14677" s="4" t="s">
        <v>18482</v>
      </c>
      <c r="B14677" s="4" t="s">
        <v>18483</v>
      </c>
      <c r="C14677" s="5" t="str">
        <f>IFERROR(__xludf.DUMMYFUNCTION("GOOGLETRANSLATE(B14677,""en"",""it"")"),"Un dumbell appare sullo schermo con le parole ""Catalyst Athletics"" sovrapposti.")</f>
        <v>Un dumbell appare sullo schermo con le parole "Catalyst Athletics" sovrapposti.</v>
      </c>
    </row>
    <row r="14678">
      <c r="A14678" s="4" t="s">
        <v>18482</v>
      </c>
      <c r="B14678" s="4" t="s">
        <v>18484</v>
      </c>
      <c r="C14678" s="5" t="str">
        <f>IFERROR(__xludf.DUMMYFUNCTION("GOOGLETRANSLATE(B14678,""en"",""it"")"),"Un uomo solleva pesi sopra la testa in palestra.")</f>
        <v>Un uomo solleva pesi sopra la testa in palestra.</v>
      </c>
    </row>
    <row r="14679">
      <c r="A14679" s="4" t="s">
        <v>18482</v>
      </c>
      <c r="B14679" s="4" t="s">
        <v>18485</v>
      </c>
      <c r="C14679" s="5" t="str">
        <f>IFERROR(__xludf.DUMMYFUNCTION("GOOGLETRANSLATE(B14679,""en"",""it"")"),"Una donna quindi solleva pesi sopra la testa.")</f>
        <v>Una donna quindi solleva pesi sopra la testa.</v>
      </c>
    </row>
    <row r="14680">
      <c r="A14680" s="4" t="s">
        <v>18482</v>
      </c>
      <c r="B14680" s="4" t="s">
        <v>18486</v>
      </c>
      <c r="C14680" s="5" t="str">
        <f>IFERROR(__xludf.DUMMYFUNCTION("GOOGLETRANSLATE(B14680,""en"",""it"")"),"Un logo ""Catalyst Athletics"" appare con i collegamenti sui social media.")</f>
        <v>Un logo "Catalyst Athletics" appare con i collegamenti sui social media.</v>
      </c>
    </row>
    <row r="14681">
      <c r="A14681" s="4" t="s">
        <v>18487</v>
      </c>
      <c r="B14681" s="4" t="s">
        <v>18488</v>
      </c>
      <c r="C14681" s="5" t="str">
        <f>IFERROR(__xludf.DUMMYFUNCTION("GOOGLETRANSLATE(B14681,""en"",""it"")"),"Un ragazzo è bilanciato alla fine di una tavola da immersione.")</f>
        <v>Un ragazzo è bilanciato alla fine di una tavola da immersione.</v>
      </c>
    </row>
    <row r="14682">
      <c r="A14682" s="4" t="s">
        <v>18487</v>
      </c>
      <c r="B14682" s="4" t="s">
        <v>18489</v>
      </c>
      <c r="C14682" s="5" t="str">
        <f>IFERROR(__xludf.DUMMYFUNCTION("GOOGLETRANSLATE(B14682,""en"",""it"")"),"Si tuffa, lanciandosi all'indietro mentre procede.")</f>
        <v>Si tuffa, lanciandosi all'indietro mentre procede.</v>
      </c>
    </row>
    <row r="14683">
      <c r="A14683" s="4" t="s">
        <v>18487</v>
      </c>
      <c r="B14683" s="4" t="s">
        <v>18490</v>
      </c>
      <c r="C14683" s="5" t="str">
        <f>IFERROR(__xludf.DUMMYFUNCTION("GOOGLETRANSLATE(B14683,""en"",""it"")"),"Atterra con grazia in acqua.")</f>
        <v>Atterra con grazia in acqua.</v>
      </c>
    </row>
    <row r="14684">
      <c r="A14684" s="4" t="s">
        <v>18491</v>
      </c>
      <c r="B14684" s="6" t="s">
        <v>18492</v>
      </c>
      <c r="C14684" s="5" t="str">
        <f>IFERROR(__xludf.DUMMYFUNCTION("GOOGLETRANSLATE(B14684,""en"",""it"")"),"Un uomo usa un pennello per corso e un asciugamano per preparare lo sci su cui lavorare mentre si trova su un rack.")</f>
        <v>Un uomo usa un pennello per corso e un asciugamano per preparare lo sci su cui lavorare mentre si trova su un rack.</v>
      </c>
    </row>
    <row r="14685">
      <c r="A14685" s="4" t="s">
        <v>18491</v>
      </c>
      <c r="B14685" s="4" t="s">
        <v>18493</v>
      </c>
      <c r="C14685" s="5" t="str">
        <f>IFERROR(__xludf.DUMMYFUNCTION("GOOGLETRANSLATE(B14685,""en"",""it"")"),"L'uomo scioglie una barra di cera sulla superficie dello sci con un ferro, quindi la usa per fondersi nella cera.")</f>
        <v>L'uomo scioglie una barra di cera sulla superficie dello sci con un ferro, quindi la usa per fondersi nella cera.</v>
      </c>
    </row>
    <row r="14686">
      <c r="A14686" s="4" t="s">
        <v>18491</v>
      </c>
      <c r="B14686" s="4" t="s">
        <v>18494</v>
      </c>
      <c r="C14686" s="5" t="str">
        <f>IFERROR(__xludf.DUMMYFUNCTION("GOOGLETRANSLATE(B14686,""en"",""it"")"),"Un uomo affila un bordo piatto, quindi raschia lo strato esterno di cera dalla superficie degli sci.")</f>
        <v>Un uomo affila un bordo piatto, quindi raschia lo strato esterno di cera dalla superficie degli sci.</v>
      </c>
    </row>
    <row r="14687">
      <c r="A14687" s="4" t="s">
        <v>18491</v>
      </c>
      <c r="B14687" s="4" t="s">
        <v>18495</v>
      </c>
      <c r="C14687" s="5" t="str">
        <f>IFERROR(__xludf.DUMMYFUNCTION("GOOGLETRANSLATE(B14687,""en"",""it"")"),"L'uomo usa una spazzola per corso e poi un asciugamano per finire di preparare la superficie degli sci.")</f>
        <v>L'uomo usa una spazzola per corso e poi un asciugamano per finire di preparare la superficie degli sci.</v>
      </c>
    </row>
    <row r="14688">
      <c r="A14688" s="4" t="s">
        <v>18496</v>
      </c>
      <c r="B14688" s="4" t="s">
        <v>18497</v>
      </c>
      <c r="C14688" s="5" t="str">
        <f>IFERROR(__xludf.DUMMYFUNCTION("GOOGLETRANSLATE(B14688,""en"",""it"")"),"Viene mostrato un piatto di cabonara cremosa e gli ingredienti appaiono in piccoli piatti limpidi.")</f>
        <v>Viene mostrato un piatto di cabonara cremosa e gli ingredienti appaiono in piccoli piatti limpidi.</v>
      </c>
    </row>
    <row r="14689">
      <c r="A14689" s="4" t="s">
        <v>18496</v>
      </c>
      <c r="B14689" s="4" t="s">
        <v>18498</v>
      </c>
      <c r="C14689" s="5" t="str">
        <f>IFERROR(__xludf.DUMMYFUNCTION("GOOGLETRANSLATE(B14689,""en"",""it"")"),"Il sale viene quindi aggiunto a una padella e gli spaghetti iniziano a bollire.")</f>
        <v>Il sale viene quindi aggiunto a una padella e gli spaghetti iniziano a bollire.</v>
      </c>
    </row>
    <row r="14690">
      <c r="A14690" s="4" t="s">
        <v>18496</v>
      </c>
      <c r="B14690" s="4" t="s">
        <v>18499</v>
      </c>
      <c r="C14690" s="5" t="str">
        <f>IFERROR(__xludf.DUMMYFUNCTION("GOOGLETRANSLATE(B14690,""en"",""it"")"),"Un po 'di olio viene quindi inserito in una padella e la pancetta canadese e le cipolle vengono fritte.")</f>
        <v>Un po 'di olio viene quindi inserito in una padella e la pancetta canadese e le cipolle vengono fritte.</v>
      </c>
    </row>
    <row r="14691">
      <c r="A14691" s="4" t="s">
        <v>18496</v>
      </c>
      <c r="B14691" s="4" t="s">
        <v>18500</v>
      </c>
      <c r="C14691" s="5" t="str">
        <f>IFERROR(__xludf.DUMMYFUNCTION("GOOGLETRANSLATE(B14691,""en"",""it"")"),"Successivamente, vengono aggiunti più ingredienti con pasta e tuorli d'uovo.")</f>
        <v>Successivamente, vengono aggiunti più ingredienti con pasta e tuorli d'uovo.</v>
      </c>
    </row>
    <row r="14692">
      <c r="A14692" s="4" t="s">
        <v>18496</v>
      </c>
      <c r="B14692" s="6" t="s">
        <v>18501</v>
      </c>
      <c r="C14692" s="5" t="str">
        <f>IFERROR(__xludf.DUMMYFUNCTION("GOOGLETRANSLATE(B14692,""en"",""it"")"),"Infine, la salsa viene eseguita e tutti gli ingredienti vengono compilati e il formaggio viene aggiunto al piatto in quanto è posizionata sul piatto.")</f>
        <v>Infine, la salsa viene eseguita e tutti gli ingredienti vengono compilati e il formaggio viene aggiunto al piatto in quanto è posizionata sul piatto.</v>
      </c>
    </row>
    <row r="14693">
      <c r="A14693" s="4" t="s">
        <v>18496</v>
      </c>
      <c r="B14693" s="4" t="s">
        <v>18502</v>
      </c>
      <c r="C14693" s="5" t="str">
        <f>IFERROR(__xludf.DUMMYFUNCTION("GOOGLETRANSLATE(B14693,""en"",""it"")"),"Dopo, vengono mostrati più antipasti e lo schermo termina sull'URL del sito web di Ulampinoy.")</f>
        <v>Dopo, vengono mostrati più antipasti e lo schermo termina sull'URL del sito web di Ulampinoy.</v>
      </c>
    </row>
    <row r="14694">
      <c r="A14694" s="4" t="s">
        <v>18503</v>
      </c>
      <c r="B14694" s="6" t="s">
        <v>18504</v>
      </c>
      <c r="C14694" s="5" t="str">
        <f>IFERROR(__xludf.DUMMYFUNCTION("GOOGLETRANSLATE(B14694,""en"",""it"")"),"Una donna dimostra come usare un contenitore di pigmenti in polvere per realizzare molti diversi prodotti per capelli, unghie e faccia.")</f>
        <v>Una donna dimostra come usare un contenitore di pigmenti in polvere per realizzare molti diversi prodotti per capelli, unghie e faccia.</v>
      </c>
    </row>
    <row r="14695">
      <c r="A14695" s="4" t="s">
        <v>18503</v>
      </c>
      <c r="B14695" s="4" t="s">
        <v>18505</v>
      </c>
      <c r="C14695" s="5" t="str">
        <f>IFERROR(__xludf.DUMMYFUNCTION("GOOGLETRANSLATE(B14695,""en"",""it"")"),"Una donna parla con la telecamera davanti a un bancone pieno di trucco.")</f>
        <v>Una donna parla con la telecamera davanti a un bancone pieno di trucco.</v>
      </c>
    </row>
    <row r="14696">
      <c r="A14696" s="4" t="s">
        <v>18503</v>
      </c>
      <c r="B14696" s="6" t="s">
        <v>18506</v>
      </c>
      <c r="C14696" s="5" t="str">
        <f>IFERROR(__xludf.DUMMYFUNCTION("GOOGLETRANSLATE(B14696,""en"",""it"")"),"La fotocamera mostra diversi pezzi di trucco con schede di descrizione di accompagnamento tra il taglio della donna che parla.")</f>
        <v>La fotocamera mostra diversi pezzi di trucco con schede di descrizione di accompagnamento tra il taglio della donna che parla.</v>
      </c>
    </row>
    <row r="14697">
      <c r="A14697" s="4" t="s">
        <v>18503</v>
      </c>
      <c r="B14697" s="6" t="s">
        <v>18507</v>
      </c>
      <c r="C14697" s="5" t="str">
        <f>IFERROR(__xludf.DUMMYFUNCTION("GOOGLETRANSLATE(B14697,""en"",""it"")"),"La donna inizia ad applicare un po 'di trucco sul viso, comprese le labbra e le unghie tramite smalto.")</f>
        <v>La donna inizia ad applicare un po 'di trucco sul viso, comprese le labbra e le unghie tramite smalto.</v>
      </c>
    </row>
    <row r="14698">
      <c r="A14698" s="4" t="s">
        <v>18503</v>
      </c>
      <c r="B14698" s="4" t="s">
        <v>18508</v>
      </c>
      <c r="C14698" s="5" t="str">
        <f>IFERROR(__xludf.DUMMYFUNCTION("GOOGLETRANSLATE(B14698,""en"",""it"")"),"La donna usa un po 'di trucco per preparare i capelli nei capelli di un altro.")</f>
        <v>La donna usa un po 'di trucco per preparare i capelli nei capelli di un altro.</v>
      </c>
    </row>
    <row r="14699">
      <c r="A14699" s="4" t="s">
        <v>18503</v>
      </c>
      <c r="B14699" s="6" t="s">
        <v>18509</v>
      </c>
      <c r="C14699" s="5" t="str">
        <f>IFERROR(__xludf.DUMMYFUNCTION("GOOGLETRANSLATE(B14699,""en"",""it"")"),"La donna usa quindi i contenitori del trucco in polvere per fare un'ombra e ombretto prima di sorridere e mostrare l'intera linea di colori e mostrare un grafico di marketing.")</f>
        <v>La donna usa quindi i contenitori del trucco in polvere per fare un'ombra e ombretto prima di sorridere e mostrare l'intera linea di colori e mostrare un grafico di marketing.</v>
      </c>
    </row>
    <row r="14700">
      <c r="A14700" s="4" t="s">
        <v>18510</v>
      </c>
      <c r="B14700" s="4" t="s">
        <v>18511</v>
      </c>
      <c r="C14700" s="5" t="str">
        <f>IFERROR(__xludf.DUMMYFUNCTION("GOOGLETRANSLATE(B14700,""en"",""it"")"),"Un piccolo gruppo di ragazzi è visto in piedi sul bordo di una piscina e si afferrano ai lati.")</f>
        <v>Un piccolo gruppo di ragazzi è visto in piedi sul bordo di una piscina e si afferrano ai lati.</v>
      </c>
    </row>
    <row r="14701">
      <c r="A14701" s="4" t="s">
        <v>18510</v>
      </c>
      <c r="B14701" s="4" t="s">
        <v>18512</v>
      </c>
      <c r="C14701" s="5" t="str">
        <f>IFERROR(__xludf.DUMMYFUNCTION("GOOGLETRANSLATE(B14701,""en"",""it"")"),"I ragazzi quindi saltano tutti in piscina insieme contemporaneamente con alcuni che guardano la telecamera.")</f>
        <v>I ragazzi quindi saltano tutti in piscina insieme contemporaneamente con alcuni che guardano la telecamera.</v>
      </c>
    </row>
    <row r="14702">
      <c r="A14702" s="4" t="s">
        <v>18513</v>
      </c>
      <c r="B14702" s="6" t="s">
        <v>18514</v>
      </c>
      <c r="C14702" s="5" t="str">
        <f>IFERROR(__xludf.DUMMYFUNCTION("GOOGLETRANSLATE(B14702,""en"",""it"")"),"Un uomo viene visto parlare alla telecamera mentre la fotocamera si sposta su un tavolo delle carte e l'uomo che tratta le carte.")</f>
        <v>Un uomo viene visto parlare alla telecamera mentre la fotocamera si sposta su un tavolo delle carte e l'uomo che tratta le carte.</v>
      </c>
    </row>
    <row r="14703">
      <c r="A14703" s="4" t="s">
        <v>18513</v>
      </c>
      <c r="B14703" s="6" t="s">
        <v>18515</v>
      </c>
      <c r="C14703" s="5" t="str">
        <f>IFERROR(__xludf.DUMMYFUNCTION("GOOGLETRANSLATE(B14703,""en"",""it"")"),"L'uomo stabilisce diverse carte mentre si lancia di più e indica gli oggetti disposti sul tavolo.")</f>
        <v>L'uomo stabilisce diverse carte mentre si lancia di più e indica gli oggetti disposti sul tavolo.</v>
      </c>
    </row>
    <row r="14704">
      <c r="A14704" s="4" t="s">
        <v>18516</v>
      </c>
      <c r="B14704" s="6" t="s">
        <v>18517</v>
      </c>
      <c r="C14704" s="5" t="str">
        <f>IFERROR(__xludf.DUMMYFUNCTION("GOOGLETRANSLATE(B14704,""en"",""it"")"),"Vari ingredienti sono disposti su un tavolo e conducono in una persona che versano gli ingredienti in una ciotola.")</f>
        <v>Vari ingredienti sono disposti su un tavolo e conducono in una persona che versano gli ingredienti in una ciotola.</v>
      </c>
    </row>
    <row r="14705">
      <c r="A14705" s="4" t="s">
        <v>18516</v>
      </c>
      <c r="B14705" s="4" t="s">
        <v>18518</v>
      </c>
      <c r="C14705" s="5" t="str">
        <f>IFERROR(__xludf.DUMMYFUNCTION("GOOGLETRANSLATE(B14705,""en"",""it"")"),"La persona si muove accuratamente e quindi si asciuga un tavolo con un panno.")</f>
        <v>La persona si muove accuratamente e quindi si asciuga un tavolo con un panno.</v>
      </c>
    </row>
    <row r="14706">
      <c r="A14706" s="4" t="s">
        <v>18519</v>
      </c>
      <c r="B14706" s="6" t="s">
        <v>18520</v>
      </c>
      <c r="C14706" s="5" t="str">
        <f>IFERROR(__xludf.DUMMYFUNCTION("GOOGLETRANSLATE(B14706,""en"",""it"")"),"Un presentatore televisivo e un'attrice stanno mettendo googles per suonare la torta rock, carta e forbici sul davanti una torta con la crema bianca.")</f>
        <v>Un presentatore televisivo e un'attrice stanno mettendo googles per suonare la torta rock, carta e forbici sul davanti una torta con la crema bianca.</v>
      </c>
    </row>
    <row r="14707">
      <c r="A14707" s="4" t="s">
        <v>18519</v>
      </c>
      <c r="B14707" s="6" t="s">
        <v>18521</v>
      </c>
      <c r="C14707" s="5" t="str">
        <f>IFERROR(__xludf.DUMMYFUNCTION("GOOGLETRANSLATE(B14707,""en"",""it"")"),"Dopo aver giocato un po ', la donna gira una maniglia che solleva la torta che atterra sulla faccia dell'attrice.")</f>
        <v>Dopo aver giocato un po ', la donna gira una maniglia che solleva la torta che atterra sulla faccia dell'attrice.</v>
      </c>
    </row>
    <row r="14708">
      <c r="A14708" s="4" t="s">
        <v>18519</v>
      </c>
      <c r="B14708" s="6" t="s">
        <v>18522</v>
      </c>
      <c r="C14708" s="5" t="str">
        <f>IFERROR(__xludf.DUMMYFUNCTION("GOOGLETRANSLATE(B14708,""en"",""it"")"),"Quindi, la torta atterra per la seconda volta sulla faccia dell'attrice, anche sulla faccia del presentatore televisivo.")</f>
        <v>Quindi, la torta atterra per la seconda volta sulla faccia dell'attrice, anche sulla faccia del presentatore televisivo.</v>
      </c>
    </row>
    <row r="14709">
      <c r="A14709" s="4" t="s">
        <v>18519</v>
      </c>
      <c r="B14709" s="6" t="s">
        <v>18523</v>
      </c>
      <c r="C14709" s="5" t="str">
        <f>IFERROR(__xludf.DUMMYFUNCTION("GOOGLETRANSLATE(B14709,""en"",""it"")"),"Il presentatore televisivo si trova con le anatre su entrambe le mani, poi finge di mangiare l'anatra sulla mano destra.")</f>
        <v>Il presentatore televisivo si trova con le anatre su entrambe le mani, poi finge di mangiare l'anatra sulla mano destra.</v>
      </c>
    </row>
    <row r="14710">
      <c r="A14710" s="4" t="s">
        <v>18524</v>
      </c>
      <c r="B14710" s="4" t="s">
        <v>18525</v>
      </c>
      <c r="C14710" s="5" t="str">
        <f>IFERROR(__xludf.DUMMYFUNCTION("GOOGLETRANSLATE(B14710,""en"",""it"")"),"Vengono mostrati diversi scatti di una città e persone che camminano e si parlano.")</f>
        <v>Vengono mostrati diversi scatti di una città e persone che camminano e si parlano.</v>
      </c>
    </row>
    <row r="14711">
      <c r="A14711" s="4" t="s">
        <v>18524</v>
      </c>
      <c r="B14711" s="6" t="s">
        <v>18526</v>
      </c>
      <c r="C14711" s="5" t="str">
        <f>IFERROR(__xludf.DUMMYFUNCTION("GOOGLETRANSLATE(B14711,""en"",""it"")"),"Le persone vengono quindi viste aprire la pavimentazione lungo le pareti e distribuire opuscoli e parlare tra loro.")</f>
        <v>Le persone vengono quindi viste aprire la pavimentazione lungo le pareti e distribuire opuscoli e parlare tra loro.</v>
      </c>
    </row>
    <row r="14712">
      <c r="A14712" s="4" t="s">
        <v>18524</v>
      </c>
      <c r="B14712" s="4" t="s">
        <v>18527</v>
      </c>
      <c r="C14712" s="5" t="str">
        <f>IFERROR(__xludf.DUMMYFUNCTION("GOOGLETRANSLATE(B14712,""en"",""it"")"),"Le persone toccano i materiali sulle pareti e finiscono parlando alla telecamera.")</f>
        <v>Le persone toccano i materiali sulle pareti e finiscono parlando alla telecamera.</v>
      </c>
    </row>
    <row r="14713">
      <c r="A14713" s="4" t="s">
        <v>18528</v>
      </c>
      <c r="B14713" s="4" t="s">
        <v>18529</v>
      </c>
      <c r="C14713" s="5" t="str">
        <f>IFERROR(__xludf.DUMMYFUNCTION("GOOGLETRANSLATE(B14713,""en"",""it"")"),"Vengono mostrate alcune forniture necessarie per brillare le scarpe.")</f>
        <v>Vengono mostrate alcune forniture necessarie per brillare le scarpe.</v>
      </c>
    </row>
    <row r="14714">
      <c r="A14714" s="4" t="s">
        <v>18528</v>
      </c>
      <c r="B14714" s="6" t="s">
        <v>18530</v>
      </c>
      <c r="C14714" s="5" t="str">
        <f>IFERROR(__xludf.DUMMYFUNCTION("GOOGLETRANSLATE(B14714,""en"",""it"")"),"Un uomo più anziano brilla di una scarpa e parla di come brilla le scarpe e di come ha imparato a brillare le scarpe da bambino.")</f>
        <v>Un uomo più anziano brilla di una scarpa e parla di come brilla le scarpe e di come ha imparato a brillare le scarpe da bambino.</v>
      </c>
    </row>
    <row r="14715">
      <c r="A14715" s="4" t="s">
        <v>18528</v>
      </c>
      <c r="B14715" s="4" t="s">
        <v>18531</v>
      </c>
      <c r="C14715" s="5" t="str">
        <f>IFERROR(__xludf.DUMMYFUNCTION("GOOGLETRANSLATE(B14715,""en"",""it"")"),"Lo stesso uomo viene mostrato brillare di un altro uomo.")</f>
        <v>Lo stesso uomo viene mostrato brillare di un altro uomo.</v>
      </c>
    </row>
    <row r="14716">
      <c r="A14716" s="4" t="s">
        <v>18528</v>
      </c>
      <c r="B14716" s="4" t="s">
        <v>18532</v>
      </c>
      <c r="C14716" s="5" t="str">
        <f>IFERROR(__xludf.DUMMYFUNCTION("GOOGLETRANSLATE(B14716,""en"",""it"")"),"Lo stesso uomo brilla le scarpe in un negozio mentre altre persone si siedono o camminano.")</f>
        <v>Lo stesso uomo brilla le scarpe in un negozio mentre altre persone si siedono o camminano.</v>
      </c>
    </row>
    <row r="14717">
      <c r="A14717" s="4" t="s">
        <v>18528</v>
      </c>
      <c r="B14717" s="4" t="s">
        <v>18533</v>
      </c>
      <c r="C14717" s="5" t="str">
        <f>IFERROR(__xludf.DUMMYFUNCTION("GOOGLETRANSLATE(B14717,""en"",""it"")"),"Una vecchia foto in bianco e nero è mostrata da un negozio di barbiere.")</f>
        <v>Una vecchia foto in bianco e nero è mostrata da un negozio di barbiere.</v>
      </c>
    </row>
    <row r="14718">
      <c r="A14718" s="4" t="s">
        <v>18528</v>
      </c>
      <c r="B14718" s="4" t="s">
        <v>18534</v>
      </c>
      <c r="C14718" s="5" t="str">
        <f>IFERROR(__xludf.DUMMYFUNCTION("GOOGLETRANSLATE(B14718,""en"",""it"")"),"L'uomo più anziano brilla di un'altra scarpa e parla di scarpe splendenti.")</f>
        <v>L'uomo più anziano brilla di un'altra scarpa e parla di scarpe splendenti.</v>
      </c>
    </row>
    <row r="14719">
      <c r="A14719" s="4" t="s">
        <v>18528</v>
      </c>
      <c r="B14719" s="4" t="s">
        <v>18535</v>
      </c>
      <c r="C14719" s="5" t="str">
        <f>IFERROR(__xludf.DUMMYFUNCTION("GOOGLETRANSLATE(B14719,""en"",""it"")"),"Un uomo diverso è visto sullo sfondo che si allontana.")</f>
        <v>Un uomo diverso è visto sullo sfondo che si allontana.</v>
      </c>
    </row>
    <row r="14720">
      <c r="A14720" s="4" t="s">
        <v>18536</v>
      </c>
      <c r="B14720" s="4" t="s">
        <v>18537</v>
      </c>
      <c r="C14720" s="5" t="str">
        <f>IFERROR(__xludf.DUMMYFUNCTION("GOOGLETRANSLATE(B14720,""en"",""it"")"),"L'uomo è in piedi in un trampolino e fa una vena salto nella piscina.")</f>
        <v>L'uomo è in piedi in un trampolino e fa una vena salto nella piscina.</v>
      </c>
    </row>
    <row r="14721">
      <c r="A14721" s="4" t="s">
        <v>18536</v>
      </c>
      <c r="B14721" s="4" t="s">
        <v>18538</v>
      </c>
      <c r="C14721" s="5" t="str">
        <f>IFERROR(__xludf.DUMMYFUNCTION("GOOGLETRANSLATE(B14721,""en"",""it"")"),"Due uomini sono seduti al primo piano del trampolino a guardare il salto.")</f>
        <v>Due uomini sono seduti al primo piano del trampolino a guardare il salto.</v>
      </c>
    </row>
    <row r="14722">
      <c r="A14722" s="4" t="s">
        <v>18536</v>
      </c>
      <c r="B14722" s="4" t="s">
        <v>18539</v>
      </c>
      <c r="C14722" s="5" t="str">
        <f>IFERROR(__xludf.DUMMYFUNCTION("GOOGLETRANSLATE(B14722,""en"",""it"")"),"L'uomo tira fuori la piscina, prendi un asciugamano e asciugò il viso.")</f>
        <v>L'uomo tira fuori la piscina, prendi un asciugamano e asciugò il viso.</v>
      </c>
    </row>
    <row r="14723">
      <c r="A14723" s="4" t="s">
        <v>18536</v>
      </c>
      <c r="B14723" s="4" t="s">
        <v>18540</v>
      </c>
      <c r="C14723" s="5" t="str">
        <f>IFERROR(__xludf.DUMMYFUNCTION("GOOGLETRANSLATE(B14723,""en"",""it"")"),"Le persone camminano per la piscina portando borse.")</f>
        <v>Le persone camminano per la piscina portando borse.</v>
      </c>
    </row>
    <row r="14724">
      <c r="A14724" s="4" t="s">
        <v>18541</v>
      </c>
      <c r="B14724" s="4" t="s">
        <v>18542</v>
      </c>
      <c r="C14724" s="5" t="str">
        <f>IFERROR(__xludf.DUMMYFUNCTION("GOOGLETRANSLATE(B14724,""en"",""it"")"),"Un uomo è seduto all'interno di una stanza.")</f>
        <v>Un uomo è seduto all'interno di una stanza.</v>
      </c>
    </row>
    <row r="14725">
      <c r="A14725" s="4" t="s">
        <v>18541</v>
      </c>
      <c r="B14725" s="4" t="s">
        <v>18543</v>
      </c>
      <c r="C14725" s="5" t="str">
        <f>IFERROR(__xludf.DUMMYFUNCTION("GOOGLETRANSLATE(B14725,""en"",""it"")"),"Sta parlando animatamente con la telecamera.")</f>
        <v>Sta parlando animatamente con la telecamera.</v>
      </c>
    </row>
    <row r="14726">
      <c r="A14726" s="4" t="s">
        <v>18541</v>
      </c>
      <c r="B14726" s="4" t="s">
        <v>18544</v>
      </c>
      <c r="C14726" s="5" t="str">
        <f>IFERROR(__xludf.DUMMYFUNCTION("GOOGLETRANSLATE(B14726,""en"",""it"")"),"Sta parlando e dimostra come interpretare un'armonica.")</f>
        <v>Sta parlando e dimostra come interpretare un'armonica.</v>
      </c>
    </row>
    <row r="14727">
      <c r="A14727" s="4" t="s">
        <v>18545</v>
      </c>
      <c r="B14727" s="6" t="s">
        <v>18546</v>
      </c>
      <c r="C14727" s="5" t="str">
        <f>IFERROR(__xludf.DUMMYFUNCTION("GOOGLETRANSLATE(B14727,""en"",""it"")"),"Diversi individui a piedi o a cavallo camminano in primo piano mentre la telecamera si concentra su un gruppo di persone sullo sfondo.")</f>
        <v>Diversi individui a piedi o a cavallo camminano in primo piano mentre la telecamera si concentra su un gruppo di persone sullo sfondo.</v>
      </c>
    </row>
    <row r="14728">
      <c r="A14728" s="4" t="s">
        <v>18545</v>
      </c>
      <c r="B14728" s="4" t="s">
        <v>18547</v>
      </c>
      <c r="C14728" s="5" t="str">
        <f>IFERROR(__xludf.DUMMYFUNCTION("GOOGLETRANSLATE(B14728,""en"",""it"")"),"Un cancello si apre e un uomo di cavallo insegue una mucca.")</f>
        <v>Un cancello si apre e un uomo di cavallo insegue una mucca.</v>
      </c>
    </row>
    <row r="14729">
      <c r="A14729" s="4" t="s">
        <v>18545</v>
      </c>
      <c r="B14729" s="4" t="s">
        <v>18548</v>
      </c>
      <c r="C14729" s="5" t="str">
        <f>IFERROR(__xludf.DUMMYFUNCTION("GOOGLETRANSLATE(B14729,""en"",""it"")"),"L'uomo lassos e fissa la mucca.")</f>
        <v>L'uomo lassos e fissa la mucca.</v>
      </c>
    </row>
    <row r="14730">
      <c r="A14730" s="4" t="s">
        <v>18545</v>
      </c>
      <c r="B14730" s="4" t="s">
        <v>18549</v>
      </c>
      <c r="C14730" s="5" t="str">
        <f>IFERROR(__xludf.DUMMYFUNCTION("GOOGLETRANSLATE(B14730,""en"",""it"")"),"Altri corrono per aiutare con la mucca.")</f>
        <v>Altri corrono per aiutare con la mucca.</v>
      </c>
    </row>
    <row r="14731">
      <c r="A14731" s="4" t="s">
        <v>18550</v>
      </c>
      <c r="B14731" s="6" t="s">
        <v>18551</v>
      </c>
      <c r="C14731" s="5" t="str">
        <f>IFERROR(__xludf.DUMMYFUNCTION("GOOGLETRANSLATE(B14731,""en"",""it"")"),"Viene mostrato una donna in camicia bianca e grigia, quindi viene mostrato un bicchiere e una brocca di limonata con paglia.")</f>
        <v>Viene mostrato una donna in camicia bianca e grigia, quindi viene mostrato un bicchiere e una brocca di limonata con paglia.</v>
      </c>
    </row>
    <row r="14732">
      <c r="A14732" s="4" t="s">
        <v>18550</v>
      </c>
      <c r="B14732" s="6" t="s">
        <v>18552</v>
      </c>
      <c r="C14732" s="5" t="str">
        <f>IFERROR(__xludf.DUMMYFUNCTION("GOOGLETRANSLATE(B14732,""en"",""it"")"),"Due limoni si trovano in una piccola ciotola, poi la donna bionda parla nella telecamera, una mano taglia il limone, stringe il limone nella ciotola, versa il limone nella brocca usando un filtro.")</f>
        <v>Due limoni si trovano in una piccola ciotola, poi la donna bionda parla nella telecamera, una mano taglia il limone, stringe il limone nella ciotola, versa il limone nella brocca usando un filtro.</v>
      </c>
    </row>
    <row r="14733">
      <c r="A14733" s="4" t="s">
        <v>18550</v>
      </c>
      <c r="B14733" s="6" t="s">
        <v>18553</v>
      </c>
      <c r="C14733" s="5" t="str">
        <f>IFERROR(__xludf.DUMMYFUNCTION("GOOGLETRANSLATE(B14733,""en"",""it"")"),"La donna parla quindi la pentola viene posizionata nella stufa, aggiunta acqua, quindi ha aggiunto lo zucchero, aggiunta la scorza di limone e mescolata la pentola, la donna ha aggiunto un liquido giallo nella brocca, ha aggiunto il ghiaccio e limoni affe"&amp;"ttati e versare il succo il vetro.")</f>
        <v>La donna parla quindi la pentola viene posizionata nella stufa, aggiunta acqua, quindi ha aggiunto lo zucchero, aggiunta la scorza di limone e mescolata la pentola, la donna ha aggiunto un liquido giallo nella brocca, ha aggiunto il ghiaccio e limoni affettati e versare il succo il vetro.</v>
      </c>
    </row>
    <row r="14734">
      <c r="A14734" s="4" t="s">
        <v>18554</v>
      </c>
      <c r="B14734" s="4" t="s">
        <v>18555</v>
      </c>
      <c r="C14734" s="5" t="str">
        <f>IFERROR(__xludf.DUMMYFUNCTION("GOOGLETRANSLATE(B14734,""en"",""it"")"),"Una persona viene vista cavalcare lungo l'acqua su una tavola da surf e altri che parlano tra loro.")</f>
        <v>Una persona viene vista cavalcare lungo l'acqua su una tavola da surf e altri che parlano tra loro.</v>
      </c>
    </row>
    <row r="14735">
      <c r="A14735" s="4" t="s">
        <v>18554</v>
      </c>
      <c r="B14735" s="4" t="s">
        <v>18556</v>
      </c>
      <c r="C14735" s="5" t="str">
        <f>IFERROR(__xludf.DUMMYFUNCTION("GOOGLETRANSLATE(B14735,""en"",""it"")"),"Viene visto un uomo parlare alla telecamera e più clip di persone che cavalcano in acqua.")</f>
        <v>Viene visto un uomo parlare alla telecamera e più clip di persone che cavalcano in acqua.</v>
      </c>
    </row>
    <row r="14736">
      <c r="A14736" s="4" t="s">
        <v>18554</v>
      </c>
      <c r="B14736" s="6" t="s">
        <v>18557</v>
      </c>
      <c r="C14736" s="5" t="str">
        <f>IFERROR(__xludf.DUMMYFUNCTION("GOOGLETRANSLATE(B14736,""en"",""it"")"),"Più persone si parlano e si trovano nella telecamera e finiscono cavalcando le assi.")</f>
        <v>Più persone si parlano e si trovano nella telecamera e finiscono cavalcando le assi.</v>
      </c>
    </row>
    <row r="14737">
      <c r="A14737" s="4" t="s">
        <v>18558</v>
      </c>
      <c r="B14737" s="4" t="s">
        <v>18559</v>
      </c>
      <c r="C14737" s="5" t="str">
        <f>IFERROR(__xludf.DUMMYFUNCTION("GOOGLETRANSLATE(B14737,""en"",""it"")"),"Una donna che indossa un reggiseno è in piedi in una stanza.")</f>
        <v>Una donna che indossa un reggiseno è in piedi in una stanza.</v>
      </c>
    </row>
    <row r="14738">
      <c r="A14738" s="4" t="s">
        <v>18558</v>
      </c>
      <c r="B14738" s="4" t="s">
        <v>18560</v>
      </c>
      <c r="C14738" s="5" t="str">
        <f>IFERROR(__xludf.DUMMYFUNCTION("GOOGLETRANSLATE(B14738,""en"",""it"")"),"Lancia un dardo attraverso la stanza.")</f>
        <v>Lancia un dardo attraverso la stanza.</v>
      </c>
    </row>
    <row r="14739">
      <c r="A14739" s="4" t="s">
        <v>18558</v>
      </c>
      <c r="B14739" s="4" t="s">
        <v>18561</v>
      </c>
      <c r="C14739" s="5" t="str">
        <f>IFERROR(__xludf.DUMMYFUNCTION("GOOGLETRANSLATE(B14739,""en"",""it"")"),"Un uomo con un cappello le sta accanto.")</f>
        <v>Un uomo con un cappello le sta accanto.</v>
      </c>
    </row>
    <row r="14740">
      <c r="A14740" s="4" t="s">
        <v>18562</v>
      </c>
      <c r="B14740" s="4" t="s">
        <v>18563</v>
      </c>
      <c r="C14740" s="5" t="str">
        <f>IFERROR(__xludf.DUMMYFUNCTION("GOOGLETRANSLATE(B14740,""en"",""it"")"),"Una giovane donna con spalle larghe e code di maiale si avvicina a un palcoscenico per prepara la sua mente.")</f>
        <v>Una giovane donna con spalle larghe e code di maiale si avvicina a un palcoscenico per prepara la sua mente.</v>
      </c>
    </row>
    <row r="14741">
      <c r="A14741" s="4" t="s">
        <v>18562</v>
      </c>
      <c r="B14741" s="4" t="s">
        <v>18564</v>
      </c>
      <c r="C14741" s="5" t="str">
        <f>IFERROR(__xludf.DUMMYFUNCTION("GOOGLETRANSLATE(B14741,""en"",""it"")"),"La signora si spezza le nocche e poi si piega e cerca di sollevare i pesi.")</f>
        <v>La signora si spezza le nocche e poi si piega e cerca di sollevare i pesi.</v>
      </c>
    </row>
    <row r="14742">
      <c r="A14742" s="4" t="s">
        <v>18562</v>
      </c>
      <c r="B14742" s="6" t="s">
        <v>18565</v>
      </c>
      <c r="C14742" s="5" t="str">
        <f>IFERROR(__xludf.DUMMYFUNCTION("GOOGLETRANSLATE(B14742,""en"",""it"")"),"Troppo peso è sul bar e le ragazze finiscono per torcere il braccio in un cerchio, lascia cadere la barra e grida in agonia.")</f>
        <v>Troppo peso è sul bar e le ragazze finiscono per torcere il braccio in un cerchio, lascia cadere la barra e grida in agonia.</v>
      </c>
    </row>
    <row r="14743">
      <c r="A14743" s="4" t="s">
        <v>18562</v>
      </c>
      <c r="B14743" s="4" t="s">
        <v>18566</v>
      </c>
      <c r="C14743" s="5" t="str">
        <f>IFERROR(__xludf.DUMMYFUNCTION("GOOGLETRANSLATE(B14743,""en"",""it"")"),"Un'altra ragazza si avvicina e solleva il bar a metà strada, si rende conto che è incapace e la lascia cadere.")</f>
        <v>Un'altra ragazza si avvicina e solleva il bar a metà strada, si rende conto che è incapace e la lascia cadere.</v>
      </c>
    </row>
    <row r="14744">
      <c r="A14744" s="4" t="s">
        <v>18562</v>
      </c>
      <c r="B14744" s="6" t="s">
        <v>18567</v>
      </c>
      <c r="C14744" s="5" t="str">
        <f>IFERROR(__xludf.DUMMYFUNCTION("GOOGLETRANSLATE(B14744,""en"",""it"")"),"Dopo essersi separata, si spazza via e tenta di nuovo e lo solleva sopra la testa, la lascia cadere e se ne va congratulandosi con se stessa.")</f>
        <v>Dopo essersi separata, si spazza via e tenta di nuovo e lo solleva sopra la testa, la lascia cadere e se ne va congratulandosi con se stessa.</v>
      </c>
    </row>
    <row r="14745">
      <c r="A14745" s="4" t="s">
        <v>18562</v>
      </c>
      <c r="B14745" s="4" t="s">
        <v>18568</v>
      </c>
      <c r="C14745" s="5" t="str">
        <f>IFERROR(__xludf.DUMMYFUNCTION("GOOGLETRANSLATE(B14745,""en"",""it"")"),"Viene quindi mostrato uno schermo di punteggi e una ragazza diversa tenta il peso.")</f>
        <v>Viene quindi mostrato uno schermo di punteggi e una ragazza diversa tenta il peso.</v>
      </c>
    </row>
    <row r="14746">
      <c r="A14746" s="4" t="s">
        <v>18562</v>
      </c>
      <c r="B14746" s="6" t="s">
        <v>18569</v>
      </c>
      <c r="C14746" s="5" t="str">
        <f>IFERROR(__xludf.DUMMYFUNCTION("GOOGLETRANSLATE(B14746,""en"",""it"")"),"La seconda giovane donna torna e fa la stessa cosa così come la femmina che le è venuta dopo.")</f>
        <v>La seconda giovane donna torna e fa la stessa cosa così come la femmina che le è venuta dopo.</v>
      </c>
    </row>
    <row r="14747">
      <c r="A14747" s="4" t="s">
        <v>18562</v>
      </c>
      <c r="B14747" s="4" t="s">
        <v>18570</v>
      </c>
      <c r="C14747" s="5" t="str">
        <f>IFERROR(__xludf.DUMMYFUNCTION("GOOGLETRANSLATE(B14747,""en"",""it"")"),"La ragazza ritorna ma si rende conto che il peso è troppo pesante e si arrende sollevandolo.")</f>
        <v>La ragazza ritorna ma si rende conto che il peso è troppo pesante e si arrende sollevandolo.</v>
      </c>
    </row>
    <row r="14748">
      <c r="A14748" s="4" t="s">
        <v>18562</v>
      </c>
      <c r="B14748" s="6" t="s">
        <v>18571</v>
      </c>
      <c r="C14748" s="5" t="str">
        <f>IFERROR(__xludf.DUMMYFUNCTION("GOOGLETRANSLATE(B14748,""en"",""it"")"),"Tuttavia, la ragazza originale ritorna e continua a sollevare sempre più peso con facilità fino all'ultima volta, poi si inchina e si avvicinano a un palcoscenico olimpico e ricevono il loro metallo.")</f>
        <v>Tuttavia, la ragazza originale ritorna e continua a sollevare sempre più peso con facilità fino all'ultima volta, poi si inchina e si avvicinano a un palcoscenico olimpico e ricevono il loro metallo.</v>
      </c>
    </row>
    <row r="14749">
      <c r="A14749" s="4" t="s">
        <v>18572</v>
      </c>
      <c r="B14749" s="4" t="s">
        <v>18573</v>
      </c>
      <c r="C14749" s="5" t="str">
        <f>IFERROR(__xludf.DUMMYFUNCTION("GOOGLETRANSLATE(B14749,""en"",""it"")"),"Una foto viene ingrandita di un uomo che viene ottenuto da un toro.")</f>
        <v>Una foto viene ingrandita di un uomo che viene ottenuto da un toro.</v>
      </c>
    </row>
    <row r="14750">
      <c r="A14750" s="4" t="s">
        <v>18572</v>
      </c>
      <c r="B14750" s="4" t="s">
        <v>18574</v>
      </c>
      <c r="C14750" s="5" t="str">
        <f>IFERROR(__xludf.DUMMYFUNCTION("GOOGLETRANSLATE(B14750,""en"",""it"")"),"Un toro accusa un uomo e lo bussa fino a quando la gente non esce e lo distraggerà.")</f>
        <v>Un toro accusa un uomo e lo bussa fino a quando la gente non esce e lo distraggerà.</v>
      </c>
    </row>
    <row r="14751">
      <c r="A14751" s="4" t="s">
        <v>18572</v>
      </c>
      <c r="B14751" s="4" t="s">
        <v>18575</v>
      </c>
      <c r="C14751" s="5" t="str">
        <f>IFERROR(__xludf.DUMMYFUNCTION("GOOGLETRANSLATE(B14751,""en"",""it"")"),"Taglia di nuovo l'uomo accusato dal toro.")</f>
        <v>Taglia di nuovo l'uomo accusato dal toro.</v>
      </c>
    </row>
    <row r="14752">
      <c r="A14752" s="4" t="s">
        <v>18572</v>
      </c>
      <c r="B14752" s="4" t="s">
        <v>18576</v>
      </c>
      <c r="C14752" s="5" t="str">
        <f>IFERROR(__xludf.DUMMYFUNCTION("GOOGLETRANSLATE(B14752,""en"",""it"")"),"Viene di nuovo bussato fino a quando le persone non escono per distrarre il toro.")</f>
        <v>Viene di nuovo bussato fino a quando le persone non escono per distrarre il toro.</v>
      </c>
    </row>
    <row r="14753">
      <c r="A14753" s="4" t="s">
        <v>18572</v>
      </c>
      <c r="B14753" s="4" t="s">
        <v>18577</v>
      </c>
      <c r="C14753" s="5" t="str">
        <f>IFERROR(__xludf.DUMMYFUNCTION("GOOGLETRANSLATE(B14753,""en"",""it"")"),"Viene portato fuori dal ring.")</f>
        <v>Viene portato fuori dal ring.</v>
      </c>
    </row>
    <row r="14754">
      <c r="A14754" s="4" t="s">
        <v>18572</v>
      </c>
      <c r="B14754" s="4" t="s">
        <v>18578</v>
      </c>
      <c r="C14754" s="5" t="str">
        <f>IFERROR(__xludf.DUMMYFUNCTION("GOOGLETRANSLATE(B14754,""en"",""it"")"),"Ancora una volta il toro carica l'uomo e lo abbatte.")</f>
        <v>Ancora una volta il toro carica l'uomo e lo abbatte.</v>
      </c>
    </row>
    <row r="14755">
      <c r="A14755" s="4" t="s">
        <v>18572</v>
      </c>
      <c r="B14755" s="4" t="s">
        <v>18579</v>
      </c>
      <c r="C14755" s="5" t="str">
        <f>IFERROR(__xludf.DUMMYFUNCTION("GOOGLETRANSLATE(B14755,""en"",""it"")"),"Le persone escono e distraggono il toro.")</f>
        <v>Le persone escono e distraggono il toro.</v>
      </c>
    </row>
    <row r="14756">
      <c r="A14756" s="4" t="s">
        <v>18572</v>
      </c>
      <c r="B14756" s="4" t="s">
        <v>18580</v>
      </c>
      <c r="C14756" s="5" t="str">
        <f>IFERROR(__xludf.DUMMYFUNCTION("GOOGLETRANSLATE(B14756,""en"",""it"")"),"Viene realizzato per l'ultima volta.")</f>
        <v>Viene realizzato per l'ultima volta.</v>
      </c>
    </row>
    <row r="14757">
      <c r="A14757" s="4" t="s">
        <v>18581</v>
      </c>
      <c r="B14757" s="4" t="s">
        <v>18582</v>
      </c>
      <c r="C14757" s="5" t="str">
        <f>IFERROR(__xludf.DUMMYFUNCTION("GOOGLETRANSLATE(B14757,""en"",""it"")"),"Un uomo più anziano viene visto seduto su un tronco in uno spazio pubblico di fronte a un piano.")</f>
        <v>Un uomo più anziano viene visto seduto su un tronco in uno spazio pubblico di fronte a un piano.</v>
      </c>
    </row>
    <row r="14758">
      <c r="A14758" s="4" t="s">
        <v>18581</v>
      </c>
      <c r="B14758" s="4" t="s">
        <v>18583</v>
      </c>
      <c r="C14758" s="5" t="str">
        <f>IFERROR(__xludf.DUMMYFUNCTION("GOOGLETRANSLATE(B14758,""en"",""it"")"),"L'uomo quindi suona il piano mentre la telecamera lo cattura giocando.")</f>
        <v>L'uomo quindi suona il piano mentre la telecamera lo cattura giocando.</v>
      </c>
    </row>
    <row r="14759">
      <c r="A14759" s="4" t="s">
        <v>18581</v>
      </c>
      <c r="B14759" s="6" t="s">
        <v>18584</v>
      </c>
      <c r="C14759" s="5" t="str">
        <f>IFERROR(__xludf.DUMMYFUNCTION("GOOGLETRANSLATE(B14759,""en"",""it"")"),"L'uomo canta alla telecamera mentre continua a giocare e la telecamera si muove attorno ai suoi movimenti.")</f>
        <v>L'uomo canta alla telecamera mentre continua a giocare e la telecamera si muove attorno ai suoi movimenti.</v>
      </c>
    </row>
    <row r="14760">
      <c r="A14760" s="4" t="s">
        <v>18585</v>
      </c>
      <c r="B14760" s="4" t="s">
        <v>18586</v>
      </c>
      <c r="C14760" s="5" t="str">
        <f>IFERROR(__xludf.DUMMYFUNCTION("GOOGLETRANSLATE(B14760,""en"",""it"")"),"Una folla enorme è raccolta fuori.")</f>
        <v>Una folla enorme è raccolta fuori.</v>
      </c>
    </row>
    <row r="14761">
      <c r="A14761" s="4" t="s">
        <v>18585</v>
      </c>
      <c r="B14761" s="4" t="s">
        <v>18587</v>
      </c>
      <c r="C14761" s="5" t="str">
        <f>IFERROR(__xludf.DUMMYFUNCTION("GOOGLETRANSLATE(B14761,""en"",""it"")"),"Stanno tutti eseguendo una danza di esercizio conosciuta come Zumba.")</f>
        <v>Stanno tutti eseguendo una danza di esercizio conosciuta come Zumba.</v>
      </c>
    </row>
    <row r="14762">
      <c r="A14762" s="4" t="s">
        <v>18588</v>
      </c>
      <c r="B14762" s="4" t="s">
        <v>18589</v>
      </c>
      <c r="C14762" s="5" t="str">
        <f>IFERROR(__xludf.DUMMYFUNCTION("GOOGLETRANSLATE(B14762,""en"",""it"")"),"Un uomo atletico viene visto in piedi con le braccia e inizia a eseguire una routine di ginnastica.")</f>
        <v>Un uomo atletico viene visto in piedi con le braccia e inizia a eseguire una routine di ginnastica.</v>
      </c>
    </row>
    <row r="14763">
      <c r="A14763" s="4" t="s">
        <v>18588</v>
      </c>
      <c r="B14763" s="6" t="s">
        <v>18590</v>
      </c>
      <c r="C14763" s="5" t="str">
        <f>IFERROR(__xludf.DUMMYFUNCTION("GOOGLETRANSLATE(B14763,""en"",""it"")"),"Si gira rotondo e rotondo sul bar eseguendo diversi lanci, trucchi e finisce con lui che gli attacca le braccia in aria.")</f>
        <v>Si gira rotondo e rotondo sul bar eseguendo diversi lanci, trucchi e finisce con lui che gli attacca le braccia in aria.</v>
      </c>
    </row>
    <row r="14764">
      <c r="A14764" s="4" t="s">
        <v>18591</v>
      </c>
      <c r="B14764" s="4" t="s">
        <v>18592</v>
      </c>
      <c r="C14764" s="5" t="str">
        <f>IFERROR(__xludf.DUMMYFUNCTION("GOOGLETRANSLATE(B14764,""en"",""it"")"),"Un ragazzo sta parlando con la telecamera nella sua camera da letto.")</f>
        <v>Un ragazzo sta parlando con la telecamera nella sua camera da letto.</v>
      </c>
    </row>
    <row r="14765">
      <c r="A14765" s="4" t="s">
        <v>18591</v>
      </c>
      <c r="B14765" s="4" t="s">
        <v>18593</v>
      </c>
      <c r="C14765" s="5" t="str">
        <f>IFERROR(__xludf.DUMMYFUNCTION("GOOGLETRANSLATE(B14765,""en"",""it"")"),"Rimuove le cose dai cassetti, come il lucidalabbra e lo mette per la fotocamera.")</f>
        <v>Rimuove le cose dai cassetti, come il lucidalabbra e lo mette per la fotocamera.</v>
      </c>
    </row>
    <row r="14766">
      <c r="A14766" s="4" t="s">
        <v>18591</v>
      </c>
      <c r="B14766" s="4" t="s">
        <v>18594</v>
      </c>
      <c r="C14766" s="5" t="str">
        <f>IFERROR(__xludf.DUMMYFUNCTION("GOOGLETRANSLATE(B14766,""en"",""it"")"),"Applica trucco disordinato e posa per la fotocamera.")</f>
        <v>Applica trucco disordinato e posa per la fotocamera.</v>
      </c>
    </row>
    <row r="14767">
      <c r="A14767" s="4" t="s">
        <v>18595</v>
      </c>
      <c r="B14767" s="4" t="s">
        <v>18596</v>
      </c>
      <c r="C14767" s="5" t="str">
        <f>IFERROR(__xludf.DUMMYFUNCTION("GOOGLETRANSLATE(B14767,""en"",""it"")"),"Una telecamera si panoramica intorno a una spiaggia che mostra l'acqua che si schianta sulle onde.")</f>
        <v>Una telecamera si panoramica intorno a una spiaggia che mostra l'acqua che si schianta sulle onde.</v>
      </c>
    </row>
    <row r="14768">
      <c r="A14768" s="4" t="s">
        <v>18595</v>
      </c>
      <c r="B14768" s="4" t="s">
        <v>18597</v>
      </c>
      <c r="C14768" s="5" t="str">
        <f>IFERROR(__xludf.DUMMYFUNCTION("GOOGLETRANSLATE(B14768,""en"",""it"")"),"Viene quindi vista una persona che indossa guanti e dipingendo una sedia a braccio.")</f>
        <v>Viene quindi vista una persona che indossa guanti e dipingendo una sedia a braccio.</v>
      </c>
    </row>
    <row r="14769">
      <c r="A14769" s="4" t="s">
        <v>18595</v>
      </c>
      <c r="B14769" s="4" t="s">
        <v>18598</v>
      </c>
      <c r="C14769" s="5" t="str">
        <f>IFERROR(__xludf.DUMMYFUNCTION("GOOGLETRANSLATE(B14769,""en"",""it"")"),"La persona continua a dipingere la sedia e mostrarla alla fine.")</f>
        <v>La persona continua a dipingere la sedia e mostrarla alla fine.</v>
      </c>
    </row>
    <row r="14770">
      <c r="A14770" s="4" t="s">
        <v>18599</v>
      </c>
      <c r="B14770" s="4" t="s">
        <v>18600</v>
      </c>
      <c r="C14770" s="5" t="str">
        <f>IFERROR(__xludf.DUMMYFUNCTION("GOOGLETRANSLATE(B14770,""en"",""it"")"),"I bambini sono mostrati sul lato di una palestra che gioca a calcio indoor.")</f>
        <v>I bambini sono mostrati sul lato di una palestra che gioca a calcio indoor.</v>
      </c>
    </row>
    <row r="14771">
      <c r="A14771" s="4" t="s">
        <v>18599</v>
      </c>
      <c r="B14771" s="4" t="s">
        <v>18601</v>
      </c>
      <c r="C14771" s="5" t="str">
        <f>IFERROR(__xludf.DUMMYFUNCTION("GOOGLETRANSLATE(B14771,""en"",""it"")"),"Uno dei bambini fa una grande mossa per aggirare un difensore e quasi punteggi.")</f>
        <v>Uno dei bambini fa una grande mossa per aggirare un difensore e quasi punteggi.</v>
      </c>
    </row>
    <row r="14772">
      <c r="A14772" s="4" t="s">
        <v>18599</v>
      </c>
      <c r="B14772" s="4" t="s">
        <v>18602</v>
      </c>
      <c r="C14772" s="5" t="str">
        <f>IFERROR(__xludf.DUMMYFUNCTION("GOOGLETRANSLATE(B14772,""en"",""it"")"),"Viene quindi mostrato segnare in un'occasione diversa prima che il video finisca.")</f>
        <v>Viene quindi mostrato segnare in un'occasione diversa prima che il video finisca.</v>
      </c>
    </row>
    <row r="14773">
      <c r="A14773" s="4" t="s">
        <v>18603</v>
      </c>
      <c r="B14773" s="4" t="s">
        <v>18604</v>
      </c>
      <c r="C14773" s="5" t="str">
        <f>IFERROR(__xludf.DUMMYFUNCTION("GOOGLETRANSLATE(B14773,""en"",""it"")"),"Viene visto un giovane parlare alla telecamera e conduce in lui gettando freccette su una tavola.")</f>
        <v>Viene visto un giovane parlare alla telecamera e conduce in lui gettando freccette su una tavola.</v>
      </c>
    </row>
    <row r="14774">
      <c r="A14774" s="4" t="s">
        <v>18603</v>
      </c>
      <c r="B14774" s="4" t="s">
        <v>18605</v>
      </c>
      <c r="C14774" s="5" t="str">
        <f>IFERROR(__xludf.DUMMYFUNCTION("GOOGLETRANSLATE(B14774,""en"",""it"")"),"Solleva le mani per l'eccitazione mentre la telecamera si ingrandisce sulle freccette.")</f>
        <v>Solleva le mani per l'eccitazione mentre la telecamera si ingrandisce sulle freccette.</v>
      </c>
    </row>
    <row r="14775">
      <c r="A14775" s="4" t="s">
        <v>18606</v>
      </c>
      <c r="B14775" s="4" t="s">
        <v>18607</v>
      </c>
      <c r="C14775" s="5" t="str">
        <f>IFERROR(__xludf.DUMMYFUNCTION("GOOGLETRANSLATE(B14775,""en"",""it"")"),"La mamma di MJ sta giocando con i capelli che lo leviga.")</f>
        <v>La mamma di MJ sta giocando con i capelli che lo leviga.</v>
      </c>
    </row>
    <row r="14776">
      <c r="A14776" s="4" t="s">
        <v>18606</v>
      </c>
      <c r="B14776" s="4" t="s">
        <v>18608</v>
      </c>
      <c r="C14776" s="5" t="str">
        <f>IFERROR(__xludf.DUMMYFUNCTION("GOOGLETRANSLATE(B14776,""en"",""it"")"),"Va in bagno con clip tra i capelli ed esce da trattamenti e shampoo.")</f>
        <v>Va in bagno con clip tra i capelli ed esce da trattamenti e shampoo.</v>
      </c>
    </row>
    <row r="14777">
      <c r="A14777" s="4" t="s">
        <v>18606</v>
      </c>
      <c r="B14777" s="6" t="s">
        <v>18609</v>
      </c>
      <c r="C14777" s="5" t="str">
        <f>IFERROR(__xludf.DUMMYFUNCTION("GOOGLETRANSLATE(B14777,""en"",""it"")"),"Comincia ad applicare le cose dei capelli ai capelli e pettinarlo, inizia a separarsi e mette i bigodini.")</f>
        <v>Comincia ad applicare le cose dei capelli ai capelli e pettinarlo, inizia a separarsi e mette i bigodini.</v>
      </c>
    </row>
    <row r="14778">
      <c r="A14778" s="4" t="s">
        <v>18606</v>
      </c>
      <c r="B14778" s="6" t="s">
        <v>18610</v>
      </c>
      <c r="C14778" s="5" t="str">
        <f>IFERROR(__xludf.DUMMYFUNCTION("GOOGLETRANSLATE(B14778,""en"",""it"")"),"Comincia a parlare di quello che sta facendo con i capelli mentre aspetta di togliere i bigodini, quando li toglie i capelli è perfettamente arricciato.")</f>
        <v>Comincia a parlare di quello che sta facendo con i capelli mentre aspetta di togliere i bigodini, quando li toglie i capelli è perfettamente arricciato.</v>
      </c>
    </row>
    <row r="14779">
      <c r="A14779" s="4" t="s">
        <v>18611</v>
      </c>
      <c r="B14779" s="6" t="s">
        <v>18612</v>
      </c>
      <c r="C14779" s="5" t="str">
        <f>IFERROR(__xludf.DUMMYFUNCTION("GOOGLETRANSLATE(B14779,""en"",""it"")"),"Un uomo viene visto parlare con la telecamera mentre tiene una racchetta da tennis e inizia a dimostrare come colpire la palla.")</f>
        <v>Un uomo viene visto parlare con la telecamera mentre tiene una racchetta da tennis e inizia a dimostrare come colpire la palla.</v>
      </c>
    </row>
    <row r="14780">
      <c r="A14780" s="4" t="s">
        <v>18611</v>
      </c>
      <c r="B14780" s="6" t="s">
        <v>18613</v>
      </c>
      <c r="C14780" s="5" t="str">
        <f>IFERROR(__xludf.DUMMYFUNCTION("GOOGLETRANSLATE(B14780,""en"",""it"")"),"L'uomo continua a parlare e colpire la palla mentre si muove in palestra e gestisce la telecamera.")</f>
        <v>L'uomo continua a parlare e colpire la palla mentre si muove in palestra e gestisce la telecamera.</v>
      </c>
    </row>
    <row r="14781">
      <c r="A14781" s="4" t="s">
        <v>18614</v>
      </c>
      <c r="B14781" s="4" t="s">
        <v>18615</v>
      </c>
      <c r="C14781" s="5" t="str">
        <f>IFERROR(__xludf.DUMMYFUNCTION("GOOGLETRANSLATE(B14781,""en"",""it"")"),"Viene mostrato un primo piano di un albero di Natale seguito da primi piani di ornamenti.")</f>
        <v>Viene mostrato un primo piano di un albero di Natale seguito da primi piani di ornamenti.</v>
      </c>
    </row>
    <row r="14782">
      <c r="A14782" s="4" t="s">
        <v>18614</v>
      </c>
      <c r="B14782" s="4" t="s">
        <v>18616</v>
      </c>
      <c r="C14782" s="5" t="str">
        <f>IFERROR(__xludf.DUMMYFUNCTION("GOOGLETRANSLATE(B14782,""en"",""it"")"),"Due persone si vedono quindi muoversi attorno all'albero decorando e spegnere le luci.")</f>
        <v>Due persone si vedono quindi muoversi attorno all'albero decorando e spegnere le luci.</v>
      </c>
    </row>
    <row r="14783">
      <c r="A14783" s="4" t="s">
        <v>18614</v>
      </c>
      <c r="B14783" s="4" t="s">
        <v>18617</v>
      </c>
      <c r="C14783" s="5" t="str">
        <f>IFERROR(__xludf.DUMMYFUNCTION("GOOGLETRANSLATE(B14783,""en"",""it"")"),"Finiscono di decorare l'albero e giocare l'uno con l'altro e ridere.")</f>
        <v>Finiscono di decorare l'albero e giocare l'uno con l'altro e ridere.</v>
      </c>
    </row>
    <row r="14784">
      <c r="A14784" s="4" t="s">
        <v>18614</v>
      </c>
      <c r="B14784" s="4" t="s">
        <v>18618</v>
      </c>
      <c r="C14784" s="5" t="str">
        <f>IFERROR(__xludf.DUMMYFUNCTION("GOOGLETRANSLATE(B14784,""en"",""it"")"),"Alla fine vengono mostrati i primi piani degli alberi e un orso.")</f>
        <v>Alla fine vengono mostrati i primi piani degli alberi e un orso.</v>
      </c>
    </row>
    <row r="14785">
      <c r="A14785" s="4" t="s">
        <v>18619</v>
      </c>
      <c r="B14785" s="4" t="s">
        <v>18620</v>
      </c>
      <c r="C14785" s="5" t="str">
        <f>IFERROR(__xludf.DUMMYFUNCTION("GOOGLETRANSLATE(B14785,""en"",""it"")"),"Viene visto un uomo che soffia un bacio oltre a togliersi la giacca e interagire con un altro uomo.")</f>
        <v>Viene visto un uomo che soffia un bacio oltre a togliersi la giacca e interagire con un altro uomo.</v>
      </c>
    </row>
    <row r="14786">
      <c r="A14786" s="4" t="s">
        <v>18619</v>
      </c>
      <c r="B14786" s="4" t="s">
        <v>18621</v>
      </c>
      <c r="C14786" s="5" t="str">
        <f>IFERROR(__xludf.DUMMYFUNCTION("GOOGLETRANSLATE(B14786,""en"",""it"")"),"L'uomo si prepara il braccio mentre l'altro gli afferra la mano e finge di calciare la testa.")</f>
        <v>L'uomo si prepara il braccio mentre l'altro gli afferra la mano e finge di calciare la testa.</v>
      </c>
    </row>
    <row r="14787">
      <c r="A14787" s="4" t="s">
        <v>18619</v>
      </c>
      <c r="B14787" s="6" t="s">
        <v>18622</v>
      </c>
      <c r="C14787" s="5" t="str">
        <f>IFERROR(__xludf.DUMMYFUNCTION("GOOGLETRANSLATE(B14787,""en"",""it"")"),"Più persone si fanno avanti per lottare a braccio quest'uomo mentre viene mostrato il cibo e il perdente ottiene cibo su di lui.")</f>
        <v>Più persone si fanno avanti per lottare a braccio quest'uomo mentre viene mostrato il cibo e il perdente ottiene cibo su di lui.</v>
      </c>
    </row>
    <row r="14788">
      <c r="A14788" s="4" t="s">
        <v>18623</v>
      </c>
      <c r="B14788" s="4" t="s">
        <v>18624</v>
      </c>
      <c r="C14788" s="5" t="str">
        <f>IFERROR(__xludf.DUMMYFUNCTION("GOOGLETRANSLATE(B14788,""en"",""it"")"),"Due persone sono viste inginocchiarsi davanti a una pianta seduta a terra e parlarsi.")</f>
        <v>Due persone sono viste inginocchiarsi davanti a una pianta seduta a terra e parlarsi.</v>
      </c>
    </row>
    <row r="14789">
      <c r="A14789" s="4" t="s">
        <v>18623</v>
      </c>
      <c r="B14789" s="6" t="s">
        <v>18625</v>
      </c>
      <c r="C14789" s="5" t="str">
        <f>IFERROR(__xludf.DUMMYFUNCTION("GOOGLETRANSLATE(B14789,""en"",""it"")"),"Gli uomini continuano a muoversi lo sporco attorno alla pianta e alla fine stando accanto all'albero e tirando via le radici e scaricando più terreno attorno ad esso.")</f>
        <v>Gli uomini continuano a muoversi lo sporco attorno alla pianta e alla fine stando accanto all'albero e tirando via le radici e scaricando più terreno attorno ad esso.</v>
      </c>
    </row>
    <row r="14790">
      <c r="A14790" s="4" t="s">
        <v>18626</v>
      </c>
      <c r="B14790" s="4" t="s">
        <v>18627</v>
      </c>
      <c r="C14790" s="5" t="str">
        <f>IFERROR(__xludf.DUMMYFUNCTION("GOOGLETRANSLATE(B14790,""en"",""it"")"),"Un primo piano è mostrato da una sala da biliardo.")</f>
        <v>Un primo piano è mostrato da una sala da biliardo.</v>
      </c>
    </row>
    <row r="14791">
      <c r="A14791" s="4" t="s">
        <v>18626</v>
      </c>
      <c r="B14791" s="4" t="s">
        <v>18628</v>
      </c>
      <c r="C14791" s="5" t="str">
        <f>IFERROR(__xludf.DUMMYFUNCTION("GOOGLETRANSLATE(B14791,""en"",""it"")"),"Un uomo e una donna entrano nella stanza, afferrando spunti.")</f>
        <v>Un uomo e una donna entrano nella stanza, afferrando spunti.</v>
      </c>
    </row>
    <row r="14792">
      <c r="A14792" s="4" t="s">
        <v>18626</v>
      </c>
      <c r="B14792" s="4" t="s">
        <v>18629</v>
      </c>
      <c r="C14792" s="5" t="str">
        <f>IFERROR(__xludf.DUMMYFUNCTION("GOOGLETRANSLATE(B14792,""en"",""it"")"),"Si impegnano insieme in una partita di piscina, colpendo le palle nelle tasche.")</f>
        <v>Si impegnano insieme in una partita di piscina, colpendo le palle nelle tasche.</v>
      </c>
    </row>
    <row r="14793">
      <c r="A14793" s="4" t="s">
        <v>18630</v>
      </c>
      <c r="B14793" s="6" t="s">
        <v>18631</v>
      </c>
      <c r="C14793" s="5" t="str">
        <f>IFERROR(__xludf.DUMMYFUNCTION("GOOGLETRANSLATE(B14793,""en"",""it"")"),"Istruzioni passo dopo passo per preparare la pasta cremosa, prima mettendo la pasta in acqua bollente e mescolandola.")</f>
        <v>Istruzioni passo dopo passo per preparare la pasta cremosa, prima mettendo la pasta in acqua bollente e mescolandola.</v>
      </c>
    </row>
    <row r="14794">
      <c r="A14794" s="4" t="s">
        <v>18630</v>
      </c>
      <c r="B14794" s="4" t="s">
        <v>18632</v>
      </c>
      <c r="C14794" s="5" t="str">
        <f>IFERROR(__xludf.DUMMYFUNCTION("GOOGLETRANSLATE(B14794,""en"",""it"")"),"Quindi in un'altra padella che aggiunge salsiccia e cipolle e mescola tutto insieme.")</f>
        <v>Quindi in un'altra padella che aggiunge salsiccia e cipolle e mescola tutto insieme.</v>
      </c>
    </row>
    <row r="14795">
      <c r="A14795" s="4" t="s">
        <v>18630</v>
      </c>
      <c r="B14795" s="4" t="s">
        <v>18633</v>
      </c>
      <c r="C14795" s="5" t="str">
        <f>IFERROR(__xludf.DUMMYFUNCTION("GOOGLETRANSLATE(B14795,""en"",""it"")"),"Aggiunta di pomodori e panna pesante per renderlo pastoso.")</f>
        <v>Aggiunta di pomodori e panna pesante per renderlo pastoso.</v>
      </c>
    </row>
    <row r="14796">
      <c r="A14796" s="4" t="s">
        <v>18630</v>
      </c>
      <c r="B14796" s="4" t="s">
        <v>18634</v>
      </c>
      <c r="C14796" s="5" t="str">
        <f>IFERROR(__xludf.DUMMYFUNCTION("GOOGLETRANSLATE(B14796,""en"",""it"")"),"Infine aggiungendo la pasta, insieme ad alcuni fiocchi di formaggio e prezzemolo e mescolando tutto insieme.")</f>
        <v>Infine aggiungendo la pasta, insieme ad alcuni fiocchi di formaggio e prezzemolo e mescolando tutto insieme.</v>
      </c>
    </row>
    <row r="14797">
      <c r="A14797" s="4" t="s">
        <v>18635</v>
      </c>
      <c r="B14797" s="4" t="s">
        <v>18636</v>
      </c>
      <c r="C14797" s="5" t="str">
        <f>IFERROR(__xludf.DUMMYFUNCTION("GOOGLETRANSLATE(B14797,""en"",""it"")"),"Un uomo si trova accanto a una ragazza vestita con un vestito da ginnastica in palestra e parla con la telecamera.")</f>
        <v>Un uomo si trova accanto a una ragazza vestita con un vestito da ginnastica in palestra e parla con la telecamera.</v>
      </c>
    </row>
    <row r="14798">
      <c r="A14798" s="4" t="s">
        <v>18635</v>
      </c>
      <c r="B14798" s="6" t="s">
        <v>18637</v>
      </c>
      <c r="C14798" s="5" t="str">
        <f>IFERROR(__xludf.DUMMYFUNCTION("GOOGLETRANSLATE(B14798,""en"",""it"")"),"L'uomo quindi allena la ragazza dei bar in palestra in una sessione di prove di ginnastica mentre la ragazza oscilla sui bar in una palestra piena di altri bambini che praticano la ginnastica.")</f>
        <v>L'uomo quindi allena la ragazza dei bar in palestra in una sessione di prove di ginnastica mentre la ragazza oscilla sui bar in una palestra piena di altri bambini che praticano la ginnastica.</v>
      </c>
    </row>
    <row r="14799">
      <c r="A14799" s="4" t="s">
        <v>18635</v>
      </c>
      <c r="B14799" s="4" t="s">
        <v>18638</v>
      </c>
      <c r="C14799" s="5" t="str">
        <f>IFERROR(__xludf.DUMMYFUNCTION("GOOGLETRANSLATE(B14799,""en"",""it"")"),"L'uomo si chiude quindi di nuovo in piedi accanto alla ragazza e parlando nella telecamera.")</f>
        <v>L'uomo si chiude quindi di nuovo in piedi accanto alla ragazza e parlando nella telecamera.</v>
      </c>
    </row>
    <row r="14800">
      <c r="A14800" s="4" t="s">
        <v>18639</v>
      </c>
      <c r="B14800" s="4" t="s">
        <v>18640</v>
      </c>
      <c r="C14800" s="5" t="str">
        <f>IFERROR(__xludf.DUMMYFUNCTION("GOOGLETRANSLATE(B14800,""en"",""it"")"),"Una persona naviga nella tavola nell'acqua mosse dell'oceano.")</f>
        <v>Una persona naviga nella tavola nell'acqua mosse dell'oceano.</v>
      </c>
    </row>
    <row r="14801">
      <c r="A14801" s="4" t="s">
        <v>18639</v>
      </c>
      <c r="B14801" s="6" t="s">
        <v>18641</v>
      </c>
      <c r="C14801" s="5" t="str">
        <f>IFERROR(__xludf.DUMMYFUNCTION("GOOGLETRANSLATE(B14801,""en"",""it"")"),"Una donna si trova sulla parte anteriore di una piscina che parla, poi viene mostrata una presentazione di foto e un uomo che parla in un evento.")</f>
        <v>Una donna si trova sulla parte anteriore di una piscina che parla, poi viene mostrata una presentazione di foto e un uomo che parla in un evento.</v>
      </c>
    </row>
    <row r="14802">
      <c r="A14802" s="4" t="s">
        <v>18639</v>
      </c>
      <c r="B14802" s="4" t="s">
        <v>18642</v>
      </c>
      <c r="C14802" s="5" t="str">
        <f>IFERROR(__xludf.DUMMYFUNCTION("GOOGLETRANSLATE(B14802,""en"",""it"")"),"Quindi, il principe Harry d'Inghilterra si trova in un evento mentre le persone ballano e si esibiscono.")</f>
        <v>Quindi, il principe Harry d'Inghilterra si trova in un evento mentre le persone ballano e si esibiscono.</v>
      </c>
    </row>
    <row r="14803">
      <c r="A14803" s="4" t="s">
        <v>18639</v>
      </c>
      <c r="B14803" s="6" t="s">
        <v>18643</v>
      </c>
      <c r="C14803" s="5" t="str">
        <f>IFERROR(__xludf.DUMMYFUNCTION("GOOGLETRANSLATE(B14803,""en"",""it"")"),"Dopo, le persone giocano a polo in un cavallo che cavalcano un cavallo che lancia una palla con un palo, anche la donna e l'uomo parla.")</f>
        <v>Dopo, le persone giocano a polo in un cavallo che cavalcano un cavallo che lancia una palla con un palo, anche la donna e l'uomo parla.</v>
      </c>
    </row>
    <row r="14804">
      <c r="A14804" s="4" t="s">
        <v>18644</v>
      </c>
      <c r="B14804" s="4" t="s">
        <v>18645</v>
      </c>
      <c r="C14804" s="5" t="str">
        <f>IFERROR(__xludf.DUMMYFUNCTION("GOOGLETRANSLATE(B14804,""en"",""it"")"),"Vengono mostrati diversi scatti di persone che eseguono una ginnastica impressionante in una grande palestra.")</f>
        <v>Vengono mostrati diversi scatti di persone che eseguono una ginnastica impressionante in una grande palestra.</v>
      </c>
    </row>
    <row r="14805">
      <c r="A14805" s="4" t="s">
        <v>18644</v>
      </c>
      <c r="B14805" s="6" t="s">
        <v>18646</v>
      </c>
      <c r="C14805" s="5" t="str">
        <f>IFERROR(__xludf.DUMMYFUNCTION("GOOGLETRANSLATE(B14805,""en"",""it"")"),"Le persone eseguono continuamente lanci e trucchi sui tappetini con alcuni che vengono mostrati al rallentatore e alle immagini.")</f>
        <v>Le persone eseguono continuamente lanci e trucchi sui tappetini con alcuni che vengono mostrati al rallentatore e alle immagini.</v>
      </c>
    </row>
    <row r="14806">
      <c r="A14806" s="4" t="s">
        <v>18647</v>
      </c>
      <c r="B14806" s="4" t="s">
        <v>18648</v>
      </c>
      <c r="C14806" s="5" t="str">
        <f>IFERROR(__xludf.DUMMYFUNCTION("GOOGLETRANSLATE(B14806,""en"",""it"")"),"Un uomo tiene in mano un bicchiere di vino e parla.")</f>
        <v>Un uomo tiene in mano un bicchiere di vino e parla.</v>
      </c>
    </row>
    <row r="14807">
      <c r="A14807" s="4" t="s">
        <v>18647</v>
      </c>
      <c r="B14807" s="4" t="s">
        <v>18649</v>
      </c>
      <c r="C14807" s="5" t="str">
        <f>IFERROR(__xludf.DUMMYFUNCTION("GOOGLETRANSLATE(B14807,""en"",""it"")"),"Prende un drink al vino e mette giù il bicchiere.")</f>
        <v>Prende un drink al vino e mette giù il bicchiere.</v>
      </c>
    </row>
    <row r="14808">
      <c r="A14808" s="4" t="s">
        <v>18647</v>
      </c>
      <c r="B14808" s="4" t="s">
        <v>18650</v>
      </c>
      <c r="C14808" s="5" t="str">
        <f>IFERROR(__xludf.DUMMYFUNCTION("GOOGLETRANSLATE(B14808,""en"",""it"")"),"Mostra bottiglie che sono sedute su un bancone.")</f>
        <v>Mostra bottiglie che sono sedute su un bancone.</v>
      </c>
    </row>
    <row r="14809">
      <c r="A14809" s="4" t="s">
        <v>18647</v>
      </c>
      <c r="B14809" s="4" t="s">
        <v>18651</v>
      </c>
      <c r="C14809" s="5" t="str">
        <f>IFERROR(__xludf.DUMMYFUNCTION("GOOGLETRANSLATE(B14809,""en"",""it"")"),"Versa olio in una padella su una stufa.")</f>
        <v>Versa olio in una padella su una stufa.</v>
      </c>
    </row>
    <row r="14810">
      <c r="A14810" s="4" t="s">
        <v>18647</v>
      </c>
      <c r="B14810" s="4" t="s">
        <v>18652</v>
      </c>
      <c r="C14810" s="5" t="str">
        <f>IFERROR(__xludf.DUMMYFUNCTION("GOOGLETRANSLATE(B14810,""en"",""it"")"),"Aggiunge condimenti alla padella.")</f>
        <v>Aggiunge condimenti alla padella.</v>
      </c>
    </row>
    <row r="14811">
      <c r="A14811" s="4" t="s">
        <v>18647</v>
      </c>
      <c r="B14811" s="4" t="s">
        <v>18653</v>
      </c>
      <c r="C14811" s="5" t="str">
        <f>IFERROR(__xludf.DUMMYFUNCTION("GOOGLETRANSLATE(B14811,""en"",""it"")"),"Muove una pentola che si trova sul fornello.")</f>
        <v>Muove una pentola che si trova sul fornello.</v>
      </c>
    </row>
    <row r="14812">
      <c r="A14812" s="4" t="s">
        <v>18647</v>
      </c>
      <c r="B14812" s="4" t="s">
        <v>18654</v>
      </c>
      <c r="C14812" s="5" t="str">
        <f>IFERROR(__xludf.DUMMYFUNCTION("GOOGLETRANSLATE(B14812,""en"",""it"")"),"Prende una pallina di ciò che è nella pentola e lo aggiunge alla padella.")</f>
        <v>Prende una pallina di ciò che è nella pentola e lo aggiunge alla padella.</v>
      </c>
    </row>
    <row r="14813">
      <c r="A14813" s="4" t="s">
        <v>18647</v>
      </c>
      <c r="B14813" s="4" t="s">
        <v>18655</v>
      </c>
      <c r="C14813" s="5" t="str">
        <f>IFERROR(__xludf.DUMMYFUNCTION("GOOGLETRANSLATE(B14813,""en"",""it"")"),"Comincia a mescolare la pasta che si trova nella padella.")</f>
        <v>Comincia a mescolare la pasta che si trova nella padella.</v>
      </c>
    </row>
    <row r="14814">
      <c r="A14814" s="4" t="s">
        <v>18647</v>
      </c>
      <c r="B14814" s="4" t="s">
        <v>18656</v>
      </c>
      <c r="C14814" s="5" t="str">
        <f>IFERROR(__xludf.DUMMYFUNCTION("GOOGLETRANSLATE(B14814,""en"",""it"")"),"Raccoglie la pasta fuori dalla padella su un piatto.")</f>
        <v>Raccoglie la pasta fuori dalla padella su un piatto.</v>
      </c>
    </row>
    <row r="14815">
      <c r="A14815" s="4" t="s">
        <v>18647</v>
      </c>
      <c r="B14815" s="4" t="s">
        <v>18657</v>
      </c>
      <c r="C14815" s="5" t="str">
        <f>IFERROR(__xludf.DUMMYFUNCTION("GOOGLETRANSLATE(B14815,""en"",""it"")"),"Raccoglie di nuovo il suo bicchiere di vino.")</f>
        <v>Raccoglie di nuovo il suo bicchiere di vino.</v>
      </c>
    </row>
    <row r="14816">
      <c r="A14816" s="4" t="s">
        <v>18658</v>
      </c>
      <c r="B14816" s="4" t="s">
        <v>18659</v>
      </c>
      <c r="C14816" s="5" t="str">
        <f>IFERROR(__xludf.DUMMYFUNCTION("GOOGLETRANSLATE(B14816,""en"",""it"")"),"Un gruppo di motociclisti di sporcizia sta aspettando una rampa.")</f>
        <v>Un gruppo di motociclisti di sporcizia sta aspettando una rampa.</v>
      </c>
    </row>
    <row r="14817">
      <c r="A14817" s="4" t="s">
        <v>18658</v>
      </c>
      <c r="B14817" s="4" t="s">
        <v>18660</v>
      </c>
      <c r="C14817" s="5" t="str">
        <f>IFERROR(__xludf.DUMMYFUNCTION("GOOGLETRANSLATE(B14817,""en"",""it"")"),"Si dedicano quando si apre, andando in giro in pista, correndo a vicenda.")</f>
        <v>Si dedicano quando si apre, andando in giro in pista, correndo a vicenda.</v>
      </c>
    </row>
    <row r="14818">
      <c r="A14818" s="4" t="s">
        <v>18658</v>
      </c>
      <c r="B14818" s="4" t="s">
        <v>18661</v>
      </c>
      <c r="C14818" s="5" t="str">
        <f>IFERROR(__xludf.DUMMYFUNCTION("GOOGLETRANSLATE(B14818,""en"",""it"")"),"Alcuni cadono dalle loro bici.")</f>
        <v>Alcuni cadono dalle loro bici.</v>
      </c>
    </row>
    <row r="14819">
      <c r="A14819" s="4" t="s">
        <v>18658</v>
      </c>
      <c r="B14819" s="4" t="s">
        <v>18662</v>
      </c>
      <c r="C14819" s="5" t="str">
        <f>IFERROR(__xludf.DUMMYFUNCTION("GOOGLETRANSLATE(B14819,""en"",""it"")"),"Lo fanno attraverso il traguardo, ponendo fine alla gara.")</f>
        <v>Lo fanno attraverso il traguardo, ponendo fine alla gara.</v>
      </c>
    </row>
    <row r="14820">
      <c r="A14820" s="4" t="s">
        <v>18663</v>
      </c>
      <c r="B14820" s="4" t="s">
        <v>18664</v>
      </c>
      <c r="C14820" s="5" t="str">
        <f>IFERROR(__xludf.DUMMYFUNCTION("GOOGLETRANSLATE(B14820,""en"",""it"")"),"Una donna fa qualche passo con un paio di apparato di salto.")</f>
        <v>Una donna fa qualche passo con un paio di apparato di salto.</v>
      </c>
    </row>
    <row r="14821">
      <c r="A14821" s="4" t="s">
        <v>18663</v>
      </c>
      <c r="B14821" s="4" t="s">
        <v>18665</v>
      </c>
      <c r="C14821" s="5" t="str">
        <f>IFERROR(__xludf.DUMMYFUNCTION("GOOGLETRANSLATE(B14821,""en"",""it"")"),"La donna inizia a saltare rapidamente.")</f>
        <v>La donna inizia a saltare rapidamente.</v>
      </c>
    </row>
    <row r="14822">
      <c r="A14822" s="4" t="s">
        <v>18663</v>
      </c>
      <c r="B14822" s="4" t="s">
        <v>18666</v>
      </c>
      <c r="C14822" s="5" t="str">
        <f>IFERROR(__xludf.DUMMYFUNCTION("GOOGLETRANSLATE(B14822,""en"",""it"")"),"La donna è unita da un uomo che sta anche saltando in un paio di apparecchi di salto.")</f>
        <v>La donna è unita da un uomo che sta anche saltando in un paio di apparecchi di salto.</v>
      </c>
    </row>
    <row r="14823">
      <c r="A14823" s="4" t="s">
        <v>18667</v>
      </c>
      <c r="B14823" s="4" t="s">
        <v>18668</v>
      </c>
      <c r="C14823" s="5" t="str">
        <f>IFERROR(__xludf.DUMMYFUNCTION("GOOGLETRANSLATE(B14823,""en"",""it"")"),"Un uomo viene visto cavalcare su un lungo fiume con un'altra persona che cavalcava.")</f>
        <v>Un uomo viene visto cavalcare su un lungo fiume con un'altra persona che cavalcava.</v>
      </c>
    </row>
    <row r="14824">
      <c r="A14824" s="4" t="s">
        <v>18667</v>
      </c>
      <c r="B14824" s="4" t="s">
        <v>18669</v>
      </c>
      <c r="C14824" s="5" t="str">
        <f>IFERROR(__xludf.DUMMYFUNCTION("GOOGLETRANSLATE(B14824,""en"",""it"")"),"La telecamera passa a diverse persone che cavalcano in tubi e si spingono lungo un fiume.")</f>
        <v>La telecamera passa a diverse persone che cavalcano in tubi e si spingono lungo un fiume.</v>
      </c>
    </row>
    <row r="14825">
      <c r="A14825" s="4" t="s">
        <v>18670</v>
      </c>
      <c r="B14825" s="4" t="s">
        <v>18671</v>
      </c>
      <c r="C14825" s="5" t="str">
        <f>IFERROR(__xludf.DUMMYFUNCTION("GOOGLETRANSLATE(B14825,""en"",""it"")"),"Una ragazza viene vista sdraiata su un tavolo mentre un uomo che indossa i guanti tiene le forbici al suo ombelico.")</f>
        <v>Una ragazza viene vista sdraiata su un tavolo mentre un uomo che indossa i guanti tiene le forbici al suo ombelico.</v>
      </c>
    </row>
    <row r="14826">
      <c r="A14826" s="4" t="s">
        <v>18670</v>
      </c>
      <c r="B14826" s="4" t="s">
        <v>18672</v>
      </c>
      <c r="C14826" s="5" t="str">
        <f>IFERROR(__xludf.DUMMYFUNCTION("GOOGLETRANSLATE(B14826,""en"",""it"")"),"Quindi trafigge lo stomaco della ragazza e lei si siede e si allontana alla fine sorridendo.")</f>
        <v>Quindi trafigge lo stomaco della ragazza e lei si siede e si allontana alla fine sorridendo.</v>
      </c>
    </row>
    <row r="14827">
      <c r="A14827" s="4" t="s">
        <v>18673</v>
      </c>
      <c r="B14827" s="6" t="s">
        <v>18674</v>
      </c>
      <c r="C14827" s="5" t="str">
        <f>IFERROR(__xludf.DUMMYFUNCTION("GOOGLETRANSLATE(B14827,""en"",""it"")"),"Un uomo è toro che combatte =, ha un foglio rosa e sta scappando all'indietro dal toro che sta arrivando verso di lui.")</f>
        <v>Un uomo è toro che combatte =, ha un foglio rosa e sta scappando all'indietro dal toro che sta arrivando verso di lui.</v>
      </c>
    </row>
    <row r="14828">
      <c r="A14828" s="4" t="s">
        <v>18673</v>
      </c>
      <c r="B14828" s="4" t="s">
        <v>18675</v>
      </c>
      <c r="C14828" s="5" t="str">
        <f>IFERROR(__xludf.DUMMYFUNCTION("GOOGLETRANSLATE(B14828,""en"",""it"")"),"Ci sono tre uomini ora e uno di loro viene completamente calpestato dal toro.")</f>
        <v>Ci sono tre uomini ora e uno di loro viene completamente calpestato dal toro.</v>
      </c>
    </row>
    <row r="14829">
      <c r="A14829" s="4" t="s">
        <v>18673</v>
      </c>
      <c r="B14829" s="4" t="s">
        <v>18676</v>
      </c>
      <c r="C14829" s="5" t="str">
        <f>IFERROR(__xludf.DUMMYFUNCTION("GOOGLETRANSLATE(B14829,""en"",""it"")"),"Poi circa altri sei uomini stanno in una linea che scherzano con il toro.")</f>
        <v>Poi circa altri sei uomini stanno in una linea che scherzano con il toro.</v>
      </c>
    </row>
    <row r="14830">
      <c r="A14830" s="4" t="s">
        <v>18673</v>
      </c>
      <c r="B14830" s="4" t="s">
        <v>18677</v>
      </c>
      <c r="C14830" s="5" t="str">
        <f>IFERROR(__xludf.DUMMYFUNCTION("GOOGLETRANSLATE(B14830,""en"",""it"")"),"È un casino molto pericoloso con un toro e stuzzicarlo, queste persone possono farsi seriamente male.")</f>
        <v>È un casino molto pericoloso con un toro e stuzzicarlo, queste persone possono farsi seriamente male.</v>
      </c>
    </row>
    <row r="14831">
      <c r="A14831" s="4" t="s">
        <v>18678</v>
      </c>
      <c r="B14831" s="4" t="s">
        <v>18679</v>
      </c>
      <c r="C14831" s="5" t="str">
        <f>IFERROR(__xludf.DUMMYFUNCTION("GOOGLETRANSLATE(B14831,""en"",""it"")"),"Si vede lo schermo del titolo colorato.")</f>
        <v>Si vede lo schermo del titolo colorato.</v>
      </c>
    </row>
    <row r="14832">
      <c r="A14832" s="4" t="s">
        <v>18678</v>
      </c>
      <c r="B14832" s="4" t="s">
        <v>18680</v>
      </c>
      <c r="C14832" s="5" t="str">
        <f>IFERROR(__xludf.DUMMYFUNCTION("GOOGLETRANSLATE(B14832,""en"",""it"")"),"Due persone in una stanza ballano lentamente sul retro.")</f>
        <v>Due persone in una stanza ballano lentamente sul retro.</v>
      </c>
    </row>
    <row r="14833">
      <c r="A14833" s="4" t="s">
        <v>18678</v>
      </c>
      <c r="B14833" s="4" t="s">
        <v>18681</v>
      </c>
      <c r="C14833" s="5" t="str">
        <f>IFERROR(__xludf.DUMMYFUNCTION("GOOGLETRANSLATE(B14833,""en"",""it"")"),"Una schermata del titolo si carica e vediamo l'uomo ballare da solo.")</f>
        <v>Una schermata del titolo si carica e vediamo l'uomo ballare da solo.</v>
      </c>
    </row>
    <row r="14834">
      <c r="A14834" s="4" t="s">
        <v>18678</v>
      </c>
      <c r="B14834" s="4" t="s">
        <v>18682</v>
      </c>
      <c r="C14834" s="5" t="str">
        <f>IFERROR(__xludf.DUMMYFUNCTION("GOOGLETRANSLATE(B14834,""en"",""it"")"),"Vediamo un titolo e la signora nella stanza verde ballare da sola.")</f>
        <v>Vediamo un titolo e la signora nella stanza verde ballare da sola.</v>
      </c>
    </row>
    <row r="14835">
      <c r="A14835" s="4" t="s">
        <v>18678</v>
      </c>
      <c r="B14835" s="4" t="s">
        <v>18683</v>
      </c>
      <c r="C14835" s="5" t="str">
        <f>IFERROR(__xludf.DUMMYFUNCTION("GOOGLETRANSLATE(B14835,""en"",""it"")"),"Un titolo si carica e vediamo i piedi dell'uomo mentre balla.")</f>
        <v>Un titolo si carica e vediamo i piedi dell'uomo mentre balla.</v>
      </c>
    </row>
    <row r="14836">
      <c r="A14836" s="4" t="s">
        <v>18678</v>
      </c>
      <c r="B14836" s="4" t="s">
        <v>18684</v>
      </c>
      <c r="C14836" s="5" t="str">
        <f>IFERROR(__xludf.DUMMYFUNCTION("GOOGLETRANSLATE(B14836,""en"",""it"")"),"Un titolo si carica e vediamo i piedi delle donne mentre balla.")</f>
        <v>Un titolo si carica e vediamo i piedi delle donne mentre balla.</v>
      </c>
    </row>
    <row r="14837">
      <c r="A14837" s="4" t="s">
        <v>18685</v>
      </c>
      <c r="B14837" s="4" t="s">
        <v>18686</v>
      </c>
      <c r="C14837" s="5" t="str">
        <f>IFERROR(__xludf.DUMMYFUNCTION("GOOGLETRANSLATE(B14837,""en"",""it"")"),"Viene visto un uomo parlare alla telecamera mentre si lava i capelli e si guarda intorno a un bagno.")</f>
        <v>Viene visto un uomo parlare alla telecamera mentre si lava i capelli e si guarda intorno a un bagno.</v>
      </c>
    </row>
    <row r="14838">
      <c r="A14838" s="4" t="s">
        <v>18685</v>
      </c>
      <c r="B14838" s="4" t="s">
        <v>18687</v>
      </c>
      <c r="C14838" s="5" t="str">
        <f>IFERROR(__xludf.DUMMYFUNCTION("GOOGLETRANSLATE(B14838,""en"",""it"")"),"L'uomo continua a lavarsi i capelli e inizia a giocare con i peli del viso.")</f>
        <v>L'uomo continua a lavarsi i capelli e inizia a giocare con i peli del viso.</v>
      </c>
    </row>
    <row r="14839">
      <c r="A14839" s="4" t="s">
        <v>18685</v>
      </c>
      <c r="B14839" s="4" t="s">
        <v>18688</v>
      </c>
      <c r="C14839" s="5" t="str">
        <f>IFERROR(__xludf.DUMMYFUNCTION("GOOGLETRANSLATE(B14839,""en"",""it"")"),"L'uomo punta la telecamera intorno alla testa che si mostrava i capelli e sorride alla telecamera.")</f>
        <v>L'uomo punta la telecamera intorno alla testa che si mostrava i capelli e sorride alla telecamera.</v>
      </c>
    </row>
    <row r="14840">
      <c r="A14840" s="4" t="s">
        <v>18689</v>
      </c>
      <c r="B14840" s="4" t="s">
        <v>18690</v>
      </c>
      <c r="C14840" s="5" t="str">
        <f>IFERROR(__xludf.DUMMYFUNCTION("GOOGLETRANSLATE(B14840,""en"",""it"")"),"Gli uomini giocano a tennis interno all'interno di un edificio mentre il calcio è in TV in sottofondo.")</f>
        <v>Gli uomini giocano a tennis interno all'interno di un edificio mentre il calcio è in TV in sottofondo.</v>
      </c>
    </row>
    <row r="14841">
      <c r="A14841" s="4" t="s">
        <v>18689</v>
      </c>
      <c r="B14841" s="4" t="s">
        <v>18691</v>
      </c>
      <c r="C14841" s="5" t="str">
        <f>IFERROR(__xludf.DUMMYFUNCTION("GOOGLETRANSLATE(B14841,""en"",""it"")"),"Hanno colpito la palla avanti e indietro per un po '.")</f>
        <v>Hanno colpito la palla avanti e indietro per un po '.</v>
      </c>
    </row>
    <row r="14842">
      <c r="A14842" s="4" t="s">
        <v>18689</v>
      </c>
      <c r="B14842" s="4" t="s">
        <v>18692</v>
      </c>
      <c r="C14842" s="5" t="str">
        <f>IFERROR(__xludf.DUMMYFUNCTION("GOOGLETRANSLATE(B14842,""en"",""it"")"),"Altri uomini nella stanza di tanto in tanto alzano lo sguardo.")</f>
        <v>Altri uomini nella stanza di tanto in tanto alzano lo sguardo.</v>
      </c>
    </row>
    <row r="14843">
      <c r="A14843" s="4" t="s">
        <v>18693</v>
      </c>
      <c r="B14843" s="4" t="s">
        <v>18694</v>
      </c>
      <c r="C14843" s="5" t="str">
        <f>IFERROR(__xludf.DUMMYFUNCTION("GOOGLETRANSLATE(B14843,""en"",""it"")"),"Vediamo un giornalista in uno studio che parla.")</f>
        <v>Vediamo un giornalista in uno studio che parla.</v>
      </c>
    </row>
    <row r="14844">
      <c r="A14844" s="4" t="s">
        <v>18693</v>
      </c>
      <c r="B14844" s="4" t="s">
        <v>18695</v>
      </c>
      <c r="C14844" s="5" t="str">
        <f>IFERROR(__xludf.DUMMYFUNCTION("GOOGLETRANSLATE(B14844,""en"",""it"")"),"Vediamo quindi una partita di calcio all'interno.")</f>
        <v>Vediamo quindi una partita di calcio all'interno.</v>
      </c>
    </row>
    <row r="14845">
      <c r="A14845" s="4" t="s">
        <v>18693</v>
      </c>
      <c r="B14845" s="4" t="s">
        <v>18696</v>
      </c>
      <c r="C14845" s="5" t="str">
        <f>IFERROR(__xludf.DUMMYFUNCTION("GOOGLETRANSLATE(B14845,""en"",""it"")"),"Un uomo parla davanti alla telecamera e vediamo la folla.")</f>
        <v>Un uomo parla davanti alla telecamera e vediamo la folla.</v>
      </c>
    </row>
    <row r="14846">
      <c r="A14846" s="4" t="s">
        <v>18693</v>
      </c>
      <c r="B14846" s="4" t="s">
        <v>18697</v>
      </c>
      <c r="C14846" s="5" t="str">
        <f>IFERROR(__xludf.DUMMYFUNCTION("GOOGLETRANSLATE(B14846,""en"",""it"")"),"Vediamo il gioco in corso.")</f>
        <v>Vediamo il gioco in corso.</v>
      </c>
    </row>
    <row r="14847">
      <c r="A14847" s="4" t="s">
        <v>18693</v>
      </c>
      <c r="B14847" s="4" t="s">
        <v>18698</v>
      </c>
      <c r="C14847" s="5" t="str">
        <f>IFERROR(__xludf.DUMMYFUNCTION("GOOGLETRANSLATE(B14847,""en"",""it"")"),"L'uomo parla di nuovo e vediamo di nuovo il gioco.")</f>
        <v>L'uomo parla di nuovo e vediamo di nuovo il gioco.</v>
      </c>
    </row>
    <row r="14848">
      <c r="A14848" s="4" t="s">
        <v>18693</v>
      </c>
      <c r="B14848" s="4" t="s">
        <v>18699</v>
      </c>
      <c r="C14848" s="5" t="str">
        <f>IFERROR(__xludf.DUMMYFUNCTION("GOOGLETRANSLATE(B14848,""en"",""it"")"),"L'uomo parla ancora una volta e torniamo al gioco.")</f>
        <v>L'uomo parla ancora una volta e torniamo al gioco.</v>
      </c>
    </row>
    <row r="14849">
      <c r="A14849" s="4" t="s">
        <v>18693</v>
      </c>
      <c r="B14849" s="4" t="s">
        <v>18700</v>
      </c>
      <c r="C14849" s="5" t="str">
        <f>IFERROR(__xludf.DUMMYFUNCTION("GOOGLETRANSLATE(B14849,""en"",""it"")"),"Vediamo di nuovo il giornalista in studio.")</f>
        <v>Vediamo di nuovo il giornalista in studio.</v>
      </c>
    </row>
    <row r="14850">
      <c r="A14850" s="4" t="s">
        <v>18701</v>
      </c>
      <c r="B14850" s="4" t="s">
        <v>18702</v>
      </c>
      <c r="C14850" s="5" t="str">
        <f>IFERROR(__xludf.DUMMYFUNCTION("GOOGLETRANSLATE(B14850,""en"",""it"")"),"Vediamo un certo numero di uomini che lanciano freccette e una donna che mantiene il punteggio.")</f>
        <v>Vediamo un certo numero di uomini che lanciano freccette e una donna che mantiene il punteggio.</v>
      </c>
    </row>
    <row r="14851">
      <c r="A14851" s="4" t="s">
        <v>18701</v>
      </c>
      <c r="B14851" s="4" t="s">
        <v>18703</v>
      </c>
      <c r="C14851" s="5" t="str">
        <f>IFERROR(__xludf.DUMMYFUNCTION("GOOGLETRANSLATE(B14851,""en"",""it"")"),"L'uomo prende le freccette dal tabellone e si allontana.")</f>
        <v>L'uomo prende le freccette dal tabellone e si allontana.</v>
      </c>
    </row>
    <row r="14852">
      <c r="A14852" s="4" t="s">
        <v>18701</v>
      </c>
      <c r="B14852" s="4" t="s">
        <v>18704</v>
      </c>
      <c r="C14852" s="5" t="str">
        <f>IFERROR(__xludf.DUMMYFUNCTION("GOOGLETRANSLATE(B14852,""en"",""it"")"),"Un altro uomo spara, afferra le sue freccette e va.")</f>
        <v>Un altro uomo spara, afferra le sue freccette e va.</v>
      </c>
    </row>
    <row r="14853">
      <c r="A14853" s="4" t="s">
        <v>18701</v>
      </c>
      <c r="B14853" s="4" t="s">
        <v>18705</v>
      </c>
      <c r="C14853" s="5" t="str">
        <f>IFERROR(__xludf.DUMMYFUNCTION("GOOGLETRANSLATE(B14853,""en"",""it"")"),"Un terzo ragazzo spara alle freccette e va.")</f>
        <v>Un terzo ragazzo spara alle freccette e va.</v>
      </c>
    </row>
    <row r="14854">
      <c r="A14854" s="4" t="s">
        <v>18701</v>
      </c>
      <c r="B14854" s="4" t="s">
        <v>18706</v>
      </c>
      <c r="C14854" s="5" t="str">
        <f>IFERROR(__xludf.DUMMYFUNCTION("GOOGLETRANSLATE(B14854,""en"",""it"")"),"Il quarto ragazzo spara e va.")</f>
        <v>Il quarto ragazzo spara e va.</v>
      </c>
    </row>
    <row r="14855">
      <c r="A14855" s="4" t="s">
        <v>18701</v>
      </c>
      <c r="B14855" s="4" t="s">
        <v>18707</v>
      </c>
      <c r="C14855" s="5" t="str">
        <f>IFERROR(__xludf.DUMMYFUNCTION("GOOGLETRANSLATE(B14855,""en"",""it"")"),"Il primo ragazzo ritorna per un'altra possibilità.")</f>
        <v>Il primo ragazzo ritorna per un'altra possibilità.</v>
      </c>
    </row>
    <row r="14856">
      <c r="A14856" s="4" t="s">
        <v>18701</v>
      </c>
      <c r="B14856" s="4" t="s">
        <v>18708</v>
      </c>
      <c r="C14856" s="5" t="str">
        <f>IFERROR(__xludf.DUMMYFUNCTION("GOOGLETRANSLATE(B14856,""en"",""it"")"),"Il secondo ragazzo va di nuovo.")</f>
        <v>Il secondo ragazzo va di nuovo.</v>
      </c>
    </row>
    <row r="14857">
      <c r="A14857" s="4" t="s">
        <v>18701</v>
      </c>
      <c r="B14857" s="4" t="s">
        <v>18709</v>
      </c>
      <c r="C14857" s="5" t="str">
        <f>IFERROR(__xludf.DUMMYFUNCTION("GOOGLETRANSLATE(B14857,""en"",""it"")"),"Il terzo ragazzo gioca di nuovo.")</f>
        <v>Il terzo ragazzo gioca di nuovo.</v>
      </c>
    </row>
    <row r="14858">
      <c r="A14858" s="4" t="s">
        <v>18701</v>
      </c>
      <c r="B14858" s="4" t="s">
        <v>18710</v>
      </c>
      <c r="C14858" s="5" t="str">
        <f>IFERROR(__xludf.DUMMYFUNCTION("GOOGLETRANSLATE(B14858,""en"",""it"")"),"Il quarto ragazzo prende il suo turno.")</f>
        <v>Il quarto ragazzo prende il suo turno.</v>
      </c>
    </row>
    <row r="14859">
      <c r="A14859" s="4" t="s">
        <v>18701</v>
      </c>
      <c r="B14859" s="4" t="s">
        <v>18711</v>
      </c>
      <c r="C14859" s="5" t="str">
        <f>IFERROR(__xludf.DUMMYFUNCTION("GOOGLETRANSLATE(B14859,""en"",""it"")"),"E li vediamo ripetere.")</f>
        <v>E li vediamo ripetere.</v>
      </c>
    </row>
    <row r="14860">
      <c r="A14860" s="4" t="s">
        <v>18712</v>
      </c>
      <c r="B14860" s="4" t="s">
        <v>18713</v>
      </c>
      <c r="C14860" s="5" t="str">
        <f>IFERROR(__xludf.DUMMYFUNCTION("GOOGLETRANSLATE(B14860,""en"",""it"")"),"Una ginnasta si prepara a montare un raggio.")</f>
        <v>Una ginnasta si prepara a montare un raggio.</v>
      </c>
    </row>
    <row r="14861">
      <c r="A14861" s="4" t="s">
        <v>18712</v>
      </c>
      <c r="B14861" s="4" t="s">
        <v>18714</v>
      </c>
      <c r="C14861" s="5" t="str">
        <f>IFERROR(__xludf.DUMMYFUNCTION("GOOGLETRANSLATE(B14861,""en"",""it"")"),"Si monta, poi gira e gira più volte.")</f>
        <v>Si monta, poi gira e gira più volte.</v>
      </c>
    </row>
    <row r="14862">
      <c r="A14862" s="4" t="s">
        <v>18712</v>
      </c>
      <c r="B14862" s="4" t="s">
        <v>18715</v>
      </c>
      <c r="C14862" s="5" t="str">
        <f>IFERROR(__xludf.DUMMYFUNCTION("GOOGLETRANSLATE(B14862,""en"",""it"")"),"Smonta, alzando le braccia in aria.")</f>
        <v>Smonta, alzando le braccia in aria.</v>
      </c>
    </row>
    <row r="14863">
      <c r="A14863" s="4" t="s">
        <v>18716</v>
      </c>
      <c r="B14863" s="4" t="s">
        <v>18717</v>
      </c>
      <c r="C14863" s="5" t="str">
        <f>IFERROR(__xludf.DUMMYFUNCTION("GOOGLETRANSLATE(B14863,""en"",""it"")"),"Vediamo un paio di schermi di apertura.")</f>
        <v>Vediamo un paio di schermi di apertura.</v>
      </c>
    </row>
    <row r="14864">
      <c r="A14864" s="4" t="s">
        <v>18716</v>
      </c>
      <c r="B14864" s="4" t="s">
        <v>18718</v>
      </c>
      <c r="C14864" s="5" t="str">
        <f>IFERROR(__xludf.DUMMYFUNCTION("GOOGLETRANSLATE(B14864,""en"",""it"")"),"Vediamo un uomo in una maglietta blu che parla in una pista da bowling.")</f>
        <v>Vediamo un uomo in una maglietta blu che parla in una pista da bowling.</v>
      </c>
    </row>
    <row r="14865">
      <c r="A14865" s="4" t="s">
        <v>18716</v>
      </c>
      <c r="B14865" s="4" t="s">
        <v>18719</v>
      </c>
      <c r="C14865" s="5" t="str">
        <f>IFERROR(__xludf.DUMMYFUNCTION("GOOGLETRANSLATE(B14865,""en"",""it"")"),"L'uomo sceglie la palla viola dal distributore e parla alla telecamera.")</f>
        <v>L'uomo sceglie la palla viola dal distributore e parla alla telecamera.</v>
      </c>
    </row>
    <row r="14866">
      <c r="A14866" s="4" t="s">
        <v>18716</v>
      </c>
      <c r="B14866" s="4" t="s">
        <v>18720</v>
      </c>
      <c r="C14866" s="5" t="str">
        <f>IFERROR(__xludf.DUMMYFUNCTION("GOOGLETRANSLATE(B14866,""en"",""it"")"),"L'uomo tiene fuori la palla, poi lo vediamo mettere le dita nella palla e parla alla telecamera.")</f>
        <v>L'uomo tiene fuori la palla, poi lo vediamo mettere le dita nella palla e parla alla telecamera.</v>
      </c>
    </row>
    <row r="14867">
      <c r="A14867" s="4" t="s">
        <v>18716</v>
      </c>
      <c r="B14867" s="4" t="s">
        <v>18721</v>
      </c>
      <c r="C14867" s="5" t="str">
        <f>IFERROR(__xludf.DUMMYFUNCTION("GOOGLETRANSLATE(B14867,""en"",""it"")"),"L'uomo mette giù la palla e afferra un altro, poi un altro e parla.")</f>
        <v>L'uomo mette giù la palla e afferra un altro, poi un altro e parla.</v>
      </c>
    </row>
    <row r="14868">
      <c r="A14868" s="4" t="s">
        <v>18716</v>
      </c>
      <c r="B14868" s="4" t="s">
        <v>18722</v>
      </c>
      <c r="C14868" s="5" t="str">
        <f>IFERROR(__xludf.DUMMYFUNCTION("GOOGLETRANSLATE(B14868,""en"",""it"")"),"Vediamo quindi l'uomo rotolare la palla lungo il corridoio.")</f>
        <v>Vediamo quindi l'uomo rotolare la palla lungo il corridoio.</v>
      </c>
    </row>
    <row r="14869">
      <c r="A14869" s="4" t="s">
        <v>18723</v>
      </c>
      <c r="B14869" s="4" t="s">
        <v>18724</v>
      </c>
      <c r="C14869" s="5" t="str">
        <f>IFERROR(__xludf.DUMMYFUNCTION("GOOGLETRANSLATE(B14869,""en"",""it"")"),"Un uomo serve una palla da tennis con la sua racchetta.")</f>
        <v>Un uomo serve una palla da tennis con la sua racchetta.</v>
      </c>
    </row>
    <row r="14870">
      <c r="A14870" s="4" t="s">
        <v>18723</v>
      </c>
      <c r="B14870" s="4" t="s">
        <v>18725</v>
      </c>
      <c r="C14870" s="5" t="str">
        <f>IFERROR(__xludf.DUMMYFUNCTION("GOOGLETRANSLATE(B14870,""en"",""it"")"),"Porta la racchetta al suo fianco.")</f>
        <v>Porta la racchetta al suo fianco.</v>
      </c>
    </row>
    <row r="14871">
      <c r="A14871" s="4" t="s">
        <v>18726</v>
      </c>
      <c r="B14871" s="4" t="s">
        <v>18727</v>
      </c>
      <c r="C14871" s="5" t="str">
        <f>IFERROR(__xludf.DUMMYFUNCTION("GOOGLETRANSLATE(B14871,""en"",""it"")"),"La bambina sta facendo ginnastica nel mezzo del campo con mangimi.")</f>
        <v>La bambina sta facendo ginnastica nel mezzo del campo con mangimi.</v>
      </c>
    </row>
    <row r="14872">
      <c r="A14872" s="4" t="s">
        <v>18726</v>
      </c>
      <c r="B14872" s="4" t="s">
        <v>18728</v>
      </c>
      <c r="C14872" s="5" t="str">
        <f>IFERROR(__xludf.DUMMYFUNCTION("GOOGLETRANSLATE(B14872,""en"",""it"")"),"Vengono mostrate le foto della donna.")</f>
        <v>Vengono mostrate le foto della donna.</v>
      </c>
    </row>
    <row r="14873">
      <c r="A14873" s="4" t="s">
        <v>18729</v>
      </c>
      <c r="B14873" s="4" t="s">
        <v>18730</v>
      </c>
      <c r="C14873" s="5" t="str">
        <f>IFERROR(__xludf.DUMMYFUNCTION("GOOGLETRANSLATE(B14873,""en"",""it"")"),"La donna che indossa abiti sportivi sta salendo le scale e sta parlando alla telecamera.")</f>
        <v>La donna che indossa abiti sportivi sta salendo le scale e sta parlando alla telecamera.</v>
      </c>
    </row>
    <row r="14874">
      <c r="A14874" s="4" t="s">
        <v>18729</v>
      </c>
      <c r="B14874" s="6" t="s">
        <v>18731</v>
      </c>
      <c r="C14874" s="5" t="str">
        <f>IFERROR(__xludf.DUMMYFUNCTION("GOOGLETRANSLATE(B14874,""en"",""it"")"),"La donna è in palestra a parlare con la telecamera e con un altro uomo mentre una donna sta facendo esercizio in un Orbitrek.")</f>
        <v>La donna è in palestra a parlare con la telecamera e con un altro uomo mentre una donna sta facendo esercizio in un Orbitrek.</v>
      </c>
    </row>
    <row r="14875">
      <c r="A14875" s="4" t="s">
        <v>18732</v>
      </c>
      <c r="B14875" s="4" t="s">
        <v>18733</v>
      </c>
      <c r="C14875" s="5" t="str">
        <f>IFERROR(__xludf.DUMMYFUNCTION("GOOGLETRANSLATE(B14875,""en"",""it"")"),"Una persona fa esplodere la foglia da un prato e una passerella usando un soffiatore di foglie.")</f>
        <v>Una persona fa esplodere la foglia da un prato e una passerella usando un soffiatore di foglie.</v>
      </c>
    </row>
    <row r="14876">
      <c r="A14876" s="4" t="s">
        <v>18732</v>
      </c>
      <c r="B14876" s="4" t="s">
        <v>18734</v>
      </c>
      <c r="C14876" s="5" t="str">
        <f>IFERROR(__xludf.DUMMYFUNCTION("GOOGLETRANSLATE(B14876,""en"",""it"")"),"La persona inizia puntando il soffiatore di foglie verso le foglie attorno a un cespuglio e vicino all'erba.")</f>
        <v>La persona inizia puntando il soffiatore di foglie verso le foglie attorno a un cespuglio e vicino all'erba.</v>
      </c>
    </row>
    <row r="14877">
      <c r="A14877" s="4" t="s">
        <v>18732</v>
      </c>
      <c r="B14877" s="4" t="s">
        <v>18735</v>
      </c>
      <c r="C14877" s="5" t="str">
        <f>IFERROR(__xludf.DUMMYFUNCTION("GOOGLETRANSLATE(B14877,""en"",""it"")"),"La persona soffia lascia fuori da un angolo stretto e poi avanza verso una passerella.")</f>
        <v>La persona soffia lascia fuori da un angolo stretto e poi avanza verso una passerella.</v>
      </c>
    </row>
    <row r="14878">
      <c r="A14878" s="4" t="s">
        <v>18732</v>
      </c>
      <c r="B14878" s="4" t="s">
        <v>18736</v>
      </c>
      <c r="C14878" s="5" t="str">
        <f>IFERROR(__xludf.DUMMYFUNCTION("GOOGLETRANSLATE(B14878,""en"",""it"")"),"La persona soffia parte da una passerella e attraverso un prato.")</f>
        <v>La persona soffia parte da una passerella e attraverso un prato.</v>
      </c>
    </row>
    <row r="14879">
      <c r="A14879" s="4" t="s">
        <v>18737</v>
      </c>
      <c r="B14879" s="4" t="s">
        <v>18738</v>
      </c>
      <c r="C14879" s="5" t="str">
        <f>IFERROR(__xludf.DUMMYFUNCTION("GOOGLETRANSLATE(B14879,""en"",""it"")"),"Uno chef in cucina che indossa un cappello da chef sta dando istruzioni su come affinare un coltello.")</f>
        <v>Uno chef in cucina che indossa un cappello da chef sta dando istruzioni su come affinare un coltello.</v>
      </c>
    </row>
    <row r="14880">
      <c r="A14880" s="4" t="s">
        <v>18737</v>
      </c>
      <c r="B14880" s="4" t="s">
        <v>18739</v>
      </c>
      <c r="C14880" s="5" t="str">
        <f>IFERROR(__xludf.DUMMYFUNCTION("GOOGLETRANSLATE(B14880,""en"",""it"")"),"Porta il coltello a una temperamazione e inizia lentamente a dimostrare.")</f>
        <v>Porta il coltello a una temperamazione e inizia lentamente a dimostrare.</v>
      </c>
    </row>
    <row r="14881">
      <c r="A14881" s="4" t="s">
        <v>18737</v>
      </c>
      <c r="B14881" s="4" t="s">
        <v>18740</v>
      </c>
      <c r="C14881" s="5" t="str">
        <f>IFERROR(__xludf.DUMMYFUNCTION("GOOGLETRANSLATE(B14881,""en"",""it"")"),"Raccoglie lo strumento di affilatura e parla di cosa farà dopo e ricomincia ad affilarsi.")</f>
        <v>Raccoglie lo strumento di affilatura e parla di cosa farà dopo e ricomincia ad affilarsi.</v>
      </c>
    </row>
    <row r="14882">
      <c r="A14882" s="4" t="s">
        <v>18737</v>
      </c>
      <c r="B14882" s="4" t="s">
        <v>18741</v>
      </c>
      <c r="C14882" s="5" t="str">
        <f>IFERROR(__xludf.DUMMYFUNCTION("GOOGLETRANSLATE(B14882,""en"",""it"")"),"Quindi mostra tutti i pezzi forniti con il kit e parla di tutto.")</f>
        <v>Quindi mostra tutti i pezzi forniti con il kit e parla di tutto.</v>
      </c>
    </row>
    <row r="14883">
      <c r="A14883" s="4" t="s">
        <v>18742</v>
      </c>
      <c r="B14883" s="6" t="s">
        <v>18743</v>
      </c>
      <c r="C14883" s="5" t="str">
        <f>IFERROR(__xludf.DUMMYFUNCTION("GOOGLETRANSLATE(B14883,""en"",""it"")"),"Un piccolo gruppo di bambini viene visto correre per un campo di lacrosse giocare tra loro.")</f>
        <v>Un piccolo gruppo di bambini viene visto correre per un campo di lacrosse giocare tra loro.</v>
      </c>
    </row>
    <row r="14884">
      <c r="A14884" s="4" t="s">
        <v>18742</v>
      </c>
      <c r="B14884" s="6" t="s">
        <v>18744</v>
      </c>
      <c r="C14884" s="5" t="str">
        <f>IFERROR(__xludf.DUMMYFUNCTION("GOOGLETRANSLATE(B14884,""en"",""it"")"),"La fotocamera continua a seguire le persone in giro mentre inseguono la palla e corrono su e giù per il campo.")</f>
        <v>La fotocamera continua a seguire le persone in giro mentre inseguono la palla e corrono su e giù per il campo.</v>
      </c>
    </row>
    <row r="14885">
      <c r="A14885" s="4" t="s">
        <v>18745</v>
      </c>
      <c r="B14885" s="4" t="s">
        <v>18746</v>
      </c>
      <c r="C14885" s="5" t="str">
        <f>IFERROR(__xludf.DUMMYFUNCTION("GOOGLETRANSLATE(B14885,""en"",""it"")"),"Una coppia è seduta fuori a parlare.")</f>
        <v>Una coppia è seduta fuori a parlare.</v>
      </c>
    </row>
    <row r="14886">
      <c r="A14886" s="4" t="s">
        <v>18745</v>
      </c>
      <c r="B14886" s="4" t="s">
        <v>18747</v>
      </c>
      <c r="C14886" s="5" t="str">
        <f>IFERROR(__xludf.DUMMYFUNCTION("GOOGLETRANSLATE(B14886,""en"",""it"")"),"Vanno in casa e raccolgono provviste per la rasatura, che sono elencate sullo schermo.")</f>
        <v>Vanno in casa e raccolgono provviste per la rasatura, che sono elencate sullo schermo.</v>
      </c>
    </row>
    <row r="14887">
      <c r="A14887" s="4" t="s">
        <v>18745</v>
      </c>
      <c r="B14887" s="6" t="s">
        <v>18748</v>
      </c>
      <c r="C14887" s="5" t="str">
        <f>IFERROR(__xludf.DUMMYFUNCTION("GOOGLETRANSLATE(B14887,""en"",""it"")"),"La donna si muove l'uomo, poi si rade la barba e i baffi usando un pennello per cinghiale e rasoio.")</f>
        <v>La donna si muove l'uomo, poi si rade la barba e i baffi usando un pennello per cinghiale e rasoio.</v>
      </c>
    </row>
    <row r="14888">
      <c r="A14888" s="4" t="s">
        <v>18745</v>
      </c>
      <c r="B14888" s="4" t="s">
        <v>18749</v>
      </c>
      <c r="C14888" s="5" t="str">
        <f>IFERROR(__xludf.DUMMYFUNCTION("GOOGLETRANSLATE(B14888,""en"",""it"")"),"Quindi lo sciacqua a sciacquare e applica dopobarba.")</f>
        <v>Quindi lo sciacqua a sciacquare e applica dopobarba.</v>
      </c>
    </row>
    <row r="14889">
      <c r="A14889" s="4" t="s">
        <v>18745</v>
      </c>
      <c r="B14889" s="4" t="s">
        <v>18750</v>
      </c>
      <c r="C14889" s="5" t="str">
        <f>IFERROR(__xludf.DUMMYFUNCTION("GOOGLETRANSLATE(B14889,""en"",""it"")"),"Viene quindi mostrato darle uno sfregamento della spalla.")</f>
        <v>Viene quindi mostrato darle uno sfregamento della spalla.</v>
      </c>
    </row>
    <row r="14890">
      <c r="A14890" s="4" t="s">
        <v>18751</v>
      </c>
      <c r="B14890" s="4" t="s">
        <v>18752</v>
      </c>
      <c r="C14890" s="5" t="str">
        <f>IFERROR(__xludf.DUMMYFUNCTION("GOOGLETRANSLATE(B14890,""en"",""it"")"),"Un maschio sottile alto è in piedi in una barra circondata da liquore.")</f>
        <v>Un maschio sottile alto è in piedi in una barra circondata da liquore.</v>
      </c>
    </row>
    <row r="14891">
      <c r="A14891" s="4" t="s">
        <v>18751</v>
      </c>
      <c r="B14891" s="6" t="s">
        <v>18753</v>
      </c>
      <c r="C14891" s="5" t="str">
        <f>IFERROR(__xludf.DUMMYFUNCTION("GOOGLETRANSLATE(B14891,""en"",""it"")"),"Il maschio ha una tazza di ghiaccio davanti a lui che si riversa in un bicchiere normale in cui aggiunge liquore.")</f>
        <v>Il maschio ha una tazza di ghiaccio davanti a lui che si riversa in un bicchiere normale in cui aggiunge liquore.</v>
      </c>
    </row>
    <row r="14892">
      <c r="A14892" s="4" t="s">
        <v>18751</v>
      </c>
      <c r="B14892" s="4" t="s">
        <v>18754</v>
      </c>
      <c r="C14892" s="5" t="str">
        <f>IFERROR(__xludf.DUMMYFUNCTION("GOOGLETRANSLATE(B14892,""en"",""it"")"),"Seguito da altri due scatti di diversi liquori trasparenti.")</f>
        <v>Seguito da altri due scatti di diversi liquori trasparenti.</v>
      </c>
    </row>
    <row r="14893">
      <c r="A14893" s="4" t="s">
        <v>18751</v>
      </c>
      <c r="B14893" s="4" t="s">
        <v>18755</v>
      </c>
      <c r="C14893" s="5" t="str">
        <f>IFERROR(__xludf.DUMMYFUNCTION("GOOGLETRANSLATE(B14893,""en"",""it"")"),"Quindi prende due sciroppo come il liquore e li versa nella tazza.")</f>
        <v>Quindi prende due sciroppo come il liquore e li versa nella tazza.</v>
      </c>
    </row>
    <row r="14894">
      <c r="A14894" s="4" t="s">
        <v>18751</v>
      </c>
      <c r="B14894" s="4" t="s">
        <v>18756</v>
      </c>
      <c r="C14894" s="5" t="str">
        <f>IFERROR(__xludf.DUMMYFUNCTION("GOOGLETRANSLATE(B14894,""en"",""it"")"),"Una volta che tutto è nel bicchiere, mette il mixer sopra e lo scuote.")</f>
        <v>Una volta che tutto è nel bicchiere, mette il mixer sopra e lo scuote.</v>
      </c>
    </row>
    <row r="14895">
      <c r="A14895" s="4" t="s">
        <v>18751</v>
      </c>
      <c r="B14895" s="6" t="s">
        <v>18757</v>
      </c>
      <c r="C14895" s="5" t="str">
        <f>IFERROR(__xludf.DUMMYFUNCTION("GOOGLETRANSLATE(B14895,""en"",""it"")"),"Infine, la bevanda è completa e la versa in un altro bicchiere e aggiunge una cannuccia per essere servita.")</f>
        <v>Infine, la bevanda è completa e la versa in un altro bicchiere e aggiunge una cannuccia per essere servita.</v>
      </c>
    </row>
    <row r="14896">
      <c r="A14896" s="4" t="s">
        <v>18758</v>
      </c>
      <c r="B14896" s="4" t="s">
        <v>18759</v>
      </c>
      <c r="C14896" s="5" t="str">
        <f>IFERROR(__xludf.DUMMYFUNCTION("GOOGLETRANSLATE(B14896,""en"",""it"")"),"Un giovane è visto in piedi davanti alla telecamera suonare una serie di cornamusa.")</f>
        <v>Un giovane è visto in piedi davanti alla telecamera suonare una serie di cornamusa.</v>
      </c>
    </row>
    <row r="14897">
      <c r="A14897" s="4" t="s">
        <v>18758</v>
      </c>
      <c r="B14897" s="6" t="s">
        <v>18760</v>
      </c>
      <c r="C14897" s="5" t="str">
        <f>IFERROR(__xludf.DUMMYFUNCTION("GOOGLETRANSLATE(B14897,""en"",""it"")"),"Continua a suonare lo strumento e termina tenendolo tra le mani e una foto di lui che suona la chitarra.")</f>
        <v>Continua a suonare lo strumento e termina tenendolo tra le mani e una foto di lui che suona la chitarra.</v>
      </c>
    </row>
    <row r="14898">
      <c r="A14898" s="4" t="s">
        <v>18761</v>
      </c>
      <c r="B14898" s="6" t="s">
        <v>18762</v>
      </c>
      <c r="C14898" s="5" t="str">
        <f>IFERROR(__xludf.DUMMYFUNCTION("GOOGLETRANSLATE(B14898,""en"",""it"")"),"Una persona viene vista cavalcare una tavola da surf attraverso un'onda e conduce in molte più persone che cavalcano le onde e seduti lungo l'acqua.")</f>
        <v>Una persona viene vista cavalcare una tavola da surf attraverso un'onda e conduce in molte più persone che cavalcano le onde e seduti lungo l'acqua.</v>
      </c>
    </row>
    <row r="14899">
      <c r="A14899" s="4" t="s">
        <v>18761</v>
      </c>
      <c r="B14899" s="6" t="s">
        <v>18763</v>
      </c>
      <c r="C14899" s="5" t="str">
        <f>IFERROR(__xludf.DUMMYFUNCTION("GOOGLETRANSLATE(B14899,""en"",""it"")"),"Altri scatti di persone che navigano in onde incredibili sono mostrati con un po 'di cancellazione, ma nel complesso vanno avanti.")</f>
        <v>Altri scatti di persone che navigano in onde incredibili sono mostrati con un po 'di cancellazione, ma nel complesso vanno avanti.</v>
      </c>
    </row>
    <row r="14900">
      <c r="A14900" s="4" t="s">
        <v>18764</v>
      </c>
      <c r="B14900" s="4" t="s">
        <v>18765</v>
      </c>
      <c r="C14900" s="5" t="str">
        <f>IFERROR(__xludf.DUMMYFUNCTION("GOOGLETRANSLATE(B14900,""en"",""it"")"),"Le barche sono viste navigare attraverso l'acqua dell'oceano scuro.")</f>
        <v>Le barche sono viste navigare attraverso l'acqua dell'oceano scuro.</v>
      </c>
    </row>
    <row r="14901">
      <c r="A14901" s="4" t="s">
        <v>18764</v>
      </c>
      <c r="B14901" s="4" t="s">
        <v>18766</v>
      </c>
      <c r="C14901" s="5" t="str">
        <f>IFERROR(__xludf.DUMMYFUNCTION("GOOGLETRANSLATE(B14901,""en"",""it"")"),"Vediamo una vista in prima persona sulla navigazione su una barca.")</f>
        <v>Vediamo una vista in prima persona sulla navigazione su una barca.</v>
      </c>
    </row>
    <row r="14902">
      <c r="A14902" s="4" t="s">
        <v>18764</v>
      </c>
      <c r="B14902" s="4" t="s">
        <v>18767</v>
      </c>
      <c r="C14902" s="5" t="str">
        <f>IFERROR(__xludf.DUMMYFUNCTION("GOOGLETRANSLATE(B14902,""en"",""it"")"),"Le barche sono viste fluttuare attraverso l'acqua.")</f>
        <v>Le barche sono viste fluttuare attraverso l'acqua.</v>
      </c>
    </row>
    <row r="14903">
      <c r="A14903" s="4" t="s">
        <v>18768</v>
      </c>
      <c r="B14903" s="4" t="s">
        <v>18769</v>
      </c>
      <c r="C14903" s="5" t="str">
        <f>IFERROR(__xludf.DUMMYFUNCTION("GOOGLETRANSLATE(B14903,""en"",""it"")"),"Le persone si siedono su una panchina in un rodeo.")</f>
        <v>Le persone si siedono su una panchina in un rodeo.</v>
      </c>
    </row>
    <row r="14904">
      <c r="A14904" s="4" t="s">
        <v>18768</v>
      </c>
      <c r="B14904" s="4" t="s">
        <v>18770</v>
      </c>
      <c r="C14904" s="5" t="str">
        <f>IFERROR(__xludf.DUMMYFUNCTION("GOOGLETRANSLATE(B14904,""en"",""it"")"),"Vediamo persone in piedi intorno a una recinzione.")</f>
        <v>Vediamo persone in piedi intorno a una recinzione.</v>
      </c>
    </row>
    <row r="14905">
      <c r="A14905" s="4" t="s">
        <v>18768</v>
      </c>
      <c r="B14905" s="4" t="s">
        <v>18771</v>
      </c>
      <c r="C14905" s="5" t="str">
        <f>IFERROR(__xludf.DUMMYFUNCTION("GOOGLETRANSLATE(B14905,""en"",""it"")"),"Il cancello aperto e il vitello e un uomo escono vediamo quattro uomini di Hogtie Calf's.")</f>
        <v>Il cancello aperto e il vitello e un uomo escono vediamo quattro uomini di Hogtie Calf's.</v>
      </c>
    </row>
    <row r="14906">
      <c r="A14906" s="4" t="s">
        <v>18768</v>
      </c>
      <c r="B14906" s="4" t="s">
        <v>18772</v>
      </c>
      <c r="C14906" s="5" t="str">
        <f>IFERROR(__xludf.DUMMYFUNCTION("GOOGLETRANSLATE(B14906,""en"",""it"")"),"Vediamo un vitello che corre sul ring e un altro vitello che viene acceso.")</f>
        <v>Vediamo un vitello che corre sul ring e un altro vitello che viene acceso.</v>
      </c>
    </row>
    <row r="14907">
      <c r="A14907" s="4" t="s">
        <v>18768</v>
      </c>
      <c r="B14907" s="4" t="s">
        <v>18773</v>
      </c>
      <c r="C14907" s="5" t="str">
        <f>IFERROR(__xludf.DUMMYFUNCTION("GOOGLETRANSLATE(B14907,""en"",""it"")"),"Un uomo e un ragazzino camminano e tengono le redini di un cavallo.")</f>
        <v>Un uomo e un ragazzino camminano e tengono le redini di un cavallo.</v>
      </c>
    </row>
    <row r="14908">
      <c r="A14908" s="4" t="s">
        <v>18768</v>
      </c>
      <c r="B14908" s="4" t="s">
        <v>18774</v>
      </c>
      <c r="C14908" s="5" t="str">
        <f>IFERROR(__xludf.DUMMYFUNCTION("GOOGLETRANSLATE(B14908,""en"",""it"")"),"Vediamo un uomo più anziano che tiene le redini di un cavallo.")</f>
        <v>Vediamo un uomo più anziano che tiene le redini di un cavallo.</v>
      </c>
    </row>
    <row r="14909">
      <c r="A14909" s="4" t="s">
        <v>18768</v>
      </c>
      <c r="B14909" s="4" t="s">
        <v>18775</v>
      </c>
      <c r="C14909" s="5" t="str">
        <f>IFERROR(__xludf.DUMMYFUNCTION("GOOGLETRANSLATE(B14909,""en"",""it"")"),"La fotocamera punta a terra e il video termina.")</f>
        <v>La fotocamera punta a terra e il video termina.</v>
      </c>
    </row>
    <row r="14910">
      <c r="A14910" s="4" t="s">
        <v>18776</v>
      </c>
      <c r="B14910" s="4" t="s">
        <v>18777</v>
      </c>
      <c r="C14910" s="5" t="str">
        <f>IFERROR(__xludf.DUMMYFUNCTION("GOOGLETRANSLATE(B14910,""en"",""it"")"),"Un uomo viene visto bere fuori da una tazza trattenuta da una donna che beve anche da una bottiglia.")</f>
        <v>Un uomo viene visto bere fuori da una tazza trattenuta da una donna che beve anche da una bottiglia.</v>
      </c>
    </row>
    <row r="14911">
      <c r="A14911" s="4" t="s">
        <v>18776</v>
      </c>
      <c r="B14911" s="4" t="s">
        <v>18778</v>
      </c>
      <c r="C14911" s="5" t="str">
        <f>IFERROR(__xludf.DUMMYFUNCTION("GOOGLETRANSLATE(B14911,""en"",""it"")"),"I due continuano a bere mentre gli altri li registrano e poi si fermano immediatamente.")</f>
        <v>I due continuano a bere mentre gli altri li registrano e poi si fermano immediatamente.</v>
      </c>
    </row>
    <row r="14912">
      <c r="A14912" s="4" t="s">
        <v>18779</v>
      </c>
      <c r="B14912" s="6" t="s">
        <v>18780</v>
      </c>
      <c r="C14912" s="5" t="str">
        <f>IFERROR(__xludf.DUMMYFUNCTION("GOOGLETRANSLATE(B14912,""en"",""it"")"),"Un gruppo di studenti si esercita e applauisce una competizione, poi i ragazzi che indossano una maglietta rossa lanciano palle da bowling e lanciano tutte le spille e festeggiano.")</f>
        <v>Un gruppo di studenti si esercita e applauisce una competizione, poi i ragazzi che indossano una maglietta rossa lanciano palle da bowling e lanciano tutte le spille e festeggiano.</v>
      </c>
    </row>
    <row r="14913">
      <c r="A14913" s="4" t="s">
        <v>18779</v>
      </c>
      <c r="B14913" s="4" t="s">
        <v>18781</v>
      </c>
      <c r="C14913" s="5" t="str">
        <f>IFERROR(__xludf.DUMMYFUNCTION("GOOGLETRANSLATE(B14913,""en"",""it"")"),"Quindi, i giovani che indossano magliette verdi hanno successo suonando il bowling.")</f>
        <v>Quindi, i giovani che indossano magliette verdi hanno successo suonando il bowling.</v>
      </c>
    </row>
    <row r="14914">
      <c r="A14914" s="4" t="s">
        <v>18779</v>
      </c>
      <c r="B14914" s="4" t="s">
        <v>18782</v>
      </c>
      <c r="C14914" s="5" t="str">
        <f>IFERROR(__xludf.DUMMYFUNCTION("GOOGLETRANSLATE(B14914,""en"",""it"")"),"Dopo, le ragazze giocano a bowling che lanciano tutti i perni con la ciotola di bowling.")</f>
        <v>Dopo, le ragazze giocano a bowling che lanciano tutti i perni con la ciotola di bowling.</v>
      </c>
    </row>
    <row r="14915">
      <c r="A14915" s="4" t="s">
        <v>18779</v>
      </c>
      <c r="B14915" s="4" t="s">
        <v>18783</v>
      </c>
      <c r="C14915" s="5" t="str">
        <f>IFERROR(__xludf.DUMMYFUNCTION("GOOGLETRANSLATE(B14915,""en"",""it"")"),"I vincitori della competizione ricevono buste e trofei chiusi.")</f>
        <v>I vincitori della competizione ricevono buste e trofei chiusi.</v>
      </c>
    </row>
    <row r="14916">
      <c r="A14916" s="4" t="s">
        <v>18784</v>
      </c>
      <c r="B14916" s="4" t="s">
        <v>18785</v>
      </c>
      <c r="C14916" s="5" t="str">
        <f>IFERROR(__xludf.DUMMYFUNCTION("GOOGLETRANSLATE(B14916,""en"",""it"")"),"Una donna è in ginocchio sulla spiaggia sabbiosa.")</f>
        <v>Una donna è in ginocchio sulla spiaggia sabbiosa.</v>
      </c>
    </row>
    <row r="14917">
      <c r="A14917" s="4" t="s">
        <v>18784</v>
      </c>
      <c r="B14917" s="4" t="s">
        <v>18786</v>
      </c>
      <c r="C14917" s="5" t="str">
        <f>IFERROR(__xludf.DUMMYFUNCTION("GOOGLETRANSLATE(B14917,""en"",""it"")"),"Sta aiutando un bambino con la lozione Suntan.")</f>
        <v>Sta aiutando un bambino con la lozione Suntan.</v>
      </c>
    </row>
    <row r="14918">
      <c r="A14918" s="4" t="s">
        <v>18784</v>
      </c>
      <c r="B14918" s="4" t="s">
        <v>18787</v>
      </c>
      <c r="C14918" s="5" t="str">
        <f>IFERROR(__xludf.DUMMYFUNCTION("GOOGLETRANSLATE(B14918,""en"",""it"")"),"Strofina la lozione sulla pelle del bambino.")</f>
        <v>Strofina la lozione sulla pelle del bambino.</v>
      </c>
    </row>
    <row r="14919">
      <c r="A14919" s="4" t="s">
        <v>18788</v>
      </c>
      <c r="B14919" s="4" t="s">
        <v>18789</v>
      </c>
      <c r="C14919" s="5" t="str">
        <f>IFERROR(__xludf.DUMMYFUNCTION("GOOGLETRANSLATE(B14919,""en"",""it"")"),"Quattro uomini stanno giocando a cattive mitten.")</f>
        <v>Quattro uomini stanno giocando a cattive mitten.</v>
      </c>
    </row>
    <row r="14920">
      <c r="A14920" s="4" t="s">
        <v>18788</v>
      </c>
      <c r="B14920" s="4" t="s">
        <v>18790</v>
      </c>
      <c r="C14920" s="5" t="str">
        <f>IFERROR(__xludf.DUMMYFUNCTION("GOOGLETRANSLATE(B14920,""en"",""it"")"),"Ci sono clip di grandi colpi di squadre.")</f>
        <v>Ci sono clip di grandi colpi di squadre.</v>
      </c>
    </row>
    <row r="14921">
      <c r="A14921" s="4" t="s">
        <v>18788</v>
      </c>
      <c r="B14921" s="4" t="s">
        <v>18791</v>
      </c>
      <c r="C14921" s="5" t="str">
        <f>IFERROR(__xludf.DUMMYFUNCTION("GOOGLETRANSLATE(B14921,""en"",""it"")"),"La squadra gialla fa diversi punti di fila.")</f>
        <v>La squadra gialla fa diversi punti di fila.</v>
      </c>
    </row>
    <row r="14922">
      <c r="A14922" s="4" t="s">
        <v>18788</v>
      </c>
      <c r="B14922" s="4" t="s">
        <v>18792</v>
      </c>
      <c r="C14922" s="5" t="str">
        <f>IFERROR(__xludf.DUMMYFUNCTION("GOOGLETRANSLATE(B14922,""en"",""it"")"),"La squadra della Danimarca ha fatto diversi punti.")</f>
        <v>La squadra della Danimarca ha fatto diversi punti.</v>
      </c>
    </row>
    <row r="14923">
      <c r="A14923" s="4" t="s">
        <v>18788</v>
      </c>
      <c r="B14923" s="4" t="s">
        <v>18793</v>
      </c>
      <c r="C14923" s="5" t="str">
        <f>IFERROR(__xludf.DUMMYFUNCTION("GOOGLETRANSLATE(B14923,""en"",""it"")"),"La clip termina con la squadra gialla che tiene trofei.")</f>
        <v>La clip termina con la squadra gialla che tiene trofei.</v>
      </c>
    </row>
    <row r="14924">
      <c r="A14924" s="4" t="s">
        <v>18794</v>
      </c>
      <c r="B14924" s="4" t="s">
        <v>18795</v>
      </c>
      <c r="C14924" s="5" t="str">
        <f>IFERROR(__xludf.DUMMYFUNCTION("GOOGLETRANSLATE(B14924,""en"",""it"")"),"Un uomo suona un ukulele per una donna mentre un uomo guarda da dietro una tenda.")</f>
        <v>Un uomo suona un ukulele per una donna mentre un uomo guarda da dietro una tenda.</v>
      </c>
    </row>
    <row r="14925">
      <c r="A14925" s="4" t="s">
        <v>18794</v>
      </c>
      <c r="B14925" s="4" t="s">
        <v>18796</v>
      </c>
      <c r="C14925" s="5" t="str">
        <f>IFERROR(__xludf.DUMMYFUNCTION("GOOGLETRANSLATE(B14925,""en"",""it"")"),"Improvvisamente, il video si taglia a diverse persone che fanno trucchi per il lavaggio delle finestre.")</f>
        <v>Improvvisamente, il video si taglia a diverse persone che fanno trucchi per il lavaggio delle finestre.</v>
      </c>
    </row>
    <row r="14926">
      <c r="A14926" s="4" t="s">
        <v>18794</v>
      </c>
      <c r="B14926" s="4" t="s">
        <v>18797</v>
      </c>
      <c r="C14926" s="5" t="str">
        <f>IFERROR(__xludf.DUMMYFUNCTION("GOOGLETRANSLATE(B14926,""en"",""it"")"),"Il video termina con un uomo al telefono che fa una scenetta da commedia su Windows.")</f>
        <v>Il video termina con un uomo al telefono che fa una scenetta da commedia su Windows.</v>
      </c>
    </row>
    <row r="14927">
      <c r="A14927" s="4" t="s">
        <v>18798</v>
      </c>
      <c r="B14927" s="4" t="s">
        <v>18799</v>
      </c>
      <c r="C14927" s="5" t="str">
        <f>IFERROR(__xludf.DUMMYFUNCTION("GOOGLETRANSLATE(B14927,""en"",""it"")"),"Una persona viene vista usando un'attrezzatura da esercizio che si muove su e giù sulla macchina.")</f>
        <v>Una persona viene vista usando un'attrezzatura da esercizio che si muove su e giù sulla macchina.</v>
      </c>
    </row>
    <row r="14928">
      <c r="A14928" s="4" t="s">
        <v>18798</v>
      </c>
      <c r="B14928" s="6" t="s">
        <v>18800</v>
      </c>
      <c r="C14928" s="5" t="str">
        <f>IFERROR(__xludf.DUMMYFUNCTION("GOOGLETRANSLATE(B14928,""en"",""it"")"),"La fotocamera si panoramica intorno all'uomo usando la macchina e ingrandisce tutto l'uomo che si muove.")</f>
        <v>La fotocamera si panoramica intorno all'uomo usando la macchina e ingrandisce tutto l'uomo che si muove.</v>
      </c>
    </row>
    <row r="14929">
      <c r="A14929" s="4" t="s">
        <v>18801</v>
      </c>
      <c r="B14929" s="4" t="s">
        <v>18802</v>
      </c>
      <c r="C14929" s="5" t="str">
        <f>IFERROR(__xludf.DUMMYFUNCTION("GOOGLETRANSLATE(B14929,""en"",""it"")"),"Una fotocamera viene vista ingrandire un edificio e conduce a un uomo che sale una grande roccia.")</f>
        <v>Una fotocamera viene vista ingrandire un edificio e conduce a un uomo che sale una grande roccia.</v>
      </c>
    </row>
    <row r="14930">
      <c r="A14930" s="4" t="s">
        <v>18801</v>
      </c>
      <c r="B14930" s="6" t="s">
        <v>18803</v>
      </c>
      <c r="C14930" s="5" t="str">
        <f>IFERROR(__xludf.DUMMYFUNCTION("GOOGLETRANSLATE(B14930,""en"",""it"")"),"L'uomo si arrampica continuamente sulla roccia mentre si guarda intorno e finalmente arriva in cima mentre la telecamera si muove.")</f>
        <v>L'uomo si arrampica continuamente sulla roccia mentre si guarda intorno e finalmente arriva in cima mentre la telecamera si muove.</v>
      </c>
    </row>
    <row r="14931">
      <c r="A14931" s="4" t="s">
        <v>18804</v>
      </c>
      <c r="B14931" s="4" t="s">
        <v>18805</v>
      </c>
      <c r="C14931" s="5" t="str">
        <f>IFERROR(__xludf.DUMMYFUNCTION("GOOGLETRANSLATE(B14931,""en"",""it"")"),"Una torta di spugna alla vaniglia è mostrata sullo schermo del titolo.")</f>
        <v>Una torta di spugna alla vaniglia è mostrata sullo schermo del titolo.</v>
      </c>
    </row>
    <row r="14932">
      <c r="A14932" s="4" t="s">
        <v>18804</v>
      </c>
      <c r="B14932" s="4" t="s">
        <v>18806</v>
      </c>
      <c r="C14932" s="5" t="str">
        <f>IFERROR(__xludf.DUMMYFUNCTION("GOOGLETRANSLATE(B14932,""en"",""it"")"),"Un piatto bianco viene quindi posizionato su un tavolo marrone accanto a quattro uova marroni.")</f>
        <v>Un piatto bianco viene quindi posizionato su un tavolo marrone accanto a quattro uova marroni.</v>
      </c>
    </row>
    <row r="14933">
      <c r="A14933" s="4" t="s">
        <v>18804</v>
      </c>
      <c r="B14933" s="6" t="s">
        <v>18807</v>
      </c>
      <c r="C14933" s="5" t="str">
        <f>IFERROR(__xludf.DUMMYFUNCTION("GOOGLETRANSLATE(B14933,""en"",""it"")"),"Vengono quindi messi in una ciotola d'argento e vengono sbattuti rapidamente mentre lo zucchero viene aggiunto gradualmente e la frusta continua.")</f>
        <v>Vengono quindi messi in una ciotola d'argento e vengono sbattuti rapidamente mentre lo zucchero viene aggiunto gradualmente e la frusta continua.</v>
      </c>
    </row>
    <row r="14934">
      <c r="A14934" s="4" t="s">
        <v>18804</v>
      </c>
      <c r="B14934" s="4" t="s">
        <v>18808</v>
      </c>
      <c r="C14934" s="5" t="str">
        <f>IFERROR(__xludf.DUMMYFUNCTION("GOOGLETRANSLATE(B14934,""en"",""it"")"),"Dopo, il latte, il burro, la farina, il budino di banana, il sale e l'estratto di vaniglia sono mostrati su un tavolo.")</f>
        <v>Dopo, il latte, il burro, la farina, il budino di banana, il sale e l'estratto di vaniglia sono mostrati su un tavolo.</v>
      </c>
    </row>
    <row r="14935">
      <c r="A14935" s="4" t="s">
        <v>18804</v>
      </c>
      <c r="B14935" s="4" t="s">
        <v>18809</v>
      </c>
      <c r="C14935" s="5" t="str">
        <f>IFERROR(__xludf.DUMMYFUNCTION("GOOGLETRANSLATE(B14935,""en"",""it"")"),"Il latte e il burro vengono riscaldati, quindi aggiunti in una ciotola capiente con la pastella per la torta da sbattere.")</f>
        <v>Il latte e il burro vengono riscaldati, quindi aggiunti in una ciotola capiente con la pastella per la torta da sbattere.</v>
      </c>
    </row>
    <row r="14936">
      <c r="A14936" s="4" t="s">
        <v>18804</v>
      </c>
      <c r="B14936" s="4" t="s">
        <v>18810</v>
      </c>
      <c r="C14936" s="5" t="str">
        <f>IFERROR(__xludf.DUMMYFUNCTION("GOOGLETRANSLATE(B14936,""en"",""it"")"),"La vaniglia viene quindi aggiunta e versata in un'altra ciotola prima che venga mostrato il prodotto finale.")</f>
        <v>La vaniglia viene quindi aggiunta e versata in un'altra ciotola prima che venga mostrato il prodotto finale.</v>
      </c>
    </row>
    <row r="14937">
      <c r="A14937" s="4" t="s">
        <v>18811</v>
      </c>
      <c r="B14937" s="4" t="s">
        <v>18812</v>
      </c>
      <c r="C14937" s="5" t="str">
        <f>IFERROR(__xludf.DUMMYFUNCTION("GOOGLETRANSLATE(B14937,""en"",""it"")"),"Una donna viene vista prendere a calci un uomo che indossa guanti in mano.")</f>
        <v>Una donna viene vista prendere a calci un uomo che indossa guanti in mano.</v>
      </c>
    </row>
    <row r="14938">
      <c r="A14938" s="4" t="s">
        <v>18811</v>
      </c>
      <c r="B14938" s="4" t="s">
        <v>18813</v>
      </c>
      <c r="C14938" s="5" t="str">
        <f>IFERROR(__xludf.DUMMYFUNCTION("GOOGLETRANSLATE(B14938,""en"",""it"")"),"L'uomo quindi cammina per il cerchio mentre le persone si alternano colpendo l'uomo.")</f>
        <v>L'uomo quindi cammina per il cerchio mentre le persone si alternano colpendo l'uomo.</v>
      </c>
    </row>
    <row r="14939">
      <c r="A14939" s="4" t="s">
        <v>18811</v>
      </c>
      <c r="B14939" s="4" t="s">
        <v>18814</v>
      </c>
      <c r="C14939" s="5" t="str">
        <f>IFERROR(__xludf.DUMMYFUNCTION("GOOGLETRANSLATE(B14939,""en"",""it"")"),"L'uomo continua a camminare mentre lo colpiscono.")</f>
        <v>L'uomo continua a camminare mentre lo colpiscono.</v>
      </c>
    </row>
    <row r="14940">
      <c r="A14940" s="4" t="s">
        <v>18815</v>
      </c>
      <c r="B14940" s="4" t="s">
        <v>18816</v>
      </c>
      <c r="C14940" s="5" t="str">
        <f>IFERROR(__xludf.DUMMYFUNCTION("GOOGLETRANSLATE(B14940,""en"",""it"")"),"Viene mostrato un allenatore ellittico, così come i suoi componenti.")</f>
        <v>Viene mostrato un allenatore ellittico, così come i suoi componenti.</v>
      </c>
    </row>
    <row r="14941">
      <c r="A14941" s="4" t="s">
        <v>18815</v>
      </c>
      <c r="B14941" s="4" t="s">
        <v>18817</v>
      </c>
      <c r="C14941" s="5" t="str">
        <f>IFERROR(__xludf.DUMMYFUNCTION("GOOGLETRANSLATE(B14941,""en"",""it"")"),"Una donna viene mostrata allenamenti sull'ellittico.")</f>
        <v>Una donna viene mostrata allenamenti sull'ellittico.</v>
      </c>
    </row>
    <row r="14942">
      <c r="A14942" s="4" t="s">
        <v>18815</v>
      </c>
      <c r="B14942" s="4" t="s">
        <v>18818</v>
      </c>
      <c r="C14942" s="5" t="str">
        <f>IFERROR(__xludf.DUMMYFUNCTION("GOOGLETRANSLATE(B14942,""en"",""it"")"),"Paga e dimostra la meccanica della schermata di programmazione.")</f>
        <v>Paga e dimostra la meccanica della schermata di programmazione.</v>
      </c>
    </row>
    <row r="14943">
      <c r="A14943" s="4" t="s">
        <v>18819</v>
      </c>
      <c r="B14943" s="4" t="s">
        <v>18820</v>
      </c>
      <c r="C14943" s="5" t="str">
        <f>IFERROR(__xludf.DUMMYFUNCTION("GOOGLETRANSLATE(B14943,""en"",""it"")"),"Un cane è vestito con vestiti e un essere umano è dietro di lui che mostra solo le sue mani.")</f>
        <v>Un cane è vestito con vestiti e un essere umano è dietro di lui che mostra solo le sue mani.</v>
      </c>
    </row>
    <row r="14944">
      <c r="A14944" s="4" t="s">
        <v>18819</v>
      </c>
      <c r="B14944" s="4" t="s">
        <v>18821</v>
      </c>
      <c r="C14944" s="5" t="str">
        <f>IFERROR(__xludf.DUMMYFUNCTION("GOOGLETRANSLATE(B14944,""en"",""it"")"),"Per sembrare che il cane sia in parte umano e fare cose come umane.")</f>
        <v>Per sembrare che il cane sia in parte umano e fare cose come umane.</v>
      </c>
    </row>
    <row r="14945">
      <c r="A14945" s="4" t="s">
        <v>18819</v>
      </c>
      <c r="B14945" s="4" t="s">
        <v>18822</v>
      </c>
      <c r="C14945" s="5" t="str">
        <f>IFERROR(__xludf.DUMMYFUNCTION("GOOGLETRANSLATE(B14945,""en"",""it"")"),"Si sta dando da mangiare alla colazione e poi si asciuga il viso.")</f>
        <v>Si sta dando da mangiare alla colazione e poi si asciuga il viso.</v>
      </c>
    </row>
    <row r="14946">
      <c r="A14946" s="4" t="s">
        <v>18819</v>
      </c>
      <c r="B14946" s="4" t="s">
        <v>18823</v>
      </c>
      <c r="C14946" s="5" t="str">
        <f>IFERROR(__xludf.DUMMYFUNCTION("GOOGLETRANSLATE(B14946,""en"",""it"")"),"Dopodiché prende una tazza di caffè da bere.")</f>
        <v>Dopodiché prende una tazza di caffè da bere.</v>
      </c>
    </row>
    <row r="14947">
      <c r="A14947" s="4" t="s">
        <v>18819</v>
      </c>
      <c r="B14947" s="4" t="s">
        <v>18824</v>
      </c>
      <c r="C14947" s="5" t="str">
        <f>IFERROR(__xludf.DUMMYFUNCTION("GOOGLETRANSLATE(B14947,""en"",""it"")"),"Lotta per afferrare un altro tovagliolo per asciugarsi di nuovo il viso.")</f>
        <v>Lotta per afferrare un altro tovagliolo per asciugarsi di nuovo il viso.</v>
      </c>
    </row>
    <row r="14948">
      <c r="A14948" s="4" t="s">
        <v>18825</v>
      </c>
      <c r="B14948" s="4" t="s">
        <v>18826</v>
      </c>
      <c r="C14948" s="5" t="str">
        <f>IFERROR(__xludf.DUMMYFUNCTION("GOOGLETRANSLATE(B14948,""en"",""it"")"),"Un uomo viene visto sciare dietro una barca.")</f>
        <v>Un uomo viene visto sciare dietro una barca.</v>
      </c>
    </row>
    <row r="14949">
      <c r="A14949" s="4" t="s">
        <v>18825</v>
      </c>
      <c r="B14949" s="4" t="s">
        <v>18827</v>
      </c>
      <c r="C14949" s="5" t="str">
        <f>IFERROR(__xludf.DUMMYFUNCTION("GOOGLETRANSLATE(B14949,""en"",""it"")"),"Si tiene stretto mentre viene tirato attraverso l'acqua.")</f>
        <v>Si tiene stretto mentre viene tirato attraverso l'acqua.</v>
      </c>
    </row>
    <row r="14950">
      <c r="A14950" s="4" t="s">
        <v>18825</v>
      </c>
      <c r="B14950" s="4" t="s">
        <v>18828</v>
      </c>
      <c r="C14950" s="5" t="str">
        <f>IFERROR(__xludf.DUMMYFUNCTION("GOOGLETRANSLATE(B14950,""en"",""it"")"),"L'uomo sta scivolando fino alla fine della clip.")</f>
        <v>L'uomo sta scivolando fino alla fine della clip.</v>
      </c>
    </row>
    <row r="14951">
      <c r="A14951" s="4" t="s">
        <v>18829</v>
      </c>
      <c r="B14951" s="6" t="s">
        <v>18830</v>
      </c>
      <c r="C14951" s="5" t="str">
        <f>IFERROR(__xludf.DUMMYFUNCTION("GOOGLETRANSLATE(B14951,""en"",""it"")"),"Un uomo atletico viene visto in piedi pronto mentre tiene un giavellotto e poi corre lungo la pista e getta il palo in un campo.")</f>
        <v>Un uomo atletico viene visto in piedi pronto mentre tiene un giavellotto e poi corre lungo la pista e getta il palo in un campo.</v>
      </c>
    </row>
    <row r="14952">
      <c r="A14952" s="4" t="s">
        <v>18829</v>
      </c>
      <c r="B14952" s="4" t="s">
        <v>18831</v>
      </c>
      <c r="C14952" s="5" t="str">
        <f>IFERROR(__xludf.DUMMYFUNCTION("GOOGLETRANSLATE(B14952,""en"",""it"")"),"Si allontana con le mani sui fianchi e il suo stesso tiro viene mostrato di nuovo.")</f>
        <v>Si allontana con le mani sui fianchi e il suo stesso tiro viene mostrato di nuovo.</v>
      </c>
    </row>
    <row r="14953">
      <c r="A14953" s="4" t="s">
        <v>18829</v>
      </c>
      <c r="B14953" s="6" t="s">
        <v>18832</v>
      </c>
      <c r="C14953" s="5" t="str">
        <f>IFERROR(__xludf.DUMMYFUNCTION("GOOGLETRANSLATE(B14953,""en"",""it"")"),"Molti altri atleti si alzano per gettare il giavellotto nel campo seguito dal loro stesso tiro mostrato di nuovo e loro ridono della telecamera.")</f>
        <v>Molti altri atleti si alzano per gettare il giavellotto nel campo seguito dal loro stesso tiro mostrato di nuovo e loro ridono della telecamera.</v>
      </c>
    </row>
    <row r="14954">
      <c r="A14954" s="4" t="s">
        <v>18833</v>
      </c>
      <c r="B14954" s="6" t="s">
        <v>18834</v>
      </c>
      <c r="C14954" s="5" t="str">
        <f>IFERROR(__xludf.DUMMYFUNCTION("GOOGLETRANSLATE(B14954,""en"",""it"")"),"Un uomo in un grande campo verde si esercita su sette lanci di martello nel campo con un nastro di misurazione davanti a lui si estendeva lungo il terreno.")</f>
        <v>Un uomo in un grande campo verde si esercita su sette lanci di martello nel campo con un nastro di misurazione davanti a lui si estendeva lungo il terreno.</v>
      </c>
    </row>
    <row r="14955">
      <c r="A14955" s="4" t="s">
        <v>18833</v>
      </c>
      <c r="B14955" s="6" t="s">
        <v>18835</v>
      </c>
      <c r="C14955" s="5" t="str">
        <f>IFERROR(__xludf.DUMMYFUNCTION("GOOGLETRANSLATE(B14955,""en"",""it"")"),"Un uomo a forma di nuda con i pantaloni della pista nera gira un martello a martello intorno e intorno fino a quando non si rilascia in un campo di fronte a lui.")</f>
        <v>Un uomo a forma di nuda con i pantaloni della pista nera gira un martello a martello intorno e intorno fino a quando non si rilascia in un campo di fronte a lui.</v>
      </c>
    </row>
    <row r="14956">
      <c r="A14956" s="4" t="s">
        <v>18833</v>
      </c>
      <c r="B14956" s="6" t="s">
        <v>18836</v>
      </c>
      <c r="C14956" s="5" t="str">
        <f>IFERROR(__xludf.DUMMYFUNCTION("GOOGLETRANSLATE(B14956,""en"",""it"")"),"L'uomo continua a eseguire almeno altri sei tiri di martello allo stesso modo nella stessa posizione.")</f>
        <v>L'uomo continua a eseguire almeno altri sei tiri di martello allo stesso modo nella stessa posizione.</v>
      </c>
    </row>
    <row r="14957">
      <c r="A14957" s="4" t="s">
        <v>18837</v>
      </c>
      <c r="B14957" s="4" t="s">
        <v>18838</v>
      </c>
      <c r="C14957" s="5" t="str">
        <f>IFERROR(__xludf.DUMMYFUNCTION("GOOGLETRANSLATE(B14957,""en"",""it"")"),"L'uomo è in piedi in un campo Gren e inizia a saltare la corda.")</f>
        <v>L'uomo è in piedi in un campo Gren e inizia a saltare la corda.</v>
      </c>
    </row>
    <row r="14958">
      <c r="A14958" s="4" t="s">
        <v>18837</v>
      </c>
      <c r="B14958" s="4" t="s">
        <v>18839</v>
      </c>
      <c r="C14958" s="5" t="str">
        <f>IFERROR(__xludf.DUMMYFUNCTION("GOOGLETRANSLATE(B14958,""en"",""it"")"),"L'uomo lascia cadere la corda e spiega come saltare e tiene di nuovo la corda.")</f>
        <v>L'uomo lascia cadere la corda e spiega come saltare e tiene di nuovo la corda.</v>
      </c>
    </row>
    <row r="14959">
      <c r="A14959" s="4" t="s">
        <v>18840</v>
      </c>
      <c r="B14959" s="4" t="s">
        <v>18841</v>
      </c>
      <c r="C14959" s="5" t="str">
        <f>IFERROR(__xludf.DUMMYFUNCTION("GOOGLETRANSLATE(B14959,""en"",""it"")"),"I ragazzi giocano a biliardo davanti a un pubblico.")</f>
        <v>I ragazzi giocano a biliardo davanti a un pubblico.</v>
      </c>
    </row>
    <row r="14960">
      <c r="A14960" s="4" t="s">
        <v>18840</v>
      </c>
      <c r="B14960" s="4" t="s">
        <v>18842</v>
      </c>
      <c r="C14960" s="5" t="str">
        <f>IFERROR(__xludf.DUMMYFUNCTION("GOOGLETRANSLATE(B14960,""en"",""it"")"),"Un ragazzo cambia il suo bastone da biliardo.")</f>
        <v>Un ragazzo cambia il suo bastone da biliardo.</v>
      </c>
    </row>
    <row r="14961">
      <c r="A14961" s="4" t="s">
        <v>18840</v>
      </c>
      <c r="B14961" s="4" t="s">
        <v>18843</v>
      </c>
      <c r="C14961" s="5" t="str">
        <f>IFERROR(__xludf.DUMMYFUNCTION("GOOGLETRANSLATE(B14961,""en"",""it"")"),"I due uomini si avvicinano e danno un'intervista.")</f>
        <v>I due uomini si avvicinano e danno un'intervista.</v>
      </c>
    </row>
    <row r="14962">
      <c r="A14962" s="4" t="s">
        <v>18840</v>
      </c>
      <c r="B14962" s="4" t="s">
        <v>18844</v>
      </c>
      <c r="C14962" s="5" t="str">
        <f>IFERROR(__xludf.DUMMYFUNCTION("GOOGLETRANSLATE(B14962,""en"",""it"")"),"Un uomo mette il braccio attorno alle spalle del suo partner e il suo partner balla.")</f>
        <v>Un uomo mette il braccio attorno alle spalle del suo partner e il suo partner balla.</v>
      </c>
    </row>
    <row r="14963">
      <c r="A14963" s="4" t="s">
        <v>18840</v>
      </c>
      <c r="B14963" s="4" t="s">
        <v>18845</v>
      </c>
      <c r="C14963" s="5" t="str">
        <f>IFERROR(__xludf.DUMMYFUNCTION("GOOGLETRANSLATE(B14963,""en"",""it"")"),"Un uomo si siede sul giro del suo partner di piscina dopo aver fatto il suo tiro ,.")</f>
        <v>Un uomo si siede sul giro del suo partner di piscina dopo aver fatto il suo tiro ,.</v>
      </c>
    </row>
    <row r="14964">
      <c r="A14964" s="4" t="s">
        <v>18846</v>
      </c>
      <c r="B14964" s="6" t="s">
        <v>18847</v>
      </c>
      <c r="C14964" s="5" t="str">
        <f>IFERROR(__xludf.DUMMYFUNCTION("GOOGLETRANSLATE(B14964,""en"",""it"")"),"Una persona applica la gamba alla gamba e poi procede a radersi la gamba e poi pulire la gamba con uno straccio bagnato.")</f>
        <v>Una persona applica la gamba alla gamba e poi procede a radersi la gamba e poi pulire la gamba con uno straccio bagnato.</v>
      </c>
    </row>
    <row r="14965">
      <c r="A14965" s="4" t="s">
        <v>18846</v>
      </c>
      <c r="B14965" s="4" t="s">
        <v>18848</v>
      </c>
      <c r="C14965" s="5" t="str">
        <f>IFERROR(__xludf.DUMMYFUNCTION("GOOGLETRANSLATE(B14965,""en"",""it"")"),"Una persona in un bagno, con un piede sopra una copertura del gabinetto strofina il lubrificante sulla gamba.")</f>
        <v>Una persona in un bagno, con un piede sopra una copertura del gabinetto strofina il lubrificante sulla gamba.</v>
      </c>
    </row>
    <row r="14966">
      <c r="A14966" s="4" t="s">
        <v>18846</v>
      </c>
      <c r="B14966" s="4" t="s">
        <v>18849</v>
      </c>
      <c r="C14966" s="5" t="str">
        <f>IFERROR(__xludf.DUMMYFUNCTION("GOOGLETRANSLATE(B14966,""en"",""it"")"),"La persona inizia quindi a radersi la lunghezza della gamba con un rasoio blu.")</f>
        <v>La persona inizia quindi a radersi la lunghezza della gamba con un rasoio blu.</v>
      </c>
    </row>
    <row r="14967">
      <c r="A14967" s="4" t="s">
        <v>18846</v>
      </c>
      <c r="B14967" s="6" t="s">
        <v>18850</v>
      </c>
      <c r="C14967" s="5" t="str">
        <f>IFERROR(__xludf.DUMMYFUNCTION("GOOGLETRANSLATE(B14967,""en"",""it"")"),"La persona si asciuga la gamba con lo straccio bagnato dopo aver tenuto lo straccio sotto il lavandino del bagno prima di tenere in mano una bottiglia di lubrificante per le gambe in una vista in primo piano.")</f>
        <v>La persona si asciuga la gamba con lo straccio bagnato dopo aver tenuto lo straccio sotto il lavandino del bagno prima di tenere in mano una bottiglia di lubrificante per le gambe in una vista in primo piano.</v>
      </c>
    </row>
    <row r="14968">
      <c r="A14968" s="4" t="s">
        <v>18851</v>
      </c>
      <c r="B14968" s="4" t="s">
        <v>18852</v>
      </c>
      <c r="C14968" s="5" t="str">
        <f>IFERROR(__xludf.DUMMYFUNCTION("GOOGLETRANSLATE(B14968,""en"",""it"")"),"Una donna e un uomo ballano su un palco.")</f>
        <v>Una donna e un uomo ballano su un palco.</v>
      </c>
    </row>
    <row r="14969">
      <c r="A14969" s="4" t="s">
        <v>18851</v>
      </c>
      <c r="B14969" s="4" t="s">
        <v>18853</v>
      </c>
      <c r="C14969" s="5" t="str">
        <f>IFERROR(__xludf.DUMMYFUNCTION("GOOGLETRANSLATE(B14969,""en"",""it"")"),"C'è una band che suona dietro di loro.")</f>
        <v>C'è una band che suona dietro di loro.</v>
      </c>
    </row>
    <row r="14970">
      <c r="A14970" s="4" t="s">
        <v>18851</v>
      </c>
      <c r="B14970" s="4" t="s">
        <v>18854</v>
      </c>
      <c r="C14970" s="5" t="str">
        <f>IFERROR(__xludf.DUMMYFUNCTION("GOOGLETRANSLATE(B14970,""en"",""it"")"),"C'è un pubblico seduto su sedie che applaudi per loro.")</f>
        <v>C'è un pubblico seduto su sedie che applaudi per loro.</v>
      </c>
    </row>
    <row r="14971">
      <c r="A14971" s="4" t="s">
        <v>18855</v>
      </c>
      <c r="B14971" s="4" t="s">
        <v>18856</v>
      </c>
      <c r="C14971" s="5" t="str">
        <f>IFERROR(__xludf.DUMMYFUNCTION("GOOGLETRANSLATE(B14971,""en"",""it"")"),"Una ragazza in un body verde inizia a girare un testimone e fare trucchi.")</f>
        <v>Una ragazza in un body verde inizia a girare un testimone e fare trucchi.</v>
      </c>
    </row>
    <row r="14972">
      <c r="A14972" s="4" t="s">
        <v>18855</v>
      </c>
      <c r="B14972" s="6" t="s">
        <v>18857</v>
      </c>
      <c r="C14972" s="5" t="str">
        <f>IFERROR(__xludf.DUMMYFUNCTION("GOOGLETRANSLATE(B14972,""en"",""it"")"),"La ragazza inizia a incorporare le braccia e fa un capovolgimento e continua a capovolgere il testimone sulle mani e sulle braccia.")</f>
        <v>La ragazza inizia a incorporare le braccia e fa un capovolgimento e continua a capovolgere il testimone sulle mani e sulle braccia.</v>
      </c>
    </row>
    <row r="14973">
      <c r="A14973" s="4" t="s">
        <v>18855</v>
      </c>
      <c r="B14973" s="6" t="s">
        <v>18858</v>
      </c>
      <c r="C14973" s="5" t="str">
        <f>IFERROR(__xludf.DUMMYFUNCTION("GOOGLETRANSLATE(B14973,""en"",""it"")"),"Mentre la giovane donna continua la sua esibizione, fa roteare il testimone tra le gambe e sopra la testa, lo prende e fa un galoppo.")</f>
        <v>Mentre la giovane donna continua la sua esibizione, fa roteare il testimone tra le gambe e sopra la testa, lo prende e fa un galoppo.</v>
      </c>
    </row>
    <row r="14974">
      <c r="A14974" s="4" t="s">
        <v>18855</v>
      </c>
      <c r="B14974" s="6" t="s">
        <v>18859</v>
      </c>
      <c r="C14974" s="5" t="str">
        <f>IFERROR(__xludf.DUMMYFUNCTION("GOOGLETRANSLATE(B14974,""en"",""it"")"),"Il resto della performance della ragazza è un set di twirls e torsione e poi corre dal pavimento per finire la sua performance.")</f>
        <v>Il resto della performance della ragazza è un set di twirls e torsione e poi corre dal pavimento per finire la sua performance.</v>
      </c>
    </row>
    <row r="14975">
      <c r="A14975" s="4" t="s">
        <v>18860</v>
      </c>
      <c r="B14975" s="6" t="s">
        <v>18861</v>
      </c>
      <c r="C14975" s="5" t="str">
        <f>IFERROR(__xludf.DUMMYFUNCTION("GOOGLETRANSLATE(B14975,""en"",""it"")"),"Una persona solleva un peso di 90 kg fino alla spalla e poi sopra la testa, quindi l'uomo lascia cadere il peso sul pavimento.")</f>
        <v>Una persona solleva un peso di 90 kg fino alla spalla e poi sopra la testa, quindi l'uomo lascia cadere il peso sul pavimento.</v>
      </c>
    </row>
    <row r="14976">
      <c r="A14976" s="4" t="s">
        <v>18860</v>
      </c>
      <c r="B14976" s="4" t="s">
        <v>18862</v>
      </c>
      <c r="C14976" s="5" t="str">
        <f>IFERROR(__xludf.DUMMYFUNCTION("GOOGLETRANSLATE(B14976,""en"",""it"")"),"Quindi, l'uomo solleva 95 kg di peso sopra la sua testa.")</f>
        <v>Quindi, l'uomo solleva 95 kg di peso sopra la sua testa.</v>
      </c>
    </row>
    <row r="14977">
      <c r="A14977" s="4" t="s">
        <v>18860</v>
      </c>
      <c r="B14977" s="4" t="s">
        <v>18863</v>
      </c>
      <c r="C14977" s="5" t="str">
        <f>IFERROR(__xludf.DUMMYFUNCTION("GOOGLETRANSLATE(B14977,""en"",""it"")"),"Dopo, l'uomo solleva con successo un peso di 101 kg.")</f>
        <v>Dopo, l'uomo solleva con successo un peso di 101 kg.</v>
      </c>
    </row>
    <row r="14978">
      <c r="A14978" s="4" t="s">
        <v>18864</v>
      </c>
      <c r="B14978" s="4" t="s">
        <v>18865</v>
      </c>
      <c r="C14978" s="5" t="str">
        <f>IFERROR(__xludf.DUMMYFUNCTION("GOOGLETRANSLATE(B14978,""en"",""it"")"),"Si vede un primo piano di un'auto seguita da una persona con un raschietto.")</f>
        <v>Si vede un primo piano di un'auto seguita da una persona con un raschietto.</v>
      </c>
    </row>
    <row r="14979">
      <c r="A14979" s="4" t="s">
        <v>18864</v>
      </c>
      <c r="B14979" s="4" t="s">
        <v>18866</v>
      </c>
      <c r="C14979" s="5" t="str">
        <f>IFERROR(__xludf.DUMMYFUNCTION("GOOGLETRANSLATE(B14979,""en"",""it"")"),"La persona spinge il ghiaccio lungo la macchina mentre guarda alla telecamera.")</f>
        <v>La persona spinge il ghiaccio lungo la macchina mentre guarda alla telecamera.</v>
      </c>
    </row>
    <row r="14980">
      <c r="A14980" s="4" t="s">
        <v>18864</v>
      </c>
      <c r="B14980" s="4" t="s">
        <v>18867</v>
      </c>
      <c r="C14980" s="5" t="str">
        <f>IFERROR(__xludf.DUMMYFUNCTION("GOOGLETRANSLATE(B14980,""en"",""it"")"),"La persona continua a ripulire il ghiaccio con il raschietto mentre la telecamera cattura i suoi movimenti.")</f>
        <v>La persona continua a ripulire il ghiaccio con il raschietto mentre la telecamera cattura i suoi movimenti.</v>
      </c>
    </row>
    <row r="14981">
      <c r="A14981" s="4" t="s">
        <v>18868</v>
      </c>
      <c r="B14981" s="4" t="s">
        <v>18869</v>
      </c>
      <c r="C14981" s="5" t="str">
        <f>IFERROR(__xludf.DUMMYFUNCTION("GOOGLETRANSLATE(B14981,""en"",""it"")"),"Una wrestler ha un altro wrestler a testa in giù.")</f>
        <v>Una wrestler ha un altro wrestler a testa in giù.</v>
      </c>
    </row>
    <row r="14982">
      <c r="A14982" s="4" t="s">
        <v>18868</v>
      </c>
      <c r="B14982" s="4" t="s">
        <v>18870</v>
      </c>
      <c r="C14982" s="5" t="str">
        <f>IFERROR(__xludf.DUMMYFUNCTION("GOOGLETRANSLATE(B14982,""en"",""it"")"),"La sbatte sul tappeto, sulla schiena.")</f>
        <v>La sbatte sul tappeto, sulla schiena.</v>
      </c>
    </row>
    <row r="14983">
      <c r="A14983" s="4" t="s">
        <v>18871</v>
      </c>
      <c r="B14983" s="6" t="s">
        <v>18872</v>
      </c>
      <c r="C14983" s="5" t="str">
        <f>IFERROR(__xludf.DUMMYFUNCTION("GOOGLETRANSLATE(B14983,""en"",""it"")"),"Vengono mostrati vari colpi di paesaggi tra cui teste di cervo e case degli alberi e conducono in un uomo che spara un arco e una freccia.")</f>
        <v>Vengono mostrati vari colpi di paesaggi tra cui teste di cervo e case degli alberi e conducono in un uomo che spara un arco e una freccia.</v>
      </c>
    </row>
    <row r="14984">
      <c r="A14984" s="4" t="s">
        <v>18871</v>
      </c>
      <c r="B14984" s="6" t="s">
        <v>18873</v>
      </c>
      <c r="C14984" s="5" t="str">
        <f>IFERROR(__xludf.DUMMYFUNCTION("GOOGLETRANSLATE(B14984,""en"",""it"")"),"Colpisce l'animale di peluche e conduce in più colpi di lui e un altro usando l'arco e la freccia.")</f>
        <v>Colpisce l'animale di peluche e conduce in più colpi di lui e un altro usando l'arco e la freccia.</v>
      </c>
    </row>
    <row r="14985">
      <c r="A14985" s="4" t="s">
        <v>18871</v>
      </c>
      <c r="B14985" s="4" t="s">
        <v>18874</v>
      </c>
      <c r="C14985" s="5" t="str">
        <f>IFERROR(__xludf.DUMMYFUNCTION("GOOGLETRANSLATE(B14985,""en"",""it"")"),"La telecamera si muove intorno alle aree che colpiscono e mostra un uomo che si allontana.")</f>
        <v>La telecamera si muove intorno alle aree che colpiscono e mostra un uomo che si allontana.</v>
      </c>
    </row>
    <row r="14986">
      <c r="A14986" s="4" t="s">
        <v>18875</v>
      </c>
      <c r="B14986" s="4" t="s">
        <v>18876</v>
      </c>
      <c r="C14986" s="5" t="str">
        <f>IFERROR(__xludf.DUMMYFUNCTION("GOOGLETRANSLATE(B14986,""en"",""it"")"),"Alcune persone navigano in onde oceaniche ruvide.")</f>
        <v>Alcune persone navigano in onde oceaniche ruvide.</v>
      </c>
    </row>
    <row r="14987">
      <c r="A14987" s="4" t="s">
        <v>18875</v>
      </c>
      <c r="B14987" s="4" t="s">
        <v>18877</v>
      </c>
      <c r="C14987" s="5" t="str">
        <f>IFERROR(__xludf.DUMMYFUNCTION("GOOGLETRANSLATE(B14987,""en"",""it"")"),"Si sdraiarono sulle loro assi, scomparendo in acqua.")</f>
        <v>Si sdraiarono sulle loro assi, scomparendo in acqua.</v>
      </c>
    </row>
    <row r="14988">
      <c r="A14988" s="4" t="s">
        <v>18875</v>
      </c>
      <c r="B14988" s="4" t="s">
        <v>18878</v>
      </c>
      <c r="C14988" s="5" t="str">
        <f>IFERROR(__xludf.DUMMYFUNCTION("GOOGLETRANSLATE(B14988,""en"",""it"")"),"La ragazza cavalca solo il surf con suo padre che aiuta.")</f>
        <v>La ragazza cavalca solo il surf con suo padre che aiuta.</v>
      </c>
    </row>
    <row r="14989">
      <c r="A14989" s="4" t="s">
        <v>18879</v>
      </c>
      <c r="B14989" s="4" t="s">
        <v>18880</v>
      </c>
      <c r="C14989" s="5" t="str">
        <f>IFERROR(__xludf.DUMMYFUNCTION("GOOGLETRANSLATE(B14989,""en"",""it"")"),"Un uomo è in piedi su una scala che asciuga un muro.")</f>
        <v>Un uomo è in piedi su una scala che asciuga un muro.</v>
      </c>
    </row>
    <row r="14990">
      <c r="A14990" s="4" t="s">
        <v>18879</v>
      </c>
      <c r="B14990" s="4" t="s">
        <v>18881</v>
      </c>
      <c r="C14990" s="5" t="str">
        <f>IFERROR(__xludf.DUMMYFUNCTION("GOOGLETRANSLATE(B14990,""en"",""it"")"),"Un secchio nero è seduto accanto a lui.")</f>
        <v>Un secchio nero è seduto accanto a lui.</v>
      </c>
    </row>
    <row r="14991">
      <c r="A14991" s="4" t="s">
        <v>18879</v>
      </c>
      <c r="B14991" s="4" t="s">
        <v>18882</v>
      </c>
      <c r="C14991" s="5" t="str">
        <f>IFERROR(__xludf.DUMMYFUNCTION("GOOGLETRANSLATE(B14991,""en"",""it"")"),"Un uomo è in piedi gettando fango al muro.")</f>
        <v>Un uomo è in piedi gettando fango al muro.</v>
      </c>
    </row>
    <row r="14992">
      <c r="A14992" s="4" t="s">
        <v>18883</v>
      </c>
      <c r="B14992" s="6" t="s">
        <v>18884</v>
      </c>
      <c r="C14992" s="5" t="str">
        <f>IFERROR(__xludf.DUMMYFUNCTION("GOOGLETRANSLATE(B14992,""en"",""it"")"),"Viene vista una donna parlare alla telecamera mentre era in piedi accanto a un cavallo e accarezza il cavallo sul lato.")</f>
        <v>Viene vista una donna parlare alla telecamera mentre era in piedi accanto a un cavallo e accarezza il cavallo sul lato.</v>
      </c>
    </row>
    <row r="14993">
      <c r="A14993" s="4" t="s">
        <v>18883</v>
      </c>
      <c r="B14993" s="4" t="s">
        <v>18885</v>
      </c>
      <c r="C14993" s="5" t="str">
        <f>IFERROR(__xludf.DUMMYFUNCTION("GOOGLETRANSLATE(B14993,""en"",""it"")"),"Il cavallo annusa tutt'intorno alla donna mentre lo fa andare in cima e gira la testa alla fine.")</f>
        <v>Il cavallo annusa tutt'intorno alla donna mentre lo fa andare in cima e gira la testa alla fine.</v>
      </c>
    </row>
    <row r="14994">
      <c r="A14994" s="4" t="s">
        <v>18886</v>
      </c>
      <c r="B14994" s="4" t="s">
        <v>18887</v>
      </c>
      <c r="C14994" s="5" t="str">
        <f>IFERROR(__xludf.DUMMYFUNCTION("GOOGLETRANSLATE(B14994,""en"",""it"")"),"Una telecamera si lancia fuori da un tavolo di legno con un ragazzo con gli occhiali che lo mostrano.")</f>
        <v>Una telecamera si lancia fuori da un tavolo di legno con un ragazzo con gli occhiali che lo mostrano.</v>
      </c>
    </row>
    <row r="14995">
      <c r="A14995" s="4" t="s">
        <v>18886</v>
      </c>
      <c r="B14995" s="4" t="s">
        <v>18888</v>
      </c>
      <c r="C14995" s="5" t="str">
        <f>IFERROR(__xludf.DUMMYFUNCTION("GOOGLETRANSLATE(B14995,""en"",""it"")"),"Il ragazzo spinge vari dischi attraverso la tavola di legno per vedere dove finisce.")</f>
        <v>Il ragazzo spinge vari dischi attraverso la tavola di legno per vedere dove finisce.</v>
      </c>
    </row>
    <row r="14996">
      <c r="A14996" s="4" t="s">
        <v>18886</v>
      </c>
      <c r="B14996" s="6" t="s">
        <v>18889</v>
      </c>
      <c r="C14996" s="5" t="str">
        <f>IFERROR(__xludf.DUMMYFUNCTION("GOOGLETRANSLATE(B14996,""en"",""it"")"),"Il ragazzo spinge molti altri dischi e il ragazzo che tiene le passeggiate della telecamera fino alla fine per mostrare i risultati.")</f>
        <v>Il ragazzo spinge molti altri dischi e il ragazzo che tiene le passeggiate della telecamera fino alla fine per mostrare i risultati.</v>
      </c>
    </row>
    <row r="14997">
      <c r="A14997" s="4" t="s">
        <v>18890</v>
      </c>
      <c r="B14997" s="4" t="s">
        <v>18891</v>
      </c>
      <c r="C14997" s="5" t="str">
        <f>IFERROR(__xludf.DUMMYFUNCTION("GOOGLETRANSLATE(B14997,""en"",""it"")"),"Una ragazza è in piedi con un gruppo di persone su una lunga piattaforma fatta di legno.")</f>
        <v>Una ragazza è in piedi con un gruppo di persone su una lunga piattaforma fatta di legno.</v>
      </c>
    </row>
    <row r="14998">
      <c r="A14998" s="4" t="s">
        <v>18890</v>
      </c>
      <c r="B14998" s="6" t="s">
        <v>18892</v>
      </c>
      <c r="C14998" s="5" t="str">
        <f>IFERROR(__xludf.DUMMYFUNCTION("GOOGLETRANSLATE(B14998,""en"",""it"")"),"È attaccata a una corda e con diverse persone dietro di lei, quindi viene spinta dallo stand partecipando a una caduta libera.")</f>
        <v>È attaccata a una corda e con diverse persone dietro di lei, quindi viene spinta dallo stand partecipando a una caduta libera.</v>
      </c>
    </row>
    <row r="14999">
      <c r="A14999" s="4" t="s">
        <v>18890</v>
      </c>
      <c r="B14999" s="4" t="s">
        <v>18893</v>
      </c>
      <c r="C14999" s="5" t="str">
        <f>IFERROR(__xludf.DUMMYFUNCTION("GOOGLETRANSLATE(B14999,""en"",""it"")"),"La femmina cade quindi pende sull'acqua per un lungo periodo di tempo.")</f>
        <v>La femmina cade quindi pende sull'acqua per un lungo periodo di tempo.</v>
      </c>
    </row>
    <row r="15000">
      <c r="A15000" s="4" t="s">
        <v>18894</v>
      </c>
      <c r="B15000" s="6" t="s">
        <v>18895</v>
      </c>
      <c r="C15000" s="5" t="str">
        <f>IFERROR(__xludf.DUMMYFUNCTION("GOOGLETRANSLATE(B15000,""en"",""it"")"),"Una donna viene vista guardare nella telecamera mentre si lava i capelli e le porta a metterle i capelli in una coda di cavallo.")</f>
        <v>Una donna viene vista guardare nella telecamera mentre si lava i capelli e le porta a metterle i capelli in una coda di cavallo.</v>
      </c>
    </row>
    <row r="15001">
      <c r="A15001" s="4" t="s">
        <v>18894</v>
      </c>
      <c r="B15001" s="4" t="s">
        <v>18896</v>
      </c>
      <c r="C15001" s="5" t="str">
        <f>IFERROR(__xludf.DUMMYFUNCTION("GOOGLETRANSLATE(B15001,""en"",""it"")"),"La ragazza quindi intreccia più capelli in lei e finisce agitando la telecamera.")</f>
        <v>La ragazza quindi intreccia più capelli in lei e finisce agitando la telecamera.</v>
      </c>
    </row>
    <row r="15002">
      <c r="A15002" s="4" t="s">
        <v>18897</v>
      </c>
      <c r="B15002" s="4" t="s">
        <v>18898</v>
      </c>
      <c r="C15002" s="5" t="str">
        <f>IFERROR(__xludf.DUMMYFUNCTION("GOOGLETRANSLATE(B15002,""en"",""it"")"),"C'è un camion guidato sulla strada all'inizio del video.")</f>
        <v>C'è un camion guidato sulla strada all'inizio del video.</v>
      </c>
    </row>
    <row r="15003">
      <c r="A15003" s="4" t="s">
        <v>18897</v>
      </c>
      <c r="B15003" s="4" t="s">
        <v>18899</v>
      </c>
      <c r="C15003" s="5" t="str">
        <f>IFERROR(__xludf.DUMMYFUNCTION("GOOGLETRANSLATE(B15003,""en"",""it"")"),"Quindi un uomo viene mostrato seduto a bordo piscina, navigando in acqua con altre persone.")</f>
        <v>Quindi un uomo viene mostrato seduto a bordo piscina, navigando in acqua con altre persone.</v>
      </c>
    </row>
    <row r="15004">
      <c r="A15004" s="4" t="s">
        <v>18900</v>
      </c>
      <c r="B15004" s="6" t="s">
        <v>18901</v>
      </c>
      <c r="C15004" s="5" t="str">
        <f>IFERROR(__xludf.DUMMYFUNCTION("GOOGLETRANSLATE(B15004,""en"",""it"")"),"Le persone sono viste camminare per una zona nevosa che portano assi in mano e cavalcano lungo il sentiero.")</f>
        <v>Le persone sono viste camminare per una zona nevosa che portano assi in mano e cavalcano lungo il sentiero.</v>
      </c>
    </row>
    <row r="15005">
      <c r="A15005" s="4" t="s">
        <v>18900</v>
      </c>
      <c r="B15005" s="4" t="s">
        <v>18902</v>
      </c>
      <c r="C15005" s="5" t="str">
        <f>IFERROR(__xludf.DUMMYFUNCTION("GOOGLETRANSLATE(B15005,""en"",""it"")"),"Le persone cavalcano continuamente lungo la montagna innevata mentre guarda indietro alla telecamera.")</f>
        <v>Le persone cavalcano continuamente lungo la montagna innevata mentre guarda indietro alla telecamera.</v>
      </c>
    </row>
    <row r="15006">
      <c r="A15006" s="4" t="s">
        <v>18900</v>
      </c>
      <c r="B15006" s="4" t="s">
        <v>18903</v>
      </c>
      <c r="C15006" s="5" t="str">
        <f>IFERROR(__xludf.DUMMYFUNCTION("GOOGLETRANSLATE(B15006,""en"",""it"")"),"La gente continua a girare mentre si zoomina in piedi.")</f>
        <v>La gente continua a girare mentre si zoomina in piedi.</v>
      </c>
    </row>
    <row r="15007">
      <c r="A15007" s="4" t="s">
        <v>18904</v>
      </c>
      <c r="B15007" s="6" t="s">
        <v>18905</v>
      </c>
      <c r="C15007" s="5" t="str">
        <f>IFERROR(__xludf.DUMMYFUNCTION("GOOGLETRANSLATE(B15007,""en"",""it"")"),"Viene vista una donna parlare con la telecamera con in mano un cerchio di hula e conduce a girare attorno al cerchio di hula.")</f>
        <v>Viene vista una donna parlare con la telecamera con in mano un cerchio di hula e conduce a girare attorno al cerchio di hula.</v>
      </c>
    </row>
    <row r="15008">
      <c r="A15008" s="4" t="s">
        <v>18904</v>
      </c>
      <c r="B15008" s="6" t="s">
        <v>18906</v>
      </c>
      <c r="C15008" s="5" t="str">
        <f>IFERROR(__xludf.DUMMYFUNCTION("GOOGLETRANSLATE(B15008,""en"",""it"")"),"La donna continua a spingere l'oggetto intorno alla sua vita mentre si gira e balla sul posto.")</f>
        <v>La donna continua a spingere l'oggetto intorno alla sua vita mentre si gira e balla sul posto.</v>
      </c>
    </row>
    <row r="15009">
      <c r="A15009" s="4" t="s">
        <v>18907</v>
      </c>
      <c r="B15009" s="4" t="s">
        <v>18908</v>
      </c>
      <c r="C15009" s="5" t="str">
        <f>IFERROR(__xludf.DUMMYFUNCTION("GOOGLETRANSLATE(B15009,""en"",""it"")"),"Un uomo magro e un uomo grasso eseguono il wrestling del braccio mentre un cameraman li filma.")</f>
        <v>Un uomo magro e un uomo grasso eseguono il wrestling del braccio mentre un cameraman li filma.</v>
      </c>
    </row>
    <row r="15010">
      <c r="A15010" s="4" t="s">
        <v>18907</v>
      </c>
      <c r="B15010" s="4" t="s">
        <v>18909</v>
      </c>
      <c r="C15010" s="5" t="str">
        <f>IFERROR(__xludf.DUMMYFUNCTION("GOOGLETRANSLATE(B15010,""en"",""it"")"),"L'uomo magro vince la competizione di wrestling del braccio.")</f>
        <v>L'uomo magro vince la competizione di wrestling del braccio.</v>
      </c>
    </row>
    <row r="15011">
      <c r="A15011" s="4" t="s">
        <v>18910</v>
      </c>
      <c r="B15011" s="4" t="s">
        <v>18911</v>
      </c>
      <c r="C15011" s="5" t="str">
        <f>IFERROR(__xludf.DUMMYFUNCTION("GOOGLETRANSLATE(B15011,""en"",""it"")"),"Le persone in imbracature camminano su una piattaforma con alberi molto più in basso sullo sfondo.")</f>
        <v>Le persone in imbracature camminano su una piattaforma con alberi molto più in basso sullo sfondo.</v>
      </c>
    </row>
    <row r="15012">
      <c r="A15012" s="4" t="s">
        <v>18910</v>
      </c>
      <c r="B15012" s="4" t="s">
        <v>18912</v>
      </c>
      <c r="C15012" s="5" t="str">
        <f>IFERROR(__xludf.DUMMYFUNCTION("GOOGLETRANSLATE(B15012,""en"",""it"")"),"L'uomo si siede su una panchina ed è agganciato a una grande corda bianca.")</f>
        <v>L'uomo si siede su una panchina ed è agganciato a una grande corda bianca.</v>
      </c>
    </row>
    <row r="15013">
      <c r="A15013" s="4" t="s">
        <v>18910</v>
      </c>
      <c r="B15013" s="4" t="s">
        <v>18913</v>
      </c>
      <c r="C15013" s="5" t="str">
        <f>IFERROR(__xludf.DUMMYFUNCTION("GOOGLETRANSLATE(B15013,""en"",""it"")"),"L'uomo scuote la mano di una signora.")</f>
        <v>L'uomo scuote la mano di una signora.</v>
      </c>
    </row>
    <row r="15014">
      <c r="A15014" s="4" t="s">
        <v>18910</v>
      </c>
      <c r="B15014" s="4" t="s">
        <v>18914</v>
      </c>
      <c r="C15014" s="5" t="str">
        <f>IFERROR(__xludf.DUMMYFUNCTION("GOOGLETRANSLATE(B15014,""en"",""it"")"),"L'uomo si alza e cammina fino al limite della piattaforma assistita da due persone.")</f>
        <v>L'uomo si alza e cammina fino al limite della piattaforma assistita da due persone.</v>
      </c>
    </row>
    <row r="15015">
      <c r="A15015" s="4" t="s">
        <v>18910</v>
      </c>
      <c r="B15015" s="6" t="s">
        <v>18915</v>
      </c>
      <c r="C15015" s="5" t="str">
        <f>IFERROR(__xludf.DUMMYFUNCTION("GOOGLETRANSLATE(B15015,""en"",""it"")"),"La signora quindi spinge l'uomo dal bordo e la fotocamera si muove verso il basso per guardare il bungee degli uomini saltare.")</f>
        <v>La signora quindi spinge l'uomo dal bordo e la fotocamera si muove verso il basso per guardare il bungee degli uomini saltare.</v>
      </c>
    </row>
    <row r="15016">
      <c r="A15016" s="4" t="s">
        <v>18910</v>
      </c>
      <c r="B15016" s="4" t="s">
        <v>18916</v>
      </c>
      <c r="C15016" s="5" t="str">
        <f>IFERROR(__xludf.DUMMYFUNCTION("GOOGLETRANSLATE(B15016,""en"",""it"")"),"Un uomo con il bastone lo tiene fuori e l'uomo lo prende e rilasciano l'uomo dalla corda.")</f>
        <v>Un uomo con il bastone lo tiene fuori e l'uomo lo prende e rilasciano l'uomo dalla corda.</v>
      </c>
    </row>
    <row r="15017">
      <c r="A15017" s="4" t="s">
        <v>18917</v>
      </c>
      <c r="B15017" s="4" t="s">
        <v>18918</v>
      </c>
      <c r="C15017" s="5" t="str">
        <f>IFERROR(__xludf.DUMMYFUNCTION("GOOGLETRANSLATE(B15017,""en"",""it"")"),"Diverse persone giacevano nei tubi sulla neve.")</f>
        <v>Diverse persone giacevano nei tubi sulla neve.</v>
      </c>
    </row>
    <row r="15018">
      <c r="A15018" s="4" t="s">
        <v>18917</v>
      </c>
      <c r="B15018" s="4" t="s">
        <v>18919</v>
      </c>
      <c r="C15018" s="5" t="str">
        <f>IFERROR(__xludf.DUMMYFUNCTION("GOOGLETRANSLATE(B15018,""en"",""it"")"),"Più persone sono in piedi intorno a loro.")</f>
        <v>Più persone sono in piedi intorno a loro.</v>
      </c>
    </row>
    <row r="15019">
      <c r="A15019" s="4" t="s">
        <v>18917</v>
      </c>
      <c r="B15019" s="4" t="s">
        <v>18920</v>
      </c>
      <c r="C15019" s="5" t="str">
        <f>IFERROR(__xludf.DUMMYFUNCTION("GOOGLETRANSLATE(B15019,""en"",""it"")"),"Alla fine alcuni di loro scendono dalla collina.")</f>
        <v>Alla fine alcuni di loro scendono dalla collina.</v>
      </c>
    </row>
    <row r="15020">
      <c r="A15020" s="4" t="s">
        <v>18917</v>
      </c>
      <c r="B15020" s="4" t="s">
        <v>18921</v>
      </c>
      <c r="C15020" s="5" t="str">
        <f>IFERROR(__xludf.DUMMYFUNCTION("GOOGLETRANSLATE(B15020,""en"",""it"")"),"Raggiungono il fondo della collina.")</f>
        <v>Raggiungono il fondo della collina.</v>
      </c>
    </row>
    <row r="15021">
      <c r="A15021" s="4" t="s">
        <v>18922</v>
      </c>
      <c r="B15021" s="4" t="s">
        <v>18923</v>
      </c>
      <c r="C15021" s="5" t="str">
        <f>IFERROR(__xludf.DUMMYFUNCTION("GOOGLETRANSLATE(B15021,""en"",""it"")"),"Un uomo gli mette la crema da barba sul viso.")</f>
        <v>Un uomo gli mette la crema da barba sul viso.</v>
      </c>
    </row>
    <row r="15022">
      <c r="A15022" s="4" t="s">
        <v>18922</v>
      </c>
      <c r="B15022" s="4" t="s">
        <v>18924</v>
      </c>
      <c r="C15022" s="5" t="str">
        <f>IFERROR(__xludf.DUMMYFUNCTION("GOOGLETRANSLATE(B15022,""en"",""it"")"),"Comincia a radersi il viso con un rasoio.")</f>
        <v>Comincia a radersi il viso con un rasoio.</v>
      </c>
    </row>
    <row r="15023">
      <c r="A15023" s="4" t="s">
        <v>18922</v>
      </c>
      <c r="B15023" s="4" t="s">
        <v>18925</v>
      </c>
      <c r="C15023" s="5" t="str">
        <f>IFERROR(__xludf.DUMMYFUNCTION("GOOGLETRANSLATE(B15023,""en"",""it"")"),"Si asciuga il viso con un asciugamano.")</f>
        <v>Si asciuga il viso con un asciugamano.</v>
      </c>
    </row>
    <row r="15024">
      <c r="A15024" s="4" t="s">
        <v>18926</v>
      </c>
      <c r="B15024" s="6" t="s">
        <v>18927</v>
      </c>
      <c r="C15024" s="5" t="str">
        <f>IFERROR(__xludf.DUMMYFUNCTION("GOOGLETRANSLATE(B15024,""en"",""it"")"),"Viene mostrato un colpo di palestra, seguito da diverse clip di una persona che tenta di pole Volt e altri socializzando.")</f>
        <v>Viene mostrato un colpo di palestra, seguito da diverse clip di una persona che tenta di pole Volt e altri socializzando.</v>
      </c>
    </row>
    <row r="15025">
      <c r="A15025" s="4" t="s">
        <v>18926</v>
      </c>
      <c r="B15025" s="4" t="s">
        <v>18928</v>
      </c>
      <c r="C15025" s="5" t="str">
        <f>IFERROR(__xludf.DUMMYFUNCTION("GOOGLETRANSLATE(B15025,""en"",""it"")"),"Diverse persone parlano con la telecamera e portano a loro volgare la pole.")</f>
        <v>Diverse persone parlano con la telecamera e portano a loro volgare la pole.</v>
      </c>
    </row>
    <row r="15026">
      <c r="A15026" s="4" t="s">
        <v>18926</v>
      </c>
      <c r="B15026" s="6" t="s">
        <v>18929</v>
      </c>
      <c r="C15026" s="5" t="str">
        <f>IFERROR(__xludf.DUMMYFUNCTION("GOOGLETRANSLATE(B15026,""en"",""it"")"),"Si vedono più persone parlare tra loro e la fotocamera e usare un palo per superare una barra.")</f>
        <v>Si vedono più persone parlare tra loro e la fotocamera e usare un palo per superare una barra.</v>
      </c>
    </row>
    <row r="15027">
      <c r="A15027" s="4" t="s">
        <v>18930</v>
      </c>
      <c r="B15027" s="4" t="s">
        <v>18931</v>
      </c>
      <c r="C15027" s="5" t="str">
        <f>IFERROR(__xludf.DUMMYFUNCTION("GOOGLETRANSLATE(B15027,""en"",""it"")"),"Una piccola palla bianca si precipitò in campo e colpisce un tocco di un giocatore in testa.")</f>
        <v>Una piccola palla bianca si precipitò in campo e colpisce un tocco di un giocatore in testa.</v>
      </c>
    </row>
    <row r="15028">
      <c r="A15028" s="4" t="s">
        <v>18930</v>
      </c>
      <c r="B15028" s="6" t="s">
        <v>18932</v>
      </c>
      <c r="C15028" s="5" t="str">
        <f>IFERROR(__xludf.DUMMYFUNCTION("GOOGLETRANSLATE(B15028,""en"",""it"")"),"Un altro giocatore quindi ruba la palla e inizia a calciare fino a quando non è più nel suo controllo, e la prende a calci direttamente in porta.")</f>
        <v>Un altro giocatore quindi ruba la palla e inizia a calciare fino a quando non è più nel suo controllo, e la prende a calci direttamente in porta.</v>
      </c>
    </row>
    <row r="15029">
      <c r="A15029" s="4" t="s">
        <v>18930</v>
      </c>
      <c r="B15029" s="4" t="s">
        <v>18933</v>
      </c>
      <c r="C15029" s="5" t="str">
        <f>IFERROR(__xludf.DUMMYFUNCTION("GOOGLETRANSLATE(B15029,""en"",""it"")"),"Un piccolo replay mostra come è riuscito a calciarlo lì.")</f>
        <v>Un piccolo replay mostra come è riuscito a calciarlo lì.</v>
      </c>
    </row>
    <row r="15030">
      <c r="A15030" s="4" t="s">
        <v>18930</v>
      </c>
      <c r="B15030" s="4" t="s">
        <v>18934</v>
      </c>
      <c r="C15030" s="5" t="str">
        <f>IFERROR(__xludf.DUMMYFUNCTION("GOOGLETRANSLATE(B15030,""en"",""it"")"),"Un breve montaggio di mosse simili, il giocatore che calcia una palla direttamente in porta.")</f>
        <v>Un breve montaggio di mosse simili, il giocatore che calcia una palla direttamente in porta.</v>
      </c>
    </row>
    <row r="15031">
      <c r="A15031" s="4" t="s">
        <v>18930</v>
      </c>
      <c r="B15031" s="4" t="s">
        <v>18935</v>
      </c>
      <c r="C15031" s="5" t="str">
        <f>IFERROR(__xludf.DUMMYFUNCTION("GOOGLETRANSLATE(B15031,""en"",""it"")"),"Una breve quantità di filmati mostra come il giocatore reagisce al proprio tiro.")</f>
        <v>Una breve quantità di filmati mostra come il giocatore reagisce al proprio tiro.</v>
      </c>
    </row>
    <row r="15032">
      <c r="A15032" s="4" t="s">
        <v>18936</v>
      </c>
      <c r="B15032" s="4" t="s">
        <v>18937</v>
      </c>
      <c r="C15032" s="5" t="str">
        <f>IFERROR(__xludf.DUMMYFUNCTION("GOOGLETRANSLATE(B15032,""en"",""it"")"),"Un uomo è in surf di aquiloni sul bordo della tavola.")</f>
        <v>Un uomo è in surf di aquiloni sul bordo della tavola.</v>
      </c>
    </row>
    <row r="15033">
      <c r="A15033" s="4" t="s">
        <v>18936</v>
      </c>
      <c r="B15033" s="4" t="s">
        <v>18938</v>
      </c>
      <c r="C15033" s="5" t="str">
        <f>IFERROR(__xludf.DUMMYFUNCTION("GOOGLETRANSLATE(B15033,""en"",""it"")"),"La fotocamera ingrandisce e mostra la scheda, quindi zoom.")</f>
        <v>La fotocamera ingrandisce e mostra la scheda, quindi zoom.</v>
      </c>
    </row>
    <row r="15034">
      <c r="A15034" s="4" t="s">
        <v>18936</v>
      </c>
      <c r="B15034" s="4" t="s">
        <v>18939</v>
      </c>
      <c r="C15034" s="5" t="str">
        <f>IFERROR(__xludf.DUMMYFUNCTION("GOOGLETRANSLATE(B15034,""en"",""it"")"),"Vediamo la strada in lontananza e vediamo le auto guidare.")</f>
        <v>Vediamo la strada in lontananza e vediamo le auto guidare.</v>
      </c>
    </row>
    <row r="15035">
      <c r="A15035" s="4" t="s">
        <v>18936</v>
      </c>
      <c r="B15035" s="4" t="s">
        <v>18940</v>
      </c>
      <c r="C15035" s="5" t="str">
        <f>IFERROR(__xludf.DUMMYFUNCTION("GOOGLETRANSLATE(B15035,""en"",""it"")"),"Vediamo una seconda persona kitesurfing.")</f>
        <v>Vediamo una seconda persona kitesurfing.</v>
      </c>
    </row>
    <row r="15036">
      <c r="A15036" s="4" t="s">
        <v>18941</v>
      </c>
      <c r="B15036" s="6" t="s">
        <v>18942</v>
      </c>
      <c r="C15036" s="5" t="str">
        <f>IFERROR(__xludf.DUMMYFUNCTION("GOOGLETRANSLATE(B15036,""en"",""it"")"),"Una ginnasta viene vista saltare su una serie di barre irregolari e eseguire una routine di ginnastica di fronte agli altri.")</f>
        <v>Una ginnasta viene vista saltare su una serie di barre irregolari e eseguire una routine di ginnastica di fronte agli altri.</v>
      </c>
    </row>
    <row r="15037">
      <c r="A15037" s="4" t="s">
        <v>18941</v>
      </c>
      <c r="B15037" s="6" t="s">
        <v>18943</v>
      </c>
      <c r="C15037" s="5" t="str">
        <f>IFERROR(__xludf.DUMMYFUNCTION("GOOGLETRANSLATE(B15037,""en"",""it"")"),"L'uomo continua a girare intorno alle sbarre e finisce con lui saltando giù e inchinarsi alla folla.")</f>
        <v>L'uomo continua a girare intorno alle sbarre e finisce con lui saltando giù e inchinarsi alla folla.</v>
      </c>
    </row>
    <row r="15038">
      <c r="A15038" s="4" t="s">
        <v>18944</v>
      </c>
      <c r="B15038" s="4" t="s">
        <v>18945</v>
      </c>
      <c r="C15038" s="5" t="str">
        <f>IFERROR(__xludf.DUMMYFUNCTION("GOOGLETRANSLATE(B15038,""en"",""it"")"),"Un bambino piccolo viene visto arrampicarsi su una scivolata in un parco giochi molto lentamente.")</f>
        <v>Un bambino piccolo viene visto arrampicarsi su una scivolata in un parco giochi molto lentamente.</v>
      </c>
    </row>
    <row r="15039">
      <c r="A15039" s="4" t="s">
        <v>18944</v>
      </c>
      <c r="B15039" s="4" t="s">
        <v>18946</v>
      </c>
      <c r="C15039" s="5" t="str">
        <f>IFERROR(__xludf.DUMMYFUNCTION("GOOGLETRANSLATE(B15039,""en"",""it"")"),"Si avvicina alla cima e poi scivola lungo la diapositiva.")</f>
        <v>Si avvicina alla cima e poi scivola lungo la diapositiva.</v>
      </c>
    </row>
    <row r="15040">
      <c r="A15040" s="4" t="s">
        <v>18947</v>
      </c>
      <c r="B15040" s="4" t="s">
        <v>18948</v>
      </c>
      <c r="C15040" s="5" t="str">
        <f>IFERROR(__xludf.DUMMYFUNCTION("GOOGLETRANSLATE(B15040,""en"",""it"")"),"Un primo piano di tazze da solista viene mostrato seguito da un uomo che lancia palle.")</f>
        <v>Un primo piano di tazze da solista viene mostrato seguito da un uomo che lancia palle.</v>
      </c>
    </row>
    <row r="15041">
      <c r="A15041" s="4" t="s">
        <v>18947</v>
      </c>
      <c r="B15041" s="6" t="s">
        <v>18949</v>
      </c>
      <c r="C15041" s="5" t="str">
        <f>IFERROR(__xludf.DUMMYFUNCTION("GOOGLETRANSLATE(B15041,""en"",""it"")"),"Una persona sposta le tazze lungo il tavolo mentre la persona continua a lanciare e gli uomini cambiano luogo.")</f>
        <v>Una persona sposta le tazze lungo il tavolo mentre la persona continua a lanciare e gli uomini cambiano luogo.</v>
      </c>
    </row>
    <row r="15042">
      <c r="A15042" s="4" t="s">
        <v>18947</v>
      </c>
      <c r="B15042" s="4" t="s">
        <v>18950</v>
      </c>
      <c r="C15042" s="5" t="str">
        <f>IFERROR(__xludf.DUMMYFUNCTION("GOOGLETRANSLATE(B15042,""en"",""it"")"),"I due continuano a turno mentre la fotocamera cattura i loro movimenti.")</f>
        <v>I due continuano a turno mentre la fotocamera cattura i loro movimenti.</v>
      </c>
    </row>
    <row r="15043">
      <c r="A15043" s="4" t="s">
        <v>18951</v>
      </c>
      <c r="B15043" s="6" t="s">
        <v>18952</v>
      </c>
      <c r="C15043" s="5" t="str">
        <f>IFERROR(__xludf.DUMMYFUNCTION("GOOGLETRANSLATE(B15043,""en"",""it"")"),"Due uomini in costumi gonfiabili del lottatore di sumo intrattengono il pubblico per esibirsi in una piazza pubblica.")</f>
        <v>Due uomini in costumi gonfiabili del lottatore di sumo intrattengono il pubblico per esibirsi in una piazza pubblica.</v>
      </c>
    </row>
    <row r="15044">
      <c r="A15044" s="4" t="s">
        <v>18951</v>
      </c>
      <c r="B15044" s="6" t="s">
        <v>18953</v>
      </c>
      <c r="C15044" s="5" t="str">
        <f>IFERROR(__xludf.DUMMYFUNCTION("GOOGLETRANSLATE(B15044,""en"",""it"")"),"Due uomini con abiti gonfiabili del lottatore di sumo parlano con la telecamera e iniziano a intrattenere le persone che passano mentre si trovano in una piazza pubblica asfaltata.")</f>
        <v>Due uomini con abiti gonfiabili del lottatore di sumo parlano con la telecamera e iniziano a intrattenere le persone che passano mentre si trovano in una piazza pubblica asfaltata.</v>
      </c>
    </row>
    <row r="15045">
      <c r="A15045" s="4" t="s">
        <v>18951</v>
      </c>
      <c r="B15045" s="6" t="s">
        <v>18954</v>
      </c>
      <c r="C15045" s="5" t="str">
        <f>IFERROR(__xludf.DUMMYFUNCTION("GOOGLETRANSLATE(B15045,""en"",""it"")"),"I due uomini mostrano un ragazzino come usare uno scooter automatizzato, eseguono finte partite di wrestling di sumo e scattano foto con il pubblico e ballando con il pubblico prima di terminare la performance e parlare di nuovo alla telecamera.")</f>
        <v>I due uomini mostrano un ragazzino come usare uno scooter automatizzato, eseguono finte partite di wrestling di sumo e scattano foto con il pubblico e ballando con il pubblico prima di terminare la performance e parlare di nuovo alla telecamera.</v>
      </c>
    </row>
    <row r="15046">
      <c r="A15046" s="4" t="s">
        <v>18955</v>
      </c>
      <c r="B15046" s="4" t="s">
        <v>18956</v>
      </c>
      <c r="C15046" s="5" t="str">
        <f>IFERROR(__xludf.DUMMYFUNCTION("GOOGLETRANSLATE(B15046,""en"",""it"")"),"Vediamo una persona portare un cane in un rifugio.")</f>
        <v>Vediamo una persona portare un cane in un rifugio.</v>
      </c>
    </row>
    <row r="15047">
      <c r="A15047" s="4" t="s">
        <v>18955</v>
      </c>
      <c r="B15047" s="4" t="s">
        <v>18957</v>
      </c>
      <c r="C15047" s="5" t="str">
        <f>IFERROR(__xludf.DUMMYFUNCTION("GOOGLETRANSLATE(B15047,""en"",""it"")"),"Vediamo uno schermo nero con la scrittura.")</f>
        <v>Vediamo uno schermo nero con la scrittura.</v>
      </c>
    </row>
    <row r="15048">
      <c r="A15048" s="4" t="s">
        <v>18955</v>
      </c>
      <c r="B15048" s="4" t="s">
        <v>18958</v>
      </c>
      <c r="C15048" s="5" t="str">
        <f>IFERROR(__xludf.DUMMYFUNCTION("GOOGLETRANSLATE(B15048,""en"",""it"")"),"Vediamo quindi una signora usare un rasoio elettrico e poi le forbici per governare un cane.")</f>
        <v>Vediamo quindi una signora usare un rasoio elettrico e poi le forbici per governare un cane.</v>
      </c>
    </row>
    <row r="15049">
      <c r="A15049" s="4" t="s">
        <v>18955</v>
      </c>
      <c r="B15049" s="4" t="s">
        <v>18959</v>
      </c>
      <c r="C15049" s="5" t="str">
        <f>IFERROR(__xludf.DUMMYFUNCTION("GOOGLETRANSLATE(B15049,""en"",""it"")"),"Il toelettatore bacia il cucciolo.")</f>
        <v>Il toelettatore bacia il cucciolo.</v>
      </c>
    </row>
    <row r="15050">
      <c r="A15050" s="4" t="s">
        <v>18955</v>
      </c>
      <c r="B15050" s="4" t="s">
        <v>18960</v>
      </c>
      <c r="C15050" s="5" t="str">
        <f>IFERROR(__xludf.DUMMYFUNCTION("GOOGLETRANSLATE(B15050,""en"",""it"")"),"Vediamo Shot of the Dog dopo la toelettatura.")</f>
        <v>Vediamo Shot of the Dog dopo la toelettatura.</v>
      </c>
    </row>
    <row r="15051">
      <c r="A15051" s="4" t="s">
        <v>18955</v>
      </c>
      <c r="B15051" s="4" t="s">
        <v>18961</v>
      </c>
      <c r="C15051" s="5" t="str">
        <f>IFERROR(__xludf.DUMMYFUNCTION("GOOGLETRANSLATE(B15051,""en"",""it"")"),"Vediamo quindi uno schermo del titolo nero.")</f>
        <v>Vediamo quindi uno schermo del titolo nero.</v>
      </c>
    </row>
    <row r="15052">
      <c r="A15052" s="4" t="s">
        <v>18962</v>
      </c>
      <c r="B15052" s="4" t="s">
        <v>18963</v>
      </c>
      <c r="C15052" s="5" t="str">
        <f>IFERROR(__xludf.DUMMYFUNCTION("GOOGLETRANSLATE(B15052,""en"",""it"")"),"La donna sta cavalcando un cavallo in un fienile e un'altra donna sta guidando il cavallo con una corda.")</f>
        <v>La donna sta cavalcando un cavallo in un fienile e un'altra donna sta guidando il cavallo con una corda.</v>
      </c>
    </row>
    <row r="15053">
      <c r="A15053" s="4" t="s">
        <v>18962</v>
      </c>
      <c r="B15053" s="4" t="s">
        <v>18964</v>
      </c>
      <c r="C15053" s="5" t="str">
        <f>IFERROR(__xludf.DUMMYFUNCTION("GOOGLETRANSLATE(B15053,""en"",""it"")"),"Vengono mostrate le foto di varie persone che cavalcano cavalli.")</f>
        <v>Vengono mostrate le foto di varie persone che cavalcano cavalli.</v>
      </c>
    </row>
    <row r="15054">
      <c r="A15054" s="4" t="s">
        <v>18962</v>
      </c>
      <c r="B15054" s="4" t="s">
        <v>18965</v>
      </c>
      <c r="C15054" s="5" t="str">
        <f>IFERROR(__xludf.DUMMYFUNCTION("GOOGLETRANSLATE(B15054,""en"",""it"")"),"Woma sta cavalcando un cavallo in un fienile e foto di persone che cavalcavano cavalli.")</f>
        <v>Woma sta cavalcando un cavallo in un fienile e foto di persone che cavalcavano cavalli.</v>
      </c>
    </row>
    <row r="15055">
      <c r="A15055" s="4" t="s">
        <v>18962</v>
      </c>
      <c r="B15055" s="4" t="s">
        <v>18966</v>
      </c>
      <c r="C15055" s="5" t="str">
        <f>IFERROR(__xludf.DUMMYFUNCTION("GOOGLETRANSLATE(B15055,""en"",""it"")"),"La donna sta cavalcando un cavallo in pista.")</f>
        <v>La donna sta cavalcando un cavallo in pista.</v>
      </c>
    </row>
    <row r="15056">
      <c r="A15056" s="4" t="s">
        <v>18962</v>
      </c>
      <c r="B15056" s="4" t="s">
        <v>18967</v>
      </c>
      <c r="C15056" s="5" t="str">
        <f>IFERROR(__xludf.DUMMYFUNCTION("GOOGLETRANSLATE(B15056,""en"",""it"")"),"E anche una ragazza sta saltando sui binari.")</f>
        <v>E anche una ragazza sta saltando sui binari.</v>
      </c>
    </row>
    <row r="15057">
      <c r="A15057" s="4" t="s">
        <v>18962</v>
      </c>
      <c r="B15057" s="4" t="s">
        <v>18968</v>
      </c>
      <c r="C15057" s="5" t="str">
        <f>IFERROR(__xludf.DUMMYFUNCTION("GOOGLETRANSLATE(B15057,""en"",""it"")"),"I bambini sono in un soggiorno che gioca di fronte a una TV e vengono mostrati i loro immagini sull'umore.")</f>
        <v>I bambini sono in un soggiorno che gioca di fronte a una TV e vengono mostrati i loro immagini sull'umore.</v>
      </c>
    </row>
    <row r="15058">
      <c r="A15058" s="4" t="s">
        <v>18962</v>
      </c>
      <c r="B15058" s="4" t="s">
        <v>18969</v>
      </c>
      <c r="C15058" s="5" t="str">
        <f>IFERROR(__xludf.DUMMYFUNCTION("GOOGLETRANSLATE(B15058,""en"",""it"")"),"I bambini stanno ballando e saltando in piscina.")</f>
        <v>I bambini stanno ballando e saltando in piscina.</v>
      </c>
    </row>
    <row r="15059">
      <c r="A15059" s="4" t="s">
        <v>18970</v>
      </c>
      <c r="B15059" s="6" t="s">
        <v>18971</v>
      </c>
      <c r="C15059" s="5" t="str">
        <f>IFERROR(__xludf.DUMMYFUNCTION("GOOGLETRANSLATE(B15059,""en"",""it"")"),"Il video conduce in diversi scatti di surfisti che si muovono lungo l'acqua e cavalcano le onde oltre le altre persone.")</f>
        <v>Il video conduce in diversi scatti di surfisti che si muovono lungo l'acqua e cavalcano le onde oltre le altre persone.</v>
      </c>
    </row>
    <row r="15060">
      <c r="A15060" s="4" t="s">
        <v>18970</v>
      </c>
      <c r="B15060" s="6" t="s">
        <v>18972</v>
      </c>
      <c r="C15060" s="5" t="str">
        <f>IFERROR(__xludf.DUMMYFUNCTION("GOOGLETRANSLATE(B15060,""en"",""it"")"),"Vengono mostrati diversi scatti su come navigare correttamente e sono seguiti da più colpi mostrati al rallentatore.")</f>
        <v>Vengono mostrati diversi scatti su come navigare correttamente e sono seguiti da più colpi mostrati al rallentatore.</v>
      </c>
    </row>
    <row r="15061">
      <c r="A15061" s="4" t="s">
        <v>18973</v>
      </c>
      <c r="B15061" s="6" t="s">
        <v>18974</v>
      </c>
      <c r="C15061" s="5" t="str">
        <f>IFERROR(__xludf.DUMMYFUNCTION("GOOGLETRANSLATE(B15061,""en"",""it"")"),"La parte posteriore di una barca di velocità è mostrata seguita da piedi che saltano in acqua e si guardano attorno sott'acqua.")</f>
        <v>La parte posteriore di una barca di velocità è mostrata seguita da piedi che saltano in acqua e si guardano attorno sott'acqua.</v>
      </c>
    </row>
    <row r="15062">
      <c r="A15062" s="4" t="s">
        <v>18973</v>
      </c>
      <c r="B15062" s="4" t="s">
        <v>18975</v>
      </c>
      <c r="C15062" s="5" t="str">
        <f>IFERROR(__xludf.DUMMYFUNCTION("GOOGLETRANSLATE(B15062,""en"",""it"")"),"Una persona tiene fuori un bastone e afferra un pesce e colpisce gli squali.")</f>
        <v>Una persona tiene fuori un bastone e afferra un pesce e colpisce gli squali.</v>
      </c>
    </row>
    <row r="15063">
      <c r="A15063" s="4" t="s">
        <v>18976</v>
      </c>
      <c r="B15063" s="4" t="s">
        <v>18977</v>
      </c>
      <c r="C15063" s="5" t="str">
        <f>IFERROR(__xludf.DUMMYFUNCTION("GOOGLETRANSLATE(B15063,""en"",""it"")"),"Un uomo suona un sassofono mentre si affaccia sulla telecamera.")</f>
        <v>Un uomo suona un sassofono mentre si affaccia sulla telecamera.</v>
      </c>
    </row>
    <row r="15064">
      <c r="A15064" s="4" t="s">
        <v>18976</v>
      </c>
      <c r="B15064" s="4" t="s">
        <v>18978</v>
      </c>
      <c r="C15064" s="5" t="str">
        <f>IFERROR(__xludf.DUMMYFUNCTION("GOOGLETRANSLATE(B15064,""en"",""it"")"),"L'uomo finisce di suonare e sorride al suo strumento.")</f>
        <v>L'uomo finisce di suonare e sorride al suo strumento.</v>
      </c>
    </row>
    <row r="15065">
      <c r="A15065" s="4" t="s">
        <v>18979</v>
      </c>
      <c r="B15065" s="4" t="s">
        <v>18980</v>
      </c>
      <c r="C15065" s="5" t="str">
        <f>IFERROR(__xludf.DUMMYFUNCTION("GOOGLETRANSLATE(B15065,""en"",""it"")"),"Una persona si avvicina a un tappetino marrone chiaro più volte.")</f>
        <v>Una persona si avvicina a un tappetino marrone chiaro più volte.</v>
      </c>
    </row>
    <row r="15066">
      <c r="A15066" s="4" t="s">
        <v>18979</v>
      </c>
      <c r="B15066" s="4" t="s">
        <v>18981</v>
      </c>
      <c r="C15066" s="5" t="str">
        <f>IFERROR(__xludf.DUMMYFUNCTION("GOOGLETRANSLATE(B15066,""en"",""it"")"),"Si tolgono le scarpe e mettono un paio di scarpe diverse.")</f>
        <v>Si tolgono le scarpe e mettono un paio di scarpe diverse.</v>
      </c>
    </row>
    <row r="15067">
      <c r="A15067" s="4" t="s">
        <v>18979</v>
      </c>
      <c r="B15067" s="4" t="s">
        <v>18982</v>
      </c>
      <c r="C15067" s="5" t="str">
        <f>IFERROR(__xludf.DUMMYFUNCTION("GOOGLETRANSLATE(B15067,""en"",""it"")"),"Continuano a calpestare il tappetino nelle nuove scarpe.")</f>
        <v>Continuano a calpestare il tappetino nelle nuove scarpe.</v>
      </c>
    </row>
    <row r="15068">
      <c r="A15068" s="4" t="s">
        <v>18979</v>
      </c>
      <c r="B15068" s="4" t="s">
        <v>18983</v>
      </c>
      <c r="C15068" s="5" t="str">
        <f>IFERROR(__xludf.DUMMYFUNCTION("GOOGLETRANSLATE(B15068,""en"",""it"")"),"Togli quelle scarpe e si allontanano.")</f>
        <v>Togli quelle scarpe e si allontanano.</v>
      </c>
    </row>
    <row r="15069">
      <c r="A15069" s="4" t="s">
        <v>18984</v>
      </c>
      <c r="B15069" s="4" t="s">
        <v>18985</v>
      </c>
      <c r="C15069" s="5" t="str">
        <f>IFERROR(__xludf.DUMMYFUNCTION("GOOGLETRANSLATE(B15069,""en"",""it"")"),"Un uomo è in una foresta e i suoi piedi sono mostrati con e senza scarpe.")</f>
        <v>Un uomo è in una foresta e i suoi piedi sono mostrati con e senza scarpe.</v>
      </c>
    </row>
    <row r="15070">
      <c r="A15070" s="4" t="s">
        <v>18984</v>
      </c>
      <c r="B15070" s="4" t="s">
        <v>18986</v>
      </c>
      <c r="C15070" s="5" t="str">
        <f>IFERROR(__xludf.DUMMYFUNCTION("GOOGLETRANSLATE(B15070,""en"",""it"")"),"Monta un filo e si bilancia.")</f>
        <v>Monta un filo e si bilancia.</v>
      </c>
    </row>
    <row r="15071">
      <c r="A15071" s="4" t="s">
        <v>18984</v>
      </c>
      <c r="B15071" s="4" t="s">
        <v>18987</v>
      </c>
      <c r="C15071" s="5" t="str">
        <f>IFERROR(__xludf.DUMMYFUNCTION("GOOGLETRANSLATE(B15071,""en"",""it"")"),"Usa il corridoio per camminare, mostrando le posizioni adeguate per mantenere l'equilibrio.")</f>
        <v>Usa il corridoio per camminare, mostrando le posizioni adeguate per mantenere l'equilibrio.</v>
      </c>
    </row>
    <row r="15072">
      <c r="A15072" s="4" t="s">
        <v>18988</v>
      </c>
      <c r="B15072" s="4" t="s">
        <v>18989</v>
      </c>
      <c r="C15072" s="5" t="str">
        <f>IFERROR(__xludf.DUMMYFUNCTION("GOOGLETRANSLATE(B15072,""en"",""it"")"),"Una donna foto una bottiglia piena di proiettili rossi.")</f>
        <v>Una donna foto una bottiglia piena di proiettili rossi.</v>
      </c>
    </row>
    <row r="15073">
      <c r="A15073" s="4" t="s">
        <v>18988</v>
      </c>
      <c r="B15073" s="4" t="s">
        <v>18990</v>
      </c>
      <c r="C15073" s="5" t="str">
        <f>IFERROR(__xludf.DUMMYFUNCTION("GOOGLETRANSLATE(B15073,""en"",""it"")"),"Il pad di cotone viene rimosso, quindi viene caricata una pistola.")</f>
        <v>Il pad di cotone viene rimosso, quindi viene caricata una pistola.</v>
      </c>
    </row>
    <row r="15074">
      <c r="A15074" s="4" t="s">
        <v>18988</v>
      </c>
      <c r="B15074" s="4" t="s">
        <v>18991</v>
      </c>
      <c r="C15074" s="5" t="str">
        <f>IFERROR(__xludf.DUMMYFUNCTION("GOOGLETRANSLATE(B15074,""en"",""it"")"),"Spara i proiettili di verniciatura a un bersaglio, schizzandolo rosso.")</f>
        <v>Spara i proiettili di verniciatura a un bersaglio, schizzandolo rosso.</v>
      </c>
    </row>
    <row r="15075">
      <c r="A15075" s="4" t="s">
        <v>18988</v>
      </c>
      <c r="B15075" s="4" t="s">
        <v>18992</v>
      </c>
      <c r="C15075" s="5" t="str">
        <f>IFERROR(__xludf.DUMMYFUNCTION("GOOGLETRANSLATE(B15075,""en"",""it"")"),"Vengono mostrati diversi obiettivi che vengono schizzati.")</f>
        <v>Vengono mostrati diversi obiettivi che vengono schizzati.</v>
      </c>
    </row>
    <row r="15076">
      <c r="A15076" s="4" t="s">
        <v>18993</v>
      </c>
      <c r="B15076" s="4" t="s">
        <v>18994</v>
      </c>
      <c r="C15076" s="5" t="str">
        <f>IFERROR(__xludf.DUMMYFUNCTION("GOOGLETRANSLATE(B15076,""en"",""it"")"),"Un uomo sta distinguendo una bici su una metropolitana.")</f>
        <v>Un uomo sta distinguendo una bici su una metropolitana.</v>
      </c>
    </row>
    <row r="15077">
      <c r="A15077" s="4" t="s">
        <v>18993</v>
      </c>
      <c r="B15077" s="4" t="s">
        <v>18995</v>
      </c>
      <c r="C15077" s="5" t="str">
        <f>IFERROR(__xludf.DUMMYFUNCTION("GOOGLETRANSLATE(B15077,""en"",""it"")"),"Sta rimettendo una gomma sulla bici.")</f>
        <v>Sta rimettendo una gomma sulla bici.</v>
      </c>
    </row>
    <row r="15078">
      <c r="A15078" s="4" t="s">
        <v>18996</v>
      </c>
      <c r="B15078" s="4" t="s">
        <v>16432</v>
      </c>
      <c r="C15078" s="5" t="str">
        <f>IFERROR(__xludf.DUMMYFUNCTION("GOOGLETRANSLATE(B15078,""en"",""it"")"),"Un uomo dribbla un basket.")</f>
        <v>Un uomo dribbla un basket.</v>
      </c>
    </row>
    <row r="15079">
      <c r="A15079" s="4" t="s">
        <v>18996</v>
      </c>
      <c r="B15079" s="4" t="s">
        <v>18997</v>
      </c>
      <c r="C15079" s="5" t="str">
        <f>IFERROR(__xludf.DUMMYFUNCTION("GOOGLETRANSLATE(B15079,""en"",""it"")"),"Corrono sul campo e continuano a dribblare la palla.")</f>
        <v>Corrono sul campo e continuano a dribblare la palla.</v>
      </c>
    </row>
    <row r="15080">
      <c r="A15080" s="4" t="s">
        <v>18996</v>
      </c>
      <c r="B15080" s="4" t="s">
        <v>18998</v>
      </c>
      <c r="C15080" s="5" t="str">
        <f>IFERROR(__xludf.DUMMYFUNCTION("GOOGLETRANSLATE(B15080,""en"",""it"")"),"Saltano su e fanno un cestino.")</f>
        <v>Saltano su e fanno un cestino.</v>
      </c>
    </row>
    <row r="15081">
      <c r="A15081" s="4" t="s">
        <v>18999</v>
      </c>
      <c r="B15081" s="4" t="s">
        <v>19000</v>
      </c>
      <c r="C15081" s="5" t="str">
        <f>IFERROR(__xludf.DUMMYFUNCTION("GOOGLETRANSLATE(B15081,""en"",""it"")"),"Gli attributi di un MOP sono dimostrati attraverso i primi piani informatici di varie parti.")</f>
        <v>Gli attributi di un MOP sono dimostrati attraverso i primi piani informatici di varie parti.</v>
      </c>
    </row>
    <row r="15082">
      <c r="A15082" s="4" t="s">
        <v>18999</v>
      </c>
      <c r="B15082" s="4" t="s">
        <v>19001</v>
      </c>
      <c r="C15082" s="5" t="str">
        <f>IFERROR(__xludf.DUMMYFUNCTION("GOOGLETRANSLATE(B15082,""en"",""it"")"),"Il MOP è dimostrato nell'uso effettivo.")</f>
        <v>Il MOP è dimostrato nell'uso effettivo.</v>
      </c>
    </row>
    <row r="15083">
      <c r="A15083" s="4" t="s">
        <v>18999</v>
      </c>
      <c r="B15083" s="4" t="s">
        <v>19002</v>
      </c>
      <c r="C15083" s="5" t="str">
        <f>IFERROR(__xludf.DUMMYFUNCTION("GOOGLETRANSLATE(B15083,""en"",""it"")"),"Viene mostrata la preparazione della testa del mop.")</f>
        <v>Viene mostrata la preparazione della testa del mop.</v>
      </c>
    </row>
    <row r="15084">
      <c r="A15084" s="4" t="s">
        <v>18999</v>
      </c>
      <c r="B15084" s="4" t="s">
        <v>19003</v>
      </c>
      <c r="C15084" s="5" t="str">
        <f>IFERROR(__xludf.DUMMYFUNCTION("GOOGLETRANSLATE(B15084,""en"",""it"")"),"Vengono mostrati più primi piani componenti.")</f>
        <v>Vengono mostrati più primi piani componenti.</v>
      </c>
    </row>
    <row r="15085">
      <c r="A15085" s="4" t="s">
        <v>18999</v>
      </c>
      <c r="B15085" s="4" t="s">
        <v>19004</v>
      </c>
      <c r="C15085" s="5" t="str">
        <f>IFERROR(__xludf.DUMMYFUNCTION("GOOGLETRANSLATE(B15085,""en"",""it"")"),"La testa della pigro viene nuovamente dimostrata.")</f>
        <v>La testa della pigro viene nuovamente dimostrata.</v>
      </c>
    </row>
    <row r="15086">
      <c r="A15086" s="4" t="s">
        <v>19005</v>
      </c>
      <c r="B15086" s="4" t="s">
        <v>19006</v>
      </c>
      <c r="C15086" s="5" t="str">
        <f>IFERROR(__xludf.DUMMYFUNCTION("GOOGLETRANSLATE(B15086,""en"",""it"")"),"Una persona è seduta a tatuare il braccio.")</f>
        <v>Una persona è seduta a tatuare il braccio.</v>
      </c>
    </row>
    <row r="15087">
      <c r="A15087" s="4" t="s">
        <v>19005</v>
      </c>
      <c r="B15087" s="4" t="s">
        <v>19007</v>
      </c>
      <c r="C15087" s="5" t="str">
        <f>IFERROR(__xludf.DUMMYFUNCTION("GOOGLETRANSLATE(B15087,""en"",""it"")"),"Si alzano e mostrano il tatuaggio.")</f>
        <v>Si alzano e mostrano il tatuaggio.</v>
      </c>
    </row>
    <row r="15088">
      <c r="A15088" s="4" t="s">
        <v>19008</v>
      </c>
      <c r="B15088" s="4" t="s">
        <v>19009</v>
      </c>
      <c r="C15088" s="5" t="str">
        <f>IFERROR(__xludf.DUMMYFUNCTION("GOOGLETRANSLATE(B15088,""en"",""it"")"),"Una ginnasta è vista in piedi pronta con le braccia su e si gira per affrontare il raggio.")</f>
        <v>Una ginnasta è vista in piedi pronta con le braccia su e si gira per affrontare il raggio.</v>
      </c>
    </row>
    <row r="15089">
      <c r="A15089" s="4" t="s">
        <v>19008</v>
      </c>
      <c r="B15089" s="4" t="s">
        <v>19010</v>
      </c>
      <c r="C15089" s="5" t="str">
        <f>IFERROR(__xludf.DUMMYFUNCTION("GOOGLETRANSLATE(B15089,""en"",""it"")"),"Salta sul raggio e inizia a eseguire una routine di ginnastica fino a quando non cade.")</f>
        <v>Salta sul raggio e inizia a eseguire una routine di ginnastica fino a quando non cade.</v>
      </c>
    </row>
    <row r="15090">
      <c r="A15090" s="4" t="s">
        <v>19008</v>
      </c>
      <c r="B15090" s="4" t="s">
        <v>19011</v>
      </c>
      <c r="C15090" s="5" t="str">
        <f>IFERROR(__xludf.DUMMYFUNCTION("GOOGLETRANSLATE(B15090,""en"",""it"")"),"Si arrampica sul raggio e termina sfogliando il raggio.")</f>
        <v>Si arrampica sul raggio e termina sfogliando il raggio.</v>
      </c>
    </row>
    <row r="15091">
      <c r="A15091" s="4" t="s">
        <v>19012</v>
      </c>
      <c r="B15091" s="6" t="s">
        <v>19013</v>
      </c>
      <c r="C15091" s="5" t="str">
        <f>IFERROR(__xludf.DUMMYFUNCTION("GOOGLETRANSLATE(B15091,""en"",""it"")"),"Due persone sono viste in piedi su una spiaggia sabbiosa con uno che prende a calci la palla e la passano a un'altra.")</f>
        <v>Due persone sono viste in piedi su una spiaggia sabbiosa con uno che prende a calci la palla e la passano a un'altra.</v>
      </c>
    </row>
    <row r="15092">
      <c r="A15092" s="4" t="s">
        <v>19012</v>
      </c>
      <c r="B15092" s="6" t="s">
        <v>19014</v>
      </c>
      <c r="C15092" s="5" t="str">
        <f>IFERROR(__xludf.DUMMYFUNCTION("GOOGLETRANSLATE(B15092,""en"",""it"")"),"I ragazzi continuano a passare la palla indietro e quarto mentre molte persone vengono viste camminare e giocare in acqua.")</f>
        <v>I ragazzi continuano a passare la palla indietro e quarto mentre molte persone vengono viste camminare e giocare in acqua.</v>
      </c>
    </row>
    <row r="15093">
      <c r="A15093" s="4" t="s">
        <v>19015</v>
      </c>
      <c r="B15093" s="4" t="s">
        <v>19016</v>
      </c>
      <c r="C15093" s="5" t="str">
        <f>IFERROR(__xludf.DUMMYFUNCTION("GOOGLETRANSLATE(B15093,""en"",""it"")"),"Due squadre di giocatori di hockey sono all'interno della pista che gioca.")</f>
        <v>Due squadre di giocatori di hockey sono all'interno della pista che gioca.</v>
      </c>
    </row>
    <row r="15094">
      <c r="A15094" s="4" t="s">
        <v>19015</v>
      </c>
      <c r="B15094" s="4" t="s">
        <v>19017</v>
      </c>
      <c r="C15094" s="5" t="str">
        <f>IFERROR(__xludf.DUMMYFUNCTION("GOOGLETRANSLATE(B15094,""en"",""it"")"),"Il disco viene colpito dietro l'obiettivo e la squadra lo colpisce e il gioco continua.")</f>
        <v>Il disco viene colpito dietro l'obiettivo e la squadra lo colpisce e il gioco continua.</v>
      </c>
    </row>
    <row r="15095">
      <c r="A15095" s="4" t="s">
        <v>19015</v>
      </c>
      <c r="B15095" s="4" t="s">
        <v>19018</v>
      </c>
      <c r="C15095" s="5" t="str">
        <f>IFERROR(__xludf.DUMMYFUNCTION("GOOGLETRANSLATE(B15095,""en"",""it"")"),"Dopo aver combattuto per questo, i giocatori hanno colpito il disco dall'altra parte ed è bloccato dal portiere.")</f>
        <v>Dopo aver combattuto per questo, i giocatori hanno colpito il disco dall'altra parte ed è bloccato dal portiere.</v>
      </c>
    </row>
    <row r="15096">
      <c r="A15096" s="4" t="s">
        <v>19015</v>
      </c>
      <c r="B15096" s="6" t="s">
        <v>19019</v>
      </c>
      <c r="C15096" s="5" t="str">
        <f>IFERROR(__xludf.DUMMYFUNCTION("GOOGLETRANSLATE(B15096,""en"",""it"")"),"Ogni squadra si raduna avanti e indietro con il disco, ma nessuno dei due ha successo e sono bloccati su entrambe le estremità della pista.")</f>
        <v>Ogni squadra si raduna avanti e indietro con il disco, ma nessuno dei due ha successo e sono bloccati su entrambe le estremità della pista.</v>
      </c>
    </row>
    <row r="15097">
      <c r="A15097" s="4" t="s">
        <v>19020</v>
      </c>
      <c r="B15097" s="4" t="s">
        <v>19021</v>
      </c>
      <c r="C15097" s="5" t="str">
        <f>IFERROR(__xludf.DUMMYFUNCTION("GOOGLETRANSLATE(B15097,""en"",""it"")"),"Un uomo pratica arti marziali in palestra che gira e gira in giro.")</f>
        <v>Un uomo pratica arti marziali in palestra che gira e gira in giro.</v>
      </c>
    </row>
    <row r="15098">
      <c r="A15098" s="4" t="s">
        <v>19020</v>
      </c>
      <c r="B15098" s="4" t="s">
        <v>19022</v>
      </c>
      <c r="C15098" s="5" t="str">
        <f>IFERROR(__xludf.DUMMYFUNCTION("GOOGLETRANSLATE(B15098,""en"",""it"")"),"Quindi, l'uomo si sporge sulle mani per girare il suo corpo e fare giri.")</f>
        <v>Quindi, l'uomo si sporge sulle mani per girare il suo corpo e fare giri.</v>
      </c>
    </row>
    <row r="15099">
      <c r="A15099" s="4" t="s">
        <v>19020</v>
      </c>
      <c r="B15099" s="4" t="s">
        <v>19023</v>
      </c>
      <c r="C15099" s="5" t="str">
        <f>IFERROR(__xludf.DUMMYFUNCTION("GOOGLETRANSLATE(B15099,""en"",""it"")"),"Dopo, l'uomo si alza sulle mani e inclina il suo corpo ai lati e al fronte.")</f>
        <v>Dopo, l'uomo si alza sulle mani e inclina il suo corpo ai lati e al fronte.</v>
      </c>
    </row>
    <row r="15100">
      <c r="A15100" s="4" t="s">
        <v>19020</v>
      </c>
      <c r="B15100" s="4" t="s">
        <v>19024</v>
      </c>
      <c r="C15100" s="5" t="str">
        <f>IFERROR(__xludf.DUMMYFUNCTION("GOOGLETRANSLATE(B15100,""en"",""it"")"),"Successivamente, gli sta sulle mani e ruota il suo corpo.")</f>
        <v>Successivamente, gli sta sulle mani e ruota il suo corpo.</v>
      </c>
    </row>
    <row r="15101">
      <c r="A15101" s="4" t="s">
        <v>19025</v>
      </c>
      <c r="B15101" s="4" t="s">
        <v>19026</v>
      </c>
      <c r="C15101" s="5" t="str">
        <f>IFERROR(__xludf.DUMMYFUNCTION("GOOGLETRANSLATE(B15101,""en"",""it"")"),"Due uomini stanno camminando lungo le assi con una carta che lanciano e mettono il nastro.")</f>
        <v>Due uomini stanno camminando lungo le assi con una carta che lanciano e mettono il nastro.</v>
      </c>
    </row>
    <row r="15102">
      <c r="A15102" s="4" t="s">
        <v>19025</v>
      </c>
      <c r="B15102" s="4" t="s">
        <v>19027</v>
      </c>
      <c r="C15102" s="5" t="str">
        <f>IFERROR(__xludf.DUMMYFUNCTION("GOOGLETRANSLATE(B15102,""en"",""it"")"),"Altri uomini stendono un foglio di carta verde e continuano a tagliare la carta.")</f>
        <v>Altri uomini stendono un foglio di carta verde e continuano a tagliare la carta.</v>
      </c>
    </row>
    <row r="15103">
      <c r="A15103" s="4" t="s">
        <v>19025</v>
      </c>
      <c r="B15103" s="4" t="s">
        <v>19028</v>
      </c>
      <c r="C15103" s="5" t="str">
        <f>IFERROR(__xludf.DUMMYFUNCTION("GOOGLETRANSLATE(B15103,""en"",""it"")"),"Un ultimo set di carta è posata con il nastro e gli uomini continuano a lavorare.")</f>
        <v>Un ultimo set di carta è posata con il nastro e gli uomini continuano a lavorare.</v>
      </c>
    </row>
    <row r="15104">
      <c r="A15104" s="4" t="s">
        <v>19029</v>
      </c>
      <c r="B15104" s="4" t="s">
        <v>19030</v>
      </c>
      <c r="C15104" s="5" t="str">
        <f>IFERROR(__xludf.DUMMYFUNCTION("GOOGLETRANSLATE(B15104,""en"",""it"")"),"Vediamo una partita di pallavolo del college giocata da donne.")</f>
        <v>Vediamo una partita di pallavolo del college giocata da donne.</v>
      </c>
    </row>
    <row r="15105">
      <c r="A15105" s="4" t="s">
        <v>19029</v>
      </c>
      <c r="B15105" s="4" t="s">
        <v>19031</v>
      </c>
      <c r="C15105" s="5" t="str">
        <f>IFERROR(__xludf.DUMMYFUNCTION("GOOGLETRANSLATE(B15105,""en"",""it"")"),"Passa un gruppo di donne.")</f>
        <v>Passa un gruppo di donne.</v>
      </c>
    </row>
    <row r="15106">
      <c r="A15106" s="4" t="s">
        <v>19029</v>
      </c>
      <c r="B15106" s="4" t="s">
        <v>19032</v>
      </c>
      <c r="C15106" s="5" t="str">
        <f>IFERROR(__xludf.DUMMYFUNCTION("GOOGLETRANSLATE(B15106,""en"",""it"")"),"Una signora cade e scivola attraverso il terreno.")</f>
        <v>Una signora cade e scivola attraverso il terreno.</v>
      </c>
    </row>
    <row r="15107">
      <c r="A15107" s="4" t="s">
        <v>19029</v>
      </c>
      <c r="B15107" s="4" t="s">
        <v>19033</v>
      </c>
      <c r="C15107" s="5" t="str">
        <f>IFERROR(__xludf.DUMMYFUNCTION("GOOGLETRANSLATE(B15107,""en"",""it"")"),"Due signore ci sono cinque.")</f>
        <v>Due signore ci sono cinque.</v>
      </c>
    </row>
    <row r="15108">
      <c r="A15108" s="4" t="s">
        <v>19029</v>
      </c>
      <c r="B15108" s="4" t="s">
        <v>19034</v>
      </c>
      <c r="C15108" s="5" t="str">
        <f>IFERROR(__xludf.DUMMYFUNCTION("GOOGLETRANSLATE(B15108,""en"",""it"")"),"Tre donne cadono nella folla a sinistra.")</f>
        <v>Tre donne cadono nella folla a sinistra.</v>
      </c>
    </row>
    <row r="15109">
      <c r="A15109" s="4" t="s">
        <v>19029</v>
      </c>
      <c r="B15109" s="4" t="s">
        <v>19035</v>
      </c>
      <c r="C15109" s="5" t="str">
        <f>IFERROR(__xludf.DUMMYFUNCTION("GOOGLETRANSLATE(B15109,""en"",""it"")"),"Una signora manca e cade.")</f>
        <v>Una signora manca e cade.</v>
      </c>
    </row>
    <row r="15110">
      <c r="A15110" s="4" t="s">
        <v>19029</v>
      </c>
      <c r="B15110" s="4" t="s">
        <v>19036</v>
      </c>
      <c r="C15110" s="5" t="str">
        <f>IFERROR(__xludf.DUMMYFUNCTION("GOOGLETRANSLATE(B15110,""en"",""it"")"),"Una persona pende una serie di chiavi.")</f>
        <v>Una persona pende una serie di chiavi.</v>
      </c>
    </row>
    <row r="15111">
      <c r="A15111" s="4" t="s">
        <v>19037</v>
      </c>
      <c r="B15111" s="4" t="s">
        <v>19038</v>
      </c>
      <c r="C15111" s="5" t="str">
        <f>IFERROR(__xludf.DUMMYFUNCTION("GOOGLETRANSLATE(B15111,""en"",""it"")"),"Un primo piano di persone viene mostrato seduto su una collina innevata e guardando alla telecamera.")</f>
        <v>Un primo piano di persone viene mostrato seduto su una collina innevata e guardando alla telecamera.</v>
      </c>
    </row>
    <row r="15112">
      <c r="A15112" s="4" t="s">
        <v>19037</v>
      </c>
      <c r="B15112" s="4" t="s">
        <v>19039</v>
      </c>
      <c r="C15112" s="5" t="str">
        <f>IFERROR(__xludf.DUMMYFUNCTION("GOOGLETRANSLATE(B15112,""en"",""it"")"),"Le persone quindi guidano tutti in tubi lungo il sentiero innevato con uno che si muove sul fondo.")</f>
        <v>Le persone quindi guidano tutti in tubi lungo il sentiero innevato con uno che si muove sul fondo.</v>
      </c>
    </row>
    <row r="15113">
      <c r="A15113" s="4" t="s">
        <v>19040</v>
      </c>
      <c r="B15113" s="4" t="s">
        <v>19041</v>
      </c>
      <c r="C15113" s="5" t="str">
        <f>IFERROR(__xludf.DUMMYFUNCTION("GOOGLETRANSLATE(B15113,""en"",""it"")"),"Un adolescente ha un sacco di freccette in mano.")</f>
        <v>Un adolescente ha un sacco di freccette in mano.</v>
      </c>
    </row>
    <row r="15114">
      <c r="A15114" s="4" t="s">
        <v>19040</v>
      </c>
      <c r="B15114" s="4" t="s">
        <v>19042</v>
      </c>
      <c r="C15114" s="5" t="str">
        <f>IFERROR(__xludf.DUMMYFUNCTION("GOOGLETRANSLATE(B15114,""en"",""it"")"),"Getta ogni dardo, cercando di colpire il suo bersaglio sul muro.")</f>
        <v>Getta ogni dardo, cercando di colpire il suo bersaglio sul muro.</v>
      </c>
    </row>
    <row r="15115">
      <c r="A15115" s="4" t="s">
        <v>19040</v>
      </c>
      <c r="B15115" s="6" t="s">
        <v>19043</v>
      </c>
      <c r="C15115" s="5" t="str">
        <f>IFERROR(__xludf.DUMMYFUNCTION("GOOGLETRANSLATE(B15115,""en"",""it"")"),"Una fotocamera del telefono cellulare sopra il Dart Board registra mentre lancia, quindi viene colpita da un dardo prima di cadere sul tappeto.")</f>
        <v>Una fotocamera del telefono cellulare sopra il Dart Board registra mentre lancia, quindi viene colpita da un dardo prima di cadere sul tappeto.</v>
      </c>
    </row>
    <row r="15116">
      <c r="A15116" s="4" t="s">
        <v>19044</v>
      </c>
      <c r="B15116" s="4" t="s">
        <v>19045</v>
      </c>
      <c r="C15116" s="5" t="str">
        <f>IFERROR(__xludf.DUMMYFUNCTION("GOOGLETRANSLATE(B15116,""en"",""it"")"),"Un grande gruppo di bambini viene visto ballare in una stanza seguita da uomini che si muovono e ridono.")</f>
        <v>Un grande gruppo di bambini viene visto ballare in una stanza seguita da uomini che si muovono e ridono.</v>
      </c>
    </row>
    <row r="15117">
      <c r="A15117" s="4" t="s">
        <v>19044</v>
      </c>
      <c r="B15117" s="4" t="s">
        <v>19046</v>
      </c>
      <c r="C15117" s="5" t="str">
        <f>IFERROR(__xludf.DUMMYFUNCTION("GOOGLETRANSLATE(B15117,""en"",""it"")"),"Vengono mostrate altre clip di persone che saltano in corda in diverse stanze e ridono l'una con l'altra.")</f>
        <v>Vengono mostrate altre clip di persone che saltano in corda in diverse stanze e ridono l'una con l'altra.</v>
      </c>
    </row>
    <row r="15118">
      <c r="A15118" s="4" t="s">
        <v>19047</v>
      </c>
      <c r="B15118" s="4" t="s">
        <v>19048</v>
      </c>
      <c r="C15118" s="5" t="str">
        <f>IFERROR(__xludf.DUMMYFUNCTION("GOOGLETRANSLATE(B15118,""en"",""it"")"),"Viene visualizzato uno schermo nero con la scrittura gialla su di esso.")</f>
        <v>Viene visualizzato uno schermo nero con la scrittura gialla su di esso.</v>
      </c>
    </row>
    <row r="15119">
      <c r="A15119" s="4" t="s">
        <v>19047</v>
      </c>
      <c r="B15119" s="6" t="s">
        <v>19049</v>
      </c>
      <c r="C15119" s="5" t="str">
        <f>IFERROR(__xludf.DUMMYFUNCTION("GOOGLETRANSLATE(B15119,""en"",""it"")"),"Una volta sparito, viene mostrato un campo e un buff femmine lancia un colpo messo nel campo e viene mostrato un replay.")</f>
        <v>Una volta sparito, viene mostrato un campo e un buff femmine lancia un colpo messo nel campo e viene mostrato un replay.</v>
      </c>
    </row>
    <row r="15120">
      <c r="A15120" s="4" t="s">
        <v>19050</v>
      </c>
      <c r="B15120" s="4" t="s">
        <v>19051</v>
      </c>
      <c r="C15120" s="5" t="str">
        <f>IFERROR(__xludf.DUMMYFUNCTION("GOOGLETRANSLATE(B15120,""en"",""it"")"),"Un corpo uomo sbatte un altro uomo su un anello.")</f>
        <v>Un corpo uomo sbatte un altro uomo su un anello.</v>
      </c>
    </row>
    <row r="15121">
      <c r="A15121" s="4" t="s">
        <v>19050</v>
      </c>
      <c r="B15121" s="4" t="s">
        <v>19052</v>
      </c>
      <c r="C15121" s="5" t="str">
        <f>IFERROR(__xludf.DUMMYFUNCTION("GOOGLETRANSLATE(B15121,""en"",""it"")"),"Un arbitro tocca a terra più volte.")</f>
        <v>Un arbitro tocca a terra più volte.</v>
      </c>
    </row>
    <row r="15122">
      <c r="A15122" s="4" t="s">
        <v>19050</v>
      </c>
      <c r="B15122" s="4" t="s">
        <v>19053</v>
      </c>
      <c r="C15122" s="5" t="str">
        <f>IFERROR(__xludf.DUMMYFUNCTION("GOOGLETRANSLATE(B15122,""en"",""it"")"),"La folla applaude per la gente.")</f>
        <v>La folla applaude per la gente.</v>
      </c>
    </row>
    <row r="15123">
      <c r="A15123" s="4" t="s">
        <v>19054</v>
      </c>
      <c r="B15123" s="4" t="s">
        <v>1487</v>
      </c>
      <c r="C15123" s="5" t="str">
        <f>IFERROR(__xludf.DUMMYFUNCTION("GOOGLETRANSLATE(B15123,""en"",""it"")"),"Vediamo una schermata del titolo di apertura.")</f>
        <v>Vediamo una schermata del titolo di apertura.</v>
      </c>
    </row>
    <row r="15124">
      <c r="A15124" s="4" t="s">
        <v>19054</v>
      </c>
      <c r="B15124" s="4" t="s">
        <v>19055</v>
      </c>
      <c r="C15124" s="5" t="str">
        <f>IFERROR(__xludf.DUMMYFUNCTION("GOOGLETRANSLATE(B15124,""en"",""it"")"),"Gli uomini ringhiano e vediamo la folla e i colpi di pallavolo giocare.")</f>
        <v>Gli uomini ringhiano e vediamo la folla e i colpi di pallavolo giocare.</v>
      </c>
    </row>
    <row r="15125">
      <c r="A15125" s="4" t="s">
        <v>19054</v>
      </c>
      <c r="B15125" s="4" t="s">
        <v>19056</v>
      </c>
      <c r="C15125" s="5" t="str">
        <f>IFERROR(__xludf.DUMMYFUNCTION("GOOGLETRANSLATE(B15125,""en"",""it"")"),"Vediamo signore a margine.")</f>
        <v>Vediamo signore a margine.</v>
      </c>
    </row>
    <row r="15126">
      <c r="A15126" s="4" t="s">
        <v>19054</v>
      </c>
      <c r="B15126" s="4" t="s">
        <v>19057</v>
      </c>
      <c r="C15126" s="5" t="str">
        <f>IFERROR(__xludf.DUMMYFUNCTION("GOOGLETRANSLATE(B15126,""en"",""it"")"),"Un uomo alto viene mostrato dalle gambe mentre salta.")</f>
        <v>Un uomo alto viene mostrato dalle gambe mentre salta.</v>
      </c>
    </row>
    <row r="15127">
      <c r="A15127" s="4" t="s">
        <v>19054</v>
      </c>
      <c r="B15127" s="4" t="s">
        <v>19058</v>
      </c>
      <c r="C15127" s="5" t="str">
        <f>IFERROR(__xludf.DUMMYFUNCTION("GOOGLETRANSLATE(B15127,""en"",""it"")"),"Un uomo manca un colpo e guarda dietro di lui e due uomini si guardano dietro di loro.")</f>
        <v>Un uomo manca un colpo e guarda dietro di lui e due uomini si guardano dietro di loro.</v>
      </c>
    </row>
    <row r="15128">
      <c r="A15128" s="4" t="s">
        <v>19054</v>
      </c>
      <c r="B15128" s="4" t="s">
        <v>19059</v>
      </c>
      <c r="C15128" s="5" t="str">
        <f>IFERROR(__xludf.DUMMYFUNCTION("GOOGLETRANSLATE(B15128,""en"",""it"")"),"Vediamo gli uomini tifare e saltare.")</f>
        <v>Vediamo gli uomini tifare e saltare.</v>
      </c>
    </row>
    <row r="15129">
      <c r="A15129" s="4" t="s">
        <v>19054</v>
      </c>
      <c r="B15129" s="4" t="s">
        <v>19060</v>
      </c>
      <c r="C15129" s="5" t="str">
        <f>IFERROR(__xludf.DUMMYFUNCTION("GOOGLETRANSLATE(B15129,""en"",""it"")"),"È fatto uno scatto e abbracci di squadra.")</f>
        <v>È fatto uno scatto e abbracci di squadra.</v>
      </c>
    </row>
    <row r="15130">
      <c r="A15130" s="4" t="s">
        <v>19061</v>
      </c>
      <c r="B15130" s="4" t="s">
        <v>19062</v>
      </c>
      <c r="C15130" s="5" t="str">
        <f>IFERROR(__xludf.DUMMYFUNCTION("GOOGLETRANSLATE(B15130,""en"",""it"")"),"Un uomo pulisce il bordo di una ruota con una spazzola, quindi l'uomo sciacqua la macchina con un tubo.")</f>
        <v>Un uomo pulisce il bordo di una ruota con una spazzola, quindi l'uomo sciacqua la macchina con un tubo.</v>
      </c>
    </row>
    <row r="15131">
      <c r="A15131" s="4" t="s">
        <v>19061</v>
      </c>
      <c r="B15131" s="4" t="s">
        <v>19063</v>
      </c>
      <c r="C15131" s="5" t="str">
        <f>IFERROR(__xludf.DUMMYFUNCTION("GOOGLETRANSLATE(B15131,""en"",""it"")"),"Dopo, l'uomo applica un detergente con una spazzola per lavaggio.")</f>
        <v>Dopo, l'uomo applica un detergente con una spazzola per lavaggio.</v>
      </c>
    </row>
    <row r="15132">
      <c r="A15132" s="4" t="s">
        <v>19061</v>
      </c>
      <c r="B15132" s="4" t="s">
        <v>19064</v>
      </c>
      <c r="C15132" s="5" t="str">
        <f>IFERROR(__xludf.DUMMYFUNCTION("GOOGLETRANSLATE(B15132,""en"",""it"")"),"Successivamente, l'auto entra all'interno di una macchina per lavaggio automatica.")</f>
        <v>Successivamente, l'auto entra all'interno di una macchina per lavaggio automatica.</v>
      </c>
    </row>
    <row r="15133">
      <c r="A15133" s="4" t="s">
        <v>19065</v>
      </c>
      <c r="B15133" s="4" t="s">
        <v>19066</v>
      </c>
      <c r="C15133" s="5" t="str">
        <f>IFERROR(__xludf.DUMMYFUNCTION("GOOGLETRANSLATE(B15133,""en"",""it"")"),"Due persone il braccio lottano e toglieno i vestiti.")</f>
        <v>Due persone il braccio lottano e toglieno i vestiti.</v>
      </c>
    </row>
    <row r="15134">
      <c r="A15134" s="4" t="s">
        <v>19065</v>
      </c>
      <c r="B15134" s="4" t="s">
        <v>19067</v>
      </c>
      <c r="C15134" s="5" t="str">
        <f>IFERROR(__xludf.DUMMYFUNCTION("GOOGLETRANSLATE(B15134,""en"",""it"")"),"Si vestono e diventano estremi che volano in un uragano.")</f>
        <v>Si vestono e diventano estremi che volano in un uragano.</v>
      </c>
    </row>
    <row r="15135">
      <c r="A15135" s="4" t="s">
        <v>19065</v>
      </c>
      <c r="B15135" s="4" t="s">
        <v>19068</v>
      </c>
      <c r="C15135" s="5" t="str">
        <f>IFERROR(__xludf.DUMMYFUNCTION("GOOGLETRANSLATE(B15135,""en"",""it"")"),"Gli aquiloni si schiantano contro la gente una volta.")</f>
        <v>Gli aquiloni si schiantano contro la gente una volta.</v>
      </c>
    </row>
    <row r="15136">
      <c r="A15136" s="4" t="s">
        <v>19069</v>
      </c>
      <c r="B15136" s="4" t="s">
        <v>19070</v>
      </c>
      <c r="C15136" s="5" t="str">
        <f>IFERROR(__xludf.DUMMYFUNCTION("GOOGLETRANSLATE(B15136,""en"",""it"")"),"Le persone cavalcano cavalli su un campo.")</f>
        <v>Le persone cavalcano cavalli su un campo.</v>
      </c>
    </row>
    <row r="15137">
      <c r="A15137" s="4" t="s">
        <v>19069</v>
      </c>
      <c r="B15137" s="4" t="s">
        <v>19071</v>
      </c>
      <c r="C15137" s="5" t="str">
        <f>IFERROR(__xludf.DUMMYFUNCTION("GOOGLETRANSLATE(B15137,""en"",""it"")"),"Un cane e una persona si incrociano davanti alla telecamera.")</f>
        <v>Un cane e una persona si incrociano davanti alla telecamera.</v>
      </c>
    </row>
    <row r="15138">
      <c r="A15138" s="4" t="s">
        <v>19069</v>
      </c>
      <c r="B15138" s="4" t="s">
        <v>19072</v>
      </c>
      <c r="C15138" s="5" t="str">
        <f>IFERROR(__xludf.DUMMYFUNCTION("GOOGLETRANSLATE(B15138,""en"",""it"")"),"I cavalli corrono sul campo.")</f>
        <v>I cavalli corrono sul campo.</v>
      </c>
    </row>
    <row r="15139">
      <c r="A15139" s="4" t="s">
        <v>19073</v>
      </c>
      <c r="B15139" s="6" t="s">
        <v>19074</v>
      </c>
      <c r="C15139" s="5" t="str">
        <f>IFERROR(__xludf.DUMMYFUNCTION("GOOGLETRANSLATE(B15139,""en"",""it"")"),"Viene mostrato l'esterno di un'azienda e il segno blu e bianco su di essa dice ""Grooming per cagnolini e per animali domestici"" con una foto di un cane in acqua e coperto di schiuma e stampe di zampe sui lati di esso e la parola ""cane Grooming ""è lung"&amp;"o la parte anteriore della sporgenza che sporge.")</f>
        <v>Viene mostrato l'esterno di un'azienda e il segno blu e bianco su di essa dice "Grooming per cagnolini e per animali domestici" con una foto di un cane in acqua e coperto di schiuma e stampe di zampe sui lati di esso e la parola "cane Grooming "è lungo la parte anteriore della sporgenza che sporge.</v>
      </c>
    </row>
    <row r="15140">
      <c r="A15140" s="4" t="s">
        <v>19073</v>
      </c>
      <c r="B15140" s="6" t="s">
        <v>19075</v>
      </c>
      <c r="C15140" s="5" t="str">
        <f>IFERROR(__xludf.DUMMYFUNCTION("GOOGLETRANSLATE(B15140,""en"",""it"")"),"Una donna sta parlando e tra un po 'ci sono clip che giocano a groomer che curano cani, clienti, cani che camminano nel negozio, prodotti e cani che camminano nel negozio.")</f>
        <v>Una donna sta parlando e tra un po 'ci sono clip che giocano a groomer che curano cani, clienti, cani che camminano nel negozio, prodotti e cani che camminano nel negozio.</v>
      </c>
    </row>
    <row r="15141">
      <c r="A15141" s="4" t="s">
        <v>19073</v>
      </c>
      <c r="B15141" s="6" t="s">
        <v>19076</v>
      </c>
      <c r="C15141" s="5" t="str">
        <f>IFERROR(__xludf.DUMMYFUNCTION("GOOGLETRANSLATE(B15141,""en"",""it"")"),"La stessa clip dell'esterno dell'edificio che è stato mostrato all'inizio è la stessa vista esterna che viene mostrata alla fine.")</f>
        <v>La stessa clip dell'esterno dell'edificio che è stato mostrato all'inizio è la stessa vista esterna che viene mostrata alla fine.</v>
      </c>
    </row>
    <row r="15142">
      <c r="A15142" s="4" t="s">
        <v>19077</v>
      </c>
      <c r="B15142" s="6" t="s">
        <v>19078</v>
      </c>
      <c r="C15142" s="5" t="str">
        <f>IFERROR(__xludf.DUMMYFUNCTION("GOOGLETRANSLATE(B15142,""en"",""it"")"),"La donna mette il burro in una ciotola con zucchero e farina e mescola in un aiuto in cucina, aggiungendo uova, vaniglia e farina, quando la miscela è omogenea aggiungere gocce di cioccolato.")</f>
        <v>La donna mette il burro in una ciotola con zucchero e farina e mescola in un aiuto in cucina, aggiungendo uova, vaniglia e farina, quando la miscela è omogenea aggiungere gocce di cioccolato.</v>
      </c>
    </row>
    <row r="15143">
      <c r="A15143" s="4" t="s">
        <v>19077</v>
      </c>
      <c r="B15143" s="4" t="s">
        <v>19079</v>
      </c>
      <c r="C15143" s="5" t="str">
        <f>IFERROR(__xludf.DUMMYFUNCTION("GOOGLETRANSLATE(B15143,""en"",""it"")"),"L'impasto è modellato in palline e in un vassoio al forno.")</f>
        <v>L'impasto è modellato in palline e in un vassoio al forno.</v>
      </c>
    </row>
    <row r="15144">
      <c r="A15144" s="4" t="s">
        <v>19080</v>
      </c>
      <c r="B15144" s="4" t="s">
        <v>19081</v>
      </c>
      <c r="C15144" s="5" t="str">
        <f>IFERROR(__xludf.DUMMYFUNCTION("GOOGLETRANSLATE(B15144,""en"",""it"")"),"Una macchina fotografica si muove attorno a una cucina scura e conduce alla persona che cammina lungo un set di scale.")</f>
        <v>Una macchina fotografica si muove attorno a una cucina scura e conduce alla persona che cammina lungo un set di scale.</v>
      </c>
    </row>
    <row r="15145">
      <c r="A15145" s="4" t="s">
        <v>19080</v>
      </c>
      <c r="B15145" s="6" t="s">
        <v>19082</v>
      </c>
      <c r="C15145" s="5" t="str">
        <f>IFERROR(__xludf.DUMMYFUNCTION("GOOGLETRANSLATE(B15145,""en"",""it"")"),"I vestiti sono visti sul pavimento seguito da una donna in bigodini che fumano una sigaretta e giocano sul computer.")</f>
        <v>I vestiti sono visti sul pavimento seguito da una donna in bigodini che fumano una sigaretta e giocano sul computer.</v>
      </c>
    </row>
    <row r="15146">
      <c r="A15146" s="4" t="s">
        <v>19080</v>
      </c>
      <c r="B15146" s="4" t="s">
        <v>19083</v>
      </c>
      <c r="C15146" s="5" t="str">
        <f>IFERROR(__xludf.DUMMYFUNCTION("GOOGLETRANSLATE(B15146,""en"",""it"")"),"Parla alla telecamera e fa un colpo di lei e dell'uomo della telecamera insieme.")</f>
        <v>Parla alla telecamera e fa un colpo di lei e dell'uomo della telecamera insieme.</v>
      </c>
    </row>
    <row r="15147">
      <c r="A15147" s="4" t="s">
        <v>19084</v>
      </c>
      <c r="B15147" s="4" t="s">
        <v>19085</v>
      </c>
      <c r="C15147" s="5" t="str">
        <f>IFERROR(__xludf.DUMMYFUNCTION("GOOGLETRANSLATE(B15147,""en"",""it"")"),"Un uomo è di fronte a un tagliere coperto di patate.")</f>
        <v>Un uomo è di fronte a un tagliere coperto di patate.</v>
      </c>
    </row>
    <row r="15148">
      <c r="A15148" s="4" t="s">
        <v>19084</v>
      </c>
      <c r="B15148" s="4" t="s">
        <v>19086</v>
      </c>
      <c r="C15148" s="5" t="str">
        <f>IFERROR(__xludf.DUMMYFUNCTION("GOOGLETRANSLATE(B15148,""en"",""it"")"),"Usa una pelapatrice per sbucciare la pelle da una patata.")</f>
        <v>Usa una pelapatrice per sbucciare la pelle da una patata.</v>
      </c>
    </row>
    <row r="15149">
      <c r="A15149" s="4" t="s">
        <v>19084</v>
      </c>
      <c r="B15149" s="4" t="s">
        <v>19087</v>
      </c>
      <c r="C15149" s="5" t="str">
        <f>IFERROR(__xludf.DUMMYFUNCTION("GOOGLETRANSLATE(B15149,""en"",""it"")"),"Si muove rapidamente, sbucciandosi fino a quando tutte le patate sono nude.")</f>
        <v>Si muove rapidamente, sbucciandosi fino a quando tutte le patate sono nude.</v>
      </c>
    </row>
    <row r="15150">
      <c r="A15150" s="4" t="s">
        <v>19088</v>
      </c>
      <c r="B15150" s="4" t="s">
        <v>19089</v>
      </c>
      <c r="C15150" s="5" t="str">
        <f>IFERROR(__xludf.DUMMYFUNCTION("GOOGLETRANSLATE(B15150,""en"",""it"")"),"Un ragazzo è seduto a un tavolo di legno in un caffè.")</f>
        <v>Un ragazzo è seduto a un tavolo di legno in un caffè.</v>
      </c>
    </row>
    <row r="15151">
      <c r="A15151" s="4" t="s">
        <v>19088</v>
      </c>
      <c r="B15151" s="4" t="s">
        <v>19090</v>
      </c>
      <c r="C15151" s="5" t="str">
        <f>IFERROR(__xludf.DUMMYFUNCTION("GOOGLETRANSLATE(B15151,""en"",""it"")"),"Accende un narghilè, quindi tira un trascinamento del fumo.")</f>
        <v>Accende un narghilè, quindi tira un trascinamento del fumo.</v>
      </c>
    </row>
    <row r="15152">
      <c r="A15152" s="4" t="s">
        <v>19088</v>
      </c>
      <c r="B15152" s="4" t="s">
        <v>19091</v>
      </c>
      <c r="C15152" s="5" t="str">
        <f>IFERROR(__xludf.DUMMYFUNCTION("GOOGLETRANSLATE(B15152,""en"",""it"")"),"Si siede, soffiando dal fumo dalla bocca.")</f>
        <v>Si siede, soffiando dal fumo dalla bocca.</v>
      </c>
    </row>
    <row r="15153">
      <c r="A15153" s="4" t="s">
        <v>19092</v>
      </c>
      <c r="B15153" s="4" t="s">
        <v>19093</v>
      </c>
      <c r="C15153" s="5" t="str">
        <f>IFERROR(__xludf.DUMMYFUNCTION("GOOGLETRANSLATE(B15153,""en"",""it"")"),"Una ragazza si siede e sopporta dolore mentre ottiene un tradizionale tatuaggio polinesiano.")</f>
        <v>Una ragazza si siede e sopporta dolore mentre ottiene un tradizionale tatuaggio polinesiano.</v>
      </c>
    </row>
    <row r="15154">
      <c r="A15154" s="4" t="s">
        <v>19092</v>
      </c>
      <c r="B15154" s="4" t="s">
        <v>19094</v>
      </c>
      <c r="C15154" s="5" t="str">
        <f>IFERROR(__xludf.DUMMYFUNCTION("GOOGLETRANSLATE(B15154,""en"",""it"")"),"Gli artisti si fermano per un momento e puliscono la zona.")</f>
        <v>Gli artisti si fermano per un momento e puliscono la zona.</v>
      </c>
    </row>
    <row r="15155">
      <c r="A15155" s="4" t="s">
        <v>19092</v>
      </c>
      <c r="B15155" s="4" t="s">
        <v>19095</v>
      </c>
      <c r="C15155" s="5" t="str">
        <f>IFERROR(__xludf.DUMMYFUNCTION("GOOGLETRANSLATE(B15155,""en"",""it"")"),"Cominciano a continuare a tatuare la mano mentre sopporta visibilmente il dolore.")</f>
        <v>Cominciano a continuare a tatuare la mano mentre sopporta visibilmente il dolore.</v>
      </c>
    </row>
    <row r="15156">
      <c r="A15156" s="4" t="s">
        <v>19096</v>
      </c>
      <c r="B15156" s="4" t="s">
        <v>19097</v>
      </c>
      <c r="C15156" s="5" t="str">
        <f>IFERROR(__xludf.DUMMYFUNCTION("GOOGLETRANSLATE(B15156,""en"",""it"")"),"Il video inizia con diversi scatti di ciclisti BMX che guidano lungo una pista con uno che prende una caduta dura.")</f>
        <v>Il video inizia con diversi scatti di ciclisti BMX che guidano lungo una pista con uno che prende una caduta dura.</v>
      </c>
    </row>
    <row r="15157">
      <c r="A15157" s="4" t="s">
        <v>19096</v>
      </c>
      <c r="B15157" s="6" t="s">
        <v>19098</v>
      </c>
      <c r="C15157" s="5" t="str">
        <f>IFERROR(__xludf.DUMMYFUNCTION("GOOGLETRANSLATE(B15157,""en"",""it"")"),"Diversi altri scatti di persone che cavalcano su una pista sono mostrati con molti in disparte per guardare.")</f>
        <v>Diversi altri scatti di persone che cavalcano su una pista sono mostrati con molti in disparte per guardare.</v>
      </c>
    </row>
    <row r="15158">
      <c r="A15158" s="4" t="s">
        <v>19096</v>
      </c>
      <c r="B15158" s="4" t="s">
        <v>19099</v>
      </c>
      <c r="C15158" s="5" t="str">
        <f>IFERROR(__xludf.DUMMYFUNCTION("GOOGLETRANSLATE(B15158,""en"",""it"")"),"Altre cadute sono mostrate con un effetto lento e più persone continuano a girare.")</f>
        <v>Altre cadute sono mostrate con un effetto lento e più persone continuano a girare.</v>
      </c>
    </row>
    <row r="15159">
      <c r="A15159" s="4" t="s">
        <v>19100</v>
      </c>
      <c r="B15159" s="6" t="s">
        <v>19101</v>
      </c>
      <c r="C15159" s="5" t="str">
        <f>IFERROR(__xludf.DUMMYFUNCTION("GOOGLETRANSLATE(B15159,""en"",""it"")"),"Appare uno schermo nero con parole bianche, rosse, verdi e blu che dicono ""film di membrillo"" su una schermata, ""Mateo Bervelillo"" e ""Trillizos"".")</f>
        <v>Appare uno schermo nero con parole bianche, rosse, verdi e blu che dicono "film di membrillo" su una schermata, "Mateo Bervelillo" e "Trillizos".</v>
      </c>
    </row>
    <row r="15160">
      <c r="A15160" s="4" t="s">
        <v>19100</v>
      </c>
      <c r="B15160" s="6" t="s">
        <v>19102</v>
      </c>
      <c r="C15160" s="5" t="str">
        <f>IFERROR(__xludf.DUMMYFUNCTION("GOOGLETRANSLATE(B15160,""en"",""it"")"),"Un uomo è ora all'aperto, si siede su una scatola di legno e inizia a toccando le dita sulla scatola e rimbalzando i piedi a terra.")</f>
        <v>Un uomo è ora all'aperto, si siede su una scatola di legno e inizia a toccando le dita sulla scatola e rimbalzando i piedi a terra.</v>
      </c>
    </row>
    <row r="15161">
      <c r="A15161" s="4" t="s">
        <v>19100</v>
      </c>
      <c r="B15161" s="6" t="s">
        <v>19103</v>
      </c>
      <c r="C15161" s="5" t="str">
        <f>IFERROR(__xludf.DUMMYFUNCTION("GOOGLETRANSLATE(B15161,""en"",""it"")"),"Un altro uomo che sembra il primo uomo esce da una porta e si siede sulla sedia all'aperto vicino al primo uomo e inizia a colpire un bongo.")</f>
        <v>Un altro uomo che sembra il primo uomo esce da una porta e si siede sulla sedia all'aperto vicino al primo uomo e inizia a colpire un bongo.</v>
      </c>
    </row>
    <row r="15162">
      <c r="A15162" s="4" t="s">
        <v>19100</v>
      </c>
      <c r="B15162" s="6" t="s">
        <v>19104</v>
      </c>
      <c r="C15162" s="5" t="str">
        <f>IFERROR(__xludf.DUMMYFUNCTION("GOOGLETRANSLATE(B15162,""en"",""it"")"),"Un terzo uomo che assomiglia ai due uomini precedenti prima di lui, esce da una porta e si siede sull'ultima sedia e suona sul suo bongo.")</f>
        <v>Un terzo uomo che assomiglia ai due uomini precedenti prima di lui, esce da una porta e si siede sull'ultima sedia e suona sul suo bongo.</v>
      </c>
    </row>
    <row r="15163">
      <c r="A15163" s="4" t="s">
        <v>19105</v>
      </c>
      <c r="B15163" s="4" t="s">
        <v>19106</v>
      </c>
      <c r="C15163" s="5" t="str">
        <f>IFERROR(__xludf.DUMMYFUNCTION("GOOGLETRANSLATE(B15163,""en"",""it"")"),"La donna è in piedi davanti alla telecamera in una stanza bianca che gioca con i capelli.")</f>
        <v>La donna è in piedi davanti alla telecamera in una stanza bianca che gioca con i capelli.</v>
      </c>
    </row>
    <row r="15164">
      <c r="A15164" s="4" t="s">
        <v>19105</v>
      </c>
      <c r="B15164" s="6" t="s">
        <v>19107</v>
      </c>
      <c r="C15164" s="5" t="str">
        <f>IFERROR(__xludf.DUMMYFUNCTION("GOOGLETRANSLATE(B15164,""en"",""it"")"),"La donna è seduta in un frammento e una donna dietro il suo inizio afferrando una piccola parte dei capelli facendo una treccia e ancorandolo con una spilla bobby e decorandolo con spille da capelli.")</f>
        <v>La donna è seduta in un frammento e una donna dietro il suo inizio afferrando una piccola parte dei capelli facendo una treccia e ancorandolo con una spilla bobby e decorandolo con spille da capelli.</v>
      </c>
    </row>
    <row r="15165">
      <c r="A15165" s="4" t="s">
        <v>19108</v>
      </c>
      <c r="B15165" s="4" t="s">
        <v>19109</v>
      </c>
      <c r="C15165" s="5" t="str">
        <f>IFERROR(__xludf.DUMMYFUNCTION("GOOGLETRANSLATE(B15165,""en"",""it"")"),"Vediamo lo schermo del titolo nero.")</f>
        <v>Vediamo lo schermo del titolo nero.</v>
      </c>
    </row>
    <row r="15166">
      <c r="A15166" s="4" t="s">
        <v>19108</v>
      </c>
      <c r="B15166" s="4" t="s">
        <v>19110</v>
      </c>
      <c r="C15166" s="5" t="str">
        <f>IFERROR(__xludf.DUMMYFUNCTION("GOOGLETRANSLATE(B15166,""en"",""it"")"),"Vediamo una signora e un uomo che lavora su una macchina.")</f>
        <v>Vediamo una signora e un uomo che lavora su una macchina.</v>
      </c>
    </row>
    <row r="15167">
      <c r="A15167" s="4" t="s">
        <v>19108</v>
      </c>
      <c r="B15167" s="4" t="s">
        <v>19111</v>
      </c>
      <c r="C15167" s="5" t="str">
        <f>IFERROR(__xludf.DUMMYFUNCTION("GOOGLETRANSLATE(B15167,""en"",""it"")"),"Vediamo le persone in piedi e parlano del prodotto con scatti della macchina.")</f>
        <v>Vediamo le persone in piedi e parlano del prodotto con scatti della macchina.</v>
      </c>
    </row>
    <row r="15168">
      <c r="A15168" s="4" t="s">
        <v>19108</v>
      </c>
      <c r="B15168" s="4" t="s">
        <v>19112</v>
      </c>
      <c r="C15168" s="5" t="str">
        <f>IFERROR(__xludf.DUMMYFUNCTION("GOOGLETRANSLATE(B15168,""en"",""it"")"),"Vediamo il display sulla macchina.")</f>
        <v>Vediamo il display sulla macchina.</v>
      </c>
    </row>
    <row r="15169">
      <c r="A15169" s="4" t="s">
        <v>19108</v>
      </c>
      <c r="B15169" s="4" t="s">
        <v>19113</v>
      </c>
      <c r="C15169" s="5" t="str">
        <f>IFERROR(__xludf.DUMMYFUNCTION("GOOGLETRANSLATE(B15169,""en"",""it"")"),"La signora si accende, imposta il tempo e corre sulla macchina.")</f>
        <v>La signora si accende, imposta il tempo e corre sulla macchina.</v>
      </c>
    </row>
    <row r="15170">
      <c r="A15170" s="4" t="s">
        <v>19108</v>
      </c>
      <c r="B15170" s="4" t="s">
        <v>19114</v>
      </c>
      <c r="C15170" s="5" t="str">
        <f>IFERROR(__xludf.DUMMYFUNCTION("GOOGLETRANSLATE(B15170,""en"",""it"")"),"Vediamo solo l'uomo che parla quindi usando la macchina.")</f>
        <v>Vediamo solo l'uomo che parla quindi usando la macchina.</v>
      </c>
    </row>
    <row r="15171">
      <c r="A15171" s="4" t="s">
        <v>19108</v>
      </c>
      <c r="B15171" s="4" t="s">
        <v>19115</v>
      </c>
      <c r="C15171" s="5" t="str">
        <f>IFERROR(__xludf.DUMMYFUNCTION("GOOGLETRANSLATE(B15171,""en"",""it"")"),"Torniamo alle persone che parlano insieme.")</f>
        <v>Torniamo alle persone che parlano insieme.</v>
      </c>
    </row>
    <row r="15172">
      <c r="A15172" s="4" t="s">
        <v>19108</v>
      </c>
      <c r="B15172" s="4" t="s">
        <v>19116</v>
      </c>
      <c r="C15172" s="5" t="str">
        <f>IFERROR(__xludf.DUMMYFUNCTION("GOOGLETRANSLATE(B15172,""en"",""it"")"),"Vediamo gli schermi del titolo di chiusura.")</f>
        <v>Vediamo gli schermi del titolo di chiusura.</v>
      </c>
    </row>
    <row r="15173">
      <c r="A15173" s="4" t="s">
        <v>19117</v>
      </c>
      <c r="B15173" s="6" t="s">
        <v>19118</v>
      </c>
      <c r="C15173" s="5" t="str">
        <f>IFERROR(__xludf.DUMMYFUNCTION("GOOGLETRANSLATE(B15173,""en"",""it"")"),"Il video inizia con una sequenza del titolo che mostra una ragazza che lancia abiti contro un uomo e uno schermo del titolo.")</f>
        <v>Il video inizia con una sequenza del titolo che mostra una ragazza che lancia abiti contro un uomo e uno schermo del titolo.</v>
      </c>
    </row>
    <row r="15174">
      <c r="A15174" s="4" t="s">
        <v>19117</v>
      </c>
      <c r="B15174" s="4" t="s">
        <v>19119</v>
      </c>
      <c r="C15174" s="5" t="str">
        <f>IFERROR(__xludf.DUMMYFUNCTION("GOOGLETRANSLATE(B15174,""en"",""it"")"),"L'uomo e la sua famiglia sono in un cortile che parla alla telecamera.")</f>
        <v>L'uomo e la sua famiglia sono in un cortile che parla alla telecamera.</v>
      </c>
    </row>
    <row r="15175">
      <c r="A15175" s="4" t="s">
        <v>19117</v>
      </c>
      <c r="B15175" s="4" t="s">
        <v>19120</v>
      </c>
      <c r="C15175" s="5" t="str">
        <f>IFERROR(__xludf.DUMMYFUNCTION("GOOGLETRANSLATE(B15175,""en"",""it"")"),"Dopo aver parlato, esultano.")</f>
        <v>Dopo aver parlato, esultano.</v>
      </c>
    </row>
    <row r="15176">
      <c r="A15176" s="4" t="s">
        <v>19117</v>
      </c>
      <c r="B15176" s="4" t="s">
        <v>19121</v>
      </c>
      <c r="C15176" s="5" t="str">
        <f>IFERROR(__xludf.DUMMYFUNCTION("GOOGLETRANSLATE(B15176,""en"",""it"")"),"L'uomo e la donna indossarono un tutu e benda.")</f>
        <v>L'uomo e la donna indossarono un tutu e benda.</v>
      </c>
    </row>
    <row r="15177">
      <c r="A15177" s="4" t="s">
        <v>19117</v>
      </c>
      <c r="B15177" s="4" t="s">
        <v>19122</v>
      </c>
      <c r="C15177" s="5" t="str">
        <f>IFERROR(__xludf.DUMMYFUNCTION("GOOGLETRANSLATE(B15177,""en"",""it"")"),"Quindi iniziano a Hula Hoop fino a quando la donna perde.")</f>
        <v>Quindi iniziano a Hula Hoop fino a quando la donna perde.</v>
      </c>
    </row>
    <row r="15178">
      <c r="A15178" s="4" t="s">
        <v>19117</v>
      </c>
      <c r="B15178" s="4" t="s">
        <v>19123</v>
      </c>
      <c r="C15178" s="5" t="str">
        <f>IFERROR(__xludf.DUMMYFUNCTION("GOOGLETRANSLATE(B15178,""en"",""it"")"),"Successivamente, parlano con la telecamera e salutano.")</f>
        <v>Successivamente, parlano con la telecamera e salutano.</v>
      </c>
    </row>
    <row r="15179">
      <c r="A15179" s="4" t="s">
        <v>19124</v>
      </c>
      <c r="B15179" s="6" t="s">
        <v>19125</v>
      </c>
      <c r="C15179" s="5" t="str">
        <f>IFERROR(__xludf.DUMMYFUNCTION("GOOGLETRANSLATE(B15179,""en"",""it"")"),"Vengono mostrati diversi scatti di scenari seguiti da una persona che esegue un trucco su uno skateboard e altri che cavalcano una collina.")</f>
        <v>Vengono mostrati diversi scatti di scenari seguiti da una persona che esegue un trucco su uno skateboard e altri che cavalcano una collina.</v>
      </c>
    </row>
    <row r="15180">
      <c r="A15180" s="4" t="s">
        <v>19124</v>
      </c>
      <c r="B15180" s="6" t="s">
        <v>19126</v>
      </c>
      <c r="C15180" s="5" t="str">
        <f>IFERROR(__xludf.DUMMYFUNCTION("GOOGLETRANSLATE(B15180,""en"",""it"")"),"Vengono mostrati diversi scatti di persone che cavalcano per strada sugli skateboard e fanno diversi trucchi mentre la telecamera si ingrandisce.")</f>
        <v>Vengono mostrati diversi scatti di persone che cavalcano per strada sugli skateboard e fanno diversi trucchi mentre la telecamera si ingrandisce.</v>
      </c>
    </row>
    <row r="15181">
      <c r="A15181" s="4" t="s">
        <v>19124</v>
      </c>
      <c r="B15181" s="4" t="s">
        <v>19127</v>
      </c>
      <c r="C15181" s="5" t="str">
        <f>IFERROR(__xludf.DUMMYFUNCTION("GOOGLETRANSLATE(B15181,""en"",""it"")"),"Un uomo cade alla fine e il suo consiglio si schianta lungo il lato.")</f>
        <v>Un uomo cade alla fine e il suo consiglio si schianta lungo il lato.</v>
      </c>
    </row>
    <row r="15182">
      <c r="A15182" s="4" t="s">
        <v>19128</v>
      </c>
      <c r="B15182" s="4" t="s">
        <v>19129</v>
      </c>
      <c r="C15182" s="5" t="str">
        <f>IFERROR(__xludf.DUMMYFUNCTION("GOOGLETRANSLATE(B15182,""en"",""it"")"),"Un uomo viene visto parlare alla telecamera mentre si distingue in un cortile.")</f>
        <v>Un uomo viene visto parlare alla telecamera mentre si distingue in un cortile.</v>
      </c>
    </row>
    <row r="15183">
      <c r="A15183" s="4" t="s">
        <v>19128</v>
      </c>
      <c r="B15183" s="4" t="s">
        <v>19130</v>
      </c>
      <c r="C15183" s="5" t="str">
        <f>IFERROR(__xludf.DUMMYFUNCTION("GOOGLETRANSLATE(B15183,""en"",""it"")"),"Si unisce a un uomo che spruzzava una recinzione con un tubo e un altro uomo che guarda sul lato.")</f>
        <v>Si unisce a un uomo che spruzzava una recinzione con un tubo e un altro uomo che guarda sul lato.</v>
      </c>
    </row>
    <row r="15184">
      <c r="A15184" s="4" t="s">
        <v>19128</v>
      </c>
      <c r="B15184" s="6" t="s">
        <v>19131</v>
      </c>
      <c r="C15184" s="5" t="str">
        <f>IFERROR(__xludf.DUMMYFUNCTION("GOOGLETRANSLATE(B15184,""en"",""it"")"),"L'uomo continua a spruzzare il tubo mentre un altro guarda sul lato e fa ritrarre all'uomo della telecamera.")</f>
        <v>L'uomo continua a spruzzare il tubo mentre un altro guarda sul lato e fa ritrarre all'uomo della telecamera.</v>
      </c>
    </row>
    <row r="15185">
      <c r="A15185" s="4" t="s">
        <v>19132</v>
      </c>
      <c r="B15185" s="6" t="s">
        <v>19133</v>
      </c>
      <c r="C15185" s="5" t="str">
        <f>IFERROR(__xludf.DUMMYFUNCTION("GOOGLETRANSLATE(B15185,""en"",""it"")"),"Una giovane donna pallida in un abito bianco è in piedi nella foresta con lunghi capelli ricci brunastri-rossi e inizia a saltare.")</f>
        <v>Una giovane donna pallida in un abito bianco è in piedi nella foresta con lunghi capelli ricci brunastri-rossi e inizia a saltare.</v>
      </c>
    </row>
    <row r="15186">
      <c r="A15186" s="4" t="s">
        <v>19132</v>
      </c>
      <c r="B15186" s="4" t="s">
        <v>19134</v>
      </c>
      <c r="C15186" s="5" t="str">
        <f>IFERROR(__xludf.DUMMYFUNCTION("GOOGLETRANSLATE(B15186,""en"",""it"")"),"Quindi viene mostrata con una camicia nera e capelli lunghi e inizia a parlare in una scala scura.")</f>
        <v>Quindi viene mostrata con una camicia nera e capelli lunghi e inizia a parlare in una scala scura.</v>
      </c>
    </row>
    <row r="15187">
      <c r="A15187" s="4" t="s">
        <v>19132</v>
      </c>
      <c r="B15187" s="6" t="s">
        <v>19135</v>
      </c>
      <c r="C15187" s="5" t="str">
        <f>IFERROR(__xludf.DUMMYFUNCTION("GOOGLETRANSLATE(B15187,""en"",""it"")"),"Si alza, si gira la coda di pony e la telecamera fa il suo outfit e ha una camicia nera e pantaloncini blu e inizia a salire le scale.")</f>
        <v>Si alza, si gira la coda di pony e la telecamera fa il suo outfit e ha una camicia nera e pantaloncini blu e inizia a salire le scale.</v>
      </c>
    </row>
    <row r="15188">
      <c r="A15188" s="4" t="s">
        <v>19132</v>
      </c>
      <c r="B15188" s="4" t="s">
        <v>19136</v>
      </c>
      <c r="C15188" s="5" t="str">
        <f>IFERROR(__xludf.DUMMYFUNCTION("GOOGLETRANSLATE(B15188,""en"",""it"")"),"Successivamente, entra in una stanza e inizia a parlare con una donna con una camicia nera e capelli biondi.")</f>
        <v>Successivamente, entra in una stanza e inizia a parlare con una donna con una camicia nera e capelli biondi.</v>
      </c>
    </row>
    <row r="15189">
      <c r="A15189" s="4" t="s">
        <v>19132</v>
      </c>
      <c r="B15189" s="4" t="s">
        <v>19137</v>
      </c>
      <c r="C15189" s="5" t="str">
        <f>IFERROR(__xludf.DUMMYFUNCTION("GOOGLETRANSLATE(B15189,""en"",""it"")"),"La signora regge una scheda indice bianca con schizzi di due teste.")</f>
        <v>La signora regge una scheda indice bianca con schizzi di due teste.</v>
      </c>
    </row>
    <row r="15190">
      <c r="A15190" s="4" t="s">
        <v>19132</v>
      </c>
      <c r="B15190" s="4" t="s">
        <v>19138</v>
      </c>
      <c r="C15190" s="5" t="str">
        <f>IFERROR(__xludf.DUMMYFUNCTION("GOOGLETRANSLATE(B15190,""en"",""it"")"),"La signora si lava i peli e inizia a tagliarli con un paio di cesoie a una lunghezza molto breve.")</f>
        <v>La signora si lava i peli e inizia a tagliarli con un paio di cesoie a una lunghezza molto breve.</v>
      </c>
    </row>
    <row r="15191">
      <c r="A15191" s="4" t="s">
        <v>19132</v>
      </c>
      <c r="B15191" s="6" t="s">
        <v>19139</v>
      </c>
      <c r="C15191" s="5" t="str">
        <f>IFERROR(__xludf.DUMMYFUNCTION("GOOGLETRANSLATE(B15191,""en"",""it"")"),"La ragazza si siede sulla sedia e inizia a scuotere i capelli lunghi e sollevando i capelli tagliati tra le mani.")</f>
        <v>La ragazza si siede sulla sedia e inizia a scuotere i capelli lunghi e sollevando i capelli tagliati tra le mani.</v>
      </c>
    </row>
    <row r="15192">
      <c r="A15192" s="4" t="s">
        <v>19132</v>
      </c>
      <c r="B15192" s="4" t="s">
        <v>19140</v>
      </c>
      <c r="C15192" s="5" t="str">
        <f>IFERROR(__xludf.DUMMYFUNCTION("GOOGLETRANSLATE(B15192,""en"",""it"")"),"Il parrucchiere inizia a soffiarsi i capelli, tagliarli e acconciarli.")</f>
        <v>Il parrucchiere inizia a soffiarsi i capelli, tagliarli e acconciarli.</v>
      </c>
    </row>
    <row r="15193">
      <c r="A15193" s="4" t="s">
        <v>19132</v>
      </c>
      <c r="B15193" s="4" t="s">
        <v>19141</v>
      </c>
      <c r="C15193" s="5" t="str">
        <f>IFERROR(__xludf.DUMMYFUNCTION("GOOGLETRANSLATE(B15193,""en"",""it"")"),"Continua a scendere i capelli mentre i suoi capelli vengono posati sul bancone e sul pavimento.")</f>
        <v>Continua a scendere i capelli mentre i suoi capelli vengono posati sul bancone e sul pavimento.</v>
      </c>
    </row>
    <row r="15194">
      <c r="A15194" s="4" t="s">
        <v>19132</v>
      </c>
      <c r="B15194" s="4" t="s">
        <v>19142</v>
      </c>
      <c r="C15194" s="5" t="str">
        <f>IFERROR(__xludf.DUMMYFUNCTION("GOOGLETRANSLATE(B15194,""en"",""it"")"),"Quindi si siede su una panchina e sorride al pensiero dei suoi capelli corti.")</f>
        <v>Quindi si siede su una panchina e sorride al pensiero dei suoi capelli corti.</v>
      </c>
    </row>
    <row r="15195">
      <c r="A15195" s="4" t="s">
        <v>19143</v>
      </c>
      <c r="B15195" s="4" t="s">
        <v>19144</v>
      </c>
      <c r="C15195" s="5" t="str">
        <f>IFERROR(__xludf.DUMMYFUNCTION("GOOGLETRANSLATE(B15195,""en"",""it"")"),"Una persona viene vista entrare nella cornice di fronte a un grande armadio.")</f>
        <v>Una persona viene vista entrare nella cornice di fronte a un grande armadio.</v>
      </c>
    </row>
    <row r="15196">
      <c r="A15196" s="4" t="s">
        <v>19143</v>
      </c>
      <c r="B15196" s="4" t="s">
        <v>19145</v>
      </c>
      <c r="C15196" s="5" t="str">
        <f>IFERROR(__xludf.DUMMYFUNCTION("GOOGLETRANSLATE(B15196,""en"",""it"")"),"La donna quindi le abbassa i capelli lungo la schiena.")</f>
        <v>La donna quindi le abbassa i capelli lungo la schiena.</v>
      </c>
    </row>
    <row r="15197">
      <c r="A15197" s="4" t="s">
        <v>19143</v>
      </c>
      <c r="B15197" s="4" t="s">
        <v>19146</v>
      </c>
      <c r="C15197" s="5" t="str">
        <f>IFERROR(__xludf.DUMMYFUNCTION("GOOGLETRANSLATE(B15197,""en"",""it"")"),"Si lava i capelli continuamente e termina uscendo dalla cornice.")</f>
        <v>Si lava i capelli continuamente e termina uscendo dalla cornice.</v>
      </c>
    </row>
    <row r="15198">
      <c r="A15198" s="4" t="s">
        <v>19147</v>
      </c>
      <c r="B15198" s="4" t="s">
        <v>19148</v>
      </c>
      <c r="C15198" s="5" t="str">
        <f>IFERROR(__xludf.DUMMYFUNCTION("GOOGLETRANSLATE(B15198,""en"",""it"")"),"Un piccolo gruppo di persone si vede in piedi davanti a un tavolo di foose che afferra sui pali.")</f>
        <v>Un piccolo gruppo di persone si vede in piedi davanti a un tavolo di foose che afferra sui pali.</v>
      </c>
    </row>
    <row r="15199">
      <c r="A15199" s="4" t="s">
        <v>19147</v>
      </c>
      <c r="B15199" s="4" t="s">
        <v>19149</v>
      </c>
      <c r="C15199" s="5" t="str">
        <f>IFERROR(__xludf.DUMMYFUNCTION("GOOGLETRANSLATE(B15199,""en"",""it"")"),"Gli uomini giocano l'uno contro l'altro mentre si fanno pause per bere qualcosa e parlare con i compagni di squadra.")</f>
        <v>Gli uomini giocano l'uno contro l'altro mentre si fanno pause per bere qualcosa e parlare con i compagni di squadra.</v>
      </c>
    </row>
    <row r="15200">
      <c r="A15200" s="4" t="s">
        <v>19147</v>
      </c>
      <c r="B15200" s="4" t="s">
        <v>19150</v>
      </c>
      <c r="C15200" s="5" t="str">
        <f>IFERROR(__xludf.DUMMYFUNCTION("GOOGLETRANSLATE(B15200,""en"",""it"")"),"Le persone si stringono la mano l'una con l'altra e abbracciano amici e familiari.")</f>
        <v>Le persone si stringono la mano l'una con l'altra e abbracciano amici e familiari.</v>
      </c>
    </row>
    <row r="15201">
      <c r="A15201" s="4" t="s">
        <v>19151</v>
      </c>
      <c r="B15201" s="6" t="s">
        <v>19152</v>
      </c>
      <c r="C15201" s="5" t="str">
        <f>IFERROR(__xludf.DUMMYFUNCTION("GOOGLETRANSLATE(B15201,""en"",""it"")"),"Una donna si alza e parla in un giardino accanto a un letto di erbe e piante e una carriola piena di pacciame.")</f>
        <v>Una donna si alza e parla in un giardino accanto a un letto di erbe e piante e una carriola piena di pacciame.</v>
      </c>
    </row>
    <row r="15202">
      <c r="A15202" s="4" t="s">
        <v>19151</v>
      </c>
      <c r="B15202" s="6" t="s">
        <v>19153</v>
      </c>
      <c r="C15202" s="5" t="str">
        <f>IFERROR(__xludf.DUMMYFUNCTION("GOOGLETRANSLATE(B15202,""en"",""it"")"),"Un giardino di erbe appare con una donna in piedi accanto ad esso in un grande giardino accanto a una carriola piena di pacciame.")</f>
        <v>Un giardino di erbe appare con una donna in piedi accanto ad esso in un grande giardino accanto a una carriola piena di pacciame.</v>
      </c>
    </row>
    <row r="15203">
      <c r="A15203" s="4" t="s">
        <v>19151</v>
      </c>
      <c r="B15203" s="6" t="s">
        <v>19154</v>
      </c>
      <c r="C15203" s="5" t="str">
        <f>IFERROR(__xludf.DUMMYFUNCTION("GOOGLETRANSLATE(B15203,""en"",""it"")"),"La donna inizia a parlare con la telecamera mentre faceva gestire il meno aiuo e il pacciame, prima di raccogliere una manciata del pacciame.")</f>
        <v>La donna inizia a parlare con la telecamera mentre faceva gestire il meno aiuo e il pacciame, prima di raccogliere una manciata del pacciame.</v>
      </c>
    </row>
    <row r="15204">
      <c r="A15204" s="4" t="s">
        <v>19151</v>
      </c>
      <c r="B15204" s="6" t="s">
        <v>19155</v>
      </c>
      <c r="C15204" s="5" t="str">
        <f>IFERROR(__xludf.DUMMYFUNCTION("GOOGLETRANSLATE(B15204,""en"",""it"")"),"La donna continua a parlare prima che la scena si trasforma nel video di una piccola patata rossa sul terreno tirato fuori dalla radice.")</f>
        <v>La donna continua a parlare prima che la scena si trasforma nel video di una piccola patata rossa sul terreno tirato fuori dalla radice.</v>
      </c>
    </row>
    <row r="15205">
      <c r="A15205" s="4" t="s">
        <v>19156</v>
      </c>
      <c r="B15205" s="4" t="s">
        <v>19157</v>
      </c>
      <c r="C15205" s="5" t="str">
        <f>IFERROR(__xludf.DUMMYFUNCTION("GOOGLETRANSLATE(B15205,""en"",""it"")"),"Le persone sono in piedi su un tetto che cercavano.")</f>
        <v>Le persone sono in piedi su un tetto che cercavano.</v>
      </c>
    </row>
    <row r="15206">
      <c r="A15206" s="4" t="s">
        <v>19156</v>
      </c>
      <c r="B15206" s="4" t="s">
        <v>19158</v>
      </c>
      <c r="C15206" s="5" t="str">
        <f>IFERROR(__xludf.DUMMYFUNCTION("GOOGLETRANSLATE(B15206,""en"",""it"")"),"Una donna con una camicia verde mangia patatine.")</f>
        <v>Una donna con una camicia verde mangia patatine.</v>
      </c>
    </row>
    <row r="15207">
      <c r="A15207" s="4" t="s">
        <v>19156</v>
      </c>
      <c r="B15207" s="4" t="s">
        <v>19159</v>
      </c>
      <c r="C15207" s="5" t="str">
        <f>IFERROR(__xludf.DUMMYFUNCTION("GOOGLETRANSLATE(B15207,""en"",""it"")"),"Un uomo con una camicia blu indica il cielo e muove la mano in cerchio.")</f>
        <v>Un uomo con una camicia blu indica il cielo e muove la mano in cerchio.</v>
      </c>
    </row>
    <row r="15208">
      <c r="A15208" s="4" t="s">
        <v>19156</v>
      </c>
      <c r="B15208" s="4" t="s">
        <v>19160</v>
      </c>
      <c r="C15208" s="5" t="str">
        <f>IFERROR(__xludf.DUMMYFUNCTION("GOOGLETRANSLATE(B15208,""en"",""it"")"),"Ci sono molti aquiloni nel cielo intorno a loro.")</f>
        <v>Ci sono molti aquiloni nel cielo intorno a loro.</v>
      </c>
    </row>
    <row r="15209">
      <c r="A15209" s="4" t="s">
        <v>19161</v>
      </c>
      <c r="B15209" s="4" t="s">
        <v>19162</v>
      </c>
      <c r="C15209" s="5" t="str">
        <f>IFERROR(__xludf.DUMMYFUNCTION("GOOGLETRANSLATE(B15209,""en"",""it"")"),"Vediamo un uomo che usa una levigatrice elettrica per affinare una varietà di cose.")</f>
        <v>Vediamo un uomo che usa una levigatrice elettrica per affinare una varietà di cose.</v>
      </c>
    </row>
    <row r="15210">
      <c r="A15210" s="4" t="s">
        <v>19161</v>
      </c>
      <c r="B15210" s="4" t="s">
        <v>19163</v>
      </c>
      <c r="C15210" s="5" t="str">
        <f>IFERROR(__xludf.DUMMYFUNCTION("GOOGLETRANSLATE(B15210,""en"",""it"")"),"Usa una pinza e un sovrano su un oggetto.")</f>
        <v>Usa una pinza e un sovrano su un oggetto.</v>
      </c>
    </row>
    <row r="15211">
      <c r="A15211" s="4" t="s">
        <v>19161</v>
      </c>
      <c r="B15211" s="4" t="s">
        <v>19164</v>
      </c>
      <c r="C15211" s="5" t="str">
        <f>IFERROR(__xludf.DUMMYFUNCTION("GOOGLETRANSLATE(B15211,""en"",""it"")"),"Lo vediamo affinare più cose e smussarsi uno strumento.")</f>
        <v>Lo vediamo affinare più cose e smussarsi uno strumento.</v>
      </c>
    </row>
    <row r="15212">
      <c r="A15212" s="4" t="s">
        <v>19161</v>
      </c>
      <c r="B15212" s="4" t="s">
        <v>19165</v>
      </c>
      <c r="C15212" s="5" t="str">
        <f>IFERROR(__xludf.DUMMYFUNCTION("GOOGLETRANSLATE(B15212,""en"",""it"")"),"L'uomo regola alcune viti e muove un braccio.")</f>
        <v>L'uomo regola alcune viti e muove un braccio.</v>
      </c>
    </row>
    <row r="15213">
      <c r="A15213" s="4" t="s">
        <v>19161</v>
      </c>
      <c r="B15213" s="4" t="s">
        <v>19166</v>
      </c>
      <c r="C15213" s="5" t="str">
        <f>IFERROR(__xludf.DUMMYFUNCTION("GOOGLETRANSLATE(B15213,""en"",""it"")"),"Vediamo che l'oggetto viene fornito con una garanzia di 7 anni.")</f>
        <v>Vediamo che l'oggetto viene fornito con una garanzia di 7 anni.</v>
      </c>
    </row>
    <row r="15214">
      <c r="A15214" s="4" t="s">
        <v>19161</v>
      </c>
      <c r="B15214" s="4" t="s">
        <v>19167</v>
      </c>
      <c r="C15214" s="5" t="str">
        <f>IFERROR(__xludf.DUMMYFUNCTION("GOOGLETRANSLATE(B15214,""en"",""it"")"),"L'uomo aggiunge un olio all'oggetto e vediamo la confezione.")</f>
        <v>L'uomo aggiunge un olio all'oggetto e vediamo la confezione.</v>
      </c>
    </row>
    <row r="15215">
      <c r="A15215" s="4" t="s">
        <v>19161</v>
      </c>
      <c r="B15215" s="4" t="s">
        <v>19168</v>
      </c>
      <c r="C15215" s="5" t="str">
        <f>IFERROR(__xludf.DUMMYFUNCTION("GOOGLETRANSLATE(B15215,""en"",""it"")"),"Vediamo i crediti finali per il video.")</f>
        <v>Vediamo i crediti finali per il video.</v>
      </c>
    </row>
    <row r="15216">
      <c r="A15216" s="4" t="s">
        <v>19169</v>
      </c>
      <c r="B15216" s="6" t="s">
        <v>19170</v>
      </c>
      <c r="C15216" s="5" t="str">
        <f>IFERROR(__xludf.DUMMYFUNCTION("GOOGLETRANSLATE(B15216,""en"",""it"")"),"Un piccolo gruppo di donne viene visto ballare insieme facendo coreografie con uno che guida il gruppo nella parte anteriore.")</f>
        <v>Un piccolo gruppo di donne viene visto ballare insieme facendo coreografie con uno che guida il gruppo nella parte anteriore.</v>
      </c>
    </row>
    <row r="15217">
      <c r="A15217" s="4" t="s">
        <v>19169</v>
      </c>
      <c r="B15217" s="6" t="s">
        <v>19171</v>
      </c>
      <c r="C15217" s="5" t="str">
        <f>IFERROR(__xludf.DUMMYFUNCTION("GOOGLETRANSLATE(B15217,""en"",""it"")"),"La donna continua a ballare l'uno con l'altro e termina con un logo Zumba mostrato in background.")</f>
        <v>La donna continua a ballare l'uno con l'altro e termina con un logo Zumba mostrato in background.</v>
      </c>
    </row>
    <row r="15218">
      <c r="A15218" s="4" t="s">
        <v>19172</v>
      </c>
      <c r="B15218" s="6" t="s">
        <v>19173</v>
      </c>
      <c r="C15218" s="5" t="str">
        <f>IFERROR(__xludf.DUMMYFUNCTION("GOOGLETRANSLATE(B15218,""en"",""it"")"),"Una donna viene vista in piedi davanti a uno specchio e inizia a saltare la corda mentre sorride alla telecamera.")</f>
        <v>Una donna viene vista in piedi davanti a uno specchio e inizia a saltare la corda mentre sorride alla telecamera.</v>
      </c>
    </row>
    <row r="15219">
      <c r="A15219" s="4" t="s">
        <v>19172</v>
      </c>
      <c r="B15219" s="6" t="s">
        <v>19174</v>
      </c>
      <c r="C15219" s="5" t="str">
        <f>IFERROR(__xludf.DUMMYFUNCTION("GOOGLETRANSLATE(B15219,""en"",""it"")"),"Continua a saltare più e più volte facendo oscillare le braccia e termina fermandosi a sorridere alla telecamera.")</f>
        <v>Continua a saltare più e più volte facendo oscillare le braccia e termina fermandosi a sorridere alla telecamera.</v>
      </c>
    </row>
    <row r="15220">
      <c r="A15220" s="4" t="s">
        <v>19175</v>
      </c>
      <c r="B15220" s="4" t="s">
        <v>19176</v>
      </c>
      <c r="C15220" s="5" t="str">
        <f>IFERROR(__xludf.DUMMYFUNCTION("GOOGLETRANSLATE(B15220,""en"",""it"")"),"La donna è in piedi in una cucina davanti a una telecamera con una porta.")</f>
        <v>La donna è in piedi in una cucina davanti a una telecamera con una porta.</v>
      </c>
    </row>
    <row r="15221">
      <c r="A15221" s="4" t="s">
        <v>19175</v>
      </c>
      <c r="B15221" s="4" t="s">
        <v>19177</v>
      </c>
      <c r="C15221" s="5" t="str">
        <f>IFERROR(__xludf.DUMMYFUNCTION("GOOGLETRANSLATE(B15221,""en"",""it"")"),"La donna taglia la porta e diffonde la crema al cioccolato sulla cima e mette un altro strato di torta.")</f>
        <v>La donna taglia la porta e diffonde la crema al cioccolato sulla cima e mette un altro strato di torta.</v>
      </c>
    </row>
    <row r="15222">
      <c r="A15222" s="4" t="s">
        <v>19175</v>
      </c>
      <c r="B15222" s="6" t="s">
        <v>19178</v>
      </c>
      <c r="C15222" s="5" t="str">
        <f>IFERROR(__xludf.DUMMYFUNCTION("GOOGLETRANSLATE(B15222,""en"",""it"")"),"La donna allargò di nuovo la crema al cioccolato nella parte superiore e mette un altro strato di torta e allarga la crema in cima e ai lati.")</f>
        <v>La donna allargò di nuovo la crema al cioccolato nella parte superiore e mette un altro strato di torta e allarga la crema in cima e ai lati.</v>
      </c>
    </row>
    <row r="15223">
      <c r="A15223" s="4" t="s">
        <v>19175</v>
      </c>
      <c r="B15223" s="4" t="s">
        <v>19179</v>
      </c>
      <c r="C15223" s="5" t="str">
        <f>IFERROR(__xludf.DUMMYFUNCTION("GOOGLETRANSLATE(B15223,""en"",""it"")"),"La donna appiattiva la crema e la vernice.")</f>
        <v>La donna appiattiva la crema e la vernice.</v>
      </c>
    </row>
    <row r="15224">
      <c r="A15224" s="4" t="s">
        <v>19175</v>
      </c>
      <c r="B15224" s="6" t="s">
        <v>19180</v>
      </c>
      <c r="C15224" s="5" t="str">
        <f>IFERROR(__xludf.DUMMYFUNCTION("GOOGLETRANSLATE(B15224,""en"",""it"")"),"La donna thw afferra il fondente bianco e lo impugna e poi copre la torta con esso con le mani e taglia le rimanenti, aggiunge ornamenti in cima.")</f>
        <v>La donna thw afferra il fondente bianco e lo impugna e poi copre la torta con esso con le mani e taglia le rimanenti, aggiunge ornamenti in cima.</v>
      </c>
    </row>
    <row r="15225">
      <c r="A15225" s="4" t="s">
        <v>19181</v>
      </c>
      <c r="B15225" s="4" t="s">
        <v>19182</v>
      </c>
      <c r="C15225" s="5" t="str">
        <f>IFERROR(__xludf.DUMMYFUNCTION("GOOGLETRANSLATE(B15225,""en"",""it"")"),"Un uomo sta andando in bicicletta.")</f>
        <v>Un uomo sta andando in bicicletta.</v>
      </c>
    </row>
    <row r="15226">
      <c r="A15226" s="4" t="s">
        <v>19181</v>
      </c>
      <c r="B15226" s="4" t="s">
        <v>19183</v>
      </c>
      <c r="C15226" s="5" t="str">
        <f>IFERROR(__xludf.DUMMYFUNCTION("GOOGLETRANSLATE(B15226,""en"",""it"")"),"Sta parlando al cellulare in cucina.")</f>
        <v>Sta parlando al cellulare in cucina.</v>
      </c>
    </row>
    <row r="15227">
      <c r="A15227" s="4" t="s">
        <v>19181</v>
      </c>
      <c r="B15227" s="4" t="s">
        <v>19184</v>
      </c>
      <c r="C15227" s="5" t="str">
        <f>IFERROR(__xludf.DUMMYFUNCTION("GOOGLETRANSLATE(B15227,""en"",""it"")"),"Sta quindi parlando con un telefono vicino a un garage.")</f>
        <v>Sta quindi parlando con un telefono vicino a un garage.</v>
      </c>
    </row>
    <row r="15228">
      <c r="A15228" s="4" t="s">
        <v>19181</v>
      </c>
      <c r="B15228" s="4" t="s">
        <v>19185</v>
      </c>
      <c r="C15228" s="5" t="str">
        <f>IFERROR(__xludf.DUMMYFUNCTION("GOOGLETRANSLATE(B15228,""en"",""it"")"),"Comincia a dipingere una recinzione in legno.")</f>
        <v>Comincia a dipingere una recinzione in legno.</v>
      </c>
    </row>
    <row r="15229">
      <c r="A15229" s="4" t="s">
        <v>19181</v>
      </c>
      <c r="B15229" s="4" t="s">
        <v>19186</v>
      </c>
      <c r="C15229" s="5" t="str">
        <f>IFERROR(__xludf.DUMMYFUNCTION("GOOGLETRANSLATE(B15229,""en"",""it"")"),"Si siede e mangia cibo.")</f>
        <v>Si siede e mangia cibo.</v>
      </c>
    </row>
    <row r="15230">
      <c r="A15230" s="4" t="s">
        <v>19181</v>
      </c>
      <c r="B15230" s="4" t="s">
        <v>19187</v>
      </c>
      <c r="C15230" s="5" t="str">
        <f>IFERROR(__xludf.DUMMYFUNCTION("GOOGLETRANSLATE(B15230,""en"",""it"")"),"Ha quindi finito di dipingere la recinzione.")</f>
        <v>Ha quindi finito di dipingere la recinzione.</v>
      </c>
    </row>
    <row r="15231">
      <c r="A15231" s="4" t="s">
        <v>19181</v>
      </c>
      <c r="B15231" s="4" t="s">
        <v>19188</v>
      </c>
      <c r="C15231" s="5" t="str">
        <f>IFERROR(__xludf.DUMMYFUNCTION("GOOGLETRANSLATE(B15231,""en"",""it"")"),"Salta in aria per festeggiare.")</f>
        <v>Salta in aria per festeggiare.</v>
      </c>
    </row>
    <row r="15232">
      <c r="A15232" s="4" t="s">
        <v>19189</v>
      </c>
      <c r="B15232" s="4" t="s">
        <v>19190</v>
      </c>
      <c r="C15232" s="5" t="str">
        <f>IFERROR(__xludf.DUMMYFUNCTION("GOOGLETRANSLATE(B15232,""en"",""it"")"),"Un bambino è seduto a un piccolo tavolo fuori.")</f>
        <v>Un bambino è seduto a un piccolo tavolo fuori.</v>
      </c>
    </row>
    <row r="15233">
      <c r="A15233" s="4" t="s">
        <v>19189</v>
      </c>
      <c r="B15233" s="4" t="s">
        <v>19191</v>
      </c>
      <c r="C15233" s="5" t="str">
        <f>IFERROR(__xludf.DUMMYFUNCTION("GOOGLETRANSLATE(B15233,""en"",""it"")"),"Sta fumando una sigaretta e saluta gli adulti.")</f>
        <v>Sta fumando una sigaretta e saluta gli adulti.</v>
      </c>
    </row>
    <row r="15234">
      <c r="A15234" s="4" t="s">
        <v>19189</v>
      </c>
      <c r="B15234" s="4" t="s">
        <v>19192</v>
      </c>
      <c r="C15234" s="5" t="str">
        <f>IFERROR(__xludf.DUMMYFUNCTION("GOOGLETRANSLATE(B15234,""en"",""it"")"),"Alta alta una donna, quindi continua a fumare.")</f>
        <v>Alta alta una donna, quindi continua a fumare.</v>
      </c>
    </row>
    <row r="15235">
      <c r="A15235" s="4" t="s">
        <v>19193</v>
      </c>
      <c r="B15235" s="6" t="s">
        <v>19194</v>
      </c>
      <c r="C15235" s="5" t="str">
        <f>IFERROR(__xludf.DUMMYFUNCTION("GOOGLETRANSLATE(B15235,""en"",""it"")"),"Viene vista una donna che tiene in mano gli ingredienti mentre parla alla telecamera e all'acqua bollente.")</f>
        <v>Viene vista una donna che tiene in mano gli ingredienti mentre parla alla telecamera e all'acqua bollente.</v>
      </c>
    </row>
    <row r="15236">
      <c r="A15236" s="4" t="s">
        <v>19193</v>
      </c>
      <c r="B15236" s="6" t="s">
        <v>19195</v>
      </c>
      <c r="C15236" s="5" t="str">
        <f>IFERROR(__xludf.DUMMYFUNCTION("GOOGLETRANSLATE(B15236,""en"",""it"")"),"Sfriga le noci su una padella e le versa su un piatto mentre si mescola più ingredienti in una padella e lo versano sopra i dadi.")</f>
        <v>Sfriga le noci su una padella e le versa su un piatto mentre si mescola più ingredienti in una padella e lo versano sopra i dadi.</v>
      </c>
    </row>
    <row r="15237">
      <c r="A15237" s="4" t="s">
        <v>19193</v>
      </c>
      <c r="B15237" s="4" t="s">
        <v>19196</v>
      </c>
      <c r="C15237" s="5" t="str">
        <f>IFERROR(__xludf.DUMMYFUNCTION("GOOGLETRANSLATE(B15237,""en"",""it"")"),"Li mescola tutti insieme e mostra diversi piatti alla fine.")</f>
        <v>Li mescola tutti insieme e mostra diversi piatti alla fine.</v>
      </c>
    </row>
    <row r="15238">
      <c r="A15238" s="4" t="s">
        <v>19197</v>
      </c>
      <c r="B15238" s="4" t="s">
        <v>19198</v>
      </c>
      <c r="C15238" s="5" t="str">
        <f>IFERROR(__xludf.DUMMYFUNCTION("GOOGLETRANSLATE(B15238,""en"",""it"")"),"Si vede un primo piano di una chitarra seguita da una persona che strimpe la schiena.")</f>
        <v>Si vede un primo piano di una chitarra seguita da una persona che strimpe la schiena.</v>
      </c>
    </row>
    <row r="15239">
      <c r="A15239" s="4" t="s">
        <v>19197</v>
      </c>
      <c r="B15239" s="4" t="s">
        <v>19199</v>
      </c>
      <c r="C15239" s="5" t="str">
        <f>IFERROR(__xludf.DUMMYFUNCTION("GOOGLETRANSLATE(B15239,""en"",""it"")"),"La persona muove le mani su e giù dal collo della chitarra mentre la sposta per suonare.")</f>
        <v>La persona muove le mani su e giù dal collo della chitarra mentre la sposta per suonare.</v>
      </c>
    </row>
    <row r="15240">
      <c r="A15240" s="4" t="s">
        <v>19197</v>
      </c>
      <c r="B15240" s="4" t="s">
        <v>19200</v>
      </c>
      <c r="C15240" s="5" t="str">
        <f>IFERROR(__xludf.DUMMYFUNCTION("GOOGLETRANSLATE(B15240,""en"",""it"")"),"L'uomo continua a suonare lo strumento e si ferma alla fine.")</f>
        <v>L'uomo continua a suonare lo strumento e si ferma alla fine.</v>
      </c>
    </row>
    <row r="15241">
      <c r="A15241" s="4" t="s">
        <v>19201</v>
      </c>
      <c r="B15241" s="4" t="s">
        <v>19202</v>
      </c>
      <c r="C15241" s="5" t="str">
        <f>IFERROR(__xludf.DUMMYFUNCTION("GOOGLETRANSLATE(B15241,""en"",""it"")"),"Una donna viene vista camminare nel telaio mentre parla alla telecamera e mette il viso in crema.")</f>
        <v>Una donna viene vista camminare nel telaio mentre parla alla telecamera e mette il viso in crema.</v>
      </c>
    </row>
    <row r="15242">
      <c r="A15242" s="4" t="s">
        <v>19201</v>
      </c>
      <c r="B15242" s="4" t="s">
        <v>19203</v>
      </c>
      <c r="C15242" s="5" t="str">
        <f>IFERROR(__xludf.DUMMYFUNCTION("GOOGLETRANSLATE(B15242,""en"",""it"")"),"La donna quindi si strofina la crema sul viso mentre parla ancora alla telecamera.")</f>
        <v>La donna quindi si strofina la crema sul viso mentre parla ancora alla telecamera.</v>
      </c>
    </row>
    <row r="15243">
      <c r="A15243" s="4" t="s">
        <v>19201</v>
      </c>
      <c r="B15243" s="4" t="s">
        <v>19204</v>
      </c>
      <c r="C15243" s="5" t="str">
        <f>IFERROR(__xludf.DUMMYFUNCTION("GOOGLETRANSLATE(B15243,""en"",""it"")"),"La telecamera si muove intorno alla cucina mentre la donna continua a strofinare le mani nella lozione.")</f>
        <v>La telecamera si muove intorno alla cucina mentre la donna continua a strofinare le mani nella lozione.</v>
      </c>
    </row>
    <row r="15244">
      <c r="A15244" s="4" t="s">
        <v>19205</v>
      </c>
      <c r="B15244" s="4" t="s">
        <v>19206</v>
      </c>
      <c r="C15244" s="5" t="str">
        <f>IFERROR(__xludf.DUMMYFUNCTION("GOOGLETRANSLATE(B15244,""en"",""it"")"),"Vediamo una persona che ski a getto dietro una barca.")</f>
        <v>Vediamo una persona che ski a getto dietro una barca.</v>
      </c>
    </row>
    <row r="15245">
      <c r="A15245" s="4" t="s">
        <v>19205</v>
      </c>
      <c r="B15245" s="4" t="s">
        <v>19207</v>
      </c>
      <c r="C15245" s="5" t="str">
        <f>IFERROR(__xludf.DUMMYFUNCTION("GOOGLETRANSLATE(B15245,""en"",""it"")"),"La barca si inclina in qualche pennello.")</f>
        <v>La barca si inclina in qualche pennello.</v>
      </c>
    </row>
    <row r="15246">
      <c r="A15246" s="4" t="s">
        <v>19205</v>
      </c>
      <c r="B15246" s="4" t="s">
        <v>19208</v>
      </c>
      <c r="C15246" s="5" t="str">
        <f>IFERROR(__xludf.DUMMYFUNCTION("GOOGLETRANSLATE(B15246,""en"",""it"")"),"Lo sciatore è sdraiato nel lago.")</f>
        <v>Lo sciatore è sdraiato nel lago.</v>
      </c>
    </row>
    <row r="15247">
      <c r="A15247" s="4" t="s">
        <v>19209</v>
      </c>
      <c r="B15247" s="4" t="s">
        <v>19210</v>
      </c>
      <c r="C15247" s="5" t="str">
        <f>IFERROR(__xludf.DUMMYFUNCTION("GOOGLETRANSLATE(B15247,""en"",""it"")"),"Un uomo suona una fisarmonica per strada.")</f>
        <v>Un uomo suona una fisarmonica per strada.</v>
      </c>
    </row>
    <row r="15248">
      <c r="A15248" s="4" t="s">
        <v>19209</v>
      </c>
      <c r="B15248" s="4" t="s">
        <v>19211</v>
      </c>
      <c r="C15248" s="5" t="str">
        <f>IFERROR(__xludf.DUMMYFUNCTION("GOOGLETRANSLATE(B15248,""en"",""it"")"),"Indossa una felpa con cappuccio.")</f>
        <v>Indossa una felpa con cappuccio.</v>
      </c>
    </row>
    <row r="15249">
      <c r="A15249" s="4" t="s">
        <v>19209</v>
      </c>
      <c r="B15249" s="4" t="s">
        <v>19212</v>
      </c>
      <c r="C15249" s="5" t="str">
        <f>IFERROR(__xludf.DUMMYFUNCTION("GOOGLETRANSLATE(B15249,""en"",""it"")"),"È seduto accanto alla sua bici.")</f>
        <v>È seduto accanto alla sua bici.</v>
      </c>
    </row>
    <row r="15250">
      <c r="A15250" s="4" t="s">
        <v>19209</v>
      </c>
      <c r="B15250" s="4" t="s">
        <v>19213</v>
      </c>
      <c r="C15250" s="5" t="str">
        <f>IFERROR(__xludf.DUMMYFUNCTION("GOOGLETRANSLATE(B15250,""en"",""it"")"),"Un uomo cammina sullo sfondo.")</f>
        <v>Un uomo cammina sullo sfondo.</v>
      </c>
    </row>
    <row r="15251">
      <c r="A15251" s="4" t="s">
        <v>19214</v>
      </c>
      <c r="B15251" s="4" t="s">
        <v>19215</v>
      </c>
      <c r="C15251" s="5" t="str">
        <f>IFERROR(__xludf.DUMMYFUNCTION("GOOGLETRANSLATE(B15251,""en"",""it"")"),"Le parole ""The Shot Put"" appaiono sullo schermo su un atleta.")</f>
        <v>Le parole "The Shot Put" appaiono sullo schermo su un atleta.</v>
      </c>
    </row>
    <row r="15252">
      <c r="A15252" s="4" t="s">
        <v>19214</v>
      </c>
      <c r="B15252" s="4" t="s">
        <v>19216</v>
      </c>
      <c r="C15252" s="5" t="str">
        <f>IFERROR(__xludf.DUMMYFUNCTION("GOOGLETRANSLATE(B15252,""en"",""it"")"),"""The Shot Put Introduction"" appare sullo schermo seguito da diversi atleti che eseguono lo sport.")</f>
        <v>"The Shot Put Introduction" appare sullo schermo seguito da diversi atleti che eseguono lo sport.</v>
      </c>
    </row>
    <row r="15253">
      <c r="A15253" s="4" t="s">
        <v>19214</v>
      </c>
      <c r="B15253" s="4" t="s">
        <v>19217</v>
      </c>
      <c r="C15253" s="5" t="str">
        <f>IFERROR(__xludf.DUMMYFUNCTION("GOOGLETRANSLATE(B15253,""en"",""it"")"),"Le parole ""Grazie per la visione"" appaiono sullo schermo.")</f>
        <v>Le parole "Grazie per la visione" appaiono sullo schermo.</v>
      </c>
    </row>
    <row r="15254">
      <c r="A15254" s="4" t="s">
        <v>19218</v>
      </c>
      <c r="B15254" s="4" t="s">
        <v>19219</v>
      </c>
      <c r="C15254" s="5" t="str">
        <f>IFERROR(__xludf.DUMMYFUNCTION("GOOGLETRANSLATE(B15254,""en"",""it"")"),"Un uomo solleva una grande brocca di birra e inizia a berlo.")</f>
        <v>Un uomo solleva una grande brocca di birra e inizia a berlo.</v>
      </c>
    </row>
    <row r="15255">
      <c r="A15255" s="4" t="s">
        <v>19218</v>
      </c>
      <c r="B15255" s="4" t="s">
        <v>19220</v>
      </c>
      <c r="C15255" s="5" t="str">
        <f>IFERROR(__xludf.DUMMYFUNCTION("GOOGLETRANSLATE(B15255,""en"",""it"")"),"Le persone seduti attorno a un tavolo lo rallegrano.")</f>
        <v>Le persone seduti attorno a un tavolo lo rallegrano.</v>
      </c>
    </row>
    <row r="15256">
      <c r="A15256" s="4" t="s">
        <v>19218</v>
      </c>
      <c r="B15256" s="4" t="s">
        <v>19221</v>
      </c>
      <c r="C15256" s="5" t="str">
        <f>IFERROR(__xludf.DUMMYFUNCTION("GOOGLETRANSLATE(B15256,""en"",""it"")"),"L'uomo mette le mani in aria e ride.")</f>
        <v>L'uomo mette le mani in aria e ride.</v>
      </c>
    </row>
    <row r="15257">
      <c r="A15257" s="4" t="s">
        <v>19218</v>
      </c>
      <c r="B15257" s="4" t="s">
        <v>19222</v>
      </c>
      <c r="C15257" s="5" t="str">
        <f>IFERROR(__xludf.DUMMYFUNCTION("GOOGLETRANSLATE(B15257,""en"",""it"")"),"Le persone intorno al tavolo iniziano a pompare le mani in aria.")</f>
        <v>Le persone intorno al tavolo iniziano a pompare le mani in aria.</v>
      </c>
    </row>
    <row r="15258">
      <c r="A15258" s="4" t="s">
        <v>19218</v>
      </c>
      <c r="B15258" s="4" t="s">
        <v>19223</v>
      </c>
      <c r="C15258" s="5" t="str">
        <f>IFERROR(__xludf.DUMMYFUNCTION("GOOGLETRANSLATE(B15258,""en"",""it"")"),"L'uomo batte le mani.")</f>
        <v>L'uomo batte le mani.</v>
      </c>
    </row>
    <row r="15259">
      <c r="A15259" s="4" t="s">
        <v>19224</v>
      </c>
      <c r="B15259" s="4" t="s">
        <v>19225</v>
      </c>
      <c r="C15259" s="5" t="str">
        <f>IFERROR(__xludf.DUMMYFUNCTION("GOOGLETRANSLATE(B15259,""en"",""it"")"),"Un uomo è in piedi sopra un forno che cucina qualcosa in una padella.")</f>
        <v>Un uomo è in piedi sopra un forno che cucina qualcosa in una padella.</v>
      </c>
    </row>
    <row r="15260">
      <c r="A15260" s="4" t="s">
        <v>19224</v>
      </c>
      <c r="B15260" s="4" t="s">
        <v>19226</v>
      </c>
      <c r="C15260" s="5" t="str">
        <f>IFERROR(__xludf.DUMMYFUNCTION("GOOGLETRANSLATE(B15260,""en"",""it"")"),"Si china per controllare la fiamma.")</f>
        <v>Si china per controllare la fiamma.</v>
      </c>
    </row>
    <row r="15261">
      <c r="A15261" s="4" t="s">
        <v>19224</v>
      </c>
      <c r="B15261" s="4" t="s">
        <v>19227</v>
      </c>
      <c r="C15261" s="5" t="str">
        <f>IFERROR(__xludf.DUMMYFUNCTION("GOOGLETRANSLATE(B15261,""en"",""it"")"),"Lancia la padella alcune volte.")</f>
        <v>Lancia la padella alcune volte.</v>
      </c>
    </row>
    <row r="15262">
      <c r="A15262" s="4" t="s">
        <v>19224</v>
      </c>
      <c r="B15262" s="4" t="s">
        <v>19228</v>
      </c>
      <c r="C15262" s="5" t="str">
        <f>IFERROR(__xludf.DUMMYFUNCTION("GOOGLETRANSLATE(B15262,""en"",""it"")"),"Sta aggiungendo condimenti alla padella.")</f>
        <v>Sta aggiungendo condimenti alla padella.</v>
      </c>
    </row>
    <row r="15263">
      <c r="A15263" s="4" t="s">
        <v>19224</v>
      </c>
      <c r="B15263" s="4" t="s">
        <v>19229</v>
      </c>
      <c r="C15263" s="5" t="str">
        <f>IFERROR(__xludf.DUMMYFUNCTION("GOOGLETRANSLATE(B15263,""en"",""it"")"),"Versa un liquido nella padella.")</f>
        <v>Versa un liquido nella padella.</v>
      </c>
    </row>
    <row r="15264">
      <c r="A15264" s="4" t="s">
        <v>19224</v>
      </c>
      <c r="B15264" s="4" t="s">
        <v>19230</v>
      </c>
      <c r="C15264" s="5" t="str">
        <f>IFERROR(__xludf.DUMMYFUNCTION("GOOGLETRANSLATE(B15264,""en"",""it"")"),"Scuote di nuovo la padella.")</f>
        <v>Scuote di nuovo la padella.</v>
      </c>
    </row>
    <row r="15265">
      <c r="A15265" s="4" t="s">
        <v>19231</v>
      </c>
      <c r="B15265" s="4" t="s">
        <v>19232</v>
      </c>
      <c r="C15265" s="5" t="str">
        <f>IFERROR(__xludf.DUMMYFUNCTION("GOOGLETRANSLATE(B15265,""en"",""it"")"),"Una persona aiuta un'altra persona a camminare su palafitte sul marciapiede.")</f>
        <v>Una persona aiuta un'altra persona a camminare su palafitte sul marciapiede.</v>
      </c>
    </row>
    <row r="15266">
      <c r="A15266" s="4" t="s">
        <v>19231</v>
      </c>
      <c r="B15266" s="4" t="s">
        <v>19233</v>
      </c>
      <c r="C15266" s="5" t="str">
        <f>IFERROR(__xludf.DUMMYFUNCTION("GOOGLETRANSLATE(B15266,""en"",""it"")"),"La persona cammina da sola.")</f>
        <v>La persona cammina da sola.</v>
      </c>
    </row>
    <row r="15267">
      <c r="A15267" s="4" t="s">
        <v>19231</v>
      </c>
      <c r="B15267" s="4" t="s">
        <v>19234</v>
      </c>
      <c r="C15267" s="5" t="str">
        <f>IFERROR(__xludf.DUMMYFUNCTION("GOOGLETRANSLATE(B15267,""en"",""it"")"),"L'uomo si siede su una sedia.")</f>
        <v>L'uomo si siede su una sedia.</v>
      </c>
    </row>
    <row r="15268">
      <c r="A15268" s="4" t="s">
        <v>19235</v>
      </c>
      <c r="B15268" s="4" t="s">
        <v>19236</v>
      </c>
      <c r="C15268" s="5" t="str">
        <f>IFERROR(__xludf.DUMMYFUNCTION("GOOGLETRANSLATE(B15268,""en"",""it"")"),"Diversi schermi sono mostrati da lettere arancione brillante su uno sfondo nero.")</f>
        <v>Diversi schermi sono mostrati da lettere arancione brillante su uno sfondo nero.</v>
      </c>
    </row>
    <row r="15269">
      <c r="A15269" s="4" t="s">
        <v>19235</v>
      </c>
      <c r="B15269" s="6" t="s">
        <v>19237</v>
      </c>
      <c r="C15269" s="5" t="str">
        <f>IFERROR(__xludf.DUMMYFUNCTION("GOOGLETRANSLATE(B15269,""en"",""it"")"),"Un uomo e una donna sono in piedi in una piscina e l'uomo mostra le tecniche di nuoto.")</f>
        <v>Un uomo e una donna sono in piedi in una piscina e l'uomo mostra le tecniche di nuoto.</v>
      </c>
    </row>
    <row r="15270">
      <c r="A15270" s="4" t="s">
        <v>19235</v>
      </c>
      <c r="B15270" s="6" t="s">
        <v>19238</v>
      </c>
      <c r="C15270" s="5" t="str">
        <f>IFERROR(__xludf.DUMMYFUNCTION("GOOGLETRANSLATE(B15270,""en"",""it"")"),"La donna inizia a emulare le azioni dell'uomo, muovendo le braccia e immergendosi la testa sotto l'acqua.")</f>
        <v>La donna inizia a emulare le azioni dell'uomo, muovendo le braccia e immergendosi la testa sotto l'acqua.</v>
      </c>
    </row>
    <row r="15271">
      <c r="A15271" s="4" t="s">
        <v>19235</v>
      </c>
      <c r="B15271" s="4" t="s">
        <v>19239</v>
      </c>
      <c r="C15271" s="5" t="str">
        <f>IFERROR(__xludf.DUMMYFUNCTION("GOOGLETRANSLATE(B15271,""en"",""it"")"),"L'uomo le mostra come nuotare verso l'esterno facendo così se stesso.")</f>
        <v>L'uomo le mostra come nuotare verso l'esterno facendo così se stesso.</v>
      </c>
    </row>
    <row r="15272">
      <c r="A15272" s="4" t="s">
        <v>19235</v>
      </c>
      <c r="B15272" s="4" t="s">
        <v>19240</v>
      </c>
      <c r="C15272" s="5" t="str">
        <f>IFERROR(__xludf.DUMMYFUNCTION("GOOGLETRANSLATE(B15272,""en"",""it"")"),"La donna guarda mentre nuota via.")</f>
        <v>La donna guarda mentre nuota via.</v>
      </c>
    </row>
    <row r="15273">
      <c r="A15273" s="4" t="s">
        <v>19241</v>
      </c>
      <c r="B15273" s="4" t="s">
        <v>19242</v>
      </c>
      <c r="C15273" s="5" t="str">
        <f>IFERROR(__xludf.DUMMYFUNCTION("GOOGLETRANSLATE(B15273,""en"",""it"")"),"Una ragazza sta versando ingredienti in una ciotola e li mescola insieme.")</f>
        <v>Una ragazza sta versando ingredienti in una ciotola e li mescola insieme.</v>
      </c>
    </row>
    <row r="15274">
      <c r="A15274" s="4" t="s">
        <v>19241</v>
      </c>
      <c r="B15274" s="4" t="s">
        <v>19243</v>
      </c>
      <c r="C15274" s="5" t="str">
        <f>IFERROR(__xludf.DUMMYFUNCTION("GOOGLETRANSLATE(B15274,""en"",""it"")"),"Usa un cutter per biscotti per tagliare le forme dall'impasto.")</f>
        <v>Usa un cutter per biscotti per tagliare le forme dall'impasto.</v>
      </c>
    </row>
    <row r="15275">
      <c r="A15275" s="4" t="s">
        <v>19241</v>
      </c>
      <c r="B15275" s="4" t="s">
        <v>19244</v>
      </c>
      <c r="C15275" s="5" t="str">
        <f>IFERROR(__xludf.DUMMYFUNCTION("GOOGLETRANSLATE(B15275,""en"",""it"")"),"Sta immergendo l'impasto in una glassa bianca.")</f>
        <v>Sta immergendo l'impasto in una glassa bianca.</v>
      </c>
    </row>
    <row r="15276">
      <c r="A15276" s="4" t="s">
        <v>19245</v>
      </c>
      <c r="B15276" s="4" t="s">
        <v>19246</v>
      </c>
      <c r="C15276" s="5" t="str">
        <f>IFERROR(__xludf.DUMMYFUNCTION("GOOGLETRANSLATE(B15276,""en"",""it"")"),"Una persona soffia foglie nella parte posteriore del loro cortile.")</f>
        <v>Una persona soffia foglie nella parte posteriore del loro cortile.</v>
      </c>
    </row>
    <row r="15277">
      <c r="A15277" s="4" t="s">
        <v>19245</v>
      </c>
      <c r="B15277" s="4" t="s">
        <v>19247</v>
      </c>
      <c r="C15277" s="5" t="str">
        <f>IFERROR(__xludf.DUMMYFUNCTION("GOOGLETRANSLATE(B15277,""en"",""it"")"),"Il bambino sta avendo qualche problema, ma generalmente sta facendo un lavoro ok.")</f>
        <v>Il bambino sta avendo qualche problema, ma generalmente sta facendo un lavoro ok.</v>
      </c>
    </row>
    <row r="15278">
      <c r="A15278" s="4" t="s">
        <v>19248</v>
      </c>
      <c r="B15278" s="4" t="s">
        <v>19249</v>
      </c>
      <c r="C15278" s="5" t="str">
        <f>IFERROR(__xludf.DUMMYFUNCTION("GOOGLETRANSLATE(B15278,""en"",""it"")"),"Un'ancora di notizie presenta una storia dietro una scrivania in una grande redazione.")</f>
        <v>Un'ancora di notizie presenta una storia dietro una scrivania in una grande redazione.</v>
      </c>
    </row>
    <row r="15279">
      <c r="A15279" s="4" t="s">
        <v>19248</v>
      </c>
      <c r="B15279" s="4" t="s">
        <v>19250</v>
      </c>
      <c r="C15279" s="5" t="str">
        <f>IFERROR(__xludf.DUMMYFUNCTION("GOOGLETRANSLATE(B15279,""en"",""it"")"),"Le persone sono viste fumare sigarette normali e sigarette elettriche.")</f>
        <v>Le persone sono viste fumare sigarette normali e sigarette elettriche.</v>
      </c>
    </row>
    <row r="15280">
      <c r="A15280" s="4" t="s">
        <v>19248</v>
      </c>
      <c r="B15280" s="4" t="s">
        <v>19251</v>
      </c>
      <c r="C15280" s="5" t="str">
        <f>IFERROR(__xludf.DUMMYFUNCTION("GOOGLETRANSLATE(B15280,""en"",""it"")"),"L'ancora di notizie parla con un ospite in redazione.")</f>
        <v>L'ancora di notizie parla con un ospite in redazione.</v>
      </c>
    </row>
    <row r="15281">
      <c r="A15281" s="4" t="s">
        <v>19248</v>
      </c>
      <c r="B15281" s="4" t="s">
        <v>19252</v>
      </c>
      <c r="C15281" s="5" t="str">
        <f>IFERROR(__xludf.DUMMYFUNCTION("GOOGLETRANSLATE(B15281,""en"",""it"")"),"I professionisti sono visti negli uffici che discutono dell'argomento.")</f>
        <v>I professionisti sono visti negli uffici che discutono dell'argomento.</v>
      </c>
    </row>
    <row r="15282">
      <c r="A15282" s="4" t="s">
        <v>19248</v>
      </c>
      <c r="B15282" s="4" t="s">
        <v>19253</v>
      </c>
      <c r="C15282" s="5" t="str">
        <f>IFERROR(__xludf.DUMMYFUNCTION("GOOGLETRANSLATE(B15282,""en"",""it"")"),"Il testo è visto su uno sfondo rosso con un sito Web e informazioni.")</f>
        <v>Il testo è visto su uno sfondo rosso con un sito Web e informazioni.</v>
      </c>
    </row>
    <row r="15283">
      <c r="A15283" s="4" t="s">
        <v>19254</v>
      </c>
      <c r="B15283" s="4" t="s">
        <v>19255</v>
      </c>
      <c r="C15283" s="5" t="str">
        <f>IFERROR(__xludf.DUMMYFUNCTION("GOOGLETRANSLATE(B15283,""en"",""it"")"),"Un uomo viene mostrato sorridendo e parla nella telecamera e tiene un ragazzo su un lavandino.")</f>
        <v>Un uomo viene mostrato sorridendo e parla nella telecamera e tiene un ragazzo su un lavandino.</v>
      </c>
    </row>
    <row r="15284">
      <c r="A15284" s="4" t="s">
        <v>19254</v>
      </c>
      <c r="B15284" s="4" t="s">
        <v>19256</v>
      </c>
      <c r="C15284" s="5" t="str">
        <f>IFERROR(__xludf.DUMMYFUNCTION("GOOGLETRANSLATE(B15284,""en"",""it"")"),"L'uomo tiene aperti gli occhi dei ragazzi mentre ride e si lava i denti.")</f>
        <v>L'uomo tiene aperti gli occhi dei ragazzi mentre ride e si lava i denti.</v>
      </c>
    </row>
    <row r="15285">
      <c r="A15285" s="4" t="s">
        <v>19257</v>
      </c>
      <c r="B15285" s="4" t="s">
        <v>19258</v>
      </c>
      <c r="C15285" s="5" t="str">
        <f>IFERROR(__xludf.DUMMYFUNCTION("GOOGLETRANSLATE(B15285,""en"",""it"")"),"Una ballerina inizia a ballare su un palco.")</f>
        <v>Una ballerina inizia a ballare su un palco.</v>
      </c>
    </row>
    <row r="15286">
      <c r="A15286" s="4" t="s">
        <v>19257</v>
      </c>
      <c r="B15286" s="4" t="s">
        <v>19259</v>
      </c>
      <c r="C15286" s="5" t="str">
        <f>IFERROR(__xludf.DUMMYFUNCTION("GOOGLETRANSLATE(B15286,""en"",""it"")"),"Fa diversi giri sul palco.")</f>
        <v>Fa diversi giri sul palco.</v>
      </c>
    </row>
    <row r="15287">
      <c r="A15287" s="4" t="s">
        <v>19257</v>
      </c>
      <c r="B15287" s="4" t="s">
        <v>19260</v>
      </c>
      <c r="C15287" s="5" t="str">
        <f>IFERROR(__xludf.DUMMYFUNCTION("GOOGLETRANSLATE(B15287,""en"",""it"")"),"Fa un salto sul palco.")</f>
        <v>Fa un salto sul palco.</v>
      </c>
    </row>
    <row r="15288">
      <c r="A15288" s="4" t="s">
        <v>19257</v>
      </c>
      <c r="B15288" s="4" t="s">
        <v>19261</v>
      </c>
      <c r="C15288" s="5" t="str">
        <f>IFERROR(__xludf.DUMMYFUNCTION("GOOGLETRANSLATE(B15288,""en"",""it"")"),"Si sdraia sul palco.")</f>
        <v>Si sdraia sul palco.</v>
      </c>
    </row>
    <row r="15289">
      <c r="A15289" s="4" t="s">
        <v>19262</v>
      </c>
      <c r="B15289" s="4" t="s">
        <v>19263</v>
      </c>
      <c r="C15289" s="5" t="str">
        <f>IFERROR(__xludf.DUMMYFUNCTION("GOOGLETRANSLATE(B15289,""en"",""it"")"),"Viene visto un uomo parlare alla telecamera che conduce a una persona che gioca all'uncinetto.")</f>
        <v>Viene visto un uomo parlare alla telecamera che conduce a una persona che gioca all'uncinetto.</v>
      </c>
    </row>
    <row r="15290">
      <c r="A15290" s="4" t="s">
        <v>19262</v>
      </c>
      <c r="B15290" s="4" t="s">
        <v>19264</v>
      </c>
      <c r="C15290" s="5" t="str">
        <f>IFERROR(__xludf.DUMMYFUNCTION("GOOGLETRANSLATE(B15290,""en"",""it"")"),"Vengono mostrati diversi colpi di bambini che colpiscono le palle e parlano alla telecamera.")</f>
        <v>Vengono mostrati diversi colpi di bambini che colpiscono le palle e parlano alla telecamera.</v>
      </c>
    </row>
    <row r="15291">
      <c r="A15291" s="4" t="s">
        <v>19262</v>
      </c>
      <c r="B15291" s="4" t="s">
        <v>19265</v>
      </c>
      <c r="C15291" s="5" t="str">
        <f>IFERROR(__xludf.DUMMYFUNCTION("GOOGLETRANSLATE(B15291,""en"",""it"")"),"Più bambini e adulti parlano alla telecamera mentre mostrano come colpiscono la palla.")</f>
        <v>Più bambini e adulti parlano alla telecamera mentre mostrano come colpiscono la palla.</v>
      </c>
    </row>
    <row r="15292">
      <c r="A15292" s="4" t="s">
        <v>19266</v>
      </c>
      <c r="B15292" s="4" t="s">
        <v>19267</v>
      </c>
      <c r="C15292" s="5" t="str">
        <f>IFERROR(__xludf.DUMMYFUNCTION("GOOGLETRANSLATE(B15292,""en"",""it"")"),"Una persona viene vista correre lungo una lunga pista con un palo e tentare di spingersi in avanti.")</f>
        <v>Una persona viene vista correre lungo una lunga pista con un palo e tentare di spingersi in avanti.</v>
      </c>
    </row>
    <row r="15293">
      <c r="A15293" s="4" t="s">
        <v>19266</v>
      </c>
      <c r="B15293" s="4" t="s">
        <v>19268</v>
      </c>
      <c r="C15293" s="5" t="str">
        <f>IFERROR(__xludf.DUMMYFUNCTION("GOOGLETRANSLATE(B15293,""en"",""it"")"),"La sua corsa viene nuovamente mostrata al rallentatore mentre un'altra persona tenta di spingere il palo e fallisce.")</f>
        <v>La sua corsa viene nuovamente mostrata al rallentatore mentre un'altra persona tenta di spingere il palo e fallisce.</v>
      </c>
    </row>
    <row r="15294">
      <c r="A15294" s="4" t="s">
        <v>19266</v>
      </c>
      <c r="B15294" s="4" t="s">
        <v>19269</v>
      </c>
      <c r="C15294" s="5" t="str">
        <f>IFERROR(__xludf.DUMMYFUNCTION("GOOGLETRANSLATE(B15294,""en"",""it"")"),"Vengono mostrate più clip di persone che tentano di saltare oltre il muro e non renderlo abbastanza alto.")</f>
        <v>Vengono mostrate più clip di persone che tentano di saltare oltre il muro e non renderlo abbastanza alto.</v>
      </c>
    </row>
    <row r="15295">
      <c r="A15295" s="4" t="s">
        <v>19270</v>
      </c>
      <c r="B15295" s="4" t="s">
        <v>19271</v>
      </c>
      <c r="C15295" s="5" t="str">
        <f>IFERROR(__xludf.DUMMYFUNCTION("GOOGLETRANSLATE(B15295,""en"",""it"")"),"Due bambini giocano sul retro di un camion.")</f>
        <v>Due bambini giocano sul retro di un camion.</v>
      </c>
    </row>
    <row r="15296">
      <c r="A15296" s="4" t="s">
        <v>19270</v>
      </c>
      <c r="B15296" s="4" t="s">
        <v>19272</v>
      </c>
      <c r="C15296" s="5" t="str">
        <f>IFERROR(__xludf.DUMMYFUNCTION("GOOGLETRANSLATE(B15296,""en"",""it"")"),"Le persone sono in piedi attorno a un camion di gelato giallo.")</f>
        <v>Le persone sono in piedi attorno a un camion di gelato giallo.</v>
      </c>
    </row>
    <row r="15297">
      <c r="A15297" s="4" t="s">
        <v>19270</v>
      </c>
      <c r="B15297" s="4" t="s">
        <v>19273</v>
      </c>
      <c r="C15297" s="5" t="str">
        <f>IFERROR(__xludf.DUMMYFUNCTION("GOOGLETRANSLATE(B15297,""en"",""it"")"),"Due bambini sono seduti su un marciapiede mangiando gelato.")</f>
        <v>Due bambini sono seduti su un marciapiede mangiando gelato.</v>
      </c>
    </row>
    <row r="15298">
      <c r="A15298" s="4" t="s">
        <v>19274</v>
      </c>
      <c r="B15298" s="4" t="s">
        <v>1487</v>
      </c>
      <c r="C15298" s="5" t="str">
        <f>IFERROR(__xludf.DUMMYFUNCTION("GOOGLETRANSLATE(B15298,""en"",""it"")"),"Vediamo una schermata del titolo di apertura.")</f>
        <v>Vediamo una schermata del titolo di apertura.</v>
      </c>
    </row>
    <row r="15299">
      <c r="A15299" s="4" t="s">
        <v>19274</v>
      </c>
      <c r="B15299" s="4" t="s">
        <v>19275</v>
      </c>
      <c r="C15299" s="5" t="str">
        <f>IFERROR(__xludf.DUMMYFUNCTION("GOOGLETRANSLATE(B15299,""en"",""it"")"),"Vediamo quindi una ragazza correre e cadere su uno slip e scivolare.")</f>
        <v>Vediamo quindi una ragazza correre e cadere su uno slip e scivolare.</v>
      </c>
    </row>
    <row r="15300">
      <c r="A15300" s="4" t="s">
        <v>19274</v>
      </c>
      <c r="B15300" s="4" t="s">
        <v>19276</v>
      </c>
      <c r="C15300" s="5" t="str">
        <f>IFERROR(__xludf.DUMMYFUNCTION("GOOGLETRANSLATE(B15300,""en"",""it"")"),"Vediamo un altro schermo del titolo e guardiamo i bambini scivolare verso il basso e attraverso il loro slittamento e scivolo.")</f>
        <v>Vediamo un altro schermo del titolo e guardiamo i bambini scivolare verso il basso e attraverso il loro slittamento e scivolo.</v>
      </c>
    </row>
    <row r="15301">
      <c r="A15301" s="4" t="s">
        <v>19274</v>
      </c>
      <c r="B15301" s="4" t="s">
        <v>19277</v>
      </c>
      <c r="C15301" s="5" t="str">
        <f>IFERROR(__xludf.DUMMYFUNCTION("GOOGLETRANSLATE(B15301,""en"",""it"")"),"Un bambino scivola lungo la diapositiva su una zattera.")</f>
        <v>Un bambino scivola lungo la diapositiva su una zattera.</v>
      </c>
    </row>
    <row r="15302">
      <c r="A15302" s="4" t="s">
        <v>19278</v>
      </c>
      <c r="B15302" s="4" t="s">
        <v>19279</v>
      </c>
      <c r="C15302" s="5" t="str">
        <f>IFERROR(__xludf.DUMMYFUNCTION("GOOGLETRANSLATE(B15302,""en"",""it"")"),"Un uomo sta dimostrando come accendere una piccola fossa di fuoco.")</f>
        <v>Un uomo sta dimostrando come accendere una piccola fossa di fuoco.</v>
      </c>
    </row>
    <row r="15303">
      <c r="A15303" s="4" t="s">
        <v>19278</v>
      </c>
      <c r="B15303" s="4" t="s">
        <v>19280</v>
      </c>
      <c r="C15303" s="5" t="str">
        <f>IFERROR(__xludf.DUMMYFUNCTION("GOOGLETRANSLATE(B15303,""en"",""it"")"),"Innanzitutto, l'uomo mostra la selce che ha per il fuoco.")</f>
        <v>Innanzitutto, l'uomo mostra la selce che ha per il fuoco.</v>
      </c>
    </row>
    <row r="15304">
      <c r="A15304" s="4" t="s">
        <v>19278</v>
      </c>
      <c r="B15304" s="4" t="s">
        <v>19281</v>
      </c>
      <c r="C15304" s="5" t="str">
        <f>IFERROR(__xludf.DUMMYFUNCTION("GOOGLETRANSLATE(B15304,""en"",""it"")"),"Poi mette la piega in un mucchio di legno.")</f>
        <v>Poi mette la piega in un mucchio di legno.</v>
      </c>
    </row>
    <row r="15305">
      <c r="A15305" s="4" t="s">
        <v>19278</v>
      </c>
      <c r="B15305" s="4" t="s">
        <v>19282</v>
      </c>
      <c r="C15305" s="5" t="str">
        <f>IFERROR(__xludf.DUMMYFUNCTION("GOOGLETRANSLATE(B15305,""en"",""it"")"),"L'uomo accende quindi il fuoco, che si diffonde lentamente in tutto il legno.")</f>
        <v>L'uomo accende quindi il fuoco, che si diffonde lentamente in tutto il legno.</v>
      </c>
    </row>
    <row r="15306">
      <c r="A15306" s="4" t="s">
        <v>19278</v>
      </c>
      <c r="B15306" s="4" t="s">
        <v>19283</v>
      </c>
      <c r="C15306" s="5" t="str">
        <f>IFERROR(__xludf.DUMMYFUNCTION("GOOGLETRANSLATE(B15306,""en"",""it"")"),"L'uomo quindi colpisce il fuoco con pezzi di legno piatto per diffondere il fuoco.")</f>
        <v>L'uomo quindi colpisce il fuoco con pezzi di legno piatto per diffondere il fuoco.</v>
      </c>
    </row>
    <row r="15307">
      <c r="A15307" s="4" t="s">
        <v>19278</v>
      </c>
      <c r="B15307" s="4" t="s">
        <v>19284</v>
      </c>
      <c r="C15307" s="5" t="str">
        <f>IFERROR(__xludf.DUMMYFUNCTION("GOOGLETRANSLATE(B15307,""en"",""it"")"),"L'uomo quindi scuote i ramoscelli sul legno per diffondere ulteriormente il fuoco.")</f>
        <v>L'uomo quindi scuote i ramoscelli sul legno per diffondere ulteriormente il fuoco.</v>
      </c>
    </row>
    <row r="15308">
      <c r="A15308" s="4" t="s">
        <v>19285</v>
      </c>
      <c r="B15308" s="4" t="s">
        <v>19286</v>
      </c>
      <c r="C15308" s="5" t="str">
        <f>IFERROR(__xludf.DUMMYFUNCTION("GOOGLETRANSLATE(B15308,""en"",""it"")"),"Ci sono due uomini che giocano a ping pong in un seminterrato.")</f>
        <v>Ci sono due uomini che giocano a ping pong in un seminterrato.</v>
      </c>
    </row>
    <row r="15309">
      <c r="A15309" s="4" t="s">
        <v>19285</v>
      </c>
      <c r="B15309" s="4" t="s">
        <v>19287</v>
      </c>
      <c r="C15309" s="5" t="str">
        <f>IFERROR(__xludf.DUMMYFUNCTION("GOOGLETRANSLATE(B15309,""en"",""it"")"),"Uno dei giocatori indossa una camicia nera e l'altro è una camicia blu.")</f>
        <v>Uno dei giocatori indossa una camicia nera e l'altro è una camicia blu.</v>
      </c>
    </row>
    <row r="15310">
      <c r="A15310" s="4" t="s">
        <v>19285</v>
      </c>
      <c r="B15310" s="4" t="s">
        <v>19288</v>
      </c>
      <c r="C15310" s="5" t="str">
        <f>IFERROR(__xludf.DUMMYFUNCTION("GOOGLETRANSLATE(B15310,""en"",""it"")"),"C'è un materasso appoggiato al muro del seminterrato.")</f>
        <v>C'è un materasso appoggiato al muro del seminterrato.</v>
      </c>
    </row>
    <row r="15311">
      <c r="A15311" s="4" t="s">
        <v>19285</v>
      </c>
      <c r="B15311" s="4" t="s">
        <v>19289</v>
      </c>
      <c r="C15311" s="5" t="str">
        <f>IFERROR(__xludf.DUMMYFUNCTION("GOOGLETRANSLATE(B15311,""en"",""it"")"),"I giocatori continuano a giocare a una manifestazione fluida.")</f>
        <v>I giocatori continuano a giocare a una manifestazione fluida.</v>
      </c>
    </row>
    <row r="15312">
      <c r="A15312" s="4" t="s">
        <v>19285</v>
      </c>
      <c r="B15312" s="4" t="s">
        <v>19290</v>
      </c>
      <c r="C15312" s="5" t="str">
        <f>IFERROR(__xludf.DUMMYFUNCTION("GOOGLETRANSLATE(B15312,""en"",""it"")"),"Quindi la persona in nero manca lo scatto.")</f>
        <v>Quindi la persona in nero manca lo scatto.</v>
      </c>
    </row>
    <row r="15313">
      <c r="A15313" s="4" t="s">
        <v>19285</v>
      </c>
      <c r="B15313" s="4" t="s">
        <v>19291</v>
      </c>
      <c r="C15313" s="5" t="str">
        <f>IFERROR(__xludf.DUMMYFUNCTION("GOOGLETRANSLATE(B15313,""en"",""it"")"),"Continuano a giocare a ping pong per qualche giro in più.")</f>
        <v>Continuano a giocare a ping pong per qualche giro in più.</v>
      </c>
    </row>
    <row r="15314">
      <c r="A15314" s="4" t="s">
        <v>19285</v>
      </c>
      <c r="B15314" s="4" t="s">
        <v>19292</v>
      </c>
      <c r="C15314" s="5" t="str">
        <f>IFERROR(__xludf.DUMMYFUNCTION("GOOGLETRANSLATE(B15314,""en"",""it"")"),"La persona in blu colpisce la palla in rete.")</f>
        <v>La persona in blu colpisce la palla in rete.</v>
      </c>
    </row>
    <row r="15315">
      <c r="A15315" s="4" t="s">
        <v>19285</v>
      </c>
      <c r="B15315" s="4" t="s">
        <v>19293</v>
      </c>
      <c r="C15315" s="5" t="str">
        <f>IFERROR(__xludf.DUMMYFUNCTION("GOOGLETRANSLATE(B15315,""en"",""it"")"),"Continuano a giocare di più fino a quando la persona in blu lascia cadere la palla a terra.")</f>
        <v>Continuano a giocare di più fino a quando la persona in blu lascia cadere la palla a terra.</v>
      </c>
    </row>
    <row r="15316">
      <c r="A15316" s="4" t="s">
        <v>19294</v>
      </c>
      <c r="B15316" s="4" t="s">
        <v>19295</v>
      </c>
      <c r="C15316" s="5" t="str">
        <f>IFERROR(__xludf.DUMMYFUNCTION("GOOGLETRANSLATE(B15316,""en"",""it"")"),"Una persona taglia la parte superiore di una siepe rosa usando un trimmer di siepe.")</f>
        <v>Una persona taglia la parte superiore di una siepe rosa usando un trimmer di siepe.</v>
      </c>
    </row>
    <row r="15317">
      <c r="A15317" s="4" t="s">
        <v>19294</v>
      </c>
      <c r="B15317" s="4" t="s">
        <v>19296</v>
      </c>
      <c r="C15317" s="5" t="str">
        <f>IFERROR(__xludf.DUMMYFUNCTION("GOOGLETRANSLATE(B15317,""en"",""it"")"),"Quindi, l'uomo taglia i lati della siepe rosa sulla parte anteriore di una casa.")</f>
        <v>Quindi, l'uomo taglia i lati della siepe rosa sulla parte anteriore di una casa.</v>
      </c>
    </row>
    <row r="15318">
      <c r="A15318" s="4" t="s">
        <v>19297</v>
      </c>
      <c r="B15318" s="4" t="s">
        <v>19298</v>
      </c>
      <c r="C15318" s="5" t="str">
        <f>IFERROR(__xludf.DUMMYFUNCTION("GOOGLETRANSLATE(B15318,""en"",""it"")"),"Varie foto di mostrata di una ragazza e un cavallo e conducono in una persona che cavalca un cavallo per salti.")</f>
        <v>Varie foto di mostrata di una ragazza e un cavallo e conducono in una persona che cavalca un cavallo per salti.</v>
      </c>
    </row>
    <row r="15319">
      <c r="A15319" s="4" t="s">
        <v>19297</v>
      </c>
      <c r="B15319" s="6" t="s">
        <v>19299</v>
      </c>
      <c r="C15319" s="5" t="str">
        <f>IFERROR(__xludf.DUMMYFUNCTION("GOOGLETRANSLATE(B15319,""en"",""it"")"),"Altre foto vengono mostrate insieme dal cavallo e dalla persona insieme da più clip della ragazza che cavalca il cavallo.")</f>
        <v>Altre foto vengono mostrate insieme dal cavallo e dalla persona insieme da più clip della ragazza che cavalca il cavallo.</v>
      </c>
    </row>
    <row r="15320">
      <c r="A15320" s="4" t="s">
        <v>19297</v>
      </c>
      <c r="B15320" s="4" t="s">
        <v>19300</v>
      </c>
      <c r="C15320" s="5" t="str">
        <f>IFERROR(__xludf.DUMMYFUNCTION("GOOGLETRANSLATE(B15320,""en"",""it"")"),"Alla fine il cavallo è visto legato alle stalle e la ragazza vaga intorno a lui.")</f>
        <v>Alla fine il cavallo è visto legato alle stalle e la ragazza vaga intorno a lui.</v>
      </c>
    </row>
    <row r="15321">
      <c r="A15321" s="4" t="s">
        <v>19301</v>
      </c>
      <c r="B15321" s="4" t="s">
        <v>19302</v>
      </c>
      <c r="C15321" s="5" t="str">
        <f>IFERROR(__xludf.DUMMYFUNCTION("GOOGLETRANSLATE(B15321,""en"",""it"")"),"Una giovane donna è seduta su una sedia a sdraio rosso mentre un tatuatore inizia a fare il suo lavoro.")</f>
        <v>Una giovane donna è seduta su una sedia a sdraio rosso mentre un tatuatore inizia a fare il suo lavoro.</v>
      </c>
    </row>
    <row r="15322">
      <c r="A15322" s="4" t="s">
        <v>19301</v>
      </c>
      <c r="B15322" s="4" t="s">
        <v>19303</v>
      </c>
      <c r="C15322" s="5" t="str">
        <f>IFERROR(__xludf.DUMMYFUNCTION("GOOGLETRANSLATE(B15322,""en"",""it"")"),"Mentre applica l'ago, la ragazza si schiaccia in faccia ma rimane il più possibile.")</f>
        <v>Mentre applica l'ago, la ragazza si schiaccia in faccia ma rimane il più possibile.</v>
      </c>
    </row>
    <row r="15323">
      <c r="A15323" s="4" t="s">
        <v>19301</v>
      </c>
      <c r="B15323" s="4" t="s">
        <v>19304</v>
      </c>
      <c r="C15323" s="5" t="str">
        <f>IFERROR(__xludf.DUMMYFUNCTION("GOOGLETRANSLATE(B15323,""en"",""it"")"),"Il tatuaggio è finalmente finito e l'uomo tampona il resto del tatuaggio sul piede.")</f>
        <v>Il tatuaggio è finalmente finito e l'uomo tampona il resto del tatuaggio sul piede.</v>
      </c>
    </row>
    <row r="15324">
      <c r="A15324" s="4" t="s">
        <v>19305</v>
      </c>
      <c r="B15324" s="4" t="s">
        <v>19306</v>
      </c>
      <c r="C15324" s="5" t="str">
        <f>IFERROR(__xludf.DUMMYFUNCTION("GOOGLETRANSLATE(B15324,""en"",""it"")"),"Un uomo entra in un cerchio su un campo.")</f>
        <v>Un uomo entra in un cerchio su un campo.</v>
      </c>
    </row>
    <row r="15325">
      <c r="A15325" s="4" t="s">
        <v>19305</v>
      </c>
      <c r="B15325" s="4" t="s">
        <v>19307</v>
      </c>
      <c r="C15325" s="5" t="str">
        <f>IFERROR(__xludf.DUMMYFUNCTION("GOOGLETRANSLATE(B15325,""en"",""it"")"),"Gira mentre tiene in mano un disco.")</f>
        <v>Gira mentre tiene in mano un disco.</v>
      </c>
    </row>
    <row r="15326">
      <c r="A15326" s="4" t="s">
        <v>19305</v>
      </c>
      <c r="B15326" s="4" t="s">
        <v>19308</v>
      </c>
      <c r="C15326" s="5" t="str">
        <f>IFERROR(__xludf.DUMMYFUNCTION("GOOGLETRANSLATE(B15326,""en"",""it"")"),"Lascia andare il disco, lasciandolo volare in aria.")</f>
        <v>Lascia andare il disco, lasciandolo volare in aria.</v>
      </c>
    </row>
    <row r="15327">
      <c r="A15327" s="4" t="s">
        <v>19309</v>
      </c>
      <c r="B15327" s="4" t="s">
        <v>19310</v>
      </c>
      <c r="C15327" s="5" t="str">
        <f>IFERROR(__xludf.DUMMYFUNCTION("GOOGLETRANSLATE(B15327,""en"",""it"")"),"Un uomo è seduto su una sedia.")</f>
        <v>Un uomo è seduto su una sedia.</v>
      </c>
    </row>
    <row r="15328">
      <c r="A15328" s="4" t="s">
        <v>19309</v>
      </c>
      <c r="B15328" s="4" t="s">
        <v>19311</v>
      </c>
      <c r="C15328" s="5" t="str">
        <f>IFERROR(__xludf.DUMMYFUNCTION("GOOGLETRANSLATE(B15328,""en"",""it"")"),"Indossa una maschera sul viso.")</f>
        <v>Indossa una maschera sul viso.</v>
      </c>
    </row>
    <row r="15329">
      <c r="A15329" s="4" t="s">
        <v>19309</v>
      </c>
      <c r="B15329" s="4" t="s">
        <v>19312</v>
      </c>
      <c r="C15329" s="5" t="str">
        <f>IFERROR(__xludf.DUMMYFUNCTION("GOOGLETRANSLATE(B15329,""en"",""it"")"),"Sta saldando qualcosa davanti a lui.")</f>
        <v>Sta saldando qualcosa davanti a lui.</v>
      </c>
    </row>
    <row r="15330">
      <c r="A15330" s="4" t="s">
        <v>19313</v>
      </c>
      <c r="B15330" s="4" t="s">
        <v>19314</v>
      </c>
      <c r="C15330" s="5" t="str">
        <f>IFERROR(__xludf.DUMMYFUNCTION("GOOGLETRANSLATE(B15330,""en"",""it"")"),"Un ragazzo è visto seduto su una sedia che distoglie lo sguardo con gli altri che camminano.")</f>
        <v>Un ragazzo è visto seduto su una sedia che distoglie lo sguardo con gli altri che camminano.</v>
      </c>
    </row>
    <row r="15331">
      <c r="A15331" s="4" t="s">
        <v>19313</v>
      </c>
      <c r="B15331" s="4" t="s">
        <v>19315</v>
      </c>
      <c r="C15331" s="5" t="str">
        <f>IFERROR(__xludf.DUMMYFUNCTION("GOOGLETRANSLATE(B15331,""en"",""it"")"),"L'uomo quindi beve un sorso di drink e fa una faccia divertente.")</f>
        <v>L'uomo quindi beve un sorso di drink e fa una faccia divertente.</v>
      </c>
    </row>
    <row r="15332">
      <c r="A15332" s="4" t="s">
        <v>19316</v>
      </c>
      <c r="B15332" s="6" t="s">
        <v>19317</v>
      </c>
      <c r="C15332" s="5" t="str">
        <f>IFERROR(__xludf.DUMMYFUNCTION("GOOGLETRANSLATE(B15332,""en"",""it"")"),"Un folto gruppo di persone viene visto camminare sulla neve con diversi intervistati sulla telecamera.")</f>
        <v>Un folto gruppo di persone viene visto camminare sulla neve con diversi intervistati sulla telecamera.</v>
      </c>
    </row>
    <row r="15333">
      <c r="A15333" s="4" t="s">
        <v>19316</v>
      </c>
      <c r="B15333" s="4" t="s">
        <v>19318</v>
      </c>
      <c r="C15333" s="5" t="str">
        <f>IFERROR(__xludf.DUMMYFUNCTION("GOOGLETRANSLATE(B15333,""en"",""it"")"),"Sono visti all'interno di un negozio che affilano sci e ridono l'uno con l'altro.")</f>
        <v>Sono visti all'interno di un negozio che affilano sci e ridono l'uno con l'altro.</v>
      </c>
    </row>
    <row r="15334">
      <c r="A15334" s="4" t="s">
        <v>19319</v>
      </c>
      <c r="B15334" s="6" t="s">
        <v>19320</v>
      </c>
      <c r="C15334" s="5" t="str">
        <f>IFERROR(__xludf.DUMMYFUNCTION("GOOGLETRANSLATE(B15334,""en"",""it"")"),"Un piccolo gruppo di persone è visto in piedi con una donna che tiene segni e conduce a persone che giocano a rimorchiarsi.")</f>
        <v>Un piccolo gruppo di persone è visto in piedi con una donna che tiene segni e conduce a persone che giocano a rimorchiarsi.</v>
      </c>
    </row>
    <row r="15335">
      <c r="A15335" s="4" t="s">
        <v>19319</v>
      </c>
      <c r="B15335" s="4" t="s">
        <v>19321</v>
      </c>
      <c r="C15335" s="5" t="str">
        <f>IFERROR(__xludf.DUMMYFUNCTION("GOOGLETRANSLATE(B15335,""en"",""it"")"),"Vengono mostrati diversi colpi dei giochi, così come una ragazza che balla e i bambini si riscaldano.")</f>
        <v>Vengono mostrati diversi colpi dei giochi, così come una ragazza che balla e i bambini si riscaldano.</v>
      </c>
    </row>
    <row r="15336">
      <c r="A15336" s="4" t="s">
        <v>19319</v>
      </c>
      <c r="B15336" s="4" t="s">
        <v>19322</v>
      </c>
      <c r="C15336" s="5" t="str">
        <f>IFERROR(__xludf.DUMMYFUNCTION("GOOGLETRANSLATE(B15336,""en"",""it"")"),"I bambini giocano più tiro alla guerra e un primo piano del viso di una persona è visto al rallentatore.")</f>
        <v>I bambini giocano più tiro alla guerra e un primo piano del viso di una persona è visto al rallentatore.</v>
      </c>
    </row>
    <row r="15337">
      <c r="A15337" s="4" t="s">
        <v>19323</v>
      </c>
      <c r="B15337" s="4" t="s">
        <v>19324</v>
      </c>
      <c r="C15337" s="5" t="str">
        <f>IFERROR(__xludf.DUMMYFUNCTION("GOOGLETRANSLATE(B15337,""en"",""it"")"),"Una donna è seduta fuori su una sedia bianca che gioca alla fisarmonica.")</f>
        <v>Una donna è seduta fuori su una sedia bianca che gioca alla fisarmonica.</v>
      </c>
    </row>
    <row r="15338">
      <c r="A15338" s="4" t="s">
        <v>19323</v>
      </c>
      <c r="B15338" s="4" t="s">
        <v>19325</v>
      </c>
      <c r="C15338" s="5" t="str">
        <f>IFERROR(__xludf.DUMMYFUNCTION("GOOGLETRANSLATE(B15338,""en"",""it"")"),"C'è uno stand di musica seduto di fronte a lei.")</f>
        <v>C'è uno stand di musica seduto di fronte a lei.</v>
      </c>
    </row>
    <row r="15339">
      <c r="A15339" s="4" t="s">
        <v>19326</v>
      </c>
      <c r="B15339" s="4" t="s">
        <v>19327</v>
      </c>
      <c r="C15339" s="5" t="str">
        <f>IFERROR(__xludf.DUMMYFUNCTION("GOOGLETRANSLATE(B15339,""en"",""it"")"),"Vediamo un uomo che si mette in marcia e poi un giocatore di hockey che cammina verso la pista.")</f>
        <v>Vediamo un uomo che si mette in marcia e poi un giocatore di hockey che cammina verso la pista.</v>
      </c>
    </row>
    <row r="15340">
      <c r="A15340" s="4" t="s">
        <v>19326</v>
      </c>
      <c r="B15340" s="4" t="s">
        <v>19328</v>
      </c>
      <c r="C15340" s="5" t="str">
        <f>IFERROR(__xludf.DUMMYFUNCTION("GOOGLETRANSLATE(B15340,""en"",""it"")"),"Vediamo la folla applaudire.")</f>
        <v>Vediamo la folla applaudire.</v>
      </c>
    </row>
    <row r="15341">
      <c r="A15341" s="4" t="s">
        <v>19326</v>
      </c>
      <c r="B15341" s="4" t="s">
        <v>19329</v>
      </c>
      <c r="C15341" s="5" t="str">
        <f>IFERROR(__xludf.DUMMYFUNCTION("GOOGLETRANSLATE(B15341,""en"",""it"")"),"Vediamo una partita di hockey giocata.")</f>
        <v>Vediamo una partita di hockey giocata.</v>
      </c>
    </row>
    <row r="15342">
      <c r="A15342" s="4" t="s">
        <v>19326</v>
      </c>
      <c r="B15342" s="4" t="s">
        <v>19330</v>
      </c>
      <c r="C15342" s="5" t="str">
        <f>IFERROR(__xludf.DUMMYFUNCTION("GOOGLETRANSLATE(B15342,""en"",""it"")"),"Vediamo persone che battono tra la folla.")</f>
        <v>Vediamo persone che battono tra la folla.</v>
      </c>
    </row>
    <row r="15343">
      <c r="A15343" s="4" t="s">
        <v>19326</v>
      </c>
      <c r="B15343" s="4" t="s">
        <v>19331</v>
      </c>
      <c r="C15343" s="5" t="str">
        <f>IFERROR(__xludf.DUMMYFUNCTION("GOOGLETRANSLATE(B15343,""en"",""it"")"),"La mano di un uomo viene scossa e vede l'intera squadra sul ghiaccio.")</f>
        <v>La mano di un uomo viene scossa e vede l'intera squadra sul ghiaccio.</v>
      </c>
    </row>
    <row r="15344">
      <c r="A15344" s="4" t="s">
        <v>19332</v>
      </c>
      <c r="B15344" s="4" t="s">
        <v>19333</v>
      </c>
      <c r="C15344" s="5" t="str">
        <f>IFERROR(__xludf.DUMMYFUNCTION("GOOGLETRANSLATE(B15344,""en"",""it"")"),"Viene visto un uomo risolvere un cubo di Rubix era un altro seduto accanto a lui e gli orologi.")</f>
        <v>Viene visto un uomo risolvere un cubo di Rubix era un altro seduto accanto a lui e gli orologi.</v>
      </c>
    </row>
    <row r="15345">
      <c r="A15345" s="4" t="s">
        <v>19332</v>
      </c>
      <c r="B15345" s="4" t="s">
        <v>19334</v>
      </c>
      <c r="C15345" s="5" t="str">
        <f>IFERROR(__xludf.DUMMYFUNCTION("GOOGLETRANSLATE(B15345,""en"",""it"")"),"Risolve il puzzle e lo mette sul tavolo, quindi sorride alla fotocamera.")</f>
        <v>Risolve il puzzle e lo mette sul tavolo, quindi sorride alla fotocamera.</v>
      </c>
    </row>
    <row r="15346">
      <c r="A15346" s="4" t="s">
        <v>19335</v>
      </c>
      <c r="B15346" s="6" t="s">
        <v>19336</v>
      </c>
      <c r="C15346" s="5" t="str">
        <f>IFERROR(__xludf.DUMMYFUNCTION("GOOGLETRANSLATE(B15346,""en"",""it"")"),"Un video di montaggio con competizione di tiro con l'arco mostra battaglie lanciate in campi, sale congressuali di hotel, arene indoor e magazzini.")</f>
        <v>Un video di montaggio con competizione di tiro con l'arco mostra battaglie lanciate in campi, sale congressuali di hotel, arene indoor e magazzini.</v>
      </c>
    </row>
    <row r="15347">
      <c r="A15347" s="4" t="s">
        <v>19335</v>
      </c>
      <c r="B15347" s="4" t="s">
        <v>19337</v>
      </c>
      <c r="C15347" s="5" t="str">
        <f>IFERROR(__xludf.DUMMYFUNCTION("GOOGLETRANSLATE(B15347,""en"",""it"")"),"Viene visualizzato un logo per il tag di tiro con l'arco e un annuncio viene riprodotto per un altro video e abbonamento.")</f>
        <v>Viene visualizzato un logo per il tag di tiro con l'arco e un annuncio viene riprodotto per un altro video e abbonamento.</v>
      </c>
    </row>
    <row r="15348">
      <c r="A15348" s="4" t="s">
        <v>19338</v>
      </c>
      <c r="B15348" s="4" t="s">
        <v>19339</v>
      </c>
      <c r="C15348" s="5" t="str">
        <f>IFERROR(__xludf.DUMMYFUNCTION("GOOGLETRANSLATE(B15348,""en"",""it"")"),"Viene mostrato un primo piano di un lavandino seguito da una persona che accende un rubinetto e che afferra la fotocamera.")</f>
        <v>Viene mostrato un primo piano di un lavandino seguito da una persona che accende un rubinetto e che afferra la fotocamera.</v>
      </c>
    </row>
    <row r="15349">
      <c r="A15349" s="4" t="s">
        <v>19338</v>
      </c>
      <c r="B15349" s="4" t="s">
        <v>19340</v>
      </c>
      <c r="C15349" s="5" t="str">
        <f>IFERROR(__xludf.DUMMYFUNCTION("GOOGLETRANSLATE(B15349,""en"",""it"")"),"Affronta un tavolo e spruzza uno straccio seguito spingendo lo straccio lungo il pavimento.")</f>
        <v>Affronta un tavolo e spruzza uno straccio seguito spingendo lo straccio lungo il pavimento.</v>
      </c>
    </row>
    <row r="15350">
      <c r="A15350" s="4" t="s">
        <v>19338</v>
      </c>
      <c r="B15350" s="4" t="s">
        <v>19341</v>
      </c>
      <c r="C15350" s="5" t="str">
        <f>IFERROR(__xludf.DUMMYFUNCTION("GOOGLETRANSLATE(B15350,""en"",""it"")"),"La donna continua a pulire il pavimento e torna alla telecamera.")</f>
        <v>La donna continua a pulire il pavimento e torna alla telecamera.</v>
      </c>
    </row>
    <row r="15351">
      <c r="A15351" s="4" t="s">
        <v>19342</v>
      </c>
      <c r="B15351" s="4" t="s">
        <v>19343</v>
      </c>
      <c r="C15351" s="5" t="str">
        <f>IFERROR(__xludf.DUMMYFUNCTION("GOOGLETRANSLATE(B15351,""en"",""it"")"),"Ci sono due bambine in piedi in un campo indoor che imparano a giocare a squash.")</f>
        <v>Ci sono due bambine in piedi in un campo indoor che imparano a giocare a squash.</v>
      </c>
    </row>
    <row r="15352">
      <c r="A15352" s="4" t="s">
        <v>19342</v>
      </c>
      <c r="B15352" s="4" t="s">
        <v>19344</v>
      </c>
      <c r="C15352" s="5" t="str">
        <f>IFERROR(__xludf.DUMMYFUNCTION("GOOGLETRANSLATE(B15352,""en"",""it"")"),"Stanno in piedi con le loro racchette e cercano di colpire la palla contro il muro.")</f>
        <v>Stanno in piedi con le loro racchette e cercano di colpire la palla contro il muro.</v>
      </c>
    </row>
    <row r="15353">
      <c r="A15353" s="4" t="s">
        <v>19342</v>
      </c>
      <c r="B15353" s="4" t="s">
        <v>19345</v>
      </c>
      <c r="C15353" s="5" t="str">
        <f>IFERROR(__xludf.DUMMYFUNCTION("GOOGLETRANSLATE(B15353,""en"",""it"")"),"Tentano di colpire la palla ma finiscono per spazzolarla sul pavimento.")</f>
        <v>Tentano di colpire la palla ma finiscono per spazzolarla sul pavimento.</v>
      </c>
    </row>
    <row r="15354">
      <c r="A15354" s="4" t="s">
        <v>19342</v>
      </c>
      <c r="B15354" s="4" t="s">
        <v>19346</v>
      </c>
      <c r="C15354" s="5" t="str">
        <f>IFERROR(__xludf.DUMMYFUNCTION("GOOGLETRANSLATE(B15354,""en"",""it"")"),"Corrono intorno al campo cercando di prendere la palla con le loro racchette.")</f>
        <v>Corrono intorno al campo cercando di prendere la palla con le loro racchette.</v>
      </c>
    </row>
    <row r="15355">
      <c r="A15355" s="4" t="s">
        <v>19342</v>
      </c>
      <c r="B15355" s="4" t="s">
        <v>19347</v>
      </c>
      <c r="C15355" s="5" t="str">
        <f>IFERROR(__xludf.DUMMYFUNCTION("GOOGLETRANSLATE(B15355,""en"",""it"")"),"Corrono in giro sorridendo con le loro racchette di grandi dimensioni e corrono per seguire la palla intorno al campo.")</f>
        <v>Corrono in giro sorridendo con le loro racchette di grandi dimensioni e corrono per seguire la palla intorno al campo.</v>
      </c>
    </row>
    <row r="15356">
      <c r="A15356" s="4" t="s">
        <v>19348</v>
      </c>
      <c r="B15356" s="4" t="s">
        <v>19349</v>
      </c>
      <c r="C15356" s="5" t="str">
        <f>IFERROR(__xludf.DUMMYFUNCTION("GOOGLETRANSLATE(B15356,""en"",""it"")"),"Quattro giovani donne e un uomo sono sul palco, mentre una ragazza suona la chitarra.")</f>
        <v>Quattro giovani donne e un uomo sono sul palco, mentre una ragazza suona la chitarra.</v>
      </c>
    </row>
    <row r="15357">
      <c r="A15357" s="4" t="s">
        <v>19348</v>
      </c>
      <c r="B15357" s="4" t="s">
        <v>19350</v>
      </c>
      <c r="C15357" s="5" t="str">
        <f>IFERROR(__xludf.DUMMYFUNCTION("GOOGLETRANSLATE(B15357,""en"",""it"")"),"La signora in giallo iniziò a cantare, poi la signora con camicia rosa.")</f>
        <v>La signora in giallo iniziò a cantare, poi la signora con camicia rosa.</v>
      </c>
    </row>
    <row r="15358">
      <c r="A15358" s="4" t="s">
        <v>19348</v>
      </c>
      <c r="B15358" s="4" t="s">
        <v>19351</v>
      </c>
      <c r="C15358" s="5" t="str">
        <f>IFERROR(__xludf.DUMMYFUNCTION("GOOGLETRANSLATE(B15358,""en"",""it"")"),"Quando le ragazze hanno finito di cantare la folla applaudita.")</f>
        <v>Quando le ragazze hanno finito di cantare la folla applaudita.</v>
      </c>
    </row>
    <row r="15359">
      <c r="A15359" s="4" t="s">
        <v>19352</v>
      </c>
      <c r="B15359" s="4" t="s">
        <v>19353</v>
      </c>
      <c r="C15359" s="5" t="str">
        <f>IFERROR(__xludf.DUMMYFUNCTION("GOOGLETRANSLATE(B15359,""en"",""it"")"),"Vediamo un uomo cadere in acqua al contrario.")</f>
        <v>Vediamo un uomo cadere in acqua al contrario.</v>
      </c>
    </row>
    <row r="15360">
      <c r="A15360" s="4" t="s">
        <v>19352</v>
      </c>
      <c r="B15360" s="4" t="s">
        <v>19354</v>
      </c>
      <c r="C15360" s="5" t="str">
        <f>IFERROR(__xludf.DUMMYFUNCTION("GOOGLETRANSLATE(B15360,""en"",""it"")"),"Guardiamo le persone camminare su uno slackline su una specchio d'acqua.")</f>
        <v>Guardiamo le persone camminare su uno slackline su una specchio d'acqua.</v>
      </c>
    </row>
    <row r="15361">
      <c r="A15361" s="4" t="s">
        <v>19352</v>
      </c>
      <c r="B15361" s="4" t="s">
        <v>19355</v>
      </c>
      <c r="C15361" s="5" t="str">
        <f>IFERROR(__xludf.DUMMYFUNCTION("GOOGLETRANSLATE(B15361,""en"",""it"")"),"Vediamo una serie di cascate.")</f>
        <v>Vediamo una serie di cascate.</v>
      </c>
    </row>
    <row r="15362">
      <c r="A15362" s="4" t="s">
        <v>19352</v>
      </c>
      <c r="B15362" s="4" t="s">
        <v>19356</v>
      </c>
      <c r="C15362" s="5" t="str">
        <f>IFERROR(__xludf.DUMMYFUNCTION("GOOGLETRANSLATE(B15362,""en"",""it"")"),"Un uomo lo fa.")</f>
        <v>Un uomo lo fa.</v>
      </c>
    </row>
    <row r="15363">
      <c r="A15363" s="4" t="s">
        <v>19352</v>
      </c>
      <c r="B15363" s="4" t="s">
        <v>19357</v>
      </c>
      <c r="C15363" s="5" t="str">
        <f>IFERROR(__xludf.DUMMYFUNCTION("GOOGLETRANSLATE(B15363,""en"",""it"")"),"Vediamo un uomo arrampicarsi su un albero e prendere un cocco.")</f>
        <v>Vediamo un uomo arrampicarsi su un albero e prendere un cocco.</v>
      </c>
    </row>
    <row r="15364">
      <c r="A15364" s="4" t="s">
        <v>19352</v>
      </c>
      <c r="B15364" s="4" t="s">
        <v>19358</v>
      </c>
      <c r="C15364" s="5" t="str">
        <f>IFERROR(__xludf.DUMMYFUNCTION("GOOGLETRANSLATE(B15364,""en"",""it"")"),"La padella mette un rubinetto nel cocco e se la versa in bocca mentre si sdraia a terra.")</f>
        <v>La padella mette un rubinetto nel cocco e se la versa in bocca mentre si sdraia a terra.</v>
      </c>
    </row>
    <row r="15365">
      <c r="A15365" s="4" t="s">
        <v>19352</v>
      </c>
      <c r="B15365" s="4" t="s">
        <v>19359</v>
      </c>
      <c r="C15365" s="5" t="str">
        <f>IFERROR(__xludf.DUMMYFUNCTION("GOOGLETRANSLATE(B15365,""en"",""it"")"),"L'uomo si siede e sorride.")</f>
        <v>L'uomo si siede e sorride.</v>
      </c>
    </row>
    <row r="15366">
      <c r="A15366" s="4" t="s">
        <v>19360</v>
      </c>
      <c r="B15366" s="4" t="s">
        <v>19361</v>
      </c>
      <c r="C15366" s="5" t="str">
        <f>IFERROR(__xludf.DUMMYFUNCTION("GOOGLETRANSLATE(B15366,""en"",""it"")"),"Si vedono un primo piano di stivali e una persona che scava un buco.")</f>
        <v>Si vedono un primo piano di stivali e una persona che scava un buco.</v>
      </c>
    </row>
    <row r="15367">
      <c r="A15367" s="4" t="s">
        <v>19360</v>
      </c>
      <c r="B15367" s="4" t="s">
        <v>19362</v>
      </c>
      <c r="C15367" s="5" t="str">
        <f>IFERROR(__xludf.DUMMYFUNCTION("GOOGLETRANSLATE(B15367,""en"",""it"")"),"La persona espone lo sporco e ci taglia un buco mentre mette anche una pianta all'interno.")</f>
        <v>La persona espone lo sporco e ci taglia un buco mentre mette anche una pianta all'interno.</v>
      </c>
    </row>
    <row r="15368">
      <c r="A15368" s="4" t="s">
        <v>19360</v>
      </c>
      <c r="B15368" s="4" t="s">
        <v>19363</v>
      </c>
      <c r="C15368" s="5" t="str">
        <f>IFERROR(__xludf.DUMMYFUNCTION("GOOGLETRANSLATE(B15368,""en"",""it"")"),"La persona innaffia la pianta e termina gettando più sporcizia.")</f>
        <v>La persona innaffia la pianta e termina gettando più sporcizia.</v>
      </c>
    </row>
    <row r="15369">
      <c r="A15369" s="4" t="s">
        <v>19364</v>
      </c>
      <c r="B15369" s="4" t="s">
        <v>19365</v>
      </c>
      <c r="C15369" s="5" t="str">
        <f>IFERROR(__xludf.DUMMYFUNCTION("GOOGLETRANSLATE(B15369,""en"",""it"")"),"Un ragazzo è in piedi al bancone rivolto all'indietro dalla tavola Dart.")</f>
        <v>Un ragazzo è in piedi al bancone rivolto all'indietro dalla tavola Dart.</v>
      </c>
    </row>
    <row r="15370">
      <c r="A15370" s="4" t="s">
        <v>19364</v>
      </c>
      <c r="B15370" s="4" t="s">
        <v>19366</v>
      </c>
      <c r="C15370" s="5" t="str">
        <f>IFERROR(__xludf.DUMMYFUNCTION("GOOGLETRANSLATE(B15370,""en"",""it"")"),"Sua madre è in piedi accanto a lui e si sta preparando a gettare il dardo.")</f>
        <v>Sua madre è in piedi accanto a lui e si sta preparando a gettare il dardo.</v>
      </c>
    </row>
    <row r="15371">
      <c r="A15371" s="4" t="s">
        <v>19364</v>
      </c>
      <c r="B15371" s="4" t="s">
        <v>19367</v>
      </c>
      <c r="C15371" s="5" t="str">
        <f>IFERROR(__xludf.DUMMYFUNCTION("GOOGLETRANSLATE(B15371,""en"",""it"")"),"Lo lancia e manca completamente la tavola da dardo tutti insieme.")</f>
        <v>Lo lancia e manca completamente la tavola da dardo tutti insieme.</v>
      </c>
    </row>
    <row r="15372">
      <c r="A15372" s="4" t="s">
        <v>19364</v>
      </c>
      <c r="B15372" s="4" t="s">
        <v>19368</v>
      </c>
      <c r="C15372" s="5" t="str">
        <f>IFERROR(__xludf.DUMMYFUNCTION("GOOGLETRANSLATE(B15372,""en"",""it"")"),"Colpisce la cima del muro e va a raggiungerlo e lo toglie.")</f>
        <v>Colpisce la cima del muro e va a raggiungerlo e lo toglie.</v>
      </c>
    </row>
    <row r="15373">
      <c r="A15373" s="4" t="s">
        <v>19369</v>
      </c>
      <c r="B15373" s="4" t="s">
        <v>19370</v>
      </c>
      <c r="C15373" s="5" t="str">
        <f>IFERROR(__xludf.DUMMYFUNCTION("GOOGLETRANSLATE(B15373,""en"",""it"")"),"Un uomo si divide nell'uso di un'ascia in un cortile erboso mentre sua moglie recupera i pezzi.")</f>
        <v>Un uomo si divide nell'uso di un'ascia in un cortile erboso mentre sua moglie recupera i pezzi.</v>
      </c>
    </row>
    <row r="15374">
      <c r="A15374" s="4" t="s">
        <v>19369</v>
      </c>
      <c r="B15374" s="4" t="s">
        <v>19371</v>
      </c>
      <c r="C15374" s="5" t="str">
        <f>IFERROR(__xludf.DUMMYFUNCTION("GOOGLETRANSLATE(B15374,""en"",""it"")"),"Un uomo divide i tronchi nel cortile da solo.")</f>
        <v>Un uomo divide i tronchi nel cortile da solo.</v>
      </c>
    </row>
    <row r="15375">
      <c r="A15375" s="4" t="s">
        <v>19369</v>
      </c>
      <c r="B15375" s="4" t="s">
        <v>19372</v>
      </c>
      <c r="C15375" s="5" t="str">
        <f>IFERROR(__xludf.DUMMYFUNCTION("GOOGLETRANSLATE(B15375,""en"",""it"")"),"L'uomo mette la lama di ascia nel tronco e prende un freno.")</f>
        <v>L'uomo mette la lama di ascia nel tronco e prende un freno.</v>
      </c>
    </row>
    <row r="15376">
      <c r="A15376" s="4" t="s">
        <v>19373</v>
      </c>
      <c r="B15376" s="4" t="s">
        <v>19374</v>
      </c>
      <c r="C15376" s="5" t="str">
        <f>IFERROR(__xludf.DUMMYFUNCTION("GOOGLETRANSLATE(B15376,""en"",""it"")"),"Un uomo con una camicia blu è seduto tenendo in mano un bar su una macchina da esercizio.")</f>
        <v>Un uomo con una camicia blu è seduto tenendo in mano un bar su una macchina da esercizio.</v>
      </c>
    </row>
    <row r="15377">
      <c r="A15377" s="4" t="s">
        <v>19373</v>
      </c>
      <c r="B15377" s="4" t="s">
        <v>19375</v>
      </c>
      <c r="C15377" s="5" t="str">
        <f>IFERROR(__xludf.DUMMYFUNCTION("GOOGLETRANSLATE(B15377,""en"",""it"")"),"Si spinge via e usa la macchina per esercizi.")</f>
        <v>Si spinge via e usa la macchina per esercizi.</v>
      </c>
    </row>
    <row r="15378">
      <c r="A15378" s="4" t="s">
        <v>19376</v>
      </c>
      <c r="B15378" s="4" t="s">
        <v>19377</v>
      </c>
      <c r="C15378" s="5" t="str">
        <f>IFERROR(__xludf.DUMMYFUNCTION("GOOGLETRANSLATE(B15378,""en"",""it"")"),"Vediamo un uomo che pulisce un pavimento sotto i piedi femminili.")</f>
        <v>Vediamo un uomo che pulisce un pavimento sotto i piedi femminili.</v>
      </c>
    </row>
    <row r="15379">
      <c r="A15379" s="4" t="s">
        <v>19376</v>
      </c>
      <c r="B15379" s="4" t="s">
        <v>19378</v>
      </c>
      <c r="C15379" s="5" t="str">
        <f>IFERROR(__xludf.DUMMYFUNCTION("GOOGLETRANSLATE(B15379,""en"",""it"")"),"La signora di mezzo usa il piede per spostare il mop.")</f>
        <v>La signora di mezzo usa il piede per spostare il mop.</v>
      </c>
    </row>
    <row r="15380">
      <c r="A15380" s="4" t="s">
        <v>19376</v>
      </c>
      <c r="B15380" s="4" t="s">
        <v>19379</v>
      </c>
      <c r="C15380" s="5" t="str">
        <f>IFERROR(__xludf.DUMMYFUNCTION("GOOGLETRANSLATE(B15380,""en"",""it"")"),"La signora sinistra quindi muove la scopa con il piede.")</f>
        <v>La signora sinistra quindi muove la scopa con il piede.</v>
      </c>
    </row>
    <row r="15381">
      <c r="A15381" s="4" t="s">
        <v>19376</v>
      </c>
      <c r="B15381" s="4" t="s">
        <v>19380</v>
      </c>
      <c r="C15381" s="5" t="str">
        <f>IFERROR(__xludf.DUMMYFUNCTION("GOOGLETRANSLATE(B15381,""en"",""it"")"),"La signora di mezzo lo fa di nuovo, quindi l'uomo finisce di pulire il pavimento.")</f>
        <v>La signora di mezzo lo fa di nuovo, quindi l'uomo finisce di pulire il pavimento.</v>
      </c>
    </row>
    <row r="15382">
      <c r="A15382" s="4" t="s">
        <v>19381</v>
      </c>
      <c r="B15382" s="4" t="s">
        <v>19382</v>
      </c>
      <c r="C15382" s="5" t="str">
        <f>IFERROR(__xludf.DUMMYFUNCTION("GOOGLETRANSLATE(B15382,""en"",""it"")"),"Un ragazzo sta strisciando a terra.")</f>
        <v>Un ragazzo sta strisciando a terra.</v>
      </c>
    </row>
    <row r="15383">
      <c r="A15383" s="4" t="s">
        <v>19381</v>
      </c>
      <c r="B15383" s="4" t="s">
        <v>19383</v>
      </c>
      <c r="C15383" s="5" t="str">
        <f>IFERROR(__xludf.DUMMYFUNCTION("GOOGLETRANSLATE(B15383,""en"",""it"")"),"Il ragazzo sta usando un coltello da scatola per tagliare il tappeto.")</f>
        <v>Il ragazzo sta usando un coltello da scatola per tagliare il tappeto.</v>
      </c>
    </row>
    <row r="15384">
      <c r="A15384" s="4" t="s">
        <v>19381</v>
      </c>
      <c r="B15384" s="4" t="s">
        <v>19384</v>
      </c>
      <c r="C15384" s="5" t="str">
        <f>IFERROR(__xludf.DUMMYFUNCTION("GOOGLETRANSLATE(B15384,""en"",""it"")"),"Il ragazzo si guarda dietro di lui.")</f>
        <v>Il ragazzo si guarda dietro di lui.</v>
      </c>
    </row>
    <row r="15385">
      <c r="A15385" s="4" t="s">
        <v>19381</v>
      </c>
      <c r="B15385" s="4" t="s">
        <v>19385</v>
      </c>
      <c r="C15385" s="5" t="str">
        <f>IFERROR(__xludf.DUMMYFUNCTION("GOOGLETRANSLATE(B15385,""en"",""it"")"),"Ci sono molti documenti sul muro.")</f>
        <v>Ci sono molti documenti sul muro.</v>
      </c>
    </row>
    <row r="15386">
      <c r="A15386" s="4" t="s">
        <v>19386</v>
      </c>
      <c r="B15386" s="4" t="s">
        <v>19387</v>
      </c>
      <c r="C15386" s="5" t="str">
        <f>IFERROR(__xludf.DUMMYFUNCTION("GOOGLETRANSLATE(B15386,""en"",""it"")"),"Un gruppo di uomini viene visto condurre un cammello mentre una persona cavalca in cima al cammello.")</f>
        <v>Un gruppo di uomini viene visto condurre un cammello mentre una persona cavalca in cima al cammello.</v>
      </c>
    </row>
    <row r="15387">
      <c r="A15387" s="4" t="s">
        <v>19386</v>
      </c>
      <c r="B15387" s="6" t="s">
        <v>19388</v>
      </c>
      <c r="C15387" s="5" t="str">
        <f>IFERROR(__xludf.DUMMYFUNCTION("GOOGLETRANSLATE(B15387,""en"",""it"")"),"Un uomo conduce la telecamera in giro con la persona in cima e le persone che le registrano dai lati.")</f>
        <v>Un uomo conduce la telecamera in giro con la persona in cima e le persone che le registrano dai lati.</v>
      </c>
    </row>
    <row r="15388">
      <c r="A15388" s="4" t="s">
        <v>19386</v>
      </c>
      <c r="B15388" s="6" t="s">
        <v>19389</v>
      </c>
      <c r="C15388" s="5" t="str">
        <f>IFERROR(__xludf.DUMMYFUNCTION("GOOGLETRANSLATE(B15388,""en"",""it"")"),"L'uomo pone il cammello perché la persona si arrampica e il pilota sorride e ondate alla telecamera.")</f>
        <v>L'uomo pone il cammello perché la persona si arrampica e il pilota sorride e ondate alla telecamera.</v>
      </c>
    </row>
    <row r="15389">
      <c r="A15389" s="4" t="s">
        <v>19390</v>
      </c>
      <c r="B15389" s="4" t="s">
        <v>19391</v>
      </c>
      <c r="C15389" s="5" t="str">
        <f>IFERROR(__xludf.DUMMYFUNCTION("GOOGLETRANSLATE(B15389,""en"",""it"")"),"Un uomo sta correndo lungo un percorso nel campo al rallentatore preparandosi a lanciare un giavellotto.")</f>
        <v>Un uomo sta correndo lungo un percorso nel campo al rallentatore preparandosi a lanciare un giavellotto.</v>
      </c>
    </row>
    <row r="15390">
      <c r="A15390" s="4" t="s">
        <v>19390</v>
      </c>
      <c r="B15390" s="4" t="s">
        <v>19392</v>
      </c>
      <c r="C15390" s="5" t="str">
        <f>IFERROR(__xludf.DUMMYFUNCTION("GOOGLETRANSLATE(B15390,""en"",""it"")"),"Mentre si avvicina, inizia a girare e correre di lato e getta il giavellotto.")</f>
        <v>Mentre si avvicina, inizia a girare e correre di lato e getta il giavellotto.</v>
      </c>
    </row>
    <row r="15391">
      <c r="A15391" s="4" t="s">
        <v>19390</v>
      </c>
      <c r="B15391" s="6" t="s">
        <v>19393</v>
      </c>
      <c r="C15391" s="5" t="str">
        <f>IFERROR(__xludf.DUMMYFUNCTION("GOOGLETRANSLATE(B15391,""en"",""it"")"),"Una volta rilasciato, inciampa e ha difficoltà a cercare l'equilibrio mentre il resto delle persone che lo circondano guardano per vedere la sua distanza.")</f>
        <v>Una volta rilasciato, inciampa e ha difficoltà a cercare l'equilibrio mentre il resto delle persone che lo circondano guardano per vedere la sua distanza.</v>
      </c>
    </row>
    <row r="15392">
      <c r="A15392" s="4" t="s">
        <v>19394</v>
      </c>
      <c r="B15392" s="4" t="s">
        <v>19395</v>
      </c>
      <c r="C15392" s="5" t="str">
        <f>IFERROR(__xludf.DUMMYFUNCTION("GOOGLETRANSLATE(B15392,""en"",""it"")"),"Una ginnasta si esibisce su un cavallo di pomola davanti a una folla nelle gradinate.")</f>
        <v>Una ginnasta si esibisce su un cavallo di pomola davanti a una folla nelle gradinate.</v>
      </c>
    </row>
    <row r="15393">
      <c r="A15393" s="4" t="s">
        <v>19394</v>
      </c>
      <c r="B15393" s="4" t="s">
        <v>19396</v>
      </c>
      <c r="C15393" s="5" t="str">
        <f>IFERROR(__xludf.DUMMYFUNCTION("GOOGLETRANSLATE(B15393,""en"",""it"")"),"Quindi, si gira all'indietro e atterra sul tappetino in schiuma.")</f>
        <v>Quindi, si gira all'indietro e atterra sul tappetino in schiuma.</v>
      </c>
    </row>
    <row r="15394">
      <c r="A15394" s="4" t="s">
        <v>19397</v>
      </c>
      <c r="B15394" s="4" t="s">
        <v>19398</v>
      </c>
      <c r="C15394" s="5" t="str">
        <f>IFERROR(__xludf.DUMMYFUNCTION("GOOGLETRANSLATE(B15394,""en"",""it"")"),"Un uomo viene visto sparare un arco e una freccia seguiti da un altro uomo che prende un inchino e mirando.")</f>
        <v>Un uomo viene visto sparare un arco e una freccia seguiti da un altro uomo che prende un inchino e mirando.</v>
      </c>
    </row>
    <row r="15395">
      <c r="A15395" s="4" t="s">
        <v>19397</v>
      </c>
      <c r="B15395" s="4" t="s">
        <v>19399</v>
      </c>
      <c r="C15395" s="5" t="str">
        <f>IFERROR(__xludf.DUMMYFUNCTION("GOOGLETRANSLATE(B15395,""en"",""it"")"),"Un altro uomo viene visto inginocchiarsi prima degli archi e parlare alla telecamera.")</f>
        <v>Un altro uomo viene visto inginocchiarsi prima degli archi e parlare alla telecamera.</v>
      </c>
    </row>
    <row r="15396">
      <c r="A15396" s="4" t="s">
        <v>19397</v>
      </c>
      <c r="B15396" s="4" t="s">
        <v>19400</v>
      </c>
      <c r="C15396" s="5" t="str">
        <f>IFERROR(__xludf.DUMMYFUNCTION("GOOGLETRANSLATE(B15396,""en"",""it"")"),"Indica varie scatole e continua a guardare nella telecamera e parlare.")</f>
        <v>Indica varie scatole e continua a guardare nella telecamera e parlare.</v>
      </c>
    </row>
    <row r="15397">
      <c r="A15397" s="4" t="s">
        <v>19401</v>
      </c>
      <c r="B15397" s="4" t="s">
        <v>19402</v>
      </c>
      <c r="C15397" s="5" t="str">
        <f>IFERROR(__xludf.DUMMYFUNCTION("GOOGLETRANSLATE(B15397,""en"",""it"")"),"Il video è un tutorial sull'installazione di piastrelle del mazzo.")</f>
        <v>Il video è un tutorial sull'installazione di piastrelle del mazzo.</v>
      </c>
    </row>
    <row r="15398">
      <c r="A15398" s="4" t="s">
        <v>19401</v>
      </c>
      <c r="B15398" s="4" t="s">
        <v>19403</v>
      </c>
      <c r="C15398" s="5" t="str">
        <f>IFERROR(__xludf.DUMMYFUNCTION("GOOGLETRANSLATE(B15398,""en"",""it"")"),"C'è un appaltatore che lavora su un mazzo.")</f>
        <v>C'è un appaltatore che lavora su un mazzo.</v>
      </c>
    </row>
    <row r="15399">
      <c r="A15399" s="4" t="s">
        <v>19401</v>
      </c>
      <c r="B15399" s="4" t="s">
        <v>19404</v>
      </c>
      <c r="C15399" s="5" t="str">
        <f>IFERROR(__xludf.DUMMYFUNCTION("GOOGLETRANSLATE(B15399,""en"",""it"")"),"Comincia a installare le piastrelle di legno ad incastro su una superficie del ponte in cemento.")</f>
        <v>Comincia a installare le piastrelle di legno ad incastro su una superficie del ponte in cemento.</v>
      </c>
    </row>
    <row r="15400">
      <c r="A15400" s="4" t="s">
        <v>19401</v>
      </c>
      <c r="B15400" s="4" t="s">
        <v>19405</v>
      </c>
      <c r="C15400" s="5" t="str">
        <f>IFERROR(__xludf.DUMMYFUNCTION("GOOGLETRANSLATE(B15400,""en"",""it"")"),"Copre l'intero ponte con le piastrelle di legno per coprire uniformemente la superficie.")</f>
        <v>Copre l'intero ponte con le piastrelle di legno per coprire uniformemente la superficie.</v>
      </c>
    </row>
    <row r="15401">
      <c r="A15401" s="4" t="s">
        <v>19406</v>
      </c>
      <c r="B15401" s="4" t="s">
        <v>19407</v>
      </c>
      <c r="C15401" s="5" t="str">
        <f>IFERROR(__xludf.DUMMYFUNCTION("GOOGLETRANSLATE(B15401,""en"",""it"")"),"Un uomo più anziano è in una piscina e tiene una palla gialla davanti al viso.")</f>
        <v>Un uomo più anziano è in una piscina e tiene una palla gialla davanti al viso.</v>
      </c>
    </row>
    <row r="15402">
      <c r="A15402" s="4" t="s">
        <v>19406</v>
      </c>
      <c r="B15402" s="6" t="s">
        <v>19408</v>
      </c>
      <c r="C15402" s="5" t="str">
        <f>IFERROR(__xludf.DUMMYFUNCTION("GOOGLETRANSLATE(B15402,""en"",""it"")"),"L'uomo lo getta a un cane che si sta bilanciando su un dispositivo mobile blu e il cane lo colpisce all'uomo usando il naso.")</f>
        <v>L'uomo lo getta a un cane che si sta bilanciando su un dispositivo mobile blu e il cane lo colpisce all'uomo usando il naso.</v>
      </c>
    </row>
    <row r="15403">
      <c r="A15403" s="4" t="s">
        <v>19406</v>
      </c>
      <c r="B15403" s="6" t="s">
        <v>19409</v>
      </c>
      <c r="C15403" s="5" t="str">
        <f>IFERROR(__xludf.DUMMYFUNCTION("GOOGLETRANSLATE(B15403,""en"",""it"")"),"L'uomo lo respinge al cane e il cane lo colpisce indietro e poi fa scivolare via il dispositivo mobile e spruzza nell'acqua.")</f>
        <v>L'uomo lo respinge al cane e il cane lo colpisce indietro e poi fa scivolare via il dispositivo mobile e spruzza nell'acqua.</v>
      </c>
    </row>
    <row r="15404">
      <c r="A15404" s="4" t="s">
        <v>19410</v>
      </c>
      <c r="B15404" s="4" t="s">
        <v>19411</v>
      </c>
      <c r="C15404" s="5" t="str">
        <f>IFERROR(__xludf.DUMMYFUNCTION("GOOGLETRANSLATE(B15404,""en"",""it"")"),"Le donne sono insinuate una vasca da bagno che scrisse le gambe con CEAM e acqua.")</f>
        <v>Le donne sono insinuate una vasca da bagno che scrisse le gambe con CEAM e acqua.</v>
      </c>
    </row>
    <row r="15405">
      <c r="A15405" s="4" t="s">
        <v>19410</v>
      </c>
      <c r="B15405" s="4" t="s">
        <v>19412</v>
      </c>
      <c r="C15405" s="5" t="str">
        <f>IFERROR(__xludf.DUMMYFUNCTION("GOOGLETRANSLATE(B15405,""en"",""it"")"),"Le donne ridono di fronte a uno specchio.")</f>
        <v>Le donne ridono di fronte a uno specchio.</v>
      </c>
    </row>
    <row r="15406">
      <c r="A15406" s="4" t="s">
        <v>19413</v>
      </c>
      <c r="B15406" s="4" t="s">
        <v>19414</v>
      </c>
      <c r="C15406" s="5" t="str">
        <f>IFERROR(__xludf.DUMMYFUNCTION("GOOGLETRANSLATE(B15406,""en"",""it"")"),"Vediamo un lupo cadere nella schermata del titolo.")</f>
        <v>Vediamo un lupo cadere nella schermata del titolo.</v>
      </c>
    </row>
    <row r="15407">
      <c r="A15407" s="4" t="s">
        <v>19413</v>
      </c>
      <c r="B15407" s="4" t="s">
        <v>19415</v>
      </c>
      <c r="C15407" s="5" t="str">
        <f>IFERROR(__xludf.DUMMYFUNCTION("GOOGLETRANSLATE(B15407,""en"",""it"")"),"Vediamo il paesaggio di una piccola città.")</f>
        <v>Vediamo il paesaggio di una piccola città.</v>
      </c>
    </row>
    <row r="15408">
      <c r="A15408" s="4" t="s">
        <v>19413</v>
      </c>
      <c r="B15408" s="4" t="s">
        <v>19416</v>
      </c>
      <c r="C15408" s="5" t="str">
        <f>IFERROR(__xludf.DUMMYFUNCTION("GOOGLETRANSLATE(B15408,""en"",""it"")"),"Un ragazzo cavalca una strada su uno skateboard.")</f>
        <v>Un ragazzo cavalca una strada su uno skateboard.</v>
      </c>
    </row>
    <row r="15409">
      <c r="A15409" s="4" t="s">
        <v>19413</v>
      </c>
      <c r="B15409" s="4" t="s">
        <v>19417</v>
      </c>
      <c r="C15409" s="5" t="str">
        <f>IFERROR(__xludf.DUMMYFUNCTION("GOOGLETRANSLATE(B15409,""en"",""it"")"),"Quattro ragazzi sugli skateboard passano oltre.")</f>
        <v>Quattro ragazzi sugli skateboard passano oltre.</v>
      </c>
    </row>
    <row r="15410">
      <c r="A15410" s="4" t="s">
        <v>19413</v>
      </c>
      <c r="B15410" s="4" t="s">
        <v>19418</v>
      </c>
      <c r="C15410" s="5" t="str">
        <f>IFERROR(__xludf.DUMMYFUNCTION("GOOGLETRANSLATE(B15410,""en"",""it"")"),"Vediamo un ragazzo quasi cadere due volte.")</f>
        <v>Vediamo un ragazzo quasi cadere due volte.</v>
      </c>
    </row>
    <row r="15411">
      <c r="A15411" s="4" t="s">
        <v>19413</v>
      </c>
      <c r="B15411" s="4" t="s">
        <v>19419</v>
      </c>
      <c r="C15411" s="5" t="str">
        <f>IFERROR(__xludf.DUMMYFUNCTION("GOOGLETRANSLATE(B15411,""en"",""it"")"),"Vediamo la tavola sul marciapiede.")</f>
        <v>Vediamo la tavola sul marciapiede.</v>
      </c>
    </row>
    <row r="15412">
      <c r="A15412" s="4" t="s">
        <v>19413</v>
      </c>
      <c r="B15412" s="4" t="s">
        <v>19420</v>
      </c>
      <c r="C15412" s="5" t="str">
        <f>IFERROR(__xludf.DUMMYFUNCTION("GOOGLETRANSLATE(B15412,""en"",""it"")"),"Un gruppo di ragazzi che camminano su una collina.")</f>
        <v>Un gruppo di ragazzi che camminano su una collina.</v>
      </c>
    </row>
    <row r="15413">
      <c r="A15413" s="4" t="s">
        <v>19413</v>
      </c>
      <c r="B15413" s="4" t="s">
        <v>19421</v>
      </c>
      <c r="C15413" s="5" t="str">
        <f>IFERROR(__xludf.DUMMYFUNCTION("GOOGLETRANSLATE(B15413,""en"",""it"")"),"I crediti finali giocano e vediamo un ragazzo su un autobus.")</f>
        <v>I crediti finali giocano e vediamo un ragazzo su un autobus.</v>
      </c>
    </row>
    <row r="15414">
      <c r="A15414" s="4" t="s">
        <v>19422</v>
      </c>
      <c r="B15414" s="6" t="s">
        <v>19423</v>
      </c>
      <c r="C15414" s="5" t="str">
        <f>IFERROR(__xludf.DUMMYFUNCTION("GOOGLETRANSLATE(B15414,""en"",""it"")"),"Un uomo vestito con una felpa nera e pantaloncini neri, insieme a un'altra persona vestita con abbigliamento atletico bianco è in piedi in un campo da tennis vicino alla rete.")</f>
        <v>Un uomo vestito con una felpa nera e pantaloncini neri, insieme a un'altra persona vestita con abbigliamento atletico bianco è in piedi in un campo da tennis vicino alla rete.</v>
      </c>
    </row>
    <row r="15415">
      <c r="A15415" s="4" t="s">
        <v>19422</v>
      </c>
      <c r="B15415" s="4" t="s">
        <v>19424</v>
      </c>
      <c r="C15415" s="5" t="str">
        <f>IFERROR(__xludf.DUMMYFUNCTION("GOOGLETRANSLATE(B15415,""en"",""it"")"),"Entrambi tengono racchette da tennis.")</f>
        <v>Entrambi tengono racchette da tennis.</v>
      </c>
    </row>
    <row r="15416">
      <c r="A15416" s="4" t="s">
        <v>19422</v>
      </c>
      <c r="B15416" s="4" t="s">
        <v>19425</v>
      </c>
      <c r="C15416" s="5" t="str">
        <f>IFERROR(__xludf.DUMMYFUNCTION("GOOGLETRANSLATE(B15416,""en"",""it"")"),"La persona in nero sta dando un tutorial su come restituire un servizio nel tennis.")</f>
        <v>La persona in nero sta dando un tutorial su come restituire un servizio nel tennis.</v>
      </c>
    </row>
    <row r="15417">
      <c r="A15417" s="4" t="s">
        <v>19422</v>
      </c>
      <c r="B15417" s="4" t="s">
        <v>19426</v>
      </c>
      <c r="C15417" s="5" t="str">
        <f>IFERROR(__xludf.DUMMYFUNCTION("GOOGLETRANSLATE(B15417,""en"",""it"")"),"C'è un giocatore che dimostra il servizio come spiega l'allenatore.")</f>
        <v>C'è un giocatore che dimostra il servizio come spiega l'allenatore.</v>
      </c>
    </row>
    <row r="15418">
      <c r="A15418" s="4" t="s">
        <v>19422</v>
      </c>
      <c r="B15418" s="6" t="s">
        <v>19427</v>
      </c>
      <c r="C15418" s="5" t="str">
        <f>IFERROR(__xludf.DUMMYFUNCTION("GOOGLETRANSLATE(B15418,""en"",""it"")"),"Quindi la persona in bianco inizia a prendere di più sul servizio del tennis e su come giocare in modo efficace.")</f>
        <v>Quindi la persona in bianco inizia a prendere di più sul servizio del tennis e su come giocare in modo efficace.</v>
      </c>
    </row>
    <row r="15419">
      <c r="A15419" s="4" t="s">
        <v>19422</v>
      </c>
      <c r="B15419" s="4" t="s">
        <v>19428</v>
      </c>
      <c r="C15419" s="5" t="str">
        <f>IFERROR(__xludf.DUMMYFUNCTION("GOOGLETRANSLATE(B15419,""en"",""it"")"),"Il giocatore continua a dimostrare i servizi.")</f>
        <v>Il giocatore continua a dimostrare i servizi.</v>
      </c>
    </row>
    <row r="15420">
      <c r="A15420" s="4" t="s">
        <v>19429</v>
      </c>
      <c r="B15420" s="4" t="s">
        <v>19430</v>
      </c>
      <c r="C15420" s="5" t="str">
        <f>IFERROR(__xludf.DUMMYFUNCTION("GOOGLETRANSLATE(B15420,""en"",""it"")"),"Le persone stanno facendo trucchi sulle lame a rulli.")</f>
        <v>Le persone stanno facendo trucchi sulle lame a rulli.</v>
      </c>
    </row>
    <row r="15421">
      <c r="A15421" s="4" t="s">
        <v>19429</v>
      </c>
      <c r="B15421" s="4" t="s">
        <v>19431</v>
      </c>
      <c r="C15421" s="5" t="str">
        <f>IFERROR(__xludf.DUMMYFUNCTION("GOOGLETRANSLATE(B15421,""en"",""it"")"),"Un uomo salta giù da una rampa di scale sulle lame a rulli.")</f>
        <v>Un uomo salta giù da una rampa di scale sulle lame a rulli.</v>
      </c>
    </row>
    <row r="15422">
      <c r="A15422" s="4" t="s">
        <v>19429</v>
      </c>
      <c r="B15422" s="4" t="s">
        <v>19432</v>
      </c>
      <c r="C15422" s="5" t="str">
        <f>IFERROR(__xludf.DUMMYFUNCTION("GOOGLETRANSLATE(B15422,""en"",""it"")"),"Un uomo con una camicia bianca salta giù da una rampa di scale.")</f>
        <v>Un uomo con una camicia bianca salta giù da una rampa di scale.</v>
      </c>
    </row>
    <row r="15423">
      <c r="A15423" s="4" t="s">
        <v>19433</v>
      </c>
      <c r="B15423" s="4" t="s">
        <v>19434</v>
      </c>
      <c r="C15423" s="5" t="str">
        <f>IFERROR(__xludf.DUMMYFUNCTION("GOOGLETRANSLATE(B15423,""en"",""it"")"),"Tre uomini sono istituiti per giocare a freccette.")</f>
        <v>Tre uomini sono istituiti per giocare a freccette.</v>
      </c>
    </row>
    <row r="15424">
      <c r="A15424" s="4" t="s">
        <v>19433</v>
      </c>
      <c r="B15424" s="4" t="s">
        <v>19435</v>
      </c>
      <c r="C15424" s="5" t="str">
        <f>IFERROR(__xludf.DUMMYFUNCTION("GOOGLETRANSLATE(B15424,""en"",""it"")"),"L'uomo nelle camicie di pesca lancia un dardo nella tavola da dardo.")</f>
        <v>L'uomo nelle camicie di pesca lancia un dardo nella tavola da dardo.</v>
      </c>
    </row>
    <row r="15425">
      <c r="A15425" s="4" t="s">
        <v>19433</v>
      </c>
      <c r="B15425" s="4" t="s">
        <v>19436</v>
      </c>
      <c r="C15425" s="5" t="str">
        <f>IFERROR(__xludf.DUMMYFUNCTION("GOOGLETRANSLATE(B15425,""en"",""it"")"),"Un uomo in blu colpisce una pallina.")</f>
        <v>Un uomo in blu colpisce una pallina.</v>
      </c>
    </row>
    <row r="15426">
      <c r="A15426" s="4" t="s">
        <v>19433</v>
      </c>
      <c r="B15426" s="4" t="s">
        <v>19437</v>
      </c>
      <c r="C15426" s="5" t="str">
        <f>IFERROR(__xludf.DUMMYFUNCTION("GOOGLETRANSLATE(B15426,""en"",""it"")"),"L'uomo in linee di pesca eseguono il backup e spara tre freccette sulla tavola da dardo e le rimuove.")</f>
        <v>L'uomo in linee di pesca eseguono il backup e spara tre freccette sulla tavola da dardo e le rimuove.</v>
      </c>
    </row>
    <row r="15427">
      <c r="A15427" s="4" t="s">
        <v>19433</v>
      </c>
      <c r="B15427" s="4" t="s">
        <v>19438</v>
      </c>
      <c r="C15427" s="5" t="str">
        <f>IFERROR(__xludf.DUMMYFUNCTION("GOOGLETRANSLATE(B15427,""en"",""it"")"),"Rinuncia davanti alla tavola e lancia un altro dardo.")</f>
        <v>Rinuncia davanti alla tavola e lancia un altro dardo.</v>
      </c>
    </row>
    <row r="15428">
      <c r="A15428" s="4" t="s">
        <v>19433</v>
      </c>
      <c r="B15428" s="6" t="s">
        <v>19439</v>
      </c>
      <c r="C15428" s="5" t="str">
        <f>IFERROR(__xludf.DUMMYFUNCTION("GOOGLETRANSLATE(B15428,""en"",""it"")"),"Più persone si radunano mentre due uomini rimuovono le freccette dalle dartboard e tornano indietro.")</f>
        <v>Più persone si radunano mentre due uomini rimuovono le freccette dalle dartboard e tornano indietro.</v>
      </c>
    </row>
    <row r="15429">
      <c r="A15429" s="4" t="s">
        <v>19433</v>
      </c>
      <c r="B15429" s="4" t="s">
        <v>19440</v>
      </c>
      <c r="C15429" s="5" t="str">
        <f>IFERROR(__xludf.DUMMYFUNCTION("GOOGLETRANSLATE(B15429,""en"",""it"")"),"Entrambi gli uomini gettano un dardo al dardo.")</f>
        <v>Entrambi gli uomini gettano un dardo al dardo.</v>
      </c>
    </row>
    <row r="15430">
      <c r="A15430" s="4" t="s">
        <v>19433</v>
      </c>
      <c r="B15430" s="4" t="s">
        <v>19441</v>
      </c>
      <c r="C15430" s="5" t="str">
        <f>IFERROR(__xludf.DUMMYFUNCTION("GOOGLETRANSLATE(B15430,""en"",""it"")"),"L'uomo in pesca cammina per rimuovere le freccette.")</f>
        <v>L'uomo in pesca cammina per rimuovere le freccette.</v>
      </c>
    </row>
    <row r="15431">
      <c r="A15431" s="4" t="s">
        <v>19433</v>
      </c>
      <c r="B15431" s="4" t="s">
        <v>19442</v>
      </c>
      <c r="C15431" s="5" t="str">
        <f>IFERROR(__xludf.DUMMYFUNCTION("GOOGLETRANSLATE(B15431,""en"",""it"")"),"Una donna si trova vicino al Dart Board e sorride.")</f>
        <v>Una donna si trova vicino al Dart Board e sorride.</v>
      </c>
    </row>
    <row r="15432">
      <c r="A15432" s="4" t="s">
        <v>19433</v>
      </c>
      <c r="B15432" s="4" t="s">
        <v>19443</v>
      </c>
      <c r="C15432" s="5" t="str">
        <f>IFERROR(__xludf.DUMMYFUNCTION("GOOGLETRANSLATE(B15432,""en"",""it"")"),"L'uomo in Peach lancia di nuovo tre freccette sul tabellone e sorride mentre le rimuove.")</f>
        <v>L'uomo in Peach lancia di nuovo tre freccette sul tabellone e sorride mentre le rimuove.</v>
      </c>
    </row>
    <row r="15433">
      <c r="A15433" s="4" t="s">
        <v>19444</v>
      </c>
      <c r="B15433" s="4" t="s">
        <v>19445</v>
      </c>
      <c r="C15433" s="5" t="str">
        <f>IFERROR(__xludf.DUMMYFUNCTION("GOOGLETRANSLATE(B15433,""en"",""it"")"),"Vediamo un ragazzino in piedi su una piattaforma in una palestra della giungla.")</f>
        <v>Vediamo un ragazzino in piedi su una piattaforma in una palestra della giungla.</v>
      </c>
    </row>
    <row r="15434">
      <c r="A15434" s="4" t="s">
        <v>19444</v>
      </c>
      <c r="B15434" s="4" t="s">
        <v>19446</v>
      </c>
      <c r="C15434" s="5" t="str">
        <f>IFERROR(__xludf.DUMMYFUNCTION("GOOGLETRANSLATE(B15434,""en"",""it"")"),"Il ragazzo si arrampica sulle barre delle scimmie.")</f>
        <v>Il ragazzo si arrampica sulle barre delle scimmie.</v>
      </c>
    </row>
    <row r="15435">
      <c r="A15435" s="4" t="s">
        <v>19444</v>
      </c>
      <c r="B15435" s="4" t="s">
        <v>19447</v>
      </c>
      <c r="C15435" s="5" t="str">
        <f>IFERROR(__xludf.DUMMYFUNCTION("GOOGLETRANSLATE(B15435,""en"",""it"")"),"Il ragazzo raggiunge l'altra piattaforma e si gira e sorride per la fotocamera.")</f>
        <v>Il ragazzo raggiunge l'altra piattaforma e si gira e sorride per la fotocamera.</v>
      </c>
    </row>
    <row r="15436">
      <c r="A15436" s="4" t="s">
        <v>19448</v>
      </c>
      <c r="B15436" s="4" t="s">
        <v>19449</v>
      </c>
      <c r="C15436" s="5" t="str">
        <f>IFERROR(__xludf.DUMMYFUNCTION("GOOGLETRANSLATE(B15436,""en"",""it"")"),"Due uomini si siedono in una stanza che fumano sigarette una suonare la chitarra l'altra sulla tastiera.")</f>
        <v>Due uomini si siedono in una stanza che fumano sigarette una suonare la chitarra l'altra sulla tastiera.</v>
      </c>
    </row>
    <row r="15437">
      <c r="A15437" s="4" t="s">
        <v>19448</v>
      </c>
      <c r="B15437" s="4" t="s">
        <v>19450</v>
      </c>
      <c r="C15437" s="5" t="str">
        <f>IFERROR(__xludf.DUMMYFUNCTION("GOOGLETRANSLATE(B15437,""en"",""it"")"),"L'uomo alla chitarra a destra gli toglie la sigaretta dalla bocca e la mette giù.")</f>
        <v>L'uomo alla chitarra a destra gli toglie la sigaretta dalla bocca e la mette giù.</v>
      </c>
    </row>
    <row r="15438">
      <c r="A15438" s="4" t="s">
        <v>19448</v>
      </c>
      <c r="B15438" s="4" t="s">
        <v>19451</v>
      </c>
      <c r="C15438" s="5" t="str">
        <f>IFERROR(__xludf.DUMMYFUNCTION("GOOGLETRANSLATE(B15438,""en"",""it"")"),"L'uomo a sinistra toglie la sigaretta e si asciuga la bocca sul braccio.")</f>
        <v>L'uomo a sinistra toglie la sigaretta e si asciuga la bocca sul braccio.</v>
      </c>
    </row>
    <row r="15439">
      <c r="A15439" s="4" t="s">
        <v>19448</v>
      </c>
      <c r="B15439" s="6" t="s">
        <v>19452</v>
      </c>
      <c r="C15439" s="5" t="str">
        <f>IFERROR(__xludf.DUMMYFUNCTION("GOOGLETRANSLATE(B15439,""en"",""it"")"),"Finiscono e l'uomo a sinistra si asciuga la bocca e la destra toglie la sigaretta e soffia fumo.")</f>
        <v>Finiscono e l'uomo a sinistra si asciuga la bocca e la destra toglie la sigaretta e soffia fumo.</v>
      </c>
    </row>
    <row r="15440">
      <c r="A15440" s="4" t="s">
        <v>19453</v>
      </c>
      <c r="B15440" s="4" t="s">
        <v>19454</v>
      </c>
      <c r="C15440" s="5" t="str">
        <f>IFERROR(__xludf.DUMMYFUNCTION("GOOGLETRANSLATE(B15440,""en"",""it"")"),"Una donna anziana e una bambina vengono visti lavare i piatti in un lavandino e parlare tra loro.")</f>
        <v>Una donna anziana e una bambina vengono visti lavare i piatti in un lavandino e parlare tra loro.</v>
      </c>
    </row>
    <row r="15441">
      <c r="A15441" s="4" t="s">
        <v>19453</v>
      </c>
      <c r="B15441" s="4" t="s">
        <v>19455</v>
      </c>
      <c r="C15441" s="5" t="str">
        <f>IFERROR(__xludf.DUMMYFUNCTION("GOOGLETRANSLATE(B15441,""en"",""it"")"),"Le persone giocano in acqua e la ragazza soffia bolle mentre la donna lava i piatti.")</f>
        <v>Le persone giocano in acqua e la ragazza soffia bolle mentre la donna lava i piatti.</v>
      </c>
    </row>
    <row r="15442">
      <c r="A15442" s="4" t="s">
        <v>19456</v>
      </c>
      <c r="B15442" s="4" t="s">
        <v>19457</v>
      </c>
      <c r="C15442" s="5" t="str">
        <f>IFERROR(__xludf.DUMMYFUNCTION("GOOGLETRANSLATE(B15442,""en"",""it"")"),"Un aquilone colorato a forma esagonale sta volando in alto in aria.")</f>
        <v>Un aquilone colorato a forma esagonale sta volando in alto in aria.</v>
      </c>
    </row>
    <row r="15443">
      <c r="A15443" s="4" t="s">
        <v>19456</v>
      </c>
      <c r="B15443" s="4" t="s">
        <v>19458</v>
      </c>
      <c r="C15443" s="5" t="str">
        <f>IFERROR(__xludf.DUMMYFUNCTION("GOOGLETRANSLATE(B15443,""en"",""it"")"),"I cieli blu trasparenti e il sole splendente rendono l'aquilone molto colorato e radioso.")</f>
        <v>I cieli blu trasparenti e il sole splendente rendono l'aquilone molto colorato e radioso.</v>
      </c>
    </row>
    <row r="15444">
      <c r="A15444" s="4" t="s">
        <v>19459</v>
      </c>
      <c r="B15444" s="4" t="s">
        <v>19460</v>
      </c>
      <c r="C15444" s="5" t="str">
        <f>IFERROR(__xludf.DUMMYFUNCTION("GOOGLETRANSLATE(B15444,""en"",""it"")"),"Viene mostrato un video di animazione dei cartoni animati con persone che vagano e razzi che vengono girati.")</f>
        <v>Viene mostrato un video di animazione dei cartoni animati con persone che vagano e razzi che vengono girati.</v>
      </c>
    </row>
    <row r="15445">
      <c r="A15445" s="4" t="s">
        <v>19459</v>
      </c>
      <c r="B15445" s="4" t="s">
        <v>19461</v>
      </c>
      <c r="C15445" s="5" t="str">
        <f>IFERROR(__xludf.DUMMYFUNCTION("GOOGLETRANSLATE(B15445,""en"",""it"")"),"Due uomini combattono i robot del male e finiscono con un proseguimento.")</f>
        <v>Due uomini combattono i robot del male e finiscono con un proseguimento.</v>
      </c>
    </row>
    <row r="15446">
      <c r="A15446" s="4" t="s">
        <v>19462</v>
      </c>
      <c r="B15446" s="6" t="s">
        <v>19463</v>
      </c>
      <c r="C15446" s="5" t="str">
        <f>IFERROR(__xludf.DUMMYFUNCTION("GOOGLETRANSLATE(B15446,""en"",""it"")"),"Viene vista una donna parlare alla telecamera e conduce a gettare vari prodotti alimentari e mescolare ingredienti in un frullatore.")</f>
        <v>Viene vista una donna parlare alla telecamera e conduce a gettare vari prodotti alimentari e mescolare ingredienti in un frullatore.</v>
      </c>
    </row>
    <row r="15447">
      <c r="A15447" s="4" t="s">
        <v>19462</v>
      </c>
      <c r="B15447" s="4" t="s">
        <v>19464</v>
      </c>
      <c r="C15447" s="5" t="str">
        <f>IFERROR(__xludf.DUMMYFUNCTION("GOOGLETRANSLATE(B15447,""en"",""it"")"),"Versa più farina nel mixer e mostra diversi scatti di biscotti.")</f>
        <v>Versa più farina nel mixer e mostra diversi scatti di biscotti.</v>
      </c>
    </row>
    <row r="15448">
      <c r="A15448" s="4" t="s">
        <v>19462</v>
      </c>
      <c r="B15448" s="6" t="s">
        <v>19465</v>
      </c>
      <c r="C15448" s="5" t="str">
        <f>IFERROR(__xludf.DUMMYFUNCTION("GOOGLETRANSLATE(B15448,""en"",""it"")"),"Dispone più ingredienti, versano un cucchiaio di pasta su una padella e poi spezza un biscotto cotto.")</f>
        <v>Dispone più ingredienti, versano un cucchiaio di pasta su una padella e poi spezza un biscotto cotto.</v>
      </c>
    </row>
    <row r="15449">
      <c r="A15449" s="4" t="s">
        <v>19466</v>
      </c>
      <c r="B15449" s="4" t="s">
        <v>19467</v>
      </c>
      <c r="C15449" s="5" t="str">
        <f>IFERROR(__xludf.DUMMYFUNCTION("GOOGLETRANSLATE(B15449,""en"",""it"")"),"Un uomo anziano sta camminando e un grande uccello bianco si morde al piede destro.")</f>
        <v>Un uomo anziano sta camminando e un grande uccello bianco si morde al piede destro.</v>
      </c>
    </row>
    <row r="15450">
      <c r="A15450" s="4" t="s">
        <v>19466</v>
      </c>
      <c r="B15450" s="4" t="s">
        <v>19468</v>
      </c>
      <c r="C15450" s="5" t="str">
        <f>IFERROR(__xludf.DUMMYFUNCTION("GOOGLETRANSLATE(B15450,""en"",""it"")"),"L'uomo si gira e punta e rimprovera l'uccello e continua a camminare.")</f>
        <v>L'uomo si gira e punta e rimprovera l'uccello e continua a camminare.</v>
      </c>
    </row>
    <row r="15451">
      <c r="A15451" s="4" t="s">
        <v>19466</v>
      </c>
      <c r="B15451" s="6" t="s">
        <v>19469</v>
      </c>
      <c r="C15451" s="5" t="str">
        <f>IFERROR(__xludf.DUMMYFUNCTION("GOOGLETRANSLATE(B15451,""en"",""it"")"),"L'uomo quindi si piega vicino ad alcune scale, si asciuga l'esterno dell'edificio e l'uccello continua ad attaccare l'uomo.")</f>
        <v>L'uomo quindi si piega vicino ad alcune scale, si asciuga l'esterno dell'edificio e l'uccello continua ad attaccare l'uomo.</v>
      </c>
    </row>
    <row r="15452">
      <c r="A15452" s="4" t="s">
        <v>19466</v>
      </c>
      <c r="B15452" s="6" t="s">
        <v>19470</v>
      </c>
      <c r="C15452" s="5" t="str">
        <f>IFERROR(__xludf.DUMMYFUNCTION("GOOGLETRANSLATE(B15452,""en"",""it"")"),"L'uomo rimprovera di nuovo l'uccello e movide il cane che è anche lì che il cane e l'uccello dovrebbero interagire, ma l'uccello continua a scherzare con l'uomo e il cane ne rimane fuori.")</f>
        <v>L'uomo rimprovera di nuovo l'uccello e movide il cane che è anche lì che il cane e l'uccello dovrebbero interagire, ma l'uccello continua a scherzare con l'uomo e il cane ne rimane fuori.</v>
      </c>
    </row>
    <row r="15453">
      <c r="A15453" s="4" t="s">
        <v>19471</v>
      </c>
      <c r="B15453" s="4" t="s">
        <v>19472</v>
      </c>
      <c r="C15453" s="5" t="str">
        <f>IFERROR(__xludf.DUMMYFUNCTION("GOOGLETRANSLATE(B15453,""en"",""it"")"),"Vengono viste varie donne che guardano la telecamera seguita da un uomo che parla alla telecamera.")</f>
        <v>Vengono viste varie donne che guardano la telecamera seguita da un uomo che parla alla telecamera.</v>
      </c>
    </row>
    <row r="15454">
      <c r="A15454" s="4" t="s">
        <v>19471</v>
      </c>
      <c r="B15454" s="4" t="s">
        <v>19473</v>
      </c>
      <c r="C15454" s="5" t="str">
        <f>IFERROR(__xludf.DUMMYFUNCTION("GOOGLETRANSLATE(B15454,""en"",""it"")"),"Vengono mostrati diversi strumenti che Lea in una donna che si lava i capelli.")</f>
        <v>Vengono mostrati diversi strumenti che Lea in una donna che si lava i capelli.</v>
      </c>
    </row>
    <row r="15455">
      <c r="A15455" s="4" t="s">
        <v>19471</v>
      </c>
      <c r="B15455" s="6" t="s">
        <v>19474</v>
      </c>
      <c r="C15455" s="5" t="str">
        <f>IFERROR(__xludf.DUMMYFUNCTION("GOOGLETRANSLATE(B15455,""en"",""it"")"),"Un'altra donna si lava i capelli e conduce in più clip di donne che sorridono e guardano alla telecamera.")</f>
        <v>Un'altra donna si lava i capelli e conduce in più clip di donne che sorridono e guardano alla telecamera.</v>
      </c>
    </row>
    <row r="15456">
      <c r="A15456" s="4" t="s">
        <v>19475</v>
      </c>
      <c r="B15456" s="4" t="s">
        <v>19476</v>
      </c>
      <c r="C15456" s="5" t="str">
        <f>IFERROR(__xludf.DUMMYFUNCTION("GOOGLETRANSLATE(B15456,""en"",""it"")"),"Due persone giocano a palla da parete in una stanza.")</f>
        <v>Due persone giocano a palla da parete in una stanza.</v>
      </c>
    </row>
    <row r="15457">
      <c r="A15457" s="4" t="s">
        <v>19475</v>
      </c>
      <c r="B15457" s="4" t="s">
        <v>19477</v>
      </c>
      <c r="C15457" s="5" t="str">
        <f>IFERROR(__xludf.DUMMYFUNCTION("GOOGLETRANSLATE(B15457,""en"",""it"")"),"Un ragazzo cade in immersione per la palla.")</f>
        <v>Un ragazzo cade in immersione per la palla.</v>
      </c>
    </row>
    <row r="15458">
      <c r="A15458" s="4" t="s">
        <v>19475</v>
      </c>
      <c r="B15458" s="4" t="s">
        <v>19478</v>
      </c>
      <c r="C15458" s="5" t="str">
        <f>IFERROR(__xludf.DUMMYFUNCTION("GOOGLETRANSLATE(B15458,""en"",""it"")"),"Una persona cammina davanti alla stanza.")</f>
        <v>Una persona cammina davanti alla stanza.</v>
      </c>
    </row>
    <row r="15459">
      <c r="A15459" s="4" t="s">
        <v>19479</v>
      </c>
      <c r="B15459" s="4" t="s">
        <v>19480</v>
      </c>
      <c r="C15459" s="5" t="str">
        <f>IFERROR(__xludf.DUMMYFUNCTION("GOOGLETRANSLATE(B15459,""en"",""it"")"),"Un uomo è in casa, mentre prende un frisbee da terra.")</f>
        <v>Un uomo è in casa, mentre prende un frisbee da terra.</v>
      </c>
    </row>
    <row r="15460">
      <c r="A15460" s="4" t="s">
        <v>19479</v>
      </c>
      <c r="B15460" s="4" t="s">
        <v>19481</v>
      </c>
      <c r="C15460" s="5" t="str">
        <f>IFERROR(__xludf.DUMMYFUNCTION("GOOGLETRANSLATE(B15460,""en"",""it"")"),"Quindi usa diversi frisbee per addestrare e mostrare le acrobazie di un cane Collie di medie dimensioni.")</f>
        <v>Quindi usa diversi frisbee per addestrare e mostrare le acrobazie di un cane Collie di medie dimensioni.</v>
      </c>
    </row>
    <row r="15461">
      <c r="A15461" s="4" t="s">
        <v>19479</v>
      </c>
      <c r="B15461" s="4" t="s">
        <v>19482</v>
      </c>
      <c r="C15461" s="5" t="str">
        <f>IFERROR(__xludf.DUMMYFUNCTION("GOOGLETRANSLATE(B15461,""en"",""it"")"),"Il cane scappa dallo schermo e riporta i frisbee.")</f>
        <v>Il cane scappa dallo schermo e riporta i frisbee.</v>
      </c>
    </row>
    <row r="15462">
      <c r="A15462" s="4" t="s">
        <v>19479</v>
      </c>
      <c r="B15462" s="4" t="s">
        <v>19483</v>
      </c>
      <c r="C15462" s="5" t="str">
        <f>IFERROR(__xludf.DUMMYFUNCTION("GOOGLETRANSLATE(B15462,""en"",""it"")"),"La scena termina con il cane che cerca disperatamente di rimuovere un frisbee dalla mano dell'uomo seduto.")</f>
        <v>La scena termina con il cane che cerca disperatamente di rimuovere un frisbee dalla mano dell'uomo seduto.</v>
      </c>
    </row>
    <row r="15463">
      <c r="A15463" s="4" t="s">
        <v>19484</v>
      </c>
      <c r="B15463" s="4" t="s">
        <v>19485</v>
      </c>
      <c r="C15463" s="5" t="str">
        <f>IFERROR(__xludf.DUMMYFUNCTION("GOOGLETRANSLATE(B15463,""en"",""it"")"),"Un uomo più anziano viene visto camminare verso la telecamera e indica varie piante intorno a lui.")</f>
        <v>Un uomo più anziano viene visto camminare verso la telecamera e indica varie piante intorno a lui.</v>
      </c>
    </row>
    <row r="15464">
      <c r="A15464" s="4" t="s">
        <v>19484</v>
      </c>
      <c r="B15464" s="4" t="s">
        <v>19486</v>
      </c>
      <c r="C15464" s="5" t="str">
        <f>IFERROR(__xludf.DUMMYFUNCTION("GOOGLETRANSLATE(B15464,""en"",""it"")"),"La fotocamera si panoramica intorno all'area con tutte le piante che crescono e mostra l'uomo che tiene uno strumento.")</f>
        <v>La fotocamera si panoramica intorno all'area con tutte le piante che crescono e mostra l'uomo che tiene uno strumento.</v>
      </c>
    </row>
    <row r="15465">
      <c r="A15465" s="4" t="s">
        <v>19484</v>
      </c>
      <c r="B15465" s="6" t="s">
        <v>19487</v>
      </c>
      <c r="C15465" s="5" t="str">
        <f>IFERROR(__xludf.DUMMYFUNCTION("GOOGLETRANSLATE(B15465,""en"",""it"")"),"L'uomo quindi usa lo strumento lungo una siepe di cespugli mentre guarda indietro e sorridendo alla telecamera.")</f>
        <v>L'uomo quindi usa lo strumento lungo una siepe di cespugli mentre guarda indietro e sorridendo alla telecamera.</v>
      </c>
    </row>
    <row r="15466">
      <c r="A15466" s="4" t="s">
        <v>19488</v>
      </c>
      <c r="B15466" s="4" t="s">
        <v>19489</v>
      </c>
      <c r="C15466" s="5" t="str">
        <f>IFERROR(__xludf.DUMMYFUNCTION("GOOGLETRANSLATE(B15466,""en"",""it"")"),"Una ragazza viene vista parlare con la telecamera in piedi prima di una partita di Scotch Hop.")</f>
        <v>Una ragazza viene vista parlare con la telecamera in piedi prima di una partita di Scotch Hop.</v>
      </c>
    </row>
    <row r="15467">
      <c r="A15467" s="4" t="s">
        <v>19488</v>
      </c>
      <c r="B15467" s="4" t="s">
        <v>19490</v>
      </c>
      <c r="C15467" s="5" t="str">
        <f>IFERROR(__xludf.DUMMYFUNCTION("GOOGLETRANSLATE(B15467,""en"",""it"")"),"La ragazza quindi lancia una roccia e salta per finire mentre lo afferra e salta indietro.")</f>
        <v>La ragazza quindi lancia una roccia e salta per finire mentre lo afferra e salta indietro.</v>
      </c>
    </row>
    <row r="15468">
      <c r="A15468" s="4" t="s">
        <v>19491</v>
      </c>
      <c r="B15468" s="4" t="s">
        <v>19492</v>
      </c>
      <c r="C15468" s="5" t="str">
        <f>IFERROR(__xludf.DUMMYFUNCTION("GOOGLETRANSLATE(B15468,""en"",""it"")"),"Una donna è in piedi dietro un vuoto.")</f>
        <v>Una donna è in piedi dietro un vuoto.</v>
      </c>
    </row>
    <row r="15469">
      <c r="A15469" s="4" t="s">
        <v>19491</v>
      </c>
      <c r="B15469" s="4" t="s">
        <v>19493</v>
      </c>
      <c r="C15469" s="5" t="str">
        <f>IFERROR(__xludf.DUMMYFUNCTION("GOOGLETRANSLATE(B15469,""en"",""it"")"),"Comincia a aspirare il tappeto.")</f>
        <v>Comincia a aspirare il tappeto.</v>
      </c>
    </row>
    <row r="15470">
      <c r="A15470" s="4" t="s">
        <v>19491</v>
      </c>
      <c r="B15470" s="4" t="s">
        <v>19494</v>
      </c>
      <c r="C15470" s="5" t="str">
        <f>IFERROR(__xludf.DUMMYFUNCTION("GOOGLETRANSLATE(B15470,""en"",""it"")"),"Si toglie l'attacco del tubo e pulisce una lampada e le scale.")</f>
        <v>Si toglie l'attacco del tubo e pulisce una lampada e le scale.</v>
      </c>
    </row>
    <row r="15471">
      <c r="A15471" s="4" t="s">
        <v>19491</v>
      </c>
      <c r="B15471" s="4" t="s">
        <v>19495</v>
      </c>
      <c r="C15471" s="5" t="str">
        <f>IFERROR(__xludf.DUMMYFUNCTION("GOOGLETRANSLATE(B15471,""en"",""it"")"),"Scattona il filtro del vuoto nella cestino.")</f>
        <v>Scattona il filtro del vuoto nella cestino.</v>
      </c>
    </row>
    <row r="15472">
      <c r="A15472" s="4" t="s">
        <v>19496</v>
      </c>
      <c r="B15472" s="4" t="s">
        <v>19497</v>
      </c>
      <c r="C15472" s="5" t="str">
        <f>IFERROR(__xludf.DUMMYFUNCTION("GOOGLETRANSLATE(B15472,""en"",""it"")"),"Viene mostrata la ricetta per fare Limeade.")</f>
        <v>Viene mostrata la ricetta per fare Limeade.</v>
      </c>
    </row>
    <row r="15473">
      <c r="A15473" s="4" t="s">
        <v>19496</v>
      </c>
      <c r="B15473" s="4" t="s">
        <v>19498</v>
      </c>
      <c r="C15473" s="5" t="str">
        <f>IFERROR(__xludf.DUMMYFUNCTION("GOOGLETRANSLATE(B15473,""en"",""it"")"),"I lime sono spremuti e quindi combinati con acqua e zucchero.")</f>
        <v>I lime sono spremuti e quindi combinati con acqua e zucchero.</v>
      </c>
    </row>
    <row r="15474">
      <c r="A15474" s="4" t="s">
        <v>19496</v>
      </c>
      <c r="B15474" s="4" t="s">
        <v>19499</v>
      </c>
      <c r="C15474" s="5" t="str">
        <f>IFERROR(__xludf.DUMMYFUNCTION("GOOGLETRANSLATE(B15474,""en"",""it"")"),"Il tutto è mescolato.")</f>
        <v>Il tutto è mescolato.</v>
      </c>
    </row>
    <row r="15475">
      <c r="A15475" s="4" t="s">
        <v>19500</v>
      </c>
      <c r="B15475" s="4" t="s">
        <v>19501</v>
      </c>
      <c r="C15475" s="5" t="str">
        <f>IFERROR(__xludf.DUMMYFUNCTION("GOOGLETRANSLATE(B15475,""en"",""it"")"),"Ci sono due body costruttori vestiti con camicie nere che dimostrano il sollevamento pesi in palestra.")</f>
        <v>Ci sono due body costruttori vestiti con camicie nere che dimostrano il sollevamento pesi in palestra.</v>
      </c>
    </row>
    <row r="15476">
      <c r="A15476" s="4" t="s">
        <v>19500</v>
      </c>
      <c r="B15476" s="6" t="s">
        <v>19502</v>
      </c>
      <c r="C15476" s="5" t="str">
        <f>IFERROR(__xludf.DUMMYFUNCTION("GOOGLETRANSLATE(B15476,""en"",""it"")"),"Uno dei bodybuilder sta sollevando i pesi mentre l'altro spiega il metodo corretto per farlo.")</f>
        <v>Uno dei bodybuilder sta sollevando i pesi mentre l'altro spiega il metodo corretto per farlo.</v>
      </c>
    </row>
    <row r="15477">
      <c r="A15477" s="4" t="s">
        <v>19500</v>
      </c>
      <c r="B15477" s="6" t="s">
        <v>19503</v>
      </c>
      <c r="C15477" s="5" t="str">
        <f>IFERROR(__xludf.DUMMYFUNCTION("GOOGLETRANSLATE(B15477,""en"",""it"")"),"All'inizio il bodybuilder solleva il peso e poi si riprende rapidamente per aumentare i pesi.")</f>
        <v>All'inizio il bodybuilder solleva il peso e poi si riprende rapidamente per aumentare i pesi.</v>
      </c>
    </row>
    <row r="15478">
      <c r="A15478" s="4" t="s">
        <v>19500</v>
      </c>
      <c r="B15478" s="4" t="s">
        <v>19504</v>
      </c>
      <c r="C15478" s="5" t="str">
        <f>IFERROR(__xludf.DUMMYFUNCTION("GOOGLETRANSLATE(B15478,""en"",""it"")"),"L'altro bodybuilder continua a spiegare le strategie di sollevamento pesi utilizzate professionalmente.")</f>
        <v>L'altro bodybuilder continua a spiegare le strategie di sollevamento pesi utilizzate professionalmente.</v>
      </c>
    </row>
    <row r="15479">
      <c r="A15479" s="4" t="s">
        <v>19505</v>
      </c>
      <c r="B15479" s="4" t="s">
        <v>19506</v>
      </c>
      <c r="C15479" s="5" t="str">
        <f>IFERROR(__xludf.DUMMYFUNCTION("GOOGLETRANSLATE(B15479,""en"",""it"")"),"Vediamo una schermata del titolo scivolare verso il basso lo schermo.")</f>
        <v>Vediamo una schermata del titolo scivolare verso il basso lo schermo.</v>
      </c>
    </row>
    <row r="15480">
      <c r="A15480" s="4" t="s">
        <v>19505</v>
      </c>
      <c r="B15480" s="4" t="s">
        <v>19507</v>
      </c>
      <c r="C15480" s="5" t="str">
        <f>IFERROR(__xludf.DUMMYFUNCTION("GOOGLETRANSLATE(B15480,""en"",""it"")"),"Quindi guardiamo un ragazzo più grande e una ciotola in una pista da bowling.")</f>
        <v>Quindi guardiamo un ragazzo più grande e una ciotola in una pista da bowling.</v>
      </c>
    </row>
    <row r="15481">
      <c r="A15481" s="4" t="s">
        <v>19505</v>
      </c>
      <c r="B15481" s="4" t="s">
        <v>19508</v>
      </c>
      <c r="C15481" s="5" t="str">
        <f>IFERROR(__xludf.DUMMYFUNCTION("GOOGLETRANSLATE(B15481,""en"",""it"")"),"Un bambino in una camicia arancione rotola la palla lungo il corridoio.")</f>
        <v>Un bambino in una camicia arancione rotola la palla lungo il corridoio.</v>
      </c>
    </row>
    <row r="15482">
      <c r="A15482" s="4" t="s">
        <v>19505</v>
      </c>
      <c r="B15482" s="4" t="s">
        <v>19509</v>
      </c>
      <c r="C15482" s="5" t="str">
        <f>IFERROR(__xludf.DUMMYFUNCTION("GOOGLETRANSLATE(B15482,""en"",""it"")"),"Guardiamo un ragazzo più grande con una camicia verde rotolare la palla 5 volte e otteniamo 4 colpi.")</f>
        <v>Guardiamo un ragazzo più grande con una camicia verde rotolare la palla 5 volte e otteniamo 4 colpi.</v>
      </c>
    </row>
    <row r="15483">
      <c r="A15483" s="4" t="s">
        <v>19505</v>
      </c>
      <c r="B15483" s="4" t="s">
        <v>19510</v>
      </c>
      <c r="C15483" s="5" t="str">
        <f>IFERROR(__xludf.DUMMYFUNCTION("GOOGLETRANSLATE(B15483,""en"",""it"")"),"Vediamo uno schermo del titolo e un rallentatore di uno degli scatti del ragazzo più grande.")</f>
        <v>Vediamo uno schermo del titolo e un rallentatore di uno degli scatti del ragazzo più grande.</v>
      </c>
    </row>
    <row r="15484">
      <c r="A15484" s="4" t="s">
        <v>19511</v>
      </c>
      <c r="B15484" s="6" t="s">
        <v>19512</v>
      </c>
      <c r="C15484" s="5" t="str">
        <f>IFERROR(__xludf.DUMMYFUNCTION("GOOGLETRANSLATE(B15484,""en"",""it"")"),"Un uomo viene mostrato fuori in un parco per bambini con pantaloncini grigi su un paio di sneaker Puma in bianco e nero.")</f>
        <v>Un uomo viene mostrato fuori in un parco per bambini con pantaloncini grigi su un paio di sneaker Puma in bianco e nero.</v>
      </c>
    </row>
    <row r="15485">
      <c r="A15485" s="4" t="s">
        <v>19511</v>
      </c>
      <c r="B15485" s="6" t="s">
        <v>19513</v>
      </c>
      <c r="C15485" s="5" t="str">
        <f>IFERROR(__xludf.DUMMYFUNCTION("GOOGLETRANSLATE(B15485,""en"",""it"")"),"Quindi si tira a sedere sopra le barre delle scimmie e si mette sopra di loro e si mette in una mano.")</f>
        <v>Quindi si tira a sedere sopra le barre delle scimmie e si mette sopra di loro e si mette in una mano.</v>
      </c>
    </row>
    <row r="15486">
      <c r="A15486" s="4" t="s">
        <v>19511</v>
      </c>
      <c r="B15486" s="4" t="s">
        <v>19514</v>
      </c>
      <c r="C15486" s="5" t="str">
        <f>IFERROR(__xludf.DUMMYFUNCTION("GOOGLETRANSLATE(B15486,""en"",""it"")"),"Una volta che ha avuto l'equilibrio, viaggia attraverso è e ci salta fuori dalla fine.")</f>
        <v>Una volta che ha avuto l'equilibrio, viaggia attraverso è e ci salta fuori dalla fine.</v>
      </c>
    </row>
    <row r="15487">
      <c r="A15487" s="4" t="s">
        <v>19515</v>
      </c>
      <c r="B15487" s="4" t="s">
        <v>19516</v>
      </c>
      <c r="C15487" s="5" t="str">
        <f>IFERROR(__xludf.DUMMYFUNCTION("GOOGLETRANSLATE(B15487,""en"",""it"")"),"Tre persone siedono sul palco e hanno una conversazione.")</f>
        <v>Tre persone siedono sul palco e hanno una conversazione.</v>
      </c>
    </row>
    <row r="15488">
      <c r="A15488" s="4" t="s">
        <v>19515</v>
      </c>
      <c r="B15488" s="4" t="s">
        <v>19517</v>
      </c>
      <c r="C15488" s="5" t="str">
        <f>IFERROR(__xludf.DUMMYFUNCTION("GOOGLETRANSLATE(B15488,""en"",""it"")"),"Due ragazzi ballano allo stesso modo.")</f>
        <v>Due ragazzi ballano allo stesso modo.</v>
      </c>
    </row>
    <row r="15489">
      <c r="A15489" s="4" t="s">
        <v>19515</v>
      </c>
      <c r="B15489" s="4" t="s">
        <v>19518</v>
      </c>
      <c r="C15489" s="5" t="str">
        <f>IFERROR(__xludf.DUMMYFUNCTION("GOOGLETRANSLATE(B15489,""en"",""it"")"),"L'immagine di un uomo è incorporata nello schermo con i ballerini.")</f>
        <v>L'immagine di un uomo è incorporata nello schermo con i ballerini.</v>
      </c>
    </row>
    <row r="15490">
      <c r="A15490" s="4" t="s">
        <v>19515</v>
      </c>
      <c r="B15490" s="4" t="s">
        <v>19519</v>
      </c>
      <c r="C15490" s="5" t="str">
        <f>IFERROR(__xludf.DUMMYFUNCTION("GOOGLETRANSLATE(B15490,""en"",""it"")"),"L'uomo si copre il viso con la mano.")</f>
        <v>L'uomo si copre il viso con la mano.</v>
      </c>
    </row>
    <row r="15491">
      <c r="A15491" s="4" t="s">
        <v>19515</v>
      </c>
      <c r="B15491" s="4" t="s">
        <v>19520</v>
      </c>
      <c r="C15491" s="5" t="str">
        <f>IFERROR(__xludf.DUMMYFUNCTION("GOOGLETRANSLATE(B15491,""en"",""it"")"),"L'uomo e la donna gestiscono i movimenti della mano dei ballerini.")</f>
        <v>L'uomo e la donna gestiscono i movimenti della mano dei ballerini.</v>
      </c>
    </row>
    <row r="15492">
      <c r="A15492" s="4" t="s">
        <v>19515</v>
      </c>
      <c r="B15492" s="4" t="s">
        <v>19521</v>
      </c>
      <c r="C15492" s="5" t="str">
        <f>IFERROR(__xludf.DUMMYFUNCTION("GOOGLETRANSLATE(B15492,""en"",""it"")"),"Quest'uomo scende dal sedile e dalle ginocchia.")</f>
        <v>Quest'uomo scende dal sedile e dalle ginocchia.</v>
      </c>
    </row>
    <row r="15493">
      <c r="A15493" s="4" t="s">
        <v>19515</v>
      </c>
      <c r="B15493" s="4" t="s">
        <v>19522</v>
      </c>
      <c r="C15493" s="5" t="str">
        <f>IFERROR(__xludf.DUMMYFUNCTION("GOOGLETRANSLATE(B15493,""en"",""it"")"),"L'uomo si inginocchia e si siede di nuovo.")</f>
        <v>L'uomo si inginocchia e si siede di nuovo.</v>
      </c>
    </row>
    <row r="15494">
      <c r="A15494" s="4" t="s">
        <v>19515</v>
      </c>
      <c r="B15494" s="4" t="s">
        <v>19523</v>
      </c>
      <c r="C15494" s="5" t="str">
        <f>IFERROR(__xludf.DUMMYFUNCTION("GOOGLETRANSLATE(B15494,""en"",""it"")"),"L'uomo e la femmina toccano le mani mentre sono seduti.")</f>
        <v>L'uomo e la femmina toccano le mani mentre sono seduti.</v>
      </c>
    </row>
    <row r="15495">
      <c r="A15495" s="4" t="s">
        <v>19515</v>
      </c>
      <c r="B15495" s="4" t="s">
        <v>19524</v>
      </c>
      <c r="C15495" s="5" t="str">
        <f>IFERROR(__xludf.DUMMYFUNCTION("GOOGLETRANSLATE(B15495,""en"",""it"")"),"L'uomo batte le mani insieme.")</f>
        <v>L'uomo batte le mani insieme.</v>
      </c>
    </row>
    <row r="15496">
      <c r="A15496" s="4" t="s">
        <v>19515</v>
      </c>
      <c r="B15496" s="4" t="s">
        <v>19525</v>
      </c>
      <c r="C15496" s="5" t="str">
        <f>IFERROR(__xludf.DUMMYFUNCTION("GOOGLETRANSLATE(B15496,""en"",""it"")"),"L'uomo saluta un uomo nel backstage per unirsi a loro.")</f>
        <v>L'uomo saluta un uomo nel backstage per unirsi a loro.</v>
      </c>
    </row>
    <row r="15497">
      <c r="A15497" s="4" t="s">
        <v>19515</v>
      </c>
      <c r="B15497" s="4" t="s">
        <v>19526</v>
      </c>
      <c r="C15497" s="5" t="str">
        <f>IFERROR(__xludf.DUMMYFUNCTION("GOOGLETRANSLATE(B15497,""en"",""it"")"),"Un uomo permanente che è backstage applausi.")</f>
        <v>Un uomo permanente che è backstage applausi.</v>
      </c>
    </row>
    <row r="15498">
      <c r="A15498" s="4" t="s">
        <v>19515</v>
      </c>
      <c r="B15498" s="4" t="s">
        <v>19527</v>
      </c>
      <c r="C15498" s="5" t="str">
        <f>IFERROR(__xludf.DUMMYFUNCTION("GOOGLETRANSLATE(B15498,""en"",""it"")"),"I due ballerini sono mostrati che estendono una mano.")</f>
        <v>I due ballerini sono mostrati che estendono una mano.</v>
      </c>
    </row>
    <row r="15499">
      <c r="A15499" s="4" t="s">
        <v>19515</v>
      </c>
      <c r="B15499" s="4" t="s">
        <v>19528</v>
      </c>
      <c r="C15499" s="5" t="str">
        <f>IFERROR(__xludf.DUMMYFUNCTION("GOOGLETRANSLATE(B15499,""en"",""it"")"),"Un uomo cammina dal backstage.")</f>
        <v>Un uomo cammina dal backstage.</v>
      </c>
    </row>
    <row r="15500">
      <c r="A15500" s="4" t="s">
        <v>19515</v>
      </c>
      <c r="B15500" s="4" t="s">
        <v>19529</v>
      </c>
      <c r="C15500" s="5" t="str">
        <f>IFERROR(__xludf.DUMMYFUNCTION("GOOGLETRANSLATE(B15500,""en"",""it"")"),"L'uomo stringe la mano e abbraccia uno dell'uomo sul palco.")</f>
        <v>L'uomo stringe la mano e abbraccia uno dell'uomo sul palco.</v>
      </c>
    </row>
    <row r="15501">
      <c r="A15501" s="4" t="s">
        <v>19515</v>
      </c>
      <c r="B15501" s="4" t="s">
        <v>19530</v>
      </c>
      <c r="C15501" s="5" t="str">
        <f>IFERROR(__xludf.DUMMYFUNCTION("GOOGLETRANSLATE(B15501,""en"",""it"")"),"La femmina si alza e abbraccia anche l'uomo.")</f>
        <v>La femmina si alza e abbraccia anche l'uomo.</v>
      </c>
    </row>
    <row r="15502">
      <c r="A15502" s="4" t="s">
        <v>19515</v>
      </c>
      <c r="B15502" s="4" t="s">
        <v>19531</v>
      </c>
      <c r="C15502" s="5" t="str">
        <f>IFERROR(__xludf.DUMMYFUNCTION("GOOGLETRANSLATE(B15502,""en"",""it"")"),"Un uomo sta e poi siede.")</f>
        <v>Un uomo sta e poi siede.</v>
      </c>
    </row>
    <row r="15503">
      <c r="A15503" s="4" t="s">
        <v>19515</v>
      </c>
      <c r="B15503" s="4" t="s">
        <v>19532</v>
      </c>
      <c r="C15503" s="5" t="str">
        <f>IFERROR(__xludf.DUMMYFUNCTION("GOOGLETRANSLATE(B15503,""en"",""it"")"),"L'uomo in un abito nero balla e poi si siede.")</f>
        <v>L'uomo in un abito nero balla e poi si siede.</v>
      </c>
    </row>
    <row r="15504">
      <c r="A15504" s="4" t="s">
        <v>19515</v>
      </c>
      <c r="B15504" s="4" t="s">
        <v>19533</v>
      </c>
      <c r="C15504" s="5" t="str">
        <f>IFERROR(__xludf.DUMMYFUNCTION("GOOGLETRANSLATE(B15504,""en"",""it"")"),"L'uomo in un abito marrone ritorna nell'area del backstage.")</f>
        <v>L'uomo in un abito marrone ritorna nell'area del backstage.</v>
      </c>
    </row>
    <row r="15505">
      <c r="A15505" s="4" t="s">
        <v>19515</v>
      </c>
      <c r="B15505" s="4" t="s">
        <v>19534</v>
      </c>
      <c r="C15505" s="5" t="str">
        <f>IFERROR(__xludf.DUMMYFUNCTION("GOOGLETRANSLATE(B15505,""en"",""it"")"),"L'uomo viene mostrato durante il backstage.")</f>
        <v>L'uomo viene mostrato durante il backstage.</v>
      </c>
    </row>
    <row r="15506">
      <c r="A15506" s="4" t="s">
        <v>19515</v>
      </c>
      <c r="B15506" s="4" t="s">
        <v>19535</v>
      </c>
      <c r="C15506" s="5" t="str">
        <f>IFERROR(__xludf.DUMMYFUNCTION("GOOGLETRANSLATE(B15506,""en"",""it"")"),"Viene mostrato il nome dello spettacolo.")</f>
        <v>Viene mostrato il nome dello spettacolo.</v>
      </c>
    </row>
    <row r="15507">
      <c r="A15507" s="4" t="s">
        <v>19536</v>
      </c>
      <c r="B15507" s="6" t="s">
        <v>19537</v>
      </c>
      <c r="C15507" s="5" t="str">
        <f>IFERROR(__xludf.DUMMYFUNCTION("GOOGLETRANSLATE(B15507,""en"",""it"")"),"Vengono mostrati diversi colpi di persone che spingono barche a vela in acqua e li cavalcano l'uno intorno all'altro.")</f>
        <v>Vengono mostrati diversi colpi di persone che spingono barche a vela in acqua e li cavalcano l'uno intorno all'altro.</v>
      </c>
    </row>
    <row r="15508">
      <c r="A15508" s="4" t="s">
        <v>19536</v>
      </c>
      <c r="B15508" s="6" t="s">
        <v>19538</v>
      </c>
      <c r="C15508" s="5" t="str">
        <f>IFERROR(__xludf.DUMMYFUNCTION("GOOGLETRANSLATE(B15508,""en"",""it"")"),"Le persone sono viste andare in giro su jet ski seguendo la barca e i primi piani delle barche che vengono mostrate e sott'acqua.")</f>
        <v>Le persone sono viste andare in giro su jet ski seguendo la barca e i primi piani delle barche che vengono mostrate e sott'acqua.</v>
      </c>
    </row>
    <row r="15509">
      <c r="A15509" s="4" t="s">
        <v>19536</v>
      </c>
      <c r="B15509" s="4" t="s">
        <v>19539</v>
      </c>
      <c r="C15509" s="5" t="str">
        <f>IFERROR(__xludf.DUMMYFUNCTION("GOOGLETRANSLATE(B15509,""en"",""it"")"),"Più persone vengono viste cavalcare su barche più piccole e finiscono trascinando una barca a riva.")</f>
        <v>Più persone vengono viste cavalcare su barche più piccole e finiscono trascinando una barca a riva.</v>
      </c>
    </row>
    <row r="15510">
      <c r="A15510" s="4" t="s">
        <v>19540</v>
      </c>
      <c r="B15510" s="4" t="s">
        <v>19541</v>
      </c>
      <c r="C15510" s="5" t="str">
        <f>IFERROR(__xludf.DUMMYFUNCTION("GOOGLETRANSLATE(B15510,""en"",""it"")"),"I bambini stanno andando in bicicletta su una pista sporca.")</f>
        <v>I bambini stanno andando in bicicletta su una pista sporca.</v>
      </c>
    </row>
    <row r="15511">
      <c r="A15511" s="4" t="s">
        <v>19540</v>
      </c>
      <c r="B15511" s="4" t="s">
        <v>19542</v>
      </c>
      <c r="C15511" s="5" t="str">
        <f>IFERROR(__xludf.DUMMYFUNCTION("GOOGLETRANSLATE(B15511,""en"",""it"")"),"Uno di questi si ribalta e cade.")</f>
        <v>Uno di questi si ribalta e cade.</v>
      </c>
    </row>
    <row r="15512">
      <c r="A15512" s="4" t="s">
        <v>19540</v>
      </c>
      <c r="B15512" s="4" t="s">
        <v>19543</v>
      </c>
      <c r="C15512" s="5" t="str">
        <f>IFERROR(__xludf.DUMMYFUNCTION("GOOGLETRANSLATE(B15512,""en"",""it"")"),"Continuano a girare in pista.")</f>
        <v>Continuano a girare in pista.</v>
      </c>
    </row>
    <row r="15513">
      <c r="A15513" s="4" t="s">
        <v>19540</v>
      </c>
      <c r="B15513" s="4" t="s">
        <v>19544</v>
      </c>
      <c r="C15513" s="5" t="str">
        <f>IFERROR(__xludf.DUMMYFUNCTION("GOOGLETRANSLATE(B15513,""en"",""it"")"),"Un'altra persona si schianta e cade.")</f>
        <v>Un'altra persona si schianta e cade.</v>
      </c>
    </row>
    <row r="15514">
      <c r="A15514" s="4" t="s">
        <v>19545</v>
      </c>
      <c r="B15514" s="4" t="s">
        <v>19546</v>
      </c>
      <c r="C15514" s="5" t="str">
        <f>IFERROR(__xludf.DUMMYFUNCTION("GOOGLETRANSLATE(B15514,""en"",""it"")"),"Un gruppo di ballerini in abiti rossi balla sul palco.")</f>
        <v>Un gruppo di ballerini in abiti rossi balla sul palco.</v>
      </c>
    </row>
    <row r="15515">
      <c r="A15515" s="4" t="s">
        <v>19545</v>
      </c>
      <c r="B15515" s="4" t="s">
        <v>19547</v>
      </c>
      <c r="C15515" s="5" t="str">
        <f>IFERROR(__xludf.DUMMYFUNCTION("GOOGLETRANSLATE(B15515,""en"",""it"")"),"Un gruppo di cheerleader in rosa si trova su un campo mentre un gruppo in bianco si avvicina alla grande allenatore.")</f>
        <v>Un gruppo di cheerleader in rosa si trova su un campo mentre un gruppo in bianco si avvicina alla grande allenatore.</v>
      </c>
    </row>
    <row r="15516">
      <c r="A15516" s="4" t="s">
        <v>19545</v>
      </c>
      <c r="B15516" s="4" t="s">
        <v>19548</v>
      </c>
      <c r="C15516" s="5" t="str">
        <f>IFERROR(__xludf.DUMMYFUNCTION("GOOGLETRANSLATE(B15516,""en"",""it"")"),"Una donna solista in una camicetta rossa discute gli eventi in una stanza con lettere illuminate sullo sfondo.")</f>
        <v>Una donna solista in una camicetta rossa discute gli eventi in una stanza con lettere illuminate sullo sfondo.</v>
      </c>
    </row>
    <row r="15517">
      <c r="A15517" s="4" t="s">
        <v>19545</v>
      </c>
      <c r="B15517" s="4" t="s">
        <v>19549</v>
      </c>
      <c r="C15517" s="5" t="str">
        <f>IFERROR(__xludf.DUMMYFUNCTION("GOOGLETRANSLATE(B15517,""en"",""it"")"),"Entrambe le squadre di donne si allineano insieme sul campo.")</f>
        <v>Entrambe le squadre di donne si allineano insieme sul campo.</v>
      </c>
    </row>
    <row r="15518">
      <c r="A15518" s="4" t="s">
        <v>19545</v>
      </c>
      <c r="B15518" s="4" t="s">
        <v>19550</v>
      </c>
      <c r="C15518" s="5" t="str">
        <f>IFERROR(__xludf.DUMMYFUNCTION("GOOGLETRANSLATE(B15518,""en"",""it"")"),"Entrambi i gruppi di donne ballano insieme all'unisono con l'allenatore che guida di fronte.")</f>
        <v>Entrambi i gruppi di donne ballano insieme all'unisono con l'allenatore che guida di fronte.</v>
      </c>
    </row>
    <row r="15519">
      <c r="A15519" s="4" t="s">
        <v>19545</v>
      </c>
      <c r="B15519" s="4" t="s">
        <v>19551</v>
      </c>
      <c r="C15519" s="5" t="str">
        <f>IFERROR(__xludf.DUMMYFUNCTION("GOOGLETRANSLATE(B15519,""en"",""it"")"),"Le donne in divise rosa ballano sul campo.")</f>
        <v>Le donne in divise rosa ballano sul campo.</v>
      </c>
    </row>
    <row r="15520">
      <c r="A15520" s="4" t="s">
        <v>19545</v>
      </c>
      <c r="B15520" s="4" t="s">
        <v>19552</v>
      </c>
      <c r="C15520" s="5" t="str">
        <f>IFERROR(__xludf.DUMMYFUNCTION("GOOGLETRANSLATE(B15520,""en"",""it"")"),"Le donne in divise bianche ballano sul campo.")</f>
        <v>Le donne in divise bianche ballano sul campo.</v>
      </c>
    </row>
    <row r="15521">
      <c r="A15521" s="4" t="s">
        <v>19553</v>
      </c>
      <c r="B15521" s="4" t="s">
        <v>1487</v>
      </c>
      <c r="C15521" s="5" t="str">
        <f>IFERROR(__xludf.DUMMYFUNCTION("GOOGLETRANSLATE(B15521,""en"",""it"")"),"Vediamo una schermata del titolo di apertura.")</f>
        <v>Vediamo una schermata del titolo di apertura.</v>
      </c>
    </row>
    <row r="15522">
      <c r="A15522" s="4" t="s">
        <v>19553</v>
      </c>
      <c r="B15522" s="4" t="s">
        <v>19554</v>
      </c>
      <c r="C15522" s="5" t="str">
        <f>IFERROR(__xludf.DUMMYFUNCTION("GOOGLETRANSLATE(B15522,""en"",""it"")"),"Vediamo un uomo che si fa aleggiare intorno a una pipa.")</f>
        <v>Vediamo un uomo che si fa aleggiare intorno a una pipa.</v>
      </c>
    </row>
    <row r="15523">
      <c r="A15523" s="4" t="s">
        <v>19553</v>
      </c>
      <c r="B15523" s="4" t="s">
        <v>19555</v>
      </c>
      <c r="C15523" s="5" t="str">
        <f>IFERROR(__xludf.DUMMYFUNCTION("GOOGLETRANSLATE(B15523,""en"",""it"")"),"L'uomo quindi spinge il tubo e lo inchioda.")</f>
        <v>L'uomo quindi spinge il tubo e lo inchioda.</v>
      </c>
    </row>
    <row r="15524">
      <c r="A15524" s="4" t="s">
        <v>19553</v>
      </c>
      <c r="B15524" s="4" t="s">
        <v>19556</v>
      </c>
      <c r="C15524" s="5" t="str">
        <f>IFERROR(__xludf.DUMMYFUNCTION("GOOGLETRANSLATE(B15524,""en"",""it"")"),"L'uomo aggiunge catrame alla base del tubo e le unghie in unghie si scandina attorno a essa.")</f>
        <v>L'uomo aggiunge catrame alla base del tubo e le unghie in unghie si scandina attorno a essa.</v>
      </c>
    </row>
    <row r="15525">
      <c r="A15525" s="4" t="s">
        <v>19553</v>
      </c>
      <c r="B15525" s="4" t="s">
        <v>19557</v>
      </c>
      <c r="C15525" s="5" t="str">
        <f>IFERROR(__xludf.DUMMYFUNCTION("GOOGLETRANSLATE(B15525,""en"",""it"")"),"L'uomo quindi mette il catrame sotto la ghiaia superiore.")</f>
        <v>L'uomo quindi mette il catrame sotto la ghiaia superiore.</v>
      </c>
    </row>
    <row r="15526">
      <c r="A15526" s="4" t="s">
        <v>19553</v>
      </c>
      <c r="B15526" s="4" t="s">
        <v>19558</v>
      </c>
      <c r="C15526" s="5" t="str">
        <f>IFERROR(__xludf.DUMMYFUNCTION("GOOGLETRANSLATE(B15526,""en"",""it"")"),"Vediamo la casa e un camion parcheggiato nel vialetto.")</f>
        <v>Vediamo la casa e un camion parcheggiato nel vialetto.</v>
      </c>
    </row>
    <row r="15527">
      <c r="A15527" s="4" t="s">
        <v>19559</v>
      </c>
      <c r="B15527" s="6" t="s">
        <v>19560</v>
      </c>
      <c r="C15527" s="5" t="str">
        <f>IFERROR(__xludf.DUMMYFUNCTION("GOOGLETRANSLATE(B15527,""en"",""it"")"),"Una donna si inginocchia all'aperto su un terreno di cemento e sciacqua i vestiti e li lava usando un secchio di metallo per il risciacquo e il terreno come lavagna per i vestiti.")</f>
        <v>Una donna si inginocchia all'aperto su un terreno di cemento e sciacqua i vestiti e li lava usando un secchio di metallo per il risciacquo e il terreno come lavagna per i vestiti.</v>
      </c>
    </row>
    <row r="15528">
      <c r="A15528" s="4" t="s">
        <v>19559</v>
      </c>
      <c r="B15528" s="6" t="s">
        <v>19561</v>
      </c>
      <c r="C15528" s="5" t="str">
        <f>IFERROR(__xludf.DUMMYFUNCTION("GOOGLETRANSLATE(B15528,""en"",""it"")"),"Una bambina si avvicina alla donna e versa più acqua nel secchio di metallo della donna, poi si allontana per stare accanto a un pozzo dove un'altra donna si inginocchia e lava i vestiti allo stesso modo.")</f>
        <v>Una bambina si avvicina alla donna e versa più acqua nel secchio di metallo della donna, poi si allontana per stare accanto a un pozzo dove un'altra donna si inginocchia e lava i vestiti allo stesso modo.</v>
      </c>
    </row>
    <row r="15529">
      <c r="A15529" s="4" t="s">
        <v>19559</v>
      </c>
      <c r="B15529" s="6" t="s">
        <v>19562</v>
      </c>
      <c r="C15529" s="5" t="str">
        <f>IFERROR(__xludf.DUMMYFUNCTION("GOOGLETRANSLATE(B15529,""en"",""it"")"),"La prima donna viene mostrata di nuovo questa volta lavando un grande lenzuolo bianco contro il terreno usando di nuovo il secchio di metallo per l'approvvigionamento idrico.")</f>
        <v>La prima donna viene mostrata di nuovo questa volta lavando un grande lenzuolo bianco contro il terreno usando di nuovo il secchio di metallo per l'approvvigionamento idrico.</v>
      </c>
    </row>
    <row r="15530">
      <c r="A15530" s="4" t="s">
        <v>19563</v>
      </c>
      <c r="B15530" s="4" t="s">
        <v>19564</v>
      </c>
      <c r="C15530" s="5" t="str">
        <f>IFERROR(__xludf.DUMMYFUNCTION("GOOGLETRANSLATE(B15530,""en"",""it"")"),"Un uomo forte sta sollevando le gambe su e giù attraverso barre parallele.")</f>
        <v>Un uomo forte sta sollevando le gambe su e giù attraverso barre parallele.</v>
      </c>
    </row>
    <row r="15531">
      <c r="A15531" s="4" t="s">
        <v>19563</v>
      </c>
      <c r="B15531" s="4" t="s">
        <v>19565</v>
      </c>
      <c r="C15531" s="5" t="str">
        <f>IFERROR(__xludf.DUMMYFUNCTION("GOOGLETRANSLATE(B15531,""en"",""it"")"),"Comincia a fare scrollate di spalle alle sbarre.")</f>
        <v>Comincia a fare scrollate di spalle alle sbarre.</v>
      </c>
    </row>
    <row r="15532">
      <c r="A15532" s="4" t="s">
        <v>19563</v>
      </c>
      <c r="B15532" s="4" t="s">
        <v>19566</v>
      </c>
      <c r="C15532" s="5" t="str">
        <f>IFERROR(__xludf.DUMMYFUNCTION("GOOGLETRANSLATE(B15532,""en"",""it"")"),"Comincia a camminare sul suo corpo con le mani.")</f>
        <v>Comincia a camminare sul suo corpo con le mani.</v>
      </c>
    </row>
    <row r="15533">
      <c r="A15533" s="4" t="s">
        <v>19563</v>
      </c>
      <c r="B15533" s="4" t="s">
        <v>19567</v>
      </c>
      <c r="C15533" s="5" t="str">
        <f>IFERROR(__xludf.DUMMYFUNCTION("GOOGLETRANSLATE(B15533,""en"",""it"")"),"Gira intorno al bordo delle sbarre con le braccia.")</f>
        <v>Gira intorno al bordo delle sbarre con le braccia.</v>
      </c>
    </row>
    <row r="15534">
      <c r="A15534" s="4" t="s">
        <v>19563</v>
      </c>
      <c r="B15534" s="4" t="s">
        <v>19568</v>
      </c>
      <c r="C15534" s="5" t="str">
        <f>IFERROR(__xludf.DUMMYFUNCTION("GOOGLETRANSLATE(B15534,""en"",""it"")"),"Fa oscillare le gambe e salta con le braccia attraverso le barre parallele.")</f>
        <v>Fa oscillare le gambe e salta con le braccia attraverso le barre parallele.</v>
      </c>
    </row>
    <row r="15535">
      <c r="A15535" s="4" t="s">
        <v>19563</v>
      </c>
      <c r="B15535" s="4" t="s">
        <v>19569</v>
      </c>
      <c r="C15535" s="5" t="str">
        <f>IFERROR(__xludf.DUMMYFUNCTION("GOOGLETRANSLATE(B15535,""en"",""it"")"),"Un uomo fa immergere le barre parallele.")</f>
        <v>Un uomo fa immergere le barre parallele.</v>
      </c>
    </row>
    <row r="15536">
      <c r="A15536" s="4" t="s">
        <v>19563</v>
      </c>
      <c r="B15536" s="4" t="s">
        <v>19570</v>
      </c>
      <c r="C15536" s="5" t="str">
        <f>IFERROR(__xludf.DUMMYFUNCTION("GOOGLETRANSLATE(B15536,""en"",""it"")"),"Un altro uomo si abbassa ai gomiti sulle barre parallele.")</f>
        <v>Un altro uomo si abbassa ai gomiti sulle barre parallele.</v>
      </c>
    </row>
    <row r="15537">
      <c r="A15537" s="4" t="s">
        <v>19563</v>
      </c>
      <c r="B15537" s="6" t="s">
        <v>19571</v>
      </c>
      <c r="C15537" s="5" t="str">
        <f>IFERROR(__xludf.DUMMYFUNCTION("GOOGLETRANSLATE(B15537,""en"",""it"")"),"Quindi inizia a fare i salti alle ascelle sulle barre parallele chiamate salse russe, mantenendo le gambe in aria.")</f>
        <v>Quindi inizia a fare i salti alle ascelle sulle barre parallele chiamate salse russe, mantenendo le gambe in aria.</v>
      </c>
    </row>
    <row r="15538">
      <c r="A15538" s="4" t="s">
        <v>19563</v>
      </c>
      <c r="B15538" s="4" t="s">
        <v>19572</v>
      </c>
      <c r="C15538" s="5" t="str">
        <f>IFERROR(__xludf.DUMMYFUNCTION("GOOGLETRANSLATE(B15538,""en"",""it"")"),"Un uomo si tuffa con il suo corpo davanti alla barra e le gambe si lancia sotto la barra.")</f>
        <v>Un uomo si tuffa con il suo corpo davanti alla barra e le gambe si lancia sotto la barra.</v>
      </c>
    </row>
    <row r="15539">
      <c r="A15539" s="4" t="s">
        <v>19563</v>
      </c>
      <c r="B15539" s="4" t="s">
        <v>19573</v>
      </c>
      <c r="C15539" s="5" t="str">
        <f>IFERROR(__xludf.DUMMYFUNCTION("GOOGLETRANSLATE(B15539,""en"",""it"")"),"Quindi fa i flessioni sulle barre parallele, scendendo, spingendosi in avanti, poi su.")</f>
        <v>Quindi fa i flessioni sulle barre parallele, scendendo, spingendosi in avanti, poi su.</v>
      </c>
    </row>
    <row r="15540">
      <c r="A15540" s="4" t="s">
        <v>19563</v>
      </c>
      <c r="B15540" s="4" t="s">
        <v>19574</v>
      </c>
      <c r="C15540" s="5" t="str">
        <f>IFERROR(__xludf.DUMMYFUNCTION("GOOGLETRANSLATE(B15540,""en"",""it"")"),"Comincia a fare flessioni, con le ginocchia nascoste, con le barre parallele.")</f>
        <v>Comincia a fare flessioni, con le ginocchia nascoste, con le barre parallele.</v>
      </c>
    </row>
    <row r="15541">
      <c r="A15541" s="4" t="s">
        <v>19563</v>
      </c>
      <c r="B15541" s="6" t="s">
        <v>19575</v>
      </c>
      <c r="C15541" s="5" t="str">
        <f>IFERROR(__xludf.DUMMYFUNCTION("GOOGLETRANSLATE(B15541,""en"",""it"")"),"Un uomo diverso fa cali per le gambe, fa oscillare le gambe su e intorno a ciascun bar parallelo e si spinge in avanti attraverso le barre parallele.")</f>
        <v>Un uomo diverso fa cali per le gambe, fa oscillare le gambe su e intorno a ciascun bar parallelo e si spinge in avanti attraverso le barre parallele.</v>
      </c>
    </row>
    <row r="15542">
      <c r="A15542" s="4" t="s">
        <v>19563</v>
      </c>
      <c r="B15542" s="6" t="s">
        <v>19576</v>
      </c>
      <c r="C15542" s="5" t="str">
        <f>IFERROR(__xludf.DUMMYFUNCTION("GOOGLETRANSLATE(B15542,""en"",""it"")"),"Quando raggiunge la fine, si mette in ginocchio e solleva il corpo e perpendicolare alle barre.")</f>
        <v>Quando raggiunge la fine, si mette in ginocchio e solleva il corpo e perpendicolare alle barre.</v>
      </c>
    </row>
    <row r="15543">
      <c r="A15543" s="4" t="s">
        <v>19563</v>
      </c>
      <c r="B15543" s="4" t="s">
        <v>19577</v>
      </c>
      <c r="C15543" s="5" t="str">
        <f>IFERROR(__xludf.DUMMYFUNCTION("GOOGLETRANSLATE(B15543,""en"",""it"")"),"Quindi fa ginocchia e gambe.")</f>
        <v>Quindi fa ginocchia e gambe.</v>
      </c>
    </row>
    <row r="15544">
      <c r="A15544" s="4" t="s">
        <v>19563</v>
      </c>
      <c r="B15544" s="4" t="s">
        <v>19578</v>
      </c>
      <c r="C15544" s="5" t="str">
        <f>IFERROR(__xludf.DUMMYFUNCTION("GOOGLETRANSLATE(B15544,""en"",""it"")"),"Un uomo diverso tiene fuori le gambe e le sposta attraverso ogni barra.")</f>
        <v>Un uomo diverso tiene fuori le gambe e le sposta attraverso ogni barra.</v>
      </c>
    </row>
    <row r="15545">
      <c r="A15545" s="4" t="s">
        <v>19563</v>
      </c>
      <c r="B15545" s="4" t="s">
        <v>19579</v>
      </c>
      <c r="C15545" s="5" t="str">
        <f>IFERROR(__xludf.DUMMYFUNCTION("GOOGLETRANSLATE(B15545,""en"",""it"")"),"Un uomo diverso porta le gambe dritte in una forma a V sulle barre.")</f>
        <v>Un uomo diverso porta le gambe dritte in una forma a V sulle barre.</v>
      </c>
    </row>
    <row r="15546">
      <c r="A15546" s="4" t="s">
        <v>19563</v>
      </c>
      <c r="B15546" s="6" t="s">
        <v>19580</v>
      </c>
      <c r="C15546" s="5" t="str">
        <f>IFERROR(__xludf.DUMMYFUNCTION("GOOGLETRANSLATE(B15546,""en"",""it"")"),"Quindi poggia i gomiti sui bar e oscilla il suo corpo perpendicolare alle barre, quindi parallelo alle barre.")</f>
        <v>Quindi poggia i gomiti sui bar e oscilla il suo corpo perpendicolare alle barre, quindi parallelo alle barre.</v>
      </c>
    </row>
    <row r="15547">
      <c r="A15547" s="4" t="s">
        <v>19563</v>
      </c>
      <c r="B15547" s="4" t="s">
        <v>19581</v>
      </c>
      <c r="C15547" s="5" t="str">
        <f>IFERROR(__xludf.DUMMYFUNCTION("GOOGLETRANSLATE(B15547,""en"",""it"")"),"Comincia a fare una spalla sui bar.")</f>
        <v>Comincia a fare una spalla sui bar.</v>
      </c>
    </row>
    <row r="15548">
      <c r="A15548" s="4" t="s">
        <v>19563</v>
      </c>
      <c r="B15548" s="4" t="s">
        <v>19582</v>
      </c>
      <c r="C15548" s="5" t="str">
        <f>IFERROR(__xludf.DUMMYFUNCTION("GOOGLETRANSLATE(B15548,""en"",""it"")"),"Passa a fare un supporto per la testa e tiene.")</f>
        <v>Passa a fare un supporto per la testa e tiene.</v>
      </c>
    </row>
    <row r="15549">
      <c r="A15549" s="4" t="s">
        <v>19563</v>
      </c>
      <c r="B15549" s="6" t="s">
        <v>19583</v>
      </c>
      <c r="C15549" s="5" t="str">
        <f>IFERROR(__xludf.DUMMYFUNCTION("GOOGLETRANSLATE(B15549,""en"",""it"")"),"Un uomo diverso inizia a far oscillare il suo corpo da sotto le sbarre e si preme su e sopra le barre.")</f>
        <v>Un uomo diverso inizia a far oscillare il suo corpo da sotto le sbarre e si preme su e sopra le barre.</v>
      </c>
    </row>
    <row r="15550">
      <c r="A15550" s="4" t="s">
        <v>19584</v>
      </c>
      <c r="B15550" s="4" t="s">
        <v>19585</v>
      </c>
      <c r="C15550" s="5" t="str">
        <f>IFERROR(__xludf.DUMMYFUNCTION("GOOGLETRANSLATE(B15550,""en"",""it"")"),"Un gruppo di persone si riunisce all'aperto in un mercato.")</f>
        <v>Un gruppo di persone si riunisce all'aperto in un mercato.</v>
      </c>
    </row>
    <row r="15551">
      <c r="A15551" s="4" t="s">
        <v>19584</v>
      </c>
      <c r="B15551" s="4" t="s">
        <v>19586</v>
      </c>
      <c r="C15551" s="5" t="str">
        <f>IFERROR(__xludf.DUMMYFUNCTION("GOOGLETRANSLATE(B15551,""en"",""it"")"),"La gente cammina guardando tutte le merci.")</f>
        <v>La gente cammina guardando tutte le merci.</v>
      </c>
    </row>
    <row r="15552">
      <c r="A15552" s="4" t="s">
        <v>19584</v>
      </c>
      <c r="B15552" s="4" t="s">
        <v>19587</v>
      </c>
      <c r="C15552" s="5" t="str">
        <f>IFERROR(__xludf.DUMMYFUNCTION("GOOGLETRANSLATE(B15552,""en"",""it"")"),"Appare un cane, mentre le persone continuano a fare il battito.")</f>
        <v>Appare un cane, mentre le persone continuano a fare il battito.</v>
      </c>
    </row>
    <row r="15553">
      <c r="A15553" s="4" t="s">
        <v>19588</v>
      </c>
      <c r="B15553" s="4" t="s">
        <v>19589</v>
      </c>
      <c r="C15553" s="5" t="str">
        <f>IFERROR(__xludf.DUMMYFUNCTION("GOOGLETRANSLATE(B15553,""en"",""it"")"),"Una ginnasta monta un raggio basso davanti a una folla.")</f>
        <v>Una ginnasta monta un raggio basso davanti a una folla.</v>
      </c>
    </row>
    <row r="15554">
      <c r="A15554" s="4" t="s">
        <v>19588</v>
      </c>
      <c r="B15554" s="4" t="s">
        <v>19590</v>
      </c>
      <c r="C15554" s="5" t="str">
        <f>IFERROR(__xludf.DUMMYFUNCTION("GOOGLETRANSLATE(B15554,""en"",""it"")"),"Si piega, le mani e le spalle e la schiena si lancia sul raggio.")</f>
        <v>Si piega, le mani e le spalle e la schiena si lancia sul raggio.</v>
      </c>
    </row>
    <row r="15555">
      <c r="A15555" s="4" t="s">
        <v>19588</v>
      </c>
      <c r="B15555" s="4" t="s">
        <v>19591</v>
      </c>
      <c r="C15555" s="5" t="str">
        <f>IFERROR(__xludf.DUMMYFUNCTION("GOOGLETRANSLATE(B15555,""en"",""it"")"),"Smonta con orgoglio, sollevando le braccia in aria.")</f>
        <v>Smonta con orgoglio, sollevando le braccia in aria.</v>
      </c>
    </row>
    <row r="15556">
      <c r="A15556" s="4" t="s">
        <v>19592</v>
      </c>
      <c r="B15556" s="4" t="s">
        <v>19593</v>
      </c>
      <c r="C15556" s="5" t="str">
        <f>IFERROR(__xludf.DUMMYFUNCTION("GOOGLETRANSLATE(B15556,""en"",""it"")"),"Un uomo è visto seduto su un cavallo con una corda tra le mani.")</f>
        <v>Un uomo è visto seduto su un cavallo con una corda tra le mani.</v>
      </c>
    </row>
    <row r="15557">
      <c r="A15557" s="4" t="s">
        <v>19592</v>
      </c>
      <c r="B15557" s="4" t="s">
        <v>19594</v>
      </c>
      <c r="C15557" s="5" t="str">
        <f>IFERROR(__xludf.DUMMYFUNCTION("GOOGLETRANSLATE(B15557,""en"",""it"")"),"Poi cavalca su un cavallo e sale un vitello con la corda.")</f>
        <v>Poi cavalca su un cavallo e sale un vitello con la corda.</v>
      </c>
    </row>
    <row r="15558">
      <c r="A15558" s="4" t="s">
        <v>19592</v>
      </c>
      <c r="B15558" s="4" t="s">
        <v>19595</v>
      </c>
      <c r="C15558" s="5" t="str">
        <f>IFERROR(__xludf.DUMMYFUNCTION("GOOGLETRANSLATE(B15558,""en"",""it"")"),"Diverse persone vengono mostrate in sella e corrompono il bestiame mentre altri guardano sul lato.")</f>
        <v>Diverse persone vengono mostrate in sella e corrompono il bestiame mentre altri guardano sul lato.</v>
      </c>
    </row>
    <row r="15559">
      <c r="A15559" s="4" t="s">
        <v>19596</v>
      </c>
      <c r="B15559" s="4" t="s">
        <v>19597</v>
      </c>
      <c r="C15559" s="5" t="str">
        <f>IFERROR(__xludf.DUMMYFUNCTION("GOOGLETRANSLATE(B15559,""en"",""it"")"),"Un uomo si sporge su un tavolo da biliardo, colpendo la palla con il suo spunto.")</f>
        <v>Un uomo si sporge su un tavolo da biliardo, colpendo la palla con il suo spunto.</v>
      </c>
    </row>
    <row r="15560">
      <c r="A15560" s="4" t="s">
        <v>19596</v>
      </c>
      <c r="B15560" s="4" t="s">
        <v>19598</v>
      </c>
      <c r="C15560" s="5" t="str">
        <f>IFERROR(__xludf.DUMMYFUNCTION("GOOGLETRANSLATE(B15560,""en"",""it"")"),"Una donna in bikini rosa gira il suo segnale mentre aspetta il suo turno.")</f>
        <v>Una donna in bikini rosa gira il suo segnale mentre aspetta il suo turno.</v>
      </c>
    </row>
    <row r="15561">
      <c r="A15561" s="4" t="s">
        <v>19596</v>
      </c>
      <c r="B15561" s="4" t="s">
        <v>19599</v>
      </c>
      <c r="C15561" s="5" t="str">
        <f>IFERROR(__xludf.DUMMYFUNCTION("GOOGLETRANSLATE(B15561,""en"",""it"")"),"Quindi fa un tiro alla palla, facendoli cadere nei buchi.")</f>
        <v>Quindi fa un tiro alla palla, facendoli cadere nei buchi.</v>
      </c>
    </row>
    <row r="15562">
      <c r="A15562" s="4" t="s">
        <v>19600</v>
      </c>
      <c r="B15562" s="4" t="s">
        <v>19601</v>
      </c>
      <c r="C15562" s="5" t="str">
        <f>IFERROR(__xludf.DUMMYFUNCTION("GOOGLETRANSLATE(B15562,""en"",""it"")"),"Due uomini sono nel mezzo della corte che si combattono l'un l'altro.")</f>
        <v>Due uomini sono nel mezzo della corte che si combattono l'un l'altro.</v>
      </c>
    </row>
    <row r="15563">
      <c r="A15563" s="4" t="s">
        <v>19600</v>
      </c>
      <c r="B15563" s="4" t="s">
        <v>19602</v>
      </c>
      <c r="C15563" s="5" t="str">
        <f>IFERROR(__xludf.DUMMYFUNCTION("GOOGLETRANSLATE(B15563,""en"",""it"")"),"Stanno praticando le loro mosse mentre altri stanno e guardano.")</f>
        <v>Stanno praticando le loro mosse mentre altri stanno e guardano.</v>
      </c>
    </row>
    <row r="15564">
      <c r="A15564" s="4" t="s">
        <v>19600</v>
      </c>
      <c r="B15564" s="4" t="s">
        <v>19603</v>
      </c>
      <c r="C15564" s="5" t="str">
        <f>IFERROR(__xludf.DUMMYFUNCTION("GOOGLETRANSLATE(B15564,""en"",""it"")"),"È come una cultura praticata da molti che si divertono davvero e pensano che sia uno sport divertente.")</f>
        <v>È come una cultura praticata da molti che si divertono davvero e pensano che sia uno sport divertente.</v>
      </c>
    </row>
    <row r="15565">
      <c r="A15565" s="4" t="s">
        <v>19600</v>
      </c>
      <c r="B15565" s="4" t="s">
        <v>19604</v>
      </c>
      <c r="C15565" s="5" t="str">
        <f>IFERROR(__xludf.DUMMYFUNCTION("GOOGLETRANSLATE(B15565,""en"",""it"")"),"Lo prendono molto sul serio, un po 'di combattimento e alcuni si divertono a guardare.")</f>
        <v>Lo prendono molto sul serio, un po 'di combattimento e alcuni si divertono a guardare.</v>
      </c>
    </row>
    <row r="15566">
      <c r="A15566" s="4" t="s">
        <v>19605</v>
      </c>
      <c r="B15566" s="6" t="s">
        <v>19606</v>
      </c>
      <c r="C15566" s="5" t="str">
        <f>IFERROR(__xludf.DUMMYFUNCTION("GOOGLETRANSLATE(B15566,""en"",""it"")"),"Un giovane sul tetto di un edificio alto, con lo sfondo di uno skyline della città, esegue una serie di mosse di danza, mosse di ginnastica, mosse cadute e calci alti.")</f>
        <v>Un giovane sul tetto di un edificio alto, con lo sfondo di uno skyline della città, esegue una serie di mosse di danza, mosse di ginnastica, mosse cadute e calci alti.</v>
      </c>
    </row>
    <row r="15567">
      <c r="A15567" s="4" t="s">
        <v>19605</v>
      </c>
      <c r="B15567" s="4" t="s">
        <v>19607</v>
      </c>
      <c r="C15567" s="5" t="str">
        <f>IFERROR(__xludf.DUMMYFUNCTION("GOOGLETRANSLATE(B15567,""en"",""it"")"),"L'uomo inizia con le spalle alla telecamera e si trova di fronte allo skyline della città dalla cima del tetto.")</f>
        <v>L'uomo inizia con le spalle alla telecamera e si trova di fronte allo skyline della città dalla cima del tetto.</v>
      </c>
    </row>
    <row r="15568">
      <c r="A15568" s="4" t="s">
        <v>19605</v>
      </c>
      <c r="B15568" s="4" t="s">
        <v>19608</v>
      </c>
      <c r="C15568" s="5" t="str">
        <f>IFERROR(__xludf.DUMMYFUNCTION("GOOGLETRANSLATE(B15568,""en"",""it"")"),"L'uomo inizia quindi una serie di calci alti, spostamenti senza mano e mosse di rottura.")</f>
        <v>L'uomo inizia quindi una serie di calci alti, spostamenti senza mano e mosse di rottura.</v>
      </c>
    </row>
    <row r="15569">
      <c r="A15569" s="4" t="s">
        <v>19605</v>
      </c>
      <c r="B15569" s="6" t="s">
        <v>19609</v>
      </c>
      <c r="C15569" s="5" t="str">
        <f>IFERROR(__xludf.DUMMYFUNCTION("GOOGLETRANSLATE(B15569,""en"",""it"")"),"Le mosse di danza terminano con più calci alti, supporti per la testa e le mosse di arte semi marziale, mentre la telecamera circonda l'uomo, mentre l'uomo finisce e cammina di nuovo con la telecamera, sul bordo del tetto.")</f>
        <v>Le mosse di danza terminano con più calci alti, supporti per la testa e le mosse di arte semi marziale, mentre la telecamera circonda l'uomo, mentre l'uomo finisce e cammina di nuovo con la telecamera, sul bordo del tetto.</v>
      </c>
    </row>
    <row r="15570">
      <c r="A15570" s="4" t="s">
        <v>19610</v>
      </c>
      <c r="B15570" s="4" t="s">
        <v>19611</v>
      </c>
      <c r="C15570" s="5" t="str">
        <f>IFERROR(__xludf.DUMMYFUNCTION("GOOGLETRANSLATE(B15570,""en"",""it"")"),"Una persona che indossa un costume si vede seduta in mezzo alla strada che gioca una fisarmonica.")</f>
        <v>Una persona che indossa un costume si vede seduta in mezzo alla strada che gioca una fisarmonica.</v>
      </c>
    </row>
    <row r="15571">
      <c r="A15571" s="4" t="s">
        <v>19610</v>
      </c>
      <c r="B15571" s="6" t="s">
        <v>19612</v>
      </c>
      <c r="C15571" s="5" t="str">
        <f>IFERROR(__xludf.DUMMYFUNCTION("GOOGLETRANSLATE(B15571,""en"",""it"")"),"La persona continua a giocare mentre la telecamera si zoom e diverse macchine e persone si muovono dietro di lui.")</f>
        <v>La persona continua a giocare mentre la telecamera si zoom e diverse macchine e persone si muovono dietro di lui.</v>
      </c>
    </row>
    <row r="15572">
      <c r="A15572" s="4" t="s">
        <v>19613</v>
      </c>
      <c r="B15572" s="4" t="s">
        <v>19614</v>
      </c>
      <c r="C15572" s="5" t="str">
        <f>IFERROR(__xludf.DUMMYFUNCTION("GOOGLETRANSLATE(B15572,""en"",""it"")"),"Vediamo un uomo che parla con una macchina fotografica.")</f>
        <v>Vediamo un uomo che parla con una macchina fotografica.</v>
      </c>
    </row>
    <row r="15573">
      <c r="A15573" s="4" t="s">
        <v>19613</v>
      </c>
      <c r="B15573" s="4" t="s">
        <v>19615</v>
      </c>
      <c r="C15573" s="5" t="str">
        <f>IFERROR(__xludf.DUMMYFUNCTION("GOOGLETRANSLATE(B15573,""en"",""it"")"),"Vediamo scatti di uomini e una folla di persone.")</f>
        <v>Vediamo scatti di uomini e una folla di persone.</v>
      </c>
    </row>
    <row r="15574">
      <c r="A15574" s="4" t="s">
        <v>19613</v>
      </c>
      <c r="B15574" s="4" t="s">
        <v>19616</v>
      </c>
      <c r="C15574" s="5" t="str">
        <f>IFERROR(__xludf.DUMMYFUNCTION("GOOGLETRANSLATE(B15574,""en"",""it"")"),"Gli uomini suonano forbici di carta rocciosa.")</f>
        <v>Gli uomini suonano forbici di carta rocciosa.</v>
      </c>
    </row>
    <row r="15575">
      <c r="A15575" s="4" t="s">
        <v>19613</v>
      </c>
      <c r="B15575" s="4" t="s">
        <v>19617</v>
      </c>
      <c r="C15575" s="5" t="str">
        <f>IFERROR(__xludf.DUMMYFUNCTION("GOOGLETRANSLATE(B15575,""en"",""it"")"),"Una signora tra la folla salta su e giù.")</f>
        <v>Una signora tra la folla salta su e giù.</v>
      </c>
    </row>
    <row r="15576">
      <c r="A15576" s="4" t="s">
        <v>19613</v>
      </c>
      <c r="B15576" s="4" t="s">
        <v>19618</v>
      </c>
      <c r="C15576" s="5" t="str">
        <f>IFERROR(__xludf.DUMMYFUNCTION("GOOGLETRANSLATE(B15576,""en"",""it"")"),"Vediamo l'uomo in alto cinque l'un l'altro.")</f>
        <v>Vediamo l'uomo in alto cinque l'un l'altro.</v>
      </c>
    </row>
    <row r="15577">
      <c r="A15577" s="4" t="s">
        <v>19613</v>
      </c>
      <c r="B15577" s="4" t="s">
        <v>19619</v>
      </c>
      <c r="C15577" s="5" t="str">
        <f>IFERROR(__xludf.DUMMYFUNCTION("GOOGLETRANSLATE(B15577,""en"",""it"")"),"Vediamo una signora di fronte a una persona in costume.")</f>
        <v>Vediamo una signora di fronte a una persona in costume.</v>
      </c>
    </row>
    <row r="15578">
      <c r="A15578" s="4" t="s">
        <v>19613</v>
      </c>
      <c r="B15578" s="4" t="s">
        <v>19620</v>
      </c>
      <c r="C15578" s="5" t="str">
        <f>IFERROR(__xludf.DUMMYFUNCTION("GOOGLETRANSLATE(B15578,""en"",""it"")"),"L'uomo in rosso alza le mani in trionfo.")</f>
        <v>L'uomo in rosso alza le mani in trionfo.</v>
      </c>
    </row>
    <row r="15579">
      <c r="A15579" s="4" t="s">
        <v>19613</v>
      </c>
      <c r="B15579" s="4" t="s">
        <v>19621</v>
      </c>
      <c r="C15579" s="5" t="str">
        <f>IFERROR(__xludf.DUMMYFUNCTION("GOOGLETRANSLATE(B15579,""en"",""it"")"),"Le donne portano un grande assegno all'uomo in rosso.")</f>
        <v>Le donne portano un grande assegno all'uomo in rosso.</v>
      </c>
    </row>
    <row r="15580">
      <c r="A15580" s="4" t="s">
        <v>19622</v>
      </c>
      <c r="B15580" s="4" t="s">
        <v>19623</v>
      </c>
      <c r="C15580" s="5" t="str">
        <f>IFERROR(__xludf.DUMMYFUNCTION("GOOGLETRANSLATE(B15580,""en"",""it"")"),"Le persone scivolano su slitte gonfiabili giù per la collina.")</f>
        <v>Le persone scivolano su slitte gonfiabili giù per la collina.</v>
      </c>
    </row>
    <row r="15581">
      <c r="A15581" s="4" t="s">
        <v>19622</v>
      </c>
      <c r="B15581" s="4" t="s">
        <v>19624</v>
      </c>
      <c r="C15581" s="5" t="str">
        <f>IFERROR(__xludf.DUMMYFUNCTION("GOOGLETRANSLATE(B15581,""en"",""it"")"),"La gente si alterna a slittare le colline.")</f>
        <v>La gente si alterna a slittare le colline.</v>
      </c>
    </row>
    <row r="15582">
      <c r="A15582" s="4" t="s">
        <v>19622</v>
      </c>
      <c r="B15582" s="4" t="s">
        <v>19625</v>
      </c>
      <c r="C15582" s="5" t="str">
        <f>IFERROR(__xludf.DUMMYFUNCTION("GOOGLETRANSLATE(B15582,""en"",""it"")"),"Quindi le persone si riuniscono per slittare il gruppo.")</f>
        <v>Quindi le persone si riuniscono per slittare il gruppo.</v>
      </c>
    </row>
    <row r="15583">
      <c r="A15583" s="4" t="s">
        <v>19622</v>
      </c>
      <c r="B15583" s="4" t="s">
        <v>19626</v>
      </c>
      <c r="C15583" s="5" t="str">
        <f>IFERROR(__xludf.DUMMYFUNCTION("GOOGLETRANSLATE(B15583,""en"",""it"")"),"Inoltre, le persone si sono schiantate su una linea giù per la collina.")</f>
        <v>Inoltre, le persone si sono schiantate su una linea giù per la collina.</v>
      </c>
    </row>
    <row r="15584">
      <c r="A15584" s="4" t="s">
        <v>19627</v>
      </c>
      <c r="B15584" s="4" t="s">
        <v>19628</v>
      </c>
      <c r="C15584" s="5" t="str">
        <f>IFERROR(__xludf.DUMMYFUNCTION("GOOGLETRANSLATE(B15584,""en"",""it"")"),"Una donna viene vista ballare in strada che colloca uno strumento mentre altri guardano sul lato.")</f>
        <v>Una donna viene vista ballare in strada che colloca uno strumento mentre altri guardano sul lato.</v>
      </c>
    </row>
    <row r="15585">
      <c r="A15585" s="4" t="s">
        <v>19627</v>
      </c>
      <c r="B15585" s="6" t="s">
        <v>19629</v>
      </c>
      <c r="C15585" s="5" t="str">
        <f>IFERROR(__xludf.DUMMYFUNCTION("GOOGLETRANSLATE(B15585,""en"",""it"")"),"La donna continua a suonare lo strumento mentre si muove la gamba su e giù e la gente lo batteva sul lato.")</f>
        <v>La donna continua a suonare lo strumento mentre si muove la gamba su e giù e la gente lo batteva sul lato.</v>
      </c>
    </row>
    <row r="15586">
      <c r="A15586" s="4" t="s">
        <v>19630</v>
      </c>
      <c r="B15586" s="4" t="s">
        <v>19631</v>
      </c>
      <c r="C15586" s="5" t="str">
        <f>IFERROR(__xludf.DUMMYFUNCTION("GOOGLETRANSLATE(B15586,""en"",""it"")"),"Innanzitutto l'uomo mette il rossetto rosa sulle labbra e dice che è un joker.")</f>
        <v>Innanzitutto l'uomo mette il rossetto rosa sulle labbra e dice che è un joker.</v>
      </c>
    </row>
    <row r="15587">
      <c r="A15587" s="4" t="s">
        <v>19630</v>
      </c>
      <c r="B15587" s="4" t="s">
        <v>19632</v>
      </c>
      <c r="C15587" s="5" t="str">
        <f>IFERROR(__xludf.DUMMYFUNCTION("GOOGLETRANSLATE(B15587,""en"",""it"")"),"Quindi lo mette sul lato delle labbra e la gente ride.")</f>
        <v>Quindi lo mette sul lato delle labbra e la gente ride.</v>
      </c>
    </row>
    <row r="15588">
      <c r="A15588" s="4" t="s">
        <v>19630</v>
      </c>
      <c r="B15588" s="6" t="s">
        <v>19633</v>
      </c>
      <c r="C15588" s="5" t="str">
        <f>IFERROR(__xludf.DUMMYFUNCTION("GOOGLETRANSLATE(B15588,""en"",""it"")"),"Successivamente ne mette 2 linee spesse sotto gli occhi e dice qualcosa, tenta anche di metterlo sul mento, ma il video finisce.")</f>
        <v>Successivamente ne mette 2 linee spesse sotto gli occhi e dice qualcosa, tenta anche di metterlo sul mento, ma il video finisce.</v>
      </c>
    </row>
    <row r="15589">
      <c r="A15589" s="4" t="s">
        <v>19634</v>
      </c>
      <c r="B15589" s="4" t="s">
        <v>19635</v>
      </c>
      <c r="C15589" s="5" t="str">
        <f>IFERROR(__xludf.DUMMYFUNCTION("GOOGLETRANSLATE(B15589,""en"",""it"")"),"Un'introduzione al testo conduce in un ragazzo seduto su uno sgabello con una fisarmonica.")</f>
        <v>Un'introduzione al testo conduce in un ragazzo seduto su uno sgabello con una fisarmonica.</v>
      </c>
    </row>
    <row r="15590">
      <c r="A15590" s="4" t="s">
        <v>19634</v>
      </c>
      <c r="B15590" s="4" t="s">
        <v>19636</v>
      </c>
      <c r="C15590" s="5" t="str">
        <f>IFERROR(__xludf.DUMMYFUNCTION("GOOGLETRANSLATE(B15590,""en"",""it"")"),"Il ragazzo inizia quindi a suonare lo strumento mentre distoglie lo sguardo dalla telecamera.")</f>
        <v>Il ragazzo inizia quindi a suonare lo strumento mentre distoglie lo sguardo dalla telecamera.</v>
      </c>
    </row>
    <row r="15591">
      <c r="A15591" s="4" t="s">
        <v>19634</v>
      </c>
      <c r="B15591" s="4" t="s">
        <v>19637</v>
      </c>
      <c r="C15591" s="5" t="str">
        <f>IFERROR(__xludf.DUMMYFUNCTION("GOOGLETRANSLATE(B15591,""en"",""it"")"),"Il ragazzo continua a giocare mentre si guarda intorno nella stanza e tira la fisarmonica.")</f>
        <v>Il ragazzo continua a giocare mentre si guarda intorno nella stanza e tira la fisarmonica.</v>
      </c>
    </row>
    <row r="15592">
      <c r="A15592" s="4" t="s">
        <v>19638</v>
      </c>
      <c r="B15592" s="4" t="s">
        <v>19639</v>
      </c>
      <c r="C15592" s="5" t="str">
        <f>IFERROR(__xludf.DUMMYFUNCTION("GOOGLETRANSLATE(B15592,""en"",""it"")"),"Una ragazza si alza il braccio e si prepara a montare il raggio di equilibrio in un'arena.")</f>
        <v>Una ragazza si alza il braccio e si prepara a montare il raggio di equilibrio in un'arena.</v>
      </c>
    </row>
    <row r="15593">
      <c r="A15593" s="4" t="s">
        <v>19638</v>
      </c>
      <c r="B15593" s="4" t="s">
        <v>19640</v>
      </c>
      <c r="C15593" s="5" t="str">
        <f>IFERROR(__xludf.DUMMYFUNCTION("GOOGLETRANSLATE(B15593,""en"",""it"")"),"La ragazza va avanti ed esegue una routine sul raggio di equilibrio.")</f>
        <v>La ragazza va avanti ed esegue una routine sul raggio di equilibrio.</v>
      </c>
    </row>
    <row r="15594">
      <c r="A15594" s="4" t="s">
        <v>19638</v>
      </c>
      <c r="B15594" s="4" t="s">
        <v>19641</v>
      </c>
      <c r="C15594" s="5" t="str">
        <f>IFERROR(__xludf.DUMMYFUNCTION("GOOGLETRANSLATE(B15594,""en"",""it"")"),"La ragazza è sdraiata sul raggio e fa un capovolgimento nella posizione eretta.")</f>
        <v>La ragazza è sdraiata sul raggio e fa un capovolgimento nella posizione eretta.</v>
      </c>
    </row>
    <row r="15595">
      <c r="A15595" s="4" t="s">
        <v>19638</v>
      </c>
      <c r="B15595" s="4" t="s">
        <v>19642</v>
      </c>
      <c r="C15595" s="5" t="str">
        <f>IFERROR(__xludf.DUMMYFUNCTION("GOOGLETRANSLATE(B15595,""en"",""it"")"),"La ragazza gira attraverso il raggio.")</f>
        <v>La ragazza gira attraverso il raggio.</v>
      </c>
    </row>
    <row r="15596">
      <c r="A15596" s="4" t="s">
        <v>19638</v>
      </c>
      <c r="B15596" s="4" t="s">
        <v>19643</v>
      </c>
      <c r="C15596" s="5" t="str">
        <f>IFERROR(__xludf.DUMMYFUNCTION("GOOGLETRANSLATE(B15596,""en"",""it"")"),"La ragazza corre capovolge e smonta il raggio.")</f>
        <v>La ragazza corre capovolge e smonta il raggio.</v>
      </c>
    </row>
    <row r="15597">
      <c r="A15597" s="4" t="s">
        <v>19638</v>
      </c>
      <c r="B15597" s="4" t="s">
        <v>19644</v>
      </c>
      <c r="C15597" s="5" t="str">
        <f>IFERROR(__xludf.DUMMYFUNCTION("GOOGLETRANSLATE(B15597,""en"",""it"")"),"La folla applaude e applaude per la ragazza mentre alza le mani.")</f>
        <v>La folla applaude e applaude per la ragazza mentre alza le mani.</v>
      </c>
    </row>
    <row r="15598">
      <c r="A15598" s="4" t="s">
        <v>19645</v>
      </c>
      <c r="B15598" s="4" t="s">
        <v>19646</v>
      </c>
      <c r="C15598" s="5" t="str">
        <f>IFERROR(__xludf.DUMMYFUNCTION("GOOGLETRANSLATE(B15598,""en"",""it"")"),"Viene vista una donna parlare con la telecamera con in mano uno strumento di affinamento.")</f>
        <v>Viene vista una donna parlare con la telecamera con in mano uno strumento di affinamento.</v>
      </c>
    </row>
    <row r="15599">
      <c r="A15599" s="4" t="s">
        <v>19645</v>
      </c>
      <c r="B15599" s="6" t="s">
        <v>19647</v>
      </c>
      <c r="C15599" s="5" t="str">
        <f>IFERROR(__xludf.DUMMYFUNCTION("GOOGLETRANSLATE(B15599,""en"",""it"")"),"Quindi dimostra come tagliare correttamente il coltello e posizionare l'oggetto mentre parla.")</f>
        <v>Quindi dimostra come tagliare correttamente il coltello e posizionare l'oggetto mentre parla.</v>
      </c>
    </row>
    <row r="15600">
      <c r="A15600" s="4" t="s">
        <v>19648</v>
      </c>
      <c r="B15600" s="4" t="s">
        <v>19649</v>
      </c>
      <c r="C15600" s="5" t="str">
        <f>IFERROR(__xludf.DUMMYFUNCTION("GOOGLETRANSLATE(B15600,""en"",""it"")"),"Un twirler di testimone è in piedi sul pavimento della palestra.")</f>
        <v>Un twirler di testimone è in piedi sul pavimento della palestra.</v>
      </c>
    </row>
    <row r="15601">
      <c r="A15601" s="4" t="s">
        <v>19648</v>
      </c>
      <c r="B15601" s="4" t="s">
        <v>19650</v>
      </c>
      <c r="C15601" s="5" t="str">
        <f>IFERROR(__xludf.DUMMYFUNCTION("GOOGLETRANSLATE(B15601,""en"",""it"")"),"Inizia la sua routine.")</f>
        <v>Inizia la sua routine.</v>
      </c>
    </row>
    <row r="15602">
      <c r="A15602" s="4" t="s">
        <v>19648</v>
      </c>
      <c r="B15602" s="4" t="s">
        <v>19651</v>
      </c>
      <c r="C15602" s="5" t="str">
        <f>IFERROR(__xludf.DUMMYFUNCTION("GOOGLETRANSLATE(B15602,""en"",""it"")"),"Lancia il testimone in aria.")</f>
        <v>Lancia il testimone in aria.</v>
      </c>
    </row>
    <row r="15603">
      <c r="A15603" s="4" t="s">
        <v>19648</v>
      </c>
      <c r="B15603" s="4" t="s">
        <v>19652</v>
      </c>
      <c r="C15603" s="5" t="str">
        <f>IFERROR(__xludf.DUMMYFUNCTION("GOOGLETRANSLATE(B15603,""en"",""it"")"),"Fa gira e colpi di scena.")</f>
        <v>Fa gira e colpi di scena.</v>
      </c>
    </row>
    <row r="15604">
      <c r="A15604" s="4" t="s">
        <v>19648</v>
      </c>
      <c r="B15604" s="4" t="s">
        <v>19653</v>
      </c>
      <c r="C15604" s="5" t="str">
        <f>IFERROR(__xludf.DUMMYFUNCTION("GOOGLETRANSLATE(B15604,""en"",""it"")"),"Continua a girare il testimone e ballare.")</f>
        <v>Continua a girare il testimone e ballare.</v>
      </c>
    </row>
    <row r="15605">
      <c r="A15605" s="4" t="s">
        <v>19648</v>
      </c>
      <c r="B15605" s="4" t="s">
        <v>19654</v>
      </c>
      <c r="C15605" s="5" t="str">
        <f>IFERROR(__xludf.DUMMYFUNCTION("GOOGLETRANSLATE(B15605,""en"",""it"")"),"Lascia cadere il testimone e lo insegue.")</f>
        <v>Lascia cadere il testimone e lo insegue.</v>
      </c>
    </row>
    <row r="15606">
      <c r="A15606" s="4" t="s">
        <v>19648</v>
      </c>
      <c r="B15606" s="4" t="s">
        <v>19655</v>
      </c>
      <c r="C15606" s="5" t="str">
        <f>IFERROR(__xludf.DUMMYFUNCTION("GOOGLETRANSLATE(B15606,""en"",""it"")"),"Sta facendo roteare, ballare e girare di nuovo.")</f>
        <v>Sta facendo roteare, ballare e girare di nuovo.</v>
      </c>
    </row>
    <row r="15607">
      <c r="A15607" s="4" t="s">
        <v>19648</v>
      </c>
      <c r="B15607" s="4" t="s">
        <v>19656</v>
      </c>
      <c r="C15607" s="5" t="str">
        <f>IFERROR(__xludf.DUMMYFUNCTION("GOOGLETRANSLATE(B15607,""en"",""it"")"),"Lascia cadere di nuovo il testimone.")</f>
        <v>Lascia cadere di nuovo il testimone.</v>
      </c>
    </row>
    <row r="15608">
      <c r="A15608" s="4" t="s">
        <v>19648</v>
      </c>
      <c r="B15608" s="4" t="s">
        <v>19657</v>
      </c>
      <c r="C15608" s="5" t="str">
        <f>IFERROR(__xludf.DUMMYFUNCTION("GOOGLETRANSLATE(B15608,""en"",""it"")"),"Ora ha due manganelli e fa roteare, ballando e lanciandoli in aria.")</f>
        <v>Ora ha due manganelli e fa roteare, ballando e lanciandoli in aria.</v>
      </c>
    </row>
    <row r="15609">
      <c r="A15609" s="4" t="s">
        <v>19648</v>
      </c>
      <c r="B15609" s="4" t="s">
        <v>19658</v>
      </c>
      <c r="C15609" s="5" t="str">
        <f>IFERROR(__xludf.DUMMYFUNCTION("GOOGLETRANSLATE(B15609,""en"",""it"")"),"Lo ha lasciato cadere una terza volta.")</f>
        <v>Lo ha lasciato cadere una terza volta.</v>
      </c>
    </row>
    <row r="15610">
      <c r="A15610" s="4" t="s">
        <v>19648</v>
      </c>
      <c r="B15610" s="4" t="s">
        <v>19659</v>
      </c>
      <c r="C15610" s="5" t="str">
        <f>IFERROR(__xludf.DUMMYFUNCTION("GOOGLETRANSLATE(B15610,""en"",""it"")"),"Lo raccolse e aggiunse un terzo testimone e finì la sua routine.")</f>
        <v>Lo raccolse e aggiunse un terzo testimone e finì la sua routine.</v>
      </c>
    </row>
    <row r="15611">
      <c r="A15611" s="4" t="s">
        <v>19660</v>
      </c>
      <c r="B15611" s="4" t="s">
        <v>19661</v>
      </c>
      <c r="C15611" s="5" t="str">
        <f>IFERROR(__xludf.DUMMYFUNCTION("GOOGLETRANSLATE(B15611,""en"",""it"")"),"Il vecchio tiene in mano un palo verde che colpisce una piñata nel mezzo di una stanza.")</f>
        <v>Il vecchio tiene in mano un palo verde che colpisce una piñata nel mezzo di una stanza.</v>
      </c>
    </row>
    <row r="15612">
      <c r="A15612" s="4" t="s">
        <v>19660</v>
      </c>
      <c r="B15612" s="4" t="s">
        <v>19662</v>
      </c>
      <c r="C15612" s="5" t="str">
        <f>IFERROR(__xludf.DUMMYFUNCTION("GOOGLETRANSLATE(B15612,""en"",""it"")"),"I bambini piccoli ballano e saltano dietro l'uomo.")</f>
        <v>I bambini piccoli ballano e saltano dietro l'uomo.</v>
      </c>
    </row>
    <row r="15613">
      <c r="A15613" s="4" t="s">
        <v>19660</v>
      </c>
      <c r="B15613" s="4" t="s">
        <v>19663</v>
      </c>
      <c r="C15613" s="5" t="str">
        <f>IFERROR(__xludf.DUMMYFUNCTION("GOOGLETRANSLATE(B15613,""en"",""it"")"),"L'uomo dà il palo a un bambino e altri bambini sono dietro di lui.")</f>
        <v>L'uomo dà il palo a un bambino e altri bambini sono dietro di lui.</v>
      </c>
    </row>
    <row r="15614">
      <c r="A15614" s="4" t="s">
        <v>19664</v>
      </c>
      <c r="B15614" s="4" t="s">
        <v>19665</v>
      </c>
      <c r="C15614" s="5" t="str">
        <f>IFERROR(__xludf.DUMMYFUNCTION("GOOGLETRANSLATE(B15614,""en"",""it"")"),"Ci sono alcune persone a maglia con filati e aghi a maglia in un centro culturale.")</f>
        <v>Ci sono alcune persone a maglia con filati e aghi a maglia in un centro culturale.</v>
      </c>
    </row>
    <row r="15615">
      <c r="A15615" s="4" t="s">
        <v>19664</v>
      </c>
      <c r="B15615" s="4" t="s">
        <v>19666</v>
      </c>
      <c r="C15615" s="5" t="str">
        <f>IFERROR(__xludf.DUMMYFUNCTION("GOOGLETRANSLATE(B15615,""en"",""it"")"),"Una griglia di cappelli a maglia e maglioni è impilato contro il muro.")</f>
        <v>Una griglia di cappelli a maglia e maglioni è impilato contro il muro.</v>
      </c>
    </row>
    <row r="15616">
      <c r="A15616" s="4" t="s">
        <v>19664</v>
      </c>
      <c r="B15616" s="4" t="s">
        <v>19667</v>
      </c>
      <c r="C15616" s="5" t="str">
        <f>IFERROR(__xludf.DUMMYFUNCTION("GOOGLETRANSLATE(B15616,""en"",""it"")"),"Viene mostrato un maglione grigio finito con ricamo nero.")</f>
        <v>Viene mostrato un maglione grigio finito con ricamo nero.</v>
      </c>
    </row>
    <row r="15617">
      <c r="A15617" s="4" t="s">
        <v>19664</v>
      </c>
      <c r="B15617" s="4" t="s">
        <v>19668</v>
      </c>
      <c r="C15617" s="5" t="str">
        <f>IFERROR(__xludf.DUMMYFUNCTION("GOOGLETRANSLATE(B15617,""en"",""it"")"),"Una donna che rappresenta il Daily News Channel sta parlando del maglione e poi lo indossa.")</f>
        <v>Una donna che rappresenta il Daily News Channel sta parlando del maglione e poi lo indossa.</v>
      </c>
    </row>
    <row r="15618">
      <c r="A15618" s="4" t="s">
        <v>19664</v>
      </c>
      <c r="B15618" s="4" t="s">
        <v>19669</v>
      </c>
      <c r="C15618" s="5" t="str">
        <f>IFERROR(__xludf.DUMMYFUNCTION("GOOGLETRANSLATE(B15618,""en"",""it"")"),"Ci sono persone sedute e lavorato a maglia con filati e aghi.")</f>
        <v>Ci sono persone sedute e lavorato a maglia con filati e aghi.</v>
      </c>
    </row>
    <row r="15619">
      <c r="A15619" s="4" t="s">
        <v>19664</v>
      </c>
      <c r="B15619" s="4" t="s">
        <v>19670</v>
      </c>
      <c r="C15619" s="5" t="str">
        <f>IFERROR(__xludf.DUMMYFUNCTION("GOOGLETRANSLATE(B15619,""en"",""it"")"),"C'è un uomo di nome John George che parla della sua esperienza a maglia in classe.")</f>
        <v>C'è un uomo di nome John George che parla della sua esperienza a maglia in classe.</v>
      </c>
    </row>
    <row r="15620">
      <c r="A15620" s="4" t="s">
        <v>19664</v>
      </c>
      <c r="B15620" s="4" t="s">
        <v>19671</v>
      </c>
      <c r="C15620" s="5" t="str">
        <f>IFERROR(__xludf.DUMMYFUNCTION("GOOGLETRANSLATE(B15620,""en"",""it"")"),"Insieme agli altri suoi compagni magnifici dimostra come si muovono.")</f>
        <v>Insieme agli altri suoi compagni magnifici dimostra come si muovono.</v>
      </c>
    </row>
    <row r="15621">
      <c r="A15621" s="4" t="s">
        <v>19664</v>
      </c>
      <c r="B15621" s="6" t="s">
        <v>19672</v>
      </c>
      <c r="C15621" s="5" t="str">
        <f>IFERROR(__xludf.DUMMYFUNCTION("GOOGLETRANSLATE(B15621,""en"",""it"")"),"Un'altra persona di nome Charles Henry sta parlando della sua esperienza a maglia presso il centro culturale.")</f>
        <v>Un'altra persona di nome Charles Henry sta parlando della sua esperienza a maglia presso il centro culturale.</v>
      </c>
    </row>
    <row r="15622">
      <c r="A15622" s="4" t="s">
        <v>19664</v>
      </c>
      <c r="B15622" s="6" t="s">
        <v>19673</v>
      </c>
      <c r="C15622" s="5" t="str">
        <f>IFERROR(__xludf.DUMMYFUNCTION("GOOGLETRANSLATE(B15622,""en"",""it"")"),"Diverse persone sono viste nel centro culturale seduto insieme e lavorando a maglia mentre uno degli organizzatori parla.")</f>
        <v>Diverse persone sono viste nel centro culturale seduto insieme e lavorando a maglia mentre uno degli organizzatori parla.</v>
      </c>
    </row>
    <row r="15623">
      <c r="A15623" s="4" t="s">
        <v>19664</v>
      </c>
      <c r="B15623" s="4" t="s">
        <v>19674</v>
      </c>
      <c r="C15623" s="5" t="str">
        <f>IFERROR(__xludf.DUMMYFUNCTION("GOOGLETRANSLATE(B15623,""en"",""it"")"),"Il giornalista indossa il maglione grigio e sembra molto felice.")</f>
        <v>Il giornalista indossa il maglione grigio e sembra molto felice.</v>
      </c>
    </row>
    <row r="15624">
      <c r="A15624" s="4" t="s">
        <v>19675</v>
      </c>
      <c r="B15624" s="6" t="s">
        <v>19676</v>
      </c>
      <c r="C15624" s="5" t="str">
        <f>IFERROR(__xludf.DUMMYFUNCTION("GOOGLETRANSLATE(B15624,""en"",""it"")"),"Due persone stanno scherzando in una stanza murata a pois, mentre vestiti con attrezzature di scherma e maschere di scherma tra cui un'arma di scherma.")</f>
        <v>Due persone stanno scherzando in una stanza murata a pois, mentre vestiti con attrezzature di scherma e maschere di scherma tra cui un'arma di scherma.</v>
      </c>
    </row>
    <row r="15625">
      <c r="A15625" s="4" t="s">
        <v>19675</v>
      </c>
      <c r="B15625" s="6" t="s">
        <v>19677</v>
      </c>
      <c r="C15625" s="5" t="str">
        <f>IFERROR(__xludf.DUMMYFUNCTION("GOOGLETRANSLATE(B15625,""en"",""it"")"),"Un grafico animato popola che mostra il fisico dei due schermi in una griglia con le due figure animate che esibiscono un po 'di movimento di recinzione/arma.")</f>
        <v>Un grafico animato popola che mostra il fisico dei due schermi in una griglia con le due figure animate che esibiscono un po 'di movimento di recinzione/arma.</v>
      </c>
    </row>
    <row r="15626">
      <c r="A15626" s="4" t="s">
        <v>19675</v>
      </c>
      <c r="B15626" s="6" t="s">
        <v>19678</v>
      </c>
      <c r="C15626" s="5" t="str">
        <f>IFERROR(__xludf.DUMMYFUNCTION("GOOGLETRANSLATE(B15626,""en"",""it"")"),"Appare un taglio di diverse persone che intervistano e parlano con la telecamera di fronte a un cartello di scherma estrema insieme a immagini fisse di persone che si preparano a recintare.")</f>
        <v>Appare un taglio di diverse persone che intervistano e parlano con la telecamera di fronte a un cartello di scherma estrema insieme a immagini fisse di persone che si preparano a recintare.</v>
      </c>
    </row>
    <row r="15627">
      <c r="A15627" s="4" t="s">
        <v>19675</v>
      </c>
      <c r="B15627" s="4" t="s">
        <v>19679</v>
      </c>
      <c r="C15627" s="5" t="str">
        <f>IFERROR(__xludf.DUMMYFUNCTION("GOOGLETRANSLATE(B15627,""en"",""it"")"),"Le due persone vestite con abiti di scherma iniziano a recuperare in una dimostrazione.")</f>
        <v>Le due persone vestite con abiti di scherma iniziano a recuperare in una dimostrazione.</v>
      </c>
    </row>
    <row r="15628">
      <c r="A15628" s="4" t="s">
        <v>19680</v>
      </c>
      <c r="B15628" s="4" t="s">
        <v>19681</v>
      </c>
      <c r="C15628" s="5" t="str">
        <f>IFERROR(__xludf.DUMMYFUNCTION("GOOGLETRANSLATE(B15628,""en"",""it"")"),"Un'ancora di notizie della CBS riporta una storia.")</f>
        <v>Un'ancora di notizie della CBS riporta una storia.</v>
      </c>
    </row>
    <row r="15629">
      <c r="A15629" s="4" t="s">
        <v>19680</v>
      </c>
      <c r="B15629" s="4" t="s">
        <v>19682</v>
      </c>
      <c r="C15629" s="5" t="str">
        <f>IFERROR(__xludf.DUMMYFUNCTION("GOOGLETRANSLATE(B15629,""en"",""it"")"),"Una banda musicale appare su un grande campo che si esibisce.")</f>
        <v>Una banda musicale appare su un grande campo che si esibisce.</v>
      </c>
    </row>
    <row r="15630">
      <c r="A15630" s="4" t="s">
        <v>19680</v>
      </c>
      <c r="B15630" s="4" t="s">
        <v>19683</v>
      </c>
      <c r="C15630" s="5" t="str">
        <f>IFERROR(__xludf.DUMMYFUNCTION("GOOGLETRANSLATE(B15630,""en"",""it"")"),"Uno studente della band di Marching rilascia un'intervista insieme all'istruttore della banda musicale.")</f>
        <v>Uno studente della band di Marching rilascia un'intervista insieme all'istruttore della banda musicale.</v>
      </c>
    </row>
    <row r="15631">
      <c r="A15631" s="4" t="s">
        <v>19680</v>
      </c>
      <c r="B15631" s="4" t="s">
        <v>19684</v>
      </c>
      <c r="C15631" s="5" t="str">
        <f>IFERROR(__xludf.DUMMYFUNCTION("GOOGLETRANSLATE(B15631,""en"",""it"")"),"La banda musicale pratica la loro esibizione.")</f>
        <v>La banda musicale pratica la loro esibizione.</v>
      </c>
    </row>
    <row r="15632">
      <c r="A15632" s="4" t="s">
        <v>19685</v>
      </c>
      <c r="B15632" s="4" t="s">
        <v>19686</v>
      </c>
      <c r="C15632" s="5" t="str">
        <f>IFERROR(__xludf.DUMMYFUNCTION("GOOGLETRANSLATE(B15632,""en"",""it"")"),"Questa giovane donna è in studio suonando il piano.")</f>
        <v>Questa giovane donna è in studio suonando il piano.</v>
      </c>
    </row>
    <row r="15633">
      <c r="A15633" s="4" t="s">
        <v>19685</v>
      </c>
      <c r="B15633" s="4" t="s">
        <v>19687</v>
      </c>
      <c r="C15633" s="5" t="str">
        <f>IFERROR(__xludf.DUMMYFUNCTION("GOOGLETRANSLATE(B15633,""en"",""it"")"),"Nessun altro è lì con lei e lei sembra molto seria su ciò che sta facendo.")</f>
        <v>Nessun altro è lì con lei e lei sembra molto seria su ciò che sta facendo.</v>
      </c>
    </row>
    <row r="15634">
      <c r="A15634" s="4" t="s">
        <v>19685</v>
      </c>
      <c r="B15634" s="4" t="s">
        <v>19688</v>
      </c>
      <c r="C15634" s="5" t="str">
        <f>IFERROR(__xludf.DUMMYFUNCTION("GOOGLETRANSLATE(B15634,""en"",""it"")"),"Indossa una maglietta rosa e leggings color fiore, poi ad un certo punto si ferma.")</f>
        <v>Indossa una maglietta rosa e leggings color fiore, poi ad un certo punto si ferma.</v>
      </c>
    </row>
    <row r="15635">
      <c r="A15635" s="4" t="s">
        <v>19689</v>
      </c>
      <c r="B15635" s="4" t="s">
        <v>19690</v>
      </c>
      <c r="C15635" s="5" t="str">
        <f>IFERROR(__xludf.DUMMYFUNCTION("GOOGLETRANSLATE(B15635,""en"",""it"")"),"Un gruppo di persone si trova su un ponte all'aperto.")</f>
        <v>Un gruppo di persone si trova su un ponte all'aperto.</v>
      </c>
    </row>
    <row r="15636">
      <c r="A15636" s="4" t="s">
        <v>19689</v>
      </c>
      <c r="B15636" s="4" t="s">
        <v>19691</v>
      </c>
      <c r="C15636" s="5" t="str">
        <f>IFERROR(__xludf.DUMMYFUNCTION("GOOGLETRANSLATE(B15636,""en"",""it"")"),"Stanno mettendo le attrezzature intorno ai corpi dell'altro per proteggerli.")</f>
        <v>Stanno mettendo le attrezzature intorno ai corpi dell'altro per proteggerli.</v>
      </c>
    </row>
    <row r="15637">
      <c r="A15637" s="4" t="s">
        <v>19689</v>
      </c>
      <c r="B15637" s="4" t="s">
        <v>19692</v>
      </c>
      <c r="C15637" s="5" t="str">
        <f>IFERROR(__xludf.DUMMYFUNCTION("GOOGLETRANSLATE(B15637,""en"",""it"")"),"La persona salta dal lato del ponte su una corda da bungee, oscillando sull'acqua sottostante.")</f>
        <v>La persona salta dal lato del ponte su una corda da bungee, oscillando sull'acqua sottostante.</v>
      </c>
    </row>
    <row r="15638">
      <c r="A15638" s="4" t="s">
        <v>19693</v>
      </c>
      <c r="B15638" s="4" t="s">
        <v>19694</v>
      </c>
      <c r="C15638" s="5" t="str">
        <f>IFERROR(__xludf.DUMMYFUNCTION("GOOGLETRANSLATE(B15638,""en"",""it"")"),"Molte persone sono raccolte in una piazza.")</f>
        <v>Molte persone sono raccolte in una piazza.</v>
      </c>
    </row>
    <row r="15639">
      <c r="A15639" s="4" t="s">
        <v>19693</v>
      </c>
      <c r="B15639" s="4" t="s">
        <v>19695</v>
      </c>
      <c r="C15639" s="5" t="str">
        <f>IFERROR(__xludf.DUMMYFUNCTION("GOOGLETRANSLATE(B15639,""en"",""it"")"),"La gente inizia a correre per strada e nella baia.")</f>
        <v>La gente inizia a correre per strada e nella baia.</v>
      </c>
    </row>
    <row r="15640">
      <c r="A15640" s="4" t="s">
        <v>19696</v>
      </c>
      <c r="B15640" s="4" t="s">
        <v>19697</v>
      </c>
      <c r="C15640" s="5" t="str">
        <f>IFERROR(__xludf.DUMMYFUNCTION("GOOGLETRANSLATE(B15640,""en"",""it"")"),"Un gruppo di giovani è seduto a un tavolo con cubetti di Rubik di fronte a loro.")</f>
        <v>Un gruppo di giovani è seduto a un tavolo con cubetti di Rubik di fronte a loro.</v>
      </c>
    </row>
    <row r="15641">
      <c r="A15641" s="4" t="s">
        <v>19696</v>
      </c>
      <c r="B15641" s="4" t="s">
        <v>19698</v>
      </c>
      <c r="C15641" s="5" t="str">
        <f>IFERROR(__xludf.DUMMYFUNCTION("GOOGLETRANSLATE(B15641,""en"",""it"")"),"I due ragazzi a destra sono già iniziati e i due ragazzi a sinistra sono in ritardo.")</f>
        <v>I due ragazzi a destra sono già iniziati e i due ragazzi a sinistra sono in ritardo.</v>
      </c>
    </row>
    <row r="15642">
      <c r="A15642" s="4" t="s">
        <v>19696</v>
      </c>
      <c r="B15642" s="6" t="s">
        <v>19699</v>
      </c>
      <c r="C15642" s="5" t="str">
        <f>IFERROR(__xludf.DUMMYFUNCTION("GOOGLETRANSLATE(B15642,""en"",""it"")"),"In otto secondi, il ragazzo risolve il suo cubo e i ragazzi dietro di loro saltano su e iniziano a congratularsi con lui mentre gli altri continuano a risolvere il loro.")</f>
        <v>In otto secondi, il ragazzo risolve il suo cubo e i ragazzi dietro di loro saltano su e iniziano a congratularsi con lui mentre gli altri continuano a risolvere il loro.</v>
      </c>
    </row>
    <row r="15643">
      <c r="A15643" s="4" t="s">
        <v>19700</v>
      </c>
      <c r="B15643" s="4" t="s">
        <v>19701</v>
      </c>
      <c r="C15643" s="5" t="str">
        <f>IFERROR(__xludf.DUMMYFUNCTION("GOOGLETRANSLATE(B15643,""en"",""it"")"),"Una persona è vista seduta nell'acqua con un paio di sci attaccati ai piedi.")</f>
        <v>Una persona è vista seduta nell'acqua con un paio di sci attaccati ai piedi.</v>
      </c>
    </row>
    <row r="15644">
      <c r="A15644" s="4" t="s">
        <v>19700</v>
      </c>
      <c r="B15644" s="4" t="s">
        <v>19702</v>
      </c>
      <c r="C15644" s="5" t="str">
        <f>IFERROR(__xludf.DUMMYFUNCTION("GOOGLETRANSLATE(B15644,""en"",""it"")"),"L'uomo si alza quindi sugli sci e cavalca lungo l'acqua dietro una barca.")</f>
        <v>L'uomo si alza quindi sugli sci e cavalca lungo l'acqua dietro una barca.</v>
      </c>
    </row>
    <row r="15645">
      <c r="A15645" s="4" t="s">
        <v>19703</v>
      </c>
      <c r="B15645" s="4" t="s">
        <v>19704</v>
      </c>
      <c r="C15645" s="5" t="str">
        <f>IFERROR(__xludf.DUMMYFUNCTION("GOOGLETRANSLATE(B15645,""en"",""it"")"),"Viene mostrata una vista di un ampio posto di alberi in una foresta.")</f>
        <v>Viene mostrata una vista di un ampio posto di alberi in una foresta.</v>
      </c>
    </row>
    <row r="15646">
      <c r="A15646" s="4" t="s">
        <v>19703</v>
      </c>
      <c r="B15646" s="4" t="s">
        <v>19705</v>
      </c>
      <c r="C15646" s="5" t="str">
        <f>IFERROR(__xludf.DUMMYFUNCTION("GOOGLETRANSLATE(B15646,""en"",""it"")"),"Una donna esce tenendo in mano un cerchio di hula.")</f>
        <v>Una donna esce tenendo in mano un cerchio di hula.</v>
      </c>
    </row>
    <row r="15647">
      <c r="A15647" s="4" t="s">
        <v>19703</v>
      </c>
      <c r="B15647" s="4" t="s">
        <v>19706</v>
      </c>
      <c r="C15647" s="5" t="str">
        <f>IFERROR(__xludf.DUMMYFUNCTION("GOOGLETRANSLATE(B15647,""en"",""it"")"),"Comincia a usare il cerchio seducente mentre balla.")</f>
        <v>Comincia a usare il cerchio seducente mentre balla.</v>
      </c>
    </row>
    <row r="15648">
      <c r="A15648" s="4" t="s">
        <v>19703</v>
      </c>
      <c r="B15648" s="4" t="s">
        <v>19707</v>
      </c>
      <c r="C15648" s="5" t="str">
        <f>IFERROR(__xludf.DUMMYFUNCTION("GOOGLETRANSLATE(B15648,""en"",""it"")"),"Gira, lancia e fa cartwheels mentre usa il cerchio.")</f>
        <v>Gira, lancia e fa cartwheels mentre usa il cerchio.</v>
      </c>
    </row>
    <row r="15649">
      <c r="A15649" s="4" t="s">
        <v>19703</v>
      </c>
      <c r="B15649" s="4" t="s">
        <v>19708</v>
      </c>
      <c r="C15649" s="5" t="str">
        <f>IFERROR(__xludf.DUMMYFUNCTION("GOOGLETRANSLATE(B15649,""en"",""it"")"),"Finisce la sua esibizione con una posa congelata e fissa verso l'alto.")</f>
        <v>Finisce la sua esibizione con una posa congelata e fissa verso l'alto.</v>
      </c>
    </row>
    <row r="15650">
      <c r="A15650" s="4" t="s">
        <v>19709</v>
      </c>
      <c r="B15650" s="4" t="s">
        <v>19710</v>
      </c>
      <c r="C15650" s="5" t="str">
        <f>IFERROR(__xludf.DUMMYFUNCTION("GOOGLETRANSLATE(B15650,""en"",""it"")"),"L'uomo che intreccia una camicia verde è in piedi accanto a una bambina.")</f>
        <v>L'uomo che intreccia una camicia verde è in piedi accanto a una bambina.</v>
      </c>
    </row>
    <row r="15651">
      <c r="A15651" s="4" t="s">
        <v>19709</v>
      </c>
      <c r="B15651" s="4" t="s">
        <v>19711</v>
      </c>
      <c r="C15651" s="5" t="str">
        <f>IFERROR(__xludf.DUMMYFUNCTION("GOOGLETRANSLATE(B15651,""en"",""it"")"),"La ragazza che indossa gli occhiali sta parlando con la telecamera.")</f>
        <v>La ragazza che indossa gli occhiali sta parlando con la telecamera.</v>
      </c>
    </row>
    <row r="15652">
      <c r="A15652" s="4" t="s">
        <v>19709</v>
      </c>
      <c r="B15652" s="4" t="s">
        <v>19712</v>
      </c>
      <c r="C15652" s="5" t="str">
        <f>IFERROR(__xludf.DUMMYFUNCTION("GOOGLETRANSLATE(B15652,""en"",""it"")"),"L'uomo e la ragazza bevono da una tazza bianca.")</f>
        <v>L'uomo e la ragazza bevono da una tazza bianca.</v>
      </c>
    </row>
    <row r="15653">
      <c r="A15653" s="4" t="s">
        <v>19709</v>
      </c>
      <c r="B15653" s="4" t="s">
        <v>19713</v>
      </c>
      <c r="C15653" s="5" t="str">
        <f>IFERROR(__xludf.DUMMYFUNCTION("GOOGLETRANSLATE(B15653,""en"",""it"")"),"La ragazza tiene la bevanda in bocca e la sputa sull'erba e l'uomo fa lo stesso.")</f>
        <v>La ragazza tiene la bevanda in bocca e la sputa sull'erba e l'uomo fa lo stesso.</v>
      </c>
    </row>
    <row r="15654">
      <c r="A15654" s="4" t="s">
        <v>19714</v>
      </c>
      <c r="B15654" s="4" t="s">
        <v>19715</v>
      </c>
      <c r="C15654" s="5" t="str">
        <f>IFERROR(__xludf.DUMMYFUNCTION("GOOGLETRANSLATE(B15654,""en"",""it"")"),"Una ragazza cammina fino alla fine di una tavola da immersione e alza le mani.")</f>
        <v>Una ragazza cammina fino alla fine di una tavola da immersione e alza le mani.</v>
      </c>
    </row>
    <row r="15655">
      <c r="A15655" s="4" t="s">
        <v>19714</v>
      </c>
      <c r="B15655" s="4" t="s">
        <v>19716</v>
      </c>
      <c r="C15655" s="5" t="str">
        <f>IFERROR(__xludf.DUMMYFUNCTION("GOOGLETRANSLATE(B15655,""en"",""it"")"),"La ragazza salta sul tabellone per prepararsi.")</f>
        <v>La ragazza salta sul tabellone per prepararsi.</v>
      </c>
    </row>
    <row r="15656">
      <c r="A15656" s="4" t="s">
        <v>19714</v>
      </c>
      <c r="B15656" s="4" t="s">
        <v>19717</v>
      </c>
      <c r="C15656" s="5" t="str">
        <f>IFERROR(__xludf.DUMMYFUNCTION("GOOGLETRANSLATE(B15656,""en"",""it"")"),"La ragazza quindi fa un tuffo all'indietro nella piscina.")</f>
        <v>La ragazza quindi fa un tuffo all'indietro nella piscina.</v>
      </c>
    </row>
    <row r="15657">
      <c r="A15657" s="4" t="s">
        <v>19718</v>
      </c>
      <c r="B15657" s="4" t="s">
        <v>19719</v>
      </c>
      <c r="C15657" s="5" t="str">
        <f>IFERROR(__xludf.DUMMYFUNCTION("GOOGLETRANSLATE(B15657,""en"",""it"")"),"Le persone guardano i concorrenti si preparano vicino a un palcoscenico rosso.")</f>
        <v>Le persone guardano i concorrenti si preparano vicino a un palcoscenico rosso.</v>
      </c>
    </row>
    <row r="15658">
      <c r="A15658" s="4" t="s">
        <v>19718</v>
      </c>
      <c r="B15658" s="4" t="s">
        <v>19720</v>
      </c>
      <c r="C15658" s="5" t="str">
        <f>IFERROR(__xludf.DUMMYFUNCTION("GOOGLETRANSLATE(B15658,""en"",""it"")"),"I concorrenti mettono i loro robot nel cerchio mentre il giudice li istruisce.")</f>
        <v>I concorrenti mettono i loro robot nel cerchio mentre il giudice li istruisce.</v>
      </c>
    </row>
    <row r="15659">
      <c r="A15659" s="4" t="s">
        <v>19718</v>
      </c>
      <c r="B15659" s="4" t="s">
        <v>19721</v>
      </c>
      <c r="C15659" s="5" t="str">
        <f>IFERROR(__xludf.DUMMYFUNCTION("GOOGLETRANSLATE(B15659,""en"",""it"")"),"Il giudice segnala l'inizio della competizione.")</f>
        <v>Il giudice segnala l'inizio della competizione.</v>
      </c>
    </row>
    <row r="15660">
      <c r="A15660" s="4" t="s">
        <v>19718</v>
      </c>
      <c r="B15660" s="4" t="s">
        <v>19722</v>
      </c>
      <c r="C15660" s="5" t="str">
        <f>IFERROR(__xludf.DUMMYFUNCTION("GOOGLETRANSLATE(B15660,""en"",""it"")"),"I robot iniziano a muoversi e uno dei robot viene espulso dal cerchio.")</f>
        <v>I robot iniziano a muoversi e uno dei robot viene espulso dal cerchio.</v>
      </c>
    </row>
    <row r="15661">
      <c r="A15661" s="4" t="s">
        <v>19718</v>
      </c>
      <c r="B15661" s="4" t="s">
        <v>19723</v>
      </c>
      <c r="C15661" s="5" t="str">
        <f>IFERROR(__xludf.DUMMYFUNCTION("GOOGLETRANSLATE(B15661,""en"",""it"")"),"I concorrenti tornano sul palco e sostituiscono i loro robot.")</f>
        <v>I concorrenti tornano sul palco e sostituiscono i loro robot.</v>
      </c>
    </row>
    <row r="15662">
      <c r="A15662" s="4" t="s">
        <v>19718</v>
      </c>
      <c r="B15662" s="6" t="s">
        <v>19724</v>
      </c>
      <c r="C15662" s="5" t="str">
        <f>IFERROR(__xludf.DUMMYFUNCTION("GOOGLETRANSLATE(B15662,""en"",""it"")"),"Il giudice segnala che la competizione ricomincia e tutti applaude quando uno di loro vince.")</f>
        <v>Il giudice segnala che la competizione ricomincia e tutti applaude quando uno di loro vince.</v>
      </c>
    </row>
    <row r="15663">
      <c r="A15663" s="4" t="s">
        <v>19725</v>
      </c>
      <c r="B15663" s="4" t="s">
        <v>19726</v>
      </c>
      <c r="C15663" s="5" t="str">
        <f>IFERROR(__xludf.DUMMYFUNCTION("GOOGLETRANSLATE(B15663,""en"",""it"")"),"Un uomo si trova in una stanza che indossa il blu.")</f>
        <v>Un uomo si trova in una stanza che indossa il blu.</v>
      </c>
    </row>
    <row r="15664">
      <c r="A15664" s="4" t="s">
        <v>19725</v>
      </c>
      <c r="B15664" s="4" t="s">
        <v>19727</v>
      </c>
      <c r="C15664" s="5" t="str">
        <f>IFERROR(__xludf.DUMMYFUNCTION("GOOGLETRANSLATE(B15664,""en"",""it"")"),"Sta applicando una foto al muro.")</f>
        <v>Sta applicando una foto al muro.</v>
      </c>
    </row>
    <row r="15665">
      <c r="A15665" s="4" t="s">
        <v>19725</v>
      </c>
      <c r="B15665" s="4" t="s">
        <v>19728</v>
      </c>
      <c r="C15665" s="5" t="str">
        <f>IFERROR(__xludf.DUMMYFUNCTION("GOOGLETRANSLATE(B15665,""en"",""it"")"),"Usa uno strumento per appianare.")</f>
        <v>Usa uno strumento per appianare.</v>
      </c>
    </row>
    <row r="15666">
      <c r="A15666" s="4" t="s">
        <v>19725</v>
      </c>
      <c r="B15666" s="4" t="s">
        <v>19729</v>
      </c>
      <c r="C15666" s="5" t="str">
        <f>IFERROR(__xludf.DUMMYFUNCTION("GOOGLETRANSLATE(B15666,""en"",""it"")"),"Taglia la carta in basso.")</f>
        <v>Taglia la carta in basso.</v>
      </c>
    </row>
    <row r="15667">
      <c r="A15667" s="4" t="s">
        <v>19730</v>
      </c>
      <c r="B15667" s="4" t="s">
        <v>19731</v>
      </c>
      <c r="C15667" s="5" t="str">
        <f>IFERROR(__xludf.DUMMYFUNCTION("GOOGLETRANSLATE(B15667,""en"",""it"")"),"Un uomo in piedi fuori dalla pulizia di una finestra dell'edificio con un grande spremuto.")</f>
        <v>Un uomo in piedi fuori dalla pulizia di una finestra dell'edificio con un grande spremuto.</v>
      </c>
    </row>
    <row r="15668">
      <c r="A15668" s="4" t="s">
        <v>19730</v>
      </c>
      <c r="B15668" s="4" t="s">
        <v>19732</v>
      </c>
      <c r="C15668" s="5" t="str">
        <f>IFERROR(__xludf.DUMMYFUNCTION("GOOGLETRANSLATE(B15668,""en"",""it"")"),"Supera la finestra della porta e poi usa un altro gadget dopo per asciugare il sapone.")</f>
        <v>Supera la finestra della porta e poi usa un altro gadget dopo per asciugare il sapone.</v>
      </c>
    </row>
    <row r="15669">
      <c r="A15669" s="4" t="s">
        <v>19730</v>
      </c>
      <c r="B15669" s="4" t="s">
        <v>19733</v>
      </c>
      <c r="C15669" s="5" t="str">
        <f>IFERROR(__xludf.DUMMYFUNCTION("GOOGLETRANSLATE(B15669,""en"",""it"")"),"Inizia fino in fondo assicurandosi di entrare negli angoli della finestra.")</f>
        <v>Inizia fino in fondo assicurandosi di entrare negli angoli della finestra.</v>
      </c>
    </row>
    <row r="15670">
      <c r="A15670" s="4" t="s">
        <v>19730</v>
      </c>
      <c r="B15670" s="4" t="s">
        <v>19734</v>
      </c>
      <c r="C15670" s="5" t="str">
        <f>IFERROR(__xludf.DUMMYFUNCTION("GOOGLETRANSLATE(B15670,""en"",""it"")"),"La finestra sembra molto pulita e bella una volta che è giù a fare tutto questo.")</f>
        <v>La finestra sembra molto pulita e bella una volta che è giù a fare tutto questo.</v>
      </c>
    </row>
    <row r="15671">
      <c r="A15671" s="4" t="s">
        <v>19735</v>
      </c>
      <c r="B15671" s="4" t="s">
        <v>19736</v>
      </c>
      <c r="C15671" s="5" t="str">
        <f>IFERROR(__xludf.DUMMYFUNCTION("GOOGLETRANSLATE(B15671,""en"",""it"")"),"Un gruppo di cheerleader si esibisce sul palco mentre le persone guardano.")</f>
        <v>Un gruppo di cheerleader si esibisce sul palco mentre le persone guardano.</v>
      </c>
    </row>
    <row r="15672">
      <c r="A15672" s="4" t="s">
        <v>19735</v>
      </c>
      <c r="B15672" s="4" t="s">
        <v>19737</v>
      </c>
      <c r="C15672" s="5" t="str">
        <f>IFERROR(__xludf.DUMMYFUNCTION("GOOGLETRANSLATE(B15672,""en"",""it"")"),"Quindi, le cheerleader fanno una torre e poi saltano, poi fanno le ruote.")</f>
        <v>Quindi, le cheerleader fanno una torre e poi saltano, poi fanno le ruote.</v>
      </c>
    </row>
    <row r="15673">
      <c r="A15673" s="4" t="s">
        <v>19735</v>
      </c>
      <c r="B15673" s="4" t="s">
        <v>19738</v>
      </c>
      <c r="C15673" s="5" t="str">
        <f>IFERROR(__xludf.DUMMYFUNCTION("GOOGLETRANSLATE(B15673,""en"",""it"")"),"Due cheerleader si alzano in una torre e poi si lanciano e cadono sulle braccia delle persone.")</f>
        <v>Due cheerleader si alzano in una torre e poi si lanciano e cadono sulle braccia delle persone.</v>
      </c>
    </row>
    <row r="15674">
      <c r="A15674" s="4" t="s">
        <v>19735</v>
      </c>
      <c r="B15674" s="4" t="s">
        <v>19739</v>
      </c>
      <c r="C15674" s="5" t="str">
        <f>IFERROR(__xludf.DUMMYFUNCTION("GOOGLETRANSLATE(B15674,""en"",""it"")"),"Le ragazze fanno di nuovo una torre e poi girano e saltano.")</f>
        <v>Le ragazze fanno di nuovo una torre e poi girano e saltano.</v>
      </c>
    </row>
    <row r="15675">
      <c r="A15675" s="4" t="s">
        <v>19735</v>
      </c>
      <c r="B15675" s="4" t="s">
        <v>19740</v>
      </c>
      <c r="C15675" s="5" t="str">
        <f>IFERROR(__xludf.DUMMYFUNCTION("GOOGLETRANSLATE(B15675,""en"",""it"")"),"Le cheerleader allevano le ragazze e poi si abbassano, poi continuano a esibirsi.")</f>
        <v>Le cheerleader allevano le ragazze e poi si abbassano, poi continuano a esibirsi.</v>
      </c>
    </row>
    <row r="15676">
      <c r="A15676" s="4" t="s">
        <v>19741</v>
      </c>
      <c r="B15676" s="4" t="s">
        <v>19742</v>
      </c>
      <c r="C15676" s="5" t="str">
        <f>IFERROR(__xludf.DUMMYFUNCTION("GOOGLETRANSLATE(B15676,""en"",""it"")"),"Due uomini sono lunghi bordo giù per una collina.")</f>
        <v>Due uomini sono lunghi bordo giù per una collina.</v>
      </c>
    </row>
    <row r="15677">
      <c r="A15677" s="4" t="s">
        <v>19741</v>
      </c>
      <c r="B15677" s="4" t="s">
        <v>19743</v>
      </c>
      <c r="C15677" s="5" t="str">
        <f>IFERROR(__xludf.DUMMYFUNCTION("GOOGLETRANSLATE(B15677,""en"",""it"")"),"Si ferma e mette il piede a terra.")</f>
        <v>Si ferma e mette il piede a terra.</v>
      </c>
    </row>
    <row r="15678">
      <c r="A15678" s="4" t="s">
        <v>19741</v>
      </c>
      <c r="B15678" s="4" t="s">
        <v>19744</v>
      </c>
      <c r="C15678" s="5" t="str">
        <f>IFERROR(__xludf.DUMMYFUNCTION("GOOGLETRANSLATE(B15678,""en"",""it"")"),"È in piedi sulla sua tavola a testa in giù.")</f>
        <v>È in piedi sulla sua tavola a testa in giù.</v>
      </c>
    </row>
    <row r="15679">
      <c r="A15679" s="4" t="s">
        <v>19741</v>
      </c>
      <c r="B15679" s="4" t="s">
        <v>19745</v>
      </c>
      <c r="C15679" s="5" t="str">
        <f>IFERROR(__xludf.DUMMYFUNCTION("GOOGLETRANSLATE(B15679,""en"",""it"")"),"Un uomo con una camicia verde è seduto a terra con la sua lunga tavola di fronte a lui.")</f>
        <v>Un uomo con una camicia verde è seduto a terra con la sua lunga tavola di fronte a lui.</v>
      </c>
    </row>
    <row r="15680">
      <c r="A15680" s="4" t="s">
        <v>19746</v>
      </c>
      <c r="B15680" s="4" t="s">
        <v>19747</v>
      </c>
      <c r="C15680" s="5" t="str">
        <f>IFERROR(__xludf.DUMMYFUNCTION("GOOGLETRANSLATE(B15680,""en"",""it"")"),"La persona viene mostrata mescolando gli ingredienti.")</f>
        <v>La persona viene mostrata mescolando gli ingredienti.</v>
      </c>
    </row>
    <row r="15681">
      <c r="A15681" s="4" t="s">
        <v>19746</v>
      </c>
      <c r="B15681" s="6" t="s">
        <v>19748</v>
      </c>
      <c r="C15681" s="5" t="str">
        <f>IFERROR(__xludf.DUMMYFUNCTION("GOOGLETRANSLATE(B15681,""en"",""it"")"),"La persona rotola l'impasto e lo taglia in piccoli pezzi e appiattisce le piccole palline usando le mani.")</f>
        <v>La persona rotola l'impasto e lo taglia in piccoli pezzi e appiattisce le piccole palline usando le mani.</v>
      </c>
    </row>
    <row r="15682">
      <c r="A15682" s="4" t="s">
        <v>19746</v>
      </c>
      <c r="B15682" s="4" t="s">
        <v>19749</v>
      </c>
      <c r="C15682" s="5" t="str">
        <f>IFERROR(__xludf.DUMMYFUNCTION("GOOGLETRANSLATE(B15682,""en"",""it"")"),"La persona usa una forchetta per mettere le linee nell'impasto.")</f>
        <v>La persona usa una forchetta per mettere le linee nell'impasto.</v>
      </c>
    </row>
    <row r="15683">
      <c r="A15683" s="4" t="s">
        <v>19746</v>
      </c>
      <c r="B15683" s="4" t="s">
        <v>19750</v>
      </c>
      <c r="C15683" s="5" t="str">
        <f>IFERROR(__xludf.DUMMYFUNCTION("GOOGLETRANSLATE(B15683,""en"",""it"")"),"Quindi la persona mette i biscotti su una teglia in una padella e li cuoce per 15 minuti.")</f>
        <v>Quindi la persona mette i biscotti su una teglia in una padella e li cuoce per 15 minuti.</v>
      </c>
    </row>
    <row r="15684">
      <c r="A15684" s="4" t="s">
        <v>19746</v>
      </c>
      <c r="B15684" s="4" t="s">
        <v>19751</v>
      </c>
      <c r="C15684" s="5" t="str">
        <f>IFERROR(__xludf.DUMMYFUNCTION("GOOGLETRANSLATE(B15684,""en"",""it"")"),"Quindi tira fuori i biscotti quando hanno finito.")</f>
        <v>Quindi tira fuori i biscotti quando hanno finito.</v>
      </c>
    </row>
    <row r="15685">
      <c r="A15685" s="4" t="s">
        <v>19752</v>
      </c>
      <c r="B15685" s="6" t="s">
        <v>19753</v>
      </c>
      <c r="C15685" s="5" t="str">
        <f>IFERROR(__xludf.DUMMYFUNCTION("GOOGLETRANSLATE(B15685,""en"",""it"")"),"Una persona gira e getta in aria un anello di hula, quindi la donna passa l'anello di hula attraverso il suo corpo.")</f>
        <v>Una persona gira e getta in aria un anello di hula, quindi la donna passa l'anello di hula attraverso il suo corpo.</v>
      </c>
    </row>
    <row r="15686">
      <c r="A15686" s="4" t="s">
        <v>19752</v>
      </c>
      <c r="B15686" s="4" t="s">
        <v>19754</v>
      </c>
      <c r="C15686" s="5" t="str">
        <f>IFERROR(__xludf.DUMMYFUNCTION("GOOGLETRANSLATE(B15686,""en"",""it"")"),"Dopo, la donna passa rapidamente l'anello di hula intorno alla vita.")</f>
        <v>Dopo, la donna passa rapidamente l'anello di hula intorno alla vita.</v>
      </c>
    </row>
    <row r="15687">
      <c r="A15687" s="4" t="s">
        <v>19752</v>
      </c>
      <c r="B15687" s="4" t="s">
        <v>19755</v>
      </c>
      <c r="C15687" s="5" t="str">
        <f>IFERROR(__xludf.DUMMYFUNCTION("GOOGLETRANSLATE(B15687,""en"",""it"")"),"Quindi, la donna fa un esercizio con i piedi e il corpo.")</f>
        <v>Quindi, la donna fa un esercizio con i piedi e il corpo.</v>
      </c>
    </row>
    <row r="15688">
      <c r="A15688" s="4" t="s">
        <v>19756</v>
      </c>
      <c r="B15688" s="6" t="s">
        <v>19757</v>
      </c>
      <c r="C15688" s="5" t="str">
        <f>IFERROR(__xludf.DUMMYFUNCTION("GOOGLETRANSLATE(B15688,""en"",""it"")"),"La nonna sta parlando con un bambino biondo seduto in un allenatore mentre è a maglia in un filo rosso in una stanza di bugie.")</f>
        <v>La nonna sta parlando con un bambino biondo seduto in un allenatore mentre è a maglia in un filo rosso in una stanza di bugie.</v>
      </c>
    </row>
    <row r="15689">
      <c r="A15689" s="4" t="s">
        <v>19756</v>
      </c>
      <c r="B15689" s="6" t="s">
        <v>19758</v>
      </c>
      <c r="C15689" s="5" t="str">
        <f>IFERROR(__xludf.DUMMYFUNCTION("GOOGLETRANSLATE(B15689,""en"",""it"")"),"Il bambino tiene il filo e corre nella stanza tirandolo e la donna gli sta parlando, il bambino afferra il filo dal pavimento e corre nel soggiorno.")</f>
        <v>Il bambino tiene il filo e corre nella stanza tirandolo e la donna gli sta parlando, il bambino afferra il filo dal pavimento e corre nel soggiorno.</v>
      </c>
    </row>
    <row r="15690">
      <c r="A15690" s="4" t="s">
        <v>19759</v>
      </c>
      <c r="B15690" s="4" t="s">
        <v>19760</v>
      </c>
      <c r="C15690" s="5" t="str">
        <f>IFERROR(__xludf.DUMMYFUNCTION("GOOGLETRANSLATE(B15690,""en"",""it"")"),"Vengono mostrati diversi loghi di notizie e poi un giornalista maschio si presenta a parlare dietro la sua scrivania.")</f>
        <v>Vengono mostrati diversi loghi di notizie e poi un giornalista maschio si presenta a parlare dietro la sua scrivania.</v>
      </c>
    </row>
    <row r="15691">
      <c r="A15691" s="4" t="s">
        <v>19759</v>
      </c>
      <c r="B15691" s="6" t="s">
        <v>19761</v>
      </c>
      <c r="C15691" s="5" t="str">
        <f>IFERROR(__xludf.DUMMYFUNCTION("GOOGLETRANSLATE(B15691,""en"",""it"")"),"La telecamera si avvicina quindi a una donna e inizia a fare interviste con uomini che stavano giocando a calcio.")</f>
        <v>La telecamera si avvicina quindi a una donna e inizia a fare interviste con uomini che stavano giocando a calcio.</v>
      </c>
    </row>
    <row r="15692">
      <c r="A15692" s="4" t="s">
        <v>19759</v>
      </c>
      <c r="B15692" s="6" t="s">
        <v>19762</v>
      </c>
      <c r="C15692" s="5" t="str">
        <f>IFERROR(__xludf.DUMMYFUNCTION("GOOGLETRANSLATE(B15692,""en"",""it"")"),"Vengono giocati molti quarti e dopo che gli obiettivi sono stati fatti, i giocatori iniziano a saltare la schiena e saltare per la gioia e mostrare la loro felicità.")</f>
        <v>Vengono giocati molti quarti e dopo che gli obiettivi sono stati fatti, i giocatori iniziano a saltare la schiena e saltare per la gioia e mostrare la loro felicità.</v>
      </c>
    </row>
    <row r="15693">
      <c r="A15693" s="4" t="s">
        <v>19763</v>
      </c>
      <c r="B15693" s="4" t="s">
        <v>19764</v>
      </c>
      <c r="C15693" s="5" t="str">
        <f>IFERROR(__xludf.DUMMYFUNCTION("GOOGLETRANSLATE(B15693,""en"",""it"")"),"Due uomini eseguono Kick Box in una stanza mentre un uomo supervisiona le mosse.")</f>
        <v>Due uomini eseguono Kick Box in una stanza mentre un uomo supervisiona le mosse.</v>
      </c>
    </row>
    <row r="15694">
      <c r="A15694" s="4" t="s">
        <v>19763</v>
      </c>
      <c r="B15694" s="4" t="s">
        <v>19765</v>
      </c>
      <c r="C15694" s="5" t="str">
        <f>IFERROR(__xludf.DUMMYFUNCTION("GOOGLETRANSLATE(B15694,""en"",""it"")"),"Una persona si appoggia al muro dietro gli uomini.")</f>
        <v>Una persona si appoggia al muro dietro gli uomini.</v>
      </c>
    </row>
    <row r="15695">
      <c r="A15695" s="4" t="s">
        <v>19763</v>
      </c>
      <c r="B15695" s="4" t="s">
        <v>19766</v>
      </c>
      <c r="C15695" s="5" t="str">
        <f>IFERROR(__xludf.DUMMYFUNCTION("GOOGLETRANSLATE(B15695,""en"",""it"")"),"Un bambino passa davanti agli uomini.")</f>
        <v>Un bambino passa davanti agli uomini.</v>
      </c>
    </row>
    <row r="15696">
      <c r="A15696" s="4" t="s">
        <v>19763</v>
      </c>
      <c r="B15696" s="4" t="s">
        <v>19767</v>
      </c>
      <c r="C15696" s="5" t="str">
        <f>IFERROR(__xludf.DUMMYFUNCTION("GOOGLETRANSLATE(B15696,""en"",""it"")"),"Una donna cammina e sta davanti agli uomini.")</f>
        <v>Una donna cammina e sta davanti agli uomini.</v>
      </c>
    </row>
    <row r="15697">
      <c r="A15697" s="4" t="s">
        <v>19768</v>
      </c>
      <c r="B15697" s="4" t="s">
        <v>19769</v>
      </c>
      <c r="C15697" s="5" t="str">
        <f>IFERROR(__xludf.DUMMYFUNCTION("GOOGLETRANSLATE(B15697,""en"",""it"")"),"Un grande uomo è in piedi su una cupola circolare in un campo.")</f>
        <v>Un grande uomo è in piedi su una cupola circolare in un campo.</v>
      </c>
    </row>
    <row r="15698">
      <c r="A15698" s="4" t="s">
        <v>19768</v>
      </c>
      <c r="B15698" s="4" t="s">
        <v>19770</v>
      </c>
      <c r="C15698" s="5" t="str">
        <f>IFERROR(__xludf.DUMMYFUNCTION("GOOGLETRANSLATE(B15698,""en"",""it"")"),"Tiene una sfera d'acciaio su una corda mentre parla.")</f>
        <v>Tiene una sfera d'acciaio su una corda mentre parla.</v>
      </c>
    </row>
    <row r="15699">
      <c r="A15699" s="4" t="s">
        <v>19768</v>
      </c>
      <c r="B15699" s="4" t="s">
        <v>19771</v>
      </c>
      <c r="C15699" s="5" t="str">
        <f>IFERROR(__xludf.DUMMYFUNCTION("GOOGLETRANSLATE(B15699,""en"",""it"")"),"Quindi mostra come stare prima di oscillare la palla intorno alla testa in cerchio.")</f>
        <v>Quindi mostra come stare prima di oscillare la palla intorno alla testa in cerchio.</v>
      </c>
    </row>
    <row r="15700">
      <c r="A15700" s="4" t="s">
        <v>19768</v>
      </c>
      <c r="B15700" s="4" t="s">
        <v>19772</v>
      </c>
      <c r="C15700" s="5" t="str">
        <f>IFERROR(__xludf.DUMMYFUNCTION("GOOGLETRANSLATE(B15700,""en"",""it"")"),"Lascia andare e la palla vola lontano attraverso il campo mentre si allontana.")</f>
        <v>Lascia andare e la palla vola lontano attraverso il campo mentre si allontana.</v>
      </c>
    </row>
    <row r="15701">
      <c r="A15701" s="4" t="s">
        <v>19773</v>
      </c>
      <c r="B15701" s="4" t="s">
        <v>19774</v>
      </c>
      <c r="C15701" s="5" t="str">
        <f>IFERROR(__xludf.DUMMYFUNCTION("GOOGLETRANSLATE(B15701,""en"",""it"")"),"Una mamma è seduta in cima a uno scivolo con il suo bambino.")</f>
        <v>Una mamma è seduta in cima a uno scivolo con il suo bambino.</v>
      </c>
    </row>
    <row r="15702">
      <c r="A15702" s="4" t="s">
        <v>19773</v>
      </c>
      <c r="B15702" s="4" t="s">
        <v>19775</v>
      </c>
      <c r="C15702" s="5" t="str">
        <f>IFERROR(__xludf.DUMMYFUNCTION("GOOGLETRANSLATE(B15702,""en"",""it"")"),"Sta pensando di andare giù per un po '.")</f>
        <v>Sta pensando di andare giù per un po '.</v>
      </c>
    </row>
    <row r="15703">
      <c r="A15703" s="4" t="s">
        <v>19773</v>
      </c>
      <c r="B15703" s="4" t="s">
        <v>19776</v>
      </c>
      <c r="C15703" s="5" t="str">
        <f>IFERROR(__xludf.DUMMYFUNCTION("GOOGLETRANSLATE(B15703,""en"",""it"")"),"Alla fine lo scivola giù con il bambino.")</f>
        <v>Alla fine lo scivola giù con il bambino.</v>
      </c>
    </row>
    <row r="15704">
      <c r="A15704" s="4" t="s">
        <v>19773</v>
      </c>
      <c r="B15704" s="4" t="s">
        <v>19777</v>
      </c>
      <c r="C15704" s="5" t="str">
        <f>IFERROR(__xludf.DUMMYFUNCTION("GOOGLETRANSLATE(B15704,""en"",""it"")"),"Quando raggiungono il fondo, gli lascia andare e lui inizia a camminare.")</f>
        <v>Quando raggiungono il fondo, gli lascia andare e lui inizia a camminare.</v>
      </c>
    </row>
    <row r="15705">
      <c r="A15705" s="4" t="s">
        <v>19778</v>
      </c>
      <c r="B15705" s="4" t="s">
        <v>19779</v>
      </c>
      <c r="C15705" s="5" t="str">
        <f>IFERROR(__xludf.DUMMYFUNCTION("GOOGLETRANSLATE(B15705,""en"",""it"")"),"Un ragazzo è in piedi nel mezzo di un parcheggio.")</f>
        <v>Un ragazzo è in piedi nel mezzo di un parcheggio.</v>
      </c>
    </row>
    <row r="15706">
      <c r="A15706" s="4" t="s">
        <v>19778</v>
      </c>
      <c r="B15706" s="4" t="s">
        <v>19780</v>
      </c>
      <c r="C15706" s="5" t="str">
        <f>IFERROR(__xludf.DUMMYFUNCTION("GOOGLETRANSLATE(B15706,""en"",""it"")"),"Indossa un cappello con una piuma e occhiali da sole.")</f>
        <v>Indossa un cappello con una piuma e occhiali da sole.</v>
      </c>
    </row>
    <row r="15707">
      <c r="A15707" s="4" t="s">
        <v>19778</v>
      </c>
      <c r="B15707" s="4" t="s">
        <v>19781</v>
      </c>
      <c r="C15707" s="5" t="str">
        <f>IFERROR(__xludf.DUMMYFUNCTION("GOOGLETRANSLATE(B15707,""en"",""it"")"),"Sta giocando una cornamusa.")</f>
        <v>Sta giocando una cornamusa.</v>
      </c>
    </row>
    <row r="15708">
      <c r="A15708" s="4" t="s">
        <v>19782</v>
      </c>
      <c r="B15708" s="4" t="s">
        <v>19783</v>
      </c>
      <c r="C15708" s="5" t="str">
        <f>IFERROR(__xludf.DUMMYFUNCTION("GOOGLETRANSLATE(B15708,""en"",""it"")"),"Un uomo viene visto prendere a calci un pallone da calcio in piedi e passare gradualmente a un muro.")</f>
        <v>Un uomo viene visto prendere a calci un pallone da calcio in piedi e passare gradualmente a un muro.</v>
      </c>
    </row>
    <row r="15709">
      <c r="A15709" s="4" t="s">
        <v>19782</v>
      </c>
      <c r="B15709" s="6" t="s">
        <v>19784</v>
      </c>
      <c r="C15709" s="5" t="str">
        <f>IFERROR(__xludf.DUMMYFUNCTION("GOOGLETRANSLATE(B15709,""en"",""it"")"),"L'uomo continua a calciare la palla dal piede e contro il muro mentre la telecamera lo cattura.")</f>
        <v>L'uomo continua a calciare la palla dal piede e contro il muro mentre la telecamera lo cattura.</v>
      </c>
    </row>
    <row r="15710">
      <c r="A15710" s="4" t="s">
        <v>19785</v>
      </c>
      <c r="B15710" s="4" t="s">
        <v>19786</v>
      </c>
      <c r="C15710" s="5" t="str">
        <f>IFERROR(__xludf.DUMMYFUNCTION("GOOGLETRANSLATE(B15710,""en"",""it"")"),"Gli uomini sono in piedi sulla pesca del ghiaccio in una grande regione di ghiaccio.")</f>
        <v>Gli uomini sono in piedi sulla pesca del ghiaccio in una grande regione di ghiaccio.</v>
      </c>
    </row>
    <row r="15711">
      <c r="A15711" s="4" t="s">
        <v>19785</v>
      </c>
      <c r="B15711" s="4" t="s">
        <v>19787</v>
      </c>
      <c r="C15711" s="5" t="str">
        <f>IFERROR(__xludf.DUMMYFUNCTION("GOOGLETRANSLATE(B15711,""en"",""it"")"),"L'uomo afferrò un pesce dal ghiaccio e giaceva sul pavimento.")</f>
        <v>L'uomo afferrò un pesce dal ghiaccio e giaceva sul pavimento.</v>
      </c>
    </row>
    <row r="15712">
      <c r="A15712" s="4" t="s">
        <v>19788</v>
      </c>
      <c r="B15712" s="4" t="s">
        <v>19789</v>
      </c>
      <c r="C15712" s="5" t="str">
        <f>IFERROR(__xludf.DUMMYFUNCTION("GOOGLETRANSLATE(B15712,""en"",""it"")"),"Un uomo è su uno snowboard su una collina innevata.")</f>
        <v>Un uomo è su uno snowboard su una collina innevata.</v>
      </c>
    </row>
    <row r="15713">
      <c r="A15713" s="4" t="s">
        <v>19788</v>
      </c>
      <c r="B15713" s="4" t="s">
        <v>19790</v>
      </c>
      <c r="C15713" s="5" t="str">
        <f>IFERROR(__xludf.DUMMYFUNCTION("GOOGLETRANSLATE(B15713,""en"",""it"")"),"Scivola sopra la neve densamente confezionata.")</f>
        <v>Scivola sopra la neve densamente confezionata.</v>
      </c>
    </row>
    <row r="15714">
      <c r="A15714" s="4" t="s">
        <v>19788</v>
      </c>
      <c r="B15714" s="4" t="s">
        <v>19791</v>
      </c>
      <c r="C15714" s="5" t="str">
        <f>IFERROR(__xludf.DUMMYFUNCTION("GOOGLETRANSLATE(B15714,""en"",""it"")"),"Passa attraverso un indicatore e salta su ostacoli.")</f>
        <v>Passa attraverso un indicatore e salta su ostacoli.</v>
      </c>
    </row>
    <row r="15715">
      <c r="A15715" s="4" t="s">
        <v>19792</v>
      </c>
      <c r="B15715" s="4" t="s">
        <v>19793</v>
      </c>
      <c r="C15715" s="5" t="str">
        <f>IFERROR(__xludf.DUMMYFUNCTION("GOOGLETRANSLATE(B15715,""en"",""it"")"),"Appaiono una coppia in piedi e le parole ""Routine delle gambe estive"" sono visualizzate sullo schermo.")</f>
        <v>Appaiono una coppia in piedi e le parole "Routine delle gambe estive" sono visualizzate sullo schermo.</v>
      </c>
    </row>
    <row r="15716">
      <c r="A15716" s="4" t="s">
        <v>19792</v>
      </c>
      <c r="B15716" s="6" t="s">
        <v>19794</v>
      </c>
      <c r="C15716" s="5" t="str">
        <f>IFERROR(__xludf.DUMMYFUNCTION("GOOGLETRANSLATE(B15716,""en"",""it"")"),"Le gambe sono ora piegate con il ginocchio da terra e la ragazza strofina lo scrub di mango su tutte le gambe, quindi si asciuga l'eccesso con un asciugamano.")</f>
        <v>Le gambe sono ora piegate con il ginocchio da terra e la ragazza strofina lo scrub di mango su tutte le gambe, quindi si asciuga l'eccesso con un asciugamano.</v>
      </c>
    </row>
    <row r="15717">
      <c r="A15717" s="4" t="s">
        <v>19792</v>
      </c>
      <c r="B15717" s="6" t="s">
        <v>19795</v>
      </c>
      <c r="C15717" s="5" t="str">
        <f>IFERROR(__xludf.DUMMYFUNCTION("GOOGLETRANSLATE(B15717,""en"",""it"")"),"Nella mano superiore a destra dello schermo un piccolo video riproduce e mostra un prodotto Veet mentre la ragazza prende due strisce di cera veet e le mette sulla gamba, quindi le rimuove nell'ordine in cui sono stati messi.")</f>
        <v>Nella mano superiore a destra dello schermo un piccolo video riproduce e mostra un prodotto Veet mentre la ragazza prende due strisce di cera veet e le mette sulla gamba, quindi le rimuove nell'ordine in cui sono stati messi.</v>
      </c>
    </row>
    <row r="15718">
      <c r="A15718" s="4" t="s">
        <v>19792</v>
      </c>
      <c r="B15718" s="6" t="s">
        <v>19796</v>
      </c>
      <c r="C15718" s="5" t="str">
        <f>IFERROR(__xludf.DUMMYFUNCTION("GOOGLETRANSLATE(B15718,""en"",""it"")"),"La ragazza prende quindi un altro prodotto Veet che risulta pulire le strisce e si asciuga le gambe, quindi le prende un asciugamano alle gambe.")</f>
        <v>La ragazza prende quindi un altro prodotto Veet che risulta pulire le strisce e si asciuga le gambe, quindi le prende un asciugamano alle gambe.</v>
      </c>
    </row>
    <row r="15719">
      <c r="A15719" s="4" t="s">
        <v>19792</v>
      </c>
      <c r="B15719" s="6" t="s">
        <v>19797</v>
      </c>
      <c r="C15719" s="5" t="str">
        <f>IFERROR(__xludf.DUMMYFUNCTION("GOOGLETRANSLATE(B15719,""en"",""it"")"),"Dopo aver finito di asciugarmi le gambe, prende la lozione Nivea e le strofina su tutte le gambe, si alza e poi mostra le gambe alla telecamera con varie angolazioni.")</f>
        <v>Dopo aver finito di asciugarmi le gambe, prende la lozione Nivea e le strofina su tutte le gambe, si alza e poi mostra le gambe alla telecamera con varie angolazioni.</v>
      </c>
    </row>
    <row r="15720">
      <c r="A15720" s="4" t="s">
        <v>19798</v>
      </c>
      <c r="B15720" s="4" t="s">
        <v>19799</v>
      </c>
      <c r="C15720" s="5" t="str">
        <f>IFERROR(__xludf.DUMMYFUNCTION("GOOGLETRANSLATE(B15720,""en"",""it"")"),"Una ginnasta sta facendo giri e le mani in un bar alto.")</f>
        <v>Una ginnasta sta facendo giri e le mani in un bar alto.</v>
      </c>
    </row>
    <row r="15721">
      <c r="A15721" s="4" t="s">
        <v>19798</v>
      </c>
      <c r="B15721" s="4" t="s">
        <v>19800</v>
      </c>
      <c r="C15721" s="5" t="str">
        <f>IFERROR(__xludf.DUMMYFUNCTION("GOOGLETRANSLATE(B15721,""en"",""it"")"),"Va avanti e indietro più volte.")</f>
        <v>Va avanti e indietro più volte.</v>
      </c>
    </row>
    <row r="15722">
      <c r="A15722" s="4" t="s">
        <v>19798</v>
      </c>
      <c r="B15722" s="4" t="s">
        <v>19801</v>
      </c>
      <c r="C15722" s="5" t="str">
        <f>IFERROR(__xludf.DUMMYFUNCTION("GOOGLETRANSLATE(B15722,""en"",""it"")"),"Lo schermo si ferma mentre va in cima al raggio.")</f>
        <v>Lo schermo si ferma mentre va in cima al raggio.</v>
      </c>
    </row>
    <row r="15723">
      <c r="A15723" s="4" t="s">
        <v>19802</v>
      </c>
      <c r="B15723" s="6" t="s">
        <v>19803</v>
      </c>
      <c r="C15723" s="5" t="str">
        <f>IFERROR(__xludf.DUMMYFUNCTION("GOOGLETRANSLATE(B15723,""en"",""it"")"),"Una macchina fotografica si panoramica attorno a una grande collina innevata e persone sedute su un sollevamento da sci e cavalcano in una montagna.")</f>
        <v>Una macchina fotografica si panoramica attorno a una grande collina innevata e persone sedute su un sollevamento da sci e cavalcano in una montagna.</v>
      </c>
    </row>
    <row r="15724">
      <c r="A15724" s="4" t="s">
        <v>19802</v>
      </c>
      <c r="B15724" s="6" t="s">
        <v>19804</v>
      </c>
      <c r="C15724" s="5" t="str">
        <f>IFERROR(__xludf.DUMMYFUNCTION("GOOGLETRANSLATE(B15724,""en"",""it"")"),"La gente fa girare e trucchi e si seguono l'un l'altro giù per una collina e si prendono a vicenda da diversi angoli.")</f>
        <v>La gente fa girare e trucchi e si seguono l'un l'altro giù per una collina e si prendono a vicenda da diversi angoli.</v>
      </c>
    </row>
    <row r="15725">
      <c r="A15725" s="4" t="s">
        <v>19805</v>
      </c>
      <c r="B15725" s="4" t="s">
        <v>19806</v>
      </c>
      <c r="C15725" s="5" t="str">
        <f>IFERROR(__xludf.DUMMYFUNCTION("GOOGLETRANSLATE(B15725,""en"",""it"")"),"Un uomo in un cappotto sta tirando una tavola su una collina di neve.")</f>
        <v>Un uomo in un cappotto sta tirando una tavola su una collina di neve.</v>
      </c>
    </row>
    <row r="15726">
      <c r="A15726" s="4" t="s">
        <v>19805</v>
      </c>
      <c r="B15726" s="4" t="s">
        <v>19807</v>
      </c>
      <c r="C15726" s="5" t="str">
        <f>IFERROR(__xludf.DUMMYFUNCTION("GOOGLETRANSLATE(B15726,""en"",""it"")"),"Inizia lo snowboard giù per la collina.")</f>
        <v>Inizia lo snowboard giù per la collina.</v>
      </c>
    </row>
    <row r="15727">
      <c r="A15727" s="4" t="s">
        <v>19805</v>
      </c>
      <c r="B15727" s="4" t="s">
        <v>19808</v>
      </c>
      <c r="C15727" s="5" t="str">
        <f>IFERROR(__xludf.DUMMYFUNCTION("GOOGLETRANSLATE(B15727,""en"",""it"")"),"L'uomo solleva gli occhiali dal viso e sorride.")</f>
        <v>L'uomo solleva gli occhiali dal viso e sorride.</v>
      </c>
    </row>
    <row r="15728">
      <c r="A15728" s="4" t="s">
        <v>19805</v>
      </c>
      <c r="B15728" s="4" t="s">
        <v>19809</v>
      </c>
      <c r="C15728" s="5" t="str">
        <f>IFERROR(__xludf.DUMMYFUNCTION("GOOGLETRANSLATE(B15728,""en"",""it"")"),"Le persone stanno snowboard lungo una collina insieme.")</f>
        <v>Le persone stanno snowboard lungo una collina insieme.</v>
      </c>
    </row>
    <row r="15729">
      <c r="A15729" s="4" t="s">
        <v>19810</v>
      </c>
      <c r="B15729" s="4" t="s">
        <v>19811</v>
      </c>
      <c r="C15729" s="5" t="str">
        <f>IFERROR(__xludf.DUMMYFUNCTION("GOOGLETRANSLATE(B15729,""en"",""it"")"),"Un uomo mette il cane che si fa trattare la mano di un altro uomo.")</f>
        <v>Un uomo mette il cane che si fa trattare la mano di un altro uomo.</v>
      </c>
    </row>
    <row r="15730">
      <c r="A15730" s="4" t="s">
        <v>19810</v>
      </c>
      <c r="B15730" s="4" t="s">
        <v>19812</v>
      </c>
      <c r="C15730" s="5" t="str">
        <f>IFERROR(__xludf.DUMMYFUNCTION("GOOGLETRANSLATE(B15730,""en"",""it"")"),"L'uomo sta camminando un cane lungo il marciapiede.")</f>
        <v>L'uomo sta camminando un cane lungo il marciapiede.</v>
      </c>
    </row>
    <row r="15731">
      <c r="A15731" s="4" t="s">
        <v>19810</v>
      </c>
      <c r="B15731" s="4" t="s">
        <v>19813</v>
      </c>
      <c r="C15731" s="5" t="str">
        <f>IFERROR(__xludf.DUMMYFUNCTION("GOOGLETRANSLATE(B15731,""en"",""it"")"),"Qualcun altro sta camminando dietro di loro.")</f>
        <v>Qualcun altro sta camminando dietro di loro.</v>
      </c>
    </row>
    <row r="15732">
      <c r="A15732" s="4" t="s">
        <v>19814</v>
      </c>
      <c r="B15732" s="4" t="s">
        <v>19815</v>
      </c>
      <c r="C15732" s="5" t="str">
        <f>IFERROR(__xludf.DUMMYFUNCTION("GOOGLETRANSLATE(B15732,""en"",""it"")"),"Un uomo viene visto in ginocchio con un rasoio e alza lo sguardo verso la telecamera.")</f>
        <v>Un uomo viene visto in ginocchio con un rasoio e alza lo sguardo verso la telecamera.</v>
      </c>
    </row>
    <row r="15733">
      <c r="A15733" s="4" t="s">
        <v>19814</v>
      </c>
      <c r="B15733" s="4" t="s">
        <v>19816</v>
      </c>
      <c r="C15733" s="5" t="str">
        <f>IFERROR(__xludf.DUMMYFUNCTION("GOOGLETRANSLATE(B15733,""en"",""it"")"),"L'uomo si radeva parte della sua gamba e tiene un oggetto mentre si allontana.")</f>
        <v>L'uomo si radeva parte della sua gamba e tiene un oggetto mentre si allontana.</v>
      </c>
    </row>
    <row r="15734">
      <c r="A15734" s="4" t="s">
        <v>19817</v>
      </c>
      <c r="B15734" s="6" t="s">
        <v>19818</v>
      </c>
      <c r="C15734" s="5" t="str">
        <f>IFERROR(__xludf.DUMMYFUNCTION("GOOGLETRANSLATE(B15734,""en"",""it"")"),"Uno schermo nero con un banner bianco in fondo ha varie informazioni che includono un sito Web, uno stato, un numero di telefono e un logo.")</f>
        <v>Uno schermo nero con un banner bianco in fondo ha varie informazioni che includono un sito Web, uno stato, un numero di telefono e un logo.</v>
      </c>
    </row>
    <row r="15735">
      <c r="A15735" s="4" t="s">
        <v>19817</v>
      </c>
      <c r="B15735" s="6" t="s">
        <v>19819</v>
      </c>
      <c r="C15735" s="5" t="str">
        <f>IFERROR(__xludf.DUMMYFUNCTION("GOOGLETRANSLATE(B15735,""en"",""it"")"),"Segue uno schermo bianco e include un logo, il nome dei prodotti e indica che si tratta di un ""video didattico"".")</f>
        <v>Segue uno schermo bianco e include un logo, il nome dei prodotti e indica che si tratta di un "video didattico".</v>
      </c>
    </row>
    <row r="15736">
      <c r="A15736" s="4" t="s">
        <v>19817</v>
      </c>
      <c r="B15736" s="4" t="s">
        <v>19820</v>
      </c>
      <c r="C15736" s="5" t="str">
        <f>IFERROR(__xludf.DUMMYFUNCTION("GOOGLETRANSLATE(B15736,""en"",""it"")"),"Viene visualizzato un altro schermo bianco e appare un elenco di contenuti e lì 1-5.")</f>
        <v>Viene visualizzato un altro schermo bianco e appare un elenco di contenuti e lì 1-5.</v>
      </c>
    </row>
    <row r="15737">
      <c r="A15737" s="4" t="s">
        <v>19817</v>
      </c>
      <c r="B15737" s="6" t="s">
        <v>19821</v>
      </c>
      <c r="C15737" s="5" t="str">
        <f>IFERROR(__xludf.DUMMYFUNCTION("GOOGLETRANSLATE(B15737,""en"",""it"")"),"Nella prossima schermata bianca viene mostrata una scatola di cartone e quindi inizia a mostrare i diversi contenuti che arrivano nella scatola, insieme ai nomi di essi accanto.")</f>
        <v>Nella prossima schermata bianca viene mostrata una scatola di cartone e quindi inizia a mostrare i diversi contenuti che arrivano nella scatola, insieme ai nomi di essi accanto.</v>
      </c>
    </row>
    <row r="15738">
      <c r="A15738" s="4" t="s">
        <v>19817</v>
      </c>
      <c r="B15738" s="6" t="s">
        <v>19822</v>
      </c>
      <c r="C15738" s="5" t="str">
        <f>IFERROR(__xludf.DUMMYFUNCTION("GOOGLETRANSLATE(B15738,""en"",""it"")"),"Una donna è ora in piedi in un corridoio mentre mette insieme il suo strumento di pulizia avvitando la parte superiore sul suo palo e applicando un panno all'estremità, quindi si stringe il flacone spray sul fianco.")</f>
        <v>Una donna è ora in piedi in un corridoio mentre mette insieme il suo strumento di pulizia avvitando la parte superiore sul suo palo e applicando un panno all'estremità, quindi si stringe il flacone spray sul fianco.</v>
      </c>
    </row>
    <row r="15739">
      <c r="A15739" s="4" t="s">
        <v>19817</v>
      </c>
      <c r="B15739" s="6" t="s">
        <v>19823</v>
      </c>
      <c r="C15739" s="5" t="str">
        <f>IFERROR(__xludf.DUMMYFUNCTION("GOOGLETRANSLATE(B15739,""en"",""it"")"),"La donna inizia quindi a spruzzare il panno sullo strumento di pulizia e inizia a pulire varie aree in ufficio, tra cui finestre, porte dell'ascensore, TV e cambiare i vestiti in mezzo per adattarsi alla superficie su cui sta lavorando.")</f>
        <v>La donna inizia quindi a spruzzare il panno sullo strumento di pulizia e inizia a pulire varie aree in ufficio, tra cui finestre, porte dell'ascensore, TV e cambiare i vestiti in mezzo per adattarsi alla superficie su cui sta lavorando.</v>
      </c>
    </row>
    <row r="15740">
      <c r="A15740" s="4" t="s">
        <v>19817</v>
      </c>
      <c r="B15740" s="6" t="s">
        <v>19824</v>
      </c>
      <c r="C15740" s="5" t="str">
        <f>IFERROR(__xludf.DUMMYFUNCTION("GOOGLETRANSLATE(B15740,""en"",""it"")"),"La donna ora è vista a una doppia porta di vetro mentre ora tiene in mano un panno per pulire le porte e le altre superfici.")</f>
        <v>La donna ora è vista a una doppia porta di vetro mentre ora tiene in mano un panno per pulire le porte e le altre superfici.</v>
      </c>
    </row>
    <row r="15741">
      <c r="A15741" s="4" t="s">
        <v>19817</v>
      </c>
      <c r="B15741" s="6" t="s">
        <v>19825</v>
      </c>
      <c r="C15741" s="5" t="str">
        <f>IFERROR(__xludf.DUMMYFUNCTION("GOOGLETRANSLATE(B15741,""en"",""it"")"),"La donna viene quindi mostrata di mettere i diversi vestiti nella lavatrice e quindi appendere il suo strumento di pulizia sul muro.")</f>
        <v>La donna viene quindi mostrata di mettere i diversi vestiti nella lavatrice e quindi appendere il suo strumento di pulizia sul muro.</v>
      </c>
    </row>
    <row r="15742">
      <c r="A15742" s="4" t="s">
        <v>19817</v>
      </c>
      <c r="B15742" s="4" t="s">
        <v>19826</v>
      </c>
      <c r="C15742" s="5" t="str">
        <f>IFERROR(__xludf.DUMMYFUNCTION("GOOGLETRANSLATE(B15742,""en"",""it"")"),"Viene visualizzato uno schermo nero e include lo stesso banner bianco che ha fatto all'inizio.")</f>
        <v>Viene visualizzato uno schermo nero e include lo stesso banner bianco che ha fatto all'inizio.</v>
      </c>
    </row>
    <row r="15743">
      <c r="A15743" s="4" t="s">
        <v>19827</v>
      </c>
      <c r="B15743" s="4" t="s">
        <v>19828</v>
      </c>
      <c r="C15743" s="5" t="str">
        <f>IFERROR(__xludf.DUMMYFUNCTION("GOOGLETRANSLATE(B15743,""en"",""it"")"),"Un uomo si sta strofinando le mani in modo frenetico mentre si trova accanto a una femmina.")</f>
        <v>Un uomo si sta strofinando le mani in modo frenetico mentre si trova accanto a una femmina.</v>
      </c>
    </row>
    <row r="15744">
      <c r="A15744" s="4" t="s">
        <v>19827</v>
      </c>
      <c r="B15744" s="4" t="s">
        <v>19829</v>
      </c>
      <c r="C15744" s="5" t="str">
        <f>IFERROR(__xludf.DUMMYFUNCTION("GOOGLETRANSLATE(B15744,""en"",""it"")"),"La telecamera si sposta e puoi vedere che è in un casinò giocando a Black Jack.")</f>
        <v>La telecamera si sposta e puoi vedere che è in un casinò giocando a Black Jack.</v>
      </c>
    </row>
    <row r="15745">
      <c r="A15745" s="4" t="s">
        <v>19827</v>
      </c>
      <c r="B15745" s="4" t="s">
        <v>19830</v>
      </c>
      <c r="C15745" s="5" t="str">
        <f>IFERROR(__xludf.DUMMYFUNCTION("GOOGLETRANSLATE(B15745,""en"",""it"")"),"Una volta che il commerciante ha capovolto tutte le carte, i due vengono nuovamente mostrati a parlare e sorridere.")</f>
        <v>Una volta che il commerciante ha capovolto tutte le carte, i due vengono nuovamente mostrati a parlare e sorridere.</v>
      </c>
    </row>
    <row r="15746">
      <c r="A15746" s="4" t="s">
        <v>19831</v>
      </c>
      <c r="B15746" s="4" t="s">
        <v>19832</v>
      </c>
      <c r="C15746" s="5" t="str">
        <f>IFERROR(__xludf.DUMMYFUNCTION("GOOGLETRANSLATE(B15746,""en"",""it"")"),"Viene mostrata una grande cascata mosse.")</f>
        <v>Viene mostrata una grande cascata mosse.</v>
      </c>
    </row>
    <row r="15747">
      <c r="A15747" s="4" t="s">
        <v>19831</v>
      </c>
      <c r="B15747" s="4" t="s">
        <v>19833</v>
      </c>
      <c r="C15747" s="5" t="str">
        <f>IFERROR(__xludf.DUMMYFUNCTION("GOOGLETRANSLATE(B15747,""en"",""it"")"),"Un uomo è sdraiato su una linea allentata sull'acqua.")</f>
        <v>Un uomo è sdraiato su una linea allentata sull'acqua.</v>
      </c>
    </row>
    <row r="15748">
      <c r="A15748" s="4" t="s">
        <v>19831</v>
      </c>
      <c r="B15748" s="4" t="s">
        <v>19834</v>
      </c>
      <c r="C15748" s="5" t="str">
        <f>IFERROR(__xludf.DUMMYFUNCTION("GOOGLETRANSLATE(B15748,""en"",""it"")"),"Una persona suona la chitarra seduta su una roccia.")</f>
        <v>Una persona suona la chitarra seduta su una roccia.</v>
      </c>
    </row>
    <row r="15749">
      <c r="A15749" s="4" t="s">
        <v>19835</v>
      </c>
      <c r="B15749" s="4" t="s">
        <v>19836</v>
      </c>
      <c r="C15749" s="5" t="str">
        <f>IFERROR(__xludf.DUMMYFUNCTION("GOOGLETRANSLATE(B15749,""en"",""it"")"),"I bambini di età diverse giocano in un parco giochi.")</f>
        <v>I bambini di età diverse giocano in un parco giochi.</v>
      </c>
    </row>
    <row r="15750">
      <c r="A15750" s="4" t="s">
        <v>19835</v>
      </c>
      <c r="B15750" s="4" t="s">
        <v>19837</v>
      </c>
      <c r="C15750" s="5" t="str">
        <f>IFERROR(__xludf.DUMMYFUNCTION("GOOGLETRANSLATE(B15750,""en"",""it"")"),"Un paio di donne si trovano nell'area del parco giochi a parlare.")</f>
        <v>Un paio di donne si trovano nell'area del parco giochi a parlare.</v>
      </c>
    </row>
    <row r="15751">
      <c r="A15751" s="4" t="s">
        <v>19835</v>
      </c>
      <c r="B15751" s="4" t="s">
        <v>19838</v>
      </c>
      <c r="C15751" s="5" t="str">
        <f>IFERROR(__xludf.DUMMYFUNCTION("GOOGLETRANSLATE(B15751,""en"",""it"")"),"Una giovane donna che tiene un bambino cammina verso un'altalena e mette il bambino nell'altalena.")</f>
        <v>Una giovane donna che tiene un bambino cammina verso un'altalena e mette il bambino nell'altalena.</v>
      </c>
    </row>
    <row r="15752">
      <c r="A15752" s="4" t="s">
        <v>19835</v>
      </c>
      <c r="B15752" s="4" t="s">
        <v>19839</v>
      </c>
      <c r="C15752" s="5" t="str">
        <f>IFERROR(__xludf.DUMMYFUNCTION("GOOGLETRANSLATE(B15752,""en"",""it"")"),"Quindi cammina davanti al bambino e si siede nel sedile adulto attaccato all'oscillazione del bambino.")</f>
        <v>Quindi cammina davanti al bambino e si siede nel sedile adulto attaccato all'oscillazione del bambino.</v>
      </c>
    </row>
    <row r="15753">
      <c r="A15753" s="4" t="s">
        <v>19835</v>
      </c>
      <c r="B15753" s="4" t="s">
        <v>19840</v>
      </c>
      <c r="C15753" s="5" t="str">
        <f>IFERROR(__xludf.DUMMYFUNCTION("GOOGLETRANSLATE(B15753,""en"",""it"")"),"Un'altra donna passa con alcuni bambini.")</f>
        <v>Un'altra donna passa con alcuni bambini.</v>
      </c>
    </row>
    <row r="15754">
      <c r="A15754" s="4" t="s">
        <v>19835</v>
      </c>
      <c r="B15754" s="4" t="s">
        <v>19841</v>
      </c>
      <c r="C15754" s="5" t="str">
        <f>IFERROR(__xludf.DUMMYFUNCTION("GOOGLETRANSLATE(B15754,""en"",""it"")"),"La donna sull'altalena oscilla il bambino mentre parla con lui e fa volti contro di lui.")</f>
        <v>La donna sull'altalena oscilla il bambino mentre parla con lui e fa volti contro di lui.</v>
      </c>
    </row>
    <row r="15755">
      <c r="A15755" s="4" t="s">
        <v>19842</v>
      </c>
      <c r="B15755" s="4" t="s">
        <v>19843</v>
      </c>
      <c r="C15755" s="5" t="str">
        <f>IFERROR(__xludf.DUMMYFUNCTION("GOOGLETRANSLATE(B15755,""en"",""it"")"),"Un uomo mostra come cambiare un tubo in uno pneumatico.")</f>
        <v>Un uomo mostra come cambiare un tubo in uno pneumatico.</v>
      </c>
    </row>
    <row r="15756">
      <c r="A15756" s="4" t="s">
        <v>19842</v>
      </c>
      <c r="B15756" s="4" t="s">
        <v>19844</v>
      </c>
      <c r="C15756" s="5" t="str">
        <f>IFERROR(__xludf.DUMMYFUNCTION("GOOGLETRANSLATE(B15756,""en"",""it"")"),"Tira fuori il vecchio tubo, mette quello nuovo dentro, quindi lo pompa.")</f>
        <v>Tira fuori il vecchio tubo, mette quello nuovo dentro, quindi lo pompa.</v>
      </c>
    </row>
    <row r="15757">
      <c r="A15757" s="4" t="s">
        <v>19845</v>
      </c>
      <c r="B15757" s="4" t="s">
        <v>19846</v>
      </c>
      <c r="C15757" s="5" t="str">
        <f>IFERROR(__xludf.DUMMYFUNCTION("GOOGLETRANSLATE(B15757,""en"",""it"")"),"Vengono mostrati diversi scatti di testo seguiti da una persona che entra nel telaio.")</f>
        <v>Vengono mostrati diversi scatti di testo seguiti da una persona che entra nel telaio.</v>
      </c>
    </row>
    <row r="15758">
      <c r="A15758" s="4" t="s">
        <v>19845</v>
      </c>
      <c r="B15758" s="4" t="s">
        <v>19847</v>
      </c>
      <c r="C15758" s="5" t="str">
        <f>IFERROR(__xludf.DUMMYFUNCTION("GOOGLETRANSLATE(B15758,""en"",""it"")"),"La persona entra e fuori dal telaio eseguendo varie mosse di danza a terra.")</f>
        <v>La persona entra e fuori dal telaio eseguendo varie mosse di danza a terra.</v>
      </c>
    </row>
    <row r="15759">
      <c r="A15759" s="4" t="s">
        <v>19845</v>
      </c>
      <c r="B15759" s="4" t="s">
        <v>19848</v>
      </c>
      <c r="C15759" s="5" t="str">
        <f>IFERROR(__xludf.DUMMYFUNCTION("GOOGLETRANSLATE(B15759,""en"",""it"")"),"La persona continua a muoversi per terra e dimostrando come eseguire mosse.")</f>
        <v>La persona continua a muoversi per terra e dimostrando come eseguire mosse.</v>
      </c>
    </row>
    <row r="15760">
      <c r="A15760" s="4" t="s">
        <v>19849</v>
      </c>
      <c r="B15760" s="6" t="s">
        <v>19850</v>
      </c>
      <c r="C15760" s="5" t="str">
        <f>IFERROR(__xludf.DUMMYFUNCTION("GOOGLETRANSLATE(B15760,""en"",""it"")"),"La gente è vista seduta a un tavolo mentre un uomo si trova accanto a loro e prende uno sbuffo da un narghilè.")</f>
        <v>La gente è vista seduta a un tavolo mentre un uomo si trova accanto a loro e prende uno sbuffo da un narghilè.</v>
      </c>
    </row>
    <row r="15761">
      <c r="A15761" s="4" t="s">
        <v>19849</v>
      </c>
      <c r="B15761" s="6" t="s">
        <v>19851</v>
      </c>
      <c r="C15761" s="5" t="str">
        <f>IFERROR(__xludf.DUMMYFUNCTION("GOOGLETRANSLATE(B15761,""en"",""it"")"),"Passa il tubo a una ragazza seduta che prende qualche strappo e l'uomo viene mostrato parlando alla telecamera.")</f>
        <v>Passa il tubo a una ragazza seduta che prende qualche strappo e l'uomo viene mostrato parlando alla telecamera.</v>
      </c>
    </row>
    <row r="15762">
      <c r="A15762" s="4" t="s">
        <v>19849</v>
      </c>
      <c r="B15762" s="6" t="s">
        <v>19852</v>
      </c>
      <c r="C15762" s="5" t="str">
        <f>IFERROR(__xludf.DUMMYFUNCTION("GOOGLETRANSLATE(B15762,""en"",""it"")"),"Le ragazze consegnano il tubo all'altra seduta mentre fa qualche colpo e lo fa tornare all'altra persona.")</f>
        <v>Le ragazze consegnano il tubo all'altra seduta mentre fa qualche colpo e lo fa tornare all'altra persona.</v>
      </c>
    </row>
    <row r="15763">
      <c r="A15763" s="4" t="s">
        <v>19853</v>
      </c>
      <c r="B15763" s="4" t="s">
        <v>19854</v>
      </c>
      <c r="C15763" s="5" t="str">
        <f>IFERROR(__xludf.DUMMYFUNCTION("GOOGLETRANSLATE(B15763,""en"",""it"")"),"Due ragazzi skateboard per le strade in momenti diversi indossano caschi.")</f>
        <v>Due ragazzi skateboard per le strade in momenti diversi indossano caschi.</v>
      </c>
    </row>
    <row r="15764">
      <c r="A15764" s="4" t="s">
        <v>19853</v>
      </c>
      <c r="B15764" s="6" t="s">
        <v>19855</v>
      </c>
      <c r="C15764" s="5" t="str">
        <f>IFERROR(__xludf.DUMMYFUNCTION("GOOGLETRANSLATE(B15764,""en"",""it"")"),"Uno skateboarder in una maglietta blu e skateboard di casco nero attraverso strade confinanti con campagne e quartieri residenziali.")</f>
        <v>Uno skateboarder in una maglietta blu e skateboard di casco nero attraverso strade confinanti con campagne e quartieri residenziali.</v>
      </c>
    </row>
    <row r="15765">
      <c r="A15765" s="4" t="s">
        <v>19853</v>
      </c>
      <c r="B15765" s="6" t="s">
        <v>19856</v>
      </c>
      <c r="C15765" s="5" t="str">
        <f>IFERROR(__xludf.DUMMYFUNCTION("GOOGLETRANSLATE(B15765,""en"",""it"")"),"Uno skateboarder che indossa All Black Falls fuori dallo skateboard sulla strada lastricata, si alza e si allontana.")</f>
        <v>Uno skateboarder che indossa All Black Falls fuori dallo skateboard sulla strada lastricata, si alza e si allontana.</v>
      </c>
    </row>
    <row r="15766">
      <c r="A15766" s="4" t="s">
        <v>19857</v>
      </c>
      <c r="B15766" s="4" t="s">
        <v>19858</v>
      </c>
      <c r="C15766" s="5" t="str">
        <f>IFERROR(__xludf.DUMMYFUNCTION("GOOGLETRANSLATE(B15766,""en"",""it"")"),"Un uomo viene visto con una corda in bocca e cavalca su un cavallo che corrono immediatamente un vitello.")</f>
        <v>Un uomo viene visto con una corda in bocca e cavalca su un cavallo che corrono immediatamente un vitello.</v>
      </c>
    </row>
    <row r="15767">
      <c r="A15767" s="4" t="s">
        <v>19857</v>
      </c>
      <c r="B15767" s="6" t="s">
        <v>19859</v>
      </c>
      <c r="C15767" s="5" t="str">
        <f>IFERROR(__xludf.DUMMYFUNCTION("GOOGLETRANSLATE(B15767,""en"",""it"")"),"Getta il vitello e lo lega, seguito da molti altri uomini che eseguono lo stesso trucco a velocità diverse.")</f>
        <v>Getta il vitello e lo lega, seguito da molti altri uomini che eseguono lo stesso trucco a velocità diverse.</v>
      </c>
    </row>
    <row r="15768">
      <c r="A15768" s="4" t="s">
        <v>19860</v>
      </c>
      <c r="B15768" s="4" t="s">
        <v>19861</v>
      </c>
      <c r="C15768" s="5" t="str">
        <f>IFERROR(__xludf.DUMMYFUNCTION("GOOGLETRANSLATE(B15768,""en"",""it"")"),"Una donna pulisce un pavimento in mensa con una scopa mentre parla occasionalmente con la telecamera.")</f>
        <v>Una donna pulisce un pavimento in mensa con una scopa mentre parla occasionalmente con la telecamera.</v>
      </c>
    </row>
    <row r="15769">
      <c r="A15769" s="4" t="s">
        <v>19860</v>
      </c>
      <c r="B15769" s="4" t="s">
        <v>19862</v>
      </c>
      <c r="C15769" s="5" t="str">
        <f>IFERROR(__xludf.DUMMYFUNCTION("GOOGLETRANSLATE(B15769,""en"",""it"")"),"La donna cammina e pulisce una parte diversa del pavimento della mensa.")</f>
        <v>La donna cammina e pulisce una parte diversa del pavimento della mensa.</v>
      </c>
    </row>
    <row r="15770">
      <c r="A15770" s="4" t="s">
        <v>19860</v>
      </c>
      <c r="B15770" s="4" t="s">
        <v>19863</v>
      </c>
      <c r="C15770" s="5" t="str">
        <f>IFERROR(__xludf.DUMMYFUNCTION("GOOGLETRANSLATE(B15770,""en"",""it"")"),"La donna immerge la testa di scopa in un secchio.")</f>
        <v>La donna immerge la testa di scopa in un secchio.</v>
      </c>
    </row>
    <row r="15771">
      <c r="A15771" s="4" t="s">
        <v>19860</v>
      </c>
      <c r="B15771" s="4" t="s">
        <v>19864</v>
      </c>
      <c r="C15771" s="5" t="str">
        <f>IFERROR(__xludf.DUMMYFUNCTION("GOOGLETRANSLATE(B15771,""en"",""it"")"),"Un certo numero di persone passano in background.")</f>
        <v>Un certo numero di persone passano in background.</v>
      </c>
    </row>
    <row r="15772">
      <c r="A15772" s="4" t="s">
        <v>19860</v>
      </c>
      <c r="B15772" s="4" t="s">
        <v>7146</v>
      </c>
      <c r="C15772" s="5" t="str">
        <f>IFERROR(__xludf.DUMMYFUNCTION("GOOGLETRANSLATE(B15772,""en"",""it"")"),"La donna parla alla telecamera.")</f>
        <v>La donna parla alla telecamera.</v>
      </c>
    </row>
    <row r="15773">
      <c r="A15773" s="4" t="s">
        <v>19865</v>
      </c>
      <c r="B15773" s="4" t="s">
        <v>19866</v>
      </c>
      <c r="C15773" s="5" t="str">
        <f>IFERROR(__xludf.DUMMYFUNCTION("GOOGLETRANSLATE(B15773,""en"",""it"")"),"Un uomo è in piedi dopo un cavallo marrone.")</f>
        <v>Un uomo è in piedi dopo un cavallo marrone.</v>
      </c>
    </row>
    <row r="15774">
      <c r="A15774" s="4" t="s">
        <v>19865</v>
      </c>
      <c r="B15774" s="4" t="s">
        <v>5248</v>
      </c>
      <c r="C15774" s="5" t="str">
        <f>IFERROR(__xludf.DUMMYFUNCTION("GOOGLETRANSLATE(B15774,""en"",""it"")"),"Le persone cavalcano cavalli lungo un sentiero sterrato.")</f>
        <v>Le persone cavalcano cavalli lungo un sentiero sterrato.</v>
      </c>
    </row>
    <row r="15775">
      <c r="A15775" s="4" t="s">
        <v>19865</v>
      </c>
      <c r="B15775" s="4" t="s">
        <v>19867</v>
      </c>
      <c r="C15775" s="5" t="str">
        <f>IFERROR(__xludf.DUMMYFUNCTION("GOOGLETRANSLATE(B15775,""en"",""it"")"),"I cavalli stanno bevendo un drink d'acqua.")</f>
        <v>I cavalli stanno bevendo un drink d'acqua.</v>
      </c>
    </row>
    <row r="15776">
      <c r="A15776" s="4" t="s">
        <v>19865</v>
      </c>
      <c r="B15776" s="4" t="s">
        <v>19868</v>
      </c>
      <c r="C15776" s="5" t="str">
        <f>IFERROR(__xludf.DUMMYFUNCTION("GOOGLETRANSLATE(B15776,""en"",""it"")"),"Continuano a camminare lungo il sentiero sui cavalli.")</f>
        <v>Continuano a camminare lungo il sentiero sui cavalli.</v>
      </c>
    </row>
    <row r="15777">
      <c r="A15777" s="4" t="s">
        <v>19865</v>
      </c>
      <c r="B15777" s="4" t="s">
        <v>19869</v>
      </c>
      <c r="C15777" s="5" t="str">
        <f>IFERROR(__xludf.DUMMYFUNCTION("GOOGLETRANSLATE(B15777,""en"",""it"")"),"Viene mostrata una foto di una casa marrone.")</f>
        <v>Viene mostrata una foto di una casa marrone.</v>
      </c>
    </row>
    <row r="15778">
      <c r="A15778" s="4" t="s">
        <v>19870</v>
      </c>
      <c r="B15778" s="4" t="s">
        <v>19871</v>
      </c>
      <c r="C15778" s="5" t="str">
        <f>IFERROR(__xludf.DUMMYFUNCTION("GOOGLETRANSLATE(B15778,""en"",""it"")"),"Un'introduzione inizia per DX Sports e mostra due uomini che pattinano lungo una strada.")</f>
        <v>Un'introduzione inizia per DX Sports e mostra due uomini che pattinano lungo una strada.</v>
      </c>
    </row>
    <row r="15779">
      <c r="A15779" s="4" t="s">
        <v>19870</v>
      </c>
      <c r="B15779" s="6" t="s">
        <v>19872</v>
      </c>
      <c r="C15779" s="5" t="str">
        <f>IFERROR(__xludf.DUMMYFUNCTION("GOOGLETRANSLATE(B15779,""en"",""it"")"),"Continua a cavalcare lungo la strada mentre la telecamera li segue dietro la strada tortuosa.")</f>
        <v>Continua a cavalcare lungo la strada mentre la telecamera li segue dietro la strada tortuosa.</v>
      </c>
    </row>
    <row r="15780">
      <c r="A15780" s="4" t="s">
        <v>19870</v>
      </c>
      <c r="B15780" s="4" t="s">
        <v>19873</v>
      </c>
      <c r="C15780" s="5" t="str">
        <f>IFERROR(__xludf.DUMMYFUNCTION("GOOGLETRANSLATE(B15780,""en"",""it"")"),"Gli uomini alla fine arrivano in macchina e il loro giro lungo la lunga strada.")</f>
        <v>Gli uomini alla fine arrivano in macchina e il loro giro lungo la lunga strada.</v>
      </c>
    </row>
    <row r="15781">
      <c r="A15781" s="4" t="s">
        <v>19874</v>
      </c>
      <c r="B15781" s="4" t="s">
        <v>19875</v>
      </c>
      <c r="C15781" s="5" t="str">
        <f>IFERROR(__xludf.DUMMYFUNCTION("GOOGLETRANSLATE(B15781,""en"",""it"")"),"Un uomo mostra uno stivale e strumenti splendenti.")</f>
        <v>Un uomo mostra uno stivale e strumenti splendenti.</v>
      </c>
    </row>
    <row r="15782">
      <c r="A15782" s="4" t="s">
        <v>19874</v>
      </c>
      <c r="B15782" s="4" t="s">
        <v>19876</v>
      </c>
      <c r="C15782" s="5" t="str">
        <f>IFERROR(__xludf.DUMMYFUNCTION("GOOGLETRANSLATE(B15782,""en"",""it"")"),"Quindi, l'uomo pulisce la scarpa con un panno.")</f>
        <v>Quindi, l'uomo pulisce la scarpa con un panno.</v>
      </c>
    </row>
    <row r="15783">
      <c r="A15783" s="4" t="s">
        <v>19874</v>
      </c>
      <c r="B15783" s="4" t="s">
        <v>19877</v>
      </c>
      <c r="C15783" s="5" t="str">
        <f>IFERROR(__xludf.DUMMYFUNCTION("GOOGLETRANSLATE(B15783,""en"",""it"")"),"Dopo, l'uomo punta la punta della scarpa e applica la vernice nera e mostra le solette.")</f>
        <v>Dopo, l'uomo punta la punta della scarpa e applica la vernice nera e mostra le solette.</v>
      </c>
    </row>
    <row r="15784">
      <c r="A15784" s="4" t="s">
        <v>19874</v>
      </c>
      <c r="B15784" s="4" t="s">
        <v>19878</v>
      </c>
      <c r="C15784" s="5" t="str">
        <f>IFERROR(__xludf.DUMMYFUNCTION("GOOGLETRANSLATE(B15784,""en"",""it"")"),"Quindi, l'uomo lucidare le scarpe usando una crema, dopo aver spruzzato le scarpe.")</f>
        <v>Quindi, l'uomo lucidare le scarpe usando una crema, dopo aver spruzzato le scarpe.</v>
      </c>
    </row>
    <row r="15785">
      <c r="A15785" s="4" t="s">
        <v>19879</v>
      </c>
      <c r="B15785" s="4" t="s">
        <v>19880</v>
      </c>
      <c r="C15785" s="5" t="str">
        <f>IFERROR(__xludf.DUMMYFUNCTION("GOOGLETRANSLATE(B15785,""en"",""it"")"),"Un bambino è seduto dietro un tamburo.")</f>
        <v>Un bambino è seduto dietro un tamburo.</v>
      </c>
    </row>
    <row r="15786">
      <c r="A15786" s="4" t="s">
        <v>19879</v>
      </c>
      <c r="B15786" s="4" t="s">
        <v>19881</v>
      </c>
      <c r="C15786" s="5" t="str">
        <f>IFERROR(__xludf.DUMMYFUNCTION("GOOGLETRANSLATE(B15786,""en"",""it"")"),"Comincia a suonare la batteria di fronte a lui.")</f>
        <v>Comincia a suonare la batteria di fronte a lui.</v>
      </c>
    </row>
    <row r="15787">
      <c r="A15787" s="4" t="s">
        <v>19879</v>
      </c>
      <c r="B15787" s="4" t="s">
        <v>19882</v>
      </c>
      <c r="C15787" s="5" t="str">
        <f>IFERROR(__xludf.DUMMYFUNCTION("GOOGLETRANSLATE(B15787,""en"",""it"")"),"Si alza e saluta la folla.")</f>
        <v>Si alza e saluta la folla.</v>
      </c>
    </row>
    <row r="15788">
      <c r="A15788" s="4" t="s">
        <v>19883</v>
      </c>
      <c r="B15788" s="4" t="s">
        <v>19884</v>
      </c>
      <c r="C15788" s="5" t="str">
        <f>IFERROR(__xludf.DUMMYFUNCTION("GOOGLETRANSLATE(B15788,""en"",""it"")"),"L'uomo sta giocando con un equilibrio con una palla con un palo di lacrosse.")</f>
        <v>L'uomo sta giocando con un equilibrio con una palla con un palo di lacrosse.</v>
      </c>
    </row>
    <row r="15789">
      <c r="A15789" s="4" t="s">
        <v>19883</v>
      </c>
      <c r="B15789" s="4" t="s">
        <v>19885</v>
      </c>
      <c r="C15789" s="5" t="str">
        <f>IFERROR(__xludf.DUMMYFUNCTION("GOOGLETRANSLATE(B15789,""en"",""it"")"),"Little Kid afferrò la palla dal pavimento con il palo.")</f>
        <v>Little Kid afferrò la palla dal pavimento con il palo.</v>
      </c>
    </row>
    <row r="15790">
      <c r="A15790" s="4" t="s">
        <v>19883</v>
      </c>
      <c r="B15790" s="4" t="s">
        <v>19886</v>
      </c>
      <c r="C15790" s="5" t="str">
        <f>IFERROR(__xludf.DUMMYFUNCTION("GOOGLETRANSLATE(B15790,""en"",""it"")"),"Kid sta giocando con una palla in un campo erboso verde.")</f>
        <v>Kid sta giocando con una palla in un campo erboso verde.</v>
      </c>
    </row>
    <row r="15791">
      <c r="A15791" s="4" t="s">
        <v>19887</v>
      </c>
      <c r="B15791" s="4" t="s">
        <v>19888</v>
      </c>
      <c r="C15791" s="5" t="str">
        <f>IFERROR(__xludf.DUMMYFUNCTION("GOOGLETRANSLATE(B15791,""en"",""it"")"),"Viene vista una zona boscosa e i giovani camminano per la strada.")</f>
        <v>Viene vista una zona boscosa e i giovani camminano per la strada.</v>
      </c>
    </row>
    <row r="15792">
      <c r="A15792" s="4" t="s">
        <v>19887</v>
      </c>
      <c r="B15792" s="6" t="s">
        <v>19889</v>
      </c>
      <c r="C15792" s="5" t="str">
        <f>IFERROR(__xludf.DUMMYFUNCTION("GOOGLETRANSLATE(B15792,""en"",""it"")"),"Gruppi di skateboarder si corrono a vicenda lungo una strada boscosa e vengono tirati da carrelli in cima.")</f>
        <v>Gruppi di skateboarder si corrono a vicenda lungo una strada boscosa e vengono tirati da carrelli in cima.</v>
      </c>
    </row>
    <row r="15793">
      <c r="A15793" s="4" t="s">
        <v>19887</v>
      </c>
      <c r="B15793" s="6" t="s">
        <v>19890</v>
      </c>
      <c r="C15793" s="5" t="str">
        <f>IFERROR(__xludf.DUMMYFUNCTION("GOOGLETRANSLATE(B15793,""en"",""it"")"),"Gli skateboarder cavalcano una strada boscosa una dopo l'altra facendo skid e giri duri mentre gli amici guardano lungo il lato.")</f>
        <v>Gli skateboarder cavalcano una strada boscosa una dopo l'altra facendo skid e giri duri mentre gli amici guardano lungo il lato.</v>
      </c>
    </row>
    <row r="15794">
      <c r="A15794" s="4" t="s">
        <v>19891</v>
      </c>
      <c r="B15794" s="4" t="s">
        <v>19892</v>
      </c>
      <c r="C15794" s="5" t="str">
        <f>IFERROR(__xludf.DUMMYFUNCTION("GOOGLETRANSLATE(B15794,""en"",""it"")"),"Un folto gruppo di persone è visto seduto attorno a un palco e conduce a ospitare un uomo e una donna.")</f>
        <v>Un folto gruppo di persone è visto seduto attorno a un palco e conduce a ospitare un uomo e una donna.</v>
      </c>
    </row>
    <row r="15795">
      <c r="A15795" s="4" t="s">
        <v>19891</v>
      </c>
      <c r="B15795" s="6" t="s">
        <v>19893</v>
      </c>
      <c r="C15795" s="5" t="str">
        <f>IFERROR(__xludf.DUMMYFUNCTION("GOOGLETRANSLATE(B15795,""en"",""it"")"),"I padroni di casa conducono in un folto gruppo di persone sul palco eseguendo una routine di danza tra loro.")</f>
        <v>I padroni di casa conducono in un folto gruppo di persone sul palco eseguendo una routine di danza tra loro.</v>
      </c>
    </row>
    <row r="15796">
      <c r="A15796" s="4" t="s">
        <v>19891</v>
      </c>
      <c r="B15796" s="6" t="s">
        <v>19894</v>
      </c>
      <c r="C15796" s="5" t="str">
        <f>IFERROR(__xludf.DUMMYFUNCTION("GOOGLETRANSLATE(B15796,""en"",""it"")"),"Le persone continuano a ballare l'una verso l'altra e si concludono con i giudici che applaudino e l'ospite li guida.")</f>
        <v>Le persone continuano a ballare l'una verso l'altra e si concludono con i giudici che applaudino e l'ospite li guida.</v>
      </c>
    </row>
    <row r="15797">
      <c r="A15797" s="4" t="s">
        <v>19895</v>
      </c>
      <c r="B15797" s="4" t="s">
        <v>19896</v>
      </c>
      <c r="C15797" s="5" t="str">
        <f>IFERROR(__xludf.DUMMYFUNCTION("GOOGLETRANSLATE(B15797,""en"",""it"")"),"Little Kid suona il sassofono davanti a un muro.")</f>
        <v>Little Kid suona il sassofono davanti a un muro.</v>
      </c>
    </row>
    <row r="15798">
      <c r="A15798" s="4" t="s">
        <v>19895</v>
      </c>
      <c r="B15798" s="4" t="s">
        <v>19897</v>
      </c>
      <c r="C15798" s="5" t="str">
        <f>IFERROR(__xludf.DUMMYFUNCTION("GOOGLETRANSLATE(B15798,""en"",""it"")"),"Le persone passano davanti al bambino.")</f>
        <v>Le persone passano davanti al bambino.</v>
      </c>
    </row>
    <row r="15799">
      <c r="A15799" s="4" t="s">
        <v>19895</v>
      </c>
      <c r="B15799" s="4" t="s">
        <v>19898</v>
      </c>
      <c r="C15799" s="5" t="str">
        <f>IFERROR(__xludf.DUMMYFUNCTION("GOOGLETRANSLATE(B15799,""en"",""it"")"),"Il vecchio si inginocchia e mette alcune monete nel cappello del bambino.")</f>
        <v>Il vecchio si inginocchia e mette alcune monete nel cappello del bambino.</v>
      </c>
    </row>
    <row r="15800">
      <c r="A15800" s="4" t="s">
        <v>19899</v>
      </c>
      <c r="B15800" s="4" t="s">
        <v>19900</v>
      </c>
      <c r="C15800" s="5" t="str">
        <f>IFERROR(__xludf.DUMMYFUNCTION("GOOGLETRANSLATE(B15800,""en"",""it"")"),"Un uomo atletico è visto in piedi in un cerchio con le braccia di lato.")</f>
        <v>Un uomo atletico è visto in piedi in un cerchio con le braccia di lato.</v>
      </c>
    </row>
    <row r="15801">
      <c r="A15801" s="4" t="s">
        <v>19899</v>
      </c>
      <c r="B15801" s="4" t="s">
        <v>19901</v>
      </c>
      <c r="C15801" s="5" t="str">
        <f>IFERROR(__xludf.DUMMYFUNCTION("GOOGLETRANSLATE(B15801,""en"",""it"")"),"L'uomo inizia quindi a oscillare un oggetto intorno e intorno.")</f>
        <v>L'uomo inizia quindi a oscillare un oggetto intorno e intorno.</v>
      </c>
    </row>
    <row r="15802">
      <c r="A15802" s="4" t="s">
        <v>19899</v>
      </c>
      <c r="B15802" s="4" t="s">
        <v>19902</v>
      </c>
      <c r="C15802" s="5" t="str">
        <f>IFERROR(__xludf.DUMMYFUNCTION("GOOGLETRANSLATE(B15802,""en"",""it"")"),"L'uomo continua a girare e termina gettandolo in lontananza.")</f>
        <v>L'uomo continua a girare e termina gettandolo in lontananza.</v>
      </c>
    </row>
    <row r="15803">
      <c r="A15803" s="4" t="s">
        <v>19903</v>
      </c>
      <c r="B15803" s="6" t="s">
        <v>19904</v>
      </c>
      <c r="C15803" s="5" t="str">
        <f>IFERROR(__xludf.DUMMYFUNCTION("GOOGLETRANSLATE(B15803,""en"",""it"")"),"Ci sono tre persone che giocano a racquetball sul campo chiuso e la vista è dalla persona che indossa la telecamera.")</f>
        <v>Ci sono tre persone che giocano a racquetball sul campo chiuso e la vista è dalla persona che indossa la telecamera.</v>
      </c>
    </row>
    <row r="15804">
      <c r="A15804" s="4" t="s">
        <v>19903</v>
      </c>
      <c r="B15804" s="6" t="s">
        <v>19905</v>
      </c>
      <c r="C15804" s="5" t="str">
        <f>IFERROR(__xludf.DUMMYFUNCTION("GOOGLETRANSLATE(B15804,""en"",""it"")"),"La persona della telecamera prende la palla con la racchetta la bilancia sulla racchetta, la rotola e poi colpisce al muro.")</f>
        <v>La persona della telecamera prende la palla con la racchetta la bilancia sulla racchetta, la rotola e poi colpisce al muro.</v>
      </c>
    </row>
    <row r="15805">
      <c r="A15805" s="4" t="s">
        <v>19903</v>
      </c>
      <c r="B15805" s="4" t="s">
        <v>19906</v>
      </c>
      <c r="C15805" s="5" t="str">
        <f>IFERROR(__xludf.DUMMYFUNCTION("GOOGLETRANSLATE(B15805,""en"",""it"")"),"La vista cambia alla porta e ci sono due uomini in piedi alla porta in attesa di colpire la palla.")</f>
        <v>La vista cambia alla porta e ci sono due uomini in piedi alla porta in attesa di colpire la palla.</v>
      </c>
    </row>
    <row r="15806">
      <c r="A15806" s="4" t="s">
        <v>19907</v>
      </c>
      <c r="B15806" s="4" t="s">
        <v>19908</v>
      </c>
      <c r="C15806" s="5" t="str">
        <f>IFERROR(__xludf.DUMMYFUNCTION("GOOGLETRANSLATE(B15806,""en"",""it"")"),"Vediamo immagini lampeggianti di guida in moto.")</f>
        <v>Vediamo immagini lampeggianti di guida in moto.</v>
      </c>
    </row>
    <row r="15807">
      <c r="A15807" s="4" t="s">
        <v>19907</v>
      </c>
      <c r="B15807" s="4" t="s">
        <v>19909</v>
      </c>
      <c r="C15807" s="5" t="str">
        <f>IFERROR(__xludf.DUMMYFUNCTION("GOOGLETRANSLATE(B15807,""en"",""it"")"),"Vediamo un uomo parlare in piedi sopra una città.")</f>
        <v>Vediamo un uomo parlare in piedi sopra una città.</v>
      </c>
    </row>
    <row r="15808">
      <c r="A15808" s="4" t="s">
        <v>19907</v>
      </c>
      <c r="B15808" s="4" t="s">
        <v>19910</v>
      </c>
      <c r="C15808" s="5" t="str">
        <f>IFERROR(__xludf.DUMMYFUNCTION("GOOGLETRANSLATE(B15808,""en"",""it"")"),"Vediamo quindi acrobazie motociclistiche.")</f>
        <v>Vediamo quindi acrobazie motociclistiche.</v>
      </c>
    </row>
    <row r="15809">
      <c r="A15809" s="4" t="s">
        <v>19907</v>
      </c>
      <c r="B15809" s="4" t="s">
        <v>19911</v>
      </c>
      <c r="C15809" s="5" t="str">
        <f>IFERROR(__xludf.DUMMYFUNCTION("GOOGLETRANSLATE(B15809,""en"",""it"")"),"Una bici salta un gruppo di persone in una piazza.")</f>
        <v>Una bici salta un gruppo di persone in una piazza.</v>
      </c>
    </row>
    <row r="15810">
      <c r="A15810" s="4" t="s">
        <v>19907</v>
      </c>
      <c r="B15810" s="4" t="s">
        <v>19912</v>
      </c>
      <c r="C15810" s="5" t="str">
        <f>IFERROR(__xludf.DUMMYFUNCTION("GOOGLETRANSLATE(B15810,""en"",""it"")"),"Vediamo quattro bici saltare una rampa una dopo l'altra.")</f>
        <v>Vediamo quattro bici saltare una rampa una dopo l'altra.</v>
      </c>
    </row>
    <row r="15811">
      <c r="A15811" s="4" t="s">
        <v>19907</v>
      </c>
      <c r="B15811" s="4" t="s">
        <v>19913</v>
      </c>
      <c r="C15811" s="5" t="str">
        <f>IFERROR(__xludf.DUMMYFUNCTION("GOOGLETRANSLATE(B15811,""en"",""it"")"),"Vediamo un uomo in rosso parlare.")</f>
        <v>Vediamo un uomo in rosso parlare.</v>
      </c>
    </row>
    <row r="15812">
      <c r="A15812" s="4" t="s">
        <v>19907</v>
      </c>
      <c r="B15812" s="4" t="s">
        <v>19914</v>
      </c>
      <c r="C15812" s="5" t="str">
        <f>IFERROR(__xludf.DUMMYFUNCTION("GOOGLETRANSLATE(B15812,""en"",""it"")"),"Un uomo salta giù dalla sua bici.")</f>
        <v>Un uomo salta giù dalla sua bici.</v>
      </c>
    </row>
    <row r="15813">
      <c r="A15813" s="4" t="s">
        <v>19907</v>
      </c>
      <c r="B15813" s="4" t="s">
        <v>19915</v>
      </c>
      <c r="C15813" s="5" t="str">
        <f>IFERROR(__xludf.DUMMYFUNCTION("GOOGLETRANSLATE(B15813,""en"",""it"")"),"Un uomo bacia una donna in bici.")</f>
        <v>Un uomo bacia una donna in bici.</v>
      </c>
    </row>
    <row r="15814">
      <c r="A15814" s="4" t="s">
        <v>19907</v>
      </c>
      <c r="B15814" s="4" t="s">
        <v>19916</v>
      </c>
      <c r="C15814" s="5" t="str">
        <f>IFERROR(__xludf.DUMMYFUNCTION("GOOGLETRANSLATE(B15814,""en"",""it"")"),"Vediamo che il ragazzo sta parlando.")</f>
        <v>Vediamo che il ragazzo sta parlando.</v>
      </c>
    </row>
    <row r="15815">
      <c r="A15815" s="4" t="s">
        <v>19907</v>
      </c>
      <c r="B15815" s="4" t="s">
        <v>19917</v>
      </c>
      <c r="C15815" s="5" t="str">
        <f>IFERROR(__xludf.DUMMYFUNCTION("GOOGLETRANSLATE(B15815,""en"",""it"")"),"Una bici sta dando il via al fumo.")</f>
        <v>Una bici sta dando il via al fumo.</v>
      </c>
    </row>
    <row r="15816">
      <c r="A15816" s="4" t="s">
        <v>19907</v>
      </c>
      <c r="B15816" s="4" t="s">
        <v>19918</v>
      </c>
      <c r="C15816" s="5" t="str">
        <f>IFERROR(__xludf.DUMMYFUNCTION("GOOGLETRANSLATE(B15816,""en"",""it"")"),"Un uomo mette il braccio in aria.")</f>
        <v>Un uomo mette il braccio in aria.</v>
      </c>
    </row>
    <row r="15817">
      <c r="A15817" s="4" t="s">
        <v>19907</v>
      </c>
      <c r="B15817" s="4" t="s">
        <v>19919</v>
      </c>
      <c r="C15817" s="5" t="str">
        <f>IFERROR(__xludf.DUMMYFUNCTION("GOOGLETRANSLATE(B15817,""en"",""it"")"),"Vediamo una bici distruggere una fermata della bottiglia.")</f>
        <v>Vediamo una bici distruggere una fermata della bottiglia.</v>
      </c>
    </row>
    <row r="15818">
      <c r="A15818" s="4" t="s">
        <v>19920</v>
      </c>
      <c r="B15818" s="4" t="s">
        <v>19921</v>
      </c>
      <c r="C15818" s="5" t="str">
        <f>IFERROR(__xludf.DUMMYFUNCTION("GOOGLETRANSLATE(B15818,""en"",""it"")"),"Un video in bianco e nero viene mostrato da una giovane band in marcia che cammina per strada in una sfilata.")</f>
        <v>Un video in bianco e nero viene mostrato da una giovane band in marcia che cammina per strada in una sfilata.</v>
      </c>
    </row>
    <row r="15819">
      <c r="A15819" s="4" t="s">
        <v>19920</v>
      </c>
      <c r="B15819" s="6" t="s">
        <v>19922</v>
      </c>
      <c r="C15819" s="5" t="str">
        <f>IFERROR(__xludf.DUMMYFUNCTION("GOOGLETRANSLATE(B15819,""en"",""it"")"),"Viene mostrato diverse persone nella band che camminano da un primo piano di un ragazzo che suona la tromba ed è evidenziato.")</f>
        <v>Viene mostrato diverse persone nella band che camminano da un primo piano di un ragazzo che suona la tromba ed è evidenziato.</v>
      </c>
    </row>
    <row r="15820">
      <c r="A15820" s="4" t="s">
        <v>19920</v>
      </c>
      <c r="B15820" s="4" t="s">
        <v>19923</v>
      </c>
      <c r="C15820" s="5" t="str">
        <f>IFERROR(__xludf.DUMMYFUNCTION("GOOGLETRANSLATE(B15820,""en"",""it"")"),"Il video continua e le ragazze Majorette iniziano a ballare.")</f>
        <v>Il video continua e le ragazze Majorette iniziano a ballare.</v>
      </c>
    </row>
    <row r="15821">
      <c r="A15821" s="4" t="s">
        <v>19920</v>
      </c>
      <c r="B15821" s="4" t="s">
        <v>19924</v>
      </c>
      <c r="C15821" s="5" t="str">
        <f>IFERROR(__xludf.DUMMYFUNCTION("GOOGLETRANSLATE(B15821,""en"",""it"")"),"Ora sono fermi e giocano senza marciare mentre i bambini iniziano a guardarli.")</f>
        <v>Ora sono fermi e giocano senza marciare mentre i bambini iniziano a guardarli.</v>
      </c>
    </row>
    <row r="15822">
      <c r="A15822" s="4" t="s">
        <v>19925</v>
      </c>
      <c r="B15822" s="4" t="s">
        <v>19926</v>
      </c>
      <c r="C15822" s="5" t="str">
        <f>IFERROR(__xludf.DUMMYFUNCTION("GOOGLETRANSLATE(B15822,""en"",""it"")"),"Due ragazzi stanno rastrellando le foglie in un cortile usando grandi rastrelli verdi e rossi.")</f>
        <v>Due ragazzi stanno rastrellando le foglie in un cortile usando grandi rastrelli verdi e rossi.</v>
      </c>
    </row>
    <row r="15823">
      <c r="A15823" s="4" t="s">
        <v>19925</v>
      </c>
      <c r="B15823" s="4" t="s">
        <v>19927</v>
      </c>
      <c r="C15823" s="5" t="str">
        <f>IFERROR(__xludf.DUMMYFUNCTION("GOOGLETRANSLATE(B15823,""en"",""it"")"),"Un cane corre continuamente attraverso le foglie, incasinandole.")</f>
        <v>Un cane corre continuamente attraverso le foglie, incasinandole.</v>
      </c>
    </row>
    <row r="15824">
      <c r="A15824" s="4" t="s">
        <v>19925</v>
      </c>
      <c r="B15824" s="4" t="s">
        <v>19928</v>
      </c>
      <c r="C15824" s="5" t="str">
        <f>IFERROR(__xludf.DUMMYFUNCTION("GOOGLETRANSLATE(B15824,""en"",""it"")"),"I ragazzi ridono e continuano a cercare di rastrellare le foglie.")</f>
        <v>I ragazzi ridono e continuano a cercare di rastrellare le foglie.</v>
      </c>
    </row>
    <row r="15825">
      <c r="A15825" s="4" t="s">
        <v>19929</v>
      </c>
      <c r="B15825" s="6" t="s">
        <v>19930</v>
      </c>
      <c r="C15825" s="5" t="str">
        <f>IFERROR(__xludf.DUMMYFUNCTION("GOOGLETRANSLATE(B15825,""en"",""it"")"),"Si vede un grande palcoscenico che passano a vari angoli delle persone che eseguono trucchi per corde di salto su un palcoscenico al rallentatore.")</f>
        <v>Si vede un grande palcoscenico che passano a vari angoli delle persone che eseguono trucchi per corde di salto su un palcoscenico al rallentatore.</v>
      </c>
    </row>
    <row r="15826">
      <c r="A15826" s="4" t="s">
        <v>19929</v>
      </c>
      <c r="B15826" s="6" t="s">
        <v>19931</v>
      </c>
      <c r="C15826" s="5" t="str">
        <f>IFERROR(__xludf.DUMMYFUNCTION("GOOGLETRANSLATE(B15826,""en"",""it"")"),"Vengono mostrati altri colpi di varie persone che eseguono incredibili capacità di corda di salto e termina con un gruppo che tiene le braccia.")</f>
        <v>Vengono mostrati altri colpi di varie persone che eseguono incredibili capacità di corda di salto e termina con un gruppo che tiene le braccia.</v>
      </c>
    </row>
    <row r="15827">
      <c r="A15827" s="4" t="s">
        <v>19932</v>
      </c>
      <c r="B15827" s="4" t="s">
        <v>19933</v>
      </c>
      <c r="C15827" s="5" t="str">
        <f>IFERROR(__xludf.DUMMYFUNCTION("GOOGLETRANSLATE(B15827,""en"",""it"")"),"Una telecamera si panoramica in tutto un cortile e mostra due cani al guinzaglio.")</f>
        <v>Una telecamera si panoramica in tutto un cortile e mostra due cani al guinzaglio.</v>
      </c>
    </row>
    <row r="15828">
      <c r="A15828" s="4" t="s">
        <v>19932</v>
      </c>
      <c r="B15828" s="4" t="s">
        <v>19934</v>
      </c>
      <c r="C15828" s="5" t="str">
        <f>IFERROR(__xludf.DUMMYFUNCTION("GOOGLETRANSLATE(B15828,""en"",""it"")"),"I cani si muovono con la persona mentre le auto si muovono dentro e fuori dal telaio.")</f>
        <v>I cani si muovono con la persona mentre le auto si muovono dentro e fuori dal telaio.</v>
      </c>
    </row>
    <row r="15829">
      <c r="A15829" s="4" t="s">
        <v>19932</v>
      </c>
      <c r="B15829" s="4" t="s">
        <v>19935</v>
      </c>
      <c r="C15829" s="5" t="str">
        <f>IFERROR(__xludf.DUMMYFUNCTION("GOOGLETRANSLATE(B15829,""en"",""it"")"),"Alla fine la fotocamera si lancia attorno al cielo.")</f>
        <v>Alla fine la fotocamera si lancia attorno al cielo.</v>
      </c>
    </row>
    <row r="15830">
      <c r="A15830" s="4" t="s">
        <v>19936</v>
      </c>
      <c r="B15830" s="4" t="s">
        <v>19937</v>
      </c>
      <c r="C15830" s="5" t="str">
        <f>IFERROR(__xludf.DUMMYFUNCTION("GOOGLETRANSLATE(B15830,""en"",""it"")"),"1 L'apertura del video.")</f>
        <v>1 L'apertura del video.</v>
      </c>
    </row>
    <row r="15831">
      <c r="A15831" s="4" t="s">
        <v>19936</v>
      </c>
      <c r="B15831" s="4" t="s">
        <v>19938</v>
      </c>
      <c r="C15831" s="5" t="str">
        <f>IFERROR(__xludf.DUMMYFUNCTION("GOOGLETRANSLATE(B15831,""en"",""it"")"),"2 Una ragazza fa molti lanci sui bar.")</f>
        <v>2 Una ragazza fa molti lanci sui bar.</v>
      </c>
    </row>
    <row r="15832">
      <c r="A15832" s="4" t="s">
        <v>19939</v>
      </c>
      <c r="B15832" s="4" t="s">
        <v>19940</v>
      </c>
      <c r="C15832" s="5" t="str">
        <f>IFERROR(__xludf.DUMMYFUNCTION("GOOGLETRANSLATE(B15832,""en"",""it"")"),"Una bambina è in cucina a parlare.")</f>
        <v>Una bambina è in cucina a parlare.</v>
      </c>
    </row>
    <row r="15833">
      <c r="A15833" s="4" t="s">
        <v>19939</v>
      </c>
      <c r="B15833" s="4" t="s">
        <v>19941</v>
      </c>
      <c r="C15833" s="5" t="str">
        <f>IFERROR(__xludf.DUMMYFUNCTION("GOOGLETRANSLATE(B15833,""en"",""it"")"),"La ragazza mescola diverse cose da piccole ciotole in una ciotola più grande.")</f>
        <v>La ragazza mescola diverse cose da piccole ciotole in una ciotola più grande.</v>
      </c>
    </row>
    <row r="15834">
      <c r="A15834" s="4" t="s">
        <v>19939</v>
      </c>
      <c r="B15834" s="4" t="s">
        <v>19942</v>
      </c>
      <c r="C15834" s="5" t="str">
        <f>IFERROR(__xludf.DUMMYFUNCTION("GOOGLETRANSLATE(B15834,""en"",""it"")"),"Un adulto aiuta la ragazza a spruzzare le sue padelle.")</f>
        <v>Un adulto aiuta la ragazza a spruzzare le sue padelle.</v>
      </c>
    </row>
    <row r="15835">
      <c r="A15835" s="4" t="s">
        <v>19939</v>
      </c>
      <c r="B15835" s="4" t="s">
        <v>19943</v>
      </c>
      <c r="C15835" s="5" t="str">
        <f>IFERROR(__xludf.DUMMYFUNCTION("GOOGLETRANSLATE(B15835,""en"",""it"")"),"La ragazza mette la sua miscela nelle padelle e le mette in un forno facile da forno.")</f>
        <v>La ragazza mette la sua miscela nelle padelle e le mette in un forno facile da forno.</v>
      </c>
    </row>
    <row r="15836">
      <c r="A15836" s="4" t="s">
        <v>19939</v>
      </c>
      <c r="B15836" s="4" t="s">
        <v>19944</v>
      </c>
      <c r="C15836" s="5" t="str">
        <f>IFERROR(__xludf.DUMMYFUNCTION("GOOGLETRANSLATE(B15836,""en"",""it"")"),"La ragazza rimuove quindi ciò che ha fatto dal forno.")</f>
        <v>La ragazza rimuove quindi ciò che ha fatto dal forno.</v>
      </c>
    </row>
    <row r="15837">
      <c r="A15837" s="4" t="s">
        <v>19939</v>
      </c>
      <c r="B15837" s="4" t="s">
        <v>19945</v>
      </c>
      <c r="C15837" s="5" t="str">
        <f>IFERROR(__xludf.DUMMYFUNCTION("GOOGLETRANSLATE(B15837,""en"",""it"")"),"Un ragazzo più giovane guarda mentre mangia un cupcake.")</f>
        <v>Un ragazzo più giovane guarda mentre mangia un cupcake.</v>
      </c>
    </row>
    <row r="15838">
      <c r="A15838" s="4" t="s">
        <v>19939</v>
      </c>
      <c r="B15838" s="4" t="s">
        <v>19946</v>
      </c>
      <c r="C15838" s="5" t="str">
        <f>IFERROR(__xludf.DUMMYFUNCTION("GOOGLETRANSLATE(B15838,""en"",""it"")"),"Le ragazze tagliano il deserto che ha fatto e lo mangia.")</f>
        <v>Le ragazze tagliano il deserto che ha fatto e lo mangia.</v>
      </c>
    </row>
    <row r="15839">
      <c r="A15839" s="4" t="s">
        <v>19947</v>
      </c>
      <c r="B15839" s="6" t="s">
        <v>19948</v>
      </c>
      <c r="C15839" s="5" t="str">
        <f>IFERROR(__xludf.DUMMYFUNCTION("GOOGLETRANSLATE(B15839,""en"",""it"")"),"Viene visto un uomo parlare alla telecamera mentre una donna si allena su una macchina davanti a lui e regola le impostazioni.")</f>
        <v>Viene visto un uomo parlare alla telecamera mentre una donna si allena su una macchina davanti a lui e regola le impostazioni.</v>
      </c>
    </row>
    <row r="15840">
      <c r="A15840" s="4" t="s">
        <v>19947</v>
      </c>
      <c r="B15840" s="6" t="s">
        <v>19949</v>
      </c>
      <c r="C15840" s="5" t="str">
        <f>IFERROR(__xludf.DUMMYFUNCTION("GOOGLETRANSLATE(B15840,""en"",""it"")"),"L'uomo continua a muoversi sulla macchina mostrando le sue diverse impostazioni mentre l'uomo continua a parlare con la fotocamera.")</f>
        <v>L'uomo continua a muoversi sulla macchina mostrando le sue diverse impostazioni mentre l'uomo continua a parlare con la fotocamera.</v>
      </c>
    </row>
    <row r="15841">
      <c r="A15841" s="4" t="s">
        <v>19950</v>
      </c>
      <c r="B15841" s="4" t="s">
        <v>19951</v>
      </c>
      <c r="C15841" s="5" t="str">
        <f>IFERROR(__xludf.DUMMYFUNCTION("GOOGLETRANSLATE(B15841,""en"",""it"")"),"Una persona sta martellando le unghie in un tetto.")</f>
        <v>Una persona sta martellando le unghie in un tetto.</v>
      </c>
    </row>
    <row r="15842">
      <c r="A15842" s="4" t="s">
        <v>19950</v>
      </c>
      <c r="B15842" s="4" t="s">
        <v>19952</v>
      </c>
      <c r="C15842" s="5" t="str">
        <f>IFERROR(__xludf.DUMMYFUNCTION("GOOGLETRANSLATE(B15842,""en"",""it"")"),"Fai scorrere le piastrelle sul tetto e le inchiodano in posizione.")</f>
        <v>Fai scorrere le piastrelle sul tetto e le inchiodano in posizione.</v>
      </c>
    </row>
    <row r="15843">
      <c r="A15843" s="4" t="s">
        <v>19953</v>
      </c>
      <c r="B15843" s="4" t="s">
        <v>19954</v>
      </c>
      <c r="C15843" s="5" t="str">
        <f>IFERROR(__xludf.DUMMYFUNCTION("GOOGLETRANSLATE(B15843,""en"",""it"")"),"Un gruppo di persone è seduto su cammelli nella sabbia accanto a una collina.")</f>
        <v>Un gruppo di persone è seduto su cammelli nella sabbia accanto a una collina.</v>
      </c>
    </row>
    <row r="15844">
      <c r="A15844" s="4" t="s">
        <v>19953</v>
      </c>
      <c r="B15844" s="4" t="s">
        <v>19955</v>
      </c>
      <c r="C15844" s="5" t="str">
        <f>IFERROR(__xludf.DUMMYFUNCTION("GOOGLETRANSLATE(B15844,""en"",""it"")"),"Un uomo cerca la catena sulla bocca dei cammelli mentre si trova il cammello.")</f>
        <v>Un uomo cerca la catena sulla bocca dei cammelli mentre si trova il cammello.</v>
      </c>
    </row>
    <row r="15845">
      <c r="A15845" s="4" t="s">
        <v>19953</v>
      </c>
      <c r="B15845" s="4" t="s">
        <v>19956</v>
      </c>
      <c r="C15845" s="5" t="str">
        <f>IFERROR(__xludf.DUMMYFUNCTION("GOOGLETRANSLATE(B15845,""en"",""it"")"),"L'uomo in azzurro assiste l'uomo in blu scuro per sciogliere.")</f>
        <v>L'uomo in azzurro assiste l'uomo in blu scuro per sciogliere.</v>
      </c>
    </row>
    <row r="15846">
      <c r="A15846" s="4" t="s">
        <v>19953</v>
      </c>
      <c r="B15846" s="4" t="s">
        <v>19957</v>
      </c>
      <c r="C15846" s="5" t="str">
        <f>IFERROR(__xludf.DUMMYFUNCTION("GOOGLETRANSLATE(B15846,""en"",""it"")"),"Il secondo cammello che tiene la coppia successiva inizia a sedersi a terra.")</f>
        <v>Il secondo cammello che tiene la coppia successiva inizia a sedersi a terra.</v>
      </c>
    </row>
    <row r="15847">
      <c r="A15847" s="4" t="s">
        <v>19958</v>
      </c>
      <c r="B15847" s="4" t="s">
        <v>19959</v>
      </c>
      <c r="C15847" s="5" t="str">
        <f>IFERROR(__xludf.DUMMYFUNCTION("GOOGLETRANSLATE(B15847,""en"",""it"")"),"Una donna intreccia i capelli lentamente.")</f>
        <v>Una donna intreccia i capelli lentamente.</v>
      </c>
    </row>
    <row r="15848">
      <c r="A15848" s="4" t="s">
        <v>19958</v>
      </c>
      <c r="B15848" s="4" t="s">
        <v>19960</v>
      </c>
      <c r="C15848" s="5" t="str">
        <f>IFERROR(__xludf.DUMMYFUNCTION("GOOGLETRANSLATE(B15848,""en"",""it"")"),"Quindi lega le trecce insieme e lega la fine insieme.")</f>
        <v>Quindi lega le trecce insieme e lega la fine insieme.</v>
      </c>
    </row>
    <row r="15849">
      <c r="A15849" s="4" t="s">
        <v>19961</v>
      </c>
      <c r="B15849" s="4" t="s">
        <v>19962</v>
      </c>
      <c r="C15849" s="5" t="str">
        <f>IFERROR(__xludf.DUMMYFUNCTION("GOOGLETRANSLATE(B15849,""en"",""it"")"),"Una donna e un ragazzo sbucciano patate davanti a una spazzatura.")</f>
        <v>Una donna e un ragazzo sbucciano patate davanti a una spazzatura.</v>
      </c>
    </row>
    <row r="15850">
      <c r="A15850" s="4" t="s">
        <v>19961</v>
      </c>
      <c r="B15850" s="4" t="s">
        <v>19963</v>
      </c>
      <c r="C15850" s="5" t="str">
        <f>IFERROR(__xludf.DUMMYFUNCTION("GOOGLETRANSLATE(B15850,""en"",""it"")"),"Quindi, il ragazzo mette la patata e la pelapatrice sul bancone, ma di nuovo lo prende.")</f>
        <v>Quindi, il ragazzo mette la patata e la pelapatrice sul bancone, ma di nuovo lo prende.</v>
      </c>
    </row>
    <row r="15851">
      <c r="A15851" s="4" t="s">
        <v>19961</v>
      </c>
      <c r="B15851" s="4" t="s">
        <v>19964</v>
      </c>
      <c r="C15851" s="5" t="str">
        <f>IFERROR(__xludf.DUMMYFUNCTION("GOOGLETRANSLATE(B15851,""en"",""it"")"),"La donna finisce per tagliare la patata.")</f>
        <v>La donna finisce per tagliare la patata.</v>
      </c>
    </row>
    <row r="15852">
      <c r="A15852" s="4" t="s">
        <v>19965</v>
      </c>
      <c r="B15852" s="4" t="s">
        <v>19966</v>
      </c>
      <c r="C15852" s="5" t="str">
        <f>IFERROR(__xludf.DUMMYFUNCTION("GOOGLETRANSLATE(B15852,""en"",""it"")"),"Un ragazzino che gioca in una palestra della giungla.")</f>
        <v>Un ragazzino che gioca in una palestra della giungla.</v>
      </c>
    </row>
    <row r="15853">
      <c r="A15853" s="4" t="s">
        <v>19965</v>
      </c>
      <c r="B15853" s="4" t="s">
        <v>19967</v>
      </c>
      <c r="C15853" s="5" t="str">
        <f>IFERROR(__xludf.DUMMYFUNCTION("GOOGLETRANSLATE(B15853,""en"",""it"")"),"Sta salendo una serie di scale.")</f>
        <v>Sta salendo una serie di scale.</v>
      </c>
    </row>
    <row r="15854">
      <c r="A15854" s="4" t="s">
        <v>19965</v>
      </c>
      <c r="B15854" s="4" t="s">
        <v>19968</v>
      </c>
      <c r="C15854" s="5" t="str">
        <f>IFERROR(__xludf.DUMMYFUNCTION("GOOGLETRANSLATE(B15854,""en"",""it"")"),"Ora sta scivolando velocemente in una diapositiva.")</f>
        <v>Ora sta scivolando velocemente in una diapositiva.</v>
      </c>
    </row>
    <row r="15855">
      <c r="A15855" s="4" t="s">
        <v>19965</v>
      </c>
      <c r="B15855" s="4" t="s">
        <v>19969</v>
      </c>
      <c r="C15855" s="5" t="str">
        <f>IFERROR(__xludf.DUMMYFUNCTION("GOOGLETRANSLATE(B15855,""en"",""it"")"),"Un altro ragazzo viene mostrato giocando nell'erba.")</f>
        <v>Un altro ragazzo viene mostrato giocando nell'erba.</v>
      </c>
    </row>
    <row r="15856">
      <c r="A15856" s="4" t="s">
        <v>19965</v>
      </c>
      <c r="B15856" s="4" t="s">
        <v>19970</v>
      </c>
      <c r="C15856" s="5" t="str">
        <f>IFERROR(__xludf.DUMMYFUNCTION("GOOGLETRANSLATE(B15856,""en"",""it"")"),"Ora il primo ragazzo viene preso da una donna.")</f>
        <v>Ora il primo ragazzo viene preso da una donna.</v>
      </c>
    </row>
    <row r="15857">
      <c r="A15857" s="4" t="s">
        <v>19965</v>
      </c>
      <c r="B15857" s="4" t="s">
        <v>19971</v>
      </c>
      <c r="C15857" s="5" t="str">
        <f>IFERROR(__xludf.DUMMYFUNCTION("GOOGLETRANSLATE(B15857,""en"",""it"")"),"Ora scenderà di nuovo dalla diapositiva.")</f>
        <v>Ora scenderà di nuovo dalla diapositiva.</v>
      </c>
    </row>
    <row r="15858">
      <c r="A15858" s="4" t="s">
        <v>19965</v>
      </c>
      <c r="B15858" s="4" t="s">
        <v>19972</v>
      </c>
      <c r="C15858" s="5" t="str">
        <f>IFERROR(__xludf.DUMMYFUNCTION("GOOGLETRANSLATE(B15858,""en"",""it"")"),"Al ragazzo piace giocare con una grande ruota nel parco giochi.")</f>
        <v>Al ragazzo piace giocare con una grande ruota nel parco giochi.</v>
      </c>
    </row>
    <row r="15859">
      <c r="A15859" s="4" t="s">
        <v>19965</v>
      </c>
      <c r="B15859" s="4" t="s">
        <v>19973</v>
      </c>
      <c r="C15859" s="5" t="str">
        <f>IFERROR(__xludf.DUMMYFUNCTION("GOOGLETRANSLATE(B15859,""en"",""it"")"),"Ancora una volta scende dalla diapositiva, ma con papà proprio dietro di lui.")</f>
        <v>Ancora una volta scende dalla diapositiva, ma con papà proprio dietro di lui.</v>
      </c>
    </row>
    <row r="15860">
      <c r="A15860" s="4" t="s">
        <v>19965</v>
      </c>
      <c r="B15860" s="4" t="s">
        <v>19974</v>
      </c>
      <c r="C15860" s="5" t="str">
        <f>IFERROR(__xludf.DUMMYFUNCTION("GOOGLETRANSLATE(B15860,""en"",""it"")"),"Scende nella diapositiva la quarta volta ma con un altro ragazzino.")</f>
        <v>Scende nella diapositiva la quarta volta ma con un altro ragazzino.</v>
      </c>
    </row>
    <row r="15861">
      <c r="A15861" s="4" t="s">
        <v>19965</v>
      </c>
      <c r="B15861" s="4" t="s">
        <v>19975</v>
      </c>
      <c r="C15861" s="5" t="str">
        <f>IFERROR(__xludf.DUMMYFUNCTION("GOOGLETRANSLATE(B15861,""en"",""it"")"),"Scende nella diapositiva più volte.")</f>
        <v>Scende nella diapositiva più volte.</v>
      </c>
    </row>
    <row r="15862">
      <c r="A15862" s="4" t="s">
        <v>19976</v>
      </c>
      <c r="B15862" s="4" t="s">
        <v>19977</v>
      </c>
      <c r="C15862" s="5" t="str">
        <f>IFERROR(__xludf.DUMMYFUNCTION("GOOGLETRANSLATE(B15862,""en"",""it"")"),"Un gruppo di squadre viene mostrato facendo vari eventi sportivi che coinvolgono la neve.")</f>
        <v>Un gruppo di squadre viene mostrato facendo vari eventi sportivi che coinvolgono la neve.</v>
      </c>
    </row>
    <row r="15863">
      <c r="A15863" s="4" t="s">
        <v>19976</v>
      </c>
      <c r="B15863" s="6" t="s">
        <v>19978</v>
      </c>
      <c r="C15863" s="5" t="str">
        <f>IFERROR(__xludf.DUMMYFUNCTION("GOOGLETRANSLATE(B15863,""en"",""it"")"),"La fotocamera mostra quindi le persone handicap che giocano un gioco in cui sono seduti su una sedia a rotelle che spinge il disco come oggetti con le maniglie.")</f>
        <v>La fotocamera mostra quindi le persone handicap che giocano un gioco in cui sono seduti su una sedia a rotelle che spinge il disco come oggetti con le maniglie.</v>
      </c>
    </row>
    <row r="15864">
      <c r="A15864" s="4" t="s">
        <v>19976</v>
      </c>
      <c r="B15864" s="4" t="s">
        <v>19979</v>
      </c>
      <c r="C15864" s="5" t="str">
        <f>IFERROR(__xludf.DUMMYFUNCTION("GOOGLETRANSLATE(B15864,""en"",""it"")"),"Un uomo viene quindi mostrato e inizia a parlare descrivendo il gioco che si sta svolgendo.")</f>
        <v>Un uomo viene quindi mostrato e inizia a parlare descrivendo il gioco che si sta svolgendo.</v>
      </c>
    </row>
    <row r="15865">
      <c r="A15865" s="4" t="s">
        <v>19980</v>
      </c>
      <c r="B15865" s="4" t="s">
        <v>19981</v>
      </c>
      <c r="C15865" s="5" t="str">
        <f>IFERROR(__xludf.DUMMYFUNCTION("GOOGLETRANSLATE(B15865,""en"",""it"")"),"Un'introduzione conduce in diversi strumenti disposti su un tavolo e una donna che cammina in una pianta.")</f>
        <v>Un'introduzione conduce in diversi strumenti disposti su un tavolo e una donna che cammina in una pianta.</v>
      </c>
    </row>
    <row r="15866">
      <c r="A15866" s="4" t="s">
        <v>19980</v>
      </c>
      <c r="B15866" s="4" t="s">
        <v>19982</v>
      </c>
      <c r="C15866" s="5" t="str">
        <f>IFERROR(__xludf.DUMMYFUNCTION("GOOGLETRANSLATE(B15866,""en"",""it"")"),"La donna tira fuori uno straccio e si asciuga dal tavolo.")</f>
        <v>La donna tira fuori uno straccio e si asciuga dal tavolo.</v>
      </c>
    </row>
    <row r="15867">
      <c r="A15867" s="4" t="s">
        <v>19980</v>
      </c>
      <c r="B15867" s="6" t="s">
        <v>19983</v>
      </c>
      <c r="C15867" s="5" t="str">
        <f>IFERROR(__xludf.DUMMYFUNCTION("GOOGLETRANSLATE(B15867,""en"",""it"")"),"Tende tiene di nuovo lo straccio, spruzza il tavolo e si asciuga il tavolo con un movimento adeguato.")</f>
        <v>Tende tiene di nuovo lo straccio, spruzza il tavolo e si asciuga il tavolo con un movimento adeguato.</v>
      </c>
    </row>
    <row r="15868">
      <c r="A15868" s="4" t="s">
        <v>19980</v>
      </c>
      <c r="B15868" s="6" t="s">
        <v>19984</v>
      </c>
      <c r="C15868" s="5" t="str">
        <f>IFERROR(__xludf.DUMMYFUNCTION("GOOGLETRANSLATE(B15868,""en"",""it"")"),"Viene quindi mostrata di nuovo spolverare su varie aree e rimette la pianta sul tavolo e spingendo le sedie.")</f>
        <v>Viene quindi mostrata di nuovo spolverare su varie aree e rimette la pianta sul tavolo e spingendo le sedie.</v>
      </c>
    </row>
    <row r="15869">
      <c r="A15869" s="4" t="s">
        <v>19985</v>
      </c>
      <c r="B15869" s="4" t="s">
        <v>19986</v>
      </c>
      <c r="C15869" s="5" t="str">
        <f>IFERROR(__xludf.DUMMYFUNCTION("GOOGLETRANSLATE(B15869,""en"",""it"")"),"Una donna si siede sulla spiaggia applicando la protezione solare in cima alla sua schiena.")</f>
        <v>Una donna si siede sulla spiaggia applicando la protezione solare in cima alla sua schiena.</v>
      </c>
    </row>
    <row r="15870">
      <c r="A15870" s="4" t="s">
        <v>19985</v>
      </c>
      <c r="B15870" s="4" t="s">
        <v>19987</v>
      </c>
      <c r="C15870" s="5" t="str">
        <f>IFERROR(__xludf.DUMMYFUNCTION("GOOGLETRANSLATE(B15870,""en"",""it"")"),"Un mongolfiera vola in aria.")</f>
        <v>Un mongolfiera vola in aria.</v>
      </c>
    </row>
    <row r="15871">
      <c r="A15871" s="4" t="s">
        <v>19985</v>
      </c>
      <c r="B15871" s="4" t="s">
        <v>19988</v>
      </c>
      <c r="C15871" s="5" t="str">
        <f>IFERROR(__xludf.DUMMYFUNCTION("GOOGLETRANSLATE(B15871,""en"",""it"")"),"Un DJ viene visto girare un disco.")</f>
        <v>Un DJ viene visto girare un disco.</v>
      </c>
    </row>
    <row r="15872">
      <c r="A15872" s="4" t="s">
        <v>19985</v>
      </c>
      <c r="B15872" s="4" t="s">
        <v>19989</v>
      </c>
      <c r="C15872" s="5" t="str">
        <f>IFERROR(__xludf.DUMMYFUNCTION("GOOGLETRANSLATE(B15872,""en"",""it"")"),"Una donna cammina la valigia.")</f>
        <v>Una donna cammina la valigia.</v>
      </c>
    </row>
    <row r="15873">
      <c r="A15873" s="4" t="s">
        <v>19985</v>
      </c>
      <c r="B15873" s="4" t="s">
        <v>19990</v>
      </c>
      <c r="C15873" s="5" t="str">
        <f>IFERROR(__xludf.DUMMYFUNCTION("GOOGLETRANSLATE(B15873,""en"",""it"")"),"Alcune auto grafiche si schiantano l'una dall'altra.")</f>
        <v>Alcune auto grafiche si schiantano l'una dall'altra.</v>
      </c>
    </row>
    <row r="15874">
      <c r="A15874" s="4" t="s">
        <v>19985</v>
      </c>
      <c r="B15874" s="4" t="s">
        <v>19991</v>
      </c>
      <c r="C15874" s="5" t="str">
        <f>IFERROR(__xludf.DUMMYFUNCTION("GOOGLETRANSLATE(B15874,""en"",""it"")"),"Si vedono fiamme arancione alta.")</f>
        <v>Si vedono fiamme arancione alta.</v>
      </c>
    </row>
    <row r="15875">
      <c r="A15875" s="4" t="s">
        <v>19992</v>
      </c>
      <c r="B15875" s="4" t="s">
        <v>19993</v>
      </c>
      <c r="C15875" s="5" t="str">
        <f>IFERROR(__xludf.DUMMYFUNCTION("GOOGLETRANSLATE(B15875,""en"",""it"")"),"Tre donne diverse sono mostrate in successione.")</f>
        <v>Tre donne diverse sono mostrate in successione.</v>
      </c>
    </row>
    <row r="15876">
      <c r="A15876" s="4" t="s">
        <v>19992</v>
      </c>
      <c r="B15876" s="4" t="s">
        <v>19994</v>
      </c>
      <c r="C15876" s="5" t="str">
        <f>IFERROR(__xludf.DUMMYFUNCTION("GOOGLETRANSLATE(B15876,""en"",""it"")"),"Ogni donna è seduta, suonando tamburi e piatti.")</f>
        <v>Ogni donna è seduta, suonando tamburi e piatti.</v>
      </c>
    </row>
    <row r="15877">
      <c r="A15877" s="4" t="s">
        <v>19992</v>
      </c>
      <c r="B15877" s="4" t="s">
        <v>19995</v>
      </c>
      <c r="C15877" s="5" t="str">
        <f>IFERROR(__xludf.DUMMYFUNCTION("GOOGLETRANSLATE(B15877,""en"",""it"")"),"Sono fatturati come le prime tre batteristi del mondo mentre suonano continuamente.")</f>
        <v>Sono fatturati come le prime tre batteristi del mondo mentre suonano continuamente.</v>
      </c>
    </row>
    <row r="15878">
      <c r="A15878" s="4" t="s">
        <v>19996</v>
      </c>
      <c r="B15878" s="4" t="s">
        <v>19997</v>
      </c>
      <c r="C15878" s="5" t="str">
        <f>IFERROR(__xludf.DUMMYFUNCTION("GOOGLETRANSLATE(B15878,""en"",""it"")"),"Questo video mostra come preparare una torta a microonde usando ganache glassa.")</f>
        <v>Questo video mostra come preparare una torta a microonde usando ganache glassa.</v>
      </c>
    </row>
    <row r="15879">
      <c r="A15879" s="4" t="s">
        <v>19996</v>
      </c>
      <c r="B15879" s="4" t="s">
        <v>19998</v>
      </c>
      <c r="C15879" s="5" t="str">
        <f>IFERROR(__xludf.DUMMYFUNCTION("GOOGLETRANSLATE(B15879,""en"",""it"")"),"Prima la donna aggiunge 1 tazza di zucchero a 1/4 di tazza di olio vegetale e la mette in una ciotola.")</f>
        <v>Prima la donna aggiunge 1 tazza di zucchero a 1/4 di tazza di olio vegetale e la mette in una ciotola.</v>
      </c>
    </row>
    <row r="15880">
      <c r="A15880" s="4" t="s">
        <v>19996</v>
      </c>
      <c r="B15880" s="6" t="s">
        <v>19999</v>
      </c>
      <c r="C15880" s="5" t="str">
        <f>IFERROR(__xludf.DUMMYFUNCTION("GOOGLETRANSLATE(B15880,""en"",""it"")"),"Quindi mescola lo zucchero fino a quando non si dissolve e aggiunge 1 tazza di latte intera insieme a due cucchiaini di succo di limone.")</f>
        <v>Quindi mescola lo zucchero fino a quando non si dissolve e aggiunge 1 tazza di latte intera insieme a due cucchiaini di succo di limone.</v>
      </c>
    </row>
    <row r="15881">
      <c r="A15881" s="4" t="s">
        <v>19996</v>
      </c>
      <c r="B15881" s="6" t="s">
        <v>20000</v>
      </c>
      <c r="C15881" s="5" t="str">
        <f>IFERROR(__xludf.DUMMYFUNCTION("GOOGLETRANSLATE(B15881,""en"",""it"")"),"Successivamente aggiunge 1 cucchiaino di estratto di vaniglia e mescola tutto, quindi aggiunge 1 1/4 di tazze di farina a tutti gli effetti insieme a 1/4 di tazza di cacao in polvere e sale non zuccherato.")</f>
        <v>Successivamente aggiunge 1 cucchiaino di estratto di vaniglia e mescola tutto, quindi aggiunge 1 1/4 di tazze di farina a tutti gli effetti insieme a 1/4 di tazza di cacao in polvere e sale non zuccherato.</v>
      </c>
    </row>
    <row r="15882">
      <c r="A15882" s="4" t="s">
        <v>19996</v>
      </c>
      <c r="B15882" s="4" t="s">
        <v>20001</v>
      </c>
      <c r="C15882" s="5" t="str">
        <f>IFERROR(__xludf.DUMMYFUNCTION("GOOGLETRANSLATE(B15882,""en"",""it"")"),"Quindi aggiunge polvere da lievito e bicarbonato di sodio e la spezza fino a che liscia.")</f>
        <v>Quindi aggiunge polvere da lievito e bicarbonato di sodio e la spezza fino a che liscia.</v>
      </c>
    </row>
    <row r="15883">
      <c r="A15883" s="4" t="s">
        <v>19996</v>
      </c>
      <c r="B15883" s="4" t="s">
        <v>20002</v>
      </c>
      <c r="C15883" s="5" t="str">
        <f>IFERROR(__xludf.DUMMYFUNCTION("GOOGLETRANSLATE(B15883,""en"",""it"")"),"Alla fine, versa il mix in un piatto sicuro per microonde ed è fatto.")</f>
        <v>Alla fine, versa il mix in un piatto sicuro per microonde ed è fatto.</v>
      </c>
    </row>
    <row r="15884">
      <c r="A15884" s="4" t="s">
        <v>19996</v>
      </c>
      <c r="B15884" s="4" t="s">
        <v>20003</v>
      </c>
      <c r="C15884" s="5" t="str">
        <f>IFERROR(__xludf.DUMMYFUNCTION("GOOGLETRANSLATE(B15884,""en"",""it"")"),"Quindi lascia la torta per 15 minuti.")</f>
        <v>Quindi lascia la torta per 15 minuti.</v>
      </c>
    </row>
    <row r="15885">
      <c r="A15885" s="4" t="s">
        <v>20004</v>
      </c>
      <c r="B15885" s="4" t="s">
        <v>20005</v>
      </c>
      <c r="C15885" s="5" t="str">
        <f>IFERROR(__xludf.DUMMYFUNCTION("GOOGLETRANSLATE(B15885,""en"",""it"")"),"Un uomo che indossa occhiali da sole sta parlando con la telecamera.")</f>
        <v>Un uomo che indossa occhiali da sole sta parlando con la telecamera.</v>
      </c>
    </row>
    <row r="15886">
      <c r="A15886" s="4" t="s">
        <v>20004</v>
      </c>
      <c r="B15886" s="4" t="s">
        <v>20006</v>
      </c>
      <c r="C15886" s="5" t="str">
        <f>IFERROR(__xludf.DUMMYFUNCTION("GOOGLETRANSLATE(B15886,""en"",""it"")"),"Mostra come tagliare le corde sulla parte anteriore di una bici e rimuovere parte del pneumatico.")</f>
        <v>Mostra come tagliare le corde sulla parte anteriore di una bici e rimuovere parte del pneumatico.</v>
      </c>
    </row>
    <row r="15887">
      <c r="A15887" s="4" t="s">
        <v>20004</v>
      </c>
      <c r="B15887" s="4" t="s">
        <v>20007</v>
      </c>
      <c r="C15887" s="5" t="str">
        <f>IFERROR(__xludf.DUMMYFUNCTION("GOOGLETRANSLATE(B15887,""en"",""it"")"),"Sostituisce la parte, spiegando come viene eseguito il processo mentre procede.")</f>
        <v>Sostituisce la parte, spiegando come viene eseguito il processo mentre procede.</v>
      </c>
    </row>
    <row r="15888">
      <c r="A15888" s="4" t="s">
        <v>20004</v>
      </c>
      <c r="B15888" s="4" t="s">
        <v>20008</v>
      </c>
      <c r="C15888" s="5" t="str">
        <f>IFERROR(__xludf.DUMMYFUNCTION("GOOGLETRANSLATE(B15888,""en"",""it"")"),"Quindi parla ulteriormente alla fotocamera.")</f>
        <v>Quindi parla ulteriormente alla fotocamera.</v>
      </c>
    </row>
    <row r="15889">
      <c r="A15889" s="4" t="s">
        <v>20009</v>
      </c>
      <c r="B15889" s="4" t="s">
        <v>20010</v>
      </c>
      <c r="C15889" s="5" t="str">
        <f>IFERROR(__xludf.DUMMYFUNCTION("GOOGLETRANSLATE(B15889,""en"",""it"")"),"Un uomo seduto su un'attrezzatura da esercizio.")</f>
        <v>Un uomo seduto su un'attrezzatura da esercizio.</v>
      </c>
    </row>
    <row r="15890">
      <c r="A15890" s="4" t="s">
        <v>20009</v>
      </c>
      <c r="B15890" s="4" t="s">
        <v>20011</v>
      </c>
      <c r="C15890" s="5" t="str">
        <f>IFERROR(__xludf.DUMMYFUNCTION("GOOGLETRANSLATE(B15890,""en"",""it"")"),"Mette i piedi su un titolare e mise la cinghia.")</f>
        <v>Mette i piedi su un titolare e mise la cinghia.</v>
      </c>
    </row>
    <row r="15891">
      <c r="A15891" s="4" t="s">
        <v>20009</v>
      </c>
      <c r="B15891" s="4" t="s">
        <v>20012</v>
      </c>
      <c r="C15891" s="5" t="str">
        <f>IFERROR(__xludf.DUMMYFUNCTION("GOOGLETRANSLATE(B15891,""en"",""it"")"),"Tira la barra, allo stesso tempo spinse le gambe.")</f>
        <v>Tira la barra, allo stesso tempo spinse le gambe.</v>
      </c>
    </row>
    <row r="15892">
      <c r="A15892" s="4" t="s">
        <v>20009</v>
      </c>
      <c r="B15892" s="4" t="s">
        <v>20013</v>
      </c>
      <c r="C15892" s="5" t="str">
        <f>IFERROR(__xludf.DUMMYFUNCTION("GOOGLETRANSLATE(B15892,""en"",""it"")"),"Ripeti il ​​processo più volte.")</f>
        <v>Ripeti il ​​processo più volte.</v>
      </c>
    </row>
    <row r="15893">
      <c r="A15893" s="4" t="s">
        <v>20014</v>
      </c>
      <c r="B15893" s="4" t="s">
        <v>20015</v>
      </c>
      <c r="C15893" s="5" t="str">
        <f>IFERROR(__xludf.DUMMYFUNCTION("GOOGLETRANSLATE(B15893,""en"",""it"")"),"Una persona a vuoto da un divano con un aspirapolvere a mano con un ugello.")</f>
        <v>Una persona a vuoto da un divano con un aspirapolvere a mano con un ugello.</v>
      </c>
    </row>
    <row r="15894">
      <c r="A15894" s="4" t="s">
        <v>20014</v>
      </c>
      <c r="B15894" s="6" t="s">
        <v>20016</v>
      </c>
      <c r="C15894" s="5" t="str">
        <f>IFERROR(__xludf.DUMMYFUNCTION("GOOGLETRANSLATE(B15894,""en"",""it"")"),"Quindi, la persona aspirare i crepacci del divano usando un noodle crepaccio, la persona usa un vuoto mantenuto per pulire la parte superiore del divano e il pavimento.")</f>
        <v>Quindi, la persona aspirare i crepacci del divano usando un noodle crepaccio, la persona usa un vuoto mantenuto per pulire la parte superiore del divano e il pavimento.</v>
      </c>
    </row>
    <row r="15895">
      <c r="A15895" s="4" t="s">
        <v>20014</v>
      </c>
      <c r="B15895" s="4" t="s">
        <v>20017</v>
      </c>
      <c r="C15895" s="5" t="str">
        <f>IFERROR(__xludf.DUMMYFUNCTION("GOOGLETRANSLATE(B15895,""en"",""it"")"),"Dopo, la donna mostra la batteria del vuoto e poi la mantiene.")</f>
        <v>Dopo, la donna mostra la batteria del vuoto e poi la mantiene.</v>
      </c>
    </row>
    <row r="15896">
      <c r="A15896" s="4" t="s">
        <v>20018</v>
      </c>
      <c r="B15896" s="4" t="s">
        <v>20019</v>
      </c>
      <c r="C15896" s="5" t="str">
        <f>IFERROR(__xludf.DUMMYFUNCTION("GOOGLETRANSLATE(B15896,""en"",""it"")"),"C'è una piscina all'aperto con una tavola da immersione molto alta.")</f>
        <v>C'è una piscina all'aperto con una tavola da immersione molto alta.</v>
      </c>
    </row>
    <row r="15897">
      <c r="A15897" s="4" t="s">
        <v>20018</v>
      </c>
      <c r="B15897" s="4" t="s">
        <v>20020</v>
      </c>
      <c r="C15897" s="5" t="str">
        <f>IFERROR(__xludf.DUMMYFUNCTION("GOOGLETRANSLATE(B15897,""en"",""it"")"),"C'è una donna in costume da bagno verde che si tuffa in piscina.")</f>
        <v>C'è una donna in costume da bagno verde che si tuffa in piscina.</v>
      </c>
    </row>
    <row r="15898">
      <c r="A15898" s="4" t="s">
        <v>20018</v>
      </c>
      <c r="B15898" s="4" t="s">
        <v>20021</v>
      </c>
      <c r="C15898" s="5" t="str">
        <f>IFERROR(__xludf.DUMMYFUNCTION("GOOGLETRANSLATE(B15898,""en"",""it"")"),"Sta facendo varie mosse subacquee come all'indietro, in avanti e al luccio.")</f>
        <v>Sta facendo varie mosse subacquee come all'indietro, in avanti e al luccio.</v>
      </c>
    </row>
    <row r="15899">
      <c r="A15899" s="4" t="s">
        <v>20018</v>
      </c>
      <c r="B15899" s="4" t="s">
        <v>20022</v>
      </c>
      <c r="C15899" s="5" t="str">
        <f>IFERROR(__xludf.DUMMYFUNCTION("GOOGLETRANSLATE(B15899,""en"",""it"")"),"Si sta anche alzando la mano prima di immergersi rapidamente in piscina.")</f>
        <v>Si sta anche alzando la mano prima di immergersi rapidamente in piscina.</v>
      </c>
    </row>
    <row r="15900">
      <c r="A15900" s="4" t="s">
        <v>20018</v>
      </c>
      <c r="B15900" s="4" t="s">
        <v>20023</v>
      </c>
      <c r="C15900" s="5" t="str">
        <f>IFERROR(__xludf.DUMMYFUNCTION("GOOGLETRANSLATE(B15900,""en"",""it"")"),"Ripete i suoi passi e si tuffa più volte in piscina.")</f>
        <v>Ripete i suoi passi e si tuffa più volte in piscina.</v>
      </c>
    </row>
    <row r="15901">
      <c r="A15901" s="4" t="s">
        <v>20024</v>
      </c>
      <c r="B15901" s="4" t="s">
        <v>20025</v>
      </c>
      <c r="C15901" s="5" t="str">
        <f>IFERROR(__xludf.DUMMYFUNCTION("GOOGLETRANSLATE(B15901,""en"",""it"")"),"Un piccolo gruppo di persone è visto in piedi in un parco con le braccia e le gambe ai lati.")</f>
        <v>Un piccolo gruppo di persone è visto in piedi in un parco con le braccia e le gambe ai lati.</v>
      </c>
    </row>
    <row r="15902">
      <c r="A15902" s="4" t="s">
        <v>20024</v>
      </c>
      <c r="B15902" s="4" t="s">
        <v>20026</v>
      </c>
      <c r="C15902" s="5" t="str">
        <f>IFERROR(__xludf.DUMMYFUNCTION("GOOGLETRANSLATE(B15902,""en"",""it"")"),"Il gruppo inizia quindi a muoversi con i fan tra le mani che muovono le braccia e le gambe.")</f>
        <v>Il gruppo inizia quindi a muoversi con i fan tra le mani che muovono le braccia e le gambe.</v>
      </c>
    </row>
    <row r="15903">
      <c r="A15903" s="4" t="s">
        <v>20024</v>
      </c>
      <c r="B15903" s="6" t="s">
        <v>20027</v>
      </c>
      <c r="C15903" s="5" t="str">
        <f>IFERROR(__xludf.DUMMYFUNCTION("GOOGLETRANSLATE(B15903,""en"",""it"")"),"Il gruppo continua a muoversi insieme e finisce con loro in piedi insieme e si guardano in lontananza.")</f>
        <v>Il gruppo continua a muoversi insieme e finisce con loro in piedi insieme e si guardano in lontananza.</v>
      </c>
    </row>
    <row r="15904">
      <c r="A15904" s="4" t="s">
        <v>20028</v>
      </c>
      <c r="B15904" s="4" t="s">
        <v>20029</v>
      </c>
      <c r="C15904" s="5" t="str">
        <f>IFERROR(__xludf.DUMMYFUNCTION("GOOGLETRANSLATE(B15904,""en"",""it"")"),"Un subacqueo si estende su una piattaforma ad alta immersione che si piega in vita.")</f>
        <v>Un subacqueo si estende su una piattaforma ad alta immersione che si piega in vita.</v>
      </c>
    </row>
    <row r="15905">
      <c r="A15905" s="4" t="s">
        <v>20028</v>
      </c>
      <c r="B15905" s="6" t="s">
        <v>20030</v>
      </c>
      <c r="C15905" s="5" t="str">
        <f>IFERROR(__xludf.DUMMYFUNCTION("GOOGLETRANSLATE(B15905,""en"",""it"")"),"Gli asciugamani del subacqueo si gettano quindi il suo asciugamano e si avvicina alla fine del tabellone per un primo tentativo.")</f>
        <v>Gli asciugamani del subacqueo si gettano quindi il suo asciugamano e si avvicina alla fine del tabellone per un primo tentativo.</v>
      </c>
    </row>
    <row r="15906">
      <c r="A15906" s="4" t="s">
        <v>20028</v>
      </c>
      <c r="B15906" s="4" t="s">
        <v>20031</v>
      </c>
      <c r="C15906" s="5" t="str">
        <f>IFERROR(__xludf.DUMMYFUNCTION("GOOGLETRANSLATE(B15906,""en"",""it"")"),"Il subacqueo fa più immersioni facendo girare in aria prima di atterrare in acqua.")</f>
        <v>Il subacqueo fa più immersioni facendo girare in aria prima di atterrare in acqua.</v>
      </c>
    </row>
    <row r="15907">
      <c r="A15907" s="4" t="s">
        <v>20032</v>
      </c>
      <c r="B15907" s="4" t="s">
        <v>20033</v>
      </c>
      <c r="C15907" s="5" t="str">
        <f>IFERROR(__xludf.DUMMYFUNCTION("GOOGLETRANSLATE(B15907,""en"",""it"")"),"Il vetro rotto si trova a terra.")</f>
        <v>Il vetro rotto si trova a terra.</v>
      </c>
    </row>
    <row r="15908">
      <c r="A15908" s="4" t="s">
        <v>20032</v>
      </c>
      <c r="B15908" s="4" t="s">
        <v>20034</v>
      </c>
      <c r="C15908" s="5" t="str">
        <f>IFERROR(__xludf.DUMMYFUNCTION("GOOGLETRANSLATE(B15908,""en"",""it"")"),"Un giovane si estende di fronte.")</f>
        <v>Un giovane si estende di fronte.</v>
      </c>
    </row>
    <row r="15909">
      <c r="A15909" s="4" t="s">
        <v>20032</v>
      </c>
      <c r="B15909" s="4" t="s">
        <v>20035</v>
      </c>
      <c r="C15909" s="5" t="str">
        <f>IFERROR(__xludf.DUMMYFUNCTION("GOOGLETRANSLATE(B15909,""en"",""it"")"),"Quindi spezza le mosse di ballo.")</f>
        <v>Quindi spezza le mosse di ballo.</v>
      </c>
    </row>
    <row r="15910">
      <c r="A15910" s="4" t="s">
        <v>20032</v>
      </c>
      <c r="B15910" s="4" t="s">
        <v>20036</v>
      </c>
      <c r="C15910" s="5" t="str">
        <f>IFERROR(__xludf.DUMMYFUNCTION("GOOGLETRANSLATE(B15910,""en"",""it"")"),"Mette le gambe dietro la testa.")</f>
        <v>Mette le gambe dietro la testa.</v>
      </c>
    </row>
    <row r="15911">
      <c r="A15911" s="4" t="s">
        <v>20037</v>
      </c>
      <c r="B15911" s="4" t="s">
        <v>20038</v>
      </c>
      <c r="C15911" s="5" t="str">
        <f>IFERROR(__xludf.DUMMYFUNCTION("GOOGLETRANSLATE(B15911,""en"",""it"")"),"Un ragazzo è seduto a un tavolo in una stanza affollata.")</f>
        <v>Un ragazzo è seduto a un tavolo in una stanza affollata.</v>
      </c>
    </row>
    <row r="15912">
      <c r="A15912" s="4" t="s">
        <v>20037</v>
      </c>
      <c r="B15912" s="4" t="s">
        <v>20039</v>
      </c>
      <c r="C15912" s="5" t="str">
        <f>IFERROR(__xludf.DUMMYFUNCTION("GOOGLETRANSLATE(B15912,""en"",""it"")"),"Ha un cubo di Rubik e cerca di risolvere il puzzle.")</f>
        <v>Ha un cubo di Rubik e cerca di risolvere il puzzle.</v>
      </c>
    </row>
    <row r="15913">
      <c r="A15913" s="4" t="s">
        <v>20037</v>
      </c>
      <c r="B15913" s="4" t="s">
        <v>20040</v>
      </c>
      <c r="C15913" s="5" t="str">
        <f>IFERROR(__xludf.DUMMYFUNCTION("GOOGLETRANSLATE(B15913,""en"",""it"")"),"Si time mentre finisce il cubo, gettandolo sul tavolo.")</f>
        <v>Si time mentre finisce il cubo, gettandolo sul tavolo.</v>
      </c>
    </row>
    <row r="15914">
      <c r="A15914" s="4" t="s">
        <v>20041</v>
      </c>
      <c r="B15914" s="6" t="s">
        <v>20042</v>
      </c>
      <c r="C15914" s="5" t="str">
        <f>IFERROR(__xludf.DUMMYFUNCTION("GOOGLETRANSLATE(B15914,""en"",""it"")"),"Il video inizia con varie parole e istruzioni su come inserire e rimuovere le lenti a contatto di Halloween.")</f>
        <v>Il video inizia con varie parole e istruzioni su come inserire e rimuovere le lenti a contatto di Halloween.</v>
      </c>
    </row>
    <row r="15915">
      <c r="A15915" s="4" t="s">
        <v>20041</v>
      </c>
      <c r="B15915" s="6" t="s">
        <v>20043</v>
      </c>
      <c r="C15915" s="5" t="str">
        <f>IFERROR(__xludf.DUMMYFUNCTION("GOOGLETRANSLATE(B15915,""en"",""it"")"),"Un contenitore lente a contatto viene quindi riempito con soluzione di contatto e i contatti su entrambi i lati del contenitore.")</f>
        <v>Un contenitore lente a contatto viene quindi riempito con soluzione di contatto e i contatti su entrambi i lati del contenitore.</v>
      </c>
    </row>
    <row r="15916">
      <c r="A15916" s="4" t="s">
        <v>20041</v>
      </c>
      <c r="B15916" s="6" t="s">
        <v>20044</v>
      </c>
      <c r="C15916" s="5" t="str">
        <f>IFERROR(__xludf.DUMMYFUNCTION("GOOGLETRANSLATE(B15916,""en"",""it"")"),"La donna quindi mette il pollice e il dito sul lato sinistro e tira fuori una lente di contatto bianca e la inserisce nell'occhio destro e sbatte le palpebre alcune volte mentre le parole ""con lenti a contatto bianche"" nella parte inferiore dello scherm"&amp;"o.")</f>
        <v>La donna quindi mette il pollice e il dito sul lato sinistro e tira fuori una lente di contatto bianca e la inserisce nell'occhio destro e sbatte le palpebre alcune volte mentre le parole "con lenti a contatto bianche" nella parte inferiore dello schermo.</v>
      </c>
    </row>
    <row r="15917">
      <c r="A15917" s="4" t="s">
        <v>20041</v>
      </c>
      <c r="B15917" s="6" t="s">
        <v>20045</v>
      </c>
      <c r="C15917" s="5" t="str">
        <f>IFERROR(__xludf.DUMMYFUNCTION("GOOGLETRANSLATE(B15917,""en"",""it"")"),"La donna raggiunge il lato destro del contenitore delle lenti a contatto e tira fuori l'altro lente a contatto e lo inserisce nell'occhio sinistro e quindi lampeggia più volte.")</f>
        <v>La donna raggiunge il lato destro del contenitore delle lenti a contatto e tira fuori l'altro lente a contatto e lo inserisce nell'occhio sinistro e quindi lampeggia più volte.</v>
      </c>
    </row>
    <row r="15918">
      <c r="A15918" s="4" t="s">
        <v>20041</v>
      </c>
      <c r="B15918" s="6" t="s">
        <v>20046</v>
      </c>
      <c r="C15918" s="5" t="str">
        <f>IFERROR(__xludf.DUMMYFUNCTION("GOOGLETRANSLATE(B15918,""en"",""it"")"),"La donna poi torna prima nell'occhio sinistro, quindi nella sua destra per rimuovere le lenti a contatto e appare un colpo di loro seduto nel contenitore delle lenti a contatto.")</f>
        <v>La donna poi torna prima nell'occhio sinistro, quindi nella sua destra per rimuovere le lenti a contatto e appare un colpo di loro seduto nel contenitore delle lenti a contatto.</v>
      </c>
    </row>
    <row r="15919">
      <c r="A15919" s="4" t="s">
        <v>20041</v>
      </c>
      <c r="B15919" s="6" t="s">
        <v>20047</v>
      </c>
      <c r="C15919" s="5" t="str">
        <f>IFERROR(__xludf.DUMMYFUNCTION("GOOGLETRANSLATE(B15919,""en"",""it"")"),"Il video termina con uno schermo che ti dice di iscriverti al loro canale YouTube per video più utili.")</f>
        <v>Il video termina con uno schermo che ti dice di iscriverti al loro canale YouTube per video più utili.</v>
      </c>
    </row>
    <row r="15920">
      <c r="A15920" s="4" t="s">
        <v>20048</v>
      </c>
      <c r="B15920" s="4" t="s">
        <v>20049</v>
      </c>
      <c r="C15920" s="5" t="str">
        <f>IFERROR(__xludf.DUMMYFUNCTION("GOOGLETRANSLATE(B15920,""en"",""it"")"),"Una donna e un uomo stanno rastrellando foglie fuori casa.")</f>
        <v>Una donna e un uomo stanno rastrellando foglie fuori casa.</v>
      </c>
    </row>
    <row r="15921">
      <c r="A15921" s="4" t="s">
        <v>20048</v>
      </c>
      <c r="B15921" s="4" t="s">
        <v>20050</v>
      </c>
      <c r="C15921" s="5" t="str">
        <f>IFERROR(__xludf.DUMMYFUNCTION("GOOGLETRANSLATE(B15921,""en"",""it"")"),"Muovono le foglie in un fuoco, bruciandole.")</f>
        <v>Muovono le foglie in un fuoco, bruciandole.</v>
      </c>
    </row>
    <row r="15922">
      <c r="A15922" s="4" t="s">
        <v>20051</v>
      </c>
      <c r="B15922" s="4" t="s">
        <v>20052</v>
      </c>
      <c r="C15922" s="5" t="str">
        <f>IFERROR(__xludf.DUMMYFUNCTION("GOOGLETRANSLATE(B15922,""en"",""it"")"),"Boys Arm Wrestle in una partita per una grande folla.")</f>
        <v>Boys Arm Wrestle in una partita per una grande folla.</v>
      </c>
    </row>
    <row r="15923">
      <c r="A15923" s="4" t="s">
        <v>20051</v>
      </c>
      <c r="B15923" s="4" t="s">
        <v>20053</v>
      </c>
      <c r="C15923" s="5" t="str">
        <f>IFERROR(__xludf.DUMMYFUNCTION("GOOGLETRANSLATE(B15923,""en"",""it"")"),"La folla si congratula con il vincitore.")</f>
        <v>La folla si congratula con il vincitore.</v>
      </c>
    </row>
    <row r="15924">
      <c r="A15924" s="4" t="s">
        <v>20051</v>
      </c>
      <c r="B15924" s="4" t="s">
        <v>20054</v>
      </c>
      <c r="C15924" s="5" t="str">
        <f>IFERROR(__xludf.DUMMYFUNCTION("GOOGLETRANSLATE(B15924,""en"",""it"")"),"I due ragazzi si stringono la mano dopo la partita.")</f>
        <v>I due ragazzi si stringono la mano dopo la partita.</v>
      </c>
    </row>
    <row r="15925">
      <c r="A15925" s="4" t="s">
        <v>20055</v>
      </c>
      <c r="B15925" s="4" t="s">
        <v>20056</v>
      </c>
      <c r="C15925" s="5" t="str">
        <f>IFERROR(__xludf.DUMMYFUNCTION("GOOGLETRANSLATE(B15925,""en"",""it"")"),"Un ragazzo viene visto indossare un casco, parlare alla telecamera e tenere i cuscinetti.")</f>
        <v>Un ragazzo viene visto indossare un casco, parlare alla telecamera e tenere i cuscinetti.</v>
      </c>
    </row>
    <row r="15926">
      <c r="A15926" s="4" t="s">
        <v>20055</v>
      </c>
      <c r="B15926" s="6" t="s">
        <v>20057</v>
      </c>
      <c r="C15926" s="5" t="str">
        <f>IFERROR(__xludf.DUMMYFUNCTION("GOOGLETRANSLATE(B15926,""en"",""it"")"),"Il ragazzo viene quindi mostrato in varie clip che cavalca sul tabellone mentre parla anche alla telecamera.")</f>
        <v>Il ragazzo viene quindi mostrato in varie clip che cavalca sul tabellone mentre parla anche alla telecamera.</v>
      </c>
    </row>
    <row r="15927">
      <c r="A15927" s="4" t="s">
        <v>20055</v>
      </c>
      <c r="B15927" s="6" t="s">
        <v>20058</v>
      </c>
      <c r="C15927" s="5" t="str">
        <f>IFERROR(__xludf.DUMMYFUNCTION("GOOGLETRANSLATE(B15927,""en"",""it"")"),"Il ragazzo dimostra come eseguire le mosse di pattinaggio adeguate mentre si china e afferra la sua tavola.")</f>
        <v>Il ragazzo dimostra come eseguire le mosse di pattinaggio adeguate mentre si china e afferra la sua tavola.</v>
      </c>
    </row>
    <row r="15928">
      <c r="A15928" s="4" t="s">
        <v>20059</v>
      </c>
      <c r="B15928" s="4" t="s">
        <v>20060</v>
      </c>
      <c r="C15928" s="5" t="str">
        <f>IFERROR(__xludf.DUMMYFUNCTION("GOOGLETRANSLATE(B15928,""en"",""it"")"),"Un uomo parla al telefono.")</f>
        <v>Un uomo parla al telefono.</v>
      </c>
    </row>
    <row r="15929">
      <c r="A15929" s="4" t="s">
        <v>20059</v>
      </c>
      <c r="B15929" s="4" t="s">
        <v>20061</v>
      </c>
      <c r="C15929" s="5" t="str">
        <f>IFERROR(__xludf.DUMMYFUNCTION("GOOGLETRANSLATE(B15929,""en"",""it"")"),"L'uomo gli mette una sigaretta in bocca.")</f>
        <v>L'uomo gli mette una sigaretta in bocca.</v>
      </c>
    </row>
    <row r="15930">
      <c r="A15930" s="4" t="s">
        <v>20059</v>
      </c>
      <c r="B15930" s="4" t="s">
        <v>20062</v>
      </c>
      <c r="C15930" s="5" t="str">
        <f>IFERROR(__xludf.DUMMYFUNCTION("GOOGLETRANSLATE(B15930,""en"",""it"")"),"L'uomo accende la sigaretta.")</f>
        <v>L'uomo accende la sigaretta.</v>
      </c>
    </row>
    <row r="15931">
      <c r="A15931" s="4" t="s">
        <v>20059</v>
      </c>
      <c r="B15931" s="4" t="s">
        <v>20063</v>
      </c>
      <c r="C15931" s="5" t="str">
        <f>IFERROR(__xludf.DUMMYFUNCTION("GOOGLETRANSLATE(B15931,""en"",""it"")"),"L'uomo rimuove la sigaretta dalla sua bocca e se la tiene in mano.")</f>
        <v>L'uomo rimuove la sigaretta dalla sua bocca e se la tiene in mano.</v>
      </c>
    </row>
    <row r="15932">
      <c r="A15932" s="4" t="s">
        <v>20064</v>
      </c>
      <c r="B15932" s="4" t="s">
        <v>20065</v>
      </c>
      <c r="C15932" s="5" t="str">
        <f>IFERROR(__xludf.DUMMYFUNCTION("GOOGLETRANSLATE(B15932,""en"",""it"")"),"Un gruppo di adulti gioca una partita di pallavolo da spiaggia.")</f>
        <v>Un gruppo di adulti gioca una partita di pallavolo da spiaggia.</v>
      </c>
    </row>
    <row r="15933">
      <c r="A15933" s="4" t="s">
        <v>20064</v>
      </c>
      <c r="B15933" s="4" t="s">
        <v>20066</v>
      </c>
      <c r="C15933" s="5" t="str">
        <f>IFERROR(__xludf.DUMMYFUNCTION("GOOGLETRANSLATE(B15933,""en"",""it"")"),"Gruppi di bambini di bambini giocano una partita di pallavolo da spiaggia.")</f>
        <v>Gruppi di bambini di bambini giocano una partita di pallavolo da spiaggia.</v>
      </c>
    </row>
    <row r="15934">
      <c r="A15934" s="4" t="s">
        <v>20064</v>
      </c>
      <c r="B15934" s="4" t="s">
        <v>20067</v>
      </c>
      <c r="C15934" s="5" t="str">
        <f>IFERROR(__xludf.DUMMYFUNCTION("GOOGLETRANSLATE(B15934,""en"",""it"")"),"Le regole sono mostrate per il gioco.")</f>
        <v>Le regole sono mostrate per il gioco.</v>
      </c>
    </row>
    <row r="15935">
      <c r="A15935" s="4" t="s">
        <v>20064</v>
      </c>
      <c r="B15935" s="4" t="s">
        <v>20068</v>
      </c>
      <c r="C15935" s="5" t="str">
        <f>IFERROR(__xludf.DUMMYFUNCTION("GOOGLETRANSLATE(B15935,""en"",""it"")"),"Un gruppo di ragazze gioca una partita a pallavolo.")</f>
        <v>Un gruppo di ragazze gioca una partita a pallavolo.</v>
      </c>
    </row>
    <row r="15936">
      <c r="A15936" s="4" t="s">
        <v>20064</v>
      </c>
      <c r="B15936" s="4" t="s">
        <v>20069</v>
      </c>
      <c r="C15936" s="5" t="str">
        <f>IFERROR(__xludf.DUMMYFUNCTION("GOOGLETRANSLATE(B15936,""en"",""it"")"),"Un gruppo di adulti gioca una partita di pallavolo in una giornata nuvolosa.")</f>
        <v>Un gruppo di adulti gioca una partita di pallavolo in una giornata nuvolosa.</v>
      </c>
    </row>
    <row r="15937">
      <c r="A15937" s="4" t="s">
        <v>20070</v>
      </c>
      <c r="B15937" s="4" t="s">
        <v>20071</v>
      </c>
      <c r="C15937" s="5" t="str">
        <f>IFERROR(__xludf.DUMMYFUNCTION("GOOGLETRANSLATE(B15937,""en"",""it"")"),"Uno stadio è visto dall'alto con un vasto pubblico.")</f>
        <v>Uno stadio è visto dall'alto con un vasto pubblico.</v>
      </c>
    </row>
    <row r="15938">
      <c r="A15938" s="4" t="s">
        <v>20070</v>
      </c>
      <c r="B15938" s="4" t="s">
        <v>20072</v>
      </c>
      <c r="C15938" s="5" t="str">
        <f>IFERROR(__xludf.DUMMYFUNCTION("GOOGLETRANSLATE(B15938,""en"",""it"")"),"Le ginnaste competono in un evento e fanno routine di piattaforma stazionaria con impugnature manuali.")</f>
        <v>Le ginnaste competono in un evento e fanno routine di piattaforma stazionaria con impugnature manuali.</v>
      </c>
    </row>
    <row r="15939">
      <c r="A15939" s="4" t="s">
        <v>20070</v>
      </c>
      <c r="B15939" s="4" t="s">
        <v>20073</v>
      </c>
      <c r="C15939" s="5" t="str">
        <f>IFERROR(__xludf.DUMMYFUNCTION("GOOGLETRANSLATE(B15939,""en"",""it"")"),"Le medaglie della competizione ricevono i loro premi e stanno insieme saltando.")</f>
        <v>Le medaglie della competizione ricevono i loro premi e stanno insieme saltando.</v>
      </c>
    </row>
    <row r="15940">
      <c r="A15940" s="4" t="s">
        <v>20070</v>
      </c>
      <c r="B15940" s="4" t="s">
        <v>20074</v>
      </c>
      <c r="C15940" s="5" t="str">
        <f>IFERROR(__xludf.DUMMYFUNCTION("GOOGLETRANSLATE(B15940,""en"",""it"")"),"Gli atleti rilasciano interviste dopo la competizione.")</f>
        <v>Gli atleti rilasciano interviste dopo la competizione.</v>
      </c>
    </row>
    <row r="15941">
      <c r="A15941" s="4" t="s">
        <v>20075</v>
      </c>
      <c r="B15941" s="6" t="s">
        <v>20076</v>
      </c>
      <c r="C15941" s="5" t="str">
        <f>IFERROR(__xludf.DUMMYFUNCTION("GOOGLETRANSLATE(B15941,""en"",""it"")"),"La donna è di fronte a uno specchio, prepara uno sbadiglio e beve il collutorio e lo sputa nel lavaggio delle mani e sorride alla telecamera.")</f>
        <v>La donna è di fronte a uno specchio, prepara uno sbadiglio e beve il collutorio e lo sputa nel lavaggio delle mani e sorride alla telecamera.</v>
      </c>
    </row>
    <row r="15942">
      <c r="A15942" s="4" t="s">
        <v>20075</v>
      </c>
      <c r="B15942" s="6" t="s">
        <v>20077</v>
      </c>
      <c r="C15942" s="5" t="str">
        <f>IFERROR(__xludf.DUMMYFUNCTION("GOOGLETRANSLATE(B15942,""en"",""it"")"),"L'uomo si trova di fronte allo specchio cerca di aprire la bottiglia del collutorio e bevande da esso ed è disgustato da essa.")</f>
        <v>L'uomo si trova di fronte allo specchio cerca di aprire la bottiglia del collutorio e bevande da esso ed è disgustato da essa.</v>
      </c>
    </row>
    <row r="15943">
      <c r="A15943" s="4" t="s">
        <v>20078</v>
      </c>
      <c r="B15943" s="4" t="s">
        <v>20079</v>
      </c>
      <c r="C15943" s="5" t="str">
        <f>IFERROR(__xludf.DUMMYFUNCTION("GOOGLETRANSLATE(B15943,""en"",""it"")"),"Varie introduzioni di testo conducono in un uomo che tiene un tiro messo e girando in giro.")</f>
        <v>Varie introduzioni di testo conducono in un uomo che tiene un tiro messo e girando in giro.</v>
      </c>
    </row>
    <row r="15944">
      <c r="A15944" s="4" t="s">
        <v>20078</v>
      </c>
      <c r="B15944" s="4" t="s">
        <v>20080</v>
      </c>
      <c r="C15944" s="5" t="str">
        <f>IFERROR(__xludf.DUMMYFUNCTION("GOOGLETRANSLATE(B15944,""en"",""it"")"),"L'uomo getta l'oggetto in lontananza mentre la fotocamera segue il suo tiro.")</f>
        <v>L'uomo getta l'oggetto in lontananza mentre la fotocamera segue il suo tiro.</v>
      </c>
    </row>
    <row r="15945">
      <c r="A15945" s="4" t="s">
        <v>20081</v>
      </c>
      <c r="B15945" s="4" t="s">
        <v>20082</v>
      </c>
      <c r="C15945" s="5" t="str">
        <f>IFERROR(__xludf.DUMMYFUNCTION("GOOGLETRANSLATE(B15945,""en"",""it"")"),"Diverse donne sono viste muoversi in una palestra eseguendo vari esercizi su una trave.")</f>
        <v>Diverse donne sono viste muoversi in una palestra eseguendo vari esercizi su una trave.</v>
      </c>
    </row>
    <row r="15946">
      <c r="A15946" s="4" t="s">
        <v>20081</v>
      </c>
      <c r="B15946" s="6" t="s">
        <v>20083</v>
      </c>
      <c r="C15946" s="5" t="str">
        <f>IFERROR(__xludf.DUMMYFUNCTION("GOOGLETRANSLATE(B15946,""en"",""it"")"),"La donna continua a saltare su e giù e conduce a muovere una gomma e saltare su e giù per un pugno a una borsa.")</f>
        <v>La donna continua a saltare su e giù e conduce a muovere una gomma e saltare su e giù per un pugno a una borsa.</v>
      </c>
    </row>
    <row r="15947">
      <c r="A15947" s="4" t="s">
        <v>20081</v>
      </c>
      <c r="B15947" s="4" t="s">
        <v>20084</v>
      </c>
      <c r="C15947" s="5" t="str">
        <f>IFERROR(__xludf.DUMMYFUNCTION("GOOGLETRANSLATE(B15947,""en"",""it"")"),"L'allenatore parla quindi alla telecamera.")</f>
        <v>L'allenatore parla quindi alla telecamera.</v>
      </c>
    </row>
    <row r="15948">
      <c r="A15948" s="4" t="s">
        <v>20085</v>
      </c>
      <c r="B15948" s="6" t="s">
        <v>20086</v>
      </c>
      <c r="C15948" s="5" t="str">
        <f>IFERROR(__xludf.DUMMYFUNCTION("GOOGLETRANSLATE(B15948,""en"",""it"")"),"Un uomo calvo e una donna che indossa il fazzoletto nel suo supporto per capelli e salutavano accanto a un autobus personalizzato.")</f>
        <v>Un uomo calvo e una donna che indossa il fazzoletto nel suo supporto per capelli e salutavano accanto a un autobus personalizzato.</v>
      </c>
    </row>
    <row r="15949">
      <c r="A15949" s="4" t="s">
        <v>20085</v>
      </c>
      <c r="B15949" s="4" t="s">
        <v>20087</v>
      </c>
      <c r="C15949" s="5" t="str">
        <f>IFERROR(__xludf.DUMMYFUNCTION("GOOGLETRANSLATE(B15949,""en"",""it"")"),"La signora pubblica una pallina di gelato a un cono di zucchero.")</f>
        <v>La signora pubblica una pallina di gelato a un cono di zucchero.</v>
      </c>
    </row>
    <row r="15950">
      <c r="A15950" s="4" t="s">
        <v>20085</v>
      </c>
      <c r="B15950" s="4" t="s">
        <v>20088</v>
      </c>
      <c r="C15950" s="5" t="str">
        <f>IFERROR(__xludf.DUMMYFUNCTION("GOOGLETRANSLATE(B15950,""en"",""it"")"),"L'uomo della testa calva colloca un menu sul lato del bus.")</f>
        <v>L'uomo della testa calva colloca un menu sul lato del bus.</v>
      </c>
    </row>
    <row r="15951">
      <c r="A15951" s="4" t="s">
        <v>20085</v>
      </c>
      <c r="B15951" s="4" t="s">
        <v>20089</v>
      </c>
      <c r="C15951" s="5" t="str">
        <f>IFERROR(__xludf.DUMMYFUNCTION("GOOGLETRANSLATE(B15951,""en"",""it"")"),"La signora della gelateria in autobus consegna un cono gelato a un cliente.")</f>
        <v>La signora della gelateria in autobus consegna un cono gelato a un cliente.</v>
      </c>
    </row>
    <row r="15952">
      <c r="A15952" s="4" t="s">
        <v>20085</v>
      </c>
      <c r="B15952" s="4" t="s">
        <v>20090</v>
      </c>
      <c r="C15952" s="5" t="str">
        <f>IFERROR(__xludf.DUMMYFUNCTION("GOOGLETRANSLATE(B15952,""en"",""it"")"),"Immagini più e clip di molte persone diverse che mangiano e mostrano il loro gelato.")</f>
        <v>Immagini più e clip di molte persone diverse che mangiano e mostrano il loro gelato.</v>
      </c>
    </row>
    <row r="15953">
      <c r="A15953" s="4" t="s">
        <v>20085</v>
      </c>
      <c r="B15953" s="6" t="s">
        <v>20091</v>
      </c>
      <c r="C15953" s="5" t="str">
        <f>IFERROR(__xludf.DUMMYFUNCTION("GOOGLETRANSLATE(B15953,""en"",""it"")"),"L'uomo calvo e la signora all'interno dell'autobus per gelaterie sono mostrati funzionando e raccogliendo forniture mentre più immagini di clienti mangiano e mostrano le loro prelibatezze.")</f>
        <v>L'uomo calvo e la signora all'interno dell'autobus per gelaterie sono mostrati funzionando e raccogliendo forniture mentre più immagini di clienti mangiano e mostrano le loro prelibatezze.</v>
      </c>
    </row>
    <row r="15954">
      <c r="A15954" s="4" t="s">
        <v>20092</v>
      </c>
      <c r="B15954" s="4" t="s">
        <v>20093</v>
      </c>
      <c r="C15954" s="5" t="str">
        <f>IFERROR(__xludf.DUMMYFUNCTION("GOOGLETRANSLATE(B15954,""en"",""it"")"),"Un gruppo di motociclisti sta andando lungo una strada trafficata piena di macchine.")</f>
        <v>Un gruppo di motociclisti sta andando lungo una strada trafficata piena di macchine.</v>
      </c>
    </row>
    <row r="15955">
      <c r="A15955" s="4" t="s">
        <v>20092</v>
      </c>
      <c r="B15955" s="4" t="s">
        <v>20094</v>
      </c>
      <c r="C15955" s="5" t="str">
        <f>IFERROR(__xludf.DUMMYFUNCTION("GOOGLETRANSLATE(B15955,""en"",""it"")"),"Sono visti con telecamere montate su skateboard prima di iniziare a salire nel traffico.")</f>
        <v>Sono visti con telecamere montate su skateboard prima di iniziare a salire nel traffico.</v>
      </c>
    </row>
    <row r="15956">
      <c r="A15956" s="4" t="s">
        <v>20092</v>
      </c>
      <c r="B15956" s="4" t="s">
        <v>20095</v>
      </c>
      <c r="C15956" s="5" t="str">
        <f>IFERROR(__xludf.DUMMYFUNCTION("GOOGLETRANSLATE(B15956,""en"",""it"")"),"L'uomo smonta la sua tavola e si toglie il casco prima di correre.")</f>
        <v>L'uomo smonta la sua tavola e si toglie il casco prima di correre.</v>
      </c>
    </row>
    <row r="15957">
      <c r="A15957" s="4" t="s">
        <v>20096</v>
      </c>
      <c r="B15957" s="4" t="s">
        <v>20097</v>
      </c>
      <c r="C15957" s="5" t="str">
        <f>IFERROR(__xludf.DUMMYFUNCTION("GOOGLETRANSLATE(B15957,""en"",""it"")"),"Una donna è vista in piedi alla fine di una tavola da immersione con le braccia e rivolta in avanti.")</f>
        <v>Una donna è vista in piedi alla fine di una tavola da immersione con le braccia e rivolta in avanti.</v>
      </c>
    </row>
    <row r="15958">
      <c r="A15958" s="4" t="s">
        <v>20096</v>
      </c>
      <c r="B15958" s="4" t="s">
        <v>20098</v>
      </c>
      <c r="C15958" s="5" t="str">
        <f>IFERROR(__xludf.DUMMYFUNCTION("GOOGLETRANSLATE(B15958,""en"",""it"")"),"La donna inizia quindi a saltare su e giù sul tabellone e si immerge in acqua.")</f>
        <v>La donna inizia quindi a saltare su e giù sul tabellone e si immerge in acqua.</v>
      </c>
    </row>
    <row r="15959">
      <c r="A15959" s="4" t="s">
        <v>20099</v>
      </c>
      <c r="B15959" s="6" t="s">
        <v>20100</v>
      </c>
      <c r="C15959" s="5" t="str">
        <f>IFERROR(__xludf.DUMMYFUNCTION("GOOGLETRANSLATE(B15959,""en"",""it"")"),"Viene mostrato un primo piano all'interno di una nave spaziale seguita da una donna con capelli folli che parlano nel microfono.")</f>
        <v>Viene mostrato un primo piano all'interno di una nave spaziale seguita da una donna con capelli folli che parlano nel microfono.</v>
      </c>
    </row>
    <row r="15960">
      <c r="A15960" s="4" t="s">
        <v>20099</v>
      </c>
      <c r="B15960" s="4" t="s">
        <v>20101</v>
      </c>
      <c r="C15960" s="5" t="str">
        <f>IFERROR(__xludf.DUMMYFUNCTION("GOOGLETRANSLATE(B15960,""en"",""it"")"),"Quindi suona una canzone su un flauto con scatti di un altro uomo in una posizione diversa che suona un flauto.")</f>
        <v>Quindi suona una canzone su un flauto con scatti di un altro uomo in una posizione diversa che suona un flauto.</v>
      </c>
    </row>
    <row r="15961">
      <c r="A15961" s="4" t="s">
        <v>20099</v>
      </c>
      <c r="B15961" s="6" t="s">
        <v>20102</v>
      </c>
      <c r="C15961" s="5" t="str">
        <f>IFERROR(__xludf.DUMMYFUNCTION("GOOGLETRANSLATE(B15961,""en"",""it"")"),"La fotocamera si riversa indietro e quarto tra le due e termina con l'uomo che parla alla telecamera, la donna che saluta indietro e l'uomo che si è solista.")</f>
        <v>La fotocamera si riversa indietro e quarto tra le due e termina con l'uomo che parla alla telecamera, la donna che saluta indietro e l'uomo che si è solista.</v>
      </c>
    </row>
    <row r="15962">
      <c r="A15962" s="4" t="s">
        <v>20103</v>
      </c>
      <c r="B15962" s="4" t="s">
        <v>20104</v>
      </c>
      <c r="C15962" s="5" t="str">
        <f>IFERROR(__xludf.DUMMYFUNCTION("GOOGLETRANSLATE(B15962,""en"",""it"")"),"Un uomo viene visto spazzare via una porta e poi mette un grosso poster sopra la porta.")</f>
        <v>Un uomo viene visto spazzare via una porta e poi mette un grosso poster sopra la porta.</v>
      </c>
    </row>
    <row r="15963">
      <c r="A15963" s="4" t="s">
        <v>20103</v>
      </c>
      <c r="B15963" s="6" t="s">
        <v>20105</v>
      </c>
      <c r="C15963" s="5" t="str">
        <f>IFERROR(__xludf.DUMMYFUNCTION("GOOGLETRANSLATE(B15963,""en"",""it"")"),"Mette giù la carta e si taglia attorno ai bordi, terminando con diverse immagini di poster mostrati e come acquistare.")</f>
        <v>Mette giù la carta e si taglia attorno ai bordi, terminando con diverse immagini di poster mostrati e come acquistare.</v>
      </c>
    </row>
    <row r="15964">
      <c r="A15964" s="4" t="s">
        <v>20106</v>
      </c>
      <c r="B15964" s="4" t="s">
        <v>20107</v>
      </c>
      <c r="C15964" s="5" t="str">
        <f>IFERROR(__xludf.DUMMYFUNCTION("GOOGLETRANSLATE(B15964,""en"",""it"")"),"I sacchi di glassa sono seduti su un bancone.")</f>
        <v>I sacchi di glassa sono seduti su un bancone.</v>
      </c>
    </row>
    <row r="15965">
      <c r="A15965" s="4" t="s">
        <v>20106</v>
      </c>
      <c r="B15965" s="4" t="s">
        <v>20108</v>
      </c>
      <c r="C15965" s="5" t="str">
        <f>IFERROR(__xludf.DUMMYFUNCTION("GOOGLETRANSLATE(B15965,""en"",""it"")"),"Qualcuno mette la ciliegina in padelle di torta e muffin.")</f>
        <v>Qualcuno mette la ciliegina in padelle di torta e muffin.</v>
      </c>
    </row>
    <row r="15966">
      <c r="A15966" s="4" t="s">
        <v>20106</v>
      </c>
      <c r="B15966" s="4" t="s">
        <v>20109</v>
      </c>
      <c r="C15966" s="5" t="str">
        <f>IFERROR(__xludf.DUMMYFUNCTION("GOOGLETRANSLATE(B15966,""en"",""it"")"),"Li cuocono nel forno.")</f>
        <v>Li cuocono nel forno.</v>
      </c>
    </row>
    <row r="15967">
      <c r="A15967" s="4" t="s">
        <v>20106</v>
      </c>
      <c r="B15967" s="4" t="s">
        <v>20110</v>
      </c>
      <c r="C15967" s="5" t="str">
        <f>IFERROR(__xludf.DUMMYFUNCTION("GOOGLETRANSLATE(B15967,""en"",""it"")"),"Li hanno messi su un piatto e iniziano a ghiacciarli.")</f>
        <v>Li hanno messi su un piatto e iniziano a ghiacciarli.</v>
      </c>
    </row>
    <row r="15968">
      <c r="A15968" s="4" t="s">
        <v>20111</v>
      </c>
      <c r="B15968" s="4" t="s">
        <v>20112</v>
      </c>
      <c r="C15968" s="5" t="str">
        <f>IFERROR(__xludf.DUMMYFUNCTION("GOOGLETRANSLATE(B15968,""en"",""it"")"),"Una donna è mostrata al di fuori di cinque due bambini che giocano vicino a lei.")</f>
        <v>Una donna è mostrata al di fuori di cinque due bambini che giocano vicino a lei.</v>
      </c>
    </row>
    <row r="15969">
      <c r="A15969" s="4" t="s">
        <v>20111</v>
      </c>
      <c r="B15969" s="4" t="s">
        <v>20113</v>
      </c>
      <c r="C15969" s="5" t="str">
        <f>IFERROR(__xludf.DUMMYFUNCTION("GOOGLETRANSLATE(B15969,""en"",""it"")"),"La donna aiuta la ragazza e salta lungo il terreno fino a quando non cade.")</f>
        <v>La donna aiuta la ragazza e salta lungo il terreno fino a quando non cade.</v>
      </c>
    </row>
    <row r="15970">
      <c r="A15970" s="4" t="s">
        <v>20114</v>
      </c>
      <c r="B15970" s="4" t="s">
        <v>20115</v>
      </c>
      <c r="C15970" s="5" t="str">
        <f>IFERROR(__xludf.DUMMYFUNCTION("GOOGLETRANSLATE(B15970,""en"",""it"")"),"Una donna fissa senza espressione la telecamera.")</f>
        <v>Una donna fissa senza espressione la telecamera.</v>
      </c>
    </row>
    <row r="15971">
      <c r="A15971" s="4" t="s">
        <v>20114</v>
      </c>
      <c r="B15971" s="4" t="s">
        <v>20116</v>
      </c>
      <c r="C15971" s="5" t="str">
        <f>IFERROR(__xludf.DUMMYFUNCTION("GOOGLETRANSLATE(B15971,""en"",""it"")"),"Prende un drink di tè.")</f>
        <v>Prende un drink di tè.</v>
      </c>
    </row>
    <row r="15972">
      <c r="A15972" s="4" t="s">
        <v>20114</v>
      </c>
      <c r="B15972" s="4" t="s">
        <v>20117</v>
      </c>
      <c r="C15972" s="5" t="str">
        <f>IFERROR(__xludf.DUMMYFUNCTION("GOOGLETRANSLATE(B15972,""en"",""it"")"),"Ripete esattamente la stessa azione.")</f>
        <v>Ripete esattamente la stessa azione.</v>
      </c>
    </row>
    <row r="15973">
      <c r="A15973" s="4" t="s">
        <v>20114</v>
      </c>
      <c r="B15973" s="4" t="s">
        <v>20118</v>
      </c>
      <c r="C15973" s="5" t="str">
        <f>IFERROR(__xludf.DUMMYFUNCTION("GOOGLETRANSLATE(B15973,""en"",""it"")"),"Quindi prende un altro drink e fa una faccia minacciosa.")</f>
        <v>Quindi prende un altro drink e fa una faccia minacciosa.</v>
      </c>
    </row>
    <row r="15974">
      <c r="A15974" s="4" t="s">
        <v>20119</v>
      </c>
      <c r="B15974" s="4" t="s">
        <v>20120</v>
      </c>
      <c r="C15974" s="5" t="str">
        <f>IFERROR(__xludf.DUMMYFUNCTION("GOOGLETRANSLATE(B15974,""en"",""it"")"),"Un ragazzo e il suo cane sono visti nuotare sott'acqua in una grande ciotola.")</f>
        <v>Un ragazzo e il suo cane sono visti nuotare sott'acqua in una grande ciotola.</v>
      </c>
    </row>
    <row r="15975">
      <c r="A15975" s="4" t="s">
        <v>20119</v>
      </c>
      <c r="B15975" s="4" t="s">
        <v>20121</v>
      </c>
      <c r="C15975" s="5" t="str">
        <f>IFERROR(__xludf.DUMMYFUNCTION("GOOGLETRANSLATE(B15975,""en"",""it"")"),"I due arrivano sopra la superficie e il cane corre in giro mentre il ragazzo si strofina gli occhi.")</f>
        <v>I due arrivano sopra la superficie e il cane corre in giro mentre il ragazzo si strofina gli occhi.</v>
      </c>
    </row>
    <row r="15976">
      <c r="A15976" s="4" t="s">
        <v>20122</v>
      </c>
      <c r="B15976" s="4" t="s">
        <v>20123</v>
      </c>
      <c r="C15976" s="5" t="str">
        <f>IFERROR(__xludf.DUMMYFUNCTION("GOOGLETRANSLATE(B15976,""en"",""it"")"),"Un uomo è in piedi in una camera da letto a praticare il violino.")</f>
        <v>Un uomo è in piedi in una camera da letto a praticare il violino.</v>
      </c>
    </row>
    <row r="15977">
      <c r="A15977" s="4" t="s">
        <v>20122</v>
      </c>
      <c r="B15977" s="6" t="s">
        <v>20124</v>
      </c>
      <c r="C15977" s="5" t="str">
        <f>IFERROR(__xludf.DUMMYFUNCTION("GOOGLETRANSLATE(B15977,""en"",""it"")"),"Passa un altro giorno e ora è la luce del sole fuori mentre il ragazzo si esercita suonando ancora una volta il suo strumento.")</f>
        <v>Passa un altro giorno e ora è la luce del sole fuori mentre il ragazzo si esercita suonando ancora una volta il suo strumento.</v>
      </c>
    </row>
    <row r="15978">
      <c r="A15978" s="4" t="s">
        <v>20122</v>
      </c>
      <c r="B15978" s="4" t="s">
        <v>20125</v>
      </c>
      <c r="C15978" s="5" t="str">
        <f>IFERROR(__xludf.DUMMYFUNCTION("GOOGLETRANSLATE(B15978,""en"",""it"")"),"La pratica continua per diversi giorni nella stessa stanza e termina fino al 7 ° giorno.")</f>
        <v>La pratica continua per diversi giorni nella stessa stanza e termina fino al 7 ° giorno.</v>
      </c>
    </row>
    <row r="15979">
      <c r="A15979" s="4" t="s">
        <v>20122</v>
      </c>
      <c r="B15979" s="6" t="s">
        <v>20126</v>
      </c>
      <c r="C15979" s="5" t="str">
        <f>IFERROR(__xludf.DUMMYFUNCTION("GOOGLETRANSLATE(B15979,""en"",""it"")"),"Infine, l'uomo prende un set nella stanza e inizia a parlare e dimostrando modi efficaci per mantenere il violino e giocarci in modo efficiente.")</f>
        <v>Infine, l'uomo prende un set nella stanza e inizia a parlare e dimostrando modi efficaci per mantenere il violino e giocarci in modo efficiente.</v>
      </c>
    </row>
    <row r="15980">
      <c r="A15980" s="4" t="s">
        <v>20127</v>
      </c>
      <c r="B15980" s="4" t="s">
        <v>20128</v>
      </c>
      <c r="C15980" s="5" t="str">
        <f>IFERROR(__xludf.DUMMYFUNCTION("GOOGLETRANSLATE(B15980,""en"",""it"")"),"Vediamo uno schermo di apertura su nero.")</f>
        <v>Vediamo uno schermo di apertura su nero.</v>
      </c>
    </row>
    <row r="15981">
      <c r="A15981" s="4" t="s">
        <v>20127</v>
      </c>
      <c r="B15981" s="4" t="s">
        <v>20129</v>
      </c>
      <c r="C15981" s="5" t="str">
        <f>IFERROR(__xludf.DUMMYFUNCTION("GOOGLETRANSLATE(B15981,""en"",""it"")"),"Vediamo un uomo e una donna che lavare i piatti e parlare.")</f>
        <v>Vediamo un uomo e una donna che lavare i piatti e parlare.</v>
      </c>
    </row>
    <row r="15982">
      <c r="A15982" s="4" t="s">
        <v>20127</v>
      </c>
      <c r="B15982" s="4" t="s">
        <v>20130</v>
      </c>
      <c r="C15982" s="5" t="str">
        <f>IFERROR(__xludf.DUMMYFUNCTION("GOOGLETRANSLATE(B15982,""en"",""it"")"),"Un'immagine di una signora si apre sullo schermo.")</f>
        <v>Un'immagine di una signora si apre sullo schermo.</v>
      </c>
    </row>
    <row r="15983">
      <c r="A15983" s="4" t="s">
        <v>20127</v>
      </c>
      <c r="B15983" s="4" t="s">
        <v>20131</v>
      </c>
      <c r="C15983" s="5" t="str">
        <f>IFERROR(__xludf.DUMMYFUNCTION("GOOGLETRANSLATE(B15983,""en"",""it"")"),"Vediamo di nuovo l'immagine delle donne.")</f>
        <v>Vediamo di nuovo l'immagine delle donne.</v>
      </c>
    </row>
    <row r="15984">
      <c r="A15984" s="4" t="s">
        <v>20127</v>
      </c>
      <c r="B15984" s="4" t="s">
        <v>20132</v>
      </c>
      <c r="C15984" s="5" t="str">
        <f>IFERROR(__xludf.DUMMYFUNCTION("GOOGLETRANSLATE(B15984,""en"",""it"")"),"La signora si apre nei sottotitoli.")</f>
        <v>La signora si apre nei sottotitoli.</v>
      </c>
    </row>
    <row r="15985">
      <c r="A15985" s="4" t="s">
        <v>20127</v>
      </c>
      <c r="B15985" s="4" t="s">
        <v>20133</v>
      </c>
      <c r="C15985" s="5" t="str">
        <f>IFERROR(__xludf.DUMMYFUNCTION("GOOGLETRANSLATE(B15985,""en"",""it"")"),"Li vediamo da una fotocamera più scura e più alta.")</f>
        <v>Li vediamo da una fotocamera più scura e più alta.</v>
      </c>
    </row>
    <row r="15986">
      <c r="A15986" s="4" t="s">
        <v>20127</v>
      </c>
      <c r="B15986" s="4" t="s">
        <v>20134</v>
      </c>
      <c r="C15986" s="5" t="str">
        <f>IFERROR(__xludf.DUMMYFUNCTION("GOOGLETRANSLATE(B15986,""en"",""it"")"),"Li vediamo di nuovo dalla fotocamera più alta.")</f>
        <v>Li vediamo di nuovo dalla fotocamera più alta.</v>
      </c>
    </row>
    <row r="15987">
      <c r="A15987" s="4" t="s">
        <v>20135</v>
      </c>
      <c r="B15987" s="4" t="s">
        <v>20136</v>
      </c>
      <c r="C15987" s="5" t="str">
        <f>IFERROR(__xludf.DUMMYFUNCTION("GOOGLETRANSLATE(B15987,""en"",""it"")"),"La donna sta posando per la telecamera in un gioco bianco in una presentazione.")</f>
        <v>La donna sta posando per la telecamera in un gioco bianco in una presentazione.</v>
      </c>
    </row>
    <row r="15988">
      <c r="A15988" s="4" t="s">
        <v>20135</v>
      </c>
      <c r="B15988" s="6" t="s">
        <v>20137</v>
      </c>
      <c r="C15988" s="5" t="str">
        <f>IFERROR(__xludf.DUMMYFUNCTION("GOOGLETRANSLATE(B15988,""en"",""it"")"),"La donna è in piedi in una cucina a parlare con la telecamera e mostra un piatto di pasta e gli inglesi.")</f>
        <v>La donna è in piedi in una cucina a parlare con la telecamera e mostra un piatto di pasta e gli inglesi.</v>
      </c>
    </row>
    <row r="15989">
      <c r="A15989" s="4" t="s">
        <v>20135</v>
      </c>
      <c r="B15989" s="4" t="s">
        <v>20138</v>
      </c>
      <c r="C15989" s="5" t="str">
        <f>IFERROR(__xludf.DUMMYFUNCTION("GOOGLETRANSLATE(B15989,""en"",""it"")"),"La donna taglia verdure e rosola verdure in una padella.")</f>
        <v>La donna taglia verdure e rosola verdure in una padella.</v>
      </c>
    </row>
    <row r="15990">
      <c r="A15990" s="4" t="s">
        <v>20135</v>
      </c>
      <c r="B15990" s="4" t="s">
        <v>20139</v>
      </c>
      <c r="C15990" s="5" t="str">
        <f>IFERROR(__xludf.DUMMYFUNCTION("GOOGLETRANSLATE(B15990,""en"",""it"")"),"La gallina mescola le verdure con la pasta.")</f>
        <v>La gallina mescola le verdure con la pasta.</v>
      </c>
    </row>
    <row r="15991">
      <c r="A15991" s="4" t="s">
        <v>20140</v>
      </c>
      <c r="B15991" s="4" t="s">
        <v>20141</v>
      </c>
      <c r="C15991" s="5" t="str">
        <f>IFERROR(__xludf.DUMMYFUNCTION("GOOGLETRANSLATE(B15991,""en"",""it"")"),"Vediamo un campo di arricciatura shuffle.")</f>
        <v>Vediamo un campo di arricciatura shuffle.</v>
      </c>
    </row>
    <row r="15992">
      <c r="A15992" s="4" t="s">
        <v>20140</v>
      </c>
      <c r="B15992" s="4" t="s">
        <v>20142</v>
      </c>
      <c r="C15992" s="5" t="str">
        <f>IFERROR(__xludf.DUMMYFUNCTION("GOOGLETRANSLATE(B15992,""en"",""it"")"),"Le frecce indicano le pietre in campo.")</f>
        <v>Le frecce indicano le pietre in campo.</v>
      </c>
    </row>
    <row r="15993">
      <c r="A15993" s="4" t="s">
        <v>20140</v>
      </c>
      <c r="B15993" s="4" t="s">
        <v>20143</v>
      </c>
      <c r="C15993" s="5" t="str">
        <f>IFERROR(__xludf.DUMMYFUNCTION("GOOGLETRANSLATE(B15993,""en"",""it"")"),"Una signora se ne va e ritorna.")</f>
        <v>Una signora se ne va e ritorna.</v>
      </c>
    </row>
    <row r="15994">
      <c r="A15994" s="4" t="s">
        <v>20140</v>
      </c>
      <c r="B15994" s="4" t="s">
        <v>20144</v>
      </c>
      <c r="C15994" s="5" t="str">
        <f>IFERROR(__xludf.DUMMYFUNCTION("GOOGLETRANSLATE(B15994,""en"",""it"")"),"Le frecce sembrano indicare le pietre.")</f>
        <v>Le frecce sembrano indicare le pietre.</v>
      </c>
    </row>
    <row r="15995">
      <c r="A15995" s="4" t="s">
        <v>20140</v>
      </c>
      <c r="B15995" s="4" t="s">
        <v>20145</v>
      </c>
      <c r="C15995" s="5" t="str">
        <f>IFERROR(__xludf.DUMMYFUNCTION("GOOGLETRANSLATE(B15995,""en"",""it"")"),"Vediamo due donne, una donna diversa, poi altre.")</f>
        <v>Vediamo due donne, una donna diversa, poi altre.</v>
      </c>
    </row>
    <row r="15996">
      <c r="A15996" s="4" t="s">
        <v>20140</v>
      </c>
      <c r="B15996" s="4" t="s">
        <v>20146</v>
      </c>
      <c r="C15996" s="5" t="str">
        <f>IFERROR(__xludf.DUMMYFUNCTION("GOOGLETRANSLATE(B15996,""en"",""it"")"),"Vediamo una squadra di giocatori lanciare le pietre.")</f>
        <v>Vediamo una squadra di giocatori lanciare le pietre.</v>
      </c>
    </row>
    <row r="15997">
      <c r="A15997" s="4" t="s">
        <v>20140</v>
      </c>
      <c r="B15997" s="4" t="s">
        <v>20147</v>
      </c>
      <c r="C15997" s="5" t="str">
        <f>IFERROR(__xludf.DUMMYFUNCTION("GOOGLETRANSLATE(B15997,""en"",""it"")"),"Vediamo la folla applaudita.")</f>
        <v>Vediamo la folla applaudita.</v>
      </c>
    </row>
    <row r="15998">
      <c r="A15998" s="4" t="s">
        <v>20140</v>
      </c>
      <c r="B15998" s="4" t="s">
        <v>20148</v>
      </c>
      <c r="C15998" s="5" t="str">
        <f>IFERROR(__xludf.DUMMYFUNCTION("GOOGLETRANSLATE(B15998,""en"",""it"")"),"Vediamo che il punteggio appaia sullo schermo.")</f>
        <v>Vediamo che il punteggio appaia sullo schermo.</v>
      </c>
    </row>
    <row r="15999">
      <c r="A15999" s="4" t="s">
        <v>20149</v>
      </c>
      <c r="B15999" s="4" t="s">
        <v>20150</v>
      </c>
      <c r="C15999" s="5" t="str">
        <f>IFERROR(__xludf.DUMMYFUNCTION("GOOGLETRANSLATE(B15999,""en"",""it"")"),"Un bambino piccolo gioca una cornamusa accanto a una cornamusa per adulti.")</f>
        <v>Un bambino piccolo gioca una cornamusa accanto a una cornamusa per adulti.</v>
      </c>
    </row>
    <row r="16000">
      <c r="A16000" s="4" t="s">
        <v>20149</v>
      </c>
      <c r="B16000" s="6" t="s">
        <v>20151</v>
      </c>
      <c r="C16000" s="5" t="str">
        <f>IFERROR(__xludf.DUMMYFUNCTION("GOOGLETRANSLATE(B16000,""en"",""it"")"),"Il giovane cornamusa marcia sul posto mentre giocava la cornamusa mentre gli spettatori guardano da dietro.")</f>
        <v>Il giovane cornamusa marcia sul posto mentre giocava la cornamusa mentre gli spettatori guardano da dietro.</v>
      </c>
    </row>
    <row r="16001">
      <c r="A16001" s="4" t="s">
        <v>20149</v>
      </c>
      <c r="B16001" s="4" t="s">
        <v>20152</v>
      </c>
      <c r="C16001" s="5" t="str">
        <f>IFERROR(__xludf.DUMMYFUNCTION("GOOGLETRANSLATE(B16001,""en"",""it"")"),"Il cornamusa per adulti e il bambino si trovano uno accanto all'altro mentre si esibiscono.")</f>
        <v>Il cornamusa per adulti e il bambino si trovano uno accanto all'altro mentre si esibiscono.</v>
      </c>
    </row>
    <row r="16002">
      <c r="A16002" s="4" t="s">
        <v>20149</v>
      </c>
      <c r="B16002" s="4" t="s">
        <v>20153</v>
      </c>
      <c r="C16002" s="5" t="str">
        <f>IFERROR(__xludf.DUMMYFUNCTION("GOOGLETRANSLATE(B16002,""en"",""it"")"),"Il bambino finisce di giocare e cammina in avanti verso la telecamera.")</f>
        <v>Il bambino finisce di giocare e cammina in avanti verso la telecamera.</v>
      </c>
    </row>
    <row r="16003">
      <c r="A16003" s="4" t="s">
        <v>20154</v>
      </c>
      <c r="B16003" s="4" t="s">
        <v>20155</v>
      </c>
      <c r="C16003" s="5" t="str">
        <f>IFERROR(__xludf.DUMMYFUNCTION("GOOGLETRANSLATE(B16003,""en"",""it"")"),"Un ragazzino viene mostrato oscillando su un'altalena sul parco giochi pubblico.")</f>
        <v>Un ragazzino viene mostrato oscillando su un'altalena sul parco giochi pubblico.</v>
      </c>
    </row>
    <row r="16004">
      <c r="A16004" s="4" t="s">
        <v>20154</v>
      </c>
      <c r="B16004" s="4" t="s">
        <v>20156</v>
      </c>
      <c r="C16004" s="5" t="str">
        <f>IFERROR(__xludf.DUMMYFUNCTION("GOOGLETRANSLATE(B16004,""en"",""it"")"),"Si oscilla in aria mentre qualcuno lo spinge.")</f>
        <v>Si oscilla in aria mentre qualcuno lo spinge.</v>
      </c>
    </row>
    <row r="16005">
      <c r="A16005" s="4" t="s">
        <v>20154</v>
      </c>
      <c r="B16005" s="4" t="s">
        <v>20157</v>
      </c>
      <c r="C16005" s="5" t="str">
        <f>IFERROR(__xludf.DUMMYFUNCTION("GOOGLETRANSLATE(B16005,""en"",""it"")"),"Il ragazzo sorride e parla alla persona con la telecamera.")</f>
        <v>Il ragazzo sorride e parla alla persona con la telecamera.</v>
      </c>
    </row>
    <row r="16006">
      <c r="A16006" s="4" t="s">
        <v>20158</v>
      </c>
      <c r="B16006" s="4" t="s">
        <v>20159</v>
      </c>
      <c r="C16006" s="5" t="str">
        <f>IFERROR(__xludf.DUMMYFUNCTION("GOOGLETRANSLATE(B16006,""en"",""it"")"),"Gli uomini stanno giocando a uno sport e la sabbia.")</f>
        <v>Gli uomini stanno giocando a uno sport e la sabbia.</v>
      </c>
    </row>
    <row r="16007">
      <c r="A16007" s="4" t="s">
        <v>20158</v>
      </c>
      <c r="B16007" s="4" t="s">
        <v>20160</v>
      </c>
      <c r="C16007" s="5" t="str">
        <f>IFERROR(__xludf.DUMMYFUNCTION("GOOGLETRANSLATE(B16007,""en"",""it"")"),"Un uomo si siede sulla sabbia ferita.")</f>
        <v>Un uomo si siede sulla sabbia ferita.</v>
      </c>
    </row>
    <row r="16008">
      <c r="A16008" s="4" t="s">
        <v>20161</v>
      </c>
      <c r="B16008" s="4" t="s">
        <v>20162</v>
      </c>
      <c r="C16008" s="5" t="str">
        <f>IFERROR(__xludf.DUMMYFUNCTION("GOOGLETRANSLATE(B16008,""en"",""it"")"),"Una band musicale suona in strada.")</f>
        <v>Una band musicale suona in strada.</v>
      </c>
    </row>
    <row r="16009">
      <c r="A16009" s="4" t="s">
        <v>20161</v>
      </c>
      <c r="B16009" s="4" t="s">
        <v>20163</v>
      </c>
      <c r="C16009" s="5" t="str">
        <f>IFERROR(__xludf.DUMMYFUNCTION("GOOGLETRANSLATE(B16009,""en"",""it"")"),"La gente cammina dietro la banda musicale.")</f>
        <v>La gente cammina dietro la banda musicale.</v>
      </c>
    </row>
    <row r="16010">
      <c r="A16010" s="4" t="s">
        <v>20161</v>
      </c>
      <c r="B16010" s="4" t="s">
        <v>20164</v>
      </c>
      <c r="C16010" s="5" t="str">
        <f>IFERROR(__xludf.DUMMYFUNCTION("GOOGLETRANSLATE(B16010,""en"",""it"")"),"Le persone passano davanti a una grande finestra di un negozio.")</f>
        <v>Le persone passano davanti a una grande finestra di un negozio.</v>
      </c>
    </row>
    <row r="16011">
      <c r="A16011" s="4" t="s">
        <v>20165</v>
      </c>
      <c r="B16011" s="4" t="s">
        <v>20166</v>
      </c>
      <c r="C16011" s="5" t="str">
        <f>IFERROR(__xludf.DUMMYFUNCTION("GOOGLETRANSLATE(B16011,""en"",""it"")"),"Un uomo sta dipingendo qualcosa sul verde del pavimento.")</f>
        <v>Un uomo sta dipingendo qualcosa sul verde del pavimento.</v>
      </c>
    </row>
    <row r="16012">
      <c r="A16012" s="4" t="s">
        <v>20165</v>
      </c>
      <c r="B16012" s="4" t="s">
        <v>20167</v>
      </c>
      <c r="C16012" s="5" t="str">
        <f>IFERROR(__xludf.DUMMYFUNCTION("GOOGLETRANSLATE(B16012,""en"",""it"")"),"Si accarezza su e giù ripetutamente cercando di assicurarsi che non manchi alcun punto nella zona.")</f>
        <v>Si accarezza su e giù ripetutamente cercando di assicurarsi che non manchi alcun punto nella zona.</v>
      </c>
    </row>
    <row r="16013">
      <c r="A16013" s="4" t="s">
        <v>20165</v>
      </c>
      <c r="B16013" s="6" t="s">
        <v>20168</v>
      </c>
      <c r="C16013" s="5" t="str">
        <f>IFERROR(__xludf.DUMMYFUNCTION("GOOGLETRANSLATE(B16013,""en"",""it"")"),"Si alza un po 'e guarda il pezzo per un po' prima di infilare il pennello nella vernice e ricominciare.")</f>
        <v>Si alza un po 'e guarda il pezzo per un po' prima di infilare il pennello nella vernice e ricominciare.</v>
      </c>
    </row>
    <row r="16014">
      <c r="A16014" s="4" t="s">
        <v>20165</v>
      </c>
      <c r="B16014" s="4" t="s">
        <v>20169</v>
      </c>
      <c r="C16014" s="5" t="str">
        <f>IFERROR(__xludf.DUMMYFUNCTION("GOOGLETRANSLATE(B16014,""en"",""it"")"),"Si sposta verso parti che non è ancora andato a dipingere.")</f>
        <v>Si sposta verso parti che non è ancora andato a dipingere.</v>
      </c>
    </row>
    <row r="16015">
      <c r="A16015" s="4" t="s">
        <v>20170</v>
      </c>
      <c r="B16015" s="4" t="s">
        <v>20171</v>
      </c>
      <c r="C16015" s="5" t="str">
        <f>IFERROR(__xludf.DUMMYFUNCTION("GOOGLETRANSLATE(B16015,""en"",""it"")"),"C'è un gioco competitivo di rimorchiatore in corso in un campo aperto.")</f>
        <v>C'è un gioco competitivo di rimorchiatore in corso in un campo aperto.</v>
      </c>
    </row>
    <row r="16016">
      <c r="A16016" s="4" t="s">
        <v>20170</v>
      </c>
      <c r="B16016" s="4" t="s">
        <v>20172</v>
      </c>
      <c r="C16016" s="5" t="str">
        <f>IFERROR(__xludf.DUMMYFUNCTION("GOOGLETRANSLATE(B16016,""en"",""it"")"),"Dove una squadra che indossa blu è in competizione contro un'altra squadra.")</f>
        <v>Dove una squadra che indossa blu è in competizione contro un'altra squadra.</v>
      </c>
    </row>
    <row r="16017">
      <c r="A16017" s="4" t="s">
        <v>20170</v>
      </c>
      <c r="B16017" s="4" t="s">
        <v>20173</v>
      </c>
      <c r="C16017" s="5" t="str">
        <f>IFERROR(__xludf.DUMMYFUNCTION("GOOGLETRANSLATE(B16017,""en"",""it"")"),"L'allenatore sta dando indicazioni alla squadra su come tirare la corda.")</f>
        <v>L'allenatore sta dando indicazioni alla squadra su come tirare la corda.</v>
      </c>
    </row>
    <row r="16018">
      <c r="A16018" s="4" t="s">
        <v>20170</v>
      </c>
      <c r="B16018" s="4" t="s">
        <v>20174</v>
      </c>
      <c r="C16018" s="5" t="str">
        <f>IFERROR(__xludf.DUMMYFUNCTION("GOOGLETRANSLATE(B16018,""en"",""it"")"),"Li sta incoraggiando a non dare e continuare i loro sforzi.")</f>
        <v>Li sta incoraggiando a non dare e continuare i loro sforzi.</v>
      </c>
    </row>
    <row r="16019">
      <c r="A16019" s="4" t="s">
        <v>20170</v>
      </c>
      <c r="B16019" s="4" t="s">
        <v>20175</v>
      </c>
      <c r="C16019" s="5" t="str">
        <f>IFERROR(__xludf.DUMMYFUNCTION("GOOGLETRANSLATE(B16019,""en"",""it"")"),"Ci sono spettatori che guardano l'evento e tifano per i partecipanti.")</f>
        <v>Ci sono spettatori che guardano l'evento e tifano per i partecipanti.</v>
      </c>
    </row>
    <row r="16020">
      <c r="A16020" s="4" t="s">
        <v>20170</v>
      </c>
      <c r="B16020" s="4" t="s">
        <v>20176</v>
      </c>
      <c r="C16020" s="5" t="str">
        <f>IFERROR(__xludf.DUMMYFUNCTION("GOOGLETRANSLATE(B16020,""en"",""it"")"),"Ci sono alcuni altri round di rimorchiatore della guerra giocati a guardare gli spettatori per i giocatori.")</f>
        <v>Ci sono alcuni altri round di rimorchiatore della guerra giocati a guardare gli spettatori per i giocatori.</v>
      </c>
    </row>
    <row r="16021">
      <c r="A16021" s="4" t="s">
        <v>20170</v>
      </c>
      <c r="B16021" s="4" t="s">
        <v>20177</v>
      </c>
      <c r="C16021" s="5" t="str">
        <f>IFERROR(__xludf.DUMMYFUNCTION("GOOGLETRANSLATE(B16021,""en"",""it"")"),"L'allenatore continua a incoraggiare i giocatori.")</f>
        <v>L'allenatore continua a incoraggiare i giocatori.</v>
      </c>
    </row>
    <row r="16022">
      <c r="A16022" s="4" t="s">
        <v>20170</v>
      </c>
      <c r="B16022" s="4" t="s">
        <v>20178</v>
      </c>
      <c r="C16022" s="5" t="str">
        <f>IFERROR(__xludf.DUMMYFUNCTION("GOOGLETRANSLATE(B16022,""en"",""it"")"),"Dopo aver vinto il tiro alla fune, tutti gli spettatori si esauriscono e abbracciano i giocatori.")</f>
        <v>Dopo aver vinto il tiro alla fune, tutti gli spettatori si esauriscono e abbracciano i giocatori.</v>
      </c>
    </row>
    <row r="16023">
      <c r="A16023" s="4" t="s">
        <v>20170</v>
      </c>
      <c r="B16023" s="4" t="s">
        <v>20179</v>
      </c>
      <c r="C16023" s="5" t="str">
        <f>IFERROR(__xludf.DUMMYFUNCTION("GOOGLETRANSLATE(B16023,""en"",""it"")"),"Un cameraman fa le loro foto.")</f>
        <v>Un cameraman fa le loro foto.</v>
      </c>
    </row>
    <row r="16024">
      <c r="A16024" s="4" t="s">
        <v>20170</v>
      </c>
      <c r="B16024" s="4" t="s">
        <v>20180</v>
      </c>
      <c r="C16024" s="5" t="str">
        <f>IFERROR(__xludf.DUMMYFUNCTION("GOOGLETRANSLATE(B16024,""en"",""it"")"),"L'intera squadra posa per una foto di una squadra dopo la loro vittoria.")</f>
        <v>L'intera squadra posa per una foto di una squadra dopo la loro vittoria.</v>
      </c>
    </row>
    <row r="16025">
      <c r="A16025" s="4" t="s">
        <v>20181</v>
      </c>
      <c r="B16025" s="4" t="s">
        <v>20182</v>
      </c>
      <c r="C16025" s="5" t="str">
        <f>IFERROR(__xludf.DUMMYFUNCTION("GOOGLETRANSLATE(B16025,""en"",""it"")"),"Una donna inizia a spazzolare un cavallo.")</f>
        <v>Una donna inizia a spazzolare un cavallo.</v>
      </c>
    </row>
    <row r="16026">
      <c r="A16026" s="4" t="s">
        <v>20181</v>
      </c>
      <c r="B16026" s="4" t="s">
        <v>20183</v>
      </c>
      <c r="C16026" s="5" t="str">
        <f>IFERROR(__xludf.DUMMYFUNCTION("GOOGLETRANSLATE(B16026,""en"",""it"")"),"Prende un pennello rosa e inizia a spazzolare di nuovo il cavallo.")</f>
        <v>Prende un pennello rosa e inizia a spazzolare di nuovo il cavallo.</v>
      </c>
    </row>
    <row r="16027">
      <c r="A16027" s="4" t="s">
        <v>20181</v>
      </c>
      <c r="B16027" s="4" t="s">
        <v>20184</v>
      </c>
      <c r="C16027" s="5" t="str">
        <f>IFERROR(__xludf.DUMMYFUNCTION("GOOGLETRANSLATE(B16027,""en"",""it"")"),"Ottiene un pennello nero e continua a spazzolare il cavallo.")</f>
        <v>Ottiene un pennello nero e continua a spazzolare il cavallo.</v>
      </c>
    </row>
    <row r="16028">
      <c r="A16028" s="4" t="s">
        <v>20181</v>
      </c>
      <c r="B16028" s="4" t="s">
        <v>20185</v>
      </c>
      <c r="C16028" s="5" t="str">
        <f>IFERROR(__xludf.DUMMYFUNCTION("GOOGLETRANSLATE(B16028,""en"",""it"")"),"Comincia a spazzolare le gambe sul cavallo.")</f>
        <v>Comincia a spazzolare le gambe sul cavallo.</v>
      </c>
    </row>
    <row r="16029">
      <c r="A16029" s="4" t="s">
        <v>20181</v>
      </c>
      <c r="B16029" s="4" t="s">
        <v>20186</v>
      </c>
      <c r="C16029" s="5" t="str">
        <f>IFERROR(__xludf.DUMMYFUNCTION("GOOGLETRANSLATE(B16029,""en"",""it"")"),"Solleva il piede dei cavalli e pulisce il fondo del piede.")</f>
        <v>Solleva il piede dei cavalli e pulisce il fondo del piede.</v>
      </c>
    </row>
    <row r="16030">
      <c r="A16030" s="4" t="s">
        <v>20187</v>
      </c>
      <c r="B16030" s="4" t="s">
        <v>20188</v>
      </c>
      <c r="C16030" s="5" t="str">
        <f>IFERROR(__xludf.DUMMYFUNCTION("GOOGLETRANSLATE(B16030,""en"",""it"")"),"Viene visto un uomo parlare alla telecamera e conduce in lui con una padella da cucina fuori da una stufa calda.")</f>
        <v>Viene visto un uomo parlare alla telecamera e conduce in lui con una padella da cucina fuori da una stufa calda.</v>
      </c>
    </row>
    <row r="16031">
      <c r="A16031" s="4" t="s">
        <v>20187</v>
      </c>
      <c r="B16031" s="6" t="s">
        <v>20189</v>
      </c>
      <c r="C16031" s="5" t="str">
        <f>IFERROR(__xludf.DUMMYFUNCTION("GOOGLETRANSLATE(B16031,""en"",""it"")"),"L'uomo mescola gli ingredienti insieme in una ciotola e la versa in una padella mentre si mescola continuamente.")</f>
        <v>L'uomo mescola gli ingredienti insieme in una ciotola e la versa in una padella mentre si mescola continuamente.</v>
      </c>
    </row>
    <row r="16032">
      <c r="A16032" s="4" t="s">
        <v>20187</v>
      </c>
      <c r="B16032" s="4" t="s">
        <v>20190</v>
      </c>
      <c r="C16032" s="5" t="str">
        <f>IFERROR(__xludf.DUMMYFUNCTION("GOOGLETRANSLATE(B16032,""en"",""it"")"),"Versa il cibo su un piatto e tiene ancora la padella in mano.")</f>
        <v>Versa il cibo su un piatto e tiene ancora la padella in mano.</v>
      </c>
    </row>
    <row r="16033">
      <c r="A16033" s="4" t="s">
        <v>20191</v>
      </c>
      <c r="B16033" s="4" t="s">
        <v>20192</v>
      </c>
      <c r="C16033" s="5" t="str">
        <f>IFERROR(__xludf.DUMMYFUNCTION("GOOGLETRANSLATE(B16033,""en"",""it"")"),"Un montaggio di un prete sta dando comunione alle persone.")</f>
        <v>Un montaggio di un prete sta dando comunione alle persone.</v>
      </c>
    </row>
    <row r="16034">
      <c r="A16034" s="4" t="s">
        <v>20191</v>
      </c>
      <c r="B16034" s="4" t="s">
        <v>20193</v>
      </c>
      <c r="C16034" s="5" t="str">
        <f>IFERROR(__xludf.DUMMYFUNCTION("GOOGLETRANSLATE(B16034,""en"",""it"")"),"Gesù e Madre Teresa sono mostrati mentre un montaggio continua.")</f>
        <v>Gesù e Madre Teresa sono mostrati mentre un montaggio continua.</v>
      </c>
    </row>
    <row r="16035">
      <c r="A16035" s="4" t="s">
        <v>20194</v>
      </c>
      <c r="B16035" s="6" t="s">
        <v>20195</v>
      </c>
      <c r="C16035" s="5" t="str">
        <f>IFERROR(__xludf.DUMMYFUNCTION("GOOGLETRANSLATE(B16035,""en"",""it"")"),"Una giovane donna con i capelli Burnette è in piedi dietro un bancone nero in un bar con più alcol.")</f>
        <v>Una giovane donna con i capelli Burnette è in piedi dietro un bancone nero in un bar con più alcol.</v>
      </c>
    </row>
    <row r="16036">
      <c r="A16036" s="4" t="s">
        <v>20194</v>
      </c>
      <c r="B16036" s="4" t="s">
        <v>20196</v>
      </c>
      <c r="C16036" s="5" t="str">
        <f>IFERROR(__xludf.DUMMYFUNCTION("GOOGLETRANSLATE(B16036,""en"",""it"")"),"Quindi afferra un bicchiere trasparente e ci mette il ghiaccio.")</f>
        <v>Quindi afferra un bicchiere trasparente e ci mette il ghiaccio.</v>
      </c>
    </row>
    <row r="16037">
      <c r="A16037" s="4" t="s">
        <v>20194</v>
      </c>
      <c r="B16037" s="4" t="s">
        <v>20197</v>
      </c>
      <c r="C16037" s="5" t="str">
        <f>IFERROR(__xludf.DUMMYFUNCTION("GOOGLETRANSLATE(B16037,""en"",""it"")"),"Poi arriva il liquore e lei versa, succo d'arancia e sciroppo e la bevanda è completa.")</f>
        <v>Poi arriva il liquore e lei versa, succo d'arancia e sciroppo e la bevanda è completa.</v>
      </c>
    </row>
    <row r="16038">
      <c r="A16038" s="4" t="s">
        <v>20198</v>
      </c>
      <c r="B16038" s="4" t="s">
        <v>20199</v>
      </c>
      <c r="C16038" s="5" t="str">
        <f>IFERROR(__xludf.DUMMYFUNCTION("GOOGLETRANSLATE(B16038,""en"",""it"")"),"Quattro uomini sono in piedi sul campo da racquetball.")</f>
        <v>Quattro uomini sono in piedi sul campo da racquetball.</v>
      </c>
    </row>
    <row r="16039">
      <c r="A16039" s="4" t="s">
        <v>20198</v>
      </c>
      <c r="B16039" s="4" t="s">
        <v>20200</v>
      </c>
      <c r="C16039" s="5" t="str">
        <f>IFERROR(__xludf.DUMMYFUNCTION("GOOGLETRANSLATE(B16039,""en"",""it"")"),"Un uomo serve la palla.")</f>
        <v>Un uomo serve la palla.</v>
      </c>
    </row>
    <row r="16040">
      <c r="A16040" s="4" t="s">
        <v>20198</v>
      </c>
      <c r="B16040" s="4" t="s">
        <v>20201</v>
      </c>
      <c r="C16040" s="5" t="str">
        <f>IFERROR(__xludf.DUMMYFUNCTION("GOOGLETRANSLATE(B16040,""en"",""it"")"),"Gli uomini quindi iniziano a volare.")</f>
        <v>Gli uomini quindi iniziano a volare.</v>
      </c>
    </row>
    <row r="16041">
      <c r="A16041" s="4" t="s">
        <v>20198</v>
      </c>
      <c r="B16041" s="4" t="s">
        <v>20202</v>
      </c>
      <c r="C16041" s="5" t="str">
        <f>IFERROR(__xludf.DUMMYFUNCTION("GOOGLETRANSLATE(B16041,""en"",""it"")"),"Una squadra segna un punto.")</f>
        <v>Una squadra segna un punto.</v>
      </c>
    </row>
    <row r="16042">
      <c r="A16042" s="4" t="s">
        <v>20198</v>
      </c>
      <c r="B16042" s="4" t="s">
        <v>20203</v>
      </c>
      <c r="C16042" s="5" t="str">
        <f>IFERROR(__xludf.DUMMYFUNCTION("GOOGLETRANSLATE(B16042,""en"",""it"")"),"Ripeti tutti il ​​processo.")</f>
        <v>Ripeti tutti il ​​processo.</v>
      </c>
    </row>
    <row r="16043">
      <c r="A16043" s="4" t="s">
        <v>20204</v>
      </c>
      <c r="B16043" s="6" t="s">
        <v>20205</v>
      </c>
      <c r="C16043" s="5" t="str">
        <f>IFERROR(__xludf.DUMMYFUNCTION("GOOGLETRANSLATE(B16043,""en"",""it"")"),"Una persona in abito protettivo arancione e una maschera nera in metallo salda qualcosa in un ambiente industriale.")</f>
        <v>Una persona in abito protettivo arancione e una maschera nera in metallo salda qualcosa in un ambiente industriale.</v>
      </c>
    </row>
    <row r="16044">
      <c r="A16044" s="4" t="s">
        <v>20204</v>
      </c>
      <c r="B16044" s="6" t="s">
        <v>20206</v>
      </c>
      <c r="C16044" s="5" t="str">
        <f>IFERROR(__xludf.DUMMYFUNCTION("GOOGLETRANSLATE(B16044,""en"",""it"")"),"Una persona si trova accanto a una scatola nera con un casco di metallo mentre le scintille di fuoco esplodono da una scatola cablata sulla destra.")</f>
        <v>Una persona si trova accanto a una scatola nera con un casco di metallo mentre le scintille di fuoco esplodono da una scatola cablata sulla destra.</v>
      </c>
    </row>
    <row r="16045">
      <c r="A16045" s="4" t="s">
        <v>20204</v>
      </c>
      <c r="B16045" s="6" t="s">
        <v>20207</v>
      </c>
      <c r="C16045" s="5" t="str">
        <f>IFERROR(__xludf.DUMMYFUNCTION("GOOGLETRANSLATE(B16045,""en"",""it"")"),"Una grande ruota grigia gira dietro il lavoratore in mezzo alle scintille e un altro lavoratore che cammina in un abito protettivo blu.")</f>
        <v>Una grande ruota grigia gira dietro il lavoratore in mezzo alle scintille e un altro lavoratore che cammina in un abito protettivo blu.</v>
      </c>
    </row>
    <row r="16046">
      <c r="A16046" s="4" t="s">
        <v>20208</v>
      </c>
      <c r="B16046" s="4" t="s">
        <v>20209</v>
      </c>
      <c r="C16046" s="5" t="str">
        <f>IFERROR(__xludf.DUMMYFUNCTION("GOOGLETRANSLATE(B16046,""en"",""it"")"),"Due donne sono in piedi sulle spalle degli altri.")</f>
        <v>Due donne sono in piedi sulle spalle degli altri.</v>
      </c>
    </row>
    <row r="16047">
      <c r="A16047" s="4" t="s">
        <v>20208</v>
      </c>
      <c r="B16047" s="6" t="s">
        <v>20210</v>
      </c>
      <c r="C16047" s="5" t="str">
        <f>IFERROR(__xludf.DUMMYFUNCTION("GOOGLETRANSLATE(B16047,""en"",""it"")"),"Sollevano un'altra donna in aria, bilanciandola tra loro prima di lasciarla prendere.")</f>
        <v>Sollevano un'altra donna in aria, bilanciandola tra loro prima di lasciarla prendere.</v>
      </c>
    </row>
    <row r="16048">
      <c r="A16048" s="4" t="s">
        <v>20208</v>
      </c>
      <c r="B16048" s="4" t="s">
        <v>20211</v>
      </c>
      <c r="C16048" s="5" t="str">
        <f>IFERROR(__xludf.DUMMYFUNCTION("GOOGLETRANSLATE(B16048,""en"",""it"")"),"Tuttavia, le ragazze sottostanti vengono bussato a terra.")</f>
        <v>Tuttavia, le ragazze sottostanti vengono bussato a terra.</v>
      </c>
    </row>
    <row r="16049">
      <c r="A16049" s="4" t="s">
        <v>20212</v>
      </c>
      <c r="B16049" s="4" t="s">
        <v>20213</v>
      </c>
      <c r="C16049" s="5" t="str">
        <f>IFERROR(__xludf.DUMMYFUNCTION("GOOGLETRANSLATE(B16049,""en"",""it"")"),"Un uomo si taglia in un pezzo di legno con un'ascia.")</f>
        <v>Un uomo si taglia in un pezzo di legno con un'ascia.</v>
      </c>
    </row>
    <row r="16050">
      <c r="A16050" s="4" t="s">
        <v>20212</v>
      </c>
      <c r="B16050" s="4" t="s">
        <v>20214</v>
      </c>
      <c r="C16050" s="5" t="str">
        <f>IFERROR(__xludf.DUMMYFUNCTION("GOOGLETRANSLATE(B16050,""en"",""it"")"),"Quindi, la sua azione viene riprodotta al rallentatore.")</f>
        <v>Quindi, la sua azione viene riprodotta al rallentatore.</v>
      </c>
    </row>
    <row r="16051">
      <c r="A16051" s="4" t="s">
        <v>20212</v>
      </c>
      <c r="B16051" s="4" t="s">
        <v>20215</v>
      </c>
      <c r="C16051" s="5" t="str">
        <f>IFERROR(__xludf.DUMMYFUNCTION("GOOGLETRANSLATE(B16051,""en"",""it"")"),"Successivamente prende un pezzo di legno, lo ha tagliato in una pila.")</f>
        <v>Successivamente prende un pezzo di legno, lo ha tagliato in una pila.</v>
      </c>
    </row>
    <row r="16052">
      <c r="A16052" s="4" t="s">
        <v>20216</v>
      </c>
      <c r="B16052" s="4" t="s">
        <v>20217</v>
      </c>
      <c r="C16052" s="5" t="str">
        <f>IFERROR(__xludf.DUMMYFUNCTION("GOOGLETRANSLATE(B16052,""en"",""it"")"),"Un'introduzione arriva sullo schermo per un video sulla riparazione dei mobili.")</f>
        <v>Un'introduzione arriva sullo schermo per un video sulla riparazione dei mobili.</v>
      </c>
    </row>
    <row r="16053">
      <c r="A16053" s="4" t="s">
        <v>20216</v>
      </c>
      <c r="B16053" s="6" t="s">
        <v>20218</v>
      </c>
      <c r="C16053" s="5" t="str">
        <f>IFERROR(__xludf.DUMMYFUNCTION("GOOGLETRANSLATE(B16053,""en"",""it"")"),"Una donna viene mostrata sullo schermo con guanti e un panno nella sua mano che sfrega la crema su un pouf in pelle per riparare l'usura.")</f>
        <v>Una donna viene mostrata sullo schermo con guanti e un panno nella sua mano che sfrega la crema su un pouf in pelle per riparare l'usura.</v>
      </c>
    </row>
    <row r="16054">
      <c r="A16054" s="4" t="s">
        <v>20216</v>
      </c>
      <c r="B16054" s="4" t="s">
        <v>20219</v>
      </c>
      <c r="C16054" s="5" t="str">
        <f>IFERROR(__xludf.DUMMYFUNCTION("GOOGLETRANSLATE(B16054,""en"",""it"")"),"Il video termina con la grafica per i crediti di chiusura alla fine.")</f>
        <v>Il video termina con la grafica per i crediti di chiusura alla fine.</v>
      </c>
    </row>
    <row r="16055">
      <c r="A16055" s="4" t="s">
        <v>20220</v>
      </c>
      <c r="B16055" s="4" t="s">
        <v>20221</v>
      </c>
      <c r="C16055" s="5" t="str">
        <f>IFERROR(__xludf.DUMMYFUNCTION("GOOGLETRANSLATE(B16055,""en"",""it"")"),"L'uomo è in piedi in campo con una rete dietro di lui.")</f>
        <v>L'uomo è in piedi in campo con una rete dietro di lui.</v>
      </c>
    </row>
    <row r="16056">
      <c r="A16056" s="4" t="s">
        <v>20220</v>
      </c>
      <c r="B16056" s="4" t="s">
        <v>20222</v>
      </c>
      <c r="C16056" s="5" t="str">
        <f>IFERROR(__xludf.DUMMYFUNCTION("GOOGLETRANSLATE(B16056,""en"",""it"")"),"Gli uomini stanno giocando a Volyball in una palestra di campo.")</f>
        <v>Gli uomini stanno giocando a Volyball in una palestra di campo.</v>
      </c>
    </row>
    <row r="16057">
      <c r="A16057" s="4" t="s">
        <v>20223</v>
      </c>
      <c r="B16057" s="4" t="s">
        <v>20224</v>
      </c>
      <c r="C16057" s="5" t="str">
        <f>IFERROR(__xludf.DUMMYFUNCTION("GOOGLETRANSLATE(B16057,""en"",""it"")"),"Un giovane atleta maschio si trova in un campo e si gira all'indietro in un piccolo cerchio.")</f>
        <v>Un giovane atleta maschio si trova in un campo e si gira all'indietro in un piccolo cerchio.</v>
      </c>
    </row>
    <row r="16058">
      <c r="A16058" s="4" t="s">
        <v>20223</v>
      </c>
      <c r="B16058" s="4" t="s">
        <v>20225</v>
      </c>
      <c r="C16058" s="5" t="str">
        <f>IFERROR(__xludf.DUMMYFUNCTION("GOOGLETRANSLATE(B16058,""en"",""it"")"),"Quindi estende le braccia e inizia a spostarle avanti e indietro.")</f>
        <v>Quindi estende le braccia e inizia a spostarle avanti e indietro.</v>
      </c>
    </row>
    <row r="16059">
      <c r="A16059" s="4" t="s">
        <v>20223</v>
      </c>
      <c r="B16059" s="6" t="s">
        <v>20226</v>
      </c>
      <c r="C16059" s="5" t="str">
        <f>IFERROR(__xludf.DUMMYFUNCTION("GOOGLETRANSLATE(B16059,""en"",""it"")"),"Una volta pronto, gira intorno e getta il discus sul campo, si allontana e guarda indietro alla distanza.")</f>
        <v>Una volta pronto, gira intorno e getta il discus sul campo, si allontana e guarda indietro alla distanza.</v>
      </c>
    </row>
    <row r="16060">
      <c r="A16060" s="4" t="s">
        <v>20227</v>
      </c>
      <c r="B16060" s="4" t="s">
        <v>20228</v>
      </c>
      <c r="C16060" s="5" t="str">
        <f>IFERROR(__xludf.DUMMYFUNCTION("GOOGLETRANSLATE(B16060,""en"",""it"")"),"Due persone stanno rastrellando foglie in un parco.")</f>
        <v>Due persone stanno rastrellando foglie in un parco.</v>
      </c>
    </row>
    <row r="16061">
      <c r="A16061" s="4" t="s">
        <v>20227</v>
      </c>
      <c r="B16061" s="4" t="s">
        <v>20229</v>
      </c>
      <c r="C16061" s="5" t="str">
        <f>IFERROR(__xludf.DUMMYFUNCTION("GOOGLETRANSLATE(B16061,""en"",""it"")"),"L'uomo nella parte posteriore gira le spalle alla fotocamera.")</f>
        <v>L'uomo nella parte posteriore gira le spalle alla fotocamera.</v>
      </c>
    </row>
    <row r="16062">
      <c r="A16062" s="4" t="s">
        <v>20227</v>
      </c>
      <c r="B16062" s="4" t="s">
        <v>20230</v>
      </c>
      <c r="C16062" s="5" t="str">
        <f>IFERROR(__xludf.DUMMYFUNCTION("GOOGLETRANSLATE(B16062,""en"",""it"")"),"La signora a sinistra si gira a destra.")</f>
        <v>La signora a sinistra si gira a destra.</v>
      </c>
    </row>
    <row r="16063">
      <c r="A16063" s="4" t="s">
        <v>20231</v>
      </c>
      <c r="B16063" s="4" t="s">
        <v>20232</v>
      </c>
      <c r="C16063" s="5" t="str">
        <f>IFERROR(__xludf.DUMMYFUNCTION("GOOGLETRANSLATE(B16063,""en"",""it"")"),"L'uomo usa la sua partita per dare fuoco ai tronchi di legno.")</f>
        <v>L'uomo usa la sua partita per dare fuoco ai tronchi di legno.</v>
      </c>
    </row>
    <row r="16064">
      <c r="A16064" s="4" t="s">
        <v>20231</v>
      </c>
      <c r="B16064" s="4" t="s">
        <v>20233</v>
      </c>
      <c r="C16064" s="5" t="str">
        <f>IFERROR(__xludf.DUMMYFUNCTION("GOOGLETRANSLATE(B16064,""en"",""it"")"),"All'inizio il fuoco è davvero piccolo, ma poi cresce e diventa più grande.")</f>
        <v>All'inizio il fuoco è davvero piccolo, ma poi cresce e diventa più grande.</v>
      </c>
    </row>
    <row r="16065">
      <c r="A16065" s="4" t="s">
        <v>20231</v>
      </c>
      <c r="B16065" s="4" t="s">
        <v>20234</v>
      </c>
      <c r="C16065" s="5" t="str">
        <f>IFERROR(__xludf.DUMMYFUNCTION("GOOGLETRANSLATE(B16065,""en"",""it"")"),"Dopo un po 'il video termina ancora mostrando il fuoco creato da partite e rami di alberi.")</f>
        <v>Dopo un po 'il video termina ancora mostrando il fuoco creato da partite e rami di alberi.</v>
      </c>
    </row>
    <row r="16066">
      <c r="A16066" s="4" t="s">
        <v>20235</v>
      </c>
      <c r="B16066" s="4" t="s">
        <v>20236</v>
      </c>
      <c r="C16066" s="5" t="str">
        <f>IFERROR(__xludf.DUMMYFUNCTION("GOOGLETRANSLATE(B16066,""en"",""it"")"),"Il sito web di Livestrong mostra un video sulla boxe.")</f>
        <v>Il sito web di Livestrong mostra un video sulla boxe.</v>
      </c>
    </row>
    <row r="16067">
      <c r="A16067" s="4" t="s">
        <v>20235</v>
      </c>
      <c r="B16067" s="6" t="s">
        <v>20237</v>
      </c>
      <c r="C16067" s="5" t="str">
        <f>IFERROR(__xludf.DUMMYFUNCTION("GOOGLETRANSLATE(B16067,""en"",""it"")"),"Una donna pugile, Jolie Glassman sta dimostrando come dare un pugno e inscatolare correttamente il sacco da punzonatrice.")</f>
        <v>Una donna pugile, Jolie Glassman sta dimostrando come dare un pugno e inscatolare correttamente il sacco da punzonatrice.</v>
      </c>
    </row>
    <row r="16068">
      <c r="A16068" s="4" t="s">
        <v>20235</v>
      </c>
      <c r="B16068" s="4" t="s">
        <v>20238</v>
      </c>
      <c r="C16068" s="5" t="str">
        <f>IFERROR(__xludf.DUMMYFUNCTION("GOOGLETRANSLATE(B16068,""en"",""it"")"),"È in palestra a dimostrare tecniche di calci e pugni.")</f>
        <v>È in palestra a dimostrare tecniche di calci e pugni.</v>
      </c>
    </row>
    <row r="16069">
      <c r="A16069" s="4" t="s">
        <v>20239</v>
      </c>
      <c r="B16069" s="6" t="s">
        <v>20240</v>
      </c>
      <c r="C16069" s="5" t="str">
        <f>IFERROR(__xludf.DUMMYFUNCTION("GOOGLETRANSLATE(B16069,""en"",""it"")"),"Una persona viene vista cavalcare lungo una collina innevata da vicino, così come un'altra persona e un bambino che cavalcano la montagna.")</f>
        <v>Una persona viene vista cavalcare lungo una collina innevata da vicino, così come un'altra persona e un bambino che cavalcano la montagna.</v>
      </c>
    </row>
    <row r="16070">
      <c r="A16070" s="4" t="s">
        <v>20239</v>
      </c>
      <c r="B16070" s="6" t="s">
        <v>20241</v>
      </c>
      <c r="C16070" s="5" t="str">
        <f>IFERROR(__xludf.DUMMYFUNCTION("GOOGLETRANSLATE(B16070,""en"",""it"")"),"Vengono mostrate diverse altre clip di persone che cavalcano la montagna da vari angoli con persone che urlano e tifano.")</f>
        <v>Vengono mostrate diverse altre clip di persone che cavalcano la montagna da vari angoli con persone che urlano e tifano.</v>
      </c>
    </row>
    <row r="16071">
      <c r="A16071" s="4" t="s">
        <v>20242</v>
      </c>
      <c r="B16071" s="4" t="s">
        <v>20243</v>
      </c>
      <c r="C16071" s="5" t="str">
        <f>IFERROR(__xludf.DUMMYFUNCTION("GOOGLETRANSLATE(B16071,""en"",""it"")"),"Vediamo un bambino che gioca a hopscotch in un cortile.")</f>
        <v>Vediamo un bambino che gioca a hopscotch in un cortile.</v>
      </c>
    </row>
    <row r="16072">
      <c r="A16072" s="4" t="s">
        <v>20242</v>
      </c>
      <c r="B16072" s="4" t="s">
        <v>20244</v>
      </c>
      <c r="C16072" s="5" t="str">
        <f>IFERROR(__xludf.DUMMYFUNCTION("GOOGLETRANSLATE(B16072,""en"",""it"")"),"Una ragazza più grande dei salti.")</f>
        <v>Una ragazza più grande dei salti.</v>
      </c>
    </row>
    <row r="16073">
      <c r="A16073" s="4" t="s">
        <v>20242</v>
      </c>
      <c r="B16073" s="4" t="s">
        <v>20245</v>
      </c>
      <c r="C16073" s="5" t="str">
        <f>IFERROR(__xludf.DUMMYFUNCTION("GOOGLETRANSLATE(B16073,""en"",""it"")"),"La prima ragazza torna alla posizione iniziale.")</f>
        <v>La prima ragazza torna alla posizione iniziale.</v>
      </c>
    </row>
    <row r="16074">
      <c r="A16074" s="4" t="s">
        <v>20242</v>
      </c>
      <c r="B16074" s="4" t="s">
        <v>20246</v>
      </c>
      <c r="C16074" s="5" t="str">
        <f>IFERROR(__xludf.DUMMYFUNCTION("GOOGLETRANSLATE(B16074,""en"",""it"")"),"La ragazza più grande poi va di nuovo.")</f>
        <v>La ragazza più grande poi va di nuovo.</v>
      </c>
    </row>
    <row r="16075">
      <c r="A16075" s="4" t="s">
        <v>20247</v>
      </c>
      <c r="B16075" s="4" t="s">
        <v>20248</v>
      </c>
      <c r="C16075" s="5" t="str">
        <f>IFERROR(__xludf.DUMMYFUNCTION("GOOGLETRANSLATE(B16075,""en"",""it"")"),"Un uomo dimostra, attraverso l'esempio come suonare il registratore.")</f>
        <v>Un uomo dimostra, attraverso l'esempio come suonare il registratore.</v>
      </c>
    </row>
    <row r="16076">
      <c r="A16076" s="4" t="s">
        <v>20247</v>
      </c>
      <c r="B16076" s="6" t="s">
        <v>20249</v>
      </c>
      <c r="C16076" s="5" t="str">
        <f>IFERROR(__xludf.DUMMYFUNCTION("GOOGLETRANSLATE(B16076,""en"",""it"")"),"Un uomo si trova di fronte a due finestre ricoperte di berrette beige chiuse, con in mano uno strumento di registratore di legno con entrambe le mani davanti a lui, mentre parlava con la telecamera.")</f>
        <v>Un uomo si trova di fronte a due finestre ricoperte di berrette beige chiuse, con in mano uno strumento di registratore di legno con entrambe le mani davanti a lui, mentre parlava con la telecamera.</v>
      </c>
    </row>
    <row r="16077">
      <c r="A16077" s="4" t="s">
        <v>20247</v>
      </c>
      <c r="B16077" s="6" t="s">
        <v>20250</v>
      </c>
      <c r="C16077" s="5" t="str">
        <f>IFERROR(__xludf.DUMMYFUNCTION("GOOGLETRANSLATE(B16077,""en"",""it"")"),"La fotocamera si chiude sul corpo del registratore di legno mentre l'uomo inizia a giocare sollevando le dita dai vari fori per fare rumore.")</f>
        <v>La fotocamera si chiude sul corpo del registratore di legno mentre l'uomo inizia a giocare sollevando le dita dai vari fori per fare rumore.</v>
      </c>
    </row>
    <row r="16078">
      <c r="A16078" s="4" t="s">
        <v>20247</v>
      </c>
      <c r="B16078" s="6" t="s">
        <v>20251</v>
      </c>
      <c r="C16078" s="5" t="str">
        <f>IFERROR(__xludf.DUMMYFUNCTION("GOOGLETRANSLATE(B16078,""en"",""it"")"),"La fotocamera rimane in un colpo vicino delle mani dell'uomo e del fondo del registratore per il resto della clip.")</f>
        <v>La fotocamera rimane in un colpo vicino delle mani dell'uomo e del fondo del registratore per il resto della clip.</v>
      </c>
    </row>
    <row r="16079">
      <c r="A16079" s="4" t="s">
        <v>20252</v>
      </c>
      <c r="B16079" s="4" t="s">
        <v>20253</v>
      </c>
      <c r="C16079" s="5" t="str">
        <f>IFERROR(__xludf.DUMMYFUNCTION("GOOGLETRANSLATE(B16079,""en"",""it"")"),"Un gruppo di rocce viene mostrato lavato contro le rive di un grande fiume blu.")</f>
        <v>Un gruppo di rocce viene mostrato lavato contro le rive di un grande fiume blu.</v>
      </c>
    </row>
    <row r="16080">
      <c r="A16080" s="4" t="s">
        <v>20252</v>
      </c>
      <c r="B16080" s="4" t="s">
        <v>20254</v>
      </c>
      <c r="C16080" s="5" t="str">
        <f>IFERROR(__xludf.DUMMYFUNCTION("GOOGLETRANSLATE(B16080,""en"",""it"")"),"La fotocamera continua a sparare al fiume e viene mostrata una catena montuosa.")</f>
        <v>La fotocamera continua a sparare al fiume e viene mostrata una catena montuosa.</v>
      </c>
    </row>
    <row r="16081">
      <c r="A16081" s="4" t="s">
        <v>20252</v>
      </c>
      <c r="B16081" s="4" t="s">
        <v>20255</v>
      </c>
      <c r="C16081" s="5" t="str">
        <f>IFERROR(__xludf.DUMMYFUNCTION("GOOGLETRANSLATE(B16081,""en"",""it"")"),"Viene mostrato un altro angolo e appare un piccolo cerchio sullo schermo.")</f>
        <v>Viene mostrato un altro angolo e appare un piccolo cerchio sullo schermo.</v>
      </c>
    </row>
    <row r="16082">
      <c r="A16082" s="4" t="s">
        <v>20252</v>
      </c>
      <c r="B16082" s="4" t="s">
        <v>20256</v>
      </c>
      <c r="C16082" s="5" t="str">
        <f>IFERROR(__xludf.DUMMYFUNCTION("GOOGLETRANSLATE(B16082,""en"",""it"")"),"Due escursionisti che indossano zaini sono visibili e mostrano una corda.")</f>
        <v>Due escursionisti che indossano zaini sono visibili e mostrano una corda.</v>
      </c>
    </row>
    <row r="16083">
      <c r="A16083" s="4" t="s">
        <v>20252</v>
      </c>
      <c r="B16083" s="6" t="s">
        <v>20257</v>
      </c>
      <c r="C16083" s="5" t="str">
        <f>IFERROR(__xludf.DUMMYFUNCTION("GOOGLETRANSLATE(B16083,""en"",""it"")"),"Un uomo si mette quindi in acqua e stringe le corde attorno a un albero da un lato dell'acqua all'altro e si siede sulla corda.")</f>
        <v>Un uomo si mette quindi in acqua e stringe le corde attorno a un albero da un lato dell'acqua all'altro e si siede sulla corda.</v>
      </c>
    </row>
    <row r="16084">
      <c r="A16084" s="4" t="s">
        <v>20252</v>
      </c>
      <c r="B16084" s="4" t="s">
        <v>20258</v>
      </c>
      <c r="C16084" s="5" t="str">
        <f>IFERROR(__xludf.DUMMYFUNCTION("GOOGLETRANSLATE(B16084,""en"",""it"")"),"L'uomo quindi si alza e tenta di stringere la corda attraverso l'acqua ma cade nell'acqua.")</f>
        <v>L'uomo quindi si alza e tenta di stringere la corda attraverso l'acqua ma cade nell'acqua.</v>
      </c>
    </row>
    <row r="16085">
      <c r="A16085" s="4" t="s">
        <v>20259</v>
      </c>
      <c r="B16085" s="6" t="s">
        <v>20260</v>
      </c>
      <c r="C16085" s="5" t="str">
        <f>IFERROR(__xludf.DUMMYFUNCTION("GOOGLETRANSLATE(B16085,""en"",""it"")"),"Un uomo viene visto in piedi davanti a un raggio d'esercizio e inizia a muoversi sui bar mentre altri si esercitano intorno a lui.")</f>
        <v>Un uomo viene visto in piedi davanti a un raggio d'esercizio e inizia a muoversi sui bar mentre altri si esercitano intorno a lui.</v>
      </c>
    </row>
    <row r="16086">
      <c r="A16086" s="4" t="s">
        <v>20259</v>
      </c>
      <c r="B16086" s="6" t="s">
        <v>20261</v>
      </c>
      <c r="C16086" s="5" t="str">
        <f>IFERROR(__xludf.DUMMYFUNCTION("GOOGLETRANSLATE(B16086,""en"",""it"")"),"L'uomo continua ad allenarsi sul raggio e fa una pausa per parlare alla telecamera mentre usa le mani.")</f>
        <v>L'uomo continua ad allenarsi sul raggio e fa una pausa per parlare alla telecamera mentre usa le mani.</v>
      </c>
    </row>
    <row r="16087">
      <c r="A16087" s="4" t="s">
        <v>20262</v>
      </c>
      <c r="B16087" s="4" t="s">
        <v>20263</v>
      </c>
      <c r="C16087" s="5" t="str">
        <f>IFERROR(__xludf.DUMMYFUNCTION("GOOGLETRANSLATE(B16087,""en"",""it"")"),"Una persona viene vista pulire uno straccio seguito da diversi ingredienti attaccati all'anca.")</f>
        <v>Una persona viene vista pulire uno straccio seguito da diversi ingredienti attaccati all'anca.</v>
      </c>
    </row>
    <row r="16088">
      <c r="A16088" s="4" t="s">
        <v>20262</v>
      </c>
      <c r="B16088" s="4" t="s">
        <v>20264</v>
      </c>
      <c r="C16088" s="5" t="str">
        <f>IFERROR(__xludf.DUMMYFUNCTION("GOOGLETRANSLATE(B16088,""en"",""it"")"),"Spruzza lo straccio e viene poi vista lavando di nuovo varie finestre attorno a un ufficio.")</f>
        <v>Spruzza lo straccio e viene poi vista lavando di nuovo varie finestre attorno a un ufficio.</v>
      </c>
    </row>
    <row r="16089">
      <c r="A16089" s="4" t="s">
        <v>20262</v>
      </c>
      <c r="B16089" s="6" t="s">
        <v>20265</v>
      </c>
      <c r="C16089" s="5" t="str">
        <f>IFERROR(__xludf.DUMMYFUNCTION("GOOGLETRANSLATE(B16089,""en"",""it"")"),"Si asciuga anche le maniglie delle porte e poi mette gli stracci in una lavatrice, appendendo il palo alla fine.")</f>
        <v>Si asciuga anche le maniglie delle porte e poi mette gli stracci in una lavatrice, appendendo il palo alla fine.</v>
      </c>
    </row>
    <row r="16090">
      <c r="A16090" s="4" t="s">
        <v>20266</v>
      </c>
      <c r="B16090" s="4" t="s">
        <v>20267</v>
      </c>
      <c r="C16090" s="5" t="str">
        <f>IFERROR(__xludf.DUMMYFUNCTION("GOOGLETRANSLATE(B16090,""en"",""it"")"),"Un gruppo di pattinatori sta andando rapidamente su una pista all'aperto.")</f>
        <v>Un gruppo di pattinatori sta andando rapidamente su una pista all'aperto.</v>
      </c>
    </row>
    <row r="16091">
      <c r="A16091" s="4" t="s">
        <v>20266</v>
      </c>
      <c r="B16091" s="4" t="s">
        <v>20268</v>
      </c>
      <c r="C16091" s="5" t="str">
        <f>IFERROR(__xludf.DUMMYFUNCTION("GOOGLETRANSLATE(B16091,""en"",""it"")"),"Un uomo che si arriccia su una sedia a rotelle parla alla telecamera.")</f>
        <v>Un uomo che si arriccia su una sedia a rotelle parla alla telecamera.</v>
      </c>
    </row>
    <row r="16092">
      <c r="A16092" s="4" t="s">
        <v>20266</v>
      </c>
      <c r="B16092" s="4" t="s">
        <v>20269</v>
      </c>
      <c r="C16092" s="5" t="str">
        <f>IFERROR(__xludf.DUMMYFUNCTION("GOOGLETRANSLATE(B16092,""en"",""it"")"),"Un uomo viene mostrato con un disco, che si esibisce.")</f>
        <v>Un uomo viene mostrato con un disco, che si esibisce.</v>
      </c>
    </row>
    <row r="16093">
      <c r="A16093" s="4" t="s">
        <v>20266</v>
      </c>
      <c r="B16093" s="4" t="s">
        <v>20270</v>
      </c>
      <c r="C16093" s="5" t="str">
        <f>IFERROR(__xludf.DUMMYFUNCTION("GOOGLETRANSLATE(B16093,""en"",""it"")"),"Diverse persone si alternano giocando a parlare con la telecamera.")</f>
        <v>Diverse persone si alternano giocando a parlare con la telecamera.</v>
      </c>
    </row>
    <row r="16094">
      <c r="A16094" s="4" t="s">
        <v>20271</v>
      </c>
      <c r="B16094" s="4" t="s">
        <v>20272</v>
      </c>
      <c r="C16094" s="5" t="str">
        <f>IFERROR(__xludf.DUMMYFUNCTION("GOOGLETRANSLATE(B16094,""en"",""it"")"),"Una persona è il vento che naviga attraverso un corpo d'acqua.")</f>
        <v>Una persona è il vento che naviga attraverso un corpo d'acqua.</v>
      </c>
    </row>
    <row r="16095">
      <c r="A16095" s="4" t="s">
        <v>20271</v>
      </c>
      <c r="B16095" s="4" t="s">
        <v>20273</v>
      </c>
      <c r="C16095" s="5" t="str">
        <f>IFERROR(__xludf.DUMMYFUNCTION("GOOGLETRANSLATE(B16095,""en"",""it"")"),"La persona passa qualcuno che nuota.")</f>
        <v>La persona passa qualcuno che nuota.</v>
      </c>
    </row>
    <row r="16096">
      <c r="A16096" s="4" t="s">
        <v>20271</v>
      </c>
      <c r="B16096" s="4" t="s">
        <v>20274</v>
      </c>
      <c r="C16096" s="5" t="str">
        <f>IFERROR(__xludf.DUMMYFUNCTION("GOOGLETRANSLATE(B16096,""en"",""it"")"),"La persona si accende sul loro tabellone.")</f>
        <v>La persona si accende sul loro tabellone.</v>
      </c>
    </row>
    <row r="16097">
      <c r="A16097" s="4" t="s">
        <v>20275</v>
      </c>
      <c r="B16097" s="6" t="s">
        <v>20276</v>
      </c>
      <c r="C16097" s="5" t="str">
        <f>IFERROR(__xludf.DUMMYFUNCTION("GOOGLETRANSLATE(B16097,""en"",""it"")"),"Un gruppo di cheerleader indossa uniformi rosso scuro, bianco e nero in piedi in formazione preparando a fare la loro routine, e le parole sottostanti sullo schermo dicono ""Mill Creek HS Class Aaaaa"".")</f>
        <v>Un gruppo di cheerleader indossa uniformi rosso scuro, bianco e nero in piedi in formazione preparando a fare la loro routine, e le parole sottostanti sullo schermo dicono "Mill Creek HS Class Aaaaa".</v>
      </c>
    </row>
    <row r="16098">
      <c r="A16098" s="4" t="s">
        <v>20275</v>
      </c>
      <c r="B16098" s="6" t="s">
        <v>20277</v>
      </c>
      <c r="C16098" s="5" t="str">
        <f>IFERROR(__xludf.DUMMYFUNCTION("GOOGLETRANSLATE(B16098,""en"",""it"")"),"Le cheerleader iniziano la loro routine e include un sacco di salto, tifo, capovolgimento, sincronizzati o separatamente, lanciando e catturano altre cheerleader e molte altre mosse.")</f>
        <v>Le cheerleader iniziano la loro routine e include un sacco di salto, tifo, capovolgimento, sincronizzati o separatamente, lanciando e catturano altre cheerleader e molte altre mosse.</v>
      </c>
    </row>
    <row r="16099">
      <c r="A16099" s="4" t="s">
        <v>20275</v>
      </c>
      <c r="B16099" s="6" t="s">
        <v>20278</v>
      </c>
      <c r="C16099" s="5" t="str">
        <f>IFERROR(__xludf.DUMMYFUNCTION("GOOGLETRANSLATE(B16099,""en"",""it"")"),"Terminano la loro routine, si rallegrano e 2 donne del pubblico corrono e abbracciano alcune cheerleader.")</f>
        <v>Terminano la loro routine, si rallegrano e 2 donne del pubblico corrono e abbracciano alcune cheerleader.</v>
      </c>
    </row>
    <row r="16100">
      <c r="A16100" s="4" t="s">
        <v>20279</v>
      </c>
      <c r="B16100" s="4" t="s">
        <v>20280</v>
      </c>
      <c r="C16100" s="5" t="str">
        <f>IFERROR(__xludf.DUMMYFUNCTION("GOOGLETRANSLATE(B16100,""en"",""it"")"),"Un adolescente scuote la mano sulla parte anteriore di un bicchiere d'acqua mentre un giovane lo guarda.")</f>
        <v>Un adolescente scuote la mano sulla parte anteriore di un bicchiere d'acqua mentre un giovane lo guarda.</v>
      </c>
    </row>
    <row r="16101">
      <c r="A16101" s="4" t="s">
        <v>20279</v>
      </c>
      <c r="B16101" s="4" t="s">
        <v>20281</v>
      </c>
      <c r="C16101" s="5" t="str">
        <f>IFERROR(__xludf.DUMMYFUNCTION("GOOGLETRANSLATE(B16101,""en"",""it"")"),"Quindi, l'adolescente prende il bicchiere scuotendo la mano e beve l'acqua mentre ridono.")</f>
        <v>Quindi, l'adolescente prende il bicchiere scuotendo la mano e beve l'acqua mentre ridono.</v>
      </c>
    </row>
    <row r="16102">
      <c r="A16102" s="4" t="s">
        <v>20279</v>
      </c>
      <c r="B16102" s="4" t="s">
        <v>20282</v>
      </c>
      <c r="C16102" s="5" t="str">
        <f>IFERROR(__xludf.DUMMYFUNCTION("GOOGLETRANSLATE(B16102,""en"",""it"")"),"Dopo, il giovane prende il bicchiere, quindi tiene una tazza mentre l'adolescente piega la mano destra.")</f>
        <v>Dopo, il giovane prende il bicchiere, quindi tiene una tazza mentre l'adolescente piega la mano destra.</v>
      </c>
    </row>
    <row r="16103">
      <c r="A16103" s="4" t="s">
        <v>20279</v>
      </c>
      <c r="B16103" s="4" t="s">
        <v>20283</v>
      </c>
      <c r="C16103" s="5" t="str">
        <f>IFERROR(__xludf.DUMMYFUNCTION("GOOGLETRANSLATE(B16103,""en"",""it"")"),"Successivamente, l'adolescente prende una tazza e fa finta di bere mentre fa gesti di dolore.")</f>
        <v>Successivamente, l'adolescente prende una tazza e fa finta di bere mentre fa gesti di dolore.</v>
      </c>
    </row>
    <row r="16104">
      <c r="A16104" s="4" t="s">
        <v>20284</v>
      </c>
      <c r="B16104" s="4" t="s">
        <v>20285</v>
      </c>
      <c r="C16104" s="5" t="str">
        <f>IFERROR(__xludf.DUMMYFUNCTION("GOOGLETRANSLATE(B16104,""en"",""it"")"),"Vediamo persone che si fa jogging su una strada cittadina.")</f>
        <v>Vediamo persone che si fa jogging su una strada cittadina.</v>
      </c>
    </row>
    <row r="16105">
      <c r="A16105" s="4" t="s">
        <v>20284</v>
      </c>
      <c r="B16105" s="4" t="s">
        <v>20286</v>
      </c>
      <c r="C16105" s="5" t="str">
        <f>IFERROR(__xludf.DUMMYFUNCTION("GOOGLETRANSLATE(B16105,""en"",""it"")"),"Zettiamo un uomo senza camicia che si destreggia.")</f>
        <v>Zettiamo un uomo senza camicia che si destreggia.</v>
      </c>
    </row>
    <row r="16106">
      <c r="A16106" s="4" t="s">
        <v>20284</v>
      </c>
      <c r="B16106" s="4" t="s">
        <v>20287</v>
      </c>
      <c r="C16106" s="5" t="str">
        <f>IFERROR(__xludf.DUMMYFUNCTION("GOOGLETRANSLATE(B16106,""en"",""it"")"),"Ci stiamo avvicinando verso gli altri corridori.")</f>
        <v>Ci stiamo avvicinando verso gli altri corridori.</v>
      </c>
    </row>
    <row r="16107">
      <c r="A16107" s="4" t="s">
        <v>20288</v>
      </c>
      <c r="B16107" s="4" t="s">
        <v>20289</v>
      </c>
      <c r="C16107" s="5" t="str">
        <f>IFERROR(__xludf.DUMMYFUNCTION("GOOGLETRANSLATE(B16107,""en"",""it"")"),"Una donna parla in un bar, poi mette il ghiaccio in un bicchiere in acciaio inossidabile.")</f>
        <v>Una donna parla in un bar, poi mette il ghiaccio in un bicchiere in acciaio inossidabile.</v>
      </c>
    </row>
    <row r="16108">
      <c r="A16108" s="4" t="s">
        <v>20288</v>
      </c>
      <c r="B16108" s="4" t="s">
        <v>20290</v>
      </c>
      <c r="C16108" s="5" t="str">
        <f>IFERROR(__xludf.DUMMYFUNCTION("GOOGLETRANSLATE(B16108,""en"",""it"")"),"Quindi la donna aggiunge alla tazza due misure di liquore, succo e zucchero.")</f>
        <v>Quindi la donna aggiunge alla tazza due misure di liquore, succo e zucchero.</v>
      </c>
    </row>
    <row r="16109">
      <c r="A16109" s="4" t="s">
        <v>20288</v>
      </c>
      <c r="B16109" s="4" t="s">
        <v>20291</v>
      </c>
      <c r="C16109" s="5" t="str">
        <f>IFERROR(__xludf.DUMMYFUNCTION("GOOGLETRANSLATE(B16109,""en"",""it"")"),"Dopo, la donna mette una tazza in cima e la scuote e serve in una tazza con una fetta di limone.")</f>
        <v>Dopo, la donna mette una tazza in cima e la scuote e serve in una tazza con una fetta di limone.</v>
      </c>
    </row>
    <row r="16110">
      <c r="A16110" s="4" t="s">
        <v>20292</v>
      </c>
      <c r="B16110" s="4" t="s">
        <v>20293</v>
      </c>
      <c r="C16110" s="5" t="str">
        <f>IFERROR(__xludf.DUMMYFUNCTION("GOOGLETRANSLATE(B16110,""en"",""it"")"),"Una donna con una camicia gialla tiene in mano una bottiglia.")</f>
        <v>Una donna con una camicia gialla tiene in mano una bottiglia.</v>
      </c>
    </row>
    <row r="16111">
      <c r="A16111" s="4" t="s">
        <v>20292</v>
      </c>
      <c r="B16111" s="4" t="s">
        <v>20294</v>
      </c>
      <c r="C16111" s="5" t="str">
        <f>IFERROR(__xludf.DUMMYFUNCTION("GOOGLETRANSLATE(B16111,""en"",""it"")"),"Apre la bottiglia e la versa in un secchio a terra.")</f>
        <v>Apre la bottiglia e la versa in un secchio a terra.</v>
      </c>
    </row>
    <row r="16112">
      <c r="A16112" s="4" t="s">
        <v>20292</v>
      </c>
      <c r="B16112" s="4" t="s">
        <v>20295</v>
      </c>
      <c r="C16112" s="5" t="str">
        <f>IFERROR(__xludf.DUMMYFUNCTION("GOOGLETRANSLATE(B16112,""en"",""it"")"),"Mette uno straccio nel secchio e lo mette nella scopa.")</f>
        <v>Mette uno straccio nel secchio e lo mette nella scopa.</v>
      </c>
    </row>
    <row r="16113">
      <c r="A16113" s="4" t="s">
        <v>20292</v>
      </c>
      <c r="B16113" s="4" t="s">
        <v>20296</v>
      </c>
      <c r="C16113" s="5" t="str">
        <f>IFERROR(__xludf.DUMMYFUNCTION("GOOGLETRANSLATE(B16113,""en"",""it"")"),"Quindi solleva il secchio dalla stanza.")</f>
        <v>Quindi solleva il secchio dalla stanza.</v>
      </c>
    </row>
    <row r="16114">
      <c r="A16114" s="4" t="s">
        <v>20292</v>
      </c>
      <c r="B16114" s="4" t="s">
        <v>20297</v>
      </c>
      <c r="C16114" s="5" t="str">
        <f>IFERROR(__xludf.DUMMYFUNCTION("GOOGLETRANSLATE(B16114,""en"",""it"")"),"Comincia a pulire la piastrella sul pavimento.")</f>
        <v>Comincia a pulire la piastrella sul pavimento.</v>
      </c>
    </row>
    <row r="16115">
      <c r="A16115" s="4" t="s">
        <v>20298</v>
      </c>
      <c r="B16115" s="4" t="s">
        <v>20299</v>
      </c>
      <c r="C16115" s="5" t="str">
        <f>IFERROR(__xludf.DUMMYFUNCTION("GOOGLETRANSLATE(B16115,""en"",""it"")"),"Lo schermo delle piastrelle è riprodotto con una foto di un lungo campo.")</f>
        <v>Lo schermo delle piastrelle è riprodotto con una foto di un lungo campo.</v>
      </c>
    </row>
    <row r="16116">
      <c r="A16116" s="4" t="s">
        <v>20298</v>
      </c>
      <c r="B16116" s="4" t="s">
        <v>20300</v>
      </c>
      <c r="C16116" s="5" t="str">
        <f>IFERROR(__xludf.DUMMYFUNCTION("GOOGLETRANSLATE(B16116,""en"",""it"")"),"Un uomo si avvicina a un disco e un cane si aggrappa mentre passa alcune persone.")</f>
        <v>Un uomo si avvicina a un disco e un cane si aggrappa mentre passa alcune persone.</v>
      </c>
    </row>
    <row r="16117">
      <c r="A16117" s="4" t="s">
        <v>20298</v>
      </c>
      <c r="B16117" s="4" t="s">
        <v>20301</v>
      </c>
      <c r="C16117" s="5" t="str">
        <f>IFERROR(__xludf.DUMMYFUNCTION("GOOGLETRANSLATE(B16117,""en"",""it"")"),"L'uomo inizia a giocare con il cane lanciando il pensiero e facendolo riportare indietro.")</f>
        <v>L'uomo inizia a giocare con il cane lanciando il pensiero e facendolo riportare indietro.</v>
      </c>
    </row>
    <row r="16118">
      <c r="A16118" s="4" t="s">
        <v>20298</v>
      </c>
      <c r="B16118" s="4" t="s">
        <v>20302</v>
      </c>
      <c r="C16118" s="5" t="str">
        <f>IFERROR(__xludf.DUMMYFUNCTION("GOOGLETRANSLATE(B16118,""en"",""it"")"),"Quindi applaude per il cane.")</f>
        <v>Quindi applaude per il cane.</v>
      </c>
    </row>
    <row r="16119">
      <c r="A16119" s="4" t="s">
        <v>20298</v>
      </c>
      <c r="B16119" s="4" t="s">
        <v>20303</v>
      </c>
      <c r="C16119" s="5" t="str">
        <f>IFERROR(__xludf.DUMMYFUNCTION("GOOGLETRANSLATE(B16119,""en"",""it"")"),"I titoli di coda rotolano alla fine.")</f>
        <v>I titoli di coda rotolano alla fine.</v>
      </c>
    </row>
    <row r="16120">
      <c r="A16120" s="4" t="s">
        <v>20304</v>
      </c>
      <c r="B16120" s="4" t="s">
        <v>20305</v>
      </c>
      <c r="C16120" s="5" t="str">
        <f>IFERROR(__xludf.DUMMYFUNCTION("GOOGLETRANSLATE(B16120,""en"",""it"")"),"Una palla rossa si trova tra due poli.")</f>
        <v>Una palla rossa si trova tra due poli.</v>
      </c>
    </row>
    <row r="16121">
      <c r="A16121" s="4" t="s">
        <v>20304</v>
      </c>
      <c r="B16121" s="4" t="s">
        <v>20306</v>
      </c>
      <c r="C16121" s="5" t="str">
        <f>IFERROR(__xludf.DUMMYFUNCTION("GOOGLETRANSLATE(B16121,""en"",""it"")"),"Una mazza da cricket inizia a oscillare.")</f>
        <v>Una mazza da cricket inizia a oscillare.</v>
      </c>
    </row>
    <row r="16122">
      <c r="A16122" s="4" t="s">
        <v>20304</v>
      </c>
      <c r="B16122" s="4" t="s">
        <v>20307</v>
      </c>
      <c r="C16122" s="5" t="str">
        <f>IFERROR(__xludf.DUMMYFUNCTION("GOOGLETRANSLATE(B16122,""en"",""it"")"),"Due scarpe siedono su entrambi i lati.")</f>
        <v>Due scarpe siedono su entrambi i lati.</v>
      </c>
    </row>
    <row r="16123">
      <c r="A16123" s="4" t="s">
        <v>20304</v>
      </c>
      <c r="B16123" s="4" t="s">
        <v>20308</v>
      </c>
      <c r="C16123" s="5" t="str">
        <f>IFERROR(__xludf.DUMMYFUNCTION("GOOGLETRANSLATE(B16123,""en"",""it"")"),"Il pipistrello colpisce la palla.")</f>
        <v>Il pipistrello colpisce la palla.</v>
      </c>
    </row>
    <row r="16124">
      <c r="A16124" s="4" t="s">
        <v>20309</v>
      </c>
      <c r="B16124" s="6" t="s">
        <v>20310</v>
      </c>
      <c r="C16124" s="5" t="str">
        <f>IFERROR(__xludf.DUMMYFUNCTION("GOOGLETRANSLATE(B16124,""en"",""it"")"),"Un folto gruppo di ragazze vestite con abiti da cheerleader sono in formazione e nello stesso esatto momento le ragazze fanno una caduta e iniziano la loro routine molto dettagliata che include salti, giri, applausi a mano e eccetera.")</f>
        <v>Un folto gruppo di ragazze vestite con abiti da cheerleader sono in formazione e nello stesso esatto momento le ragazze fanno una caduta e iniziano la loro routine molto dettagliata che include salti, giri, applausi a mano e eccetera.</v>
      </c>
    </row>
    <row r="16125">
      <c r="A16125" s="4" t="s">
        <v>20309</v>
      </c>
      <c r="B16125" s="6" t="s">
        <v>20311</v>
      </c>
      <c r="C16125" s="5" t="str">
        <f>IFERROR(__xludf.DUMMYFUNCTION("GOOGLETRANSLATE(B16125,""en"",""it"")"),"Si interrompono in 5 gruppi diversi in cui tutte le ragazze si rannicchiano in ogni gruppo e gettano una ragazza in aria e la tengono su, ma all'improvviso il gruppo anteriore è instabile e la ragazza che tiene le gocce, e le ragazze sotto la catturano tu"&amp;"tte E aspettano solo che le ragazze abbiano finito per riprendere la loro routine in sincronizzazione.")</f>
        <v>Si interrompono in 5 gruppi diversi in cui tutte le ragazze si rannicchiano in ogni gruppo e gettano una ragazza in aria e la tengono su, ma all'improvviso il gruppo anteriore è instabile e la ragazza che tiene le gocce, e le ragazze sotto la catturano tutte E aspettano solo che le ragazze abbiano finito per riprendere la loro routine in sincronizzazione.</v>
      </c>
    </row>
    <row r="16126">
      <c r="A16126" s="4" t="s">
        <v>20309</v>
      </c>
      <c r="B16126" s="6" t="s">
        <v>20312</v>
      </c>
      <c r="C16126" s="5" t="str">
        <f>IFERROR(__xludf.DUMMYFUNCTION("GOOGLETRANSLATE(B16126,""en"",""it"")"),"Sono tutti fermi in formazione quando all'improvviso una delle ragazze si toglie la scarpa sinistra e la lancia di lato e rimangono tutte ferme per alcuni secondi.")</f>
        <v>Sono tutti fermi in formazione quando all'improvviso una delle ragazze si toglie la scarpa sinistra e la lancia di lato e rimangono tutte ferme per alcuni secondi.</v>
      </c>
    </row>
    <row r="16127">
      <c r="A16127" s="4" t="s">
        <v>20309</v>
      </c>
      <c r="B16127" s="6" t="s">
        <v>20313</v>
      </c>
      <c r="C16127" s="5" t="str">
        <f>IFERROR(__xludf.DUMMYFUNCTION("GOOGLETRANSLATE(B16127,""en"",""it"")"),"Le ragazze riprendono il loro allegria e si rompono di nuovo in 5 sezioni per tenere una ragazza in aria, ma ancora una volta, il gruppo medio perde l'equilibrio della ragazza in cima e loro falliscono e cade nella loro cattura e riprendono il loro Routin"&amp;"e che ora include più lanci da ogni ragazza fino al traguardo.")</f>
        <v>Le ragazze riprendono il loro allegria e si rompono di nuovo in 5 sezioni per tenere una ragazza in aria, ma ancora una volta, il gruppo medio perde l'equilibrio della ragazza in cima e loro falliscono e cade nella loro cattura e riprendono il loro Routine che ora include più lanci da ogni ragazza fino al traguardo.</v>
      </c>
    </row>
    <row r="16128">
      <c r="A16128" s="4" t="s">
        <v>20314</v>
      </c>
      <c r="B16128" s="4" t="s">
        <v>20315</v>
      </c>
      <c r="C16128" s="5" t="str">
        <f>IFERROR(__xludf.DUMMYFUNCTION("GOOGLETRANSLATE(B16128,""en"",""it"")"),"Un uomo si sporge in avanti mentre un bambino in un'altalena cerca di afferrare e masticarti sui capelli.")</f>
        <v>Un uomo si sporge in avanti mentre un bambino in un'altalena cerca di afferrare e masticarti sui capelli.</v>
      </c>
    </row>
    <row r="16129">
      <c r="A16129" s="4" t="s">
        <v>20314</v>
      </c>
      <c r="B16129" s="4" t="s">
        <v>20316</v>
      </c>
      <c r="C16129" s="5" t="str">
        <f>IFERROR(__xludf.DUMMYFUNCTION("GOOGLETRANSLATE(B16129,""en"",""it"")"),"Il bambino ride, oscillando avanti e indietro, quindi cerca di afferrare la telecamera.")</f>
        <v>Il bambino ride, oscillando avanti e indietro, quindi cerca di afferrare la telecamera.</v>
      </c>
    </row>
    <row r="16130">
      <c r="A16130" s="4" t="s">
        <v>20317</v>
      </c>
      <c r="B16130" s="4" t="s">
        <v>20318</v>
      </c>
      <c r="C16130" s="5" t="str">
        <f>IFERROR(__xludf.DUMMYFUNCTION("GOOGLETRANSLATE(B16130,""en"",""it"")"),"Alcune persone vanno a navigare sulle onde.")</f>
        <v>Alcune persone vanno a navigare sulle onde.</v>
      </c>
    </row>
    <row r="16131">
      <c r="A16131" s="4" t="s">
        <v>20317</v>
      </c>
      <c r="B16131" s="4" t="s">
        <v>20319</v>
      </c>
      <c r="C16131" s="5" t="str">
        <f>IFERROR(__xludf.DUMMYFUNCTION("GOOGLETRANSLATE(B16131,""en"",""it"")"),"A volte cadono ma stanno bene.")</f>
        <v>A volte cadono ma stanno bene.</v>
      </c>
    </row>
    <row r="16132">
      <c r="A16132" s="4" t="s">
        <v>20320</v>
      </c>
      <c r="B16132" s="4" t="s">
        <v>20321</v>
      </c>
      <c r="C16132" s="5" t="str">
        <f>IFERROR(__xludf.DUMMYFUNCTION("GOOGLETRANSLATE(B16132,""en"",""it"")"),"I membri della band in abito full si trovano in un cortile.")</f>
        <v>I membri della band in abito full si trovano in un cortile.</v>
      </c>
    </row>
    <row r="16133">
      <c r="A16133" s="4" t="s">
        <v>20320</v>
      </c>
      <c r="B16133" s="4" t="s">
        <v>20322</v>
      </c>
      <c r="C16133" s="5" t="str">
        <f>IFERROR(__xludf.DUMMYFUNCTION("GOOGLETRANSLATE(B16133,""en"",""it"")"),"Stanno usando un rastrello per foglie di rastrellatura.")</f>
        <v>Stanno usando un rastrello per foglie di rastrellatura.</v>
      </c>
    </row>
    <row r="16134">
      <c r="A16134" s="4" t="s">
        <v>20320</v>
      </c>
      <c r="B16134" s="4" t="s">
        <v>20323</v>
      </c>
      <c r="C16134" s="5" t="str">
        <f>IFERROR(__xludf.DUMMYFUNCTION("GOOGLETRANSLATE(B16134,""en"",""it"")"),"Un uomo cammina mentre rastrellano.")</f>
        <v>Un uomo cammina mentre rastrellano.</v>
      </c>
    </row>
    <row r="16135">
      <c r="A16135" s="4" t="s">
        <v>20324</v>
      </c>
      <c r="B16135" s="6" t="s">
        <v>20325</v>
      </c>
      <c r="C16135" s="5" t="str">
        <f>IFERROR(__xludf.DUMMYFUNCTION("GOOGLETRANSLATE(B16135,""en"",""it"")"),"Una donna viene vista in piedi dietro un bancone che parla alla telecamera e poi inizia a sbucciare una patata.")</f>
        <v>Una donna viene vista in piedi dietro un bancone che parla alla telecamera e poi inizia a sbucciare una patata.</v>
      </c>
    </row>
    <row r="16136">
      <c r="A16136" s="4" t="s">
        <v>20324</v>
      </c>
      <c r="B16136" s="4" t="s">
        <v>20326</v>
      </c>
      <c r="C16136" s="5" t="str">
        <f>IFERROR(__xludf.DUMMYFUNCTION("GOOGLETRANSLATE(B16136,""en"",""it"")"),"Continua a sbucciare le patate mentre si ferma per parlare alla telecamera e sorridere.")</f>
        <v>Continua a sbucciare le patate mentre si ferma per parlare alla telecamera e sorridere.</v>
      </c>
    </row>
    <row r="16137">
      <c r="A16137" s="4" t="s">
        <v>20327</v>
      </c>
      <c r="B16137" s="4" t="s">
        <v>20328</v>
      </c>
      <c r="C16137" s="5" t="str">
        <f>IFERROR(__xludf.DUMMYFUNCTION("GOOGLETRANSLATE(B16137,""en"",""it"")"),"Giovani uomini sono un parlano e giocano in giro prima di arrivare al pendio dello sci.")</f>
        <v>Giovani uomini sono un parlano e giocano in giro prima di arrivare al pendio dello sci.</v>
      </c>
    </row>
    <row r="16138">
      <c r="A16138" s="4" t="s">
        <v>20327</v>
      </c>
      <c r="B16138" s="4" t="s">
        <v>20329</v>
      </c>
      <c r="C16138" s="5" t="str">
        <f>IFERROR(__xludf.DUMMYFUNCTION("GOOGLETRANSLATE(B16138,""en"",""it"")"),"Vediamo uomini che snowboard su ostacoli e rampe sul pendio dello sci.")</f>
        <v>Vediamo uomini che snowboard su ostacoli e rampe sul pendio dello sci.</v>
      </c>
    </row>
    <row r="16139">
      <c r="A16139" s="4" t="s">
        <v>20327</v>
      </c>
      <c r="B16139" s="4" t="s">
        <v>20330</v>
      </c>
      <c r="C16139" s="5" t="str">
        <f>IFERROR(__xludf.DUMMYFUNCTION("GOOGLETRANSLATE(B16139,""en"",""it"")"),"Un uomo salta una rampa e cade a terra.")</f>
        <v>Un uomo salta una rampa e cade a terra.</v>
      </c>
    </row>
    <row r="16140">
      <c r="A16140" s="4" t="s">
        <v>20327</v>
      </c>
      <c r="B16140" s="4" t="s">
        <v>20331</v>
      </c>
      <c r="C16140" s="5" t="str">
        <f>IFERROR(__xludf.DUMMYFUNCTION("GOOGLETRANSLATE(B16140,""en"",""it"")"),"Vediamo i ragazzi in piedi nel parcheggio e vengono mostrati i loro nomi.")</f>
        <v>Vediamo i ragazzi in piedi nel parcheggio e vengono mostrati i loro nomi.</v>
      </c>
    </row>
    <row r="16141">
      <c r="A16141" s="4" t="s">
        <v>20327</v>
      </c>
      <c r="B16141" s="4" t="s">
        <v>20332</v>
      </c>
      <c r="C16141" s="5" t="str">
        <f>IFERROR(__xludf.DUMMYFUNCTION("GOOGLETRANSLATE(B16141,""en"",""it"")"),"L'ultimo ragazzo si toglie il casco, scuote i capelli e sorride alla telecamera.")</f>
        <v>L'ultimo ragazzo si toglie il casco, scuote i capelli e sorride alla telecamera.</v>
      </c>
    </row>
    <row r="16142">
      <c r="A16142" s="4" t="s">
        <v>20327</v>
      </c>
      <c r="B16142" s="4" t="s">
        <v>1380</v>
      </c>
      <c r="C16142" s="5" t="str">
        <f>IFERROR(__xludf.DUMMYFUNCTION("GOOGLETRANSLATE(B16142,""en"",""it"")"),"Vediamo quindi i titoli di coda.")</f>
        <v>Vediamo quindi i titoli di coda.</v>
      </c>
    </row>
    <row r="16143">
      <c r="A16143" s="4" t="s">
        <v>20333</v>
      </c>
      <c r="B16143" s="4" t="s">
        <v>20334</v>
      </c>
      <c r="C16143" s="5" t="str">
        <f>IFERROR(__xludf.DUMMYFUNCTION("GOOGLETRANSLATE(B16143,""en"",""it"")"),"Un uomo è in piedi dietro una donna seduta su una sedia.")</f>
        <v>Un uomo è in piedi dietro una donna seduta su una sedia.</v>
      </c>
    </row>
    <row r="16144">
      <c r="A16144" s="4" t="s">
        <v>20333</v>
      </c>
      <c r="B16144" s="4" t="s">
        <v>20335</v>
      </c>
      <c r="C16144" s="5" t="str">
        <f>IFERROR(__xludf.DUMMYFUNCTION("GOOGLETRANSLATE(B16144,""en"",""it"")"),"Le sta mettendo un prodotto tra i capelli.")</f>
        <v>Le sta mettendo un prodotto tra i capelli.</v>
      </c>
    </row>
    <row r="16145">
      <c r="A16145" s="4" t="s">
        <v>20333</v>
      </c>
      <c r="B16145" s="4" t="s">
        <v>20336</v>
      </c>
      <c r="C16145" s="5" t="str">
        <f>IFERROR(__xludf.DUMMYFUNCTION("GOOGLETRANSLATE(B16145,""en"",""it"")"),"Comincia a asciugare i capelli.")</f>
        <v>Comincia a asciugare i capelli.</v>
      </c>
    </row>
    <row r="16146">
      <c r="A16146" s="4" t="s">
        <v>20333</v>
      </c>
      <c r="B16146" s="4" t="s">
        <v>20337</v>
      </c>
      <c r="C16146" s="5" t="str">
        <f>IFERROR(__xludf.DUMMYFUNCTION("GOOGLETRANSLATE(B16146,""en"",""it"")"),"Comincia a asciugare i capelli da sola.")</f>
        <v>Comincia a asciugare i capelli da sola.</v>
      </c>
    </row>
    <row r="16147">
      <c r="A16147" s="4" t="s">
        <v>20338</v>
      </c>
      <c r="B16147" s="4" t="s">
        <v>20339</v>
      </c>
      <c r="C16147" s="5" t="str">
        <f>IFERROR(__xludf.DUMMYFUNCTION("GOOGLETRANSLATE(B16147,""en"",""it"")"),"Una donna tiene un flauto e pratica le chiavi mentre si sdraia.")</f>
        <v>Una donna tiene un flauto e pratica le chiavi mentre si sdraia.</v>
      </c>
    </row>
    <row r="16148">
      <c r="A16148" s="4" t="s">
        <v>20338</v>
      </c>
      <c r="B16148" s="4" t="s">
        <v>20340</v>
      </c>
      <c r="C16148" s="5" t="str">
        <f>IFERROR(__xludf.DUMMYFUNCTION("GOOGLETRANSLATE(B16148,""en"",""it"")"),"Una donna in un abito formale regge un flauto e gestisce mentre parla.")</f>
        <v>Una donna in un abito formale regge un flauto e gestisce mentre parla.</v>
      </c>
    </row>
    <row r="16149">
      <c r="A16149" s="4" t="s">
        <v>20338</v>
      </c>
      <c r="B16149" s="4" t="s">
        <v>20341</v>
      </c>
      <c r="C16149" s="5" t="str">
        <f>IFERROR(__xludf.DUMMYFUNCTION("GOOGLETRANSLATE(B16149,""en"",""it"")"),"Una donna suona il flauto con soffiaggio esagerato.")</f>
        <v>Una donna suona il flauto con soffiaggio esagerato.</v>
      </c>
    </row>
    <row r="16150">
      <c r="A16150" s="4" t="s">
        <v>20338</v>
      </c>
      <c r="B16150" s="4" t="s">
        <v>20342</v>
      </c>
      <c r="C16150" s="5" t="str">
        <f>IFERROR(__xludf.DUMMYFUNCTION("GOOGLETRANSLATE(B16150,""en"",""it"")"),"Una donna suona un flauto in una stanza con altri strumenti appesi in background.")</f>
        <v>Una donna suona un flauto in una stanza con altri strumenti appesi in background.</v>
      </c>
    </row>
    <row r="16151">
      <c r="A16151" s="4" t="s">
        <v>20338</v>
      </c>
      <c r="B16151" s="4" t="s">
        <v>20343</v>
      </c>
      <c r="C16151" s="5" t="str">
        <f>IFERROR(__xludf.DUMMYFUNCTION("GOOGLETRANSLATE(B16151,""en"",""it"")"),"Le due donne giocano a flauti insieme.")</f>
        <v>Le due donne giocano a flauti insieme.</v>
      </c>
    </row>
    <row r="16152">
      <c r="A16152" s="4" t="s">
        <v>20338</v>
      </c>
      <c r="B16152" s="4" t="s">
        <v>20344</v>
      </c>
      <c r="C16152" s="5" t="str">
        <f>IFERROR(__xludf.DUMMYFUNCTION("GOOGLETRANSLATE(B16152,""en"",""it"")"),"La donna stringe le mani con un crampi.")</f>
        <v>La donna stringe le mani con un crampi.</v>
      </c>
    </row>
    <row r="16153">
      <c r="A16153" s="4" t="s">
        <v>20345</v>
      </c>
      <c r="B16153" s="6" t="s">
        <v>20346</v>
      </c>
      <c r="C16153" s="5" t="str">
        <f>IFERROR(__xludf.DUMMYFUNCTION("GOOGLETRANSLATE(B16153,""en"",""it"")"),"Viene mostrata una scena della teoria del Big Bang e l'uomo è sdraiato in un tavolo in una sala da tatuaggio e un tatuatore è in piedi accanto a lui.")</f>
        <v>Viene mostrata una scena della teoria del Big Bang e l'uomo è sdraiato in un tavolo in una sala da tatuaggio e un tatuatore è in piedi accanto a lui.</v>
      </c>
    </row>
    <row r="16154">
      <c r="A16154" s="4" t="s">
        <v>20345</v>
      </c>
      <c r="B16154" s="4" t="s">
        <v>20347</v>
      </c>
      <c r="C16154" s="5" t="str">
        <f>IFERROR(__xludf.DUMMYFUNCTION("GOOGLETRANSLATE(B16154,""en"",""it"")"),"L'uomo nel letto si alza e parla con una donna e rimuovi le maniche finte del tatuaggio.")</f>
        <v>L'uomo nel letto si alza e parla con una donna e rimuovi le maniche finte del tatuaggio.</v>
      </c>
    </row>
    <row r="16155">
      <c r="A16155" s="4" t="s">
        <v>20348</v>
      </c>
      <c r="B16155" s="6" t="s">
        <v>20349</v>
      </c>
      <c r="C16155" s="5" t="str">
        <f>IFERROR(__xludf.DUMMYFUNCTION("GOOGLETRANSLATE(B16155,""en"",""it"")"),"Un primo piano dei piedi di una persona viene mostrato seguito da due uomini visti in una sala aperta con racchette da tennis e colpendo una palla.")</f>
        <v>Un primo piano dei piedi di una persona viene mostrato seguito da due uomini visti in una sala aperta con racchette da tennis e colpendo una palla.</v>
      </c>
    </row>
    <row r="16156">
      <c r="A16156" s="4" t="s">
        <v>20348</v>
      </c>
      <c r="B16156" s="4" t="s">
        <v>20350</v>
      </c>
      <c r="C16156" s="5" t="str">
        <f>IFERROR(__xludf.DUMMYFUNCTION("GOOGLETRANSLATE(B16156,""en"",""it"")"),"Quindi gli uomini colpiscono la palla intorno alla stanza mentre corrono su ogni lato per colpire la palla.")</f>
        <v>Quindi gli uomini colpiscono la palla intorno alla stanza mentre corrono su ogni lato per colpire la palla.</v>
      </c>
    </row>
    <row r="16157">
      <c r="A16157" s="4" t="s">
        <v>20351</v>
      </c>
      <c r="B16157" s="4" t="s">
        <v>20352</v>
      </c>
      <c r="C16157" s="5" t="str">
        <f>IFERROR(__xludf.DUMMYFUNCTION("GOOGLETRANSLATE(B16157,""en"",""it"")"),"Una spiaggia libera è visibile e la gente ha iniziato a tirare le auto contro la costa.")</f>
        <v>Una spiaggia libera è visibile e la gente ha iniziato a tirare le auto contro la costa.</v>
      </c>
    </row>
    <row r="16158">
      <c r="A16158" s="4" t="s">
        <v>20351</v>
      </c>
      <c r="B16158" s="4" t="s">
        <v>20353</v>
      </c>
      <c r="C16158" s="5" t="str">
        <f>IFERROR(__xludf.DUMMYFUNCTION("GOOGLETRANSLATE(B16158,""en"",""it"")"),"Sembra quindi il marciapiede e un ragazzo inizia a skateboard lungo la strada vicino alla spiaggia.")</f>
        <v>Sembra quindi il marciapiede e un ragazzo inizia a skateboard lungo la strada vicino alla spiaggia.</v>
      </c>
    </row>
    <row r="16159">
      <c r="A16159" s="4" t="s">
        <v>20351</v>
      </c>
      <c r="B16159" s="4" t="s">
        <v>20354</v>
      </c>
      <c r="C16159" s="5" t="str">
        <f>IFERROR(__xludf.DUMMYFUNCTION("GOOGLETRANSLATE(B16159,""en"",""it"")"),"Continua a fare trucchi e skateboard attraverso la città che passa persone e macchine.")</f>
        <v>Continua a fare trucchi e skateboard attraverso la città che passa persone e macchine.</v>
      </c>
    </row>
    <row r="16160">
      <c r="A16160" s="4" t="s">
        <v>20351</v>
      </c>
      <c r="B16160" s="6" t="s">
        <v>20355</v>
      </c>
      <c r="C16160" s="5" t="str">
        <f>IFERROR(__xludf.DUMMYFUNCTION("GOOGLETRANSLATE(B16160,""en"",""it"")"),"Dopo un po ', si siede a fare una pausa e inizia a parlare con un altro ragazzo prima che alla fine torni indietro per continuare lo skateboard.")</f>
        <v>Dopo un po ', si siede a fare una pausa e inizia a parlare con un altro ragazzo prima che alla fine torni indietro per continuare lo skateboard.</v>
      </c>
    </row>
    <row r="16161">
      <c r="A16161" s="4" t="s">
        <v>20356</v>
      </c>
      <c r="B16161" s="4" t="s">
        <v>20357</v>
      </c>
      <c r="C16161" s="5" t="str">
        <f>IFERROR(__xludf.DUMMYFUNCTION("GOOGLETRANSLATE(B16161,""en"",""it"")"),"Un ragazzo sta sciare con una macchina fotografica sul casco per mostrarci cosa sta vedendo come sciare.")</f>
        <v>Un ragazzo sta sciare con una macchina fotografica sul casco per mostrarci cosa sta vedendo come sciare.</v>
      </c>
    </row>
    <row r="16162">
      <c r="A16162" s="4" t="s">
        <v>20356</v>
      </c>
      <c r="B16162" s="4" t="s">
        <v>20358</v>
      </c>
      <c r="C16162" s="5" t="str">
        <f>IFERROR(__xludf.DUMMYFUNCTION("GOOGLETRANSLATE(B16162,""en"",""it"")"),"Il ragazzo sciare giù per la collina e passa un ragazzo che era di fronte a lui.")</f>
        <v>Il ragazzo sciare giù per la collina e passa un ragazzo che era di fronte a lui.</v>
      </c>
    </row>
    <row r="16163">
      <c r="A16163" s="4" t="s">
        <v>20356</v>
      </c>
      <c r="B16163" s="6" t="s">
        <v>20359</v>
      </c>
      <c r="C16163" s="5" t="str">
        <f>IFERROR(__xludf.DUMMYFUNCTION("GOOGLETRANSLATE(B16163,""en"",""it"")"),"Mentre lo sci, inizia a attraversare anche altri sciatori, finalmente lo sciatore arriva fino alla fine dello slop di Down Hill e si ferma.")</f>
        <v>Mentre lo sci, inizia a attraversare anche altri sciatori, finalmente lo sciatore arriva fino alla fine dello slop di Down Hill e si ferma.</v>
      </c>
    </row>
    <row r="16164">
      <c r="A16164" s="4" t="s">
        <v>20360</v>
      </c>
      <c r="B16164" s="4" t="s">
        <v>20361</v>
      </c>
      <c r="C16164" s="5" t="str">
        <f>IFERROR(__xludf.DUMMYFUNCTION("GOOGLETRANSLATE(B16164,""en"",""it"")"),"Un uomo e una donna suonano forbici di carta rocciosa.")</f>
        <v>Un uomo e una donna suonano forbici di carta rocciosa.</v>
      </c>
    </row>
    <row r="16165">
      <c r="A16165" s="4" t="s">
        <v>20360</v>
      </c>
      <c r="B16165" s="4" t="s">
        <v>20362</v>
      </c>
      <c r="C16165" s="5" t="str">
        <f>IFERROR(__xludf.DUMMYFUNCTION("GOOGLETRANSLATE(B16165,""en"",""it"")"),"L'uomo si mette in ginocchio e tira fuori un anello.")</f>
        <v>L'uomo si mette in ginocchio e tira fuori un anello.</v>
      </c>
    </row>
    <row r="16166">
      <c r="A16166" s="4" t="s">
        <v>20360</v>
      </c>
      <c r="B16166" s="4" t="s">
        <v>20363</v>
      </c>
      <c r="C16166" s="5" t="str">
        <f>IFERROR(__xludf.DUMMYFUNCTION("GOOGLETRANSLATE(B16166,""en"",""it"")"),"Si abbracciano accanto alla piscina.")</f>
        <v>Si abbracciano accanto alla piscina.</v>
      </c>
    </row>
    <row r="16167">
      <c r="A16167" s="4" t="s">
        <v>20360</v>
      </c>
      <c r="B16167" s="4" t="s">
        <v>20364</v>
      </c>
      <c r="C16167" s="5" t="str">
        <f>IFERROR(__xludf.DUMMYFUNCTION("GOOGLETRANSLATE(B16167,""en"",""it"")"),"Si danno un bacio.")</f>
        <v>Si danno un bacio.</v>
      </c>
    </row>
    <row r="16168">
      <c r="A16168" s="4" t="s">
        <v>20365</v>
      </c>
      <c r="B16168" s="4" t="s">
        <v>20366</v>
      </c>
      <c r="C16168" s="5" t="str">
        <f>IFERROR(__xludf.DUMMYFUNCTION("GOOGLETRANSLATE(B16168,""en"",""it"")"),"Un uomo sta correndo su una pista che salta in un mucchio di sabbia.")</f>
        <v>Un uomo sta correndo su una pista che salta in un mucchio di sabbia.</v>
      </c>
    </row>
    <row r="16169">
      <c r="A16169" s="4" t="s">
        <v>20365</v>
      </c>
      <c r="B16169" s="4" t="s">
        <v>20367</v>
      </c>
      <c r="C16169" s="5" t="str">
        <f>IFERROR(__xludf.DUMMYFUNCTION("GOOGLETRANSLATE(B16169,""en"",""it"")"),"Corre di nuovo lungo la pista e salta nella sabbia più volte.")</f>
        <v>Corre di nuovo lungo la pista e salta nella sabbia più volte.</v>
      </c>
    </row>
    <row r="16170">
      <c r="A16170" s="4" t="s">
        <v>20365</v>
      </c>
      <c r="B16170" s="4" t="s">
        <v>20368</v>
      </c>
      <c r="C16170" s="5" t="str">
        <f>IFERROR(__xludf.DUMMYFUNCTION("GOOGLETRANSLATE(B16170,""en"",""it"")"),"I punteggi sono mostrati sullo schermo.")</f>
        <v>I punteggi sono mostrati sullo schermo.</v>
      </c>
    </row>
    <row r="16171">
      <c r="A16171" s="4" t="s">
        <v>20369</v>
      </c>
      <c r="B16171" s="4" t="s">
        <v>20370</v>
      </c>
      <c r="C16171" s="5" t="str">
        <f>IFERROR(__xludf.DUMMYFUNCTION("GOOGLETRANSLATE(B16171,""en"",""it"")"),"Un uomo che indossa un vestito verde sta conducendo un cammello.")</f>
        <v>Un uomo che indossa un vestito verde sta conducendo un cammello.</v>
      </c>
    </row>
    <row r="16172">
      <c r="A16172" s="4" t="s">
        <v>20369</v>
      </c>
      <c r="B16172" s="4" t="s">
        <v>20371</v>
      </c>
      <c r="C16172" s="5" t="str">
        <f>IFERROR(__xludf.DUMMYFUNCTION("GOOGLETRANSLATE(B16172,""en"",""it"")"),"Due persone sono sedute in cima al cammello.")</f>
        <v>Due persone sono sedute in cima al cammello.</v>
      </c>
    </row>
    <row r="16173">
      <c r="A16173" s="4" t="s">
        <v>20369</v>
      </c>
      <c r="B16173" s="4" t="s">
        <v>20372</v>
      </c>
      <c r="C16173" s="5" t="str">
        <f>IFERROR(__xludf.DUMMYFUNCTION("GOOGLETRANSLATE(B16173,""en"",""it"")"),"Un uomo sta camminando accanto al cammello.")</f>
        <v>Un uomo sta camminando accanto al cammello.</v>
      </c>
    </row>
    <row r="16174">
      <c r="A16174" s="4" t="s">
        <v>20373</v>
      </c>
      <c r="B16174" s="4" t="s">
        <v>20374</v>
      </c>
      <c r="C16174" s="5" t="str">
        <f>IFERROR(__xludf.DUMMYFUNCTION("GOOGLETRANSLATE(B16174,""en"",""it"")"),"Le persone stanno giocando su un campo usando i cavalli.")</f>
        <v>Le persone stanno giocando su un campo usando i cavalli.</v>
      </c>
    </row>
    <row r="16175">
      <c r="A16175" s="4" t="s">
        <v>20373</v>
      </c>
      <c r="B16175" s="4" t="s">
        <v>20375</v>
      </c>
      <c r="C16175" s="5" t="str">
        <f>IFERROR(__xludf.DUMMYFUNCTION("GOOGLETRANSLATE(B16175,""en"",""it"")"),"La persona della telecamera cavalca vicino al parcheggio sulla destra.")</f>
        <v>La persona della telecamera cavalca vicino al parcheggio sulla destra.</v>
      </c>
    </row>
    <row r="16176">
      <c r="A16176" s="4" t="s">
        <v>20373</v>
      </c>
      <c r="B16176" s="4" t="s">
        <v>20376</v>
      </c>
      <c r="C16176" s="5" t="str">
        <f>IFERROR(__xludf.DUMMYFUNCTION("GOOGLETRANSLATE(B16176,""en"",""it"")"),"La persona della telecamera cavalca di nuovo vicino al parcheggio.")</f>
        <v>La persona della telecamera cavalca di nuovo vicino al parcheggio.</v>
      </c>
    </row>
    <row r="16177">
      <c r="A16177" s="4" t="s">
        <v>20373</v>
      </c>
      <c r="B16177" s="4" t="s">
        <v>20377</v>
      </c>
      <c r="C16177" s="5" t="str">
        <f>IFERROR(__xludf.DUMMYFUNCTION("GOOGLETRANSLATE(B16177,""en"",""it"")"),"La persona rallenta vicino all'obiettivo.")</f>
        <v>La persona rallenta vicino all'obiettivo.</v>
      </c>
    </row>
    <row r="16178">
      <c r="A16178" s="4" t="s">
        <v>20378</v>
      </c>
      <c r="B16178" s="4" t="s">
        <v>20379</v>
      </c>
      <c r="C16178" s="5" t="str">
        <f>IFERROR(__xludf.DUMMYFUNCTION("GOOGLETRANSLATE(B16178,""en"",""it"")"),"Un grafico mostra e poi le foto seguono una ragazza che cresce con l'equitazione.")</f>
        <v>Un grafico mostra e poi le foto seguono una ragazza che cresce con l'equitazione.</v>
      </c>
    </row>
    <row r="16179">
      <c r="A16179" s="4" t="s">
        <v>20378</v>
      </c>
      <c r="B16179" s="4" t="s">
        <v>20380</v>
      </c>
      <c r="C16179" s="5" t="str">
        <f>IFERROR(__xludf.DUMMYFUNCTION("GOOGLETRANSLATE(B16179,""en"",""it"")"),"Tre anni dopo quelle foto si muove la ragazza e le viene mostrata cavalli.")</f>
        <v>Tre anni dopo quelle foto si muove la ragazza e le viene mostrata cavalli.</v>
      </c>
    </row>
    <row r="16180">
      <c r="A16180" s="4" t="s">
        <v>20378</v>
      </c>
      <c r="B16180" s="4" t="s">
        <v>20381</v>
      </c>
      <c r="C16180" s="5" t="str">
        <f>IFERROR(__xludf.DUMMYFUNCTION("GOOGLETRANSLATE(B16180,""en"",""it"")"),"La ragazza viene mostrata con altre ragazze in posa con alcuni premi per l'equitazione.")</f>
        <v>La ragazza viene mostrata con altre ragazze in posa con alcuni premi per l'equitazione.</v>
      </c>
    </row>
    <row r="16181">
      <c r="A16181" s="4" t="s">
        <v>20378</v>
      </c>
      <c r="B16181" s="4" t="s">
        <v>20382</v>
      </c>
      <c r="C16181" s="5" t="str">
        <f>IFERROR(__xludf.DUMMYFUNCTION("GOOGLETRANSLATE(B16181,""en"",""it"")"),"Un altro video viene mostrato dalla ragazza che cavalca il cavallo all'interno.")</f>
        <v>Un altro video viene mostrato dalla ragazza che cavalca il cavallo all'interno.</v>
      </c>
    </row>
    <row r="16182">
      <c r="A16182" s="4" t="s">
        <v>20378</v>
      </c>
      <c r="B16182" s="4" t="s">
        <v>20383</v>
      </c>
      <c r="C16182" s="5" t="str">
        <f>IFERROR(__xludf.DUMMYFUNCTION("GOOGLETRANSLATE(B16182,""en"",""it"")"),"Le foto della ragazza che si prendono cura dei suoi cavalli chiudono il video.")</f>
        <v>Le foto della ragazza che si prendono cura dei suoi cavalli chiudono il video.</v>
      </c>
    </row>
    <row r="16183">
      <c r="A16183" s="4" t="s">
        <v>20384</v>
      </c>
      <c r="B16183" s="4" t="s">
        <v>20385</v>
      </c>
      <c r="C16183" s="5" t="str">
        <f>IFERROR(__xludf.DUMMYFUNCTION("GOOGLETRANSLATE(B16183,""en"",""it"")"),"Una donna viene vista a lavarsi i denti e conduce a dentifricio che si diffonde su uno spazzolino da denti.")</f>
        <v>Una donna viene vista a lavarsi i denti e conduce a dentifricio che si diffonde su uno spazzolino da denti.</v>
      </c>
    </row>
    <row r="16184">
      <c r="A16184" s="4" t="s">
        <v>20384</v>
      </c>
      <c r="B16184" s="4" t="s">
        <v>20386</v>
      </c>
      <c r="C16184" s="5" t="str">
        <f>IFERROR(__xludf.DUMMYFUNCTION("GOOGLETRANSLATE(B16184,""en"",""it"")"),"Un'altra ragazza si lava i denti e mostra diversi immagini su come spazzolare correttamente i denti.")</f>
        <v>Un'altra ragazza si lava i denti e mostra diversi immagini su come spazzolare correttamente i denti.</v>
      </c>
    </row>
    <row r="16185">
      <c r="A16185" s="4" t="s">
        <v>20384</v>
      </c>
      <c r="B16185" s="4" t="s">
        <v>20387</v>
      </c>
      <c r="C16185" s="5" t="str">
        <f>IFERROR(__xludf.DUMMYFUNCTION("GOOGLETRANSLATE(B16185,""en"",""it"")"),"Vengono mostrate altre clip di persone che si lavano i denti.")</f>
        <v>Vengono mostrate altre clip di persone che si lavano i denti.</v>
      </c>
    </row>
    <row r="16186">
      <c r="A16186" s="4" t="s">
        <v>20388</v>
      </c>
      <c r="B16186" s="4" t="s">
        <v>20389</v>
      </c>
      <c r="C16186" s="5" t="str">
        <f>IFERROR(__xludf.DUMMYFUNCTION("GOOGLETRANSLATE(B16186,""en"",""it"")"),"Diverse persone sono in scooter per paraurti che si muovono in una piccola intrappolamento.")</f>
        <v>Diverse persone sono in scooter per paraurti che si muovono in una piccola intrappolamento.</v>
      </c>
    </row>
    <row r="16187">
      <c r="A16187" s="4" t="s">
        <v>20388</v>
      </c>
      <c r="B16187" s="4" t="s">
        <v>20390</v>
      </c>
      <c r="C16187" s="5" t="str">
        <f>IFERROR(__xludf.DUMMYFUNCTION("GOOGLETRANSLATE(B16187,""en"",""it"")"),"Alla fine, escono dal grosso ciuffo e iniziano a muoversi più facilmente in palestra.")</f>
        <v>Alla fine, escono dal grosso ciuffo e iniziano a muoversi più facilmente in palestra.</v>
      </c>
    </row>
    <row r="16188">
      <c r="A16188" s="4" t="s">
        <v>20388</v>
      </c>
      <c r="B16188" s="6" t="s">
        <v>20391</v>
      </c>
      <c r="C16188" s="5" t="str">
        <f>IFERROR(__xludf.DUMMYFUNCTION("GOOGLETRANSLATE(B16188,""en"",""it"")"),"La corsa finalmente finisce e tutte le persone escono e una ragazza e un ragazzo si avvicinano alla telecamera che danno un pollice in su.")</f>
        <v>La corsa finalmente finisce e tutte le persone escono e una ragazza e un ragazzo si avvicinano alla telecamera che danno un pollice in su.</v>
      </c>
    </row>
    <row r="16189">
      <c r="A16189" s="4" t="s">
        <v>20392</v>
      </c>
      <c r="B16189" s="6" t="s">
        <v>20393</v>
      </c>
      <c r="C16189" s="5" t="str">
        <f>IFERROR(__xludf.DUMMYFUNCTION("GOOGLETRANSLATE(B16189,""en"",""it"")"),"Un folto gruppo di persone si vede che vagano in una zona spiaggiata seguita da persone che ballano e si godono la spiaggia.")</f>
        <v>Un folto gruppo di persone si vede che vagano in una zona spiaggiata seguita da persone che ballano e si godono la spiaggia.</v>
      </c>
    </row>
    <row r="16190">
      <c r="A16190" s="4" t="s">
        <v>20392</v>
      </c>
      <c r="B16190" s="4" t="s">
        <v>20394</v>
      </c>
      <c r="C16190" s="5" t="str">
        <f>IFERROR(__xludf.DUMMYFUNCTION("GOOGLETRANSLATE(B16190,""en"",""it"")"),"Diverse clip vengono mostrate da una partita di calcio in corso e fan che celebrano la telecamera.")</f>
        <v>Diverse clip vengono mostrate da una partita di calcio in corso e fan che celebrano la telecamera.</v>
      </c>
    </row>
    <row r="16191">
      <c r="A16191" s="4" t="s">
        <v>20392</v>
      </c>
      <c r="B16191" s="4" t="s">
        <v>20395</v>
      </c>
      <c r="C16191" s="5" t="str">
        <f>IFERROR(__xludf.DUMMYFUNCTION("GOOGLETRANSLATE(B16191,""en"",""it"")"),"Alla fine la squadra festeggia tutti insieme mentre i coriandoli cadono dal cielo.")</f>
        <v>Alla fine la squadra festeggia tutti insieme mentre i coriandoli cadono dal cielo.</v>
      </c>
    </row>
    <row r="16192">
      <c r="A16192" s="4" t="s">
        <v>20396</v>
      </c>
      <c r="B16192" s="4" t="s">
        <v>20397</v>
      </c>
      <c r="C16192" s="5" t="str">
        <f>IFERROR(__xludf.DUMMYFUNCTION("GOOGLETRANSLATE(B16192,""en"",""it"")"),"Una donna suona musica su uno stereo in una città trafficata.")</f>
        <v>Una donna suona musica su uno stereo in una città trafficata.</v>
      </c>
    </row>
    <row r="16193">
      <c r="A16193" s="4" t="s">
        <v>20396</v>
      </c>
      <c r="B16193" s="4" t="s">
        <v>20398</v>
      </c>
      <c r="C16193" s="5" t="str">
        <f>IFERROR(__xludf.DUMMYFUNCTION("GOOGLETRANSLATE(B16193,""en"",""it"")"),"Un'altra donna è in piedi sul marciapiede con le cuffie.")</f>
        <v>Un'altra donna è in piedi sul marciapiede con le cuffie.</v>
      </c>
    </row>
    <row r="16194">
      <c r="A16194" s="4" t="s">
        <v>20396</v>
      </c>
      <c r="B16194" s="4" t="s">
        <v>20399</v>
      </c>
      <c r="C16194" s="5" t="str">
        <f>IFERROR(__xludf.DUMMYFUNCTION("GOOGLETRANSLATE(B16194,""en"",""it"")"),"Entrambi sorridono l'un l'altro mentre scanalano alla musica.")</f>
        <v>Entrambi sorridono l'un l'altro mentre scanalano alla musica.</v>
      </c>
    </row>
    <row r="16195">
      <c r="A16195" s="4" t="s">
        <v>20396</v>
      </c>
      <c r="B16195" s="4" t="s">
        <v>20400</v>
      </c>
      <c r="C16195" s="5" t="str">
        <f>IFERROR(__xludf.DUMMYFUNCTION("GOOGLETRANSLATE(B16195,""en"",""it"")"),"La donna raccoglie lo stereo e inizia a camminare.")</f>
        <v>La donna raccoglie lo stereo e inizia a camminare.</v>
      </c>
    </row>
    <row r="16196">
      <c r="A16196" s="4" t="s">
        <v>20396</v>
      </c>
      <c r="B16196" s="4" t="s">
        <v>20401</v>
      </c>
      <c r="C16196" s="5" t="str">
        <f>IFERROR(__xludf.DUMMYFUNCTION("GOOGLETRANSLATE(B16196,""en"",""it"")"),"L'altra donna la segue sullo stesso marciapiede.")</f>
        <v>L'altra donna la segue sullo stesso marciapiede.</v>
      </c>
    </row>
    <row r="16197">
      <c r="A16197" s="4" t="s">
        <v>20396</v>
      </c>
      <c r="B16197" s="4" t="s">
        <v>20402</v>
      </c>
      <c r="C16197" s="5" t="str">
        <f>IFERROR(__xludf.DUMMYFUNCTION("GOOGLETRANSLATE(B16197,""en"",""it"")"),"Camminano insieme tenendo lo stereo.")</f>
        <v>Camminano insieme tenendo lo stereo.</v>
      </c>
    </row>
    <row r="16198">
      <c r="A16198" s="4" t="s">
        <v>20396</v>
      </c>
      <c r="B16198" s="4" t="s">
        <v>20403</v>
      </c>
      <c r="C16198" s="5" t="str">
        <f>IFERROR(__xludf.DUMMYFUNCTION("GOOGLETRANSLATE(B16198,""en"",""it"")"),"Un uomo con una camicia rossa inizia a ballare accanto a un'auto con un'altra donna.")</f>
        <v>Un uomo con una camicia rossa inizia a ballare accanto a un'auto con un'altra donna.</v>
      </c>
    </row>
    <row r="16199">
      <c r="A16199" s="4" t="s">
        <v>20396</v>
      </c>
      <c r="B16199" s="4" t="s">
        <v>20404</v>
      </c>
      <c r="C16199" s="5" t="str">
        <f>IFERROR(__xludf.DUMMYFUNCTION("GOOGLETRANSLATE(B16199,""en"",""it"")"),"Si uniscono alla donna che cammina con lo stereo in mano.")</f>
        <v>Si uniscono alla donna che cammina con lo stereo in mano.</v>
      </c>
    </row>
    <row r="16200">
      <c r="A16200" s="4" t="s">
        <v>20396</v>
      </c>
      <c r="B16200" s="4" t="s">
        <v>20405</v>
      </c>
      <c r="C16200" s="5" t="str">
        <f>IFERROR(__xludf.DUMMYFUNCTION("GOOGLETRANSLATE(B16200,""en"",""it"")"),"Diverse altre persone si uniscono a loro mentre camminano e ballano alla musica.")</f>
        <v>Diverse altre persone si uniscono a loro mentre camminano e ballano alla musica.</v>
      </c>
    </row>
    <row r="16201">
      <c r="A16201" s="4" t="s">
        <v>20396</v>
      </c>
      <c r="B16201" s="4" t="s">
        <v>20406</v>
      </c>
      <c r="C16201" s="5" t="str">
        <f>IFERROR(__xludf.DUMMYFUNCTION("GOOGLETRANSLATE(B16201,""en"",""it"")"),"Tutte le persone entrano in una danza sincronizzata proprio per strada.")</f>
        <v>Tutte le persone entrano in una danza sincronizzata proprio per strada.</v>
      </c>
    </row>
    <row r="16202">
      <c r="A16202" s="4" t="s">
        <v>20407</v>
      </c>
      <c r="B16202" s="4" t="s">
        <v>20408</v>
      </c>
      <c r="C16202" s="5" t="str">
        <f>IFERROR(__xludf.DUMMYFUNCTION("GOOGLETRANSLATE(B16202,""en"",""it"")"),"Un vecchio parla dopo una barca a vela sulla riva, poi l'uomo porta la barca a vela sull'oceano.")</f>
        <v>Un vecchio parla dopo una barca a vela sulla riva, poi l'uomo porta la barca a vela sull'oceano.</v>
      </c>
    </row>
    <row r="16203">
      <c r="A16203" s="4" t="s">
        <v>20407</v>
      </c>
      <c r="B16203" s="4" t="s">
        <v>20409</v>
      </c>
      <c r="C16203" s="5" t="str">
        <f>IFERROR(__xludf.DUMMYFUNCTION("GOOGLETRANSLATE(B16203,""en"",""it"")"),"Il vecchio naviga sulla barca seduto sul confine della barca e tirando una maniglia.")</f>
        <v>Il vecchio naviga sulla barca seduto sul confine della barca e tirando una maniglia.</v>
      </c>
    </row>
    <row r="16204">
      <c r="A16204" s="4" t="s">
        <v>20407</v>
      </c>
      <c r="B16204" s="4" t="s">
        <v>20410</v>
      </c>
      <c r="C16204" s="5" t="str">
        <f>IFERROR(__xludf.DUMMYFUNCTION("GOOGLETRANSLATE(B16204,""en"",""it"")"),"Quindi, il vecchio si siede per un po ', e poi continua a navigare e si ferma quando parla.")</f>
        <v>Quindi, il vecchio si siede per un po ', e poi continua a navigare e si ferma quando parla.</v>
      </c>
    </row>
    <row r="16205">
      <c r="A16205" s="4" t="s">
        <v>20407</v>
      </c>
      <c r="B16205" s="4" t="s">
        <v>20411</v>
      </c>
      <c r="C16205" s="5" t="str">
        <f>IFERROR(__xludf.DUMMYFUNCTION("GOOGLETRANSLATE(B16205,""en"",""it"")"),"Dopo, il vecchio si ferma e la barca si gira, poi tira la barca verso la riva.")</f>
        <v>Dopo, il vecchio si ferma e la barca si gira, poi tira la barca verso la riva.</v>
      </c>
    </row>
    <row r="16206">
      <c r="A16206" s="4" t="s">
        <v>20407</v>
      </c>
      <c r="B16206" s="4" t="s">
        <v>20412</v>
      </c>
      <c r="C16206" s="5" t="str">
        <f>IFERROR(__xludf.DUMMYFUNCTION("GOOGLETRANSLATE(B16206,""en"",""it"")"),"Dopo, il vecchio continua a navigare nell'oceano.")</f>
        <v>Dopo, il vecchio continua a navigare nell'oceano.</v>
      </c>
    </row>
    <row r="16207">
      <c r="A16207" s="4" t="s">
        <v>20413</v>
      </c>
      <c r="B16207" s="4" t="s">
        <v>20414</v>
      </c>
      <c r="C16207" s="5" t="str">
        <f>IFERROR(__xludf.DUMMYFUNCTION("GOOGLETRANSLATE(B16207,""en"",""it"")"),"Si vedono le mani di una persona suonare una serie di tamburi di bongo e fare una pausa per parlare con la telecamera.")</f>
        <v>Si vedono le mani di una persona suonare una serie di tamburi di bongo e fare una pausa per parlare con la telecamera.</v>
      </c>
    </row>
    <row r="16208">
      <c r="A16208" s="4" t="s">
        <v>20413</v>
      </c>
      <c r="B16208" s="6" t="s">
        <v>20415</v>
      </c>
      <c r="C16208" s="5" t="str">
        <f>IFERROR(__xludf.DUMMYFUNCTION("GOOGLETRANSLATE(B16208,""en"",""it"")"),"Preme un pulsante sul suo telefono e suona di nuovo la batteria e termina con un ultimo Smack sul tamburo.")</f>
        <v>Preme un pulsante sul suo telefono e suona di nuovo la batteria e termina con un ultimo Smack sul tamburo.</v>
      </c>
    </row>
    <row r="16209">
      <c r="A16209" s="4" t="s">
        <v>20416</v>
      </c>
      <c r="B16209" s="4" t="s">
        <v>20417</v>
      </c>
      <c r="C16209" s="5" t="str">
        <f>IFERROR(__xludf.DUMMYFUNCTION("GOOGLETRANSLATE(B16209,""en"",""it"")"),"Le persone sono in linea con le spade.")</f>
        <v>Le persone sono in linea con le spade.</v>
      </c>
    </row>
    <row r="16210">
      <c r="A16210" s="4" t="s">
        <v>20416</v>
      </c>
      <c r="B16210" s="4" t="s">
        <v>20418</v>
      </c>
      <c r="C16210" s="5" t="str">
        <f>IFERROR(__xludf.DUMMYFUNCTION("GOOGLETRANSLATE(B16210,""en"",""it"")"),"Un uomo con una giacca bianca sta parlando in un microfono.")</f>
        <v>Un uomo con una giacca bianca sta parlando in un microfono.</v>
      </c>
    </row>
    <row r="16211">
      <c r="A16211" s="4" t="s">
        <v>20416</v>
      </c>
      <c r="B16211" s="4" t="s">
        <v>20419</v>
      </c>
      <c r="C16211" s="5" t="str">
        <f>IFERROR(__xludf.DUMMYFUNCTION("GOOGLETRANSLATE(B16211,""en"",""it"")"),"Un altro signore più anziano sta parlando in un microfono.")</f>
        <v>Un altro signore più anziano sta parlando in un microfono.</v>
      </c>
    </row>
    <row r="16212">
      <c r="A16212" s="4" t="s">
        <v>20420</v>
      </c>
      <c r="B16212" s="4" t="s">
        <v>20421</v>
      </c>
      <c r="C16212" s="5" t="str">
        <f>IFERROR(__xludf.DUMMYFUNCTION("GOOGLETRANSLATE(B16212,""en"",""it"")"),"Un uomo copre un muro con cemento usando un tubo.")</f>
        <v>Un uomo copre un muro con cemento usando un tubo.</v>
      </c>
    </row>
    <row r="16213">
      <c r="A16213" s="4" t="s">
        <v>20420</v>
      </c>
      <c r="B16213" s="4" t="s">
        <v>20422</v>
      </c>
      <c r="C16213" s="5" t="str">
        <f>IFERROR(__xludf.DUMMYFUNCTION("GOOGLETRANSLATE(B16213,""en"",""it"")"),"Una persona lavora dietro il muro.")</f>
        <v>Una persona lavora dietro il muro.</v>
      </c>
    </row>
    <row r="16214">
      <c r="A16214" s="4" t="s">
        <v>20420</v>
      </c>
      <c r="B16214" s="4" t="s">
        <v>20423</v>
      </c>
      <c r="C16214" s="5" t="str">
        <f>IFERROR(__xludf.DUMMYFUNCTION("GOOGLETRANSLATE(B16214,""en"",""it"")"),"La persona copre l'ultima sezione del muro.")</f>
        <v>La persona copre l'ultima sezione del muro.</v>
      </c>
    </row>
    <row r="16215">
      <c r="A16215" s="4" t="s">
        <v>20424</v>
      </c>
      <c r="B16215" s="4" t="s">
        <v>20425</v>
      </c>
      <c r="C16215" s="5" t="str">
        <f>IFERROR(__xludf.DUMMYFUNCTION("GOOGLETRANSLATE(B16215,""en"",""it"")"),"Viene vista una persona che cammina nella cornice con in mano uno strumento davanti a un piano.")</f>
        <v>Viene vista una persona che cammina nella cornice con in mano uno strumento davanti a un piano.</v>
      </c>
    </row>
    <row r="16216">
      <c r="A16216" s="4" t="s">
        <v>20424</v>
      </c>
      <c r="B16216" s="4" t="s">
        <v>20426</v>
      </c>
      <c r="C16216" s="5" t="str">
        <f>IFERROR(__xludf.DUMMYFUNCTION("GOOGLETRANSLATE(B16216,""en"",""it"")"),"Suona lo strumento davanti al piano e torna alla telecamera.")</f>
        <v>Suona lo strumento davanti al piano e torna alla telecamera.</v>
      </c>
    </row>
    <row r="16217">
      <c r="A16217" s="4" t="s">
        <v>20427</v>
      </c>
      <c r="B16217" s="4" t="s">
        <v>20428</v>
      </c>
      <c r="C16217" s="5" t="str">
        <f>IFERROR(__xludf.DUMMYFUNCTION("GOOGLETRANSLATE(B16217,""en"",""it"")"),"Il logo ""FAB"" appare con due spade incrociate.")</f>
        <v>Il logo "FAB" appare con due spade incrociate.</v>
      </c>
    </row>
    <row r="16218">
      <c r="A16218" s="4" t="s">
        <v>20427</v>
      </c>
      <c r="B16218" s="4" t="s">
        <v>20429</v>
      </c>
      <c r="C16218" s="5" t="str">
        <f>IFERROR(__xludf.DUMMYFUNCTION("GOOGLETRANSLATE(B16218,""en"",""it"")"),"Le parole ""Meyerco Machete Cut Test"" seguono sullo schermo.")</f>
        <v>Le parole "Meyerco Machete Cut Test" seguono sullo schermo.</v>
      </c>
    </row>
    <row r="16219">
      <c r="A16219" s="4" t="s">
        <v>20427</v>
      </c>
      <c r="B16219" s="4" t="s">
        <v>20430</v>
      </c>
      <c r="C16219" s="5" t="str">
        <f>IFERROR(__xludf.DUMMYFUNCTION("GOOGLETRANSLATE(B16219,""en"",""it"")"),"Un uomo sta tagliando un cespuglio danneggiato usando un machette.")</f>
        <v>Un uomo sta tagliando un cespuglio danneggiato usando un machette.</v>
      </c>
    </row>
    <row r="16220">
      <c r="A16220" s="4" t="s">
        <v>20427</v>
      </c>
      <c r="B16220" s="4" t="s">
        <v>20431</v>
      </c>
      <c r="C16220" s="5" t="str">
        <f>IFERROR(__xludf.DUMMYFUNCTION("GOOGLETRANSLATE(B16220,""en"",""it"")"),"L'uomo continua a tagliare il ramo tagliato su un ponte.")</f>
        <v>L'uomo continua a tagliare il ramo tagliato su un ponte.</v>
      </c>
    </row>
    <row r="16221">
      <c r="A16221" s="4" t="s">
        <v>20432</v>
      </c>
      <c r="B16221" s="4" t="s">
        <v>20433</v>
      </c>
      <c r="C16221" s="5" t="str">
        <f>IFERROR(__xludf.DUMMYFUNCTION("GOOGLETRANSLATE(B16221,""en"",""it"")"),"Un gruppo di ballerini di ballerini competono con un gruppo di ballerini hip hop.")</f>
        <v>Un gruppo di ballerini di ballerini competono con un gruppo di ballerini hip hop.</v>
      </c>
    </row>
    <row r="16222">
      <c r="A16222" s="4" t="s">
        <v>20432</v>
      </c>
      <c r="B16222" s="4" t="s">
        <v>20434</v>
      </c>
      <c r="C16222" s="5" t="str">
        <f>IFERROR(__xludf.DUMMYFUNCTION("GOOGLETRANSLATE(B16222,""en"",""it"")"),"Un ragazzo balla hip hop, gira e fa un capovolgimento.")</f>
        <v>Un ragazzo balla hip hop, gira e fa un capovolgimento.</v>
      </c>
    </row>
    <row r="16223">
      <c r="A16223" s="4" t="s">
        <v>20432</v>
      </c>
      <c r="B16223" s="6" t="s">
        <v>20435</v>
      </c>
      <c r="C16223" s="5" t="str">
        <f>IFERROR(__xludf.DUMMYFUNCTION("GOOGLETRANSLATE(B16223,""en"",""it"")"),"Dopo, il ragazzo si arrampica su una colonna per ribaltare all'indietro e stare sulle sue mani, quindi un ballerino di balletto viene allevato dai suoi amici.")</f>
        <v>Dopo, il ragazzo si arrampica su una colonna per ribaltare all'indietro e stare sulle sue mani, quindi un ballerino di balletto viene allevato dai suoi amici.</v>
      </c>
    </row>
    <row r="16224">
      <c r="A16224" s="4" t="s">
        <v>20432</v>
      </c>
      <c r="B16224" s="4" t="s">
        <v>20436</v>
      </c>
      <c r="C16224" s="5" t="str">
        <f>IFERROR(__xludf.DUMMYFUNCTION("GOOGLETRANSLATE(B16224,""en"",""it"")"),"Quindi, un ragazzo corre e rompe una porta per entrare dall'altra parte dove una ragazza è sorpresa.")</f>
        <v>Quindi, un ragazzo corre e rompe una porta per entrare dall'altra parte dove una ragazza è sorpresa.</v>
      </c>
    </row>
    <row r="16225">
      <c r="A16225" s="4" t="s">
        <v>20437</v>
      </c>
      <c r="B16225" s="4" t="s">
        <v>20438</v>
      </c>
      <c r="C16225" s="5" t="str">
        <f>IFERROR(__xludf.DUMMYFUNCTION("GOOGLETRANSLATE(B16225,""en"",""it"")"),"Una ragazza sorride a una telecamera con in mano un violino e si tira i capelli dietro la testa.")</f>
        <v>Una ragazza sorride a una telecamera con in mano un violino e si tira i capelli dietro la testa.</v>
      </c>
    </row>
    <row r="16226">
      <c r="A16226" s="4" t="s">
        <v>20437</v>
      </c>
      <c r="B16226" s="4" t="s">
        <v>20439</v>
      </c>
      <c r="C16226" s="5" t="str">
        <f>IFERROR(__xludf.DUMMYFUNCTION("GOOGLETRANSLATE(B16226,""en"",""it"")"),"Continua a parlare con la telecamera seguita da lei suonare il violino.")</f>
        <v>Continua a parlare con la telecamera seguita da lei suonare il violino.</v>
      </c>
    </row>
    <row r="16227">
      <c r="A16227" s="4" t="s">
        <v>20437</v>
      </c>
      <c r="B16227" s="6" t="s">
        <v>20440</v>
      </c>
      <c r="C16227" s="5" t="str">
        <f>IFERROR(__xludf.DUMMYFUNCTION("GOOGLETRANSLATE(B16227,""en"",""it"")"),"Si abbassa i capelli e continua a parlare con la telecamera e mostrando varie mosse di violino mentre canta.")</f>
        <v>Si abbassa i capelli e continua a parlare con la telecamera e mostrando varie mosse di violino mentre canta.</v>
      </c>
    </row>
    <row r="16228">
      <c r="A16228" s="4" t="s">
        <v>20437</v>
      </c>
      <c r="B16228" s="4" t="s">
        <v>20441</v>
      </c>
      <c r="C16228" s="5" t="str">
        <f>IFERROR(__xludf.DUMMYFUNCTION("GOOGLETRANSLATE(B16228,""en"",""it"")"),"Ancora una volta si alza i capelli e continua con il suo modo di suonare.")</f>
        <v>Ancora una volta si alza i capelli e continua con il suo modo di suonare.</v>
      </c>
    </row>
    <row r="16229">
      <c r="A16229" s="4" t="s">
        <v>20442</v>
      </c>
      <c r="B16229" s="4" t="s">
        <v>20443</v>
      </c>
      <c r="C16229" s="5" t="str">
        <f>IFERROR(__xludf.DUMMYFUNCTION("GOOGLETRANSLATE(B16229,""en"",""it"")"),"Una persona accende le luci di emergenza di un'auto e tira fuori il pneumatico di emergenza.")</f>
        <v>Una persona accende le luci di emergenza di un'auto e tira fuori il pneumatico di emergenza.</v>
      </c>
    </row>
    <row r="16230">
      <c r="A16230" s="4" t="s">
        <v>20442</v>
      </c>
      <c r="B16230" s="4" t="s">
        <v>20444</v>
      </c>
      <c r="C16230" s="5" t="str">
        <f>IFERROR(__xludf.DUMMYFUNCTION("GOOGLETRANSLATE(B16230,""en"",""it"")"),"Quindi, l'uomo perde i dadi del pneumatico, quindi legge il manuale.")</f>
        <v>Quindi, l'uomo perde i dadi del pneumatico, quindi legge il manuale.</v>
      </c>
    </row>
    <row r="16231">
      <c r="A16231" s="4" t="s">
        <v>20442</v>
      </c>
      <c r="B16231" s="4" t="s">
        <v>20445</v>
      </c>
      <c r="C16231" s="5" t="str">
        <f>IFERROR(__xludf.DUMMYFUNCTION("GOOGLETRANSLATE(B16231,""en"",""it"")"),"Dopo, l'uomo mette un jack sotto la macchina per sollevarlo.")</f>
        <v>Dopo, l'uomo mette un jack sotto la macchina per sollevarlo.</v>
      </c>
    </row>
    <row r="16232">
      <c r="A16232" s="4" t="s">
        <v>20442</v>
      </c>
      <c r="B16232" s="4" t="s">
        <v>20446</v>
      </c>
      <c r="C16232" s="5" t="str">
        <f>IFERROR(__xludf.DUMMYFUNCTION("GOOGLETRANSLATE(B16232,""en"",""it"")"),"Successivamente, l'uomo mette la gomma di emergenza e stretto il dado a tracolla.")</f>
        <v>Successivamente, l'uomo mette la gomma di emergenza e stretto il dado a tracolla.</v>
      </c>
    </row>
    <row r="16233">
      <c r="A16233" s="4" t="s">
        <v>20442</v>
      </c>
      <c r="B16233" s="4" t="s">
        <v>20447</v>
      </c>
      <c r="C16233" s="5" t="str">
        <f>IFERROR(__xludf.DUMMYFUNCTION("GOOGLETRANSLATE(B16233,""en"",""it"")"),"Alla fine, l'uomo mantiene il jack e la gomma a terra.")</f>
        <v>Alla fine, l'uomo mantiene il jack e la gomma a terra.</v>
      </c>
    </row>
    <row r="16234">
      <c r="A16234" s="4" t="s">
        <v>20448</v>
      </c>
      <c r="B16234" s="4" t="s">
        <v>20449</v>
      </c>
      <c r="C16234" s="5" t="str">
        <f>IFERROR(__xludf.DUMMYFUNCTION("GOOGLETRANSLATE(B16234,""en"",""it"")"),"Una donna viene vista parlare alla telecamera mentre tiene in violino.")</f>
        <v>Una donna viene vista parlare alla telecamera mentre tiene in violino.</v>
      </c>
    </row>
    <row r="16235">
      <c r="A16235" s="4" t="s">
        <v>20448</v>
      </c>
      <c r="B16235" s="4" t="s">
        <v>20450</v>
      </c>
      <c r="C16235" s="5" t="str">
        <f>IFERROR(__xludf.DUMMYFUNCTION("GOOGLETRANSLATE(B16235,""en"",""it"")"),"La donna continua a parlare e loro inizia a dimostrare come suonare una canzone.")</f>
        <v>La donna continua a parlare e loro inizia a dimostrare come suonare una canzone.</v>
      </c>
    </row>
    <row r="16236">
      <c r="A16236" s="4" t="s">
        <v>20448</v>
      </c>
      <c r="B16236" s="4" t="s">
        <v>20451</v>
      </c>
      <c r="C16236" s="5" t="str">
        <f>IFERROR(__xludf.DUMMYFUNCTION("GOOGLETRANSLATE(B16236,""en"",""it"")"),"Finisce di suonare la canzone e sorride alla telecamera.")</f>
        <v>Finisce di suonare la canzone e sorride alla telecamera.</v>
      </c>
    </row>
    <row r="16237">
      <c r="A16237" s="4" t="s">
        <v>20452</v>
      </c>
      <c r="B16237" s="4" t="s">
        <v>20453</v>
      </c>
      <c r="C16237" s="5" t="str">
        <f>IFERROR(__xludf.DUMMYFUNCTION("GOOGLETRANSLATE(B16237,""en"",""it"")"),"Una persona viene vista piegarsi sulle gambe con una persona che mette la crema da barba su tutta la gamba.")</f>
        <v>Una persona viene vista piegarsi sulle gambe con una persona che mette la crema da barba su tutta la gamba.</v>
      </c>
    </row>
    <row r="16238">
      <c r="A16238" s="4" t="s">
        <v>20452</v>
      </c>
      <c r="B16238" s="4" t="s">
        <v>20454</v>
      </c>
      <c r="C16238" s="5" t="str">
        <f>IFERROR(__xludf.DUMMYFUNCTION("GOOGLETRANSLATE(B16238,""en"",""it"")"),"La persona quindi afferra un rasoio e inizia a radere la gamba dell'uomo mentre la immerge in un lavandino.")</f>
        <v>La persona quindi afferra un rasoio e inizia a radere la gamba dell'uomo mentre la immerge in un lavandino.</v>
      </c>
    </row>
    <row r="16239">
      <c r="A16239" s="4" t="s">
        <v>20452</v>
      </c>
      <c r="B16239" s="4" t="s">
        <v>20455</v>
      </c>
      <c r="C16239" s="5" t="str">
        <f>IFERROR(__xludf.DUMMYFUNCTION("GOOGLETRANSLATE(B16239,""en"",""it"")"),"La donna continua a radersi la gamba mentre si fa indietro al lavandino e lui beve qualcosa.")</f>
        <v>La donna continua a radersi la gamba mentre si fa indietro al lavandino e lui beve qualcosa.</v>
      </c>
    </row>
    <row r="16240">
      <c r="A16240" s="4" t="s">
        <v>20456</v>
      </c>
      <c r="B16240" s="6" t="s">
        <v>20457</v>
      </c>
      <c r="C16240" s="5" t="str">
        <f>IFERROR(__xludf.DUMMYFUNCTION("GOOGLETRANSLATE(B16240,""en"",""it"")"),"Una palla da uomo rotola attraverso un campo da baseball e un ragazzino in una camicia verde prende a calci la palla e corre intorno alle basi.")</f>
        <v>Una palla da uomo rotola attraverso un campo da baseball e un ragazzino in una camicia verde prende a calci la palla e corre intorno alle basi.</v>
      </c>
    </row>
    <row r="16241">
      <c r="A16241" s="4" t="s">
        <v>20456</v>
      </c>
      <c r="B16241" s="4" t="s">
        <v>20458</v>
      </c>
      <c r="C16241" s="5" t="str">
        <f>IFERROR(__xludf.DUMMYFUNCTION("GOOGLETRANSLATE(B16241,""en"",""it"")"),"Il ragazzo si ferma e guarda la fotocamera, quindi ricomincia a funzionare.")</f>
        <v>Il ragazzo si ferma e guarda la fotocamera, quindi ricomincia a funzionare.</v>
      </c>
    </row>
    <row r="16242">
      <c r="A16242" s="4" t="s">
        <v>20456</v>
      </c>
      <c r="B16242" s="4" t="s">
        <v>20459</v>
      </c>
      <c r="C16242" s="5" t="str">
        <f>IFERROR(__xludf.DUMMYFUNCTION("GOOGLETRANSLATE(B16242,""en"",""it"")"),"Una persona corre davanti alla fotocamera.")</f>
        <v>Una persona corre davanti alla fotocamera.</v>
      </c>
    </row>
    <row r="16243">
      <c r="A16243" s="4" t="s">
        <v>20456</v>
      </c>
      <c r="B16243" s="4" t="s">
        <v>20460</v>
      </c>
      <c r="C16243" s="5" t="str">
        <f>IFERROR(__xludf.DUMMYFUNCTION("GOOGLETRANSLATE(B16243,""en"",""it"")"),"Il ragazzo arriva a casa mentre una signora insegue una palla al recinto.")</f>
        <v>Il ragazzo arriva a casa mentre una signora insegue una palla al recinto.</v>
      </c>
    </row>
    <row r="16244">
      <c r="A16244" s="4" t="s">
        <v>20461</v>
      </c>
      <c r="B16244" s="6" t="s">
        <v>20462</v>
      </c>
      <c r="C16244" s="5" t="str">
        <f>IFERROR(__xludf.DUMMYFUNCTION("GOOGLETRANSLATE(B16244,""en"",""it"")"),"Il ragazzo con il cappello rosso e il cappotto blu vengono tirati in un tubo rosso da una corda su alcune strade ghiacciate.")</f>
        <v>Il ragazzo con il cappello rosso e il cappotto blu vengono tirati in un tubo rosso da una corda su alcune strade ghiacciate.</v>
      </c>
    </row>
    <row r="16245">
      <c r="A16245" s="4" t="s">
        <v>20461</v>
      </c>
      <c r="B16245" s="4" t="s">
        <v>20463</v>
      </c>
      <c r="C16245" s="5" t="str">
        <f>IFERROR(__xludf.DUMMYFUNCTION("GOOGLETRANSLATE(B16245,""en"",""it"")"),"Un uomo con un cappello nero ha il suo turno con il tubo.")</f>
        <v>Un uomo con un cappello nero ha il suo turno con il tubo.</v>
      </c>
    </row>
    <row r="16246">
      <c r="A16246" s="4" t="s">
        <v>20461</v>
      </c>
      <c r="B16246" s="4" t="s">
        <v>20464</v>
      </c>
      <c r="C16246" s="5" t="str">
        <f>IFERROR(__xludf.DUMMYFUNCTION("GOOGLETRANSLATE(B16246,""en"",""it"")"),"Un uomo con un cappello grigio colpisce un terrapieno di neve con il tubo.")</f>
        <v>Un uomo con un cappello grigio colpisce un terrapieno di neve con il tubo.</v>
      </c>
    </row>
    <row r="16247">
      <c r="A16247" s="4" t="s">
        <v>20461</v>
      </c>
      <c r="B16247" s="4" t="s">
        <v>20465</v>
      </c>
      <c r="C16247" s="5" t="str">
        <f>IFERROR(__xludf.DUMMYFUNCTION("GOOGLETRANSLATE(B16247,""en"",""it"")"),"Un uomo sale su una collina di neve nel tubo.")</f>
        <v>Un uomo sale su una collina di neve nel tubo.</v>
      </c>
    </row>
    <row r="16248">
      <c r="A16248" s="4" t="s">
        <v>20461</v>
      </c>
      <c r="B16248" s="4" t="s">
        <v>20466</v>
      </c>
      <c r="C16248" s="5" t="str">
        <f>IFERROR(__xludf.DUMMYFUNCTION("GOOGLETRANSLATE(B16248,""en"",""it"")"),"Più persone iniziano a scivolare ma questa volta è con una piccola slitta, non un tubo.")</f>
        <v>Più persone iniziano a scivolare ma questa volta è con una piccola slitta, non un tubo.</v>
      </c>
    </row>
    <row r="16249">
      <c r="A16249" s="4" t="s">
        <v>20461</v>
      </c>
      <c r="B16249" s="4" t="s">
        <v>20467</v>
      </c>
      <c r="C16249" s="5" t="str">
        <f>IFERROR(__xludf.DUMMYFUNCTION("GOOGLETRANSLATE(B16249,""en"",""it"")"),"Un uomo lascia andare la corda e colpisce un terrapieno di neve.")</f>
        <v>Un uomo lascia andare la corda e colpisce un terrapieno di neve.</v>
      </c>
    </row>
    <row r="16250">
      <c r="A16250" s="4" t="s">
        <v>20461</v>
      </c>
      <c r="B16250" s="4" t="s">
        <v>20468</v>
      </c>
      <c r="C16250" s="5" t="str">
        <f>IFERROR(__xludf.DUMMYFUNCTION("GOOGLETRANSLATE(B16250,""en"",""it"")"),"Un gruppo di amici si siede su un divano insieme.")</f>
        <v>Un gruppo di amici si siede su un divano insieme.</v>
      </c>
    </row>
    <row r="16251">
      <c r="A16251" s="4" t="s">
        <v>20469</v>
      </c>
      <c r="B16251" s="6" t="s">
        <v>20470</v>
      </c>
      <c r="C16251" s="5" t="str">
        <f>IFERROR(__xludf.DUMMYFUNCTION("GOOGLETRANSLATE(B16251,""en"",""it"")"),"Un uomo che indossa solo pantaloncini neri, sandali e una cintura, si arrampica su una roccia usando una corda in un ambiente naturale pieno di alberi e fogliame.")</f>
        <v>Un uomo che indossa solo pantaloncini neri, sandali e una cintura, si arrampica su una roccia usando una corda in un ambiente naturale pieno di alberi e fogliame.</v>
      </c>
    </row>
    <row r="16252">
      <c r="A16252" s="4" t="s">
        <v>20469</v>
      </c>
      <c r="B16252" s="4" t="s">
        <v>20471</v>
      </c>
      <c r="C16252" s="5" t="str">
        <f>IFERROR(__xludf.DUMMYFUNCTION("GOOGLETRANSLATE(B16252,""en"",""it"")"),"L'uomo con i pantaloncini neri si trova sul fondo della roccia e inizia a scalare la roccia.")</f>
        <v>L'uomo con i pantaloncini neri si trova sul fondo della roccia e inizia a scalare la roccia.</v>
      </c>
    </row>
    <row r="16253">
      <c r="A16253" s="4" t="s">
        <v>20469</v>
      </c>
      <c r="B16253" s="6" t="s">
        <v>20472</v>
      </c>
      <c r="C16253" s="5" t="str">
        <f>IFERROR(__xludf.DUMMYFUNCTION("GOOGLETRANSLATE(B16253,""en"",""it"")"),"L'uomo si arrampica dal fondo usando le ginocchia per ottenere equilibrio e una corda per stabilire quando si perde la presa con le rocce.")</f>
        <v>L'uomo si arrampica dal fondo usando le ginocchia per ottenere equilibrio e una corda per stabilire quando si perde la presa con le rocce.</v>
      </c>
    </row>
    <row r="16254">
      <c r="A16254" s="4" t="s">
        <v>20469</v>
      </c>
      <c r="B16254" s="4" t="s">
        <v>20473</v>
      </c>
      <c r="C16254" s="5" t="str">
        <f>IFERROR(__xludf.DUMMYFUNCTION("GOOGLETRANSLATE(B16254,""en"",""it"")"),"L'uomo raggiunge la cima della roccia mentre la corda marrone chiaro, dietro, penzola.")</f>
        <v>L'uomo raggiunge la cima della roccia mentre la corda marrone chiaro, dietro, penzola.</v>
      </c>
    </row>
    <row r="16255">
      <c r="A16255" s="4" t="s">
        <v>20474</v>
      </c>
      <c r="B16255" s="4" t="s">
        <v>20475</v>
      </c>
      <c r="C16255" s="5" t="str">
        <f>IFERROR(__xludf.DUMMYFUNCTION("GOOGLETRANSLATE(B16255,""en"",""it"")"),"Un uomo cade mentre prova la ciotola lungo una corsia.")</f>
        <v>Un uomo cade mentre prova la ciotola lungo una corsia.</v>
      </c>
    </row>
    <row r="16256">
      <c r="A16256" s="4" t="s">
        <v>20474</v>
      </c>
      <c r="B16256" s="4" t="s">
        <v>20476</v>
      </c>
      <c r="C16256" s="5" t="str">
        <f>IFERROR(__xludf.DUMMYFUNCTION("GOOGLETRANSLATE(B16256,""en"",""it"")"),"Una donna cade cercando di lanciare.")</f>
        <v>Una donna cade cercando di lanciare.</v>
      </c>
    </row>
    <row r="16257">
      <c r="A16257" s="4" t="s">
        <v>20474</v>
      </c>
      <c r="B16257" s="4" t="s">
        <v>20477</v>
      </c>
      <c r="C16257" s="5" t="str">
        <f>IFERROR(__xludf.DUMMYFUNCTION("GOOGLETRANSLATE(B16257,""en"",""it"")"),"Un uomo lancia una palla da bowling e colpisce il soffitto.")</f>
        <v>Un uomo lancia una palla da bowling e colpisce il soffitto.</v>
      </c>
    </row>
    <row r="16258">
      <c r="A16258" s="4" t="s">
        <v>20474</v>
      </c>
      <c r="B16258" s="4" t="s">
        <v>20478</v>
      </c>
      <c r="C16258" s="5" t="str">
        <f>IFERROR(__xludf.DUMMYFUNCTION("GOOGLETRANSLATE(B16258,""en"",""it"")"),"Un uomo scivola e cade mentre sta cercando di lanciare.")</f>
        <v>Un uomo scivola e cade mentre sta cercando di lanciare.</v>
      </c>
    </row>
    <row r="16259">
      <c r="A16259" s="4" t="s">
        <v>20479</v>
      </c>
      <c r="B16259" s="4" t="s">
        <v>20480</v>
      </c>
      <c r="C16259" s="5" t="str">
        <f>IFERROR(__xludf.DUMMYFUNCTION("GOOGLETRANSLATE(B16259,""en"",""it"")"),"Una persona lancia uno sci capovolto.")</f>
        <v>Una persona lancia uno sci capovolto.</v>
      </c>
    </row>
    <row r="16260">
      <c r="A16260" s="4" t="s">
        <v>20479</v>
      </c>
      <c r="B16260" s="4" t="s">
        <v>20481</v>
      </c>
      <c r="C16260" s="5" t="str">
        <f>IFERROR(__xludf.DUMMYFUNCTION("GOOGLETRANSLATE(B16260,""en"",""it"")"),"Si sciolgono sul fondo dello sci.")</f>
        <v>Si sciolgono sul fondo dello sci.</v>
      </c>
    </row>
    <row r="16261">
      <c r="A16261" s="4" t="s">
        <v>20479</v>
      </c>
      <c r="B16261" s="4" t="s">
        <v>20482</v>
      </c>
      <c r="C16261" s="5" t="str">
        <f>IFERROR(__xludf.DUMMYFUNCTION("GOOGLETRANSLATE(B16261,""en"",""it"")"),"Corrono il ferro sopra la cima dello sci.")</f>
        <v>Corrono il ferro sopra la cima dello sci.</v>
      </c>
    </row>
    <row r="16262">
      <c r="A16262" s="4" t="s">
        <v>20483</v>
      </c>
      <c r="B16262" s="4" t="s">
        <v>20484</v>
      </c>
      <c r="C16262" s="5" t="str">
        <f>IFERROR(__xludf.DUMMYFUNCTION("GOOGLETRANSLATE(B16262,""en"",""it"")"),"Una ginnasta si alza e fa saltare le braccia prima di un'esibizione.")</f>
        <v>Una ginnasta si alza e fa saltare le braccia prima di un'esibizione.</v>
      </c>
    </row>
    <row r="16263">
      <c r="A16263" s="4" t="s">
        <v>20483</v>
      </c>
      <c r="B16263" s="4" t="s">
        <v>20485</v>
      </c>
      <c r="C16263" s="5" t="str">
        <f>IFERROR(__xludf.DUMMYFUNCTION("GOOGLETRANSLATE(B16263,""en"",""it"")"),"La ginnasta salta su e monta il raggio di equilibrio.")</f>
        <v>La ginnasta salta su e monta il raggio di equilibrio.</v>
      </c>
    </row>
    <row r="16264">
      <c r="A16264" s="4" t="s">
        <v>20483</v>
      </c>
      <c r="B16264" s="4" t="s">
        <v>20486</v>
      </c>
      <c r="C16264" s="5" t="str">
        <f>IFERROR(__xludf.DUMMYFUNCTION("GOOGLETRANSLATE(B16264,""en"",""it"")"),"La ginnasta fa una routine sul raggio di equilibrio facendo giri e molle a mano.")</f>
        <v>La ginnasta fa una routine sul raggio di equilibrio facendo giri e molle a mano.</v>
      </c>
    </row>
    <row r="16265">
      <c r="A16265" s="4" t="s">
        <v>20483</v>
      </c>
      <c r="B16265" s="4" t="s">
        <v>20487</v>
      </c>
      <c r="C16265" s="5" t="str">
        <f>IFERROR(__xludf.DUMMYFUNCTION("GOOGLETRANSLATE(B16265,""en"",""it"")"),"La ginnasta salta e fa le divisioni in aria.")</f>
        <v>La ginnasta salta e fa le divisioni in aria.</v>
      </c>
    </row>
    <row r="16266">
      <c r="A16266" s="4" t="s">
        <v>20483</v>
      </c>
      <c r="B16266" s="4" t="s">
        <v>20488</v>
      </c>
      <c r="C16266" s="5" t="str">
        <f>IFERROR(__xludf.DUMMYFUNCTION("GOOGLETRANSLATE(B16266,""en"",""it"")"),"La ginnasta smonta l'equilibrio sul tappeto.")</f>
        <v>La ginnasta smonta l'equilibrio sul tappeto.</v>
      </c>
    </row>
    <row r="16267">
      <c r="A16267" s="4" t="s">
        <v>20489</v>
      </c>
      <c r="B16267" s="4" t="s">
        <v>20490</v>
      </c>
      <c r="C16267" s="5" t="str">
        <f>IFERROR(__xludf.DUMMYFUNCTION("GOOGLETRANSLATE(B16267,""en"",""it"")"),"Vediamo una scena di apertura bianca.")</f>
        <v>Vediamo una scena di apertura bianca.</v>
      </c>
    </row>
    <row r="16268">
      <c r="A16268" s="4" t="s">
        <v>20489</v>
      </c>
      <c r="B16268" s="4" t="s">
        <v>20491</v>
      </c>
      <c r="C16268" s="5" t="str">
        <f>IFERROR(__xludf.DUMMYFUNCTION("GOOGLETRANSLATE(B16268,""en"",""it"")"),"Vediamo una signora in cucina parlare e cucinare.")</f>
        <v>Vediamo una signora in cucina parlare e cucinare.</v>
      </c>
    </row>
    <row r="16269">
      <c r="A16269" s="4" t="s">
        <v>20489</v>
      </c>
      <c r="B16269" s="4" t="s">
        <v>20492</v>
      </c>
      <c r="C16269" s="5" t="str">
        <f>IFERROR(__xludf.DUMMYFUNCTION("GOOGLETRANSLATE(B16269,""en"",""it"")"),"La signora taglia una patata e la mette in acqua.")</f>
        <v>La signora taglia una patata e la mette in acqua.</v>
      </c>
    </row>
    <row r="16270">
      <c r="A16270" s="4" t="s">
        <v>20489</v>
      </c>
      <c r="B16270" s="4" t="s">
        <v>20493</v>
      </c>
      <c r="C16270" s="5" t="str">
        <f>IFERROR(__xludf.DUMMYFUNCTION("GOOGLETRANSLATE(B16270,""en"",""it"")"),"La signora mette la patata in acqua fredda.")</f>
        <v>La signora mette la patata in acqua fredda.</v>
      </c>
    </row>
    <row r="16271">
      <c r="A16271" s="4" t="s">
        <v>20489</v>
      </c>
      <c r="B16271" s="4" t="s">
        <v>20494</v>
      </c>
      <c r="C16271" s="5" t="str">
        <f>IFERROR(__xludf.DUMMYFUNCTION("GOOGLETRANSLATE(B16271,""en"",""it"")"),"La signora sta sfuggendo facilmente la pelle dalla patata.")</f>
        <v>La signora sta sfuggendo facilmente la pelle dalla patata.</v>
      </c>
    </row>
    <row r="16272">
      <c r="A16272" s="4" t="s">
        <v>20489</v>
      </c>
      <c r="B16272" s="4" t="s">
        <v>2486</v>
      </c>
      <c r="C16272" s="5" t="str">
        <f>IFERROR(__xludf.DUMMYFUNCTION("GOOGLETRANSLATE(B16272,""en"",""it"")"),"Vediamo lo schermo di chiusura.")</f>
        <v>Vediamo lo schermo di chiusura.</v>
      </c>
    </row>
    <row r="16273">
      <c r="A16273" s="4" t="s">
        <v>20495</v>
      </c>
      <c r="B16273" s="4" t="s">
        <v>20496</v>
      </c>
      <c r="C16273" s="5" t="str">
        <f>IFERROR(__xludf.DUMMYFUNCTION("GOOGLETRANSLATE(B16273,""en"",""it"")"),"Uno chef sta mescolando acqua e aceto in una ciotola di vetro e aggiungendo peperoncini secchi.")</f>
        <v>Uno chef sta mescolando acqua e aceto in una ciotola di vetro e aggiungendo peperoncini secchi.</v>
      </c>
    </row>
    <row r="16274">
      <c r="A16274" s="4" t="s">
        <v>20495</v>
      </c>
      <c r="B16274" s="6" t="s">
        <v>20497</v>
      </c>
      <c r="C16274" s="5" t="str">
        <f>IFERROR(__xludf.DUMMYFUNCTION("GOOGLETRANSLATE(B16274,""en"",""it"")"),"Quindi in un frullatore, lo chef mescola capperi, aglio, acciughe e olive nere insieme ad un po 'di olio d'oliva.")</f>
        <v>Quindi in un frullatore, lo chef mescola capperi, aglio, acciughe e olive nere insieme ad un po 'di olio d'oliva.</v>
      </c>
    </row>
    <row r="16275">
      <c r="A16275" s="4" t="s">
        <v>20495</v>
      </c>
      <c r="B16275" s="4" t="s">
        <v>20498</v>
      </c>
      <c r="C16275" s="5" t="str">
        <f>IFERROR(__xludf.DUMMYFUNCTION("GOOGLETRANSLATE(B16275,""en"",""it"")"),"Lo chef schiaccia gli ingredienti in una pasta.")</f>
        <v>Lo chef schiaccia gli ingredienti in una pasta.</v>
      </c>
    </row>
    <row r="16276">
      <c r="A16276" s="4" t="s">
        <v>20495</v>
      </c>
      <c r="B16276" s="4" t="s">
        <v>20499</v>
      </c>
      <c r="C16276" s="5" t="str">
        <f>IFERROR(__xludf.DUMMYFUNCTION("GOOGLETRANSLATE(B16276,""en"",""it"")"),"Lo chef aggiunge un po 'di aglio all'olio in una padella e lo salta con dei pomodori secchi.")</f>
        <v>Lo chef aggiunge un po 'di aglio all'olio in una padella e lo salta con dei pomodori secchi.</v>
      </c>
    </row>
    <row r="16277">
      <c r="A16277" s="4" t="s">
        <v>20495</v>
      </c>
      <c r="B16277" s="4" t="s">
        <v>20500</v>
      </c>
      <c r="C16277" s="5" t="str">
        <f>IFERROR(__xludf.DUMMYFUNCTION("GOOGLETRANSLATE(B16277,""en"",""it"")"),"Quindi aggiunge la tapenata di olive alla padella.")</f>
        <v>Quindi aggiunge la tapenata di olive alla padella.</v>
      </c>
    </row>
    <row r="16278">
      <c r="A16278" s="4" t="s">
        <v>20495</v>
      </c>
      <c r="B16278" s="4" t="s">
        <v>20501</v>
      </c>
      <c r="C16278" s="5" t="str">
        <f>IFERROR(__xludf.DUMMYFUNCTION("GOOGLETRANSLATE(B16278,""en"",""it"")"),"Lo chef quindi unisce un po 'di prezzemolo e aglio insieme.")</f>
        <v>Lo chef quindi unisce un po 'di prezzemolo e aglio insieme.</v>
      </c>
    </row>
    <row r="16279">
      <c r="A16279" s="4" t="s">
        <v>20495</v>
      </c>
      <c r="B16279" s="4" t="s">
        <v>20502</v>
      </c>
      <c r="C16279" s="5" t="str">
        <f>IFERROR(__xludf.DUMMYFUNCTION("GOOGLETRANSLATE(B16279,""en"",""it"")"),"Quindi aggiunge alcuni spaghetti all'acqua salata bollente e la cucina.")</f>
        <v>Quindi aggiunge alcuni spaghetti all'acqua salata bollente e la cucina.</v>
      </c>
    </row>
    <row r="16280">
      <c r="A16280" s="4" t="s">
        <v>20495</v>
      </c>
      <c r="B16280" s="4" t="s">
        <v>20503</v>
      </c>
      <c r="C16280" s="5" t="str">
        <f>IFERROR(__xludf.DUMMYFUNCTION("GOOGLETRANSLATE(B16280,""en"",""it"")"),"Aggiunge il prezzemolo tritato agli spaghetti e lo mescola bene insieme alla tapenade di oliva.")</f>
        <v>Aggiunge il prezzemolo tritato agli spaghetti e lo mescola bene insieme alla tapenade di oliva.</v>
      </c>
    </row>
    <row r="16281">
      <c r="A16281" s="4" t="s">
        <v>20504</v>
      </c>
      <c r="B16281" s="4" t="s">
        <v>20505</v>
      </c>
      <c r="C16281" s="5" t="str">
        <f>IFERROR(__xludf.DUMMYFUNCTION("GOOGLETRANSLATE(B16281,""en"",""it"")"),"Una persona sta mettendo la glassa nera su una torta.")</f>
        <v>Una persona sta mettendo la glassa nera su una torta.</v>
      </c>
    </row>
    <row r="16282">
      <c r="A16282" s="4" t="s">
        <v>20504</v>
      </c>
      <c r="B16282" s="4" t="s">
        <v>20506</v>
      </c>
      <c r="C16282" s="5" t="str">
        <f>IFERROR(__xludf.DUMMYFUNCTION("GOOGLETRANSLATE(B16282,""en"",""it"")"),"Versano la ciliegina in cima da una pentola.")</f>
        <v>Versano la ciliegina in cima da una pentola.</v>
      </c>
    </row>
    <row r="16283">
      <c r="A16283" s="4" t="s">
        <v>20504</v>
      </c>
      <c r="B16283" s="4" t="s">
        <v>20507</v>
      </c>
      <c r="C16283" s="5" t="str">
        <f>IFERROR(__xludf.DUMMYFUNCTION("GOOGLETRANSLATE(B16283,""en"",""it"")"),"Mettono fragole, mirtilli, lamponi e bacche nere sopra la torta.")</f>
        <v>Mettono fragole, mirtilli, lamponi e bacche nere sopra la torta.</v>
      </c>
    </row>
    <row r="16284">
      <c r="A16284" s="4" t="s">
        <v>20508</v>
      </c>
      <c r="B16284" s="6" t="s">
        <v>20509</v>
      </c>
      <c r="C16284" s="5" t="str">
        <f>IFERROR(__xludf.DUMMYFUNCTION("GOOGLETRANSLATE(B16284,""en"",""it"")"),"Un folto gruppo di persone si vede rimbalzare sui trampolini che lanciano Dodgeball.")</f>
        <v>Un folto gruppo di persone si vede rimbalzare sui trampolini che lanciano Dodgeball.</v>
      </c>
    </row>
    <row r="16285">
      <c r="A16285" s="4" t="s">
        <v>20508</v>
      </c>
      <c r="B16285" s="4" t="s">
        <v>20510</v>
      </c>
      <c r="C16285" s="5" t="str">
        <f>IFERROR(__xludf.DUMMYFUNCTION("GOOGLETRANSLATE(B16285,""en"",""it"")"),"La telecamera si avvicina alle persone all'esterno e torna ai bambini che giocano.")</f>
        <v>La telecamera si avvicina alle persone all'esterno e torna ai bambini che giocano.</v>
      </c>
    </row>
    <row r="16286">
      <c r="A16286" s="4" t="s">
        <v>20511</v>
      </c>
      <c r="B16286" s="6" t="s">
        <v>20512</v>
      </c>
      <c r="C16286" s="5" t="str">
        <f>IFERROR(__xludf.DUMMYFUNCTION("GOOGLETRANSLATE(B16286,""en"",""it"")"),"Appare uno schermo rosa che hanno numeri neri e parole che leggono ""Handbagbuyer 82"", quindi i cuori sembrano svanire dallo schermo introduttivo e una donna bionda sorridente che indossa il verde sembra parlare direttamente alla telecamera.")</f>
        <v>Appare uno schermo rosa che hanno numeri neri e parole che leggono "Handbagbuyer 82", quindi i cuori sembrano svanire dallo schermo introduttivo e una donna bionda sorridente che indossa il verde sembra parlare direttamente alla telecamera.</v>
      </c>
    </row>
    <row r="16287">
      <c r="A16287" s="4" t="s">
        <v>20511</v>
      </c>
      <c r="B16287" s="6" t="s">
        <v>20513</v>
      </c>
      <c r="C16287" s="5" t="str">
        <f>IFERROR(__xludf.DUMMYFUNCTION("GOOGLETRANSLATE(B16287,""en"",""it"")"),"La donna raccoglie quindi un vassoio con una copertina che include bigodini colorati di dimensioni diverse e continua a parlare mentre li indica.")</f>
        <v>La donna raccoglie quindi un vassoio con una copertina che include bigodini colorati di dimensioni diverse e continua a parlare mentre li indica.</v>
      </c>
    </row>
    <row r="16288">
      <c r="A16288" s="4" t="s">
        <v>20511</v>
      </c>
      <c r="B16288" s="6" t="s">
        <v>20514</v>
      </c>
      <c r="C16288" s="5" t="str">
        <f>IFERROR(__xludf.DUMMYFUNCTION("GOOGLETRANSLATE(B16288,""en"",""it"")"),"La donna quindi raccoglie una borsa nera e ne prende una clip d'argento, la rimette nella borsa e mette la borsa sul lato e continua a parlare.")</f>
        <v>La donna quindi raccoglie una borsa nera e ne prende una clip d'argento, la rimette nella borsa e mette la borsa sul lato e continua a parlare.</v>
      </c>
    </row>
    <row r="16289">
      <c r="A16289" s="4" t="s">
        <v>20511</v>
      </c>
      <c r="B16289" s="6" t="s">
        <v>20515</v>
      </c>
      <c r="C16289" s="5" t="str">
        <f>IFERROR(__xludf.DUMMYFUNCTION("GOOGLETRANSLATE(B16289,""en"",""it"")"),"La donna ora è in piedi in un bagno indossando un maglione rosso con Hello Kitty sul davanti e si sta spazzando i capelli, rotolandoli tra i bigodini e tagliandoli individualmente con la clip d'argento e i bigodini che ha mostrato in precedenza.")</f>
        <v>La donna ora è in piedi in un bagno indossando un maglione rosso con Hello Kitty sul davanti e si sta spazzando i capelli, rotolandoli tra i bigodini e tagliandoli individualmente con la clip d'argento e i bigodini che ha mostrato in precedenza.</v>
      </c>
    </row>
    <row r="16290">
      <c r="A16290" s="4" t="s">
        <v>20511</v>
      </c>
      <c r="B16290" s="6" t="s">
        <v>20516</v>
      </c>
      <c r="C16290" s="5" t="str">
        <f>IFERROR(__xludf.DUMMYFUNCTION("GOOGLETRANSLATE(B16290,""en"",""it"")"),"Quando completa mettendo tutti i bigodini che possono adattarsi a tutta la testa, sorride alla telecamera e gira la testa da un lato all'altro.")</f>
        <v>Quando completa mettendo tutti i bigodini che possono adattarsi a tutta la testa, sorride alla telecamera e gira la testa da un lato all'altro.</v>
      </c>
    </row>
    <row r="16291">
      <c r="A16291" s="4" t="s">
        <v>20511</v>
      </c>
      <c r="B16291" s="6" t="s">
        <v>20517</v>
      </c>
      <c r="C16291" s="5" t="str">
        <f>IFERROR(__xludf.DUMMYFUNCTION("GOOGLETRANSLATE(B16291,""en"",""it"")"),"La donna ora è in piedi in bagno indossando di nuovo il verde e lei ha i capelli e sta parlando e usa le mani per muoversi i capelli per mostrare i ricci.")</f>
        <v>La donna ora è in piedi in bagno indossando di nuovo il verde e lei ha i capelli e sta parlando e usa le mani per muoversi i capelli per mostrare i ricci.</v>
      </c>
    </row>
    <row r="16292">
      <c r="A16292" s="4" t="s">
        <v>20511</v>
      </c>
      <c r="B16292" s="6" t="s">
        <v>20518</v>
      </c>
      <c r="C16292" s="5" t="str">
        <f>IFERROR(__xludf.DUMMYFUNCTION("GOOGLETRANSLATE(B16292,""en"",""it"")"),"Lo scrolo di outro è rosa e termina con parole nere e poi uno schermo nero che ha una coppia di labbra rossa di clip art.")</f>
        <v>Lo scrolo di outro è rosa e termina con parole nere e poi uno schermo nero che ha una coppia di labbra rossa di clip art.</v>
      </c>
    </row>
    <row r="16293">
      <c r="A16293" s="4" t="s">
        <v>20519</v>
      </c>
      <c r="B16293" s="4" t="s">
        <v>20520</v>
      </c>
      <c r="C16293" s="5" t="str">
        <f>IFERROR(__xludf.DUMMYFUNCTION("GOOGLETRANSLATE(B16293,""en"",""it"")"),"La donna è in piedi in un campo verde praticando l'equilibrio di una palla in una mazza da golf.")</f>
        <v>La donna è in piedi in un campo verde praticando l'equilibrio di una palla in una mazza da golf.</v>
      </c>
    </row>
    <row r="16294">
      <c r="A16294" s="4" t="s">
        <v>20519</v>
      </c>
      <c r="B16294" s="6" t="s">
        <v>20521</v>
      </c>
      <c r="C16294" s="5" t="str">
        <f>IFERROR(__xludf.DUMMYFUNCTION("GOOGLETRANSLATE(B16294,""en"",""it"")"),"Un'altra donna è in campo e si esercita con la ragazza che passa la palla da una mazza da golf all'altra.")</f>
        <v>Un'altra donna è in campo e si esercita con la ragazza che passa la palla da una mazza da golf all'altra.</v>
      </c>
    </row>
    <row r="16295">
      <c r="A16295" s="4" t="s">
        <v>20519</v>
      </c>
      <c r="B16295" s="4" t="s">
        <v>20522</v>
      </c>
      <c r="C16295" s="5" t="str">
        <f>IFERROR(__xludf.DUMMYFUNCTION("GOOGLETRANSLATE(B16295,""en"",""it"")"),"Sullo sfondo le auto sono parcheggiate in un parcheggio.")</f>
        <v>Sullo sfondo le auto sono parcheggiate in un parcheggio.</v>
      </c>
    </row>
    <row r="16296">
      <c r="A16296" s="4" t="s">
        <v>20523</v>
      </c>
      <c r="B16296" s="6" t="s">
        <v>20524</v>
      </c>
      <c r="C16296" s="5" t="str">
        <f>IFERROR(__xludf.DUMMYFUNCTION("GOOGLETRANSLATE(B16296,""en"",""it"")"),"Viene visto un uomo parlare alla telecamera mentre indica vari strumenti e oggetti di legno di fronte a lui.")</f>
        <v>Viene visto un uomo parlare alla telecamera mentre indica vari strumenti e oggetti di legno di fronte a lui.</v>
      </c>
    </row>
    <row r="16297">
      <c r="A16297" s="4" t="s">
        <v>20523</v>
      </c>
      <c r="B16297" s="4" t="s">
        <v>20525</v>
      </c>
      <c r="C16297" s="5" t="str">
        <f>IFERROR(__xludf.DUMMYFUNCTION("GOOGLETRANSLATE(B16297,""en"",""it"")"),"L'uomo sgancia il lato seguito da levigare sul lato.")</f>
        <v>L'uomo sgancia il lato seguito da levigare sul lato.</v>
      </c>
    </row>
    <row r="16298">
      <c r="A16298" s="4" t="s">
        <v>20523</v>
      </c>
      <c r="B16298" s="6" t="s">
        <v>20526</v>
      </c>
      <c r="C16298" s="5" t="str">
        <f>IFERROR(__xludf.DUMMYFUNCTION("GOOGLETRANSLATE(B16298,""en"",""it"")"),"L'uomo quindi prende un cacciavite e perfora i fori mentre si ferma per carteggiarlo e mostrarlo alla fotocamera.")</f>
        <v>L'uomo quindi prende un cacciavite e perfora i fori mentre si ferma per carteggiarlo e mostrarlo alla fotocamera.</v>
      </c>
    </row>
    <row r="16299">
      <c r="A16299" s="4" t="s">
        <v>20527</v>
      </c>
      <c r="B16299" s="6" t="s">
        <v>20528</v>
      </c>
      <c r="C16299" s="5" t="str">
        <f>IFERROR(__xludf.DUMMYFUNCTION("GOOGLETRANSLATE(B16299,""en"",""it"")"),"Una telecamera si panoramica intorno a un lago congelato con alberi e conduce in un gruppo di persone che pescano in un buco.")</f>
        <v>Una telecamera si panoramica intorno a un lago congelato con alberi e conduce in un gruppo di persone che pescano in un buco.</v>
      </c>
    </row>
    <row r="16300">
      <c r="A16300" s="4" t="s">
        <v>20527</v>
      </c>
      <c r="B16300" s="6" t="s">
        <v>20529</v>
      </c>
      <c r="C16300" s="5" t="str">
        <f>IFERROR(__xludf.DUMMYFUNCTION("GOOGLETRANSLATE(B16300,""en"",""it"")"),"Gli uomini continuano a sedersi intorno ai buchi con un palo che si parla e vagando per il ghiaccio.")</f>
        <v>Gli uomini continuano a sedersi intorno ai buchi con un palo che si parla e vagando per il ghiaccio.</v>
      </c>
    </row>
    <row r="16301">
      <c r="A16301" s="4" t="s">
        <v>20530</v>
      </c>
      <c r="B16301" s="4" t="s">
        <v>20531</v>
      </c>
      <c r="C16301" s="5" t="str">
        <f>IFERROR(__xludf.DUMMYFUNCTION("GOOGLETRANSLATE(B16301,""en"",""it"")"),"Si vede un primo piano di una zucca seguita da un bambino che si aggrappa al centro.")</f>
        <v>Si vede un primo piano di una zucca seguita da un bambino che si aggrappa al centro.</v>
      </c>
    </row>
    <row r="16302">
      <c r="A16302" s="4" t="s">
        <v>20530</v>
      </c>
      <c r="B16302" s="4" t="s">
        <v>20532</v>
      </c>
      <c r="C16302" s="5" t="str">
        <f>IFERROR(__xludf.DUMMYFUNCTION("GOOGLETRANSLATE(B16302,""en"",""it"")"),"Un altro bambino accanto a lei viene visto tagliare la zucca quando un adulto entra in telaio.")</f>
        <v>Un altro bambino accanto a lei viene visto tagliare la zucca quando un adulto entra in telaio.</v>
      </c>
    </row>
    <row r="16303">
      <c r="A16303" s="4" t="s">
        <v>20530</v>
      </c>
      <c r="B16303" s="6" t="s">
        <v>20533</v>
      </c>
      <c r="C16303" s="5" t="str">
        <f>IFERROR(__xludf.DUMMYFUNCTION("GOOGLETRANSLATE(B16303,""en"",""it"")"),"Gli adulti aiutano i bambini a sorridere alla telecamera e a tenere i semi mentre la fotocamera si muove nella stanza.")</f>
        <v>Gli adulti aiutano i bambini a sorridere alla telecamera e a tenere i semi mentre la fotocamera si muove nella stanza.</v>
      </c>
    </row>
    <row r="16304">
      <c r="A16304" s="4" t="s">
        <v>20534</v>
      </c>
      <c r="B16304" s="4" t="s">
        <v>20535</v>
      </c>
      <c r="C16304" s="5" t="str">
        <f>IFERROR(__xludf.DUMMYFUNCTION("GOOGLETRANSLATE(B16304,""en"",""it"")"),"Un uomo viene mostrato con in mano un coltello mentre si prende la telecamera e sorride.")</f>
        <v>Un uomo viene mostrato con in mano un coltello mentre si prende la telecamera e sorride.</v>
      </c>
    </row>
    <row r="16305">
      <c r="A16305" s="4" t="s">
        <v>20534</v>
      </c>
      <c r="B16305" s="4" t="s">
        <v>20536</v>
      </c>
      <c r="C16305" s="5" t="str">
        <f>IFERROR(__xludf.DUMMYFUNCTION("GOOGLETRANSLATE(B16305,""en"",""it"")"),"Comincia a tagliare il pomodoro disposto sul tavolo in varie sezioni.")</f>
        <v>Comincia a tagliare il pomodoro disposto sul tavolo in varie sezioni.</v>
      </c>
    </row>
    <row r="16306">
      <c r="A16306" s="4" t="s">
        <v>20534</v>
      </c>
      <c r="B16306" s="6" t="s">
        <v>20537</v>
      </c>
      <c r="C16306" s="5" t="str">
        <f>IFERROR(__xludf.DUMMYFUNCTION("GOOGLETRANSLATE(B16306,""en"",""it"")"),"Quindi affila il coltello sulla macchina accanto alla verdura e mostra quanto funziona meglio.")</f>
        <v>Quindi affila il coltello sulla macchina accanto alla verdura e mostra quanto funziona meglio.</v>
      </c>
    </row>
    <row r="16307">
      <c r="A16307" s="4" t="s">
        <v>20538</v>
      </c>
      <c r="B16307" s="4" t="s">
        <v>20539</v>
      </c>
      <c r="C16307" s="5" t="str">
        <f>IFERROR(__xludf.DUMMYFUNCTION("GOOGLETRANSLATE(B16307,""en"",""it"")"),"Un gruppo di persone è in tubi che galleggiano sopra acqua torbida con enormi rocce.")</f>
        <v>Un gruppo di persone è in tubi che galleggiano sopra acqua torbida con enormi rocce.</v>
      </c>
    </row>
    <row r="16308">
      <c r="A16308" s="4" t="s">
        <v>20538</v>
      </c>
      <c r="B16308" s="4" t="s">
        <v>20540</v>
      </c>
      <c r="C16308" s="5" t="str">
        <f>IFERROR(__xludf.DUMMYFUNCTION("GOOGLETRANSLATE(B16308,""en"",""it"")"),"La telecamera scruta la folla e le persone pagavano continuamente attraverso l'acqua.")</f>
        <v>La telecamera scruta la folla e le persone pagavano continuamente attraverso l'acqua.</v>
      </c>
    </row>
    <row r="16309">
      <c r="A16309" s="4" t="s">
        <v>20541</v>
      </c>
      <c r="B16309" s="4" t="s">
        <v>20542</v>
      </c>
      <c r="C16309" s="5" t="str">
        <f>IFERROR(__xludf.DUMMYFUNCTION("GOOGLETRANSLATE(B16309,""en"",""it"")"),"Guys Arm Wrestle in casa in presenza di due arbitri.")</f>
        <v>Guys Arm Wrestle in casa in presenza di due arbitri.</v>
      </c>
    </row>
    <row r="16310">
      <c r="A16310" s="4" t="s">
        <v>20541</v>
      </c>
      <c r="B16310" s="4" t="s">
        <v>20543</v>
      </c>
      <c r="C16310" s="5" t="str">
        <f>IFERROR(__xludf.DUMMYFUNCTION("GOOGLETRANSLATE(B16310,""en"",""it"")"),"Gli arbitri indicano la direzione del vincitore.")</f>
        <v>Gli arbitri indicano la direzione del vincitore.</v>
      </c>
    </row>
    <row r="16311">
      <c r="A16311" s="4" t="s">
        <v>20541</v>
      </c>
      <c r="B16311" s="4" t="s">
        <v>20544</v>
      </c>
      <c r="C16311" s="5" t="str">
        <f>IFERROR(__xludf.DUMMYFUNCTION("GOOGLETRANSLATE(B16311,""en"",""it"")"),"I giocatori danno una stretta di mano.")</f>
        <v>I giocatori danno una stretta di mano.</v>
      </c>
    </row>
    <row r="16312">
      <c r="A16312" s="4" t="s">
        <v>20545</v>
      </c>
      <c r="B16312" s="4" t="s">
        <v>20546</v>
      </c>
      <c r="C16312" s="5" t="str">
        <f>IFERROR(__xludf.DUMMYFUNCTION("GOOGLETRANSLATE(B16312,""en"",""it"")"),"Le schermate del titolo sono mostrate nel video.")</f>
        <v>Le schermate del titolo sono mostrate nel video.</v>
      </c>
    </row>
    <row r="16313">
      <c r="A16313" s="4" t="s">
        <v>20545</v>
      </c>
      <c r="B16313" s="4" t="s">
        <v>20547</v>
      </c>
      <c r="C16313" s="5" t="str">
        <f>IFERROR(__xludf.DUMMYFUNCTION("GOOGLETRANSLATE(B16313,""en"",""it"")"),"La donna dimostra l'uso di un cerchio di hula in una grande stanza mentre un'altra persona parla.")</f>
        <v>La donna dimostra l'uso di un cerchio di hula in una grande stanza mentre un'altra persona parla.</v>
      </c>
    </row>
    <row r="16314">
      <c r="A16314" s="4" t="s">
        <v>20545</v>
      </c>
      <c r="B16314" s="4" t="s">
        <v>20548</v>
      </c>
      <c r="C16314" s="5" t="str">
        <f>IFERROR(__xludf.DUMMYFUNCTION("GOOGLETRANSLATE(B16314,""en"",""it"")"),"Un'altra persona guarda attraverso la finestra della porta.")</f>
        <v>Un'altra persona guarda attraverso la finestra della porta.</v>
      </c>
    </row>
    <row r="16315">
      <c r="A16315" s="4" t="s">
        <v>20545</v>
      </c>
      <c r="B16315" s="4" t="s">
        <v>20549</v>
      </c>
      <c r="C16315" s="5" t="str">
        <f>IFERROR(__xludf.DUMMYFUNCTION("GOOGLETRANSLATE(B16315,""en"",""it"")"),"La donna smette di Hula Hooping e fa un inchino.")</f>
        <v>La donna smette di Hula Hooping e fa un inchino.</v>
      </c>
    </row>
    <row r="16316">
      <c r="A16316" s="4" t="s">
        <v>20545</v>
      </c>
      <c r="B16316" s="4" t="s">
        <v>20550</v>
      </c>
      <c r="C16316" s="5" t="str">
        <f>IFERROR(__xludf.DUMMYFUNCTION("GOOGLETRANSLATE(B16316,""en"",""it"")"),"I titoli di coda finali.")</f>
        <v>I titoli di coda finali.</v>
      </c>
    </row>
    <row r="16317">
      <c r="A16317" s="4" t="s">
        <v>20551</v>
      </c>
      <c r="B16317" s="4" t="s">
        <v>20552</v>
      </c>
      <c r="C16317" s="5" t="str">
        <f>IFERROR(__xludf.DUMMYFUNCTION("GOOGLETRANSLATE(B16317,""en"",""it"")"),"Due persone giocano a tennis su un campo.")</f>
        <v>Due persone giocano a tennis su un campo.</v>
      </c>
    </row>
    <row r="16318">
      <c r="A16318" s="4" t="s">
        <v>20551</v>
      </c>
      <c r="B16318" s="4" t="s">
        <v>20553</v>
      </c>
      <c r="C16318" s="5" t="str">
        <f>IFERROR(__xludf.DUMMYFUNCTION("GOOGLETRANSLATE(B16318,""en"",""it"")"),"Una persona ricade sulla schiena.")</f>
        <v>Una persona ricade sulla schiena.</v>
      </c>
    </row>
    <row r="16319">
      <c r="A16319" s="4" t="s">
        <v>20554</v>
      </c>
      <c r="B16319" s="6" t="s">
        <v>20555</v>
      </c>
      <c r="C16319" s="5" t="str">
        <f>IFERROR(__xludf.DUMMYFUNCTION("GOOGLETRANSLATE(B16319,""en"",""it"")"),"Un uomo ha il suo sax intorno al collo e sta spiegando le canne e la bocca e come dovresti metterti la bocca o cosa né.")</f>
        <v>Un uomo ha il suo sax intorno al collo e sta spiegando le canne e la bocca e come dovresti metterti la bocca o cosa né.</v>
      </c>
    </row>
    <row r="16320">
      <c r="A16320" s="4" t="s">
        <v>20554</v>
      </c>
      <c r="B16320" s="4" t="s">
        <v>20556</v>
      </c>
      <c r="C16320" s="5" t="str">
        <f>IFERROR(__xludf.DUMMYFUNCTION("GOOGLETRANSLATE(B16320,""en"",""it"")"),"Parla per un po 'di tempo, dimostra come sposteresti la lingua per eliminare il suono.")</f>
        <v>Parla per un po 'di tempo, dimostra come sposteresti la lingua per eliminare il suono.</v>
      </c>
    </row>
    <row r="16321">
      <c r="A16321" s="4" t="s">
        <v>20554</v>
      </c>
      <c r="B16321" s="4" t="s">
        <v>20557</v>
      </c>
      <c r="C16321" s="5" t="str">
        <f>IFERROR(__xludf.DUMMYFUNCTION("GOOGLETRANSLATE(B16321,""en"",""it"")"),"Soffia nel sax per dimostrare un po 'di più.")</f>
        <v>Soffia nel sax per dimostrare un po 'di più.</v>
      </c>
    </row>
    <row r="16322">
      <c r="A16322" s="4" t="s">
        <v>20554</v>
      </c>
      <c r="B16322" s="4" t="s">
        <v>20558</v>
      </c>
      <c r="C16322" s="5" t="str">
        <f>IFERROR(__xludf.DUMMYFUNCTION("GOOGLETRANSLATE(B16322,""en"",""it"")"),"Mette anche brevemente il dito in bocca per cercare di spiegare anche un po 'meglio.")</f>
        <v>Mette anche brevemente il dito in bocca per cercare di spiegare anche un po 'meglio.</v>
      </c>
    </row>
    <row r="16323">
      <c r="A16323" s="4" t="s">
        <v>20559</v>
      </c>
      <c r="B16323" s="4" t="s">
        <v>20560</v>
      </c>
      <c r="C16323" s="5" t="str">
        <f>IFERROR(__xludf.DUMMYFUNCTION("GOOGLETRANSLATE(B16323,""en"",""it"")"),"Un uomo spinge un tosaerba attorno a un'area prato con tende che tagliano l'erba.")</f>
        <v>Un uomo spinge un tosaerba attorno a un'area prato con tende che tagliano l'erba.</v>
      </c>
    </row>
    <row r="16324">
      <c r="A16324" s="4" t="s">
        <v>20559</v>
      </c>
      <c r="B16324" s="4" t="s">
        <v>20561</v>
      </c>
      <c r="C16324" s="5" t="str">
        <f>IFERROR(__xludf.DUMMYFUNCTION("GOOGLETRANSLATE(B16324,""en"",""it"")"),"L'uomo taglia l'erba alta attorno a un albero.")</f>
        <v>L'uomo taglia l'erba alta attorno a un albero.</v>
      </c>
    </row>
    <row r="16325">
      <c r="A16325" s="4" t="s">
        <v>20559</v>
      </c>
      <c r="B16325" s="4" t="s">
        <v>20562</v>
      </c>
      <c r="C16325" s="5" t="str">
        <f>IFERROR(__xludf.DUMMYFUNCTION("GOOGLETRANSLATE(B16325,""en"",""it"")"),"L'uomo spegne il tosaerba e si prende una pausa.")</f>
        <v>L'uomo spegne il tosaerba e si prende una pausa.</v>
      </c>
    </row>
    <row r="16326">
      <c r="A16326" s="4" t="s">
        <v>20563</v>
      </c>
      <c r="B16326" s="4" t="s">
        <v>20564</v>
      </c>
      <c r="C16326" s="5" t="str">
        <f>IFERROR(__xludf.DUMMYFUNCTION("GOOGLETRANSLATE(B16326,""en"",""it"")"),"Viene mostrato un primo piano di un paesaggio seguito da una donna che sale su una roccia sul lato.")</f>
        <v>Viene mostrato un primo piano di un paesaggio seguito da una donna che sale su una roccia sul lato.</v>
      </c>
    </row>
    <row r="16327">
      <c r="A16327" s="4" t="s">
        <v>20563</v>
      </c>
      <c r="B16327" s="4" t="s">
        <v>20565</v>
      </c>
      <c r="C16327" s="5" t="str">
        <f>IFERROR(__xludf.DUMMYFUNCTION("GOOGLETRANSLATE(B16327,""en"",""it"")"),"La donna continua a arrampicarsi e termina con lei che raggiunge la cima e alza le braccia.")</f>
        <v>La donna continua a arrampicarsi e termina con lei che raggiunge la cima e alza le braccia.</v>
      </c>
    </row>
    <row r="16328">
      <c r="A16328" s="4" t="s">
        <v>20566</v>
      </c>
      <c r="B16328" s="4" t="s">
        <v>20567</v>
      </c>
      <c r="C16328" s="5" t="str">
        <f>IFERROR(__xludf.DUMMYFUNCTION("GOOGLETRANSLATE(B16328,""en"",""it"")"),"Un gruppo di persone sta giocando a Dodge Ball in un campo.")</f>
        <v>Un gruppo di persone sta giocando a Dodge Ball in un campo.</v>
      </c>
    </row>
    <row r="16329">
      <c r="A16329" s="4" t="s">
        <v>20566</v>
      </c>
      <c r="B16329" s="4" t="s">
        <v>20568</v>
      </c>
      <c r="C16329" s="5" t="str">
        <f>IFERROR(__xludf.DUMMYFUNCTION("GOOGLETRANSLATE(B16329,""en"",""it"")"),"La gente scherza alla telecamera.")</f>
        <v>La gente scherza alla telecamera.</v>
      </c>
    </row>
    <row r="16330">
      <c r="A16330" s="4" t="s">
        <v>20569</v>
      </c>
      <c r="B16330" s="6" t="s">
        <v>20570</v>
      </c>
      <c r="C16330" s="5" t="str">
        <f>IFERROR(__xludf.DUMMYFUNCTION("GOOGLETRANSLATE(B16330,""en"",""it"")"),"Viene mostrata una parete bianca con pioli che spuntano e strisce di nastro che pendono e una ragazza inizia a scalare il muro mentre un uomo in una camicia blu inizia a parlare.")</f>
        <v>Viene mostrata una parete bianca con pioli che spuntano e strisce di nastro che pendono e una ragazza inizia a scalare il muro mentre un uomo in una camicia blu inizia a parlare.</v>
      </c>
    </row>
    <row r="16331">
      <c r="A16331" s="4" t="s">
        <v>20569</v>
      </c>
      <c r="B16331" s="4" t="s">
        <v>20571</v>
      </c>
      <c r="C16331" s="5" t="str">
        <f>IFERROR(__xludf.DUMMYFUNCTION("GOOGLETRANSLATE(B16331,""en"",""it"")"),"La giovane donna continua a progredire sul muro mentre l'uomo continua a parlare in uno schermo diviso.")</f>
        <v>La giovane donna continua a progredire sul muro mentre l'uomo continua a parlare in uno schermo diviso.</v>
      </c>
    </row>
    <row r="16332">
      <c r="A16332" s="4" t="s">
        <v>20569</v>
      </c>
      <c r="B16332" s="6" t="s">
        <v>20572</v>
      </c>
      <c r="C16332" s="5" t="str">
        <f>IFERROR(__xludf.DUMMYFUNCTION("GOOGLETRANSLATE(B16332,""en"",""it"")"),"L'uomo solleva il piede per parlare di una certa posizione e la ragazza lo dimostra mentre inizia a scendere dal piatto.")</f>
        <v>L'uomo solleva il piede per parlare di una certa posizione e la ragazza lo dimostra mentre inizia a scendere dal piatto.</v>
      </c>
    </row>
    <row r="16333">
      <c r="A16333" s="4" t="s">
        <v>20573</v>
      </c>
      <c r="B16333" s="4" t="s">
        <v>20574</v>
      </c>
      <c r="C16333" s="5" t="str">
        <f>IFERROR(__xludf.DUMMYFUNCTION("GOOGLETRANSLATE(B16333,""en"",""it"")"),"Una piccola auto è coperta da uno spesso strato di neve.")</f>
        <v>Una piccola auto è coperta da uno spesso strato di neve.</v>
      </c>
    </row>
    <row r="16334">
      <c r="A16334" s="4" t="s">
        <v>20573</v>
      </c>
      <c r="B16334" s="4" t="s">
        <v>20575</v>
      </c>
      <c r="C16334" s="5" t="str">
        <f>IFERROR(__xludf.DUMMYFUNCTION("GOOGLETRANSLATE(B16334,""en"",""it"")"),"Un uomo appare con una spazzatrice.")</f>
        <v>Un uomo appare con una spazzatrice.</v>
      </c>
    </row>
    <row r="16335">
      <c r="A16335" s="4" t="s">
        <v>20573</v>
      </c>
      <c r="B16335" s="4" t="s">
        <v>20576</v>
      </c>
      <c r="C16335" s="5" t="str">
        <f>IFERROR(__xludf.DUMMYFUNCTION("GOOGLETRANSLATE(B16335,""en"",""it"")"),"Lo usa per rastrellare tutta la neve dal veicolo.")</f>
        <v>Lo usa per rastrellare tutta la neve dal veicolo.</v>
      </c>
    </row>
    <row r="16336">
      <c r="A16336" s="4" t="s">
        <v>20577</v>
      </c>
      <c r="B16336" s="4" t="s">
        <v>20578</v>
      </c>
      <c r="C16336" s="5" t="str">
        <f>IFERROR(__xludf.DUMMYFUNCTION("GOOGLETRANSLATE(B16336,""en"",""it"")"),"L'uomo si inginocchia sul pavimento a parlare con la telecamera e mostra le piastrelle sopra il pavimento di legno.")</f>
        <v>L'uomo si inginocchia sul pavimento a parlare con la telecamera e mostra le piastrelle sopra il pavimento di legno.</v>
      </c>
    </row>
    <row r="16337">
      <c r="A16337" s="4" t="s">
        <v>20577</v>
      </c>
      <c r="B16337" s="6" t="s">
        <v>20579</v>
      </c>
      <c r="C16337" s="5" t="str">
        <f>IFERROR(__xludf.DUMMYFUNCTION("GOOGLETRANSLATE(B16337,""en"",""it"")"),"L'uomo sta mostrando un posto senza il pavimento di legno e sta mettendo il palo di legno nel pavimento misurando lo spazio.")</f>
        <v>L'uomo sta mostrando un posto senza il pavimento di legno e sta mettendo il palo di legno nel pavimento misurando lo spazio.</v>
      </c>
    </row>
    <row r="16338">
      <c r="A16338" s="4" t="s">
        <v>20577</v>
      </c>
      <c r="B16338" s="4" t="s">
        <v>20580</v>
      </c>
      <c r="C16338" s="5" t="str">
        <f>IFERROR(__xludf.DUMMYFUNCTION("GOOGLETRANSLATE(B16338,""en"",""it"")"),"L'uomo mette un foglio di legno nello spazio e mette piastrelle.")</f>
        <v>L'uomo mette un foglio di legno nello spazio e mette piastrelle.</v>
      </c>
    </row>
    <row r="16339">
      <c r="A16339" s="4" t="s">
        <v>20581</v>
      </c>
      <c r="B16339" s="4" t="s">
        <v>20582</v>
      </c>
      <c r="C16339" s="5" t="str">
        <f>IFERROR(__xludf.DUMMYFUNCTION("GOOGLETRANSLATE(B16339,""en"",""it"")"),"C'è un ragazzo seduto sul letto che mostra le sue scottature e che ci mette la crema.")</f>
        <v>C'è un ragazzo seduto sul letto che mostra le sue scottature e che ci mette la crema.</v>
      </c>
    </row>
    <row r="16340">
      <c r="A16340" s="4" t="s">
        <v>20581</v>
      </c>
      <c r="B16340" s="4" t="s">
        <v>20583</v>
      </c>
      <c r="C16340" s="5" t="str">
        <f>IFERROR(__xludf.DUMMYFUNCTION("GOOGLETRANSLATE(B16340,""en"",""it"")"),"Un amico scuote la testa a causa della scottatura del sole dell'altro ragazzo.")</f>
        <v>Un amico scuote la testa a causa della scottatura del sole dell'altro ragazzo.</v>
      </c>
    </row>
    <row r="16341">
      <c r="A16341" s="4" t="s">
        <v>20581</v>
      </c>
      <c r="B16341" s="4" t="s">
        <v>20584</v>
      </c>
      <c r="C16341" s="5" t="str">
        <f>IFERROR(__xludf.DUMMYFUNCTION("GOOGLETRANSLATE(B16341,""en"",""it"")"),"L'amico solleva la camicia per mostrare anche le sue scottature.")</f>
        <v>L'amico solleva la camicia per mostrare anche le sue scottature.</v>
      </c>
    </row>
    <row r="16342">
      <c r="A16342" s="4" t="s">
        <v>20581</v>
      </c>
      <c r="B16342" s="4" t="s">
        <v>20585</v>
      </c>
      <c r="C16342" s="5" t="str">
        <f>IFERROR(__xludf.DUMMYFUNCTION("GOOGLETRANSLATE(B16342,""en"",""it"")"),"La telecamera si muove intorno alla stanza e torna al primo ragazzo.")</f>
        <v>La telecamera si muove intorno alla stanza e torna al primo ragazzo.</v>
      </c>
    </row>
    <row r="16343">
      <c r="A16343" s="4" t="s">
        <v>20581</v>
      </c>
      <c r="B16343" s="4" t="s">
        <v>20586</v>
      </c>
      <c r="C16343" s="5" t="str">
        <f>IFERROR(__xludf.DUMMYFUNCTION("GOOGLETRANSLATE(B16343,""en"",""it"")"),"Una ragazza cammina portando un piatto, lo mette sul tavolo e fa una danza.")</f>
        <v>Una ragazza cammina portando un piatto, lo mette sul tavolo e fa una danza.</v>
      </c>
    </row>
    <row r="16344">
      <c r="A16344" s="4" t="s">
        <v>20581</v>
      </c>
      <c r="B16344" s="4" t="s">
        <v>20587</v>
      </c>
      <c r="C16344" s="5" t="str">
        <f>IFERROR(__xludf.DUMMYFUNCTION("GOOGLETRANSLATE(B16344,""en"",""it"")"),"La fotocamera si muove a uno specchio con due uomini in piedi con un telefono e salutano.")</f>
        <v>La fotocamera si muove a uno specchio con due uomini in piedi con un telefono e salutano.</v>
      </c>
    </row>
    <row r="16345">
      <c r="A16345" s="4" t="s">
        <v>20581</v>
      </c>
      <c r="B16345" s="4" t="s">
        <v>20588</v>
      </c>
      <c r="C16345" s="5" t="str">
        <f>IFERROR(__xludf.DUMMYFUNCTION("GOOGLETRANSLATE(B16345,""en"",""it"")"),"La fotocamera guarda sul balcone della stanza.")</f>
        <v>La fotocamera guarda sul balcone della stanza.</v>
      </c>
    </row>
    <row r="16346">
      <c r="A16346" s="4" t="s">
        <v>20581</v>
      </c>
      <c r="B16346" s="4" t="s">
        <v>20589</v>
      </c>
      <c r="C16346" s="5" t="str">
        <f>IFERROR(__xludf.DUMMYFUNCTION("GOOGLETRANSLATE(B16346,""en"",""it"")"),"Una donna mette un piatto di cibo su un tavolo e un uomo torna dentro.")</f>
        <v>Una donna mette un piatto di cibo su un tavolo e un uomo torna dentro.</v>
      </c>
    </row>
    <row r="16347">
      <c r="A16347" s="4" t="s">
        <v>20581</v>
      </c>
      <c r="B16347" s="4" t="s">
        <v>20590</v>
      </c>
      <c r="C16347" s="5" t="str">
        <f>IFERROR(__xludf.DUMMYFUNCTION("GOOGLETRANSLATE(B16347,""en"",""it"")"),"L'uomo bruciato dal sole si sta togliendo la camicia e la posa sul letto.")</f>
        <v>L'uomo bruciato dal sole si sta togliendo la camicia e la posa sul letto.</v>
      </c>
    </row>
    <row r="16348">
      <c r="A16348" s="4" t="s">
        <v>20581</v>
      </c>
      <c r="B16348" s="4" t="s">
        <v>20591</v>
      </c>
      <c r="C16348" s="5" t="str">
        <f>IFERROR(__xludf.DUMMYFUNCTION("GOOGLETRANSLATE(B16348,""en"",""it"")"),"I suoi amici lo aiutano con la crema sulla sua scottatura.")</f>
        <v>I suoi amici lo aiutano con la crema sulla sua scottatura.</v>
      </c>
    </row>
    <row r="16349">
      <c r="A16349" s="4" t="s">
        <v>20581</v>
      </c>
      <c r="B16349" s="4" t="s">
        <v>20592</v>
      </c>
      <c r="C16349" s="5" t="str">
        <f>IFERROR(__xludf.DUMMYFUNCTION("GOOGLETRANSLATE(B16349,""en"",""it"")"),"La donna è seduta al tavolo a mangiare.")</f>
        <v>La donna è seduta al tavolo a mangiare.</v>
      </c>
    </row>
    <row r="16350">
      <c r="A16350" s="4" t="s">
        <v>20593</v>
      </c>
      <c r="B16350" s="6" t="s">
        <v>20594</v>
      </c>
      <c r="C16350" s="5" t="str">
        <f>IFERROR(__xludf.DUMMYFUNCTION("GOOGLETRANSLATE(B16350,""en"",""it"")"),"Viene mostrato un uomo risolvendo una rube Rubix a velocità record mentre un timer sta andando e un uomo lo registra.")</f>
        <v>Viene mostrato un uomo risolvendo una rube Rubix a velocità record mentre un timer sta andando e un uomo lo registra.</v>
      </c>
    </row>
    <row r="16351">
      <c r="A16351" s="4" t="s">
        <v>20593</v>
      </c>
      <c r="B16351" s="6" t="s">
        <v>20595</v>
      </c>
      <c r="C16351" s="5" t="str">
        <f>IFERROR(__xludf.DUMMYFUNCTION("GOOGLETRANSLATE(B16351,""en"",""it"")"),"Un altro giocatore in giovane età viene mostrato risolvendo il cubo Rubix e un terzo patrono poco dopo.")</f>
        <v>Un altro giocatore in giovane età viene mostrato risolvendo il cubo Rubix e un terzo patrono poco dopo.</v>
      </c>
    </row>
    <row r="16352">
      <c r="A16352" s="4" t="s">
        <v>20596</v>
      </c>
      <c r="B16352" s="4" t="s">
        <v>20597</v>
      </c>
      <c r="C16352" s="5" t="str">
        <f>IFERROR(__xludf.DUMMYFUNCTION("GOOGLETRANSLATE(B16352,""en"",""it"")"),"I frutti canditi sono nella ciotola, quindi la donna versa il liquore e li mescolò.")</f>
        <v>I frutti canditi sono nella ciotola, quindi la donna versa il liquore e li mescolò.</v>
      </c>
    </row>
    <row r="16353">
      <c r="A16353" s="4" t="s">
        <v>20596</v>
      </c>
      <c r="B16353" s="6" t="s">
        <v>20598</v>
      </c>
      <c r="C16353" s="5" t="str">
        <f>IFERROR(__xludf.DUMMYFUNCTION("GOOGLETRANSLATE(B16353,""en"",""it"")"),"La donna ha aggiunto lo zucchero di canna sul burro, quindi ha aggiunto le uova una per una e mescolata e poi la panna, quindi farina, bicarbonato di sodio, polvere di cannella e li ha mescolati bene.")</f>
        <v>La donna ha aggiunto lo zucchero di canna sul burro, quindi ha aggiunto le uova una per una e mescolata e poi la panna, quindi farina, bicarbonato di sodio, polvere di cannella e li ha mescolati bene.</v>
      </c>
    </row>
    <row r="16354">
      <c r="A16354" s="4" t="s">
        <v>20596</v>
      </c>
      <c r="B16354" s="6" t="s">
        <v>20599</v>
      </c>
      <c r="C16354" s="5" t="str">
        <f>IFERROR(__xludf.DUMMYFUNCTION("GOOGLETRANSLATE(B16354,""en"",""it"")"),"La miscela di frutta essiccata viene aggiunta nella pastella, quindi dadi tagliuzzate e sono state mescolate bene insieme.")</f>
        <v>La miscela di frutta essiccata viene aggiunta nella pastella, quindi dadi tagliuzzate e sono state mescolate bene insieme.</v>
      </c>
    </row>
    <row r="16355">
      <c r="A16355" s="4" t="s">
        <v>20596</v>
      </c>
      <c r="B16355" s="4" t="s">
        <v>20600</v>
      </c>
      <c r="C16355" s="5" t="str">
        <f>IFERROR(__xludf.DUMMYFUNCTION("GOOGLETRANSLATE(B16355,""en"",""it"")"),"La pastella viene versata nella padella, levigare la pastella e assicurarsi che sia uniformemente distribuita.")</f>
        <v>La pastella viene versata nella padella, levigare la pastella e assicurarsi che sia uniformemente distribuita.</v>
      </c>
    </row>
    <row r="16356">
      <c r="A16356" s="4" t="s">
        <v>20601</v>
      </c>
      <c r="B16356" s="6" t="s">
        <v>20602</v>
      </c>
      <c r="C16356" s="5" t="str">
        <f>IFERROR(__xludf.DUMMYFUNCTION("GOOGLETRANSLATE(B16356,""en"",""it"")"),"Un uomo viene visto in piedi e si guarda intorno e poi pulisce una palla da bowling e si trova davanti a una corsia.")</f>
        <v>Un uomo viene visto in piedi e si guarda intorno e poi pulisce una palla da bowling e si trova davanti a una corsia.</v>
      </c>
    </row>
    <row r="16357">
      <c r="A16357" s="4" t="s">
        <v>20601</v>
      </c>
      <c r="B16357" s="4" t="s">
        <v>20603</v>
      </c>
      <c r="C16357" s="5" t="str">
        <f>IFERROR(__xludf.DUMMYFUNCTION("GOOGLETRANSLATE(B16357,""en"",""it"")"),"L'uomo abbassa la palla e colpisce diversi perni.")</f>
        <v>L'uomo abbassa la palla e colpisce diversi perni.</v>
      </c>
    </row>
    <row r="16358">
      <c r="A16358" s="4" t="s">
        <v>20604</v>
      </c>
      <c r="B16358" s="4" t="s">
        <v>20605</v>
      </c>
      <c r="C16358" s="5" t="str">
        <f>IFERROR(__xludf.DUMMYFUNCTION("GOOGLETRANSLATE(B16358,""en"",""it"")"),"Viene vista una ragazza parlare alla telecamera e cammina in un parrucchiere e stringe le mani con uno stilista.")</f>
        <v>Viene vista una ragazza parlare alla telecamera e cammina in un parrucchiere e stringe le mani con uno stilista.</v>
      </c>
    </row>
    <row r="16359">
      <c r="A16359" s="4" t="s">
        <v>20604</v>
      </c>
      <c r="B16359" s="4" t="s">
        <v>20606</v>
      </c>
      <c r="C16359" s="5" t="str">
        <f>IFERROR(__xludf.DUMMYFUNCTION("GOOGLETRANSLATE(B16359,""en"",""it"")"),"Vengono mostrati diversi scatti di un artista e l'uomo inizia quindi a tagliare i capelli della ragazza.")</f>
        <v>Vengono mostrati diversi scatti di un artista e l'uomo inizia quindi a tagliare i capelli della ragazza.</v>
      </c>
    </row>
    <row r="16360">
      <c r="A16360" s="4" t="s">
        <v>20604</v>
      </c>
      <c r="B16360" s="4" t="s">
        <v>20607</v>
      </c>
      <c r="C16360" s="5" t="str">
        <f>IFERROR(__xludf.DUMMYFUNCTION("GOOGLETRANSLATE(B16360,""en"",""it"")"),"Le consegna i capelli e si lava i capelli seguiti da più tagli e si guardano allo specchio.")</f>
        <v>Le consegna i capelli e si lava i capelli seguiti da più tagli e si guardano allo specchio.</v>
      </c>
    </row>
    <row r="16361">
      <c r="A16361" s="4" t="s">
        <v>20604</v>
      </c>
      <c r="B16361" s="6" t="s">
        <v>20608</v>
      </c>
      <c r="C16361" s="5" t="str">
        <f>IFERROR(__xludf.DUMMYFUNCTION("GOOGLETRANSLATE(B16361,""en"",""it"")"),"Alla fine i suoi capelli sembrano proprio l'artista e viene vista sorridere e abbraccia una persona, finendo con una foto fianco a fianco dell'artista e lei.")</f>
        <v>Alla fine i suoi capelli sembrano proprio l'artista e viene vista sorridere e abbraccia una persona, finendo con una foto fianco a fianco dell'artista e lei.</v>
      </c>
    </row>
    <row r="16362">
      <c r="A16362" s="4" t="s">
        <v>20609</v>
      </c>
      <c r="B16362" s="4" t="s">
        <v>20610</v>
      </c>
      <c r="C16362" s="5" t="str">
        <f>IFERROR(__xludf.DUMMYFUNCTION("GOOGLETRANSLATE(B16362,""en"",""it"")"),"Una persona viene vista piegarsi vicino a una folla e inizia a giocare a shuffleboard.")</f>
        <v>Una persona viene vista piegarsi vicino a una folla e inizia a giocare a shuffleboard.</v>
      </c>
    </row>
    <row r="16363">
      <c r="A16363" s="4" t="s">
        <v>20609</v>
      </c>
      <c r="B16363" s="6" t="s">
        <v>20611</v>
      </c>
      <c r="C16363" s="5" t="str">
        <f>IFERROR(__xludf.DUMMYFUNCTION("GOOGLETRANSLATE(B16363,""en"",""it"")"),"Le persone continuano a giocare indietro e quarto sul tappeto mentre altre persone che giocano intorno a loro e camminano nel telaio.")</f>
        <v>Le persone continuano a giocare indietro e quarto sul tappeto mentre altre persone che giocano intorno a loro e camminano nel telaio.</v>
      </c>
    </row>
    <row r="16364">
      <c r="A16364" s="4" t="s">
        <v>20609</v>
      </c>
      <c r="B16364" s="4" t="s">
        <v>20612</v>
      </c>
      <c r="C16364" s="5" t="str">
        <f>IFERROR(__xludf.DUMMYFUNCTION("GOOGLETRANSLATE(B16364,""en"",""it"")"),"Un uomo e una donna vengono visti parlare tra loro e viene nuovamente mostrato spingendo i dischi.")</f>
        <v>Un uomo e una donna vengono visti parlare tra loro e viene nuovamente mostrato spingendo i dischi.</v>
      </c>
    </row>
    <row r="16365">
      <c r="A16365" s="4" t="s">
        <v>20613</v>
      </c>
      <c r="B16365" s="4" t="s">
        <v>20614</v>
      </c>
      <c r="C16365" s="5" t="str">
        <f>IFERROR(__xludf.DUMMYFUNCTION("GOOGLETRANSLATE(B16365,""en"",""it"")"),"Un'introduzione viene mostrata per un gioco di cricket.")</f>
        <v>Un'introduzione viene mostrata per un gioco di cricket.</v>
      </c>
    </row>
    <row r="16366">
      <c r="A16366" s="4" t="s">
        <v>20613</v>
      </c>
      <c r="B16366" s="4" t="s">
        <v>20615</v>
      </c>
      <c r="C16366" s="5" t="str">
        <f>IFERROR(__xludf.DUMMYFUNCTION("GOOGLETRANSLATE(B16366,""en"",""it"")"),"Diversi giocatori iniziano a giocare una partita di cricket su un campo.")</f>
        <v>Diversi giocatori iniziano a giocare una partita di cricket su un campo.</v>
      </c>
    </row>
    <row r="16367">
      <c r="A16367" s="4" t="s">
        <v>20613</v>
      </c>
      <c r="B16367" s="4" t="s">
        <v>20616</v>
      </c>
      <c r="C16367" s="5" t="str">
        <f>IFERROR(__xludf.DUMMYFUNCTION("GOOGLETRANSLATE(B16367,""en"",""it"")"),"Un uomo inciampa su uno dei posti di cricket.")</f>
        <v>Un uomo inciampa su uno dei posti di cricket.</v>
      </c>
    </row>
    <row r="16368">
      <c r="A16368" s="4" t="s">
        <v>20613</v>
      </c>
      <c r="B16368" s="4" t="s">
        <v>20617</v>
      </c>
      <c r="C16368" s="5" t="str">
        <f>IFERROR(__xludf.DUMMYFUNCTION("GOOGLETRANSLATE(B16368,""en"",""it"")"),"I giocatori si stringono la mano alla fine del gioco.")</f>
        <v>I giocatori si stringono la mano alla fine del gioco.</v>
      </c>
    </row>
    <row r="16369">
      <c r="A16369" s="4" t="s">
        <v>20613</v>
      </c>
      <c r="B16369" s="4" t="s">
        <v>20618</v>
      </c>
      <c r="C16369" s="5" t="str">
        <f>IFERROR(__xludf.DUMMYFUNCTION("GOOGLETRANSLATE(B16369,""en"",""it"")"),"I risultati del gioco A quindi mostrati sullo schermo.")</f>
        <v>I risultati del gioco A quindi mostrati sullo schermo.</v>
      </c>
    </row>
    <row r="16370">
      <c r="A16370" s="4" t="s">
        <v>20619</v>
      </c>
      <c r="B16370" s="4" t="s">
        <v>20620</v>
      </c>
      <c r="C16370" s="5" t="str">
        <f>IFERROR(__xludf.DUMMYFUNCTION("GOOGLETRANSLATE(B16370,""en"",""it"")"),"In un negozio di nome Skinny Ski c'è un tavolo allestito con le cose necessarie per vedere gli sci.")</f>
        <v>In un negozio di nome Skinny Ski c'è un tavolo allestito con le cose necessarie per vedere gli sci.</v>
      </c>
    </row>
    <row r="16371">
      <c r="A16371" s="4" t="s">
        <v>20619</v>
      </c>
      <c r="B16371" s="4" t="s">
        <v>20621</v>
      </c>
      <c r="C16371" s="5" t="str">
        <f>IFERROR(__xludf.DUMMYFUNCTION("GOOGLETRANSLATE(B16371,""en"",""it"")"),"Un uomo usa alcune attrezzature per sciogliere un po 'di cera su uno sci, passandolo alcune volte.")</f>
        <v>Un uomo usa alcune attrezzature per sciogliere un po 'di cera su uno sci, passandolo alcune volte.</v>
      </c>
    </row>
    <row r="16372">
      <c r="A16372" s="4" t="s">
        <v>20619</v>
      </c>
      <c r="B16372" s="6" t="s">
        <v>20622</v>
      </c>
      <c r="C16372" s="5" t="str">
        <f>IFERROR(__xludf.DUMMYFUNCTION("GOOGLETRANSLATE(B16372,""en"",""it"")"),"Quindi usa direttamente il ferro direttamente sullo sci troppo levigato dalla cera che si sciolse sopra, superandolo alcune volte.")</f>
        <v>Quindi usa direttamente il ferro direttamente sullo sci troppo levigato dalla cera che si sciolse sopra, superandolo alcune volte.</v>
      </c>
    </row>
    <row r="16373">
      <c r="A16373" s="4" t="s">
        <v>20619</v>
      </c>
      <c r="B16373" s="6" t="s">
        <v>20623</v>
      </c>
      <c r="C16373" s="5" t="str">
        <f>IFERROR(__xludf.DUMMYFUNCTION("GOOGLETRANSLATE(B16373,""en"",""it"")"),"Quindi mostra un pacchetto di cera calda a bassa fluoro e informazioni su come contattare per i servizi.")</f>
        <v>Quindi mostra un pacchetto di cera calda a bassa fluoro e informazioni su come contattare per i servizi.</v>
      </c>
    </row>
    <row r="16374">
      <c r="A16374" s="4" t="s">
        <v>20624</v>
      </c>
      <c r="B16374" s="4" t="s">
        <v>13124</v>
      </c>
      <c r="C16374" s="5" t="str">
        <f>IFERROR(__xludf.DUMMYFUNCTION("GOOGLETRANSLATE(B16374,""en"",""it"")"),"Vediamo la scheda del titolo su Black.")</f>
        <v>Vediamo la scheda del titolo su Black.</v>
      </c>
    </row>
    <row r="16375">
      <c r="A16375" s="4" t="s">
        <v>20624</v>
      </c>
      <c r="B16375" s="4" t="s">
        <v>20625</v>
      </c>
      <c r="C16375" s="5" t="str">
        <f>IFERROR(__xludf.DUMMYFUNCTION("GOOGLETRANSLATE(B16375,""en"",""it"")"),"Un uomo sta suonando la batteria è le mani.")</f>
        <v>Un uomo sta suonando la batteria è le mani.</v>
      </c>
    </row>
    <row r="16376">
      <c r="A16376" s="4" t="s">
        <v>20624</v>
      </c>
      <c r="B16376" s="4" t="s">
        <v>20626</v>
      </c>
      <c r="C16376" s="5" t="str">
        <f>IFERROR(__xludf.DUMMYFUNCTION("GOOGLETRANSLATE(B16376,""en"",""it"")"),"L'uomo fa una pausa, quindi suona di nuovo.")</f>
        <v>L'uomo fa una pausa, quindi suona di nuovo.</v>
      </c>
    </row>
    <row r="16377">
      <c r="A16377" s="4" t="s">
        <v>20624</v>
      </c>
      <c r="B16377" s="4" t="s">
        <v>20627</v>
      </c>
      <c r="C16377" s="5" t="str">
        <f>IFERROR(__xludf.DUMMYFUNCTION("GOOGLETRANSLATE(B16377,""en"",""it"")"),"L'uomo fa una pausa quindi più lentamente.")</f>
        <v>L'uomo fa una pausa quindi più lentamente.</v>
      </c>
    </row>
    <row r="16378">
      <c r="A16378" s="4" t="s">
        <v>20628</v>
      </c>
      <c r="B16378" s="4" t="s">
        <v>20629</v>
      </c>
      <c r="C16378" s="5" t="str">
        <f>IFERROR(__xludf.DUMMYFUNCTION("GOOGLETRANSLATE(B16378,""en"",""it"")"),"Un maschio afroamericano è in piedi fuori accanto a una parete di roccia alta.")</f>
        <v>Un maschio afroamericano è in piedi fuori accanto a una parete di roccia alta.</v>
      </c>
    </row>
    <row r="16379">
      <c r="A16379" s="4" t="s">
        <v>20628</v>
      </c>
      <c r="B16379" s="4" t="s">
        <v>20630</v>
      </c>
      <c r="C16379" s="5" t="str">
        <f>IFERROR(__xludf.DUMMYFUNCTION("GOOGLETRANSLATE(B16379,""en"",""it"")"),"L'uomo continua a toccare la roccia e inizia lo stretching.")</f>
        <v>L'uomo continua a toccare la roccia e inizia lo stretching.</v>
      </c>
    </row>
    <row r="16380">
      <c r="A16380" s="4" t="s">
        <v>20628</v>
      </c>
      <c r="B16380" s="6" t="s">
        <v>20631</v>
      </c>
      <c r="C16380" s="5" t="str">
        <f>IFERROR(__xludf.DUMMYFUNCTION("GOOGLETRANSLATE(B16380,""en"",""it"")"),"Dopo, inizia a scalare attivamente e ferocemente il muro e scende dall'altra parte, ma lo fa senza corde attaccate a lui.")</f>
        <v>Dopo, inizia a scalare attivamente e ferocemente il muro e scende dall'altra parte, ma lo fa senza corde attaccate a lui.</v>
      </c>
    </row>
    <row r="16381">
      <c r="A16381" s="4" t="s">
        <v>20632</v>
      </c>
      <c r="B16381" s="4" t="s">
        <v>20633</v>
      </c>
      <c r="C16381" s="5" t="str">
        <f>IFERROR(__xludf.DUMMYFUNCTION("GOOGLETRANSLATE(B16381,""en"",""it"")"),"Un ragazzo con una camicia blu sta giocando nella sabbia sulla spiaggia.")</f>
        <v>Un ragazzo con una camicia blu sta giocando nella sabbia sulla spiaggia.</v>
      </c>
    </row>
    <row r="16382">
      <c r="A16382" s="4" t="s">
        <v>20632</v>
      </c>
      <c r="B16382" s="4" t="s">
        <v>20634</v>
      </c>
      <c r="C16382" s="5" t="str">
        <f>IFERROR(__xludf.DUMMYFUNCTION("GOOGLETRANSLATE(B16382,""en"",""it"")"),"Un uomo con una camicia bianca è in piedi dietro di lui aiutarlo.")</f>
        <v>Un uomo con una camicia bianca è in piedi dietro di lui aiutarlo.</v>
      </c>
    </row>
    <row r="16383">
      <c r="A16383" s="4" t="s">
        <v>20632</v>
      </c>
      <c r="B16383" s="4" t="s">
        <v>20635</v>
      </c>
      <c r="C16383" s="5" t="str">
        <f>IFERROR(__xludf.DUMMYFUNCTION("GOOGLETRANSLATE(B16383,""en"",""it"")"),"Un uomo in pantaloncini blu sta anche aiutando il ragazzo a creare il castello di sabbia.")</f>
        <v>Un uomo in pantaloncini blu sta anche aiutando il ragazzo a creare il castello di sabbia.</v>
      </c>
    </row>
    <row r="16384">
      <c r="A16384" s="4" t="s">
        <v>20636</v>
      </c>
      <c r="B16384" s="4" t="s">
        <v>20637</v>
      </c>
      <c r="C16384" s="5" t="str">
        <f>IFERROR(__xludf.DUMMYFUNCTION("GOOGLETRANSLATE(B16384,""en"",""it"")"),"Un uomo viene mostrato con una donna che balla di fronte a una grande folla in uno show televisivo.")</f>
        <v>Un uomo viene mostrato con una donna che balla di fronte a una grande folla in uno show televisivo.</v>
      </c>
    </row>
    <row r="16385">
      <c r="A16385" s="4" t="s">
        <v>20636</v>
      </c>
      <c r="B16385" s="4" t="s">
        <v>20638</v>
      </c>
      <c r="C16385" s="5" t="str">
        <f>IFERROR(__xludf.DUMMYFUNCTION("GOOGLETRANSLATE(B16385,""en"",""it"")"),"La donna gira in giro mentre l'uomo la conduce attraverso la routine.")</f>
        <v>La donna gira in giro mentre l'uomo la conduce attraverso la routine.</v>
      </c>
    </row>
    <row r="16386">
      <c r="A16386" s="4" t="s">
        <v>20636</v>
      </c>
      <c r="B16386" s="4" t="s">
        <v>20639</v>
      </c>
      <c r="C16386" s="5" t="str">
        <f>IFERROR(__xludf.DUMMYFUNCTION("GOOGLETRANSLATE(B16386,""en"",""it"")"),"Quindi viene sollevata e girata di nuovo.")</f>
        <v>Quindi viene sollevata e girata di nuovo.</v>
      </c>
    </row>
    <row r="16387">
      <c r="A16387" s="4" t="s">
        <v>20636</v>
      </c>
      <c r="B16387" s="6" t="s">
        <v>20640</v>
      </c>
      <c r="C16387" s="5" t="str">
        <f>IFERROR(__xludf.DUMMYFUNCTION("GOOGLETRANSLATE(B16387,""en"",""it"")"),"Ballano in modo molto romantico e viene girata in varie occasioni prima di essere rivolta all'indietro dall'uomo mentre continuano a ballare.")</f>
        <v>Ballano in modo molto romantico e viene girata in varie occasioni prima di essere rivolta all'indietro dall'uomo mentre continuano a ballare.</v>
      </c>
    </row>
    <row r="16388">
      <c r="A16388" s="4" t="s">
        <v>20636</v>
      </c>
      <c r="B16388" s="4" t="s">
        <v>20641</v>
      </c>
      <c r="C16388" s="5" t="str">
        <f>IFERROR(__xludf.DUMMYFUNCTION("GOOGLETRANSLATE(B16388,""en"",""it"")"),"I due ballerini si allungano l'uno all'altro e la routine termina.")</f>
        <v>I due ballerini si allungano l'uno all'altro e la routine termina.</v>
      </c>
    </row>
    <row r="16389">
      <c r="A16389" s="4" t="s">
        <v>20642</v>
      </c>
      <c r="B16389" s="4" t="s">
        <v>20643</v>
      </c>
      <c r="C16389" s="5" t="str">
        <f>IFERROR(__xludf.DUMMYFUNCTION("GOOGLETRANSLATE(B16389,""en"",""it"")"),"Un lottatore viene sollevato sulle spalle di un uomo.")</f>
        <v>Un lottatore viene sollevato sulle spalle di un uomo.</v>
      </c>
    </row>
    <row r="16390">
      <c r="A16390" s="4" t="s">
        <v>20642</v>
      </c>
      <c r="B16390" s="4" t="s">
        <v>20644</v>
      </c>
      <c r="C16390" s="5" t="str">
        <f>IFERROR(__xludf.DUMMYFUNCTION("GOOGLETRANSLATE(B16390,""en"",""it"")"),"L'uomo lancia il lottatore su un tavolo.")</f>
        <v>L'uomo lancia il lottatore su un tavolo.</v>
      </c>
    </row>
    <row r="16391">
      <c r="A16391" s="4" t="s">
        <v>20642</v>
      </c>
      <c r="B16391" s="4" t="s">
        <v>20645</v>
      </c>
      <c r="C16391" s="5" t="str">
        <f>IFERROR(__xludf.DUMMYFUNCTION("GOOGLETRANSLATE(B16391,""en"",""it"")"),"L'altro uomo urla ad alta voce.")</f>
        <v>L'altro uomo urla ad alta voce.</v>
      </c>
    </row>
    <row r="16392">
      <c r="A16392" s="4" t="s">
        <v>20642</v>
      </c>
      <c r="B16392" s="4" t="s">
        <v>20646</v>
      </c>
      <c r="C16392" s="5" t="str">
        <f>IFERROR(__xludf.DUMMYFUNCTION("GOOGLETRANSLATE(B16392,""en"",""it"")"),"Uno degli altri uomini si trova sopra l'uomo ferito.")</f>
        <v>Uno degli altri uomini si trova sopra l'uomo ferito.</v>
      </c>
    </row>
    <row r="16393">
      <c r="A16393" s="4" t="s">
        <v>20647</v>
      </c>
      <c r="B16393" s="4" t="s">
        <v>20648</v>
      </c>
      <c r="C16393" s="5" t="str">
        <f>IFERROR(__xludf.DUMMYFUNCTION("GOOGLETRANSLATE(B16393,""en"",""it"")"),"Un gruppo di ragazzi sta giocando una partita di biliardo con le ragazze.")</f>
        <v>Un gruppo di ragazzi sta giocando una partita di biliardo con le ragazze.</v>
      </c>
    </row>
    <row r="16394">
      <c r="A16394" s="4" t="s">
        <v>20647</v>
      </c>
      <c r="B16394" s="4" t="s">
        <v>20649</v>
      </c>
      <c r="C16394" s="5" t="str">
        <f>IFERROR(__xludf.DUMMYFUNCTION("GOOGLETRANSLATE(B16394,""en"",""it"")"),"I due gruppi si trovano su entrambi i lati della macchina.")</f>
        <v>I due gruppi si trovano su entrambi i lati della macchina.</v>
      </c>
    </row>
    <row r="16395">
      <c r="A16395" s="4" t="s">
        <v>20647</v>
      </c>
      <c r="B16395" s="4" t="s">
        <v>20650</v>
      </c>
      <c r="C16395" s="5" t="str">
        <f>IFERROR(__xludf.DUMMYFUNCTION("GOOGLETRANSLATE(B16395,""en"",""it"")"),"Usano i piccoli uomini per colpire la palla avanti e indietro.")</f>
        <v>Usano i piccoli uomini per colpire la palla avanti e indietro.</v>
      </c>
    </row>
    <row r="16396">
      <c r="A16396" s="4" t="s">
        <v>20651</v>
      </c>
      <c r="B16396" s="4" t="s">
        <v>20652</v>
      </c>
      <c r="C16396" s="5" t="str">
        <f>IFERROR(__xludf.DUMMYFUNCTION("GOOGLETRANSLATE(B16396,""en"",""it"")"),"Adolescente competere lo skateboard lungo la strada molto velocemente.")</f>
        <v>Adolescente competere lo skateboard lungo la strada molto velocemente.</v>
      </c>
    </row>
    <row r="16397">
      <c r="A16397" s="4" t="s">
        <v>20651</v>
      </c>
      <c r="B16397" s="4" t="s">
        <v>20653</v>
      </c>
      <c r="C16397" s="5" t="str">
        <f>IFERROR(__xludf.DUMMYFUNCTION("GOOGLETRANSLATE(B16397,""en"",""it"")"),"Un adolescente cade a faccia in giù dal suo skateboard a terra.")</f>
        <v>Un adolescente cade a faccia in giù dal suo skateboard a terra.</v>
      </c>
    </row>
    <row r="16398">
      <c r="A16398" s="4" t="s">
        <v>20651</v>
      </c>
      <c r="B16398" s="4" t="s">
        <v>20654</v>
      </c>
      <c r="C16398" s="5" t="str">
        <f>IFERROR(__xludf.DUMMYFUNCTION("GOOGLETRANSLATE(B16398,""en"",""it"")"),"Un altro adolescente cade sulla strada.")</f>
        <v>Un altro adolescente cade sulla strada.</v>
      </c>
    </row>
    <row r="16399">
      <c r="A16399" s="4" t="s">
        <v>20651</v>
      </c>
      <c r="B16399" s="4" t="s">
        <v>20655</v>
      </c>
      <c r="C16399" s="5" t="str">
        <f>IFERROR(__xludf.DUMMYFUNCTION("GOOGLETRANSLATE(B16399,""en"",""it"")"),"Altri adolescenti continuano a pattinare e alcuni su di loro cadono mentre pattinano.")</f>
        <v>Altri adolescenti continuano a pattinare e alcuni su di loro cadono mentre pattinano.</v>
      </c>
    </row>
    <row r="16400">
      <c r="A16400" s="4" t="s">
        <v>20656</v>
      </c>
      <c r="B16400" s="4" t="s">
        <v>20657</v>
      </c>
      <c r="C16400" s="5" t="str">
        <f>IFERROR(__xludf.DUMMYFUNCTION("GOOGLETRANSLATE(B16400,""en"",""it"")"),"Le persone vanno in bicicletta su un circuito di pista accidentato.")</f>
        <v>Le persone vanno in bicicletta su un circuito di pista accidentato.</v>
      </c>
    </row>
    <row r="16401">
      <c r="A16401" s="4" t="s">
        <v>20656</v>
      </c>
      <c r="B16401" s="4" t="s">
        <v>20658</v>
      </c>
      <c r="C16401" s="5" t="str">
        <f>IFERROR(__xludf.DUMMYFUNCTION("GOOGLETRANSLATE(B16401,""en"",""it"")"),"Quindi, arrivano al traguardo in cui le persone stanno lavando la competizione.")</f>
        <v>Quindi, arrivano al traguardo in cui le persone stanno lavando la competizione.</v>
      </c>
    </row>
    <row r="16402">
      <c r="A16402" s="4" t="s">
        <v>20659</v>
      </c>
      <c r="B16402" s="6" t="s">
        <v>20660</v>
      </c>
      <c r="C16402" s="5" t="str">
        <f>IFERROR(__xludf.DUMMYFUNCTION("GOOGLETRANSLATE(B16402,""en"",""it"")"),"Un folto gruppo di uomini viene visto correre in un campo interno quando si segna un obiettivo e il pubblico applaude.")</f>
        <v>Un folto gruppo di uomini viene visto correre in un campo interno quando si segna un obiettivo e il pubblico applaude.</v>
      </c>
    </row>
    <row r="16403">
      <c r="A16403" s="4" t="s">
        <v>20659</v>
      </c>
      <c r="B16403" s="4" t="s">
        <v>20661</v>
      </c>
      <c r="C16403" s="5" t="str">
        <f>IFERROR(__xludf.DUMMYFUNCTION("GOOGLETRANSLATE(B16403,""en"",""it"")"),"Diversi altri colpi di goal sono mostrati seguiti da colpi rallentati di ogni goal.")</f>
        <v>Diversi altri colpi di goal sono mostrati seguiti da colpi rallentati di ogni goal.</v>
      </c>
    </row>
    <row r="16404">
      <c r="A16404" s="4" t="s">
        <v>20659</v>
      </c>
      <c r="B16404" s="6" t="s">
        <v>20662</v>
      </c>
      <c r="C16404" s="5" t="str">
        <f>IFERROR(__xludf.DUMMYFUNCTION("GOOGLETRANSLATE(B16404,""en"",""it"")"),"Il primo piano dei giocatori viene mostrato e termina con un gruppo di giocatori che abbracciano e tirano l'uno con l'altro.")</f>
        <v>Il primo piano dei giocatori viene mostrato e termina con un gruppo di giocatori che abbracciano e tirano l'uno con l'altro.</v>
      </c>
    </row>
    <row r="16405">
      <c r="A16405" s="4" t="s">
        <v>20663</v>
      </c>
      <c r="B16405" s="4" t="s">
        <v>20664</v>
      </c>
      <c r="C16405" s="5" t="str">
        <f>IFERROR(__xludf.DUMMYFUNCTION("GOOGLETRANSLATE(B16405,""en"",""it"")"),"Un ragazzo ama un cono gelato.")</f>
        <v>Un ragazzo ama un cono gelato.</v>
      </c>
    </row>
    <row r="16406">
      <c r="A16406" s="4" t="s">
        <v>20663</v>
      </c>
      <c r="B16406" s="4" t="s">
        <v>20665</v>
      </c>
      <c r="C16406" s="5" t="str">
        <f>IFERROR(__xludf.DUMMYFUNCTION("GOOGLETRANSLATE(B16406,""en"",""it"")"),"Una ragazza mangia leccate e mangia un cono gelato.")</f>
        <v>Una ragazza mangia leccate e mangia un cono gelato.</v>
      </c>
    </row>
    <row r="16407">
      <c r="A16407" s="4" t="s">
        <v>20663</v>
      </c>
      <c r="B16407" s="4" t="s">
        <v>20666</v>
      </c>
      <c r="C16407" s="5" t="str">
        <f>IFERROR(__xludf.DUMMYFUNCTION("GOOGLETRANSLATE(B16407,""en"",""it"")"),"Il ragazzo finisce il cono del gelato.")</f>
        <v>Il ragazzo finisce il cono del gelato.</v>
      </c>
    </row>
    <row r="16408">
      <c r="A16408" s="4" t="s">
        <v>20663</v>
      </c>
      <c r="B16408" s="4" t="s">
        <v>20667</v>
      </c>
      <c r="C16408" s="5" t="str">
        <f>IFERROR(__xludf.DUMMYFUNCTION("GOOGLETRANSLATE(B16408,""en"",""it"")"),"La ragazza lecca leggermente il cono del gelato.")</f>
        <v>La ragazza lecca leggermente il cono del gelato.</v>
      </c>
    </row>
    <row r="16409">
      <c r="A16409" s="4" t="s">
        <v>20668</v>
      </c>
      <c r="B16409" s="6" t="s">
        <v>20669</v>
      </c>
      <c r="C16409" s="5" t="str">
        <f>IFERROR(__xludf.DUMMYFUNCTION("GOOGLETRANSLATE(B16409,""en"",""it"")"),"Inizia un torneo di tiro con l'arco e il montaggio mostra i giocatori che si nascondono dietro gli scudi e sparano avanti e indietro.")</f>
        <v>Inizia un torneo di tiro con l'arco e il montaggio mostra i giocatori che si nascondono dietro gli scudi e sparano avanti e indietro.</v>
      </c>
    </row>
    <row r="16410">
      <c r="A16410" s="4" t="s">
        <v>20668</v>
      </c>
      <c r="B16410" s="4" t="s">
        <v>20670</v>
      </c>
      <c r="C16410" s="5" t="str">
        <f>IFERROR(__xludf.DUMMYFUNCTION("GOOGLETRANSLATE(B16410,""en"",""it"")"),"I genitori dei bambini vengono mostrati a guardare la battaglia.")</f>
        <v>I genitori dei bambini vengono mostrati a guardare la battaglia.</v>
      </c>
    </row>
    <row r="16411">
      <c r="A16411" s="4" t="s">
        <v>20671</v>
      </c>
      <c r="B16411" s="4" t="s">
        <v>20672</v>
      </c>
      <c r="C16411" s="5" t="str">
        <f>IFERROR(__xludf.DUMMYFUNCTION("GOOGLETRANSLATE(B16411,""en"",""it"")"),"Una ragazza salta su un raggio di equilibrio.")</f>
        <v>Una ragazza salta su un raggio di equilibrio.</v>
      </c>
    </row>
    <row r="16412">
      <c r="A16412" s="4" t="s">
        <v>20671</v>
      </c>
      <c r="B16412" s="4" t="s">
        <v>20673</v>
      </c>
      <c r="C16412" s="5" t="str">
        <f>IFERROR(__xludf.DUMMYFUNCTION("GOOGLETRANSLATE(B16412,""en"",""it"")"),"Comincia a fare una routine sul raggio dell'equilibrio.")</f>
        <v>Comincia a fare una routine sul raggio dell'equilibrio.</v>
      </c>
    </row>
    <row r="16413">
      <c r="A16413" s="4" t="s">
        <v>20671</v>
      </c>
      <c r="B16413" s="4" t="s">
        <v>20674</v>
      </c>
      <c r="C16413" s="5" t="str">
        <f>IFERROR(__xludf.DUMMYFUNCTION("GOOGLETRANSLATE(B16413,""en"",""it"")"),"Smonde e atterra sul tappeto con le mani in aria.")</f>
        <v>Smonde e atterra sul tappeto con le mani in aria.</v>
      </c>
    </row>
    <row r="16414">
      <c r="A16414" s="4" t="s">
        <v>20675</v>
      </c>
      <c r="B16414" s="4" t="s">
        <v>20676</v>
      </c>
      <c r="C16414" s="5" t="str">
        <f>IFERROR(__xludf.DUMMYFUNCTION("GOOGLETRANSLATE(B16414,""en"",""it"")"),"C'è una donna che balla sul palco di fronte a un uomo all'inizio.")</f>
        <v>C'è una donna che balla sul palco di fronte a un uomo all'inizio.</v>
      </c>
    </row>
    <row r="16415">
      <c r="A16415" s="4" t="s">
        <v>20675</v>
      </c>
      <c r="B16415" s="4" t="s">
        <v>20677</v>
      </c>
      <c r="C16415" s="5" t="str">
        <f>IFERROR(__xludf.DUMMYFUNCTION("GOOGLETRANSLATE(B16415,""en"",""it"")"),"Ci sono molte donne diverse che fanno mosse hip hop.")</f>
        <v>Ci sono molte donne diverse che fanno mosse hip hop.</v>
      </c>
    </row>
    <row r="16416">
      <c r="A16416" s="4" t="s">
        <v>20678</v>
      </c>
      <c r="B16416" s="4" t="s">
        <v>20679</v>
      </c>
      <c r="C16416" s="5" t="str">
        <f>IFERROR(__xludf.DUMMYFUNCTION("GOOGLETRANSLATE(B16416,""en"",""it"")"),"Due sumos lottano ferocemente mentre un giudice li guarda.")</f>
        <v>Due sumos lottano ferocemente mentre un giudice li guarda.</v>
      </c>
    </row>
    <row r="16417">
      <c r="A16417" s="4" t="s">
        <v>20678</v>
      </c>
      <c r="B16417" s="4" t="s">
        <v>20680</v>
      </c>
      <c r="C16417" s="5" t="str">
        <f>IFERROR(__xludf.DUMMYFUNCTION("GOOGLETRANSLATE(B16417,""en"",""it"")"),"Quindi, il sumo che indossava lo slip nero spinse fuori dal ring l'altro sumo.")</f>
        <v>Quindi, il sumo che indossava lo slip nero spinse fuori dal ring l'altro sumo.</v>
      </c>
    </row>
    <row r="16418">
      <c r="A16418" s="4" t="s">
        <v>20678</v>
      </c>
      <c r="B16418" s="4" t="s">
        <v>20681</v>
      </c>
      <c r="C16418" s="5" t="str">
        <f>IFERROR(__xludf.DUMMYFUNCTION("GOOGLETRANSLATE(B16418,""en"",""it"")"),"Quindi, due lotte di sumo e un viaggio con il giudice, uno di loro cade.")</f>
        <v>Quindi, due lotte di sumo e un viaggio con il giudice, uno di loro cade.</v>
      </c>
    </row>
    <row r="16419">
      <c r="A16419" s="4" t="s">
        <v>20678</v>
      </c>
      <c r="B16419" s="4" t="s">
        <v>20682</v>
      </c>
      <c r="C16419" s="5" t="str">
        <f>IFERROR(__xludf.DUMMYFUNCTION("GOOGLETRANSLATE(B16419,""en"",""it"")"),"Dopo, la sumosn continua a lottare e il sumo con slip nero cade dall'anello.")</f>
        <v>Dopo, la sumosn continua a lottare e il sumo con slip nero cade dall'anello.</v>
      </c>
    </row>
    <row r="16420">
      <c r="A16420" s="4" t="s">
        <v>20683</v>
      </c>
      <c r="B16420" s="4" t="s">
        <v>20684</v>
      </c>
      <c r="C16420" s="5" t="str">
        <f>IFERROR(__xludf.DUMMYFUNCTION("GOOGLETRANSLATE(B16420,""en"",""it"")"),"Viene visto un uomo parlare alla telecamera mentre tiene in mano un pezzo di carta.")</f>
        <v>Viene visto un uomo parlare alla telecamera mentre tiene in mano un pezzo di carta.</v>
      </c>
    </row>
    <row r="16421">
      <c r="A16421" s="4" t="s">
        <v>20683</v>
      </c>
      <c r="B16421" s="4" t="s">
        <v>20685</v>
      </c>
      <c r="C16421" s="5" t="str">
        <f>IFERROR(__xludf.DUMMYFUNCTION("GOOGLETRANSLATE(B16421,""en"",""it"")"),"L'uomo regge anche un rasoio e inizia a scrivere sul giornale.")</f>
        <v>L'uomo regge anche un rasoio e inizia a scrivere sul giornale.</v>
      </c>
    </row>
    <row r="16422">
      <c r="A16422" s="4" t="s">
        <v>20683</v>
      </c>
      <c r="B16422" s="4" t="s">
        <v>20686</v>
      </c>
      <c r="C16422" s="5" t="str">
        <f>IFERROR(__xludf.DUMMYFUNCTION("GOOGLETRANSLATE(B16422,""en"",""it"")"),"L'uomo viene quindi visto radersi il viso e terminare con i crediti.")</f>
        <v>L'uomo viene quindi visto radersi il viso e terminare con i crediti.</v>
      </c>
    </row>
    <row r="16423">
      <c r="A16423" s="4" t="s">
        <v>20687</v>
      </c>
      <c r="B16423" s="4" t="s">
        <v>20688</v>
      </c>
      <c r="C16423" s="5" t="str">
        <f>IFERROR(__xludf.DUMMYFUNCTION("GOOGLETRANSLATE(B16423,""en"",""it"")"),"Vediamo una signora che parla in bagno.")</f>
        <v>Vediamo una signora che parla in bagno.</v>
      </c>
    </row>
    <row r="16424">
      <c r="A16424" s="4" t="s">
        <v>20687</v>
      </c>
      <c r="B16424" s="4" t="s">
        <v>20689</v>
      </c>
      <c r="C16424" s="5" t="str">
        <f>IFERROR(__xludf.DUMMYFUNCTION("GOOGLETRANSLATE(B16424,""en"",""it"")"),"Ci mostra la sua scatola da asciugacapelli.")</f>
        <v>Ci mostra la sua scatola da asciugacapelli.</v>
      </c>
    </row>
    <row r="16425">
      <c r="A16425" s="4" t="s">
        <v>20687</v>
      </c>
      <c r="B16425" s="4" t="s">
        <v>20690</v>
      </c>
      <c r="C16425" s="5" t="str">
        <f>IFERROR(__xludf.DUMMYFUNCTION("GOOGLETRANSLATE(B16425,""en"",""it"")"),"Porta in vista la scatola dell'asciugacapelli.")</f>
        <v>Porta in vista la scatola dell'asciugacapelli.</v>
      </c>
    </row>
    <row r="16426">
      <c r="A16426" s="4" t="s">
        <v>20687</v>
      </c>
      <c r="B16426" s="4" t="s">
        <v>20691</v>
      </c>
      <c r="C16426" s="5" t="str">
        <f>IFERROR(__xludf.DUMMYFUNCTION("GOOGLETRANSLATE(B16426,""en"",""it"")"),"La signora afferra e solleva i capelli.")</f>
        <v>La signora afferra e solleva i capelli.</v>
      </c>
    </row>
    <row r="16427">
      <c r="A16427" s="4" t="s">
        <v>20687</v>
      </c>
      <c r="B16427" s="4" t="s">
        <v>20692</v>
      </c>
      <c r="C16427" s="5" t="str">
        <f>IFERROR(__xludf.DUMMYFUNCTION("GOOGLETRANSLATE(B16427,""en"",""it"")"),"La signora ci mostra gli attacchi di asciugatrice e l'asciugatrice.")</f>
        <v>La signora ci mostra gli attacchi di asciugatrice e l'asciugatrice.</v>
      </c>
    </row>
    <row r="16428">
      <c r="A16428" s="4" t="s">
        <v>20687</v>
      </c>
      <c r="B16428" s="4" t="s">
        <v>20693</v>
      </c>
      <c r="C16428" s="5" t="str">
        <f>IFERROR(__xludf.DUMMYFUNCTION("GOOGLETRANSLATE(B16428,""en"",""it"")"),"Le spazzole Lady sentono i capelli e aggiungono i capelli i capelli.")</f>
        <v>Le spazzole Lady sentono i capelli e aggiungono i capelli i capelli.</v>
      </c>
    </row>
    <row r="16429">
      <c r="A16429" s="4" t="s">
        <v>20694</v>
      </c>
      <c r="B16429" s="6" t="s">
        <v>20695</v>
      </c>
      <c r="C16429" s="5" t="str">
        <f>IFERROR(__xludf.DUMMYFUNCTION("GOOGLETRANSLATE(B16429,""en"",""it"")"),"Viene mostrato un primo piano di un computer seguito da un uomo che entra in frame e canta nel microfono.")</f>
        <v>Viene mostrato un primo piano di un computer seguito da un uomo che entra in frame e canta nel microfono.</v>
      </c>
    </row>
    <row r="16430">
      <c r="A16430" s="4" t="s">
        <v>20694</v>
      </c>
      <c r="B16430" s="4" t="s">
        <v>20696</v>
      </c>
      <c r="C16430" s="5" t="str">
        <f>IFERROR(__xludf.DUMMYFUNCTION("GOOGLETRANSLATE(B16430,""en"",""it"")"),"L'uomo continua a cantare mentre la telecamera lo cattura e alla fine svanisce il nero.")</f>
        <v>L'uomo continua a cantare mentre la telecamera lo cattura e alla fine svanisce il nero.</v>
      </c>
    </row>
    <row r="16431">
      <c r="A16431" s="4" t="s">
        <v>20697</v>
      </c>
      <c r="B16431" s="4" t="s">
        <v>20698</v>
      </c>
      <c r="C16431" s="5" t="str">
        <f>IFERROR(__xludf.DUMMYFUNCTION("GOOGLETRANSLATE(B16431,""en"",""it"")"),"Una vecchia parla prima di correre in una maratona dove partecipano molte persone.")</f>
        <v>Una vecchia parla prima di correre in una maratona dove partecipano molte persone.</v>
      </c>
    </row>
    <row r="16432">
      <c r="A16432" s="4" t="s">
        <v>20697</v>
      </c>
      <c r="B16432" s="4" t="s">
        <v>20699</v>
      </c>
      <c r="C16432" s="5" t="str">
        <f>IFERROR(__xludf.DUMMYFUNCTION("GOOGLETRANSLATE(B16432,""en"",""it"")"),"Quindi, la donna taglia il traguardo e la gente la aiuta.")</f>
        <v>Quindi, la donna taglia il traguardo e la gente la aiuta.</v>
      </c>
    </row>
    <row r="16433">
      <c r="A16433" s="4" t="s">
        <v>20697</v>
      </c>
      <c r="B16433" s="4" t="s">
        <v>20700</v>
      </c>
      <c r="C16433" s="5" t="str">
        <f>IFERROR(__xludf.DUMMYFUNCTION("GOOGLETRANSLATE(B16433,""en"",""it"")"),"Un cameraman film sul traguardo mentre le persone arrivano.")</f>
        <v>Un cameraman film sul traguardo mentre le persone arrivano.</v>
      </c>
    </row>
    <row r="16434">
      <c r="A16434" s="4" t="s">
        <v>20697</v>
      </c>
      <c r="B16434" s="4" t="s">
        <v>20701</v>
      </c>
      <c r="C16434" s="5" t="str">
        <f>IFERROR(__xludf.DUMMYFUNCTION("GOOGLETRANSLATE(B16434,""en"",""it"")"),"Una donna solleva le braccia quando attraversa il traguardo.")</f>
        <v>Una donna solleva le braccia quando attraversa il traguardo.</v>
      </c>
    </row>
    <row r="16435">
      <c r="A16435" s="4" t="s">
        <v>20702</v>
      </c>
      <c r="B16435" s="4" t="s">
        <v>20703</v>
      </c>
      <c r="C16435" s="5" t="str">
        <f>IFERROR(__xludf.DUMMYFUNCTION("GOOGLETRANSLATE(B16435,""en"",""it"")"),"Un uomo molto grande che indossa uno speedo nero è in piedi in una pista di wrestling sbuffando e sbuffando.")</f>
        <v>Un uomo molto grande che indossa uno speedo nero è in piedi in una pista di wrestling sbuffando e sbuffando.</v>
      </c>
    </row>
    <row r="16436">
      <c r="A16436" s="4" t="s">
        <v>20702</v>
      </c>
      <c r="B16436" s="6" t="s">
        <v>20704</v>
      </c>
      <c r="C16436" s="5" t="str">
        <f>IFERROR(__xludf.DUMMYFUNCTION("GOOGLETRANSLATE(B16436,""en"",""it"")"),"Un arbitro cammina oltre l'uomo, un uomo da terra si alza e l'uomo molto grande lo prende a calci, lo raccoglie, poi lo sbatte sulla pista.")</f>
        <v>Un arbitro cammina oltre l'uomo, un uomo da terra si alza e l'uomo molto grande lo prende a calci, lo raccoglie, poi lo sbatte sulla pista.</v>
      </c>
    </row>
    <row r="16437">
      <c r="A16437" s="4" t="s">
        <v>20702</v>
      </c>
      <c r="B16437" s="4" t="s">
        <v>20705</v>
      </c>
      <c r="C16437" s="5" t="str">
        <f>IFERROR(__xludf.DUMMYFUNCTION("GOOGLETRANSLATE(B16437,""en"",""it"")"),"L'uomo giace lì contorcendosi per il dolore.")</f>
        <v>L'uomo giace lì contorcendosi per il dolore.</v>
      </c>
    </row>
    <row r="16438">
      <c r="A16438" s="4" t="s">
        <v>20706</v>
      </c>
      <c r="B16438" s="6" t="s">
        <v>20707</v>
      </c>
      <c r="C16438" s="5" t="str">
        <f>IFERROR(__xludf.DUMMYFUNCTION("GOOGLETRANSLATE(B16438,""en"",""it"")"),"Due donne si vedono parlare tra loro e conducono a loro esibirsi tra le arti marziali l'una contro l'altra.")</f>
        <v>Due donne si vedono parlare tra loro e conducono a loro esibirsi tra le arti marziali l'una contro l'altra.</v>
      </c>
    </row>
    <row r="16439">
      <c r="A16439" s="4" t="s">
        <v>20706</v>
      </c>
      <c r="B16439" s="6" t="s">
        <v>20708</v>
      </c>
      <c r="C16439" s="5" t="str">
        <f>IFERROR(__xludf.DUMMYFUNCTION("GOOGLETRANSLATE(B16439,""en"",""it"")"),"Le ragazze continuano a combattere e conducono in una seduta mentre l'altra continua a eseguire mosse.")</f>
        <v>Le ragazze continuano a combattere e conducono in una seduta mentre l'altra continua a eseguire mosse.</v>
      </c>
    </row>
    <row r="16440">
      <c r="A16440" s="4" t="s">
        <v>20709</v>
      </c>
      <c r="B16440" s="4" t="s">
        <v>20710</v>
      </c>
      <c r="C16440" s="5" t="str">
        <f>IFERROR(__xludf.DUMMYFUNCTION("GOOGLETRANSLATE(B16440,""en"",""it"")"),"Una ragazza in abito rosso serve la palla alla sua amica in una partita di tennis all'aperto.")</f>
        <v>Una ragazza in abito rosso serve la palla alla sua amica in una partita di tennis all'aperto.</v>
      </c>
    </row>
    <row r="16441">
      <c r="A16441" s="4" t="s">
        <v>20709</v>
      </c>
      <c r="B16441" s="4" t="s">
        <v>20711</v>
      </c>
      <c r="C16441" s="5" t="str">
        <f>IFERROR(__xludf.DUMMYFUNCTION("GOOGLETRANSLATE(B16441,""en"",""it"")"),"L'amico restituisce la palla e i due giocano un giro di tennis.")</f>
        <v>L'amico restituisce la palla e i due giocano un giro di tennis.</v>
      </c>
    </row>
    <row r="16442">
      <c r="A16442" s="4" t="s">
        <v>20709</v>
      </c>
      <c r="B16442" s="4" t="s">
        <v>20712</v>
      </c>
      <c r="C16442" s="5" t="str">
        <f>IFERROR(__xludf.DUMMYFUNCTION("GOOGLETRANSLATE(B16442,""en"",""it"")"),"La palla viene deviata dalla rete e il partner perde il round.")</f>
        <v>La palla viene deviata dalla rete e il partner perde il round.</v>
      </c>
    </row>
    <row r="16443">
      <c r="A16443" s="4" t="s">
        <v>20713</v>
      </c>
      <c r="B16443" s="4" t="s">
        <v>20714</v>
      </c>
      <c r="C16443" s="5" t="str">
        <f>IFERROR(__xludf.DUMMYFUNCTION("GOOGLETRANSLATE(B16443,""en"",""it"")"),"Diversi uomini stanno su un molo.")</f>
        <v>Diversi uomini stanno su un molo.</v>
      </c>
    </row>
    <row r="16444">
      <c r="A16444" s="4" t="s">
        <v>20713</v>
      </c>
      <c r="B16444" s="4" t="s">
        <v>20715</v>
      </c>
      <c r="C16444" s="5" t="str">
        <f>IFERROR(__xludf.DUMMYFUNCTION("GOOGLETRANSLATE(B16444,""en"",""it"")"),"Uno degli uomini è senza camicia.")</f>
        <v>Uno degli uomini è senza camicia.</v>
      </c>
    </row>
    <row r="16445">
      <c r="A16445" s="4" t="s">
        <v>20713</v>
      </c>
      <c r="B16445" s="4" t="s">
        <v>20716</v>
      </c>
      <c r="C16445" s="5" t="str">
        <f>IFERROR(__xludf.DUMMYFUNCTION("GOOGLETRANSLATE(B16445,""en"",""it"")"),"Tirano fuori un po 'di carne cruda.")</f>
        <v>Tirano fuori un po 'di carne cruda.</v>
      </c>
    </row>
    <row r="16446">
      <c r="A16446" s="4" t="s">
        <v>20713</v>
      </c>
      <c r="B16446" s="4" t="s">
        <v>20717</v>
      </c>
      <c r="C16446" s="5" t="str">
        <f>IFERROR(__xludf.DUMMYFUNCTION("GOOGLETRANSLATE(B16446,""en"",""it"")"),"Uno degli uomini sale su una tavola e fa trucchi.")</f>
        <v>Uno degli uomini sale su una tavola e fa trucchi.</v>
      </c>
    </row>
    <row r="16447">
      <c r="A16447" s="4" t="s">
        <v>20718</v>
      </c>
      <c r="B16447" s="4" t="s">
        <v>20719</v>
      </c>
      <c r="C16447" s="5" t="str">
        <f>IFERROR(__xludf.DUMMYFUNCTION("GOOGLETRANSLATE(B16447,""en"",""it"")"),"Un gruppo si siede sui cavalli come stand e riposati.")</f>
        <v>Un gruppo si siede sui cavalli come stand e riposati.</v>
      </c>
    </row>
    <row r="16448">
      <c r="A16448" s="4" t="s">
        <v>20718</v>
      </c>
      <c r="B16448" s="4" t="s">
        <v>20720</v>
      </c>
      <c r="C16448" s="5" t="str">
        <f>IFERROR(__xludf.DUMMYFUNCTION("GOOGLETRANSLATE(B16448,""en"",""it"")"),"Il gruppo cavalca sui cavalli lungo un sentiero.")</f>
        <v>Il gruppo cavalca sui cavalli lungo un sentiero.</v>
      </c>
    </row>
    <row r="16449">
      <c r="A16449" s="4" t="s">
        <v>20721</v>
      </c>
      <c r="B16449" s="4" t="s">
        <v>20722</v>
      </c>
      <c r="C16449" s="5" t="str">
        <f>IFERROR(__xludf.DUMMYFUNCTION("GOOGLETRANSLATE(B16449,""en"",""it"")"),"Viene vista una donna parlare alla telecamera e ad altre persone in macchina con lei.")</f>
        <v>Viene vista una donna parlare alla telecamera e ad altre persone in macchina con lei.</v>
      </c>
    </row>
    <row r="16450">
      <c r="A16450" s="4" t="s">
        <v>20721</v>
      </c>
      <c r="B16450" s="4" t="s">
        <v>20723</v>
      </c>
      <c r="C16450" s="5" t="str">
        <f>IFERROR(__xludf.DUMMYFUNCTION("GOOGLETRANSLATE(B16450,""en"",""it"")"),"I colpi di lei e della sua amica vengono mostrati attraverso una cornice e conducono in loro guardando i tatuaggi.")</f>
        <v>I colpi di lei e della sua amica vengono mostrati attraverso una cornice e conducono in loro guardando i tatuaggi.</v>
      </c>
    </row>
    <row r="16451">
      <c r="A16451" s="4" t="s">
        <v>20721</v>
      </c>
      <c r="B16451" s="6" t="s">
        <v>20724</v>
      </c>
      <c r="C16451" s="5" t="str">
        <f>IFERROR(__xludf.DUMMYFUNCTION("GOOGLETRANSLATE(B16451,""en"",""it"")"),"Vengono mostrati cantare in macchina e in attesa di fare un tatuaggio mentre parlano ancora alla telecamera.")</f>
        <v>Vengono mostrati cantare in macchina e in attesa di fare un tatuaggio mentre parlano ancora alla telecamera.</v>
      </c>
    </row>
    <row r="16452">
      <c r="A16452" s="4" t="s">
        <v>20721</v>
      </c>
      <c r="B16452" s="6" t="s">
        <v>20725</v>
      </c>
      <c r="C16452" s="5" t="str">
        <f>IFERROR(__xludf.DUMMYFUNCTION("GOOGLETRANSLATE(B16452,""en"",""it"")"),"Le ragazze vengono quindi mostrate che fanno tatuaggi e termina con le foto dei loro tatuaggi che vengono mostrati.")</f>
        <v>Le ragazze vengono quindi mostrate che fanno tatuaggi e termina con le foto dei loro tatuaggi che vengono mostrati.</v>
      </c>
    </row>
    <row r="16453">
      <c r="A16453" s="4" t="s">
        <v>20726</v>
      </c>
      <c r="B16453" s="4" t="s">
        <v>20727</v>
      </c>
      <c r="C16453" s="5" t="str">
        <f>IFERROR(__xludf.DUMMYFUNCTION("GOOGLETRANSLATE(B16453,""en"",""it"")"),"Una donna che indossa una camicia rosa e bianca e collant neri è in piedi nel suo cortile.")</f>
        <v>Una donna che indossa una camicia rosa e bianca e collant neri è in piedi nel suo cortile.</v>
      </c>
    </row>
    <row r="16454">
      <c r="A16454" s="4" t="s">
        <v>20726</v>
      </c>
      <c r="B16454" s="4" t="s">
        <v>20728</v>
      </c>
      <c r="C16454" s="5" t="str">
        <f>IFERROR(__xludf.DUMMYFUNCTION("GOOGLETRANSLATE(B16454,""en"",""it"")"),"Ha in mano due tipi di tiro in lei e li fa roteare.")</f>
        <v>Ha in mano due tipi di tiro in lei e li fa roteare.</v>
      </c>
    </row>
    <row r="16455">
      <c r="A16455" s="4" t="s">
        <v>20726</v>
      </c>
      <c r="B16455" s="4" t="s">
        <v>20729</v>
      </c>
      <c r="C16455" s="5" t="str">
        <f>IFERROR(__xludf.DUMMYFUNCTION("GOOGLETRANSLATE(B16455,""en"",""it"")"),"Si fa roteare il corpo e si gira più volte mentre faceva roteare i manganelli con entrambe le mani.")</f>
        <v>Si fa roteare il corpo e si gira più volte mentre faceva roteare i manganelli con entrambe le mani.</v>
      </c>
    </row>
    <row r="16456">
      <c r="A16456" s="4" t="s">
        <v>20726</v>
      </c>
      <c r="B16456" s="4" t="s">
        <v>20730</v>
      </c>
      <c r="C16456" s="5" t="str">
        <f>IFERROR(__xludf.DUMMYFUNCTION("GOOGLETRANSLATE(B16456,""en"",""it"")"),"Muove anche il piede avanti e indietro e cammina e solleva il piede mentre fa roteare.")</f>
        <v>Muove anche il piede avanti e indietro e cammina e solleva il piede mentre fa roteare.</v>
      </c>
    </row>
    <row r="16457">
      <c r="A16457" s="4" t="s">
        <v>20726</v>
      </c>
      <c r="B16457" s="4" t="s">
        <v>20731</v>
      </c>
      <c r="C16457" s="5" t="str">
        <f>IFERROR(__xludf.DUMMYFUNCTION("GOOGLETRANSLATE(B16457,""en"",""it"")"),"Quindi getta il testimone da sotto la gamba e lo prende con l'altra mano.")</f>
        <v>Quindi getta il testimone da sotto la gamba e lo prende con l'altra mano.</v>
      </c>
    </row>
    <row r="16458">
      <c r="A16458" s="4" t="s">
        <v>20726</v>
      </c>
      <c r="B16458" s="4" t="s">
        <v>20732</v>
      </c>
      <c r="C16458" s="5" t="str">
        <f>IFERROR(__xludf.DUMMYFUNCTION("GOOGLETRANSLATE(B16458,""en"",""it"")"),"Continua a girare il testimone vicino a un albero ombreggiato.")</f>
        <v>Continua a girare il testimone vicino a un albero ombreggiato.</v>
      </c>
    </row>
    <row r="16459">
      <c r="A16459" s="4" t="s">
        <v>20726</v>
      </c>
      <c r="B16459" s="4" t="s">
        <v>20733</v>
      </c>
      <c r="C16459" s="5" t="str">
        <f>IFERROR(__xludf.DUMMYFUNCTION("GOOGLETRANSLATE(B16459,""en"",""it"")"),"Gira tutto il corpo mentre fa roteare i manganelli.")</f>
        <v>Gira tutto il corpo mentre fa roteare i manganelli.</v>
      </c>
    </row>
    <row r="16460">
      <c r="A16460" s="4" t="s">
        <v>20726</v>
      </c>
      <c r="B16460" s="4" t="s">
        <v>20734</v>
      </c>
      <c r="C16460" s="5" t="str">
        <f>IFERROR(__xludf.DUMMYFUNCTION("GOOGLETRANSLATE(B16460,""en"",""it"")"),"Alla fine si inchina e tiene in mano il testimone.")</f>
        <v>Alla fine si inchina e tiene in mano il testimone.</v>
      </c>
    </row>
    <row r="16461">
      <c r="A16461" s="4" t="s">
        <v>20735</v>
      </c>
      <c r="B16461" s="4" t="s">
        <v>20736</v>
      </c>
      <c r="C16461" s="5" t="str">
        <f>IFERROR(__xludf.DUMMYFUNCTION("GOOGLETRANSLATE(B16461,""en"",""it"")"),"Vediamo l'acqua che scorre su un fiume.")</f>
        <v>Vediamo l'acqua che scorre su un fiume.</v>
      </c>
    </row>
    <row r="16462">
      <c r="A16462" s="4" t="s">
        <v>20735</v>
      </c>
      <c r="B16462" s="4" t="s">
        <v>20737</v>
      </c>
      <c r="C16462" s="5" t="str">
        <f>IFERROR(__xludf.DUMMYFUNCTION("GOOGLETRANSLATE(B16462,""en"",""it"")"),"Un titolo appare sullo schermo.")</f>
        <v>Un titolo appare sullo schermo.</v>
      </c>
    </row>
    <row r="16463">
      <c r="A16463" s="4" t="s">
        <v>20735</v>
      </c>
      <c r="B16463" s="4" t="s">
        <v>20738</v>
      </c>
      <c r="C16463" s="5" t="str">
        <f>IFERROR(__xludf.DUMMYFUNCTION("GOOGLETRANSLATE(B16463,""en"",""it"")"),"Una persona in canoa supera la cascata.")</f>
        <v>Una persona in canoa supera la cascata.</v>
      </c>
    </row>
    <row r="16464">
      <c r="A16464" s="4" t="s">
        <v>20735</v>
      </c>
      <c r="B16464" s="4" t="s">
        <v>20739</v>
      </c>
      <c r="C16464" s="5" t="str">
        <f>IFERROR(__xludf.DUMMYFUNCTION("GOOGLETRANSLATE(B16464,""en"",""it"")"),"La persona cavalca le rapide del fiume.")</f>
        <v>La persona cavalca le rapide del fiume.</v>
      </c>
    </row>
    <row r="16465">
      <c r="A16465" s="4" t="s">
        <v>20735</v>
      </c>
      <c r="B16465" s="4" t="s">
        <v>20740</v>
      </c>
      <c r="C16465" s="5" t="str">
        <f>IFERROR(__xludf.DUMMYFUNCTION("GOOGLETRANSLATE(B16465,""en"",""it"")"),"Vediamo persone su una roccia sulla riva del fiume guardando il canoa.")</f>
        <v>Vediamo persone su una roccia sulla riva del fiume guardando il canoa.</v>
      </c>
    </row>
    <row r="16466">
      <c r="A16466" s="4" t="s">
        <v>20735</v>
      </c>
      <c r="B16466" s="4" t="s">
        <v>20741</v>
      </c>
      <c r="C16466" s="5" t="str">
        <f>IFERROR(__xludf.DUMMYFUNCTION("GOOGLETRANSLATE(B16466,""en"",""it"")"),"La persona nella canoa sorride e parla alla telecamera.")</f>
        <v>La persona nella canoa sorride e parla alla telecamera.</v>
      </c>
    </row>
    <row r="16467">
      <c r="A16467" s="4" t="s">
        <v>20742</v>
      </c>
      <c r="B16467" s="6" t="s">
        <v>20743</v>
      </c>
      <c r="C16467" s="5" t="str">
        <f>IFERROR(__xludf.DUMMYFUNCTION("GOOGLETRANSLATE(B16467,""en"",""it"")"),"Viene mostrato un primo piano di pneumatici, seguito da un uomo che lavora su uno pneumatico oltre ad essere intervistato sulla telecamera.")</f>
        <v>Viene mostrato un primo piano di pneumatici, seguito da un uomo che lavora su uno pneumatico oltre ad essere intervistato sulla telecamera.</v>
      </c>
    </row>
    <row r="16468">
      <c r="A16468" s="4" t="s">
        <v>20742</v>
      </c>
      <c r="B16468" s="6" t="s">
        <v>20744</v>
      </c>
      <c r="C16468" s="5" t="str">
        <f>IFERROR(__xludf.DUMMYFUNCTION("GOOGLETRANSLATE(B16468,""en"",""it"")"),"La fotocamera cattura lo strumento sulle gomme da più angoli e solleva l'auto per lavorare sotto.")</f>
        <v>La fotocamera cattura lo strumento sulle gomme da più angoli e solleva l'auto per lavorare sotto.</v>
      </c>
    </row>
    <row r="16469">
      <c r="A16469" s="4" t="s">
        <v>20742</v>
      </c>
      <c r="B16469" s="6" t="s">
        <v>20745</v>
      </c>
      <c r="C16469" s="5" t="str">
        <f>IFERROR(__xludf.DUMMYFUNCTION("GOOGLETRANSLATE(B16469,""en"",""it"")"),"Altri scatti degli uomini che lavorano come mostrati come si parla alla telecamera e termina svanendo al bianco.")</f>
        <v>Altri scatti degli uomini che lavorano come mostrati come si parla alla telecamera e termina svanendo al bianco.</v>
      </c>
    </row>
    <row r="16470">
      <c r="A16470" s="4" t="s">
        <v>20746</v>
      </c>
      <c r="B16470" s="6" t="s">
        <v>20747</v>
      </c>
      <c r="C16470" s="5" t="str">
        <f>IFERROR(__xludf.DUMMYFUNCTION("GOOGLETRANSLATE(B16470,""en"",""it"")"),"Un uomo e una donna che indossavano giacche rosse, l'uomo faceva il tifo, mentre la donna sta facendo video usando il suo iPad, ha un aspetto molto serio sul viso, la donna ha consegnato l'iPad all'uomo.")</f>
        <v>Un uomo e una donna che indossavano giacche rosse, l'uomo faceva il tifo, mentre la donna sta facendo video usando il suo iPad, ha un aspetto molto serio sul viso, la donna ha consegnato l'iPad all'uomo.</v>
      </c>
    </row>
    <row r="16471">
      <c r="A16471" s="4" t="s">
        <v>20746</v>
      </c>
      <c r="B16471" s="6" t="s">
        <v>20748</v>
      </c>
      <c r="C16471" s="5" t="str">
        <f>IFERROR(__xludf.DUMMYFUNCTION("GOOGLETRANSLATE(B16471,""en"",""it"")"),"Una donna sta raccogliendo un palo, mettendolo all'interno del palo più grande, un uomo in giacca blu alzava lo sguardo da terra.")</f>
        <v>Una donna sta raccogliendo un palo, mettendolo all'interno del palo più grande, un uomo in giacca blu alzava lo sguardo da terra.</v>
      </c>
    </row>
    <row r="16472">
      <c r="A16472" s="4" t="s">
        <v>20746</v>
      </c>
      <c r="B16472" s="6" t="s">
        <v>20749</v>
      </c>
      <c r="C16472" s="5" t="str">
        <f>IFERROR(__xludf.DUMMYFUNCTION("GOOGLETRANSLATE(B16472,""en"",""it"")"),"Un atleta maschio che indossava la parte superiore rossa e blu, i pantaloncini blu corse, saltò e saltò, cadde sulla sabbia #18 e poi si alzò camminava intorno all'erba e si unì verso il gruppo di persone.")</f>
        <v>Un atleta maschio che indossava la parte superiore rossa e blu, i pantaloncini blu corse, saltò e saltò, cadde sulla sabbia #18 e poi si alzò camminava intorno all'erba e si unì verso il gruppo di persone.</v>
      </c>
    </row>
    <row r="16473">
      <c r="A16473" s="4" t="s">
        <v>20746</v>
      </c>
      <c r="B16473" s="6" t="s">
        <v>20750</v>
      </c>
      <c r="C16473" s="5" t="str">
        <f>IFERROR(__xludf.DUMMYFUNCTION("GOOGLETRANSLATE(B16473,""en"",""it"")"),"Un atleta maschio che indossava il top blu corse verso la corsia, iniziò a saltare dopo aver superato la linea bianca e saltato sulla sabbia, colpì il terreno sabbioso, poi si alzò, poi si avvicinò al campo.")</f>
        <v>Un atleta maschio che indossava il top blu corse verso la corsia, iniziò a saltare dopo aver superato la linea bianca e saltato sulla sabbia, colpì il terreno sabbioso, poi si alzò, poi si avvicinò al campo.</v>
      </c>
    </row>
    <row r="16474">
      <c r="A16474" s="4" t="s">
        <v>20746</v>
      </c>
      <c r="B16474" s="6" t="s">
        <v>20751</v>
      </c>
      <c r="C16474" s="5" t="str">
        <f>IFERROR(__xludf.DUMMYFUNCTION("GOOGLETRANSLATE(B16474,""en"",""it"")"),"Un atleta maschio in uniforme rossa e blu iniziò a correre sul campo, saltò quando passò la linea bianca e poi saltò verso il letto di terra sabbiosa, colpì il terreno, cadde su un fianco e si alzò e camminò verso il campo.")</f>
        <v>Un atleta maschio in uniforme rossa e blu iniziò a correre sul campo, saltò quando passò la linea bianca e poi saltò verso il letto di terra sabbiosa, colpì il terreno, cadde su un fianco e si alzò e camminò verso il campo.</v>
      </c>
    </row>
    <row r="16475">
      <c r="A16475" s="4" t="s">
        <v>20746</v>
      </c>
      <c r="B16475" s="4" t="s">
        <v>20752</v>
      </c>
      <c r="C16475" s="5" t="str">
        <f>IFERROR(__xludf.DUMMYFUNCTION("GOOGLETRANSLATE(B16475,""en"",""it"")"),"Viene mostrata una donna in top rosso.")</f>
        <v>Viene mostrata una donna in top rosso.</v>
      </c>
    </row>
    <row r="16476">
      <c r="A16476" s="4" t="s">
        <v>20753</v>
      </c>
      <c r="B16476" s="6" t="s">
        <v>20754</v>
      </c>
      <c r="C16476" s="5" t="str">
        <f>IFERROR(__xludf.DUMMYFUNCTION("GOOGLETRANSLATE(B16476,""en"",""it"")"),"Una donna è seduta su un letto d'ospedale con una maniglia di rasoio in bocca e le persone intorno a lei si muovono i capelli dal viso.")</f>
        <v>Una donna è seduta su un letto d'ospedale con una maniglia di rasoio in bocca e le persone intorno a lei si muovono i capelli dal viso.</v>
      </c>
    </row>
    <row r="16477">
      <c r="A16477" s="4" t="s">
        <v>20753</v>
      </c>
      <c r="B16477" s="6" t="s">
        <v>20755</v>
      </c>
      <c r="C16477" s="5" t="str">
        <f>IFERROR(__xludf.DUMMYFUNCTION("GOOGLETRANSLATE(B16477,""en"",""it"")"),"La donna inizia quindi a tirare il rasoio su e giù per la parte della gamba sinistra che può raggiungere con la sua curva.")</f>
        <v>La donna inizia quindi a tirare il rasoio su e giù per la parte della gamba sinistra che può raggiungere con la sua curva.</v>
      </c>
    </row>
    <row r="16478">
      <c r="A16478" s="4" t="s">
        <v>20753</v>
      </c>
      <c r="B16478" s="6" t="s">
        <v>20756</v>
      </c>
      <c r="C16478" s="5" t="str">
        <f>IFERROR(__xludf.DUMMYFUNCTION("GOOGLETRANSLATE(B16478,""en"",""it"")"),"La donna quindi afferra il rasoio dalla bocca con la mano destra e inizia a radersi la gamba sinistra.")</f>
        <v>La donna quindi afferra il rasoio dalla bocca con la mano destra e inizia a radersi la gamba sinistra.</v>
      </c>
    </row>
    <row r="16479">
      <c r="A16479" s="4" t="s">
        <v>20753</v>
      </c>
      <c r="B16479" s="6" t="s">
        <v>20757</v>
      </c>
      <c r="C16479" s="5" t="str">
        <f>IFERROR(__xludf.DUMMYFUNCTION("GOOGLETRANSLATE(B16479,""en"",""it"")"),"La donna mette la maniglia del rasoio in bocca e cerca di radersi di nuovo, ma cade dalla sua bocca e lei lascia cadere la testa in frustrazione, quindi si appoggia sul letto, ride e poi incrocia le braccia.")</f>
        <v>La donna mette la maniglia del rasoio in bocca e cerca di radersi di nuovo, ma cade dalla sua bocca e lei lascia cadere la testa in frustrazione, quindi si appoggia sul letto, ride e poi incrocia le braccia.</v>
      </c>
    </row>
    <row r="16480">
      <c r="A16480" s="4" t="s">
        <v>20758</v>
      </c>
      <c r="B16480" s="4" t="s">
        <v>20759</v>
      </c>
      <c r="C16480" s="5" t="str">
        <f>IFERROR(__xludf.DUMMYFUNCTION("GOOGLETRANSLATE(B16480,""en"",""it"")"),"Un uomo con un cappello nero è in piedi per strada.")</f>
        <v>Un uomo con un cappello nero è in piedi per strada.</v>
      </c>
    </row>
    <row r="16481">
      <c r="A16481" s="4" t="s">
        <v>20758</v>
      </c>
      <c r="B16481" s="4" t="s">
        <v>20760</v>
      </c>
      <c r="C16481" s="5" t="str">
        <f>IFERROR(__xludf.DUMMYFUNCTION("GOOGLETRANSLATE(B16481,""en"",""it"")"),"Una persona inizia a ballare per strada.")</f>
        <v>Una persona inizia a ballare per strada.</v>
      </c>
    </row>
    <row r="16482">
      <c r="A16482" s="4" t="s">
        <v>20758</v>
      </c>
      <c r="B16482" s="4" t="s">
        <v>20761</v>
      </c>
      <c r="C16482" s="5" t="str">
        <f>IFERROR(__xludf.DUMMYFUNCTION("GOOGLETRANSLATE(B16482,""en"",""it"")"),"Un uomo inizia a rompere ballando davanti a un'auto.")</f>
        <v>Un uomo inizia a rompere ballando davanti a un'auto.</v>
      </c>
    </row>
    <row r="16483">
      <c r="A16483" s="4" t="s">
        <v>20762</v>
      </c>
      <c r="B16483" s="4" t="s">
        <v>20763</v>
      </c>
      <c r="C16483" s="5" t="str">
        <f>IFERROR(__xludf.DUMMYFUNCTION("GOOGLETRANSLATE(B16483,""en"",""it"")"),"Un uomo che indossa gli occhiali tiene un libro e parla.")</f>
        <v>Un uomo che indossa gli occhiali tiene un libro e parla.</v>
      </c>
    </row>
    <row r="16484">
      <c r="A16484" s="4" t="s">
        <v>20762</v>
      </c>
      <c r="B16484" s="4" t="s">
        <v>20764</v>
      </c>
      <c r="C16484" s="5" t="str">
        <f>IFERROR(__xludf.DUMMYFUNCTION("GOOGLETRANSLATE(B16484,""en"",""it"")"),"Viene mostrato entrare in una pista da bowling.")</f>
        <v>Viene mostrato entrare in una pista da bowling.</v>
      </c>
    </row>
    <row r="16485">
      <c r="A16485" s="4" t="s">
        <v>20762</v>
      </c>
      <c r="B16485" s="4" t="s">
        <v>20765</v>
      </c>
      <c r="C16485" s="5" t="str">
        <f>IFERROR(__xludf.DUMMYFUNCTION("GOOGLETRANSLATE(B16485,""en"",""it"")"),"L'uomo intervista i giocatori e si unisce a loro in una partita di bowling.")</f>
        <v>L'uomo intervista i giocatori e si unisce a loro in una partita di bowling.</v>
      </c>
    </row>
    <row r="16486">
      <c r="A16486" s="4" t="s">
        <v>20762</v>
      </c>
      <c r="B16486" s="4" t="s">
        <v>20766</v>
      </c>
      <c r="C16486" s="5" t="str">
        <f>IFERROR(__xludf.DUMMYFUNCTION("GOOGLETRANSLATE(B16486,""en"",""it"")"),"Un giocatore spiega le tecniche che usa.")</f>
        <v>Un giocatore spiega le tecniche che usa.</v>
      </c>
    </row>
    <row r="16487">
      <c r="A16487" s="4" t="s">
        <v>20767</v>
      </c>
      <c r="B16487" s="4" t="s">
        <v>20768</v>
      </c>
      <c r="C16487" s="5" t="str">
        <f>IFERROR(__xludf.DUMMYFUNCTION("GOOGLETRANSLATE(B16487,""en"",""it"")"),"Una persona remella lungo un fiume in canoa.")</f>
        <v>Una persona remella lungo un fiume in canoa.</v>
      </c>
    </row>
    <row r="16488">
      <c r="A16488" s="4" t="s">
        <v>20767</v>
      </c>
      <c r="B16488" s="4" t="s">
        <v>20769</v>
      </c>
      <c r="C16488" s="5" t="str">
        <f>IFERROR(__xludf.DUMMYFUNCTION("GOOGLETRANSLATE(B16488,""en"",""it"")"),"La persona si gira e guarda indietro.")</f>
        <v>La persona si gira e guarda indietro.</v>
      </c>
    </row>
    <row r="16489">
      <c r="A16489" s="4" t="s">
        <v>20770</v>
      </c>
      <c r="B16489" s="4" t="s">
        <v>20771</v>
      </c>
      <c r="C16489" s="5" t="str">
        <f>IFERROR(__xludf.DUMMYFUNCTION("GOOGLETRANSLATE(B16489,""en"",""it"")"),"Un uomo viene visto parlare alla telecamera mentre tiene in mano uno strumento.")</f>
        <v>Un uomo viene visto parlare alla telecamera mentre tiene in mano uno strumento.</v>
      </c>
    </row>
    <row r="16490">
      <c r="A16490" s="4" t="s">
        <v>20770</v>
      </c>
      <c r="B16490" s="4" t="s">
        <v>20772</v>
      </c>
      <c r="C16490" s="5" t="str">
        <f>IFERROR(__xludf.DUMMYFUNCTION("GOOGLETRANSLATE(B16490,""en"",""it"")"),"L'uomo inizia quindi a suonare lo strumento davanti alla telecamera.")</f>
        <v>L'uomo inizia quindi a suonare lo strumento davanti alla telecamera.</v>
      </c>
    </row>
    <row r="16491">
      <c r="A16491" s="4" t="s">
        <v>20770</v>
      </c>
      <c r="B16491" s="4" t="s">
        <v>20773</v>
      </c>
      <c r="C16491" s="5" t="str">
        <f>IFERROR(__xludf.DUMMYFUNCTION("GOOGLETRANSLATE(B16491,""en"",""it"")"),"L'uomo continua a suonare lo strumento e si ferma a guardare la telecamera.")</f>
        <v>L'uomo continua a suonare lo strumento e si ferma a guardare la telecamera.</v>
      </c>
    </row>
    <row r="16492">
      <c r="A16492" s="4" t="s">
        <v>20774</v>
      </c>
      <c r="B16492" s="4" t="s">
        <v>20775</v>
      </c>
      <c r="C16492" s="5" t="str">
        <f>IFERROR(__xludf.DUMMYFUNCTION("GOOGLETRANSLATE(B16492,""en"",""it"")"),"Un cane è vicino alla telecamera, gioca a combattere con un altro cane.")</f>
        <v>Un cane è vicino alla telecamera, gioca a combattere con un altro cane.</v>
      </c>
    </row>
    <row r="16493">
      <c r="A16493" s="4" t="s">
        <v>20774</v>
      </c>
      <c r="B16493" s="4" t="s">
        <v>20776</v>
      </c>
      <c r="C16493" s="5" t="str">
        <f>IFERROR(__xludf.DUMMYFUNCTION("GOOGLETRANSLATE(B16493,""en"",""it"")"),"Saltano dalle ginocchia di un uomo, poi di nuovo mentre continuano a giocare.")</f>
        <v>Saltano dalle ginocchia di un uomo, poi di nuovo mentre continuano a giocare.</v>
      </c>
    </row>
    <row r="16494">
      <c r="A16494" s="4" t="s">
        <v>20774</v>
      </c>
      <c r="B16494" s="4" t="s">
        <v>20777</v>
      </c>
      <c r="C16494" s="5" t="str">
        <f>IFERROR(__xludf.DUMMYFUNCTION("GOOGLETRANSLATE(B16494,""en"",""it"")"),"L'uomo si rimette gli occhiali mentre i cani si calmano e si sdraiano in grembo.")</f>
        <v>L'uomo si rimette gli occhiali mentre i cani si calmano e si sdraiano in grembo.</v>
      </c>
    </row>
    <row r="16495">
      <c r="A16495" s="4" t="s">
        <v>20778</v>
      </c>
      <c r="B16495" s="4" t="s">
        <v>20779</v>
      </c>
      <c r="C16495" s="5" t="str">
        <f>IFERROR(__xludf.DUMMYFUNCTION("GOOGLETRANSLATE(B16495,""en"",""it"")"),"All'interno di un uomo e di una donna stanno giocando una partita di Raquet Ball.")</f>
        <v>All'interno di un uomo e di una donna stanno giocando una partita di Raquet Ball.</v>
      </c>
    </row>
    <row r="16496">
      <c r="A16496" s="4" t="s">
        <v>20778</v>
      </c>
      <c r="B16496" s="4" t="s">
        <v>20780</v>
      </c>
      <c r="C16496" s="5" t="str">
        <f>IFERROR(__xludf.DUMMYFUNCTION("GOOGLETRANSLATE(B16496,""en"",""it"")"),"Comincia a parlarne per un po 'molto causalmente.")</f>
        <v>Comincia a parlarne per un po 'molto causalmente.</v>
      </c>
    </row>
    <row r="16497">
      <c r="A16497" s="4" t="s">
        <v>20778</v>
      </c>
      <c r="B16497" s="4" t="s">
        <v>20781</v>
      </c>
      <c r="C16497" s="5" t="str">
        <f>IFERROR(__xludf.DUMMYFUNCTION("GOOGLETRANSLATE(B16497,""en"",""it"")"),"Quindi, va a esercitarsi a colpirlo da sola per un po '.")</f>
        <v>Quindi, va a esercitarsi a colpirlo da sola per un po '.</v>
      </c>
    </row>
    <row r="16498">
      <c r="A16498" s="4" t="s">
        <v>20778</v>
      </c>
      <c r="B16498" s="4" t="s">
        <v>20782</v>
      </c>
      <c r="C16498" s="5" t="str">
        <f>IFERROR(__xludf.DUMMYFUNCTION("GOOGLETRANSLATE(B16498,""en"",""it"")"),"Questo è un gioco che le piace davvero giocare, è un hobby.")</f>
        <v>Questo è un gioco che le piace davvero giocare, è un hobby.</v>
      </c>
    </row>
    <row r="16499">
      <c r="A16499" s="4" t="s">
        <v>20783</v>
      </c>
      <c r="B16499" s="4" t="s">
        <v>20784</v>
      </c>
      <c r="C16499" s="5" t="str">
        <f>IFERROR(__xludf.DUMMYFUNCTION("GOOGLETRANSLATE(B16499,""en"",""it"")"),"Un video mostra come preparare il toast al curry.")</f>
        <v>Un video mostra come preparare il toast al curry.</v>
      </c>
    </row>
    <row r="16500">
      <c r="A16500" s="4" t="s">
        <v>20783</v>
      </c>
      <c r="B16500" s="4" t="s">
        <v>20785</v>
      </c>
      <c r="C16500" s="5" t="str">
        <f>IFERROR(__xludf.DUMMYFUNCTION("GOOGLETRANSLATE(B16500,""en"",""it"")"),"Il curry è in una padella e il pane e il burro sono su un vassoio.")</f>
        <v>Il curry è in una padella e il pane e il burro sono su un vassoio.</v>
      </c>
    </row>
    <row r="16501">
      <c r="A16501" s="4" t="s">
        <v>20783</v>
      </c>
      <c r="B16501" s="4" t="s">
        <v>20786</v>
      </c>
      <c r="C16501" s="5" t="str">
        <f>IFERROR(__xludf.DUMMYFUNCTION("GOOGLETRANSLATE(B16501,""en"",""it"")"),"L'uomo applica il burro, quindi il curry al pane prima di brindare.")</f>
        <v>L'uomo applica il burro, quindi il curry al pane prima di brindare.</v>
      </c>
    </row>
    <row r="16502">
      <c r="A16502" s="4" t="s">
        <v>20783</v>
      </c>
      <c r="B16502" s="4" t="s">
        <v>20787</v>
      </c>
      <c r="C16502" s="5" t="str">
        <f>IFERROR(__xludf.DUMMYFUNCTION("GOOGLETRANSLATE(B16502,""en"",""it"")"),"Una Caricatura dei cartoni animati di un bastone balla alla fine.")</f>
        <v>Una Caricatura dei cartoni animati di un bastone balla alla fine.</v>
      </c>
    </row>
    <row r="16503">
      <c r="A16503" s="4" t="s">
        <v>20788</v>
      </c>
      <c r="B16503" s="4" t="s">
        <v>20789</v>
      </c>
      <c r="C16503" s="5" t="str">
        <f>IFERROR(__xludf.DUMMYFUNCTION("GOOGLETRANSLATE(B16503,""en"",""it"")"),"Alle Olimpiadi del 2008, un uomo si prepara a sollevare un bilanciere carico.")</f>
        <v>Alle Olimpiadi del 2008, un uomo si prepara a sollevare un bilanciere carico.</v>
      </c>
    </row>
    <row r="16504">
      <c r="A16504" s="4" t="s">
        <v>20788</v>
      </c>
      <c r="B16504" s="4" t="s">
        <v>20790</v>
      </c>
      <c r="C16504" s="5" t="str">
        <f>IFERROR(__xludf.DUMMYFUNCTION("GOOGLETRANSLATE(B16504,""en"",""it"")"),"Si china e si fa strada con un grande sforzo, sollevando finalmente il bilanciere sopra la testa.")</f>
        <v>Si china e si fa strada con un grande sforzo, sollevando finalmente il bilanciere sopra la testa.</v>
      </c>
    </row>
    <row r="16505">
      <c r="A16505" s="4" t="s">
        <v>20788</v>
      </c>
      <c r="B16505" s="4" t="s">
        <v>20791</v>
      </c>
      <c r="C16505" s="5" t="str">
        <f>IFERROR(__xludf.DUMMYFUNCTION("GOOGLETRANSLATE(B16505,""en"",""it"")"),"Lascia cadere i pesi e si schiantano a terra.")</f>
        <v>Lascia cadere i pesi e si schiantano a terra.</v>
      </c>
    </row>
    <row r="16506">
      <c r="A16506" s="4" t="s">
        <v>20788</v>
      </c>
      <c r="B16506" s="4" t="s">
        <v>20792</v>
      </c>
      <c r="C16506" s="5" t="str">
        <f>IFERROR(__xludf.DUMMYFUNCTION("GOOGLETRANSLATE(B16506,""en"",""it"")"),"Celebra e vediamo che l'Olympian ha stabilito un record.")</f>
        <v>Celebra e vediamo che l'Olympian ha stabilito un record.</v>
      </c>
    </row>
    <row r="16507">
      <c r="A16507" s="4" t="s">
        <v>20793</v>
      </c>
      <c r="B16507" s="4" t="s">
        <v>20794</v>
      </c>
      <c r="C16507" s="5" t="str">
        <f>IFERROR(__xludf.DUMMYFUNCTION("GOOGLETRANSLATE(B16507,""en"",""it"")"),"Un uomo viene visto lanciare una bici e inizia a controllare le gomme con un altro uomo.")</f>
        <v>Un uomo viene visto lanciare una bici e inizia a controllare le gomme con un altro uomo.</v>
      </c>
    </row>
    <row r="16508">
      <c r="A16508" s="4" t="s">
        <v>20793</v>
      </c>
      <c r="B16508" s="4" t="s">
        <v>20795</v>
      </c>
      <c r="C16508" s="5" t="str">
        <f>IFERROR(__xludf.DUMMYFUNCTION("GOOGLETRANSLATE(B16508,""en"",""it"")"),"Un uomo taglia un filo e controlla più pneumatici e un altro uomo gira ancora una volta le gomme.")</f>
        <v>Un uomo taglia un filo e controlla più pneumatici e un altro uomo gira ancora una volta le gomme.</v>
      </c>
    </row>
    <row r="16509">
      <c r="A16509" s="4" t="s">
        <v>20796</v>
      </c>
      <c r="B16509" s="6" t="s">
        <v>20797</v>
      </c>
      <c r="C16509" s="5" t="str">
        <f>IFERROR(__xludf.DUMMYFUNCTION("GOOGLETRANSLATE(B16509,""en"",""it"")"),"Viene visto un uomo calvo parlare alla telecamera con una testa seduta dietro di lui con una testa piena di capelli.")</f>
        <v>Viene visto un uomo calvo parlare alla telecamera con una testa seduta dietro di lui con una testa piena di capelli.</v>
      </c>
    </row>
    <row r="16510">
      <c r="A16510" s="4" t="s">
        <v>20796</v>
      </c>
      <c r="B16510" s="6" t="s">
        <v>20798</v>
      </c>
      <c r="C16510" s="5" t="str">
        <f>IFERROR(__xludf.DUMMYFUNCTION("GOOGLETRANSLATE(B16510,""en"",""it"")"),"Quindi taglia i capelli sul manichino in un certo modo e la fotocamera si ingrandisce sul risultato finito alla fine.")</f>
        <v>Quindi taglia i capelli sul manichino in un certo modo e la fotocamera si ingrandisce sul risultato finito alla fine.</v>
      </c>
    </row>
    <row r="16511">
      <c r="A16511" s="4" t="s">
        <v>20799</v>
      </c>
      <c r="B16511" s="4" t="s">
        <v>20800</v>
      </c>
      <c r="C16511" s="5" t="str">
        <f>IFERROR(__xludf.DUMMYFUNCTION("GOOGLETRANSLATE(B16511,""en"",""it"")"),"Due squadre si trovano insieme alla linea di scrimmage in attesa di giocare.")</f>
        <v>Due squadre si trovano insieme alla linea di scrimmage in attesa di giocare.</v>
      </c>
    </row>
    <row r="16512">
      <c r="A16512" s="4" t="s">
        <v>20799</v>
      </c>
      <c r="B16512" s="4" t="s">
        <v>20801</v>
      </c>
      <c r="C16512" s="5" t="str">
        <f>IFERROR(__xludf.DUMMYFUNCTION("GOOGLETRANSLATE(B16512,""en"",""it"")"),"Il gioco inizia e le due squadre combattono in modo feroce in una partita di lacrosse.")</f>
        <v>Il gioco inizia e le due squadre combattono in modo feroce in una partita di lacrosse.</v>
      </c>
    </row>
    <row r="16513">
      <c r="A16513" s="4" t="s">
        <v>20799</v>
      </c>
      <c r="B16513" s="6" t="s">
        <v>20802</v>
      </c>
      <c r="C16513" s="5" t="str">
        <f>IFERROR(__xludf.DUMMYFUNCTION("GOOGLETRANSLATE(B16513,""en"",""it"")"),"Una persona viene colpita così male, è fuori e rimane sdraiato sul campo mentre il resto dei giocatori decollano sul campo.")</f>
        <v>Una persona viene colpita così male, è fuori e rimane sdraiato sul campo mentre il resto dei giocatori decollano sul campo.</v>
      </c>
    </row>
    <row r="16514">
      <c r="A16514" s="4" t="s">
        <v>20803</v>
      </c>
      <c r="B16514" s="4" t="s">
        <v>20804</v>
      </c>
      <c r="C16514" s="5" t="str">
        <f>IFERROR(__xludf.DUMMYFUNCTION("GOOGLETRANSLATE(B16514,""en"",""it"")"),"Un bambino viene mostrato fluttuante a testa in giù in una piscina.")</f>
        <v>Un bambino viene mostrato fluttuante a testa in giù in una piscina.</v>
      </c>
    </row>
    <row r="16515">
      <c r="A16515" s="4" t="s">
        <v>20803</v>
      </c>
      <c r="B16515" s="4" t="s">
        <v>20805</v>
      </c>
      <c r="C16515" s="5" t="str">
        <f>IFERROR(__xludf.DUMMYFUNCTION("GOOGLETRANSLATE(B16515,""en"",""it"")"),"I formatori insegnano al bambino come rimanere a galla.")</f>
        <v>I formatori insegnano al bambino come rimanere a galla.</v>
      </c>
    </row>
    <row r="16516">
      <c r="A16516" s="4" t="s">
        <v>20803</v>
      </c>
      <c r="B16516" s="4" t="s">
        <v>20806</v>
      </c>
      <c r="C16516" s="5" t="str">
        <f>IFERROR(__xludf.DUMMYFUNCTION("GOOGLETRANSLATE(B16516,""en"",""it"")"),"Sta imparando a nuotare, tenendosi al di sopra dell'acqua.")</f>
        <v>Sta imparando a nuotare, tenendosi al di sopra dell'acqua.</v>
      </c>
    </row>
    <row r="16517">
      <c r="A16517" s="4" t="s">
        <v>20807</v>
      </c>
      <c r="B16517" s="4" t="s">
        <v>20808</v>
      </c>
      <c r="C16517" s="5" t="str">
        <f>IFERROR(__xludf.DUMMYFUNCTION("GOOGLETRANSLATE(B16517,""en"",""it"")"),"Un aquilone del vento è mostrato nell'aria.")</f>
        <v>Un aquilone del vento è mostrato nell'aria.</v>
      </c>
    </row>
    <row r="16518">
      <c r="A16518" s="4" t="s">
        <v>20807</v>
      </c>
      <c r="B16518" s="4" t="s">
        <v>20809</v>
      </c>
      <c r="C16518" s="5" t="str">
        <f>IFERROR(__xludf.DUMMYFUNCTION("GOOGLETRANSLATE(B16518,""en"",""it"")"),"Un uomo con una camicia nera controlla l'aquilone del vento e cade a terra.")</f>
        <v>Un uomo con una camicia nera controlla l'aquilone del vento e cade a terra.</v>
      </c>
    </row>
    <row r="16519">
      <c r="A16519" s="4" t="s">
        <v>20807</v>
      </c>
      <c r="B16519" s="4" t="s">
        <v>20810</v>
      </c>
      <c r="C16519" s="5" t="str">
        <f>IFERROR(__xludf.DUMMYFUNCTION("GOOGLETRANSLATE(B16519,""en"",""it"")"),"I cani corrono sull'erba.")</f>
        <v>I cani corrono sull'erba.</v>
      </c>
    </row>
    <row r="16520">
      <c r="A16520" s="4" t="s">
        <v>20811</v>
      </c>
      <c r="B16520" s="4" t="s">
        <v>20812</v>
      </c>
      <c r="C16520" s="5" t="str">
        <f>IFERROR(__xludf.DUMMYFUNCTION("GOOGLETRANSLATE(B16520,""en"",""it"")"),"Un grafico introduttivo arriva sullo schermo che presenta un campionato di pallavolo.")</f>
        <v>Un grafico introduttivo arriva sullo schermo che presenta un campionato di pallavolo.</v>
      </c>
    </row>
    <row r="16521">
      <c r="A16521" s="4" t="s">
        <v>20811</v>
      </c>
      <c r="B16521" s="4" t="s">
        <v>20813</v>
      </c>
      <c r="C16521" s="5" t="str">
        <f>IFERROR(__xludf.DUMMYFUNCTION("GOOGLETRANSLATE(B16521,""en"",""it"")"),"Un uomo arriva sullo schermo che annuncia la competizione prima che inizi.")</f>
        <v>Un uomo arriva sullo schermo che annuncia la competizione prima che inizi.</v>
      </c>
    </row>
    <row r="16522">
      <c r="A16522" s="4" t="s">
        <v>20811</v>
      </c>
      <c r="B16522" s="6" t="s">
        <v>20814</v>
      </c>
      <c r="C16522" s="5" t="str">
        <f>IFERROR(__xludf.DUMMYFUNCTION("GOOGLETRANSLATE(B16522,""en"",""it"")"),"Alle ragazze diverse vengono mostrate giocando a Beach Volley Ball mentre il narratore racconta la storia della loro strada per il campionato.")</f>
        <v>Alle ragazze diverse vengono mostrate giocando a Beach Volley Ball mentre il narratore racconta la storia della loro strada per il campionato.</v>
      </c>
    </row>
    <row r="16523">
      <c r="A16523" s="4" t="s">
        <v>20811</v>
      </c>
      <c r="B16523" s="4" t="s">
        <v>20815</v>
      </c>
      <c r="C16523" s="5" t="str">
        <f>IFERROR(__xludf.DUMMYFUNCTION("GOOGLETRANSLATE(B16523,""en"",""it"")"),"Molti membri del team vengono mostrati a parlare in campo e strategie per la vittoria.")</f>
        <v>Molti membri del team vengono mostrati a parlare in campo e strategie per la vittoria.</v>
      </c>
    </row>
    <row r="16524">
      <c r="A16524" s="4" t="s">
        <v>20811</v>
      </c>
      <c r="B16524" s="4" t="s">
        <v>20816</v>
      </c>
      <c r="C16524" s="5" t="str">
        <f>IFERROR(__xludf.DUMMYFUNCTION("GOOGLETRANSLATE(B16524,""en"",""it"")"),"Il video taglia in una sala conferenze in cui si discute i giocatori di pallavolo.")</f>
        <v>Il video taglia in una sala conferenze in cui si discute i giocatori di pallavolo.</v>
      </c>
    </row>
    <row r="16525">
      <c r="A16525" s="4" t="s">
        <v>20811</v>
      </c>
      <c r="B16525" s="4" t="s">
        <v>20817</v>
      </c>
      <c r="C16525" s="5" t="str">
        <f>IFERROR(__xludf.DUMMYFUNCTION("GOOGLETRANSLATE(B16525,""en"",""it"")"),"Il video termina con la grafica per i crediti per perdere C.")</f>
        <v>Il video termina con la grafica per i crediti per perdere C.</v>
      </c>
    </row>
    <row r="16526">
      <c r="A16526" s="4" t="s">
        <v>20818</v>
      </c>
      <c r="B16526" s="4" t="s">
        <v>20819</v>
      </c>
      <c r="C16526" s="5" t="str">
        <f>IFERROR(__xludf.DUMMYFUNCTION("GOOGLETRANSLATE(B16526,""en"",""it"")"),"Gli uomini si trovano in una stanza buia parlando con la telecamera.")</f>
        <v>Gli uomini si trovano in una stanza buia parlando con la telecamera.</v>
      </c>
    </row>
    <row r="16527">
      <c r="A16527" s="4" t="s">
        <v>20818</v>
      </c>
      <c r="B16527" s="6" t="s">
        <v>20820</v>
      </c>
      <c r="C16527" s="5" t="str">
        <f>IFERROR(__xludf.DUMMYFUNCTION("GOOGLETRANSLATE(B16527,""en"",""it"")"),"I lottatori di sumo sono sul palco pronti a combattere e le persone sono radunate intorno a loro e seduti nelle terrazze.")</f>
        <v>I lottatori di sumo sono sul palco pronti a combattere e le persone sono radunate intorno a loro e seduti nelle terrazze.</v>
      </c>
    </row>
    <row r="16528">
      <c r="A16528" s="4" t="s">
        <v>20818</v>
      </c>
      <c r="B16528" s="4" t="s">
        <v>20821</v>
      </c>
      <c r="C16528" s="5" t="str">
        <f>IFERROR(__xludf.DUMMYFUNCTION("GOOGLETRANSLATE(B16528,""en"",""it"")"),"Gli uomini parlano nella stanza buia e spiegano il loro punto di vista.")</f>
        <v>Gli uomini parlano nella stanza buia e spiegano il loro punto di vista.</v>
      </c>
    </row>
    <row r="16529">
      <c r="A16529" s="4" t="s">
        <v>20822</v>
      </c>
      <c r="B16529" s="6" t="s">
        <v>20823</v>
      </c>
      <c r="C16529" s="5" t="str">
        <f>IFERROR(__xludf.DUMMYFUNCTION("GOOGLETRANSLATE(B16529,""en"",""it"")"),"Un uomo inizia a correre con un bastone che lo pone e salta su un ostacolo davvero alto, atterra e gongola.")</f>
        <v>Un uomo inizia a correre con un bastone che lo pone e salta su un ostacolo davvero alto, atterra e gongola.</v>
      </c>
    </row>
    <row r="16530">
      <c r="A16530" s="4" t="s">
        <v>20822</v>
      </c>
      <c r="B16530" s="6" t="s">
        <v>20824</v>
      </c>
      <c r="C16530" s="5" t="str">
        <f>IFERROR(__xludf.DUMMYFUNCTION("GOOGLETRANSLATE(B16530,""en"",""it"")"),"L'uomo successivo prende il suo turno e fa lo stesso usando il bastone per superare l'ostacolo e saltare per l'eccitazione dopo l'atterraggio.")</f>
        <v>L'uomo successivo prende il suo turno e fa lo stesso usando il bastone per superare l'ostacolo e saltare per l'eccitazione dopo l'atterraggio.</v>
      </c>
    </row>
    <row r="16531">
      <c r="A16531" s="4" t="s">
        <v>20822</v>
      </c>
      <c r="B16531" s="6" t="s">
        <v>20825</v>
      </c>
      <c r="C16531" s="5" t="str">
        <f>IFERROR(__xludf.DUMMYFUNCTION("GOOGLETRANSLATE(B16531,""en"",""it"")"),"Poi un altro uomo si svolge e quando atterra getta via il casco e urla e salta per la gioia come gli uomini precedenti.")</f>
        <v>Poi un altro uomo si svolge e quando atterra getta via il casco e urla e salta per la gioia come gli uomini precedenti.</v>
      </c>
    </row>
    <row r="16532">
      <c r="A16532" s="4" t="s">
        <v>20822</v>
      </c>
      <c r="B16532" s="4" t="s">
        <v>20826</v>
      </c>
      <c r="C16532" s="5" t="str">
        <f>IFERROR(__xludf.DUMMYFUNCTION("GOOGLETRANSLATE(B16532,""en"",""it"")"),"Anche il pubblico è molto elettrizzato, tutti fanno più turni cercando di ottenere il punteggio migliore.")</f>
        <v>Anche il pubblico è molto elettrizzato, tutti fanno più turni cercando di ottenere il punteggio migliore.</v>
      </c>
    </row>
    <row r="16533">
      <c r="A16533" s="4" t="s">
        <v>20827</v>
      </c>
      <c r="B16533" s="4" t="s">
        <v>1487</v>
      </c>
      <c r="C16533" s="5" t="str">
        <f>IFERROR(__xludf.DUMMYFUNCTION("GOOGLETRANSLATE(B16533,""en"",""it"")"),"Vediamo una schermata del titolo di apertura.")</f>
        <v>Vediamo una schermata del titolo di apertura.</v>
      </c>
    </row>
    <row r="16534">
      <c r="A16534" s="4" t="s">
        <v>20827</v>
      </c>
      <c r="B16534" s="4" t="s">
        <v>20828</v>
      </c>
      <c r="C16534" s="5" t="str">
        <f>IFERROR(__xludf.DUMMYFUNCTION("GOOGLETRANSLATE(B16534,""en"",""it"")"),"Vediamo i bambini in viola posa per una foto.")</f>
        <v>Vediamo i bambini in viola posa per una foto.</v>
      </c>
    </row>
    <row r="16535">
      <c r="A16535" s="4" t="s">
        <v>20827</v>
      </c>
      <c r="B16535" s="4" t="s">
        <v>20829</v>
      </c>
      <c r="C16535" s="5" t="str">
        <f>IFERROR(__xludf.DUMMYFUNCTION("GOOGLETRANSLATE(B16535,""en"",""it"")"),"I bambini giocano quindi tirano alla guerra mentre due ragazze stanno nelle vicinanze del tifo.")</f>
        <v>I bambini giocano quindi tirano alla guerra mentre due ragazze stanno nelle vicinanze del tifo.</v>
      </c>
    </row>
    <row r="16536">
      <c r="A16536" s="4" t="s">
        <v>20827</v>
      </c>
      <c r="B16536" s="4" t="s">
        <v>20830</v>
      </c>
      <c r="C16536" s="5" t="str">
        <f>IFERROR(__xludf.DUMMYFUNCTION("GOOGLETRANSLATE(B16536,""en"",""it"")"),"Passiamo a una ragazza e un ragazzo che tifano.")</f>
        <v>Passiamo a una ragazza e un ragazzo che tifano.</v>
      </c>
    </row>
    <row r="16537">
      <c r="A16537" s="4" t="s">
        <v>20827</v>
      </c>
      <c r="B16537" s="4" t="s">
        <v>20831</v>
      </c>
      <c r="C16537" s="5" t="str">
        <f>IFERROR(__xludf.DUMMYFUNCTION("GOOGLETRANSLATE(B16537,""en"",""it"")"),"Vediamo due bambini diversi che tirano incoraggiato.")</f>
        <v>Vediamo due bambini diversi che tirano incoraggiato.</v>
      </c>
    </row>
    <row r="16538">
      <c r="A16538" s="4" t="s">
        <v>20827</v>
      </c>
      <c r="B16538" s="4" t="s">
        <v>20832</v>
      </c>
      <c r="C16538" s="5" t="str">
        <f>IFERROR(__xludf.DUMMYFUNCTION("GOOGLETRANSLATE(B16538,""en"",""it"")"),"Cambiamo di nuovo i bambini incoraggianti.")</f>
        <v>Cambiamo di nuovo i bambini incoraggianti.</v>
      </c>
    </row>
    <row r="16539">
      <c r="A16539" s="4" t="s">
        <v>20827</v>
      </c>
      <c r="B16539" s="4" t="s">
        <v>20833</v>
      </c>
      <c r="C16539" s="5" t="str">
        <f>IFERROR(__xludf.DUMMYFUNCTION("GOOGLETRANSLATE(B16539,""en"",""it"")"),"I bambini vincono e un salto e un tifo mentre una ragazza parla con un insegnante.")</f>
        <v>I bambini vincono e un salto e un tifo mentre una ragazza parla con un insegnante.</v>
      </c>
    </row>
    <row r="16540">
      <c r="A16540" s="4" t="s">
        <v>20827</v>
      </c>
      <c r="B16540" s="4" t="s">
        <v>4513</v>
      </c>
      <c r="C16540" s="5" t="str">
        <f>IFERROR(__xludf.DUMMYFUNCTION("GOOGLETRANSLATE(B16540,""en"",""it"")"),"Vediamo i titoli di coda.")</f>
        <v>Vediamo i titoli di coda.</v>
      </c>
    </row>
    <row r="16541">
      <c r="A16541" s="4" t="s">
        <v>20834</v>
      </c>
      <c r="B16541" s="4" t="s">
        <v>20835</v>
      </c>
      <c r="C16541" s="5" t="str">
        <f>IFERROR(__xludf.DUMMYFUNCTION("GOOGLETRANSLATE(B16541,""en"",""it"")"),"Diversi uomini senza camicia sono raccolti in una stanza, uno fuma una sigaretta mentre il resto lo rallegra.")</f>
        <v>Diversi uomini senza camicia sono raccolti in una stanza, uno fuma una sigaretta mentre il resto lo rallegra.</v>
      </c>
    </row>
    <row r="16542">
      <c r="A16542" s="4" t="s">
        <v>20834</v>
      </c>
      <c r="B16542" s="4" t="s">
        <v>20836</v>
      </c>
      <c r="C16542" s="5" t="str">
        <f>IFERROR(__xludf.DUMMYFUNCTION("GOOGLETRANSLATE(B16542,""en"",""it"")"),"Succhia la sigaretta fino al germoglio.")</f>
        <v>Succhia la sigaretta fino al germoglio.</v>
      </c>
    </row>
    <row r="16543">
      <c r="A16543" s="4" t="s">
        <v>20834</v>
      </c>
      <c r="B16543" s="4" t="s">
        <v>20837</v>
      </c>
      <c r="C16543" s="5" t="str">
        <f>IFERROR(__xludf.DUMMYFUNCTION("GOOGLETRANSLATE(B16543,""en"",""it"")"),"Tossisce un po 'e poi se lo inala nel naso, indicando la telecamera in seguito.")</f>
        <v>Tossisce un po 'e poi se lo inala nel naso, indicando la telecamera in seguito.</v>
      </c>
    </row>
    <row r="16544">
      <c r="A16544" s="4" t="s">
        <v>20838</v>
      </c>
      <c r="B16544" s="6" t="s">
        <v>20839</v>
      </c>
      <c r="C16544" s="5" t="str">
        <f>IFERROR(__xludf.DUMMYFUNCTION("GOOGLETRANSLATE(B16544,""en"",""it"")"),"I dischi sono visti seduti lungo il ghiaccio e un uomo che parla alla telecamera e alla gente che cammina in giro.")</f>
        <v>I dischi sono visti seduti lungo il ghiaccio e un uomo che parla alla telecamera e alla gente che cammina in giro.</v>
      </c>
    </row>
    <row r="16545">
      <c r="A16545" s="4" t="s">
        <v>20838</v>
      </c>
      <c r="B16545" s="4" t="s">
        <v>20840</v>
      </c>
      <c r="C16545" s="5" t="str">
        <f>IFERROR(__xludf.DUMMYFUNCTION("GOOGLETRANSLATE(B16545,""en"",""it"")"),"Vengono mostrate altre clip di persone che si arricciano sul ghiaccio mentre parlano anche alla telecamera.")</f>
        <v>Vengono mostrate altre clip di persone che si arricciano sul ghiaccio mentre parlano anche alla telecamera.</v>
      </c>
    </row>
    <row r="16546">
      <c r="A16546" s="4" t="s">
        <v>20838</v>
      </c>
      <c r="B16546" s="6" t="s">
        <v>20841</v>
      </c>
      <c r="C16546" s="5" t="str">
        <f>IFERROR(__xludf.DUMMYFUNCTION("GOOGLETRANSLATE(B16546,""en"",""it"")"),"Le persone continuano a spingere il disco lungo il ghiaccio guardando indietro alla telecamera e parlare con la telecamera.")</f>
        <v>Le persone continuano a spingere il disco lungo il ghiaccio guardando indietro alla telecamera e parlare con la telecamera.</v>
      </c>
    </row>
    <row r="16547">
      <c r="A16547" s="4" t="s">
        <v>20842</v>
      </c>
      <c r="B16547" s="4" t="s">
        <v>20843</v>
      </c>
      <c r="C16547" s="5" t="str">
        <f>IFERROR(__xludf.DUMMYFUNCTION("GOOGLETRANSLATE(B16547,""en"",""it"")"),"Vediamo un pneumatico bene su un tavolo in un morsetto.")</f>
        <v>Vediamo un pneumatico bene su un tavolo in un morsetto.</v>
      </c>
    </row>
    <row r="16548">
      <c r="A16548" s="4" t="s">
        <v>20842</v>
      </c>
      <c r="B16548" s="4" t="s">
        <v>20844</v>
      </c>
      <c r="C16548" s="5" t="str">
        <f>IFERROR(__xludf.DUMMYFUNCTION("GOOGLETRANSLATE(B16548,""en"",""it"")"),"Un uomo mette un vizio sul pozzo.")</f>
        <v>Un uomo mette un vizio sul pozzo.</v>
      </c>
    </row>
    <row r="16549">
      <c r="A16549" s="4" t="s">
        <v>20842</v>
      </c>
      <c r="B16549" s="4" t="s">
        <v>20845</v>
      </c>
      <c r="C16549" s="5" t="str">
        <f>IFERROR(__xludf.DUMMYFUNCTION("GOOGLETRANSLATE(B16549,""en"",""it"")"),"L'uomo spinge e gira bene uno pneumatico sopra la ruota.")</f>
        <v>L'uomo spinge e gira bene uno pneumatico sopra la ruota.</v>
      </c>
    </row>
    <row r="16550">
      <c r="A16550" s="4" t="s">
        <v>20846</v>
      </c>
      <c r="B16550" s="4" t="s">
        <v>20847</v>
      </c>
      <c r="C16550" s="5" t="str">
        <f>IFERROR(__xludf.DUMMYFUNCTION("GOOGLETRANSLATE(B16550,""en"",""it"")"),"Vediamo Waterski e il lato di una barca.")</f>
        <v>Vediamo Waterski e il lato di una barca.</v>
      </c>
    </row>
    <row r="16551">
      <c r="A16551" s="4" t="s">
        <v>20846</v>
      </c>
      <c r="B16551" s="4" t="s">
        <v>20848</v>
      </c>
      <c r="C16551" s="5" t="str">
        <f>IFERROR(__xludf.DUMMYFUNCTION("GOOGLETRANSLATE(B16551,""en"",""it"")"),"Vediamo un ragazzo in piedi su un molo, la gente si analizza la loro barca e poi sali a bordo.")</f>
        <v>Vediamo un ragazzo in piedi su un molo, la gente si analizza la loro barca e poi sali a bordo.</v>
      </c>
    </row>
    <row r="16552">
      <c r="A16552" s="4" t="s">
        <v>20846</v>
      </c>
      <c r="B16552" s="4" t="s">
        <v>20849</v>
      </c>
      <c r="C16552" s="5" t="str">
        <f>IFERROR(__xludf.DUMMYFUNCTION("GOOGLETRANSLATE(B16552,""en"",""it"")"),"Vediamo due ragazzi che giocano.")</f>
        <v>Vediamo due ragazzi che giocano.</v>
      </c>
    </row>
    <row r="16553">
      <c r="A16553" s="4" t="s">
        <v>20846</v>
      </c>
      <c r="B16553" s="4" t="s">
        <v>20850</v>
      </c>
      <c r="C16553" s="5" t="str">
        <f>IFERROR(__xludf.DUMMYFUNCTION("GOOGLETRANSLATE(B16553,""en"",""it"")"),"Vediamo una persona che scivola su un lago.")</f>
        <v>Vediamo una persona che scivola su un lago.</v>
      </c>
    </row>
    <row r="16554">
      <c r="A16554" s="4" t="s">
        <v>20846</v>
      </c>
      <c r="B16554" s="4" t="s">
        <v>20851</v>
      </c>
      <c r="C16554" s="5" t="str">
        <f>IFERROR(__xludf.DUMMYFUNCTION("GOOGLETRANSLATE(B16554,""en"",""it"")"),"Vediamo le macchine nel parcheggio vicino al lago e un cane annusa la telecamera.")</f>
        <v>Vediamo le macchine nel parcheggio vicino al lago e un cane annusa la telecamera.</v>
      </c>
    </row>
    <row r="16555">
      <c r="A16555" s="4" t="s">
        <v>20846</v>
      </c>
      <c r="B16555" s="4" t="s">
        <v>20852</v>
      </c>
      <c r="C16555" s="5" t="str">
        <f>IFERROR(__xludf.DUMMYFUNCTION("GOOGLETRANSLATE(B16555,""en"",""it"")"),"Vediamo un negozio quindi una persona che remava su un kayak.")</f>
        <v>Vediamo un negozio quindi una persona che remava su un kayak.</v>
      </c>
    </row>
    <row r="16556">
      <c r="A16556" s="4" t="s">
        <v>20846</v>
      </c>
      <c r="B16556" s="4" t="s">
        <v>20853</v>
      </c>
      <c r="C16556" s="5" t="str">
        <f>IFERROR(__xludf.DUMMYFUNCTION("GOOGLETRANSLATE(B16556,""en"",""it"")"),"Una persona salta in acqua e vediamo di nuovo lo sciatore d'acqua.")</f>
        <v>Una persona salta in acqua e vediamo di nuovo lo sciatore d'acqua.</v>
      </c>
    </row>
    <row r="16557">
      <c r="A16557" s="4" t="s">
        <v>20846</v>
      </c>
      <c r="B16557" s="4" t="s">
        <v>20854</v>
      </c>
      <c r="C16557" s="5" t="str">
        <f>IFERROR(__xludf.DUMMYFUNCTION("GOOGLETRANSLATE(B16557,""en"",""it"")"),"Un ragazzo su un trampolino in un negozio, persone su una zattera e un ragazzo salta in acqua.")</f>
        <v>Un ragazzo su un trampolino in un negozio, persone su una zattera e un ragazzo salta in acqua.</v>
      </c>
    </row>
    <row r="16558">
      <c r="A16558" s="4" t="s">
        <v>20846</v>
      </c>
      <c r="B16558" s="4" t="s">
        <v>20855</v>
      </c>
      <c r="C16558" s="5" t="str">
        <f>IFERROR(__xludf.DUMMYFUNCTION("GOOGLETRANSLATE(B16558,""en"",""it"")"),"Vediamo un ragazzo in bici da giocattolo, lo sciatore d'acqua cade.")</f>
        <v>Vediamo un ragazzo in bici da giocattolo, lo sciatore d'acqua cade.</v>
      </c>
    </row>
    <row r="16559">
      <c r="A16559" s="4" t="s">
        <v>20846</v>
      </c>
      <c r="B16559" s="4" t="s">
        <v>20856</v>
      </c>
      <c r="C16559" s="5" t="str">
        <f>IFERROR(__xludf.DUMMYFUNCTION("GOOGLETRANSLATE(B16559,""en"",""it"")"),"Una persona su sci salta una rampa.")</f>
        <v>Una persona su sci salta una rampa.</v>
      </c>
    </row>
    <row r="16560">
      <c r="A16560" s="4" t="s">
        <v>20857</v>
      </c>
      <c r="B16560" s="4" t="s">
        <v>20858</v>
      </c>
      <c r="C16560" s="5" t="str">
        <f>IFERROR(__xludf.DUMMYFUNCTION("GOOGLETRANSLATE(B16560,""en"",""it"")"),"Un gruppo di artisti è in piedi su un palco.")</f>
        <v>Un gruppo di artisti è in piedi su un palco.</v>
      </c>
    </row>
    <row r="16561">
      <c r="A16561" s="4" t="s">
        <v>20857</v>
      </c>
      <c r="B16561" s="4" t="s">
        <v>20859</v>
      </c>
      <c r="C16561" s="5" t="str">
        <f>IFERROR(__xludf.DUMMYFUNCTION("GOOGLETRANSLATE(B16561,""en"",""it"")"),"Si girano e iniziano a suonare la batteria.")</f>
        <v>Si girano e iniziano a suonare la batteria.</v>
      </c>
    </row>
    <row r="16562">
      <c r="A16562" s="4" t="s">
        <v>20857</v>
      </c>
      <c r="B16562" s="4" t="s">
        <v>20860</v>
      </c>
      <c r="C16562" s="5" t="str">
        <f>IFERROR(__xludf.DUMMYFUNCTION("GOOGLETRANSLATE(B16562,""en"",""it"")"),"Hanno messo gli occhiali da sole mentre suonano per il pubblico.")</f>
        <v>Hanno messo gli occhiali da sole mentre suonano per il pubblico.</v>
      </c>
    </row>
    <row r="16563">
      <c r="A16563" s="4" t="s">
        <v>20861</v>
      </c>
      <c r="B16563" s="4" t="s">
        <v>20862</v>
      </c>
      <c r="C16563" s="5" t="str">
        <f>IFERROR(__xludf.DUMMYFUNCTION("GOOGLETRANSLATE(B16563,""en"",""it"")"),"Un uomo di notizie è in piedi davanti a uno schermo che parla mentre mostra una partita di pallavolo sulla spiaggia.")</f>
        <v>Un uomo di notizie è in piedi davanti a uno schermo che parla mentre mostra una partita di pallavolo sulla spiaggia.</v>
      </c>
    </row>
    <row r="16564">
      <c r="A16564" s="4" t="s">
        <v>20861</v>
      </c>
      <c r="B16564" s="6" t="s">
        <v>20863</v>
      </c>
      <c r="C16564" s="5" t="str">
        <f>IFERROR(__xludf.DUMMYFUNCTION("GOOGLETRANSLATE(B16564,""en"",""it"")"),"Quindi vediamo i giocatori, combattere e calciare la palla, alternandoci con la fotocamera individualmente prima di tornare alle scene del gioco.")</f>
        <v>Quindi vediamo i giocatori, combattere e calciare la palla, alternandoci con la fotocamera individualmente prima di tornare alle scene del gioco.</v>
      </c>
    </row>
    <row r="16565">
      <c r="A16565" s="4" t="s">
        <v>20864</v>
      </c>
      <c r="B16565" s="6" t="s">
        <v>20865</v>
      </c>
      <c r="C16565" s="5" t="str">
        <f>IFERROR(__xludf.DUMMYFUNCTION("GOOGLETRANSLATE(B16565,""en"",""it"")"),"Un ragazzo ha un lungo bastone e sta spingendo un disco attraverso un triangolo bianco con numeri.")</f>
        <v>Un ragazzo ha un lungo bastone e sta spingendo un disco attraverso un triangolo bianco con numeri.</v>
      </c>
    </row>
    <row r="16566">
      <c r="A16566" s="4" t="s">
        <v>20864</v>
      </c>
      <c r="B16566" s="4" t="s">
        <v>20866</v>
      </c>
      <c r="C16566" s="5" t="str">
        <f>IFERROR(__xludf.DUMMYFUNCTION("GOOGLETRANSLATE(B16566,""en"",""it"")"),"Il disco va in fondo al tabellone e il bambino lo insegue.")</f>
        <v>Il disco va in fondo al tabellone e il bambino lo insegue.</v>
      </c>
    </row>
    <row r="16567">
      <c r="A16567" s="4" t="s">
        <v>20864</v>
      </c>
      <c r="B16567" s="4" t="s">
        <v>20867</v>
      </c>
      <c r="C16567" s="5" t="str">
        <f>IFERROR(__xludf.DUMMYFUNCTION("GOOGLETRANSLATE(B16567,""en"",""it"")"),"Una volta che il disco è tornato sul tabellone, decolla di nuovo sul tabellone.")</f>
        <v>Una volta che il disco è tornato sul tabellone, decolla di nuovo sul tabellone.</v>
      </c>
    </row>
    <row r="16568">
      <c r="A16568" s="4" t="s">
        <v>20868</v>
      </c>
      <c r="B16568" s="4" t="s">
        <v>20869</v>
      </c>
      <c r="C16568" s="5" t="str">
        <f>IFERROR(__xludf.DUMMYFUNCTION("GOOGLETRANSLATE(B16568,""en"",""it"")"),"Un maschio è mostrato in profondità sott'acqua in una piscina facendo un colpo al seno.")</f>
        <v>Un maschio è mostrato in profondità sott'acqua in una piscina facendo un colpo al seno.</v>
      </c>
    </row>
    <row r="16569">
      <c r="A16569" s="4" t="s">
        <v>20868</v>
      </c>
      <c r="B16569" s="4" t="s">
        <v>20870</v>
      </c>
      <c r="C16569" s="5" t="str">
        <f>IFERROR(__xludf.DUMMYFUNCTION("GOOGLETRANSLATE(B16569,""en"",""it"")"),"Mentre nuota, un uomo in una polo arancione è in piedi all'esterno descrivendo la sua tecnica.")</f>
        <v>Mentre nuota, un uomo in una polo arancione è in piedi all'esterno descrivendo la sua tecnica.</v>
      </c>
    </row>
    <row r="16570">
      <c r="A16570" s="4" t="s">
        <v>20871</v>
      </c>
      <c r="B16570" s="6" t="s">
        <v>20872</v>
      </c>
      <c r="C16570" s="5" t="str">
        <f>IFERROR(__xludf.DUMMYFUNCTION("GOOGLETRANSLATE(B16570,""en"",""it"")"),"Una serie di schermo si lampeggia e mostra statistiche sulla guida ubriaca e quando fare le pause guida.")</f>
        <v>Una serie di schermo si lampeggia e mostra statistiche sulla guida ubriaca e quando fare le pause guida.</v>
      </c>
    </row>
    <row r="16571">
      <c r="A16571" s="4" t="s">
        <v>20871</v>
      </c>
      <c r="B16571" s="4" t="s">
        <v>20873</v>
      </c>
      <c r="C16571" s="5" t="str">
        <f>IFERROR(__xludf.DUMMYFUNCTION("GOOGLETRANSLATE(B16571,""en"",""it"")"),"Dopo, un gruppo di circa quaranta individui è in una grande piscina giocando ad acqua.")</f>
        <v>Dopo, un gruppo di circa quaranta individui è in una grande piscina giocando ad acqua.</v>
      </c>
    </row>
    <row r="16572">
      <c r="A16572" s="4" t="s">
        <v>20871</v>
      </c>
      <c r="B16572" s="4" t="s">
        <v>20874</v>
      </c>
      <c r="C16572" s="5" t="str">
        <f>IFERROR(__xludf.DUMMYFUNCTION("GOOGLETRANSLATE(B16572,""en"",""it"")"),"La gente si alterna andando avanti e indietro lanciando la palla e una persona finalmente fa un goal.")</f>
        <v>La gente si alterna andando avanti e indietro lanciando la palla e una persona finalmente fa un goal.</v>
      </c>
    </row>
    <row r="16573">
      <c r="A16573" s="4" t="s">
        <v>20875</v>
      </c>
      <c r="B16573" s="4" t="s">
        <v>20876</v>
      </c>
      <c r="C16573" s="5" t="str">
        <f>IFERROR(__xludf.DUMMYFUNCTION("GOOGLETRANSLATE(B16573,""en"",""it"")"),"Un uomo suona uno strumento di legno inext per un altro uomo, seduto in una piccola stanza.")</f>
        <v>Un uomo suona uno strumento di legno inext per un altro uomo, seduto in una piccola stanza.</v>
      </c>
    </row>
    <row r="16574">
      <c r="A16574" s="4" t="s">
        <v>20875</v>
      </c>
      <c r="B16574" s="4" t="s">
        <v>20877</v>
      </c>
      <c r="C16574" s="5" t="str">
        <f>IFERROR(__xludf.DUMMYFUNCTION("GOOGLETRANSLATE(B16574,""en"",""it"")"),"Quando ha finito, abbassa il suo strumento e sorride ampiamente.")</f>
        <v>Quando ha finito, abbassa il suo strumento e sorride ampiamente.</v>
      </c>
    </row>
    <row r="16575">
      <c r="A16575" s="4" t="s">
        <v>20875</v>
      </c>
      <c r="B16575" s="4" t="s">
        <v>20878</v>
      </c>
      <c r="C16575" s="5" t="str">
        <f>IFERROR(__xludf.DUMMYFUNCTION("GOOGLETRANSLATE(B16575,""en"",""it"")"),"Sembrano guidare all'interno di un treno.")</f>
        <v>Sembrano guidare all'interno di un treno.</v>
      </c>
    </row>
    <row r="16576">
      <c r="A16576" s="4" t="s">
        <v>20879</v>
      </c>
      <c r="B16576" s="4" t="s">
        <v>20880</v>
      </c>
      <c r="C16576" s="5" t="str">
        <f>IFERROR(__xludf.DUMMYFUNCTION("GOOGLETRANSLATE(B16576,""en"",""it"")"),"Vengono mostrati l'interno e le forniture di un negozio di barbiere vecchio stile.")</f>
        <v>Vengono mostrati l'interno e le forniture di un negozio di barbiere vecchio stile.</v>
      </c>
    </row>
    <row r="16577">
      <c r="A16577" s="4" t="s">
        <v>20879</v>
      </c>
      <c r="B16577" s="4" t="s">
        <v>20881</v>
      </c>
      <c r="C16577" s="5" t="str">
        <f>IFERROR(__xludf.DUMMYFUNCTION("GOOGLETRANSLATE(B16577,""en"",""it"")"),"Un uomo affila un cinturino per rasoio.")</f>
        <v>Un uomo affila un cinturino per rasoio.</v>
      </c>
    </row>
    <row r="16578">
      <c r="A16578" s="4" t="s">
        <v>20879</v>
      </c>
      <c r="B16578" s="4" t="s">
        <v>20882</v>
      </c>
      <c r="C16578" s="5" t="str">
        <f>IFERROR(__xludf.DUMMYFUNCTION("GOOGLETRANSLATE(B16578,""en"",""it"")"),"Mostra la crema mentre la mette sul suo cliente.")</f>
        <v>Mostra la crema mentre la mette sul suo cliente.</v>
      </c>
    </row>
    <row r="16579">
      <c r="A16579" s="4" t="s">
        <v>20879</v>
      </c>
      <c r="B16579" s="4" t="s">
        <v>20883</v>
      </c>
      <c r="C16579" s="5" t="str">
        <f>IFERROR(__xludf.DUMMYFUNCTION("GOOGLETRANSLATE(B16579,""en"",""it"")"),"Poi dà delicatamente e professionalmente all'uomo una barba per la barba.")</f>
        <v>Poi dà delicatamente e professionalmente all'uomo una barba per la barba.</v>
      </c>
    </row>
    <row r="16580">
      <c r="A16580" s="4" t="s">
        <v>20879</v>
      </c>
      <c r="B16580" s="4" t="s">
        <v>20884</v>
      </c>
      <c r="C16580" s="5" t="str">
        <f>IFERROR(__xludf.DUMMYFUNCTION("GOOGLETRANSLATE(B16580,""en"",""it"")"),"L'uomo è fermo mentre applica un panno, poi dopo la bordo.")</f>
        <v>L'uomo è fermo mentre applica un panno, poi dopo la bordo.</v>
      </c>
    </row>
    <row r="16581">
      <c r="A16581" s="4" t="s">
        <v>20879</v>
      </c>
      <c r="B16581" s="4" t="s">
        <v>20885</v>
      </c>
      <c r="C16581" s="5" t="str">
        <f>IFERROR(__xludf.DUMMYFUNCTION("GOOGLETRANSLATE(B16581,""en"",""it"")"),"Viene mostrato un primo piano della faccia rasata pulita.")</f>
        <v>Viene mostrato un primo piano della faccia rasata pulita.</v>
      </c>
    </row>
    <row r="16582">
      <c r="A16582" s="4" t="s">
        <v>20886</v>
      </c>
      <c r="B16582" s="4" t="s">
        <v>20887</v>
      </c>
      <c r="C16582" s="5" t="str">
        <f>IFERROR(__xludf.DUMMYFUNCTION("GOOGLETRANSLATE(B16582,""en"",""it"")"),"Vediamo una scena di apertura su uno sfondo nero.")</f>
        <v>Vediamo una scena di apertura su uno sfondo nero.</v>
      </c>
    </row>
    <row r="16583">
      <c r="A16583" s="4" t="s">
        <v>20886</v>
      </c>
      <c r="B16583" s="4" t="s">
        <v>20888</v>
      </c>
      <c r="C16583" s="5" t="str">
        <f>IFERROR(__xludf.DUMMYFUNCTION("GOOGLETRANSLATE(B16583,""en"",""it"")"),"Vediamo un uomo martellare un chiodo.")</f>
        <v>Vediamo un uomo martellare un chiodo.</v>
      </c>
    </row>
    <row r="16584">
      <c r="A16584" s="4" t="s">
        <v>20886</v>
      </c>
      <c r="B16584" s="4" t="s">
        <v>20889</v>
      </c>
      <c r="C16584" s="5" t="str">
        <f>IFERROR(__xludf.DUMMYFUNCTION("GOOGLETRANSLATE(B16584,""en"",""it"")"),"L'uomo ci mostra dei bulloni.")</f>
        <v>L'uomo ci mostra dei bulloni.</v>
      </c>
    </row>
    <row r="16585">
      <c r="A16585" s="4" t="s">
        <v>20886</v>
      </c>
      <c r="B16585" s="4" t="s">
        <v>20890</v>
      </c>
      <c r="C16585" s="5" t="str">
        <f>IFERROR(__xludf.DUMMYFUNCTION("GOOGLETRANSLATE(B16585,""en"",""it"")"),"Vediamo che l'uomo avvii una vite.")</f>
        <v>Vediamo che l'uomo avvii una vite.</v>
      </c>
    </row>
    <row r="16586">
      <c r="A16586" s="4" t="s">
        <v>20891</v>
      </c>
      <c r="B16586" s="4" t="s">
        <v>20892</v>
      </c>
      <c r="C16586" s="5" t="str">
        <f>IFERROR(__xludf.DUMMYFUNCTION("GOOGLETRANSLATE(B16586,""en"",""it"")"),"Vengono mostrati diversi colpi di paintball seguiti da molte immagini di pistole.")</f>
        <v>Vengono mostrati diversi colpi di paintball seguiti da molte immagini di pistole.</v>
      </c>
    </row>
    <row r="16587">
      <c r="A16587" s="4" t="s">
        <v>20891</v>
      </c>
      <c r="B16587" s="4" t="s">
        <v>20893</v>
      </c>
      <c r="C16587" s="5" t="str">
        <f>IFERROR(__xludf.DUMMYFUNCTION("GOOGLETRANSLATE(B16587,""en"",""it"")"),"Vengono mostrate altre immagini di pistole e termina con il testo sullo schermo.")</f>
        <v>Vengono mostrate altre immagini di pistole e termina con il testo sullo schermo.</v>
      </c>
    </row>
    <row r="16588">
      <c r="A16588" s="4" t="s">
        <v>20894</v>
      </c>
      <c r="B16588" s="6" t="s">
        <v>20895</v>
      </c>
      <c r="C16588" s="5" t="str">
        <f>IFERROR(__xludf.DUMMYFUNCTION("GOOGLETRANSLATE(B16588,""en"",""it"")"),"Vediamo uno schermo del titolo di apertura e un uomo e una signora sembra felici e la signora mette le mani in aria.")</f>
        <v>Vediamo uno schermo del titolo di apertura e un uomo e una signora sembra felici e la signora mette le mani in aria.</v>
      </c>
    </row>
    <row r="16589">
      <c r="A16589" s="4" t="s">
        <v>20894</v>
      </c>
      <c r="B16589" s="4" t="s">
        <v>20896</v>
      </c>
      <c r="C16589" s="5" t="str">
        <f>IFERROR(__xludf.DUMMYFUNCTION("GOOGLETRANSLATE(B16589,""en"",""it"")"),"Vediamo un uomo che tratta il blackjack davanti a uno schermo.")</f>
        <v>Vediamo un uomo che tratta il blackjack davanti a uno schermo.</v>
      </c>
    </row>
    <row r="16590">
      <c r="A16590" s="4" t="s">
        <v>20894</v>
      </c>
      <c r="B16590" s="4" t="s">
        <v>20897</v>
      </c>
      <c r="C16590" s="5" t="str">
        <f>IFERROR(__xludf.DUMMYFUNCTION("GOOGLETRANSLATE(B16590,""en"",""it"")"),"Vediamo uno schermo di emblema C.")</f>
        <v>Vediamo uno schermo di emblema C.</v>
      </c>
    </row>
    <row r="16591">
      <c r="A16591" s="4" t="s">
        <v>20894</v>
      </c>
      <c r="B16591" s="4" t="s">
        <v>20898</v>
      </c>
      <c r="C16591" s="5" t="str">
        <f>IFERROR(__xludf.DUMMYFUNCTION("GOOGLETRANSLATE(B16591,""en"",""it"")"),"Vediamo che l'uomo continui a trattare le carte.")</f>
        <v>Vediamo che l'uomo continui a trattare le carte.</v>
      </c>
    </row>
    <row r="16592">
      <c r="A16592" s="4" t="s">
        <v>20894</v>
      </c>
      <c r="B16592" s="4" t="s">
        <v>3608</v>
      </c>
      <c r="C16592" s="5" t="str">
        <f>IFERROR(__xludf.DUMMYFUNCTION("GOOGLETRANSLATE(B16592,""en"",""it"")"),"Vediamo lo schermo finale.")</f>
        <v>Vediamo lo schermo finale.</v>
      </c>
    </row>
    <row r="16593">
      <c r="A16593" s="4" t="s">
        <v>20899</v>
      </c>
      <c r="B16593" s="4" t="s">
        <v>20900</v>
      </c>
      <c r="C16593" s="5" t="str">
        <f>IFERROR(__xludf.DUMMYFUNCTION("GOOGLETRANSLATE(B16593,""en"",""it"")"),"Una giovane donna si trova in una stanza che rotola giù un pezzo di carta da parati grigio e bianco su un muro.")</f>
        <v>Una giovane donna si trova in una stanza che rotola giù un pezzo di carta da parati grigio e bianco su un muro.</v>
      </c>
    </row>
    <row r="16594">
      <c r="A16594" s="4" t="s">
        <v>20899</v>
      </c>
      <c r="B16594" s="4" t="s">
        <v>20901</v>
      </c>
      <c r="C16594" s="5" t="str">
        <f>IFERROR(__xludf.DUMMYFUNCTION("GOOGLETRANSLATE(B16594,""en"",""it"")"),"Ora è su un altro muro e sta usando un utensile per appianare la carta.")</f>
        <v>Ora è su un altro muro e sta usando un utensile per appianare la carta.</v>
      </c>
    </row>
    <row r="16595">
      <c r="A16595" s="4" t="s">
        <v>20899</v>
      </c>
      <c r="B16595" s="4" t="s">
        <v>20902</v>
      </c>
      <c r="C16595" s="5" t="str">
        <f>IFERROR(__xludf.DUMMYFUNCTION("GOOGLETRANSLATE(B16595,""en"",""it"")"),"Quindi, le viene mostrata tagliare la carta da parati grigia e spazzolarlo.")</f>
        <v>Quindi, le viene mostrata tagliare la carta da parati grigia e spazzolarlo.</v>
      </c>
    </row>
    <row r="16596">
      <c r="A16596" s="4" t="s">
        <v>20899</v>
      </c>
      <c r="B16596" s="6" t="s">
        <v>20903</v>
      </c>
      <c r="C16596" s="5" t="str">
        <f>IFERROR(__xludf.DUMMYFUNCTION("GOOGLETRANSLATE(B16596,""en"",""it"")"),"Alla fine, si sposta in un altro pezzo di fiore e inizia a tagliare la carta in eccesso assicurando che sia misurata correttamente.")</f>
        <v>Alla fine, si sposta in un altro pezzo di fiore e inizia a tagliare la carta in eccesso assicurando che sia misurata correttamente.</v>
      </c>
    </row>
    <row r="16597">
      <c r="A16597" s="4" t="s">
        <v>20904</v>
      </c>
      <c r="B16597" s="4" t="s">
        <v>20905</v>
      </c>
      <c r="C16597" s="5" t="str">
        <f>IFERROR(__xludf.DUMMYFUNCTION("GOOGLETRANSLATE(B16597,""en"",""it"")"),"Una persona viene vista attaccare le mani sotto un dink e strofinare il sapone sulle mani.")</f>
        <v>Una persona viene vista attaccare le mani sotto un dink e strofinare il sapone sulle mani.</v>
      </c>
    </row>
    <row r="16598">
      <c r="A16598" s="4" t="s">
        <v>20904</v>
      </c>
      <c r="B16598" s="4" t="s">
        <v>20906</v>
      </c>
      <c r="C16598" s="5" t="str">
        <f>IFERROR(__xludf.DUMMYFUNCTION("GOOGLETRANSLATE(B16598,""en"",""it"")"),"La persona strofina accuratamente le mani e poi le esegue sotto un rubinetto.")</f>
        <v>La persona strofina accuratamente le mani e poi le esegue sotto un rubinetto.</v>
      </c>
    </row>
    <row r="16599">
      <c r="A16599" s="4" t="s">
        <v>20904</v>
      </c>
      <c r="B16599" s="4" t="s">
        <v>20907</v>
      </c>
      <c r="C16599" s="5" t="str">
        <f>IFERROR(__xludf.DUMMYFUNCTION("GOOGLETRANSLATE(B16599,""en"",""it"")"),"Quindi afferra un tovagliolo di carta per asciugare le mani e mostrarle.")</f>
        <v>Quindi afferra un tovagliolo di carta per asciugare le mani e mostrarle.</v>
      </c>
    </row>
    <row r="16600">
      <c r="A16600" s="4" t="s">
        <v>20908</v>
      </c>
      <c r="B16600" s="4" t="s">
        <v>20909</v>
      </c>
      <c r="C16600" s="5" t="str">
        <f>IFERROR(__xludf.DUMMYFUNCTION("GOOGLETRANSLATE(B16600,""en"",""it"")"),"Un uomo viene visto che si allunga sul pavimento seguito da persone che scherzano l'uno con l'altro.")</f>
        <v>Un uomo viene visto che si allunga sul pavimento seguito da persone che scherzano l'uno con l'altro.</v>
      </c>
    </row>
    <row r="16601">
      <c r="A16601" s="4" t="s">
        <v>20908</v>
      </c>
      <c r="B16601" s="6" t="s">
        <v>20910</v>
      </c>
      <c r="C16601" s="5" t="str">
        <f>IFERROR(__xludf.DUMMYFUNCTION("GOOGLETRANSLATE(B16601,""en"",""it"")"),"Le persone si spostano indietro e quarto attorno a un'arena che scherza l'uno con l'altro e la telecamera che cattura i loro movimenti.")</f>
        <v>Le persone si spostano indietro e quarto attorno a un'arena che scherza l'uno con l'altro e la telecamera che cattura i loro movimenti.</v>
      </c>
    </row>
    <row r="16602">
      <c r="A16602" s="4" t="s">
        <v>20908</v>
      </c>
      <c r="B16602" s="4" t="s">
        <v>20911</v>
      </c>
      <c r="C16602" s="5" t="str">
        <f>IFERROR(__xludf.DUMMYFUNCTION("GOOGLETRANSLATE(B16602,""en"",""it"")"),"Continuano a combattere e quarto e finiscono andando via.")</f>
        <v>Continuano a combattere e quarto e finiscono andando via.</v>
      </c>
    </row>
    <row r="16603">
      <c r="A16603" s="4" t="s">
        <v>20912</v>
      </c>
      <c r="B16603" s="6" t="s">
        <v>20913</v>
      </c>
      <c r="C16603" s="5" t="str">
        <f>IFERROR(__xludf.DUMMYFUNCTION("GOOGLETRANSLATE(B16603,""en"",""it"")"),"C'è un ristorante affollato del lago dove quasi tutti i tavoli sono occupati dagli ospiti che cenano lì.")</f>
        <v>C'è un ristorante affollato del lago dove quasi tutti i tavoli sono occupati dagli ospiti che cenano lì.</v>
      </c>
    </row>
    <row r="16604">
      <c r="A16604" s="4" t="s">
        <v>20912</v>
      </c>
      <c r="B16604" s="4" t="s">
        <v>20914</v>
      </c>
      <c r="C16604" s="5" t="str">
        <f>IFERROR(__xludf.DUMMYFUNCTION("GOOGLETRANSLATE(B16604,""en"",""it"")"),"Il server si riempie di ghiaccio negli occhiali e il barista produce caffè.")</f>
        <v>Il server si riempie di ghiaccio negli occhiali e il barista produce caffè.</v>
      </c>
    </row>
    <row r="16605">
      <c r="A16605" s="4" t="s">
        <v>20912</v>
      </c>
      <c r="B16605" s="4" t="s">
        <v>20915</v>
      </c>
      <c r="C16605" s="5" t="str">
        <f>IFERROR(__xludf.DUMMYFUNCTION("GOOGLETRANSLATE(B16605,""en"",""it"")"),"I clienti sono impegnati a mangiare il cibo che viene servito.")</f>
        <v>I clienti sono impegnati a mangiare il cibo che viene servito.</v>
      </c>
    </row>
    <row r="16606">
      <c r="A16606" s="4" t="s">
        <v>20912</v>
      </c>
      <c r="B16606" s="4" t="s">
        <v>20916</v>
      </c>
      <c r="C16606" s="5" t="str">
        <f>IFERROR(__xludf.DUMMYFUNCTION("GOOGLETRANSLATE(B16606,""en"",""it"")"),"Il barista sta mescolando bevande per fare vari cocktail.")</f>
        <v>Il barista sta mescolando bevande per fare vari cocktail.</v>
      </c>
    </row>
    <row r="16607">
      <c r="A16607" s="4" t="s">
        <v>20912</v>
      </c>
      <c r="B16607" s="4" t="s">
        <v>20917</v>
      </c>
      <c r="C16607" s="5" t="str">
        <f>IFERROR(__xludf.DUMMYFUNCTION("GOOGLETRANSLATE(B16607,""en"",""it"")"),"Il barista sta producendo latte e cappuccino.")</f>
        <v>Il barista sta producendo latte e cappuccino.</v>
      </c>
    </row>
    <row r="16608">
      <c r="A16608" s="4" t="s">
        <v>20912</v>
      </c>
      <c r="B16608" s="4" t="s">
        <v>20918</v>
      </c>
      <c r="C16608" s="5" t="str">
        <f>IFERROR(__xludf.DUMMYFUNCTION("GOOGLETRANSLATE(B16608,""en"",""it"")"),"Un cliente signora si vede godersi i suoi drink.")</f>
        <v>Un cliente signora si vede godersi i suoi drink.</v>
      </c>
    </row>
    <row r="16609">
      <c r="A16609" s="4" t="s">
        <v>20919</v>
      </c>
      <c r="B16609" s="4" t="s">
        <v>20920</v>
      </c>
      <c r="C16609" s="5" t="str">
        <f>IFERROR(__xludf.DUMMYFUNCTION("GOOGLETRANSLATE(B16609,""en"",""it"")"),"Un gruppo di donne si trova di fronte alla telecamera.")</f>
        <v>Un gruppo di donne si trova di fronte alla telecamera.</v>
      </c>
    </row>
    <row r="16610">
      <c r="A16610" s="4" t="s">
        <v>20919</v>
      </c>
      <c r="B16610" s="4" t="s">
        <v>20921</v>
      </c>
      <c r="C16610" s="5" t="str">
        <f>IFERROR(__xludf.DUMMYFUNCTION("GOOGLETRANSLATE(B16610,""en"",""it"")"),"Una donna più anziana cammina verso la testa del gruppo.")</f>
        <v>Una donna più anziana cammina verso la testa del gruppo.</v>
      </c>
    </row>
    <row r="16611">
      <c r="A16611" s="4" t="s">
        <v>20919</v>
      </c>
      <c r="B16611" s="4" t="s">
        <v>20922</v>
      </c>
      <c r="C16611" s="5" t="str">
        <f>IFERROR(__xludf.DUMMYFUNCTION("GOOGLETRANSLATE(B16611,""en"",""it"")"),"Il gruppo balla insieme alla telecamera.")</f>
        <v>Il gruppo balla insieme alla telecamera.</v>
      </c>
    </row>
    <row r="16612">
      <c r="A16612" s="4" t="s">
        <v>20923</v>
      </c>
      <c r="B16612" s="6" t="s">
        <v>20924</v>
      </c>
      <c r="C16612" s="5" t="str">
        <f>IFERROR(__xludf.DUMMYFUNCTION("GOOGLETRANSLATE(B16612,""en"",""it"")"),"Un uomo in un parcheggio coperto di neve fiancheggiata da alti lampioni di strada graffia neve e ghiaccio indurito dalla sua macchina sportiva marrone di notte.")</f>
        <v>Un uomo in un parcheggio coperto di neve fiancheggiata da alti lampioni di strada graffia neve e ghiaccio indurito dalla sua macchina sportiva marrone di notte.</v>
      </c>
    </row>
    <row r="16613">
      <c r="A16613" s="4" t="s">
        <v>20923</v>
      </c>
      <c r="B16613" s="6" t="s">
        <v>20925</v>
      </c>
      <c r="C16613" s="5" t="str">
        <f>IFERROR(__xludf.DUMMYFUNCTION("GOOGLETRANSLATE(B16613,""en"",""it"")"),"L'uomo inizia raschiando ghiaccio e neve dal fondo del parabrezza e dal cofano della sua auto e della griglia anteriore.")</f>
        <v>L'uomo inizia raschiando ghiaccio e neve dal fondo del parabrezza e dal cofano della sua auto e della griglia anteriore.</v>
      </c>
    </row>
    <row r="16614">
      <c r="A16614" s="4" t="s">
        <v>20923</v>
      </c>
      <c r="B16614" s="6" t="s">
        <v>20926</v>
      </c>
      <c r="C16614" s="5" t="str">
        <f>IFERROR(__xludf.DUMMYFUNCTION("GOOGLETRANSLATE(B16614,""en"",""it"")"),"L'uomo quindi raschia e prende a calci a pezzi di ghiaccio che circonda l'area intorno alla gomma del passeggero anteriore.")</f>
        <v>L'uomo quindi raschia e prende a calci a pezzi di ghiaccio che circonda l'area intorno alla gomma del passeggero anteriore.</v>
      </c>
    </row>
    <row r="16615">
      <c r="A16615" s="4" t="s">
        <v>20923</v>
      </c>
      <c r="B16615" s="6" t="s">
        <v>20927</v>
      </c>
      <c r="C16615" s="5" t="str">
        <f>IFERROR(__xludf.DUMMYFUNCTION("GOOGLETRANSLATE(B16615,""en"",""it"")"),"Infine, l'uomo raschia il ghiaccio dal bagagliaio dell'auto e l'area delle gomme del passeggero posteriore prima di rinunciare e camminare verso la telecamera.")</f>
        <v>Infine, l'uomo raschia il ghiaccio dal bagagliaio dell'auto e l'area delle gomme del passeggero posteriore prima di rinunciare e camminare verso la telecamera.</v>
      </c>
    </row>
    <row r="16616">
      <c r="A16616" s="4" t="s">
        <v>20928</v>
      </c>
      <c r="B16616" s="6" t="s">
        <v>20929</v>
      </c>
      <c r="C16616" s="5" t="str">
        <f>IFERROR(__xludf.DUMMYFUNCTION("GOOGLETRANSLATE(B16616,""en"",""it"")"),"Un modello nero con stampa a scorrimento con lettere bianche attraversa lo schermo con un movimento verso l'alto.")</f>
        <v>Un modello nero con stampa a scorrimento con lettere bianche attraversa lo schermo con un movimento verso l'alto.</v>
      </c>
    </row>
    <row r="16617">
      <c r="A16617" s="4" t="s">
        <v>20928</v>
      </c>
      <c r="B16617" s="6" t="s">
        <v>20930</v>
      </c>
      <c r="C16617" s="5" t="str">
        <f>IFERROR(__xludf.DUMMYFUNCTION("GOOGLETRANSLATE(B16617,""en"",""it"")"),"Una barca a motore con due canoa come scafi su entrambi i lati della vela, naviga attraverso un oceano, alla luce del giorno, con due persone che pendono sul lato.")</f>
        <v>Una barca a motore con due canoa come scafi su entrambi i lati della vela, naviga attraverso un oceano, alla luce del giorno, con due persone che pendono sul lato.</v>
      </c>
    </row>
    <row r="16618">
      <c r="A16618" s="4" t="s">
        <v>20928</v>
      </c>
      <c r="B16618" s="6" t="s">
        <v>20931</v>
      </c>
      <c r="C16618" s="5" t="str">
        <f>IFERROR(__xludf.DUMMYFUNCTION("GOOGLETRANSLATE(B16618,""en"",""it"")"),"L'immagine della barca sull'acqua cambia alla visione notturna con solo colori verdi e bianchi che si riflettono prima che i titoli di coda rotoli.")</f>
        <v>L'immagine della barca sull'acqua cambia alla visione notturna con solo colori verdi e bianchi che si riflettono prima che i titoli di coda rotoli.</v>
      </c>
    </row>
    <row r="16619">
      <c r="A16619" s="4" t="s">
        <v>20932</v>
      </c>
      <c r="B16619" s="4" t="s">
        <v>20933</v>
      </c>
      <c r="C16619" s="5" t="str">
        <f>IFERROR(__xludf.DUMMYFUNCTION("GOOGLETRANSLATE(B16619,""en"",""it"")"),"Ci sono quattro persone che partecipano alla competizione BMX Dirt Biking.")</f>
        <v>Ci sono quattro persone che partecipano alla competizione BMX Dirt Biking.</v>
      </c>
    </row>
    <row r="16620">
      <c r="A16620" s="4" t="s">
        <v>20932</v>
      </c>
      <c r="B16620" s="4" t="s">
        <v>20934</v>
      </c>
      <c r="C16620" s="5" t="str">
        <f>IFERROR(__xludf.DUMMYFUNCTION("GOOGLETRANSLATE(B16620,""en"",""it"")"),"Stanno facendo incredibili acrobazie sulle loro bici saltando in alto su fossati e terreni ripidi.")</f>
        <v>Stanno facendo incredibili acrobazie sulle loro bici saltando in alto su fossati e terreni ripidi.</v>
      </c>
    </row>
    <row r="16621">
      <c r="A16621" s="4" t="s">
        <v>20932</v>
      </c>
      <c r="B16621" s="4" t="s">
        <v>20935</v>
      </c>
      <c r="C16621" s="5" t="str">
        <f>IFERROR(__xludf.DUMMYFUNCTION("GOOGLETRANSLATE(B16621,""en"",""it"")"),"Uno dei motociclisti fa una caduta dopo che salta su una strada collinare.")</f>
        <v>Uno dei motociclisti fa una caduta dopo che salta su una strada collinare.</v>
      </c>
    </row>
    <row r="16622">
      <c r="A16622" s="4" t="s">
        <v>20932</v>
      </c>
      <c r="B16622" s="4" t="s">
        <v>20936</v>
      </c>
      <c r="C16622" s="5" t="str">
        <f>IFERROR(__xludf.DUMMYFUNCTION("GOOGLETRANSLATE(B16622,""en"",""it"")"),"Diversi altri motociclisti vanno a tutta velocità su terreni collini e ripide colline.")</f>
        <v>Diversi altri motociclisti vanno a tutta velocità su terreni collini e ripide colline.</v>
      </c>
    </row>
    <row r="16623">
      <c r="A16623" s="4" t="s">
        <v>20932</v>
      </c>
      <c r="B16623" s="4" t="s">
        <v>20937</v>
      </c>
      <c r="C16623" s="5" t="str">
        <f>IFERROR(__xludf.DUMMYFUNCTION("GOOGLETRANSLATE(B16623,""en"",""it"")"),"Le persone sono riunite per guardare e partecipare all'evento BMX.")</f>
        <v>Le persone sono riunite per guardare e partecipare all'evento BMX.</v>
      </c>
    </row>
    <row r="16624">
      <c r="A16624" s="4" t="s">
        <v>20932</v>
      </c>
      <c r="B16624" s="4" t="s">
        <v>20938</v>
      </c>
      <c r="C16624" s="5" t="str">
        <f>IFERROR(__xludf.DUMMYFUNCTION("GOOGLETRANSLATE(B16624,""en"",""it"")"),"I motociclisti continuano a fare le loro acrobazie mentre superano terreni collini e colline.")</f>
        <v>I motociclisti continuano a fare le loro acrobazie mentre superano terreni collini e colline.</v>
      </c>
    </row>
    <row r="16625">
      <c r="A16625" s="4" t="s">
        <v>20932</v>
      </c>
      <c r="B16625" s="4" t="s">
        <v>20939</v>
      </c>
      <c r="C16625" s="5" t="str">
        <f>IFERROR(__xludf.DUMMYFUNCTION("GOOGLETRANSLATE(B16625,""en"",""it"")"),"I vincitori della gara vengono assegnati trofei e certificati.")</f>
        <v>I vincitori della gara vengono assegnati trofei e certificati.</v>
      </c>
    </row>
    <row r="16626">
      <c r="A16626" s="4" t="s">
        <v>20932</v>
      </c>
      <c r="B16626" s="4" t="s">
        <v>20940</v>
      </c>
      <c r="C16626" s="5" t="str">
        <f>IFERROR(__xludf.DUMMYFUNCTION("GOOGLETRANSLATE(B16626,""en"",""it"")"),"Sollevano con orgoglio i loro trofei in alto per mostrare il loro risultato.")</f>
        <v>Sollevano con orgoglio i loro trofei in alto per mostrare il loro risultato.</v>
      </c>
    </row>
    <row r="16627">
      <c r="A16627" s="4" t="s">
        <v>20941</v>
      </c>
      <c r="B16627" s="4" t="s">
        <v>20942</v>
      </c>
      <c r="C16627" s="5" t="str">
        <f>IFERROR(__xludf.DUMMYFUNCTION("GOOGLETRANSLATE(B16627,""en"",""it"")"),"L'uomo è scalare una parete di roccia atacata per l'imbracatura.")</f>
        <v>L'uomo è scalare una parete di roccia atacata per l'imbracatura.</v>
      </c>
    </row>
    <row r="16628">
      <c r="A16628" s="4" t="s">
        <v>20941</v>
      </c>
      <c r="B16628" s="4" t="s">
        <v>20943</v>
      </c>
      <c r="C16628" s="5" t="str">
        <f>IFERROR(__xludf.DUMMYFUNCTION("GOOGLETRANSLATE(B16628,""en"",""it"")"),"Un gruppo di amici è in piedi sul campo e sopra di loro l'uomo sta arrampicando sul muro di roccia.")</f>
        <v>Un gruppo di amici è in piedi sul campo e sopra di loro l'uomo sta arrampicando sul muro di roccia.</v>
      </c>
    </row>
    <row r="16629">
      <c r="A16629" s="4" t="s">
        <v>20941</v>
      </c>
      <c r="B16629" s="6" t="s">
        <v>20944</v>
      </c>
      <c r="C16629" s="5" t="str">
        <f>IFERROR(__xludf.DUMMYFUNCTION("GOOGLETRANSLATE(B16629,""en"",""it"")"),"L'uomo è salire sul muro di roccia che lo tiene e le altre persone sul pavimento sono attaccate all'imbracatura pronta a scalare anche il muro.")</f>
        <v>L'uomo è salire sul muro di roccia che lo tiene e le altre persone sul pavimento sono attaccate all'imbracatura pronta a scalare anche il muro.</v>
      </c>
    </row>
    <row r="16630">
      <c r="A16630" s="4" t="s">
        <v>20945</v>
      </c>
      <c r="B16630" s="6" t="s">
        <v>20946</v>
      </c>
      <c r="C16630" s="5" t="str">
        <f>IFERROR(__xludf.DUMMYFUNCTION("GOOGLETRANSLATE(B16630,""en"",""it"")"),"Un uomo che indossa guanti si vede parlare alla fotocamera mentre tiene in mano vari oggetti alla fotocamera.")</f>
        <v>Un uomo che indossa guanti si vede parlare alla fotocamera mentre tiene in mano vari oggetti alla fotocamera.</v>
      </c>
    </row>
    <row r="16631">
      <c r="A16631" s="4" t="s">
        <v>20945</v>
      </c>
      <c r="B16631" s="6" t="s">
        <v>20947</v>
      </c>
      <c r="C16631" s="5" t="str">
        <f>IFERROR(__xludf.DUMMYFUNCTION("GOOGLETRANSLATE(B16631,""en"",""it"")"),"Quindi mette insieme gli oggetti per creare una grande fiamma e martella uno strumento alla fine e mostra i risultati.")</f>
        <v>Quindi mette insieme gli oggetti per creare una grande fiamma e martella uno strumento alla fine e mostra i risultati.</v>
      </c>
    </row>
    <row r="16632">
      <c r="A16632" s="4" t="s">
        <v>20948</v>
      </c>
      <c r="B16632" s="4" t="s">
        <v>20949</v>
      </c>
      <c r="C16632" s="5" t="str">
        <f>IFERROR(__xludf.DUMMYFUNCTION("GOOGLETRANSLATE(B16632,""en"",""it"")"),"Un uomo con camicia grigia applica l'intonaco con una spatola portatile alla parete interna di un edificio.")</f>
        <v>Un uomo con camicia grigia applica l'intonaco con una spatola portatile alla parete interna di un edificio.</v>
      </c>
    </row>
    <row r="16633">
      <c r="A16633" s="4" t="s">
        <v>20948</v>
      </c>
      <c r="B16633" s="4" t="s">
        <v>20950</v>
      </c>
      <c r="C16633" s="5" t="str">
        <f>IFERROR(__xludf.DUMMYFUNCTION("GOOGLETRANSLATE(B16633,""en"",""it"")"),"I punti principali degli angoli della stanza per mostrare la linea che sta lavorando.")</f>
        <v>I punti principali degli angoli della stanza per mostrare la linea che sta lavorando.</v>
      </c>
    </row>
    <row r="16634">
      <c r="A16634" s="4" t="s">
        <v>20948</v>
      </c>
      <c r="B16634" s="4" t="s">
        <v>20951</v>
      </c>
      <c r="C16634" s="5" t="str">
        <f>IFERROR(__xludf.DUMMYFUNCTION("GOOGLETRANSLATE(B16634,""en"",""it"")"),"L'uomo in applica più intonaca il muro e copre più area.")</f>
        <v>L'uomo in applica più intonaca il muro e copre più area.</v>
      </c>
    </row>
    <row r="16635">
      <c r="A16635" s="4" t="s">
        <v>20948</v>
      </c>
      <c r="B16635" s="4" t="s">
        <v>20952</v>
      </c>
      <c r="C16635" s="5" t="str">
        <f>IFERROR(__xludf.DUMMYFUNCTION("GOOGLETRANSLATE(B16635,""en"",""it"")"),"L'uomo in grigio si ferma a discutere con il suo partner.")</f>
        <v>L'uomo in grigio si ferma a discutere con il suo partner.</v>
      </c>
    </row>
    <row r="16636">
      <c r="A16636" s="4" t="s">
        <v>20948</v>
      </c>
      <c r="B16636" s="4" t="s">
        <v>20953</v>
      </c>
      <c r="C16636" s="5" t="str">
        <f>IFERROR(__xludf.DUMMYFUNCTION("GOOGLETRANSLATE(B16636,""en"",""it"")"),"L'uomo in grigio insieme al suo partner inizia ad applicare un rivestimento sul muro insieme.")</f>
        <v>L'uomo in grigio insieme al suo partner inizia ad applicare un rivestimento sul muro insieme.</v>
      </c>
    </row>
    <row r="16637">
      <c r="A16637" s="4" t="s">
        <v>20948</v>
      </c>
      <c r="B16637" s="4" t="s">
        <v>20954</v>
      </c>
      <c r="C16637" s="5" t="str">
        <f>IFERROR(__xludf.DUMMYFUNCTION("GOOGLETRANSLATE(B16637,""en"",""it"")"),"L'uomo in grigio guarda e dà consigli al suo amico.")</f>
        <v>L'uomo in grigio guarda e dà consigli al suo amico.</v>
      </c>
    </row>
    <row r="16638">
      <c r="A16638" s="4" t="s">
        <v>20948</v>
      </c>
      <c r="B16638" s="4" t="s">
        <v>20955</v>
      </c>
      <c r="C16638" s="5" t="str">
        <f>IFERROR(__xludf.DUMMYFUNCTION("GOOGLETRANSLATE(B16638,""en"",""it"")"),"L'uomo in grigio e l'amico applicano entrambi intonaco più in alto sul muro e sul soffitto.")</f>
        <v>L'uomo in grigio e l'amico applicano entrambi intonaco più in alto sul muro e sul soffitto.</v>
      </c>
    </row>
    <row r="16639">
      <c r="A16639" s="4" t="s">
        <v>20956</v>
      </c>
      <c r="B16639" s="6" t="s">
        <v>20957</v>
      </c>
      <c r="C16639" s="5" t="str">
        <f>IFERROR(__xludf.DUMMYFUNCTION("GOOGLETRANSLATE(B16639,""en"",""it"")"),"Un cantante viene mostrato in piedi su un piano su un grande palcoscenico e parlare nel microfono mentre un batterista suona sullo sfondo.")</f>
        <v>Un cantante viene mostrato in piedi su un piano su un grande palcoscenico e parlare nel microfono mentre un batterista suona sullo sfondo.</v>
      </c>
    </row>
    <row r="16640">
      <c r="A16640" s="4" t="s">
        <v>20956</v>
      </c>
      <c r="B16640" s="6" t="s">
        <v>20958</v>
      </c>
      <c r="C16640" s="5" t="str">
        <f>IFERROR(__xludf.DUMMYFUNCTION("GOOGLETRANSLATE(B16640,""en"",""it"")"),"Continua a cantare al pubblico seguito da saltare dal piano e ballare sul palco.")</f>
        <v>Continua a cantare al pubblico seguito da saltare dal piano e ballare sul palco.</v>
      </c>
    </row>
    <row r="16641">
      <c r="A16641" s="4" t="s">
        <v>20956</v>
      </c>
      <c r="B16641" s="6" t="s">
        <v>20959</v>
      </c>
      <c r="C16641" s="5" t="str">
        <f>IFERROR(__xludf.DUMMYFUNCTION("GOOGLETRANSLATE(B16641,""en"",""it"")"),"I tamburi continuano a suonare e le luci tremolano dietro di lui mentre le persone mescolano altri tamburi attorno al set.")</f>
        <v>I tamburi continuano a suonare e le luci tremolano dietro di lui mentre le persone mescolano altri tamburi attorno al set.</v>
      </c>
    </row>
    <row r="16642">
      <c r="A16642" s="4" t="s">
        <v>20956</v>
      </c>
      <c r="B16642" s="6" t="s">
        <v>20960</v>
      </c>
      <c r="C16642" s="5" t="str">
        <f>IFERROR(__xludf.DUMMYFUNCTION("GOOGLETRANSLATE(B16642,""en"",""it"")"),"I due uomini iniziano quindi a suonare i tamburi dietro l'uno con l'altro mentre si passa tra kit di tamburi e movimenti.")</f>
        <v>I due uomini iniziano quindi a suonare i tamburi dietro l'uno con l'altro mentre si passa tra kit di tamburi e movimenti.</v>
      </c>
    </row>
    <row r="16643">
      <c r="A16643" s="4" t="s">
        <v>20961</v>
      </c>
      <c r="B16643" s="4" t="s">
        <v>20962</v>
      </c>
      <c r="C16643" s="5" t="str">
        <f>IFERROR(__xludf.DUMMYFUNCTION("GOOGLETRANSLATE(B16643,""en"",""it"")"),"Una telecamera si lancia su un televisore che conduce in un uomo che tiene un bastone davanti a una grande folla.")</f>
        <v>Una telecamera si lancia su un televisore che conduce in un uomo che tiene un bastone davanti a una grande folla.</v>
      </c>
    </row>
    <row r="16644">
      <c r="A16644" s="4" t="s">
        <v>20961</v>
      </c>
      <c r="B16644" s="4" t="s">
        <v>20963</v>
      </c>
      <c r="C16644" s="5" t="str">
        <f>IFERROR(__xludf.DUMMYFUNCTION("GOOGLETRANSLATE(B16644,""en"",""it"")"),"Parla a una donna e una foto di persone che giocano a shuffle board è mostrata al rallentatore.")</f>
        <v>Parla a una donna e una foto di persone che giocano a shuffle board è mostrata al rallentatore.</v>
      </c>
    </row>
    <row r="16645">
      <c r="A16645" s="4" t="s">
        <v>20964</v>
      </c>
      <c r="B16645" s="4" t="s">
        <v>20965</v>
      </c>
      <c r="C16645" s="5" t="str">
        <f>IFERROR(__xludf.DUMMYFUNCTION("GOOGLETRANSLATE(B16645,""en"",""it"")"),"Una persona sta affilando un coltello dietro un tavolo.")</f>
        <v>Una persona sta affilando un coltello dietro un tavolo.</v>
      </c>
    </row>
    <row r="16646">
      <c r="A16646" s="4" t="s">
        <v>20964</v>
      </c>
      <c r="B16646" s="4" t="s">
        <v>20966</v>
      </c>
      <c r="C16646" s="5" t="str">
        <f>IFERROR(__xludf.DUMMYFUNCTION("GOOGLETRANSLATE(B16646,""en"",""it"")"),"Le persone sono in piedi davanti al tavolo a guardare.")</f>
        <v>Le persone sono in piedi davanti al tavolo a guardare.</v>
      </c>
    </row>
    <row r="16647">
      <c r="A16647" s="4" t="s">
        <v>20964</v>
      </c>
      <c r="B16647" s="4" t="s">
        <v>20967</v>
      </c>
      <c r="C16647" s="5" t="str">
        <f>IFERROR(__xludf.DUMMYFUNCTION("GOOGLETRANSLATE(B16647,""en"",""it"")"),"Raccoglie la temperamatii del coltello e lo usa per affinare il coltello.")</f>
        <v>Raccoglie la temperamatii del coltello e lo usa per affinare il coltello.</v>
      </c>
    </row>
    <row r="16648">
      <c r="A16648" s="4" t="s">
        <v>20968</v>
      </c>
      <c r="B16648" s="6" t="s">
        <v>20969</v>
      </c>
      <c r="C16648" s="5" t="str">
        <f>IFERROR(__xludf.DUMMYFUNCTION("GOOGLETRANSLATE(B16648,""en"",""it"")"),"Una donna viene vista lavare i piatti in un lavandino mentre un uomo parla alla telecamera e ingrandisce i piatti.")</f>
        <v>Una donna viene vista lavare i piatti in un lavandino mentre un uomo parla alla telecamera e ingrandisce i piatti.</v>
      </c>
    </row>
    <row r="16649">
      <c r="A16649" s="4" t="s">
        <v>20968</v>
      </c>
      <c r="B16649" s="4" t="s">
        <v>20970</v>
      </c>
      <c r="C16649" s="5" t="str">
        <f>IFERROR(__xludf.DUMMYFUNCTION("GOOGLETRANSLATE(B16649,""en"",""it"")"),"L'uomo continua a parlare con la telecamera e dimostra come lavare correttamente i piatti.")</f>
        <v>L'uomo continua a parlare con la telecamera e dimostra come lavare correttamente i piatti.</v>
      </c>
    </row>
    <row r="16650">
      <c r="A16650" s="4" t="s">
        <v>20971</v>
      </c>
      <c r="B16650" s="6" t="s">
        <v>20972</v>
      </c>
      <c r="C16650" s="5" t="str">
        <f>IFERROR(__xludf.DUMMYFUNCTION("GOOGLETRANSLATE(B16650,""en"",""it"")"),"Una persona è vista in piedi davanti a un tavolo da picnic che parla alla telecamera mentre tiene una bici.")</f>
        <v>Una persona è vista in piedi davanti a un tavolo da picnic che parla alla telecamera mentre tiene una bici.</v>
      </c>
    </row>
    <row r="16651">
      <c r="A16651" s="4" t="s">
        <v>20971</v>
      </c>
      <c r="B16651" s="6" t="s">
        <v>20973</v>
      </c>
      <c r="C16651" s="5" t="str">
        <f>IFERROR(__xludf.DUMMYFUNCTION("GOOGLETRANSLATE(B16651,""en"",""it"")"),"Quindi mette la gomma a terra, muovendo le mani attorno ad assicurarsi che la gomma sia correttamente gonfiata.")</f>
        <v>Quindi mette la gomma a terra, muovendo le mani attorno ad assicurarsi che la gomma sia correttamente gonfiata.</v>
      </c>
    </row>
    <row r="16652">
      <c r="A16652" s="4" t="s">
        <v>20971</v>
      </c>
      <c r="B16652" s="4" t="s">
        <v>20974</v>
      </c>
      <c r="C16652" s="5" t="str">
        <f>IFERROR(__xludf.DUMMYFUNCTION("GOOGLETRANSLATE(B16652,""en"",""it"")"),"Rivesti la gomma sul tavolo, quindi tira fuori una corda per legarla.")</f>
        <v>Rivesti la gomma sul tavolo, quindi tira fuori una corda per legarla.</v>
      </c>
    </row>
    <row r="16653">
      <c r="A16653" s="4" t="s">
        <v>20975</v>
      </c>
      <c r="B16653" s="4" t="s">
        <v>20976</v>
      </c>
      <c r="C16653" s="5" t="str">
        <f>IFERROR(__xludf.DUMMYFUNCTION("GOOGLETRANSLATE(B16653,""en"",""it"")"),"Due persone sono viste tornare indietro e quarto su un grande tappetino mentre scherzano l'uno con l'altro.")</f>
        <v>Due persone sono viste tornare indietro e quarto su un grande tappetino mentre scherzano l'uno con l'altro.</v>
      </c>
    </row>
    <row r="16654">
      <c r="A16654" s="4" t="s">
        <v>20975</v>
      </c>
      <c r="B16654" s="4" t="s">
        <v>20977</v>
      </c>
      <c r="C16654" s="5" t="str">
        <f>IFERROR(__xludf.DUMMYFUNCTION("GOOGLETRANSLATE(B16654,""en"",""it"")"),"Il pubblico applaude mentre finiscono e termina mostrando di nuovo la partita al rallentatore.")</f>
        <v>Il pubblico applaude mentre finiscono e termina mostrando di nuovo la partita al rallentatore.</v>
      </c>
    </row>
    <row r="16655">
      <c r="A16655" s="4" t="s">
        <v>20978</v>
      </c>
      <c r="B16655" s="6" t="s">
        <v>20979</v>
      </c>
      <c r="C16655" s="5" t="str">
        <f>IFERROR(__xludf.DUMMYFUNCTION("GOOGLETRANSLATE(B16655,""en"",""it"")"),"Una persona viene vista seduta in un tubo che beve una birra mentre altre persone si vedono sedersi in lontananza.")</f>
        <v>Una persona viene vista seduta in un tubo che beve una birra mentre altre persone si vedono sedersi in lontananza.</v>
      </c>
    </row>
    <row r="16656">
      <c r="A16656" s="4" t="s">
        <v>20978</v>
      </c>
      <c r="B16656" s="6" t="s">
        <v>20980</v>
      </c>
      <c r="C16656" s="5" t="str">
        <f>IFERROR(__xludf.DUMMYFUNCTION("GOOGLETRANSLATE(B16656,""en"",""it"")"),"Vengono mostrati più colpi delle persone che cavalcano nei tubi mentre beve birre e si parlano.")</f>
        <v>Vengono mostrati più colpi delle persone che cavalcano nei tubi mentre beve birre e si parlano.</v>
      </c>
    </row>
    <row r="16657">
      <c r="A16657" s="4" t="s">
        <v>20981</v>
      </c>
      <c r="B16657" s="4" t="s">
        <v>20982</v>
      </c>
      <c r="C16657" s="5" t="str">
        <f>IFERROR(__xludf.DUMMYFUNCTION("GOOGLETRANSLATE(B16657,""en"",""it"")"),"Viene vista una ragazza parlare alla telecamera e conduce a tenere bottiglie e lavarsi il viso.")</f>
        <v>Viene vista una ragazza parlare alla telecamera e conduce a tenere bottiglie e lavarsi il viso.</v>
      </c>
    </row>
    <row r="16658">
      <c r="A16658" s="4" t="s">
        <v>20981</v>
      </c>
      <c r="B16658" s="4" t="s">
        <v>20983</v>
      </c>
      <c r="C16658" s="5" t="str">
        <f>IFERROR(__xludf.DUMMYFUNCTION("GOOGLETRANSLATE(B16658,""en"",""it"")"),"Si asciuga la faccia con un asciugamano e poi le mette la lozione su tutto il viso.")</f>
        <v>Si asciuga la faccia con un asciugamano e poi le mette la lozione su tutto il viso.</v>
      </c>
    </row>
    <row r="16659">
      <c r="A16659" s="4" t="s">
        <v>20984</v>
      </c>
      <c r="B16659" s="6" t="s">
        <v>20985</v>
      </c>
      <c r="C16659" s="5" t="str">
        <f>IFERROR(__xludf.DUMMYFUNCTION("GOOGLETRANSLATE(B16659,""en"",""it"")"),"Un uomo vestito con una camicia nera e pantaloncini stampati mimetici dimostra come riparare le gomme di gomma su un bordo della ruota dell'auto.")</f>
        <v>Un uomo vestito con una camicia nera e pantaloncini stampati mimetici dimostra come riparare le gomme di gomma su un bordo della ruota dell'auto.</v>
      </c>
    </row>
    <row r="16660">
      <c r="A16660" s="4" t="s">
        <v>20984</v>
      </c>
      <c r="B16660" s="4" t="s">
        <v>20986</v>
      </c>
      <c r="C16660" s="5" t="str">
        <f>IFERROR(__xludf.DUMMYFUNCTION("GOOGLETRANSLATE(B16660,""en"",""it"")"),"Mostra tutti gli strumenti necessari per eseguire il processo.")</f>
        <v>Mostra tutti gli strumenti necessari per eseguire il processo.</v>
      </c>
    </row>
    <row r="16661">
      <c r="A16661" s="4" t="s">
        <v>20984</v>
      </c>
      <c r="B16661" s="4" t="s">
        <v>20987</v>
      </c>
      <c r="C16661" s="5" t="str">
        <f>IFERROR(__xludf.DUMMYFUNCTION("GOOGLETRANSLATE(B16661,""en"",""it"")"),"Prende il pneumatico in gomma e lo spruzza con un liquido.")</f>
        <v>Prende il pneumatico in gomma e lo spruzza con un liquido.</v>
      </c>
    </row>
    <row r="16662">
      <c r="A16662" s="4" t="s">
        <v>20984</v>
      </c>
      <c r="B16662" s="4" t="s">
        <v>20988</v>
      </c>
      <c r="C16662" s="5" t="str">
        <f>IFERROR(__xludf.DUMMYFUNCTION("GOOGLETRANSLATE(B16662,""en"",""it"")"),"Quindi si adatta al bordo interno della ruota nella gomma.")</f>
        <v>Quindi si adatta al bordo interno della ruota nella gomma.</v>
      </c>
    </row>
    <row r="16663">
      <c r="A16663" s="4" t="s">
        <v>20984</v>
      </c>
      <c r="B16663" s="4" t="s">
        <v>20989</v>
      </c>
      <c r="C16663" s="5" t="str">
        <f>IFERROR(__xludf.DUMMYFUNCTION("GOOGLETRANSLATE(B16663,""en"",""it"")"),"Usa un martello per fissarlo strettamente.")</f>
        <v>Usa un martello per fissarlo strettamente.</v>
      </c>
    </row>
    <row r="16664">
      <c r="A16664" s="4" t="s">
        <v>20984</v>
      </c>
      <c r="B16664" s="6" t="s">
        <v>20990</v>
      </c>
      <c r="C16664" s="5" t="str">
        <f>IFERROR(__xludf.DUMMYFUNCTION("GOOGLETRANSLATE(B16664,""en"",""it"")"),"Usa quindi uno strumento per serrare le varie viti che attraversano l'intero diametro del cerchio interno del pneumatico.")</f>
        <v>Usa quindi uno strumento per serrare le varie viti che attraversano l'intero diametro del cerchio interno del pneumatico.</v>
      </c>
    </row>
    <row r="16665">
      <c r="A16665" s="4" t="s">
        <v>20984</v>
      </c>
      <c r="B16665" s="4" t="s">
        <v>20991</v>
      </c>
      <c r="C16665" s="5" t="str">
        <f>IFERROR(__xludf.DUMMYFUNCTION("GOOGLETRANSLATE(B16665,""en"",""it"")"),"Quindi usa una chiave di coppia per serrare ulteriormente le viti.")</f>
        <v>Quindi usa una chiave di coppia per serrare ulteriormente le viti.</v>
      </c>
    </row>
    <row r="16666">
      <c r="A16666" s="4" t="s">
        <v>20984</v>
      </c>
      <c r="B16666" s="4" t="s">
        <v>20992</v>
      </c>
      <c r="C16666" s="5" t="str">
        <f>IFERROR(__xludf.DUMMYFUNCTION("GOOGLETRANSLATE(B16666,""en"",""it"")"),"Riempi l'aria e controlla la pressione dei pneumatici.")</f>
        <v>Riempi l'aria e controlla la pressione dei pneumatici.</v>
      </c>
    </row>
    <row r="16667">
      <c r="A16667" s="4" t="s">
        <v>20993</v>
      </c>
      <c r="B16667" s="4" t="s">
        <v>20994</v>
      </c>
      <c r="C16667" s="5" t="str">
        <f>IFERROR(__xludf.DUMMYFUNCTION("GOOGLETRANSLATE(B16667,""en"",""it"")"),"Un gruppo di ragazze sta posando per una foto.")</f>
        <v>Un gruppo di ragazze sta posando per una foto.</v>
      </c>
    </row>
    <row r="16668">
      <c r="A16668" s="4" t="s">
        <v>20993</v>
      </c>
      <c r="B16668" s="4" t="s">
        <v>20995</v>
      </c>
      <c r="C16668" s="5" t="str">
        <f>IFERROR(__xludf.DUMMYFUNCTION("GOOGLETRANSLATE(B16668,""en"",""it"")"),"Viene quindi mostrato giocando a Volleyall su un campo di fronte a diverse tende.")</f>
        <v>Viene quindi mostrato giocando a Volleyall su un campo di fronte a diverse tende.</v>
      </c>
    </row>
    <row r="16669">
      <c r="A16669" s="4" t="s">
        <v>20993</v>
      </c>
      <c r="B16669" s="4" t="s">
        <v>20996</v>
      </c>
      <c r="C16669" s="5" t="str">
        <f>IFERROR(__xludf.DUMMYFUNCTION("GOOGLETRANSLATE(B16669,""en"",""it"")"),"Lanciano la palla avanti e indietro.")</f>
        <v>Lanciano la palla avanti e indietro.</v>
      </c>
    </row>
    <row r="16670">
      <c r="A16670" s="4" t="s">
        <v>20993</v>
      </c>
      <c r="B16670" s="4" t="s">
        <v>20997</v>
      </c>
      <c r="C16670" s="5" t="str">
        <f>IFERROR(__xludf.DUMMYFUNCTION("GOOGLETRANSLATE(B16670,""en"",""it"")"),"Un ragazzo fa un gesto a mano davanti alla telecamera mentre sorride.")</f>
        <v>Un ragazzo fa un gesto a mano davanti alla telecamera mentre sorride.</v>
      </c>
    </row>
    <row r="16671">
      <c r="A16671" s="4" t="s">
        <v>20993</v>
      </c>
      <c r="B16671" s="4" t="s">
        <v>20998</v>
      </c>
      <c r="C16671" s="5" t="str">
        <f>IFERROR(__xludf.DUMMYFUNCTION("GOOGLETRANSLATE(B16671,""en"",""it"")"),"Ancora una volta ci viene mostrato il gruppo di ragazze in posa nella fotografia.")</f>
        <v>Ancora una volta ci viene mostrato il gruppo di ragazze in posa nella fotografia.</v>
      </c>
    </row>
    <row r="16672">
      <c r="A16672" s="4" t="s">
        <v>20999</v>
      </c>
      <c r="B16672" s="4" t="s">
        <v>21000</v>
      </c>
      <c r="C16672" s="5" t="str">
        <f>IFERROR(__xludf.DUMMYFUNCTION("GOOGLETRANSLATE(B16672,""en"",""it"")"),"Una donna viene vista parlare alla telecamera mentre si trova davanti a una tavola.")</f>
        <v>Una donna viene vista parlare alla telecamera mentre si trova davanti a una tavola.</v>
      </c>
    </row>
    <row r="16673">
      <c r="A16673" s="4" t="s">
        <v>20999</v>
      </c>
      <c r="B16673" s="4" t="s">
        <v>21001</v>
      </c>
      <c r="C16673" s="5" t="str">
        <f>IFERROR(__xludf.DUMMYFUNCTION("GOOGLETRANSLATE(B16673,""en"",""it"")"),"Comincia a muoversi su e giù per la tavola mentre si gira e muove il corpo.")</f>
        <v>Comincia a muoversi su e giù per la tavola mentre si gira e muove il corpo.</v>
      </c>
    </row>
    <row r="16674">
      <c r="A16674" s="4" t="s">
        <v>20999</v>
      </c>
      <c r="B16674" s="4" t="s">
        <v>21002</v>
      </c>
      <c r="C16674" s="5" t="str">
        <f>IFERROR(__xludf.DUMMYFUNCTION("GOOGLETRANSLATE(B16674,""en"",""it"")"),"Continua a muoversi e si ferma ad affrontare la fotocamera alla fine.")</f>
        <v>Continua a muoversi e si ferma ad affrontare la fotocamera alla fine.</v>
      </c>
    </row>
    <row r="16675">
      <c r="A16675" s="4" t="s">
        <v>21003</v>
      </c>
      <c r="B16675" s="4" t="s">
        <v>21004</v>
      </c>
      <c r="C16675" s="5" t="str">
        <f>IFERROR(__xludf.DUMMYFUNCTION("GOOGLETRANSLATE(B16675,""en"",""it"")"),"Vediamo persone che giocano ad acqua in una piscina.")</f>
        <v>Vediamo persone che giocano ad acqua in una piscina.</v>
      </c>
    </row>
    <row r="16676">
      <c r="A16676" s="4" t="s">
        <v>21003</v>
      </c>
      <c r="B16676" s="4" t="s">
        <v>21005</v>
      </c>
      <c r="C16676" s="5" t="str">
        <f>IFERROR(__xludf.DUMMYFUNCTION("GOOGLETRANSLATE(B16676,""en"",""it"")"),"Un uomo nella parte posteriore sulla destra lancia la palla a un giocatore più vicino alla porta.")</f>
        <v>Un uomo nella parte posteriore sulla destra lancia la palla a un giocatore più vicino alla porta.</v>
      </c>
    </row>
    <row r="16677">
      <c r="A16677" s="4" t="s">
        <v>21003</v>
      </c>
      <c r="B16677" s="4" t="s">
        <v>21006</v>
      </c>
      <c r="C16677" s="5" t="str">
        <f>IFERROR(__xludf.DUMMYFUNCTION("GOOGLETRANSLATE(B16677,""en"",""it"")"),"Quel giocatore quindi lancia la palla verso un uomo a sinistra.")</f>
        <v>Quel giocatore quindi lancia la palla verso un uomo a sinistra.</v>
      </c>
    </row>
    <row r="16678">
      <c r="A16678" s="4" t="s">
        <v>21003</v>
      </c>
      <c r="B16678" s="4" t="s">
        <v>21007</v>
      </c>
      <c r="C16678" s="5" t="str">
        <f>IFERROR(__xludf.DUMMYFUNCTION("GOOGLETRANSLATE(B16678,""en"",""it"")"),"Un uomo afferra la palla e la lancia in porta.")</f>
        <v>Un uomo afferra la palla e la lancia in porta.</v>
      </c>
    </row>
    <row r="16679">
      <c r="A16679" s="4" t="s">
        <v>21008</v>
      </c>
      <c r="B16679" s="6" t="s">
        <v>21009</v>
      </c>
      <c r="C16679" s="5" t="str">
        <f>IFERROR(__xludf.DUMMYFUNCTION("GOOGLETRANSLATE(B16679,""en"",""it"")"),"Un ragazzo viene visto guidare lungo uno skateboard seguito da molti altri scatti di persone che cavalcano a bordo.")</f>
        <v>Un ragazzo viene visto guidare lungo uno skateboard seguito da molti altri scatti di persone che cavalcano a bordo.</v>
      </c>
    </row>
    <row r="16680">
      <c r="A16680" s="4" t="s">
        <v>21008</v>
      </c>
      <c r="B16680" s="6" t="s">
        <v>21010</v>
      </c>
      <c r="C16680" s="5" t="str">
        <f>IFERROR(__xludf.DUMMYFUNCTION("GOOGLETRANSLATE(B16680,""en"",""it"")"),"I ragazzi eseguono diversi trucchi mentre la telecamera si lancia nel cielo e si muovono su e giù per la pista.")</f>
        <v>I ragazzi eseguono diversi trucchi mentre la telecamera si lancia nel cielo e si muovono su e giù per la pista.</v>
      </c>
    </row>
    <row r="16681">
      <c r="A16681" s="4" t="s">
        <v>21011</v>
      </c>
      <c r="B16681" s="4" t="s">
        <v>21012</v>
      </c>
      <c r="C16681" s="5" t="str">
        <f>IFERROR(__xludf.DUMMYFUNCTION("GOOGLETRANSLATE(B16681,""en"",""it"")"),"Una donna sta giocando una serie di cornamuse in una stanza.")</f>
        <v>Una donna sta giocando una serie di cornamuse in una stanza.</v>
      </c>
    </row>
    <row r="16682">
      <c r="A16682" s="4" t="s">
        <v>21011</v>
      </c>
      <c r="B16682" s="4" t="s">
        <v>21013</v>
      </c>
      <c r="C16682" s="5" t="str">
        <f>IFERROR(__xludf.DUMMYFUNCTION("GOOGLETRANSLATE(B16682,""en"",""it"")"),"Ride mentre un uomo la aiuta a regolare i tubi e continua a giocare.")</f>
        <v>Ride mentre un uomo la aiuta a regolare i tubi e continua a giocare.</v>
      </c>
    </row>
    <row r="16683">
      <c r="A16683" s="4" t="s">
        <v>21014</v>
      </c>
      <c r="B16683" s="4" t="s">
        <v>21015</v>
      </c>
      <c r="C16683" s="5" t="str">
        <f>IFERROR(__xludf.DUMMYFUNCTION("GOOGLETRANSLATE(B16683,""en"",""it"")"),"Un grande cane nero sta camminando per la strada.")</f>
        <v>Un grande cane nero sta camminando per la strada.</v>
      </c>
    </row>
    <row r="16684">
      <c r="A16684" s="4" t="s">
        <v>21014</v>
      </c>
      <c r="B16684" s="4" t="s">
        <v>21016</v>
      </c>
      <c r="C16684" s="5" t="str">
        <f>IFERROR(__xludf.DUMMYFUNCTION("GOOGLETRANSLATE(B16684,""en"",""it"")"),"Tiene in bocca il guinzaglio di un altro cane.")</f>
        <v>Tiene in bocca il guinzaglio di un altro cane.</v>
      </c>
    </row>
    <row r="16685">
      <c r="A16685" s="4" t="s">
        <v>21014</v>
      </c>
      <c r="B16685" s="4" t="s">
        <v>21017</v>
      </c>
      <c r="C16685" s="5" t="str">
        <f>IFERROR(__xludf.DUMMYFUNCTION("GOOGLETRANSLATE(B16685,""en"",""it"")"),"Il secondo cane consente al primo di guidarlo ovunque vada.")</f>
        <v>Il secondo cane consente al primo di guidarlo ovunque vada.</v>
      </c>
    </row>
    <row r="16686">
      <c r="A16686" s="4" t="s">
        <v>21018</v>
      </c>
      <c r="B16686" s="4" t="s">
        <v>21019</v>
      </c>
      <c r="C16686" s="5" t="str">
        <f>IFERROR(__xludf.DUMMYFUNCTION("GOOGLETRANSLATE(B16686,""en"",""it"")"),"Una donna giace sul pavimento in una stanza.")</f>
        <v>Una donna giace sul pavimento in una stanza.</v>
      </c>
    </row>
    <row r="16687">
      <c r="A16687" s="4" t="s">
        <v>21018</v>
      </c>
      <c r="B16687" s="4" t="s">
        <v>21020</v>
      </c>
      <c r="C16687" s="5" t="str">
        <f>IFERROR(__xludf.DUMMYFUNCTION("GOOGLETRANSLATE(B16687,""en"",""it"")"),"La musica inizia a suonare e si alza e inizia a ballare la pancia.")</f>
        <v>La musica inizia a suonare e si alza e inizia a ballare la pancia.</v>
      </c>
    </row>
    <row r="16688">
      <c r="A16688" s="4" t="s">
        <v>21018</v>
      </c>
      <c r="B16688" s="4" t="s">
        <v>21021</v>
      </c>
      <c r="C16688" s="5" t="str">
        <f>IFERROR(__xludf.DUMMYFUNCTION("GOOGLETRANSLATE(B16688,""en"",""it"")"),"Mentre balla, altri guardano.")</f>
        <v>Mentre balla, altri guardano.</v>
      </c>
    </row>
    <row r="16689">
      <c r="A16689" s="4" t="s">
        <v>21018</v>
      </c>
      <c r="B16689" s="4" t="s">
        <v>21022</v>
      </c>
      <c r="C16689" s="5" t="str">
        <f>IFERROR(__xludf.DUMMYFUNCTION("GOOGLETRANSLATE(B16689,""en"",""it"")"),"Sullo sfondo, un bambino dà un abbraccio a una donna mentre guardano.")</f>
        <v>Sullo sfondo, un bambino dà un abbraccio a una donna mentre guardano.</v>
      </c>
    </row>
    <row r="16690">
      <c r="A16690" s="4" t="s">
        <v>21018</v>
      </c>
      <c r="B16690" s="4" t="s">
        <v>21023</v>
      </c>
      <c r="C16690" s="5" t="str">
        <f>IFERROR(__xludf.DUMMYFUNCTION("GOOGLETRANSLATE(B16690,""en"",""it"")"),"La musica si ferma e la ballerina esce dal palco.")</f>
        <v>La musica si ferma e la ballerina esce dal palco.</v>
      </c>
    </row>
    <row r="16691">
      <c r="A16691" s="4" t="s">
        <v>21024</v>
      </c>
      <c r="B16691" s="4" t="s">
        <v>21025</v>
      </c>
      <c r="C16691" s="5" t="str">
        <f>IFERROR(__xludf.DUMMYFUNCTION("GOOGLETRANSLATE(B16691,""en"",""it"")"),"Una giovane donna è seduta una sedia estremamente ferma mentre una coppia di forbici si sta alzando il naso.")</f>
        <v>Una giovane donna è seduta una sedia estremamente ferma mentre una coppia di forbici si sta alzando il naso.</v>
      </c>
    </row>
    <row r="16692">
      <c r="A16692" s="4" t="s">
        <v>21024</v>
      </c>
      <c r="B16692" s="6" t="s">
        <v>21026</v>
      </c>
      <c r="C16692" s="5" t="str">
        <f>IFERROR(__xludf.DUMMYFUNCTION("GOOGLETRANSLATE(B16692,""en"",""it"")"),"La persona che sta perforando il suo setto continua a tenerlo e afferra l'ago con l'altra mano.")</f>
        <v>La persona che sta perforando il suo setto continua a tenerlo e afferra l'ago con l'altra mano.</v>
      </c>
    </row>
    <row r="16693">
      <c r="A16693" s="4" t="s">
        <v>21024</v>
      </c>
      <c r="B16693" s="6" t="s">
        <v>21027</v>
      </c>
      <c r="C16693" s="5" t="str">
        <f>IFERROR(__xludf.DUMMYFUNCTION("GOOGLETRANSLATE(B16693,""en"",""it"")"),"Una volta che lo trafigge, una goccia di boccone vola dal naso e la ragazza inizia a parlare fino a quando le palle sono alla fine del ring.")</f>
        <v>Una volta che lo trafigge, una goccia di boccone vola dal naso e la ragazza inizia a parlare fino a quando le palle sono alla fine del ring.</v>
      </c>
    </row>
    <row r="16694">
      <c r="A16694" s="4" t="s">
        <v>21028</v>
      </c>
      <c r="B16694" s="4" t="s">
        <v>21029</v>
      </c>
      <c r="C16694" s="5" t="str">
        <f>IFERROR(__xludf.DUMMYFUNCTION("GOOGLETRANSLATE(B16694,""en"",""it"")"),"Un uomo si avvicina a una tavola da immersione e salta.")</f>
        <v>Un uomo si avvicina a una tavola da immersione e salta.</v>
      </c>
    </row>
    <row r="16695">
      <c r="A16695" s="4" t="s">
        <v>21028</v>
      </c>
      <c r="B16695" s="4" t="s">
        <v>21030</v>
      </c>
      <c r="C16695" s="5" t="str">
        <f>IFERROR(__xludf.DUMMYFUNCTION("GOOGLETRANSLATE(B16695,""en"",""it"")"),"Quindi, l'uomo gira tre volte e si tuffa in piscina.")</f>
        <v>Quindi, l'uomo gira tre volte e si tuffa in piscina.</v>
      </c>
    </row>
    <row r="16696">
      <c r="A16696" s="4" t="s">
        <v>21031</v>
      </c>
      <c r="B16696" s="4" t="s">
        <v>21032</v>
      </c>
      <c r="C16696" s="5" t="str">
        <f>IFERROR(__xludf.DUMMYFUNCTION("GOOGLETRANSLATE(B16696,""en"",""it"")"),"Una pinata è appesa al soffitto.")</f>
        <v>Una pinata è appesa al soffitto.</v>
      </c>
    </row>
    <row r="16697">
      <c r="A16697" s="4" t="s">
        <v>21031</v>
      </c>
      <c r="B16697" s="4" t="s">
        <v>21033</v>
      </c>
      <c r="C16697" s="5" t="str">
        <f>IFERROR(__xludf.DUMMYFUNCTION("GOOGLETRANSLATE(B16697,""en"",""it"")"),"Un ragazzo sta colpendo la Pinata con un bastone.")</f>
        <v>Un ragazzo sta colpendo la Pinata con un bastone.</v>
      </c>
    </row>
    <row r="16698">
      <c r="A16698" s="4" t="s">
        <v>21031</v>
      </c>
      <c r="B16698" s="4" t="s">
        <v>21034</v>
      </c>
      <c r="C16698" s="5" t="str">
        <f>IFERROR(__xludf.DUMMYFUNCTION("GOOGLETRANSLATE(B16698,""en"",""it"")"),"Le persone sono dietro di lui a guardare.")</f>
        <v>Le persone sono dietro di lui a guardare.</v>
      </c>
    </row>
    <row r="16699">
      <c r="A16699" s="4" t="s">
        <v>21035</v>
      </c>
      <c r="B16699" s="4" t="s">
        <v>21036</v>
      </c>
      <c r="C16699" s="5" t="str">
        <f>IFERROR(__xludf.DUMMYFUNCTION("GOOGLETRANSLATE(B16699,""en"",""it"")"),"Un lavoratore rimuove il muschio dalla cima di un tetto.")</f>
        <v>Un lavoratore rimuove il muschio dalla cima di un tetto.</v>
      </c>
    </row>
    <row r="16700">
      <c r="A16700" s="4" t="s">
        <v>21035</v>
      </c>
      <c r="B16700" s="4" t="s">
        <v>21037</v>
      </c>
      <c r="C16700" s="5" t="str">
        <f>IFERROR(__xludf.DUMMYFUNCTION("GOOGLETRANSLATE(B16700,""en"",""it"")"),"Un altro lavoratore spruzza acqua su tutto il tetto.")</f>
        <v>Un altro lavoratore spruzza acqua su tutto il tetto.</v>
      </c>
    </row>
    <row r="16701">
      <c r="A16701" s="4" t="s">
        <v>21035</v>
      </c>
      <c r="B16701" s="4" t="s">
        <v>21038</v>
      </c>
      <c r="C16701" s="5" t="str">
        <f>IFERROR(__xludf.DUMMYFUNCTION("GOOGLETRANSLATE(B16701,""en"",""it"")"),"Il tetto è quindi davvero pulito.")</f>
        <v>Il tetto è quindi davvero pulito.</v>
      </c>
    </row>
    <row r="16702">
      <c r="A16702" s="4" t="s">
        <v>21039</v>
      </c>
      <c r="B16702" s="4" t="s">
        <v>21040</v>
      </c>
      <c r="C16702" s="5" t="str">
        <f>IFERROR(__xludf.DUMMYFUNCTION("GOOGLETRANSLATE(B16702,""en"",""it"")"),"Due uomini vengono visti inginocchiarsi uno prima e iniziano a lottare l'un l'altro.")</f>
        <v>Due uomini vengono visti inginocchiarsi uno prima e iniziano a lottare l'un l'altro.</v>
      </c>
    </row>
    <row r="16703">
      <c r="A16703" s="4" t="s">
        <v>21039</v>
      </c>
      <c r="B16703" s="4" t="s">
        <v>21041</v>
      </c>
      <c r="C16703" s="5" t="str">
        <f>IFERROR(__xludf.DUMMYFUNCTION("GOOGLETRANSLATE(B16703,""en"",""it"")"),"Un folto gruppo di persone viene visto guardare dalla parte mentre gli uomini combattono.")</f>
        <v>Un folto gruppo di persone viene visto guardare dalla parte mentre gli uomini combattono.</v>
      </c>
    </row>
    <row r="16704">
      <c r="A16704" s="4" t="s">
        <v>21039</v>
      </c>
      <c r="B16704" s="4" t="s">
        <v>21042</v>
      </c>
      <c r="C16704" s="5" t="str">
        <f>IFERROR(__xludf.DUMMYFUNCTION("GOOGLETRANSLATE(B16704,""en"",""it"")"),"Gli uomini continuano a combattere con uno che spinge l'altro sul ring.")</f>
        <v>Gli uomini continuano a combattere con uno che spinge l'altro sul ring.</v>
      </c>
    </row>
    <row r="16705">
      <c r="A16705" s="4" t="s">
        <v>21043</v>
      </c>
      <c r="B16705" s="4" t="s">
        <v>21044</v>
      </c>
      <c r="C16705" s="5" t="str">
        <f>IFERROR(__xludf.DUMMYFUNCTION("GOOGLETRANSLATE(B16705,""en"",""it"")"),"Due uomini sono vestiti con attrezzatura da scherma.")</f>
        <v>Due uomini sono vestiti con attrezzatura da scherma.</v>
      </c>
    </row>
    <row r="16706">
      <c r="A16706" s="4" t="s">
        <v>21043</v>
      </c>
      <c r="B16706" s="4" t="s">
        <v>21045</v>
      </c>
      <c r="C16706" s="5" t="str">
        <f>IFERROR(__xludf.DUMMYFUNCTION("GOOGLETRANSLATE(B16706,""en"",""it"")"),"Stanno combattendo in un campo con le loro spade.")</f>
        <v>Stanno combattendo in un campo con le loro spade.</v>
      </c>
    </row>
    <row r="16707">
      <c r="A16707" s="4" t="s">
        <v>21043</v>
      </c>
      <c r="B16707" s="4" t="s">
        <v>21046</v>
      </c>
      <c r="C16707" s="5" t="str">
        <f>IFERROR(__xludf.DUMMYFUNCTION("GOOGLETRANSLATE(B16707,""en"",""it"")"),"Le linee verdi indicano occasionalmente le mosse che stanno facendo.")</f>
        <v>Le linee verdi indicano occasionalmente le mosse che stanno facendo.</v>
      </c>
    </row>
    <row r="16708">
      <c r="A16708" s="4" t="s">
        <v>21043</v>
      </c>
      <c r="B16708" s="4" t="s">
        <v>21047</v>
      </c>
      <c r="C16708" s="5" t="str">
        <f>IFERROR(__xludf.DUMMYFUNCTION("GOOGLETRANSLATE(B16708,""en"",""it"")"),"Si accumulano con le spade e saltano sul palco.")</f>
        <v>Si accumulano con le spade e saltano sul palco.</v>
      </c>
    </row>
    <row r="16709">
      <c r="A16709" s="4" t="s">
        <v>21048</v>
      </c>
      <c r="B16709" s="4" t="s">
        <v>21049</v>
      </c>
      <c r="C16709" s="5" t="str">
        <f>IFERROR(__xludf.DUMMYFUNCTION("GOOGLETRANSLATE(B16709,""en"",""it"")"),"Una persona mette oggetti in una zucca su una scrivania mentre guarda al suo interno.")</f>
        <v>Una persona mette oggetti in una zucca su una scrivania mentre guarda al suo interno.</v>
      </c>
    </row>
    <row r="16710">
      <c r="A16710" s="4" t="s">
        <v>21048</v>
      </c>
      <c r="B16710" s="6" t="s">
        <v>21050</v>
      </c>
      <c r="C16710" s="5" t="str">
        <f>IFERROR(__xludf.DUMMYFUNCTION("GOOGLETRANSLATE(B16710,""en"",""it"")"),"Quando l'uomo si allontana, la zucca fa esplodere e accendere una luce per vedere la bocca e due occhi.")</f>
        <v>Quando l'uomo si allontana, la zucca fa esplodere e accendere una luce per vedere la bocca e due occhi.</v>
      </c>
    </row>
    <row r="16711">
      <c r="A16711" s="4" t="s">
        <v>21051</v>
      </c>
      <c r="B16711" s="4" t="s">
        <v>21052</v>
      </c>
      <c r="C16711" s="5" t="str">
        <f>IFERROR(__xludf.DUMMYFUNCTION("GOOGLETRANSLATE(B16711,""en"",""it"")"),"Un gruppo di persone sta sciare lungo il lato di una montagna.")</f>
        <v>Un gruppo di persone sta sciare lungo il lato di una montagna.</v>
      </c>
    </row>
    <row r="16712">
      <c r="A16712" s="4" t="s">
        <v>21051</v>
      </c>
      <c r="B16712" s="4" t="s">
        <v>21053</v>
      </c>
      <c r="C16712" s="5" t="str">
        <f>IFERROR(__xludf.DUMMYFUNCTION("GOOGLETRANSLATE(B16712,""en"",""it"")"),"Un gruppo di alci si sta facendo un lay tra scene di ascensori ed elicotteri in alto.")</f>
        <v>Un gruppo di alci si sta facendo un lay tra scene di ascensori ed elicotteri in alto.</v>
      </c>
    </row>
    <row r="16713">
      <c r="A16713" s="4" t="s">
        <v>21051</v>
      </c>
      <c r="B16713" s="4" t="s">
        <v>21054</v>
      </c>
      <c r="C16713" s="5" t="str">
        <f>IFERROR(__xludf.DUMMYFUNCTION("GOOGLETRANSLATE(B16713,""en"",""it"")"),"Le persone si danno a vicenda alti mentre sciano.")</f>
        <v>Le persone si danno a vicenda alti mentre sciano.</v>
      </c>
    </row>
    <row r="16714">
      <c r="A16714" s="4" t="s">
        <v>21055</v>
      </c>
      <c r="B16714" s="4" t="s">
        <v>21056</v>
      </c>
      <c r="C16714" s="5" t="str">
        <f>IFERROR(__xludf.DUMMYFUNCTION("GOOGLETRANSLATE(B16714,""en"",""it"")"),"L'uomo mette prima il mop nel secchio blu e poi inizia a pulire.")</f>
        <v>L'uomo mette prima il mop nel secchio blu e poi inizia a pulire.</v>
      </c>
    </row>
    <row r="16715">
      <c r="A16715" s="4" t="s">
        <v>21055</v>
      </c>
      <c r="B16715" s="4" t="s">
        <v>21057</v>
      </c>
      <c r="C16715" s="5" t="str">
        <f>IFERROR(__xludf.DUMMYFUNCTION("GOOGLETRANSLATE(B16715,""en"",""it"")"),"Prima si avvicina alla stufa e al bancone.")</f>
        <v>Prima si avvicina alla stufa e al bancone.</v>
      </c>
    </row>
    <row r="16716">
      <c r="A16716" s="4" t="s">
        <v>21055</v>
      </c>
      <c r="B16716" s="4" t="s">
        <v>21058</v>
      </c>
      <c r="C16716" s="5" t="str">
        <f>IFERROR(__xludf.DUMMYFUNCTION("GOOGLETRANSLATE(B16716,""en"",""it"")"),"Quindi fa un mopi sul pavimento che tra il frigorifero e un altro contatore.")</f>
        <v>Quindi fa un mopi sul pavimento che tra il frigorifero e un altro contatore.</v>
      </c>
    </row>
    <row r="16717">
      <c r="A16717" s="4" t="s">
        <v>21055</v>
      </c>
      <c r="B16717" s="4" t="s">
        <v>21059</v>
      </c>
      <c r="C16717" s="5" t="str">
        <f>IFERROR(__xludf.DUMMYFUNCTION("GOOGLETRANSLATE(B16717,""en"",""it"")"),"Quindi fa il centro del pavimento della cucina.")</f>
        <v>Quindi fa il centro del pavimento della cucina.</v>
      </c>
    </row>
    <row r="16718">
      <c r="A16718" s="4" t="s">
        <v>21060</v>
      </c>
      <c r="B16718" s="4" t="s">
        <v>21061</v>
      </c>
      <c r="C16718" s="5" t="str">
        <f>IFERROR(__xludf.DUMMYFUNCTION("GOOGLETRANSLATE(B16718,""en"",""it"")"),"Vediamo una foto di un'arena di atletica leggera.")</f>
        <v>Vediamo una foto di un'arena di atletica leggera.</v>
      </c>
    </row>
    <row r="16719">
      <c r="A16719" s="4" t="s">
        <v>21060</v>
      </c>
      <c r="B16719" s="4" t="s">
        <v>21062</v>
      </c>
      <c r="C16719" s="5" t="str">
        <f>IFERROR(__xludf.DUMMYFUNCTION("GOOGLETRANSLATE(B16719,""en"",""it"")"),"Una signora con una camicia blu dell'Uzbekistan corre ed esegue un salto in alto e vediamo il suo punteggio.")</f>
        <v>Una signora con una camicia blu dell'Uzbekistan corre ed esegue un salto in alto e vediamo il suo punteggio.</v>
      </c>
    </row>
    <row r="16720">
      <c r="A16720" s="4" t="s">
        <v>21060</v>
      </c>
      <c r="B16720" s="6" t="s">
        <v>21063</v>
      </c>
      <c r="C16720" s="5" t="str">
        <f>IFERROR(__xludf.DUMMYFUNCTION("GOOGLETRANSLATE(B16720,""en"",""it"")"),"Vediamo una signora cinese correre ed eseguire un salto in alto e vediamo il suo punteggio e vediamo il suo manager e un rallentatore.")</f>
        <v>Vediamo una signora cinese correre ed eseguire un salto in alto e vediamo il suo punteggio e vediamo il suo manager e un rallentatore.</v>
      </c>
    </row>
    <row r="16721">
      <c r="A16721" s="4" t="s">
        <v>21060</v>
      </c>
      <c r="B16721" s="4" t="s">
        <v>21064</v>
      </c>
      <c r="C16721" s="5" t="str">
        <f>IFERROR(__xludf.DUMMYFUNCTION("GOOGLETRANSLATE(B16721,""en"",""it"")"),"Una donna diversa dall'Uzbekistan esegue un salto in alto e vediamo il suo punteggio.")</f>
        <v>Una donna diversa dall'Uzbekistan esegue un salto in alto e vediamo il suo punteggio.</v>
      </c>
    </row>
    <row r="16722">
      <c r="A16722" s="4" t="s">
        <v>21060</v>
      </c>
      <c r="B16722" s="4" t="s">
        <v>21065</v>
      </c>
      <c r="C16722" s="5" t="str">
        <f>IFERROR(__xludf.DUMMYFUNCTION("GOOGLETRANSLATE(B16722,""en"",""it"")"),"La first lady si esibisce di nuovo e fa cadere il bar e sembra delusa.")</f>
        <v>La first lady si esibisce di nuovo e fa cadere il bar e sembra delusa.</v>
      </c>
    </row>
    <row r="16723">
      <c r="A16723" s="4" t="s">
        <v>21060</v>
      </c>
      <c r="B16723" s="4" t="s">
        <v>21066</v>
      </c>
      <c r="C16723" s="5" t="str">
        <f>IFERROR(__xludf.DUMMYFUNCTION("GOOGLETRANSLATE(B16723,""en"",""it"")"),"La signora cinese ha un secondo turno e bussa anche al bar e sembra pazza.")</f>
        <v>La signora cinese ha un secondo turno e bussa anche al bar e sembra pazza.</v>
      </c>
    </row>
    <row r="16724">
      <c r="A16724" s="4" t="s">
        <v>21060</v>
      </c>
      <c r="B16724" s="4" t="s">
        <v>21067</v>
      </c>
      <c r="C16724" s="5" t="str">
        <f>IFERROR(__xludf.DUMMYFUNCTION("GOOGLETRANSLATE(B16724,""en"",""it"")"),"La seconda signora dell'Uzbekistan si esibisce e cancella il bar e quasi piange.")</f>
        <v>La seconda signora dell'Uzbekistan si esibisce e cancella il bar e quasi piange.</v>
      </c>
    </row>
    <row r="16725">
      <c r="A16725" s="4" t="s">
        <v>21060</v>
      </c>
      <c r="B16725" s="4" t="s">
        <v>21068</v>
      </c>
      <c r="C16725" s="5" t="str">
        <f>IFERROR(__xludf.DUMMYFUNCTION("GOOGLETRANSLATE(B16725,""en"",""it"")"),"Vediamo l'arena e il tabellone sullo schermo.")</f>
        <v>Vediamo l'arena e il tabellone sullo schermo.</v>
      </c>
    </row>
    <row r="16726">
      <c r="A16726" s="4" t="s">
        <v>21069</v>
      </c>
      <c r="B16726" s="6" t="s">
        <v>21070</v>
      </c>
      <c r="C16726" s="5" t="str">
        <f>IFERROR(__xludf.DUMMYFUNCTION("GOOGLETRANSLATE(B16726,""en"",""it"")"),"Vengono mostrate diverse clip di persone che cavalcano gli skateboard in un parco mentre guardano indietro e sorridono alla telecamera.")</f>
        <v>Vengono mostrate diverse clip di persone che cavalcano gli skateboard in un parco mentre guardano indietro e sorridono alla telecamera.</v>
      </c>
    </row>
    <row r="16727">
      <c r="A16727" s="4" t="s">
        <v>21069</v>
      </c>
      <c r="B16727" s="6" t="s">
        <v>21071</v>
      </c>
      <c r="C16727" s="5" t="str">
        <f>IFERROR(__xludf.DUMMYFUNCTION("GOOGLETRANSLATE(B16727,""en"",""it"")"),"Il video continua con molti altri scatti di persone che eseguono macinature e trucchi sui loro skateboard e parlano alla telecamera.")</f>
        <v>Il video continua con molti altri scatti di persone che eseguono macinature e trucchi sui loro skateboard e parlano alla telecamera.</v>
      </c>
    </row>
    <row r="16728">
      <c r="A16728" s="4" t="s">
        <v>21069</v>
      </c>
      <c r="B16728" s="4" t="s">
        <v>21072</v>
      </c>
      <c r="C16728" s="5" t="str">
        <f>IFERROR(__xludf.DUMMYFUNCTION("GOOGLETRANSLATE(B16728,""en"",""it"")"),"Alla fine vengono visti guidare insieme in macchina e ridere l'uno con l'altro.")</f>
        <v>Alla fine vengono visti guidare insieme in macchina e ridere l'uno con l'altro.</v>
      </c>
    </row>
    <row r="16729">
      <c r="A16729" s="4" t="s">
        <v>21073</v>
      </c>
      <c r="B16729" s="4" t="s">
        <v>21074</v>
      </c>
      <c r="C16729" s="5" t="str">
        <f>IFERROR(__xludf.DUMMYFUNCTION("GOOGLETRANSLATE(B16729,""en"",""it"")"),"Un gruppo di uomini e donne sta facendo una corda per l'esercizio aerobico.")</f>
        <v>Un gruppo di uomini e donne sta facendo una corda per l'esercizio aerobico.</v>
      </c>
    </row>
    <row r="16730">
      <c r="A16730" s="4" t="s">
        <v>21073</v>
      </c>
      <c r="B16730" s="4" t="s">
        <v>21075</v>
      </c>
      <c r="C16730" s="5" t="str">
        <f>IFERROR(__xludf.DUMMYFUNCTION("GOOGLETRANSLATE(B16730,""en"",""it"")"),"Corrono in cerchio, saltando mentre corrono.")</f>
        <v>Corrono in cerchio, saltando mentre corrono.</v>
      </c>
    </row>
    <row r="16731">
      <c r="A16731" s="4" t="s">
        <v>21073</v>
      </c>
      <c r="B16731" s="4" t="s">
        <v>21076</v>
      </c>
      <c r="C16731" s="5" t="str">
        <f>IFERROR(__xludf.DUMMYFUNCTION("GOOGLETRANSLATE(B16731,""en"",""it"")"),"Quindi gettano tappetini e fanno diverse mosse di raffreddamento dello yoga.")</f>
        <v>Quindi gettano tappetini e fanno diverse mosse di raffreddamento dello yoga.</v>
      </c>
    </row>
    <row r="16732">
      <c r="A16732" s="4" t="s">
        <v>21077</v>
      </c>
      <c r="B16732" s="4" t="s">
        <v>21078</v>
      </c>
      <c r="C16732" s="5" t="str">
        <f>IFERROR(__xludf.DUMMYFUNCTION("GOOGLETRANSLATE(B16732,""en"",""it"")"),"Vediamo un uomo e una donna entrare in una stanza da bar in costumi.")</f>
        <v>Vediamo un uomo e una donna entrare in una stanza da bar in costumi.</v>
      </c>
    </row>
    <row r="16733">
      <c r="A16733" s="4" t="s">
        <v>21077</v>
      </c>
      <c r="B16733" s="4" t="s">
        <v>21079</v>
      </c>
      <c r="C16733" s="5" t="str">
        <f>IFERROR(__xludf.DUMMYFUNCTION("GOOGLETRANSLATE(B16733,""en"",""it"")"),"L'uomo e la donna si esibiscono.")</f>
        <v>L'uomo e la donna si esibiscono.</v>
      </c>
    </row>
    <row r="16734">
      <c r="A16734" s="4" t="s">
        <v>21077</v>
      </c>
      <c r="B16734" s="4" t="s">
        <v>21080</v>
      </c>
      <c r="C16734" s="5" t="str">
        <f>IFERROR(__xludf.DUMMYFUNCTION("GOOGLETRANSLATE(B16734,""en"",""it"")"),"L'uomo lancia la donna e la fa oscillare.")</f>
        <v>L'uomo lancia la donna e la fa oscillare.</v>
      </c>
    </row>
    <row r="16735">
      <c r="A16735" s="4" t="s">
        <v>21077</v>
      </c>
      <c r="B16735" s="4" t="s">
        <v>21081</v>
      </c>
      <c r="C16735" s="5" t="str">
        <f>IFERROR(__xludf.DUMMYFUNCTION("GOOGLETRANSLATE(B16735,""en"",""it"")"),"L'uomo prende la donna e la mette sulle spalle.")</f>
        <v>L'uomo prende la donna e la mette sulle spalle.</v>
      </c>
    </row>
    <row r="16736">
      <c r="A16736" s="4" t="s">
        <v>21077</v>
      </c>
      <c r="B16736" s="4" t="s">
        <v>21082</v>
      </c>
      <c r="C16736" s="5" t="str">
        <f>IFERROR(__xludf.DUMMYFUNCTION("GOOGLETRANSLATE(B16736,""en"",""it"")"),"Quindi la lancia via e a terra.")</f>
        <v>Quindi la lancia via e a terra.</v>
      </c>
    </row>
    <row r="16737">
      <c r="A16737" s="4" t="s">
        <v>21077</v>
      </c>
      <c r="B16737" s="4" t="s">
        <v>21083</v>
      </c>
      <c r="C16737" s="5" t="str">
        <f>IFERROR(__xludf.DUMMYFUNCTION("GOOGLETRANSLATE(B16737,""en"",""it"")"),"L'uomo mette la signora sulla spalla e la capovolge due volte.")</f>
        <v>L'uomo mette la signora sulla spalla e la capovolge due volte.</v>
      </c>
    </row>
    <row r="16738">
      <c r="A16738" s="4" t="s">
        <v>21077</v>
      </c>
      <c r="B16738" s="4" t="s">
        <v>21084</v>
      </c>
      <c r="C16738" s="5" t="str">
        <f>IFERROR(__xludf.DUMMYFUNCTION("GOOGLETRANSLATE(B16738,""en"",""it"")"),"L'uomo gira la signora intorno e intorno e immerge la signora.")</f>
        <v>L'uomo gira la signora intorno e intorno e immerge la signora.</v>
      </c>
    </row>
    <row r="16739">
      <c r="A16739" s="4" t="s">
        <v>21077</v>
      </c>
      <c r="B16739" s="4" t="s">
        <v>21085</v>
      </c>
      <c r="C16739" s="5" t="str">
        <f>IFERROR(__xludf.DUMMYFUNCTION("GOOGLETRANSLATE(B16739,""en"",""it"")"),"La folla applaude per la gente.")</f>
        <v>La folla applaude per la gente.</v>
      </c>
    </row>
    <row r="16740">
      <c r="A16740" s="4" t="s">
        <v>21077</v>
      </c>
      <c r="B16740" s="4" t="s">
        <v>21086</v>
      </c>
      <c r="C16740" s="5" t="str">
        <f>IFERROR(__xludf.DUMMYFUNCTION("GOOGLETRANSLATE(B16740,""en"",""it"")"),"L'uomo gira la signora in giro.")</f>
        <v>L'uomo gira la signora in giro.</v>
      </c>
    </row>
    <row r="16741">
      <c r="A16741" s="4" t="s">
        <v>21077</v>
      </c>
      <c r="B16741" s="4" t="s">
        <v>21087</v>
      </c>
      <c r="C16741" s="5" t="str">
        <f>IFERROR(__xludf.DUMMYFUNCTION("GOOGLETRANSLATE(B16741,""en"",""it"")"),"I balli finiscono e si prendono gli archi e si stringono la mano.")</f>
        <v>I balli finiscono e si prendono gli archi e si stringono la mano.</v>
      </c>
    </row>
    <row r="16742">
      <c r="A16742" s="4" t="s">
        <v>21088</v>
      </c>
      <c r="B16742" s="4" t="s">
        <v>21089</v>
      </c>
      <c r="C16742" s="5" t="str">
        <f>IFERROR(__xludf.DUMMYFUNCTION("GOOGLETRANSLATE(B16742,""en"",""it"")"),"Diversi uomini giocano a calcio da tavolo mentre un pubblico guarda.")</f>
        <v>Diversi uomini giocano a calcio da tavolo mentre un pubblico guarda.</v>
      </c>
    </row>
    <row r="16743">
      <c r="A16743" s="4" t="s">
        <v>21088</v>
      </c>
      <c r="B16743" s="4" t="s">
        <v>21090</v>
      </c>
      <c r="C16743" s="5" t="str">
        <f>IFERROR(__xludf.DUMMYFUNCTION("GOOGLETRANSLATE(B16743,""en"",""it"")"),"Un individuo calvo recupera la palla e la reinserisce in gioco.")</f>
        <v>Un individuo calvo recupera la palla e la reinserisce in gioco.</v>
      </c>
    </row>
    <row r="16744">
      <c r="A16744" s="4" t="s">
        <v>21088</v>
      </c>
      <c r="B16744" s="4" t="s">
        <v>21091</v>
      </c>
      <c r="C16744" s="5" t="str">
        <f>IFERROR(__xludf.DUMMYFUNCTION("GOOGLETRANSLATE(B16744,""en"",""it"")"),"L'individuo calvo raggiunge il tavolo per qualche motivo.")</f>
        <v>L'individuo calvo raggiunge il tavolo per qualche motivo.</v>
      </c>
    </row>
    <row r="16745">
      <c r="A16745" s="4" t="s">
        <v>21088</v>
      </c>
      <c r="B16745" s="4" t="s">
        <v>21092</v>
      </c>
      <c r="C16745" s="5" t="str">
        <f>IFERROR(__xludf.DUMMYFUNCTION("GOOGLETRANSLATE(B16745,""en"",""it"")"),"L'individuo calvo recupera la palla e la reinserisce di nuovo in gioco.")</f>
        <v>L'individuo calvo recupera la palla e la reinserisce di nuovo in gioco.</v>
      </c>
    </row>
    <row r="16746">
      <c r="A16746" s="4" t="s">
        <v>21088</v>
      </c>
      <c r="B16746" s="4" t="s">
        <v>21093</v>
      </c>
      <c r="C16746" s="5" t="str">
        <f>IFERROR(__xludf.DUMMYFUNCTION("GOOGLETRANSLATE(B16746,""en"",""it"")"),"I giocatori si stringono la mano al termine della partita.")</f>
        <v>I giocatori si stringono la mano al termine della partita.</v>
      </c>
    </row>
    <row r="16747">
      <c r="A16747" s="4" t="s">
        <v>21094</v>
      </c>
      <c r="B16747" s="4" t="s">
        <v>21095</v>
      </c>
      <c r="C16747" s="5" t="str">
        <f>IFERROR(__xludf.DUMMYFUNCTION("GOOGLETRANSLATE(B16747,""en"",""it"")"),"Viene visto un uomo parlare alla telecamera e conduce a clip di lui che si muove.")</f>
        <v>Viene visto un uomo parlare alla telecamera e conduce a clip di lui che si muove.</v>
      </c>
    </row>
    <row r="16748">
      <c r="A16748" s="4" t="s">
        <v>21094</v>
      </c>
      <c r="B16748" s="6" t="s">
        <v>21096</v>
      </c>
      <c r="C16748" s="5" t="str">
        <f>IFERROR(__xludf.DUMMYFUNCTION("GOOGLETRANSLATE(B16748,""en"",""it"")"),"Altri uomini aiutano a piantare le aree mentre si muovono attorno a carriole e piante mentre parlano ancora alla telecamera.")</f>
        <v>Altri uomini aiutano a piantare le aree mentre si muovono attorno a carriole e piante mentre parlano ancora alla telecamera.</v>
      </c>
    </row>
    <row r="16749">
      <c r="A16749" s="4" t="s">
        <v>21097</v>
      </c>
      <c r="B16749" s="4" t="s">
        <v>21098</v>
      </c>
      <c r="C16749" s="5" t="str">
        <f>IFERROR(__xludf.DUMMYFUNCTION("GOOGLETRANSLATE(B16749,""en"",""it"")"),"Un uomo lancia una palla da bowling e lancia ogni volta tutti i perni.")</f>
        <v>Un uomo lancia una palla da bowling e lancia ogni volta tutti i perni.</v>
      </c>
    </row>
    <row r="16750">
      <c r="A16750" s="4" t="s">
        <v>21097</v>
      </c>
      <c r="B16750" s="4" t="s">
        <v>21099</v>
      </c>
      <c r="C16750" s="5" t="str">
        <f>IFERROR(__xludf.DUMMYFUNCTION("GOOGLETRANSLATE(B16750,""en"",""it"")"),"Quindi, l'uomo continua a giocare a bowling con successo.")</f>
        <v>Quindi, l'uomo continua a giocare a bowling con successo.</v>
      </c>
    </row>
    <row r="16751">
      <c r="A16751" s="4" t="s">
        <v>21097</v>
      </c>
      <c r="B16751" s="4" t="s">
        <v>21100</v>
      </c>
      <c r="C16751" s="5" t="str">
        <f>IFERROR(__xludf.DUMMYFUNCTION("GOOGLETRANSLATE(B16751,""en"",""it"")"),"L'uomo manca un perno nell'ultima commedia.")</f>
        <v>L'uomo manca un perno nell'ultima commedia.</v>
      </c>
    </row>
    <row r="16752">
      <c r="A16752" s="4" t="s">
        <v>21101</v>
      </c>
      <c r="B16752" s="4" t="s">
        <v>21102</v>
      </c>
      <c r="C16752" s="5" t="str">
        <f>IFERROR(__xludf.DUMMYFUNCTION("GOOGLETRANSLATE(B16752,""en"",""it"")"),"Un riposa sotto un'auto in posizione ma non sollevala da terra.")</f>
        <v>Un riposa sotto un'auto in posizione ma non sollevala da terra.</v>
      </c>
    </row>
    <row r="16753">
      <c r="A16753" s="4" t="s">
        <v>21101</v>
      </c>
      <c r="B16753" s="4" t="s">
        <v>21103</v>
      </c>
      <c r="C16753" s="5" t="str">
        <f>IFERROR(__xludf.DUMMYFUNCTION("GOOGLETRANSLATE(B16753,""en"",""it"")"),"Un uomo usa un trapano elettrico per chiudere il martinetto del pavimento e sollevare la gomma da terra.")</f>
        <v>Un uomo usa un trapano elettrico per chiudere il martinetto del pavimento e sollevare la gomma da terra.</v>
      </c>
    </row>
    <row r="16754">
      <c r="A16754" s="4" t="s">
        <v>21101</v>
      </c>
      <c r="B16754" s="4" t="s">
        <v>21104</v>
      </c>
      <c r="C16754" s="5" t="str">
        <f>IFERROR(__xludf.DUMMYFUNCTION("GOOGLETRANSLATE(B16754,""en"",""it"")"),"L'uomo usa di nuovo il trapano elettrico per la mente lungo il martinetto e abbassa la macchina.")</f>
        <v>L'uomo usa di nuovo il trapano elettrico per la mente lungo il martinetto e abbassa la macchina.</v>
      </c>
    </row>
    <row r="16755">
      <c r="A16755" s="4" t="s">
        <v>21105</v>
      </c>
      <c r="B16755" s="4" t="s">
        <v>21106</v>
      </c>
      <c r="C16755" s="5" t="str">
        <f>IFERROR(__xludf.DUMMYFUNCTION("GOOGLETRANSLATE(B16755,""en"",""it"")"),"Una ginnasta maschile si avvicina a una trave, in polvere.")</f>
        <v>Una ginnasta maschile si avvicina a una trave, in polvere.</v>
      </c>
    </row>
    <row r="16756">
      <c r="A16756" s="4" t="s">
        <v>21105</v>
      </c>
      <c r="B16756" s="4" t="s">
        <v>21107</v>
      </c>
      <c r="C16756" s="5" t="str">
        <f>IFERROR(__xludf.DUMMYFUNCTION("GOOGLETRANSLATE(B16756,""en"",""it"")"),"Monta il raggio, poi lo gira più volte, cambiando tra le barre.")</f>
        <v>Monta il raggio, poi lo gira più volte, cambiando tra le barre.</v>
      </c>
    </row>
    <row r="16757">
      <c r="A16757" s="4" t="s">
        <v>21105</v>
      </c>
      <c r="B16757" s="4" t="s">
        <v>21108</v>
      </c>
      <c r="C16757" s="5" t="str">
        <f>IFERROR(__xludf.DUMMYFUNCTION("GOOGLETRANSLATE(B16757,""en"",""it"")"),"Smonta, quindi alza le braccia in aria.")</f>
        <v>Smonta, quindi alza le braccia in aria.</v>
      </c>
    </row>
    <row r="16758">
      <c r="A16758" s="4" t="s">
        <v>21109</v>
      </c>
      <c r="B16758" s="6" t="s">
        <v>21110</v>
      </c>
      <c r="C16758" s="5" t="str">
        <f>IFERROR(__xludf.DUMMYFUNCTION("GOOGLETRANSLATE(B16758,""en"",""it"")"),"Una giovane donna tiene in mano un tablet per registrare un video di persone che corrono in gara e si trova sugli spalti in una pista piena di persone.")</f>
        <v>Una giovane donna tiene in mano un tablet per registrare un video di persone che corrono in gara e si trova sugli spalti in una pista piena di persone.</v>
      </c>
    </row>
    <row r="16759">
      <c r="A16759" s="4" t="s">
        <v>21109</v>
      </c>
      <c r="B16759" s="6" t="s">
        <v>21111</v>
      </c>
      <c r="C16759" s="5" t="str">
        <f>IFERROR(__xludf.DUMMYFUNCTION("GOOGLETRANSLATE(B16759,""en"",""it"")"),"Un uomo corre attraverso il campo di erba con una camicia arancione e una bandiera sull'erba nel mezzo della pista.")</f>
        <v>Un uomo corre attraverso il campo di erba con una camicia arancione e una bandiera sull'erba nel mezzo della pista.</v>
      </c>
    </row>
    <row r="16760">
      <c r="A16760" s="4" t="s">
        <v>21109</v>
      </c>
      <c r="B16760" s="4" t="s">
        <v>21112</v>
      </c>
      <c r="C16760" s="5" t="str">
        <f>IFERROR(__xludf.DUMMYFUNCTION("GOOGLETRANSLATE(B16760,""en"",""it"")"),"Un altro uomo con una camicia nera corre verso l'uomo con la camicia arancione.")</f>
        <v>Un altro uomo con una camicia nera corre verso l'uomo con la camicia arancione.</v>
      </c>
    </row>
    <row r="16761">
      <c r="A16761" s="4" t="s">
        <v>21109</v>
      </c>
      <c r="B16761" s="4" t="s">
        <v>21113</v>
      </c>
      <c r="C16761" s="5" t="str">
        <f>IFERROR(__xludf.DUMMYFUNCTION("GOOGLETRANSLATE(B16761,""en"",""it"")"),"La giovane donna continua a video sulla traccia con il suo tablet.")</f>
        <v>La giovane donna continua a video sulla traccia con il suo tablet.</v>
      </c>
    </row>
    <row r="16762">
      <c r="A16762" s="4" t="s">
        <v>21109</v>
      </c>
      <c r="B16762" s="4" t="s">
        <v>21114</v>
      </c>
      <c r="C16762" s="5" t="str">
        <f>IFERROR(__xludf.DUMMYFUNCTION("GOOGLETRANSLATE(B16762,""en"",""it"")"),"L'uomo con la camicia arancione corre di nuovo sull'erba.")</f>
        <v>L'uomo con la camicia arancione corre di nuovo sull'erba.</v>
      </c>
    </row>
    <row r="16763">
      <c r="A16763" s="4" t="s">
        <v>21109</v>
      </c>
      <c r="B16763" s="6" t="s">
        <v>21115</v>
      </c>
      <c r="C16763" s="5" t="str">
        <f>IFERROR(__xludf.DUMMYFUNCTION("GOOGLETRANSLATE(B16763,""en"",""it"")"),"La giovane donna mette giù il suo tablet dopo aver provato a video del gioco e si allontana in lontananza alle persone in pista.")</f>
        <v>La giovane donna mette giù il suo tablet dopo aver provato a video del gioco e si allontana in lontananza alle persone in pista.</v>
      </c>
    </row>
    <row r="16764">
      <c r="A16764" s="4" t="s">
        <v>21109</v>
      </c>
      <c r="B16764" s="4" t="s">
        <v>21116</v>
      </c>
      <c r="C16764" s="5" t="str">
        <f>IFERROR(__xludf.DUMMYFUNCTION("GOOGLETRANSLATE(B16764,""en"",""it"")"),"Tutti iniziano a mettere insieme sugli spalti.")</f>
        <v>Tutti iniziano a mettere insieme sugli spalti.</v>
      </c>
    </row>
    <row r="16765">
      <c r="A16765" s="4" t="s">
        <v>21109</v>
      </c>
      <c r="B16765" s="4" t="s">
        <v>21117</v>
      </c>
      <c r="C16765" s="5" t="str">
        <f>IFERROR(__xludf.DUMMYFUNCTION("GOOGLETRANSLATE(B16765,""en"",""it"")"),"C'è una foto con un ragazzo che indossa un'uniforme da pista.")</f>
        <v>C'è una foto con un ragazzo che indossa un'uniforme da pista.</v>
      </c>
    </row>
    <row r="16766">
      <c r="A16766" s="4" t="s">
        <v>21118</v>
      </c>
      <c r="B16766" s="4" t="s">
        <v>21119</v>
      </c>
      <c r="C16766" s="5" t="str">
        <f>IFERROR(__xludf.DUMMYFUNCTION("GOOGLETRANSLATE(B16766,""en"",""it"")"),"La porta si apre e due persone che indossano le pantofole entrano nella stanza.")</f>
        <v>La porta si apre e due persone che indossano le pantofole entrano nella stanza.</v>
      </c>
    </row>
    <row r="16767">
      <c r="A16767" s="4" t="s">
        <v>21118</v>
      </c>
      <c r="B16767" s="4" t="s">
        <v>21120</v>
      </c>
      <c r="C16767" s="5" t="str">
        <f>IFERROR(__xludf.DUMMYFUNCTION("GOOGLETRANSLATE(B16767,""en"",""it"")"),"Un logo appare brevemente sullo schermo.")</f>
        <v>Un logo appare brevemente sullo schermo.</v>
      </c>
    </row>
    <row r="16768">
      <c r="A16768" s="4" t="s">
        <v>21118</v>
      </c>
      <c r="B16768" s="6" t="s">
        <v>21121</v>
      </c>
      <c r="C16768" s="5" t="str">
        <f>IFERROR(__xludf.DUMMYFUNCTION("GOOGLETRANSLATE(B16768,""en"",""it"")"),"Due uomini in piedi davanti a un paio di lavandini e specchi del bagno rimuovono le vesti che indossano per rivelare l'abbigliamento spandex, quindi si girano per affrontare la fotocamera per parlare.")</f>
        <v>Due uomini in piedi davanti a un paio di lavandini e specchi del bagno rimuovono le vesti che indossano per rivelare l'abbigliamento spandex, quindi si girano per affrontare la fotocamera per parlare.</v>
      </c>
    </row>
    <row r="16769">
      <c r="A16769" s="4" t="s">
        <v>21118</v>
      </c>
      <c r="B16769" s="4" t="s">
        <v>21122</v>
      </c>
      <c r="C16769" s="5" t="str">
        <f>IFERROR(__xludf.DUMMYFUNCTION("GOOGLETRANSLATE(B16769,""en"",""it"")"),"Un folto gruppo di persone percorre le biciclette lungo la strada.")</f>
        <v>Un folto gruppo di persone percorre le biciclette lungo la strada.</v>
      </c>
    </row>
    <row r="16770">
      <c r="A16770" s="4" t="s">
        <v>21118</v>
      </c>
      <c r="B16770" s="4" t="s">
        <v>21123</v>
      </c>
      <c r="C16770" s="5" t="str">
        <f>IFERROR(__xludf.DUMMYFUNCTION("GOOGLETRANSLATE(B16770,""en"",""it"")"),"Un uomo a piedi nudi si trova in un bagno.")</f>
        <v>Un uomo a piedi nudi si trova in un bagno.</v>
      </c>
    </row>
    <row r="16771">
      <c r="A16771" s="4" t="s">
        <v>21118</v>
      </c>
      <c r="B16771" s="4" t="s">
        <v>21124</v>
      </c>
      <c r="C16771" s="5" t="str">
        <f>IFERROR(__xludf.DUMMYFUNCTION("GOOGLETRANSLATE(B16771,""en"",""it"")"),"Il titolo ""How to Grad Your Gambe"" appare su un uomo che esegue quell'azione.")</f>
        <v>Il titolo "How to Grad Your Gambe" appare su un uomo che esegue quell'azione.</v>
      </c>
    </row>
    <row r="16772">
      <c r="A16772" s="4" t="s">
        <v>21118</v>
      </c>
      <c r="B16772" s="4" t="s">
        <v>21125</v>
      </c>
      <c r="C16772" s="5" t="str">
        <f>IFERROR(__xludf.DUMMYFUNCTION("GOOGLETRANSLATE(B16772,""en"",""it"")"),"Gli uomini discutono e dimostrano l'uso di un rasoio elettrico per radere le gambe.")</f>
        <v>Gli uomini discutono e dimostrano l'uso di un rasoio elettrico per radere le gambe.</v>
      </c>
    </row>
    <row r="16773">
      <c r="A16773" s="4" t="s">
        <v>21118</v>
      </c>
      <c r="B16773" s="4" t="s">
        <v>21126</v>
      </c>
      <c r="C16773" s="5" t="str">
        <f>IFERROR(__xludf.DUMMYFUNCTION("GOOGLETRANSLATE(B16773,""en"",""it"")"),"Si discute quindi di quanto le gambe dovrebbero essere rasate.")</f>
        <v>Si discute quindi di quanto le gambe dovrebbero essere rasate.</v>
      </c>
    </row>
    <row r="16774">
      <c r="A16774" s="4" t="s">
        <v>21118</v>
      </c>
      <c r="B16774" s="4" t="s">
        <v>21127</v>
      </c>
      <c r="C16774" s="5" t="str">
        <f>IFERROR(__xludf.DUMMYFUNCTION("GOOGLETRANSLATE(B16774,""en"",""it"")"),"L'uomo dimostra come fare il pedaggio alle gambe.")</f>
        <v>L'uomo dimostra come fare il pedaggio alle gambe.</v>
      </c>
    </row>
    <row r="16775">
      <c r="A16775" s="4" t="s">
        <v>21118</v>
      </c>
      <c r="B16775" s="4" t="s">
        <v>21128</v>
      </c>
      <c r="C16775" s="5" t="str">
        <f>IFERROR(__xludf.DUMMYFUNCTION("GOOGLETRANSLATE(B16775,""en"",""it"")"),"I due uomini dimostrano come usare un rasoio per radere le gambe.")</f>
        <v>I due uomini dimostrano come usare un rasoio per radere le gambe.</v>
      </c>
    </row>
    <row r="16776">
      <c r="A16776" s="4" t="s">
        <v>21118</v>
      </c>
      <c r="B16776" s="4" t="s">
        <v>21129</v>
      </c>
      <c r="C16776" s="5" t="str">
        <f>IFERROR(__xludf.DUMMYFUNCTION("GOOGLETRANSLATE(B16776,""en"",""it"")"),"Quindi dimostrano come sciacquare le gambe.")</f>
        <v>Quindi dimostrano come sciacquare le gambe.</v>
      </c>
    </row>
    <row r="16777">
      <c r="A16777" s="4" t="s">
        <v>21118</v>
      </c>
      <c r="B16777" s="4" t="s">
        <v>21130</v>
      </c>
      <c r="C16777" s="5" t="str">
        <f>IFERROR(__xludf.DUMMYFUNCTION("GOOGLETRANSLATE(B16777,""en"",""it"")"),"Un uomo cavalca una bici lungo la strada.")</f>
        <v>Un uomo cavalca una bici lungo la strada.</v>
      </c>
    </row>
    <row r="16778">
      <c r="A16778" s="4" t="s">
        <v>21118</v>
      </c>
      <c r="B16778" s="4" t="s">
        <v>21131</v>
      </c>
      <c r="C16778" s="5" t="str">
        <f>IFERROR(__xludf.DUMMYFUNCTION("GOOGLETRANSLATE(B16778,""en"",""it"")"),"I due uomini si radono l'altra gamba.")</f>
        <v>I due uomini si radono l'altra gamba.</v>
      </c>
    </row>
    <row r="16779">
      <c r="A16779" s="4" t="s">
        <v>21132</v>
      </c>
      <c r="B16779" s="6" t="s">
        <v>21133</v>
      </c>
      <c r="C16779" s="5" t="str">
        <f>IFERROR(__xludf.DUMMYFUNCTION("GOOGLETRANSLATE(B16779,""en"",""it"")"),"Due bambini sono in piedi davanti a un albero di Natale che mostrano stivali viola che si trovano sull'albero di Natale sospeso.")</f>
        <v>Due bambini sono in piedi davanti a un albero di Natale che mostrano stivali viola che si trovano sull'albero di Natale sospeso.</v>
      </c>
    </row>
    <row r="16780">
      <c r="A16780" s="4" t="s">
        <v>21132</v>
      </c>
      <c r="B16780" s="4" t="s">
        <v>21134</v>
      </c>
      <c r="C16780" s="5" t="str">
        <f>IFERROR(__xludf.DUMMYFUNCTION("GOOGLETRANSLATE(B16780,""en"",""it"")"),"I bambini stanno sottolineando le palle e gli ornamenti.")</f>
        <v>I bambini stanno sottolineando le palle e gli ornamenti.</v>
      </c>
    </row>
    <row r="16781">
      <c r="A16781" s="4" t="s">
        <v>21132</v>
      </c>
      <c r="B16781" s="4" t="s">
        <v>21135</v>
      </c>
      <c r="C16781" s="5" t="str">
        <f>IFERROR(__xludf.DUMMYFUNCTION("GOOGLETRANSLATE(B16781,""en"",""it"")"),"I bambini si trovano accanto ai tre e salutano la telecamera.")</f>
        <v>I bambini si trovano accanto ai tre e salutano la telecamera.</v>
      </c>
    </row>
    <row r="16782">
      <c r="A16782" s="4" t="s">
        <v>21136</v>
      </c>
      <c r="B16782" s="4" t="s">
        <v>3869</v>
      </c>
      <c r="C16782" s="5" t="str">
        <f>IFERROR(__xludf.DUMMYFUNCTION("GOOGLETRANSLATE(B16782,""en"",""it"")"),"Una donna balla su un palco.")</f>
        <v>Una donna balla su un palco.</v>
      </c>
    </row>
    <row r="16783">
      <c r="A16783" s="4" t="s">
        <v>21136</v>
      </c>
      <c r="B16783" s="4" t="s">
        <v>21137</v>
      </c>
      <c r="C16783" s="5" t="str">
        <f>IFERROR(__xludf.DUMMYFUNCTION("GOOGLETRANSLATE(B16783,""en"",""it"")"),"Una persona li solleva in aria sopra di loro.")</f>
        <v>Una persona li solleva in aria sopra di loro.</v>
      </c>
    </row>
    <row r="16784">
      <c r="A16784" s="4" t="s">
        <v>21136</v>
      </c>
      <c r="B16784" s="4" t="s">
        <v>21138</v>
      </c>
      <c r="C16784" s="5" t="str">
        <f>IFERROR(__xludf.DUMMYFUNCTION("GOOGLETRANSLATE(B16784,""en"",""it"")"),"Le ballerine ballano su un palco.")</f>
        <v>Le ballerine ballano su un palco.</v>
      </c>
    </row>
    <row r="16785">
      <c r="A16785" s="4" t="s">
        <v>21139</v>
      </c>
      <c r="B16785" s="4" t="s">
        <v>21140</v>
      </c>
      <c r="C16785" s="5" t="str">
        <f>IFERROR(__xludf.DUMMYFUNCTION("GOOGLETRANSLATE(B16785,""en"",""it"")"),"Le persone vengono tirate su una collina su una corda di rimorchiatore seduta su tubi inter.")</f>
        <v>Le persone vengono tirate su una collina su una corda di rimorchiatore seduta su tubi inter.</v>
      </c>
    </row>
    <row r="16786">
      <c r="A16786" s="4" t="s">
        <v>21139</v>
      </c>
      <c r="B16786" s="4" t="s">
        <v>21141</v>
      </c>
      <c r="C16786" s="5" t="str">
        <f>IFERROR(__xludf.DUMMYFUNCTION("GOOGLETRANSLATE(B16786,""en"",""it"")"),"Una famiglia tira i loro tubi tra le mano e la cima della collina.")</f>
        <v>Una famiglia tira i loro tubi tra le mano e la cima della collina.</v>
      </c>
    </row>
    <row r="16787">
      <c r="A16787" s="4" t="s">
        <v>21139</v>
      </c>
      <c r="B16787" s="4" t="s">
        <v>21142</v>
      </c>
      <c r="C16787" s="5" t="str">
        <f>IFERROR(__xludf.DUMMYFUNCTION("GOOGLETRANSLATE(B16787,""en"",""it"")"),"Una persona si siede in un tubo tra la cima di una collina, quindi cavalca il pendio ridendo.")</f>
        <v>Una persona si siede in un tubo tra la cima di una collina, quindi cavalca il pendio ridendo.</v>
      </c>
    </row>
    <row r="16788">
      <c r="A16788" s="4" t="s">
        <v>21139</v>
      </c>
      <c r="B16788" s="4" t="s">
        <v>21143</v>
      </c>
      <c r="C16788" s="5" t="str">
        <f>IFERROR(__xludf.DUMMYFUNCTION("GOOGLETRANSLATE(B16788,""en"",""it"")"),"La famiglia si stringe insieme i tubi intercolari in un raggruppamento circolare con i bambini seduti in essi.")</f>
        <v>La famiglia si stringe insieme i tubi intercolari in un raggruppamento circolare con i bambini seduti in essi.</v>
      </c>
    </row>
    <row r="16789">
      <c r="A16789" s="4" t="s">
        <v>21139</v>
      </c>
      <c r="B16789" s="4" t="s">
        <v>21144</v>
      </c>
      <c r="C16789" s="5" t="str">
        <f>IFERROR(__xludf.DUMMYFUNCTION("GOOGLETRANSLATE(B16789,""en"",""it"")"),"La famiglia cavalca in un grande raggruppamento di tubi tra un pendio nevoso.")</f>
        <v>La famiglia cavalca in un grande raggruppamento di tubi tra un pendio nevoso.</v>
      </c>
    </row>
    <row r="16790">
      <c r="A16790" s="4" t="s">
        <v>21145</v>
      </c>
      <c r="B16790" s="4" t="s">
        <v>21146</v>
      </c>
      <c r="C16790" s="5" t="str">
        <f>IFERROR(__xludf.DUMMYFUNCTION("GOOGLETRANSLATE(B16790,""en"",""it"")"),"Un uomo atletico viene visto girare in cerchio e gettare una discussione a lungo attraverso un campo.")</f>
        <v>Un uomo atletico viene visto girare in cerchio e gettare una discussione a lungo attraverso un campo.</v>
      </c>
    </row>
    <row r="16791">
      <c r="A16791" s="4" t="s">
        <v>21145</v>
      </c>
      <c r="B16791" s="6" t="s">
        <v>21147</v>
      </c>
      <c r="C16791" s="5" t="str">
        <f>IFERROR(__xludf.DUMMYFUNCTION("GOOGLETRANSLATE(B16791,""en"",""it"")"),"Si fa avanti e lancia molte altre palle in un cerchio mentre alla fine si asciuga il sudore dal viso con la camicia.")</f>
        <v>Si fa avanti e lancia molte altre palle in un cerchio mentre alla fine si asciuga il sudore dal viso con la camicia.</v>
      </c>
    </row>
    <row r="16792">
      <c r="A16792" s="4" t="s">
        <v>21148</v>
      </c>
      <c r="B16792" s="4" t="s">
        <v>21149</v>
      </c>
      <c r="C16792" s="5" t="str">
        <f>IFERROR(__xludf.DUMMYFUNCTION("GOOGLETRANSLATE(B16792,""en"",""it"")"),"Un uomo viene visto camminare attraverso un cortile mentre tiene in mano un bastone.")</f>
        <v>Un uomo viene visto camminare attraverso un cortile mentre tiene in mano un bastone.</v>
      </c>
    </row>
    <row r="16793">
      <c r="A16793" s="4" t="s">
        <v>21148</v>
      </c>
      <c r="B16793" s="4" t="s">
        <v>21150</v>
      </c>
      <c r="C16793" s="5" t="str">
        <f>IFERROR(__xludf.DUMMYFUNCTION("GOOGLETRANSLATE(B16793,""en"",""it"")"),"L'uomo viene quindi visto giocare a uncinetto mentre altri guardano sul lato.")</f>
        <v>L'uomo viene quindi visto giocare a uncinetto mentre altri guardano sul lato.</v>
      </c>
    </row>
    <row r="16794">
      <c r="A16794" s="4" t="s">
        <v>21148</v>
      </c>
      <c r="B16794" s="4" t="s">
        <v>21151</v>
      </c>
      <c r="C16794" s="5" t="str">
        <f>IFERROR(__xludf.DUMMYFUNCTION("GOOGLETRANSLATE(B16794,""en"",""it"")"),"L'uomo continua a colpire la palla e si piega e misura i suoi colpi.")</f>
        <v>L'uomo continua a colpire la palla e si piega e misura i suoi colpi.</v>
      </c>
    </row>
    <row r="16795">
      <c r="A16795" s="4" t="s">
        <v>21152</v>
      </c>
      <c r="B16795" s="4" t="s">
        <v>21153</v>
      </c>
      <c r="C16795" s="5" t="str">
        <f>IFERROR(__xludf.DUMMYFUNCTION("GOOGLETRANSLATE(B16795,""en"",""it"")"),"Vengono visualizzati i crediti di clip.")</f>
        <v>Vengono visualizzati i crediti di clip.</v>
      </c>
    </row>
    <row r="16796">
      <c r="A16796" s="4" t="s">
        <v>21152</v>
      </c>
      <c r="B16796" s="4" t="s">
        <v>21154</v>
      </c>
      <c r="C16796" s="5" t="str">
        <f>IFERROR(__xludf.DUMMYFUNCTION("GOOGLETRANSLATE(B16796,""en"",""it"")"),"I lime vengono tagliati a pezzi su un tagliere bianco.")</f>
        <v>I lime vengono tagliati a pezzi su un tagliere bianco.</v>
      </c>
    </row>
    <row r="16797">
      <c r="A16797" s="4" t="s">
        <v>21152</v>
      </c>
      <c r="B16797" s="4" t="s">
        <v>21155</v>
      </c>
      <c r="C16797" s="5" t="str">
        <f>IFERROR(__xludf.DUMMYFUNCTION("GOOGLETRANSLATE(B16797,""en"",""it"")"),"I lime tagliati sono posizionati in un frullatore con un liquido e miscelati.")</f>
        <v>I lime tagliati sono posizionati in un frullatore con un liquido e miscelati.</v>
      </c>
    </row>
    <row r="16798">
      <c r="A16798" s="4" t="s">
        <v>21152</v>
      </c>
      <c r="B16798" s="4" t="s">
        <v>21156</v>
      </c>
      <c r="C16798" s="5" t="str">
        <f>IFERROR(__xludf.DUMMYFUNCTION("GOOGLETRANSLATE(B16798,""en"",""it"")"),"Il liquido viene aggiunto a un lanciatore con un filtro.")</f>
        <v>Il liquido viene aggiunto a un lanciatore con un filtro.</v>
      </c>
    </row>
    <row r="16799">
      <c r="A16799" s="4" t="s">
        <v>21152</v>
      </c>
      <c r="B16799" s="4" t="s">
        <v>21157</v>
      </c>
      <c r="C16799" s="5" t="str">
        <f>IFERROR(__xludf.DUMMYFUNCTION("GOOGLETRANSLATE(B16799,""en"",""it"")"),"Vengono visualizzati i crediti del video.")</f>
        <v>Vengono visualizzati i crediti del video.</v>
      </c>
    </row>
    <row r="16800">
      <c r="A16800" s="4" t="s">
        <v>21158</v>
      </c>
      <c r="B16800" s="4" t="s">
        <v>21159</v>
      </c>
      <c r="C16800" s="5" t="str">
        <f>IFERROR(__xludf.DUMMYFUNCTION("GOOGLETRANSLATE(B16800,""en"",""it"")"),"Una donna di notizie si siede a una scrivania, parlando.")</f>
        <v>Una donna di notizie si siede a una scrivania, parlando.</v>
      </c>
    </row>
    <row r="16801">
      <c r="A16801" s="4" t="s">
        <v>21158</v>
      </c>
      <c r="B16801" s="4" t="s">
        <v>21160</v>
      </c>
      <c r="C16801" s="5" t="str">
        <f>IFERROR(__xludf.DUMMYFUNCTION("GOOGLETRANSLATE(B16801,""en"",""it"")"),"Vediamo numerose persone che corrono in acqua con kayak, correndo lungo un fiume di rapide.")</f>
        <v>Vediamo numerose persone che corrono in acqua con kayak, correndo lungo un fiume di rapide.</v>
      </c>
    </row>
    <row r="16802">
      <c r="A16802" s="4" t="s">
        <v>21158</v>
      </c>
      <c r="B16802" s="6" t="s">
        <v>21161</v>
      </c>
      <c r="C16802" s="5" t="str">
        <f>IFERROR(__xludf.DUMMYFUNCTION("GOOGLETRANSLATE(B16802,""en"",""it"")"),"Quando hanno finito, molti dei concorrenti vengono intervistati sulla telecamera e altri camminano in acqua su falsi kayak.")</f>
        <v>Quando hanno finito, molti dei concorrenti vengono intervistati sulla telecamera e altri camminano in acqua su falsi kayak.</v>
      </c>
    </row>
    <row r="16803">
      <c r="A16803" s="4" t="s">
        <v>21162</v>
      </c>
      <c r="B16803" s="4" t="s">
        <v>21163</v>
      </c>
      <c r="C16803" s="5" t="str">
        <f>IFERROR(__xludf.DUMMYFUNCTION("GOOGLETRANSLATE(B16803,""en"",""it"")"),"Vediamo una signora incinta che fa balletto in uno studio.")</f>
        <v>Vediamo una signora incinta che fa balletto in uno studio.</v>
      </c>
    </row>
    <row r="16804">
      <c r="A16804" s="4" t="s">
        <v>21162</v>
      </c>
      <c r="B16804" s="4" t="s">
        <v>21164</v>
      </c>
      <c r="C16804" s="5" t="str">
        <f>IFERROR(__xludf.DUMMYFUNCTION("GOOGLETRANSLATE(B16804,""en"",""it"")"),"La signora gira e fa una pliea.")</f>
        <v>La signora gira e fa una pliea.</v>
      </c>
    </row>
    <row r="16805">
      <c r="A16805" s="4" t="s">
        <v>21162</v>
      </c>
      <c r="B16805" s="4" t="s">
        <v>21165</v>
      </c>
      <c r="C16805" s="5" t="str">
        <f>IFERROR(__xludf.DUMMYFUNCTION("GOOGLETRANSLATE(B16805,""en"",""it"")"),"Le persone sullo sfondo applaudono per la signora.")</f>
        <v>Le persone sullo sfondo applaudono per la signora.</v>
      </c>
    </row>
    <row r="16806">
      <c r="A16806" s="4" t="s">
        <v>21162</v>
      </c>
      <c r="B16806" s="4" t="s">
        <v>21166</v>
      </c>
      <c r="C16806" s="5" t="str">
        <f>IFERROR(__xludf.DUMMYFUNCTION("GOOGLETRANSLATE(B16806,""en"",""it"")"),"La signora poi esce dalla telecamera mentre ride.")</f>
        <v>La signora poi esce dalla telecamera mentre ride.</v>
      </c>
    </row>
    <row r="16807">
      <c r="A16807" s="4" t="s">
        <v>21167</v>
      </c>
      <c r="B16807" s="4" t="s">
        <v>21168</v>
      </c>
      <c r="C16807" s="5" t="str">
        <f>IFERROR(__xludf.DUMMYFUNCTION("GOOGLETRANSLATE(B16807,""en"",""it"")"),"Due rubinetti d'acqua corrono e mostrano le mani di una persona sotto il lavandino.")</f>
        <v>Due rubinetti d'acqua corrono e mostrano le mani di una persona sotto il lavandino.</v>
      </c>
    </row>
    <row r="16808">
      <c r="A16808" s="4" t="s">
        <v>21167</v>
      </c>
      <c r="B16808" s="4" t="s">
        <v>21169</v>
      </c>
      <c r="C16808" s="5" t="str">
        <f>IFERROR(__xludf.DUMMYFUNCTION("GOOGLETRANSLATE(B16808,""en"",""it"")"),"L'uomo si muove le mani e poi finisce con lui asciugandosi le mani tra i capelli.")</f>
        <v>L'uomo si muove le mani e poi finisce con lui asciugandosi le mani tra i capelli.</v>
      </c>
    </row>
    <row r="16809">
      <c r="A16809" s="4" t="s">
        <v>21170</v>
      </c>
      <c r="B16809" s="4" t="s">
        <v>21171</v>
      </c>
      <c r="C16809" s="5" t="str">
        <f>IFERROR(__xludf.DUMMYFUNCTION("GOOGLETRANSLATE(B16809,""en"",""it"")"),"Un uomo in abito rosa parla con un uomo in abito rosso e non indossa una camicia.")</f>
        <v>Un uomo in abito rosa parla con un uomo in abito rosso e non indossa una camicia.</v>
      </c>
    </row>
    <row r="16810">
      <c r="A16810" s="4" t="s">
        <v>21170</v>
      </c>
      <c r="B16810" s="4" t="s">
        <v>21172</v>
      </c>
      <c r="C16810" s="5" t="str">
        <f>IFERROR(__xludf.DUMMYFUNCTION("GOOGLETRANSLATE(B16810,""en"",""it"")"),"Suonano forbici di carta rocciosa.")</f>
        <v>Suonano forbici di carta rocciosa.</v>
      </c>
    </row>
    <row r="16811">
      <c r="A16811" s="4" t="s">
        <v>21170</v>
      </c>
      <c r="B16811" s="4" t="s">
        <v>21173</v>
      </c>
      <c r="C16811" s="5" t="str">
        <f>IFERROR(__xludf.DUMMYFUNCTION("GOOGLETRANSLATE(B16811,""en"",""it"")"),"L'uomo in abito rosa celebra.")</f>
        <v>L'uomo in abito rosa celebra.</v>
      </c>
    </row>
    <row r="16812">
      <c r="A16812" s="4" t="s">
        <v>21170</v>
      </c>
      <c r="B16812" s="4" t="s">
        <v>21174</v>
      </c>
      <c r="C16812" s="5" t="str">
        <f>IFERROR(__xludf.DUMMYFUNCTION("GOOGLETRANSLATE(B16812,""en"",""it"")"),"L'uomo che non indossa una camicia insegue l'uomo con il vestito rosa.")</f>
        <v>L'uomo che non indossa una camicia insegue l'uomo con il vestito rosa.</v>
      </c>
    </row>
    <row r="16813">
      <c r="A16813" s="4" t="s">
        <v>21170</v>
      </c>
      <c r="B16813" s="4" t="s">
        <v>21175</v>
      </c>
      <c r="C16813" s="5" t="str">
        <f>IFERROR(__xludf.DUMMYFUNCTION("GOOGLETRANSLATE(B16813,""en"",""it"")"),"L'uomo con la tuta rosa cade.")</f>
        <v>L'uomo con la tuta rosa cade.</v>
      </c>
    </row>
    <row r="16814">
      <c r="A16814" s="4" t="s">
        <v>21170</v>
      </c>
      <c r="B16814" s="4" t="s">
        <v>21176</v>
      </c>
      <c r="C16814" s="5" t="str">
        <f>IFERROR(__xludf.DUMMYFUNCTION("GOOGLETRANSLATE(B16814,""en"",""it"")"),"L'uomo che non indossa una camicia lancia una canna bianca a terra.")</f>
        <v>L'uomo che non indossa una camicia lancia una canna bianca a terra.</v>
      </c>
    </row>
    <row r="16815">
      <c r="A16815" s="4" t="s">
        <v>21170</v>
      </c>
      <c r="B16815" s="4" t="s">
        <v>21177</v>
      </c>
      <c r="C16815" s="5" t="str">
        <f>IFERROR(__xludf.DUMMYFUNCTION("GOOGLETRANSLATE(B16815,""en"",""it"")"),"Un uomo in un abito nero esce dai cespugli.")</f>
        <v>Un uomo in un abito nero esce dai cespugli.</v>
      </c>
    </row>
    <row r="16816">
      <c r="A16816" s="4" t="s">
        <v>21170</v>
      </c>
      <c r="B16816" s="4" t="s">
        <v>21178</v>
      </c>
      <c r="C16816" s="5" t="str">
        <f>IFERROR(__xludf.DUMMYFUNCTION("GOOGLETRANSLATE(B16816,""en"",""it"")"),"Combatte l'uomo nell'abito rosso.")</f>
        <v>Combatte l'uomo nell'abito rosso.</v>
      </c>
    </row>
    <row r="16817">
      <c r="A16817" s="4" t="s">
        <v>21170</v>
      </c>
      <c r="B16817" s="4" t="s">
        <v>21179</v>
      </c>
      <c r="C16817" s="5" t="str">
        <f>IFERROR(__xludf.DUMMYFUNCTION("GOOGLETRANSLATE(B16817,""en"",""it"")"),"L'uomo senza una camicia lancia una canna sull'uomo con il vestito nero.")</f>
        <v>L'uomo senza una camicia lancia una canna sull'uomo con il vestito nero.</v>
      </c>
    </row>
    <row r="16818">
      <c r="A16818" s="4" t="s">
        <v>21180</v>
      </c>
      <c r="B16818" s="4" t="s">
        <v>21181</v>
      </c>
      <c r="C16818" s="5" t="str">
        <f>IFERROR(__xludf.DUMMYFUNCTION("GOOGLETRANSLATE(B16818,""en"",""it"")"),"Un corridore di salto si riscalda prima di andare per un salto in lungo.")</f>
        <v>Un corridore di salto si riscalda prima di andare per un salto in lungo.</v>
      </c>
    </row>
    <row r="16819">
      <c r="A16819" s="4" t="s">
        <v>21180</v>
      </c>
      <c r="B16819" s="6" t="s">
        <v>21182</v>
      </c>
      <c r="C16819" s="5" t="str">
        <f>IFERROR(__xludf.DUMMYFUNCTION("GOOGLETRANSLATE(B16819,""en"",""it"")"),"Fa il salto in lungo, poi salta immediatamente e corre indietro, incoraggiando e festeggiando con la folla.")</f>
        <v>Fa il salto in lungo, poi salta immediatamente e corre indietro, incoraggiando e festeggiando con la folla.</v>
      </c>
    </row>
    <row r="16820">
      <c r="A16820" s="4" t="s">
        <v>21180</v>
      </c>
      <c r="B16820" s="4" t="s">
        <v>21183</v>
      </c>
      <c r="C16820" s="5" t="str">
        <f>IFERROR(__xludf.DUMMYFUNCTION("GOOGLETRANSLATE(B16820,""en"",""it"")"),"Si batte il petto e abbraccia le persone.")</f>
        <v>Si batte il petto e abbraccia le persone.</v>
      </c>
    </row>
    <row r="16821">
      <c r="A16821" s="4" t="s">
        <v>21180</v>
      </c>
      <c r="B16821" s="4" t="s">
        <v>21184</v>
      </c>
      <c r="C16821" s="5" t="str">
        <f>IFERROR(__xludf.DUMMYFUNCTION("GOOGLETRANSLATE(B16821,""en"",""it"")"),"Quindi posa di fronte a un tabellone mentre le persone scattano fotografie.")</f>
        <v>Quindi posa di fronte a un tabellone mentre le persone scattano fotografie.</v>
      </c>
    </row>
    <row r="16822">
      <c r="A16822" s="4" t="s">
        <v>21185</v>
      </c>
      <c r="B16822" s="4" t="s">
        <v>21186</v>
      </c>
      <c r="C16822" s="5" t="str">
        <f>IFERROR(__xludf.DUMMYFUNCTION("GOOGLETRANSLATE(B16822,""en"",""it"")"),"Un uomo fa riparazioni in una bicicletta sui pavimenti in legno di una camera da letto mentre due gatti guardano.")</f>
        <v>Un uomo fa riparazioni in una bicicletta sui pavimenti in legno di una camera da letto mentre due gatti guardano.</v>
      </c>
    </row>
    <row r="16823">
      <c r="A16823" s="4" t="s">
        <v>21185</v>
      </c>
      <c r="B16823" s="4" t="s">
        <v>21187</v>
      </c>
      <c r="C16823" s="5" t="str">
        <f>IFERROR(__xludf.DUMMYFUNCTION("GOOGLETRANSLATE(B16823,""en"",""it"")"),"Un uomo entra in una camera da letto e fa una parte in bicicletta sul pavimento della sua camera da letto.")</f>
        <v>Un uomo entra in una camera da letto e fa una parte in bicicletta sul pavimento della sua camera da letto.</v>
      </c>
    </row>
    <row r="16824">
      <c r="A16824" s="4" t="s">
        <v>21185</v>
      </c>
      <c r="B16824" s="6" t="s">
        <v>21188</v>
      </c>
      <c r="C16824" s="5" t="str">
        <f>IFERROR(__xludf.DUMMYFUNCTION("GOOGLETRANSLATE(B16824,""en"",""it"")"),"L'uomo quindi effettua le riparazioni usando strumenti mentre due gatti camminano intorno alla periferia guardando e si muovono.")</f>
        <v>L'uomo quindi effettua le riparazioni usando strumenti mentre due gatti camminano intorno alla periferia guardando e si muovono.</v>
      </c>
    </row>
    <row r="16825">
      <c r="A16825" s="4" t="s">
        <v>21185</v>
      </c>
      <c r="B16825" s="6" t="s">
        <v>21189</v>
      </c>
      <c r="C16825" s="5" t="str">
        <f>IFERROR(__xludf.DUMMYFUNCTION("GOOGLETRANSLATE(B16825,""en"",""it"")"),"L'uomo produce molta polvere nera mentre fa le riparazioni sulla bicicletta e alla fine lascia la stanza, torna indietro e poi lascia di nuovo mentre un gatto si avvicina all'area di cui l'uomo stava lavorando.")</f>
        <v>L'uomo produce molta polvere nera mentre fa le riparazioni sulla bicicletta e alla fine lascia la stanza, torna indietro e poi lascia di nuovo mentre un gatto si avvicina all'area di cui l'uomo stava lavorando.</v>
      </c>
    </row>
    <row r="16826">
      <c r="A16826" s="4" t="s">
        <v>21190</v>
      </c>
      <c r="B16826" s="4" t="s">
        <v>21191</v>
      </c>
      <c r="C16826" s="5" t="str">
        <f>IFERROR(__xludf.DUMMYFUNCTION("GOOGLETRANSLATE(B16826,""en"",""it"")"),"Un bambino con una camicia blu è un lungo imbarco.")</f>
        <v>Un bambino con una camicia blu è un lungo imbarco.</v>
      </c>
    </row>
    <row r="16827">
      <c r="A16827" s="4" t="s">
        <v>21190</v>
      </c>
      <c r="B16827" s="4" t="s">
        <v>21192</v>
      </c>
      <c r="C16827" s="5" t="str">
        <f>IFERROR(__xludf.DUMMYFUNCTION("GOOGLETRANSLATE(B16827,""en"",""it"")"),"Cade e in strada.")</f>
        <v>Cade e in strada.</v>
      </c>
    </row>
    <row r="16828">
      <c r="A16828" s="4" t="s">
        <v>21190</v>
      </c>
      <c r="B16828" s="4" t="s">
        <v>21193</v>
      </c>
      <c r="C16828" s="5" t="str">
        <f>IFERROR(__xludf.DUMMYFUNCTION("GOOGLETRANSLATE(B16828,""en"",""it"")"),"Continua a scendere per strada sulla sua lunga tavola.")</f>
        <v>Continua a scendere per strada sulla sua lunga tavola.</v>
      </c>
    </row>
    <row r="16829">
      <c r="A16829" s="4" t="s">
        <v>21194</v>
      </c>
      <c r="B16829" s="4" t="s">
        <v>21195</v>
      </c>
      <c r="C16829" s="5" t="str">
        <f>IFERROR(__xludf.DUMMYFUNCTION("GOOGLETRANSLATE(B16829,""en"",""it"")"),"Una fotocamera si ingrandisce su vari alimenti e ingredienti, nonché una padella su una stufa.")</f>
        <v>Una fotocamera si ingrandisce su vari alimenti e ingredienti, nonché una padella su una stufa.</v>
      </c>
    </row>
    <row r="16830">
      <c r="A16830" s="4" t="s">
        <v>21194</v>
      </c>
      <c r="B16830" s="6" t="s">
        <v>21196</v>
      </c>
      <c r="C16830" s="5" t="str">
        <f>IFERROR(__xludf.DUMMYFUNCTION("GOOGLETRANSLATE(B16830,""en"",""it"")"),"Una persona che indossa guanti si vede diffondere cibo su un piatto seguito da una grande pasta e diffonderci burro.")</f>
        <v>Una persona che indossa guanti si vede diffondere cibo su un piatto seguito da una grande pasta e diffonderci burro.</v>
      </c>
    </row>
    <row r="16831">
      <c r="A16831" s="4" t="s">
        <v>21194</v>
      </c>
      <c r="B16831" s="4" t="s">
        <v>21197</v>
      </c>
      <c r="C16831" s="5" t="str">
        <f>IFERROR(__xludf.DUMMYFUNCTION("GOOGLETRANSLATE(B16831,""en"",""it"")"),"La persona continua a fare strati e poi annulla la torta e mostra la torta solida.")</f>
        <v>La persona continua a fare strati e poi annulla la torta e mostra la torta solida.</v>
      </c>
    </row>
    <row r="16832">
      <c r="A16832" s="4" t="s">
        <v>21194</v>
      </c>
      <c r="B16832" s="6" t="s">
        <v>21198</v>
      </c>
      <c r="C16832" s="5" t="str">
        <f>IFERROR(__xludf.DUMMYFUNCTION("GOOGLETRANSLATE(B16832,""en"",""it"")"),"Solleva il nastro e poi lancia più pasta e lo diffonde lungo la torta, mostrando il risultato finito.")</f>
        <v>Solleva il nastro e poi lancia più pasta e lo diffonde lungo la torta, mostrando il risultato finito.</v>
      </c>
    </row>
    <row r="16833">
      <c r="A16833" s="4" t="s">
        <v>21199</v>
      </c>
      <c r="B16833" s="4" t="s">
        <v>21200</v>
      </c>
      <c r="C16833" s="5" t="str">
        <f>IFERROR(__xludf.DUMMYFUNCTION("GOOGLETRANSLATE(B16833,""en"",""it"")"),"Un uomo sta su davanti a un tavolo pieno di oggetti mentre le persone ascoltano l'uomo.")</f>
        <v>Un uomo sta su davanti a un tavolo pieno di oggetti mentre le persone ascoltano l'uomo.</v>
      </c>
    </row>
    <row r="16834">
      <c r="A16834" s="4" t="s">
        <v>21199</v>
      </c>
      <c r="B16834" s="4" t="s">
        <v>21201</v>
      </c>
      <c r="C16834" s="5" t="str">
        <f>IFERROR(__xludf.DUMMYFUNCTION("GOOGLETRANSLATE(B16834,""en"",""it"")"),"Una donna espone barrette di muesli e spiega le persone intorno al tavolo.")</f>
        <v>Una donna espone barrette di muesli e spiega le persone intorno al tavolo.</v>
      </c>
    </row>
    <row r="16835">
      <c r="A16835" s="4" t="s">
        <v>21199</v>
      </c>
      <c r="B16835" s="4" t="s">
        <v>21202</v>
      </c>
      <c r="C16835" s="5" t="str">
        <f>IFERROR(__xludf.DUMMYFUNCTION("GOOGLETRANSLATE(B16835,""en"",""it"")"),"Quindi, una persona ha messo la cera sugli sci con una piccola macchina elettrica in una stanza piena di sci.")</f>
        <v>Quindi, una persona ha messo la cera sugli sci con una piccola macchina elettrica in una stanza piena di sci.</v>
      </c>
    </row>
    <row r="16836">
      <c r="A16836" s="4" t="s">
        <v>21203</v>
      </c>
      <c r="B16836" s="6" t="s">
        <v>21204</v>
      </c>
      <c r="C16836" s="5" t="str">
        <f>IFERROR(__xludf.DUMMYFUNCTION("GOOGLETRANSLATE(B16836,""en"",""it"")"),"L'uomo sta intervistando alcune persone che guardano due donne nel wrestling di bikini, la donna vince e inizia a saltare.")</f>
        <v>L'uomo sta intervistando alcune persone che guardano due donne nel wrestling di bikini, la donna vince e inizia a saltare.</v>
      </c>
    </row>
    <row r="16837">
      <c r="A16837" s="4" t="s">
        <v>21203</v>
      </c>
      <c r="B16837" s="6" t="s">
        <v>21205</v>
      </c>
      <c r="C16837" s="5" t="str">
        <f>IFERROR(__xludf.DUMMYFUNCTION("GOOGLETRANSLATE(B16837,""en"",""it"")"),"Due donne in Bikini sono in piedi con un nano e sta vincendo la lotta mentre l'intervistatore sta parlando con le persone tra il pubblico.")</f>
        <v>Due donne in Bikini sono in piedi con un nano e sta vincendo la lotta mentre l'intervistatore sta parlando con le persone tra il pubblico.</v>
      </c>
    </row>
    <row r="16838">
      <c r="A16838" s="4" t="s">
        <v>21203</v>
      </c>
      <c r="B16838" s="4" t="s">
        <v>21206</v>
      </c>
      <c r="C16838" s="5" t="str">
        <f>IFERROR(__xludf.DUMMYFUNCTION("GOOGLETRANSLATE(B16838,""en"",""it"")"),"Le donne in bikini si stanno preparando a strappare sul ring.")</f>
        <v>Le donne in bikini si stanno preparando a strappare sul ring.</v>
      </c>
    </row>
    <row r="16839">
      <c r="A16839" s="4" t="s">
        <v>21203</v>
      </c>
      <c r="B16839" s="4" t="s">
        <v>21207</v>
      </c>
      <c r="C16839" s="5" t="str">
        <f>IFERROR(__xludf.DUMMYFUNCTION("GOOGLETRANSLATE(B16839,""en"",""it"")"),"Vengono visualizzate alcune clip dei video di YouTube.")</f>
        <v>Vengono visualizzate alcune clip dei video di YouTube.</v>
      </c>
    </row>
    <row r="16840">
      <c r="A16840" s="4" t="s">
        <v>21208</v>
      </c>
      <c r="B16840" s="4" t="s">
        <v>21209</v>
      </c>
      <c r="C16840" s="5" t="str">
        <f>IFERROR(__xludf.DUMMYFUNCTION("GOOGLETRANSLATE(B16840,""en"",""it"")"),"Si vedono diversi primi piani di panini, oltre a una persona che taglia carne e verdure.")</f>
        <v>Si vedono diversi primi piani di panini, oltre a una persona che taglia carne e verdure.</v>
      </c>
    </row>
    <row r="16841">
      <c r="A16841" s="4" t="s">
        <v>21208</v>
      </c>
      <c r="B16841" s="4" t="s">
        <v>21210</v>
      </c>
      <c r="C16841" s="5" t="str">
        <f>IFERROR(__xludf.DUMMYFUNCTION("GOOGLETRANSLATE(B16841,""en"",""it"")"),"La persona taglia il pane dopo posando vari ingredienti sul pane.")</f>
        <v>La persona taglia il pane dopo posando vari ingredienti sul pane.</v>
      </c>
    </row>
    <row r="16842">
      <c r="A16842" s="4" t="s">
        <v>21208</v>
      </c>
      <c r="B16842" s="6" t="s">
        <v>21211</v>
      </c>
      <c r="C16842" s="5" t="str">
        <f>IFERROR(__xludf.DUMMYFUNCTION("GOOGLETRANSLATE(B16842,""en"",""it"")"),"La persona chiude il pane per preparare panini seguiti da metterli in una stampa francese e presentarli alla telecamera.")</f>
        <v>La persona chiude il pane per preparare panini seguiti da metterli in una stampa francese e presentarli alla telecamera.</v>
      </c>
    </row>
    <row r="16843">
      <c r="A16843" s="4" t="s">
        <v>21212</v>
      </c>
      <c r="B16843" s="6" t="s">
        <v>21213</v>
      </c>
      <c r="C16843" s="5" t="str">
        <f>IFERROR(__xludf.DUMMYFUNCTION("GOOGLETRANSLATE(B16843,""en"",""it"")"),"Viene visto un uomo che si esibisce in pausa nel mezzo di una piazza della città mentre le persone entrano e fuori dal telaio.")</f>
        <v>Viene visto un uomo che si esibisce in pausa nel mezzo di una piazza della città mentre le persone entrano e fuori dal telaio.</v>
      </c>
    </row>
    <row r="16844">
      <c r="A16844" s="4" t="s">
        <v>21212</v>
      </c>
      <c r="B16844" s="4" t="s">
        <v>21214</v>
      </c>
      <c r="C16844" s="5" t="str">
        <f>IFERROR(__xludf.DUMMYFUNCTION("GOOGLETRANSLATE(B16844,""en"",""it"")"),"L'uomo continua a ballare e tiene pose guardando indietro alla telecamera.")</f>
        <v>L'uomo continua a ballare e tiene pose guardando indietro alla telecamera.</v>
      </c>
    </row>
    <row r="16845">
      <c r="A16845" s="4" t="s">
        <v>21215</v>
      </c>
      <c r="B16845" s="6" t="s">
        <v>21216</v>
      </c>
      <c r="C16845" s="5" t="str">
        <f>IFERROR(__xludf.DUMMYFUNCTION("GOOGLETRANSLATE(B16845,""en"",""it"")"),"Due persone calcia in un anello di boxe sulla folla, mentre l'arbitro gira intorno ai pugili.")</f>
        <v>Due persone calcia in un anello di boxe sulla folla, mentre l'arbitro gira intorno ai pugili.</v>
      </c>
    </row>
    <row r="16846">
      <c r="A16846" s="4" t="s">
        <v>21215</v>
      </c>
      <c r="B16846" s="4" t="s">
        <v>21217</v>
      </c>
      <c r="C16846" s="5" t="str">
        <f>IFERROR(__xludf.DUMMYFUNCTION("GOOGLETRANSLATE(B16846,""en"",""it"")"),"L'arbitro aggiusta il casco del pugile.")</f>
        <v>L'arbitro aggiusta il casco del pugile.</v>
      </c>
    </row>
    <row r="16847">
      <c r="A16847" s="4" t="s">
        <v>21215</v>
      </c>
      <c r="B16847" s="4" t="s">
        <v>21218</v>
      </c>
      <c r="C16847" s="5" t="str">
        <f>IFERROR(__xludf.DUMMYFUNCTION("GOOGLETRANSLATE(B16847,""en"",""it"")"),"Una mosca del bastone e atterra sull'anello di boxe.")</f>
        <v>Una mosca del bastone e atterra sull'anello di boxe.</v>
      </c>
    </row>
    <row r="16848">
      <c r="A16848" s="4" t="s">
        <v>21219</v>
      </c>
      <c r="B16848" s="4" t="s">
        <v>21220</v>
      </c>
      <c r="C16848" s="5" t="str">
        <f>IFERROR(__xludf.DUMMYFUNCTION("GOOGLETRANSLATE(B16848,""en"",""it"")"),"Un gioco è parte di un gioco di cricket è mostrato sullo schermo.")</f>
        <v>Un gioco è parte di un gioco di cricket è mostrato sullo schermo.</v>
      </c>
    </row>
    <row r="16849">
      <c r="A16849" s="4" t="s">
        <v>21219</v>
      </c>
      <c r="B16849" s="4" t="s">
        <v>21221</v>
      </c>
      <c r="C16849" s="5" t="str">
        <f>IFERROR(__xludf.DUMMYFUNCTION("GOOGLETRANSLATE(B16849,""en"",""it"")"),"I giocatori nel gioco di cricket vengono mostrati celebrando e interagiscono tra loro.")</f>
        <v>I giocatori nel gioco di cricket vengono mostrati celebrando e interagiscono tra loro.</v>
      </c>
    </row>
    <row r="16850">
      <c r="A16850" s="4" t="s">
        <v>21219</v>
      </c>
      <c r="B16850" s="4" t="s">
        <v>21222</v>
      </c>
      <c r="C16850" s="5" t="str">
        <f>IFERROR(__xludf.DUMMYFUNCTION("GOOGLETRANSLATE(B16850,""en"",""it"")"),"Viene mostrato un replay e le statistiche vengono quindi mostrate sullo schermo.")</f>
        <v>Viene mostrato un replay e le statistiche vengono quindi mostrate sullo schermo.</v>
      </c>
    </row>
    <row r="16851">
      <c r="A16851" s="4" t="s">
        <v>21219</v>
      </c>
      <c r="B16851" s="4" t="s">
        <v>21223</v>
      </c>
      <c r="C16851" s="5" t="str">
        <f>IFERROR(__xludf.DUMMYFUNCTION("GOOGLETRANSLATE(B16851,""en"",""it"")"),"Il gioco continua con un altro gioco e un replay è mostrato di quel gioco.")</f>
        <v>Il gioco continua con un altro gioco e un replay è mostrato di quel gioco.</v>
      </c>
    </row>
    <row r="16852">
      <c r="A16852" s="4" t="s">
        <v>21219</v>
      </c>
      <c r="B16852" s="4" t="s">
        <v>21224</v>
      </c>
      <c r="C16852" s="5" t="str">
        <f>IFERROR(__xludf.DUMMYFUNCTION("GOOGLETRANSLATE(B16852,""en"",""it"")"),"Viene mostrato un altro gioco e viene mostrato anche un replay di quel gioco.")</f>
        <v>Viene mostrato un altro gioco e viene mostrato anche un replay di quel gioco.</v>
      </c>
    </row>
    <row r="16853">
      <c r="A16853" s="4" t="s">
        <v>21219</v>
      </c>
      <c r="B16853" s="4" t="s">
        <v>21225</v>
      </c>
      <c r="C16853" s="5" t="str">
        <f>IFERROR(__xludf.DUMMYFUNCTION("GOOGLETRANSLATE(B16853,""en"",""it"")"),"Il prossimo gioco viene mostrato che la squadra inizia a festeggiare prima che venga mostrato un replay di quel gioco.")</f>
        <v>Il prossimo gioco viene mostrato che la squadra inizia a festeggiare prima che venga mostrato un replay di quel gioco.</v>
      </c>
    </row>
    <row r="16854">
      <c r="A16854" s="4" t="s">
        <v>21219</v>
      </c>
      <c r="B16854" s="4" t="s">
        <v>21226</v>
      </c>
      <c r="C16854" s="5" t="str">
        <f>IFERROR(__xludf.DUMMYFUNCTION("GOOGLETRANSLATE(B16854,""en"",""it"")"),"Viene mostrato il prossimo gioco e quindi il video termina.")</f>
        <v>Viene mostrato il prossimo gioco e quindi il video termina.</v>
      </c>
    </row>
    <row r="16855">
      <c r="A16855" s="4" t="s">
        <v>21227</v>
      </c>
      <c r="B16855" s="6" t="s">
        <v>21228</v>
      </c>
      <c r="C16855" s="5" t="str">
        <f>IFERROR(__xludf.DUMMYFUNCTION("GOOGLETRANSLATE(B16855,""en"",""it"")"),"Una telecamera si panoramica intorno a una spiaggia seguita da persone che camminano con una tavola da surf e procedono a fare trucchi sull'acqua.")</f>
        <v>Una telecamera si panoramica intorno a una spiaggia seguita da persone che camminano con una tavola da surf e procedono a fare trucchi sull'acqua.</v>
      </c>
    </row>
    <row r="16856">
      <c r="A16856" s="4" t="s">
        <v>21227</v>
      </c>
      <c r="B16856" s="6" t="s">
        <v>21229</v>
      </c>
      <c r="C16856" s="5" t="str">
        <f>IFERROR(__xludf.DUMMYFUNCTION("GOOGLETRANSLATE(B16856,""en"",""it"")"),"La telecamera cattura gli uomini che eseguono trucchi diversi e nuotano nell'oceano e si muovono al rallentatore.")</f>
        <v>La telecamera cattura gli uomini che eseguono trucchi diversi e nuotano nell'oceano e si muovono al rallentatore.</v>
      </c>
    </row>
    <row r="16857">
      <c r="A16857" s="4" t="s">
        <v>21230</v>
      </c>
      <c r="B16857" s="4" t="s">
        <v>21231</v>
      </c>
      <c r="C16857" s="5" t="str">
        <f>IFERROR(__xludf.DUMMYFUNCTION("GOOGLETRANSLATE(B16857,""en"",""it"")"),"Viene mostrato un gioco di polo d'acqua, con un giocatore evidenziato.")</f>
        <v>Viene mostrato un gioco di polo d'acqua, con un giocatore evidenziato.</v>
      </c>
    </row>
    <row r="16858">
      <c r="A16858" s="4" t="s">
        <v>21230</v>
      </c>
      <c r="B16858" s="4" t="s">
        <v>21232</v>
      </c>
      <c r="C16858" s="5" t="str">
        <f>IFERROR(__xludf.DUMMYFUNCTION("GOOGLETRANSLATE(B16858,""en"",""it"")"),"Un uomo vestito con passeggiate bianche avanti e indietro sul bordo della piscina sullo sfondo.")</f>
        <v>Un uomo vestito con passeggiate bianche avanti e indietro sul bordo della piscina sullo sfondo.</v>
      </c>
    </row>
    <row r="16859">
      <c r="A16859" s="4" t="s">
        <v>21230</v>
      </c>
      <c r="B16859" s="4" t="s">
        <v>21233</v>
      </c>
      <c r="C16859" s="5" t="str">
        <f>IFERROR(__xludf.DUMMYFUNCTION("GOOGLETRANSLATE(B16859,""en"",""it"")"),"Un uomo vestito di bianco è mostrato in primo piano e gesticolando.")</f>
        <v>Un uomo vestito di bianco è mostrato in primo piano e gesticolando.</v>
      </c>
    </row>
    <row r="16860">
      <c r="A16860" s="4" t="s">
        <v>21234</v>
      </c>
      <c r="B16860" s="4" t="s">
        <v>21235</v>
      </c>
      <c r="C16860" s="5" t="str">
        <f>IFERROR(__xludf.DUMMYFUNCTION("GOOGLETRANSLATE(B16860,""en"",""it"")"),"Un uomo vestito con abiti invernali gialli e neri pesci ghiacciati su un lago congelato.")</f>
        <v>Un uomo vestito con abiti invernali gialli e neri pesci ghiacciati su un lago congelato.</v>
      </c>
    </row>
    <row r="16861">
      <c r="A16861" s="4" t="s">
        <v>21234</v>
      </c>
      <c r="B16861" s="4" t="s">
        <v>21236</v>
      </c>
      <c r="C16861" s="5" t="str">
        <f>IFERROR(__xludf.DUMMYFUNCTION("GOOGLETRANSLATE(B16861,""en"",""it"")"),"L'uomo si sta preparando a lungo in un pesce.")</f>
        <v>L'uomo si sta preparando a lungo in un pesce.</v>
      </c>
    </row>
    <row r="16862">
      <c r="A16862" s="4" t="s">
        <v>21234</v>
      </c>
      <c r="B16862" s="4" t="s">
        <v>21237</v>
      </c>
      <c r="C16862" s="5" t="str">
        <f>IFERROR(__xludf.DUMMYFUNCTION("GOOGLETRANSLATE(B16862,""en"",""it"")"),"La cattura dell'uomo raggiunge finalmente la superficie.")</f>
        <v>La cattura dell'uomo raggiunge finalmente la superficie.</v>
      </c>
    </row>
    <row r="16863">
      <c r="A16863" s="4" t="s">
        <v>21238</v>
      </c>
      <c r="B16863" s="4" t="s">
        <v>21239</v>
      </c>
      <c r="C16863" s="5" t="str">
        <f>IFERROR(__xludf.DUMMYFUNCTION("GOOGLETRANSLATE(B16863,""en"",""it"")"),"Le persone stanno giocando a polo d'acqua in una piscina.")</f>
        <v>Le persone stanno giocando a polo d'acqua in una piscina.</v>
      </c>
    </row>
    <row r="16864">
      <c r="A16864" s="4" t="s">
        <v>21238</v>
      </c>
      <c r="B16864" s="4" t="s">
        <v>21240</v>
      </c>
      <c r="C16864" s="5" t="str">
        <f>IFERROR(__xludf.DUMMYFUNCTION("GOOGLETRANSLATE(B16864,""en"",""it"")"),"Una donna in piedi sul lato della piscina sta parlando con la telecamera.")</f>
        <v>Una donna in piedi sul lato della piscina sta parlando con la telecamera.</v>
      </c>
    </row>
    <row r="16865">
      <c r="A16865" s="4" t="s">
        <v>21238</v>
      </c>
      <c r="B16865" s="4" t="s">
        <v>21241</v>
      </c>
      <c r="C16865" s="5" t="str">
        <f>IFERROR(__xludf.DUMMYFUNCTION("GOOGLETRANSLATE(B16865,""en"",""it"")"),"Un uomo soffia un fischio sul lato della piscina.")</f>
        <v>Un uomo soffia un fischio sul lato della piscina.</v>
      </c>
    </row>
    <row r="16866">
      <c r="A16866" s="4" t="s">
        <v>21242</v>
      </c>
      <c r="B16866" s="4" t="s">
        <v>21243</v>
      </c>
      <c r="C16866" s="5" t="str">
        <f>IFERROR(__xludf.DUMMYFUNCTION("GOOGLETRANSLATE(B16866,""en"",""it"")"),"Un giovane è mostrato in una stanza che gioca a Ping Pong.")</f>
        <v>Un giovane è mostrato in una stanza che gioca a Ping Pong.</v>
      </c>
    </row>
    <row r="16867">
      <c r="A16867" s="4" t="s">
        <v>21242</v>
      </c>
      <c r="B16867" s="4" t="s">
        <v>21244</v>
      </c>
      <c r="C16867" s="5" t="str">
        <f>IFERROR(__xludf.DUMMYFUNCTION("GOOGLETRANSLATE(B16867,""en"",""it"")"),"Ad un certo punto si stringe le spalle mentre aspetta l'inizio del suo avversario.")</f>
        <v>Ad un certo punto si stringe le spalle mentre aspetta l'inizio del suo avversario.</v>
      </c>
    </row>
    <row r="16868">
      <c r="A16868" s="4" t="s">
        <v>21242</v>
      </c>
      <c r="B16868" s="6" t="s">
        <v>21245</v>
      </c>
      <c r="C16868" s="5" t="str">
        <f>IFERROR(__xludf.DUMMYFUNCTION("GOOGLETRANSLATE(B16868,""en"",""it"")"),"Il video continua a mostrare l'uomo che gioca a Ping pong e talvolta si ferma a causa della palla che lascia il tavolo.")</f>
        <v>Il video continua a mostrare l'uomo che gioca a Ping pong e talvolta si ferma a causa della palla che lascia il tavolo.</v>
      </c>
    </row>
    <row r="16869">
      <c r="A16869" s="4" t="s">
        <v>21242</v>
      </c>
      <c r="B16869" s="4" t="s">
        <v>21246</v>
      </c>
      <c r="C16869" s="5" t="str">
        <f>IFERROR(__xludf.DUMMYFUNCTION("GOOGLETRANSLATE(B16869,""en"",""it"")"),"Il video termina mentre l'uomo si avvicina alla fotocamera per spegnerlo.")</f>
        <v>Il video termina mentre l'uomo si avvicina alla fotocamera per spegnerlo.</v>
      </c>
    </row>
    <row r="16870">
      <c r="A16870" s="4" t="s">
        <v>21247</v>
      </c>
      <c r="B16870" s="4" t="s">
        <v>21248</v>
      </c>
      <c r="C16870" s="5" t="str">
        <f>IFERROR(__xludf.DUMMYFUNCTION("GOOGLETRANSLATE(B16870,""en"",""it"")"),"Ci sono diverse persone in un parco che partecipano ad attività all'aperto.")</f>
        <v>Ci sono diverse persone in un parco che partecipano ad attività all'aperto.</v>
      </c>
    </row>
    <row r="16871">
      <c r="A16871" s="4" t="s">
        <v>21247</v>
      </c>
      <c r="B16871" s="6" t="s">
        <v>21249</v>
      </c>
      <c r="C16871" s="5" t="str">
        <f>IFERROR(__xludf.DUMMYFUNCTION("GOOGLETRANSLATE(B16871,""en"",""it"")"),"C'è una persona in bicicletta su una corda stretta, che cerca di bilanciare mentre cade verso la fine della corda.")</f>
        <v>C'è una persona in bicicletta su una corda stretta, che cerca di bilanciare mentre cade verso la fine della corda.</v>
      </c>
    </row>
    <row r="16872">
      <c r="A16872" s="4" t="s">
        <v>21247</v>
      </c>
      <c r="B16872" s="4" t="s">
        <v>21250</v>
      </c>
      <c r="C16872" s="5" t="str">
        <f>IFERROR(__xludf.DUMMYFUNCTION("GOOGLETRANSLATE(B16872,""en"",""it"")"),"Ci sono bambini che corrono per terra.")</f>
        <v>Ci sono bambini che corrono per terra.</v>
      </c>
    </row>
    <row r="16873">
      <c r="A16873" s="4" t="s">
        <v>21247</v>
      </c>
      <c r="B16873" s="4" t="s">
        <v>21251</v>
      </c>
      <c r="C16873" s="5" t="str">
        <f>IFERROR(__xludf.DUMMYFUNCTION("GOOGLETRANSLATE(B16873,""en"",""it"")"),"C'è un altro uomo che cammina sulla corda stretta.")</f>
        <v>C'è un altro uomo che cammina sulla corda stretta.</v>
      </c>
    </row>
    <row r="16874">
      <c r="A16874" s="4" t="s">
        <v>21247</v>
      </c>
      <c r="B16874" s="4" t="s">
        <v>21252</v>
      </c>
      <c r="C16874" s="5" t="str">
        <f>IFERROR(__xludf.DUMMYFUNCTION("GOOGLETRANSLATE(B16874,""en"",""it"")"),"Ci sono anche molte persone sedute a terra mentre guardano le attività.")</f>
        <v>Ci sono anche molte persone sedute a terra mentre guardano le attività.</v>
      </c>
    </row>
    <row r="16875">
      <c r="A16875" s="4" t="s">
        <v>21247</v>
      </c>
      <c r="B16875" s="6" t="s">
        <v>21253</v>
      </c>
      <c r="C16875" s="5" t="str">
        <f>IFERROR(__xludf.DUMMYFUNCTION("GOOGLETRANSLATE(B16875,""en"",""it"")"),"Un uomo continua a camminare, saltare e rimbalzare sulla corda stretta, facendo acrobazie mentre le persone lo guardano.")</f>
        <v>Un uomo continua a camminare, saltare e rimbalzare sulla corda stretta, facendo acrobazie mentre le persone lo guardano.</v>
      </c>
    </row>
    <row r="16876">
      <c r="A16876" s="4" t="s">
        <v>21247</v>
      </c>
      <c r="B16876" s="4" t="s">
        <v>21254</v>
      </c>
      <c r="C16876" s="5" t="str">
        <f>IFERROR(__xludf.DUMMYFUNCTION("GOOGLETRANSLATE(B16876,""en"",""it"")"),"C'è una bicicletta caduta a terra con le ruote che girano rapidamente.")</f>
        <v>C'è una bicicletta caduta a terra con le ruote che girano rapidamente.</v>
      </c>
    </row>
    <row r="16877">
      <c r="A16877" s="4" t="s">
        <v>21255</v>
      </c>
      <c r="B16877" s="4" t="s">
        <v>21256</v>
      </c>
      <c r="C16877" s="5" t="str">
        <f>IFERROR(__xludf.DUMMYFUNCTION("GOOGLETRANSLATE(B16877,""en"",""it"")"),"Un uomo taglia la siepe di una casa usando un trimmer.")</f>
        <v>Un uomo taglia la siepe di una casa usando un trimmer.</v>
      </c>
    </row>
    <row r="16878">
      <c r="A16878" s="4" t="s">
        <v>21255</v>
      </c>
      <c r="B16878" s="4" t="s">
        <v>21257</v>
      </c>
      <c r="C16878" s="5" t="str">
        <f>IFERROR(__xludf.DUMMYFUNCTION("GOOGLETRANSLATE(B16878,""en"",""it"")"),"L'uomo smette di tagliare e tira il filo del trimmer e continua a tagliare.")</f>
        <v>L'uomo smette di tagliare e tira il filo del trimmer e continua a tagliare.</v>
      </c>
    </row>
    <row r="16879">
      <c r="A16879" s="4" t="s">
        <v>21258</v>
      </c>
      <c r="B16879" s="4" t="s">
        <v>21259</v>
      </c>
      <c r="C16879" s="5" t="str">
        <f>IFERROR(__xludf.DUMMYFUNCTION("GOOGLETRANSLATE(B16879,""en"",""it"")"),"Un ragazzo è visto seduto su una sedia a parlare con la telecamera.")</f>
        <v>Un ragazzo è visto seduto su una sedia a parlare con la telecamera.</v>
      </c>
    </row>
    <row r="16880">
      <c r="A16880" s="4" t="s">
        <v>21258</v>
      </c>
      <c r="B16880" s="4" t="s">
        <v>21260</v>
      </c>
      <c r="C16880" s="5" t="str">
        <f>IFERROR(__xludf.DUMMYFUNCTION("GOOGLETRANSLATE(B16880,""en"",""it"")"),"Mostra che il suo braccio è in un cast e si mette le calze e le scarpe.")</f>
        <v>Mostra che il suo braccio è in un cast e si mette le calze e le scarpe.</v>
      </c>
    </row>
    <row r="16881">
      <c r="A16881" s="4" t="s">
        <v>21258</v>
      </c>
      <c r="B16881" s="4" t="s">
        <v>21261</v>
      </c>
      <c r="C16881" s="5" t="str">
        <f>IFERROR(__xludf.DUMMYFUNCTION("GOOGLETRANSLATE(B16881,""en"",""it"")"),"Alla fine si lega le scarpe e guarda indietro alla telecamera.")</f>
        <v>Alla fine si lega le scarpe e guarda indietro alla telecamera.</v>
      </c>
    </row>
    <row r="16882">
      <c r="A16882" s="4" t="s">
        <v>21262</v>
      </c>
      <c r="B16882" s="4" t="s">
        <v>21263</v>
      </c>
      <c r="C16882" s="5" t="str">
        <f>IFERROR(__xludf.DUMMYFUNCTION("GOOGLETRANSLATE(B16882,""en"",""it"")"),"Alcuni bambini sono vestiti per uscire su dirtbike.")</f>
        <v>Alcuni bambini sono vestiti per uscire su dirtbike.</v>
      </c>
    </row>
    <row r="16883">
      <c r="A16883" s="4" t="s">
        <v>21262</v>
      </c>
      <c r="B16883" s="4" t="s">
        <v>21264</v>
      </c>
      <c r="C16883" s="5" t="str">
        <f>IFERROR(__xludf.DUMMYFUNCTION("GOOGLETRANSLATE(B16883,""en"",""it"")"),"I bambini fanno salti e fanno giri veloci.")</f>
        <v>I bambini fanno salti e fanno giri veloci.</v>
      </c>
    </row>
    <row r="16884">
      <c r="A16884" s="4" t="s">
        <v>21262</v>
      </c>
      <c r="B16884" s="4" t="s">
        <v>21265</v>
      </c>
      <c r="C16884" s="5" t="str">
        <f>IFERROR(__xludf.DUMMYFUNCTION("GOOGLETRANSLATE(B16884,""en"",""it"")"),"Una fotocamera di bordo cattura tutto il divertimento.")</f>
        <v>Una fotocamera di bordo cattura tutto il divertimento.</v>
      </c>
    </row>
    <row r="16885">
      <c r="A16885" s="4" t="s">
        <v>21266</v>
      </c>
      <c r="B16885" s="4" t="s">
        <v>21267</v>
      </c>
      <c r="C16885" s="5" t="str">
        <f>IFERROR(__xludf.DUMMYFUNCTION("GOOGLETRANSLATE(B16885,""en"",""it"")"),"Un giovane sta dipingendo la recinzione.")</f>
        <v>Un giovane sta dipingendo la recinzione.</v>
      </c>
    </row>
    <row r="16886">
      <c r="A16886" s="4" t="s">
        <v>21266</v>
      </c>
      <c r="B16886" s="4" t="s">
        <v>21268</v>
      </c>
      <c r="C16886" s="5" t="str">
        <f>IFERROR(__xludf.DUMMYFUNCTION("GOOGLETRANSLATE(B16886,""en"",""it"")"),"Un uomo con camicia bianca si avvicinò all'uomo a strisce e gli parlava.")</f>
        <v>Un uomo con camicia bianca si avvicinò all'uomo a strisce e gli parlava.</v>
      </c>
    </row>
    <row r="16887">
      <c r="A16887" s="4" t="s">
        <v>21266</v>
      </c>
      <c r="B16887" s="4" t="s">
        <v>21269</v>
      </c>
      <c r="C16887" s="5" t="str">
        <f>IFERROR(__xludf.DUMMYFUNCTION("GOOGLETRANSLATE(B16887,""en"",""it"")"),"L'uomo in strisce ha dipinto il pane, poi sta parlando nel suo cellulare.")</f>
        <v>L'uomo in strisce ha dipinto il pane, poi sta parlando nel suo cellulare.</v>
      </c>
    </row>
    <row r="16888">
      <c r="A16888" s="4" t="s">
        <v>21270</v>
      </c>
      <c r="B16888" s="4" t="s">
        <v>21271</v>
      </c>
      <c r="C16888" s="5" t="str">
        <f>IFERROR(__xludf.DUMMYFUNCTION("GOOGLETRANSLATE(B16888,""en"",""it"")"),"Ci sono due persone che navigano su una barca di velocità attraverso l'oceano in una giornata di sole.")</f>
        <v>Ci sono due persone che navigano su una barca di velocità attraverso l'oceano in una giornata di sole.</v>
      </c>
    </row>
    <row r="16889">
      <c r="A16889" s="4" t="s">
        <v>21270</v>
      </c>
      <c r="B16889" s="4" t="s">
        <v>21272</v>
      </c>
      <c r="C16889" s="5" t="str">
        <f>IFERROR(__xludf.DUMMYFUNCTION("GOOGLETRANSLATE(B16889,""en"",""it"")"),"Attraversano l'acqua dell'oceano costantemente e ad alta velocità.")</f>
        <v>Attraversano l'acqua dell'oceano costantemente e ad alta velocità.</v>
      </c>
    </row>
    <row r="16890">
      <c r="A16890" s="4" t="s">
        <v>21270</v>
      </c>
      <c r="B16890" s="4" t="s">
        <v>21273</v>
      </c>
      <c r="C16890" s="5" t="str">
        <f>IFERROR(__xludf.DUMMYFUNCTION("GOOGLETRANSLATE(B16890,""en"",""it"")"),"Uno dei marinai tira una corda rossa mentre si sveglia sulla barca a vapore.")</f>
        <v>Uno dei marinai tira una corda rossa mentre si sveglia sulla barca a vapore.</v>
      </c>
    </row>
    <row r="16891">
      <c r="A16891" s="4" t="s">
        <v>21270</v>
      </c>
      <c r="B16891" s="4" t="s">
        <v>21274</v>
      </c>
      <c r="C16891" s="5" t="str">
        <f>IFERROR(__xludf.DUMMYFUNCTION("GOOGLETRANSLATE(B16891,""en"",""it"")"),"Accelerano attraverso l'acqua per raggiungere un'altra barca che ci aspetta.")</f>
        <v>Accelerano attraverso l'acqua per raggiungere un'altra barca che ci aspetta.</v>
      </c>
    </row>
    <row r="16892">
      <c r="A16892" s="4" t="s">
        <v>21270</v>
      </c>
      <c r="B16892" s="4" t="s">
        <v>21275</v>
      </c>
      <c r="C16892" s="5" t="str">
        <f>IFERROR(__xludf.DUMMYFUNCTION("GOOGLETRANSLATE(B16892,""en"",""it"")"),"Diverse altre barche a vapore passano da loro mentre navigano attraverso l'oceano.")</f>
        <v>Diverse altre barche a vapore passano da loro mentre navigano attraverso l'oceano.</v>
      </c>
    </row>
    <row r="16893">
      <c r="A16893" s="4" t="s">
        <v>21276</v>
      </c>
      <c r="B16893" s="4" t="s">
        <v>21277</v>
      </c>
      <c r="C16893" s="5" t="str">
        <f>IFERROR(__xludf.DUMMYFUNCTION("GOOGLETRANSLATE(B16893,""en"",""it"")"),"Una donna è in una palestra di casa, parla con la macchina fotografica.")</f>
        <v>Una donna è in una palestra di casa, parla con la macchina fotografica.</v>
      </c>
    </row>
    <row r="16894">
      <c r="A16894" s="4" t="s">
        <v>21276</v>
      </c>
      <c r="B16894" s="6" t="s">
        <v>21278</v>
      </c>
      <c r="C16894" s="5" t="str">
        <f>IFERROR(__xludf.DUMMYFUNCTION("GOOGLETRANSLATE(B16894,""en"",""it"")"),"Dimostra come usare le attrezzature per l'esercizio, pedalare e tirare le corde, anche se si è seduta a un computer.")</f>
        <v>Dimostra come usare le attrezzature per l'esercizio, pedalare e tirare le corde, anche se si è seduta a un computer.</v>
      </c>
    </row>
    <row r="16895">
      <c r="A16895" s="4" t="s">
        <v>21276</v>
      </c>
      <c r="B16895" s="4" t="s">
        <v>21279</v>
      </c>
      <c r="C16895" s="5" t="str">
        <f>IFERROR(__xludf.DUMMYFUNCTION("GOOGLETRANSLATE(B16895,""en"",""it"")"),"Parla con la telecamera per un lungo periodo, pettinata di allenamento sull'attrezzatura.")</f>
        <v>Parla con la telecamera per un lungo periodo, pettinata di allenamento sull'attrezzatura.</v>
      </c>
    </row>
    <row r="16896">
      <c r="A16896" s="4" t="s">
        <v>21280</v>
      </c>
      <c r="B16896" s="4" t="s">
        <v>21281</v>
      </c>
      <c r="C16896" s="5" t="str">
        <f>IFERROR(__xludf.DUMMYFUNCTION("GOOGLETRANSLATE(B16896,""en"",""it"")"),"Il pubblico guarda ai giochi.")</f>
        <v>Il pubblico guarda ai giochi.</v>
      </c>
    </row>
    <row r="16897">
      <c r="A16897" s="4" t="s">
        <v>21280</v>
      </c>
      <c r="B16897" s="4" t="s">
        <v>21282</v>
      </c>
      <c r="C16897" s="5" t="str">
        <f>IFERROR(__xludf.DUMMYFUNCTION("GOOGLETRANSLATE(B16897,""en"",""it"")"),"Un ragazzo corre con un bastone sottile e allungato e getta il bastone.")</f>
        <v>Un ragazzo corre con un bastone sottile e allungato e getta il bastone.</v>
      </c>
    </row>
    <row r="16898">
      <c r="A16898" s="4" t="s">
        <v>21280</v>
      </c>
      <c r="B16898" s="4" t="s">
        <v>21283</v>
      </c>
      <c r="C16898" s="5" t="str">
        <f>IFERROR(__xludf.DUMMYFUNCTION("GOOGLETRANSLATE(B16898,""en"",""it"")"),"Il ragazzo sporge la lingua.")</f>
        <v>Il ragazzo sporge la lingua.</v>
      </c>
    </row>
    <row r="16899">
      <c r="A16899" s="4" t="s">
        <v>21280</v>
      </c>
      <c r="B16899" s="4" t="s">
        <v>21284</v>
      </c>
      <c r="C16899" s="5" t="str">
        <f>IFERROR(__xludf.DUMMYFUNCTION("GOOGLETRANSLATE(B16899,""en"",""it"")"),"Il ragazzo tiene insieme le labbra e alza la mano.")</f>
        <v>Il ragazzo tiene insieme le labbra e alza la mano.</v>
      </c>
    </row>
    <row r="16900">
      <c r="A16900" s="4" t="s">
        <v>21280</v>
      </c>
      <c r="B16900" s="4" t="s">
        <v>21285</v>
      </c>
      <c r="C16900" s="5" t="str">
        <f>IFERROR(__xludf.DUMMYFUNCTION("GOOGLETRANSLATE(B16900,""en"",""it"")"),"Il ragazzo sorride e mette giù un panno.")</f>
        <v>Il ragazzo sorride e mette giù un panno.</v>
      </c>
    </row>
    <row r="16901">
      <c r="A16901" s="4" t="s">
        <v>21286</v>
      </c>
      <c r="B16901" s="6" t="s">
        <v>21287</v>
      </c>
      <c r="C16901" s="5" t="str">
        <f>IFERROR(__xludf.DUMMYFUNCTION("GOOGLETRANSLATE(B16901,""en"",""it"")"),"La Scottish Archery Association si è raccolta nella loro gamma con diverse persone pronte a partecipare a un evento.")</f>
        <v>La Scottish Archery Association si è raccolta nella loro gamma con diverse persone pronte a partecipare a un evento.</v>
      </c>
    </row>
    <row r="16902">
      <c r="A16902" s="4" t="s">
        <v>21286</v>
      </c>
      <c r="B16902" s="6" t="s">
        <v>21288</v>
      </c>
      <c r="C16902" s="5" t="str">
        <f>IFERROR(__xludf.DUMMYFUNCTION("GOOGLETRANSLATE(B16902,""en"",""it"")"),"I partecipanti si alternano per usare l'arco e la freccia per puntare l'arte che la tavola bersaglio si è piazzata a diversi metri da loro.")</f>
        <v>I partecipanti si alternano per usare l'arco e la freccia per puntare l'arte che la tavola bersaglio si è piazzata a diversi metri da loro.</v>
      </c>
    </row>
    <row r="16903">
      <c r="A16903" s="4" t="s">
        <v>21286</v>
      </c>
      <c r="B16903" s="4" t="s">
        <v>21289</v>
      </c>
      <c r="C16903" s="5" t="str">
        <f>IFERROR(__xludf.DUMMYFUNCTION("GOOGLETRANSLATE(B16903,""en"",""it"")"),"Gli arcieri mirano le loro frecce e sparano al bersaglio di mirare all'occhio di Bulls.")</f>
        <v>Gli arcieri mirano le loro frecce e sparano al bersaglio di mirare all'occhio di Bulls.</v>
      </c>
    </row>
    <row r="16904">
      <c r="A16904" s="4" t="s">
        <v>21290</v>
      </c>
      <c r="B16904" s="4" t="s">
        <v>21291</v>
      </c>
      <c r="C16904" s="5" t="str">
        <f>IFERROR(__xludf.DUMMYFUNCTION("GOOGLETRANSLATE(B16904,""en"",""it"")"),"Una persona sta camminando lungo una linea allentata.")</f>
        <v>Una persona sta camminando lungo una linea allentata.</v>
      </c>
    </row>
    <row r="16905">
      <c r="A16905" s="4" t="s">
        <v>21290</v>
      </c>
      <c r="B16905" s="4" t="s">
        <v>21292</v>
      </c>
      <c r="C16905" s="5" t="str">
        <f>IFERROR(__xludf.DUMMYFUNCTION("GOOGLETRANSLATE(B16905,""en"",""it"")"),"Si stanno muovendo avanti e indietro sulla linea di lenta.")</f>
        <v>Si stanno muovendo avanti e indietro sulla linea di lenta.</v>
      </c>
    </row>
    <row r="16906">
      <c r="A16906" s="4" t="s">
        <v>21290</v>
      </c>
      <c r="B16906" s="4" t="s">
        <v>21293</v>
      </c>
      <c r="C16906" s="5" t="str">
        <f>IFERROR(__xludf.DUMMYFUNCTION("GOOGLETRANSLATE(B16906,""en"",""it"")"),"Si gira e inizia a camminare nella direzione opposta.")</f>
        <v>Si gira e inizia a camminare nella direzione opposta.</v>
      </c>
    </row>
    <row r="16907">
      <c r="A16907" s="4" t="s">
        <v>21294</v>
      </c>
      <c r="B16907" s="4" t="s">
        <v>21295</v>
      </c>
      <c r="C16907" s="5" t="str">
        <f>IFERROR(__xludf.DUMMYFUNCTION("GOOGLETRANSLATE(B16907,""en"",""it"")"),"Un uomo e una donna eseguono vari passi da ballo e quarto in una stanza vuota.")</f>
        <v>Un uomo e una donna eseguono vari passi da ballo e quarto in una stanza vuota.</v>
      </c>
    </row>
    <row r="16908">
      <c r="A16908" s="4" t="s">
        <v>21294</v>
      </c>
      <c r="B16908" s="6" t="s">
        <v>21296</v>
      </c>
      <c r="C16908" s="5" t="str">
        <f>IFERROR(__xludf.DUMMYFUNCTION("GOOGLETRANSLATE(B16908,""en"",""it"")"),"La coppia continua a girare ed eseguire la routine del tango mentre l'uomo la gira dietro di lui.")</f>
        <v>La coppia continua a girare ed eseguire la routine del tango mentre l'uomo la gira dietro di lui.</v>
      </c>
    </row>
    <row r="16909">
      <c r="A16909" s="4" t="s">
        <v>21297</v>
      </c>
      <c r="B16909" s="4" t="s">
        <v>21298</v>
      </c>
      <c r="C16909" s="5" t="str">
        <f>IFERROR(__xludf.DUMMYFUNCTION("GOOGLETRANSLATE(B16909,""en"",""it"")"),"Viene visto un uomo parlare alla telecamera mentre tiene in mano un filo.")</f>
        <v>Viene visto un uomo parlare alla telecamera mentre tiene in mano un filo.</v>
      </c>
    </row>
    <row r="16910">
      <c r="A16910" s="4" t="s">
        <v>21297</v>
      </c>
      <c r="B16910" s="4" t="s">
        <v>21299</v>
      </c>
      <c r="C16910" s="5" t="str">
        <f>IFERROR(__xludf.DUMMYFUNCTION("GOOGLETRANSLATE(B16910,""en"",""it"")"),"Continua a parlare mentre usa le mani e si unisce a un'area di moquette.")</f>
        <v>Continua a parlare mentre usa le mani e si unisce a un'area di moquette.</v>
      </c>
    </row>
    <row r="16911">
      <c r="A16911" s="4" t="s">
        <v>21297</v>
      </c>
      <c r="B16911" s="4" t="s">
        <v>21300</v>
      </c>
      <c r="C16911" s="5" t="str">
        <f>IFERROR(__xludf.DUMMYFUNCTION("GOOGLETRANSLATE(B16911,""en"",""it"")"),"Quindi usa un vuoto sui pavimenti mentre parla ancora alla fotocamera.")</f>
        <v>Quindi usa un vuoto sui pavimenti mentre parla ancora alla fotocamera.</v>
      </c>
    </row>
    <row r="16912">
      <c r="A16912" s="4" t="s">
        <v>21301</v>
      </c>
      <c r="B16912" s="4" t="s">
        <v>21302</v>
      </c>
      <c r="C16912" s="5" t="str">
        <f>IFERROR(__xludf.DUMMYFUNCTION("GOOGLETRANSLATE(B16912,""en"",""it"")"),"Viene mostrata una clip di un mucchio di persone che rafano in acque bianche lungo alcuni flussi fluviali piuttosto difficili.")</f>
        <v>Viene mostrata una clip di un mucchio di persone che rafano in acque bianche lungo alcuni flussi fluviali piuttosto difficili.</v>
      </c>
    </row>
    <row r="16913">
      <c r="A16913" s="4" t="s">
        <v>21301</v>
      </c>
      <c r="B16913" s="4" t="s">
        <v>21303</v>
      </c>
      <c r="C16913" s="5" t="str">
        <f>IFERROR(__xludf.DUMMYFUNCTION("GOOGLETRANSLATE(B16913,""en"",""it"")"),"Lavorano all'unisono ed è molto difficile.")</f>
        <v>Lavorano all'unisono ed è molto difficile.</v>
      </c>
    </row>
    <row r="16914">
      <c r="A16914" s="4" t="s">
        <v>21301</v>
      </c>
      <c r="B16914" s="4" t="s">
        <v>21304</v>
      </c>
      <c r="C16914" s="5" t="str">
        <f>IFERROR(__xludf.DUMMYFUNCTION("GOOGLETRANSLATE(B16914,""en"",""it"")"),"Hanno quasi colpito una roccia perché sono tutti molto duramente.")</f>
        <v>Hanno quasi colpito una roccia perché sono tutti molto duramente.</v>
      </c>
    </row>
    <row r="16915">
      <c r="A16915" s="4" t="s">
        <v>21301</v>
      </c>
      <c r="B16915" s="4" t="s">
        <v>21305</v>
      </c>
      <c r="C16915" s="5" t="str">
        <f>IFERROR(__xludf.DUMMYFUNCTION("GOOGLETRANSLATE(B16915,""en"",""it"")"),"Uno spettacolo ancora dopo averlo fatto è mostrato con loro che tirano.")</f>
        <v>Uno spettacolo ancora dopo averlo fatto è mostrato con loro che tirano.</v>
      </c>
    </row>
    <row r="16916">
      <c r="A16916" s="4" t="s">
        <v>21301</v>
      </c>
      <c r="B16916" s="4" t="s">
        <v>21306</v>
      </c>
      <c r="C16916" s="5" t="str">
        <f>IFERROR(__xludf.DUMMYFUNCTION("GOOGLETRANSLATE(B16916,""en"",""it"")"),"Viene quindi mostrato un colpo al rallentatore delle parti più difficili.")</f>
        <v>Viene quindi mostrato un colpo al rallentatore delle parti più difficili.</v>
      </c>
    </row>
    <row r="16917">
      <c r="A16917" s="4" t="s">
        <v>21301</v>
      </c>
      <c r="B16917" s="6" t="s">
        <v>21307</v>
      </c>
      <c r="C16917" s="5" t="str">
        <f>IFERROR(__xludf.DUMMYFUNCTION("GOOGLETRANSLATE(B16917,""en"",""it"")"),"Il video mostra un po 'più di rallentatore e movimento veloce prima di finire e mostrare crediti finali e un nome del canale YouTube.")</f>
        <v>Il video mostra un po 'più di rallentatore e movimento veloce prima di finire e mostrare crediti finali e un nome del canale YouTube.</v>
      </c>
    </row>
    <row r="16918">
      <c r="A16918" s="4" t="s">
        <v>21308</v>
      </c>
      <c r="B16918" s="4" t="s">
        <v>21309</v>
      </c>
      <c r="C16918" s="5" t="str">
        <f>IFERROR(__xludf.DUMMYFUNCTION("GOOGLETRANSLATE(B16918,""en"",""it"")"),"Una signora è in piedi e tiene un martello.")</f>
        <v>Una signora è in piedi e tiene un martello.</v>
      </c>
    </row>
    <row r="16919">
      <c r="A16919" s="4" t="s">
        <v>21308</v>
      </c>
      <c r="B16919" s="4" t="s">
        <v>21310</v>
      </c>
      <c r="C16919" s="5" t="str">
        <f>IFERROR(__xludf.DUMMYFUNCTION("GOOGLETRANSLATE(B16919,""en"",""it"")"),"La signora gira con il martello e lancia il martello.")</f>
        <v>La signora gira con il martello e lancia il martello.</v>
      </c>
    </row>
    <row r="16920">
      <c r="A16920" s="4" t="s">
        <v>21308</v>
      </c>
      <c r="B16920" s="4" t="s">
        <v>21311</v>
      </c>
      <c r="C16920" s="5" t="str">
        <f>IFERROR(__xludf.DUMMYFUNCTION("GOOGLETRANSLATE(B16920,""en"",""it"")"),"La signora parte dopo aver rilasciato il martello.")</f>
        <v>La signora parte dopo aver rilasciato il martello.</v>
      </c>
    </row>
    <row r="16921">
      <c r="A16921" s="4" t="s">
        <v>21312</v>
      </c>
      <c r="B16921" s="4" t="s">
        <v>21313</v>
      </c>
      <c r="C16921" s="5" t="str">
        <f>IFERROR(__xludf.DUMMYFUNCTION("GOOGLETRANSLATE(B16921,""en"",""it"")"),"I bambini giocano in una piscina olimina e una donna sta parlando con la telecamera.")</f>
        <v>I bambini giocano in una piscina olimina e una donna sta parlando con la telecamera.</v>
      </c>
    </row>
    <row r="16922">
      <c r="A16922" s="4" t="s">
        <v>21312</v>
      </c>
      <c r="B16922" s="6" t="s">
        <v>21314</v>
      </c>
      <c r="C16922" s="5" t="str">
        <f>IFERROR(__xludf.DUMMYFUNCTION("GOOGLETRANSLATE(B16922,""en"",""it"")"),"Kid sta usando la protezione solare e una donna sta parlando di crema solare Coppertone raccomandata per i bambini.")</f>
        <v>Kid sta usando la protezione solare e una donna sta parlando di crema solare Coppertone raccomandata per i bambini.</v>
      </c>
    </row>
    <row r="16923">
      <c r="A16923" s="4" t="s">
        <v>21315</v>
      </c>
      <c r="B16923" s="4" t="s">
        <v>21316</v>
      </c>
      <c r="C16923" s="5" t="str">
        <f>IFERROR(__xludf.DUMMYFUNCTION("GOOGLETRANSLATE(B16923,""en"",""it"")"),"Un uomo parla con in mano un microfono, quindi l'uomo esegue il braccio di wrestling con una persona.")</f>
        <v>Un uomo parla con in mano un microfono, quindi l'uomo esegue il braccio di wrestling con una persona.</v>
      </c>
    </row>
    <row r="16924">
      <c r="A16924" s="4" t="s">
        <v>21315</v>
      </c>
      <c r="B16924" s="4" t="s">
        <v>21317</v>
      </c>
      <c r="C16924" s="5" t="str">
        <f>IFERROR(__xludf.DUMMYFUNCTION("GOOGLETRANSLATE(B16924,""en"",""it"")"),"L'uomo prende un peso e pratica il sollevamento pesi con la mano sinistra.")</f>
        <v>L'uomo prende un peso e pratica il sollevamento pesi con la mano sinistra.</v>
      </c>
    </row>
    <row r="16925">
      <c r="A16925" s="4" t="s">
        <v>21315</v>
      </c>
      <c r="B16925" s="6" t="s">
        <v>21318</v>
      </c>
      <c r="C16925" s="5" t="str">
        <f>IFERROR(__xludf.DUMMYFUNCTION("GOOGLETRANSLATE(B16925,""en"",""it"")"),"Dopo, l'uomo toglie il sorveglianza ed esegue il braccio di wrestling con la persona e vince, poi salta felicemente.")</f>
        <v>Dopo, l'uomo toglie il sorveglianza ed esegue il braccio di wrestling con la persona e vince, poi salta felicemente.</v>
      </c>
    </row>
    <row r="16926">
      <c r="A16926" s="4" t="s">
        <v>21319</v>
      </c>
      <c r="B16926" s="4" t="s">
        <v>21320</v>
      </c>
      <c r="C16926" s="5" t="str">
        <f>IFERROR(__xludf.DUMMYFUNCTION("GOOGLETRANSLATE(B16926,""en"",""it"")"),"Una linea di batteria sta accadendo in una strada cittadina.")</f>
        <v>Una linea di batteria sta accadendo in una strada cittadina.</v>
      </c>
    </row>
    <row r="16927">
      <c r="A16927" s="4" t="s">
        <v>21319</v>
      </c>
      <c r="B16927" s="4" t="s">
        <v>21321</v>
      </c>
      <c r="C16927" s="5" t="str">
        <f>IFERROR(__xludf.DUMMYFUNCTION("GOOGLETRANSLATE(B16927,""en"",""it"")"),"Entrano in formazione, quindi iniziano a marciare lungo la strada.")</f>
        <v>Entrano in formazione, quindi iniziano a marciare lungo la strada.</v>
      </c>
    </row>
    <row r="16928">
      <c r="A16928" s="4" t="s">
        <v>21322</v>
      </c>
      <c r="B16928" s="4" t="s">
        <v>21323</v>
      </c>
      <c r="C16928" s="5" t="str">
        <f>IFERROR(__xludf.DUMMYFUNCTION("GOOGLETRANSLATE(B16928,""en"",""it"")"),"Un uomo è bowling e manca un perno con la sua prima palla.")</f>
        <v>Un uomo è bowling e manca un perno con la sua prima palla.</v>
      </c>
    </row>
    <row r="16929">
      <c r="A16929" s="4" t="s">
        <v>21322</v>
      </c>
      <c r="B16929" s="4" t="s">
        <v>21324</v>
      </c>
      <c r="C16929" s="5" t="str">
        <f>IFERROR(__xludf.DUMMYFUNCTION("GOOGLETRANSLATE(B16929,""en"",""it"")"),"Ottiene tutti gli scioperi per i prossimi sei round.")</f>
        <v>Ottiene tutti gli scioperi per i prossimi sei round.</v>
      </c>
    </row>
    <row r="16930">
      <c r="A16930" s="4" t="s">
        <v>21322</v>
      </c>
      <c r="B16930" s="4" t="s">
        <v>21325</v>
      </c>
      <c r="C16930" s="5" t="str">
        <f>IFERROR(__xludf.DUMMYFUNCTION("GOOGLETRANSLATE(B16930,""en"",""it"")"),"L'uomo commuta palline e ciotole molti altri round ottenendo principalmente colpi.")</f>
        <v>L'uomo commuta palline e ciotole molti altri round ottenendo principalmente colpi.</v>
      </c>
    </row>
    <row r="16931">
      <c r="A16931" s="4" t="s">
        <v>21322</v>
      </c>
      <c r="B16931" s="4" t="s">
        <v>21326</v>
      </c>
      <c r="C16931" s="5" t="str">
        <f>IFERROR(__xludf.DUMMYFUNCTION("GOOGLETRANSLATE(B16931,""en"",""it"")"),"Cambia di nuovo la sua palla e lancia altri due colpi.")</f>
        <v>Cambia di nuovo la sua palla e lancia altri due colpi.</v>
      </c>
    </row>
    <row r="16932">
      <c r="A16932" s="4" t="s">
        <v>21322</v>
      </c>
      <c r="B16932" s="4" t="s">
        <v>21327</v>
      </c>
      <c r="C16932" s="5" t="str">
        <f>IFERROR(__xludf.DUMMYFUNCTION("GOOGLETRANSLATE(B16932,""en"",""it"")"),"Viene mostrato un replay dell'uomo che bowling con ogni palla.")</f>
        <v>Viene mostrato un replay dell'uomo che bowling con ogni palla.</v>
      </c>
    </row>
    <row r="16933">
      <c r="A16933" s="4" t="s">
        <v>21328</v>
      </c>
      <c r="B16933" s="4" t="s">
        <v>21329</v>
      </c>
      <c r="C16933" s="5" t="str">
        <f>IFERROR(__xludf.DUMMYFUNCTION("GOOGLETRANSLATE(B16933,""en"",""it"")"),"Le persone sono in una città che camminano, parlano e svolgono attività.")</f>
        <v>Le persone sono in una città che camminano, parlano e svolgono attività.</v>
      </c>
    </row>
    <row r="16934">
      <c r="A16934" s="4" t="s">
        <v>21328</v>
      </c>
      <c r="B16934" s="4" t="s">
        <v>21330</v>
      </c>
      <c r="C16934" s="5" t="str">
        <f>IFERROR(__xludf.DUMMYFUNCTION("GOOGLETRANSLATE(B16934,""en"",""it"")"),"Due uomini suonano nella carta di strada, nelle forbici e in pietra sul fronte di altre persone.")</f>
        <v>Due uomini suonano nella carta di strada, nelle forbici e in pietra sul fronte di altre persone.</v>
      </c>
    </row>
    <row r="16935">
      <c r="A16935" s="4" t="s">
        <v>21328</v>
      </c>
      <c r="B16935" s="4" t="s">
        <v>21331</v>
      </c>
      <c r="C16935" s="5" t="str">
        <f>IFERROR(__xludf.DUMMYFUNCTION("GOOGLETRANSLATE(B16935,""en"",""it"")"),"Un uomo parla con le persone che lo guardano.")</f>
        <v>Un uomo parla con le persone che lo guardano.</v>
      </c>
    </row>
    <row r="16936">
      <c r="A16936" s="4" t="s">
        <v>21332</v>
      </c>
      <c r="B16936" s="4" t="s">
        <v>21333</v>
      </c>
      <c r="C16936" s="5" t="str">
        <f>IFERROR(__xludf.DUMMYFUNCTION("GOOGLETRANSLATE(B16936,""en"",""it"")"),"Un uomo viene mostrato all'interno di una piscina.")</f>
        <v>Un uomo viene mostrato all'interno di una piscina.</v>
      </c>
    </row>
    <row r="16937">
      <c r="A16937" s="4" t="s">
        <v>21332</v>
      </c>
      <c r="B16937" s="4" t="s">
        <v>21334</v>
      </c>
      <c r="C16937" s="5" t="str">
        <f>IFERROR(__xludf.DUMMYFUNCTION("GOOGLETRANSLATE(B16937,""en"",""it"")"),"Lancia una palla ancora e ancora al suo cane.")</f>
        <v>Lancia una palla ancora e ancora al suo cane.</v>
      </c>
    </row>
    <row r="16938">
      <c r="A16938" s="4" t="s">
        <v>21332</v>
      </c>
      <c r="B16938" s="4" t="s">
        <v>21335</v>
      </c>
      <c r="C16938" s="5" t="str">
        <f>IFERROR(__xludf.DUMMYFUNCTION("GOOGLETRANSLATE(B16938,""en"",""it"")"),"Il cane rimbalza continuamente la palla indietro con il naso.")</f>
        <v>Il cane rimbalza continuamente la palla indietro con il naso.</v>
      </c>
    </row>
    <row r="16939">
      <c r="A16939" s="4" t="s">
        <v>21336</v>
      </c>
      <c r="B16939" s="4" t="s">
        <v>21337</v>
      </c>
      <c r="C16939" s="5" t="str">
        <f>IFERROR(__xludf.DUMMYFUNCTION("GOOGLETRANSLATE(B16939,""en"",""it"")"),"Una donna con una camicia verde è in piedi fuori tenendo un cerchio di hula.")</f>
        <v>Una donna con una camicia verde è in piedi fuori tenendo un cerchio di hula.</v>
      </c>
    </row>
    <row r="16940">
      <c r="A16940" s="4" t="s">
        <v>21336</v>
      </c>
      <c r="B16940" s="4" t="s">
        <v>21338</v>
      </c>
      <c r="C16940" s="5" t="str">
        <f>IFERROR(__xludf.DUMMYFUNCTION("GOOGLETRANSLATE(B16940,""en"",""it"")"),"Inizia Hula Hoop con il cerchio di hula.")</f>
        <v>Inizia Hula Hoop con il cerchio di hula.</v>
      </c>
    </row>
    <row r="16941">
      <c r="A16941" s="4" t="s">
        <v>21336</v>
      </c>
      <c r="B16941" s="4" t="s">
        <v>21339</v>
      </c>
      <c r="C16941" s="5" t="str">
        <f>IFERROR(__xludf.DUMMYFUNCTION("GOOGLETRANSLATE(B16941,""en"",""it"")"),"Le parole arrivano sullo schermo alla fine.")</f>
        <v>Le parole arrivano sullo schermo alla fine.</v>
      </c>
    </row>
    <row r="16942">
      <c r="A16942" s="4" t="s">
        <v>21340</v>
      </c>
      <c r="B16942" s="6" t="s">
        <v>21341</v>
      </c>
      <c r="C16942" s="5" t="str">
        <f>IFERROR(__xludf.DUMMYFUNCTION("GOOGLETRANSLATE(B16942,""en"",""it"")"),"Un gruppo di persone è al di fuori di una stazione sciistica intitolata Boulder Ridge e iniziano ad aspettare in linea con i loro tubi.")</f>
        <v>Un gruppo di persone è al di fuori di una stazione sciistica intitolata Boulder Ridge e iniziano ad aspettare in linea con i loro tubi.</v>
      </c>
    </row>
    <row r="16943">
      <c r="A16943" s="4" t="s">
        <v>21340</v>
      </c>
      <c r="B16943" s="6" t="s">
        <v>21342</v>
      </c>
      <c r="C16943" s="5" t="str">
        <f>IFERROR(__xludf.DUMMYFUNCTION("GOOGLETRANSLATE(B16943,""en"",""it"")"),"Mentre stanno aspettando, possono vedere diverse persone scendere dalla collina e tubi prima che sia finalmente il loro turno.")</f>
        <v>Mentre stanno aspettando, possono vedere diverse persone scendere dalla collina e tubi prima che sia finalmente il loro turno.</v>
      </c>
    </row>
    <row r="16944">
      <c r="A16944" s="4" t="s">
        <v>21340</v>
      </c>
      <c r="B16944" s="4" t="s">
        <v>21343</v>
      </c>
      <c r="C16944" s="5" t="str">
        <f>IFERROR(__xludf.DUMMYFUNCTION("GOOGLETRANSLATE(B16944,""en"",""it"")"),"Una volta raggiunti il ​​fondo, afferrano il tubo e iniziano a scendere dal pendio.")</f>
        <v>Una volta raggiunti il ​​fondo, afferrano il tubo e iniziano a scendere dal pendio.</v>
      </c>
    </row>
    <row r="16945">
      <c r="A16945" s="4" t="s">
        <v>21344</v>
      </c>
      <c r="B16945" s="6" t="s">
        <v>21345</v>
      </c>
      <c r="C16945" s="5" t="str">
        <f>IFERROR(__xludf.DUMMYFUNCTION("GOOGLETRANSLATE(B16945,""en"",""it"")"),"Un video introduttivo con uno schermo blu che ha un'immagine di una nave disegnata è sullo sfondo mentre le parole gialle scorrono dal basso verso la parte superiore.")</f>
        <v>Un video introduttivo con uno schermo blu che ha un'immagine di una nave disegnata è sullo sfondo mentre le parole gialle scorrono dal basso verso la parte superiore.</v>
      </c>
    </row>
    <row r="16946">
      <c r="A16946" s="4" t="s">
        <v>21344</v>
      </c>
      <c r="B16946" s="4" t="s">
        <v>21346</v>
      </c>
      <c r="C16946" s="5" t="str">
        <f>IFERROR(__xludf.DUMMYFUNCTION("GOOGLETRANSLATE(B16946,""en"",""it"")"),"Una vista dall'acqua inizia e alcune case e molti alberi sono mostrati a terra.")</f>
        <v>Una vista dall'acqua inizia e alcune case e molti alberi sono mostrati a terra.</v>
      </c>
    </row>
    <row r="16947">
      <c r="A16947" s="4" t="s">
        <v>21344</v>
      </c>
      <c r="B16947" s="6" t="s">
        <v>21347</v>
      </c>
      <c r="C16947" s="5" t="str">
        <f>IFERROR(__xludf.DUMMYFUNCTION("GOOGLETRANSLATE(B16947,""en"",""it"")"),"Una persona sott'acqua in attrezzatura da snorkeling ora nuota sul fondo dell'acqua e si incontra con un altro snorkeler ed entrambi entrano in una nave che è sott'acqua mentre tengono le loro torce e telecamere per esplorare la nave e tutto il resto nell"&amp;"a parte inferiore del l'acqua.")</f>
        <v>Una persona sott'acqua in attrezzatura da snorkeling ora nuota sul fondo dell'acqua e si incontra con un altro snorkeler ed entrambi entrano in una nave che è sott'acqua mentre tengono le loro torce e telecamere per esplorare la nave e tutto il resto nella parte inferiore del l'acqua.</v>
      </c>
    </row>
    <row r="16948">
      <c r="A16948" s="4" t="s">
        <v>21344</v>
      </c>
      <c r="B16948" s="4" t="s">
        <v>21348</v>
      </c>
      <c r="C16948" s="5" t="str">
        <f>IFERROR(__xludf.DUMMYFUNCTION("GOOGLETRANSLATE(B16948,""en"",""it"")"),"Appare una scuola di pesci e stanno nuotando e appesi intorno alla barca.")</f>
        <v>Appare una scuola di pesci e stanno nuotando e appesi intorno alla barca.</v>
      </c>
    </row>
    <row r="16949">
      <c r="A16949" s="4" t="s">
        <v>21344</v>
      </c>
      <c r="B16949" s="4" t="s">
        <v>21349</v>
      </c>
      <c r="C16949" s="5" t="str">
        <f>IFERROR(__xludf.DUMMYFUNCTION("GOOGLETRANSLATE(B16949,""en"",""it"")"),"L'attenzione ritorna agli snorkeler mentre continuano a esplorare l'area con le torce.")</f>
        <v>L'attenzione ritorna agli snorkeler mentre continuano a esplorare l'area con le torce.</v>
      </c>
    </row>
    <row r="16950">
      <c r="A16950" s="4" t="s">
        <v>21344</v>
      </c>
      <c r="B16950" s="6" t="s">
        <v>21350</v>
      </c>
      <c r="C16950" s="5" t="str">
        <f>IFERROR(__xludf.DUMMYFUNCTION("GOOGLETRANSLATE(B16950,""en"",""it"")"),"Viene visualizzato il video di Outro ed è la stessa immagine blu dell'introduzione e include alcune informazioni di contatto sul video e i crediti iniziano a rotolare con il testo che scorre da basso verso l'alto.")</f>
        <v>Viene visualizzato il video di Outro ed è la stessa immagine blu dell'introduzione e include alcune informazioni di contatto sul video e i crediti iniziano a rotolare con il testo che scorre da basso verso l'alto.</v>
      </c>
    </row>
    <row r="16951">
      <c r="A16951" s="4" t="s">
        <v>21351</v>
      </c>
      <c r="B16951" s="4" t="s">
        <v>21352</v>
      </c>
      <c r="C16951" s="5" t="str">
        <f>IFERROR(__xludf.DUMMYFUNCTION("GOOGLETRANSLATE(B16951,""en"",""it"")"),"Un uomo è seduto, suonando una chitarra.")</f>
        <v>Un uomo è seduto, suonando una chitarra.</v>
      </c>
    </row>
    <row r="16952">
      <c r="A16952" s="4" t="s">
        <v>21351</v>
      </c>
      <c r="B16952" s="4" t="s">
        <v>21353</v>
      </c>
      <c r="C16952" s="5" t="str">
        <f>IFERROR(__xludf.DUMMYFUNCTION("GOOGLETRANSLATE(B16952,""en"",""it"")"),"I primi piani vengono occasionalmente mostrati dello strumento, quindi di nuovo all'uomo che suona.")</f>
        <v>I primi piani vengono occasionalmente mostrati dello strumento, quindi di nuovo all'uomo che suona.</v>
      </c>
    </row>
    <row r="16953">
      <c r="A16953" s="4" t="s">
        <v>21354</v>
      </c>
      <c r="B16953" s="4" t="s">
        <v>21355</v>
      </c>
      <c r="C16953" s="5" t="str">
        <f>IFERROR(__xludf.DUMMYFUNCTION("GOOGLETRANSLATE(B16953,""en"",""it"")"),"Le persone giocano una partita di polo in un campo.")</f>
        <v>Le persone giocano una partita di polo in un campo.</v>
      </c>
    </row>
    <row r="16954">
      <c r="A16954" s="4" t="s">
        <v>21354</v>
      </c>
      <c r="B16954" s="4" t="s">
        <v>21356</v>
      </c>
      <c r="C16954" s="5" t="str">
        <f>IFERROR(__xludf.DUMMYFUNCTION("GOOGLETRANSLATE(B16954,""en"",""it"")"),"L'attenzione è focalizzata su un uomo e un cavallo che inseguono la palla.")</f>
        <v>L'attenzione è focalizzata su un uomo e un cavallo che inseguono la palla.</v>
      </c>
    </row>
    <row r="16955">
      <c r="A16955" s="4" t="s">
        <v>21354</v>
      </c>
      <c r="B16955" s="4" t="s">
        <v>21357</v>
      </c>
      <c r="C16955" s="5" t="str">
        <f>IFERROR(__xludf.DUMMYFUNCTION("GOOGLETRANSLATE(B16955,""en"",""it"")"),"La fotocamera rimane al numero 2 per tutto il tempo.")</f>
        <v>La fotocamera rimane al numero 2 per tutto il tempo.</v>
      </c>
    </row>
    <row r="16956">
      <c r="A16956" s="4" t="s">
        <v>21358</v>
      </c>
      <c r="B16956" s="4" t="s">
        <v>21359</v>
      </c>
      <c r="C16956" s="5" t="str">
        <f>IFERROR(__xludf.DUMMYFUNCTION("GOOGLETRANSLATE(B16956,""en"",""it"")"),"Un uomo di nome Bob sta correndo e fa un salto in lungo.")</f>
        <v>Un uomo di nome Bob sta correndo e fa un salto in lungo.</v>
      </c>
    </row>
    <row r="16957">
      <c r="A16957" s="4" t="s">
        <v>21358</v>
      </c>
      <c r="B16957" s="4" t="s">
        <v>21360</v>
      </c>
      <c r="C16957" s="5" t="str">
        <f>IFERROR(__xludf.DUMMYFUNCTION("GOOGLETRANSLATE(B16957,""en"",""it"")"),"Lo fa di nuovo atterrando in un po 'di sabbia.")</f>
        <v>Lo fa di nuovo atterrando in un po 'di sabbia.</v>
      </c>
    </row>
    <row r="16958">
      <c r="A16958" s="4" t="s">
        <v>21358</v>
      </c>
      <c r="B16958" s="4" t="s">
        <v>21361</v>
      </c>
      <c r="C16958" s="5" t="str">
        <f>IFERROR(__xludf.DUMMYFUNCTION("GOOGLETRANSLATE(B16958,""en"",""it"")"),"Continua a fare questa corsa e salta di nuovo atterrando come un professionista.")</f>
        <v>Continua a fare questa corsa e salta di nuovo atterrando come un professionista.</v>
      </c>
    </row>
    <row r="16959">
      <c r="A16959" s="4" t="s">
        <v>21358</v>
      </c>
      <c r="B16959" s="4" t="s">
        <v>21362</v>
      </c>
      <c r="C16959" s="5" t="str">
        <f>IFERROR(__xludf.DUMMYFUNCTION("GOOGLETRANSLATE(B16959,""en"",""it"")"),"Quindi un altro uomo di nome Ralph prenderà il suo turno dopo.")</f>
        <v>Quindi un altro uomo di nome Ralph prenderà il suo turno dopo.</v>
      </c>
    </row>
    <row r="16960">
      <c r="A16960" s="4" t="s">
        <v>21363</v>
      </c>
      <c r="B16960" s="4" t="s">
        <v>21364</v>
      </c>
      <c r="C16960" s="5" t="str">
        <f>IFERROR(__xludf.DUMMYFUNCTION("GOOGLETRANSLATE(B16960,""en"",""it"")"),"Varie intros di testo portano in diverse persone che corrono lungo una lunga pista.")</f>
        <v>Varie intros di testo portano in diverse persone che corrono lungo una lunga pista.</v>
      </c>
    </row>
    <row r="16961">
      <c r="A16961" s="4" t="s">
        <v>21363</v>
      </c>
      <c r="B16961" s="4" t="s">
        <v>21365</v>
      </c>
      <c r="C16961" s="5" t="str">
        <f>IFERROR(__xludf.DUMMYFUNCTION("GOOGLETRANSLATE(B16961,""en"",""it"")"),"La fotocamera cattura i corridori da diverse angolazioni e conduce a loro eseguendo salti.")</f>
        <v>La fotocamera cattura i corridori da diverse angolazioni e conduce a loro eseguendo salti.</v>
      </c>
    </row>
    <row r="16962">
      <c r="A16962" s="4" t="s">
        <v>21363</v>
      </c>
      <c r="B16962" s="4" t="s">
        <v>21366</v>
      </c>
      <c r="C16962" s="5" t="str">
        <f>IFERROR(__xludf.DUMMYFUNCTION("GOOGLETRANSLATE(B16962,""en"",""it"")"),"I corridori saltano continuamente nella fossa e finiscono con il testo sullo schermo.")</f>
        <v>I corridori saltano continuamente nella fossa e finiscono con il testo sullo schermo.</v>
      </c>
    </row>
    <row r="16963">
      <c r="A16963" s="4" t="s">
        <v>21367</v>
      </c>
      <c r="B16963" s="4" t="s">
        <v>21368</v>
      </c>
      <c r="C16963" s="5" t="str">
        <f>IFERROR(__xludf.DUMMYFUNCTION("GOOGLETRANSLATE(B16963,""en"",""it"")"),"Una donna in abito rosso sta parlando dietro una scrivania.")</f>
        <v>Una donna in abito rosso sta parlando dietro una scrivania.</v>
      </c>
    </row>
    <row r="16964">
      <c r="A16964" s="4" t="s">
        <v>21367</v>
      </c>
      <c r="B16964" s="4" t="s">
        <v>21369</v>
      </c>
      <c r="C16964" s="5" t="str">
        <f>IFERROR(__xludf.DUMMYFUNCTION("GOOGLETRANSLATE(B16964,""en"",""it"")"),"Un uomo si alza in piedi trattenendo il piede dietro è indietro.")</f>
        <v>Un uomo si alza in piedi trattenendo il piede dietro è indietro.</v>
      </c>
    </row>
    <row r="16965">
      <c r="A16965" s="4" t="s">
        <v>21367</v>
      </c>
      <c r="B16965" s="4" t="s">
        <v>21370</v>
      </c>
      <c r="C16965" s="5" t="str">
        <f>IFERROR(__xludf.DUMMYFUNCTION("GOOGLETRANSLATE(B16965,""en"",""it"")"),"Le persone stanno correndo lungo il marciapiede.")</f>
        <v>Le persone stanno correndo lungo il marciapiede.</v>
      </c>
    </row>
    <row r="16966">
      <c r="A16966" s="4" t="s">
        <v>21367</v>
      </c>
      <c r="B16966" s="4" t="s">
        <v>21371</v>
      </c>
      <c r="C16966" s="5" t="str">
        <f>IFERROR(__xludf.DUMMYFUNCTION("GOOGLETRANSLATE(B16966,""en"",""it"")"),"Un uomo con una camicia blu sta parlando con la telecamera.")</f>
        <v>Un uomo con una camicia blu sta parlando con la telecamera.</v>
      </c>
    </row>
    <row r="16967">
      <c r="A16967" s="4" t="s">
        <v>21367</v>
      </c>
      <c r="B16967" s="4" t="s">
        <v>21372</v>
      </c>
      <c r="C16967" s="5" t="str">
        <f>IFERROR(__xludf.DUMMYFUNCTION("GOOGLETRANSLATE(B16967,""en"",""it"")"),"Una donna con una camicia nera sta parlando con la telecamera.")</f>
        <v>Una donna con una camicia nera sta parlando con la telecamera.</v>
      </c>
    </row>
    <row r="16968">
      <c r="A16968" s="4" t="s">
        <v>21367</v>
      </c>
      <c r="B16968" s="4" t="s">
        <v>21373</v>
      </c>
      <c r="C16968" s="5" t="str">
        <f>IFERROR(__xludf.DUMMYFUNCTION("GOOGLETRANSLATE(B16968,""en"",""it"")"),"Le persone stanno correndo lungo un sentiero.")</f>
        <v>Le persone stanno correndo lungo un sentiero.</v>
      </c>
    </row>
    <row r="16969">
      <c r="A16969" s="4" t="s">
        <v>21374</v>
      </c>
      <c r="B16969" s="4" t="s">
        <v>21375</v>
      </c>
      <c r="C16969" s="5" t="str">
        <f>IFERROR(__xludf.DUMMYFUNCTION("GOOGLETRANSLATE(B16969,""en"",""it"")"),"Vediamo uomini che camminano per strada e cadono uno skateboarder.")</f>
        <v>Vediamo uomini che camminano per strada e cadono uno skateboarder.</v>
      </c>
    </row>
    <row r="16970">
      <c r="A16970" s="4" t="s">
        <v>21374</v>
      </c>
      <c r="B16970" s="4" t="s">
        <v>21376</v>
      </c>
      <c r="C16970" s="5" t="str">
        <f>IFERROR(__xludf.DUMMYFUNCTION("GOOGLETRANSLATE(B16970,""en"",""it"")"),"Vediamo bambini e skateboarder del club con schermi del titolo.")</f>
        <v>Vediamo bambini e skateboarder del club con schermi del titolo.</v>
      </c>
    </row>
    <row r="16971">
      <c r="A16971" s="4" t="s">
        <v>21374</v>
      </c>
      <c r="B16971" s="4" t="s">
        <v>21377</v>
      </c>
      <c r="C16971" s="5" t="str">
        <f>IFERROR(__xludf.DUMMYFUNCTION("GOOGLETRANSLATE(B16971,""en"",""it"")"),"Vediamo uomini skateboard lungo una strada e ci mettiamo in giro in gruppo.")</f>
        <v>Vediamo uomini skateboard lungo una strada e ci mettiamo in giro in gruppo.</v>
      </c>
    </row>
    <row r="16972">
      <c r="A16972" s="4" t="s">
        <v>21374</v>
      </c>
      <c r="B16972" s="4" t="s">
        <v>21378</v>
      </c>
      <c r="C16972" s="5" t="str">
        <f>IFERROR(__xludf.DUMMYFUNCTION("GOOGLETRANSLATE(B16972,""en"",""it"")"),"Un uomo salta sulle scale e corre nella telecamera.")</f>
        <v>Un uomo salta sulle scale e corre nella telecamera.</v>
      </c>
    </row>
    <row r="16973">
      <c r="A16973" s="4" t="s">
        <v>21374</v>
      </c>
      <c r="B16973" s="4" t="s">
        <v>21379</v>
      </c>
      <c r="C16973" s="5" t="str">
        <f>IFERROR(__xludf.DUMMYFUNCTION("GOOGLETRANSLATE(B16973,""en"",""it"")"),"Un uomo cade e un altro corre nella fotocamera.")</f>
        <v>Un uomo cade e un altro corre nella fotocamera.</v>
      </c>
    </row>
    <row r="16974">
      <c r="A16974" s="4" t="s">
        <v>21374</v>
      </c>
      <c r="B16974" s="4" t="s">
        <v>21380</v>
      </c>
      <c r="C16974" s="5" t="str">
        <f>IFERROR(__xludf.DUMMYFUNCTION("GOOGLETRANSLATE(B16974,""en"",""it"")"),"Vediamo un'ondata di un uomo e un altro su un corno di toro.")</f>
        <v>Vediamo un'ondata di un uomo e un altro su un corno di toro.</v>
      </c>
    </row>
    <row r="16975">
      <c r="A16975" s="4" t="s">
        <v>21374</v>
      </c>
      <c r="B16975" s="4" t="s">
        <v>21381</v>
      </c>
      <c r="C16975" s="5" t="str">
        <f>IFERROR(__xludf.DUMMYFUNCTION("GOOGLETRANSLATE(B16975,""en"",""it"")"),"The Club Lights Flash e una band suonano musica mentre le persone ballano.")</f>
        <v>The Club Lights Flash e una band suonano musica mentre le persone ballano.</v>
      </c>
    </row>
    <row r="16976">
      <c r="A16976" s="4" t="s">
        <v>21374</v>
      </c>
      <c r="B16976" s="4" t="s">
        <v>21382</v>
      </c>
      <c r="C16976" s="5" t="str">
        <f>IFERROR(__xludf.DUMMYFUNCTION("GOOGLETRANSLATE(B16976,""en"",""it"")"),"Vediamo i titoli di coda e più pattinaggio.")</f>
        <v>Vediamo i titoli di coda e più pattinaggio.</v>
      </c>
    </row>
    <row r="16977">
      <c r="A16977" s="4" t="s">
        <v>21383</v>
      </c>
      <c r="B16977" s="6" t="s">
        <v>21384</v>
      </c>
      <c r="C16977" s="5" t="str">
        <f>IFERROR(__xludf.DUMMYFUNCTION("GOOGLETRANSLATE(B16977,""en"",""it"")"),"Viene visualizzata una clip introduttiva ed è un'animazione di una sedia a dondolo grigio che oscilla su uno schermo grigio molto chiaro che ha parole arancioni che dicono ""The Stripper!"" e le lettere bianche m &amp; r in un ovale blu scuro.")</f>
        <v>Viene visualizzata una clip introduttiva ed è un'animazione di una sedia a dondolo grigio che oscilla su uno schermo grigio molto chiaro che ha parole arancioni che dicono "The Stripper!" e le lettere bianche m &amp; r in un ovale blu scuro.</v>
      </c>
    </row>
    <row r="16978">
      <c r="A16978" s="4" t="s">
        <v>21383</v>
      </c>
      <c r="B16978" s="6" t="s">
        <v>21385</v>
      </c>
      <c r="C16978" s="5" t="str">
        <f>IFERROR(__xludf.DUMMYFUNCTION("GOOGLETRANSLATE(B16978,""en"",""it"")"),"Vengono mostrate clip del negozio esterne e interni e include una persona in un ufficio, le persone nel negozio che lavorano sui pezzi di legno, le persone intervistate, le forniture in legno e i pezzi di legno finiti.")</f>
        <v>Vengono mostrate clip del negozio esterne e interni e include una persona in un ufficio, le persone nel negozio che lavorano sui pezzi di legno, le persone intervistate, le forniture in legno e i pezzi di legno finiti.</v>
      </c>
    </row>
    <row r="16979">
      <c r="A16979" s="4" t="s">
        <v>21383</v>
      </c>
      <c r="B16979" s="6" t="s">
        <v>21386</v>
      </c>
      <c r="C16979" s="5" t="str">
        <f>IFERROR(__xludf.DUMMYFUNCTION("GOOGLETRANSLATE(B16979,""en"",""it"")"),"Viene visualizzato Outro ed è il video clip degli operai che lavorano sui pezzi di legno e il testo appare sullo schermo che include l'indirizzo dei negozi, l'e -mail, il sito Web e il numero di telefono, il negozio esterno viene nuovamente mostrato.")</f>
        <v>Viene visualizzato Outro ed è il video clip degli operai che lavorano sui pezzi di legno e il testo appare sullo schermo che include l'indirizzo dei negozi, l'e -mail, il sito Web e il numero di telefono, il negozio esterno viene nuovamente mostrato.</v>
      </c>
    </row>
    <row r="16980">
      <c r="A16980" s="4" t="s">
        <v>21383</v>
      </c>
      <c r="B16980" s="6" t="s">
        <v>21387</v>
      </c>
      <c r="C16980" s="5" t="str">
        <f>IFERROR(__xludf.DUMMYFUNCTION("GOOGLETRANSLATE(B16980,""en"",""it"")"),"L'ultima schermata è la schermata grigio chiaro mostrato per la prima volta e include il nome dell'azienda, il numero e il sito Web.")</f>
        <v>L'ultima schermata è la schermata grigio chiaro mostrato per la prima volta e include il nome dell'azienda, il numero e il sito Web.</v>
      </c>
    </row>
    <row r="16981">
      <c r="A16981" s="4" t="s">
        <v>21388</v>
      </c>
      <c r="B16981" s="4" t="s">
        <v>21389</v>
      </c>
      <c r="C16981" s="5" t="str">
        <f>IFERROR(__xludf.DUMMYFUNCTION("GOOGLETRANSLATE(B16981,""en"",""it"")"),"Una ragazza si siede davanti a un giro.")</f>
        <v>Una ragazza si siede davanti a un giro.</v>
      </c>
    </row>
    <row r="16982">
      <c r="A16982" s="4" t="s">
        <v>21388</v>
      </c>
      <c r="B16982" s="4" t="s">
        <v>21390</v>
      </c>
      <c r="C16982" s="5" t="str">
        <f>IFERROR(__xludf.DUMMYFUNCTION("GOOGLETRANSLATE(B16982,""en"",""it"")"),"Sta fumando un narghilè con una punta rossa e soffia il fumo dalla bocca.")</f>
        <v>Sta fumando un narghilè con una punta rossa e soffia il fumo dalla bocca.</v>
      </c>
    </row>
    <row r="16983">
      <c r="A16983" s="4" t="s">
        <v>21388</v>
      </c>
      <c r="B16983" s="6" t="s">
        <v>21391</v>
      </c>
      <c r="C16983" s="5" t="str">
        <f>IFERROR(__xludf.DUMMYFUNCTION("GOOGLETRANSLATE(B16983,""en"",""it"")"),"Ride, poi condivide il narghilè con un'altra donna, che cambia anche la punta e fuma.")</f>
        <v>Ride, poi condivide il narghilè con un'altra donna, che cambia anche la punta e fuma.</v>
      </c>
    </row>
    <row r="16984">
      <c r="A16984" s="4" t="s">
        <v>21388</v>
      </c>
      <c r="B16984" s="4" t="s">
        <v>21392</v>
      </c>
      <c r="C16984" s="5" t="str">
        <f>IFERROR(__xludf.DUMMYFUNCTION("GOOGLETRANSLATE(B16984,""en"",""it"")"),"Le donne parlano e fumano al tavolo per molto tempo.")</f>
        <v>Le donne parlano e fumano al tavolo per molto tempo.</v>
      </c>
    </row>
    <row r="16985">
      <c r="A16985" s="4" t="s">
        <v>21393</v>
      </c>
      <c r="B16985" s="4" t="s">
        <v>21394</v>
      </c>
      <c r="C16985" s="5" t="str">
        <f>IFERROR(__xludf.DUMMYFUNCTION("GOOGLETRANSLATE(B16985,""en"",""it"")"),"Le immagini di un ufficio sono mostrate.")</f>
        <v>Le immagini di un ufficio sono mostrate.</v>
      </c>
    </row>
    <row r="16986">
      <c r="A16986" s="4" t="s">
        <v>21393</v>
      </c>
      <c r="B16986" s="4" t="s">
        <v>21395</v>
      </c>
      <c r="C16986" s="5" t="str">
        <f>IFERROR(__xludf.DUMMYFUNCTION("GOOGLETRANSLATE(B16986,""en"",""it"")"),"Una donna sta facendo i capelli di un'altra donna.")</f>
        <v>Una donna sta facendo i capelli di un'altra donna.</v>
      </c>
    </row>
    <row r="16987">
      <c r="A16987" s="4" t="s">
        <v>21393</v>
      </c>
      <c r="B16987" s="4" t="s">
        <v>21396</v>
      </c>
      <c r="C16987" s="5" t="str">
        <f>IFERROR(__xludf.DUMMYFUNCTION("GOOGLETRANSLATE(B16987,""en"",""it"")"),"Le persone stanno facendo i capelli in un parrucchiere.")</f>
        <v>Le persone stanno facendo i capelli in un parrucchiere.</v>
      </c>
    </row>
    <row r="16988">
      <c r="A16988" s="4" t="s">
        <v>21397</v>
      </c>
      <c r="B16988" s="6" t="s">
        <v>21398</v>
      </c>
      <c r="C16988" s="5" t="str">
        <f>IFERROR(__xludf.DUMMYFUNCTION("GOOGLETRANSLATE(B16988,""en"",""it"")"),"Viene vista una donna parlare alla telecamera mentre tiene in mano vari oggetti e inizia a spruzzare una finestra davanti a lei.")</f>
        <v>Viene vista una donna parlare alla telecamera mentre tiene in mano vari oggetti e inizia a spruzzare una finestra davanti a lei.</v>
      </c>
    </row>
    <row r="16989">
      <c r="A16989" s="4" t="s">
        <v>21397</v>
      </c>
      <c r="B16989" s="6" t="s">
        <v>21399</v>
      </c>
      <c r="C16989" s="5" t="str">
        <f>IFERROR(__xludf.DUMMYFUNCTION("GOOGLETRANSLATE(B16989,""en"",""it"")"),"La donna si asciuga dalla finestra con uno straccio e un raschietto e continua a guardare indietro e parlare con la telecamera.")</f>
        <v>La donna si asciuga dalla finestra con uno straccio e un raschietto e continua a guardare indietro e parlare con la telecamera.</v>
      </c>
    </row>
    <row r="16990">
      <c r="A16990" s="4" t="s">
        <v>21400</v>
      </c>
      <c r="B16990" s="4" t="s">
        <v>21401</v>
      </c>
      <c r="C16990" s="5" t="str">
        <f>IFERROR(__xludf.DUMMYFUNCTION("GOOGLETRANSLATE(B16990,""en"",""it"")"),"Una persona cavalca rapidamente su un tubo interce in un gruppo di amici su un fiume roccioso.")</f>
        <v>Una persona cavalca rapidamente su un tubo interce in un gruppo di amici su un fiume roccioso.</v>
      </c>
    </row>
    <row r="16991">
      <c r="A16991" s="4" t="s">
        <v>21400</v>
      </c>
      <c r="B16991" s="4" t="s">
        <v>21402</v>
      </c>
      <c r="C16991" s="5" t="str">
        <f>IFERROR(__xludf.DUMMYFUNCTION("GOOGLETRANSLATE(B16991,""en"",""it"")"),"Le persone negli intertubs sono aiutate da una pila fluviale in polo.")</f>
        <v>Le persone negli intertubs sono aiutate da una pila fluviale in polo.</v>
      </c>
    </row>
    <row r="16992">
      <c r="A16992" s="4" t="s">
        <v>21403</v>
      </c>
      <c r="B16992" s="6" t="s">
        <v>21404</v>
      </c>
      <c r="C16992" s="5" t="str">
        <f>IFERROR(__xludf.DUMMYFUNCTION("GOOGLETRANSLATE(B16992,""en"",""it"")"),"Una ragazza versa il liquido da una bottiglia a una tazza che tiene una giovane donna, quindi sciacquano la bocca mentre fanno gesti e ridono.")</f>
        <v>Una ragazza versa il liquido da una bottiglia a una tazza che tiene una giovane donna, quindi sciacquano la bocca mentre fanno gesti e ridono.</v>
      </c>
    </row>
    <row r="16993">
      <c r="A16993" s="4" t="s">
        <v>21403</v>
      </c>
      <c r="B16993" s="4" t="s">
        <v>21405</v>
      </c>
      <c r="C16993" s="5" t="str">
        <f>IFERROR(__xludf.DUMMYFUNCTION("GOOGLETRANSLATE(B16993,""en"",""it"")"),"Dopo, la giovane donna sputa il liquido e poi si spinge la guancia della ragazza che sputa.")</f>
        <v>Dopo, la giovane donna sputa il liquido e poi si spinge la guancia della ragazza che sputa.</v>
      </c>
    </row>
    <row r="16994">
      <c r="A16994" s="4" t="s">
        <v>21403</v>
      </c>
      <c r="B16994" s="6" t="s">
        <v>21406</v>
      </c>
      <c r="C16994" s="5" t="str">
        <f>IFERROR(__xludf.DUMMYFUNCTION("GOOGLETRANSLATE(B16994,""en"",""it"")"),"Successivamente, la ragazza accende il rubinetto della vasca da bagno e si piega, dopo che la ragazza spegne il rubinetto e pulisce le mani mentre parla.")</f>
        <v>Successivamente, la ragazza accende il rubinetto della vasca da bagno e si piega, dopo che la ragazza spegne il rubinetto e pulisce le mani mentre parla.</v>
      </c>
    </row>
    <row r="16995">
      <c r="A16995" s="4" t="s">
        <v>21407</v>
      </c>
      <c r="B16995" s="4" t="s">
        <v>1487</v>
      </c>
      <c r="C16995" s="5" t="str">
        <f>IFERROR(__xludf.DUMMYFUNCTION("GOOGLETRANSLATE(B16995,""en"",""it"")"),"Vediamo una schermata del titolo di apertura.")</f>
        <v>Vediamo una schermata del titolo di apertura.</v>
      </c>
    </row>
    <row r="16996">
      <c r="A16996" s="4" t="s">
        <v>21407</v>
      </c>
      <c r="B16996" s="4" t="s">
        <v>21408</v>
      </c>
      <c r="C16996" s="5" t="str">
        <f>IFERROR(__xludf.DUMMYFUNCTION("GOOGLETRANSLATE(B16996,""en"",""it"")"),"Vediamo un uomo parlare.")</f>
        <v>Vediamo un uomo parlare.</v>
      </c>
    </row>
    <row r="16997">
      <c r="A16997" s="4" t="s">
        <v>21407</v>
      </c>
      <c r="B16997" s="4" t="s">
        <v>21409</v>
      </c>
      <c r="C16997" s="5" t="str">
        <f>IFERROR(__xludf.DUMMYFUNCTION("GOOGLETRANSLATE(B16997,""en"",""it"")"),"L'uomo si bagna le mani e aggiunge sapone.")</f>
        <v>L'uomo si bagna le mani e aggiunge sapone.</v>
      </c>
    </row>
    <row r="16998">
      <c r="A16998" s="4" t="s">
        <v>21407</v>
      </c>
      <c r="B16998" s="4" t="s">
        <v>21410</v>
      </c>
      <c r="C16998" s="5" t="str">
        <f>IFERROR(__xludf.DUMMYFUNCTION("GOOGLETRANSLATE(B16998,""en"",""it"")"),"Vediamo l'uomo lavare le mani.")</f>
        <v>Vediamo l'uomo lavare le mani.</v>
      </c>
    </row>
    <row r="16999">
      <c r="A16999" s="4" t="s">
        <v>21407</v>
      </c>
      <c r="B16999" s="4" t="s">
        <v>21411</v>
      </c>
      <c r="C16999" s="5" t="str">
        <f>IFERROR(__xludf.DUMMYFUNCTION("GOOGLETRANSLATE(B16999,""en"",""it"")"),"L'uomo si sciacqua le mani.")</f>
        <v>L'uomo si sciacqua le mani.</v>
      </c>
    </row>
    <row r="17000">
      <c r="A17000" s="4" t="s">
        <v>21407</v>
      </c>
      <c r="B17000" s="4" t="s">
        <v>21412</v>
      </c>
      <c r="C17000" s="5" t="str">
        <f>IFERROR(__xludf.DUMMYFUNCTION("GOOGLETRANSLATE(B17000,""en"",""it"")"),"L'uomo si aggancia le mani e spegne l'acqua con il tovagliolo di carta.")</f>
        <v>L'uomo si aggancia le mani e spegne l'acqua con il tovagliolo di carta.</v>
      </c>
    </row>
    <row r="17001">
      <c r="A17001" s="4" t="s">
        <v>21407</v>
      </c>
      <c r="B17001" s="4" t="s">
        <v>1380</v>
      </c>
      <c r="C17001" s="5" t="str">
        <f>IFERROR(__xludf.DUMMYFUNCTION("GOOGLETRANSLATE(B17001,""en"",""it"")"),"Vediamo quindi i titoli di coda.")</f>
        <v>Vediamo quindi i titoli di coda.</v>
      </c>
    </row>
    <row r="17002">
      <c r="A17002" s="4" t="s">
        <v>21413</v>
      </c>
      <c r="B17002" s="6" t="s">
        <v>21414</v>
      </c>
      <c r="C17002" s="5" t="str">
        <f>IFERROR(__xludf.DUMMYFUNCTION("GOOGLETRANSLATE(B17002,""en"",""it"")"),"Diversi giovani si praticano salti lunghi e salti all'indietro all'interno di una palestra con una bandiera americana appesa al muro.")</f>
        <v>Diversi giovani si praticano salti lunghi e salti all'indietro all'interno di una palestra con una bandiera americana appesa al muro.</v>
      </c>
    </row>
    <row r="17003">
      <c r="A17003" s="4" t="s">
        <v>21413</v>
      </c>
      <c r="B17003" s="6" t="s">
        <v>21415</v>
      </c>
      <c r="C17003" s="5" t="str">
        <f>IFERROR(__xludf.DUMMYFUNCTION("GOOGLETRANSLATE(B17003,""en"",""it"")"),"Un uomo pratica un salto in lungo all'interno di una palestra interna che utilizza una sandbox interna per l'atterraggio e un'isola da corsa disegnata.")</f>
        <v>Un uomo pratica un salto in lungo all'interno di una palestra interna che utilizza una sandbox interna per l'atterraggio e un'isola da corsa disegnata.</v>
      </c>
    </row>
    <row r="17004">
      <c r="A17004" s="4" t="s">
        <v>21413</v>
      </c>
      <c r="B17004" s="4" t="s">
        <v>21416</v>
      </c>
      <c r="C17004" s="5" t="str">
        <f>IFERROR(__xludf.DUMMYFUNCTION("GOOGLETRANSLATE(B17004,""en"",""it"")"),"Un altro uomo si esercita a scagliarsi all'indietro su un palo su un tappetino all'interno della palestra.")</f>
        <v>Un altro uomo si esercita a scagliarsi all'indietro su un palo su un tappetino all'interno della palestra.</v>
      </c>
    </row>
    <row r="17005">
      <c r="A17005" s="4" t="s">
        <v>21413</v>
      </c>
      <c r="B17005" s="6" t="s">
        <v>21417</v>
      </c>
      <c r="C17005" s="5" t="str">
        <f>IFERROR(__xludf.DUMMYFUNCTION("GOOGLETRANSLATE(B17005,""en"",""it"")"),"Molti altri uomini praticano salti lunghi e salti all'indietro all'interno della palestra usando il sandbox e i tappetini come strumenti di atterraggio.")</f>
        <v>Molti altri uomini praticano salti lunghi e salti all'indietro all'interno della palestra usando il sandbox e i tappetini come strumenti di atterraggio.</v>
      </c>
    </row>
    <row r="17006">
      <c r="A17006" s="4" t="s">
        <v>21418</v>
      </c>
      <c r="B17006" s="4" t="s">
        <v>21419</v>
      </c>
      <c r="C17006" s="5" t="str">
        <f>IFERROR(__xludf.DUMMYFUNCTION("GOOGLETRANSLATE(B17006,""en"",""it"")"),"Ci sono due concorrenti che partecipano alla competizione di salto atletico.")</f>
        <v>Ci sono due concorrenti che partecipano alla competizione di salto atletico.</v>
      </c>
    </row>
    <row r="17007">
      <c r="A17007" s="4" t="s">
        <v>21418</v>
      </c>
      <c r="B17007" s="6" t="s">
        <v>21420</v>
      </c>
      <c r="C17007" s="5" t="str">
        <f>IFERROR(__xludf.DUMMYFUNCTION("GOOGLETRANSLATE(B17007,""en"",""it"")"),"Ci sono diversi spettatori e giudici che li guardano mentre saltano oltre il bar in un grande stadio indoor.")</f>
        <v>Ci sono diversi spettatori e giudici che li guardano mentre saltano oltre il bar in un grande stadio indoor.</v>
      </c>
    </row>
    <row r="17008">
      <c r="A17008" s="4" t="s">
        <v>21418</v>
      </c>
      <c r="B17008" s="4" t="s">
        <v>21421</v>
      </c>
      <c r="C17008" s="5" t="str">
        <f>IFERROR(__xludf.DUMMYFUNCTION("GOOGLETRANSLATE(B17008,""en"",""it"")"),"Entrambi i concorrenti saltano con successo sopra il bar.")</f>
        <v>Entrambi i concorrenti saltano con successo sopra il bar.</v>
      </c>
    </row>
    <row r="17009">
      <c r="A17009" s="4" t="s">
        <v>21418</v>
      </c>
      <c r="B17009" s="4" t="s">
        <v>21422</v>
      </c>
      <c r="C17009" s="5" t="str">
        <f>IFERROR(__xludf.DUMMYFUNCTION("GOOGLETRANSLATE(B17009,""en"",""it"")"),"C'è un video a rallentatore del concorrente che salta oltre il bar.")</f>
        <v>C'è un video a rallentatore del concorrente che salta oltre il bar.</v>
      </c>
    </row>
    <row r="17010">
      <c r="A17010" s="4" t="s">
        <v>21423</v>
      </c>
      <c r="B17010" s="4" t="s">
        <v>21424</v>
      </c>
      <c r="C17010" s="5" t="str">
        <f>IFERROR(__xludf.DUMMYFUNCTION("GOOGLETRANSLATE(B17010,""en"",""it"")"),"Ci sono diverse persone che si preparano a sciare.")</f>
        <v>Ci sono diverse persone che si preparano a sciare.</v>
      </c>
    </row>
    <row r="17011">
      <c r="A17011" s="4" t="s">
        <v>21423</v>
      </c>
      <c r="B17011" s="4" t="s">
        <v>21425</v>
      </c>
      <c r="C17011" s="5" t="str">
        <f>IFERROR(__xludf.DUMMYFUNCTION("GOOGLETRANSLATE(B17011,""en"",""it"")"),"C'è una persona che schi in discesa a tutta velocità la cui ombra può essere vista.")</f>
        <v>C'è una persona che schi in discesa a tutta velocità la cui ombra può essere vista.</v>
      </c>
    </row>
    <row r="17012">
      <c r="A17012" s="4" t="s">
        <v>21423</v>
      </c>
      <c r="B17012" s="4" t="s">
        <v>21426</v>
      </c>
      <c r="C17012" s="5" t="str">
        <f>IFERROR(__xludf.DUMMYFUNCTION("GOOGLETRANSLATE(B17012,""en"",""it"")"),"Ci sono persone sedute e aspettano in cima a una montagna in attesa di iniziare a sciare.")</f>
        <v>Ci sono persone sedute e aspettano in cima a una montagna in attesa di iniziare a sciare.</v>
      </c>
    </row>
    <row r="17013">
      <c r="A17013" s="4" t="s">
        <v>21423</v>
      </c>
      <c r="B17013" s="6" t="s">
        <v>21427</v>
      </c>
      <c r="C17013" s="5" t="str">
        <f>IFERROR(__xludf.DUMMYFUNCTION("GOOGLETRANSLATE(B17013,""en"",""it"")"),"Lo sciatore che va veloce in discesa sta dimostrando come girare e gestire la velocità mentre va in discesa.")</f>
        <v>Lo sciatore che va veloce in discesa sta dimostrando come girare e gestire la velocità mentre va in discesa.</v>
      </c>
    </row>
    <row r="17014">
      <c r="A17014" s="4" t="s">
        <v>21423</v>
      </c>
      <c r="B17014" s="4" t="s">
        <v>21428</v>
      </c>
      <c r="C17014" s="5" t="str">
        <f>IFERROR(__xludf.DUMMYFUNCTION("GOOGLETRANSLATE(B17014,""en"",""it"")"),"Ci sono alcune persone che camminano verso la montagna di sci su una scala mobile.")</f>
        <v>Ci sono alcune persone che camminano verso la montagna di sci su una scala mobile.</v>
      </c>
    </row>
    <row r="17015">
      <c r="A17015" s="4" t="s">
        <v>21423</v>
      </c>
      <c r="B17015" s="4" t="s">
        <v>21429</v>
      </c>
      <c r="C17015" s="5" t="str">
        <f>IFERROR(__xludf.DUMMYFUNCTION("GOOGLETRANSLATE(B17015,""en"",""it"")"),"Lo sciatore continua a sciare in discesa costantemente su pendii ripidi e tortuosi.")</f>
        <v>Lo sciatore continua a sciare in discesa costantemente su pendii ripidi e tortuosi.</v>
      </c>
    </row>
    <row r="17016">
      <c r="A17016" s="4" t="s">
        <v>21430</v>
      </c>
      <c r="B17016" s="4" t="s">
        <v>21431</v>
      </c>
      <c r="C17016" s="5" t="str">
        <f>IFERROR(__xludf.DUMMYFUNCTION("GOOGLETRANSLATE(B17016,""en"",""it"")"),"C'è una ragazza con gli occhi chiari e i capelli castani scuri che parlano di lenti a occhio colorato.")</f>
        <v>C'è una ragazza con gli occhi chiari e i capelli castani scuri che parlano di lenti a occhio colorato.</v>
      </c>
    </row>
    <row r="17017">
      <c r="A17017" s="4" t="s">
        <v>21430</v>
      </c>
      <c r="B17017" s="4" t="s">
        <v>21432</v>
      </c>
      <c r="C17017" s="5" t="str">
        <f>IFERROR(__xludf.DUMMYFUNCTION("GOOGLETRANSLATE(B17017,""en"",""it"")"),"Sta facendo un tutorial su come indossare le lenti colorate negli occhi.")</f>
        <v>Sta facendo un tutorial su come indossare le lenti colorate negli occhi.</v>
      </c>
    </row>
    <row r="17018">
      <c r="A17018" s="4" t="s">
        <v>21430</v>
      </c>
      <c r="B17018" s="4" t="s">
        <v>21433</v>
      </c>
      <c r="C17018" s="5" t="str">
        <f>IFERROR(__xludf.DUMMYFUNCTION("GOOGLETRANSLATE(B17018,""en"",""it"")"),"Apre una piccola bottiglia di vetro che contiene le lenti colorate.")</f>
        <v>Apre una piccola bottiglia di vetro che contiene le lenti colorate.</v>
      </c>
    </row>
    <row r="17019">
      <c r="A17019" s="4" t="s">
        <v>21430</v>
      </c>
      <c r="B17019" s="4" t="s">
        <v>21434</v>
      </c>
      <c r="C17019" s="5" t="str">
        <f>IFERROR(__xludf.DUMMYFUNCTION("GOOGLETRANSLATE(B17019,""en"",""it"")"),"Rimuove l'obiettivo e se la mette al dito.")</f>
        <v>Rimuove l'obiettivo e se la mette al dito.</v>
      </c>
    </row>
    <row r="17020">
      <c r="A17020" s="4" t="s">
        <v>21430</v>
      </c>
      <c r="B17020" s="4" t="s">
        <v>21435</v>
      </c>
      <c r="C17020" s="5" t="str">
        <f>IFERROR(__xludf.DUMMYFUNCTION("GOOGLETRANSLATE(B17020,""en"",""it"")"),"Quindi indossa delicatamente la lente nell'occhio destro prima e poi nell'occhio sinistro.")</f>
        <v>Quindi indossa delicatamente la lente nell'occhio destro prima e poi nell'occhio sinistro.</v>
      </c>
    </row>
    <row r="17021">
      <c r="A17021" s="4" t="s">
        <v>21430</v>
      </c>
      <c r="B17021" s="4" t="s">
        <v>21436</v>
      </c>
      <c r="C17021" s="5" t="str">
        <f>IFERROR(__xludf.DUMMYFUNCTION("GOOGLETRANSLATE(B17021,""en"",""it"")"),"Mostra la lente di colore giallo che ha indossato.")</f>
        <v>Mostra la lente di colore giallo che ha indossato.</v>
      </c>
    </row>
    <row r="17022">
      <c r="A17022" s="4" t="s">
        <v>21437</v>
      </c>
      <c r="B17022" s="4" t="s">
        <v>21438</v>
      </c>
      <c r="C17022" s="5" t="str">
        <f>IFERROR(__xludf.DUMMYFUNCTION("GOOGLETRANSLATE(B17022,""en"",""it"")"),"Vediamo il titolo sulla scena.")</f>
        <v>Vediamo il titolo sulla scena.</v>
      </c>
    </row>
    <row r="17023">
      <c r="A17023" s="4" t="s">
        <v>21437</v>
      </c>
      <c r="B17023" s="4" t="s">
        <v>21439</v>
      </c>
      <c r="C17023" s="5" t="str">
        <f>IFERROR(__xludf.DUMMYFUNCTION("GOOGLETRANSLATE(B17023,""en"",""it"")"),"Vediamo che il contrario di un uomo sta falciando il suo prato con un tosaerba elettrica.")</f>
        <v>Vediamo che il contrario di un uomo sta falciando il suo prato con un tosaerba elettrica.</v>
      </c>
    </row>
    <row r="17024">
      <c r="A17024" s="4" t="s">
        <v>21437</v>
      </c>
      <c r="B17024" s="4" t="s">
        <v>21440</v>
      </c>
      <c r="C17024" s="5" t="str">
        <f>IFERROR(__xludf.DUMMYFUNCTION("GOOGLETRANSLATE(B17024,""en"",""it"")"),"L'uomo sale a metà del cortile e si gira.")</f>
        <v>L'uomo sale a metà del cortile e si gira.</v>
      </c>
    </row>
    <row r="17025">
      <c r="A17025" s="4" t="s">
        <v>21437</v>
      </c>
      <c r="B17025" s="4" t="s">
        <v>21441</v>
      </c>
      <c r="C17025" s="5" t="str">
        <f>IFERROR(__xludf.DUMMYFUNCTION("GOOGLETRANSLATE(B17025,""en"",""it"")"),"Il titolo finale ritorna sullo schermo.")</f>
        <v>Il titolo finale ritorna sullo schermo.</v>
      </c>
    </row>
    <row r="17026">
      <c r="A17026" s="4" t="s">
        <v>21442</v>
      </c>
      <c r="B17026" s="4" t="s">
        <v>21443</v>
      </c>
      <c r="C17026" s="5" t="str">
        <f>IFERROR(__xludf.DUMMYFUNCTION("GOOGLETRANSLATE(B17026,""en"",""it"")"),"Un uomo cavalca su un piccolo carrello da binario che soffia foglie con un soffiatore a foglia.")</f>
        <v>Un uomo cavalca su un piccolo carrello da binario che soffia foglie con un soffiatore a foglia.</v>
      </c>
    </row>
    <row r="17027">
      <c r="A17027" s="4" t="s">
        <v>21442</v>
      </c>
      <c r="B17027" s="4" t="s">
        <v>21444</v>
      </c>
      <c r="C17027" s="5" t="str">
        <f>IFERROR(__xludf.DUMMYFUNCTION("GOOGLETRANSLATE(B17027,""en"",""it"")"),"L'uomo va proprio su una forchetta sui binari su un carrello e intorno a una curva.")</f>
        <v>L'uomo va proprio su una forchetta sui binari su un carrello e intorno a una curva.</v>
      </c>
    </row>
    <row r="17028">
      <c r="A17028" s="4" t="s">
        <v>21445</v>
      </c>
      <c r="B17028" s="4" t="s">
        <v>21446</v>
      </c>
      <c r="C17028" s="5" t="str">
        <f>IFERROR(__xludf.DUMMYFUNCTION("GOOGLETRANSLATE(B17028,""en"",""it"")"),"Un bambino usa un aspirapolvere giocattolo su un pavimento in legno.")</f>
        <v>Un bambino usa un aspirapolvere giocattolo su un pavimento in legno.</v>
      </c>
    </row>
    <row r="17029">
      <c r="A17029" s="4" t="s">
        <v>21445</v>
      </c>
      <c r="B17029" s="4" t="s">
        <v>21447</v>
      </c>
      <c r="C17029" s="5" t="str">
        <f>IFERROR(__xludf.DUMMYFUNCTION("GOOGLETRANSLATE(B17029,""en"",""it"")"),"La mamma viene e aiuta il bambino.")</f>
        <v>La mamma viene e aiuta il bambino.</v>
      </c>
    </row>
    <row r="17030">
      <c r="A17030" s="4" t="s">
        <v>21448</v>
      </c>
      <c r="B17030" s="4" t="s">
        <v>21449</v>
      </c>
      <c r="C17030" s="5" t="str">
        <f>IFERROR(__xludf.DUMMYFUNCTION("GOOGLETRANSLATE(B17030,""en"",""it"")"),"Più uomini iniziano a iniziare a girare i loro corpi il più rapidamente possibile.")</f>
        <v>Più uomini iniziano a iniziare a girare i loro corpi il più rapidamente possibile.</v>
      </c>
    </row>
    <row r="17031">
      <c r="A17031" s="4" t="s">
        <v>21448</v>
      </c>
      <c r="B17031" s="4" t="s">
        <v>21450</v>
      </c>
      <c r="C17031" s="5" t="str">
        <f>IFERROR(__xludf.DUMMYFUNCTION("GOOGLETRANSLATE(B17031,""en"",""it"")"),"Ognuno in situazioni diverse ma tutti praticano lo stesso sport.")</f>
        <v>Ognuno in situazioni diverse ma tutti praticano lo stesso sport.</v>
      </c>
    </row>
    <row r="17032">
      <c r="A17032" s="4" t="s">
        <v>21448</v>
      </c>
      <c r="B17032" s="4" t="s">
        <v>21451</v>
      </c>
      <c r="C17032" s="5" t="str">
        <f>IFERROR(__xludf.DUMMYFUNCTION("GOOGLETRANSLATE(B17032,""en"",""it"")"),"Costruiscono più velocità possibile in modo che possano lanciare il più possibile.")</f>
        <v>Costruiscono più velocità possibile in modo che possano lanciare il più possibile.</v>
      </c>
    </row>
    <row r="17033">
      <c r="A17033" s="4" t="s">
        <v>21448</v>
      </c>
      <c r="B17033" s="4" t="s">
        <v>21452</v>
      </c>
      <c r="C17033" s="5" t="str">
        <f>IFERROR(__xludf.DUMMYFUNCTION("GOOGLETRANSLATE(B17033,""en"",""it"")"),"Ci sono anche un pubblico per questo sport che in realtà viene a guardarlo.")</f>
        <v>Ci sono anche un pubblico per questo sport che in realtà viene a guardarlo.</v>
      </c>
    </row>
    <row r="17034">
      <c r="A17034" s="4" t="s">
        <v>21453</v>
      </c>
      <c r="B17034" s="4" t="s">
        <v>21454</v>
      </c>
      <c r="C17034" s="5" t="str">
        <f>IFERROR(__xludf.DUMMYFUNCTION("GOOGLETRANSLATE(B17034,""en"",""it"")"),"Vediamo un motociclista BMX mentre si prepara a guidare.")</f>
        <v>Vediamo un motociclista BMX mentre si prepara a guidare.</v>
      </c>
    </row>
    <row r="17035">
      <c r="A17035" s="4" t="s">
        <v>21453</v>
      </c>
      <c r="B17035" s="4" t="s">
        <v>21455</v>
      </c>
      <c r="C17035" s="5" t="str">
        <f>IFERROR(__xludf.DUMMYFUNCTION("GOOGLETRANSLATE(B17035,""en"",""it"")"),"Vediamo il cancello aperto e vediamo il campo.")</f>
        <v>Vediamo il cancello aperto e vediamo il campo.</v>
      </c>
    </row>
    <row r="17036">
      <c r="A17036" s="4" t="s">
        <v>21453</v>
      </c>
      <c r="B17036" s="4" t="s">
        <v>21456</v>
      </c>
      <c r="C17036" s="5" t="str">
        <f>IFERROR(__xludf.DUMMYFUNCTION("GOOGLETRANSLATE(B17036,""en"",""it"")"),"Il pilota decolla il percorso.")</f>
        <v>Il pilota decolla il percorso.</v>
      </c>
    </row>
    <row r="17037">
      <c r="A17037" s="4" t="s">
        <v>21453</v>
      </c>
      <c r="B17037" s="4" t="s">
        <v>21457</v>
      </c>
      <c r="C17037" s="5" t="str">
        <f>IFERROR(__xludf.DUMMYFUNCTION("GOOGLETRANSLATE(B17037,""en"",""it"")"),"Vediamo i ciclisti eseguire salti e persone in bicicletta.")</f>
        <v>Vediamo i ciclisti eseguire salti e persone in bicicletta.</v>
      </c>
    </row>
    <row r="17038">
      <c r="A17038" s="4" t="s">
        <v>21453</v>
      </c>
      <c r="B17038" s="4" t="s">
        <v>21458</v>
      </c>
      <c r="C17038" s="5" t="str">
        <f>IFERROR(__xludf.DUMMYFUNCTION("GOOGLETRANSLATE(B17038,""en"",""it"")"),"Vediamo un altro inizio e un gruppo di persone decollare in una pista indoor.")</f>
        <v>Vediamo un altro inizio e un gruppo di persone decollare in una pista indoor.</v>
      </c>
    </row>
    <row r="17039">
      <c r="A17039" s="4" t="s">
        <v>21453</v>
      </c>
      <c r="B17039" s="4" t="s">
        <v>21459</v>
      </c>
      <c r="C17039" s="5" t="str">
        <f>IFERROR(__xludf.DUMMYFUNCTION("GOOGLETRANSLATE(B17039,""en"",""it"")"),"Vediamo scatti di uomini che cavalcano all'aperto e si apriranno un altro cancello.")</f>
        <v>Vediamo scatti di uomini che cavalcano all'aperto e si apriranno un altro cancello.</v>
      </c>
    </row>
    <row r="17040">
      <c r="A17040" s="4" t="s">
        <v>21453</v>
      </c>
      <c r="B17040" s="4" t="s">
        <v>21460</v>
      </c>
      <c r="C17040" s="5" t="str">
        <f>IFERROR(__xludf.DUMMYFUNCTION("GOOGLETRANSLATE(B17040,""en"",""it"")"),"Vediamo una bici sdraiata sul lato.")</f>
        <v>Vediamo una bici sdraiata sul lato.</v>
      </c>
    </row>
    <row r="17041">
      <c r="A17041" s="4" t="s">
        <v>21461</v>
      </c>
      <c r="B17041" s="4" t="s">
        <v>21462</v>
      </c>
      <c r="C17041" s="5" t="str">
        <f>IFERROR(__xludf.DUMMYFUNCTION("GOOGLETRANSLATE(B17041,""en"",""it"")"),"Un'introduzione inizia e mostra un uomo che tiene una pala e parla con la telecamera.")</f>
        <v>Un'introduzione inizia e mostra un uomo che tiene una pala e parla con la telecamera.</v>
      </c>
    </row>
    <row r="17042">
      <c r="A17042" s="4" t="s">
        <v>21461</v>
      </c>
      <c r="B17042" s="6" t="s">
        <v>21463</v>
      </c>
      <c r="C17042" s="5" t="str">
        <f>IFERROR(__xludf.DUMMYFUNCTION("GOOGLETRANSLATE(B17042,""en"",""it"")"),"A poco a poco rastrella foglie e parla alla telecamera e mostra diverse persone che aiutano anche a raccogliere foglie.")</f>
        <v>A poco a poco rastrella foglie e parla alla telecamera e mostra diverse persone che aiutano anche a raccogliere foglie.</v>
      </c>
    </row>
    <row r="17043">
      <c r="A17043" s="4" t="s">
        <v>21461</v>
      </c>
      <c r="B17043" s="4" t="s">
        <v>21464</v>
      </c>
      <c r="C17043" s="5" t="str">
        <f>IFERROR(__xludf.DUMMYFUNCTION("GOOGLETRANSLATE(B17043,""en"",""it"")"),"Diverse persone vengono intervistate sulla telecamera mentre molti altri vengono mostrati rastrellando le foglie.")</f>
        <v>Diverse persone vengono intervistate sulla telecamera mentre molti altri vengono mostrati rastrellando le foglie.</v>
      </c>
    </row>
    <row r="17044">
      <c r="A17044" s="4" t="s">
        <v>21461</v>
      </c>
      <c r="B17044" s="4" t="s">
        <v>21465</v>
      </c>
      <c r="C17044" s="5" t="str">
        <f>IFERROR(__xludf.DUMMYFUNCTION("GOOGLETRANSLATE(B17044,""en"",""it"")"),"Un uomo è visto seduto in macchina e un altro si mette i guanti.")</f>
        <v>Un uomo è visto seduto in macchina e un altro si mette i guanti.</v>
      </c>
    </row>
    <row r="17045">
      <c r="A17045" s="4" t="s">
        <v>21461</v>
      </c>
      <c r="B17045" s="4" t="s">
        <v>21466</v>
      </c>
      <c r="C17045" s="5" t="str">
        <f>IFERROR(__xludf.DUMMYFUNCTION("GOOGLETRANSLATE(B17045,""en"",""it"")"),"La telecamera si panoramica sopra le foglie rastrellate mentre molti altri discutono del loro duro lavoro.")</f>
        <v>La telecamera si panoramica sopra le foglie rastrellate mentre molti altri discutono del loro duro lavoro.</v>
      </c>
    </row>
    <row r="17046">
      <c r="A17046" s="4" t="s">
        <v>21467</v>
      </c>
      <c r="B17046" s="4" t="s">
        <v>21468</v>
      </c>
      <c r="C17046" s="5" t="str">
        <f>IFERROR(__xludf.DUMMYFUNCTION("GOOGLETRANSLATE(B17046,""en"",""it"")"),"Vediamo due ragazze una seduta su cui si piega l'altra.")</f>
        <v>Vediamo due ragazze una seduta su cui si piega l'altra.</v>
      </c>
    </row>
    <row r="17047">
      <c r="A17047" s="4" t="s">
        <v>21467</v>
      </c>
      <c r="B17047" s="4" t="s">
        <v>21469</v>
      </c>
      <c r="C17047" s="5" t="str">
        <f>IFERROR(__xludf.DUMMYFUNCTION("GOOGLETRANSLATE(B17047,""en"",""it"")"),"La ragazza piegata si alza.")</f>
        <v>La ragazza piegata si alza.</v>
      </c>
    </row>
    <row r="17048">
      <c r="A17048" s="4" t="s">
        <v>21467</v>
      </c>
      <c r="B17048" s="4" t="s">
        <v>21470</v>
      </c>
      <c r="C17048" s="5" t="str">
        <f>IFERROR(__xludf.DUMMYFUNCTION("GOOGLETRANSLATE(B17048,""en"",""it"")"),"Vediamo una persona che dipinge le unghie dei piedi per ragazze sedute.")</f>
        <v>Vediamo una persona che dipinge le unghie dei piedi per ragazze sedute.</v>
      </c>
    </row>
    <row r="17049">
      <c r="A17049" s="4" t="s">
        <v>21471</v>
      </c>
      <c r="B17049" s="4" t="s">
        <v>21472</v>
      </c>
      <c r="C17049" s="5" t="str">
        <f>IFERROR(__xludf.DUMMYFUNCTION("GOOGLETRANSLATE(B17049,""en"",""it"")"),"Little Kid è in un parcheggio che gioca a hopscotch accanto alle auto.")</f>
        <v>Little Kid è in un parcheggio che gioca a hopscotch accanto alle auto.</v>
      </c>
    </row>
    <row r="17050">
      <c r="A17050" s="4" t="s">
        <v>21471</v>
      </c>
      <c r="B17050" s="4" t="s">
        <v>21473</v>
      </c>
      <c r="C17050" s="5" t="str">
        <f>IFERROR(__xludf.DUMMYFUNCTION("GOOGLETRANSLATE(B17050,""en"",""it"")"),"L'uomo che indossa i pantaloncini è in piedi accanto al gioco Hopscotch.")</f>
        <v>L'uomo che indossa i pantaloncini è in piedi accanto al gioco Hopscotch.</v>
      </c>
    </row>
    <row r="17051">
      <c r="A17051" s="4" t="s">
        <v>21471</v>
      </c>
      <c r="B17051" s="4" t="s">
        <v>21474</v>
      </c>
      <c r="C17051" s="5" t="str">
        <f>IFERROR(__xludf.DUMMYFUNCTION("GOOGLETRANSLATE(B17051,""en"",""it"")"),"Little Blond Kid è in piedi in strada a suonare nel carattere di un uomo.")</f>
        <v>Little Blond Kid è in piedi in strada a suonare nel carattere di un uomo.</v>
      </c>
    </row>
    <row r="17052">
      <c r="A17052" s="4" t="s">
        <v>21475</v>
      </c>
      <c r="B17052" s="4" t="s">
        <v>21476</v>
      </c>
      <c r="C17052" s="5" t="str">
        <f>IFERROR(__xludf.DUMMYFUNCTION("GOOGLETRANSLATE(B17052,""en"",""it"")"),"Ci sono cavalli e stanno scendendo da un rimorchio.")</f>
        <v>Ci sono cavalli e stanno scendendo da un rimorchio.</v>
      </c>
    </row>
    <row r="17053">
      <c r="A17053" s="4" t="s">
        <v>21475</v>
      </c>
      <c r="B17053" s="4" t="s">
        <v>21477</v>
      </c>
      <c r="C17053" s="5" t="str">
        <f>IFERROR(__xludf.DUMMYFUNCTION("GOOGLETRANSLATE(B17053,""en"",""it"")"),"Vanno per cavalcare attraverso il deserto, attraverso diverse parti del deserto.")</f>
        <v>Vanno per cavalcare attraverso il deserto, attraverso diverse parti del deserto.</v>
      </c>
    </row>
    <row r="17054">
      <c r="A17054" s="4" t="s">
        <v>21478</v>
      </c>
      <c r="B17054" s="6" t="s">
        <v>21479</v>
      </c>
      <c r="C17054" s="5" t="str">
        <f>IFERROR(__xludf.DUMMYFUNCTION("GOOGLETRANSLATE(B17054,""en"",""it"")"),"Una donna viene vista lavarsi le mani sotto un lavandino con una luce che appare nell'acqua per la temperatura.")</f>
        <v>Una donna viene vista lavarsi le mani sotto un lavandino con una luce che appare nell'acqua per la temperatura.</v>
      </c>
    </row>
    <row r="17055">
      <c r="A17055" s="4" t="s">
        <v>21478</v>
      </c>
      <c r="B17055" s="4" t="s">
        <v>21480</v>
      </c>
      <c r="C17055" s="5" t="str">
        <f>IFERROR(__xludf.DUMMYFUNCTION("GOOGLETRANSLATE(B17055,""en"",""it"")"),"La persona continua a strofinarsi le mani e le scuote alla fine.")</f>
        <v>La persona continua a strofinarsi le mani e le scuote alla fine.</v>
      </c>
    </row>
    <row r="17056">
      <c r="A17056" s="4" t="s">
        <v>21481</v>
      </c>
      <c r="B17056" s="4" t="s">
        <v>21482</v>
      </c>
      <c r="C17056" s="5" t="str">
        <f>IFERROR(__xludf.DUMMYFUNCTION("GOOGLETRANSLATE(B17056,""en"",""it"")"),"La gente naviga su barche a vela nell'oceano.")</f>
        <v>La gente naviga su barche a vela nell'oceano.</v>
      </c>
    </row>
    <row r="17057">
      <c r="A17057" s="4" t="s">
        <v>21481</v>
      </c>
      <c r="B17057" s="4" t="s">
        <v>21483</v>
      </c>
      <c r="C17057" s="5" t="str">
        <f>IFERROR(__xludf.DUMMYFUNCTION("GOOGLETRANSLATE(B17057,""en"",""it"")"),"Un uomo naviga su una scheda a vela che passa davanti ad altri marinai.")</f>
        <v>Un uomo naviga su una scheda a vela che passa davanti ad altri marinai.</v>
      </c>
    </row>
    <row r="17058">
      <c r="A17058" s="4" t="s">
        <v>21481</v>
      </c>
      <c r="B17058" s="4" t="s">
        <v>21484</v>
      </c>
      <c r="C17058" s="5" t="str">
        <f>IFERROR(__xludf.DUMMYFUNCTION("GOOGLETRANSLATE(B17058,""en"",""it"")"),"Un aereo vola sopra la spiaggia dove le persone navigano.")</f>
        <v>Un aereo vola sopra la spiaggia dove le persone navigano.</v>
      </c>
    </row>
    <row r="17059">
      <c r="A17059" s="4" t="s">
        <v>21481</v>
      </c>
      <c r="B17059" s="4" t="s">
        <v>21485</v>
      </c>
      <c r="C17059" s="5" t="str">
        <f>IFERROR(__xludf.DUMMYFUNCTION("GOOGLETRANSLATE(B17059,""en"",""it"")"),"Una donna scatta foto della città da una collina.")</f>
        <v>Una donna scatta foto della città da una collina.</v>
      </c>
    </row>
    <row r="17060">
      <c r="A17060" s="4" t="s">
        <v>21486</v>
      </c>
      <c r="B17060" s="4" t="s">
        <v>21487</v>
      </c>
      <c r="C17060" s="5" t="str">
        <f>IFERROR(__xludf.DUMMYFUNCTION("GOOGLETRANSLATE(B17060,""en"",""it"")"),"Diverse persone sono viste in diverse scene, camminando in pubblico.")</f>
        <v>Diverse persone sono viste in diverse scene, camminando in pubblico.</v>
      </c>
    </row>
    <row r="17061">
      <c r="A17061" s="4" t="s">
        <v>21486</v>
      </c>
      <c r="B17061" s="4" t="s">
        <v>21488</v>
      </c>
      <c r="C17061" s="5" t="str">
        <f>IFERROR(__xludf.DUMMYFUNCTION("GOOGLETRANSLATE(B17061,""en"",""it"")"),"Un uomo aiuta una donna a montare un cavallo nel bosco.")</f>
        <v>Un uomo aiuta una donna a montare un cavallo nel bosco.</v>
      </c>
    </row>
    <row r="17062">
      <c r="A17062" s="4" t="s">
        <v>21486</v>
      </c>
      <c r="B17062" s="4" t="s">
        <v>21489</v>
      </c>
      <c r="C17062" s="5" t="str">
        <f>IFERROR(__xludf.DUMMYFUNCTION("GOOGLETRANSLATE(B17062,""en"",""it"")"),"Nutri le mele a cavallo mentre cavalcano i sentieri boscosi.")</f>
        <v>Nutri le mele a cavallo mentre cavalcano i sentieri boscosi.</v>
      </c>
    </row>
    <row r="17063">
      <c r="A17063" s="4" t="s">
        <v>21490</v>
      </c>
      <c r="B17063" s="4" t="s">
        <v>21491</v>
      </c>
      <c r="C17063" s="5" t="str">
        <f>IFERROR(__xludf.DUMMYFUNCTION("GOOGLETRANSLATE(B17063,""en"",""it"")"),"Un ragazzo si distingue nei boschi con in mano un pezzo di corteccia e parla con la telecamera.")</f>
        <v>Un ragazzo si distingue nei boschi con in mano un pezzo di corteccia e parla con la telecamera.</v>
      </c>
    </row>
    <row r="17064">
      <c r="A17064" s="4" t="s">
        <v>21490</v>
      </c>
      <c r="B17064" s="4" t="s">
        <v>21492</v>
      </c>
      <c r="C17064" s="5" t="str">
        <f>IFERROR(__xludf.DUMMYFUNCTION("GOOGLETRANSLATE(B17064,""en"",""it"")"),"Una donna viene vista fare una pila di tronchi mentre il ragazzo entra in cornice.")</f>
        <v>Una donna viene vista fare una pila di tronchi mentre il ragazzo entra in cornice.</v>
      </c>
    </row>
    <row r="17065">
      <c r="A17065" s="4" t="s">
        <v>21490</v>
      </c>
      <c r="B17065" s="4" t="s">
        <v>21493</v>
      </c>
      <c r="C17065" s="5" t="str">
        <f>IFERROR(__xludf.DUMMYFUNCTION("GOOGLETRANSLATE(B17065,""en"",""it"")"),"Continua ad accendere il bastone fino a quando inizia una fiamma e lo mette nel fuoco.")</f>
        <v>Continua ad accendere il bastone fino a quando inizia una fiamma e lo mette nel fuoco.</v>
      </c>
    </row>
    <row r="17066">
      <c r="A17066" s="4" t="s">
        <v>21490</v>
      </c>
      <c r="B17066" s="4" t="s">
        <v>21494</v>
      </c>
      <c r="C17066" s="5" t="str">
        <f>IFERROR(__xludf.DUMMYFUNCTION("GOOGLETRANSLATE(B17066,""en"",""it"")"),"Il fuoco diventa gradualmente più grande e la donna ci mette sempre più abbaiare.")</f>
        <v>Il fuoco diventa gradualmente più grande e la donna ci mette sempre più abbaiare.</v>
      </c>
    </row>
    <row r="17067">
      <c r="A17067" s="4" t="s">
        <v>21495</v>
      </c>
      <c r="B17067" s="4" t="s">
        <v>21496</v>
      </c>
      <c r="C17067" s="5" t="str">
        <f>IFERROR(__xludf.DUMMYFUNCTION("GOOGLETRANSLATE(B17067,""en"",""it"")"),"Viene visto un uomo che indossa una camicia rossa e in piedi accanto a un tavolo di foose.")</f>
        <v>Viene visto un uomo che indossa una camicia rossa e in piedi accanto a un tavolo di foose.</v>
      </c>
    </row>
    <row r="17068">
      <c r="A17068" s="4" t="s">
        <v>21495</v>
      </c>
      <c r="B17068" s="4" t="s">
        <v>21497</v>
      </c>
      <c r="C17068" s="5" t="str">
        <f>IFERROR(__xludf.DUMMYFUNCTION("GOOGLETRANSLATE(B17068,""en"",""it"")"),"L'uomo gioca un po 'seguito dal sollevare una lattina di birra e presentarla alla telecamera.")</f>
        <v>L'uomo gioca un po 'seguito dal sollevare una lattina di birra e presentarla alla telecamera.</v>
      </c>
    </row>
    <row r="17069">
      <c r="A17069" s="4" t="s">
        <v>21495</v>
      </c>
      <c r="B17069" s="4" t="s">
        <v>21498</v>
      </c>
      <c r="C17069" s="5" t="str">
        <f>IFERROR(__xludf.DUMMYFUNCTION("GOOGLETRANSLATE(B17069,""en"",""it"")"),"L'uomo continua quindi a giocare mentre la fotocamera si ingrandisce sul tavolo.")</f>
        <v>L'uomo continua quindi a giocare mentre la fotocamera si ingrandisce sul tavolo.</v>
      </c>
    </row>
    <row r="17070">
      <c r="A17070" s="4" t="s">
        <v>21499</v>
      </c>
      <c r="B17070" s="4" t="s">
        <v>21500</v>
      </c>
      <c r="C17070" s="5" t="str">
        <f>IFERROR(__xludf.DUMMYFUNCTION("GOOGLETRANSLATE(B17070,""en"",""it"")"),"Un uomo corre tutt'intorno facendo una corda per saltare mentre la folla esulta.")</f>
        <v>Un uomo corre tutt'intorno facendo una corda per saltare mentre la folla esulta.</v>
      </c>
    </row>
    <row r="17071">
      <c r="A17071" s="4" t="s">
        <v>21499</v>
      </c>
      <c r="B17071" s="4" t="s">
        <v>21501</v>
      </c>
      <c r="C17071" s="5" t="str">
        <f>IFERROR(__xludf.DUMMYFUNCTION("GOOGLETRANSLATE(B17071,""en"",""it"")"),"Alcune persone strisciano sullo sfondo sul pavimento.")</f>
        <v>Alcune persone strisciano sullo sfondo sul pavimento.</v>
      </c>
    </row>
    <row r="17072">
      <c r="A17072" s="4" t="s">
        <v>21499</v>
      </c>
      <c r="B17072" s="4" t="s">
        <v>21502</v>
      </c>
      <c r="C17072" s="5" t="str">
        <f>IFERROR(__xludf.DUMMYFUNCTION("GOOGLETRANSLATE(B17072,""en"",""it"")"),"L'uomo finisce la routine e poi corre per abbracciare una donna.")</f>
        <v>L'uomo finisce la routine e poi corre per abbracciare una donna.</v>
      </c>
    </row>
    <row r="17073">
      <c r="A17073" s="4" t="s">
        <v>21503</v>
      </c>
      <c r="B17073" s="4" t="s">
        <v>21504</v>
      </c>
      <c r="C17073" s="5" t="str">
        <f>IFERROR(__xludf.DUMMYFUNCTION("GOOGLETRANSLATE(B17073,""en"",""it"")"),"Due bambini sono visti in piedi nella sala interna con racchette da tennis.")</f>
        <v>Due bambini sono visti in piedi nella sala interna con racchette da tennis.</v>
      </c>
    </row>
    <row r="17074">
      <c r="A17074" s="4" t="s">
        <v>21503</v>
      </c>
      <c r="B17074" s="4" t="s">
        <v>21505</v>
      </c>
      <c r="C17074" s="5" t="str">
        <f>IFERROR(__xludf.DUMMYFUNCTION("GOOGLETRANSLATE(B17074,""en"",""it"")"),"La telecamera si muove intorno ai bambini che colpiscono la palla con incollatette da tennis.")</f>
        <v>La telecamera si muove intorno ai bambini che colpiscono la palla con incollatette da tennis.</v>
      </c>
    </row>
    <row r="17075">
      <c r="A17075" s="4" t="s">
        <v>21503</v>
      </c>
      <c r="B17075" s="4" t="s">
        <v>21506</v>
      </c>
      <c r="C17075" s="5" t="str">
        <f>IFERROR(__xludf.DUMMYFUNCTION("GOOGLETRANSLATE(B17075,""en"",""it"")"),"I bambini continuano a colpire la palla l'uno intorno all'altro.")</f>
        <v>I bambini continuano a colpire la palla l'uno intorno all'altro.</v>
      </c>
    </row>
    <row r="17076">
      <c r="A17076" s="4" t="s">
        <v>21507</v>
      </c>
      <c r="B17076" s="6" t="s">
        <v>21508</v>
      </c>
      <c r="C17076" s="5" t="str">
        <f>IFERROR(__xludf.DUMMYFUNCTION("GOOGLETRANSLATE(B17076,""en"",""it"")"),"Un piccolo gruppo di persone viene visto in piedi l'uno con l'altro e conduce a correre e giocare a paintball.")</f>
        <v>Un piccolo gruppo di persone viene visto in piedi l'uno con l'altro e conduce a correre e giocare a paintball.</v>
      </c>
    </row>
    <row r="17077">
      <c r="A17077" s="4" t="s">
        <v>21507</v>
      </c>
      <c r="B17077" s="6" t="s">
        <v>21509</v>
      </c>
      <c r="C17077" s="5" t="str">
        <f>IFERROR(__xludf.DUMMYFUNCTION("GOOGLETRANSLATE(B17077,""en"",""it"")"),"Il cameraman mira tutto intorno a lui dal catturare gli altri e sparare più volte in lontananza.")</f>
        <v>Il cameraman mira tutto intorno a lui dal catturare gli altri e sparare più volte in lontananza.</v>
      </c>
    </row>
    <row r="17078">
      <c r="A17078" s="4" t="s">
        <v>21507</v>
      </c>
      <c r="B17078" s="4" t="s">
        <v>21510</v>
      </c>
      <c r="C17078" s="5" t="str">
        <f>IFERROR(__xludf.DUMMYFUNCTION("GOOGLETRANSLATE(B17078,""en"",""it"")"),"Il gioco continua con l'uomo che corre e si ferma alla fine.")</f>
        <v>Il gioco continua con l'uomo che corre e si ferma alla fine.</v>
      </c>
    </row>
    <row r="17079">
      <c r="A17079" s="4" t="s">
        <v>21511</v>
      </c>
      <c r="B17079" s="4" t="s">
        <v>21512</v>
      </c>
      <c r="C17079" s="5" t="str">
        <f>IFERROR(__xludf.DUMMYFUNCTION("GOOGLETRANSLATE(B17079,""en"",""it"")"),"Un uomo si inginocchia su un tappetino blu.")</f>
        <v>Un uomo si inginocchia su un tappetino blu.</v>
      </c>
    </row>
    <row r="17080">
      <c r="A17080" s="4" t="s">
        <v>21511</v>
      </c>
      <c r="B17080" s="4" t="s">
        <v>21513</v>
      </c>
      <c r="C17080" s="5" t="str">
        <f>IFERROR(__xludf.DUMMYFUNCTION("GOOGLETRANSLATE(B17080,""en"",""it"")"),"Un altro uomo si inginocchia a terra accanto a lui.")</f>
        <v>Un altro uomo si inginocchia a terra accanto a lui.</v>
      </c>
    </row>
    <row r="17081">
      <c r="A17081" s="4" t="s">
        <v>21511</v>
      </c>
      <c r="B17081" s="4" t="s">
        <v>21514</v>
      </c>
      <c r="C17081" s="5" t="str">
        <f>IFERROR(__xludf.DUMMYFUNCTION("GOOGLETRANSLATE(B17081,""en"",""it"")"),"L'uomo solleva un'estremità di un peso e se la solleva sopra la testa.")</f>
        <v>L'uomo solleva un'estremità di un peso e se la solleva sopra la testa.</v>
      </c>
    </row>
    <row r="17082">
      <c r="A17082" s="4" t="s">
        <v>21515</v>
      </c>
      <c r="B17082" s="4" t="s">
        <v>21516</v>
      </c>
      <c r="C17082" s="5" t="str">
        <f>IFERROR(__xludf.DUMMYFUNCTION("GOOGLETRANSLATE(B17082,""en"",""it"")"),"Un uomo che indossa calzini neri viene mostrato mettendo le sue scarpe in pelle nera e lega i lacci.")</f>
        <v>Un uomo che indossa calzini neri viene mostrato mettendo le sue scarpe in pelle nera e lega i lacci.</v>
      </c>
    </row>
    <row r="17083">
      <c r="A17083" s="4" t="s">
        <v>21515</v>
      </c>
      <c r="B17083" s="4" t="s">
        <v>21517</v>
      </c>
      <c r="C17083" s="5" t="str">
        <f>IFERROR(__xludf.DUMMYFUNCTION("GOOGLETRANSLATE(B17083,""en"",""it"")"),"C'è un'altra persona che indossa scarpe in pelle marrone su calzini neri.")</f>
        <v>C'è un'altra persona che indossa scarpe in pelle marrone su calzini neri.</v>
      </c>
    </row>
    <row r="17084">
      <c r="A17084" s="4" t="s">
        <v>21515</v>
      </c>
      <c r="B17084" s="4" t="s">
        <v>21518</v>
      </c>
      <c r="C17084" s="5" t="str">
        <f>IFERROR(__xludf.DUMMYFUNCTION("GOOGLETRANSLATE(B17084,""en"",""it"")"),"Lega i lacci strettamente per fissarli.")</f>
        <v>Lega i lacci strettamente per fissarli.</v>
      </c>
    </row>
    <row r="17085">
      <c r="A17085" s="4" t="s">
        <v>21515</v>
      </c>
      <c r="B17085" s="4" t="s">
        <v>21519</v>
      </c>
      <c r="C17085" s="5" t="str">
        <f>IFERROR(__xludf.DUMMYFUNCTION("GOOGLETRANSLATE(B17085,""en"",""it"")"),"Quindi un'altra scena mostra una persona che indossa le scarpe in pelle su calze nere.")</f>
        <v>Quindi un'altra scena mostra una persona che indossa le scarpe in pelle su calze nere.</v>
      </c>
    </row>
    <row r="17086">
      <c r="A17086" s="4" t="s">
        <v>21515</v>
      </c>
      <c r="B17086" s="4" t="s">
        <v>21520</v>
      </c>
      <c r="C17086" s="5" t="str">
        <f>IFERROR(__xludf.DUMMYFUNCTION("GOOGLETRANSLATE(B17086,""en"",""it"")"),"Seguite da diverse scene che mostrano la persona che indossa scarpe in pelle marrone con lacci.")</f>
        <v>Seguite da diverse scene che mostrano la persona che indossa scarpe in pelle marrone con lacci.</v>
      </c>
    </row>
    <row r="17087">
      <c r="A17087" s="4" t="s">
        <v>21515</v>
      </c>
      <c r="B17087" s="4" t="s">
        <v>21521</v>
      </c>
      <c r="C17087" s="5" t="str">
        <f>IFERROR(__xludf.DUMMYFUNCTION("GOOGLETRANSLATE(B17087,""en"",""it"")"),"Indossa le scarpe su calzini neri e lega saldamente i lacci delle scarpe.")</f>
        <v>Indossa le scarpe su calzini neri e lega saldamente i lacci delle scarpe.</v>
      </c>
    </row>
    <row r="17088">
      <c r="A17088" s="4" t="s">
        <v>21515</v>
      </c>
      <c r="B17088" s="4" t="s">
        <v>21522</v>
      </c>
      <c r="C17088" s="5" t="str">
        <f>IFERROR(__xludf.DUMMYFUNCTION("GOOGLETRANSLATE(B17088,""en"",""it"")"),"Quindi si alza dopo aver finito di indossare le scarpe in pelle marrone.")</f>
        <v>Quindi si alza dopo aver finito di indossare le scarpe in pelle marrone.</v>
      </c>
    </row>
    <row r="17089">
      <c r="A17089" s="4" t="s">
        <v>21523</v>
      </c>
      <c r="B17089" s="4" t="s">
        <v>21524</v>
      </c>
      <c r="C17089" s="5" t="str">
        <f>IFERROR(__xludf.DUMMYFUNCTION("GOOGLETRANSLATE(B17089,""en"",""it"")"),"Le mani di una persona vengono viste ritagliare le unghie di un gatto mentre il gatto lotta un po '.")</f>
        <v>Le mani di una persona vengono viste ritagliare le unghie di un gatto mentre il gatto lotta un po '.</v>
      </c>
    </row>
    <row r="17090">
      <c r="A17090" s="4" t="s">
        <v>21523</v>
      </c>
      <c r="B17090" s="6" t="s">
        <v>21525</v>
      </c>
      <c r="C17090" s="5" t="str">
        <f>IFERROR(__xludf.DUMMYFUNCTION("GOOGLETRANSLATE(B17090,""en"",""it"")"),"Vengono mostrati più colpi del suo taglio del gatto e ad un certo punto si muove e lei lo afferra per il collo.")</f>
        <v>Vengono mostrati più colpi del suo taglio del gatto e ad un certo punto si muove e lei lo afferra per il collo.</v>
      </c>
    </row>
    <row r="17091">
      <c r="A17091" s="4" t="s">
        <v>21526</v>
      </c>
      <c r="B17091" s="4" t="s">
        <v>21527</v>
      </c>
      <c r="C17091" s="5" t="str">
        <f>IFERROR(__xludf.DUMMYFUNCTION("GOOGLETRANSLATE(B17091,""en"",""it"")"),"Gli uomini sono in uno stadio che puliscono la neve dagli spalti.")</f>
        <v>Gli uomini sono in uno stadio che puliscono la neve dagli spalti.</v>
      </c>
    </row>
    <row r="17092">
      <c r="A17092" s="4" t="s">
        <v>21526</v>
      </c>
      <c r="B17092" s="4" t="s">
        <v>21528</v>
      </c>
      <c r="C17092" s="5" t="str">
        <f>IFERROR(__xludf.DUMMYFUNCTION("GOOGLETRANSLATE(B17092,""en"",""it"")"),"Gli uomini cavalcano cavalli in un campo nevoso.")</f>
        <v>Gli uomini cavalcano cavalli in un campo nevoso.</v>
      </c>
    </row>
    <row r="17093">
      <c r="A17093" s="4" t="s">
        <v>21526</v>
      </c>
      <c r="B17093" s="4" t="s">
        <v>21529</v>
      </c>
      <c r="C17093" s="5" t="str">
        <f>IFERROR(__xludf.DUMMYFUNCTION("GOOGLETRANSLATE(B17093,""en"",""it"")"),"Gli uomini stanno mettendo stivali e uniformi di polo.")</f>
        <v>Gli uomini stanno mettendo stivali e uniformi di polo.</v>
      </c>
    </row>
    <row r="17094">
      <c r="A17094" s="4" t="s">
        <v>21526</v>
      </c>
      <c r="B17094" s="4" t="s">
        <v>21530</v>
      </c>
      <c r="C17094" s="5" t="str">
        <f>IFERROR(__xludf.DUMMYFUNCTION("GOOGLETRANSLATE(B17094,""en"",""it"")"),"Le donne si trovano in un campo che camminano e si siedono su stand.")</f>
        <v>Le donne si trovano in un campo che camminano e si siedono su stand.</v>
      </c>
    </row>
    <row r="17095">
      <c r="A17095" s="4" t="s">
        <v>21526</v>
      </c>
      <c r="B17095" s="4" t="s">
        <v>21531</v>
      </c>
      <c r="C17095" s="5" t="str">
        <f>IFERROR(__xludf.DUMMYFUNCTION("GOOGLETRANSLATE(B17095,""en"",""it"")"),"Gli uomini giocano a polo in campo nevoso mentre le persone sono in giro a guardarli.")</f>
        <v>Gli uomini giocano a polo in campo nevoso mentre le persone sono in giro a guardarli.</v>
      </c>
    </row>
    <row r="17096">
      <c r="A17096" s="4" t="s">
        <v>21532</v>
      </c>
      <c r="B17096" s="6" t="s">
        <v>21533</v>
      </c>
      <c r="C17096" s="5" t="str">
        <f>IFERROR(__xludf.DUMMYFUNCTION("GOOGLETRANSLATE(B17096,""en"",""it"")"),"Si vede un giovane che indossa una camicia da morire che parla alla telecamera e poi lo mostra a raccogliere dei vestiti.")</f>
        <v>Si vede un giovane che indossa una camicia da morire che parla alla telecamera e poi lo mostra a raccogliere dei vestiti.</v>
      </c>
    </row>
    <row r="17097">
      <c r="A17097" s="4" t="s">
        <v>21532</v>
      </c>
      <c r="B17097" s="4" t="s">
        <v>21534</v>
      </c>
      <c r="C17097" s="5" t="str">
        <f>IFERROR(__xludf.DUMMYFUNCTION("GOOGLETRANSLATE(B17097,""en"",""it"")"),"Mostra le gambe e poi corre un rasoio elettrico lungo le gambe che si radi di dosso i capelli.")</f>
        <v>Mostra le gambe e poi corre un rasoio elettrico lungo le gambe che si radi di dosso i capelli.</v>
      </c>
    </row>
    <row r="17098">
      <c r="A17098" s="4" t="s">
        <v>21532</v>
      </c>
      <c r="B17098" s="6" t="s">
        <v>21535</v>
      </c>
      <c r="C17098" s="5" t="str">
        <f>IFERROR(__xludf.DUMMYFUNCTION("GOOGLETRANSLATE(B17098,""en"",""it"")"),"Quindi mette la crema da barba sulle gambe e le rasa, alla fine mostrando le gambe nude e parlando alla telecamera.")</f>
        <v>Quindi mette la crema da barba sulle gambe e le rasa, alla fine mostrando le gambe nude e parlando alla telecamera.</v>
      </c>
    </row>
    <row r="17099">
      <c r="A17099" s="4" t="s">
        <v>21536</v>
      </c>
      <c r="B17099" s="4" t="s">
        <v>21537</v>
      </c>
      <c r="C17099" s="5" t="str">
        <f>IFERROR(__xludf.DUMMYFUNCTION("GOOGLETRANSLATE(B17099,""en"",""it"")"),"Vediamo gli astronauti che fluttuano in una nave.")</f>
        <v>Vediamo gli astronauti che fluttuano in una nave.</v>
      </c>
    </row>
    <row r="17100">
      <c r="A17100" s="4" t="s">
        <v>21536</v>
      </c>
      <c r="B17100" s="4" t="s">
        <v>21538</v>
      </c>
      <c r="C17100" s="5" t="str">
        <f>IFERROR(__xludf.DUMMYFUNCTION("GOOGLETRANSLATE(B17100,""en"",""it"")"),"L'uomo consegna alla signora il microfono.")</f>
        <v>L'uomo consegna alla signora il microfono.</v>
      </c>
    </row>
    <row r="17101">
      <c r="A17101" s="4" t="s">
        <v>21536</v>
      </c>
      <c r="B17101" s="4" t="s">
        <v>21539</v>
      </c>
      <c r="C17101" s="5" t="str">
        <f>IFERROR(__xludf.DUMMYFUNCTION("GOOGLETRANSLATE(B17101,""en"",""it"")"),"L'uomo di mezzo si incrocia le mani e ha il microfono.")</f>
        <v>L'uomo di mezzo si incrocia le mani e ha il microfono.</v>
      </c>
    </row>
    <row r="17102">
      <c r="A17102" s="4" t="s">
        <v>21536</v>
      </c>
      <c r="B17102" s="4" t="s">
        <v>21540</v>
      </c>
      <c r="C17102" s="5" t="str">
        <f>IFERROR(__xludf.DUMMYFUNCTION("GOOGLETRANSLATE(B17102,""en"",""it"")"),"La signora riprende il microfono e parla.")</f>
        <v>La signora riprende il microfono e parla.</v>
      </c>
    </row>
    <row r="17103">
      <c r="A17103" s="4" t="s">
        <v>21536</v>
      </c>
      <c r="B17103" s="4" t="s">
        <v>21541</v>
      </c>
      <c r="C17103" s="5" t="str">
        <f>IFERROR(__xludf.DUMMYFUNCTION("GOOGLETRANSLATE(B17103,""en"",""it"")"),"La signora afferra il flauto e gioca.")</f>
        <v>La signora afferra il flauto e gioca.</v>
      </c>
    </row>
    <row r="17104">
      <c r="A17104" s="4" t="s">
        <v>21542</v>
      </c>
      <c r="B17104" s="4" t="s">
        <v>21543</v>
      </c>
      <c r="C17104" s="5" t="str">
        <f>IFERROR(__xludf.DUMMYFUNCTION("GOOGLETRANSLATE(B17104,""en"",""it"")"),"Una donna viene vista camminare con un cavallo e le patrine intorno a un'altra ragazza che si allontana.")</f>
        <v>Una donna viene vista camminare con un cavallo e le patrine intorno a un'altra ragazza che si allontana.</v>
      </c>
    </row>
    <row r="17105">
      <c r="A17105" s="4" t="s">
        <v>21542</v>
      </c>
      <c r="B17105" s="6" t="s">
        <v>21544</v>
      </c>
      <c r="C17105" s="5" t="str">
        <f>IFERROR(__xludf.DUMMYFUNCTION("GOOGLETRANSLATE(B17105,""en"",""it"")"),"Si vedono più ragazze con in mano un prodotto e parlano alla telecamera e conducono alle ragazze che mostrano come pulire il cavallo e spazzolare il cavallo.")</f>
        <v>Si vedono più ragazze con in mano un prodotto e parlano alla telecamera e conducono alle ragazze che mostrano come pulire il cavallo e spazzolare il cavallo.</v>
      </c>
    </row>
    <row r="17106">
      <c r="A17106" s="4" t="s">
        <v>21545</v>
      </c>
      <c r="B17106" s="4" t="s">
        <v>21546</v>
      </c>
      <c r="C17106" s="5" t="str">
        <f>IFERROR(__xludf.DUMMYFUNCTION("GOOGLETRANSLATE(B17106,""en"",""it"")"),"Un uomo sta usando un allenatore ellittico in piedi.")</f>
        <v>Un uomo sta usando un allenatore ellittico in piedi.</v>
      </c>
    </row>
    <row r="17107">
      <c r="A17107" s="4" t="s">
        <v>21545</v>
      </c>
      <c r="B17107" s="4" t="s">
        <v>21547</v>
      </c>
      <c r="C17107" s="5" t="str">
        <f>IFERROR(__xludf.DUMMYFUNCTION("GOOGLETRANSLATE(B17107,""en"",""it"")"),"Quindi una donna si siede mentre lo usa in un altro modo.")</f>
        <v>Quindi una donna si siede mentre lo usa in un altro modo.</v>
      </c>
    </row>
    <row r="17108">
      <c r="A17108" s="4" t="s">
        <v>21545</v>
      </c>
      <c r="B17108" s="4" t="s">
        <v>21548</v>
      </c>
      <c r="C17108" s="5" t="str">
        <f>IFERROR(__xludf.DUMMYFUNCTION("GOOGLETRANSLATE(B17108,""en"",""it"")"),"Passa tra i due mentre si allenano.")</f>
        <v>Passa tra i due mentre si allenano.</v>
      </c>
    </row>
    <row r="17109">
      <c r="A17109" s="4" t="s">
        <v>21545</v>
      </c>
      <c r="B17109" s="4" t="s">
        <v>21549</v>
      </c>
      <c r="C17109" s="5" t="str">
        <f>IFERROR(__xludf.DUMMYFUNCTION("GOOGLETRANSLATE(B17109,""en"",""it"")"),"Viene mostrato un primo piano su come funziona la macchina e si piega per una facile memoria.")</f>
        <v>Viene mostrato un primo piano su come funziona la macchina e si piega per una facile memoria.</v>
      </c>
    </row>
    <row r="17110">
      <c r="A17110" s="4" t="s">
        <v>21550</v>
      </c>
      <c r="B17110" s="4" t="s">
        <v>21551</v>
      </c>
      <c r="C17110" s="5" t="str">
        <f>IFERROR(__xludf.DUMMYFUNCTION("GOOGLETRANSLATE(B17110,""en"",""it"")"),"Un uomo e un ragazzo sono fuori su un vialetto.")</f>
        <v>Un uomo e un ragazzo sono fuori su un vialetto.</v>
      </c>
    </row>
    <row r="17111">
      <c r="A17111" s="4" t="s">
        <v>21550</v>
      </c>
      <c r="B17111" s="4" t="s">
        <v>21552</v>
      </c>
      <c r="C17111" s="5" t="str">
        <f>IFERROR(__xludf.DUMMYFUNCTION("GOOGLETRANSLATE(B17111,""en"",""it"")"),"Sono in competizione per vedere quanto velocemente possono spalare la neve dal vialetto.")</f>
        <v>Sono in competizione per vedere quanto velocemente possono spalare la neve dal vialetto.</v>
      </c>
    </row>
    <row r="17112">
      <c r="A17112" s="4" t="s">
        <v>21550</v>
      </c>
      <c r="B17112" s="4" t="s">
        <v>21553</v>
      </c>
      <c r="C17112" s="5" t="str">
        <f>IFERROR(__xludf.DUMMYFUNCTION("GOOGLETRANSLATE(B17112,""en"",""it"")"),"Corse avanti e indietro il più velocemente possibile.")</f>
        <v>Corse avanti e indietro il più velocemente possibile.</v>
      </c>
    </row>
    <row r="17113">
      <c r="A17113" s="4" t="s">
        <v>21554</v>
      </c>
      <c r="B17113" s="4" t="s">
        <v>21555</v>
      </c>
      <c r="C17113" s="5" t="str">
        <f>IFERROR(__xludf.DUMMYFUNCTION("GOOGLETRANSLATE(B17113,""en"",""it"")"),"Un gruppo di persone galleggia su zattere su un fiume.")</f>
        <v>Un gruppo di persone galleggia su zattere su un fiume.</v>
      </c>
    </row>
    <row r="17114">
      <c r="A17114" s="4" t="s">
        <v>21554</v>
      </c>
      <c r="B17114" s="4" t="s">
        <v>21556</v>
      </c>
      <c r="C17114" s="5" t="str">
        <f>IFERROR(__xludf.DUMMYFUNCTION("GOOGLETRANSLATE(B17114,""en"",""it"")"),"Stanno remando le zattere attraverso rapide rapide di acqua bianca.")</f>
        <v>Stanno remando le zattere attraverso rapide rapide di acqua bianca.</v>
      </c>
    </row>
    <row r="17115">
      <c r="A17115" s="4" t="s">
        <v>21554</v>
      </c>
      <c r="B17115" s="4" t="s">
        <v>21557</v>
      </c>
      <c r="C17115" s="5" t="str">
        <f>IFERROR(__xludf.DUMMYFUNCTION("GOOGLETRANSLATE(B17115,""en"",""it"")"),"Le persone cadono e vengono tirate indietro da altre travi prima di continuare per la loro strada.")</f>
        <v>Le persone cadono e vengono tirate indietro da altre travi prima di continuare per la loro strada.</v>
      </c>
    </row>
    <row r="17116">
      <c r="A17116" s="4" t="s">
        <v>21558</v>
      </c>
      <c r="B17116" s="6" t="s">
        <v>21559</v>
      </c>
      <c r="C17116" s="5" t="str">
        <f>IFERROR(__xludf.DUMMYFUNCTION("GOOGLETRANSLATE(B17116,""en"",""it"")"),"Viene visto un uomo parlare alla telecamera mentre era seduto in un kayak e tiene in mano una persona giocattolo su un kayak in grembo.")</f>
        <v>Viene visto un uomo parlare alla telecamera mentre era seduto in un kayak e tiene in mano una persona giocattolo su un kayak in grembo.</v>
      </c>
    </row>
    <row r="17117">
      <c r="A17117" s="4" t="s">
        <v>21558</v>
      </c>
      <c r="B17117" s="6" t="s">
        <v>21560</v>
      </c>
      <c r="C17117" s="5" t="str">
        <f>IFERROR(__xludf.DUMMYFUNCTION("GOOGLETRANSLATE(B17117,""en"",""it"")"),"L'uomo continua a parlare con la telecamera mentre tiene l'oggetto e conduce in lui in giro nel kayak.")</f>
        <v>L'uomo continua a parlare con la telecamera mentre tiene l'oggetto e conduce in lui in giro nel kayak.</v>
      </c>
    </row>
    <row r="17118">
      <c r="A17118" s="4" t="s">
        <v>21561</v>
      </c>
      <c r="B17118" s="4" t="s">
        <v>21562</v>
      </c>
      <c r="C17118" s="5" t="str">
        <f>IFERROR(__xludf.DUMMYFUNCTION("GOOGLETRANSLATE(B17118,""en"",""it"")"),"Un uomo viene visto fuori davanti a un portico che spinge indietro un tosaerba e quarto.")</f>
        <v>Un uomo viene visto fuori davanti a un portico che spinge indietro un tosaerba e quarto.</v>
      </c>
    </row>
    <row r="17119">
      <c r="A17119" s="4" t="s">
        <v>21561</v>
      </c>
      <c r="B17119" s="4" t="s">
        <v>21563</v>
      </c>
      <c r="C17119" s="5" t="str">
        <f>IFERROR(__xludf.DUMMYFUNCTION("GOOGLETRANSLATE(B17119,""en"",""it"")"),"Corre il tosaerba lungo l'erba e si muove su e giù per il prato.")</f>
        <v>Corre il tosaerba lungo l'erba e si muove su e giù per il prato.</v>
      </c>
    </row>
    <row r="17120">
      <c r="A17120" s="4" t="s">
        <v>21564</v>
      </c>
      <c r="B17120" s="6" t="s">
        <v>21565</v>
      </c>
      <c r="C17120" s="5" t="str">
        <f>IFERROR(__xludf.DUMMYFUNCTION("GOOGLETRANSLATE(B17120,""en"",""it"")"),"Un uomo indossa un abito e parla e le parole sullo schermo dicono che il suo nome è Rich Noonan e che è l'ospite della migliore televisione.")</f>
        <v>Un uomo indossa un abito e parla e le parole sullo schermo dicono che il suo nome è Rich Noonan e che è l'ospite della migliore televisione.</v>
      </c>
    </row>
    <row r="17121">
      <c r="A17121" s="4" t="s">
        <v>21564</v>
      </c>
      <c r="B17121" s="6" t="s">
        <v>21566</v>
      </c>
      <c r="C17121" s="5" t="str">
        <f>IFERROR(__xludf.DUMMYFUNCTION("GOOGLETRANSLATE(B17121,""en"",""it"")"),"Una serie ha ancora girato le foto di case, persone, lavoro in stucco svolto in una casa, un elenco di informazioni in stucco iniziano a suonare e le parole di apertura prima che le immagini inizino a dire ""Best of the Best Television"".")</f>
        <v>Una serie ha ancora girato le foto di case, persone, lavoro in stucco svolto in una casa, un elenco di informazioni in stucco iniziano a suonare e le parole di apertura prima che le immagini inizino a dire "Best of the Best Television".</v>
      </c>
    </row>
    <row r="17122">
      <c r="A17122" s="4" t="s">
        <v>21564</v>
      </c>
      <c r="B17122" s="6" t="s">
        <v>21567</v>
      </c>
      <c r="C17122" s="5" t="str">
        <f>IFERROR(__xludf.DUMMYFUNCTION("GOOGLETRANSLATE(B17122,""en"",""it"")"),"Quando vengono eseguite le immagini, appare uno schermo grigio scuro che includa il nome della società stucco, il loro numero di telefono e il loro sito Web.")</f>
        <v>Quando vengono eseguite le immagini, appare uno schermo grigio scuro che includa il nome della società stucco, il loro numero di telefono e il loro sito Web.</v>
      </c>
    </row>
    <row r="17123">
      <c r="A17123" s="4" t="s">
        <v>21564</v>
      </c>
      <c r="B17123" s="6" t="s">
        <v>21568</v>
      </c>
      <c r="C17123" s="5" t="str">
        <f>IFERROR(__xludf.DUMMYFUNCTION("GOOGLETRANSLATE(B17123,""en"",""it"")"),"L'host sembra parlare di nuovo e termina con le parole uno schermo che dice il meglio della migliore televisione e poi uno schermo che nomina il produttore e il suo sito web.")</f>
        <v>L'host sembra parlare di nuovo e termina con le parole uno schermo che dice il meglio della migliore televisione e poi uno schermo che nomina il produttore e il suo sito web.</v>
      </c>
    </row>
    <row r="17124">
      <c r="A17124" s="4" t="s">
        <v>21569</v>
      </c>
      <c r="B17124" s="4" t="s">
        <v>21570</v>
      </c>
      <c r="C17124" s="5" t="str">
        <f>IFERROR(__xludf.DUMMYFUNCTION("GOOGLETRANSLATE(B17124,""en"",""it"")"),"Un grafico introduttivo è visto con il titolo.")</f>
        <v>Un grafico introduttivo è visto con il titolo.</v>
      </c>
    </row>
    <row r="17125">
      <c r="A17125" s="4" t="s">
        <v>21569</v>
      </c>
      <c r="B17125" s="4" t="s">
        <v>21571</v>
      </c>
      <c r="C17125" s="5" t="str">
        <f>IFERROR(__xludf.DUMMYFUNCTION("GOOGLETRANSLATE(B17125,""en"",""it"")"),"Una grande spiaggia vuota si vede dalla riva.")</f>
        <v>Una grande spiaggia vuota si vede dalla riva.</v>
      </c>
    </row>
    <row r="17126">
      <c r="A17126" s="4" t="s">
        <v>21569</v>
      </c>
      <c r="B17126" s="4" t="s">
        <v>21572</v>
      </c>
      <c r="C17126" s="5" t="str">
        <f>IFERROR(__xludf.DUMMYFUNCTION("GOOGLETRANSLATE(B17126,""en"",""it"")"),"Viene visto un uccello che cammina lungo il litorale.")</f>
        <v>Viene visto un uccello che cammina lungo il litorale.</v>
      </c>
    </row>
    <row r="17127">
      <c r="A17127" s="4" t="s">
        <v>21569</v>
      </c>
      <c r="B17127" s="4" t="s">
        <v>21573</v>
      </c>
      <c r="C17127" s="5" t="str">
        <f>IFERROR(__xludf.DUMMYFUNCTION("GOOGLETRANSLATE(B17127,""en"",""it"")"),"Un gruppo cavalca i cavalli lungo la costa insieme.")</f>
        <v>Un gruppo cavalca i cavalli lungo la costa insieme.</v>
      </c>
    </row>
    <row r="17128">
      <c r="A17128" s="4" t="s">
        <v>21569</v>
      </c>
      <c r="B17128" s="4" t="s">
        <v>21574</v>
      </c>
      <c r="C17128" s="5" t="str">
        <f>IFERROR(__xludf.DUMMYFUNCTION("GOOGLETRANSLATE(B17128,""en"",""it"")"),"Si vedono diverse specie di fiori.")</f>
        <v>Si vedono diverse specie di fiori.</v>
      </c>
    </row>
    <row r="17129">
      <c r="A17129" s="4" t="s">
        <v>21569</v>
      </c>
      <c r="B17129" s="4" t="s">
        <v>21575</v>
      </c>
      <c r="C17129" s="5" t="str">
        <f>IFERROR(__xludf.DUMMYFUNCTION("GOOGLETRANSLATE(B17129,""en"",""it"")"),"Il gruppo sale lungo i bluff.")</f>
        <v>Il gruppo sale lungo i bluff.</v>
      </c>
    </row>
    <row r="17130">
      <c r="A17130" s="4" t="s">
        <v>21569</v>
      </c>
      <c r="B17130" s="4" t="s">
        <v>21576</v>
      </c>
      <c r="C17130" s="5" t="str">
        <f>IFERROR(__xludf.DUMMYFUNCTION("GOOGLETRANSLATE(B17130,""en"",""it"")"),"Una ciclista cavalca vicino al bordo delle acque.")</f>
        <v>Una ciclista cavalca vicino al bordo delle acque.</v>
      </c>
    </row>
    <row r="17131">
      <c r="A17131" s="4" t="s">
        <v>21569</v>
      </c>
      <c r="B17131" s="4" t="s">
        <v>21577</v>
      </c>
      <c r="C17131" s="5" t="str">
        <f>IFERROR(__xludf.DUMMYFUNCTION("GOOGLETRANSLATE(B17131,""en"",""it"")"),"Il gruppo cavalca attraverso la sabbia sciolta e i cavalli lo calciano in aria.")</f>
        <v>Il gruppo cavalca attraverso la sabbia sciolta e i cavalli lo calciano in aria.</v>
      </c>
    </row>
    <row r="17132">
      <c r="A17132" s="4" t="s">
        <v>21569</v>
      </c>
      <c r="B17132" s="4" t="s">
        <v>21578</v>
      </c>
      <c r="C17132" s="5" t="str">
        <f>IFERROR(__xludf.DUMMYFUNCTION("GOOGLETRANSLATE(B17132,""en"",""it"")"),"Il gruppo cavalca lungo una sezione di dune e attraverso una bassa vegetazione.")</f>
        <v>Il gruppo cavalca lungo una sezione di dune e attraverso una bassa vegetazione.</v>
      </c>
    </row>
    <row r="17133">
      <c r="A17133" s="4" t="s">
        <v>21569</v>
      </c>
      <c r="B17133" s="4" t="s">
        <v>21579</v>
      </c>
      <c r="C17133" s="5" t="str">
        <f>IFERROR(__xludf.DUMMYFUNCTION("GOOGLETRANSLATE(B17133,""en"",""it"")"),"Il gruppo cavalca un gallup attraverso l'acqua e lungo la spiaggia.")</f>
        <v>Il gruppo cavalca un gallup attraverso l'acqua e lungo la spiaggia.</v>
      </c>
    </row>
    <row r="17134">
      <c r="A17134" s="4" t="s">
        <v>21569</v>
      </c>
      <c r="B17134" s="4" t="s">
        <v>21580</v>
      </c>
      <c r="C17134" s="5" t="str">
        <f>IFERROR(__xludf.DUMMYFUNCTION("GOOGLETRANSLATE(B17134,""en"",""it"")"),"I cavalieri cavalcano lentamente e poi diventa più tardi nel corso della giornata e il sole si sta abbassando.")</f>
        <v>I cavalieri cavalcano lentamente e poi diventa più tardi nel corso della giornata e il sole si sta abbassando.</v>
      </c>
    </row>
    <row r="17135">
      <c r="A17135" s="4" t="s">
        <v>21569</v>
      </c>
      <c r="B17135" s="4" t="s">
        <v>21581</v>
      </c>
      <c r="C17135" s="5" t="str">
        <f>IFERROR(__xludf.DUMMYFUNCTION("GOOGLETRANSLATE(B17135,""en"",""it"")"),"La spiaggia è vista da lontano mentre il sole è tramontato.")</f>
        <v>La spiaggia è vista da lontano mentre il sole è tramontato.</v>
      </c>
    </row>
    <row r="17136">
      <c r="A17136" s="4" t="s">
        <v>21582</v>
      </c>
      <c r="B17136" s="4" t="s">
        <v>21583</v>
      </c>
      <c r="C17136" s="5" t="str">
        <f>IFERROR(__xludf.DUMMYFUNCTION("GOOGLETRANSLATE(B17136,""en"",""it"")"),"Qualche testo bianco su uno sfondo nero spiega che nessun essenza è rimasto ferito durante questo video.")</f>
        <v>Qualche testo bianco su uno sfondo nero spiega che nessun essenza è rimasto ferito durante questo video.</v>
      </c>
    </row>
    <row r="17137">
      <c r="A17137" s="4" t="s">
        <v>21582</v>
      </c>
      <c r="B17137" s="4" t="s">
        <v>21584</v>
      </c>
      <c r="C17137" s="5" t="str">
        <f>IFERROR(__xludf.DUMMYFUNCTION("GOOGLETRANSLATE(B17137,""en"",""it"")"),"Un giovane sta facendo delle facce per la telecamera mentre si trova davanti a una roccia.")</f>
        <v>Un giovane sta facendo delle facce per la telecamera mentre si trova davanti a una roccia.</v>
      </c>
    </row>
    <row r="17138">
      <c r="A17138" s="4" t="s">
        <v>21582</v>
      </c>
      <c r="B17138" s="4" t="s">
        <v>21585</v>
      </c>
      <c r="C17138" s="5" t="str">
        <f>IFERROR(__xludf.DUMMYFUNCTION("GOOGLETRANSLATE(B17138,""en"",""it"")"),"Alcuni filmati di altre persone che camminano e fanno altri trucchi sulla corda stretta.")</f>
        <v>Alcuni filmati di altre persone che camminano e fanno altri trucchi sulla corda stretta.</v>
      </c>
    </row>
    <row r="17139">
      <c r="A17139" s="4" t="s">
        <v>21582</v>
      </c>
      <c r="B17139" s="4" t="s">
        <v>21586</v>
      </c>
      <c r="C17139" s="5" t="str">
        <f>IFERROR(__xludf.DUMMYFUNCTION("GOOGLETRANSLATE(B17139,""en"",""it"")"),"Un uomo più anziano sta andando in una piccola bicicletta all'interno di un negozio.")</f>
        <v>Un uomo più anziano sta andando in una piccola bicicletta all'interno di un negozio.</v>
      </c>
    </row>
    <row r="17140">
      <c r="A17140" s="4" t="s">
        <v>21582</v>
      </c>
      <c r="B17140" s="4" t="s">
        <v>21587</v>
      </c>
      <c r="C17140" s="5" t="str">
        <f>IFERROR(__xludf.DUMMYFUNCTION("GOOGLETRANSLATE(B17140,""en"",""it"")"),"Viene mostrato più filmati di camminatori a corda stretta inciampare e cadere.")</f>
        <v>Viene mostrato più filmati di camminatori a corda stretta inciampare e cadere.</v>
      </c>
    </row>
    <row r="17141">
      <c r="A17141" s="4" t="s">
        <v>21582</v>
      </c>
      <c r="B17141" s="4" t="s">
        <v>21588</v>
      </c>
      <c r="C17141" s="5" t="str">
        <f>IFERROR(__xludf.DUMMYFUNCTION("GOOGLETRANSLATE(B17141,""en"",""it"")"),"Vengono mostrate alcune grafiche delle organizzazioni che hanno realizzato il video.")</f>
        <v>Vengono mostrate alcune grafiche delle organizzazioni che hanno realizzato il video.</v>
      </c>
    </row>
    <row r="17142">
      <c r="A17142" s="4" t="s">
        <v>21589</v>
      </c>
      <c r="B17142" s="4" t="s">
        <v>21590</v>
      </c>
      <c r="C17142" s="5" t="str">
        <f>IFERROR(__xludf.DUMMYFUNCTION("GOOGLETRANSLATE(B17142,""en"",""it"")"),"Una persona viene vista cavalcare lungo l'acqua in un kayak.")</f>
        <v>Una persona viene vista cavalcare lungo l'acqua in un kayak.</v>
      </c>
    </row>
    <row r="17143">
      <c r="A17143" s="4" t="s">
        <v>21589</v>
      </c>
      <c r="B17143" s="6" t="s">
        <v>21591</v>
      </c>
      <c r="C17143" s="5" t="str">
        <f>IFERROR(__xludf.DUMMYFUNCTION("GOOGLETRANSLATE(B17143,""en"",""it"")"),"La persona usa una pagaia per spingersi attorno all'acqua mentre guardano in lontananza.")</f>
        <v>La persona usa una pagaia per spingersi attorno all'acqua mentre guardano in lontananza.</v>
      </c>
    </row>
    <row r="17144">
      <c r="A17144" s="4" t="s">
        <v>21589</v>
      </c>
      <c r="B17144" s="4" t="s">
        <v>21592</v>
      </c>
      <c r="C17144" s="5" t="str">
        <f>IFERROR(__xludf.DUMMYFUNCTION("GOOGLETRANSLATE(B17144,""en"",""it"")"),"La persona continua a cavalcare in acqua e allontanandosi dalla telecamera.")</f>
        <v>La persona continua a cavalcare in acqua e allontanandosi dalla telecamera.</v>
      </c>
    </row>
    <row r="17145">
      <c r="A17145" s="4" t="s">
        <v>21593</v>
      </c>
      <c r="B17145" s="6" t="s">
        <v>21594</v>
      </c>
      <c r="C17145" s="5" t="str">
        <f>IFERROR(__xludf.DUMMYFUNCTION("GOOGLETRANSLATE(B17145,""en"",""it"")"),"Un uomo, con un sassofono al collo, dimostra come suonare il sassofono davanti a una lavagna verde e accanto a un piano marrone.")</f>
        <v>Un uomo, con un sassofono al collo, dimostra come suonare il sassofono davanti a una lavagna verde e accanto a un piano marrone.</v>
      </c>
    </row>
    <row r="17146">
      <c r="A17146" s="4" t="s">
        <v>21593</v>
      </c>
      <c r="B17146" s="4" t="s">
        <v>21595</v>
      </c>
      <c r="C17146" s="5" t="str">
        <f>IFERROR(__xludf.DUMMYFUNCTION("GOOGLETRANSLATE(B17146,""en"",""it"")"),"L'uomo indica diverse sezioni del sassofono mentre parla con la telecamera.")</f>
        <v>L'uomo indica diverse sezioni del sassofono mentre parla con la telecamera.</v>
      </c>
    </row>
    <row r="17147">
      <c r="A17147" s="4" t="s">
        <v>21593</v>
      </c>
      <c r="B17147" s="6" t="s">
        <v>21596</v>
      </c>
      <c r="C17147" s="5" t="str">
        <f>IFERROR(__xludf.DUMMYFUNCTION("GOOGLETRANSLATE(B17147,""en"",""it"")"),"L'uomo inizia a suonare brevemente il sassofono e poi si gira verso la lavagna e inizia a scriverne note mentre parla con la telecamera.")</f>
        <v>L'uomo inizia a suonare brevemente il sassofono e poi si gira verso la lavagna e inizia a scriverne note mentre parla con la telecamera.</v>
      </c>
    </row>
    <row r="17148">
      <c r="A17148" s="4" t="s">
        <v>21593</v>
      </c>
      <c r="B17148" s="6" t="s">
        <v>21597</v>
      </c>
      <c r="C17148" s="5" t="str">
        <f>IFERROR(__xludf.DUMMYFUNCTION("GOOGLETRANSLATE(B17148,""en"",""it"")"),"L'uomo indica le note scritte sulla lavagna prima di iniziare a giocare mentre legge le note dal tabellone, prima di tornare a parlare e giocare davanti alla telecamera.")</f>
        <v>L'uomo indica le note scritte sulla lavagna prima di iniziare a giocare mentre legge le note dal tabellone, prima di tornare a parlare e giocare davanti alla telecamera.</v>
      </c>
    </row>
    <row r="17149">
      <c r="A17149" s="4" t="s">
        <v>21598</v>
      </c>
      <c r="B17149" s="4" t="s">
        <v>21599</v>
      </c>
      <c r="C17149" s="5" t="str">
        <f>IFERROR(__xludf.DUMMYFUNCTION("GOOGLETRANSLATE(B17149,""en"",""it"")"),"Una persona entra alla vista della fotocamera in cui c'è un giocattolo arancione che si sdraia sul pavimento.")</f>
        <v>Una persona entra alla vista della fotocamera in cui c'è un giocattolo arancione che si sdraia sul pavimento.</v>
      </c>
    </row>
    <row r="17150">
      <c r="A17150" s="4" t="s">
        <v>21598</v>
      </c>
      <c r="B17150" s="4" t="s">
        <v>21600</v>
      </c>
      <c r="C17150" s="5" t="str">
        <f>IFERROR(__xludf.DUMMYFUNCTION("GOOGLETRANSLATE(B17150,""en"",""it"")"),"La persona inizia a asciugarsi vigorosamente i piedi sul giocattolo.")</f>
        <v>La persona inizia a asciugarsi vigorosamente i piedi sul giocattolo.</v>
      </c>
    </row>
    <row r="17151">
      <c r="A17151" s="4" t="s">
        <v>21598</v>
      </c>
      <c r="B17151" s="4" t="s">
        <v>21601</v>
      </c>
      <c r="C17151" s="5" t="str">
        <f>IFERROR(__xludf.DUMMYFUNCTION("GOOGLETRANSLATE(B17151,""en"",""it"")"),"La persona prende a calci il giocattolo mentre finiscono di asciugare i piedi sul giocattolo.")</f>
        <v>La persona prende a calci il giocattolo mentre finiscono di asciugare i piedi sul giocattolo.</v>
      </c>
    </row>
    <row r="17152">
      <c r="A17152" s="4" t="s">
        <v>21602</v>
      </c>
      <c r="B17152" s="4" t="s">
        <v>21603</v>
      </c>
      <c r="C17152" s="5" t="str">
        <f>IFERROR(__xludf.DUMMYFUNCTION("GOOGLETRANSLATE(B17152,""en"",""it"")"),"Un uomo seduto sta parlando con una stanza piena di calciatori.")</f>
        <v>Un uomo seduto sta parlando con una stanza piena di calciatori.</v>
      </c>
    </row>
    <row r="17153">
      <c r="A17153" s="4" t="s">
        <v>21602</v>
      </c>
      <c r="B17153" s="4" t="s">
        <v>21604</v>
      </c>
      <c r="C17153" s="5" t="str">
        <f>IFERROR(__xludf.DUMMYFUNCTION("GOOGLETRANSLATE(B17153,""en"",""it"")"),"Calcolano la palla nel loro spogliatoio.")</f>
        <v>Calcolano la palla nel loro spogliatoio.</v>
      </c>
    </row>
    <row r="17154">
      <c r="A17154" s="4" t="s">
        <v>21602</v>
      </c>
      <c r="B17154" s="4" t="s">
        <v>21605</v>
      </c>
      <c r="C17154" s="5" t="str">
        <f>IFERROR(__xludf.DUMMYFUNCTION("GOOGLETRANSLATE(B17154,""en"",""it"")"),"L'uomo parla alla telecamera del gioco.")</f>
        <v>L'uomo parla alla telecamera del gioco.</v>
      </c>
    </row>
    <row r="17155">
      <c r="A17155" s="4" t="s">
        <v>21602</v>
      </c>
      <c r="B17155" s="4" t="s">
        <v>21606</v>
      </c>
      <c r="C17155" s="5" t="str">
        <f>IFERROR(__xludf.DUMMYFUNCTION("GOOGLETRANSLATE(B17155,""en"",""it"")"),"Uscita e un gioco viene mostrato in corso mentre ne discute più.")</f>
        <v>Uscita e un gioco viene mostrato in corso mentre ne discute più.</v>
      </c>
    </row>
    <row r="17156">
      <c r="A17156" s="4" t="s">
        <v>21602</v>
      </c>
      <c r="B17156" s="4" t="s">
        <v>21607</v>
      </c>
      <c r="C17156" s="5" t="str">
        <f>IFERROR(__xludf.DUMMYFUNCTION("GOOGLETRANSLATE(B17156,""en"",""it"")"),"Agli uomini viene mostrato parlare, giocare e posare per una fotografia di squadra alla fine.")</f>
        <v>Agli uomini viene mostrato parlare, giocare e posare per una fotografia di squadra alla fine.</v>
      </c>
    </row>
    <row r="17157">
      <c r="A17157" s="4" t="s">
        <v>21608</v>
      </c>
      <c r="B17157" s="4" t="s">
        <v>21609</v>
      </c>
      <c r="C17157" s="5" t="str">
        <f>IFERROR(__xludf.DUMMYFUNCTION("GOOGLETRANSLATE(B17157,""en"",""it"")"),"Adolescenti skateboard sulla strada e un parcheggio durante il giorno.")</f>
        <v>Adolescenti skateboard sulla strada e un parcheggio durante il giorno.</v>
      </c>
    </row>
    <row r="17158">
      <c r="A17158" s="4" t="s">
        <v>21608</v>
      </c>
      <c r="B17158" s="4" t="s">
        <v>21610</v>
      </c>
      <c r="C17158" s="5" t="str">
        <f>IFERROR(__xludf.DUMMYFUNCTION("GOOGLETRANSLATE(B17158,""en"",""it"")"),"Lo skateboard per adolescenti in strada giorno e notte.")</f>
        <v>Lo skateboard per adolescenti in strada giorno e notte.</v>
      </c>
    </row>
    <row r="17159">
      <c r="A17159" s="4" t="s">
        <v>21608</v>
      </c>
      <c r="B17159" s="4" t="s">
        <v>21611</v>
      </c>
      <c r="C17159" s="5" t="str">
        <f>IFERROR(__xludf.DUMMYFUNCTION("GOOGLETRANSLATE(B17159,""en"",""it"")"),"Adolescenti in una strada trafficata, poi skateboard sulle rotaie di un edificio.")</f>
        <v>Adolescenti in una strada trafficata, poi skateboard sulle rotaie di un edificio.</v>
      </c>
    </row>
    <row r="17160">
      <c r="A17160" s="4" t="s">
        <v>21608</v>
      </c>
      <c r="B17160" s="4" t="s">
        <v>21612</v>
      </c>
      <c r="C17160" s="5" t="str">
        <f>IFERROR(__xludf.DUMMYFUNCTION("GOOGLETRANSLATE(B17160,""en"",""it"")"),"Dopo, il Teens Skateboard giorno e la notte in strada.")</f>
        <v>Dopo, il Teens Skateboard giorno e la notte in strada.</v>
      </c>
    </row>
    <row r="17161">
      <c r="A17161" s="4" t="s">
        <v>21613</v>
      </c>
      <c r="B17161" s="6" t="s">
        <v>21614</v>
      </c>
      <c r="C17161" s="5" t="str">
        <f>IFERROR(__xludf.DUMMYFUNCTION("GOOGLETRANSLATE(B17161,""en"",""it"")"),"Viene visto un uomo che solleva una camicia alla telecamera mentre il cameraman parla e torna all'uomo con la camicia.")</f>
        <v>Viene visto un uomo che solleva una camicia alla telecamera mentre il cameraman parla e torna all'uomo con la camicia.</v>
      </c>
    </row>
    <row r="17162">
      <c r="A17162" s="4" t="s">
        <v>21613</v>
      </c>
      <c r="B17162" s="4" t="s">
        <v>21615</v>
      </c>
      <c r="C17162" s="5" t="str">
        <f>IFERROR(__xludf.DUMMYFUNCTION("GOOGLETRANSLATE(B17162,""en"",""it"")"),"L'uomo che tiene parlando e indica un ferro vicino a lui.")</f>
        <v>L'uomo che tiene parlando e indica un ferro vicino a lui.</v>
      </c>
    </row>
    <row r="17163">
      <c r="A17163" s="4" t="s">
        <v>21613</v>
      </c>
      <c r="B17163" s="6" t="s">
        <v>21616</v>
      </c>
      <c r="C17163" s="5" t="str">
        <f>IFERROR(__xludf.DUMMYFUNCTION("GOOGLETRANSLATE(B17163,""en"",""it"")"),"Prende il ferro in attesa che si alza, quindi procede a stirare la camicia mentre guarda la telecamera.")</f>
        <v>Prende il ferro in attesa che si alza, quindi procede a stirare la camicia mentre guarda la telecamera.</v>
      </c>
    </row>
    <row r="17164">
      <c r="A17164" s="4" t="s">
        <v>21617</v>
      </c>
      <c r="B17164" s="6" t="s">
        <v>21618</v>
      </c>
      <c r="C17164" s="5" t="str">
        <f>IFERROR(__xludf.DUMMYFUNCTION("GOOGLETRANSLATE(B17164,""en"",""it"")"),"Un piccolo gruppo di persone è visto in piedi in una palestra con uno che corre giù e sparare a un cestino.")</f>
        <v>Un piccolo gruppo di persone è visto in piedi in una palestra con uno che corre giù e sparare a un cestino.</v>
      </c>
    </row>
    <row r="17165">
      <c r="A17165" s="4" t="s">
        <v>21617</v>
      </c>
      <c r="B17165" s="4" t="s">
        <v>21619</v>
      </c>
      <c r="C17165" s="5" t="str">
        <f>IFERROR(__xludf.DUMMYFUNCTION("GOOGLETRANSLATE(B17165,""en"",""it"")"),"Diverse altre persone vengono viste correre lungo la corsia e sparare a un cestino sopra di loro.")</f>
        <v>Diverse altre persone vengono viste correre lungo la corsia e sparare a un cestino sopra di loro.</v>
      </c>
    </row>
    <row r="17166">
      <c r="A17166" s="4" t="s">
        <v>21617</v>
      </c>
      <c r="B17166" s="4" t="s">
        <v>21620</v>
      </c>
      <c r="C17166" s="5" t="str">
        <f>IFERROR(__xludf.DUMMYFUNCTION("GOOGLETRANSLATE(B17166,""en"",""it"")"),"Altre ragazze corrono per sparare a un cestino e finiscono camminando insieme.")</f>
        <v>Altre ragazze corrono per sparare a un cestino e finiscono camminando insieme.</v>
      </c>
    </row>
    <row r="17167">
      <c r="A17167" s="4" t="s">
        <v>21621</v>
      </c>
      <c r="B17167" s="4" t="s">
        <v>21622</v>
      </c>
      <c r="C17167" s="5" t="str">
        <f>IFERROR(__xludf.DUMMYFUNCTION("GOOGLETRANSLATE(B17167,""en"",""it"")"),"Viene visualizzata un'immagine fissa di una squadra di hockey e un numero sette viene mostrato sullo schermo.")</f>
        <v>Viene visualizzata un'immagine fissa di una squadra di hockey e un numero sette viene mostrato sullo schermo.</v>
      </c>
    </row>
    <row r="17168">
      <c r="A17168" s="4" t="s">
        <v>21621</v>
      </c>
      <c r="B17168" s="4" t="s">
        <v>21623</v>
      </c>
      <c r="C17168" s="5" t="str">
        <f>IFERROR(__xludf.DUMMYFUNCTION("GOOGLETRANSLATE(B17168,""en"",""it"")"),"Un cerchio evidenzia quindi il giocatore e inizia il gioco.")</f>
        <v>Un cerchio evidenzia quindi il giocatore e inizia il gioco.</v>
      </c>
    </row>
    <row r="17169">
      <c r="A17169" s="4" t="s">
        <v>21621</v>
      </c>
      <c r="B17169" s="6" t="s">
        <v>21624</v>
      </c>
      <c r="C17169" s="5" t="str">
        <f>IFERROR(__xludf.DUMMYFUNCTION("GOOGLETRANSLATE(B17169,""en"",""it"")"),"Mentre il gioco continua, l'atleta è raffigurato più volte quando fa qualcosa di spettacolare.")</f>
        <v>Mentre il gioco continua, l'atleta è raffigurato più volte quando fa qualcosa di spettacolare.</v>
      </c>
    </row>
    <row r="17170">
      <c r="A17170" s="4" t="s">
        <v>21625</v>
      </c>
      <c r="B17170" s="4" t="s">
        <v>21626</v>
      </c>
      <c r="C17170" s="5" t="str">
        <f>IFERROR(__xludf.DUMMYFUNCTION("GOOGLETRANSLATE(B17170,""en"",""it"")"),"Un uomo che tiene in mano un palo corre rapidamente verso il traguardo e lo lancia abbastanza lontano.")</f>
        <v>Un uomo che tiene in mano un palo corre rapidamente verso il traguardo e lo lancia abbastanza lontano.</v>
      </c>
    </row>
    <row r="17171">
      <c r="A17171" s="4" t="s">
        <v>21625</v>
      </c>
      <c r="B17171" s="4" t="s">
        <v>21627</v>
      </c>
      <c r="C17171" s="5" t="str">
        <f>IFERROR(__xludf.DUMMYFUNCTION("GOOGLETRANSLATE(B17171,""en"",""it"")"),"L'atleta sembra orgoglioso del suo tiro e il suo momento viene mostrato di nuovo al rallentatore.")</f>
        <v>L'atleta sembra orgoglioso del suo tiro e il suo momento viene mostrato di nuovo al rallentatore.</v>
      </c>
    </row>
    <row r="17172">
      <c r="A17172" s="4" t="s">
        <v>21625</v>
      </c>
      <c r="B17172" s="4" t="s">
        <v>21628</v>
      </c>
      <c r="C17172" s="5" t="str">
        <f>IFERROR(__xludf.DUMMYFUNCTION("GOOGLETRANSLATE(B17172,""en"",""it"")"),"Il commentatore continua a discutere della sua tecnica mentre riproduce il tiro più volte.")</f>
        <v>Il commentatore continua a discutere della sua tecnica mentre riproduce il tiro più volte.</v>
      </c>
    </row>
    <row r="17173">
      <c r="A17173" s="4" t="s">
        <v>21629</v>
      </c>
      <c r="B17173" s="4" t="s">
        <v>21630</v>
      </c>
      <c r="C17173" s="5" t="str">
        <f>IFERROR(__xludf.DUMMYFUNCTION("GOOGLETRANSLATE(B17173,""en"",""it"")"),"Una persona sta premendo i pulsanti su un forno.")</f>
        <v>Una persona sta premendo i pulsanti su un forno.</v>
      </c>
    </row>
    <row r="17174">
      <c r="A17174" s="4" t="s">
        <v>21629</v>
      </c>
      <c r="B17174" s="4" t="s">
        <v>21631</v>
      </c>
      <c r="C17174" s="5" t="str">
        <f>IFERROR(__xludf.DUMMYFUNCTION("GOOGLETRANSLATE(B17174,""en"",""it"")"),"Una ragazza versa gli ingredienti in una ciotola insieme.")</f>
        <v>Una ragazza versa gli ingredienti in una ciotola insieme.</v>
      </c>
    </row>
    <row r="17175">
      <c r="A17175" s="4" t="s">
        <v>21629</v>
      </c>
      <c r="B17175" s="4" t="s">
        <v>21632</v>
      </c>
      <c r="C17175" s="5" t="str">
        <f>IFERROR(__xludf.DUMMYFUNCTION("GOOGLETRANSLATE(B17175,""en"",""it"")"),"Mescola gli ingredienti usando un mixer, quindi mette più ingredienti nella ciotola.")</f>
        <v>Mescola gli ingredienti usando un mixer, quindi mette più ingredienti nella ciotola.</v>
      </c>
    </row>
    <row r="17176">
      <c r="A17176" s="4" t="s">
        <v>21629</v>
      </c>
      <c r="B17176" s="4" t="s">
        <v>21633</v>
      </c>
      <c r="C17176" s="5" t="str">
        <f>IFERROR(__xludf.DUMMYFUNCTION("GOOGLETRANSLATE(B17176,""en"",""it"")"),"Le miscele di nuovo e infine mette un'altra piccola quantità di ingredienti nella ciotola.")</f>
        <v>Le miscele di nuovo e infine mette un'altra piccola quantità di ingredienti nella ciotola.</v>
      </c>
    </row>
    <row r="17177">
      <c r="A17177" s="4" t="s">
        <v>21629</v>
      </c>
      <c r="B17177" s="4" t="s">
        <v>21634</v>
      </c>
      <c r="C17177" s="5" t="str">
        <f>IFERROR(__xludf.DUMMYFUNCTION("GOOGLETRANSLATE(B17177,""en"",""it"")"),"Mescola una terza volta e aggiunge gocce di cioccolato, mescolando infine ancora una volta.")</f>
        <v>Mescola una terza volta e aggiunge gocce di cioccolato, mescolando infine ancora una volta.</v>
      </c>
    </row>
    <row r="17178">
      <c r="A17178" s="4" t="s">
        <v>21629</v>
      </c>
      <c r="B17178" s="4" t="s">
        <v>21635</v>
      </c>
      <c r="C17178" s="5" t="str">
        <f>IFERROR(__xludf.DUMMYFUNCTION("GOOGLETRANSLATE(B17178,""en"",""it"")"),"Il forno fa capolino e lei prepara una padella con l'impasto per biscotti.")</f>
        <v>Il forno fa capolino e lei prepara una padella con l'impasto per biscotti.</v>
      </c>
    </row>
    <row r="17179">
      <c r="A17179" s="4" t="s">
        <v>21629</v>
      </c>
      <c r="B17179" s="4" t="s">
        <v>21636</v>
      </c>
      <c r="C17179" s="5" t="str">
        <f>IFERROR(__xludf.DUMMYFUNCTION("GOOGLETRANSLATE(B17179,""en"",""it"")"),"Mette l'impasto nel forno e preme le opzioni di cottura.")</f>
        <v>Mette l'impasto nel forno e preme le opzioni di cottura.</v>
      </c>
    </row>
    <row r="17180">
      <c r="A17180" s="4" t="s">
        <v>21629</v>
      </c>
      <c r="B17180" s="4" t="s">
        <v>21637</v>
      </c>
      <c r="C17180" s="5" t="str">
        <f>IFERROR(__xludf.DUMMYFUNCTION("GOOGLETRANSLATE(B17180,""en"",""it"")"),"Dopo diversi minuti tira fuori la padella e spargi i biscotti.")</f>
        <v>Dopo diversi minuti tira fuori la padella e spargi i biscotti.</v>
      </c>
    </row>
    <row r="17181">
      <c r="A17181" s="4" t="s">
        <v>21638</v>
      </c>
      <c r="B17181" s="4" t="s">
        <v>21639</v>
      </c>
      <c r="C17181" s="5" t="str">
        <f>IFERROR(__xludf.DUMMYFUNCTION("GOOGLETRANSLATE(B17181,""en"",""it"")"),"La limonata viene vista versata in un bicchiere e una donna che versa acqua.")</f>
        <v>La limonata viene vista versata in un bicchiere e una donna che versa acqua.</v>
      </c>
    </row>
    <row r="17182">
      <c r="A17182" s="4" t="s">
        <v>21638</v>
      </c>
      <c r="B17182" s="4" t="s">
        <v>21640</v>
      </c>
      <c r="C17182" s="5" t="str">
        <f>IFERROR(__xludf.DUMMYFUNCTION("GOOGLETRANSLATE(B17182,""en"",""it"")"),"Mescola gli ingredienti in un contenitore e versa più acqua.")</f>
        <v>Mescola gli ingredienti in un contenitore e versa più acqua.</v>
      </c>
    </row>
    <row r="17183">
      <c r="A17183" s="4" t="s">
        <v>21638</v>
      </c>
      <c r="B17183" s="4" t="s">
        <v>21641</v>
      </c>
      <c r="C17183" s="5" t="str">
        <f>IFERROR(__xludf.DUMMYFUNCTION("GOOGLETRANSLATE(B17183,""en"",""it"")"),"In The She Mostra la sua limonata.")</f>
        <v>In The She Mostra la sua limonata.</v>
      </c>
    </row>
    <row r="17184">
      <c r="A17184" s="4" t="s">
        <v>21642</v>
      </c>
      <c r="B17184" s="6" t="s">
        <v>21643</v>
      </c>
      <c r="C17184" s="5" t="str">
        <f>IFERROR(__xludf.DUMMYFUNCTION("GOOGLETRANSLATE(B17184,""en"",""it"")"),"Un folto gruppo di persone è visto in piedi intorno a diversi uomini che tengono una corda che si prepara a giocare a tiro alla guerra.")</f>
        <v>Un folto gruppo di persone è visto in piedi intorno a diversi uomini che tengono una corda che si prepara a giocare a tiro alla guerra.</v>
      </c>
    </row>
    <row r="17185">
      <c r="A17185" s="4" t="s">
        <v>21642</v>
      </c>
      <c r="B17185" s="6" t="s">
        <v>21644</v>
      </c>
      <c r="C17185" s="5" t="str">
        <f>IFERROR(__xludf.DUMMYFUNCTION("GOOGLETRANSLATE(B17185,""en"",""it"")"),"Un altro gruppo di uomini si vede tirando la corda mentre una folla in piedi li racchiude.")</f>
        <v>Un altro gruppo di uomini si vede tirando la corda mentre una folla in piedi li racchiude.</v>
      </c>
    </row>
    <row r="17186">
      <c r="A17186" s="4" t="s">
        <v>21642</v>
      </c>
      <c r="B17186" s="4" t="s">
        <v>21645</v>
      </c>
      <c r="C17186" s="5" t="str">
        <f>IFERROR(__xludf.DUMMYFUNCTION("GOOGLETRANSLATE(B17186,""en"",""it"")"),"Un terzo gruppo di uomini viene visto giocare a tiro alla fune con una folla attorno a loro.")</f>
        <v>Un terzo gruppo di uomini viene visto giocare a tiro alla fune con una folla attorno a loro.</v>
      </c>
    </row>
    <row r="17187">
      <c r="A17187" s="4" t="s">
        <v>21642</v>
      </c>
      <c r="B17187" s="4" t="s">
        <v>21646</v>
      </c>
      <c r="C17187" s="5" t="str">
        <f>IFERROR(__xludf.DUMMYFUNCTION("GOOGLETRANSLATE(B17187,""en"",""it"")"),"Un gruppo di uomini di Forth è mostrato anche suonando tiro alla fune in mezzo alla folla.")</f>
        <v>Un gruppo di uomini di Forth è mostrato anche suonando tiro alla fune in mezzo alla folla.</v>
      </c>
    </row>
    <row r="17188">
      <c r="A17188" s="4" t="s">
        <v>21642</v>
      </c>
      <c r="B17188" s="4" t="s">
        <v>21647</v>
      </c>
      <c r="C17188" s="5" t="str">
        <f>IFERROR(__xludf.DUMMYFUNCTION("GOOGLETRANSLATE(B17188,""en"",""it"")"),"Viene mostrato un quinto gruppo di uomini che gioca a rimorchiarsi in una folla di persone e cani.")</f>
        <v>Viene mostrato un quinto gruppo di uomini che gioca a rimorchiarsi in una folla di persone e cani.</v>
      </c>
    </row>
    <row r="17189">
      <c r="A17189" s="4" t="s">
        <v>21642</v>
      </c>
      <c r="B17189" s="4" t="s">
        <v>21648</v>
      </c>
      <c r="C17189" s="5" t="str">
        <f>IFERROR(__xludf.DUMMYFUNCTION("GOOGLETRANSLATE(B17189,""en"",""it"")"),"Un diverso gruppo di uomini gioca a strati di guerra con una folla che guarda.")</f>
        <v>Un diverso gruppo di uomini gioca a strati di guerra con una folla che guarda.</v>
      </c>
    </row>
    <row r="17190">
      <c r="A17190" s="4" t="s">
        <v>21642</v>
      </c>
      <c r="B17190" s="4" t="s">
        <v>21649</v>
      </c>
      <c r="C17190" s="5" t="str">
        <f>IFERROR(__xludf.DUMMYFUNCTION("GOOGLETRANSLATE(B17190,""en"",""it"")"),"Un settimo gruppo di uomini sta giocando a rimorchiarsi in mezzo alla folla.")</f>
        <v>Un settimo gruppo di uomini sta giocando a rimorchiarsi in mezzo alla folla.</v>
      </c>
    </row>
    <row r="17191">
      <c r="A17191" s="4" t="s">
        <v>21642</v>
      </c>
      <c r="B17191" s="6" t="s">
        <v>21650</v>
      </c>
      <c r="C17191" s="5" t="str">
        <f>IFERROR(__xludf.DUMMYFUNCTION("GOOGLETRANSLATE(B17191,""en"",""it"")"),"Un diverso gruppo di uomini sta giocando a rimorchiarsi se la guerra e sembra vincere mentre è rallegrata dalla folla.")</f>
        <v>Un diverso gruppo di uomini sta giocando a rimorchiarsi se la guerra e sembra vincere mentre è rallegrata dalla folla.</v>
      </c>
    </row>
    <row r="17192">
      <c r="A17192" s="4" t="s">
        <v>21642</v>
      </c>
      <c r="B17192" s="4" t="s">
        <v>21651</v>
      </c>
      <c r="C17192" s="5" t="str">
        <f>IFERROR(__xludf.DUMMYFUNCTION("GOOGLETRANSLATE(B17192,""en"",""it"")"),"Tuttavia, un altro gruppo di uomini sta giocando a tiro alla fune mentre una folla osserva.")</f>
        <v>Tuttavia, un altro gruppo di uomini sta giocando a tiro alla fune mentre una folla osserva.</v>
      </c>
    </row>
    <row r="17193">
      <c r="A17193" s="4" t="s">
        <v>21642</v>
      </c>
      <c r="B17193" s="4" t="s">
        <v>21652</v>
      </c>
      <c r="C17193" s="5" t="str">
        <f>IFERROR(__xludf.DUMMYFUNCTION("GOOGLETRANSLATE(B17193,""en"",""it"")"),"Un altro gruppo di uomini viene mostrato a giocare a rimorchiatore se la guerra da vicino mentre una folla guarda.")</f>
        <v>Un altro gruppo di uomini viene mostrato a giocare a rimorchiatore se la guerra da vicino mentre una folla guarda.</v>
      </c>
    </row>
    <row r="17194">
      <c r="A17194" s="4" t="s">
        <v>21642</v>
      </c>
      <c r="B17194" s="4" t="s">
        <v>21653</v>
      </c>
      <c r="C17194" s="5" t="str">
        <f>IFERROR(__xludf.DUMMYFUNCTION("GOOGLETRANSLATE(B17194,""en"",""it"")"),"Un altro gruppo di uomini gioca mentre le persone si siedono e si trovano in background.")</f>
        <v>Un altro gruppo di uomini gioca mentre le persone si siedono e si trovano in background.</v>
      </c>
    </row>
    <row r="17195">
      <c r="A17195" s="4" t="s">
        <v>21642</v>
      </c>
      <c r="B17195" s="4" t="s">
        <v>21654</v>
      </c>
      <c r="C17195" s="5" t="str">
        <f>IFERROR(__xludf.DUMMYFUNCTION("GOOGLETRANSLATE(B17195,""en"",""it"")"),"Un diverso gruppo di uomini viene visto suonare mentre le persone si siedono e si trovano intorno a loro.")</f>
        <v>Un diverso gruppo di uomini viene visto suonare mentre le persone si siedono e si trovano intorno a loro.</v>
      </c>
    </row>
    <row r="17196">
      <c r="A17196" s="4" t="s">
        <v>21642</v>
      </c>
      <c r="B17196" s="4" t="s">
        <v>21655</v>
      </c>
      <c r="C17196" s="5" t="str">
        <f>IFERROR(__xludf.DUMMYFUNCTION("GOOGLETRANSLATE(B17196,""en"",""it"")"),"Un diverso gruppo di uomini viene mostrato da vicino mentre le persone si siedono e si trovano in background.")</f>
        <v>Un diverso gruppo di uomini viene mostrato da vicino mentre le persone si siedono e si trovano in background.</v>
      </c>
    </row>
    <row r="17197">
      <c r="A17197" s="4" t="s">
        <v>21642</v>
      </c>
      <c r="B17197" s="4" t="s">
        <v>21656</v>
      </c>
      <c r="C17197" s="5" t="str">
        <f>IFERROR(__xludf.DUMMYFUNCTION("GOOGLETRANSLATE(B17197,""en"",""it"")"),"Un gruppo di uomini viene mostrato da vicino giocando a tiro alla fune con le persone intorno a loro.")</f>
        <v>Un gruppo di uomini viene mostrato da vicino giocando a tiro alla fune con le persone intorno a loro.</v>
      </c>
    </row>
    <row r="17198">
      <c r="A17198" s="4" t="s">
        <v>21642</v>
      </c>
      <c r="B17198" s="4" t="s">
        <v>21657</v>
      </c>
      <c r="C17198" s="5" t="str">
        <f>IFERROR(__xludf.DUMMYFUNCTION("GOOGLETRANSLATE(B17198,""en"",""it"")"),"Un altro gruppo di uomini viene visto suonare mentre le persone si trovano sul marciapiede a guardare.")</f>
        <v>Un altro gruppo di uomini viene visto suonare mentre le persone si trovano sul marciapiede a guardare.</v>
      </c>
    </row>
    <row r="17199">
      <c r="A17199" s="4" t="s">
        <v>21642</v>
      </c>
      <c r="B17199" s="4" t="s">
        <v>21658</v>
      </c>
      <c r="C17199" s="5" t="str">
        <f>IFERROR(__xludf.DUMMYFUNCTION("GOOGLETRANSLATE(B17199,""en"",""it"")"),"Un gruppo di uomini in All Black Plays Tug of War mentre le persone stanno intorno a loro.")</f>
        <v>Un gruppo di uomini in All Black Plays Tug of War mentre le persone stanno intorno a loro.</v>
      </c>
    </row>
    <row r="17200">
      <c r="A17200" s="4" t="s">
        <v>21642</v>
      </c>
      <c r="B17200" s="4" t="s">
        <v>21659</v>
      </c>
      <c r="C17200" s="5" t="str">
        <f>IFERROR(__xludf.DUMMYFUNCTION("GOOGLETRANSLATE(B17200,""en"",""it"")"),"Un diverso gruppo di uomini gioca a strati di guerra tra una grande folla incoraggiando per loro.")</f>
        <v>Un diverso gruppo di uomini gioca a strati di guerra tra una grande folla incoraggiando per loro.</v>
      </c>
    </row>
    <row r="17201">
      <c r="A17201" s="4" t="s">
        <v>21642</v>
      </c>
      <c r="B17201" s="4" t="s">
        <v>21660</v>
      </c>
      <c r="C17201" s="5" t="str">
        <f>IFERROR(__xludf.DUMMYFUNCTION("GOOGLETRANSLATE(B17201,""en"",""it"")"),"Alcuni uomini cadono mentre vincono la partita.")</f>
        <v>Alcuni uomini cadono mentre vincono la partita.</v>
      </c>
    </row>
    <row r="17202">
      <c r="A17202" s="4" t="s">
        <v>21642</v>
      </c>
      <c r="B17202" s="4" t="s">
        <v>21661</v>
      </c>
      <c r="C17202" s="5" t="str">
        <f>IFERROR(__xludf.DUMMYFUNCTION("GOOGLETRANSLATE(B17202,""en"",""it"")"),"Un altro gruppo è visto da vicino con una folla di persone e una ragazza che urla.")</f>
        <v>Un altro gruppo è visto da vicino con una folla di persone e una ragazza che urla.</v>
      </c>
    </row>
    <row r="17203">
      <c r="A17203" s="4" t="s">
        <v>21662</v>
      </c>
      <c r="B17203" s="4" t="s">
        <v>21663</v>
      </c>
      <c r="C17203" s="5" t="str">
        <f>IFERROR(__xludf.DUMMYFUNCTION("GOOGLETRANSLATE(B17203,""en"",""it"")"),"C'è un ragazzo che indossa guanti di gomma gialla che dimostrano come riparare una gomma su una ruota dell'auto.")</f>
        <v>C'è un ragazzo che indossa guanti di gomma gialla che dimostrano come riparare una gomma su una ruota dell'auto.</v>
      </c>
    </row>
    <row r="17204">
      <c r="A17204" s="4" t="s">
        <v>21662</v>
      </c>
      <c r="B17204" s="4" t="s">
        <v>21664</v>
      </c>
      <c r="C17204" s="5" t="str">
        <f>IFERROR(__xludf.DUMMYFUNCTION("GOOGLETRANSLATE(B17204,""en"",""it"")"),"Sta svitando le viti che tengono le piastre della ruota.")</f>
        <v>Sta svitando le viti che tengono le piastre della ruota.</v>
      </c>
    </row>
    <row r="17205">
      <c r="A17205" s="4" t="s">
        <v>21662</v>
      </c>
      <c r="B17205" s="4" t="s">
        <v>21665</v>
      </c>
      <c r="C17205" s="5" t="str">
        <f>IFERROR(__xludf.DUMMYFUNCTION("GOOGLETRANSLATE(B17205,""en"",""it"")"),"Allenta le viti per rimuovere il pneumatico.")</f>
        <v>Allenta le viti per rimuovere il pneumatico.</v>
      </c>
    </row>
    <row r="17206">
      <c r="A17206" s="4" t="s">
        <v>21666</v>
      </c>
      <c r="B17206" s="4" t="s">
        <v>21667</v>
      </c>
      <c r="C17206" s="5" t="str">
        <f>IFERROR(__xludf.DUMMYFUNCTION("GOOGLETRANSLATE(B17206,""en"",""it"")"),"Un gruppo di giovani è in una stanza.")</f>
        <v>Un gruppo di giovani è in una stanza.</v>
      </c>
    </row>
    <row r="17207">
      <c r="A17207" s="4" t="s">
        <v>21666</v>
      </c>
      <c r="B17207" s="4" t="s">
        <v>21668</v>
      </c>
      <c r="C17207" s="5" t="str">
        <f>IFERROR(__xludf.DUMMYFUNCTION("GOOGLETRANSLATE(B17207,""en"",""it"")"),"Sono impegnati in una partita di biliardo insieme.")</f>
        <v>Sono impegnati in una partita di biliardo insieme.</v>
      </c>
    </row>
    <row r="17208">
      <c r="A17208" s="4" t="s">
        <v>21666</v>
      </c>
      <c r="B17208" s="4" t="s">
        <v>21669</v>
      </c>
      <c r="C17208" s="5" t="str">
        <f>IFERROR(__xludf.DUMMYFUNCTION("GOOGLETRANSLATE(B17208,""en"",""it"")"),"Ridono e calciano le persone avanti e indietro.")</f>
        <v>Ridono e calciano le persone avanti e indietro.</v>
      </c>
    </row>
    <row r="17209">
      <c r="A17209" s="4" t="s">
        <v>21670</v>
      </c>
      <c r="B17209" s="4" t="s">
        <v>21671</v>
      </c>
      <c r="C17209" s="5" t="str">
        <f>IFERROR(__xludf.DUMMYFUNCTION("GOOGLETRANSLATE(B17209,""en"",""it"")"),"Vengono mostrate case e automobili Woth Sreet coperte dalla neve.")</f>
        <v>Vengono mostrate case e automobili Woth Sreet coperte dalla neve.</v>
      </c>
    </row>
    <row r="17210">
      <c r="A17210" s="4" t="s">
        <v>21670</v>
      </c>
      <c r="B17210" s="4" t="s">
        <v>21672</v>
      </c>
      <c r="C17210" s="5" t="str">
        <f>IFERROR(__xludf.DUMMYFUNCTION("GOOGLETRANSLATE(B17210,""en"",""it"")"),"L'uomo sta rimuovendo uno spesso strato di neve da un'auto.")</f>
        <v>L'uomo sta rimuovendo uno spesso strato di neve da un'auto.</v>
      </c>
    </row>
    <row r="17211">
      <c r="A17211" s="4" t="s">
        <v>21673</v>
      </c>
      <c r="B17211" s="6" t="s">
        <v>21674</v>
      </c>
      <c r="C17211" s="5" t="str">
        <f>IFERROR(__xludf.DUMMYFUNCTION("GOOGLETRANSLATE(B17211,""en"",""it"")"),"Viene vista una donna parlare alla telecamera mentre era seduta su una sedia e porta a sentire sedersi sotto una doccia con in mano un cane.")</f>
        <v>Viene vista una donna parlare alla telecamera mentre era seduta su una sedia e porta a sentire sedersi sotto una doccia con in mano un cane.</v>
      </c>
    </row>
    <row r="17212">
      <c r="A17212" s="4" t="s">
        <v>21673</v>
      </c>
      <c r="B17212" s="4" t="s">
        <v>21675</v>
      </c>
      <c r="C17212" s="5" t="str">
        <f>IFERROR(__xludf.DUMMYFUNCTION("GOOGLETRANSLATE(B17212,""en"",""it"")"),"Strofina il cane con sapone e poi sciacqua il cane mentre parla alla telecamera.")</f>
        <v>Strofina il cane con sapone e poi sciacqua il cane mentre parla alla telecamera.</v>
      </c>
    </row>
    <row r="17213">
      <c r="A17213" s="4" t="s">
        <v>21673</v>
      </c>
      <c r="B17213" s="4" t="s">
        <v>21676</v>
      </c>
      <c r="C17213" s="5" t="str">
        <f>IFERROR(__xludf.DUMMYFUNCTION("GOOGLETRANSLATE(B17213,""en"",""it"")"),"Viene quindi vista giocare con il cane fuori e parlare a intermittenza alla telecamera.")</f>
        <v>Viene quindi vista giocare con il cane fuori e parlare a intermittenza alla telecamera.</v>
      </c>
    </row>
    <row r="17214">
      <c r="A17214" s="4" t="s">
        <v>21677</v>
      </c>
      <c r="B17214" s="4" t="s">
        <v>21678</v>
      </c>
      <c r="C17214" s="5" t="str">
        <f>IFERROR(__xludf.DUMMYFUNCTION("GOOGLETRANSLATE(B17214,""en"",""it"")"),"Le parole ""Conga the Entertainers Dance Company Flemington New Jersey"" appaiono sullo schermo.")</f>
        <v>Le parole "Conga the Entertainers Dance Company Flemington New Jersey" appaiono sullo schermo.</v>
      </c>
    </row>
    <row r="17215">
      <c r="A17215" s="4" t="s">
        <v>21677</v>
      </c>
      <c r="B17215" s="4" t="s">
        <v>21679</v>
      </c>
      <c r="C17215" s="5" t="str">
        <f>IFERROR(__xludf.DUMMYFUNCTION("GOOGLETRANSLATE(B17215,""en"",""it"")"),"Quattro ragazze si esibiscono sul palco al ""American Dance Championships.")</f>
        <v>Quattro ragazze si esibiscono sul palco al "American Dance Championships.</v>
      </c>
    </row>
    <row r="17216">
      <c r="A17216" s="4" t="s">
        <v>21677</v>
      </c>
      <c r="B17216" s="4" t="s">
        <v>21680</v>
      </c>
      <c r="C17216" s="5" t="str">
        <f>IFERROR(__xludf.DUMMYFUNCTION("GOOGLETRANSLATE(B17216,""en"",""it"")"),"""Le ragazze cadono a terra come parte della routine e continuano a ballare.")</f>
        <v>"Le ragazze cadono a terra come parte della routine e continuano a ballare.</v>
      </c>
    </row>
    <row r="17217">
      <c r="A17217" s="4" t="s">
        <v>21681</v>
      </c>
      <c r="B17217" s="4" t="s">
        <v>21682</v>
      </c>
      <c r="C17217" s="5" t="str">
        <f>IFERROR(__xludf.DUMMYFUNCTION("GOOGLETRANSLATE(B17217,""en"",""it"")"),"Un uomo sta attorno a una palla gigante.")</f>
        <v>Un uomo sta attorno a una palla gigante.</v>
      </c>
    </row>
    <row r="17218">
      <c r="A17218" s="4" t="s">
        <v>21681</v>
      </c>
      <c r="B17218" s="4" t="s">
        <v>21683</v>
      </c>
      <c r="C17218" s="5" t="str">
        <f>IFERROR(__xludf.DUMMYFUNCTION("GOOGLETRANSLATE(B17218,""en"",""it"")"),"L'uomo si inginocchia e prende una palla.")</f>
        <v>L'uomo si inginocchia e prende una palla.</v>
      </c>
    </row>
    <row r="17219">
      <c r="A17219" s="4" t="s">
        <v>21681</v>
      </c>
      <c r="B17219" s="4" t="s">
        <v>21684</v>
      </c>
      <c r="C17219" s="5" t="str">
        <f>IFERROR(__xludf.DUMMYFUNCTION("GOOGLETRANSLATE(B17219,""en"",""it"")"),"L'uomo scivola fuori con la palla, facendo scivolare la palla di fronte a lui.")</f>
        <v>L'uomo scivola fuori con la palla, facendo scivolare la palla di fronte a lui.</v>
      </c>
    </row>
    <row r="17220">
      <c r="A17220" s="4" t="s">
        <v>21681</v>
      </c>
      <c r="B17220" s="4" t="s">
        <v>21685</v>
      </c>
      <c r="C17220" s="5" t="str">
        <f>IFERROR(__xludf.DUMMYFUNCTION("GOOGLETRANSLATE(B17220,""en"",""it"")"),"Un uomo viene colpito dalla palla e cade sul pavimento.")</f>
        <v>Un uomo viene colpito dalla palla e cade sul pavimento.</v>
      </c>
    </row>
    <row r="17221">
      <c r="A17221" s="4" t="s">
        <v>21681</v>
      </c>
      <c r="B17221" s="4" t="s">
        <v>21686</v>
      </c>
      <c r="C17221" s="5" t="str">
        <f>IFERROR(__xludf.DUMMYFUNCTION("GOOGLETRANSLATE(B17221,""en"",""it"")"),"L'uomo si alza e inizia a camminare.")</f>
        <v>L'uomo si alza e inizia a camminare.</v>
      </c>
    </row>
    <row r="17222">
      <c r="A17222" s="4" t="s">
        <v>21687</v>
      </c>
      <c r="B17222" s="6" t="s">
        <v>21688</v>
      </c>
      <c r="C17222" s="5" t="str">
        <f>IFERROR(__xludf.DUMMYFUNCTION("GOOGLETRANSLATE(B17222,""en"",""it"")"),"Due ragazzi adolescenti sono in piedi in una scuola suonando rock, paper e forbici e sono circondati da un folto gruppo di adolescenti che stanno guardando.")</f>
        <v>Due ragazzi adolescenti sono in piedi in una scuola suonando rock, paper e forbici e sono circondati da un folto gruppo di adolescenti che stanno guardando.</v>
      </c>
    </row>
    <row r="17223">
      <c r="A17223" s="4" t="s">
        <v>21687</v>
      </c>
      <c r="B17223" s="4" t="s">
        <v>21689</v>
      </c>
      <c r="C17223" s="5" t="str">
        <f>IFERROR(__xludf.DUMMYFUNCTION("GOOGLETRANSLATE(B17223,""en"",""it"")"),"Una donna si avvicina a loro per guardare cosa stanno facendo, poi torna fuori dal cerchio.")</f>
        <v>Una donna si avvicina a loro per guardare cosa stanno facendo, poi torna fuori dal cerchio.</v>
      </c>
    </row>
    <row r="17224">
      <c r="A17224" s="4" t="s">
        <v>21687</v>
      </c>
      <c r="B17224" s="6" t="s">
        <v>21690</v>
      </c>
      <c r="C17224" s="5" t="str">
        <f>IFERROR(__xludf.DUMMYFUNCTION("GOOGLETRANSLATE(B17224,""en"",""it"")"),"Un uomo quindi cammina verso i ragazzi e li ferma mettendo le mani su ogni ragazzo e allontanandoli.")</f>
        <v>Un uomo quindi cammina verso i ragazzi e li ferma mettendo le mani su ogni ragazzo e allontanandoli.</v>
      </c>
    </row>
    <row r="17225">
      <c r="A17225" s="4" t="s">
        <v>21691</v>
      </c>
      <c r="B17225" s="4" t="s">
        <v>21692</v>
      </c>
      <c r="C17225" s="5" t="str">
        <f>IFERROR(__xludf.DUMMYFUNCTION("GOOGLETRANSLATE(B17225,""en"",""it"")"),"Un cielo nuvoloso in movimento appare prima di vedere il testo bianco.")</f>
        <v>Un cielo nuvoloso in movimento appare prima di vedere il testo bianco.</v>
      </c>
    </row>
    <row r="17226">
      <c r="A17226" s="4" t="s">
        <v>21691</v>
      </c>
      <c r="B17226" s="4" t="s">
        <v>21693</v>
      </c>
      <c r="C17226" s="5" t="str">
        <f>IFERROR(__xludf.DUMMYFUNCTION("GOOGLETRANSLATE(B17226,""en"",""it"")"),"Diverse persone sono mostrate da vicino, fumando sigarette.")</f>
        <v>Diverse persone sono mostrate da vicino, fumando sigarette.</v>
      </c>
    </row>
    <row r="17227">
      <c r="A17227" s="4" t="s">
        <v>21691</v>
      </c>
      <c r="B17227" s="4" t="s">
        <v>21694</v>
      </c>
      <c r="C17227" s="5" t="str">
        <f>IFERROR(__xludf.DUMMYFUNCTION("GOOGLETRANSLATE(B17227,""en"",""it"")"),"Alcuni parlano con la telecamera.")</f>
        <v>Alcuni parlano con la telecamera.</v>
      </c>
    </row>
    <row r="17228">
      <c r="A17228" s="4" t="s">
        <v>21691</v>
      </c>
      <c r="B17228" s="4" t="s">
        <v>21695</v>
      </c>
      <c r="C17228" s="5" t="str">
        <f>IFERROR(__xludf.DUMMYFUNCTION("GOOGLETRANSLATE(B17228,""en"",""it"")"),"Il video termina con le parole Fumo di South Beach.")</f>
        <v>Il video termina con le parole Fumo di South Beach.</v>
      </c>
    </row>
    <row r="17229">
      <c r="A17229" s="4" t="s">
        <v>21696</v>
      </c>
      <c r="B17229" s="4" t="s">
        <v>21697</v>
      </c>
      <c r="C17229" s="5" t="str">
        <f>IFERROR(__xludf.DUMMYFUNCTION("GOOGLETRANSLATE(B17229,""en"",""it"")"),"Una donna parla alla telecamera, quindi taglia un ragazzino usando un cerchio di hula.")</f>
        <v>Una donna parla alla telecamera, quindi taglia un ragazzino usando un cerchio di hula.</v>
      </c>
    </row>
    <row r="17230">
      <c r="A17230" s="4" t="s">
        <v>21696</v>
      </c>
      <c r="B17230" s="4" t="s">
        <v>21698</v>
      </c>
      <c r="C17230" s="5" t="str">
        <f>IFERROR(__xludf.DUMMYFUNCTION("GOOGLETRANSLATE(B17230,""en"",""it"")"),"La donna mostra un nastro colorato usato per avvolgere un tubo e creare il tubo da sola.")</f>
        <v>La donna mostra un nastro colorato usato per avvolgere un tubo e creare il tubo da sola.</v>
      </c>
    </row>
    <row r="17231">
      <c r="A17231" s="4" t="s">
        <v>21696</v>
      </c>
      <c r="B17231" s="4" t="s">
        <v>21699</v>
      </c>
      <c r="C17231" s="5" t="str">
        <f>IFERROR(__xludf.DUMMYFUNCTION("GOOGLETRANSLATE(B17231,""en"",""it"")"),"Mostra il prodotto finale, poi il ragazzo che usa di nuovo il telaio hula.")</f>
        <v>Mostra il prodotto finale, poi il ragazzo che usa di nuovo il telaio hula.</v>
      </c>
    </row>
    <row r="17232">
      <c r="A17232" s="4" t="s">
        <v>21700</v>
      </c>
      <c r="B17232" s="4" t="s">
        <v>21701</v>
      </c>
      <c r="C17232" s="5" t="str">
        <f>IFERROR(__xludf.DUMMYFUNCTION("GOOGLETRANSLATE(B17232,""en"",""it"")"),"Una donna sta regolando una macchina fotografica in una camera da letto.")</f>
        <v>Una donna sta regolando una macchina fotografica in una camera da letto.</v>
      </c>
    </row>
    <row r="17233">
      <c r="A17233" s="4" t="s">
        <v>21700</v>
      </c>
      <c r="B17233" s="4" t="s">
        <v>21702</v>
      </c>
      <c r="C17233" s="5" t="str">
        <f>IFERROR(__xludf.DUMMYFUNCTION("GOOGLETRANSLATE(B17233,""en"",""it"")"),"Sta fumando una sigaretta e la aspira in un vassoio.")</f>
        <v>Sta fumando una sigaretta e la aspira in un vassoio.</v>
      </c>
    </row>
    <row r="17234">
      <c r="A17234" s="4" t="s">
        <v>21700</v>
      </c>
      <c r="B17234" s="4" t="s">
        <v>21703</v>
      </c>
      <c r="C17234" s="5" t="str">
        <f>IFERROR(__xludf.DUMMYFUNCTION("GOOGLETRANSLATE(B17234,""en"",""it"")"),"Macina la sigaretta nel vassoio quando ha finito.")</f>
        <v>Macina la sigaretta nel vassoio quando ha finito.</v>
      </c>
    </row>
    <row r="17235">
      <c r="A17235" s="4" t="s">
        <v>21704</v>
      </c>
      <c r="B17235" s="4" t="s">
        <v>21705</v>
      </c>
      <c r="C17235" s="5" t="str">
        <f>IFERROR(__xludf.DUMMYFUNCTION("GOOGLETRANSLATE(B17235,""en"",""it"")"),"Una donna che fa una presentazione su come stirare una maglietta.")</f>
        <v>Una donna che fa una presentazione su come stirare una maglietta.</v>
      </c>
    </row>
    <row r="17236">
      <c r="A17236" s="4" t="s">
        <v>21704</v>
      </c>
      <c r="B17236" s="4" t="s">
        <v>21706</v>
      </c>
      <c r="C17236" s="5" t="str">
        <f>IFERROR(__xludf.DUMMYFUNCTION("GOOGLETRANSLATE(B17236,""en"",""it"")"),"Sta discutendo della camicia e fa emergere uno spray startch.")</f>
        <v>Sta discutendo della camicia e fa emergere uno spray startch.</v>
      </c>
    </row>
    <row r="17237">
      <c r="A17237" s="4" t="s">
        <v>21704</v>
      </c>
      <c r="B17237" s="4" t="s">
        <v>21707</v>
      </c>
      <c r="C17237" s="5" t="str">
        <f>IFERROR(__xludf.DUMMYFUNCTION("GOOGLETRANSLATE(B17237,""en"",""it"")"),"Comincia a usare lo spray sulla camicia.")</f>
        <v>Comincia a usare lo spray sulla camicia.</v>
      </c>
    </row>
    <row r="17238">
      <c r="A17238" s="4" t="s">
        <v>21704</v>
      </c>
      <c r="B17238" s="4" t="s">
        <v>21708</v>
      </c>
      <c r="C17238" s="5" t="str">
        <f>IFERROR(__xludf.DUMMYFUNCTION("GOOGLETRANSLATE(B17238,""en"",""it"")"),"Quindi riorganizza la camicia.")</f>
        <v>Quindi riorganizza la camicia.</v>
      </c>
    </row>
    <row r="17239">
      <c r="A17239" s="4" t="s">
        <v>21704</v>
      </c>
      <c r="B17239" s="4" t="s">
        <v>21709</v>
      </c>
      <c r="C17239" s="5" t="str">
        <f>IFERROR(__xludf.DUMMYFUNCTION("GOOGLETRANSLATE(B17239,""en"",""it"")"),"Successivamente dimostra come stirare la maglietta.")</f>
        <v>Successivamente dimostra come stirare la maglietta.</v>
      </c>
    </row>
    <row r="17240">
      <c r="A17240" s="4" t="s">
        <v>21704</v>
      </c>
      <c r="B17240" s="4" t="s">
        <v>21710</v>
      </c>
      <c r="C17240" s="5" t="str">
        <f>IFERROR(__xludf.DUMMYFUNCTION("GOOGLETRANSLATE(B17240,""en"",""it"")"),"Quindi mostra come ottenere le pieghe più difficili.")</f>
        <v>Quindi mostra come ottenere le pieghe più difficili.</v>
      </c>
    </row>
    <row r="17241">
      <c r="A17241" s="4" t="s">
        <v>21704</v>
      </c>
      <c r="B17241" s="4" t="s">
        <v>21711</v>
      </c>
      <c r="C17241" s="5" t="str">
        <f>IFERROR(__xludf.DUMMYFUNCTION("GOOGLETRANSLATE(B17241,""en"",""it"")"),"Successivamente si gira sulla camicia e pone la manica.")</f>
        <v>Successivamente si gira sulla camicia e pone la manica.</v>
      </c>
    </row>
    <row r="17242">
      <c r="A17242" s="4" t="s">
        <v>21704</v>
      </c>
      <c r="B17242" s="4" t="s">
        <v>21712</v>
      </c>
      <c r="C17242" s="5" t="str">
        <f>IFERROR(__xludf.DUMMYFUNCTION("GOOGLETRANSLATE(B17242,""en"",""it"")"),"Quindi mostra come stirare la manica.")</f>
        <v>Quindi mostra come stirare la manica.</v>
      </c>
    </row>
    <row r="17243">
      <c r="A17243" s="4" t="s">
        <v>21704</v>
      </c>
      <c r="B17243" s="4" t="s">
        <v>21713</v>
      </c>
      <c r="C17243" s="5" t="str">
        <f>IFERROR(__xludf.DUMMYFUNCTION("GOOGLETRANSLATE(B17243,""en"",""it"")"),"Quindi capovolge la camicia.")</f>
        <v>Quindi capovolge la camicia.</v>
      </c>
    </row>
    <row r="17244">
      <c r="A17244" s="4" t="s">
        <v>21714</v>
      </c>
      <c r="B17244" s="4" t="s">
        <v>21715</v>
      </c>
      <c r="C17244" s="5" t="str">
        <f>IFERROR(__xludf.DUMMYFUNCTION("GOOGLETRANSLATE(B17244,""en"",""it"")"),"Una persona sta andando su una bici da terra.")</f>
        <v>Una persona sta andando su una bici da terra.</v>
      </c>
    </row>
    <row r="17245">
      <c r="A17245" s="4" t="s">
        <v>21714</v>
      </c>
      <c r="B17245" s="4" t="s">
        <v>21716</v>
      </c>
      <c r="C17245" s="5" t="str">
        <f>IFERROR(__xludf.DUMMYFUNCTION("GOOGLETRANSLATE(B17245,""en"",""it"")"),"Si prepara per una gara.")</f>
        <v>Si prepara per una gara.</v>
      </c>
    </row>
    <row r="17246">
      <c r="A17246" s="4" t="s">
        <v>21714</v>
      </c>
      <c r="B17246" s="4" t="s">
        <v>21717</v>
      </c>
      <c r="C17246" s="5" t="str">
        <f>IFERROR(__xludf.DUMMYFUNCTION("GOOGLETRANSLATE(B17246,""en"",""it"")"),"Comincia a correre sulla sua bici da terra.")</f>
        <v>Comincia a correre sulla sua bici da terra.</v>
      </c>
    </row>
    <row r="17247">
      <c r="A17247" s="4" t="s">
        <v>21714</v>
      </c>
      <c r="B17247" s="4" t="s">
        <v>21718</v>
      </c>
      <c r="C17247" s="5" t="str">
        <f>IFERROR(__xludf.DUMMYFUNCTION("GOOGLETRANSLATE(B17247,""en"",""it"")"),"Il testo appare sullo schermo mentre svanisce.")</f>
        <v>Il testo appare sullo schermo mentre svanisce.</v>
      </c>
    </row>
    <row r="17248">
      <c r="A17248" s="4" t="s">
        <v>21719</v>
      </c>
      <c r="B17248" s="4" t="s">
        <v>21720</v>
      </c>
      <c r="C17248" s="5" t="str">
        <f>IFERROR(__xludf.DUMMYFUNCTION("GOOGLETRANSLATE(B17248,""en"",""it"")"),"Un uomo con una camicia bianca è in palestra.")</f>
        <v>Un uomo con una camicia bianca è in palestra.</v>
      </c>
    </row>
    <row r="17249">
      <c r="A17249" s="4" t="s">
        <v>21719</v>
      </c>
      <c r="B17249" s="4" t="s">
        <v>21721</v>
      </c>
      <c r="C17249" s="5" t="str">
        <f>IFERROR(__xludf.DUMMYFUNCTION("GOOGLETRANSLATE(B17249,""en"",""it"")"),"Si siede su una macchina da esercizio e inizia ad allenarti.")</f>
        <v>Si siede su una macchina da esercizio e inizia ad allenarti.</v>
      </c>
    </row>
    <row r="17250">
      <c r="A17250" s="4" t="s">
        <v>21719</v>
      </c>
      <c r="B17250" s="4" t="s">
        <v>21722</v>
      </c>
      <c r="C17250" s="5" t="str">
        <f>IFERROR(__xludf.DUMMYFUNCTION("GOOGLETRANSLATE(B17250,""en"",""it"")"),"Finisce e mette giù la barra.")</f>
        <v>Finisce e mette giù la barra.</v>
      </c>
    </row>
    <row r="17251">
      <c r="A17251" s="4" t="s">
        <v>21723</v>
      </c>
      <c r="B17251" s="4" t="s">
        <v>21724</v>
      </c>
      <c r="C17251" s="5" t="str">
        <f>IFERROR(__xludf.DUMMYFUNCTION("GOOGLETRANSLATE(B17251,""en"",""it"")"),"Una signora balla e parla all'interno.")</f>
        <v>Una signora balla e parla all'interno.</v>
      </c>
    </row>
    <row r="17252">
      <c r="A17252" s="4" t="s">
        <v>21723</v>
      </c>
      <c r="B17252" s="4" t="s">
        <v>21725</v>
      </c>
      <c r="C17252" s="5" t="str">
        <f>IFERROR(__xludf.DUMMYFUNCTION("GOOGLETRANSLATE(B17252,""en"",""it"")"),"La signora mescola tutti gli ingredienti e cuoci strati colorati per una torta.")</f>
        <v>La signora mescola tutti gli ingredienti e cuoci strati colorati per una torta.</v>
      </c>
    </row>
    <row r="17253">
      <c r="A17253" s="4" t="s">
        <v>21723</v>
      </c>
      <c r="B17253" s="4" t="s">
        <v>21726</v>
      </c>
      <c r="C17253" s="5" t="str">
        <f>IFERROR(__xludf.DUMMYFUNCTION("GOOGLETRANSLATE(B17253,""en"",""it"")"),"La signora ha aggiunto molto abbellimento colorato alla torta a strati.")</f>
        <v>La signora ha aggiunto molto abbellimento colorato alla torta a strati.</v>
      </c>
    </row>
    <row r="17254">
      <c r="A17254" s="4" t="s">
        <v>21723</v>
      </c>
      <c r="B17254" s="4" t="s">
        <v>21727</v>
      </c>
      <c r="C17254" s="5" t="str">
        <f>IFERROR(__xludf.DUMMYFUNCTION("GOOGLETRANSLATE(B17254,""en"",""it"")"),"La signora va fuori in una gabbia di coniglio.")</f>
        <v>La signora va fuori in una gabbia di coniglio.</v>
      </c>
    </row>
    <row r="17255">
      <c r="A17255" s="4" t="s">
        <v>21728</v>
      </c>
      <c r="B17255" s="4" t="s">
        <v>21729</v>
      </c>
      <c r="C17255" s="5" t="str">
        <f>IFERROR(__xludf.DUMMYFUNCTION("GOOGLETRANSLATE(B17255,""en"",""it"")"),"Due giovani ragazzi si trovano su un vialetto residenziale.")</f>
        <v>Due giovani ragazzi si trovano su un vialetto residenziale.</v>
      </c>
    </row>
    <row r="17256">
      <c r="A17256" s="4" t="s">
        <v>21728</v>
      </c>
      <c r="B17256" s="4" t="s">
        <v>21730</v>
      </c>
      <c r="C17256" s="5" t="str">
        <f>IFERROR(__xludf.DUMMYFUNCTION("GOOGLETRANSLATE(B17256,""en"",""it"")"),"Il ragazzino gioca a Hopscotch due volte sul vialetto.")</f>
        <v>Il ragazzino gioca a Hopscotch due volte sul vialetto.</v>
      </c>
    </row>
    <row r="17257">
      <c r="A17257" s="4" t="s">
        <v>21728</v>
      </c>
      <c r="B17257" s="4" t="s">
        <v>21731</v>
      </c>
      <c r="C17257" s="5" t="str">
        <f>IFERROR(__xludf.DUMMYFUNCTION("GOOGLETRANSLATE(B17257,""en"",""it"")"),"Anche una bambina gioca il gioco e poi segue gli altri bambini lontano dal vialetto.")</f>
        <v>Anche una bambina gioca il gioco e poi segue gli altri bambini lontano dal vialetto.</v>
      </c>
    </row>
    <row r="17258">
      <c r="A17258" s="4" t="s">
        <v>21732</v>
      </c>
      <c r="B17258" s="4" t="s">
        <v>21733</v>
      </c>
      <c r="C17258" s="5" t="str">
        <f>IFERROR(__xludf.DUMMYFUNCTION("GOOGLETRANSLATE(B17258,""en"",""it"")"),"La donna sul campo è in piedi dietro la rete.")</f>
        <v>La donna sul campo è in piedi dietro la rete.</v>
      </c>
    </row>
    <row r="17259">
      <c r="A17259" s="4" t="s">
        <v>21732</v>
      </c>
      <c r="B17259" s="4" t="s">
        <v>21734</v>
      </c>
      <c r="C17259" s="5" t="str">
        <f>IFERROR(__xludf.DUMMYFUNCTION("GOOGLETRANSLATE(B17259,""en"",""it"")"),"La donna turbina e gettò un pesante metallo verso il campo.")</f>
        <v>La donna turbina e gettò un pesante metallo verso il campo.</v>
      </c>
    </row>
    <row r="17260">
      <c r="A17260" s="4" t="s">
        <v>21732</v>
      </c>
      <c r="B17260" s="4" t="s">
        <v>21735</v>
      </c>
      <c r="C17260" s="5" t="str">
        <f>IFERROR(__xludf.DUMMYFUNCTION("GOOGLETRANSLATE(B17260,""en"",""it"")"),"Il campo ha persone nel, un uomo sta correndo.")</f>
        <v>Il campo ha persone nel, un uomo sta correndo.</v>
      </c>
    </row>
    <row r="17261">
      <c r="A17261" s="4" t="s">
        <v>21732</v>
      </c>
      <c r="B17261" s="4" t="s">
        <v>21736</v>
      </c>
      <c r="C17261" s="5" t="str">
        <f>IFERROR(__xludf.DUMMYFUNCTION("GOOGLETRANSLATE(B17261,""en"",""it"")"),"L'atleta in top rosa sta camminando in avanti.")</f>
        <v>L'atleta in top rosa sta camminando in avanti.</v>
      </c>
    </row>
    <row r="17262">
      <c r="A17262" s="4" t="s">
        <v>21732</v>
      </c>
      <c r="B17262" s="4" t="s">
        <v>21737</v>
      </c>
      <c r="C17262" s="5" t="str">
        <f>IFERROR(__xludf.DUMMYFUNCTION("GOOGLETRANSLATE(B17262,""en"",""it"")"),"Un atleta con tag Barrios sulla sua camicia è in piedi dietro la rete.")</f>
        <v>Un atleta con tag Barrios sulla sua camicia è in piedi dietro la rete.</v>
      </c>
    </row>
    <row r="17263">
      <c r="A17263" s="4" t="s">
        <v>21732</v>
      </c>
      <c r="B17263" s="4" t="s">
        <v>21738</v>
      </c>
      <c r="C17263" s="5" t="str">
        <f>IFERROR(__xludf.DUMMYFUNCTION("GOOGLETRANSLATE(B17263,""en"",""it"")"),"La donna sollevò il metallo circolare e iniziò a turbinare e gettò il metallo.")</f>
        <v>La donna sollevò il metallo circolare e iniziò a turbinare e gettò il metallo.</v>
      </c>
    </row>
    <row r="17264">
      <c r="A17264" s="4" t="s">
        <v>21732</v>
      </c>
      <c r="B17264" s="4" t="s">
        <v>21739</v>
      </c>
      <c r="C17264" s="5" t="str">
        <f>IFERROR(__xludf.DUMMYFUNCTION("GOOGLETRANSLATE(B17264,""en"",""it"")"),"Il metallo ha colpito il campo.")</f>
        <v>Il metallo ha colpito il campo.</v>
      </c>
    </row>
    <row r="17265">
      <c r="A17265" s="4" t="s">
        <v>21732</v>
      </c>
      <c r="B17265" s="4" t="s">
        <v>21740</v>
      </c>
      <c r="C17265" s="5" t="str">
        <f>IFERROR(__xludf.DUMMYFUNCTION("GOOGLETRANSLATE(B17265,""en"",""it"")"),"Un uomo corre verso il cerchio bianco a terra.")</f>
        <v>Un uomo corre verso il cerchio bianco a terra.</v>
      </c>
    </row>
    <row r="17266">
      <c r="A17266" s="4" t="s">
        <v>21732</v>
      </c>
      <c r="B17266" s="4" t="s">
        <v>21741</v>
      </c>
      <c r="C17266" s="5" t="str">
        <f>IFERROR(__xludf.DUMMYFUNCTION("GOOGLETRANSLATE(B17266,""en"",""it"")"),"Una donna si sta allungando dietro la rete.")</f>
        <v>Una donna si sta allungando dietro la rete.</v>
      </c>
    </row>
    <row r="17267">
      <c r="A17267" s="4" t="s">
        <v>21732</v>
      </c>
      <c r="B17267" s="4" t="s">
        <v>21742</v>
      </c>
      <c r="C17267" s="5" t="str">
        <f>IFERROR(__xludf.DUMMYFUNCTION("GOOGLETRANSLATE(B17267,""en"",""it"")"),"Si gira e gettò qualcosa verso il campo.")</f>
        <v>Si gira e gettò qualcosa verso il campo.</v>
      </c>
    </row>
    <row r="17268">
      <c r="A17268" s="4" t="s">
        <v>21732</v>
      </c>
      <c r="B17268" s="4" t="s">
        <v>21743</v>
      </c>
      <c r="C17268" s="5" t="str">
        <f>IFERROR(__xludf.DUMMYFUNCTION("GOOGLETRANSLATE(B17268,""en"",""it"")"),"Due uomini che corrono l'uno verso l'altro.")</f>
        <v>Due uomini che corrono l'uno verso l'altro.</v>
      </c>
    </row>
    <row r="17269">
      <c r="A17269" s="4" t="s">
        <v>21732</v>
      </c>
      <c r="B17269" s="4" t="s">
        <v>21744</v>
      </c>
      <c r="C17269" s="5" t="str">
        <f>IFERROR(__xludf.DUMMYFUNCTION("GOOGLETRANSLATE(B17269,""en"",""it"")"),"La donna si abbracciò all'altra donna.")</f>
        <v>La donna si abbracciò all'altra donna.</v>
      </c>
    </row>
    <row r="17270">
      <c r="A17270" s="4" t="s">
        <v>21732</v>
      </c>
      <c r="B17270" s="4" t="s">
        <v>21745</v>
      </c>
      <c r="C17270" s="5" t="str">
        <f>IFERROR(__xludf.DUMMYFUNCTION("GOOGLETRANSLATE(B17270,""en"",""it"")"),"Il campo verde ha un pubblico ai lati del campo.")</f>
        <v>Il campo verde ha un pubblico ai lati del campo.</v>
      </c>
    </row>
    <row r="17271">
      <c r="A17271" s="4" t="s">
        <v>21746</v>
      </c>
      <c r="B17271" s="4" t="s">
        <v>21747</v>
      </c>
      <c r="C17271" s="5" t="str">
        <f>IFERROR(__xludf.DUMMYFUNCTION("GOOGLETRANSLATE(B17271,""en"",""it"")"),"Un uomo sul tetto che metteva alcuni pezzi di metallo attraverso le tegole.")</f>
        <v>Un uomo sul tetto che metteva alcuni pezzi di metallo attraverso le tegole.</v>
      </c>
    </row>
    <row r="17272">
      <c r="A17272" s="4" t="s">
        <v>21746</v>
      </c>
      <c r="B17272" s="4" t="s">
        <v>21748</v>
      </c>
      <c r="C17272" s="5" t="str">
        <f>IFERROR(__xludf.DUMMYFUNCTION("GOOGLETRANSLATE(B17272,""en"",""it"")"),"Sta mettendo piccoli pezzi di metallo sul metallo per tenerli trattenuti.")</f>
        <v>Sta mettendo piccoli pezzi di metallo sul metallo per tenerli trattenuti.</v>
      </c>
    </row>
    <row r="17273">
      <c r="A17273" s="4" t="s">
        <v>21746</v>
      </c>
      <c r="B17273" s="4" t="s">
        <v>21749</v>
      </c>
      <c r="C17273" s="5" t="str">
        <f>IFERROR(__xludf.DUMMYFUNCTION("GOOGLETRANSLATE(B17273,""en"",""it"")"),"Ne parla un po 'scherzosamente.")</f>
        <v>Ne parla un po 'scherzosamente.</v>
      </c>
    </row>
    <row r="17274">
      <c r="A17274" s="4" t="s">
        <v>21746</v>
      </c>
      <c r="B17274" s="4" t="s">
        <v>21750</v>
      </c>
      <c r="C17274" s="5" t="str">
        <f>IFERROR(__xludf.DUMMYFUNCTION("GOOGLETRANSLATE(B17274,""en"",""it"")"),"Quindi ha cercato di regolarlo un po 'di più.")</f>
        <v>Quindi ha cercato di regolarlo un po 'di più.</v>
      </c>
    </row>
    <row r="17275">
      <c r="A17275" s="4" t="s">
        <v>21751</v>
      </c>
      <c r="B17275" s="4" t="s">
        <v>1251</v>
      </c>
      <c r="C17275" s="5" t="str">
        <f>IFERROR(__xludf.DUMMYFUNCTION("GOOGLETRANSLATE(B17275,""en"",""it"")"),"Vengono visualizzati i crediti della clip.")</f>
        <v>Vengono visualizzati i crediti della clip.</v>
      </c>
    </row>
    <row r="17276">
      <c r="A17276" s="4" t="s">
        <v>21751</v>
      </c>
      <c r="B17276" s="4" t="s">
        <v>21752</v>
      </c>
      <c r="C17276" s="5" t="str">
        <f>IFERROR(__xludf.DUMMYFUNCTION("GOOGLETRANSLATE(B17276,""en"",""it"")"),"Vengono visualizzati prodotti per capelli e strumenti per capelli.")</f>
        <v>Vengono visualizzati prodotti per capelli e strumenti per capelli.</v>
      </c>
    </row>
    <row r="17277">
      <c r="A17277" s="4" t="s">
        <v>21751</v>
      </c>
      <c r="B17277" s="4" t="s">
        <v>21753</v>
      </c>
      <c r="C17277" s="5" t="str">
        <f>IFERROR(__xludf.DUMMYFUNCTION("GOOGLETRANSLATE(B17277,""en"",""it"")"),"Lo stilista maschio fa i capelli di un cliente con prodotti, un clipper e asciugacapelli.")</f>
        <v>Lo stilista maschio fa i capelli di un cliente con prodotti, un clipper e asciugacapelli.</v>
      </c>
    </row>
    <row r="17278">
      <c r="A17278" s="4" t="s">
        <v>21751</v>
      </c>
      <c r="B17278" s="4" t="s">
        <v>573</v>
      </c>
      <c r="C17278" s="5" t="str">
        <f>IFERROR(__xludf.DUMMYFUNCTION("GOOGLETRANSLATE(B17278,""en"",""it"")"),"Vengono visualizzati i crediti del video.")</f>
        <v>Vengono visualizzati i crediti del video.</v>
      </c>
    </row>
    <row r="17279">
      <c r="A17279" s="4" t="s">
        <v>21754</v>
      </c>
      <c r="B17279" s="6" t="s">
        <v>21755</v>
      </c>
      <c r="C17279" s="5" t="str">
        <f>IFERROR(__xludf.DUMMYFUNCTION("GOOGLETRANSLATE(B17279,""en"",""it"")"),"In un posto in piscina le persone sono tutte raccolte attorno ad alcuni tavoli da biliardo in attesa che i giocatori si svolgano.")</f>
        <v>In un posto in piscina le persone sono tutte raccolte attorno ad alcuni tavoli da biliardo in attesa che i giocatori si svolgano.</v>
      </c>
    </row>
    <row r="17280">
      <c r="A17280" s="4" t="s">
        <v>21754</v>
      </c>
      <c r="B17280" s="4" t="s">
        <v>21756</v>
      </c>
      <c r="C17280" s="5" t="str">
        <f>IFERROR(__xludf.DUMMYFUNCTION("GOOGLETRANSLATE(B17280,""en"",""it"")"),"Un maschio prende il turno e poi un altro in rosso prende il suo colpo, ma il bot ci fa entrare.")</f>
        <v>Un maschio prende il turno e poi un altro in rosso prende il suo colpo, ma il bot ci fa entrare.</v>
      </c>
    </row>
    <row r="17281">
      <c r="A17281" s="4" t="s">
        <v>21754</v>
      </c>
      <c r="B17281" s="4" t="s">
        <v>21757</v>
      </c>
      <c r="C17281" s="5" t="str">
        <f>IFERROR(__xludf.DUMMYFUNCTION("GOOGLETRANSLATE(B17281,""en"",""it"")"),"Nessuno arriva a loro volta, quindi continuano al giocatore successivo.")</f>
        <v>Nessuno arriva a loro volta, quindi continuano al giocatore successivo.</v>
      </c>
    </row>
    <row r="17282">
      <c r="A17282" s="4" t="s">
        <v>21754</v>
      </c>
      <c r="B17282" s="4" t="s">
        <v>21758</v>
      </c>
      <c r="C17282" s="5" t="str">
        <f>IFERROR(__xludf.DUMMYFUNCTION("GOOGLETRANSLATE(B17282,""en"",""it"")"),"Il gioco continua ad aspettare che qualcuno faccia alcuni colpi.")</f>
        <v>Il gioco continua ad aspettare che qualcuno faccia alcuni colpi.</v>
      </c>
    </row>
    <row r="17283">
      <c r="A17283" s="4" t="s">
        <v>21759</v>
      </c>
      <c r="B17283" s="4" t="s">
        <v>21760</v>
      </c>
      <c r="C17283" s="5" t="str">
        <f>IFERROR(__xludf.DUMMYFUNCTION("GOOGLETRANSLATE(B17283,""en"",""it"")"),"Un atleta di pista si prepara e si estende su una linea di partenza.")</f>
        <v>Un atleta di pista si prepara e si estende su una linea di partenza.</v>
      </c>
    </row>
    <row r="17284">
      <c r="A17284" s="4" t="s">
        <v>21759</v>
      </c>
      <c r="B17284" s="4" t="s">
        <v>21761</v>
      </c>
      <c r="C17284" s="5" t="str">
        <f>IFERROR(__xludf.DUMMYFUNCTION("GOOGLETRANSLATE(B17284,""en"",""it"")"),"Un atleta di pista corre lungo una pista e salta in alto sopra un tappetino.")</f>
        <v>Un atleta di pista corre lungo una pista e salta in alto sopra un tappetino.</v>
      </c>
    </row>
    <row r="17285">
      <c r="A17285" s="4" t="s">
        <v>21759</v>
      </c>
      <c r="B17285" s="6" t="s">
        <v>21762</v>
      </c>
      <c r="C17285" s="5" t="str">
        <f>IFERROR(__xludf.DUMMYFUNCTION("GOOGLETRANSLATE(B17285,""en"",""it"")"),"L'atleta fa tentativi di saltare sopra la barra ma non ha avuto successo sul tappeto.")</f>
        <v>L'atleta fa tentativi di saltare sopra la barra ma non ha avuto successo sul tappeto.</v>
      </c>
    </row>
    <row r="17286">
      <c r="A17286" s="4" t="s">
        <v>21763</v>
      </c>
      <c r="B17286" s="4" t="s">
        <v>21764</v>
      </c>
      <c r="C17286" s="5" t="str">
        <f>IFERROR(__xludf.DUMMYFUNCTION("GOOGLETRANSLATE(B17286,""en"",""it"")"),"Una ragazza sta facendo girare un trampolino in palestra.")</f>
        <v>Una ragazza sta facendo girare un trampolino in palestra.</v>
      </c>
    </row>
    <row r="17287">
      <c r="A17287" s="4" t="s">
        <v>21763</v>
      </c>
      <c r="B17287" s="4" t="s">
        <v>21765</v>
      </c>
      <c r="C17287" s="5" t="str">
        <f>IFERROR(__xludf.DUMMYFUNCTION("GOOGLETRANSLATE(B17287,""en"",""it"")"),"Vediamo quindi un bambino immergersi all'indietro in piscina.")</f>
        <v>Vediamo quindi un bambino immergersi all'indietro in piscina.</v>
      </c>
    </row>
    <row r="17288">
      <c r="A17288" s="4" t="s">
        <v>21763</v>
      </c>
      <c r="B17288" s="4" t="s">
        <v>21766</v>
      </c>
      <c r="C17288" s="5" t="str">
        <f>IFERROR(__xludf.DUMMYFUNCTION("GOOGLETRANSLATE(B17288,""en"",""it"")"),"Vediamo il bambino sul trampolino.")</f>
        <v>Vediamo il bambino sul trampolino.</v>
      </c>
    </row>
    <row r="17289">
      <c r="A17289" s="4" t="s">
        <v>21763</v>
      </c>
      <c r="B17289" s="4" t="s">
        <v>21767</v>
      </c>
      <c r="C17289" s="5" t="str">
        <f>IFERROR(__xludf.DUMMYFUNCTION("GOOGLETRANSLATE(B17289,""en"",""it"")"),"Vediamo quindi i bambini immergersi di nuovo.")</f>
        <v>Vediamo quindi i bambini immergersi di nuovo.</v>
      </c>
    </row>
    <row r="17290">
      <c r="A17290" s="4" t="s">
        <v>21763</v>
      </c>
      <c r="B17290" s="4" t="s">
        <v>21768</v>
      </c>
      <c r="C17290" s="5" t="str">
        <f>IFERROR(__xludf.DUMMYFUNCTION("GOOGLETRANSLATE(B17290,""en"",""it"")"),"Torniamo ai bambini che si esercitano sul trampolino e torniamo di nuovo a loro immergersi.")</f>
        <v>Torniamo ai bambini che si esercitano sul trampolino e torniamo di nuovo a loro immergersi.</v>
      </c>
    </row>
    <row r="17291">
      <c r="A17291" s="4" t="s">
        <v>21769</v>
      </c>
      <c r="B17291" s="4" t="s">
        <v>21770</v>
      </c>
      <c r="C17291" s="5" t="str">
        <f>IFERROR(__xludf.DUMMYFUNCTION("GOOGLETRANSLATE(B17291,""en"",""it"")"),"Una donna viene vista eseguire una routine di danza su un palco di fronte a un vasto pubblico.")</f>
        <v>Una donna viene vista eseguire una routine di danza su un palco di fronte a un vasto pubblico.</v>
      </c>
    </row>
    <row r="17292">
      <c r="A17292" s="4" t="s">
        <v>21769</v>
      </c>
      <c r="B17292" s="4" t="s">
        <v>21771</v>
      </c>
      <c r="C17292" s="5" t="str">
        <f>IFERROR(__xludf.DUMMYFUNCTION("GOOGLETRANSLATE(B17292,""en"",""it"")"),"La donna continua a ballare in tutto il palco e termina con un arco e cammina fuori dal palco.")</f>
        <v>La donna continua a ballare in tutto il palco e termina con un arco e cammina fuori dal palco.</v>
      </c>
    </row>
    <row r="17293">
      <c r="A17293" s="4" t="s">
        <v>21772</v>
      </c>
      <c r="B17293" s="4" t="s">
        <v>21773</v>
      </c>
      <c r="C17293" s="5" t="str">
        <f>IFERROR(__xludf.DUMMYFUNCTION("GOOGLETRANSLATE(B17293,""en"",""it"")"),"Un uomo è in piedi in un bar.")</f>
        <v>Un uomo è in piedi in un bar.</v>
      </c>
    </row>
    <row r="17294">
      <c r="A17294" s="4" t="s">
        <v>21772</v>
      </c>
      <c r="B17294" s="4" t="s">
        <v>21774</v>
      </c>
      <c r="C17294" s="5" t="str">
        <f>IFERROR(__xludf.DUMMYFUNCTION("GOOGLETRANSLATE(B17294,""en"",""it"")"),"Vediamo la schermata del titolo su come fare un drink.")</f>
        <v>Vediamo la schermata del titolo su come fare un drink.</v>
      </c>
    </row>
    <row r="17295">
      <c r="A17295" s="4" t="s">
        <v>21772</v>
      </c>
      <c r="B17295" s="4" t="s">
        <v>21775</v>
      </c>
      <c r="C17295" s="5" t="str">
        <f>IFERROR(__xludf.DUMMYFUNCTION("GOOGLETRANSLATE(B17295,""en"",""it"")"),"L'uomo versa tre liquori e un po 'di soda di lime in un bicchiere.")</f>
        <v>L'uomo versa tre liquori e un po 'di soda di lime in un bicchiere.</v>
      </c>
    </row>
    <row r="17296">
      <c r="A17296" s="4" t="s">
        <v>21772</v>
      </c>
      <c r="B17296" s="4" t="s">
        <v>21776</v>
      </c>
      <c r="C17296" s="5" t="str">
        <f>IFERROR(__xludf.DUMMYFUNCTION("GOOGLETRANSLATE(B17296,""en"",""it"")"),"Muove il vetro con uno strumento in metallo.")</f>
        <v>Muove il vetro con uno strumento in metallo.</v>
      </c>
    </row>
    <row r="17297">
      <c r="A17297" s="4" t="s">
        <v>21772</v>
      </c>
      <c r="B17297" s="4" t="s">
        <v>21777</v>
      </c>
      <c r="C17297" s="5" t="str">
        <f>IFERROR(__xludf.DUMMYFUNCTION("GOOGLETRANSLATE(B17297,""en"",""it"")"),"L'uomo quindi beve dal bicchiere.")</f>
        <v>L'uomo quindi beve dal bicchiere.</v>
      </c>
    </row>
    <row r="17298">
      <c r="A17298" s="4" t="s">
        <v>21772</v>
      </c>
      <c r="B17298" s="4" t="s">
        <v>21778</v>
      </c>
      <c r="C17298" s="5" t="str">
        <f>IFERROR(__xludf.DUMMYFUNCTION("GOOGLETRANSLATE(B17298,""en"",""it"")"),"L'uomo punta alla telecamera, vediamo la sequenza finale.")</f>
        <v>L'uomo punta alla telecamera, vediamo la sequenza finale.</v>
      </c>
    </row>
    <row r="17299">
      <c r="A17299" s="4" t="s">
        <v>21779</v>
      </c>
      <c r="B17299" s="4" t="s">
        <v>21780</v>
      </c>
      <c r="C17299" s="5" t="str">
        <f>IFERROR(__xludf.DUMMYFUNCTION("GOOGLETRANSLATE(B17299,""en"",""it"")"),"Un paio di ballerino inizia a preformare alla Coppa di danza latina.")</f>
        <v>Un paio di ballerino inizia a preformare alla Coppa di danza latina.</v>
      </c>
    </row>
    <row r="17300">
      <c r="A17300" s="4" t="s">
        <v>21779</v>
      </c>
      <c r="B17300" s="4" t="s">
        <v>21781</v>
      </c>
      <c r="C17300" s="5" t="str">
        <f>IFERROR(__xludf.DUMMYFUNCTION("GOOGLETRANSLATE(B17300,""en"",""it"")"),"La donna mette in mostra la scollatura.")</f>
        <v>La donna mette in mostra la scollatura.</v>
      </c>
    </row>
    <row r="17301">
      <c r="A17301" s="4" t="s">
        <v>21779</v>
      </c>
      <c r="B17301" s="4" t="s">
        <v>21782</v>
      </c>
      <c r="C17301" s="5" t="str">
        <f>IFERROR(__xludf.DUMMYFUNCTION("GOOGLETRANSLATE(B17301,""en"",""it"")"),"I ballerini iniziano a girare l'uno intorno all'altro.")</f>
        <v>I ballerini iniziano a girare l'uno intorno all'altro.</v>
      </c>
    </row>
    <row r="17302">
      <c r="A17302" s="4" t="s">
        <v>21779</v>
      </c>
      <c r="B17302" s="4" t="s">
        <v>21783</v>
      </c>
      <c r="C17302" s="5" t="str">
        <f>IFERROR(__xludf.DUMMYFUNCTION("GOOGLETRANSLATE(B17302,""en"",""it"")"),"I ballerini iniziano a preformare separatamente.")</f>
        <v>I ballerini iniziano a preformare separatamente.</v>
      </c>
    </row>
    <row r="17303">
      <c r="A17303" s="4" t="s">
        <v>21779</v>
      </c>
      <c r="B17303" s="4" t="s">
        <v>21784</v>
      </c>
      <c r="C17303" s="5" t="str">
        <f>IFERROR(__xludf.DUMMYFUNCTION("GOOGLETRANSLATE(B17303,""en"",""it"")"),"I ballerini iniziano a muoversi di nuovo insieme per un grande traguardo.")</f>
        <v>I ballerini iniziano a muoversi di nuovo insieme per un grande traguardo.</v>
      </c>
    </row>
    <row r="17304">
      <c r="A17304" s="4" t="s">
        <v>21785</v>
      </c>
      <c r="B17304" s="4" t="s">
        <v>21786</v>
      </c>
      <c r="C17304" s="5" t="str">
        <f>IFERROR(__xludf.DUMMYFUNCTION("GOOGLETRANSLATE(B17304,""en"",""it"")"),"Viene visto un uomo parlare alla telecamera all'esterno mentre vari oggetti e strumenti si siedono intorno a lui.")</f>
        <v>Viene visto un uomo parlare alla telecamera all'esterno mentre vari oggetti e strumenti si siedono intorno a lui.</v>
      </c>
    </row>
    <row r="17305">
      <c r="A17305" s="4" t="s">
        <v>21785</v>
      </c>
      <c r="B17305" s="4" t="s">
        <v>21787</v>
      </c>
      <c r="C17305" s="5" t="str">
        <f>IFERROR(__xludf.DUMMYFUNCTION("GOOGLETRANSLATE(B17305,""en"",""it"")"),"L'uomo continua a parlare e conduce in clip di lui che spinge intorno a un tosaerba bassa.")</f>
        <v>L'uomo continua a parlare e conduce in clip di lui che spinge intorno a un tosaerba bassa.</v>
      </c>
    </row>
    <row r="17306">
      <c r="A17306" s="4" t="s">
        <v>21785</v>
      </c>
      <c r="B17306" s="4" t="s">
        <v>21788</v>
      </c>
      <c r="C17306" s="5" t="str">
        <f>IFERROR(__xludf.DUMMYFUNCTION("GOOGLETRANSLATE(B17306,""en"",""it"")"),"Continua a tagliare l'erba e conduce in più clip di lui che parla.")</f>
        <v>Continua a tagliare l'erba e conduce in più clip di lui che parla.</v>
      </c>
    </row>
    <row r="17307">
      <c r="A17307" s="4" t="s">
        <v>21789</v>
      </c>
      <c r="B17307" s="4" t="s">
        <v>21790</v>
      </c>
      <c r="C17307" s="5" t="str">
        <f>IFERROR(__xludf.DUMMYFUNCTION("GOOGLETRANSLATE(B17307,""en"",""it"")"),"L'animazione del logo della rete TV AWesomeness.")</f>
        <v>L'animazione del logo della rete TV AWesomeness.</v>
      </c>
    </row>
    <row r="17308">
      <c r="A17308" s="4" t="s">
        <v>21789</v>
      </c>
      <c r="B17308" s="4" t="s">
        <v>21791</v>
      </c>
      <c r="C17308" s="5" t="str">
        <f>IFERROR(__xludf.DUMMYFUNCTION("GOOGLETRANSLATE(B17308,""en"",""it"")"),"Un uomo sta lanciando e crollando su un tappetino.")</f>
        <v>Un uomo sta lanciando e crollando su un tappetino.</v>
      </c>
    </row>
    <row r="17309">
      <c r="A17309" s="4" t="s">
        <v>21789</v>
      </c>
      <c r="B17309" s="4" t="s">
        <v>21792</v>
      </c>
      <c r="C17309" s="5" t="str">
        <f>IFERROR(__xludf.DUMMYFUNCTION("GOOGLETRANSLATE(B17309,""en"",""it"")"),"Lo stesso uomo si lancia di nuovo sul tappetino, questa volta senza indossare una camicia.")</f>
        <v>Lo stesso uomo si lancia di nuovo sul tappetino, questa volta senza indossare una camicia.</v>
      </c>
    </row>
    <row r="17310">
      <c r="A17310" s="4" t="s">
        <v>21789</v>
      </c>
      <c r="B17310" s="4" t="s">
        <v>21793</v>
      </c>
      <c r="C17310" s="5" t="str">
        <f>IFERROR(__xludf.DUMMYFUNCTION("GOOGLETRANSLATE(B17310,""en"",""it"")"),"L'uomo sta parlando con la telecamera.")</f>
        <v>L'uomo sta parlando con la telecamera.</v>
      </c>
    </row>
    <row r="17311">
      <c r="A17311" s="4" t="s">
        <v>21789</v>
      </c>
      <c r="B17311" s="6" t="s">
        <v>21794</v>
      </c>
      <c r="C17311" s="5" t="str">
        <f>IFERROR(__xludf.DUMMYFUNCTION("GOOGLETRANSLATE(B17311,""en"",""it"")"),"Una donna con un fiocco blu tra i capelli attraversa lo schermo dietro l'uomo e inizia a parlare con un'altra donna che esce dallo schermo.")</f>
        <v>Una donna con un fiocco blu tra i capelli attraversa lo schermo dietro l'uomo e inizia a parlare con un'altra donna che esce dallo schermo.</v>
      </c>
    </row>
    <row r="17312">
      <c r="A17312" s="4" t="s">
        <v>21789</v>
      </c>
      <c r="B17312" s="6" t="s">
        <v>21795</v>
      </c>
      <c r="C17312" s="5" t="str">
        <f>IFERROR(__xludf.DUMMYFUNCTION("GOOGLETRANSLATE(B17312,""en"",""it"")"),"L'uomo senza camicia viene mostrato lanciando di nuovo sullo schermo, questa volta non atterra il suo finale e cade su un fianco.")</f>
        <v>L'uomo senza camicia viene mostrato lanciando di nuovo sullo schermo, questa volta non atterra il suo finale e cade su un fianco.</v>
      </c>
    </row>
    <row r="17313">
      <c r="A17313" s="4" t="s">
        <v>21789</v>
      </c>
      <c r="B17313" s="4" t="s">
        <v>21796</v>
      </c>
      <c r="C17313" s="5" t="str">
        <f>IFERROR(__xludf.DUMMYFUNCTION("GOOGLETRANSLATE(B17313,""en"",""it"")"),"Quindi inizia a camminare verso un uomo sul lato del tappeto.")</f>
        <v>Quindi inizia a camminare verso un uomo sul lato del tappeto.</v>
      </c>
    </row>
    <row r="17314">
      <c r="A17314" s="4" t="s">
        <v>21789</v>
      </c>
      <c r="B17314" s="4" t="s">
        <v>21797</v>
      </c>
      <c r="C17314" s="5" t="str">
        <f>IFERROR(__xludf.DUMMYFUNCTION("GOOGLETRANSLATE(B17314,""en"",""it"")"),"Lo spettatore indica la sua testa e la ginnasta fa anche lo stesso alla sua testa.")</f>
        <v>Lo spettatore indica la sua testa e la ginnasta fa anche lo stesso alla sua testa.</v>
      </c>
    </row>
    <row r="17315">
      <c r="A17315" s="4" t="s">
        <v>21789</v>
      </c>
      <c r="B17315" s="4" t="s">
        <v>21798</v>
      </c>
      <c r="C17315" s="5" t="str">
        <f>IFERROR(__xludf.DUMMYFUNCTION("GOOGLETRANSLATE(B17315,""en"",""it"")"),"La ginnasta sta parlando di nuovo con la telecamera spiegando cosa è successo durante quella routine.")</f>
        <v>La ginnasta sta parlando di nuovo con la telecamera spiegando cosa è successo durante quella routine.</v>
      </c>
    </row>
    <row r="17316">
      <c r="A17316" s="4" t="s">
        <v>21789</v>
      </c>
      <c r="B17316" s="4" t="s">
        <v>21799</v>
      </c>
      <c r="C17316" s="5" t="str">
        <f>IFERROR(__xludf.DUMMYFUNCTION("GOOGLETRANSLATE(B17316,""en"",""it"")"),"Un piccolo video si presenta in basso a destra riproducendo il momento in cui cade.")</f>
        <v>Un piccolo video si presenta in basso a destra riproducendo il momento in cui cade.</v>
      </c>
    </row>
    <row r="17317">
      <c r="A17317" s="4" t="s">
        <v>21789</v>
      </c>
      <c r="B17317" s="4" t="s">
        <v>21800</v>
      </c>
      <c r="C17317" s="5" t="str">
        <f>IFERROR(__xludf.DUMMYFUNCTION("GOOGLETRANSLATE(B17317,""en"",""it"")"),"Comincia a sfogliare di nuovo il tappetino.")</f>
        <v>Comincia a sfogliare di nuovo il tappetino.</v>
      </c>
    </row>
    <row r="17318">
      <c r="A17318" s="4" t="s">
        <v>21789</v>
      </c>
      <c r="B17318" s="4" t="s">
        <v>21801</v>
      </c>
      <c r="C17318" s="5" t="str">
        <f>IFERROR(__xludf.DUMMYFUNCTION("GOOGLETRANSLATE(B17318,""en"",""it"")"),"L'uomo è in piedi accanto a un paio di altri ragazzi, salta in aria e fa dei calci.")</f>
        <v>L'uomo è in piedi accanto a un paio di altri ragazzi, salta in aria e fa dei calci.</v>
      </c>
    </row>
    <row r="17319">
      <c r="A17319" s="4" t="s">
        <v>21789</v>
      </c>
      <c r="B17319" s="4" t="s">
        <v>21802</v>
      </c>
      <c r="C17319" s="5" t="str">
        <f>IFERROR(__xludf.DUMMYFUNCTION("GOOGLETRANSLATE(B17319,""en"",""it"")"),"Ora sta facendo indietro le navigazioni sul tappeto.")</f>
        <v>Ora sta facendo indietro le navigazioni sul tappeto.</v>
      </c>
    </row>
    <row r="17320">
      <c r="A17320" s="4" t="s">
        <v>21789</v>
      </c>
      <c r="B17320" s="4" t="s">
        <v>21803</v>
      </c>
      <c r="C17320" s="5" t="str">
        <f>IFERROR(__xludf.DUMMYFUNCTION("GOOGLETRANSLATE(B17320,""en"",""it"")"),"Passa da un lancio in avanti al back-flapping.")</f>
        <v>Passa da un lancio in avanti al back-flapping.</v>
      </c>
    </row>
    <row r="17321">
      <c r="A17321" s="4" t="s">
        <v>21789</v>
      </c>
      <c r="B17321" s="4" t="s">
        <v>21804</v>
      </c>
      <c r="C17321" s="5" t="str">
        <f>IFERROR(__xludf.DUMMYFUNCTION("GOOGLETRANSLATE(B17321,""en"",""it"")"),"Ora è in piedi sulla linea laterale preparando a fare le giù.")</f>
        <v>Ora è in piedi sulla linea laterale preparando a fare le giù.</v>
      </c>
    </row>
    <row r="17322">
      <c r="A17322" s="4" t="s">
        <v>21789</v>
      </c>
      <c r="B17322" s="4" t="s">
        <v>21805</v>
      </c>
      <c r="C17322" s="5" t="str">
        <f>IFERROR(__xludf.DUMMYFUNCTION("GOOGLETRANSLATE(B17322,""en"",""it"")"),"Sta facendo qualche altro capovolgimento e atterra sul tappeto rosso.")</f>
        <v>Sta facendo qualche altro capovolgimento e atterra sul tappeto rosso.</v>
      </c>
    </row>
    <row r="17323">
      <c r="A17323" s="4" t="s">
        <v>21789</v>
      </c>
      <c r="B17323" s="4" t="s">
        <v>21806</v>
      </c>
      <c r="C17323" s="5" t="str">
        <f>IFERROR(__xludf.DUMMYFUNCTION("GOOGLETRANSLATE(B17323,""en"",""it"")"),"Ora sta lanciando di nuovo e si inverte e inizia a lanciare dall'altra parte.")</f>
        <v>Ora sta lanciando di nuovo e si inverte e inizia a lanciare dall'altra parte.</v>
      </c>
    </row>
    <row r="17324">
      <c r="A17324" s="4" t="s">
        <v>21789</v>
      </c>
      <c r="B17324" s="4" t="s">
        <v>21807</v>
      </c>
      <c r="C17324" s="5" t="str">
        <f>IFERROR(__xludf.DUMMYFUNCTION("GOOGLETRANSLATE(B17324,""en"",""it"")"),"Questa volta indossa una camicia gialla e inizia facendo un calcio, quindi inizia a girare all'indietro.")</f>
        <v>Questa volta indossa una camicia gialla e inizia facendo un calcio, quindi inizia a girare all'indietro.</v>
      </c>
    </row>
    <row r="17325">
      <c r="A17325" s="4" t="s">
        <v>21789</v>
      </c>
      <c r="B17325" s="4" t="s">
        <v>21808</v>
      </c>
      <c r="C17325" s="5" t="str">
        <f>IFERROR(__xludf.DUMMYFUNCTION("GOOGLETRANSLATE(B17325,""en"",""it"")"),"Ora sta attraversando lentamente il tappetino.")</f>
        <v>Ora sta attraversando lentamente il tappetino.</v>
      </c>
    </row>
    <row r="17326">
      <c r="A17326" s="4" t="s">
        <v>21809</v>
      </c>
      <c r="B17326" s="4" t="s">
        <v>21810</v>
      </c>
      <c r="C17326" s="5" t="str">
        <f>IFERROR(__xludf.DUMMYFUNCTION("GOOGLETRANSLATE(B17326,""en"",""it"")"),"Un uomo viene visto in piedi su un campo grande eseguendo vari trucchi per cani con un cane.")</f>
        <v>Un uomo viene visto in piedi su un campo grande eseguendo vari trucchi per cani con un cane.</v>
      </c>
    </row>
    <row r="17327">
      <c r="A17327" s="4" t="s">
        <v>21809</v>
      </c>
      <c r="B17327" s="6" t="s">
        <v>21811</v>
      </c>
      <c r="C17327" s="5" t="str">
        <f>IFERROR(__xludf.DUMMYFUNCTION("GOOGLETRANSLATE(B17327,""en"",""it"")"),"Un'altra persona osserva in lontananza mentre l'uomo e il cane continuano a eseguire trucchi e il cane che corre tutt'intorno.")</f>
        <v>Un'altra persona osserva in lontananza mentre l'uomo e il cane continuano a eseguire trucchi e il cane che corre tutt'intorno.</v>
      </c>
    </row>
    <row r="17328">
      <c r="A17328" s="4" t="s">
        <v>21812</v>
      </c>
      <c r="B17328" s="4" t="s">
        <v>21813</v>
      </c>
      <c r="C17328" s="5" t="str">
        <f>IFERROR(__xludf.DUMMYFUNCTION("GOOGLETRANSLATE(B17328,""en"",""it"")"),"Un uomo si guarda intorno e gli afferra il viso.")</f>
        <v>Un uomo si guarda intorno e gli afferra il viso.</v>
      </c>
    </row>
    <row r="17329">
      <c r="A17329" s="4" t="s">
        <v>21812</v>
      </c>
      <c r="B17329" s="4" t="s">
        <v>21814</v>
      </c>
      <c r="C17329" s="5" t="str">
        <f>IFERROR(__xludf.DUMMYFUNCTION("GOOGLETRANSLATE(B17329,""en"",""it"")"),"Posa un asciugamano sul viso.")</f>
        <v>Posa un asciugamano sul viso.</v>
      </c>
    </row>
    <row r="17330">
      <c r="A17330" s="4" t="s">
        <v>21812</v>
      </c>
      <c r="B17330" s="4" t="s">
        <v>21815</v>
      </c>
      <c r="C17330" s="5" t="str">
        <f>IFERROR(__xludf.DUMMYFUNCTION("GOOGLETRANSLATE(B17330,""en"",""it"")"),"L'uomo mette in mostra un'unità di rasatura e un balsamo.")</f>
        <v>L'uomo mette in mostra un'unità di rasatura e un balsamo.</v>
      </c>
    </row>
    <row r="17331">
      <c r="A17331" s="4" t="s">
        <v>21812</v>
      </c>
      <c r="B17331" s="4" t="s">
        <v>21816</v>
      </c>
      <c r="C17331" s="5" t="str">
        <f>IFERROR(__xludf.DUMMYFUNCTION("GOOGLETRANSLATE(B17331,""en"",""it"")"),"Mostra una ciotola e fa girare il pennello da barba attorno ad essa.")</f>
        <v>Mostra una ciotola e fa girare il pennello da barba attorno ad essa.</v>
      </c>
    </row>
    <row r="17332">
      <c r="A17332" s="4" t="s">
        <v>21812</v>
      </c>
      <c r="B17332" s="4" t="s">
        <v>21817</v>
      </c>
      <c r="C17332" s="5" t="str">
        <f>IFERROR(__xludf.DUMMYFUNCTION("GOOGLETRANSLATE(B17332,""en"",""it"")"),"L'uomo mette la crema da barba su tutto il viso con l'uso del suo pennello da barba.")</f>
        <v>L'uomo mette la crema da barba su tutto il viso con l'uso del suo pennello da barba.</v>
      </c>
    </row>
    <row r="17333">
      <c r="A17333" s="4" t="s">
        <v>21812</v>
      </c>
      <c r="B17333" s="4" t="s">
        <v>21818</v>
      </c>
      <c r="C17333" s="5" t="str">
        <f>IFERROR(__xludf.DUMMYFUNCTION("GOOGLETRANSLATE(B17333,""en"",""it"")"),"Prende un rasoio e si rada.")</f>
        <v>Prende un rasoio e si rada.</v>
      </c>
    </row>
    <row r="17334">
      <c r="A17334" s="4" t="s">
        <v>21812</v>
      </c>
      <c r="B17334" s="4" t="s">
        <v>21819</v>
      </c>
      <c r="C17334" s="5" t="str">
        <f>IFERROR(__xludf.DUMMYFUNCTION("GOOGLETRANSLATE(B17334,""en"",""it"")"),"Afferra di nuovo la ciotola e ruota il pennello da barba all'interno.")</f>
        <v>Afferra di nuovo la ciotola e ruota il pennello da barba all'interno.</v>
      </c>
    </row>
    <row r="17335">
      <c r="A17335" s="4" t="s">
        <v>21812</v>
      </c>
      <c r="B17335" s="4" t="s">
        <v>21820</v>
      </c>
      <c r="C17335" s="5" t="str">
        <f>IFERROR(__xludf.DUMMYFUNCTION("GOOGLETRANSLATE(B17335,""en"",""it"")"),"Smothers che barcola la crema sul viso.")</f>
        <v>Smothers che barcola la crema sul viso.</v>
      </c>
    </row>
    <row r="17336">
      <c r="A17336" s="4" t="s">
        <v>21812</v>
      </c>
      <c r="B17336" s="4" t="s">
        <v>21821</v>
      </c>
      <c r="C17336" s="5" t="str">
        <f>IFERROR(__xludf.DUMMYFUNCTION("GOOGLETRANSLATE(B17336,""en"",""it"")"),"Si rade ancora una volta il viso.")</f>
        <v>Si rade ancora una volta il viso.</v>
      </c>
    </row>
    <row r="17337">
      <c r="A17337" s="4" t="s">
        <v>21812</v>
      </c>
      <c r="B17337" s="4" t="s">
        <v>21822</v>
      </c>
      <c r="C17337" s="5" t="str">
        <f>IFERROR(__xludf.DUMMYFUNCTION("GOOGLETRANSLATE(B17337,""en"",""it"")"),"Si schizza il viso e lo asciuga con un asciugamano viola.")</f>
        <v>Si schizza il viso e lo asciuga con un asciugamano viola.</v>
      </c>
    </row>
    <row r="17338">
      <c r="A17338" s="4" t="s">
        <v>21812</v>
      </c>
      <c r="B17338" s="4" t="s">
        <v>21823</v>
      </c>
      <c r="C17338" s="5" t="str">
        <f>IFERROR(__xludf.DUMMYFUNCTION("GOOGLETRANSLATE(B17338,""en"",""it"")"),"Si strofina un olio sul viso ed eccita eccitato i muscoli.")</f>
        <v>Si strofina un olio sul viso ed eccita eccitato i muscoli.</v>
      </c>
    </row>
    <row r="17339">
      <c r="A17339" s="4" t="s">
        <v>21824</v>
      </c>
      <c r="B17339" s="4" t="s">
        <v>21825</v>
      </c>
      <c r="C17339" s="5" t="str">
        <f>IFERROR(__xludf.DUMMYFUNCTION("GOOGLETRANSLATE(B17339,""en"",""it"")"),"Un uomo in turbante rosso si trova in cucina.")</f>
        <v>Un uomo in turbante rosso si trova in cucina.</v>
      </c>
    </row>
    <row r="17340">
      <c r="A17340" s="4" t="s">
        <v>21824</v>
      </c>
      <c r="B17340" s="4" t="s">
        <v>21826</v>
      </c>
      <c r="C17340" s="5" t="str">
        <f>IFERROR(__xludf.DUMMYFUNCTION("GOOGLETRANSLATE(B17340,""en"",""it"")"),"Versa alcuni ingredienti in un bicchiere.")</f>
        <v>Versa alcuni ingredienti in un bicchiere.</v>
      </c>
    </row>
    <row r="17341">
      <c r="A17341" s="4" t="s">
        <v>21824</v>
      </c>
      <c r="B17341" s="4" t="s">
        <v>21827</v>
      </c>
      <c r="C17341" s="5" t="str">
        <f>IFERROR(__xludf.DUMMYFUNCTION("GOOGLETRANSLATE(B17341,""en"",""it"")"),"Spiega i suoi metodi che tengono un cucchiaio.")</f>
        <v>Spiega i suoi metodi che tengono un cucchiaio.</v>
      </c>
    </row>
    <row r="17342">
      <c r="A17342" s="4" t="s">
        <v>21824</v>
      </c>
      <c r="B17342" s="4" t="s">
        <v>21828</v>
      </c>
      <c r="C17342" s="5" t="str">
        <f>IFERROR(__xludf.DUMMYFUNCTION("GOOGLETRANSLATE(B17342,""en"",""it"")"),"Quindi finisce la bevanda con un contorno.")</f>
        <v>Quindi finisce la bevanda con un contorno.</v>
      </c>
    </row>
    <row r="17343">
      <c r="A17343" s="4" t="s">
        <v>21829</v>
      </c>
      <c r="B17343" s="4" t="s">
        <v>21830</v>
      </c>
      <c r="C17343" s="5" t="str">
        <f>IFERROR(__xludf.DUMMYFUNCTION("GOOGLETRANSLATE(B17343,""en"",""it"")"),"Viene mostrato un primo piano di un fondo oceanico, nonché un subacqueo e un pesce che nuota in giro.")</f>
        <v>Viene mostrato un primo piano di un fondo oceanico, nonché un subacqueo e un pesce che nuota in giro.</v>
      </c>
    </row>
    <row r="17344">
      <c r="A17344" s="4" t="s">
        <v>21829</v>
      </c>
      <c r="B17344" s="6" t="s">
        <v>21831</v>
      </c>
      <c r="C17344" s="5" t="str">
        <f>IFERROR(__xludf.DUMMYFUNCTION("GOOGLETRANSLATE(B17344,""en"",""it"")"),"La fotocamera continua a catturare il fondo del pavimento e diversi alimentatori di pesce e inferiore sul terreno.")</f>
        <v>La fotocamera continua a catturare il fondo del pavimento e diversi alimentatori di pesce e inferiore sul terreno.</v>
      </c>
    </row>
    <row r="17345">
      <c r="A17345" s="4" t="s">
        <v>21829</v>
      </c>
      <c r="B17345" s="6" t="s">
        <v>21832</v>
      </c>
      <c r="C17345" s="5" t="str">
        <f>IFERROR(__xludf.DUMMYFUNCTION("GOOGLETRANSLATE(B17345,""en"",""it"")"),"Il subacqueo subacqueo muove una torcia per catturare il fondo e guarda la fauna selvatica muoversi.")</f>
        <v>Il subacqueo subacqueo muove una torcia per catturare il fondo e guarda la fauna selvatica muoversi.</v>
      </c>
    </row>
    <row r="17346">
      <c r="A17346" s="4" t="s">
        <v>21833</v>
      </c>
      <c r="B17346" s="4" t="s">
        <v>21834</v>
      </c>
      <c r="C17346" s="5" t="str">
        <f>IFERROR(__xludf.DUMMYFUNCTION("GOOGLETRANSLATE(B17346,""en"",""it"")"),"Un uomo cammina sull'erba indossando palafitte.")</f>
        <v>Un uomo cammina sull'erba indossando palafitte.</v>
      </c>
    </row>
    <row r="17347">
      <c r="A17347" s="4" t="s">
        <v>21833</v>
      </c>
      <c r="B17347" s="4" t="s">
        <v>21835</v>
      </c>
      <c r="C17347" s="5" t="str">
        <f>IFERROR(__xludf.DUMMYFUNCTION("GOOGLETRANSLATE(B17347,""en"",""it"")"),"Le persone lo guardano accanto a uno stagno.")</f>
        <v>Le persone lo guardano accanto a uno stagno.</v>
      </c>
    </row>
    <row r="17348">
      <c r="A17348" s="4" t="s">
        <v>21833</v>
      </c>
      <c r="B17348" s="4" t="s">
        <v>21836</v>
      </c>
      <c r="C17348" s="5" t="str">
        <f>IFERROR(__xludf.DUMMYFUNCTION("GOOGLETRANSLATE(B17348,""en"",""it"")"),"Continua a camminare sull'erba verso la gente.")</f>
        <v>Continua a camminare sull'erba verso la gente.</v>
      </c>
    </row>
    <row r="17349">
      <c r="A17349" s="4" t="s">
        <v>21837</v>
      </c>
      <c r="B17349" s="6" t="s">
        <v>21838</v>
      </c>
      <c r="C17349" s="5" t="str">
        <f>IFERROR(__xludf.DUMMYFUNCTION("GOOGLETRANSLATE(B17349,""en"",""it"")"),"Viene mostrato un primo piano di un dipinto seguito da un pennello che si immerge in vernice e si muove lungo tutto illustrata.")</f>
        <v>Viene mostrato un primo piano di un dipinto seguito da un pennello che si immerge in vernice e si muove lungo tutto illustrata.</v>
      </c>
    </row>
    <row r="17350">
      <c r="A17350" s="4" t="s">
        <v>21837</v>
      </c>
      <c r="B17350" s="6" t="s">
        <v>21839</v>
      </c>
      <c r="C17350" s="5" t="str">
        <f>IFERROR(__xludf.DUMMYFUNCTION("GOOGLETRANSLATE(B17350,""en"",""it"")"),"La persona continua a dipingere i cespugli nella foto e termina con crediti che rotolano sopra lo schermo.")</f>
        <v>La persona continua a dipingere i cespugli nella foto e termina con crediti che rotolano sopra lo schermo.</v>
      </c>
    </row>
    <row r="17351">
      <c r="A17351" s="4" t="s">
        <v>21840</v>
      </c>
      <c r="B17351" s="4" t="s">
        <v>21841</v>
      </c>
      <c r="C17351" s="5" t="str">
        <f>IFERROR(__xludf.DUMMYFUNCTION("GOOGLETRANSLATE(B17351,""en"",""it"")"),"Un primo piano di patate viene mostrato seguito da una donna che parla alla telecamera.")</f>
        <v>Un primo piano di patate viene mostrato seguito da una donna che parla alla telecamera.</v>
      </c>
    </row>
    <row r="17352">
      <c r="A17352" s="4" t="s">
        <v>21840</v>
      </c>
      <c r="B17352" s="4" t="s">
        <v>21842</v>
      </c>
      <c r="C17352" s="5" t="str">
        <f>IFERROR(__xludf.DUMMYFUNCTION("GOOGLETRANSLATE(B17352,""en"",""it"")"),"La donna indica una pentola e poi inizia a staccare le patate e metterle in una pentola.")</f>
        <v>La donna indica una pentola e poi inizia a staccare le patate e metterle in una pentola.</v>
      </c>
    </row>
    <row r="17353">
      <c r="A17353" s="4" t="s">
        <v>21840</v>
      </c>
      <c r="B17353" s="4" t="s">
        <v>21843</v>
      </c>
      <c r="C17353" s="5" t="str">
        <f>IFERROR(__xludf.DUMMYFUNCTION("GOOGLETRANSLATE(B17353,""en"",""it"")"),"Lo mescola con il sale e immerge le patate in acqua ghiacciata, osservandole finire.")</f>
        <v>Lo mescola con il sale e immerge le patate in acqua ghiacciata, osservandole finire.</v>
      </c>
    </row>
    <row r="17354">
      <c r="A17354" s="4" t="s">
        <v>21844</v>
      </c>
      <c r="B17354" s="6" t="s">
        <v>21845</v>
      </c>
      <c r="C17354" s="5" t="str">
        <f>IFERROR(__xludf.DUMMYFUNCTION("GOOGLETRANSLATE(B17354,""en"",""it"")"),"Una donna viene vista guardare in lontananza seguita da colpi di cavalcatura e si guardano in lontananza.")</f>
        <v>Una donna viene vista guardare in lontananza seguita da colpi di cavalcatura e si guardano in lontananza.</v>
      </c>
    </row>
    <row r="17355">
      <c r="A17355" s="4" t="s">
        <v>21844</v>
      </c>
      <c r="B17355" s="6" t="s">
        <v>21846</v>
      </c>
      <c r="C17355" s="5" t="str">
        <f>IFERROR(__xludf.DUMMYFUNCTION("GOOGLETRANSLATE(B17355,""en"",""it"")"),"La donna continua a cavalcare sul cavallo e finisce con la sua allontanamento e salutando la telecamera.")</f>
        <v>La donna continua a cavalcare sul cavallo e finisce con la sua allontanamento e salutando la telecamera.</v>
      </c>
    </row>
    <row r="17356">
      <c r="A17356" s="4" t="s">
        <v>21847</v>
      </c>
      <c r="B17356" s="4" t="s">
        <v>21848</v>
      </c>
      <c r="C17356" s="5" t="str">
        <f>IFERROR(__xludf.DUMMYFUNCTION("GOOGLETRANSLATE(B17356,""en"",""it"")"),"Un sollevatore di pesi femminile sta tentando di sollevare una serie di pesi.")</f>
        <v>Un sollevatore di pesi femminile sta tentando di sollevare una serie di pesi.</v>
      </c>
    </row>
    <row r="17357">
      <c r="A17357" s="4" t="s">
        <v>21847</v>
      </c>
      <c r="B17357" s="4" t="s">
        <v>21849</v>
      </c>
      <c r="C17357" s="5" t="str">
        <f>IFERROR(__xludf.DUMMYFUNCTION("GOOGLETRANSLATE(B17357,""en"",""it"")"),"Si solleva lentamente alle ginocchia.")</f>
        <v>Si solleva lentamente alle ginocchia.</v>
      </c>
    </row>
    <row r="17358">
      <c r="A17358" s="4" t="s">
        <v>21847</v>
      </c>
      <c r="B17358" s="4" t="s">
        <v>21850</v>
      </c>
      <c r="C17358" s="5" t="str">
        <f>IFERROR(__xludf.DUMMYFUNCTION("GOOGLETRANSLATE(B17358,""en"",""it"")"),"Alza il bar sul petto, fermandosi.")</f>
        <v>Alza il bar sul petto, fermandosi.</v>
      </c>
    </row>
    <row r="17359">
      <c r="A17359" s="4" t="s">
        <v>21847</v>
      </c>
      <c r="B17359" s="4" t="s">
        <v>21851</v>
      </c>
      <c r="C17359" s="5" t="str">
        <f>IFERROR(__xludf.DUMMYFUNCTION("GOOGLETRANSLATE(B17359,""en"",""it"")"),"Quindi se lo solleva sopra la testa prima di accovacciarsi sotto di essa.")</f>
        <v>Quindi se lo solleva sopra la testa prima di accovacciarsi sotto di essa.</v>
      </c>
    </row>
    <row r="17360">
      <c r="A17360" s="4" t="s">
        <v>21852</v>
      </c>
      <c r="B17360" s="4" t="s">
        <v>21853</v>
      </c>
      <c r="C17360" s="5" t="str">
        <f>IFERROR(__xludf.DUMMYFUNCTION("GOOGLETRANSLATE(B17360,""en"",""it"")"),"Due persone sono faccia a faccia sotto i riflettori.")</f>
        <v>Due persone sono faccia a faccia sotto i riflettori.</v>
      </c>
    </row>
    <row r="17361">
      <c r="A17361" s="4" t="s">
        <v>21852</v>
      </c>
      <c r="B17361" s="6" t="s">
        <v>21854</v>
      </c>
      <c r="C17361" s="5" t="str">
        <f>IFERROR(__xludf.DUMMYFUNCTION("GOOGLETRANSLATE(B17361,""en"",""it"")"),"L'uomo che indossa un abito bianco e nero simula uno schiaffo alla donna che indossa un vestito a destra.")</f>
        <v>L'uomo che indossa un abito bianco e nero simula uno schiaffo alla donna che indossa un vestito a destra.</v>
      </c>
    </row>
    <row r="17362">
      <c r="A17362" s="4" t="s">
        <v>21852</v>
      </c>
      <c r="B17362" s="6" t="s">
        <v>21855</v>
      </c>
      <c r="C17362" s="5" t="str">
        <f>IFERROR(__xludf.DUMMYFUNCTION("GOOGLETRANSLATE(B17362,""en"",""it"")"),"Un uomo che indossa una canotta nera corre immediatamente sotto i riflettori per stare tra i due e tutti iniziano a ballare mentre la stanza è illuminata per mostrare una grande area di ballo con le persone tra il pubblico che li guardano.")</f>
        <v>Un uomo che indossa una canotta nera corre immediatamente sotto i riflettori per stare tra i due e tutti iniziano a ballare mentre la stanza è illuminata per mostrare una grande area di ballo con le persone tra il pubblico che li guardano.</v>
      </c>
    </row>
    <row r="17363">
      <c r="A17363" s="4" t="s">
        <v>21852</v>
      </c>
      <c r="B17363" s="6" t="s">
        <v>21856</v>
      </c>
      <c r="C17363" s="5" t="str">
        <f>IFERROR(__xludf.DUMMYFUNCTION("GOOGLETRANSLATE(B17363,""en"",""it"")"),"I tre continuano a ballare fino a quando l'uomo nella canotta nera raccoglie la donna e la getta a terra e lascia la pista da ballo.")</f>
        <v>I tre continuano a ballare fino a quando l'uomo nella canotta nera raccoglie la donna e la getta a terra e lascia la pista da ballo.</v>
      </c>
    </row>
    <row r="17364">
      <c r="A17364" s="4" t="s">
        <v>21852</v>
      </c>
      <c r="B17364" s="4" t="s">
        <v>21857</v>
      </c>
      <c r="C17364" s="5" t="str">
        <f>IFERROR(__xludf.DUMMYFUNCTION("GOOGLETRANSLATE(B17364,""en"",""it"")"),"L'uomo in tuta e la donna continuano a ballare da solo.")</f>
        <v>L'uomo in tuta e la donna continuano a ballare da solo.</v>
      </c>
    </row>
    <row r="17365">
      <c r="A17365" s="4" t="s">
        <v>21852</v>
      </c>
      <c r="B17365" s="6" t="s">
        <v>21858</v>
      </c>
      <c r="C17365" s="5" t="str">
        <f>IFERROR(__xludf.DUMMYFUNCTION("GOOGLETRANSLATE(B17365,""en"",""it"")"),"L'uomo nella canotta ritorna sulla pista da ballo e cerca di dare un pugno all'uomo in abito, ma l'uomo in abito schiva il pugno e spinge l'uomo nella canotta fuori dalla pista da ballo.")</f>
        <v>L'uomo nella canotta ritorna sulla pista da ballo e cerca di dare un pugno all'uomo in abito, ma l'uomo in abito schiva il pugno e spinge l'uomo nella canotta fuori dalla pista da ballo.</v>
      </c>
    </row>
    <row r="17366">
      <c r="A17366" s="4" t="s">
        <v>21852</v>
      </c>
      <c r="B17366" s="6" t="s">
        <v>21859</v>
      </c>
      <c r="C17366" s="5" t="str">
        <f>IFERROR(__xludf.DUMMYFUNCTION("GOOGLETRANSLATE(B17366,""en"",""it"")"),"L'uomo in abito e la donna in abito continuano a ballare da solo e finiscono drasticamente in una posa con la schiena a terra e l'uomo che si libra sopra di lei.")</f>
        <v>L'uomo in abito e la donna in abito continuano a ballare da solo e finiscono drasticamente in una posa con la schiena a terra e l'uomo che si libra sopra di lei.</v>
      </c>
    </row>
    <row r="17367">
      <c r="A17367" s="4" t="s">
        <v>21860</v>
      </c>
      <c r="B17367" s="6" t="s">
        <v>21861</v>
      </c>
      <c r="C17367" s="5" t="str">
        <f>IFERROR(__xludf.DUMMYFUNCTION("GOOGLETRANSLATE(B17367,""en"",""it"")"),"Una ragazza atletica bionda con una faccia seria ha le mani tutte intagliate e si trova accanto a un raggio di bilanciamento di legno, vestita con un body decorato in bianco e nero, e il banner sul fondo dello schermo dice che il suo nome è Shawn Johnson "&amp;"1 ° posto Dopo la seconda rotazione.")</f>
        <v>Una ragazza atletica bionda con una faccia seria ha le mani tutte intagliate e si trova accanto a un raggio di bilanciamento di legno, vestita con un body decorato in bianco e nero, e il banner sul fondo dello schermo dice che il suo nome è Shawn Johnson 1 ° posto Dopo la seconda rotazione.</v>
      </c>
    </row>
    <row r="17368">
      <c r="A17368" s="4" t="s">
        <v>21860</v>
      </c>
      <c r="B17368" s="6" t="s">
        <v>21862</v>
      </c>
      <c r="C17368" s="5" t="str">
        <f>IFERROR(__xludf.DUMMYFUNCTION("GOOGLETRANSLATE(B17368,""en"",""it"")"),"La ragazza si strofina le mani un paio di volte, il pubblico applaude, lei sorride e alza le sue due braccia in aria, sorride, si gira a cavallo e corre e salta fino a atterrare sul raggio dell'equilibrio.")</f>
        <v>La ragazza si strofina le mani un paio di volte, il pubblico applaude, lei sorride e alza le sue due braccia in aria, sorride, si gira a cavallo e corre e salta fino a atterrare sul raggio dell'equilibrio.</v>
      </c>
    </row>
    <row r="17369">
      <c r="A17369" s="4" t="s">
        <v>21860</v>
      </c>
      <c r="B17369" s="6" t="s">
        <v>21863</v>
      </c>
      <c r="C17369" s="5" t="str">
        <f>IFERROR(__xludf.DUMMYFUNCTION("GOOGLETRANSLATE(B17369,""en"",""it"")"),"La ragazza inizia immediatamente la sua routine e include molti lanci, passeggiate, rotelle, movimenti delle mani, giri e eccetera.")</f>
        <v>La ragazza inizia immediatamente la sua routine e include molti lanci, passeggiate, rotelle, movimenti delle mani, giri e eccetera.</v>
      </c>
    </row>
    <row r="17370">
      <c r="A17370" s="4" t="s">
        <v>21860</v>
      </c>
      <c r="B17370" s="6" t="s">
        <v>21864</v>
      </c>
      <c r="C17370" s="5" t="str">
        <f>IFERROR(__xludf.DUMMYFUNCTION("GOOGLETRANSLATE(B17370,""en"",""it"")"),"La ragazza va all'estremità più lontana del raggio di equilibrio, fissa l'altra estremità, si lancia rapidamente sul raggio di equilibrio, quindi si sposta dal raggio di equilibrio alcune volte, atterra sui suoi piedi, solleva le sue due braccia in aria L"&amp;"a folla applaude.")</f>
        <v>La ragazza va all'estremità più lontana del raggio di equilibrio, fissa l'altra estremità, si lancia rapidamente sul raggio di equilibrio, quindi si sposta dal raggio di equilibrio alcune volte, atterra sui suoi piedi, solleva le sue due braccia in aria La folla applaude.</v>
      </c>
    </row>
    <row r="17371">
      <c r="A17371" s="4" t="s">
        <v>21865</v>
      </c>
      <c r="B17371" s="4" t="s">
        <v>21866</v>
      </c>
      <c r="C17371" s="5" t="str">
        <f>IFERROR(__xludf.DUMMYFUNCTION("GOOGLETRANSLATE(B17371,""en"",""it"")"),"Un bue è trattenuto da un allenatore in una piazza della città.")</f>
        <v>Un bue è trattenuto da un allenatore in una piazza della città.</v>
      </c>
    </row>
    <row r="17372">
      <c r="A17372" s="4" t="s">
        <v>21865</v>
      </c>
      <c r="B17372" s="4" t="s">
        <v>21867</v>
      </c>
      <c r="C17372" s="5" t="str">
        <f>IFERROR(__xludf.DUMMYFUNCTION("GOOGLETRANSLATE(B17372,""en"",""it"")"),"Due duello di buoi con corna in un recinto mentre gli allenatori li guidano.")</f>
        <v>Due duello di buoi con corna in un recinto mentre gli allenatori li guidano.</v>
      </c>
    </row>
    <row r="17373">
      <c r="A17373" s="4" t="s">
        <v>21865</v>
      </c>
      <c r="B17373" s="4" t="s">
        <v>21868</v>
      </c>
      <c r="C17373" s="5" t="str">
        <f>IFERROR(__xludf.DUMMYFUNCTION("GOOGLETRANSLATE(B17373,""en"",""it"")"),"La carica di bue presso gli addestratori si allineava contro il muro.")</f>
        <v>La carica di bue presso gli addestratori si allineava contro il muro.</v>
      </c>
    </row>
    <row r="17374">
      <c r="A17374" s="4" t="s">
        <v>21865</v>
      </c>
      <c r="B17374" s="4" t="s">
        <v>21869</v>
      </c>
      <c r="C17374" s="5" t="str">
        <f>IFERROR(__xludf.DUMMYFUNCTION("GOOGLETRANSLATE(B17374,""en"",""it"")"),"Gli spettatori guardano e camminano sugli spalti durante l'evento.")</f>
        <v>Gli spettatori guardano e camminano sugli spalti durante l'evento.</v>
      </c>
    </row>
    <row r="17375">
      <c r="A17375" s="4" t="s">
        <v>21870</v>
      </c>
      <c r="B17375" s="4" t="s">
        <v>21871</v>
      </c>
      <c r="C17375" s="5" t="str">
        <f>IFERROR(__xludf.DUMMYFUNCTION("GOOGLETRANSLATE(B17375,""en"",""it"")"),"Le persone si stanno allenando in una stanza che calpesta uno sgabelli.")</f>
        <v>Le persone si stanno allenando in una stanza che calpesta uno sgabelli.</v>
      </c>
    </row>
    <row r="17376">
      <c r="A17376" s="4" t="s">
        <v>21870</v>
      </c>
      <c r="B17376" s="4" t="s">
        <v>21872</v>
      </c>
      <c r="C17376" s="5" t="str">
        <f>IFERROR(__xludf.DUMMYFUNCTION("GOOGLETRANSLATE(B17376,""en"",""it"")"),"Un uomo in una camicia bianca sta guidando il gruppo.")</f>
        <v>Un uomo in una camicia bianca sta guidando il gruppo.</v>
      </c>
    </row>
    <row r="17377">
      <c r="A17377" s="4" t="s">
        <v>21870</v>
      </c>
      <c r="B17377" s="4" t="s">
        <v>21873</v>
      </c>
      <c r="C17377" s="5" t="str">
        <f>IFERROR(__xludf.DUMMYFUNCTION("GOOGLETRANSLATE(B17377,""en"",""it"")"),"Poi se ne va dietro la telecamera.")</f>
        <v>Poi se ne va dietro la telecamera.</v>
      </c>
    </row>
    <row r="17378">
      <c r="A17378" s="4" t="s">
        <v>21874</v>
      </c>
      <c r="B17378" s="4" t="s">
        <v>21875</v>
      </c>
      <c r="C17378" s="5" t="str">
        <f>IFERROR(__xludf.DUMMYFUNCTION("GOOGLETRANSLATE(B17378,""en"",""it"")"),"Una serie di atleti viene mostrata che partecipa a una competizione di lancio di discus prima di una folla.")</f>
        <v>Una serie di atleti viene mostrata che partecipa a una competizione di lancio di discus prima di una folla.</v>
      </c>
    </row>
    <row r="17379">
      <c r="A17379" s="4" t="s">
        <v>21874</v>
      </c>
      <c r="B17379" s="4" t="s">
        <v>21876</v>
      </c>
      <c r="C17379" s="5" t="str">
        <f>IFERROR(__xludf.DUMMYFUNCTION("GOOGLETRANSLATE(B17379,""en"",""it"")"),"La folla applaude gli atleti mentre un uomo distribuisce premi agli atleti.")</f>
        <v>La folla applaude gli atleti mentre un uomo distribuisce premi agli atleti.</v>
      </c>
    </row>
    <row r="17380">
      <c r="A17380" s="4" t="s">
        <v>21874</v>
      </c>
      <c r="B17380" s="4" t="s">
        <v>21877</v>
      </c>
      <c r="C17380" s="5" t="str">
        <f>IFERROR(__xludf.DUMMYFUNCTION("GOOGLETRANSLATE(B17380,""en"",""it"")"),"I giornalisti circondano gli atleti con telecamere.")</f>
        <v>I giornalisti circondano gli atleti con telecamere.</v>
      </c>
    </row>
    <row r="17381">
      <c r="A17381" s="4" t="s">
        <v>21874</v>
      </c>
      <c r="B17381" s="4" t="s">
        <v>21878</v>
      </c>
      <c r="C17381" s="5" t="str">
        <f>IFERROR(__xludf.DUMMYFUNCTION("GOOGLETRANSLATE(B17381,""en"",""it"")"),"Vengono mostrate ulteriori esibizioni di lancio di discus.")</f>
        <v>Vengono mostrate ulteriori esibizioni di lancio di discus.</v>
      </c>
    </row>
    <row r="17382">
      <c r="A17382" s="4" t="s">
        <v>21874</v>
      </c>
      <c r="B17382" s="4" t="s">
        <v>21879</v>
      </c>
      <c r="C17382" s="5" t="str">
        <f>IFERROR(__xludf.DUMMYFUNCTION("GOOGLETRANSLATE(B17382,""en"",""it"")"),"Un equipaggio di telecamere si concentra su un atleta seduto sudato.")</f>
        <v>Un equipaggio di telecamere si concentra su un atleta seduto sudato.</v>
      </c>
    </row>
    <row r="17383">
      <c r="A17383" s="4" t="s">
        <v>21874</v>
      </c>
      <c r="B17383" s="4" t="s">
        <v>21880</v>
      </c>
      <c r="C17383" s="5" t="str">
        <f>IFERROR(__xludf.DUMMYFUNCTION("GOOGLETRANSLATE(B17383,""en"",""it"")"),"Viene mostrata un'altra performance di Discus Throw.")</f>
        <v>Viene mostrata un'altra performance di Discus Throw.</v>
      </c>
    </row>
    <row r="17384">
      <c r="A17384" s="4" t="s">
        <v>21874</v>
      </c>
      <c r="B17384" s="4" t="s">
        <v>21881</v>
      </c>
      <c r="C17384" s="5" t="str">
        <f>IFERROR(__xludf.DUMMYFUNCTION("GOOGLETRANSLATE(B17384,""en"",""it"")"),"Tre persone siedono a parlare di fronte a un pubblico.")</f>
        <v>Tre persone siedono a parlare di fronte a un pubblico.</v>
      </c>
    </row>
    <row r="17385">
      <c r="A17385" s="4" t="s">
        <v>21882</v>
      </c>
      <c r="B17385" s="4" t="s">
        <v>21883</v>
      </c>
      <c r="C17385" s="5" t="str">
        <f>IFERROR(__xludf.DUMMYFUNCTION("GOOGLETRANSLATE(B17385,""en"",""it"")"),"Un uomo sta parlando di preparare un piatto di pasta piccante.")</f>
        <v>Un uomo sta parlando di preparare un piatto di pasta piccante.</v>
      </c>
    </row>
    <row r="17386">
      <c r="A17386" s="4" t="s">
        <v>21882</v>
      </c>
      <c r="B17386" s="4" t="s">
        <v>21884</v>
      </c>
      <c r="C17386" s="5" t="str">
        <f>IFERROR(__xludf.DUMMYFUNCTION("GOOGLETRANSLATE(B17386,""en"",""it"")"),"L'uomo prende la salsiccia e la cucina in una padella.")</f>
        <v>L'uomo prende la salsiccia e la cucina in una padella.</v>
      </c>
    </row>
    <row r="17387">
      <c r="A17387" s="4" t="s">
        <v>21882</v>
      </c>
      <c r="B17387" s="4" t="s">
        <v>21885</v>
      </c>
      <c r="C17387" s="5" t="str">
        <f>IFERROR(__xludf.DUMMYFUNCTION("GOOGLETRANSLATE(B17387,""en"",""it"")"),"Il prezzemolo viene aggiunto alla salsiccia.")</f>
        <v>Il prezzemolo viene aggiunto alla salsiccia.</v>
      </c>
    </row>
    <row r="17388">
      <c r="A17388" s="4" t="s">
        <v>21882</v>
      </c>
      <c r="B17388" s="4" t="s">
        <v>21886</v>
      </c>
      <c r="C17388" s="5" t="str">
        <f>IFERROR(__xludf.DUMMYFUNCTION("GOOGLETRANSLATE(B17388,""en"",""it"")"),"Il vino bianco viene aggiunto alla miscela.")</f>
        <v>Il vino bianco viene aggiunto alla miscela.</v>
      </c>
    </row>
    <row r="17389">
      <c r="A17389" s="4" t="s">
        <v>21882</v>
      </c>
      <c r="B17389" s="4" t="s">
        <v>21887</v>
      </c>
      <c r="C17389" s="5" t="str">
        <f>IFERROR(__xludf.DUMMYFUNCTION("GOOGLETRANSLATE(B17389,""en"",""it"")"),"La panna pesante viene aggiunta alla carne insieme a un barattolo di salsa marinara.")</f>
        <v>La panna pesante viene aggiunta alla carne insieme a un barattolo di salsa marinara.</v>
      </c>
    </row>
    <row r="17390">
      <c r="A17390" s="4" t="s">
        <v>21882</v>
      </c>
      <c r="B17390" s="4" t="s">
        <v>21888</v>
      </c>
      <c r="C17390" s="5" t="str">
        <f>IFERROR(__xludf.DUMMYFUNCTION("GOOGLETRANSLATE(B17390,""en"",""it"")"),"L'acqua viene mostrata bollendo nella pentola.")</f>
        <v>L'acqua viene mostrata bollendo nella pentola.</v>
      </c>
    </row>
    <row r="17391">
      <c r="A17391" s="4" t="s">
        <v>21882</v>
      </c>
      <c r="B17391" s="4" t="s">
        <v>21889</v>
      </c>
      <c r="C17391" s="5" t="str">
        <f>IFERROR(__xludf.DUMMYFUNCTION("GOOGLETRANSLATE(B17391,""en"",""it"")"),"La pasta e la salsa sono mescolate insieme nella pentola.")</f>
        <v>La pasta e la salsa sono mescolate insieme nella pentola.</v>
      </c>
    </row>
    <row r="17392">
      <c r="A17392" s="4" t="s">
        <v>21882</v>
      </c>
      <c r="B17392" s="4" t="s">
        <v>21890</v>
      </c>
      <c r="C17392" s="5" t="str">
        <f>IFERROR(__xludf.DUMMYFUNCTION("GOOGLETRANSLATE(B17392,""en"",""it"")"),"La pasta finale viene aggiunta a una ciotola e viene aggiunta parmigiano.")</f>
        <v>La pasta finale viene aggiunta a una ciotola e viene aggiunta parmigiano.</v>
      </c>
    </row>
    <row r="17393">
      <c r="A17393" s="4" t="s">
        <v>21891</v>
      </c>
      <c r="B17393" s="4" t="s">
        <v>21892</v>
      </c>
      <c r="C17393" s="5" t="str">
        <f>IFERROR(__xludf.DUMMYFUNCTION("GOOGLETRANSLATE(B17393,""en"",""it"")"),"Un folto gruppo di persone è seduto su cavalli vicino alle aree recintate.")</f>
        <v>Un folto gruppo di persone è seduto su cavalli vicino alle aree recintate.</v>
      </c>
    </row>
    <row r="17394">
      <c r="A17394" s="4" t="s">
        <v>21891</v>
      </c>
      <c r="B17394" s="4" t="s">
        <v>21893</v>
      </c>
      <c r="C17394" s="5" t="str">
        <f>IFERROR(__xludf.DUMMYFUNCTION("GOOGLETRANSLATE(B17394,""en"",""it"")"),"Le persone si guardano intorno con stupore mentre un cavallo a cavallo cattura un vitello quasi istantaneamente.")</f>
        <v>Le persone si guardano intorno con stupore mentre un cavallo a cavallo cattura un vitello quasi istantaneamente.</v>
      </c>
    </row>
    <row r="17395">
      <c r="A17395" s="4" t="s">
        <v>21891</v>
      </c>
      <c r="B17395" s="4" t="s">
        <v>21894</v>
      </c>
      <c r="C17395" s="5" t="str">
        <f>IFERROR(__xludf.DUMMYFUNCTION("GOOGLETRANSLATE(B17395,""en"",""it"")"),"L'uomo corda del vitello e la folla lo rallegra mentre l'annunciatore gli dà il suo tempo.")</f>
        <v>L'uomo corda del vitello e la folla lo rallegra mentre l'annunciatore gli dà il suo tempo.</v>
      </c>
    </row>
    <row r="17396">
      <c r="A17396" s="4" t="s">
        <v>21895</v>
      </c>
      <c r="B17396" s="4" t="s">
        <v>21896</v>
      </c>
      <c r="C17396" s="5" t="str">
        <f>IFERROR(__xludf.DUMMYFUNCTION("GOOGLETRANSLATE(B17396,""en"",""it"")"),"Viene mostrata le foto di una città coperta di neve.")</f>
        <v>Viene mostrata le foto di una città coperta di neve.</v>
      </c>
    </row>
    <row r="17397">
      <c r="A17397" s="4" t="s">
        <v>21895</v>
      </c>
      <c r="B17397" s="4" t="s">
        <v>21897</v>
      </c>
      <c r="C17397" s="5" t="str">
        <f>IFERROR(__xludf.DUMMYFUNCTION("GOOGLETRANSLATE(B17397,""en"",""it"")"),"Una persona sta scheggiando il ghiaccio dalla propria auto.")</f>
        <v>Una persona sta scheggiando il ghiaccio dalla propria auto.</v>
      </c>
    </row>
    <row r="17398">
      <c r="A17398" s="4" t="s">
        <v>21898</v>
      </c>
      <c r="B17398" s="4" t="s">
        <v>21899</v>
      </c>
      <c r="C17398" s="5" t="str">
        <f>IFERROR(__xludf.DUMMYFUNCTION("GOOGLETRANSLATE(B17398,""en"",""it"")"),"Un gatto sta sdraiato sulla schiena in grembo a qualcuno.")</f>
        <v>Un gatto sta sdraiato sulla schiena in grembo a qualcuno.</v>
      </c>
    </row>
    <row r="17399">
      <c r="A17399" s="4" t="s">
        <v>21898</v>
      </c>
      <c r="B17399" s="4" t="s">
        <v>21900</v>
      </c>
      <c r="C17399" s="5" t="str">
        <f>IFERROR(__xludf.DUMMYFUNCTION("GOOGLETRANSLATE(B17399,""en"",""it"")"),"La persona inizia a tagliare le unghie dei gatti con un clipper per unghie.")</f>
        <v>La persona inizia a tagliare le unghie dei gatti con un clipper per unghie.</v>
      </c>
    </row>
    <row r="17400">
      <c r="A17400" s="4" t="s">
        <v>21898</v>
      </c>
      <c r="B17400" s="4" t="s">
        <v>21901</v>
      </c>
      <c r="C17400" s="5" t="str">
        <f>IFERROR(__xludf.DUMMYFUNCTION("GOOGLETRANSLATE(B17400,""en"",""it"")"),"Finiscono e accarezzano il piede del gatto.")</f>
        <v>Finiscono e accarezzano il piede del gatto.</v>
      </c>
    </row>
    <row r="17401">
      <c r="A17401" s="4" t="s">
        <v>21902</v>
      </c>
      <c r="B17401" s="4" t="s">
        <v>21903</v>
      </c>
      <c r="C17401" s="5" t="str">
        <f>IFERROR(__xludf.DUMMYFUNCTION("GOOGLETRANSLATE(B17401,""en"",""it"")"),"Una femmina è fuori in un reggiseno sportivo e pantaloni bikini che camminano per la preparazione.")</f>
        <v>Una femmina è fuori in un reggiseno sportivo e pantaloni bikini che camminano per la preparazione.</v>
      </c>
    </row>
    <row r="17402">
      <c r="A17402" s="4" t="s">
        <v>21902</v>
      </c>
      <c r="B17402" s="4" t="s">
        <v>21904</v>
      </c>
      <c r="C17402" s="5" t="str">
        <f>IFERROR(__xludf.DUMMYFUNCTION("GOOGLETRANSLATE(B17402,""en"",""it"")"),"Si toglie i capelli e li rimette in una coda di cavallo.")</f>
        <v>Si toglie i capelli e li rimette in una coda di cavallo.</v>
      </c>
    </row>
    <row r="17403">
      <c r="A17403" s="4" t="s">
        <v>21902</v>
      </c>
      <c r="B17403" s="4" t="s">
        <v>21905</v>
      </c>
      <c r="C17403" s="5" t="str">
        <f>IFERROR(__xludf.DUMMYFUNCTION("GOOGLETRANSLATE(B17403,""en"",""it"")"),"Lei sculaccia il sedere e si trova lì preparando a iniziare la corsa.")</f>
        <v>Lei sculaccia il sedere e si trova lì preparando a iniziare la corsa.</v>
      </c>
    </row>
    <row r="17404">
      <c r="A17404" s="4" t="s">
        <v>21902</v>
      </c>
      <c r="B17404" s="4" t="s">
        <v>21906</v>
      </c>
      <c r="C17404" s="5" t="str">
        <f>IFERROR(__xludf.DUMMYFUNCTION("GOOGLETRANSLATE(B17404,""en"",""it"")"),"Inizia la sua corsa e salta sul campo e atterra.")</f>
        <v>Inizia la sua corsa e salta sul campo e atterra.</v>
      </c>
    </row>
    <row r="17405">
      <c r="A17405" s="4" t="s">
        <v>21907</v>
      </c>
      <c r="B17405" s="6" t="s">
        <v>21908</v>
      </c>
      <c r="C17405" s="5" t="str">
        <f>IFERROR(__xludf.DUMMYFUNCTION("GOOGLETRANSLATE(B17405,""en"",""it"")"),"Ci sono due ragazze che tengono violini in mano, in piedi con un supporto musicale e un libro con appunti musicali dietro di loro.")</f>
        <v>Ci sono due ragazze che tengono violini in mano, in piedi con un supporto musicale e un libro con appunti musicali dietro di loro.</v>
      </c>
    </row>
    <row r="17406">
      <c r="A17406" s="4" t="s">
        <v>21907</v>
      </c>
      <c r="B17406" s="6" t="s">
        <v>21909</v>
      </c>
      <c r="C17406" s="5" t="str">
        <f>IFERROR(__xludf.DUMMYFUNCTION("GOOGLETRANSLATE(B17406,""en"",""it"")"),"La ragazza più grande sta aiutando e insegnando a sua sorella minore a mantenere correttamente il violino cambiando la sua posizione.")</f>
        <v>La ragazza più grande sta aiutando e insegnando a sua sorella minore a mantenere correttamente il violino cambiando la sua posizione.</v>
      </c>
    </row>
    <row r="17407">
      <c r="A17407" s="4" t="s">
        <v>21907</v>
      </c>
      <c r="B17407" s="4" t="s">
        <v>21910</v>
      </c>
      <c r="C17407" s="5" t="str">
        <f>IFERROR(__xludf.DUMMYFUNCTION("GOOGLETRANSLATE(B17407,""en"",""it"")"),"Quindi la sorella maggiore afferra il violino e sintonizza le corde del violino.")</f>
        <v>Quindi la sorella maggiore afferra il violino e sintonizza le corde del violino.</v>
      </c>
    </row>
    <row r="17408">
      <c r="A17408" s="4" t="s">
        <v>21907</v>
      </c>
      <c r="B17408" s="4" t="s">
        <v>21911</v>
      </c>
      <c r="C17408" s="5" t="str">
        <f>IFERROR(__xludf.DUMMYFUNCTION("GOOGLETRANSLATE(B17408,""en"",""it"")"),"Poi la sorella maggiore inizia a suonare il violino mentre la sorella minore la guarda.")</f>
        <v>Poi la sorella maggiore inizia a suonare il violino mentre la sorella minore la guarda.</v>
      </c>
    </row>
    <row r="17409">
      <c r="A17409" s="4" t="s">
        <v>21907</v>
      </c>
      <c r="B17409" s="4" t="s">
        <v>21912</v>
      </c>
      <c r="C17409" s="5" t="str">
        <f>IFERROR(__xludf.DUMMYFUNCTION("GOOGLETRANSLATE(B17409,""en"",""it"")"),"La ragazza più grande mostra a sua sorella come suonare il violino.")</f>
        <v>La ragazza più grande mostra a sua sorella come suonare il violino.</v>
      </c>
    </row>
    <row r="17410">
      <c r="A17410" s="4" t="s">
        <v>21907</v>
      </c>
      <c r="B17410" s="4" t="s">
        <v>21913</v>
      </c>
      <c r="C17410" s="5" t="str">
        <f>IFERROR(__xludf.DUMMYFUNCTION("GOOGLETRANSLATE(B17410,""en"",""it"")"),"Quindi entrambi iniziano a suonare il violino insieme.")</f>
        <v>Quindi entrambi iniziano a suonare il violino insieme.</v>
      </c>
    </row>
    <row r="17411">
      <c r="A17411" s="4" t="s">
        <v>21914</v>
      </c>
      <c r="B17411" s="4" t="s">
        <v>21915</v>
      </c>
      <c r="C17411" s="5" t="str">
        <f>IFERROR(__xludf.DUMMYFUNCTION("GOOGLETRANSLATE(B17411,""en"",""it"")"),"Un uomo viene mostrato su un palco, suonare la batteria.")</f>
        <v>Un uomo viene mostrato su un palco, suonare la batteria.</v>
      </c>
    </row>
    <row r="17412">
      <c r="A17412" s="4" t="s">
        <v>21914</v>
      </c>
      <c r="B17412" s="4" t="s">
        <v>21916</v>
      </c>
      <c r="C17412" s="5" t="str">
        <f>IFERROR(__xludf.DUMMYFUNCTION("GOOGLETRANSLATE(B17412,""en"",""it"")"),"Batte i piatti e i tamburi molto velocemente.")</f>
        <v>Batte i piatti e i tamburi molto velocemente.</v>
      </c>
    </row>
    <row r="17413">
      <c r="A17413" s="4" t="s">
        <v>21914</v>
      </c>
      <c r="B17413" s="4" t="s">
        <v>21917</v>
      </c>
      <c r="C17413" s="5" t="str">
        <f>IFERROR(__xludf.DUMMYFUNCTION("GOOGLETRANSLATE(B17413,""en"",""it"")"),"Continua, facendo facce mentre va.")</f>
        <v>Continua, facendo facce mentre va.</v>
      </c>
    </row>
    <row r="17414">
      <c r="A17414" s="4" t="s">
        <v>21918</v>
      </c>
      <c r="B17414" s="4" t="s">
        <v>21919</v>
      </c>
      <c r="C17414" s="5" t="str">
        <f>IFERROR(__xludf.DUMMYFUNCTION("GOOGLETRANSLATE(B17414,""en"",""it"")"),"Un folto gruppo di persone che cavalcano i cavalli si camminano l'uno intorno all'altro su un grande campo.")</f>
        <v>Un folto gruppo di persone che cavalcano i cavalli si camminano l'uno intorno all'altro su un grande campo.</v>
      </c>
    </row>
    <row r="17415">
      <c r="A17415" s="4" t="s">
        <v>21918</v>
      </c>
      <c r="B17415" s="4" t="s">
        <v>21920</v>
      </c>
      <c r="C17415" s="5" t="str">
        <f>IFERROR(__xludf.DUMMYFUNCTION("GOOGLETRANSLATE(B17415,""en"",""it"")"),"Uno di loro lancia una palla sul campo e le persone iniziano a giocare sui loro cavalli.")</f>
        <v>Uno di loro lancia una palla sul campo e le persone iniziano a giocare sui loro cavalli.</v>
      </c>
    </row>
    <row r="17416">
      <c r="A17416" s="4" t="s">
        <v>21921</v>
      </c>
      <c r="B17416" s="4" t="s">
        <v>21922</v>
      </c>
      <c r="C17416" s="5" t="str">
        <f>IFERROR(__xludf.DUMMYFUNCTION("GOOGLETRANSLATE(B17416,""en"",""it"")"),"C'è un uomo vestito con tutto il bianco che gioca a croquet in un campo aperto.")</f>
        <v>C'è un uomo vestito con tutto il bianco che gioca a croquet in un campo aperto.</v>
      </c>
    </row>
    <row r="17417">
      <c r="A17417" s="4" t="s">
        <v>21921</v>
      </c>
      <c r="B17417" s="4" t="s">
        <v>21923</v>
      </c>
      <c r="C17417" s="5" t="str">
        <f>IFERROR(__xludf.DUMMYFUNCTION("GOOGLETRANSLATE(B17417,""en"",""it"")"),"Ci sono diverse sedie disposte sul campo.")</f>
        <v>Ci sono diverse sedie disposte sul campo.</v>
      </c>
    </row>
    <row r="17418">
      <c r="A17418" s="4" t="s">
        <v>21921</v>
      </c>
      <c r="B17418" s="4" t="s">
        <v>21924</v>
      </c>
      <c r="C17418" s="5" t="str">
        <f>IFERROR(__xludf.DUMMYFUNCTION("GOOGLETRANSLATE(B17418,""en"",""it"")"),"Prende il martello in mano e colpisce la palla di croquet al cerchio.")</f>
        <v>Prende il martello in mano e colpisce la palla di croquet al cerchio.</v>
      </c>
    </row>
    <row r="17419">
      <c r="A17419" s="4" t="s">
        <v>21921</v>
      </c>
      <c r="B17419" s="4" t="s">
        <v>21925</v>
      </c>
      <c r="C17419" s="5" t="str">
        <f>IFERROR(__xludf.DUMMYFUNCTION("GOOGLETRANSLATE(B17419,""en"",""it"")"),"Colpisce la palla e atterra dritto nel cerchio.")</f>
        <v>Colpisce la palla e atterra dritto nel cerchio.</v>
      </c>
    </row>
    <row r="17420">
      <c r="A17420" s="4" t="s">
        <v>21926</v>
      </c>
      <c r="B17420" s="4" t="s">
        <v>21927</v>
      </c>
      <c r="C17420" s="5" t="str">
        <f>IFERROR(__xludf.DUMMYFUNCTION("GOOGLETRANSLATE(B17420,""en"",""it"")"),"Un uomo raccoglie una palla con la sua racchetta e la fa oscillare al suo avversario sulla rete.")</f>
        <v>Un uomo raccoglie una palla con la sua racchetta e la fa oscillare al suo avversario sulla rete.</v>
      </c>
    </row>
    <row r="17421">
      <c r="A17421" s="4" t="s">
        <v>21926</v>
      </c>
      <c r="B17421" s="4" t="s">
        <v>21928</v>
      </c>
      <c r="C17421" s="5" t="str">
        <f>IFERROR(__xludf.DUMMYFUNCTION("GOOGLETRANSLATE(B17421,""en"",""it"")"),"L'avversario serve la palla.")</f>
        <v>L'avversario serve la palla.</v>
      </c>
    </row>
    <row r="17422">
      <c r="A17422" s="4" t="s">
        <v>21926</v>
      </c>
      <c r="B17422" s="4" t="s">
        <v>21929</v>
      </c>
      <c r="C17422" s="5" t="str">
        <f>IFERROR(__xludf.DUMMYFUNCTION("GOOGLETRANSLATE(B17422,""en"",""it"")"),"Le squadre si impegnano in rapido avanti e indietro colpendo la palla.")</f>
        <v>Le squadre si impegnano in rapido avanti e indietro colpendo la palla.</v>
      </c>
    </row>
    <row r="17423">
      <c r="A17423" s="4" t="s">
        <v>21926</v>
      </c>
      <c r="B17423" s="4" t="s">
        <v>21930</v>
      </c>
      <c r="C17423" s="5" t="str">
        <f>IFERROR(__xludf.DUMMYFUNCTION("GOOGLETRANSLATE(B17423,""en"",""it"")"),"La partita si ferma per un secondo e riprende con una delle squadre che servono la palla.")</f>
        <v>La partita si ferma per un secondo e riprende con una delle squadre che servono la palla.</v>
      </c>
    </row>
    <row r="17424">
      <c r="A17424" s="4" t="s">
        <v>21926</v>
      </c>
      <c r="B17424" s="4" t="s">
        <v>21931</v>
      </c>
      <c r="C17424" s="5" t="str">
        <f>IFERROR(__xludf.DUMMYFUNCTION("GOOGLETRANSLATE(B17424,""en"",""it"")"),"Si combattono a vicenda sul campo, mandando la palla avanti e indietro in rete.")</f>
        <v>Si combattono a vicenda sul campo, mandando la palla avanti e indietro in rete.</v>
      </c>
    </row>
    <row r="17425">
      <c r="A17425" s="4" t="s">
        <v>21926</v>
      </c>
      <c r="B17425" s="4" t="s">
        <v>21932</v>
      </c>
      <c r="C17425" s="5" t="str">
        <f>IFERROR(__xludf.DUMMYFUNCTION("GOOGLETRANSLATE(B17425,""en"",""it"")"),"La palla esce dai limiti.")</f>
        <v>La palla esce dai limiti.</v>
      </c>
    </row>
    <row r="17426">
      <c r="A17426" s="4" t="s">
        <v>21926</v>
      </c>
      <c r="B17426" s="6" t="s">
        <v>21933</v>
      </c>
      <c r="C17426" s="5" t="str">
        <f>IFERROR(__xludf.DUMMYFUNCTION("GOOGLETRANSLATE(B17426,""en"",""it"")"),"Un uomo serve la palla e si impegnano in un breve avanti e indietro della palla prima che la palla cada a terra.")</f>
        <v>Un uomo serve la palla e si impegnano in un breve avanti e indietro della palla prima che la palla cada a terra.</v>
      </c>
    </row>
    <row r="17427">
      <c r="A17427" s="4" t="s">
        <v>21934</v>
      </c>
      <c r="B17427" s="4" t="s">
        <v>7239</v>
      </c>
      <c r="C17427" s="5" t="str">
        <f>IFERROR(__xludf.DUMMYFUNCTION("GOOGLETRANSLATE(B17427,""en"",""it"")"),"Vediamo uno schermo del titolo nero.")</f>
        <v>Vediamo uno schermo del titolo nero.</v>
      </c>
    </row>
    <row r="17428">
      <c r="A17428" s="4" t="s">
        <v>21934</v>
      </c>
      <c r="B17428" s="4" t="s">
        <v>21935</v>
      </c>
      <c r="C17428" s="5" t="str">
        <f>IFERROR(__xludf.DUMMYFUNCTION("GOOGLETRANSLATE(B17428,""en"",""it"")"),"Un uomo cammina verso un muro di mattoni con uno spremere e ci mostra una bottiglia di Windex.")</f>
        <v>Un uomo cammina verso un muro di mattoni con uno spremere e ci mostra una bottiglia di Windex.</v>
      </c>
    </row>
    <row r="17429">
      <c r="A17429" s="4" t="s">
        <v>21934</v>
      </c>
      <c r="B17429" s="4" t="s">
        <v>21936</v>
      </c>
      <c r="C17429" s="5" t="str">
        <f>IFERROR(__xludf.DUMMYFUNCTION("GOOGLETRANSLATE(B17429,""en"",""it"")"),"L'uomo lava la finestra.")</f>
        <v>L'uomo lava la finestra.</v>
      </c>
    </row>
    <row r="17430">
      <c r="A17430" s="4" t="s">
        <v>21934</v>
      </c>
      <c r="B17430" s="4" t="s">
        <v>21937</v>
      </c>
      <c r="C17430" s="5" t="str">
        <f>IFERROR(__xludf.DUMMYFUNCTION("GOOGLETRANSLATE(B17430,""en"",""it"")"),"L'uomo spruzza Windex e si lava via con Squeegee.")</f>
        <v>L'uomo spruzza Windex e si lava via con Squeegee.</v>
      </c>
    </row>
    <row r="17431">
      <c r="A17431" s="4" t="s">
        <v>21934</v>
      </c>
      <c r="B17431" s="4" t="s">
        <v>21938</v>
      </c>
      <c r="C17431" s="5" t="str">
        <f>IFERROR(__xludf.DUMMYFUNCTION("GOOGLETRANSLATE(B17431,""en"",""it"")"),"L'uomo usa il soffiatore foglia per asciugare la finestra.")</f>
        <v>L'uomo usa il soffiatore foglia per asciugare la finestra.</v>
      </c>
    </row>
    <row r="17432">
      <c r="A17432" s="4" t="s">
        <v>21934</v>
      </c>
      <c r="B17432" s="4" t="s">
        <v>21939</v>
      </c>
      <c r="C17432" s="5" t="str">
        <f>IFERROR(__xludf.DUMMYFUNCTION("GOOGLETRANSLATE(B17432,""en"",""it"")"),"L'uomo finisce e parla della finestra prima di camminare.")</f>
        <v>L'uomo finisce e parla della finestra prima di camminare.</v>
      </c>
    </row>
    <row r="17433">
      <c r="A17433" s="4" t="s">
        <v>21940</v>
      </c>
      <c r="B17433" s="4" t="s">
        <v>21941</v>
      </c>
      <c r="C17433" s="5" t="str">
        <f>IFERROR(__xludf.DUMMYFUNCTION("GOOGLETRANSLATE(B17433,""en"",""it"")"),"Due bambini stanno facendo arti marziali miste di fronte a una televisione.")</f>
        <v>Due bambini stanno facendo arti marziali miste di fronte a una televisione.</v>
      </c>
    </row>
    <row r="17434">
      <c r="A17434" s="4" t="s">
        <v>21940</v>
      </c>
      <c r="B17434" s="4" t="s">
        <v>21942</v>
      </c>
      <c r="C17434" s="5" t="str">
        <f>IFERROR(__xludf.DUMMYFUNCTION("GOOGLETRANSLATE(B17434,""en"",""it"")"),"Stanno dando un pugno e calci a vicenda per lo sport.")</f>
        <v>Stanno dando un pugno e calci a vicenda per lo sport.</v>
      </c>
    </row>
    <row r="17435">
      <c r="A17435" s="4" t="s">
        <v>21943</v>
      </c>
      <c r="B17435" s="4" t="s">
        <v>21944</v>
      </c>
      <c r="C17435" s="5" t="str">
        <f>IFERROR(__xludf.DUMMYFUNCTION("GOOGLETRANSLATE(B17435,""en"",""it"")"),"Un uomo è visto in diversi colpi su uno skateboard in un magazzino oscuro.")</f>
        <v>Un uomo è visto in diversi colpi su uno skateboard in un magazzino oscuro.</v>
      </c>
    </row>
    <row r="17436">
      <c r="A17436" s="4" t="s">
        <v>21943</v>
      </c>
      <c r="B17436" s="4" t="s">
        <v>21945</v>
      </c>
      <c r="C17436" s="5" t="str">
        <f>IFERROR(__xludf.DUMMYFUNCTION("GOOGLETRANSLATE(B17436,""en"",""it"")"),"L'uomo inizia quindi a saltare sulla sua tavola per dimostrare mosse.")</f>
        <v>L'uomo inizia quindi a saltare sulla sua tavola per dimostrare mosse.</v>
      </c>
    </row>
    <row r="17437">
      <c r="A17437" s="4" t="s">
        <v>21943</v>
      </c>
      <c r="B17437" s="4" t="s">
        <v>21946</v>
      </c>
      <c r="C17437" s="5" t="str">
        <f>IFERROR(__xludf.DUMMYFUNCTION("GOOGLETRANSLATE(B17437,""en"",""it"")"),"Continua a saltare nella stanza mentre la telecamera cattura i suoi movimenti.")</f>
        <v>Continua a saltare nella stanza mentre la telecamera cattura i suoi movimenti.</v>
      </c>
    </row>
    <row r="17438">
      <c r="A17438" s="4" t="s">
        <v>21947</v>
      </c>
      <c r="B17438" s="4" t="s">
        <v>21948</v>
      </c>
      <c r="C17438" s="5" t="str">
        <f>IFERROR(__xludf.DUMMYFUNCTION("GOOGLETRANSLATE(B17438,""en"",""it"")"),"Vediamo un portiere di hockey pattinare sul ghiaccio.")</f>
        <v>Vediamo un portiere di hockey pattinare sul ghiaccio.</v>
      </c>
    </row>
    <row r="17439">
      <c r="A17439" s="4" t="s">
        <v>21947</v>
      </c>
      <c r="B17439" s="4" t="s">
        <v>21949</v>
      </c>
      <c r="C17439" s="5" t="str">
        <f>IFERROR(__xludf.DUMMYFUNCTION("GOOGLETRANSLATE(B17439,""en"",""it"")"),"Il portiere blocca ripetutamente colpi.")</f>
        <v>Il portiere blocca ripetutamente colpi.</v>
      </c>
    </row>
    <row r="17440">
      <c r="A17440" s="4" t="s">
        <v>21947</v>
      </c>
      <c r="B17440" s="4" t="s">
        <v>21950</v>
      </c>
      <c r="C17440" s="5" t="str">
        <f>IFERROR(__xludf.DUMMYFUNCTION("GOOGLETRANSLATE(B17440,""en"",""it"")"),"Vediamo il portiere sdraiato sul ghiaccio.")</f>
        <v>Vediamo il portiere sdraiato sul ghiaccio.</v>
      </c>
    </row>
    <row r="17441">
      <c r="A17441" s="4" t="s">
        <v>21947</v>
      </c>
      <c r="B17441" s="4" t="s">
        <v>21951</v>
      </c>
      <c r="C17441" s="5" t="str">
        <f>IFERROR(__xludf.DUMMYFUNCTION("GOOGLETRANSLATE(B17441,""en"",""it"")"),"Un colpo arriva oltre e il portiere ha uno scoppio d'ipancello.")</f>
        <v>Un colpo arriva oltre e il portiere ha uno scoppio d'ipancello.</v>
      </c>
    </row>
    <row r="17442">
      <c r="A17442" s="4" t="s">
        <v>21947</v>
      </c>
      <c r="B17442" s="4" t="s">
        <v>21952</v>
      </c>
      <c r="C17442" s="5" t="str">
        <f>IFERROR(__xludf.DUMMYFUNCTION("GOOGLETRANSLATE(B17442,""en"",""it"")"),"Il portiere si trova a terra mentre una persona fa il loro tiro.")</f>
        <v>Il portiere si trova a terra mentre una persona fa il loro tiro.</v>
      </c>
    </row>
    <row r="17443">
      <c r="A17443" s="4" t="s">
        <v>21953</v>
      </c>
      <c r="B17443" s="4" t="s">
        <v>21954</v>
      </c>
      <c r="C17443" s="5" t="str">
        <f>IFERROR(__xludf.DUMMYFUNCTION("GOOGLETRANSLATE(B17443,""en"",""it"")"),"Un uomo che indossa una camicia nera e jeans blu suona una chitarra acustica.")</f>
        <v>Un uomo che indossa una camicia nera e jeans blu suona una chitarra acustica.</v>
      </c>
    </row>
    <row r="17444">
      <c r="A17444" s="4" t="s">
        <v>21953</v>
      </c>
      <c r="B17444" s="4" t="s">
        <v>21955</v>
      </c>
      <c r="C17444" s="5" t="str">
        <f>IFERROR(__xludf.DUMMYFUNCTION("GOOGLETRANSLATE(B17444,""en"",""it"")"),"Suona un riff mentre si muove ritmicamente le gambe.")</f>
        <v>Suona un riff mentre si muove ritmicamente le gambe.</v>
      </c>
    </row>
    <row r="17445">
      <c r="A17445" s="4" t="s">
        <v>21953</v>
      </c>
      <c r="B17445" s="4" t="s">
        <v>21956</v>
      </c>
      <c r="C17445" s="5" t="str">
        <f>IFERROR(__xludf.DUMMYFUNCTION("GOOGLETRANSLATE(B17445,""en"",""it"")"),"Continua a suonare la chitarra mentre la telecamera si concentra solo sulle sue mani e sulla chitarra.")</f>
        <v>Continua a suonare la chitarra mentre la telecamera si concentra solo sulle sue mani e sulla chitarra.</v>
      </c>
    </row>
    <row r="17446">
      <c r="A17446" s="4" t="s">
        <v>21953</v>
      </c>
      <c r="B17446" s="4" t="s">
        <v>21957</v>
      </c>
      <c r="C17446" s="5" t="str">
        <f>IFERROR(__xludf.DUMMYFUNCTION("GOOGLETRANSLATE(B17446,""en"",""it"")"),"Suona diverse melodie una dopo l'altra mentre stringe la chitarra con la sua scelta.")</f>
        <v>Suona diverse melodie una dopo l'altra mentre stringe la chitarra con la sua scelta.</v>
      </c>
    </row>
    <row r="17447">
      <c r="A17447" s="4" t="s">
        <v>21958</v>
      </c>
      <c r="B17447" s="4" t="s">
        <v>21959</v>
      </c>
      <c r="C17447" s="5" t="str">
        <f>IFERROR(__xludf.DUMMYFUNCTION("GOOGLETRANSLATE(B17447,""en"",""it"")"),"Un uomo viene visto ridere e sorridere a se stesso e conduce in lui suonando un piano davanti a lui.")</f>
        <v>Un uomo viene visto ridere e sorridere a se stesso e conduce in lui suonando un piano davanti a lui.</v>
      </c>
    </row>
    <row r="17448">
      <c r="A17448" s="4" t="s">
        <v>21958</v>
      </c>
      <c r="B17448" s="6" t="s">
        <v>21960</v>
      </c>
      <c r="C17448" s="5" t="str">
        <f>IFERROR(__xludf.DUMMYFUNCTION("GOOGLETRANSLATE(B17448,""en"",""it"")"),"L'uomo fa una pausa e guarda in lontananza per vedere un altro uomo che gli parlava e in un microfono.")</f>
        <v>L'uomo fa una pausa e guarda in lontananza per vedere un altro uomo che gli parlava e in un microfono.</v>
      </c>
    </row>
    <row r="17449">
      <c r="A17449" s="4" t="s">
        <v>21961</v>
      </c>
      <c r="B17449" s="4" t="s">
        <v>21962</v>
      </c>
      <c r="C17449" s="5" t="str">
        <f>IFERROR(__xludf.DUMMYFUNCTION("GOOGLETRANSLATE(B17449,""en"",""it"")"),"Una linea di giocatori è su un campo insieme.")</f>
        <v>Una linea di giocatori è su un campo insieme.</v>
      </c>
    </row>
    <row r="17450">
      <c r="A17450" s="4" t="s">
        <v>21961</v>
      </c>
      <c r="B17450" s="4" t="s">
        <v>21963</v>
      </c>
      <c r="C17450" s="5" t="str">
        <f>IFERROR(__xludf.DUMMYFUNCTION("GOOGLETRANSLATE(B17450,""en"",""it"")"),"Cominciano a saltare la corda all'unisono.")</f>
        <v>Cominciano a saltare la corda all'unisono.</v>
      </c>
    </row>
    <row r="17451">
      <c r="A17451" s="4" t="s">
        <v>21961</v>
      </c>
      <c r="B17451" s="4" t="s">
        <v>21964</v>
      </c>
      <c r="C17451" s="5" t="str">
        <f>IFERROR(__xludf.DUMMYFUNCTION("GOOGLETRANSLATE(B17451,""en"",""it"")"),"Si muovono allo stesso modo, ballando e sfogliando le corde.")</f>
        <v>Si muovono allo stesso modo, ballando e sfogliando le corde.</v>
      </c>
    </row>
    <row r="17452">
      <c r="A17452" s="4" t="s">
        <v>21965</v>
      </c>
      <c r="B17452" s="4" t="s">
        <v>21966</v>
      </c>
      <c r="C17452" s="5" t="str">
        <f>IFERROR(__xludf.DUMMYFUNCTION("GOOGLETRANSLATE(B17452,""en"",""it"")"),"Un ragazzo si prepara a suonare uno strumento.")</f>
        <v>Un ragazzo si prepara a suonare uno strumento.</v>
      </c>
    </row>
    <row r="17453">
      <c r="A17453" s="4" t="s">
        <v>21965</v>
      </c>
      <c r="B17453" s="4" t="s">
        <v>21967</v>
      </c>
      <c r="C17453" s="5" t="str">
        <f>IFERROR(__xludf.DUMMYFUNCTION("GOOGLETRANSLATE(B17453,""en"",""it"")"),"Il ragazzo suona un sassofono e usa un microfono.")</f>
        <v>Il ragazzo suona un sassofono e usa un microfono.</v>
      </c>
    </row>
    <row r="17454">
      <c r="A17454" s="4" t="s">
        <v>21965</v>
      </c>
      <c r="B17454" s="4" t="s">
        <v>21968</v>
      </c>
      <c r="C17454" s="5" t="str">
        <f>IFERROR(__xludf.DUMMYFUNCTION("GOOGLETRANSLATE(B17454,""en"",""it"")"),"Il ragazzo toglie il sassofono dalla bocca e si piega.")</f>
        <v>Il ragazzo toglie il sassofono dalla bocca e si piega.</v>
      </c>
    </row>
    <row r="17455">
      <c r="A17455" s="4" t="s">
        <v>21969</v>
      </c>
      <c r="B17455" s="4" t="s">
        <v>21970</v>
      </c>
      <c r="C17455" s="5" t="str">
        <f>IFERROR(__xludf.DUMMYFUNCTION("GOOGLETRANSLATE(B17455,""en"",""it"")"),"Una persona sta dipingendo una recinzione in legno.")</f>
        <v>Una persona sta dipingendo una recinzione in legno.</v>
      </c>
    </row>
    <row r="17456">
      <c r="A17456" s="4" t="s">
        <v>21969</v>
      </c>
      <c r="B17456" s="4" t="s">
        <v>21971</v>
      </c>
      <c r="C17456" s="5" t="str">
        <f>IFERROR(__xludf.DUMMYFUNCTION("GOOGLETRANSLATE(B17456,""en"",""it"")"),"Le zampe di un gatto possono essere viste uscire da sotto la recinzione.")</f>
        <v>Le zampe di un gatto possono essere viste uscire da sotto la recinzione.</v>
      </c>
    </row>
    <row r="17457">
      <c r="A17457" s="4" t="s">
        <v>21969</v>
      </c>
      <c r="B17457" s="4" t="s">
        <v>21972</v>
      </c>
      <c r="C17457" s="5" t="str">
        <f>IFERROR(__xludf.DUMMYFUNCTION("GOOGLETRANSLATE(B17457,""en"",""it"")"),"Un cane sta guardando le zampe del gatto.")</f>
        <v>Un cane sta guardando le zampe del gatto.</v>
      </c>
    </row>
    <row r="17458">
      <c r="A17458" s="4" t="s">
        <v>21973</v>
      </c>
      <c r="B17458" s="4" t="s">
        <v>21974</v>
      </c>
      <c r="C17458" s="5" t="str">
        <f>IFERROR(__xludf.DUMMYFUNCTION("GOOGLETRANSLATE(B17458,""en"",""it"")"),"Un uomo guarda una performance in TV mentre suona un set di batteria a casa.")</f>
        <v>Un uomo guarda una performance in TV mentre suona un set di batteria a casa.</v>
      </c>
    </row>
    <row r="17459">
      <c r="A17459" s="4" t="s">
        <v>21973</v>
      </c>
      <c r="B17459" s="4" t="s">
        <v>21975</v>
      </c>
      <c r="C17459" s="5" t="str">
        <f>IFERROR(__xludf.DUMMYFUNCTION("GOOGLETRANSLATE(B17459,""en"",""it"")"),"L'uomo non vede l'ora e si concentra mentre suona la batteria.")</f>
        <v>L'uomo non vede l'ora e si concentra mentre suona la batteria.</v>
      </c>
    </row>
    <row r="17460">
      <c r="A17460" s="4" t="s">
        <v>21973</v>
      </c>
      <c r="B17460" s="4" t="s">
        <v>21976</v>
      </c>
      <c r="C17460" s="5" t="str">
        <f>IFERROR(__xludf.DUMMYFUNCTION("GOOGLETRANSLATE(B17460,""en"",""it"")"),"L'uomo si appoggia indietro e gioca vigorosamente alla batteria.")</f>
        <v>L'uomo si appoggia indietro e gioca vigorosamente alla batteria.</v>
      </c>
    </row>
    <row r="17461">
      <c r="A17461" s="4" t="s">
        <v>21977</v>
      </c>
      <c r="B17461" s="4" t="s">
        <v>21978</v>
      </c>
      <c r="C17461" s="5" t="str">
        <f>IFERROR(__xludf.DUMMYFUNCTION("GOOGLETRANSLATE(B17461,""en"",""it"")"),"Vengono mostrati molti alberi e acque profonde da un fiume.")</f>
        <v>Vengono mostrati molti alberi e acque profonde da un fiume.</v>
      </c>
    </row>
    <row r="17462">
      <c r="A17462" s="4" t="s">
        <v>21977</v>
      </c>
      <c r="B17462" s="4" t="s">
        <v>21979</v>
      </c>
      <c r="C17462" s="5" t="str">
        <f>IFERROR(__xludf.DUMMYFUNCTION("GOOGLETRANSLATE(B17462,""en"",""it"")"),"Un uomo è in piedi sul retro di un motoscafo.")</f>
        <v>Un uomo è in piedi sul retro di un motoscafo.</v>
      </c>
    </row>
    <row r="17463">
      <c r="A17463" s="4" t="s">
        <v>21977</v>
      </c>
      <c r="B17463" s="4" t="s">
        <v>21980</v>
      </c>
      <c r="C17463" s="5" t="str">
        <f>IFERROR(__xludf.DUMMYFUNCTION("GOOGLETRANSLATE(B17463,""en"",""it"")"),"Mette la sua tavola in acqua e inizia a sci d'acqua.")</f>
        <v>Mette la sua tavola in acqua e inizia a sci d'acqua.</v>
      </c>
    </row>
    <row r="17464">
      <c r="A17464" s="4" t="s">
        <v>21977</v>
      </c>
      <c r="B17464" s="4" t="s">
        <v>21981</v>
      </c>
      <c r="C17464" s="5" t="str">
        <f>IFERROR(__xludf.DUMMYFUNCTION("GOOGLETRANSLATE(B17464,""en"",""it"")"),"Esegue diversi trucchi mentre sci.")</f>
        <v>Esegue diversi trucchi mentre sci.</v>
      </c>
    </row>
    <row r="17465">
      <c r="A17465" s="4" t="s">
        <v>21982</v>
      </c>
      <c r="B17465" s="4" t="s">
        <v>21983</v>
      </c>
      <c r="C17465" s="5" t="str">
        <f>IFERROR(__xludf.DUMMYFUNCTION("GOOGLETRANSLATE(B17465,""en"",""it"")"),"Un ragazzo oscilla a una pinata senza avere un buon colpo su di esso.")</f>
        <v>Un ragazzo oscilla a una pinata senza avere un buon colpo su di esso.</v>
      </c>
    </row>
    <row r="17466">
      <c r="A17466" s="4" t="s">
        <v>21982</v>
      </c>
      <c r="B17466" s="4" t="s">
        <v>21984</v>
      </c>
      <c r="C17466" s="5" t="str">
        <f>IFERROR(__xludf.DUMMYFUNCTION("GOOGLETRANSLATE(B17466,""en"",""it"")"),"Il ragazzo schiva il pinata che gli sta oscillando.")</f>
        <v>Il ragazzo schiva il pinata che gli sta oscillando.</v>
      </c>
    </row>
    <row r="17467">
      <c r="A17467" s="4" t="s">
        <v>21982</v>
      </c>
      <c r="B17467" s="4" t="s">
        <v>21985</v>
      </c>
      <c r="C17467" s="5" t="str">
        <f>IFERROR(__xludf.DUMMYFUNCTION("GOOGLETRANSLATE(B17467,""en"",""it"")"),"Il ragazzo si arrende e se ne va.")</f>
        <v>Il ragazzo si arrende e se ne va.</v>
      </c>
    </row>
    <row r="17468">
      <c r="A17468" s="4" t="s">
        <v>21986</v>
      </c>
      <c r="B17468" s="4" t="s">
        <v>21987</v>
      </c>
      <c r="C17468" s="5" t="str">
        <f>IFERROR(__xludf.DUMMYFUNCTION("GOOGLETRANSLATE(B17468,""en"",""it"")"),"Un uomo entra in una stanza che gioca a cornamusa.")</f>
        <v>Un uomo entra in una stanza che gioca a cornamusa.</v>
      </c>
    </row>
    <row r="17469">
      <c r="A17469" s="4" t="s">
        <v>21986</v>
      </c>
      <c r="B17469" s="4" t="s">
        <v>21988</v>
      </c>
      <c r="C17469" s="5" t="str">
        <f>IFERROR(__xludf.DUMMYFUNCTION("GOOGLETRANSLATE(B17469,""en"",""it"")"),"Smette di suonare la cornamusa.")</f>
        <v>Smette di suonare la cornamusa.</v>
      </c>
    </row>
    <row r="17470">
      <c r="A17470" s="4" t="s">
        <v>21989</v>
      </c>
      <c r="B17470" s="4" t="s">
        <v>21990</v>
      </c>
      <c r="C17470" s="5" t="str">
        <f>IFERROR(__xludf.DUMMYFUNCTION("GOOGLETRANSLATE(B17470,""en"",""it"")"),"Un gruppo di uomini sta parlando in una stanza.")</f>
        <v>Un gruppo di uomini sta parlando in una stanza.</v>
      </c>
    </row>
    <row r="17471">
      <c r="A17471" s="4" t="s">
        <v>21989</v>
      </c>
      <c r="B17471" s="4" t="s">
        <v>21991</v>
      </c>
      <c r="C17471" s="5" t="str">
        <f>IFERROR(__xludf.DUMMYFUNCTION("GOOGLETRANSLATE(B17471,""en"",""it"")"),"Diverse scene di combattimento sono mostrate da un film di arti marziali.")</f>
        <v>Diverse scene di combattimento sono mostrate da un film di arti marziali.</v>
      </c>
    </row>
    <row r="17472">
      <c r="A17472" s="4" t="s">
        <v>21989</v>
      </c>
      <c r="B17472" s="4" t="s">
        <v>21992</v>
      </c>
      <c r="C17472" s="5" t="str">
        <f>IFERROR(__xludf.DUMMYFUNCTION("GOOGLETRANSLATE(B17472,""en"",""it"")"),"Si muovono rapidamente, fingendo di lottare per la telecamera.")</f>
        <v>Si muovono rapidamente, fingendo di lottare per la telecamera.</v>
      </c>
    </row>
    <row r="17473">
      <c r="A17473" s="4" t="s">
        <v>21993</v>
      </c>
      <c r="B17473" s="6" t="s">
        <v>21994</v>
      </c>
      <c r="C17473" s="5" t="str">
        <f>IFERROR(__xludf.DUMMYFUNCTION("GOOGLETRANSLATE(B17473,""en"",""it"")"),"Viene visto un uomo parlare alla telecamera e conduce a colpi di lui che cammina lungo un corridoio e prendendo un caffè.")</f>
        <v>Viene visto un uomo parlare alla telecamera e conduce a colpi di lui che cammina lungo un corridoio e prendendo un caffè.</v>
      </c>
    </row>
    <row r="17474">
      <c r="A17474" s="4" t="s">
        <v>21993</v>
      </c>
      <c r="B17474" s="4" t="s">
        <v>21995</v>
      </c>
      <c r="C17474" s="5" t="str">
        <f>IFERROR(__xludf.DUMMYFUNCTION("GOOGLETRANSLATE(B17474,""en"",""it"")"),"Afferra lo zucchero, si mette un coperchio sul caffè e poi sorride in lontananza mentre si allontana.")</f>
        <v>Afferra lo zucchero, si mette un coperchio sul caffè e poi sorride in lontananza mentre si allontana.</v>
      </c>
    </row>
    <row r="17475">
      <c r="A17475" s="4" t="s">
        <v>21996</v>
      </c>
      <c r="B17475" s="6" t="s">
        <v>21997</v>
      </c>
      <c r="C17475" s="5" t="str">
        <f>IFERROR(__xludf.DUMMYFUNCTION("GOOGLETRANSLATE(B17475,""en"",""it"")"),"Un uomo dipinge professionalmente diversi mobili usando un pittore spray in un negozio di vernici mentre indossa tute, una camicia di jeans e una maschera di vernice.")</f>
        <v>Un uomo dipinge professionalmente diversi mobili usando un pittore spray in un negozio di vernici mentre indossa tute, una camicia di jeans e una maschera di vernice.</v>
      </c>
    </row>
    <row r="17476">
      <c r="A17476" s="4" t="s">
        <v>21996</v>
      </c>
      <c r="B17476" s="4" t="s">
        <v>21998</v>
      </c>
      <c r="C17476" s="5" t="str">
        <f>IFERROR(__xludf.DUMMYFUNCTION("GOOGLETRANSLATE(B17476,""en"",""it"")"),"L'uomo inizia dipingendo una poltrona in legno grigio metallico con una lattina di vernice a spruzzo d'oro.")</f>
        <v>L'uomo inizia dipingendo una poltrona in legno grigio metallico con una lattina di vernice a spruzzo d'oro.</v>
      </c>
    </row>
    <row r="17477">
      <c r="A17477" s="4" t="s">
        <v>21996</v>
      </c>
      <c r="B17477" s="4" t="s">
        <v>21999</v>
      </c>
      <c r="C17477" s="5" t="str">
        <f>IFERROR(__xludf.DUMMYFUNCTION("GOOGLETRANSLATE(B17477,""en"",""it"")"),"L'uomo quindi dipinge una tavola laterale nera con luci che brillano dal legno dipinto nero.")</f>
        <v>L'uomo quindi dipinge una tavola laterale nera con luci che brillano dal legno dipinto nero.</v>
      </c>
    </row>
    <row r="17478">
      <c r="A17478" s="4" t="s">
        <v>21996</v>
      </c>
      <c r="B17478" s="6" t="s">
        <v>22000</v>
      </c>
      <c r="C17478" s="5" t="str">
        <f>IFERROR(__xludf.DUMMYFUNCTION("GOOGLETRANSLATE(B17478,""en"",""it"")"),"L'uomo termina con la pittura di un cassetto del comò rosa prima che la scena svanisca a un grafico di marketing nero.")</f>
        <v>L'uomo termina con la pittura di un cassetto del comò rosa prima che la scena svanisca a un grafico di marketing nero.</v>
      </c>
    </row>
    <row r="17479">
      <c r="A17479" s="4" t="s">
        <v>22001</v>
      </c>
      <c r="B17479" s="4" t="s">
        <v>22002</v>
      </c>
      <c r="C17479" s="5" t="str">
        <f>IFERROR(__xludf.DUMMYFUNCTION("GOOGLETRANSLATE(B17479,""en"",""it"")"),"Un uomo inizia a andare in bici da terra e si schianta immediatamente a terra dietro di lui.")</f>
        <v>Un uomo inizia a andare in bici da terra e si schianta immediatamente a terra dietro di lui.</v>
      </c>
    </row>
    <row r="17480">
      <c r="A17480" s="4" t="s">
        <v>22001</v>
      </c>
      <c r="B17480" s="6" t="s">
        <v>22003</v>
      </c>
      <c r="C17480" s="5" t="str">
        <f>IFERROR(__xludf.DUMMYFUNCTION("GOOGLETRANSLATE(B17480,""en"",""it"")"),"Il video segue molte altre persone che tentano di correre in bici da terra e si schiantano immediatamente sul percorso di fronte a loro.")</f>
        <v>Il video segue molte altre persone che tentano di correre in bici da terra e si schiantano immediatamente sul percorso di fronte a loro.</v>
      </c>
    </row>
    <row r="17481">
      <c r="A17481" s="4" t="s">
        <v>22004</v>
      </c>
      <c r="B17481" s="4" t="s">
        <v>22005</v>
      </c>
      <c r="C17481" s="5" t="str">
        <f>IFERROR(__xludf.DUMMYFUNCTION("GOOGLETRANSLATE(B17481,""en"",""it"")"),"Un ragazzo e una ragazza sono seduti nel loro salotto con filati colorati e dimostrano come lavorare a maglia.")</f>
        <v>Un ragazzo e una ragazza sono seduti nel loro salotto con filati colorati e dimostrano come lavorare a maglia.</v>
      </c>
    </row>
    <row r="17482">
      <c r="A17482" s="4" t="s">
        <v>22004</v>
      </c>
      <c r="B17482" s="6" t="s">
        <v>22006</v>
      </c>
      <c r="C17482" s="5" t="str">
        <f>IFERROR(__xludf.DUMMYFUNCTION("GOOGLETRANSLATE(B17482,""en"",""it"")"),"Il ragazzo indossa una felpa blu e la ragazza indossa un maglione bianco con strisce orizzontali blu.")</f>
        <v>Il ragazzo indossa una felpa blu e la ragazza indossa un maglione bianco con strisce orizzontali blu.</v>
      </c>
    </row>
    <row r="17483">
      <c r="A17483" s="4" t="s">
        <v>22004</v>
      </c>
      <c r="B17483" s="4" t="s">
        <v>22007</v>
      </c>
      <c r="C17483" s="5" t="str">
        <f>IFERROR(__xludf.DUMMYFUNCTION("GOOGLETRANSLATE(B17483,""en"",""it"")"),"La madre che non è raffigurata nel video li sta registrando.")</f>
        <v>La madre che non è raffigurata nel video li sta registrando.</v>
      </c>
    </row>
    <row r="17484">
      <c r="A17484" s="4" t="s">
        <v>22004</v>
      </c>
      <c r="B17484" s="4" t="s">
        <v>22008</v>
      </c>
      <c r="C17484" s="5" t="str">
        <f>IFERROR(__xludf.DUMMYFUNCTION("GOOGLETRANSLATE(B17484,""en"",""it"")"),"Il ragazzo alza gli aghi e mostra come usa il filo per lavorare a maglia.")</f>
        <v>Il ragazzo alza gli aghi e mostra come usa il filo per lavorare a maglia.</v>
      </c>
    </row>
    <row r="17485">
      <c r="A17485" s="4" t="s">
        <v>22009</v>
      </c>
      <c r="B17485" s="6" t="s">
        <v>22010</v>
      </c>
      <c r="C17485" s="5" t="str">
        <f>IFERROR(__xludf.DUMMYFUNCTION("GOOGLETRANSLATE(B17485,""en"",""it"")"),"Un gruppo di persone mascherate, che indossano All Black, giocano una partita grafica animata di Paintball in un campo di guerra.")</f>
        <v>Un gruppo di persone mascherate, che indossano All Black, giocano una partita grafica animata di Paintball in un campo di guerra.</v>
      </c>
    </row>
    <row r="17486">
      <c r="A17486" s="4" t="s">
        <v>22009</v>
      </c>
      <c r="B17486" s="6" t="s">
        <v>22011</v>
      </c>
      <c r="C17486" s="5" t="str">
        <f>IFERROR(__xludf.DUMMYFUNCTION("GOOGLETRANSLATE(B17486,""en"",""it"")"),"Una persona animata attraversa un campo di soldati mascherati neri con una pistola di verniciatura e inizia a sparare alle persone, diverse persone sono ferite in un campo di guerra disseminato di baracche di pietra vuote e auto abbandonate.")</f>
        <v>Una persona animata attraversa un campo di soldati mascherati neri con una pistola di verniciatura e inizia a sparare alle persone, diverse persone sono ferite in un campo di guerra disseminato di baracche di pietra vuote e auto abbandonate.</v>
      </c>
    </row>
    <row r="17487">
      <c r="A17487" s="4" t="s">
        <v>22009</v>
      </c>
      <c r="B17487" s="6" t="s">
        <v>22012</v>
      </c>
      <c r="C17487" s="5" t="str">
        <f>IFERROR(__xludf.DUMMYFUNCTION("GOOGLETRANSLATE(B17487,""en"",""it"")"),"I soldati da combattimento passano un cane animato al guinzaglio con una persona vestita con un'uniforme da arbitro bianco e nero con il guinzaglio.")</f>
        <v>I soldati da combattimento passano un cane animato al guinzaglio con una persona vestita con un'uniforme da arbitro bianco e nero con il guinzaglio.</v>
      </c>
    </row>
    <row r="17488">
      <c r="A17488" s="4" t="s">
        <v>22009</v>
      </c>
      <c r="B17488" s="6" t="s">
        <v>22013</v>
      </c>
      <c r="C17488" s="5" t="str">
        <f>IFERROR(__xludf.DUMMYFUNCTION("GOOGLETRANSLATE(B17488,""en"",""it"")"),"La sparatoria continua tra i soldati mascherati fino a quando non appare una cassetta di lettere di ""squadra rossa"" e i soldati si dirigono a destra e si assottigliano in numero.")</f>
        <v>La sparatoria continua tra i soldati mascherati fino a quando non appare una cassetta di lettere di "squadra rossa" e i soldati si dirigono a destra e si assottigliano in numero.</v>
      </c>
    </row>
    <row r="17489">
      <c r="A17489" s="4" t="s">
        <v>22014</v>
      </c>
      <c r="B17489" s="4" t="s">
        <v>22015</v>
      </c>
      <c r="C17489" s="5" t="str">
        <f>IFERROR(__xludf.DUMMYFUNCTION("GOOGLETRANSLATE(B17489,""en"",""it"")"),"Un uomo viene visto piegarsi mentre tiene una mazza all'uncinetto e colpisce una palla attraverso un buco.")</f>
        <v>Un uomo viene visto piegarsi mentre tiene una mazza all'uncinetto e colpisce una palla attraverso un buco.</v>
      </c>
    </row>
    <row r="17490">
      <c r="A17490" s="4" t="s">
        <v>22014</v>
      </c>
      <c r="B17490" s="4" t="s">
        <v>22016</v>
      </c>
      <c r="C17490" s="5" t="str">
        <f>IFERROR(__xludf.DUMMYFUNCTION("GOOGLETRANSLATE(B17490,""en"",""it"")"),"L'uomo quindi alza le mani e guarda indietro alla telecamera e sorride.")</f>
        <v>L'uomo quindi alza le mani e guarda indietro alla telecamera e sorride.</v>
      </c>
    </row>
    <row r="17491">
      <c r="A17491" s="4" t="s">
        <v>22017</v>
      </c>
      <c r="B17491" s="4" t="s">
        <v>22018</v>
      </c>
      <c r="C17491" s="5" t="str">
        <f>IFERROR(__xludf.DUMMYFUNCTION("GOOGLETRANSLATE(B17491,""en"",""it"")"),"I subacquei a turno si tuffano da piattaforme ad alte immersioni in una piscina.")</f>
        <v>I subacquei a turno si tuffano da piattaforme ad alte immersioni in una piscina.</v>
      </c>
    </row>
    <row r="17492">
      <c r="A17492" s="4" t="s">
        <v>22017</v>
      </c>
      <c r="B17492" s="4" t="s">
        <v>22019</v>
      </c>
      <c r="C17492" s="5" t="str">
        <f>IFERROR(__xludf.DUMMYFUNCTION("GOOGLETRANSLATE(B17492,""en"",""it"")"),"La folla applaude e osserva le prestazioni dei subacquei.")</f>
        <v>La folla applaude e osserva le prestazioni dei subacquei.</v>
      </c>
    </row>
    <row r="17493">
      <c r="A17493" s="4" t="s">
        <v>22017</v>
      </c>
      <c r="B17493" s="4" t="s">
        <v>22020</v>
      </c>
      <c r="C17493" s="5" t="str">
        <f>IFERROR(__xludf.DUMMYFUNCTION("GOOGLETRANSLATE(B17493,""en"",""it"")"),"Un subacqueo fa un'immersione a verticale dalla piattaforma più alta nella piscina.")</f>
        <v>Un subacqueo fa un'immersione a verticale dalla piattaforma più alta nella piscina.</v>
      </c>
    </row>
    <row r="17494">
      <c r="A17494" s="4" t="s">
        <v>22021</v>
      </c>
      <c r="B17494" s="4" t="s">
        <v>22022</v>
      </c>
      <c r="C17494" s="5" t="str">
        <f>IFERROR(__xludf.DUMMYFUNCTION("GOOGLETRANSLATE(B17494,""en"",""it"")"),"Una donna sta ballando su un palco su un palco.")</f>
        <v>Una donna sta ballando su un palco su un palco.</v>
      </c>
    </row>
    <row r="17495">
      <c r="A17495" s="4" t="s">
        <v>22021</v>
      </c>
      <c r="B17495" s="4" t="s">
        <v>22023</v>
      </c>
      <c r="C17495" s="5" t="str">
        <f>IFERROR(__xludf.DUMMYFUNCTION("GOOGLETRANSLATE(B17495,""en"",""it"")"),"C'è un primo piano della sua pancia.")</f>
        <v>C'è un primo piano della sua pancia.</v>
      </c>
    </row>
    <row r="17496">
      <c r="A17496" s="4" t="s">
        <v>22021</v>
      </c>
      <c r="B17496" s="4" t="s">
        <v>22024</v>
      </c>
      <c r="C17496" s="5" t="str">
        <f>IFERROR(__xludf.DUMMYFUNCTION("GOOGLETRANSLATE(B17496,""en"",""it"")"),"Lei rallenta la danza e gira i circoli.")</f>
        <v>Lei rallenta la danza e gira i circoli.</v>
      </c>
    </row>
    <row r="17497">
      <c r="A17497" s="4" t="s">
        <v>22025</v>
      </c>
      <c r="B17497" s="4" t="s">
        <v>22026</v>
      </c>
      <c r="C17497" s="5" t="str">
        <f>IFERROR(__xludf.DUMMYFUNCTION("GOOGLETRANSLATE(B17497,""en"",""it"")"),"Una grande cascata è mostrata all'esterno vicino a una scia di acqua rocciosa.")</f>
        <v>Una grande cascata è mostrata all'esterno vicino a una scia di acqua rocciosa.</v>
      </c>
    </row>
    <row r="17498">
      <c r="A17498" s="4" t="s">
        <v>22025</v>
      </c>
      <c r="B17498" s="6" t="s">
        <v>22027</v>
      </c>
      <c r="C17498" s="5" t="str">
        <f>IFERROR(__xludf.DUMMYFUNCTION("GOOGLETRANSLATE(B17498,""en"",""it"")"),"All'improvviso, una persona su una lunga zattera viene a remare nell'acqua e va oltre la caduta con facilità.")</f>
        <v>All'improvviso, una persona su una lunga zattera viene a remare nell'acqua e va oltre la caduta con facilità.</v>
      </c>
    </row>
    <row r="17499">
      <c r="A17499" s="4" t="s">
        <v>22025</v>
      </c>
      <c r="B17499" s="6" t="s">
        <v>22028</v>
      </c>
      <c r="C17499" s="5" t="str">
        <f>IFERROR(__xludf.DUMMYFUNCTION("GOOGLETRANSLATE(B17499,""en"",""it"")"),"Una volta finiti, continuano a remare e navigare nell'acqua mentre le persone sul lato orologi.")</f>
        <v>Una volta finiti, continuano a remare e navigare nell'acqua mentre le persone sul lato orologi.</v>
      </c>
    </row>
    <row r="17500">
      <c r="A17500" s="4" t="s">
        <v>22029</v>
      </c>
      <c r="B17500" s="4" t="s">
        <v>22030</v>
      </c>
      <c r="C17500" s="5" t="str">
        <f>IFERROR(__xludf.DUMMYFUNCTION("GOOGLETRANSLATE(B17500,""en"",""it"")"),"Innanzitutto la fotocamera mostra le tre persone che si turbano nella scivolata scivolosa.")</f>
        <v>Innanzitutto la fotocamera mostra le tre persone che si turbano nella scivolata scivolosa.</v>
      </c>
    </row>
    <row r="17501">
      <c r="A17501" s="4" t="s">
        <v>22029</v>
      </c>
      <c r="B17501" s="4" t="s">
        <v>22031</v>
      </c>
      <c r="C17501" s="5" t="str">
        <f>IFERROR(__xludf.DUMMYFUNCTION("GOOGLETRANSLATE(B17501,""en"",""it"")"),"Quindi una persona viene mostrata che indossa occhiali e altre attrezzature di neve nei tubi di neve.")</f>
        <v>Quindi una persona viene mostrata che indossa occhiali e altre attrezzature di neve nei tubi di neve.</v>
      </c>
    </row>
    <row r="17502">
      <c r="A17502" s="4" t="s">
        <v>22029</v>
      </c>
      <c r="B17502" s="4" t="s">
        <v>22032</v>
      </c>
      <c r="C17502" s="5" t="str">
        <f>IFERROR(__xludf.DUMMYFUNCTION("GOOGLETRANSLATE(B17502,""en"",""it"")"),"Quindi una grande quantità di altre persone viene mostrata un tubo di neve uno accanto all'altro.")</f>
        <v>Quindi una grande quantità di altre persone viene mostrata un tubo di neve uno accanto all'altro.</v>
      </c>
    </row>
    <row r="17503">
      <c r="A17503" s="4" t="s">
        <v>22033</v>
      </c>
      <c r="B17503" s="6" t="s">
        <v>22034</v>
      </c>
      <c r="C17503" s="5" t="str">
        <f>IFERROR(__xludf.DUMMYFUNCTION("GOOGLETRANSLATE(B17503,""en"",""it"")"),"Una persona viene vista dipingere un muro mentre la telecamera lo cattura muovendosi rapidamente e altri camminano dentro e fuori dal telaio.")</f>
        <v>Una persona viene vista dipingere un muro mentre la telecamera lo cattura muovendosi rapidamente e altri camminano dentro e fuori dal telaio.</v>
      </c>
    </row>
    <row r="17504">
      <c r="A17504" s="4" t="s">
        <v>22033</v>
      </c>
      <c r="B17504" s="4" t="s">
        <v>22035</v>
      </c>
      <c r="C17504" s="5" t="str">
        <f>IFERROR(__xludf.DUMMYFUNCTION("GOOGLETRANSLATE(B17504,""en"",""it"")"),"La persona continua a dipingere lungo il muro con altre persone in piedi e aiutano.")</f>
        <v>La persona continua a dipingere lungo il muro con altre persone in piedi e aiutano.</v>
      </c>
    </row>
    <row r="17505">
      <c r="A17505" s="4" t="s">
        <v>22036</v>
      </c>
      <c r="B17505" s="4" t="s">
        <v>22037</v>
      </c>
      <c r="C17505" s="5" t="str">
        <f>IFERROR(__xludf.DUMMYFUNCTION("GOOGLETRANSLATE(B17505,""en"",""it"")"),"Un uomo sta snowboard su una collina molto ripida a un ritmo veloce.")</f>
        <v>Un uomo sta snowboard su una collina molto ripida a un ritmo veloce.</v>
      </c>
    </row>
    <row r="17506">
      <c r="A17506" s="4" t="s">
        <v>22036</v>
      </c>
      <c r="B17506" s="6" t="s">
        <v>22038</v>
      </c>
      <c r="C17506" s="5" t="str">
        <f>IFERROR(__xludf.DUMMYFUNCTION("GOOGLETRANSLATE(B17506,""en"",""it"")"),"I video si interrompono con vari angoli che mostrano questo viaggio lungo la montagna in un modo molto eccitante.")</f>
        <v>I video si interrompono con vari angoli che mostrano questo viaggio lungo la montagna in un modo molto eccitante.</v>
      </c>
    </row>
    <row r="17507">
      <c r="A17507" s="4" t="s">
        <v>22036</v>
      </c>
      <c r="B17507" s="4" t="s">
        <v>22039</v>
      </c>
      <c r="C17507" s="5" t="str">
        <f>IFERROR(__xludf.DUMMYFUNCTION("GOOGLETRANSLATE(B17507,""en"",""it"")"),"Il bambino salta giù da un tronco destinato a questo scopo e continua giù per la collina.")</f>
        <v>Il bambino salta giù da un tronco destinato a questo scopo e continua giù per la collina.</v>
      </c>
    </row>
    <row r="17508">
      <c r="A17508" s="4" t="s">
        <v>22036</v>
      </c>
      <c r="B17508" s="4" t="s">
        <v>22040</v>
      </c>
      <c r="C17508" s="5" t="str">
        <f>IFERROR(__xludf.DUMMYFUNCTION("GOOGLETRANSLATE(B17508,""en"",""it"")"),"Un altro uomo in giallo fa back-flips da una piccola rampa di neve mentre scende dalla montagna.")</f>
        <v>Un altro uomo in giallo fa back-flips da una piccola rampa di neve mentre scende dalla montagna.</v>
      </c>
    </row>
    <row r="17509">
      <c r="A17509" s="4" t="s">
        <v>22036</v>
      </c>
      <c r="B17509" s="6" t="s">
        <v>22041</v>
      </c>
      <c r="C17509" s="5" t="str">
        <f>IFERROR(__xludf.DUMMYFUNCTION("GOOGLETRANSLATE(B17509,""en"",""it"")"),"Un altro uomo in blu fa lo stesso e ci sono vari tagli che vanno avanti e indietro tra i tre.")</f>
        <v>Un altro uomo in blu fa lo stesso e ci sono vari tagli che vanno avanti e indietro tra i tre.</v>
      </c>
    </row>
    <row r="17510">
      <c r="A17510" s="4" t="s">
        <v>22036</v>
      </c>
      <c r="B17510" s="4" t="s">
        <v>22042</v>
      </c>
      <c r="C17510" s="5" t="str">
        <f>IFERROR(__xludf.DUMMYFUNCTION("GOOGLETRANSLATE(B17510,""en"",""it"")"),"Sono altamente qualificati e scendono ogni ostacolo che riescono a trovare.")</f>
        <v>Sono altamente qualificati e scendono ogni ostacolo che riescono a trovare.</v>
      </c>
    </row>
    <row r="17511">
      <c r="A17511" s="4" t="s">
        <v>22036</v>
      </c>
      <c r="B17511" s="6" t="s">
        <v>22043</v>
      </c>
      <c r="C17511" s="5" t="str">
        <f>IFERROR(__xludf.DUMMYFUNCTION("GOOGLETRANSLATE(B17511,""en"",""it"")"),"Il video mostra quindi più persone che fanno escursioni su una montagna molto rocciosa mentre parlano alla telecamera.")</f>
        <v>Il video mostra quindi più persone che fanno escursioni su una montagna molto rocciosa mentre parlano alla telecamera.</v>
      </c>
    </row>
    <row r="17512">
      <c r="A17512" s="4" t="s">
        <v>22036</v>
      </c>
      <c r="B17512" s="4" t="s">
        <v>22044</v>
      </c>
      <c r="C17512" s="5" t="str">
        <f>IFERROR(__xludf.DUMMYFUNCTION("GOOGLETRANSLATE(B17512,""en"",""it"")"),"Le persone che si sono arrampicate sono poi lo snowboard in una acrobazia come acrobazia.")</f>
        <v>Le persone che si sono arrampicate sono poi lo snowboard in una acrobazia come acrobazia.</v>
      </c>
    </row>
    <row r="17513">
      <c r="A17513" s="4" t="s">
        <v>22045</v>
      </c>
      <c r="B17513" s="4" t="s">
        <v>22046</v>
      </c>
      <c r="C17513" s="5" t="str">
        <f>IFERROR(__xludf.DUMMYFUNCTION("GOOGLETRANSLATE(B17513,""en"",""it"")"),"Una giovane ragazza sta usando una cazzuola su un muro e si trova sul pavimento.")</f>
        <v>Una giovane ragazza sta usando una cazzuola su un muro e si trova sul pavimento.</v>
      </c>
    </row>
    <row r="17514">
      <c r="A17514" s="4" t="s">
        <v>22045</v>
      </c>
      <c r="B17514" s="4" t="s">
        <v>22047</v>
      </c>
      <c r="C17514" s="5" t="str">
        <f>IFERROR(__xludf.DUMMYFUNCTION("GOOGLETRANSLATE(B17514,""en"",""it"")"),"Si alza e si asciuga la cazzuola pulita con un pennello.")</f>
        <v>Si alza e si asciuga la cazzuola pulita con un pennello.</v>
      </c>
    </row>
    <row r="17515">
      <c r="A17515" s="4" t="s">
        <v>22045</v>
      </c>
      <c r="B17515" s="4" t="s">
        <v>22048</v>
      </c>
      <c r="C17515" s="5" t="str">
        <f>IFERROR(__xludf.DUMMYFUNCTION("GOOGLETRANSLATE(B17515,""en"",""it"")"),"Ritorna al lavoro muro.")</f>
        <v>Ritorna al lavoro muro.</v>
      </c>
    </row>
    <row r="17516">
      <c r="A17516" s="4" t="s">
        <v>22045</v>
      </c>
      <c r="B17516" s="4" t="s">
        <v>22049</v>
      </c>
      <c r="C17516" s="5" t="str">
        <f>IFERROR(__xludf.DUMMYFUNCTION("GOOGLETRANSLATE(B17516,""en"",""it"")"),"Sta in piedi e punti e il muro.")</f>
        <v>Sta in piedi e punti e il muro.</v>
      </c>
    </row>
    <row r="17517">
      <c r="A17517" s="4" t="s">
        <v>22045</v>
      </c>
      <c r="B17517" s="4" t="s">
        <v>22050</v>
      </c>
      <c r="C17517" s="5" t="str">
        <f>IFERROR(__xludf.DUMMYFUNCTION("GOOGLETRANSLATE(B17517,""en"",""it"")"),"Lei si asciuga di nuovo il pennello sulla cazzuola.")</f>
        <v>Lei si asciuga di nuovo il pennello sulla cazzuola.</v>
      </c>
    </row>
    <row r="17518">
      <c r="A17518" s="4" t="s">
        <v>22045</v>
      </c>
      <c r="B17518" s="4" t="s">
        <v>22051</v>
      </c>
      <c r="C17518" s="5" t="str">
        <f>IFERROR(__xludf.DUMMYFUNCTION("GOOGLETRANSLATE(B17518,""en"",""it"")"),"Lei leviga di nuovo il muro.")</f>
        <v>Lei leviga di nuovo il muro.</v>
      </c>
    </row>
    <row r="17519">
      <c r="A17519" s="4" t="s">
        <v>22045</v>
      </c>
      <c r="B17519" s="4" t="s">
        <v>22052</v>
      </c>
      <c r="C17519" s="5" t="str">
        <f>IFERROR(__xludf.DUMMYFUNCTION("GOOGLETRANSLATE(B17519,""en"",""it"")"),"Le ragazze usano un pennello per pulire il suo strumento.")</f>
        <v>Le ragazze usano un pennello per pulire il suo strumento.</v>
      </c>
    </row>
    <row r="17520">
      <c r="A17520" s="4" t="s">
        <v>22045</v>
      </c>
      <c r="B17520" s="4" t="s">
        <v>22053</v>
      </c>
      <c r="C17520" s="5" t="str">
        <f>IFERROR(__xludf.DUMMYFUNCTION("GOOGLETRANSLATE(B17520,""en"",""it"")"),"Elimina di nuovo il muro, quindi pulisce di nuovo il pennello due volte.")</f>
        <v>Elimina di nuovo il muro, quindi pulisce di nuovo il pennello due volte.</v>
      </c>
    </row>
    <row r="17521">
      <c r="A17521" s="4" t="s">
        <v>22045</v>
      </c>
      <c r="B17521" s="4" t="s">
        <v>22054</v>
      </c>
      <c r="C17521" s="5" t="str">
        <f>IFERROR(__xludf.DUMMYFUNCTION("GOOGLETRANSLATE(B17521,""en"",""it"")"),"Mostriamo la parte superiore del muro e la ragazza mentre lavora.")</f>
        <v>Mostriamo la parte superiore del muro e la ragazza mentre lavora.</v>
      </c>
    </row>
    <row r="17522">
      <c r="A17522" s="4" t="s">
        <v>22055</v>
      </c>
      <c r="B17522" s="4" t="s">
        <v>22056</v>
      </c>
      <c r="C17522" s="5" t="str">
        <f>IFERROR(__xludf.DUMMYFUNCTION("GOOGLETRANSLATE(B17522,""en"",""it"")"),"Viene visualizzata una schermata introduttiva con loghi, nomi dell'azienda e sito Web.")</f>
        <v>Viene visualizzata una schermata introduttiva con loghi, nomi dell'azienda e sito Web.</v>
      </c>
    </row>
    <row r="17523">
      <c r="A17523" s="4" t="s">
        <v>22055</v>
      </c>
      <c r="B17523" s="6" t="s">
        <v>22057</v>
      </c>
      <c r="C17523" s="5" t="str">
        <f>IFERROR(__xludf.DUMMYFUNCTION("GOOGLETRANSLATE(B17523,""en"",""it"")"),"Una donna si piega di fronte a 3 scatole e inizia a estrarre pezzi di moquette piastrellati dalla scatola superiore.")</f>
        <v>Una donna si piega di fronte a 3 scatole e inizia a estrarre pezzi di moquette piastrellati dalla scatola superiore.</v>
      </c>
    </row>
    <row r="17524">
      <c r="A17524" s="4" t="s">
        <v>22055</v>
      </c>
      <c r="B17524" s="6" t="s">
        <v>22058</v>
      </c>
      <c r="C17524" s="5" t="str">
        <f>IFERROR(__xludf.DUMMYFUNCTION("GOOGLETRANSLATE(B17524,""en"",""it"")"),"Un mucchio di strumenti appaiono su un pavimento piastrellato e includono: nastro da tappeto, coltello, linguette appiccicose e un T-quadrato.")</f>
        <v>Un mucchio di strumenti appaiono su un pavimento piastrellato e includono: nastro da tappeto, coltello, linguette appiccicose e un T-quadrato.</v>
      </c>
    </row>
    <row r="17525">
      <c r="A17525" s="4" t="s">
        <v>22055</v>
      </c>
      <c r="B17525" s="6" t="s">
        <v>22059</v>
      </c>
      <c r="C17525" s="5" t="str">
        <f>IFERROR(__xludf.DUMMYFUNCTION("GOOGLETRANSLATE(B17525,""en"",""it"")"),"La donna si trova su un pavimento piastrellato con un mucchio di tappeti piastrellati di fronte a lei e inizia a rispolverare i pezzi di tappeti in eccesso dalla parte anteriore e posteriore dei pezzi.")</f>
        <v>La donna si trova su un pavimento piastrellato con un mucchio di tappeti piastrellati di fronte a lei e inizia a rispolverare i pezzi di tappeti in eccesso dalla parte anteriore e posteriore dei pezzi.</v>
      </c>
    </row>
    <row r="17526">
      <c r="A17526" s="4" t="s">
        <v>22055</v>
      </c>
      <c r="B17526" s="6" t="s">
        <v>22060</v>
      </c>
      <c r="C17526" s="5" t="str">
        <f>IFERROR(__xludf.DUMMYFUNCTION("GOOGLETRANSLATE(B17526,""en"",""it"")"),"Viene visualizzato uno schermo con le parole ""Metodi di installazione"" e include 3 diversi diagrammi di layout, quindi mostra diversi tappeti piastrellati in ciascun layout.")</f>
        <v>Viene visualizzato uno schermo con le parole "Metodi di installazione" e include 3 diversi diagrammi di layout, quindi mostra diversi tappeti piastrellati in ciascun layout.</v>
      </c>
    </row>
    <row r="17527">
      <c r="A17527" s="4" t="s">
        <v>22055</v>
      </c>
      <c r="B17527" s="6" t="s">
        <v>22061</v>
      </c>
      <c r="C17527" s="5" t="str">
        <f>IFERROR(__xludf.DUMMYFUNCTION("GOOGLETRANSLATE(B17527,""en"",""it"")"),"Una donna ora si inginocchia su un pezzo di moquette piastrellato e sta tirando i nastri adesivi a doppia faccia da un foglio e li mette sui tappeti piastrellati e li attacca sul pavimento.")</f>
        <v>Una donna ora si inginocchia su un pezzo di moquette piastrellato e sta tirando i nastri adesivi a doppia faccia da un foglio e li mette sui tappeti piastrellati e li attacca sul pavimento.</v>
      </c>
    </row>
    <row r="17528">
      <c r="A17528" s="4" t="s">
        <v>22055</v>
      </c>
      <c r="B17528" s="6" t="s">
        <v>22062</v>
      </c>
      <c r="C17528" s="5" t="str">
        <f>IFERROR(__xludf.DUMMYFUNCTION("GOOGLETRANSLATE(B17528,""en"",""it"")"),"Una donna diversa appare vicino a un muro e sta dimostrando come tagliare le piastrelle una volta che un muro viene raggiunto e usa un lungo sovrano per misurare, tagliare e spezzare la piastrella del tappeto e la rimette sul pavimento.")</f>
        <v>Una donna diversa appare vicino a un muro e sta dimostrando come tagliare le piastrelle una volta che un muro viene raggiunto e usa un lungo sovrano per misurare, tagliare e spezzare la piastrella del tappeto e la rimette sul pavimento.</v>
      </c>
    </row>
    <row r="17529">
      <c r="A17529" s="4" t="s">
        <v>22055</v>
      </c>
      <c r="B17529" s="4" t="s">
        <v>22063</v>
      </c>
      <c r="C17529" s="5" t="str">
        <f>IFERROR(__xludf.DUMMYFUNCTION("GOOGLETRANSLATE(B17529,""en"",""it"")"),"Outro è uno schermo bianco con loghi, nomi delle società e sito Web.")</f>
        <v>Outro è uno schermo bianco con loghi, nomi delle società e sito Web.</v>
      </c>
    </row>
    <row r="17530">
      <c r="A17530" s="4" t="s">
        <v>22064</v>
      </c>
      <c r="B17530" s="6" t="s">
        <v>22065</v>
      </c>
      <c r="C17530" s="5" t="str">
        <f>IFERROR(__xludf.DUMMYFUNCTION("GOOGLETRANSLATE(B17530,""en"",""it"")"),"Un uomo viene visto camminare in avanti e parlare alla telecamera mentre due persone tirano dietro di sé un oggetto.")</f>
        <v>Un uomo viene visto camminare in avanti e parlare alla telecamera mentre due persone tirano dietro di sé un oggetto.</v>
      </c>
    </row>
    <row r="17531">
      <c r="A17531" s="4" t="s">
        <v>22064</v>
      </c>
      <c r="B17531" s="4" t="s">
        <v>22066</v>
      </c>
      <c r="C17531" s="5" t="str">
        <f>IFERROR(__xludf.DUMMYFUNCTION("GOOGLETRANSLATE(B17531,""en"",""it"")"),"L'uomo sta quindi parlando mentre una donna si esercita accanto a lui.")</f>
        <v>L'uomo sta quindi parlando mentre una donna si esercita accanto a lui.</v>
      </c>
    </row>
    <row r="17532">
      <c r="A17532" s="4" t="s">
        <v>22064</v>
      </c>
      <c r="B17532" s="4" t="s">
        <v>22067</v>
      </c>
      <c r="C17532" s="5" t="str">
        <f>IFERROR(__xludf.DUMMYFUNCTION("GOOGLETRANSLATE(B17532,""en"",""it"")"),"L'uomo continua a parlare e il testo viene mostrato sullo schermo.")</f>
        <v>L'uomo continua a parlare e il testo viene mostrato sullo schermo.</v>
      </c>
    </row>
    <row r="17533">
      <c r="A17533" s="4" t="s">
        <v>22068</v>
      </c>
      <c r="B17533" s="4" t="s">
        <v>22069</v>
      </c>
      <c r="C17533" s="5" t="str">
        <f>IFERROR(__xludf.DUMMYFUNCTION("GOOGLETRANSLATE(B17533,""en"",""it"")"),"Le persone stanno intorno in una stanza.")</f>
        <v>Le persone stanno intorno in una stanza.</v>
      </c>
    </row>
    <row r="17534">
      <c r="A17534" s="4" t="s">
        <v>22068</v>
      </c>
      <c r="B17534" s="4" t="s">
        <v>22070</v>
      </c>
      <c r="C17534" s="5" t="str">
        <f>IFERROR(__xludf.DUMMYFUNCTION("GOOGLETRANSLATE(B17534,""en"",""it"")"),"La gente fa karate mentre alcuni suonano la batteria.")</f>
        <v>La gente fa karate mentre alcuni suonano la batteria.</v>
      </c>
    </row>
    <row r="17535">
      <c r="A17535" s="4" t="s">
        <v>22068</v>
      </c>
      <c r="B17535" s="4" t="s">
        <v>22071</v>
      </c>
      <c r="C17535" s="5" t="str">
        <f>IFERROR(__xludf.DUMMYFUNCTION("GOOGLETRANSLATE(B17535,""en"",""it"")"),"Gli avversari del karate si stringono la mano e abbracciano.")</f>
        <v>Gli avversari del karate si stringono la mano e abbracciano.</v>
      </c>
    </row>
    <row r="17536">
      <c r="A17536" s="4" t="s">
        <v>22072</v>
      </c>
      <c r="B17536" s="6" t="s">
        <v>22073</v>
      </c>
      <c r="C17536" s="5" t="str">
        <f>IFERROR(__xludf.DUMMYFUNCTION("GOOGLETRANSLATE(B17536,""en"",""it"")"),"Una bambina/bambino si trova fuori, su un campo coperto di erba e colpisce ripetutamente, una pinata rosa appesa a un albero.")</f>
        <v>Una bambina/bambino si trova fuori, su un campo coperto di erba e colpisce ripetutamente, una pinata rosa appesa a un albero.</v>
      </c>
    </row>
    <row r="17537">
      <c r="A17537" s="4" t="s">
        <v>22072</v>
      </c>
      <c r="B17537" s="6" t="s">
        <v>22074</v>
      </c>
      <c r="C17537" s="5" t="str">
        <f>IFERROR(__xludf.DUMMYFUNCTION("GOOGLETRANSLATE(B17537,""en"",""it"")"),"Una bambina/bambino in un fiocco di capelli verdi lime e tutu si trova fuori sotto un albero e colpisce una pinata con un bastone.")</f>
        <v>Una bambina/bambino in un fiocco di capelli verdi lime e tutu si trova fuori sotto un albero e colpisce una pinata con un bastone.</v>
      </c>
    </row>
    <row r="17538">
      <c r="A17538" s="4" t="s">
        <v>22072</v>
      </c>
      <c r="B17538" s="4" t="s">
        <v>22075</v>
      </c>
      <c r="C17538" s="5" t="str">
        <f>IFERROR(__xludf.DUMMYFUNCTION("GOOGLETRANSLATE(B17538,""en"",""it"")"),"La Pinata si muove e la ragazza colpisce di nuovo la Pinata.")</f>
        <v>La Pinata si muove e la ragazza colpisce di nuovo la Pinata.</v>
      </c>
    </row>
    <row r="17539">
      <c r="A17539" s="4" t="s">
        <v>22072</v>
      </c>
      <c r="B17539" s="4" t="s">
        <v>22076</v>
      </c>
      <c r="C17539" s="5" t="str">
        <f>IFERROR(__xludf.DUMMYFUNCTION("GOOGLETRANSLATE(B17539,""en"",""it"")"),"La bambina si gira a guardare la fotocamera tra colpire la Pinata.")</f>
        <v>La bambina si gira a guardare la fotocamera tra colpire la Pinata.</v>
      </c>
    </row>
    <row r="17540">
      <c r="A17540" s="4" t="s">
        <v>22077</v>
      </c>
      <c r="B17540" s="4" t="s">
        <v>22078</v>
      </c>
      <c r="C17540" s="5" t="str">
        <f>IFERROR(__xludf.DUMMYFUNCTION("GOOGLETRANSLATE(B17540,""en"",""it"")"),"Un uomo in piedi parla con la telecamera con due donne sedute accanto a lui.")</f>
        <v>Un uomo in piedi parla con la telecamera con due donne sedute accanto a lui.</v>
      </c>
    </row>
    <row r="17541">
      <c r="A17541" s="4" t="s">
        <v>22077</v>
      </c>
      <c r="B17541" s="4" t="s">
        <v>22079</v>
      </c>
      <c r="C17541" s="5" t="str">
        <f>IFERROR(__xludf.DUMMYFUNCTION("GOOGLETRANSLATE(B17541,""en"",""it"")"),"La fotocamera piova per concentrarsi sulle due donne.")</f>
        <v>La fotocamera piova per concentrarsi sulle due donne.</v>
      </c>
    </row>
    <row r="17542">
      <c r="A17542" s="4" t="s">
        <v>22080</v>
      </c>
      <c r="B17542" s="4" t="s">
        <v>22081</v>
      </c>
      <c r="C17542" s="5" t="str">
        <f>IFERROR(__xludf.DUMMYFUNCTION("GOOGLETRANSLATE(B17542,""en"",""it"")"),"Una persona taglia le unghie delle gambe anteriori di un gatto.")</f>
        <v>Una persona taglia le unghie delle gambe anteriori di un gatto.</v>
      </c>
    </row>
    <row r="17543">
      <c r="A17543" s="4" t="s">
        <v>22080</v>
      </c>
      <c r="B17543" s="4" t="s">
        <v>22082</v>
      </c>
      <c r="C17543" s="5" t="str">
        <f>IFERROR(__xludf.DUMMYFUNCTION("GOOGLETRANSLATE(B17543,""en"",""it"")"),"Quindi, la persona taglia le unghie delle gambe posteriori di un'auto.")</f>
        <v>Quindi, la persona taglia le unghie delle gambe posteriori di un'auto.</v>
      </c>
    </row>
    <row r="17544">
      <c r="A17544" s="4" t="s">
        <v>22083</v>
      </c>
      <c r="B17544" s="4" t="s">
        <v>22084</v>
      </c>
      <c r="C17544" s="5" t="str">
        <f>IFERROR(__xludf.DUMMYFUNCTION("GOOGLETRANSLATE(B17544,""en"",""it"")"),"Un uomo tenta di attraversare una corda diffusa tra due pezzi di legno fatti in casa.")</f>
        <v>Un uomo tenta di attraversare una corda diffusa tra due pezzi di legno fatti in casa.</v>
      </c>
    </row>
    <row r="17545">
      <c r="A17545" s="4" t="s">
        <v>22083</v>
      </c>
      <c r="B17545" s="4" t="s">
        <v>22085</v>
      </c>
      <c r="C17545" s="5" t="str">
        <f>IFERROR(__xludf.DUMMYFUNCTION("GOOGLETRANSLATE(B17545,""en"",""it"")"),"Si bilancia sulla corda, oscillando avanti e indietro.")</f>
        <v>Si bilancia sulla corda, oscillando avanti e indietro.</v>
      </c>
    </row>
    <row r="17546">
      <c r="A17546" s="4" t="s">
        <v>22083</v>
      </c>
      <c r="B17546" s="4" t="s">
        <v>22086</v>
      </c>
      <c r="C17546" s="5" t="str">
        <f>IFERROR(__xludf.DUMMYFUNCTION("GOOGLETRANSLATE(B17546,""en"",""it"")"),"Perde l'equilibrio e salta giù dalla corda.")</f>
        <v>Perde l'equilibrio e salta giù dalla corda.</v>
      </c>
    </row>
    <row r="17547">
      <c r="A17547" s="4" t="s">
        <v>22087</v>
      </c>
      <c r="B17547" s="4" t="s">
        <v>22088</v>
      </c>
      <c r="C17547" s="5" t="str">
        <f>IFERROR(__xludf.DUMMYFUNCTION("GOOGLETRANSLATE(B17547,""en"",""it"")"),"Ci sono due auto nell'autolavaggio e una parcheggiata in un punto.")</f>
        <v>Ci sono due auto nell'autolavaggio e una parcheggiata in un punto.</v>
      </c>
    </row>
    <row r="17548">
      <c r="A17548" s="4" t="s">
        <v>22087</v>
      </c>
      <c r="B17548" s="4" t="s">
        <v>22089</v>
      </c>
      <c r="C17548" s="5" t="str">
        <f>IFERROR(__xludf.DUMMYFUNCTION("GOOGLETRANSLATE(B17548,""en"",""it"")"),"I proprietari delle auto li stanno in sapone e puliscono molto bene le gomme.")</f>
        <v>I proprietari delle auto li stanno in sapone e puliscono molto bene le gomme.</v>
      </c>
    </row>
    <row r="17549">
      <c r="A17549" s="4" t="s">
        <v>22087</v>
      </c>
      <c r="B17549" s="4" t="s">
        <v>22090</v>
      </c>
      <c r="C17549" s="5" t="str">
        <f>IFERROR(__xludf.DUMMYFUNCTION("GOOGLETRANSLATE(B17549,""en"",""it"")"),"All'interno del lavaggio auto completamente vuoto, nessuno è dentro di esso.")</f>
        <v>All'interno del lavaggio auto completamente vuoto, nessuno è dentro di esso.</v>
      </c>
    </row>
    <row r="17550">
      <c r="A17550" s="4" t="s">
        <v>22087</v>
      </c>
      <c r="B17550" s="4" t="s">
        <v>22091</v>
      </c>
      <c r="C17550" s="5" t="str">
        <f>IFERROR(__xludf.DUMMYFUNCTION("GOOGLETRANSLATE(B17550,""en"",""it"")"),"Uno degli altri proprietari di auto è sciacquare la sua auto.")</f>
        <v>Uno degli altri proprietari di auto è sciacquare la sua auto.</v>
      </c>
    </row>
    <row r="17551">
      <c r="A17551" s="4" t="s">
        <v>22092</v>
      </c>
      <c r="B17551" s="4" t="s">
        <v>22093</v>
      </c>
      <c r="C17551" s="5" t="str">
        <f>IFERROR(__xludf.DUMMYFUNCTION("GOOGLETRANSLATE(B17551,""en"",""it"")"),"Viene visto un uomo parlare alla telecamera seguiti da diversi scatti di una celebrità e un manichino.")</f>
        <v>Viene visto un uomo parlare alla telecamera seguiti da diversi scatti di una celebrità e un manichino.</v>
      </c>
    </row>
    <row r="17552">
      <c r="A17552" s="4" t="s">
        <v>22092</v>
      </c>
      <c r="B17552" s="4" t="s">
        <v>22094</v>
      </c>
      <c r="C17552" s="5" t="str">
        <f>IFERROR(__xludf.DUMMYFUNCTION("GOOGLETRANSLATE(B17552,""en"",""it"")"),"L'uomo inizia quindi a venire i capelli del manichino e usando le forbici lungo il lato.")</f>
        <v>L'uomo inizia quindi a venire i capelli del manichino e usando le forbici lungo il lato.</v>
      </c>
    </row>
    <row r="17553">
      <c r="A17553" s="4" t="s">
        <v>22092</v>
      </c>
      <c r="B17553" s="4" t="s">
        <v>22095</v>
      </c>
      <c r="C17553" s="5" t="str">
        <f>IFERROR(__xludf.DUMMYFUNCTION("GOOGLETRANSLATE(B17553,""en"",""it"")"),"Continua a tagliare i capelli del manichino e usare il gel per capelli alla fine per aumentarli.")</f>
        <v>Continua a tagliare i capelli del manichino e usare il gel per capelli alla fine per aumentarli.</v>
      </c>
    </row>
    <row r="17554">
      <c r="A17554" s="4" t="s">
        <v>22096</v>
      </c>
      <c r="B17554" s="4" t="s">
        <v>22097</v>
      </c>
      <c r="C17554" s="5" t="str">
        <f>IFERROR(__xludf.DUMMYFUNCTION("GOOGLETRANSLATE(B17554,""en"",""it"")"),"Viene mostrato un video su come creare un aquilone.")</f>
        <v>Viene mostrato un video su come creare un aquilone.</v>
      </c>
    </row>
    <row r="17555">
      <c r="A17555" s="4" t="s">
        <v>22096</v>
      </c>
      <c r="B17555" s="4" t="s">
        <v>22098</v>
      </c>
      <c r="C17555" s="5" t="str">
        <f>IFERROR(__xludf.DUMMYFUNCTION("GOOGLETRANSLATE(B17555,""en"",""it"")"),"I materiali sono raccolti e quindi l'aquilone viene assemblato.")</f>
        <v>I materiali sono raccolti e quindi l'aquilone viene assemblato.</v>
      </c>
    </row>
    <row r="17556">
      <c r="A17556" s="4" t="s">
        <v>22099</v>
      </c>
      <c r="B17556" s="4" t="s">
        <v>22100</v>
      </c>
      <c r="C17556" s="5" t="str">
        <f>IFERROR(__xludf.DUMMYFUNCTION("GOOGLETRANSLATE(B17556,""en"",""it"")"),"Alcune persone sono viste in piedi in una grande fossa con un toro dentro e molti guardano sui lati.")</f>
        <v>Alcune persone sono viste in piedi in una grande fossa con un toro dentro e molti guardano sui lati.</v>
      </c>
    </row>
    <row r="17557">
      <c r="A17557" s="4" t="s">
        <v>22099</v>
      </c>
      <c r="B17557" s="6" t="s">
        <v>22101</v>
      </c>
      <c r="C17557" s="5" t="str">
        <f>IFERROR(__xludf.DUMMYFUNCTION("GOOGLETRANSLATE(B17557,""en"",""it"")"),"L'uomo si avvicina al toro e il toro attacca diverse persone mentre cercano anche di tirarlo giù per la testa e la coda.")</f>
        <v>L'uomo si avvicina al toro e il toro attacca diverse persone mentre cercano anche di tirarlo giù per la testa e la coda.</v>
      </c>
    </row>
    <row r="17558">
      <c r="A17558" s="4" t="s">
        <v>22099</v>
      </c>
      <c r="B17558" s="4" t="s">
        <v>22102</v>
      </c>
      <c r="C17558" s="5" t="str">
        <f>IFERROR(__xludf.DUMMYFUNCTION("GOOGLETRANSLATE(B17558,""en"",""it"")"),"Finalmente si allontanano tutti subito.")</f>
        <v>Finalmente si allontanano tutti subito.</v>
      </c>
    </row>
    <row r="17559">
      <c r="A17559" s="4" t="s">
        <v>22103</v>
      </c>
      <c r="B17559" s="4" t="s">
        <v>22104</v>
      </c>
      <c r="C17559" s="5" t="str">
        <f>IFERROR(__xludf.DUMMYFUNCTION("GOOGLETRANSLATE(B17559,""en"",""it"")"),"Un uomo è seduto in palestra con amici che fanno stupidi segni alla telecamera.")</f>
        <v>Un uomo è seduto in palestra con amici che fanno stupidi segni alla telecamera.</v>
      </c>
    </row>
    <row r="17560">
      <c r="A17560" s="4" t="s">
        <v>22103</v>
      </c>
      <c r="B17560" s="4" t="s">
        <v>22105</v>
      </c>
      <c r="C17560" s="5" t="str">
        <f>IFERROR(__xludf.DUMMYFUNCTION("GOOGLETRANSLATE(B17560,""en"",""it"")"),"Quindi si gioca un po 'di dodgeball.")</f>
        <v>Quindi si gioca un po 'di dodgeball.</v>
      </c>
    </row>
    <row r="17561">
      <c r="A17561" s="4" t="s">
        <v>22106</v>
      </c>
      <c r="B17561" s="4" t="s">
        <v>22107</v>
      </c>
      <c r="C17561" s="5" t="str">
        <f>IFERROR(__xludf.DUMMYFUNCTION("GOOGLETRANSLATE(B17561,""en"",""it"")"),"Viene mostrato un grafico con alcune parole chiave che formano il numero ""2"".")</f>
        <v>Viene mostrato un grafico con alcune parole chiave che formano il numero "2".</v>
      </c>
    </row>
    <row r="17562">
      <c r="A17562" s="4" t="s">
        <v>22106</v>
      </c>
      <c r="B17562" s="4" t="s">
        <v>22108</v>
      </c>
      <c r="C17562" s="5" t="str">
        <f>IFERROR(__xludf.DUMMYFUNCTION("GOOGLETRANSLATE(B17562,""en"",""it"")"),"La scena passa a uno schermo nero con un po 'di testo su una maratona imminente.")</f>
        <v>La scena passa a uno schermo nero con un po 'di testo su una maratona imminente.</v>
      </c>
    </row>
    <row r="17563">
      <c r="A17563" s="4" t="s">
        <v>22106</v>
      </c>
      <c r="B17563" s="6" t="s">
        <v>22109</v>
      </c>
      <c r="C17563" s="5" t="str">
        <f>IFERROR(__xludf.DUMMYFUNCTION("GOOGLETRANSLATE(B17563,""en"",""it"")"),"Un uomo viene mostrato jogging attraverso una città su alcuni marciapiedi, un ponte, alcuni percorsi in un parco, ecc., Con un contatore sul lato che mostra i suoi progressi nei chilometri mentre procede.")</f>
        <v>Un uomo viene mostrato jogging attraverso una città su alcuni marciapiedi, un ponte, alcuni percorsi in un parco, ecc., Con un contatore sul lato che mostra i suoi progressi nei chilometri mentre procede.</v>
      </c>
    </row>
    <row r="17564">
      <c r="A17564" s="4" t="s">
        <v>22110</v>
      </c>
      <c r="B17564" s="4" t="s">
        <v>22111</v>
      </c>
      <c r="C17564" s="5" t="str">
        <f>IFERROR(__xludf.DUMMYFUNCTION("GOOGLETRANSLATE(B17564,""en"",""it"")"),"Una persona si sta coprendo le gambe con sapone mentre è in piedi sulla vasca.")</f>
        <v>Una persona si sta coprendo le gambe con sapone mentre è in piedi sulla vasca.</v>
      </c>
    </row>
    <row r="17565">
      <c r="A17565" s="4" t="s">
        <v>22110</v>
      </c>
      <c r="B17565" s="4" t="s">
        <v>22112</v>
      </c>
      <c r="C17565" s="5" t="str">
        <f>IFERROR(__xludf.DUMMYFUNCTION("GOOGLETRANSLATE(B17565,""en"",""it"")"),"Quindi, la persona prende una lama per radersi le gambe mentre lava la lama sotto il rubinetto.")</f>
        <v>Quindi, la persona prende una lama per radersi le gambe mentre lava la lama sotto il rubinetto.</v>
      </c>
    </row>
    <row r="17566">
      <c r="A17566" s="4" t="s">
        <v>22110</v>
      </c>
      <c r="B17566" s="4" t="s">
        <v>22113</v>
      </c>
      <c r="C17566" s="5" t="str">
        <f>IFERROR(__xludf.DUMMYFUNCTION("GOOGLETRANSLATE(B17566,""en"",""it"")"),"Dopo, la persona, si toglie la biancheria intima e la metti sulla vasca.")</f>
        <v>Dopo, la persona, si toglie la biancheria intima e la metti sulla vasca.</v>
      </c>
    </row>
    <row r="17567">
      <c r="A17567" s="4" t="s">
        <v>22114</v>
      </c>
      <c r="B17567" s="6" t="s">
        <v>22115</v>
      </c>
      <c r="C17567" s="5" t="str">
        <f>IFERROR(__xludf.DUMMYFUNCTION("GOOGLETRANSLATE(B17567,""en"",""it"")"),"C'è un video a movimento rapido che mostra una famiglia che intaglia quattro zucche per preparare le lanterne di Jack O nella loro cucina.")</f>
        <v>C'è un video a movimento rapido che mostra una famiglia che intaglia quattro zucche per preparare le lanterne di Jack O nella loro cucina.</v>
      </c>
    </row>
    <row r="17568">
      <c r="A17568" s="4" t="s">
        <v>22114</v>
      </c>
      <c r="B17568" s="4" t="s">
        <v>22116</v>
      </c>
      <c r="C17568" s="5" t="str">
        <f>IFERROR(__xludf.DUMMYFUNCTION("GOOGLETRANSLATE(B17568,""en"",""it"")"),"C'è un bambino seduto sul tavolo da pranzo che guarda gli altri intagliare le zucche.")</f>
        <v>C'è un bambino seduto sul tavolo da pranzo che guarda gli altri intagliare le zucche.</v>
      </c>
    </row>
    <row r="17569">
      <c r="A17569" s="4" t="s">
        <v>22114</v>
      </c>
      <c r="B17569" s="6" t="s">
        <v>22117</v>
      </c>
      <c r="C17569" s="5" t="str">
        <f>IFERROR(__xludf.DUMMYFUNCTION("GOOGLETRANSLATE(B17569,""en"",""it"")"),"Le altre due ragazze stanno aiutando i loro genitori a scolpire le zucche e rimuovere i semi e la polpa dalla zucca.")</f>
        <v>Le altre due ragazze stanno aiutando i loro genitori a scolpire le zucche e rimuovere i semi e la polpa dalla zucca.</v>
      </c>
    </row>
    <row r="17570">
      <c r="A17570" s="4" t="s">
        <v>22118</v>
      </c>
      <c r="B17570" s="6" t="s">
        <v>22119</v>
      </c>
      <c r="C17570" s="5" t="str">
        <f>IFERROR(__xludf.DUMMYFUNCTION("GOOGLETRANSLATE(B17570,""en"",""it"")"),"Un uomo seduto di fronte a una rete da tennis si gira e affronta il suo avversario, con un allenatore e un uomo della telecamera che guarda.")</f>
        <v>Un uomo seduto di fronte a una rete da tennis si gira e affronta il suo avversario, con un allenatore e un uomo della telecamera che guarda.</v>
      </c>
    </row>
    <row r="17571">
      <c r="A17571" s="4" t="s">
        <v>22118</v>
      </c>
      <c r="B17571" s="6" t="s">
        <v>22120</v>
      </c>
      <c r="C17571" s="5" t="str">
        <f>IFERROR(__xludf.DUMMYFUNCTION("GOOGLETRANSLATE(B17571,""en"",""it"")"),"Man mano che si alzano entrambi vediamo che in realtà si stanno dirigendo verso una partita di ping -pong, il tavolo su un vero campo da tennis.")</f>
        <v>Man mano che si alzano entrambi vediamo che in realtà si stanno dirigendo verso una partita di ping -pong, il tavolo su un vero campo da tennis.</v>
      </c>
    </row>
    <row r="17572">
      <c r="A17572" s="4" t="s">
        <v>22118</v>
      </c>
      <c r="B17572" s="6" t="s">
        <v>22121</v>
      </c>
      <c r="C17572" s="5" t="str">
        <f>IFERROR(__xludf.DUMMYFUNCTION("GOOGLETRANSLATE(B17572,""en"",""it"")"),"Sono il loro abbinamento, uno in una canotta bianca e pantaloncini verdi, l'altro in una camicia arancione e pantaloncini bianchi.")</f>
        <v>Sono il loro abbinamento, uno in una canotta bianca e pantaloncini verdi, l'altro in una camicia arancione e pantaloncini bianchi.</v>
      </c>
    </row>
    <row r="17573">
      <c r="A17573" s="4" t="s">
        <v>22118</v>
      </c>
      <c r="B17573" s="6" t="s">
        <v>22122</v>
      </c>
      <c r="C17573" s="5" t="str">
        <f>IFERROR(__xludf.DUMMYFUNCTION("GOOGLETRANSLATE(B17573,""en"",""it"")"),"Hanno colpito avanti e indietro per un po 'di tempo, il godimento del gioco sembra più importante per la vittoria e si schiaffeggiano alla conclusione.")</f>
        <v>Hanno colpito avanti e indietro per un po 'di tempo, il godimento del gioco sembra più importante per la vittoria e si schiaffeggiano alla conclusione.</v>
      </c>
    </row>
    <row r="17574">
      <c r="A17574" s="4" t="s">
        <v>22123</v>
      </c>
      <c r="B17574" s="6" t="s">
        <v>22124</v>
      </c>
      <c r="C17574" s="5" t="str">
        <f>IFERROR(__xludf.DUMMYFUNCTION("GOOGLETRANSLATE(B17574,""en"",""it"")"),"Si vedono due uomini parlare tra loro davanti alla telecamera mentre si muovono le mani alle loro voci.")</f>
        <v>Si vedono due uomini parlare tra loro davanti alla telecamera mentre si muovono le mani alle loro voci.</v>
      </c>
    </row>
    <row r="17575">
      <c r="A17575" s="4" t="s">
        <v>22123</v>
      </c>
      <c r="B17575" s="6" t="s">
        <v>22125</v>
      </c>
      <c r="C17575" s="5" t="str">
        <f>IFERROR(__xludf.DUMMYFUNCTION("GOOGLETRANSLATE(B17575,""en"",""it"")"),"Gli uomini continuano a parlare l'uno con l'altro mentre si comportano a pazzo sul divano e indicano l'uno con l'altro.")</f>
        <v>Gli uomini continuano a parlare l'uno con l'altro mentre si comportano a pazzo sul divano e indicano l'uno con l'altro.</v>
      </c>
    </row>
    <row r="17576">
      <c r="A17576" s="4" t="s">
        <v>22126</v>
      </c>
      <c r="B17576" s="4" t="s">
        <v>22127</v>
      </c>
      <c r="C17576" s="5" t="str">
        <f>IFERROR(__xludf.DUMMYFUNCTION("GOOGLETRANSLATE(B17576,""en"",""it"")"),"Un uomo viene visto in ginocchio prima di una pista mentre altri guardano sui lati.")</f>
        <v>Un uomo viene visto in ginocchio prima di una pista mentre altri guardano sui lati.</v>
      </c>
    </row>
    <row r="17577">
      <c r="A17577" s="4" t="s">
        <v>22126</v>
      </c>
      <c r="B17577" s="4" t="s">
        <v>22128</v>
      </c>
      <c r="C17577" s="5" t="str">
        <f>IFERROR(__xludf.DUMMYFUNCTION("GOOGLETRANSLATE(B17577,""en"",""it"")"),"Una persona corre sul lato e salta in una fossa.")</f>
        <v>Una persona corre sul lato e salta in una fossa.</v>
      </c>
    </row>
    <row r="17578">
      <c r="A17578" s="4" t="s">
        <v>22126</v>
      </c>
      <c r="B17578" s="4" t="s">
        <v>22129</v>
      </c>
      <c r="C17578" s="5" t="str">
        <f>IFERROR(__xludf.DUMMYFUNCTION("GOOGLETRANSLATE(B17578,""en"",""it"")"),"L'uomo seduto traccia il suo punteggio e molte altre persone vengono viste correre.")</f>
        <v>L'uomo seduto traccia il suo punteggio e molte altre persone vengono viste correre.</v>
      </c>
    </row>
    <row r="17579">
      <c r="A17579" s="4" t="s">
        <v>22130</v>
      </c>
      <c r="B17579" s="4" t="s">
        <v>22131</v>
      </c>
      <c r="C17579" s="5" t="str">
        <f>IFERROR(__xludf.DUMMYFUNCTION("GOOGLETRANSLATE(B17579,""en"",""it"")"),"Un giovane risolve rapidamente un cubo Rubix in una sessione digitalmente a tempo.")</f>
        <v>Un giovane risolve rapidamente un cubo Rubix in una sessione digitalmente a tempo.</v>
      </c>
    </row>
    <row r="17580">
      <c r="A17580" s="4" t="s">
        <v>22130</v>
      </c>
      <c r="B17580" s="6" t="s">
        <v>22132</v>
      </c>
      <c r="C17580" s="5" t="str">
        <f>IFERROR(__xludf.DUMMYFUNCTION("GOOGLETRANSLATE(B17580,""en"",""it"")"),"Un uomo con una camicia gialla con un grafico della faccia di un uomo su di esso parla con la telecamera e regge un cubo Rubix irrisolto.")</f>
        <v>Un uomo con una camicia gialla con un grafico della faccia di un uomo su di esso parla con la telecamera e regge un cubo Rubix irrisolto.</v>
      </c>
    </row>
    <row r="17581">
      <c r="A17581" s="4" t="s">
        <v>22130</v>
      </c>
      <c r="B17581" s="4" t="s">
        <v>22133</v>
      </c>
      <c r="C17581" s="5" t="str">
        <f>IFERROR(__xludf.DUMMYFUNCTION("GOOGLETRANSLATE(B17581,""en"",""it"")"),"Un timer digitale nero appare sullo schermo nell'angolo in basso a destra e inizia a correre.")</f>
        <v>Un timer digitale nero appare sullo schermo nell'angolo in basso a destra e inizia a correre.</v>
      </c>
    </row>
    <row r="17582">
      <c r="A17582" s="4" t="s">
        <v>22130</v>
      </c>
      <c r="B17582" s="6" t="s">
        <v>22134</v>
      </c>
      <c r="C17582" s="5" t="str">
        <f>IFERROR(__xludf.DUMMYFUNCTION("GOOGLETRANSLATE(B17582,""en"",""it"")"),"L'uomo inizia a risolvere il cubo Rubix quando inizia il timer, quindi risolve il cubo Rubix con 00:34:08 tempo, a quel punto tiene il cubo Rubix risolto in aria come dimostrazione.")</f>
        <v>L'uomo inizia a risolvere il cubo Rubix quando inizia il timer, quindi risolve il cubo Rubix con 00:34:08 tempo, a quel punto tiene il cubo Rubix risolto in aria come dimostrazione.</v>
      </c>
    </row>
    <row r="17583">
      <c r="A17583" s="4" t="s">
        <v>22135</v>
      </c>
      <c r="B17583" s="4" t="s">
        <v>22136</v>
      </c>
      <c r="C17583" s="5" t="str">
        <f>IFERROR(__xludf.DUMMYFUNCTION("GOOGLETRANSLATE(B17583,""en"",""it"")"),"Si vedono due uomini parlare alla telecamera mentre ognuno contiene un arco e una freccia.")</f>
        <v>Si vedono due uomini parlare alla telecamera mentre ognuno contiene un arco e una freccia.</v>
      </c>
    </row>
    <row r="17584">
      <c r="A17584" s="4" t="s">
        <v>22135</v>
      </c>
      <c r="B17584" s="4" t="s">
        <v>22137</v>
      </c>
      <c r="C17584" s="5" t="str">
        <f>IFERROR(__xludf.DUMMYFUNCTION("GOOGLETRANSLATE(B17584,""en"",""it"")"),"Un uomo mostra il suo mentre le clip sono mostrate da persone che sparano all'arco e mostrate nel mezzo.")</f>
        <v>Un uomo mostra il suo mentre le clip sono mostrate da persone che sparano all'arco e mostrate nel mezzo.</v>
      </c>
    </row>
    <row r="17585">
      <c r="A17585" s="4" t="s">
        <v>22135</v>
      </c>
      <c r="B17585" s="4" t="s">
        <v>22138</v>
      </c>
      <c r="C17585" s="5" t="str">
        <f>IFERROR(__xludf.DUMMYFUNCTION("GOOGLETRANSLATE(B17585,""en"",""it"")"),"L'altro uomo mostra il suo arco mentre mostra ancora le sue specifiche.")</f>
        <v>L'altro uomo mostra il suo arco mentre mostra ancora le sue specifiche.</v>
      </c>
    </row>
    <row r="17586">
      <c r="A17586" s="4" t="s">
        <v>22139</v>
      </c>
      <c r="B17586" s="4" t="s">
        <v>22140</v>
      </c>
      <c r="C17586" s="5" t="str">
        <f>IFERROR(__xludf.DUMMYFUNCTION("GOOGLETRANSLATE(B17586,""en"",""it"")"),"Una persona viene vista a rulli in giro per una strada mentre molte persone vengono viste camminare intorno a lui.")</f>
        <v>Una persona viene vista a rulli in giro per una strada mentre molte persone vengono viste camminare intorno a lui.</v>
      </c>
    </row>
    <row r="17587">
      <c r="A17587" s="4" t="s">
        <v>22139</v>
      </c>
      <c r="B17587" s="4" t="s">
        <v>22141</v>
      </c>
      <c r="C17587" s="5" t="str">
        <f>IFERROR(__xludf.DUMMYFUNCTION("GOOGLETRANSLATE(B17587,""en"",""it"")"),"Un uomo viene quindi intervistato dai giornalisti e termina con la fotocamera che si fa la panoramica.")</f>
        <v>Un uomo viene quindi intervistato dai giornalisti e termina con la fotocamera che si fa la panoramica.</v>
      </c>
    </row>
    <row r="17588">
      <c r="A17588" s="4" t="s">
        <v>22142</v>
      </c>
      <c r="B17588" s="4" t="s">
        <v>22143</v>
      </c>
      <c r="C17588" s="5" t="str">
        <f>IFERROR(__xludf.DUMMYFUNCTION("GOOGLETRANSLATE(B17588,""en"",""it"")"),"Una persona mette in posizione un pezzo di carta da parati e lo collega con gli altri pezzi.")</f>
        <v>Una persona mette in posizione un pezzo di carta da parati e lo collega con gli altri pezzi.</v>
      </c>
    </row>
    <row r="17589">
      <c r="A17589" s="4" t="s">
        <v>22142</v>
      </c>
      <c r="B17589" s="4" t="s">
        <v>22144</v>
      </c>
      <c r="C17589" s="5" t="str">
        <f>IFERROR(__xludf.DUMMYFUNCTION("GOOGLETRANSLATE(B17589,""en"",""it"")"),"La carta da muro è tagliata con tene di dimensioni adeguate.")</f>
        <v>La carta da muro è tagliata con tene di dimensioni adeguate.</v>
      </c>
    </row>
    <row r="17590">
      <c r="A17590" s="4" t="s">
        <v>22142</v>
      </c>
      <c r="B17590" s="4" t="s">
        <v>22145</v>
      </c>
      <c r="C17590" s="5" t="str">
        <f>IFERROR(__xludf.DUMMYFUNCTION("GOOGLETRANSLATE(B17590,""en"",""it"")"),"L'uomo controlla la carta da tela, quindi si stacca una striscia adesiva sul retro.")</f>
        <v>L'uomo controlla la carta da tela, quindi si stacca una striscia adesiva sul retro.</v>
      </c>
    </row>
    <row r="17591">
      <c r="A17591" s="4" t="s">
        <v>22142</v>
      </c>
      <c r="B17591" s="4" t="s">
        <v>22146</v>
      </c>
      <c r="C17591" s="5" t="str">
        <f>IFERROR(__xludf.DUMMYFUNCTION("GOOGLETRANSLATE(B17591,""en"",""it"")"),"La carta da parati è attaccata al muro e levigata a mano.")</f>
        <v>La carta da parati è attaccata al muro e levigata a mano.</v>
      </c>
    </row>
    <row r="17592">
      <c r="A17592" s="4" t="s">
        <v>22142</v>
      </c>
      <c r="B17592" s="4" t="s">
        <v>22147</v>
      </c>
      <c r="C17592" s="5" t="str">
        <f>IFERROR(__xludf.DUMMYFUNCTION("GOOGLETRANSLATE(B17592,""en"",""it"")"),"La persona usa un asciugamano per appiattire la carta da parati.")</f>
        <v>La persona usa un asciugamano per appiattire la carta da parati.</v>
      </c>
    </row>
    <row r="17593">
      <c r="A17593" s="4" t="s">
        <v>22142</v>
      </c>
      <c r="B17593" s="4" t="s">
        <v>22148</v>
      </c>
      <c r="C17593" s="5" t="str">
        <f>IFERROR(__xludf.DUMMYFUNCTION("GOOGLETRANSLATE(B17593,""en"",""it"")"),"La carta da parati viene tagliata sul fondo e piegato contro il pavimento.")</f>
        <v>La carta da parati viene tagliata sul fondo e piegato contro il pavimento.</v>
      </c>
    </row>
    <row r="17594">
      <c r="A17594" s="4" t="s">
        <v>22142</v>
      </c>
      <c r="B17594" s="4" t="s">
        <v>22149</v>
      </c>
      <c r="C17594" s="5" t="str">
        <f>IFERROR(__xludf.DUMMYFUNCTION("GOOGLETRANSLATE(B17594,""en"",""it"")"),"La carta da muro viene tagliata e piegata lungo il soffitto.")</f>
        <v>La carta da muro viene tagliata e piegata lungo il soffitto.</v>
      </c>
    </row>
    <row r="17595">
      <c r="A17595" s="4" t="s">
        <v>22150</v>
      </c>
      <c r="B17595" s="4" t="s">
        <v>22151</v>
      </c>
      <c r="C17595" s="5" t="str">
        <f>IFERROR(__xludf.DUMMYFUNCTION("GOOGLETRANSLATE(B17595,""en"",""it"")"),"Un gruppo di persone viene mostrato in un festival che serve cibo e interagisce con la loro folla.")</f>
        <v>Un gruppo di persone viene mostrato in un festival che serve cibo e interagisce con la loro folla.</v>
      </c>
    </row>
    <row r="17596">
      <c r="A17596" s="4" t="s">
        <v>22150</v>
      </c>
      <c r="B17596" s="4" t="s">
        <v>22152</v>
      </c>
      <c r="C17596" s="5" t="str">
        <f>IFERROR(__xludf.DUMMYFUNCTION("GOOGLETRANSLATE(B17596,""en"",""it"")"),"Il maschio continua a giocare con la folla e li fa funzionare per il loro cono gelato.")</f>
        <v>Il maschio continua a giocare con la folla e li fa funzionare per il loro cono gelato.</v>
      </c>
    </row>
    <row r="17597">
      <c r="A17597" s="4" t="s">
        <v>22150</v>
      </c>
      <c r="B17597" s="4" t="s">
        <v>22153</v>
      </c>
      <c r="C17597" s="5" t="str">
        <f>IFERROR(__xludf.DUMMYFUNCTION("GOOGLETRANSLATE(B17597,""en"",""it"")"),"Infine, il video finisce, l'uomo sorride e i crediti iniziano a rotolare.")</f>
        <v>Infine, il video finisce, l'uomo sorride e i crediti iniziano a rotolare.</v>
      </c>
    </row>
    <row r="17598">
      <c r="A17598" s="4" t="s">
        <v>22154</v>
      </c>
      <c r="B17598" s="4" t="s">
        <v>22155</v>
      </c>
      <c r="C17598" s="5" t="str">
        <f>IFERROR(__xludf.DUMMYFUNCTION("GOOGLETRANSLATE(B17598,""en"",""it"")"),"La gente raccoglie pile d'erba su un cortile.")</f>
        <v>La gente raccoglie pile d'erba su un cortile.</v>
      </c>
    </row>
    <row r="17599">
      <c r="A17599" s="4" t="s">
        <v>22154</v>
      </c>
      <c r="B17599" s="4" t="s">
        <v>22156</v>
      </c>
      <c r="C17599" s="5" t="str">
        <f>IFERROR(__xludf.DUMMYFUNCTION("GOOGLETRANSLATE(B17599,""en"",""it"")"),"Un cane cammina nel cortile dove le persone impilano erba.")</f>
        <v>Un cane cammina nel cortile dove le persone impilano erba.</v>
      </c>
    </row>
    <row r="17600">
      <c r="A17600" s="4" t="s">
        <v>22154</v>
      </c>
      <c r="B17600" s="4" t="s">
        <v>22157</v>
      </c>
      <c r="C17600" s="5" t="str">
        <f>IFERROR(__xludf.DUMMYFUNCTION("GOOGLETRANSLATE(B17600,""en"",""it"")"),"Un uomo taglia l'erba usando un cutter a mano.")</f>
        <v>Un uomo taglia l'erba usando un cutter a mano.</v>
      </c>
    </row>
    <row r="17601">
      <c r="A17601" s="4" t="s">
        <v>22154</v>
      </c>
      <c r="B17601" s="4" t="s">
        <v>22158</v>
      </c>
      <c r="C17601" s="5" t="str">
        <f>IFERROR(__xludf.DUMMYFUNCTION("GOOGLETRANSLATE(B17601,""en"",""it"")"),"I cani odorano a terra.")</f>
        <v>I cani odorano a terra.</v>
      </c>
    </row>
    <row r="17602">
      <c r="A17602" s="4" t="s">
        <v>22159</v>
      </c>
      <c r="B17602" s="4" t="s">
        <v>22160</v>
      </c>
      <c r="C17602" s="5" t="str">
        <f>IFERROR(__xludf.DUMMYFUNCTION("GOOGLETRANSLATE(B17602,""en"",""it"")"),"Un paio di mani vengono mostrate suonando il piano.")</f>
        <v>Un paio di mani vengono mostrate suonando il piano.</v>
      </c>
    </row>
    <row r="17603">
      <c r="A17603" s="4" t="s">
        <v>22159</v>
      </c>
      <c r="B17603" s="4" t="s">
        <v>22161</v>
      </c>
      <c r="C17603" s="5" t="str">
        <f>IFERROR(__xludf.DUMMYFUNCTION("GOOGLETRANSLATE(B17603,""en"",""it"")"),"Il pianista viene mostrato giocando con un'altra persona seduta accanto a lui.")</f>
        <v>Il pianista viene mostrato giocando con un'altra persona seduta accanto a lui.</v>
      </c>
    </row>
    <row r="17604">
      <c r="A17604" s="4" t="s">
        <v>22159</v>
      </c>
      <c r="B17604" s="4" t="s">
        <v>22162</v>
      </c>
      <c r="C17604" s="5" t="str">
        <f>IFERROR(__xludf.DUMMYFUNCTION("GOOGLETRANSLATE(B17604,""en"",""it"")"),"Il gioco è visto di nuovo da una vista da vicino.")</f>
        <v>Il gioco è visto di nuovo da una vista da vicino.</v>
      </c>
    </row>
    <row r="17605">
      <c r="A17605" s="4" t="s">
        <v>22159</v>
      </c>
      <c r="B17605" s="4" t="s">
        <v>22163</v>
      </c>
      <c r="C17605" s="5" t="str">
        <f>IFERROR(__xludf.DUMMYFUNCTION("GOOGLETRANSLATE(B17605,""en"",""it"")"),"Il secondo uomo imita il primo uomo.")</f>
        <v>Il secondo uomo imita il primo uomo.</v>
      </c>
    </row>
    <row r="17606">
      <c r="A17606" s="4" t="s">
        <v>22159</v>
      </c>
      <c r="B17606" s="4" t="s">
        <v>22164</v>
      </c>
      <c r="C17606" s="5" t="str">
        <f>IFERROR(__xludf.DUMMYFUNCTION("GOOGLETRANSLATE(B17606,""en"",""it"")"),"Il primo uomo applaude all'imitazione del secondo uomo.")</f>
        <v>Il primo uomo applaude all'imitazione del secondo uomo.</v>
      </c>
    </row>
    <row r="17607">
      <c r="A17607" s="4" t="s">
        <v>22165</v>
      </c>
      <c r="B17607" s="4" t="s">
        <v>22166</v>
      </c>
      <c r="C17607" s="5" t="str">
        <f>IFERROR(__xludf.DUMMYFUNCTION("GOOGLETRANSLATE(B17607,""en"",""it"")"),"Un uomo si trova davanti alla telecamera e poi prende un soffio della sigaretta.")</f>
        <v>Un uomo si trova davanti alla telecamera e poi prende un soffio della sigaretta.</v>
      </c>
    </row>
    <row r="17608">
      <c r="A17608" s="4" t="s">
        <v>22165</v>
      </c>
      <c r="B17608" s="6" t="s">
        <v>22167</v>
      </c>
      <c r="C17608" s="5" t="str">
        <f>IFERROR(__xludf.DUMMYFUNCTION("GOOGLETRANSLATE(B17608,""en"",""it"")"),"Dopo, appare con le lame a rulli e inizia a saltare su diversi blocchi e massi in città.")</f>
        <v>Dopo, appare con le lame a rulli e inizia a saltare su diversi blocchi e massi in città.</v>
      </c>
    </row>
    <row r="17609">
      <c r="A17609" s="4" t="s">
        <v>22165</v>
      </c>
      <c r="B17609" s="4" t="s">
        <v>22168</v>
      </c>
      <c r="C17609" s="5" t="str">
        <f>IFERROR(__xludf.DUMMYFUNCTION("GOOGLETRANSLATE(B17609,""en"",""it"")"),"L'uomo continua a farsi strada attraverso la città, passando macchine e saltando sulle rocce.")</f>
        <v>L'uomo continua a farsi strada attraverso la città, passando macchine e saltando sulle rocce.</v>
      </c>
    </row>
    <row r="17610">
      <c r="A17610" s="4" t="s">
        <v>22169</v>
      </c>
      <c r="B17610" s="4" t="s">
        <v>22170</v>
      </c>
      <c r="C17610" s="5" t="str">
        <f>IFERROR(__xludf.DUMMYFUNCTION("GOOGLETRANSLATE(B17610,""en"",""it"")"),"Una donna e un uomo salutano, e poi dimostrano le mosse di karate in palestra.")</f>
        <v>Una donna e un uomo salutano, e poi dimostrano le mosse di karate in palestra.</v>
      </c>
    </row>
    <row r="17611">
      <c r="A17611" s="4" t="s">
        <v>22169</v>
      </c>
      <c r="B17611" s="4" t="s">
        <v>22171</v>
      </c>
      <c r="C17611" s="5" t="str">
        <f>IFERROR(__xludf.DUMMYFUNCTION("GOOGLETRANSLATE(B17611,""en"",""it"")"),"Dopo, la donna e l'uomo stanno e salutano.")</f>
        <v>Dopo, la donna e l'uomo stanno e salutano.</v>
      </c>
    </row>
    <row r="17612">
      <c r="A17612" s="4" t="s">
        <v>22172</v>
      </c>
      <c r="B17612" s="4" t="s">
        <v>22173</v>
      </c>
      <c r="C17612" s="5" t="str">
        <f>IFERROR(__xludf.DUMMYFUNCTION("GOOGLETRANSLATE(B17612,""en"",""it"")"),"Si vede un grafico con disegni di funghi e piante.")</f>
        <v>Si vede un grafico con disegni di funghi e piante.</v>
      </c>
    </row>
    <row r="17613">
      <c r="A17613" s="4" t="s">
        <v>22172</v>
      </c>
      <c r="B17613" s="4" t="s">
        <v>22174</v>
      </c>
      <c r="C17613" s="5" t="str">
        <f>IFERROR(__xludf.DUMMYFUNCTION("GOOGLETRANSLATE(B17613,""en"",""it"")"),"Si vede un albero di pino alto.")</f>
        <v>Si vede un albero di pino alto.</v>
      </c>
    </row>
    <row r="17614">
      <c r="A17614" s="4" t="s">
        <v>22172</v>
      </c>
      <c r="B17614" s="4" t="s">
        <v>22175</v>
      </c>
      <c r="C17614" s="5" t="str">
        <f>IFERROR(__xludf.DUMMYFUNCTION("GOOGLETRANSLATE(B17614,""en"",""it"")"),"Una partita è illuminata e un giovane sostiene un'altra partita illuminata insieme ai bastoncini, quindi lo fa esplodere.")</f>
        <v>Una partita è illuminata e un giovane sostiene un'altra partita illuminata insieme ai bastoncini, quindi lo fa esplodere.</v>
      </c>
    </row>
    <row r="17615">
      <c r="A17615" s="4" t="s">
        <v>22172</v>
      </c>
      <c r="B17615" s="4" t="s">
        <v>22176</v>
      </c>
      <c r="C17615" s="5" t="str">
        <f>IFERROR(__xludf.DUMMYFUNCTION("GOOGLETRANSLATE(B17615,""en"",""it"")"),"Il giovane costruisce un anello di rocce vicino a una tenda.")</f>
        <v>Il giovane costruisce un anello di rocce vicino a una tenda.</v>
      </c>
    </row>
    <row r="17616">
      <c r="A17616" s="4" t="s">
        <v>22172</v>
      </c>
      <c r="B17616" s="4" t="s">
        <v>22177</v>
      </c>
      <c r="C17616" s="5" t="str">
        <f>IFERROR(__xludf.DUMMYFUNCTION("GOOGLETRANSLATE(B17616,""en"",""it"")"),"Il camper mostra quindi i bastoncini di varie dimensioni tra le mani e gli altri che rompe in due.")</f>
        <v>Il camper mostra quindi i bastoncini di varie dimensioni tra le mani e gli altri che rompe in due.</v>
      </c>
    </row>
    <row r="17617">
      <c r="A17617" s="4" t="s">
        <v>22172</v>
      </c>
      <c r="B17617" s="4" t="s">
        <v>22178</v>
      </c>
      <c r="C17617" s="5" t="str">
        <f>IFERROR(__xludf.DUMMYFUNCTION("GOOGLETRANSLATE(B17617,""en"",""it"")"),"Il giovane rompe i bastoncini con il piede e li porta al campeggio.")</f>
        <v>Il giovane rompe i bastoncini con il piede e li porta al campeggio.</v>
      </c>
    </row>
    <row r="17618">
      <c r="A17618" s="4" t="s">
        <v>22172</v>
      </c>
      <c r="B17618" s="4" t="s">
        <v>22179</v>
      </c>
      <c r="C17618" s="5" t="str">
        <f>IFERROR(__xludf.DUMMYFUNCTION("GOOGLETRANSLATE(B17618,""en"",""it"")"),"Il giovane crea un fuoco con i bastoncini di varie dimensioni nell'anello di fuoco e lo accende.")</f>
        <v>Il giovane crea un fuoco con i bastoncini di varie dimensioni nell'anello di fuoco e lo accende.</v>
      </c>
    </row>
    <row r="17619">
      <c r="A17619" s="4" t="s">
        <v>22172</v>
      </c>
      <c r="B17619" s="4" t="s">
        <v>22180</v>
      </c>
      <c r="C17619" s="5" t="str">
        <f>IFERROR(__xludf.DUMMYFUNCTION("GOOGLETRANSLATE(B17619,""en"",""it"")"),"Il fuoco brucia nella notte.")</f>
        <v>Il fuoco brucia nella notte.</v>
      </c>
    </row>
    <row r="17620">
      <c r="A17620" s="4" t="s">
        <v>22181</v>
      </c>
      <c r="B17620" s="6" t="s">
        <v>22182</v>
      </c>
      <c r="C17620" s="5" t="str">
        <f>IFERROR(__xludf.DUMMYFUNCTION("GOOGLETRANSLATE(B17620,""en"",""it"")"),"Un uomo a smoking e donna in abito da festa balla il tango in una sala da ballo circondata da folla su sedie durante l'esibizione.")</f>
        <v>Un uomo a smoking e donna in abito da festa balla il tango in una sala da ballo circondata da folla su sedie durante l'esibizione.</v>
      </c>
    </row>
    <row r="17621">
      <c r="A17621" s="4" t="s">
        <v>22181</v>
      </c>
      <c r="B17621" s="4" t="s">
        <v>22183</v>
      </c>
      <c r="C17621" s="5" t="str">
        <f>IFERROR(__xludf.DUMMYFUNCTION("GOOGLETRANSLATE(B17621,""en"",""it"")"),"La folla applaude alla fine e applaude le mani.")</f>
        <v>La folla applaude alla fine e applaude le mani.</v>
      </c>
    </row>
    <row r="17622">
      <c r="A17622" s="4" t="s">
        <v>22184</v>
      </c>
      <c r="B17622" s="4" t="s">
        <v>22185</v>
      </c>
      <c r="C17622" s="5" t="str">
        <f>IFERROR(__xludf.DUMMYFUNCTION("GOOGLETRANSLATE(B17622,""en"",""it"")"),"Una donna è in piedi davanti a una lavatrice e asciugatrice in una lavanderia.")</f>
        <v>Una donna è in piedi davanti a una lavatrice e asciugatrice in una lavanderia.</v>
      </c>
    </row>
    <row r="17623">
      <c r="A17623" s="4" t="s">
        <v>22184</v>
      </c>
      <c r="B17623" s="4" t="s">
        <v>22186</v>
      </c>
      <c r="C17623" s="5" t="str">
        <f>IFERROR(__xludf.DUMMYFUNCTION("GOOGLETRANSLATE(B17623,""en"",""it"")"),"Vengono fornite istruzioni passo dopo passo per stirare i vestiti.")</f>
        <v>Vengono fornite istruzioni passo dopo passo per stirare i vestiti.</v>
      </c>
    </row>
    <row r="17624">
      <c r="A17624" s="4" t="s">
        <v>22184</v>
      </c>
      <c r="B17624" s="4" t="s">
        <v>22187</v>
      </c>
      <c r="C17624" s="5" t="str">
        <f>IFERROR(__xludf.DUMMYFUNCTION("GOOGLETRANSLATE(B17624,""en"",""it"")"),"Mostra come prepararsi e indumenti di ferro usando uno straccio e un vapore.")</f>
        <v>Mostra come prepararsi e indumenti di ferro usando uno straccio e un vapore.</v>
      </c>
    </row>
    <row r="17625">
      <c r="A17625" s="4" t="s">
        <v>22188</v>
      </c>
      <c r="B17625" s="4" t="s">
        <v>22189</v>
      </c>
      <c r="C17625" s="5" t="str">
        <f>IFERROR(__xludf.DUMMYFUNCTION("GOOGLETRANSLATE(B17625,""en"",""it"")"),"Una donna è seduta accanto a un bambino su un seggiolone.")</f>
        <v>Una donna è seduta accanto a un bambino su un seggiolone.</v>
      </c>
    </row>
    <row r="17626">
      <c r="A17626" s="4" t="s">
        <v>22188</v>
      </c>
      <c r="B17626" s="4" t="s">
        <v>22190</v>
      </c>
      <c r="C17626" s="5" t="str">
        <f>IFERROR(__xludf.DUMMYFUNCTION("GOOGLETRANSLATE(B17626,""en"",""it"")"),"Sta giocando un fisarm per il bambino.")</f>
        <v>Sta giocando un fisarm per il bambino.</v>
      </c>
    </row>
    <row r="17627">
      <c r="A17627" s="4" t="s">
        <v>22188</v>
      </c>
      <c r="B17627" s="4" t="s">
        <v>22191</v>
      </c>
      <c r="C17627" s="5" t="str">
        <f>IFERROR(__xludf.DUMMYFUNCTION("GOOGLETRANSLATE(B17627,""en"",""it"")"),"Il bambino scuote avanti e indietro, ballando alla musica.")</f>
        <v>Il bambino scuote avanti e indietro, ballando alla musica.</v>
      </c>
    </row>
    <row r="17628">
      <c r="A17628" s="4" t="s">
        <v>22192</v>
      </c>
      <c r="B17628" s="4" t="s">
        <v>22193</v>
      </c>
      <c r="C17628" s="5" t="str">
        <f>IFERROR(__xludf.DUMMYFUNCTION("GOOGLETRANSLATE(B17628,""en"",""it"")"),"Una donna sta dando istruzioni su come preparare la sua limonata.")</f>
        <v>Una donna sta dando istruzioni su come preparare la sua limonata.</v>
      </c>
    </row>
    <row r="17629">
      <c r="A17629" s="4" t="s">
        <v>22192</v>
      </c>
      <c r="B17629" s="6" t="s">
        <v>22194</v>
      </c>
      <c r="C17629" s="5" t="str">
        <f>IFERROR(__xludf.DUMMYFUNCTION("GOOGLETRANSLATE(B17629,""en"",""it"")"),"Mostra tutti gli ingredienti che usa e inizia a bollirli e mescolarli su una pentola sulla stufa.")</f>
        <v>Mostra tutti gli ingredienti che usa e inizia a bollirli e mescolarli su una pentola sulla stufa.</v>
      </c>
    </row>
    <row r="17630">
      <c r="A17630" s="4" t="s">
        <v>22192</v>
      </c>
      <c r="B17630" s="4" t="s">
        <v>22195</v>
      </c>
      <c r="C17630" s="5" t="str">
        <f>IFERROR(__xludf.DUMMYFUNCTION("GOOGLETRANSLATE(B17630,""en"",""it"")"),"In un frullatore fonde alcune fragole e succo di limone.")</f>
        <v>In un frullatore fonde alcune fragole e succo di limone.</v>
      </c>
    </row>
    <row r="17631">
      <c r="A17631" s="4" t="s">
        <v>22192</v>
      </c>
      <c r="B17631" s="6" t="s">
        <v>22196</v>
      </c>
      <c r="C17631" s="5" t="str">
        <f>IFERROR(__xludf.DUMMYFUNCTION("GOOGLETRANSLATE(B17631,""en"",""it"")"),"Quindi inizia a fare di nuovo più o meno tutti quei passaggi per tutti i diversi tipi di altre limonate che fa.")</f>
        <v>Quindi inizia a fare di nuovo più o meno tutti quei passaggi per tutti i diversi tipi di altre limonate che fa.</v>
      </c>
    </row>
    <row r="17632">
      <c r="A17632" s="4" t="s">
        <v>22197</v>
      </c>
      <c r="B17632" s="6" t="s">
        <v>22198</v>
      </c>
      <c r="C17632" s="5" t="str">
        <f>IFERROR(__xludf.DUMMYFUNCTION("GOOGLETRANSLATE(B17632,""en"",""it"")"),"Viene mostrato un primo piano di una persona che cammina su una corda e il vecchio che parla alla telecamera e più scatti della persona che cammina.")</f>
        <v>Viene mostrato un primo piano di una persona che cammina su una corda e il vecchio che parla alla telecamera e più scatti della persona che cammina.</v>
      </c>
    </row>
    <row r="17633">
      <c r="A17633" s="4" t="s">
        <v>22197</v>
      </c>
      <c r="B17633" s="6" t="s">
        <v>22199</v>
      </c>
      <c r="C17633" s="5" t="str">
        <f>IFERROR(__xludf.DUMMYFUNCTION("GOOGLETRANSLATE(B17633,""en"",""it"")"),"Più persone vengono intervistate mentre le persone camminano dietro di loro e mostrano molti altri scatti di persone che attraversano una corda.")</f>
        <v>Più persone vengono intervistate mentre le persone camminano dietro di loro e mostrano molti altri scatti di persone che attraversano una corda.</v>
      </c>
    </row>
    <row r="17634">
      <c r="A17634" s="4" t="s">
        <v>22200</v>
      </c>
      <c r="B17634" s="6" t="s">
        <v>22201</v>
      </c>
      <c r="C17634" s="5" t="str">
        <f>IFERROR(__xludf.DUMMYFUNCTION("GOOGLETRANSLATE(B17634,""en"",""it"")"),"Un piccolo gruppo di persone viene visto in piedi lungo un interno con un giocatore che calcia la palla e segnando un goal.")</f>
        <v>Un piccolo gruppo di persone viene visto in piedi lungo un interno con un giocatore che calcia la palla e segnando un goal.</v>
      </c>
    </row>
    <row r="17635">
      <c r="A17635" s="4" t="s">
        <v>22200</v>
      </c>
      <c r="B17635" s="4" t="s">
        <v>22202</v>
      </c>
      <c r="C17635" s="5" t="str">
        <f>IFERROR(__xludf.DUMMYFUNCTION("GOOGLETRANSLATE(B17635,""en"",""it"")"),"Il pubblico applaude e lo stesso scatto viene mostrato di nuovo più volte e il giocatore si allontana.")</f>
        <v>Il pubblico applaude e lo stesso scatto viene mostrato di nuovo più volte e il giocatore si allontana.</v>
      </c>
    </row>
    <row r="17636">
      <c r="A17636" s="4" t="s">
        <v>22200</v>
      </c>
      <c r="B17636" s="6" t="s">
        <v>22203</v>
      </c>
      <c r="C17636" s="5" t="str">
        <f>IFERROR(__xludf.DUMMYFUNCTION("GOOGLETRANSLATE(B17636,""en"",""it"")"),"Molti altri colpi di gol vengono mostrati durante il gioco seguito dallo stesso scatto mostrato di nuovo al rallentatore.")</f>
        <v>Molti altri colpi di gol vengono mostrati durante il gioco seguito dallo stesso scatto mostrato di nuovo al rallentatore.</v>
      </c>
    </row>
    <row r="17637">
      <c r="A17637" s="4" t="s">
        <v>22204</v>
      </c>
      <c r="B17637" s="4" t="s">
        <v>22205</v>
      </c>
      <c r="C17637" s="5" t="str">
        <f>IFERROR(__xludf.DUMMYFUNCTION("GOOGLETRANSLATE(B17637,""en"",""it"")"),"Vediamo l'uomo che prende in giro un toro con una bandiera.")</f>
        <v>Vediamo l'uomo che prende in giro un toro con una bandiera.</v>
      </c>
    </row>
    <row r="17638">
      <c r="A17638" s="4" t="s">
        <v>22204</v>
      </c>
      <c r="B17638" s="4" t="s">
        <v>22206</v>
      </c>
      <c r="C17638" s="5" t="str">
        <f>IFERROR(__xludf.DUMMYFUNCTION("GOOGLETRANSLATE(B17638,""en"",""it"")"),"Il toro accusa la bandiera.")</f>
        <v>Il toro accusa la bandiera.</v>
      </c>
    </row>
    <row r="17639">
      <c r="A17639" s="4" t="s">
        <v>22204</v>
      </c>
      <c r="B17639" s="4" t="s">
        <v>22207</v>
      </c>
      <c r="C17639" s="5" t="str">
        <f>IFERROR(__xludf.DUMMYFUNCTION("GOOGLETRANSLATE(B17639,""en"",""it"")"),"Il toro si carica e insegue la bandiera.")</f>
        <v>Il toro si carica e insegue la bandiera.</v>
      </c>
    </row>
    <row r="17640">
      <c r="A17640" s="4" t="s">
        <v>22204</v>
      </c>
      <c r="B17640" s="4" t="s">
        <v>22208</v>
      </c>
      <c r="C17640" s="5" t="str">
        <f>IFERROR(__xludf.DUMMYFUNCTION("GOOGLETRANSLATE(B17640,""en"",""it"")"),"Il traino si muove a sinistra e il toro lo segue.")</f>
        <v>Il traino si muove a sinistra e il toro lo segue.</v>
      </c>
    </row>
    <row r="17641">
      <c r="A17641" s="4" t="s">
        <v>22209</v>
      </c>
      <c r="B17641" s="4" t="s">
        <v>22210</v>
      </c>
      <c r="C17641" s="5" t="str">
        <f>IFERROR(__xludf.DUMMYFUNCTION("GOOGLETRANSLATE(B17641,""en"",""it"")"),"Due uomini camminano con in mano si attaccano davanti a loro.")</f>
        <v>Due uomini camminano con in mano si attaccano davanti a loro.</v>
      </c>
    </row>
    <row r="17642">
      <c r="A17642" s="4" t="s">
        <v>22209</v>
      </c>
      <c r="B17642" s="4" t="s">
        <v>22211</v>
      </c>
      <c r="C17642" s="5" t="str">
        <f>IFERROR(__xludf.DUMMYFUNCTION("GOOGLETRANSLATE(B17642,""en"",""it"")"),"Organizzano i dischi su alcuni numeri.")</f>
        <v>Organizzano i dischi su alcuni numeri.</v>
      </c>
    </row>
    <row r="17643">
      <c r="A17643" s="4" t="s">
        <v>22209</v>
      </c>
      <c r="B17643" s="4" t="s">
        <v>22212</v>
      </c>
      <c r="C17643" s="5" t="str">
        <f>IFERROR(__xludf.DUMMYFUNCTION("GOOGLETRANSLATE(B17643,""en"",""it"")"),"Uno degli uomini lancia un disco con il suo bastone.")</f>
        <v>Uno degli uomini lancia un disco con il suo bastone.</v>
      </c>
    </row>
    <row r="17644">
      <c r="A17644" s="4" t="s">
        <v>22209</v>
      </c>
      <c r="B17644" s="4" t="s">
        <v>22213</v>
      </c>
      <c r="C17644" s="5" t="str">
        <f>IFERROR(__xludf.DUMMYFUNCTION("GOOGLETRANSLATE(B17644,""en"",""it"")"),"L'uomo in rosso lancia il suo disco.")</f>
        <v>L'uomo in rosso lancia il suo disco.</v>
      </c>
    </row>
    <row r="17645">
      <c r="A17645" s="4" t="s">
        <v>22209</v>
      </c>
      <c r="B17645" s="4" t="s">
        <v>22214</v>
      </c>
      <c r="C17645" s="5" t="str">
        <f>IFERROR(__xludf.DUMMYFUNCTION("GOOGLETRANSLATE(B17645,""en"",""it"")"),"Il primo uomo lancia un altro disco.")</f>
        <v>Il primo uomo lancia un altro disco.</v>
      </c>
    </row>
    <row r="17646">
      <c r="A17646" s="4" t="s">
        <v>22209</v>
      </c>
      <c r="B17646" s="4" t="s">
        <v>22215</v>
      </c>
      <c r="C17646" s="5" t="str">
        <f>IFERROR(__xludf.DUMMYFUNCTION("GOOGLETRANSLATE(B17646,""en"",""it"")"),"Segue l'uomo nella maglietta rossa.")</f>
        <v>Segue l'uomo nella maglietta rossa.</v>
      </c>
    </row>
    <row r="17647">
      <c r="A17647" s="4" t="s">
        <v>22209</v>
      </c>
      <c r="B17647" s="4" t="s">
        <v>22216</v>
      </c>
      <c r="C17647" s="5" t="str">
        <f>IFERROR(__xludf.DUMMYFUNCTION("GOOGLETRANSLATE(B17647,""en"",""it"")"),"Segue il primo uomo lancia un altro disco e l'uomo nella maglietta rossa.")</f>
        <v>Segue il primo uomo lancia un altro disco e l'uomo nella maglietta rossa.</v>
      </c>
    </row>
    <row r="17648">
      <c r="A17648" s="4" t="s">
        <v>22209</v>
      </c>
      <c r="B17648" s="4" t="s">
        <v>22217</v>
      </c>
      <c r="C17648" s="5" t="str">
        <f>IFERROR(__xludf.DUMMYFUNCTION("GOOGLETRANSLATE(B17648,""en"",""it"")"),"Si alzano a cinque.")</f>
        <v>Si alzano a cinque.</v>
      </c>
    </row>
    <row r="17649">
      <c r="A17649" s="4" t="s">
        <v>22218</v>
      </c>
      <c r="B17649" s="4" t="s">
        <v>22219</v>
      </c>
      <c r="C17649" s="5" t="str">
        <f>IFERROR(__xludf.DUMMYFUNCTION("GOOGLETRANSLATE(B17649,""en"",""it"")"),"Un uomo in uniforme militare è in piedi di fronte a un gruppo di soldati.")</f>
        <v>Un uomo in uniforme militare è in piedi di fronte a un gruppo di soldati.</v>
      </c>
    </row>
    <row r="17650">
      <c r="A17650" s="4" t="s">
        <v>22218</v>
      </c>
      <c r="B17650" s="4" t="s">
        <v>22220</v>
      </c>
      <c r="C17650" s="5" t="str">
        <f>IFERROR(__xludf.DUMMYFUNCTION("GOOGLETRANSLATE(B17650,""en"",""it"")"),"Sta suonando le cornamuse mentre gli altri soldati stanno e lo guardano.")</f>
        <v>Sta suonando le cornamuse mentre gli altri soldati stanno e lo guardano.</v>
      </c>
    </row>
    <row r="17651">
      <c r="A17651" s="4" t="s">
        <v>22218</v>
      </c>
      <c r="B17651" s="6" t="s">
        <v>22221</v>
      </c>
      <c r="C17651" s="5" t="str">
        <f>IFERROR(__xludf.DUMMYFUNCTION("GOOGLETRANSLATE(B17651,""en"",""it"")"),"Potrebbe essere una sfilata per cui si stanno esercitando perché sono in piedi e lo guardano in cima al trailer.")</f>
        <v>Potrebbe essere una sfilata per cui si stanno esercitando perché sono in piedi e lo guardano in cima al trailer.</v>
      </c>
    </row>
    <row r="17652">
      <c r="A17652" s="4" t="s">
        <v>22218</v>
      </c>
      <c r="B17652" s="4" t="s">
        <v>22222</v>
      </c>
      <c r="C17652" s="5" t="str">
        <f>IFERROR(__xludf.DUMMYFUNCTION("GOOGLETRANSLATE(B17652,""en"",""it"")"),"Una volta che il soldato ha finito con la sua canzone sulla cornamusa, tutti i soldati applaudono e tifano per lui.")</f>
        <v>Una volta che il soldato ha finito con la sua canzone sulla cornamusa, tutti i soldati applaudono e tifano per lui.</v>
      </c>
    </row>
    <row r="17653">
      <c r="A17653" s="4" t="s">
        <v>22223</v>
      </c>
      <c r="B17653" s="4" t="s">
        <v>22224</v>
      </c>
      <c r="C17653" s="5" t="str">
        <f>IFERROR(__xludf.DUMMYFUNCTION("GOOGLETRANSLATE(B17653,""en"",""it"")"),"Viene mostrato un vecchio video di persone che navigano.")</f>
        <v>Viene mostrato un vecchio video di persone che navigano.</v>
      </c>
    </row>
    <row r="17654">
      <c r="A17654" s="4" t="s">
        <v>22223</v>
      </c>
      <c r="B17654" s="4" t="s">
        <v>22225</v>
      </c>
      <c r="C17654" s="5" t="str">
        <f>IFERROR(__xludf.DUMMYFUNCTION("GOOGLETRANSLATE(B17654,""en"",""it"")"),"Le persone catturano le onde e il ragazzo grasso fa un ottimo lavoro.")</f>
        <v>Le persone catturano le onde e il ragazzo grasso fa un ottimo lavoro.</v>
      </c>
    </row>
    <row r="17655">
      <c r="A17655" s="4" t="s">
        <v>22226</v>
      </c>
      <c r="B17655" s="4" t="s">
        <v>22227</v>
      </c>
      <c r="C17655" s="5" t="str">
        <f>IFERROR(__xludf.DUMMYFUNCTION("GOOGLETRANSLATE(B17655,""en"",""it"")"),"Un grande maschio nero e John Cena si trovano in un braccio ad anello di wrestling wrestling.")</f>
        <v>Un grande maschio nero e John Cena si trovano in un braccio ad anello di wrestling wrestling.</v>
      </c>
    </row>
    <row r="17656">
      <c r="A17656" s="4" t="s">
        <v>22226</v>
      </c>
      <c r="B17656" s="6" t="s">
        <v>22228</v>
      </c>
      <c r="C17656" s="5" t="str">
        <f>IFERROR(__xludf.DUMMYFUNCTION("GOOGLETRANSLATE(B17656,""en"",""it"")"),"Il maschio nero sta iniziando a vincere, ma John Cena usa tutta la sua potenza per non arrendersi e guadagnare abbastanza forza per respingere la mano dall'altra parte.")</f>
        <v>Il maschio nero sta iniziando a vincere, ma John Cena usa tutta la sua potenza per non arrendersi e guadagnare abbastanza forza per respingere la mano dall'altra parte.</v>
      </c>
    </row>
    <row r="17657">
      <c r="A17657" s="4" t="s">
        <v>22226</v>
      </c>
      <c r="B17657" s="6" t="s">
        <v>22229</v>
      </c>
      <c r="C17657" s="5" t="str">
        <f>IFERROR(__xludf.DUMMYFUNCTION("GOOGLETRANSLATE(B17657,""en"",""it"")"),"Dopo un certo periodo di tempo, John Cena vince e qualcuno salta sulla schiena e inizia a lottare e raccoglie l'uomo nero e lo lascia cadere.")</f>
        <v>Dopo un certo periodo di tempo, John Cena vince e qualcuno salta sulla schiena e inizia a lottare e raccoglie l'uomo nero e lo lascia cadere.</v>
      </c>
    </row>
    <row r="17658">
      <c r="A17658" s="4" t="s">
        <v>22226</v>
      </c>
      <c r="B17658" s="6" t="s">
        <v>22230</v>
      </c>
      <c r="C17658" s="5" t="str">
        <f>IFERROR(__xludf.DUMMYFUNCTION("GOOGLETRANSLATE(B17658,""en"",""it"")"),"Mentre John Cena continua a celebrare l'altro ragazzo inizia a parlare di spazzatura e John Cena lo guarda, poi torna alla folla.")</f>
        <v>Mentre John Cena continua a celebrare l'altro ragazzo inizia a parlare di spazzatura e John Cena lo guarda, poi torna alla folla.</v>
      </c>
    </row>
    <row r="17659">
      <c r="A17659" s="4" t="s">
        <v>22231</v>
      </c>
      <c r="B17659" s="4" t="s">
        <v>22232</v>
      </c>
      <c r="C17659" s="5" t="str">
        <f>IFERROR(__xludf.DUMMYFUNCTION("GOOGLETRANSLATE(B17659,""en"",""it"")"),"Una banda musicale suona in palestra e guardano la gente.")</f>
        <v>Una banda musicale suona in palestra e guardano la gente.</v>
      </c>
    </row>
    <row r="17660">
      <c r="A17660" s="4" t="s">
        <v>22231</v>
      </c>
      <c r="B17660" s="4" t="s">
        <v>22233</v>
      </c>
      <c r="C17660" s="5" t="str">
        <f>IFERROR(__xludf.DUMMYFUNCTION("GOOGLETRANSLATE(B17660,""en"",""it"")"),"Quindi, la banda musicale smette di suonare per un po ', poi riprende.")</f>
        <v>Quindi, la banda musicale smette di suonare per un po ', poi riprende.</v>
      </c>
    </row>
    <row r="17661">
      <c r="A17661" s="4" t="s">
        <v>22231</v>
      </c>
      <c r="B17661" s="4" t="s">
        <v>22234</v>
      </c>
      <c r="C17661" s="5" t="str">
        <f>IFERROR(__xludf.DUMMYFUNCTION("GOOGLETRANSLATE(B17661,""en"",""it"")"),"Una donna passa di lato la banda musicale.")</f>
        <v>Una donna passa di lato la banda musicale.</v>
      </c>
    </row>
    <row r="17662">
      <c r="A17662" s="4" t="s">
        <v>22231</v>
      </c>
      <c r="B17662" s="4" t="s">
        <v>22235</v>
      </c>
      <c r="C17662" s="5" t="str">
        <f>IFERROR(__xludf.DUMMYFUNCTION("GOOGLETRANSLATE(B17662,""en"",""it"")"),"Un giovane beve da una lattina.")</f>
        <v>Un giovane beve da una lattina.</v>
      </c>
    </row>
    <row r="17663">
      <c r="A17663" s="4" t="s">
        <v>22231</v>
      </c>
      <c r="B17663" s="4" t="s">
        <v>22236</v>
      </c>
      <c r="C17663" s="5" t="str">
        <f>IFERROR(__xludf.DUMMYFUNCTION("GOOGLETRANSLATE(B17663,""en"",""it"")"),"Dopo, un bambino passa davanti alla banda musicale.")</f>
        <v>Dopo, un bambino passa davanti alla banda musicale.</v>
      </c>
    </row>
    <row r="17664">
      <c r="A17664" s="4" t="s">
        <v>22237</v>
      </c>
      <c r="B17664" s="4" t="s">
        <v>22238</v>
      </c>
      <c r="C17664" s="5" t="str">
        <f>IFERROR(__xludf.DUMMYFUNCTION("GOOGLETRANSLATE(B17664,""en"",""it"")"),"Le persone in una casa si preparano per andare a slitta per strada coperta di neve.")</f>
        <v>Le persone in una casa si preparano per andare a slitta per strada coperta di neve.</v>
      </c>
    </row>
    <row r="17665">
      <c r="A17665" s="4" t="s">
        <v>22237</v>
      </c>
      <c r="B17665" s="4" t="s">
        <v>22239</v>
      </c>
      <c r="C17665" s="5" t="str">
        <f>IFERROR(__xludf.DUMMYFUNCTION("GOOGLETRANSLATE(B17665,""en"",""it"")"),"Due giovani slittarono sulla strada trainati da un'auto.")</f>
        <v>Due giovani slittarono sulla strada trainati da un'auto.</v>
      </c>
    </row>
    <row r="17666">
      <c r="A17666" s="4" t="s">
        <v>22237</v>
      </c>
      <c r="B17666" s="4" t="s">
        <v>22240</v>
      </c>
      <c r="C17666" s="5" t="str">
        <f>IFERROR(__xludf.DUMMYFUNCTION("GOOGLETRANSLATE(B17666,""en"",""it"")"),"Spruzzi di neve cadono sui giovani che sono coperti di neve.")</f>
        <v>Spruzzi di neve cadono sui giovani che sono coperti di neve.</v>
      </c>
    </row>
    <row r="17667">
      <c r="A17667" s="4" t="s">
        <v>22237</v>
      </c>
      <c r="B17667" s="6" t="s">
        <v>22241</v>
      </c>
      <c r="C17667" s="5" t="str">
        <f>IFERROR(__xludf.DUMMYFUNCTION("GOOGLETRANSLATE(B17667,""en"",""it"")"),"Un giovane si trova dalla slitta ed entra nell'auto e l'altra persona prende il suo posto sulla slitta.")</f>
        <v>Un giovane si trova dalla slitta ed entra nell'auto e l'altra persona prende il suo posto sulla slitta.</v>
      </c>
    </row>
    <row r="17668">
      <c r="A17668" s="4" t="s">
        <v>22237</v>
      </c>
      <c r="B17668" s="4" t="s">
        <v>22242</v>
      </c>
      <c r="C17668" s="5" t="str">
        <f>IFERROR(__xludf.DUMMYFUNCTION("GOOGLETRANSLATE(B17668,""en"",""it"")"),"Un giovane che scende lungo lo slittamento stradale mentre la neve si sporge su di loro.")</f>
        <v>Un giovane che scende lungo lo slittamento stradale mentre la neve si sporge su di loro.</v>
      </c>
    </row>
    <row r="17669">
      <c r="A17669" s="4" t="s">
        <v>22237</v>
      </c>
      <c r="B17669" s="4" t="s">
        <v>22243</v>
      </c>
      <c r="C17669" s="5" t="str">
        <f>IFERROR(__xludf.DUMMYFUNCTION("GOOGLETRANSLATE(B17669,""en"",""it"")"),"Un giovane snowboard che tiene una corda attaccata a un'auto, alla fine cade.")</f>
        <v>Un giovane snowboard che tiene una corda attaccata a un'auto, alla fine cade.</v>
      </c>
    </row>
    <row r="17670">
      <c r="A17670" s="4" t="s">
        <v>22244</v>
      </c>
      <c r="B17670" s="4" t="s">
        <v>22245</v>
      </c>
      <c r="C17670" s="5" t="str">
        <f>IFERROR(__xludf.DUMMYFUNCTION("GOOGLETRANSLATE(B17670,""en"",""it"")"),"Uno skateboard da ragazzo su una strada che salta e lancia lo skateboard per strada.")</f>
        <v>Uno skateboard da ragazzo su una strada che salta e lancia lo skateboard per strada.</v>
      </c>
    </row>
    <row r="17671">
      <c r="A17671" s="4" t="s">
        <v>22244</v>
      </c>
      <c r="B17671" s="4" t="s">
        <v>22246</v>
      </c>
      <c r="C17671" s="5" t="str">
        <f>IFERROR(__xludf.DUMMYFUNCTION("GOOGLETRANSLATE(B17671,""en"",""it"")"),"Uno skateboard si appoggia su un albero.")</f>
        <v>Uno skateboard si appoggia su un albero.</v>
      </c>
    </row>
    <row r="17672">
      <c r="A17672" s="4" t="s">
        <v>22244</v>
      </c>
      <c r="B17672" s="4" t="s">
        <v>22247</v>
      </c>
      <c r="C17672" s="5" t="str">
        <f>IFERROR(__xludf.DUMMYFUNCTION("GOOGLETRANSLATE(B17672,""en"",""it"")"),"Quindi, il ragazzo skateboard su piccole rampe e poi continua lo skateboard per strada.")</f>
        <v>Quindi, il ragazzo skateboard su piccole rampe e poi continua lo skateboard per strada.</v>
      </c>
    </row>
    <row r="17673">
      <c r="A17673" s="4" t="s">
        <v>22248</v>
      </c>
      <c r="B17673" s="4" t="s">
        <v>22249</v>
      </c>
      <c r="C17673" s="5" t="str">
        <f>IFERROR(__xludf.DUMMYFUNCTION("GOOGLETRANSLATE(B17673,""en"",""it"")"),"Un uomo pone la crema da barba sul viso.")</f>
        <v>Un uomo pone la crema da barba sul viso.</v>
      </c>
    </row>
    <row r="17674">
      <c r="A17674" s="4" t="s">
        <v>22248</v>
      </c>
      <c r="B17674" s="4" t="s">
        <v>22250</v>
      </c>
      <c r="C17674" s="5" t="str">
        <f>IFERROR(__xludf.DUMMYFUNCTION("GOOGLETRANSLATE(B17674,""en"",""it"")"),"Un uomo sputa un po 'di liquido dalla sua bocca.")</f>
        <v>Un uomo sputa un po 'di liquido dalla sua bocca.</v>
      </c>
    </row>
    <row r="17675">
      <c r="A17675" s="4" t="s">
        <v>22248</v>
      </c>
      <c r="B17675" s="4" t="s">
        <v>22251</v>
      </c>
      <c r="C17675" s="5" t="str">
        <f>IFERROR(__xludf.DUMMYFUNCTION("GOOGLETRANSLATE(B17675,""en"",""it"")"),"Un uomo affila la sua lama di rasoio.")</f>
        <v>Un uomo affila la sua lama di rasoio.</v>
      </c>
    </row>
    <row r="17676">
      <c r="A17676" s="4" t="s">
        <v>22248</v>
      </c>
      <c r="B17676" s="4" t="s">
        <v>22252</v>
      </c>
      <c r="C17676" s="5" t="str">
        <f>IFERROR(__xludf.DUMMYFUNCTION("GOOGLETRANSLATE(B17676,""en"",""it"")"),"L'uomo si rade il viso con il rasoio.")</f>
        <v>L'uomo si rade il viso con il rasoio.</v>
      </c>
    </row>
    <row r="17677">
      <c r="A17677" s="4" t="s">
        <v>22248</v>
      </c>
      <c r="B17677" s="4" t="s">
        <v>22253</v>
      </c>
      <c r="C17677" s="5" t="str">
        <f>IFERROR(__xludf.DUMMYFUNCTION("GOOGLETRANSLATE(B17677,""en"",""it"")"),"L'uomo mette più crema da barba sul viso.")</f>
        <v>L'uomo mette più crema da barba sul viso.</v>
      </c>
    </row>
    <row r="17678">
      <c r="A17678" s="4" t="s">
        <v>22254</v>
      </c>
      <c r="B17678" s="6" t="s">
        <v>22255</v>
      </c>
      <c r="C17678" s="5" t="str">
        <f>IFERROR(__xludf.DUMMYFUNCTION("GOOGLETRANSLATE(B17678,""en"",""it"")"),"Appare un'introduzione e ha un logo e le parole ""Outdoor Interlaken +"", quindi compaiono parole gialle e numeri romani.")</f>
        <v>Appare un'introduzione e ha un logo e le parole "Outdoor Interlaken +", quindi compaiono parole gialle e numeri romani.</v>
      </c>
    </row>
    <row r="17679">
      <c r="A17679" s="4" t="s">
        <v>22254</v>
      </c>
      <c r="B17679" s="6" t="s">
        <v>22256</v>
      </c>
      <c r="C17679" s="5" t="str">
        <f>IFERROR(__xludf.DUMMYFUNCTION("GOOGLETRANSLATE(B17679,""en"",""it"")"),"Appare il negozio all'aperto e cambia rapidamente all'interno del negozio in cui le persone sono tutte raccolte per ottenere istruzioni, vestirsi con caschi e attrezzature di sicurezza e prepararsi per il rafting delle acque bianche.")</f>
        <v>Appare il negozio all'aperto e cambia rapidamente all'interno del negozio in cui le persone sono tutte raccolte per ottenere istruzioni, vestirsi con caschi e attrezzature di sicurezza e prepararsi per il rafting delle acque bianche.</v>
      </c>
    </row>
    <row r="17680">
      <c r="A17680" s="4" t="s">
        <v>22254</v>
      </c>
      <c r="B17680" s="6" t="s">
        <v>22257</v>
      </c>
      <c r="C17680" s="5" t="str">
        <f>IFERROR(__xludf.DUMMYFUNCTION("GOOGLETRANSLATE(B17680,""en"",""it"")"),"Le persone stanno quindi all'aperto in cui si esercitano sulla terra su come sedersi nella zattera, pagaia e ecc.")</f>
        <v>Le persone stanno quindi all'aperto in cui si esercitano sulla terra su come sedersi nella zattera, pagaia e ecc.</v>
      </c>
    </row>
    <row r="17681">
      <c r="A17681" s="4" t="s">
        <v>22254</v>
      </c>
      <c r="B17681" s="6" t="s">
        <v>22258</v>
      </c>
      <c r="C17681" s="5" t="str">
        <f>IFERROR(__xludf.DUMMYFUNCTION("GOOGLETRANSLATE(B17681,""en"",""it"")"),"Quando hanno finito di praticare tutta la passeggiata verso l'acqua con le zattere e sono tutti visti nelle acque molto difficili che scendono e pagavano e nelle loro zattere dove finiscono in acque calme e saltano fuori dalle loro zattere per celebrare i"&amp;"l loro successo.")</f>
        <v>Quando hanno finito di praticare tutta la passeggiata verso l'acqua con le zattere e sono tutti visti nelle acque molto difficili che scendono e pagavano e nelle loro zattere dove finiscono in acque calme e saltano fuori dalle loro zattere per celebrare il loro successo.</v>
      </c>
    </row>
    <row r="17682">
      <c r="A17682" s="4" t="s">
        <v>22254</v>
      </c>
      <c r="B17682" s="6" t="s">
        <v>22259</v>
      </c>
      <c r="C17682" s="5" t="str">
        <f>IFERROR(__xludf.DUMMYFUNCTION("GOOGLETRANSLATE(B17682,""en"",""it"")"),"Quando hanno finito di celebrare le persone che escono dall'acqua tenendo la zattera e finiscono in un veicolo dove sorridono e felici.")</f>
        <v>Quando hanno finito di celebrare le persone che escono dall'acqua tenendo la zattera e finiscono in un veicolo dove sorridono e felici.</v>
      </c>
    </row>
    <row r="17683">
      <c r="A17683" s="4" t="s">
        <v>22254</v>
      </c>
      <c r="B17683" s="4" t="s">
        <v>22260</v>
      </c>
      <c r="C17683" s="5" t="str">
        <f>IFERROR(__xludf.DUMMYFUNCTION("GOOGLETRANSLATE(B17683,""en"",""it"")"),"Outro appare con informazioni di contatto, sito Web, loghi e crediti.")</f>
        <v>Outro appare con informazioni di contatto, sito Web, loghi e crediti.</v>
      </c>
    </row>
    <row r="17684">
      <c r="A17684" s="4" t="s">
        <v>22261</v>
      </c>
      <c r="B17684" s="4" t="s">
        <v>22262</v>
      </c>
      <c r="C17684" s="5" t="str">
        <f>IFERROR(__xludf.DUMMYFUNCTION("GOOGLETRANSLATE(B17684,""en"",""it"")"),"Due persone sono viste sedute sulla riva mentre sono sedute in kayak.")</f>
        <v>Due persone sono viste sedute sulla riva mentre sono sedute in kayak.</v>
      </c>
    </row>
    <row r="17685">
      <c r="A17685" s="4" t="s">
        <v>22261</v>
      </c>
      <c r="B17685" s="4" t="s">
        <v>22263</v>
      </c>
      <c r="C17685" s="5" t="str">
        <f>IFERROR(__xludf.DUMMYFUNCTION("GOOGLETRANSLATE(B17685,""en"",""it"")"),"Una persona si avvicina più all'acqua e inizia a cavalcare lungo il fiume.")</f>
        <v>Una persona si avvicina più all'acqua e inizia a cavalcare lungo il fiume.</v>
      </c>
    </row>
    <row r="17686">
      <c r="A17686" s="4" t="s">
        <v>22264</v>
      </c>
      <c r="B17686" s="4" t="s">
        <v>22265</v>
      </c>
      <c r="C17686" s="5" t="str">
        <f>IFERROR(__xludf.DUMMYFUNCTION("GOOGLETRANSLATE(B17686,""en"",""it"")"),"I giovani cavalcano skateboard e fanno skidding si gira in una piazza della città.")</f>
        <v>I giovani cavalcano skateboard e fanno skidding si gira in una piazza della città.</v>
      </c>
    </row>
    <row r="17687">
      <c r="A17687" s="4" t="s">
        <v>22264</v>
      </c>
      <c r="B17687" s="4" t="s">
        <v>22266</v>
      </c>
      <c r="C17687" s="5" t="str">
        <f>IFERROR(__xludf.DUMMYFUNCTION("GOOGLETRANSLATE(B17687,""en"",""it"")"),"Lo skateboarder fa una ruota.")</f>
        <v>Lo skateboarder fa una ruota.</v>
      </c>
    </row>
    <row r="17688">
      <c r="A17688" s="4" t="s">
        <v>22264</v>
      </c>
      <c r="B17688" s="4" t="s">
        <v>22267</v>
      </c>
      <c r="C17688" s="5" t="str">
        <f>IFERROR(__xludf.DUMMYFUNCTION("GOOGLETRANSLATE(B17688,""en"",""it"")"),"Gli skateboarder cavalcano lungo un marciapiede andando da qualche parte.")</f>
        <v>Gli skateboarder cavalcano lungo un marciapiede andando da qualche parte.</v>
      </c>
    </row>
    <row r="17689">
      <c r="A17689" s="4" t="s">
        <v>22264</v>
      </c>
      <c r="B17689" s="4" t="s">
        <v>22268</v>
      </c>
      <c r="C17689" s="5" t="str">
        <f>IFERROR(__xludf.DUMMYFUNCTION("GOOGLETRANSLATE(B17689,""en"",""it"")"),"I ragazzi vanno in giro e vanno in una stazione di trasporto.")</f>
        <v>I ragazzi vanno in giro e vanno in una stazione di trasporto.</v>
      </c>
    </row>
    <row r="17690">
      <c r="A17690" s="4" t="s">
        <v>22269</v>
      </c>
      <c r="B17690" s="4" t="s">
        <v>22270</v>
      </c>
      <c r="C17690" s="5" t="str">
        <f>IFERROR(__xludf.DUMMYFUNCTION("GOOGLETRANSLATE(B17690,""en"",""it"")"),"Un uomo in rosso in esterno avvitando i suoi rotori e rimettendo la gomma sul suo camion.")</f>
        <v>Un uomo in rosso in esterno avvitando i suoi rotori e rimettendo la gomma sul suo camion.</v>
      </c>
    </row>
    <row r="17691">
      <c r="A17691" s="4" t="s">
        <v>22269</v>
      </c>
      <c r="B17691" s="4" t="s">
        <v>22271</v>
      </c>
      <c r="C17691" s="5" t="str">
        <f>IFERROR(__xludf.DUMMYFUNCTION("GOOGLETRANSLATE(B17691,""en"",""it"")"),"Afferra pezzi per stringerlo e inizia a assicurarsi che siano super stretti.")</f>
        <v>Afferra pezzi per stringerlo e inizia a assicurarsi che siano super stretti.</v>
      </c>
    </row>
    <row r="17692">
      <c r="A17692" s="4" t="s">
        <v>22269</v>
      </c>
      <c r="B17692" s="4" t="s">
        <v>22272</v>
      </c>
      <c r="C17692" s="5" t="str">
        <f>IFERROR(__xludf.DUMMYFUNCTION("GOOGLETRANSLATE(B17692,""en"",""it"")"),"Lo fa ripetutamente per assicurarsi che rimangano tutti bene.")</f>
        <v>Lo fa ripetutamente per assicurarsi che rimangano tutti bene.</v>
      </c>
    </row>
    <row r="17693">
      <c r="A17693" s="4" t="s">
        <v>22269</v>
      </c>
      <c r="B17693" s="4" t="s">
        <v>22273</v>
      </c>
      <c r="C17693" s="5" t="str">
        <f>IFERROR(__xludf.DUMMYFUNCTION("GOOGLETRANSLATE(B17693,""en"",""it"")"),"Altrimenti sarebbe pericoloso guidare se fossero sciolti.")</f>
        <v>Altrimenti sarebbe pericoloso guidare se fossero sciolti.</v>
      </c>
    </row>
    <row r="17694">
      <c r="A17694" s="4" t="s">
        <v>22274</v>
      </c>
      <c r="B17694" s="4" t="s">
        <v>22275</v>
      </c>
      <c r="C17694" s="5" t="str">
        <f>IFERROR(__xludf.DUMMYFUNCTION("GOOGLETRANSLATE(B17694,""en"",""it"")"),"Vediamo un ragazzo in un berretto in una stanza ridere e sedersi.")</f>
        <v>Vediamo un ragazzo in un berretto in una stanza ridere e sedersi.</v>
      </c>
    </row>
    <row r="17695">
      <c r="A17695" s="4" t="s">
        <v>22274</v>
      </c>
      <c r="B17695" s="4" t="s">
        <v>22276</v>
      </c>
      <c r="C17695" s="5" t="str">
        <f>IFERROR(__xludf.DUMMYFUNCTION("GOOGLETRANSLATE(B17695,""en"",""it"")"),"Vediamo il ragazzo nel backstage parlare con due uomini.")</f>
        <v>Vediamo il ragazzo nel backstage parlare con due uomini.</v>
      </c>
    </row>
    <row r="17696">
      <c r="A17696" s="4" t="s">
        <v>22274</v>
      </c>
      <c r="B17696" s="4" t="s">
        <v>22277</v>
      </c>
      <c r="C17696" s="5" t="str">
        <f>IFERROR(__xludf.DUMMYFUNCTION("GOOGLETRANSLATE(B17696,""en"",""it"")"),"Il ragazzo cammina sul palco e parla ai giudici.")</f>
        <v>Il ragazzo cammina sul palco e parla ai giudici.</v>
      </c>
    </row>
    <row r="17697">
      <c r="A17697" s="4" t="s">
        <v>22274</v>
      </c>
      <c r="B17697" s="4" t="s">
        <v>22278</v>
      </c>
      <c r="C17697" s="5" t="str">
        <f>IFERROR(__xludf.DUMMYFUNCTION("GOOGLETRANSLATE(B17697,""en"",""it"")"),"Il ragazzo si esibisce in pausa.")</f>
        <v>Il ragazzo si esibisce in pausa.</v>
      </c>
    </row>
    <row r="17698">
      <c r="A17698" s="4" t="s">
        <v>22274</v>
      </c>
      <c r="B17698" s="4" t="s">
        <v>22279</v>
      </c>
      <c r="C17698" s="5" t="str">
        <f>IFERROR(__xludf.DUMMYFUNCTION("GOOGLETRANSLATE(B17698,""en"",""it"")"),"Una bocca di giudici è aperto.")</f>
        <v>Una bocca di giudici è aperto.</v>
      </c>
    </row>
    <row r="17699">
      <c r="A17699" s="4" t="s">
        <v>22274</v>
      </c>
      <c r="B17699" s="4" t="s">
        <v>22280</v>
      </c>
      <c r="C17699" s="5" t="str">
        <f>IFERROR(__xludf.DUMMYFUNCTION("GOOGLETRANSLATE(B17699,""en"",""it"")"),"Il ragazzo finisce la danza e i giudici danno il loro feedback.")</f>
        <v>Il ragazzo finisce la danza e i giudici danno il loro feedback.</v>
      </c>
    </row>
    <row r="17700">
      <c r="A17700" s="4" t="s">
        <v>22274</v>
      </c>
      <c r="B17700" s="4" t="s">
        <v>22281</v>
      </c>
      <c r="C17700" s="5" t="str">
        <f>IFERROR(__xludf.DUMMYFUNCTION("GOOGLETRANSLATE(B17700,""en"",""it"")"),"La folla solleva le braccia in aria.")</f>
        <v>La folla solleva le braccia in aria.</v>
      </c>
    </row>
    <row r="17701">
      <c r="A17701" s="4" t="s">
        <v>22274</v>
      </c>
      <c r="B17701" s="4" t="s">
        <v>22282</v>
      </c>
      <c r="C17701" s="5" t="str">
        <f>IFERROR(__xludf.DUMMYFUNCTION("GOOGLETRANSLATE(B17701,""en"",""it"")"),"Il ragazzo esce dal palco ed è intervistato.")</f>
        <v>Il ragazzo esce dal palco ed è intervistato.</v>
      </c>
    </row>
    <row r="17702">
      <c r="A17702" s="4" t="s">
        <v>22274</v>
      </c>
      <c r="B17702" s="4" t="s">
        <v>22283</v>
      </c>
      <c r="C17702" s="5" t="str">
        <f>IFERROR(__xludf.DUMMYFUNCTION("GOOGLETRANSLATE(B17702,""en"",""it"")"),"Il ragazzo si allontana dagli uomini.")</f>
        <v>Il ragazzo si allontana dagli uomini.</v>
      </c>
    </row>
    <row r="17703">
      <c r="A17703" s="4" t="s">
        <v>22284</v>
      </c>
      <c r="B17703" s="4" t="s">
        <v>22285</v>
      </c>
      <c r="C17703" s="5" t="str">
        <f>IFERROR(__xludf.DUMMYFUNCTION("GOOGLETRANSLATE(B17703,""en"",""it"")"),"Un uomo che corre lancia un giavellotto.")</f>
        <v>Un uomo che corre lancia un giavellotto.</v>
      </c>
    </row>
    <row r="17704">
      <c r="A17704" s="4" t="s">
        <v>22284</v>
      </c>
      <c r="B17704" s="4" t="s">
        <v>22286</v>
      </c>
      <c r="C17704" s="5" t="str">
        <f>IFERROR(__xludf.DUMMYFUNCTION("GOOGLETRANSLATE(B17704,""en"",""it"")"),"Mette le mani in aria e ondate alla folla.")</f>
        <v>Mette le mani in aria e ondate alla folla.</v>
      </c>
    </row>
    <row r="17705">
      <c r="A17705" s="4" t="s">
        <v>22284</v>
      </c>
      <c r="B17705" s="4" t="s">
        <v>22287</v>
      </c>
      <c r="C17705" s="5" t="str">
        <f>IFERROR(__xludf.DUMMYFUNCTION("GOOGLETRANSLATE(B17705,""en"",""it"")"),"Afferra un asciugamano e mette le mani in aria.")</f>
        <v>Afferra un asciugamano e mette le mani in aria.</v>
      </c>
    </row>
    <row r="17706">
      <c r="A17706" s="4" t="s">
        <v>22288</v>
      </c>
      <c r="B17706" s="6" t="s">
        <v>22289</v>
      </c>
      <c r="C17706" s="5" t="str">
        <f>IFERROR(__xludf.DUMMYFUNCTION("GOOGLETRANSLATE(B17706,""en"",""it"")"),"Un uomo è in piedi in un bar e inizia a versare ghiaccio in una tazza alta insieme a liquido blu, liquido scuro e liquido rosso.")</f>
        <v>Un uomo è in piedi in un bar e inizia a versare ghiaccio in una tazza alta insieme a liquido blu, liquido scuro e liquido rosso.</v>
      </c>
    </row>
    <row r="17707">
      <c r="A17707" s="4" t="s">
        <v>22288</v>
      </c>
      <c r="B17707" s="4" t="s">
        <v>22290</v>
      </c>
      <c r="C17707" s="5" t="str">
        <f>IFERROR(__xludf.DUMMYFUNCTION("GOOGLETRANSLATE(B17707,""en"",""it"")"),"L'uomo quindi lo versa in uno shaker e lo scuote fino a quando non si è miscelato completamente.")</f>
        <v>L'uomo quindi lo versa in uno shaker e lo scuote fino a quando non si è miscelato completamente.</v>
      </c>
    </row>
    <row r="17708">
      <c r="A17708" s="4" t="s">
        <v>22288</v>
      </c>
      <c r="B17708" s="6" t="s">
        <v>22291</v>
      </c>
      <c r="C17708" s="5" t="str">
        <f>IFERROR(__xludf.DUMMYFUNCTION("GOOGLETRANSLATE(B17708,""en"",""it"")"),"Quando l'uomo ha finito di scuotere la bevanda, rimuove la tazza dallo shaker, versa i liquidi in una tazza più piccola e ci infila una cannuccia bianca.")</f>
        <v>Quando l'uomo ha finito di scuotere la bevanda, rimuove la tazza dallo shaker, versa i liquidi in una tazza più piccola e ci infila una cannuccia bianca.</v>
      </c>
    </row>
    <row r="17709">
      <c r="A17709" s="4" t="s">
        <v>22288</v>
      </c>
      <c r="B17709" s="4" t="s">
        <v>22292</v>
      </c>
      <c r="C17709" s="5" t="str">
        <f>IFERROR(__xludf.DUMMYFUNCTION("GOOGLETRANSLATE(B17709,""en"",""it"")"),"Tutto mentre parla dell'uomo, quindi raccoglie la tazza, lo odora, sorride e tiene la bevanda.")</f>
        <v>Tutto mentre parla dell'uomo, quindi raccoglie la tazza, lo odora, sorride e tiene la bevanda.</v>
      </c>
    </row>
    <row r="17710">
      <c r="A17710" s="4" t="s">
        <v>22293</v>
      </c>
      <c r="B17710" s="4" t="s">
        <v>22294</v>
      </c>
      <c r="C17710" s="5" t="str">
        <f>IFERROR(__xludf.DUMMYFUNCTION("GOOGLETRANSLATE(B17710,""en"",""it"")"),"Una telecamera si muove attorno a una persona che cavalca su un cavallo.")</f>
        <v>Una telecamera si muove attorno a una persona che cavalca su un cavallo.</v>
      </c>
    </row>
    <row r="17711">
      <c r="A17711" s="4" t="s">
        <v>22293</v>
      </c>
      <c r="B17711" s="6" t="s">
        <v>22295</v>
      </c>
      <c r="C17711" s="5" t="str">
        <f>IFERROR(__xludf.DUMMYFUNCTION("GOOGLETRANSLATE(B17711,""en"",""it"")"),"La persona continua a cavalcare la zona e fa una pausa per parlare con la donna mentre ride e parla alla telecamera.")</f>
        <v>La persona continua a cavalcare la zona e fa una pausa per parlare con la donna mentre ride e parla alla telecamera.</v>
      </c>
    </row>
    <row r="17712">
      <c r="A17712" s="4" t="s">
        <v>22296</v>
      </c>
      <c r="B17712" s="4" t="s">
        <v>22297</v>
      </c>
      <c r="C17712" s="5" t="str">
        <f>IFERROR(__xludf.DUMMYFUNCTION("GOOGLETRANSLATE(B17712,""en"",""it"")"),"Un gruppo di cheerleader si riunisce su un campo di calcio.")</f>
        <v>Un gruppo di cheerleader si riunisce su un campo di calcio.</v>
      </c>
    </row>
    <row r="17713">
      <c r="A17713" s="4" t="s">
        <v>22296</v>
      </c>
      <c r="B17713" s="4" t="s">
        <v>22298</v>
      </c>
      <c r="C17713" s="5" t="str">
        <f>IFERROR(__xludf.DUMMYFUNCTION("GOOGLETRANSLATE(B17713,""en"",""it"")"),"Guida e si lanciano mentre si muovono attraverso il campo.")</f>
        <v>Guida e si lanciano mentre si muovono attraverso il campo.</v>
      </c>
    </row>
    <row r="17714">
      <c r="A17714" s="4" t="s">
        <v>22296</v>
      </c>
      <c r="B17714" s="4" t="s">
        <v>22299</v>
      </c>
      <c r="C17714" s="5" t="str">
        <f>IFERROR(__xludf.DUMMYFUNCTION("GOOGLETRANSLATE(B17714,""en"",""it"")"),"Hanno quindi messo una performance, lanciando e saltando.")</f>
        <v>Hanno quindi messo una performance, lanciando e saltando.</v>
      </c>
    </row>
    <row r="17715">
      <c r="A17715" s="4" t="s">
        <v>22300</v>
      </c>
      <c r="B17715" s="6" t="s">
        <v>22301</v>
      </c>
      <c r="C17715" s="5" t="str">
        <f>IFERROR(__xludf.DUMMYFUNCTION("GOOGLETRANSLATE(B17715,""en"",""it"")"),"Un'introduzione conduce in diversi colpi di una zona boscosa e diverse persone che il bungee salta da un ponte.")</f>
        <v>Un'introduzione conduce in diversi colpi di una zona boscosa e diverse persone che il bungee salta da un ponte.</v>
      </c>
    </row>
    <row r="17716">
      <c r="A17716" s="4" t="s">
        <v>22300</v>
      </c>
      <c r="B17716" s="6" t="s">
        <v>22302</v>
      </c>
      <c r="C17716" s="5" t="str">
        <f>IFERROR(__xludf.DUMMYFUNCTION("GOOGLETRANSLATE(B17716,""en"",""it"")"),"Diversi colpi di persone che saltano di lato e hanno mostrato e molti in piedi sul lato e i primi piani dei saltatori.")</f>
        <v>Diversi colpi di persone che saltano di lato e hanno mostrato e molti in piedi sul lato e i primi piani dei saltatori.</v>
      </c>
    </row>
    <row r="17717">
      <c r="A17717" s="4" t="s">
        <v>22303</v>
      </c>
      <c r="B17717" s="6" t="s">
        <v>22304</v>
      </c>
      <c r="C17717" s="5" t="str">
        <f>IFERROR(__xludf.DUMMYFUNCTION("GOOGLETRANSLATE(B17717,""en"",""it"")"),"La gente in piedi guardava mentre due tori camminano su un anello di corrida, altre persone camminano sul ring che scattano foto.")</f>
        <v>La gente in piedi guardava mentre due tori camminano su un anello di corrida, altre persone camminano sul ring che scattano foto.</v>
      </c>
    </row>
    <row r="17718">
      <c r="A17718" s="4" t="s">
        <v>22303</v>
      </c>
      <c r="B17718" s="4" t="s">
        <v>22305</v>
      </c>
      <c r="C17718" s="5" t="str">
        <f>IFERROR(__xludf.DUMMYFUNCTION("GOOGLETRANSLATE(B17718,""en"",""it"")"),"I tori bloccano le corna e sono aggressivi l'uno verso l'altro.")</f>
        <v>I tori bloccano le corna e sono aggressivi l'uno verso l'altro.</v>
      </c>
    </row>
    <row r="17719">
      <c r="A17719" s="4" t="s">
        <v>22303</v>
      </c>
      <c r="B17719" s="4" t="s">
        <v>22306</v>
      </c>
      <c r="C17719" s="5" t="str">
        <f>IFERROR(__xludf.DUMMYFUNCTION("GOOGLETRANSLATE(B17719,""en"",""it"")"),"Un toro si allontana dall'altro, e poi si gira rapidamente in reimpegnarsi nella lotta.")</f>
        <v>Un toro si allontana dall'altro, e poi si gira rapidamente in reimpegnarsi nella lotta.</v>
      </c>
    </row>
    <row r="17720">
      <c r="A17720" s="4" t="s">
        <v>22303</v>
      </c>
      <c r="B17720" s="4" t="s">
        <v>22307</v>
      </c>
      <c r="C17720" s="5" t="str">
        <f>IFERROR(__xludf.DUMMYFUNCTION("GOOGLETRANSLATE(B17720,""en"",""it"")"),"I tori si girano l'un l'altro.")</f>
        <v>I tori si girano l'un l'altro.</v>
      </c>
    </row>
    <row r="17721">
      <c r="A17721" s="4" t="s">
        <v>22303</v>
      </c>
      <c r="B17721" s="4" t="s">
        <v>22308</v>
      </c>
      <c r="C17721" s="5" t="str">
        <f>IFERROR(__xludf.DUMMYFUNCTION("GOOGLETRANSLATE(B17721,""en"",""it"")"),"I tori iniziano a combattere.")</f>
        <v>I tori iniziano a combattere.</v>
      </c>
    </row>
    <row r="17722">
      <c r="A17722" s="4" t="s">
        <v>22309</v>
      </c>
      <c r="B17722" s="4" t="s">
        <v>22310</v>
      </c>
      <c r="C17722" s="5" t="str">
        <f>IFERROR(__xludf.DUMMYFUNCTION("GOOGLETRANSLATE(B17722,""en"",""it"")"),"L'uomo è in piedi in un laboratorio in piedi davanti a una bicicletta che parla alla telecamera.")</f>
        <v>L'uomo è in piedi in un laboratorio in piedi davanti a una bicicletta che parla alla telecamera.</v>
      </c>
    </row>
    <row r="17723">
      <c r="A17723" s="4" t="s">
        <v>22309</v>
      </c>
      <c r="B17723" s="4" t="s">
        <v>22311</v>
      </c>
      <c r="C17723" s="5" t="str">
        <f>IFERROR(__xludf.DUMMYFUNCTION("GOOGLETRANSLATE(B17723,""en"",""it"")"),"L'elenco dei materiali è mostrato nello schermo.")</f>
        <v>L'elenco dei materiali è mostrato nello schermo.</v>
      </c>
    </row>
    <row r="17724">
      <c r="A17724" s="4" t="s">
        <v>22309</v>
      </c>
      <c r="B17724" s="4" t="s">
        <v>22312</v>
      </c>
      <c r="C17724" s="5" t="str">
        <f>IFERROR(__xludf.DUMMYFUNCTION("GOOGLETRANSLATE(B17724,""en"",""it"")"),"L'uomo sta mettendo la burocrazia su barrette per biciclette.")</f>
        <v>L'uomo sta mettendo la burocrazia su barrette per biciclette.</v>
      </c>
    </row>
    <row r="17725">
      <c r="A17725" s="4" t="s">
        <v>22309</v>
      </c>
      <c r="B17725" s="4" t="s">
        <v>22313</v>
      </c>
      <c r="C17725" s="5" t="str">
        <f>IFERROR(__xludf.DUMMYFUNCTION("GOOGLETRANSLATE(B17725,""en"",""it"")"),"L'uomo sta avvolgendo tutta la barra in burocrazia.")</f>
        <v>L'uomo sta avvolgendo tutta la barra in burocrazia.</v>
      </c>
    </row>
    <row r="17726">
      <c r="A17726" s="4" t="s">
        <v>22314</v>
      </c>
      <c r="B17726" s="4" t="s">
        <v>22315</v>
      </c>
      <c r="C17726" s="5" t="str">
        <f>IFERROR(__xludf.DUMMYFUNCTION("GOOGLETRANSLATE(B17726,""en"",""it"")"),"Un uomo lancia un frisbee su un campo.")</f>
        <v>Un uomo lancia un frisbee su un campo.</v>
      </c>
    </row>
    <row r="17727">
      <c r="A17727" s="4" t="s">
        <v>22314</v>
      </c>
      <c r="B17727" s="4" t="s">
        <v>22316</v>
      </c>
      <c r="C17727" s="5" t="str">
        <f>IFERROR(__xludf.DUMMYFUNCTION("GOOGLETRANSLATE(B17727,""en"",""it"")"),"Un cane salta e afferra il frisbee in aria.")</f>
        <v>Un cane salta e afferra il frisbee in aria.</v>
      </c>
    </row>
    <row r="17728">
      <c r="A17728" s="4" t="s">
        <v>22314</v>
      </c>
      <c r="B17728" s="4" t="s">
        <v>22317</v>
      </c>
      <c r="C17728" s="5" t="str">
        <f>IFERROR(__xludf.DUMMYFUNCTION("GOOGLETRANSLATE(B17728,""en"",""it"")"),"L'uomo si sdraia sulla schiena e il cane si alza in piedi.")</f>
        <v>L'uomo si sdraia sulla schiena e il cane si alza in piedi.</v>
      </c>
    </row>
    <row r="17729">
      <c r="A17729" s="4" t="s">
        <v>22314</v>
      </c>
      <c r="B17729" s="4" t="s">
        <v>22318</v>
      </c>
      <c r="C17729" s="5" t="str">
        <f>IFERROR(__xludf.DUMMYFUNCTION("GOOGLETRANSLATE(B17729,""en"",""it"")"),"L'uomo si china e il cane salta sulla schiena.")</f>
        <v>L'uomo si china e il cane salta sulla schiena.</v>
      </c>
    </row>
    <row r="17730">
      <c r="A17730" s="4" t="s">
        <v>22314</v>
      </c>
      <c r="B17730" s="4" t="s">
        <v>22319</v>
      </c>
      <c r="C17730" s="5" t="str">
        <f>IFERROR(__xludf.DUMMYFUNCTION("GOOGLETRANSLATE(B17730,""en"",""it"")"),"Il cane corre e salta tra le braccia dell'uomo e l'uomo lo porta.")</f>
        <v>Il cane corre e salta tra le braccia dell'uomo e l'uomo lo porta.</v>
      </c>
    </row>
    <row r="17731">
      <c r="A17731" s="4" t="s">
        <v>22320</v>
      </c>
      <c r="B17731" s="4" t="s">
        <v>22321</v>
      </c>
      <c r="C17731" s="5" t="str">
        <f>IFERROR(__xludf.DUMMYFUNCTION("GOOGLETRANSLATE(B17731,""en"",""it"")"),"Una donna parla alla telecamera.")</f>
        <v>Una donna parla alla telecamera.</v>
      </c>
    </row>
    <row r="17732">
      <c r="A17732" s="4" t="s">
        <v>22320</v>
      </c>
      <c r="B17732" s="4" t="s">
        <v>22322</v>
      </c>
      <c r="C17732" s="5" t="str">
        <f>IFERROR(__xludf.DUMMYFUNCTION("GOOGLETRANSLATE(B17732,""en"",""it"")"),"Molti limoni cadono su un bancone.")</f>
        <v>Molti limoni cadono su un bancone.</v>
      </c>
    </row>
    <row r="17733">
      <c r="A17733" s="4" t="s">
        <v>22320</v>
      </c>
      <c r="B17733" s="4" t="s">
        <v>22323</v>
      </c>
      <c r="C17733" s="5" t="str">
        <f>IFERROR(__xludf.DUMMYFUNCTION("GOOGLETRANSLATE(B17733,""en"",""it"")"),"La donna afferra una ciotola di legno e ci versa zucchero di canna.")</f>
        <v>La donna afferra una ciotola di legno e ci versa zucchero di canna.</v>
      </c>
    </row>
    <row r="17734">
      <c r="A17734" s="4" t="s">
        <v>22320</v>
      </c>
      <c r="B17734" s="4" t="s">
        <v>22324</v>
      </c>
      <c r="C17734" s="5" t="str">
        <f>IFERROR(__xludf.DUMMYFUNCTION("GOOGLETRANSLATE(B17734,""en"",""it"")"),"Afferra un limone e strofina lo zucchero di canna su tutto il limone.")</f>
        <v>Afferra un limone e strofina lo zucchero di canna su tutto il limone.</v>
      </c>
    </row>
    <row r="17735">
      <c r="A17735" s="4" t="s">
        <v>22320</v>
      </c>
      <c r="B17735" s="4" t="s">
        <v>22325</v>
      </c>
      <c r="C17735" s="5" t="str">
        <f>IFERROR(__xludf.DUMMYFUNCTION("GOOGLETRANSLATE(B17735,""en"",""it"")"),"Procede a strofinare due limoni sul bancone.")</f>
        <v>Procede a strofinare due limoni sul bancone.</v>
      </c>
    </row>
    <row r="17736">
      <c r="A17736" s="4" t="s">
        <v>22320</v>
      </c>
      <c r="B17736" s="4" t="s">
        <v>22326</v>
      </c>
      <c r="C17736" s="5" t="str">
        <f>IFERROR(__xludf.DUMMYFUNCTION("GOOGLETRANSLATE(B17736,""en"",""it"")"),"Con un coltello, taglia un limone a metà.")</f>
        <v>Con un coltello, taglia un limone a metà.</v>
      </c>
    </row>
    <row r="17737">
      <c r="A17737" s="4" t="s">
        <v>22320</v>
      </c>
      <c r="B17737" s="4" t="s">
        <v>22327</v>
      </c>
      <c r="C17737" s="5" t="str">
        <f>IFERROR(__xludf.DUMMYFUNCTION("GOOGLETRANSLATE(B17737,""en"",""it"")"),"Strema il succo di limone in una ciotola.")</f>
        <v>Strema il succo di limone in una ciotola.</v>
      </c>
    </row>
    <row r="17738">
      <c r="A17738" s="4" t="s">
        <v>22320</v>
      </c>
      <c r="B17738" s="4" t="s">
        <v>22328</v>
      </c>
      <c r="C17738" s="5" t="str">
        <f>IFERROR(__xludf.DUMMYFUNCTION("GOOGLETRANSLATE(B17738,""en"",""it"")"),"Versa il succo di limone spremuto in una brocca.")</f>
        <v>Versa il succo di limone spremuto in una brocca.</v>
      </c>
    </row>
    <row r="17739">
      <c r="A17739" s="4" t="s">
        <v>22320</v>
      </c>
      <c r="B17739" s="4" t="s">
        <v>22329</v>
      </c>
      <c r="C17739" s="5" t="str">
        <f>IFERROR(__xludf.DUMMYFUNCTION("GOOGLETRANSLATE(B17739,""en"",""it"")"),"Versa acqua bollente nella ciotola con zucchero di canna.")</f>
        <v>Versa acqua bollente nella ciotola con zucchero di canna.</v>
      </c>
    </row>
    <row r="17740">
      <c r="A17740" s="4" t="s">
        <v>22320</v>
      </c>
      <c r="B17740" s="4" t="s">
        <v>22330</v>
      </c>
      <c r="C17740" s="5" t="str">
        <f>IFERROR(__xludf.DUMMYFUNCTION("GOOGLETRANSLATE(B17740,""en"",""it"")"),"Shes versa lo zucchero di canna annaffiato nella brocca e si agita.")</f>
        <v>Shes versa lo zucchero di canna annaffiato nella brocca e si agita.</v>
      </c>
    </row>
    <row r="17741">
      <c r="A17741" s="4" t="s">
        <v>22320</v>
      </c>
      <c r="B17741" s="4" t="s">
        <v>22331</v>
      </c>
      <c r="C17741" s="5" t="str">
        <f>IFERROR(__xludf.DUMMYFUNCTION("GOOGLETRANSLATE(B17741,""en"",""it"")"),"Rompe i cubi di ghiaccio colpendoli con un cucchiaio.")</f>
        <v>Rompe i cubi di ghiaccio colpendoli con un cucchiaio.</v>
      </c>
    </row>
    <row r="17742">
      <c r="A17742" s="4" t="s">
        <v>22320</v>
      </c>
      <c r="B17742" s="4" t="s">
        <v>22332</v>
      </c>
      <c r="C17742" s="5" t="str">
        <f>IFERROR(__xludf.DUMMYFUNCTION("GOOGLETRANSLATE(B17742,""en"",""it"")"),"Mette il ghiaccio in un bicchiere e aggiunge la limonata.")</f>
        <v>Mette il ghiaccio in un bicchiere e aggiunge la limonata.</v>
      </c>
    </row>
    <row r="17743">
      <c r="A17743" s="4" t="s">
        <v>22320</v>
      </c>
      <c r="B17743" s="4" t="s">
        <v>22333</v>
      </c>
      <c r="C17743" s="5" t="str">
        <f>IFERROR(__xludf.DUMMYFUNCTION("GOOGLETRANSLATE(B17743,""en"",""it"")"),"Infine, prende un sorso di limonata che ha appena fatto.")</f>
        <v>Infine, prende un sorso di limonata che ha appena fatto.</v>
      </c>
    </row>
    <row r="17744">
      <c r="A17744" s="4" t="s">
        <v>22334</v>
      </c>
      <c r="B17744" s="4" t="s">
        <v>22335</v>
      </c>
      <c r="C17744" s="5" t="str">
        <f>IFERROR(__xludf.DUMMYFUNCTION("GOOGLETRANSLATE(B17744,""en"",""it"")"),"Un cowboy cavalca un cavallo da un recinto ed entra in una zona recintata.")</f>
        <v>Un cowboy cavalca un cavallo da un recinto ed entra in una zona recintata.</v>
      </c>
    </row>
    <row r="17745">
      <c r="A17745" s="4" t="s">
        <v>22334</v>
      </c>
      <c r="B17745" s="4" t="s">
        <v>22336</v>
      </c>
      <c r="C17745" s="5" t="str">
        <f>IFERROR(__xludf.DUMMYFUNCTION("GOOGLETRANSLATE(B17745,""en"",""it"")"),"L'uomo cavalca il cavallo dal recinto e getta una corda attorno a un bestiame.")</f>
        <v>L'uomo cavalca il cavallo dal recinto e getta una corda attorno a un bestiame.</v>
      </c>
    </row>
    <row r="17746">
      <c r="A17746" s="4" t="s">
        <v>22334</v>
      </c>
      <c r="B17746" s="4" t="s">
        <v>22337</v>
      </c>
      <c r="C17746" s="5" t="str">
        <f>IFERROR(__xludf.DUMMYFUNCTION("GOOGLETRANSLATE(B17746,""en"",""it"")"),"L'uomo è aiutato da altri cowboy mentre si lega il bestiame.")</f>
        <v>L'uomo è aiutato da altri cowboy mentre si lega il bestiame.</v>
      </c>
    </row>
    <row r="17747">
      <c r="A17747" s="4" t="s">
        <v>22338</v>
      </c>
      <c r="B17747" s="4" t="s">
        <v>22339</v>
      </c>
      <c r="C17747" s="5" t="str">
        <f>IFERROR(__xludf.DUMMYFUNCTION("GOOGLETRANSLATE(B17747,""en"",""it"")"),"Una ragazza in un vestito scintillante marcia sul campo seguito da altre ragazze.")</f>
        <v>Una ragazza in un vestito scintillante marcia sul campo seguito da altre ragazze.</v>
      </c>
    </row>
    <row r="17748">
      <c r="A17748" s="4" t="s">
        <v>22338</v>
      </c>
      <c r="B17748" s="4" t="s">
        <v>22340</v>
      </c>
      <c r="C17748" s="5" t="str">
        <f>IFERROR(__xludf.DUMMYFUNCTION("GOOGLETRANSLATE(B17748,""en"",""it"")"),"Stanno tenendo manganelli mentre marciano.")</f>
        <v>Stanno tenendo manganelli mentre marciano.</v>
      </c>
    </row>
    <row r="17749">
      <c r="A17749" s="4" t="s">
        <v>22338</v>
      </c>
      <c r="B17749" s="4" t="s">
        <v>22341</v>
      </c>
      <c r="C17749" s="5" t="str">
        <f>IFERROR(__xludf.DUMMYFUNCTION("GOOGLETRANSLATE(B17749,""en"",""it"")"),"Quindi si allontanano, fuori dal campo.")</f>
        <v>Quindi si allontanano, fuori dal campo.</v>
      </c>
    </row>
    <row r="17750">
      <c r="A17750" s="4" t="s">
        <v>22342</v>
      </c>
      <c r="B17750" s="6" t="s">
        <v>22343</v>
      </c>
      <c r="C17750" s="5" t="str">
        <f>IFERROR(__xludf.DUMMYFUNCTION("GOOGLETRANSLATE(B17750,""en"",""it"")"),"Una pista interna viene mostrata mentre un maschio inizia a correre con una volta ma non ha successo nel suo salto.")</f>
        <v>Una pista interna viene mostrata mentre un maschio inizia a correre con una volta ma non ha successo nel suo salto.</v>
      </c>
    </row>
    <row r="17751">
      <c r="A17751" s="4" t="s">
        <v>22342</v>
      </c>
      <c r="B17751" s="4" t="s">
        <v>22344</v>
      </c>
      <c r="C17751" s="5" t="str">
        <f>IFERROR(__xludf.DUMMYFUNCTION("GOOGLETRANSLATE(B17751,""en"",""it"")"),"Un'altra persona viene quindi dietro la telecamera e inizia a parlare.")</f>
        <v>Un'altra persona viene quindi dietro la telecamera e inizia a parlare.</v>
      </c>
    </row>
    <row r="17752">
      <c r="A17752" s="4" t="s">
        <v>22342</v>
      </c>
      <c r="B17752" s="4" t="s">
        <v>22345</v>
      </c>
      <c r="C17752" s="5" t="str">
        <f>IFERROR(__xludf.DUMMYFUNCTION("GOOGLETRANSLATE(B17752,""en"",""it"")"),"L'atleta quindi salta più volte ma non ha successo.")</f>
        <v>L'atleta quindi salta più volte ma non ha successo.</v>
      </c>
    </row>
    <row r="17753">
      <c r="A17753" s="4" t="s">
        <v>22346</v>
      </c>
      <c r="B17753" s="4" t="s">
        <v>22347</v>
      </c>
      <c r="C17753" s="5" t="str">
        <f>IFERROR(__xludf.DUMMYFUNCTION("GOOGLETRANSLATE(B17753,""en"",""it"")"),"Le persone anziane giocano a croquet vicino all'oceano.")</f>
        <v>Le persone anziane giocano a croquet vicino all'oceano.</v>
      </c>
    </row>
    <row r="17754">
      <c r="A17754" s="4" t="s">
        <v>22346</v>
      </c>
      <c r="B17754" s="4" t="s">
        <v>22348</v>
      </c>
      <c r="C17754" s="5" t="str">
        <f>IFERROR(__xludf.DUMMYFUNCTION("GOOGLETRANSLATE(B17754,""en"",""it"")"),"Un gruppo di persone va e cammina in sottofondo.")</f>
        <v>Un gruppo di persone va e cammina in sottofondo.</v>
      </c>
    </row>
    <row r="17755">
      <c r="A17755" s="4" t="s">
        <v>22346</v>
      </c>
      <c r="B17755" s="4" t="s">
        <v>22349</v>
      </c>
      <c r="C17755" s="5" t="str">
        <f>IFERROR(__xludf.DUMMYFUNCTION("GOOGLETRANSLATE(B17755,""en"",""it"")"),"I due gruppi giocano e interagiscono tra loro.")</f>
        <v>I due gruppi giocano e interagiscono tra loro.</v>
      </c>
    </row>
    <row r="17756">
      <c r="A17756" s="4" t="s">
        <v>22350</v>
      </c>
      <c r="B17756" s="4" t="s">
        <v>22351</v>
      </c>
      <c r="C17756" s="5" t="str">
        <f>IFERROR(__xludf.DUMMYFUNCTION("GOOGLETRANSLATE(B17756,""en"",""it"")"),"Un uomo morto solleva una barra di peso da terra sopra la testa in palestra.")</f>
        <v>Un uomo morto solleva una barra di peso da terra sopra la testa in palestra.</v>
      </c>
    </row>
    <row r="17757">
      <c r="A17757" s="4" t="s">
        <v>22350</v>
      </c>
      <c r="B17757" s="4" t="s">
        <v>22352</v>
      </c>
      <c r="C17757" s="5" t="str">
        <f>IFERROR(__xludf.DUMMYFUNCTION("GOOGLETRANSLATE(B17757,""en"",""it"")"),"L'uomo fa ripetizioni che solleva una barra di peso da terra a livello di vita.")</f>
        <v>L'uomo fa ripetizioni che solleva una barra di peso da terra a livello di vita.</v>
      </c>
    </row>
    <row r="17758">
      <c r="A17758" s="4" t="s">
        <v>22353</v>
      </c>
      <c r="B17758" s="4" t="s">
        <v>22354</v>
      </c>
      <c r="C17758" s="5" t="str">
        <f>IFERROR(__xludf.DUMMYFUNCTION("GOOGLETRANSLATE(B17758,""en"",""it"")"),"Ci sono due uomini che usano le tecniche di difesa come un modo per le mosse di danza.")</f>
        <v>Ci sono due uomini che usano le tecniche di difesa come un modo per le mosse di danza.</v>
      </c>
    </row>
    <row r="17759">
      <c r="A17759" s="4" t="s">
        <v>22353</v>
      </c>
      <c r="B17759" s="4" t="s">
        <v>22355</v>
      </c>
      <c r="C17759" s="5" t="str">
        <f>IFERROR(__xludf.DUMMYFUNCTION("GOOGLETRANSLATE(B17759,""en"",""it"")"),"Sono nel mezzo di un cerchio di persone, che stanno applaudendo.")</f>
        <v>Sono nel mezzo di un cerchio di persone, che stanno applaudendo.</v>
      </c>
    </row>
    <row r="17760">
      <c r="A17760" s="4" t="s">
        <v>22353</v>
      </c>
      <c r="B17760" s="4" t="s">
        <v>22356</v>
      </c>
      <c r="C17760" s="5" t="str">
        <f>IFERROR(__xludf.DUMMYFUNCTION("GOOGLETRANSLATE(B17760,""en"",""it"")"),"Altri due uomini vengono dalla folla per provare a ballare, ma il video finisce.")</f>
        <v>Altri due uomini vengono dalla folla per provare a ballare, ma il video finisce.</v>
      </c>
    </row>
    <row r="17761">
      <c r="A17761" s="4" t="s">
        <v>22357</v>
      </c>
      <c r="B17761" s="4" t="s">
        <v>22358</v>
      </c>
      <c r="C17761" s="5" t="str">
        <f>IFERROR(__xludf.DUMMYFUNCTION("GOOGLETRANSLATE(B17761,""en"",""it"")"),"Un uomo viene visto indossare occhiali da sole e parlare alla telecamera mentre tiene in mano un bastoncino di lacrosse.")</f>
        <v>Un uomo viene visto indossare occhiali da sole e parlare alla telecamera mentre tiene in mano un bastoncino di lacrosse.</v>
      </c>
    </row>
    <row r="17762">
      <c r="A17762" s="4" t="s">
        <v>22357</v>
      </c>
      <c r="B17762" s="4" t="s">
        <v>22359</v>
      </c>
      <c r="C17762" s="5" t="str">
        <f>IFERROR(__xludf.DUMMYFUNCTION("GOOGLETRANSLATE(B17762,""en"",""it"")"),"L'uomo continua a parlare con la fotocamera mentre si muove il bastone tutt'intorno.")</f>
        <v>L'uomo continua a parlare con la fotocamera mentre si muove il bastone tutt'intorno.</v>
      </c>
    </row>
    <row r="17763">
      <c r="A17763" s="4" t="s">
        <v>22357</v>
      </c>
      <c r="B17763" s="6" t="s">
        <v>22360</v>
      </c>
      <c r="C17763" s="5" t="str">
        <f>IFERROR(__xludf.DUMMYFUNCTION("GOOGLETRANSLATE(B17763,""en"",""it"")"),"Alla fine viene visto ancora parlare mentre si muove le gambe e mostra come lanciare correttamente la palla.")</f>
        <v>Alla fine viene visto ancora parlare mentre si muove le gambe e mostra come lanciare correttamente la palla.</v>
      </c>
    </row>
    <row r="17764">
      <c r="A17764" s="4" t="s">
        <v>22361</v>
      </c>
      <c r="B17764" s="4" t="s">
        <v>22362</v>
      </c>
      <c r="C17764" s="5" t="str">
        <f>IFERROR(__xludf.DUMMYFUNCTION("GOOGLETRANSLATE(B17764,""en"",""it"")"),"Viene visto un uomo parlare alla telecamera e conduce a clip di lui che colpisce una palla in giro con un bastone.")</f>
        <v>Viene visto un uomo parlare alla telecamera e conduce a clip di lui che colpisce una palla in giro con un bastone.</v>
      </c>
    </row>
    <row r="17765">
      <c r="A17765" s="4" t="s">
        <v>22361</v>
      </c>
      <c r="B17765" s="6" t="s">
        <v>22363</v>
      </c>
      <c r="C17765" s="5" t="str">
        <f>IFERROR(__xludf.DUMMYFUNCTION("GOOGLETRANSLATE(B17765,""en"",""it"")"),"L'uomo continua a parlare con la fotocamera in diversi punti e colpendo la palla attorno a un'area interna.")</f>
        <v>L'uomo continua a parlare con la fotocamera in diversi punti e colpendo la palla attorno a un'area interna.</v>
      </c>
    </row>
    <row r="17766">
      <c r="A17766" s="4" t="s">
        <v>22364</v>
      </c>
      <c r="B17766" s="4" t="s">
        <v>22365</v>
      </c>
      <c r="C17766" s="5" t="str">
        <f>IFERROR(__xludf.DUMMYFUNCTION("GOOGLETRANSLATE(B17766,""en"",""it"")"),"Un'introduzione arriva sullo schermo per un video su come sciare.")</f>
        <v>Un'introduzione arriva sullo schermo per un video su come sciare.</v>
      </c>
    </row>
    <row r="17767">
      <c r="A17767" s="4" t="s">
        <v>22364</v>
      </c>
      <c r="B17767" s="6" t="s">
        <v>22366</v>
      </c>
      <c r="C17767" s="5" t="str">
        <f>IFERROR(__xludf.DUMMYFUNCTION("GOOGLETRANSLATE(B17767,""en"",""it"")"),"Un uomo inizia a parlare di alcuni componenti chiave dello sci e di come imparare a sciare.")</f>
        <v>Un uomo inizia a parlare di alcuni componenti chiave dello sci e di come imparare a sciare.</v>
      </c>
    </row>
    <row r="17768">
      <c r="A17768" s="4" t="s">
        <v>22364</v>
      </c>
      <c r="B17768" s="6" t="s">
        <v>22367</v>
      </c>
      <c r="C17768" s="5" t="str">
        <f>IFERROR(__xludf.DUMMYFUNCTION("GOOGLETRANSLATE(B17768,""en"",""it"")"),"Il video va quindi al video di persone che sciano giù per un pendio mentre si gira e si gira da un lato all'altro.")</f>
        <v>Il video va quindi al video di persone che sciano giù per un pendio mentre si gira e si gira da un lato all'altro.</v>
      </c>
    </row>
    <row r="17769">
      <c r="A17769" s="4" t="s">
        <v>22364</v>
      </c>
      <c r="B17769" s="4" t="s">
        <v>22368</v>
      </c>
      <c r="C17769" s="5" t="str">
        <f>IFERROR(__xludf.DUMMYFUNCTION("GOOGLETRANSLATE(B17769,""en"",""it"")"),"Viene mostrata una scena di tre uomini che parlano mentre cavalcano l'ascensore da sci.")</f>
        <v>Viene mostrata una scena di tre uomini che parlano mentre cavalcano l'ascensore da sci.</v>
      </c>
    </row>
    <row r="17770">
      <c r="A17770" s="4" t="s">
        <v>22364</v>
      </c>
      <c r="B17770" s="4" t="s">
        <v>22369</v>
      </c>
      <c r="C17770" s="5" t="str">
        <f>IFERROR(__xludf.DUMMYFUNCTION("GOOGLETRANSLATE(B17770,""en"",""it"")"),"I crediti e la grafica di chiusura sono mostrati alla fine.")</f>
        <v>I crediti e la grafica di chiusura sono mostrati alla fine.</v>
      </c>
    </row>
    <row r="17771">
      <c r="A17771" s="4" t="s">
        <v>22370</v>
      </c>
      <c r="B17771" s="4" t="s">
        <v>22371</v>
      </c>
      <c r="C17771" s="5" t="str">
        <f>IFERROR(__xludf.DUMMYFUNCTION("GOOGLETRANSLATE(B17771,""en"",""it"")"),"Un dipendente della metropolitana è in cucina a preparare il sub.")</f>
        <v>Un dipendente della metropolitana è in cucina a preparare il sub.</v>
      </c>
    </row>
    <row r="17772">
      <c r="A17772" s="4" t="s">
        <v>22370</v>
      </c>
      <c r="B17772" s="6" t="s">
        <v>22372</v>
      </c>
      <c r="C17772" s="5" t="str">
        <f>IFERROR(__xludf.DUMMYFUNCTION("GOOGLETRANSLATE(B17772,""en"",""it"")"),"Su un pezzo bianco c'è di carta c'è un pezzo di pane lungo un piede e una fila di prosciutto, peperoni, salame, quindi il formaggio viene aggiunto sul sottomarino.")</f>
        <v>Su un pezzo bianco c'è di carta c'è un pezzo di pane lungo un piede e una fila di prosciutto, peperoni, salame, quindi il formaggio viene aggiunto sul sottomarino.</v>
      </c>
    </row>
    <row r="17773">
      <c r="A17773" s="4" t="s">
        <v>22370</v>
      </c>
      <c r="B17773" s="6" t="s">
        <v>22373</v>
      </c>
      <c r="C17773" s="5" t="str">
        <f>IFERROR(__xludf.DUMMYFUNCTION("GOOGLETRANSLATE(B17773,""en"",""it"")"),"Successivamente, l'uomo mette il sottomarino in forno per essere tostato e sposta un vassoio di biscotti dall'altra parte del bancone.")</f>
        <v>Successivamente, l'uomo mette il sottomarino in forno per essere tostato e sposta un vassoio di biscotti dall'altra parte del bancone.</v>
      </c>
    </row>
    <row r="17774">
      <c r="A17774" s="4" t="s">
        <v>22370</v>
      </c>
      <c r="B17774" s="4" t="s">
        <v>22374</v>
      </c>
      <c r="C17774" s="5" t="str">
        <f>IFERROR(__xludf.DUMMYFUNCTION("GOOGLETRANSLATE(B17774,""en"",""it"")"),"Mentre aspetta, inizia a parlare con il suo amico e a controllare i biscotti.")</f>
        <v>Mentre aspetta, inizia a parlare con il suo amico e a controllare i biscotti.</v>
      </c>
    </row>
    <row r="17775">
      <c r="A17775" s="4" t="s">
        <v>22370</v>
      </c>
      <c r="B17775" s="6" t="s">
        <v>22375</v>
      </c>
      <c r="C17775" s="5" t="str">
        <f>IFERROR(__xludf.DUMMYFUNCTION("GOOGLETRANSLATE(B17775,""en"",""it"")"),"Ora, il sottomarino viene tostato una lattuga e i pomodori vengono aggiunti insieme a cetrioli, acciughe, olio, aceto e maionese.")</f>
        <v>Ora, il sottomarino viene tostato una lattuga e i pomodori vengono aggiunti insieme a cetrioli, acciughe, olio, aceto e maionese.</v>
      </c>
    </row>
    <row r="17776">
      <c r="A17776" s="4" t="s">
        <v>22370</v>
      </c>
      <c r="B17776" s="4" t="s">
        <v>22376</v>
      </c>
      <c r="C17776" s="5" t="str">
        <f>IFERROR(__xludf.DUMMYFUNCTION("GOOGLETRANSLATE(B17776,""en"",""it"")"),"Il sottomarino è finalmente finito a metà, rotolato in carta e quindi totale nel registro.")</f>
        <v>Il sottomarino è finalmente finito a metà, rotolato in carta e quindi totale nel registro.</v>
      </c>
    </row>
    <row r="17777">
      <c r="A17777" s="4" t="s">
        <v>22377</v>
      </c>
      <c r="B17777" s="4" t="s">
        <v>22378</v>
      </c>
      <c r="C17777" s="5" t="str">
        <f>IFERROR(__xludf.DUMMYFUNCTION("GOOGLETRANSLATE(B17777,""en"",""it"")"),"Diversi ragazzi interagiscono in una pista di pattinaggio.")</f>
        <v>Diversi ragazzi interagiscono in una pista di pattinaggio.</v>
      </c>
    </row>
    <row r="17778">
      <c r="A17778" s="4" t="s">
        <v>22377</v>
      </c>
      <c r="B17778" s="4" t="s">
        <v>22379</v>
      </c>
      <c r="C17778" s="5" t="str">
        <f>IFERROR(__xludf.DUMMYFUNCTION("GOOGLETRANSLATE(B17778,""en"",""it"")"),"Due ragazzi che scivolano in ginocchio l'uno verso l'altro si scontrano e ricadono.")</f>
        <v>Due ragazzi che scivolano in ginocchio l'uno verso l'altro si scontrano e ricadono.</v>
      </c>
    </row>
    <row r="17779">
      <c r="A17779" s="4" t="s">
        <v>22377</v>
      </c>
      <c r="B17779" s="4" t="s">
        <v>22380</v>
      </c>
      <c r="C17779" s="5" t="str">
        <f>IFERROR(__xludf.DUMMYFUNCTION("GOOGLETRANSLATE(B17779,""en"",""it"")"),"Un ragazzo rilascia una pietra arricciacata.")</f>
        <v>Un ragazzo rilascia una pietra arricciacata.</v>
      </c>
    </row>
    <row r="17780">
      <c r="A17780" s="4" t="s">
        <v>22377</v>
      </c>
      <c r="B17780" s="4" t="s">
        <v>22381</v>
      </c>
      <c r="C17780" s="5" t="str">
        <f>IFERROR(__xludf.DUMMYFUNCTION("GOOGLETRANSLATE(B17780,""en"",""it"")"),"Tre ragazzi camminano insieme sul ghiaccio.")</f>
        <v>Tre ragazzi camminano insieme sul ghiaccio.</v>
      </c>
    </row>
    <row r="17781">
      <c r="A17781" s="4" t="s">
        <v>22382</v>
      </c>
      <c r="B17781" s="4" t="s">
        <v>22383</v>
      </c>
      <c r="C17781" s="5" t="str">
        <f>IFERROR(__xludf.DUMMYFUNCTION("GOOGLETRANSLATE(B17781,""en"",""it"")"),"Le schede del titolo lampeggiano sullo schermo.")</f>
        <v>Le schede del titolo lampeggiano sullo schermo.</v>
      </c>
    </row>
    <row r="17782">
      <c r="A17782" s="4" t="s">
        <v>22382</v>
      </c>
      <c r="B17782" s="4" t="s">
        <v>22384</v>
      </c>
      <c r="C17782" s="5" t="str">
        <f>IFERROR(__xludf.DUMMYFUNCTION("GOOGLETRANSLATE(B17782,""en"",""it"")"),"Sono mostrate immagini di zattere.")</f>
        <v>Sono mostrate immagini di zattere.</v>
      </c>
    </row>
    <row r="17783">
      <c r="A17783" s="4" t="s">
        <v>22382</v>
      </c>
      <c r="B17783" s="4" t="s">
        <v>22385</v>
      </c>
      <c r="C17783" s="5" t="str">
        <f>IFERROR(__xludf.DUMMYFUNCTION("GOOGLETRANSLATE(B17783,""en"",""it"")"),"Vediamo le persone sedute nella loro zattera, quindi iniziano a remare.")</f>
        <v>Vediamo le persone sedute nella loro zattera, quindi iniziano a remare.</v>
      </c>
    </row>
    <row r="17784">
      <c r="A17784" s="4" t="s">
        <v>22382</v>
      </c>
      <c r="B17784" s="4" t="s">
        <v>22386</v>
      </c>
      <c r="C17784" s="5" t="str">
        <f>IFERROR(__xludf.DUMMYFUNCTION("GOOGLETRANSLATE(B17784,""en"",""it"")"),"Una cascata si riversa nella zattera.")</f>
        <v>Una cascata si riversa nella zattera.</v>
      </c>
    </row>
    <row r="17785">
      <c r="A17785" s="4" t="s">
        <v>22382</v>
      </c>
      <c r="B17785" s="4" t="s">
        <v>22387</v>
      </c>
      <c r="C17785" s="5" t="str">
        <f>IFERROR(__xludf.DUMMYFUNCTION("GOOGLETRANSLATE(B17785,""en"",""it"")"),"Due barche di travi Raft Down a fiume.")</f>
        <v>Due barche di travi Raft Down a fiume.</v>
      </c>
    </row>
    <row r="17786">
      <c r="A17786" s="4" t="s">
        <v>22382</v>
      </c>
      <c r="B17786" s="4" t="s">
        <v>22388</v>
      </c>
      <c r="C17786" s="5" t="str">
        <f>IFERROR(__xludf.DUMMYFUNCTION("GOOGLETRANSLATE(B17786,""en"",""it"")"),"La prima barca schizza la barca posteriore.")</f>
        <v>La prima barca schizza la barca posteriore.</v>
      </c>
    </row>
    <row r="17787">
      <c r="A17787" s="4" t="s">
        <v>22382</v>
      </c>
      <c r="B17787" s="4" t="s">
        <v>22389</v>
      </c>
      <c r="C17787" s="5" t="str">
        <f>IFERROR(__xludf.DUMMYFUNCTION("GOOGLETRANSLATE(B17787,""en"",""it"")"),"Le travi si schizzano a vicenda.")</f>
        <v>Le travi si schizzano a vicenda.</v>
      </c>
    </row>
    <row r="17788">
      <c r="A17788" s="4" t="s">
        <v>22382</v>
      </c>
      <c r="B17788" s="4" t="s">
        <v>22390</v>
      </c>
      <c r="C17788" s="5" t="str">
        <f>IFERROR(__xludf.DUMMYFUNCTION("GOOGLETRANSLATE(B17788,""en"",""it"")"),"Una zattera si gira nell'acqua e le travi galleggiano verso la riva del fiume.")</f>
        <v>Una zattera si gira nell'acqua e le travi galleggiano verso la riva del fiume.</v>
      </c>
    </row>
    <row r="17789">
      <c r="A17789" s="4" t="s">
        <v>22382</v>
      </c>
      <c r="B17789" s="4" t="s">
        <v>22391</v>
      </c>
      <c r="C17789" s="5" t="str">
        <f>IFERROR(__xludf.DUMMYFUNCTION("GOOGLETRANSLATE(B17789,""en"",""it"")"),"Un furgone sta quindi guidando lungo la strada.")</f>
        <v>Un furgone sta quindi guidando lungo la strada.</v>
      </c>
    </row>
    <row r="17790">
      <c r="A17790" s="4" t="s">
        <v>22382</v>
      </c>
      <c r="B17790" s="4" t="s">
        <v>22392</v>
      </c>
      <c r="C17790" s="5" t="str">
        <f>IFERROR(__xludf.DUMMYFUNCTION("GOOGLETRANSLATE(B17790,""en"",""it"")"),"La scheda del titolo finale appare sullo schermo.")</f>
        <v>La scheda del titolo finale appare sullo schermo.</v>
      </c>
    </row>
    <row r="17791">
      <c r="A17791" s="4" t="s">
        <v>22393</v>
      </c>
      <c r="B17791" s="4" t="s">
        <v>22394</v>
      </c>
      <c r="C17791" s="5" t="str">
        <f>IFERROR(__xludf.DUMMYFUNCTION("GOOGLETRANSLATE(B17791,""en"",""it"")"),"Un uomo è nell'acqua dell'oceano, con una corda.")</f>
        <v>Un uomo è nell'acqua dell'oceano, con una corda.</v>
      </c>
    </row>
    <row r="17792">
      <c r="A17792" s="4" t="s">
        <v>22393</v>
      </c>
      <c r="B17792" s="4" t="s">
        <v>22395</v>
      </c>
      <c r="C17792" s="5" t="str">
        <f>IFERROR(__xludf.DUMMYFUNCTION("GOOGLETRANSLATE(B17792,""en"",""it"")"),"È attaccato a una barca mentre è su sci d'acqua.")</f>
        <v>È attaccato a una barca mentre è su sci d'acqua.</v>
      </c>
    </row>
    <row r="17793">
      <c r="A17793" s="4" t="s">
        <v>22393</v>
      </c>
      <c r="B17793" s="4" t="s">
        <v>22396</v>
      </c>
      <c r="C17793" s="5" t="str">
        <f>IFERROR(__xludf.DUMMYFUNCTION("GOOGLETRANSLATE(B17793,""en"",""it"")"),"Si solleva, sciare tra le onde.")</f>
        <v>Si solleva, sciare tra le onde.</v>
      </c>
    </row>
    <row r="17794">
      <c r="A17794" s="4" t="s">
        <v>22397</v>
      </c>
      <c r="B17794" s="4" t="s">
        <v>22398</v>
      </c>
      <c r="C17794" s="5" t="str">
        <f>IFERROR(__xludf.DUMMYFUNCTION("GOOGLETRANSLATE(B17794,""en"",""it"")"),"Un uomo è in piedi fuori a bere birra.")</f>
        <v>Un uomo è in piedi fuori a bere birra.</v>
      </c>
    </row>
    <row r="17795">
      <c r="A17795" s="4" t="s">
        <v>22397</v>
      </c>
      <c r="B17795" s="4" t="s">
        <v>22399</v>
      </c>
      <c r="C17795" s="5" t="str">
        <f>IFERROR(__xludf.DUMMYFUNCTION("GOOGLETRANSLATE(B17795,""en"",""it"")"),"Le persone sono in piedi a guardarlo.")</f>
        <v>Le persone sono in piedi a guardarlo.</v>
      </c>
    </row>
    <row r="17796">
      <c r="A17796" s="4" t="s">
        <v>22397</v>
      </c>
      <c r="B17796" s="4" t="s">
        <v>22400</v>
      </c>
      <c r="C17796" s="5" t="str">
        <f>IFERROR(__xludf.DUMMYFUNCTION("GOOGLETRANSLATE(B17796,""en"",""it"")"),"Mette il bicchiere di birra su un tavolo.")</f>
        <v>Mette il bicchiere di birra su un tavolo.</v>
      </c>
    </row>
    <row r="17797">
      <c r="A17797" s="4" t="s">
        <v>22401</v>
      </c>
      <c r="B17797" s="4" t="s">
        <v>22402</v>
      </c>
      <c r="C17797" s="5" t="str">
        <f>IFERROR(__xludf.DUMMYFUNCTION("GOOGLETRANSLATE(B17797,""en"",""it"")"),"Una donna tiene due grandi guanti in cui due bambine toccano con entrambe le mani.")</f>
        <v>Una donna tiene due grandi guanti in cui due bambine toccano con entrambe le mani.</v>
      </c>
    </row>
    <row r="17798">
      <c r="A17798" s="4" t="s">
        <v>22401</v>
      </c>
      <c r="B17798" s="4" t="s">
        <v>22403</v>
      </c>
      <c r="C17798" s="5" t="str">
        <f>IFERROR(__xludf.DUMMYFUNCTION("GOOGLETRANSLATE(B17798,""en"",""it"")"),"Quindi, la donna mette i globi sul petto.")</f>
        <v>Quindi, la donna mette i globi sul petto.</v>
      </c>
    </row>
    <row r="17799">
      <c r="A17799" s="4" t="s">
        <v>22401</v>
      </c>
      <c r="B17799" s="4" t="s">
        <v>22404</v>
      </c>
      <c r="C17799" s="5" t="str">
        <f>IFERROR(__xludf.DUMMYFUNCTION("GOOGLETRANSLATE(B17799,""en"",""it"")"),"Le persone praticano il karate in una stanza.")</f>
        <v>Le persone praticano il karate in una stanza.</v>
      </c>
    </row>
    <row r="17800">
      <c r="A17800" s="4" t="s">
        <v>22405</v>
      </c>
      <c r="B17800" s="4" t="s">
        <v>22406</v>
      </c>
      <c r="C17800" s="5" t="str">
        <f>IFERROR(__xludf.DUMMYFUNCTION("GOOGLETRANSLATE(B17800,""en"",""it"")"),"Una persona tiene un ragazzo che si trova su una canna da swing, quindi spinge l'asta.")</f>
        <v>Una persona tiene un ragazzo che si trova su una canna da swing, quindi spinge l'asta.</v>
      </c>
    </row>
    <row r="17801">
      <c r="A17801" s="4" t="s">
        <v>22405</v>
      </c>
      <c r="B17801" s="4" t="s">
        <v>22407</v>
      </c>
      <c r="C17801" s="5" t="str">
        <f>IFERROR(__xludf.DUMMYFUNCTION("GOOGLETRANSLATE(B17801,""en"",""it"")"),"Quindi, il ragazzo oscilla sull'asta per impulso il suo corpo a oscillare in cerchio fino alla forza di perdita dell'asta.")</f>
        <v>Quindi, il ragazzo oscilla sull'asta per impulso il suo corpo a oscillare in cerchio fino alla forza di perdita dell'asta.</v>
      </c>
    </row>
    <row r="17802">
      <c r="A17802" s="4" t="s">
        <v>22405</v>
      </c>
      <c r="B17802" s="4" t="s">
        <v>22408</v>
      </c>
      <c r="C17802" s="5" t="str">
        <f>IFERROR(__xludf.DUMMYFUNCTION("GOOGLETRANSLATE(B17802,""en"",""it"")"),"Dopo, un uomo aiuta a fermare la canna da swing, mentre altre persone stanno sistemando qualcosa.")</f>
        <v>Dopo, un uomo aiuta a fermare la canna da swing, mentre altre persone stanno sistemando qualcosa.</v>
      </c>
    </row>
    <row r="17803">
      <c r="A17803" s="4" t="s">
        <v>22405</v>
      </c>
      <c r="B17803" s="4" t="s">
        <v>22409</v>
      </c>
      <c r="C17803" s="5" t="str">
        <f>IFERROR(__xludf.DUMMYFUNCTION("GOOGLETRANSLATE(B17803,""en"",""it"")"),"Un giovane che indossa una maglietta gialla si muove le braccia.")</f>
        <v>Un giovane che indossa una maglietta gialla si muove le braccia.</v>
      </c>
    </row>
    <row r="17804">
      <c r="A17804" s="4" t="s">
        <v>22410</v>
      </c>
      <c r="B17804" s="4" t="s">
        <v>22411</v>
      </c>
      <c r="C17804" s="5" t="str">
        <f>IFERROR(__xludf.DUMMYFUNCTION("GOOGLETRANSLATE(B17804,""en"",""it"")"),"Viene giocata una partita di hockey in campo.")</f>
        <v>Viene giocata una partita di hockey in campo.</v>
      </c>
    </row>
    <row r="17805">
      <c r="A17805" s="4" t="s">
        <v>22410</v>
      </c>
      <c r="B17805" s="4" t="s">
        <v>22412</v>
      </c>
      <c r="C17805" s="5" t="str">
        <f>IFERROR(__xludf.DUMMYFUNCTION("GOOGLETRANSLATE(B17805,""en"",""it"")"),"Mentre una squadra sta cercando di segnare, un giocatore con una camicia bianca si imbatte mentre il disco vola sopra la testa.")</f>
        <v>Mentre una squadra sta cercando di segnare, un giocatore con una camicia bianca si imbatte mentre il disco vola sopra la testa.</v>
      </c>
    </row>
    <row r="17806">
      <c r="A17806" s="4" t="s">
        <v>22410</v>
      </c>
      <c r="B17806" s="6" t="s">
        <v>22413</v>
      </c>
      <c r="C17806" s="5" t="str">
        <f>IFERROR(__xludf.DUMMYFUNCTION("GOOGLETRANSLATE(B17806,""en"",""it"")"),"Dopo che il disco ha attraversato il portiere, la giovane donna sorride mentre si avvicina a bordo campo e le vengono assegnate cinque dal suo allenatore.")</f>
        <v>Dopo che il disco ha attraversato il portiere, la giovane donna sorride mentre si avvicina a bordo campo e le vengono assegnate cinque dal suo allenatore.</v>
      </c>
    </row>
    <row r="17807">
      <c r="A17807" s="4" t="s">
        <v>22414</v>
      </c>
      <c r="B17807" s="4" t="s">
        <v>1487</v>
      </c>
      <c r="C17807" s="5" t="str">
        <f>IFERROR(__xludf.DUMMYFUNCTION("GOOGLETRANSLATE(B17807,""en"",""it"")"),"Vediamo una schermata del titolo di apertura.")</f>
        <v>Vediamo una schermata del titolo di apertura.</v>
      </c>
    </row>
    <row r="17808">
      <c r="A17808" s="4" t="s">
        <v>22414</v>
      </c>
      <c r="B17808" s="4" t="s">
        <v>22415</v>
      </c>
      <c r="C17808" s="5" t="str">
        <f>IFERROR(__xludf.DUMMYFUNCTION("GOOGLETRANSLATE(B17808,""en"",""it"")"),"Due persone trasportano tavole da surf di aquiloni in acqua e vediamo persone che le cavalcano in acqua.")</f>
        <v>Due persone trasportano tavole da surf di aquiloni in acqua e vediamo persone che le cavalcano in acqua.</v>
      </c>
    </row>
    <row r="17809">
      <c r="A17809" s="4" t="s">
        <v>22414</v>
      </c>
      <c r="B17809" s="4" t="s">
        <v>22416</v>
      </c>
      <c r="C17809" s="5" t="str">
        <f>IFERROR(__xludf.DUMMYFUNCTION("GOOGLETRANSLATE(B17809,""en"",""it"")"),"Vediamo la tavola da vicino.")</f>
        <v>Vediamo la tavola da vicino.</v>
      </c>
    </row>
    <row r="17810">
      <c r="A17810" s="4" t="s">
        <v>22414</v>
      </c>
      <c r="B17810" s="4" t="s">
        <v>22417</v>
      </c>
      <c r="C17810" s="5" t="str">
        <f>IFERROR(__xludf.DUMMYFUNCTION("GOOGLETRANSLATE(B17810,""en"",""it"")"),"Vediamo un uomo che cavalca e ci fermiamo.")</f>
        <v>Vediamo un uomo che cavalca e ci fermiamo.</v>
      </c>
    </row>
    <row r="17811">
      <c r="A17811" s="4" t="s">
        <v>22414</v>
      </c>
      <c r="B17811" s="4" t="s">
        <v>22418</v>
      </c>
      <c r="C17811" s="5" t="str">
        <f>IFERROR(__xludf.DUMMYFUNCTION("GOOGLETRANSLATE(B17811,""en"",""it"")"),"Vediamo di nuovo la tavola da vicino.")</f>
        <v>Vediamo di nuovo la tavola da vicino.</v>
      </c>
    </row>
    <row r="17812">
      <c r="A17812" s="4" t="s">
        <v>22414</v>
      </c>
      <c r="B17812" s="4" t="s">
        <v>22419</v>
      </c>
      <c r="C17812" s="5" t="str">
        <f>IFERROR(__xludf.DUMMYFUNCTION("GOOGLETRANSLATE(B17812,""en"",""it"")"),"Vediamo di nuovo l'uomo che cavalca la tavola in acqua.")</f>
        <v>Vediamo di nuovo l'uomo che cavalca la tavola in acqua.</v>
      </c>
    </row>
    <row r="17813">
      <c r="A17813" s="4" t="s">
        <v>22414</v>
      </c>
      <c r="B17813" s="4" t="s">
        <v>777</v>
      </c>
      <c r="C17813" s="5" t="str">
        <f>IFERROR(__xludf.DUMMYFUNCTION("GOOGLETRANSLATE(B17813,""en"",""it"")"),"Vediamo la schermata del titolo finale.")</f>
        <v>Vediamo la schermata del titolo finale.</v>
      </c>
    </row>
    <row r="17814">
      <c r="A17814" s="4" t="s">
        <v>22420</v>
      </c>
      <c r="B17814" s="4" t="s">
        <v>22421</v>
      </c>
      <c r="C17814" s="5" t="str">
        <f>IFERROR(__xludf.DUMMYFUNCTION("GOOGLETRANSLATE(B17814,""en"",""it"")"),"Un uomo che indossa una camicia bianca gioca in piscina in una sala ricreativa.")</f>
        <v>Un uomo che indossa una camicia bianca gioca in piscina in una sala ricreativa.</v>
      </c>
    </row>
    <row r="17815">
      <c r="A17815" s="4" t="s">
        <v>22420</v>
      </c>
      <c r="B17815" s="4" t="s">
        <v>22422</v>
      </c>
      <c r="C17815" s="5" t="str">
        <f>IFERROR(__xludf.DUMMYFUNCTION("GOOGLETRANSLATE(B17815,""en"",""it"")"),"Ci sono altri giocatori in piedi oltre al tavolo da biliardo.")</f>
        <v>Ci sono altri giocatori in piedi oltre al tavolo da biliardo.</v>
      </c>
    </row>
    <row r="17816">
      <c r="A17816" s="4" t="s">
        <v>22420</v>
      </c>
      <c r="B17816" s="4" t="s">
        <v>22423</v>
      </c>
      <c r="C17816" s="5" t="str">
        <f>IFERROR(__xludf.DUMMYFUNCTION("GOOGLETRANSLATE(B17816,""en"",""it"")"),"L'uomo che gioca a pool colpisce le palle mentre continua a giocare.")</f>
        <v>L'uomo che gioca a pool colpisce le palle mentre continua a giocare.</v>
      </c>
    </row>
    <row r="17817">
      <c r="A17817" s="4" t="s">
        <v>22424</v>
      </c>
      <c r="B17817" s="4" t="s">
        <v>22425</v>
      </c>
      <c r="C17817" s="5" t="str">
        <f>IFERROR(__xludf.DUMMYFUNCTION("GOOGLETRANSLATE(B17817,""en"",""it"")"),"Vengono mostrati un albero e materiali di pacciamatura, quindi un uomo prepara l'area intorno all'albero.")</f>
        <v>Vengono mostrati un albero e materiali di pacciamatura, quindi un uomo prepara l'area intorno all'albero.</v>
      </c>
    </row>
    <row r="17818">
      <c r="A17818" s="4" t="s">
        <v>22424</v>
      </c>
      <c r="B17818" s="4" t="s">
        <v>22426</v>
      </c>
      <c r="C17818" s="5" t="str">
        <f>IFERROR(__xludf.DUMMYFUNCTION("GOOGLETRANSLATE(B17818,""en"",""it"")"),"Quindi l'uomo mise il pacciame attorno all'albero e dà forma con un rack.")</f>
        <v>Quindi l'uomo mise il pacciame attorno all'albero e dà forma con un rack.</v>
      </c>
    </row>
    <row r="17819">
      <c r="A17819" s="4" t="s">
        <v>22427</v>
      </c>
      <c r="B17819" s="6" t="s">
        <v>22428</v>
      </c>
      <c r="C17819" s="5" t="str">
        <f>IFERROR(__xludf.DUMMYFUNCTION("GOOGLETRANSLATE(B17819,""en"",""it"")"),"Viene vista una donna che getta un dardo sul tabellone e si guarda indietro ridendo mentre un altro guarda da lontano.")</f>
        <v>Viene vista una donna che getta un dardo sul tabellone e si guarda indietro ridendo mentre un altro guarda da lontano.</v>
      </c>
    </row>
    <row r="17820">
      <c r="A17820" s="4" t="s">
        <v>22427</v>
      </c>
      <c r="B17820" s="6" t="s">
        <v>22429</v>
      </c>
      <c r="C17820" s="5" t="str">
        <f>IFERROR(__xludf.DUMMYFUNCTION("GOOGLETRANSLATE(B17820,""en"",""it"")"),"Getta più freccette sul tabellone mentre si ferma per afferrarle e un uomo che si piega accanto a lei.")</f>
        <v>Getta più freccette sul tabellone mentre si ferma per afferrarle e un uomo che si piega accanto a lei.</v>
      </c>
    </row>
    <row r="17821">
      <c r="A17821" s="4" t="s">
        <v>22430</v>
      </c>
      <c r="B17821" s="4" t="s">
        <v>22431</v>
      </c>
      <c r="C17821" s="5" t="str">
        <f>IFERROR(__xludf.DUMMYFUNCTION("GOOGLETRANSLATE(B17821,""en"",""it"")"),"Un uomo si trova in un campo da barball indoor, parla mentre tiene una palla e una racchetta.")</f>
        <v>Un uomo si trova in un campo da barball indoor, parla mentre tiene una palla e una racchetta.</v>
      </c>
    </row>
    <row r="17822">
      <c r="A17822" s="4" t="s">
        <v>22430</v>
      </c>
      <c r="B17822" s="4" t="s">
        <v>22432</v>
      </c>
      <c r="C17822" s="5" t="str">
        <f>IFERROR(__xludf.DUMMYFUNCTION("GOOGLETRANSLATE(B17822,""en"",""it"")"),"Lancia la palla avanti e indietro contro il muro, intervallata dal parlare del gioco.")</f>
        <v>Lancia la palla avanti e indietro contro il muro, intervallata dal parlare del gioco.</v>
      </c>
    </row>
    <row r="17823">
      <c r="A17823" s="4" t="s">
        <v>22430</v>
      </c>
      <c r="B17823" s="4" t="s">
        <v>22433</v>
      </c>
      <c r="C17823" s="5" t="str">
        <f>IFERROR(__xludf.DUMMYFUNCTION("GOOGLETRANSLATE(B17823,""en"",""it"")"),"Parla per un po 'più a lungo prima della fine del video.")</f>
        <v>Parla per un po 'più a lungo prima della fine del video.</v>
      </c>
    </row>
    <row r="17824">
      <c r="A17824" s="4" t="s">
        <v>22434</v>
      </c>
      <c r="B17824" s="6" t="s">
        <v>22435</v>
      </c>
      <c r="C17824" s="5" t="str">
        <f>IFERROR(__xludf.DUMMYFUNCTION("GOOGLETRANSLATE(B17824,""en"",""it"")"),"Due uomini sono in piedi in una palestra indoor e in sintonia iniziano entrambi a saltare sulle loro stipendi rimbalzanti in metallo ed entrambi fanno un backflip.")</f>
        <v>Due uomini sono in piedi in una palestra indoor e in sintonia iniziano entrambi a saltare sulle loro stipendi rimbalzanti in metallo ed entrambi fanno un backflip.</v>
      </c>
    </row>
    <row r="17825">
      <c r="A17825" s="4" t="s">
        <v>22434</v>
      </c>
      <c r="B17825" s="6" t="s">
        <v>22436</v>
      </c>
      <c r="C17825" s="5" t="str">
        <f>IFERROR(__xludf.DUMMYFUNCTION("GOOGLETRANSLATE(B17825,""en"",""it"")"),"Varie clip di varie persone diverse che indossano anche i palafitte rimbalzanti e corrono tutti, lanciano e fanno vari trucchi mentre atterrano su tappetini blu in una palestra interna.")</f>
        <v>Varie clip di varie persone diverse che indossano anche i palafitte rimbalzanti e corrono tutti, lanciano e fanno vari trucchi mentre atterrano su tappetini blu in una palestra interna.</v>
      </c>
    </row>
    <row r="17826">
      <c r="A17826" s="4" t="s">
        <v>22434</v>
      </c>
      <c r="B17826" s="6" t="s">
        <v>22437</v>
      </c>
      <c r="C17826" s="5" t="str">
        <f>IFERROR(__xludf.DUMMYFUNCTION("GOOGLETRANSLATE(B17826,""en"",""it"")"),"Ora ci sono molte persone all'aperto, sia uomini che donne, e stanno correndo, saltando, saltando e facendo girare all'aperto.")</f>
        <v>Ora ci sono molte persone all'aperto, sia uomini che donne, e stanno correndo, saltando, saltando e facendo girare all'aperto.</v>
      </c>
    </row>
    <row r="17827">
      <c r="A17827" s="4" t="s">
        <v>22434</v>
      </c>
      <c r="B17827" s="6" t="s">
        <v>22438</v>
      </c>
      <c r="C17827" s="5" t="str">
        <f>IFERROR(__xludf.DUMMYFUNCTION("GOOGLETRANSLATE(B17827,""en"",""it"")"),"Un grande gruppo di loro si allineano e una vista dall'alto mostra che hanno formato il numero 7.")</f>
        <v>Un grande gruppo di loro si allineano e una vista dall'alto mostra che hanno formato il numero 7.</v>
      </c>
    </row>
    <row r="17828">
      <c r="A17828" s="4" t="s">
        <v>22434</v>
      </c>
      <c r="B17828" s="6" t="s">
        <v>22439</v>
      </c>
      <c r="C17828" s="5" t="str">
        <f>IFERROR(__xludf.DUMMYFUNCTION("GOOGLETRANSLATE(B17828,""en"",""it"")"),"Varie foto ancora scattate e clip di più persone all'aperto in un diverso gioco di area e saltano anche su pali, facendo giri, salti, corsa ed eccetera.")</f>
        <v>Varie foto ancora scattate e clip di più persone all'aperto in un diverso gioco di area e saltano anche su pali, facendo giri, salti, corsa ed eccetera.</v>
      </c>
    </row>
    <row r="17829">
      <c r="A17829" s="4" t="s">
        <v>22434</v>
      </c>
      <c r="B17829" s="6" t="s">
        <v>22440</v>
      </c>
      <c r="C17829" s="5" t="str">
        <f>IFERROR(__xludf.DUMMYFUNCTION("GOOGLETRANSLATE(B17829,""en"",""it"")"),"Ora ci sono persone che saltano in acqua con i loro palafitte rimbalzanti, poi di nuovo in una grande area erbosa fino a quando non appare uno schermo nero e molte parole bianche e siti Web scorrono rapidamente dal basso verso l'alto.")</f>
        <v>Ora ci sono persone che saltano in acqua con i loro palafitte rimbalzanti, poi di nuovo in una grande area erbosa fino a quando non appare uno schermo nero e molte parole bianche e siti Web scorrono rapidamente dal basso verso l'alto.</v>
      </c>
    </row>
    <row r="17830">
      <c r="A17830" s="4" t="s">
        <v>22441</v>
      </c>
      <c r="B17830" s="4" t="s">
        <v>22442</v>
      </c>
      <c r="C17830" s="5" t="str">
        <f>IFERROR(__xludf.DUMMYFUNCTION("GOOGLETRANSLATE(B17830,""en"",""it"")"),"Le persone stanno canoa lungo un fiume d'acqua.")</f>
        <v>Le persone stanno canoa lungo un fiume d'acqua.</v>
      </c>
    </row>
    <row r="17831">
      <c r="A17831" s="4" t="s">
        <v>22441</v>
      </c>
      <c r="B17831" s="4" t="s">
        <v>22443</v>
      </c>
      <c r="C17831" s="5" t="str">
        <f>IFERROR(__xludf.DUMMYFUNCTION("GOOGLETRANSLATE(B17831,""en"",""it"")"),"Stanno andando in giro per i pali nell'acqua.")</f>
        <v>Stanno andando in giro per i pali nell'acqua.</v>
      </c>
    </row>
    <row r="17832">
      <c r="A17832" s="4" t="s">
        <v>22441</v>
      </c>
      <c r="B17832" s="4" t="s">
        <v>22444</v>
      </c>
      <c r="C17832" s="5" t="str">
        <f>IFERROR(__xludf.DUMMYFUNCTION("GOOGLETRANSLATE(B17832,""en"",""it"")"),"Vanno sotto un ponte.")</f>
        <v>Vanno sotto un ponte.</v>
      </c>
    </row>
    <row r="17833">
      <c r="A17833" s="4" t="s">
        <v>22445</v>
      </c>
      <c r="B17833" s="6" t="s">
        <v>22446</v>
      </c>
      <c r="C17833" s="5" t="str">
        <f>IFERROR(__xludf.DUMMYFUNCTION("GOOGLETRANSLATE(B17833,""en"",""it"")"),"Una bambina in cappotto grigio e stampato si trova al centro delle foglie secche, si allontanò dal mucchio di foglie, si preparava manciata e la mise su un lato.")</f>
        <v>Una bambina in cappotto grigio e stampato si trova al centro delle foglie secche, si allontanò dal mucchio di foglie, si preparava manciata e la mise su un lato.</v>
      </c>
    </row>
    <row r="17834">
      <c r="A17834" s="4" t="s">
        <v>22445</v>
      </c>
      <c r="B17834" s="6" t="s">
        <v>22447</v>
      </c>
      <c r="C17834" s="5" t="str">
        <f>IFERROR(__xludf.DUMMYFUNCTION("GOOGLETRANSLATE(B17834,""en"",""it"")"),"Una donna con maglione grigio e pantaloni blu che cammina da dietro la ragazza dietro di lei, la signora sta portando un rastrello.")</f>
        <v>Una donna con maglione grigio e pantaloni blu che cammina da dietro la ragazza dietro di lei, la signora sta portando un rastrello.</v>
      </c>
    </row>
    <row r="17835">
      <c r="A17835" s="4" t="s">
        <v>22445</v>
      </c>
      <c r="B17835" s="4" t="s">
        <v>22448</v>
      </c>
      <c r="C17835" s="5" t="str">
        <f>IFERROR(__xludf.DUMMYFUNCTION("GOOGLETRANSLATE(B17835,""en"",""it"")"),"La bambina si avvicinò a lei e cerca di raggiungere il rastrello.")</f>
        <v>La bambina si avvicinò a lei e cerca di raggiungere il rastrello.</v>
      </c>
    </row>
    <row r="17836">
      <c r="A17836" s="4" t="s">
        <v>22445</v>
      </c>
      <c r="B17836" s="4" t="s">
        <v>22449</v>
      </c>
      <c r="C17836" s="5" t="str">
        <f>IFERROR(__xludf.DUMMYFUNCTION("GOOGLETRANSLATE(B17836,""en"",""it"")"),"La donna ha regolato la maniglia del rastrello per renderla più corta e consegnata alla ragazza.")</f>
        <v>La donna ha regolato la maniglia del rastrello per renderla più corta e consegnata alla ragazza.</v>
      </c>
    </row>
    <row r="17837">
      <c r="A17837" s="4" t="s">
        <v>22445</v>
      </c>
      <c r="B17837" s="6" t="s">
        <v>22450</v>
      </c>
      <c r="C17837" s="5" t="str">
        <f>IFERROR(__xludf.DUMMYFUNCTION("GOOGLETRANSLATE(B17837,""en"",""it"")"),"La bambina ha cercato di rastrellare ma non si muoveva, quindi la donna si sedette accanto alla ragazza e le prendeva il rastrello, mentre la bambina si distrasse dai bambini che correvano per strada.")</f>
        <v>La bambina ha cercato di rastrellare ma non si muoveva, quindi la donna si sedette accanto alla ragazza e le prendeva il rastrello, mentre la bambina si distrasse dai bambini che correvano per strada.</v>
      </c>
    </row>
    <row r="17838">
      <c r="A17838" s="4" t="s">
        <v>22445</v>
      </c>
      <c r="B17838" s="4" t="s">
        <v>22451</v>
      </c>
      <c r="C17838" s="5" t="str">
        <f>IFERROR(__xludf.DUMMYFUNCTION("GOOGLETRANSLATE(B17838,""en"",""it"")"),"La bambina continua a rastrellare, mentre la signora prende un rastrello più grande e ha iniziato a rastrellare le foglie.")</f>
        <v>La bambina continua a rastrellare, mentre la signora prende un rastrello più grande e ha iniziato a rastrellare le foglie.</v>
      </c>
    </row>
    <row r="17839">
      <c r="A17839" s="4" t="s">
        <v>22452</v>
      </c>
      <c r="B17839" s="4" t="s">
        <v>22453</v>
      </c>
      <c r="C17839" s="5" t="str">
        <f>IFERROR(__xludf.DUMMYFUNCTION("GOOGLETRANSLATE(B17839,""en"",""it"")"),"Una persona sta camminando lungo la strada che ha il gesso.")</f>
        <v>Una persona sta camminando lungo la strada che ha il gesso.</v>
      </c>
    </row>
    <row r="17840">
      <c r="A17840" s="4" t="s">
        <v>22452</v>
      </c>
      <c r="B17840" s="4" t="s">
        <v>22454</v>
      </c>
      <c r="C17840" s="5" t="str">
        <f>IFERROR(__xludf.DUMMYFUNCTION("GOOGLETRANSLATE(B17840,""en"",""it"")"),"Una persona in una camicia rossa sta saltando lungo la strada con il gesso.")</f>
        <v>Una persona in una camicia rossa sta saltando lungo la strada con il gesso.</v>
      </c>
    </row>
    <row r="17841">
      <c r="A17841" s="4" t="s">
        <v>22452</v>
      </c>
      <c r="B17841" s="4" t="s">
        <v>22455</v>
      </c>
      <c r="C17841" s="5" t="str">
        <f>IFERROR(__xludf.DUMMYFUNCTION("GOOGLETRANSLATE(B17841,""en"",""it"")"),"Finiscono e sorridono alla telecamera.")</f>
        <v>Finiscono e sorridono alla telecamera.</v>
      </c>
    </row>
    <row r="17842">
      <c r="A17842" s="4" t="s">
        <v>22456</v>
      </c>
      <c r="B17842" s="4" t="s">
        <v>22457</v>
      </c>
      <c r="C17842" s="5" t="str">
        <f>IFERROR(__xludf.DUMMYFUNCTION("GOOGLETRANSLATE(B17842,""en"",""it"")"),"Questa è una ricetta per preparare biscotti al cioccolato.")</f>
        <v>Questa è una ricetta per preparare biscotti al cioccolato.</v>
      </c>
    </row>
    <row r="17843">
      <c r="A17843" s="4" t="s">
        <v>22456</v>
      </c>
      <c r="B17843" s="4" t="s">
        <v>22458</v>
      </c>
      <c r="C17843" s="5" t="str">
        <f>IFERROR(__xludf.DUMMYFUNCTION("GOOGLETRANSLATE(B17843,""en"",""it"")"),"Le barrette di cioccolato sono tagliate con un coltello.")</f>
        <v>Le barrette di cioccolato sono tagliate con un coltello.</v>
      </c>
    </row>
    <row r="17844">
      <c r="A17844" s="4" t="s">
        <v>22456</v>
      </c>
      <c r="B17844" s="4" t="s">
        <v>22459</v>
      </c>
      <c r="C17844" s="5" t="str">
        <f>IFERROR(__xludf.DUMMYFUNCTION("GOOGLETRANSLATE(B17844,""en"",""it"")"),"Il burro è microonde e preparato con zucchero e altri ingredienti.")</f>
        <v>Il burro è microonde e preparato con zucchero e altri ingredienti.</v>
      </c>
    </row>
    <row r="17845">
      <c r="A17845" s="4" t="s">
        <v>22456</v>
      </c>
      <c r="B17845" s="4" t="s">
        <v>22460</v>
      </c>
      <c r="C17845" s="5" t="str">
        <f>IFERROR(__xludf.DUMMYFUNCTION("GOOGLETRANSLATE(B17845,""en"",""it"")"),"Tutto è mescolato e il cioccolato viene inserito.")</f>
        <v>Tutto è mescolato e il cioccolato viene inserito.</v>
      </c>
    </row>
    <row r="17846">
      <c r="A17846" s="4" t="s">
        <v>22456</v>
      </c>
      <c r="B17846" s="4" t="s">
        <v>22461</v>
      </c>
      <c r="C17846" s="5" t="str">
        <f>IFERROR(__xludf.DUMMYFUNCTION("GOOGLETRANSLATE(B17846,""en"",""it"")"),"I biscotti sono modellati e messi in forno.")</f>
        <v>I biscotti sono modellati e messi in forno.</v>
      </c>
    </row>
    <row r="17847">
      <c r="A17847" s="4" t="s">
        <v>22462</v>
      </c>
      <c r="B17847" s="4" t="s">
        <v>22463</v>
      </c>
      <c r="C17847" s="5" t="str">
        <f>IFERROR(__xludf.DUMMYFUNCTION("GOOGLETRANSLATE(B17847,""en"",""it"")"),"L'uomo è seduto al sedile del conducente.")</f>
        <v>L'uomo è seduto al sedile del conducente.</v>
      </c>
    </row>
    <row r="17848">
      <c r="A17848" s="4" t="s">
        <v>22462</v>
      </c>
      <c r="B17848" s="4" t="s">
        <v>22464</v>
      </c>
      <c r="C17848" s="5" t="str">
        <f>IFERROR(__xludf.DUMMYFUNCTION("GOOGLETRANSLATE(B17848,""en"",""it"")"),"Le persone sono in nevoso snowboard di montagna.")</f>
        <v>Le persone sono in nevoso snowboard di montagna.</v>
      </c>
    </row>
    <row r="17849">
      <c r="A17849" s="4" t="s">
        <v>22465</v>
      </c>
      <c r="B17849" s="4" t="s">
        <v>22466</v>
      </c>
      <c r="C17849" s="5" t="str">
        <f>IFERROR(__xludf.DUMMYFUNCTION("GOOGLETRANSLATE(B17849,""en"",""it"")"),"Qualcuno prende un cubo di Rubix dalla scrivania e inizia a risolverlo.")</f>
        <v>Qualcuno prende un cubo di Rubix dalla scrivania e inizia a risolverlo.</v>
      </c>
    </row>
    <row r="17850">
      <c r="A17850" s="4" t="s">
        <v>22465</v>
      </c>
      <c r="B17850" s="4" t="s">
        <v>22467</v>
      </c>
      <c r="C17850" s="5" t="str">
        <f>IFERROR(__xludf.DUMMYFUNCTION("GOOGLETRANSLATE(B17850,""en"",""it"")"),"Si stanno muovendo così in fretta, lo mettono giù per una frazione di secondo.")</f>
        <v>Si stanno muovendo così in fretta, lo mettono giù per una frazione di secondo.</v>
      </c>
    </row>
    <row r="17851">
      <c r="A17851" s="4" t="s">
        <v>22465</v>
      </c>
      <c r="B17851" s="4" t="s">
        <v>22468</v>
      </c>
      <c r="C17851" s="5" t="str">
        <f>IFERROR(__xludf.DUMMYFUNCTION("GOOGLETRANSLATE(B17851,""en"",""it"")"),"Lo riprendono rapidamente e tornano ad esso, muovendosi così velocemente.")</f>
        <v>Lo riprendono rapidamente e tornano ad esso, muovendosi così velocemente.</v>
      </c>
    </row>
    <row r="17852">
      <c r="A17852" s="4" t="s">
        <v>22465</v>
      </c>
      <c r="B17852" s="4" t="s">
        <v>22469</v>
      </c>
      <c r="C17852" s="5" t="str">
        <f>IFERROR(__xludf.DUMMYFUNCTION("GOOGLETRANSLATE(B17852,""en"",""it"")"),"Quando finalmente risolvono il cubo mostrano il loro tempo, ci sono voluti solo 33,91 per risolvere il cubo.")</f>
        <v>Quando finalmente risolvono il cubo mostrano il loro tempo, ci sono voluti solo 33,91 per risolvere il cubo.</v>
      </c>
    </row>
    <row r="17853">
      <c r="A17853" s="4" t="s">
        <v>22470</v>
      </c>
      <c r="B17853" s="4" t="s">
        <v>22471</v>
      </c>
      <c r="C17853" s="5" t="str">
        <f>IFERROR(__xludf.DUMMYFUNCTION("GOOGLETRANSLATE(B17853,""en"",""it"")"),"L'uomo con camicia nera sta camminando e poi ha sollevato la palla.")</f>
        <v>L'uomo con camicia nera sta camminando e poi ha sollevato la palla.</v>
      </c>
    </row>
    <row r="17854">
      <c r="A17854" s="4" t="s">
        <v>22470</v>
      </c>
      <c r="B17854" s="4" t="s">
        <v>22472</v>
      </c>
      <c r="C17854" s="5" t="str">
        <f>IFERROR(__xludf.DUMMYFUNCTION("GOOGLETRANSLATE(B17854,""en"",""it"")"),"L'uomo gli mise la palla sul collo e iniziò a girarsi e lanciò la palla.")</f>
        <v>L'uomo gli mise la palla sul collo e iniziò a girarsi e lanciò la palla.</v>
      </c>
    </row>
    <row r="17855">
      <c r="A17855" s="4" t="s">
        <v>22470</v>
      </c>
      <c r="B17855" s="6" t="s">
        <v>22473</v>
      </c>
      <c r="C17855" s="5" t="str">
        <f>IFERROR(__xludf.DUMMYFUNCTION("GOOGLETRANSLATE(B17855,""en"",""it"")"),"L'uomo ha esultato e ha dato un alto cinque ad un altro uomo, poi è così felice che è andato a terra sullo stomaco e continua a tifare.")</f>
        <v>L'uomo ha esultato e ha dato un alto cinque ad un altro uomo, poi è così felice che è andato a terra sullo stomaco e continua a tifare.</v>
      </c>
    </row>
    <row r="17856">
      <c r="A17856" s="4" t="s">
        <v>22474</v>
      </c>
      <c r="B17856" s="4" t="s">
        <v>22475</v>
      </c>
      <c r="C17856" s="5" t="str">
        <f>IFERROR(__xludf.DUMMYFUNCTION("GOOGLETRANSLATE(B17856,""en"",""it"")"),"C'è una donna in un abito rosa seduto con un uomo con una camicia grigia.")</f>
        <v>C'è una donna in un abito rosa seduto con un uomo con una camicia grigia.</v>
      </c>
    </row>
    <row r="17857">
      <c r="A17857" s="4" t="s">
        <v>22474</v>
      </c>
      <c r="B17857" s="4" t="s">
        <v>22476</v>
      </c>
      <c r="C17857" s="5" t="str">
        <f>IFERROR(__xludf.DUMMYFUNCTION("GOOGLETRANSLATE(B17857,""en"",""it"")"),"Stanno parlando di spazzolare i denti in biancheria intima e di come è vietato da Metacafe.")</f>
        <v>Stanno parlando di spazzolare i denti in biancheria intima e di come è vietato da Metacafe.</v>
      </c>
    </row>
    <row r="17858">
      <c r="A17858" s="4" t="s">
        <v>22474</v>
      </c>
      <c r="B17858" s="4" t="s">
        <v>22477</v>
      </c>
      <c r="C17858" s="5" t="str">
        <f>IFERROR(__xludf.DUMMYFUNCTION("GOOGLETRANSLATE(B17858,""en"",""it"")"),"L'uomo ha una sceneggiatura in mano che sta leggendo.")</f>
        <v>L'uomo ha una sceneggiatura in mano che sta leggendo.</v>
      </c>
    </row>
    <row r="17859">
      <c r="A17859" s="4" t="s">
        <v>22474</v>
      </c>
      <c r="B17859" s="4" t="s">
        <v>22478</v>
      </c>
      <c r="C17859" s="5" t="str">
        <f>IFERROR(__xludf.DUMMYFUNCTION("GOOGLETRANSLATE(B17859,""en"",""it"")"),"Un uomo in pantaloni piegati sta camminando sulla spiaggia.")</f>
        <v>Un uomo in pantaloni piegati sta camminando sulla spiaggia.</v>
      </c>
    </row>
    <row r="17860">
      <c r="A17860" s="4" t="s">
        <v>22474</v>
      </c>
      <c r="B17860" s="4" t="s">
        <v>22479</v>
      </c>
      <c r="C17860" s="5" t="str">
        <f>IFERROR(__xludf.DUMMYFUNCTION("GOOGLETRANSLATE(B17860,""en"",""it"")"),"Raccoglie uno spazzolino dalla sabbia e inizia a lavarsi i denti.")</f>
        <v>Raccoglie uno spazzolino dalla sabbia e inizia a lavarsi i denti.</v>
      </c>
    </row>
    <row r="17861">
      <c r="A17861" s="4" t="s">
        <v>22474</v>
      </c>
      <c r="B17861" s="4" t="s">
        <v>22480</v>
      </c>
      <c r="C17861" s="5" t="str">
        <f>IFERROR(__xludf.DUMMYFUNCTION("GOOGLETRANSLATE(B17861,""en"",""it"")"),"La donna in bagno si sta lavando i denti e viene attaccata da un uomo con un coltello.")</f>
        <v>La donna in bagno si sta lavando i denti e viene attaccata da un uomo con un coltello.</v>
      </c>
    </row>
    <row r="17862">
      <c r="A17862" s="4" t="s">
        <v>22474</v>
      </c>
      <c r="B17862" s="4" t="s">
        <v>22481</v>
      </c>
      <c r="C17862" s="5" t="str">
        <f>IFERROR(__xludf.DUMMYFUNCTION("GOOGLETRANSLATE(B17862,""en"",""it"")"),"C'è sangue schizzato in tutto il bagno.")</f>
        <v>C'è sangue schizzato in tutto il bagno.</v>
      </c>
    </row>
    <row r="17863">
      <c r="A17863" s="4" t="s">
        <v>22474</v>
      </c>
      <c r="B17863" s="6" t="s">
        <v>22482</v>
      </c>
      <c r="C17863" s="5" t="str">
        <f>IFERROR(__xludf.DUMMYFUNCTION("GOOGLETRANSLATE(B17863,""en"",""it"")"),"La donna ferita si alza e si guarda allo specchio solo scopre che ha il volto dell'uomo dalla spiaggia.")</f>
        <v>La donna ferita si alza e si guarda allo specchio solo scopre che ha il volto dell'uomo dalla spiaggia.</v>
      </c>
    </row>
    <row r="17864">
      <c r="A17864" s="4" t="s">
        <v>22474</v>
      </c>
      <c r="B17864" s="4" t="s">
        <v>22483</v>
      </c>
      <c r="C17864" s="5" t="str">
        <f>IFERROR(__xludf.DUMMYFUNCTION("GOOGLETRANSLATE(B17864,""en"",""it"")"),"Lo stesso uomo è di nuovo sulla spiaggia, camminando lungo la riva.")</f>
        <v>Lo stesso uomo è di nuovo sulla spiaggia, camminando lungo la riva.</v>
      </c>
    </row>
    <row r="17865">
      <c r="A17865" s="4" t="s">
        <v>22484</v>
      </c>
      <c r="B17865" s="6" t="s">
        <v>22485</v>
      </c>
      <c r="C17865" s="5" t="str">
        <f>IFERROR(__xludf.DUMMYFUNCTION("GOOGLETRANSLATE(B17865,""en"",""it"")"),"Vengono mostrati vari colpi di paesaggi seguiti da una donna che parla alla telecamera, si prepara e cavalcando dietro un veicolo.")</f>
        <v>Vengono mostrati vari colpi di paesaggi seguiti da una donna che parla alla telecamera, si prepara e cavalcando dietro un veicolo.</v>
      </c>
    </row>
    <row r="17866">
      <c r="A17866" s="4" t="s">
        <v>22484</v>
      </c>
      <c r="B17866" s="6" t="s">
        <v>22486</v>
      </c>
      <c r="C17866" s="5" t="str">
        <f>IFERROR(__xludf.DUMMYFUNCTION("GOOGLETRANSLATE(B17866,""en"",""it"")"),"La persona va in giro e interagisce con il conducente e conduce in più clip della persona che cavalca una tavola dietro un'auto.")</f>
        <v>La persona va in giro e interagisce con il conducente e conduce in più clip della persona che cavalca una tavola dietro un'auto.</v>
      </c>
    </row>
    <row r="17867">
      <c r="A17867" s="4" t="s">
        <v>22484</v>
      </c>
      <c r="B17867" s="6" t="s">
        <v>22487</v>
      </c>
      <c r="C17867" s="5" t="str">
        <f>IFERROR(__xludf.DUMMYFUNCTION("GOOGLETRANSLATE(B17867,""en"",""it"")"),"Un uomo parla in un walkie talkie e mostra la velocità dell'auto e le persone che celebrano e l'uomo che riceve una targa.")</f>
        <v>Un uomo parla in un walkie talkie e mostra la velocità dell'auto e le persone che celebrano e l'uomo che riceve una targa.</v>
      </c>
    </row>
    <row r="17868">
      <c r="A17868" s="4" t="s">
        <v>22488</v>
      </c>
      <c r="B17868" s="4" t="s">
        <v>22489</v>
      </c>
      <c r="C17868" s="5" t="str">
        <f>IFERROR(__xludf.DUMMYFUNCTION("GOOGLETRANSLATE(B17868,""en"",""it"")"),"Un gruppo di uomini si trova in una stanza facendo vari movimenti delle mani e si muovono i piedi.")</f>
        <v>Un gruppo di uomini si trova in una stanza facendo vari movimenti delle mani e si muovono i piedi.</v>
      </c>
    </row>
    <row r="17869">
      <c r="A17869" s="4" t="s">
        <v>22488</v>
      </c>
      <c r="B17869" s="6" t="s">
        <v>22490</v>
      </c>
      <c r="C17869" s="5" t="str">
        <f>IFERROR(__xludf.DUMMYFUNCTION("GOOGLETRANSLATE(B17869,""en"",""it"")"),"Mentre continuano, l'uomo nella parte posteriore cade a terra, si alza e continua a muoversi nella parte posteriore della stanza.")</f>
        <v>Mentre continuano, l'uomo nella parte posteriore cade a terra, si alza e continua a muoversi nella parte posteriore della stanza.</v>
      </c>
    </row>
    <row r="17870">
      <c r="A17870" s="4" t="s">
        <v>22488</v>
      </c>
      <c r="B17870" s="4" t="s">
        <v>22491</v>
      </c>
      <c r="C17870" s="5" t="str">
        <f>IFERROR(__xludf.DUMMYFUNCTION("GOOGLETRANSLATE(B17870,""en"",""it"")"),"Finiscono, si fermano e iniziano a applaudire e si stanno alimentando a vicenda.")</f>
        <v>Finiscono, si fermano e iniziano a applaudire e si stanno alimentando a vicenda.</v>
      </c>
    </row>
    <row r="17871">
      <c r="A17871" s="4" t="s">
        <v>22492</v>
      </c>
      <c r="B17871" s="4" t="s">
        <v>22493</v>
      </c>
      <c r="C17871" s="5" t="str">
        <f>IFERROR(__xludf.DUMMYFUNCTION("GOOGLETRANSLATE(B17871,""en"",""it"")"),"Blonde Woman sta rastrellando foglie secche in un cortile e il cane sta giocando con loro correndo.")</f>
        <v>Blonde Woman sta rastrellando foglie secche in un cortile e il cane sta giocando con loro correndo.</v>
      </c>
    </row>
    <row r="17872">
      <c r="A17872" s="4" t="s">
        <v>22492</v>
      </c>
      <c r="B17872" s="6" t="s">
        <v>22494</v>
      </c>
      <c r="C17872" s="5" t="str">
        <f>IFERROR(__xludf.DUMMYFUNCTION("GOOGLETRANSLATE(B17872,""en"",""it"")"),"Il cane è distratto nel cortile e beve acqua da una fontana e continua a correre attraverso il campo giocando con le foglie mentre la donna continua a rastrellare.")</f>
        <v>Il cane è distratto nel cortile e beve acqua da una fontana e continua a correre attraverso il campo giocando con le foglie mentre la donna continua a rastrellare.</v>
      </c>
    </row>
    <row r="17873">
      <c r="A17873" s="4" t="s">
        <v>22495</v>
      </c>
      <c r="B17873" s="4" t="s">
        <v>22496</v>
      </c>
      <c r="C17873" s="5" t="str">
        <f>IFERROR(__xludf.DUMMYFUNCTION("GOOGLETRANSLATE(B17873,""en"",""it"")"),"Due persone sono in piedi dietro un bancone.")</f>
        <v>Due persone sono in piedi dietro un bancone.</v>
      </c>
    </row>
    <row r="17874">
      <c r="A17874" s="4" t="s">
        <v>22495</v>
      </c>
      <c r="B17874" s="4" t="s">
        <v>22497</v>
      </c>
      <c r="C17874" s="5" t="str">
        <f>IFERROR(__xludf.DUMMYFUNCTION("GOOGLETRANSLATE(B17874,""en"",""it"")"),"Una persona sta aggiungendo peperoni a un'insalata.")</f>
        <v>Una persona sta aggiungendo peperoni a un'insalata.</v>
      </c>
    </row>
    <row r="17875">
      <c r="A17875" s="4" t="s">
        <v>22495</v>
      </c>
      <c r="B17875" s="4" t="s">
        <v>22498</v>
      </c>
      <c r="C17875" s="5" t="str">
        <f>IFERROR(__xludf.DUMMYFUNCTION("GOOGLETRANSLATE(B17875,""en"",""it"")"),"Un'altra persona è tagliare il pepe su una tavola.")</f>
        <v>Un'altra persona è tagliare il pepe su una tavola.</v>
      </c>
    </row>
    <row r="17876">
      <c r="A17876" s="4" t="s">
        <v>22499</v>
      </c>
      <c r="B17876" s="4" t="s">
        <v>22500</v>
      </c>
      <c r="C17876" s="5" t="str">
        <f>IFERROR(__xludf.DUMMYFUNCTION("GOOGLETRANSLATE(B17876,""en"",""it"")"),"I crediti di apertura per un film appare sullo schermo.")</f>
        <v>I crediti di apertura per un film appare sullo schermo.</v>
      </c>
    </row>
    <row r="17877">
      <c r="A17877" s="4" t="s">
        <v>22499</v>
      </c>
      <c r="B17877" s="4" t="s">
        <v>22501</v>
      </c>
      <c r="C17877" s="5" t="str">
        <f>IFERROR(__xludf.DUMMYFUNCTION("GOOGLETRANSLATE(B17877,""en"",""it"")"),"Diversi giovani vengono mostrati eseguendo varie acrobazie sugli skateboard.")</f>
        <v>Diversi giovani vengono mostrati eseguendo varie acrobazie sugli skateboard.</v>
      </c>
    </row>
    <row r="17878">
      <c r="A17878" s="4" t="s">
        <v>22499</v>
      </c>
      <c r="B17878" s="4" t="s">
        <v>22502</v>
      </c>
      <c r="C17878" s="5" t="str">
        <f>IFERROR(__xludf.DUMMYFUNCTION("GOOGLETRANSLATE(B17878,""en"",""it"")"),"Saltano sui tavoli, sulle fontane e sulle scale.")</f>
        <v>Saltano sui tavoli, sulle fontane e sulle scale.</v>
      </c>
    </row>
    <row r="17879">
      <c r="A17879" s="4" t="s">
        <v>22503</v>
      </c>
      <c r="B17879" s="4" t="s">
        <v>22504</v>
      </c>
      <c r="C17879" s="5" t="str">
        <f>IFERROR(__xludf.DUMMYFUNCTION("GOOGLETRANSLATE(B17879,""en"",""it"")"),"Un uomo sta mescolando qualcosa in una pentola.")</f>
        <v>Un uomo sta mescolando qualcosa in una pentola.</v>
      </c>
    </row>
    <row r="17880">
      <c r="A17880" s="4" t="s">
        <v>22503</v>
      </c>
      <c r="B17880" s="4" t="s">
        <v>22505</v>
      </c>
      <c r="C17880" s="5" t="str">
        <f>IFERROR(__xludf.DUMMYFUNCTION("GOOGLETRANSLATE(B17880,""en"",""it"")"),"Il primo uomo lascia la scena mentre un secondo uomo entra e mescola qualcosa in una ciotola.")</f>
        <v>Il primo uomo lascia la scena mentre un secondo uomo entra e mescola qualcosa in una ciotola.</v>
      </c>
    </row>
    <row r="17881">
      <c r="A17881" s="4" t="s">
        <v>22503</v>
      </c>
      <c r="B17881" s="4" t="s">
        <v>22506</v>
      </c>
      <c r="C17881" s="5" t="str">
        <f>IFERROR(__xludf.DUMMYFUNCTION("GOOGLETRANSLATE(B17881,""en"",""it"")"),"Il primo uomo entra e fuori dalla cornice.")</f>
        <v>Il primo uomo entra e fuori dalla cornice.</v>
      </c>
    </row>
    <row r="17882">
      <c r="A17882" s="4" t="s">
        <v>22503</v>
      </c>
      <c r="B17882" s="4" t="s">
        <v>22507</v>
      </c>
      <c r="C17882" s="5" t="str">
        <f>IFERROR(__xludf.DUMMYFUNCTION("GOOGLETRANSLATE(B17882,""en"",""it"")"),"La fotocamera si panoramica per guardare il primo uomo che lavorava in un forno.")</f>
        <v>La fotocamera si panoramica per guardare il primo uomo che lavorava in un forno.</v>
      </c>
    </row>
    <row r="17883">
      <c r="A17883" s="4" t="s">
        <v>22508</v>
      </c>
      <c r="B17883" s="4" t="s">
        <v>22509</v>
      </c>
      <c r="C17883" s="5" t="str">
        <f>IFERROR(__xludf.DUMMYFUNCTION("GOOGLETRANSLATE(B17883,""en"",""it"")"),"Le persone in uniforme di vari personaggi vengono mostrate che corrono attorno a un campo verde.")</f>
        <v>Le persone in uniforme di vari personaggi vengono mostrate che corrono attorno a un campo verde.</v>
      </c>
    </row>
    <row r="17884">
      <c r="A17884" s="4" t="s">
        <v>22508</v>
      </c>
      <c r="B17884" s="4" t="s">
        <v>22510</v>
      </c>
      <c r="C17884" s="5" t="str">
        <f>IFERROR(__xludf.DUMMYFUNCTION("GOOGLETRANSLATE(B17884,""en"",""it"")"),"Quindi, inizia una partita di lacrosse e si competono l'uno contro l'altro.")</f>
        <v>Quindi, inizia una partita di lacrosse e si competono l'uno contro l'altro.</v>
      </c>
    </row>
    <row r="17885">
      <c r="A17885" s="4" t="s">
        <v>22508</v>
      </c>
      <c r="B17885" s="6" t="s">
        <v>22511</v>
      </c>
      <c r="C17885" s="5" t="str">
        <f>IFERROR(__xludf.DUMMYFUNCTION("GOOGLETRANSLATE(B17885,""en"",""it"")"),"Il grande personaggio giallo tenta di ottenere un obiettivo ma non ha successo e cade in ginocchio per delusione.")</f>
        <v>Il grande personaggio giallo tenta di ottenere un obiettivo ma non ha successo e cade in ginocchio per delusione.</v>
      </c>
    </row>
    <row r="17886">
      <c r="A17886" s="4" t="s">
        <v>22512</v>
      </c>
      <c r="B17886" s="6" t="s">
        <v>22513</v>
      </c>
      <c r="C17886" s="5" t="str">
        <f>IFERROR(__xludf.DUMMYFUNCTION("GOOGLETRANSLATE(B17886,""en"",""it"")"),"Un uomo con una camicia di jeans e un berretto da baseball nero gioca l'armonica sulla spiaggia di fronte a una riva sabbiosa, acqua oceanica e una collina coperta di erba e fiori.")</f>
        <v>Un uomo con una camicia di jeans e un berretto da baseball nero gioca l'armonica sulla spiaggia di fronte a una riva sabbiosa, acqua oceanica e una collina coperta di erba e fiori.</v>
      </c>
    </row>
    <row r="17887">
      <c r="A17887" s="4" t="s">
        <v>22512</v>
      </c>
      <c r="B17887" s="6" t="s">
        <v>22514</v>
      </c>
      <c r="C17887" s="5" t="str">
        <f>IFERROR(__xludf.DUMMYFUNCTION("GOOGLETRANSLATE(B17887,""en"",""it"")"),"L'uomo è in piedi in cima a una breve scala di legno e, appoggiandosi alla ringhiera, l'uomo inizia a suonare l'armonica che copre l'intero strumento con entrambe le mani mentre suona.")</f>
        <v>L'uomo è in piedi in cima a una breve scala di legno e, appoggiandosi alla ringhiera, l'uomo inizia a suonare l'armonica che copre l'intero strumento con entrambe le mani mentre suona.</v>
      </c>
    </row>
    <row r="17888">
      <c r="A17888" s="4" t="s">
        <v>22512</v>
      </c>
      <c r="B17888" s="4" t="s">
        <v>22515</v>
      </c>
      <c r="C17888" s="5" t="str">
        <f>IFERROR(__xludf.DUMMYFUNCTION("GOOGLETRANSLATE(B17888,""en"",""it"")"),"Un frequentatori di spiaggia in pantaloncini lo cammina in lontananza sulla sabbia bagnata della spiaggia.")</f>
        <v>Un frequentatori di spiaggia in pantaloncini lo cammina in lontananza sulla sabbia bagnata della spiaggia.</v>
      </c>
    </row>
    <row r="17889">
      <c r="A17889" s="4" t="s">
        <v>22512</v>
      </c>
      <c r="B17889" s="6" t="s">
        <v>22516</v>
      </c>
      <c r="C17889" s="5" t="str">
        <f>IFERROR(__xludf.DUMMYFUNCTION("GOOGLETRANSLATE(B17889,""en"",""it"")"),"L'uomo continua a suonare l'armonica che termina allontanando l'armonica dalla bocca e contorcendo drasticamente un grande, gonfio, baffi.")</f>
        <v>L'uomo continua a suonare l'armonica che termina allontanando l'armonica dalla bocca e contorcendo drasticamente un grande, gonfio, baffi.</v>
      </c>
    </row>
    <row r="17890">
      <c r="A17890" s="4" t="s">
        <v>22517</v>
      </c>
      <c r="B17890" s="4" t="s">
        <v>22518</v>
      </c>
      <c r="C17890" s="5" t="str">
        <f>IFERROR(__xludf.DUMMYFUNCTION("GOOGLETRANSLATE(B17890,""en"",""it"")"),"Un uomo e un cane sono visti in piedi in un campo con il cane che guarda al proprietario.")</f>
        <v>Un uomo e un cane sono visti in piedi in un campo con il cane che guarda al proprietario.</v>
      </c>
    </row>
    <row r="17891">
      <c r="A17891" s="4" t="s">
        <v>22517</v>
      </c>
      <c r="B17891" s="4" t="s">
        <v>22519</v>
      </c>
      <c r="C17891" s="5" t="str">
        <f>IFERROR(__xludf.DUMMYFUNCTION("GOOGLETRANSLATE(B17891,""en"",""it"")"),"L'uomo getta un frisbee in lontananza e il cane lo insegue.")</f>
        <v>L'uomo getta un frisbee in lontananza e il cane lo insegue.</v>
      </c>
    </row>
    <row r="17892">
      <c r="A17892" s="4" t="s">
        <v>22517</v>
      </c>
      <c r="B17892" s="4" t="s">
        <v>22520</v>
      </c>
      <c r="C17892" s="5" t="str">
        <f>IFERROR(__xludf.DUMMYFUNCTION("GOOGLETRANSLATE(B17892,""en"",""it"")"),"Il cane afferra il frisbee e corre di nuovo dall'uomo.")</f>
        <v>Il cane afferra il frisbee e corre di nuovo dall'uomo.</v>
      </c>
    </row>
    <row r="17893">
      <c r="A17893" s="4" t="s">
        <v>22521</v>
      </c>
      <c r="B17893" s="4" t="s">
        <v>22522</v>
      </c>
      <c r="C17893" s="5" t="str">
        <f>IFERROR(__xludf.DUMMYFUNCTION("GOOGLETRANSLATE(B17893,""en"",""it"")"),"Una giovane donna è in palestra.")</f>
        <v>Una giovane donna è in palestra.</v>
      </c>
    </row>
    <row r="17894">
      <c r="A17894" s="4" t="s">
        <v>22521</v>
      </c>
      <c r="B17894" s="4" t="s">
        <v>22523</v>
      </c>
      <c r="C17894" s="5" t="str">
        <f>IFERROR(__xludf.DUMMYFUNCTION("GOOGLETRANSLATE(B17894,""en"",""it"")"),"Si siede su un esercizio mentre parla alla fotocamera.")</f>
        <v>Si siede su un esercizio mentre parla alla fotocamera.</v>
      </c>
    </row>
    <row r="17895">
      <c r="A17895" s="4" t="s">
        <v>22521</v>
      </c>
      <c r="B17895" s="4" t="s">
        <v>22524</v>
      </c>
      <c r="C17895" s="5" t="str">
        <f>IFERROR(__xludf.DUMMYFUNCTION("GOOGLETRANSLATE(B17895,""en"",""it"")"),"Altre tre persone sono vicino a lei, anche su macchine da esercizi.")</f>
        <v>Altre tre persone sono vicino a lei, anche su macchine da esercizi.</v>
      </c>
    </row>
    <row r="17896">
      <c r="A17896" s="4" t="s">
        <v>22521</v>
      </c>
      <c r="B17896" s="4" t="s">
        <v>22525</v>
      </c>
      <c r="C17896" s="5" t="str">
        <f>IFERROR(__xludf.DUMMYFUNCTION("GOOGLETRANSLATE(B17896,""en"",""it"")"),"La donna inizia quindi a usare la macchina per esercizi.")</f>
        <v>La donna inizia quindi a usare la macchina per esercizi.</v>
      </c>
    </row>
    <row r="17897">
      <c r="A17897" s="4" t="s">
        <v>22521</v>
      </c>
      <c r="B17897" s="4" t="s">
        <v>22526</v>
      </c>
      <c r="C17897" s="5" t="str">
        <f>IFERROR(__xludf.DUMMYFUNCTION("GOOGLETRANSLATE(B17897,""en"",""it"")"),"Il video termina con la donna che ferma la macchina e sorride alla fotocamera.")</f>
        <v>Il video termina con la donna che ferma la macchina e sorride alla fotocamera.</v>
      </c>
    </row>
    <row r="17898">
      <c r="A17898" s="4" t="s">
        <v>22527</v>
      </c>
      <c r="B17898" s="4" t="s">
        <v>22528</v>
      </c>
      <c r="C17898" s="5" t="str">
        <f>IFERROR(__xludf.DUMMYFUNCTION("GOOGLETRANSLATE(B17898,""en"",""it"")"),"Un uomo e una donna sono visti eseguire una routine di ballo su un pavimento l'uno con l'altro.")</f>
        <v>Un uomo e una donna sono visti eseguire una routine di ballo su un pavimento l'uno con l'altro.</v>
      </c>
    </row>
    <row r="17899">
      <c r="A17899" s="4" t="s">
        <v>22527</v>
      </c>
      <c r="B17899" s="6" t="s">
        <v>22529</v>
      </c>
      <c r="C17899" s="5" t="str">
        <f>IFERROR(__xludf.DUMMYFUNCTION("GOOGLETRANSLATE(B17899,""en"",""it"")"),"L'uomo e la donna sono anche visti nei colpi che ballano da soli e conducono a ballare di nuovo insieme.")</f>
        <v>L'uomo e la donna sono anche visti nei colpi che ballano da soli e conducono a ballare di nuovo insieme.</v>
      </c>
    </row>
    <row r="17900">
      <c r="A17900" s="4" t="s">
        <v>22530</v>
      </c>
      <c r="B17900" s="4" t="s">
        <v>22531</v>
      </c>
      <c r="C17900" s="5" t="str">
        <f>IFERROR(__xludf.DUMMYFUNCTION("GOOGLETRANSLATE(B17900,""en"",""it"")"),"Una ragazza si trova in un bagno a parlare con la telecamera mentre un uomo la filma.")</f>
        <v>Una ragazza si trova in un bagno a parlare con la telecamera mentre un uomo la filma.</v>
      </c>
    </row>
    <row r="17901">
      <c r="A17901" s="4" t="s">
        <v>22530</v>
      </c>
      <c r="B17901" s="4" t="s">
        <v>22532</v>
      </c>
      <c r="C17901" s="5" t="str">
        <f>IFERROR(__xludf.DUMMYFUNCTION("GOOGLETRANSLATE(B17901,""en"",""it"")"),"La signora si asciuga il trucco degli occhi e si lava il viso.")</f>
        <v>La signora si asciuga il trucco degli occhi e si lava il viso.</v>
      </c>
    </row>
    <row r="17902">
      <c r="A17902" s="4" t="s">
        <v>22530</v>
      </c>
      <c r="B17902" s="4" t="s">
        <v>22533</v>
      </c>
      <c r="C17902" s="5" t="str">
        <f>IFERROR(__xludf.DUMMYFUNCTION("GOOGLETRANSLATE(B17902,""en"",""it"")"),"La signora si arrampica sul sapone dal suo viso.")</f>
        <v>La signora si arrampica sul sapone dal suo viso.</v>
      </c>
    </row>
    <row r="17903">
      <c r="A17903" s="4" t="s">
        <v>22530</v>
      </c>
      <c r="B17903" s="4" t="s">
        <v>22534</v>
      </c>
      <c r="C17903" s="5" t="str">
        <f>IFERROR(__xludf.DUMMYFUNCTION("GOOGLETRANSLATE(B17903,""en"",""it"")"),"La signora si alza in piedi e si asciuga il viso con le mani mentre sorride.")</f>
        <v>La signora si alza in piedi e si asciuga il viso con le mani mentre sorride.</v>
      </c>
    </row>
    <row r="17904">
      <c r="A17904" s="4" t="s">
        <v>22535</v>
      </c>
      <c r="B17904" s="6" t="s">
        <v>22536</v>
      </c>
      <c r="C17904" s="5" t="str">
        <f>IFERROR(__xludf.DUMMYFUNCTION("GOOGLETRANSLATE(B17904,""en"",""it"")"),"Un uomo che cammina su palafitte di metallo sta rimbalzando un basket con la mano destra mentre un uomo lo passa sui rolleblades nella direzione opposta.")</f>
        <v>Un uomo che cammina su palafitte di metallo sta rimbalzando un basket con la mano destra mentre un uomo lo passa sui rolleblades nella direzione opposta.</v>
      </c>
    </row>
    <row r="17905">
      <c r="A17905" s="4" t="s">
        <v>22535</v>
      </c>
      <c r="B17905" s="6" t="s">
        <v>22537</v>
      </c>
      <c r="C17905" s="5" t="str">
        <f>IFERROR(__xludf.DUMMYFUNCTION("GOOGLETRANSLATE(B17905,""en"",""it"")"),"L'uomo su Stilts si gira mentre rimbalza ancora la palla, perde un po 'il controllo, ma lo sale e rimbalza è di nuovo.")</f>
        <v>L'uomo su Stilts si gira mentre rimbalza ancora la palla, perde un po 'il controllo, ma lo sale e rimbalza è di nuovo.</v>
      </c>
    </row>
    <row r="17906">
      <c r="A17906" s="4" t="s">
        <v>22535</v>
      </c>
      <c r="B17906" s="6" t="s">
        <v>22538</v>
      </c>
      <c r="C17906" s="5" t="str">
        <f>IFERROR(__xludf.DUMMYFUNCTION("GOOGLETRANSLATE(B17906,""en"",""it"")"),"L'uomo quindi afferra il basket con due mani e finge che lo lancerà verso la telecamera.")</f>
        <v>L'uomo quindi afferra il basket con due mani e finge che lo lancerà verso la telecamera.</v>
      </c>
    </row>
    <row r="17907">
      <c r="A17907" s="4" t="s">
        <v>22539</v>
      </c>
      <c r="B17907" s="4" t="s">
        <v>22540</v>
      </c>
      <c r="C17907" s="5" t="str">
        <f>IFERROR(__xludf.DUMMYFUNCTION("GOOGLETRANSLATE(B17907,""en"",""it"")"),"Una piscina è mostrata in una stanza.")</f>
        <v>Una piscina è mostrata in una stanza.</v>
      </c>
    </row>
    <row r="17908">
      <c r="A17908" s="4" t="s">
        <v>22539</v>
      </c>
      <c r="B17908" s="4" t="s">
        <v>22541</v>
      </c>
      <c r="C17908" s="5" t="str">
        <f>IFERROR(__xludf.DUMMYFUNCTION("GOOGLETRANSLATE(B17908,""en"",""it"")"),"Gli uomini vengono mostrati saltare in piscina e girare i giri.")</f>
        <v>Gli uomini vengono mostrati saltare in piscina e girare i giri.</v>
      </c>
    </row>
    <row r="17909">
      <c r="A17909" s="4" t="s">
        <v>22542</v>
      </c>
      <c r="B17909" s="4" t="s">
        <v>1251</v>
      </c>
      <c r="C17909" s="5" t="str">
        <f>IFERROR(__xludf.DUMMYFUNCTION("GOOGLETRANSLATE(B17909,""en"",""it"")"),"Vengono visualizzati i crediti della clip.")</f>
        <v>Vengono visualizzati i crediti della clip.</v>
      </c>
    </row>
    <row r="17910">
      <c r="A17910" s="4" t="s">
        <v>22542</v>
      </c>
      <c r="B17910" s="4" t="s">
        <v>22543</v>
      </c>
      <c r="C17910" s="5" t="str">
        <f>IFERROR(__xludf.DUMMYFUNCTION("GOOGLETRANSLATE(B17910,""en"",""it"")"),"Le auto si muovono su una strada adiacente a una casa.")</f>
        <v>Le auto si muovono su una strada adiacente a una casa.</v>
      </c>
    </row>
    <row r="17911">
      <c r="A17911" s="4" t="s">
        <v>22542</v>
      </c>
      <c r="B17911" s="4" t="s">
        <v>22544</v>
      </c>
      <c r="C17911" s="5" t="str">
        <f>IFERROR(__xludf.DUMMYFUNCTION("GOOGLETRANSLATE(B17911,""en"",""it"")"),"Una persona è il lavaggio del potere.")</f>
        <v>Una persona è il lavaggio del potere.</v>
      </c>
    </row>
    <row r="17912">
      <c r="A17912" s="4" t="s">
        <v>22542</v>
      </c>
      <c r="B17912" s="4" t="s">
        <v>22545</v>
      </c>
      <c r="C17912" s="5" t="str">
        <f>IFERROR(__xludf.DUMMYFUNCTION("GOOGLETRANSLATE(B17912,""en"",""it"")"),"La persona sta prendendo in giro acqua e detriti con un vuoto.")</f>
        <v>La persona sta prendendo in giro acqua e detriti con un vuoto.</v>
      </c>
    </row>
    <row r="17913">
      <c r="A17913" s="4" t="s">
        <v>22542</v>
      </c>
      <c r="B17913" s="4" t="s">
        <v>22546</v>
      </c>
      <c r="C17913" s="5" t="str">
        <f>IFERROR(__xludf.DUMMYFUNCTION("GOOGLETRANSLATE(B17913,""en"",""it"")"),"Un uomo sta dipingendo il muro, azzurro.")</f>
        <v>Un uomo sta dipingendo il muro, azzurro.</v>
      </c>
    </row>
    <row r="17914">
      <c r="A17914" s="4" t="s">
        <v>22542</v>
      </c>
      <c r="B17914" s="4" t="s">
        <v>22547</v>
      </c>
      <c r="C17914" s="5" t="str">
        <f>IFERROR(__xludf.DUMMYFUNCTION("GOOGLETRANSLATE(B17914,""en"",""it"")"),"L'uomo sta dipingendo il muro e il pavimento di un tetto, nero.")</f>
        <v>L'uomo sta dipingendo il muro e il pavimento di un tetto, nero.</v>
      </c>
    </row>
    <row r="17915">
      <c r="A17915" s="4" t="s">
        <v>22542</v>
      </c>
      <c r="B17915" s="4" t="s">
        <v>573</v>
      </c>
      <c r="C17915" s="5" t="str">
        <f>IFERROR(__xludf.DUMMYFUNCTION("GOOGLETRANSLATE(B17915,""en"",""it"")"),"Vengono visualizzati i crediti del video.")</f>
        <v>Vengono visualizzati i crediti del video.</v>
      </c>
    </row>
    <row r="17916">
      <c r="A17916" s="4" t="s">
        <v>22548</v>
      </c>
      <c r="B17916" s="4" t="s">
        <v>1487</v>
      </c>
      <c r="C17916" s="5" t="str">
        <f>IFERROR(__xludf.DUMMYFUNCTION("GOOGLETRANSLATE(B17916,""en"",""it"")"),"Vediamo una schermata del titolo di apertura.")</f>
        <v>Vediamo una schermata del titolo di apertura.</v>
      </c>
    </row>
    <row r="17917">
      <c r="A17917" s="4" t="s">
        <v>22548</v>
      </c>
      <c r="B17917" s="4" t="s">
        <v>22549</v>
      </c>
      <c r="C17917" s="5" t="str">
        <f>IFERROR(__xludf.DUMMYFUNCTION("GOOGLETRANSLATE(B17917,""en"",""it"")"),"Un uomo suona la batteria mentre indossa gli auricolari.")</f>
        <v>Un uomo suona la batteria mentre indossa gli auricolari.</v>
      </c>
    </row>
    <row r="17918">
      <c r="A17918" s="4" t="s">
        <v>22548</v>
      </c>
      <c r="B17918" s="4" t="s">
        <v>22550</v>
      </c>
      <c r="C17918" s="5" t="str">
        <f>IFERROR(__xludf.DUMMYFUNCTION("GOOGLETRANSLATE(B17918,""en"",""it"")"),"Vediamo i piedi dell'uomo nell'angolo superiore.")</f>
        <v>Vediamo i piedi dell'uomo nell'angolo superiore.</v>
      </c>
    </row>
    <row r="17919">
      <c r="A17919" s="4" t="s">
        <v>22548</v>
      </c>
      <c r="B17919" s="4" t="s">
        <v>22551</v>
      </c>
      <c r="C17919" s="5" t="str">
        <f>IFERROR(__xludf.DUMMYFUNCTION("GOOGLETRANSLATE(B17919,""en"",""it"")"),"I piedi degli uomini tornano nell'angolo.")</f>
        <v>I piedi degli uomini tornano nell'angolo.</v>
      </c>
    </row>
    <row r="17920">
      <c r="A17920" s="4" t="s">
        <v>22548</v>
      </c>
      <c r="B17920" s="4" t="s">
        <v>22552</v>
      </c>
      <c r="C17920" s="5" t="str">
        <f>IFERROR(__xludf.DUMMYFUNCTION("GOOGLETRANSLATE(B17920,""en"",""it"")"),"Vediamo un gioco giocato prima di tornare al batterista.")</f>
        <v>Vediamo un gioco giocato prima di tornare al batterista.</v>
      </c>
    </row>
    <row r="17921">
      <c r="A17921" s="4" t="s">
        <v>22548</v>
      </c>
      <c r="B17921" s="4" t="s">
        <v>22553</v>
      </c>
      <c r="C17921" s="5" t="str">
        <f>IFERROR(__xludf.DUMMYFUNCTION("GOOGLETRANSLATE(B17921,""en"",""it"")"),"Vediamo un'altra scena del gioco.")</f>
        <v>Vediamo un'altra scena del gioco.</v>
      </c>
    </row>
    <row r="17922">
      <c r="A17922" s="4" t="s">
        <v>22548</v>
      </c>
      <c r="B17922" s="4" t="s">
        <v>22554</v>
      </c>
      <c r="C17922" s="5" t="str">
        <f>IFERROR(__xludf.DUMMYFUNCTION("GOOGLETRANSLATE(B17922,""en"",""it"")"),"L'uomo lancia e cattura una delle sue bacchette.")</f>
        <v>L'uomo lancia e cattura una delle sue bacchette.</v>
      </c>
    </row>
    <row r="17923">
      <c r="A17923" s="4" t="s">
        <v>22548</v>
      </c>
      <c r="B17923" s="4" t="s">
        <v>22555</v>
      </c>
      <c r="C17923" s="5" t="str">
        <f>IFERROR(__xludf.DUMMYFUNCTION("GOOGLETRANSLATE(B17923,""en"",""it"")"),"Vediamo uno schermo di chiusura con un sito Web.")</f>
        <v>Vediamo uno schermo di chiusura con un sito Web.</v>
      </c>
    </row>
    <row r="17924">
      <c r="A17924" s="4" t="s">
        <v>22556</v>
      </c>
      <c r="B17924" s="6" t="s">
        <v>22557</v>
      </c>
      <c r="C17924" s="5" t="str">
        <f>IFERROR(__xludf.DUMMYFUNCTION("GOOGLETRANSLATE(B17924,""en"",""it"")"),"Si vede uno scatto di due uomini che eseguono una partita di wrestling del braccio insieme mentre il pubblico applaude.")</f>
        <v>Si vede uno scatto di due uomini che eseguono una partita di wrestling del braccio insieme mentre il pubblico applaude.</v>
      </c>
    </row>
    <row r="17925">
      <c r="A17925" s="4" t="s">
        <v>22556</v>
      </c>
      <c r="B17925" s="4" t="s">
        <v>22558</v>
      </c>
      <c r="C17925" s="5" t="str">
        <f>IFERROR(__xludf.DUMMYFUNCTION("GOOGLETRANSLATE(B17925,""en"",""it"")"),"Un uomo batte l'altro e i due sollevano le braccia per tifare e tutti festeggiano.")</f>
        <v>Un uomo batte l'altro e i due sollevano le braccia per tifare e tutti festeggiano.</v>
      </c>
    </row>
    <row r="17926">
      <c r="A17926" s="4" t="s">
        <v>22556</v>
      </c>
      <c r="B17926" s="4" t="s">
        <v>22559</v>
      </c>
      <c r="C17926" s="5" t="str">
        <f>IFERROR(__xludf.DUMMYFUNCTION("GOOGLETRANSLATE(B17926,""en"",""it"")"),"Un uomo tra il pubblico sembra deludente e il vincitore regge un ragazzo.")</f>
        <v>Un uomo tra il pubblico sembra deludente e il vincitore regge un ragazzo.</v>
      </c>
    </row>
    <row r="17927">
      <c r="A17927" s="4" t="s">
        <v>22560</v>
      </c>
      <c r="B17927" s="4" t="s">
        <v>22561</v>
      </c>
      <c r="C17927" s="5" t="str">
        <f>IFERROR(__xludf.DUMMYFUNCTION("GOOGLETRANSLATE(B17927,""en"",""it"")"),"Un uomo sta raccogliendo l'interno di un'anguria.")</f>
        <v>Un uomo sta raccogliendo l'interno di un'anguria.</v>
      </c>
    </row>
    <row r="17928">
      <c r="A17928" s="4" t="s">
        <v>22560</v>
      </c>
      <c r="B17928" s="4" t="s">
        <v>22562</v>
      </c>
      <c r="C17928" s="5" t="str">
        <f>IFERROR(__xludf.DUMMYFUNCTION("GOOGLETRANSLATE(B17928,""en"",""it"")"),"Mangia un pezzo di anguria.")</f>
        <v>Mangia un pezzo di anguria.</v>
      </c>
    </row>
    <row r="17929">
      <c r="A17929" s="4" t="s">
        <v>22560</v>
      </c>
      <c r="B17929" s="4" t="s">
        <v>22563</v>
      </c>
      <c r="C17929" s="5" t="str">
        <f>IFERROR(__xludf.DUMMYFUNCTION("GOOGLETRANSLATE(B17929,""en"",""it"")"),"Allena sul lato dell'anguria.")</f>
        <v>Allena sul lato dell'anguria.</v>
      </c>
    </row>
    <row r="17930">
      <c r="A17930" s="4" t="s">
        <v>22560</v>
      </c>
      <c r="B17930" s="4" t="s">
        <v>22564</v>
      </c>
      <c r="C17930" s="5" t="str">
        <f>IFERROR(__xludf.DUMMYFUNCTION("GOOGLETRANSLATE(B17930,""en"",""it"")"),"Comincia a tagliare porzioni dell'anguria per scolpirla.")</f>
        <v>Comincia a tagliare porzioni dell'anguria per scolpirla.</v>
      </c>
    </row>
    <row r="17931">
      <c r="A17931" s="4" t="s">
        <v>22560</v>
      </c>
      <c r="B17931" s="4" t="s">
        <v>22565</v>
      </c>
      <c r="C17931" s="5" t="str">
        <f>IFERROR(__xludf.DUMMYFUNCTION("GOOGLETRANSLATE(B17931,""en"",""it"")"),"Tira fuori un pezzo di pelle di anguria.")</f>
        <v>Tira fuori un pezzo di pelle di anguria.</v>
      </c>
    </row>
    <row r="17932">
      <c r="A17932" s="4" t="s">
        <v>22560</v>
      </c>
      <c r="B17932" s="4" t="s">
        <v>22566</v>
      </c>
      <c r="C17932" s="5" t="str">
        <f>IFERROR(__xludf.DUMMYFUNCTION("GOOGLETRANSLATE(B17932,""en"",""it"")"),"Continua a disegnare e tagliare l'anguria.")</f>
        <v>Continua a disegnare e tagliare l'anguria.</v>
      </c>
    </row>
    <row r="17933">
      <c r="A17933" s="4" t="s">
        <v>22560</v>
      </c>
      <c r="B17933" s="4" t="s">
        <v>22567</v>
      </c>
      <c r="C17933" s="5" t="str">
        <f>IFERROR(__xludf.DUMMYFUNCTION("GOOGLETRANSLATE(B17933,""en"",""it"")"),"Mostra l'anguria intagliata.")</f>
        <v>Mostra l'anguria intagliata.</v>
      </c>
    </row>
    <row r="17934">
      <c r="A17934" s="4" t="s">
        <v>22560</v>
      </c>
      <c r="B17934" s="4" t="s">
        <v>22568</v>
      </c>
      <c r="C17934" s="5" t="str">
        <f>IFERROR(__xludf.DUMMYFUNCTION("GOOGLETRANSLATE(B17934,""en"",""it"")"),"Le luci si spegne e mostra l'anguria intagliata.")</f>
        <v>Le luci si spegne e mostra l'anguria intagliata.</v>
      </c>
    </row>
    <row r="17935">
      <c r="A17935" s="4" t="s">
        <v>22569</v>
      </c>
      <c r="B17935" s="6" t="s">
        <v>22570</v>
      </c>
      <c r="C17935" s="5" t="str">
        <f>IFERROR(__xludf.DUMMYFUNCTION("GOOGLETRANSLATE(B17935,""en"",""it"")"),"Due ragazze girano le corde a doppio salto mentre una ragazza con una gonna nera salta e una folla di spettatori che guarda.")</f>
        <v>Due ragazze girano le corde a doppio salto mentre una ragazza con una gonna nera salta e una folla di spettatori che guarda.</v>
      </c>
    </row>
    <row r="17936">
      <c r="A17936" s="4" t="s">
        <v>22569</v>
      </c>
      <c r="B17936" s="4" t="s">
        <v>22571</v>
      </c>
      <c r="C17936" s="5" t="str">
        <f>IFERROR(__xludf.DUMMYFUNCTION("GOOGLETRANSLATE(B17936,""en"",""it"")"),"Una ragazza in jeans entra nelle corde ed esegue diverse mosse di salto.")</f>
        <v>Una ragazza in jeans entra nelle corde ed esegue diverse mosse di salto.</v>
      </c>
    </row>
    <row r="17937">
      <c r="A17937" s="4" t="s">
        <v>22569</v>
      </c>
      <c r="B17937" s="4" t="s">
        <v>22572</v>
      </c>
      <c r="C17937" s="5" t="str">
        <f>IFERROR(__xludf.DUMMYFUNCTION("GOOGLETRANSLATE(B17937,""en"",""it"")"),"Una ragazza con una camicia blu entra nelle corde di salto ed esegue mosse diverse durante il salto.")</f>
        <v>Una ragazza con una camicia blu entra nelle corde di salto ed esegue mosse diverse durante il salto.</v>
      </c>
    </row>
    <row r="17938">
      <c r="A17938" s="4" t="s">
        <v>22569</v>
      </c>
      <c r="B17938" s="4" t="s">
        <v>22573</v>
      </c>
      <c r="C17938" s="5" t="str">
        <f>IFERROR(__xludf.DUMMYFUNCTION("GOOGLETRANSLATE(B17938,""en"",""it"")"),"Una ragazza entra nelle corde di salto andando a velocità extra veloce ed esegue salti veloci.")</f>
        <v>Una ragazza entra nelle corde di salto andando a velocità extra veloce ed esegue salti veloci.</v>
      </c>
    </row>
    <row r="17939">
      <c r="A17939" s="4" t="s">
        <v>22574</v>
      </c>
      <c r="B17939" s="4" t="s">
        <v>22575</v>
      </c>
      <c r="C17939" s="5" t="str">
        <f>IFERROR(__xludf.DUMMYFUNCTION("GOOGLETRANSLATE(B17939,""en"",""it"")"),"Un uomo con un abito da gorilla suona un sassofono nel mezzo di un negozio.")</f>
        <v>Un uomo con un abito da gorilla suona un sassofono nel mezzo di un negozio.</v>
      </c>
    </row>
    <row r="17940">
      <c r="A17940" s="4" t="s">
        <v>22574</v>
      </c>
      <c r="B17940" s="4" t="s">
        <v>22576</v>
      </c>
      <c r="C17940" s="5" t="str">
        <f>IFERROR(__xludf.DUMMYFUNCTION("GOOGLETRANSLATE(B17940,""en"",""it"")"),"I dipendenti guardano e ridono della persona che gioca e usano i loro telefoni per scattare foto.")</f>
        <v>I dipendenti guardano e ridono della persona che gioca e usano i loro telefoni per scattare foto.</v>
      </c>
    </row>
    <row r="17941">
      <c r="A17941" s="4" t="s">
        <v>22574</v>
      </c>
      <c r="B17941" s="6" t="s">
        <v>22577</v>
      </c>
      <c r="C17941" s="5" t="str">
        <f>IFERROR(__xludf.DUMMYFUNCTION("GOOGLETRANSLATE(B17941,""en"",""it"")"),"I gorilla si allungano per afferrare una delle mani dei dipendenti e l'uomo ne è molto imbarazzato.")</f>
        <v>I gorilla si allungano per afferrare una delle mani dei dipendenti e l'uomo ne è molto imbarazzato.</v>
      </c>
    </row>
    <row r="17942">
      <c r="A17942" s="4" t="s">
        <v>22574</v>
      </c>
      <c r="B17942" s="4" t="s">
        <v>22578</v>
      </c>
      <c r="C17942" s="5" t="str">
        <f>IFERROR(__xludf.DUMMYFUNCTION("GOOGLETRANSLATE(B17942,""en"",""it"")"),"Si parlano un po 'e gli altri dipendenti iniziano ad applaudire eccitati.")</f>
        <v>Si parlano un po 'e gli altri dipendenti iniziano ad applaudire eccitati.</v>
      </c>
    </row>
    <row r="17943">
      <c r="A17943" s="4" t="s">
        <v>22574</v>
      </c>
      <c r="B17943" s="4" t="s">
        <v>22579</v>
      </c>
      <c r="C17943" s="5" t="str">
        <f>IFERROR(__xludf.DUMMYFUNCTION("GOOGLETRANSLATE(B17943,""en"",""it"")"),"L'uomo del Gorilla Suit suona un po 'di più mentre tutti ridono.")</f>
        <v>L'uomo del Gorilla Suit suona un po 'di più mentre tutti ridono.</v>
      </c>
    </row>
    <row r="17944">
      <c r="A17944" s="4" t="s">
        <v>22574</v>
      </c>
      <c r="B17944" s="4" t="s">
        <v>22580</v>
      </c>
      <c r="C17944" s="5" t="str">
        <f>IFERROR(__xludf.DUMMYFUNCTION("GOOGLETRANSLATE(B17944,""en"",""it"")"),"Gioca e gioca alla fotocamera mentre il video si conclude.")</f>
        <v>Gioca e gioca alla fotocamera mentre il video si conclude.</v>
      </c>
    </row>
    <row r="17945">
      <c r="A17945" s="4" t="s">
        <v>22581</v>
      </c>
      <c r="B17945" s="4" t="s">
        <v>22582</v>
      </c>
      <c r="C17945" s="5" t="str">
        <f>IFERROR(__xludf.DUMMYFUNCTION("GOOGLETRANSLATE(B17945,""en"",""it"")"),"Le persone stanno lottando su SUMO su un tappetino.")</f>
        <v>Le persone stanno lottando su SUMO su un tappetino.</v>
      </c>
    </row>
    <row r="17946">
      <c r="A17946" s="4" t="s">
        <v>22581</v>
      </c>
      <c r="B17946" s="4" t="s">
        <v>22583</v>
      </c>
      <c r="C17946" s="5" t="str">
        <f>IFERROR(__xludf.DUMMYFUNCTION("GOOGLETRANSLATE(B17946,""en"",""it"")"),"Le persone suonano la batteria.")</f>
        <v>Le persone suonano la batteria.</v>
      </c>
    </row>
    <row r="17947">
      <c r="A17947" s="4" t="s">
        <v>22581</v>
      </c>
      <c r="B17947" s="4" t="s">
        <v>22584</v>
      </c>
      <c r="C17947" s="5" t="str">
        <f>IFERROR(__xludf.DUMMYFUNCTION("GOOGLETRANSLATE(B17947,""en"",""it"")"),"I lottatori di sumo stanno parlando con la telecamera.")</f>
        <v>I lottatori di sumo stanno parlando con la telecamera.</v>
      </c>
    </row>
    <row r="17948">
      <c r="A17948" s="4" t="s">
        <v>22585</v>
      </c>
      <c r="B17948" s="4" t="s">
        <v>22586</v>
      </c>
      <c r="C17948" s="5" t="str">
        <f>IFERROR(__xludf.DUMMYFUNCTION("GOOGLETRANSLATE(B17948,""en"",""it"")"),"Un piccolo gruppo di persone si vede per cavalcare macchine per paraurti e si schiantano l'uno contro l'altro.")</f>
        <v>Un piccolo gruppo di persone si vede per cavalcare macchine per paraurti e si schiantano l'uno contro l'altro.</v>
      </c>
    </row>
    <row r="17949">
      <c r="A17949" s="4" t="s">
        <v>22585</v>
      </c>
      <c r="B17949" s="4" t="s">
        <v>22587</v>
      </c>
      <c r="C17949" s="5" t="str">
        <f>IFERROR(__xludf.DUMMYFUNCTION("GOOGLETRANSLATE(B17949,""en"",""it"")"),"Il gruppo continua a guidare e passare l'un l'altro.")</f>
        <v>Il gruppo continua a guidare e passare l'un l'altro.</v>
      </c>
    </row>
    <row r="17950">
      <c r="A17950" s="4" t="s">
        <v>22585</v>
      </c>
      <c r="B17950" s="4" t="s">
        <v>22588</v>
      </c>
      <c r="C17950" s="5" t="str">
        <f>IFERROR(__xludf.DUMMYFUNCTION("GOOGLETRANSLATE(B17950,""en"",""it"")"),"Le persone continuano a guidare le macchine e a passare l'un l'altro.")</f>
        <v>Le persone continuano a guidare le macchine e a passare l'un l'altro.</v>
      </c>
    </row>
    <row r="17951">
      <c r="A17951" s="4" t="s">
        <v>22589</v>
      </c>
      <c r="B17951" s="6" t="s">
        <v>22590</v>
      </c>
      <c r="C17951" s="5" t="str">
        <f>IFERROR(__xludf.DUMMYFUNCTION("GOOGLETRANSLATE(B17951,""en"",""it"")"),"Un ragazzo adolescente e sua madre sono seduti a letto vestiti molto rilassati e parlano di come avvolgere i regali.")</f>
        <v>Un ragazzo adolescente e sua madre sono seduti a letto vestiti molto rilassati e parlano di come avvolgere i regali.</v>
      </c>
    </row>
    <row r="17952">
      <c r="A17952" s="4" t="s">
        <v>22589</v>
      </c>
      <c r="B17952" s="6" t="s">
        <v>22591</v>
      </c>
      <c r="C17952" s="5" t="str">
        <f>IFERROR(__xludf.DUMMYFUNCTION("GOOGLETRANSLATE(B17952,""en"",""it"")"),"Viene tracciato sul suo telefono e poi torna al lavoro, iniziano a tagliare la carta da avvolgimento.")</f>
        <v>Viene tracciato sul suo telefono e poi torna al lavoro, iniziano a tagliare la carta da avvolgimento.</v>
      </c>
    </row>
    <row r="17953">
      <c r="A17953" s="4" t="s">
        <v>22589</v>
      </c>
      <c r="B17953" s="4" t="s">
        <v>22592</v>
      </c>
      <c r="C17953" s="5" t="str">
        <f>IFERROR(__xludf.DUMMYFUNCTION("GOOGLETRANSLATE(B17953,""en"",""it"")"),"Hanno messo i regali nel mezzo della carta e cercano di iniziare a avvolgere.")</f>
        <v>Hanno messo i regali nel mezzo della carta e cercano di iniziare a avvolgere.</v>
      </c>
    </row>
    <row r="17954">
      <c r="A17954" s="4" t="s">
        <v>22589</v>
      </c>
      <c r="B17954" s="6" t="s">
        <v>22593</v>
      </c>
      <c r="C17954" s="5" t="str">
        <f>IFERROR(__xludf.DUMMYFUNCTION("GOOGLETRANSLATE(B17954,""en"",""it"")"),"Sembrano avere tecniche diverse poiché il figlio finisce molto più velocemente e la mamma esce un po 'meglio.")</f>
        <v>Sembrano avere tecniche diverse poiché il figlio finisce molto più velocemente e la mamma esce un po 'meglio.</v>
      </c>
    </row>
    <row r="17955">
      <c r="A17955" s="4" t="s">
        <v>22594</v>
      </c>
      <c r="B17955" s="4" t="s">
        <v>22595</v>
      </c>
      <c r="C17955" s="5" t="str">
        <f>IFERROR(__xludf.DUMMYFUNCTION("GOOGLETRANSLATE(B17955,""en"",""it"")"),"Una donna è in una stalla con un cavallo bianco.")</f>
        <v>Una donna è in una stalla con un cavallo bianco.</v>
      </c>
    </row>
    <row r="17956">
      <c r="A17956" s="4" t="s">
        <v>22594</v>
      </c>
      <c r="B17956" s="4" t="s">
        <v>22596</v>
      </c>
      <c r="C17956" s="5" t="str">
        <f>IFERROR(__xludf.DUMMYFUNCTION("GOOGLETRANSLATE(B17956,""en"",""it"")"),"Mostra una collezione di pennelli e forniture per la toelettatura.")</f>
        <v>Mostra una collezione di pennelli e forniture per la toelettatura.</v>
      </c>
    </row>
    <row r="17957">
      <c r="A17957" s="4" t="s">
        <v>22594</v>
      </c>
      <c r="B17957" s="4" t="s">
        <v>22597</v>
      </c>
      <c r="C17957" s="5" t="str">
        <f>IFERROR(__xludf.DUMMYFUNCTION("GOOGLETRANSLATE(B17957,""en"",""it"")"),"Accoglie il cavallo mentre parla e cerca di mantenerlo calmo.")</f>
        <v>Accoglie il cavallo mentre parla e cerca di mantenerlo calmo.</v>
      </c>
    </row>
    <row r="17958">
      <c r="A17958" s="4" t="s">
        <v>22594</v>
      </c>
      <c r="B17958" s="4" t="s">
        <v>22598</v>
      </c>
      <c r="C17958" s="5" t="str">
        <f>IFERROR(__xludf.DUMMYFUNCTION("GOOGLETRANSLATE(B17958,""en"",""it"")"),"Usa i pennelli per governarlo accuratamente, quindi pulisce gli zoccoli.")</f>
        <v>Usa i pennelli per governarlo accuratamente, quindi pulisce gli zoccoli.</v>
      </c>
    </row>
    <row r="17959">
      <c r="A17959" s="4" t="s">
        <v>22599</v>
      </c>
      <c r="B17959" s="6" t="s">
        <v>22600</v>
      </c>
      <c r="C17959" s="5" t="str">
        <f>IFERROR(__xludf.DUMMYFUNCTION("GOOGLETRANSLATE(B17959,""en"",""it"")"),"Un piccolo gruppo di persone è visto seduto attorno a un tavolo da poker con una donna che si occupa di carte davanti.")</f>
        <v>Un piccolo gruppo di persone è visto seduto attorno a un tavolo da poker con una donna che si occupa di carte davanti.</v>
      </c>
    </row>
    <row r="17960">
      <c r="A17960" s="4" t="s">
        <v>22599</v>
      </c>
      <c r="B17960" s="4" t="s">
        <v>22601</v>
      </c>
      <c r="C17960" s="5" t="str">
        <f>IFERROR(__xludf.DUMMYFUNCTION("GOOGLETRANSLATE(B17960,""en"",""it"")"),"La donna tratta le carte alle persone mentre mettono le loro carte e patatine nel mezzo.")</f>
        <v>La donna tratta le carte alle persone mentre mettono le loro carte e patatine nel mezzo.</v>
      </c>
    </row>
    <row r="17961">
      <c r="A17961" s="4" t="s">
        <v>22599</v>
      </c>
      <c r="B17961" s="4" t="s">
        <v>22602</v>
      </c>
      <c r="C17961" s="5" t="str">
        <f>IFERROR(__xludf.DUMMYFUNCTION("GOOGLETRANSLATE(B17961,""en"",""it"")"),"Il commerciante continua a giocare con le persone e si guarda in lontananza.")</f>
        <v>Il commerciante continua a giocare con le persone e si guarda in lontananza.</v>
      </c>
    </row>
    <row r="17962">
      <c r="A17962" s="4" t="s">
        <v>22603</v>
      </c>
      <c r="B17962" s="4" t="s">
        <v>22604</v>
      </c>
      <c r="C17962" s="5" t="str">
        <f>IFERROR(__xludf.DUMMYFUNCTION("GOOGLETRANSLATE(B17962,""en"",""it"")"),"Vediamo una scena di apertura animata.")</f>
        <v>Vediamo una scena di apertura animata.</v>
      </c>
    </row>
    <row r="17963">
      <c r="A17963" s="4" t="s">
        <v>22603</v>
      </c>
      <c r="B17963" s="4" t="s">
        <v>22605</v>
      </c>
      <c r="C17963" s="5" t="str">
        <f>IFERROR(__xludf.DUMMYFUNCTION("GOOGLETRANSLATE(B17963,""en"",""it"")"),"Vediamo l'uomo correre con un palo ed eseguire un salto in alto.")</f>
        <v>Vediamo l'uomo correre con un palo ed eseguire un salto in alto.</v>
      </c>
    </row>
    <row r="17964">
      <c r="A17964" s="4" t="s">
        <v>22603</v>
      </c>
      <c r="B17964" s="4" t="s">
        <v>22606</v>
      </c>
      <c r="C17964" s="5" t="str">
        <f>IFERROR(__xludf.DUMMYFUNCTION("GOOGLETRANSLATE(B17964,""en"",""it"")"),"L'uomo abbatte il palo e si sdraia per delusione.")</f>
        <v>L'uomo abbatte il palo e si sdraia per delusione.</v>
      </c>
    </row>
    <row r="17965">
      <c r="A17965" s="4" t="s">
        <v>22603</v>
      </c>
      <c r="B17965" s="4" t="s">
        <v>22607</v>
      </c>
      <c r="C17965" s="5" t="str">
        <f>IFERROR(__xludf.DUMMYFUNCTION("GOOGLETRANSLATE(B17965,""en"",""it"")"),"Vediamo l'uomo che tiene il suo palo e facciamo il suo secondo tentativo bussare al palo.")</f>
        <v>Vediamo l'uomo che tiene il suo palo e facciamo il suo secondo tentativo bussare al palo.</v>
      </c>
    </row>
    <row r="17966">
      <c r="A17966" s="4" t="s">
        <v>22603</v>
      </c>
      <c r="B17966" s="4" t="s">
        <v>22608</v>
      </c>
      <c r="C17966" s="5" t="str">
        <f>IFERROR(__xludf.DUMMYFUNCTION("GOOGLETRANSLATE(B17966,""en"",""it"")"),"L'uomo prova una terza volta e i pali rimangono alzati.")</f>
        <v>L'uomo prova una terza volta e i pali rimangono alzati.</v>
      </c>
    </row>
    <row r="17967">
      <c r="A17967" s="4" t="s">
        <v>22603</v>
      </c>
      <c r="B17967" s="4" t="s">
        <v>22609</v>
      </c>
      <c r="C17967" s="5" t="str">
        <f>IFERROR(__xludf.DUMMYFUNCTION("GOOGLETRANSLATE(B17967,""en"",""it"")"),"L'uomo alza le braccia in aria.")</f>
        <v>L'uomo alza le braccia in aria.</v>
      </c>
    </row>
    <row r="17968">
      <c r="A17968" s="4" t="s">
        <v>22603</v>
      </c>
      <c r="B17968" s="4" t="s">
        <v>22610</v>
      </c>
      <c r="C17968" s="5" t="str">
        <f>IFERROR(__xludf.DUMMYFUNCTION("GOOGLETRANSLATE(B17968,""en"",""it"")"),"Vediamo quindi di nuovo il tentativo 1,2 e 3.")</f>
        <v>Vediamo quindi di nuovo il tentativo 1,2 e 3.</v>
      </c>
    </row>
    <row r="17969">
      <c r="A17969" s="4" t="s">
        <v>22603</v>
      </c>
      <c r="B17969" s="4" t="s">
        <v>22611</v>
      </c>
      <c r="C17969" s="5" t="str">
        <f>IFERROR(__xludf.DUMMYFUNCTION("GOOGLETRANSLATE(B17969,""en"",""it"")"),"L'uomo alza le braccia in aria per la folla.")</f>
        <v>L'uomo alza le braccia in aria per la folla.</v>
      </c>
    </row>
    <row r="17970">
      <c r="A17970" s="4" t="s">
        <v>22603</v>
      </c>
      <c r="B17970" s="4" t="s">
        <v>22612</v>
      </c>
      <c r="C17970" s="5" t="str">
        <f>IFERROR(__xludf.DUMMYFUNCTION("GOOGLETRANSLATE(B17970,""en"",""it"")"),"L'uomo getta le braccia in aria e cade a terra.")</f>
        <v>L'uomo getta le braccia in aria e cade a terra.</v>
      </c>
    </row>
    <row r="17971">
      <c r="A17971" s="4" t="s">
        <v>22613</v>
      </c>
      <c r="B17971" s="4" t="s">
        <v>22614</v>
      </c>
      <c r="C17971" s="5" t="str">
        <f>IFERROR(__xludf.DUMMYFUNCTION("GOOGLETRANSLATE(B17971,""en"",""it"")"),"Un uomo con una camicia nera è seduto suonando un set di batteria.")</f>
        <v>Un uomo con una camicia nera è seduto suonando un set di batteria.</v>
      </c>
    </row>
    <row r="17972">
      <c r="A17972" s="4" t="s">
        <v>22613</v>
      </c>
      <c r="B17972" s="4" t="s">
        <v>22615</v>
      </c>
      <c r="C17972" s="5" t="str">
        <f>IFERROR(__xludf.DUMMYFUNCTION("GOOGLETRANSLATE(B17972,""en"",""it"")"),"Smette di giocare e inizia a parlare in un microfono.")</f>
        <v>Smette di giocare e inizia a parlare in un microfono.</v>
      </c>
    </row>
    <row r="17973">
      <c r="A17973" s="4" t="s">
        <v>22616</v>
      </c>
      <c r="B17973" s="4" t="s">
        <v>22617</v>
      </c>
      <c r="C17973" s="5" t="str">
        <f>IFERROR(__xludf.DUMMYFUNCTION("GOOGLETRANSLATE(B17973,""en"",""it"")"),"Un uomo spinge la neve dal suo vialetto in una forte tempesta di neve.")</f>
        <v>Un uomo spinge la neve dal suo vialetto in una forte tempesta di neve.</v>
      </c>
    </row>
    <row r="17974">
      <c r="A17974" s="4" t="s">
        <v>22616</v>
      </c>
      <c r="B17974" s="4" t="s">
        <v>22618</v>
      </c>
      <c r="C17974" s="5" t="str">
        <f>IFERROR(__xludf.DUMMYFUNCTION("GOOGLETRANSLATE(B17974,""en"",""it"")"),"Indossa abiti invernali e i suoi completamente coperti.")</f>
        <v>Indossa abiti invernali e i suoi completamente coperti.</v>
      </c>
    </row>
    <row r="17975">
      <c r="A17975" s="4" t="s">
        <v>22616</v>
      </c>
      <c r="B17975" s="6" t="s">
        <v>22619</v>
      </c>
      <c r="C17975" s="5" t="str">
        <f>IFERROR(__xludf.DUMMYFUNCTION("GOOGLETRANSLATE(B17975,""en"",""it"")"),"Un altro uomo sta anche spargendo la neve dalla passerella della casa non indossa attrezzature invernali.")</f>
        <v>Un altro uomo sta anche spargendo la neve dalla passerella della casa non indossa attrezzature invernali.</v>
      </c>
    </row>
    <row r="17976">
      <c r="A17976" s="4" t="s">
        <v>22616</v>
      </c>
      <c r="B17976" s="4" t="s">
        <v>22620</v>
      </c>
      <c r="C17976" s="5" t="str">
        <f>IFERROR(__xludf.DUMMYFUNCTION("GOOGLETRANSLATE(B17976,""en"",""it"")"),"Entrambi continuano a spalare e pulire la neve nella forte tempesta di neve.")</f>
        <v>Entrambi continuano a spalare e pulire la neve nella forte tempesta di neve.</v>
      </c>
    </row>
    <row r="17977">
      <c r="A17977" s="4" t="s">
        <v>22621</v>
      </c>
      <c r="B17977" s="4" t="s">
        <v>22622</v>
      </c>
      <c r="C17977" s="5" t="str">
        <f>IFERROR(__xludf.DUMMYFUNCTION("GOOGLETRANSLATE(B17977,""en"",""it"")"),"Una donna è seduta davanti a un tavolo coperto di forniture di avvolgimento.")</f>
        <v>Una donna è seduta davanti a un tavolo coperto di forniture di avvolgimento.</v>
      </c>
    </row>
    <row r="17978">
      <c r="A17978" s="4" t="s">
        <v>22621</v>
      </c>
      <c r="B17978" s="4" t="s">
        <v>22623</v>
      </c>
      <c r="C17978" s="5" t="str">
        <f>IFERROR(__xludf.DUMMYFUNCTION("GOOGLETRANSLATE(B17978,""en"",""it"")"),"Mostra una tazza piena di regali.")</f>
        <v>Mostra una tazza piena di regali.</v>
      </c>
    </row>
    <row r="17979">
      <c r="A17979" s="4" t="s">
        <v>22621</v>
      </c>
      <c r="B17979" s="4" t="s">
        <v>22624</v>
      </c>
      <c r="C17979" s="5" t="str">
        <f>IFERROR(__xludf.DUMMYFUNCTION("GOOGLETRANSLATE(B17979,""en"",""it"")"),"Lo mette in cellophane tagliato, lo avvolge attorno al presente.")</f>
        <v>Lo mette in cellophane tagliato, lo avvolge attorno al presente.</v>
      </c>
    </row>
    <row r="17980">
      <c r="A17980" s="4" t="s">
        <v>22621</v>
      </c>
      <c r="B17980" s="4" t="s">
        <v>22625</v>
      </c>
      <c r="C17980" s="5" t="str">
        <f>IFERROR(__xludf.DUMMYFUNCTION("GOOGLETRANSLATE(B17980,""en"",""it"")"),"Quindi lo lega con nastri colorati.")</f>
        <v>Quindi lo lega con nastri colorati.</v>
      </c>
    </row>
    <row r="17981">
      <c r="A17981" s="4" t="s">
        <v>22626</v>
      </c>
      <c r="B17981" s="4" t="s">
        <v>22627</v>
      </c>
      <c r="C17981" s="5" t="str">
        <f>IFERROR(__xludf.DUMMYFUNCTION("GOOGLETRANSLATE(B17981,""en"",""it"")"),"Viene mostrato un atleta maschio e gira e getta il disco.")</f>
        <v>Viene mostrato un atleta maschio e gira e getta il disco.</v>
      </c>
    </row>
    <row r="17982">
      <c r="A17982" s="4" t="s">
        <v>22626</v>
      </c>
      <c r="B17982" s="4" t="s">
        <v>22628</v>
      </c>
      <c r="C17982" s="5" t="str">
        <f>IFERROR(__xludf.DUMMYFUNCTION("GOOGLETRANSLATE(B17982,""en"",""it"")"),"Una volta completato, due persone si precipitano fuori per misurare la distanza.")</f>
        <v>Una volta completato, due persone si precipitano fuori per misurare la distanza.</v>
      </c>
    </row>
    <row r="17983">
      <c r="A17983" s="4" t="s">
        <v>22626</v>
      </c>
      <c r="B17983" s="4" t="s">
        <v>22629</v>
      </c>
      <c r="C17983" s="5" t="str">
        <f>IFERROR(__xludf.DUMMYFUNCTION("GOOGLETRANSLATE(B17983,""en"",""it"")"),"La sequenza viene quindi continuata e altri uomini vengono mostrati gettando il discus.")</f>
        <v>La sequenza viene quindi continuata e altri uomini vengono mostrati gettando il discus.</v>
      </c>
    </row>
    <row r="17984">
      <c r="A17984" s="4" t="s">
        <v>22630</v>
      </c>
      <c r="B17984" s="4" t="s">
        <v>22631</v>
      </c>
      <c r="C17984" s="5" t="str">
        <f>IFERROR(__xludf.DUMMYFUNCTION("GOOGLETRANSLATE(B17984,""en"",""it"")"),"Una persona viene vista spingere un tosaerba dappertutto intorno a un cortile mentre si muove in movimento veloce.")</f>
        <v>Una persona viene vista spingere un tosaerba dappertutto intorno a un cortile mentre si muove in movimento veloce.</v>
      </c>
    </row>
    <row r="17985">
      <c r="A17985" s="4" t="s">
        <v>22630</v>
      </c>
      <c r="B17985" s="4" t="s">
        <v>22632</v>
      </c>
      <c r="C17985" s="5" t="str">
        <f>IFERROR(__xludf.DUMMYFUNCTION("GOOGLETRANSLATE(B17985,""en"",""it"")"),"La persona continua a muoversi per tagliare l'erba e la telecamera cattura i suoi movimenti.")</f>
        <v>La persona continua a muoversi per tagliare l'erba e la telecamera cattura i suoi movimenti.</v>
      </c>
    </row>
    <row r="17986">
      <c r="A17986" s="4" t="s">
        <v>22633</v>
      </c>
      <c r="B17986" s="6" t="s">
        <v>22634</v>
      </c>
      <c r="C17986" s="5" t="str">
        <f>IFERROR(__xludf.DUMMYFUNCTION("GOOGLETRANSLATE(B17986,""en"",""it"")"),"Una persona viene vista afferrare una palla da bowling e che si avvolge il braccio mentre altre persone si lanciano attorno a lui.")</f>
        <v>Una persona viene vista afferrare una palla da bowling e che si avvolge il braccio mentre altre persone si lanciano attorno a lui.</v>
      </c>
    </row>
    <row r="17987">
      <c r="A17987" s="4" t="s">
        <v>22633</v>
      </c>
      <c r="B17987" s="4" t="s">
        <v>22635</v>
      </c>
      <c r="C17987" s="5" t="str">
        <f>IFERROR(__xludf.DUMMYFUNCTION("GOOGLETRANSLATE(B17987,""en"",""it"")"),"L'uomo lancia la palla e colpisce diversi perni mentre corre all'indietro e tifo alla telecamera.")</f>
        <v>L'uomo lancia la palla e colpisce diversi perni mentre corre all'indietro e tifo alla telecamera.</v>
      </c>
    </row>
    <row r="17988">
      <c r="A17988" s="4" t="s">
        <v>22636</v>
      </c>
      <c r="B17988" s="4" t="s">
        <v>22637</v>
      </c>
      <c r="C17988" s="5" t="str">
        <f>IFERROR(__xludf.DUMMYFUNCTION("GOOGLETRANSLATE(B17988,""en"",""it"")"),"Un giovane si siede su una macchina cardio.")</f>
        <v>Un giovane si siede su una macchina cardio.</v>
      </c>
    </row>
    <row r="17989">
      <c r="A17989" s="4" t="s">
        <v>22636</v>
      </c>
      <c r="B17989" s="4" t="s">
        <v>22638</v>
      </c>
      <c r="C17989" s="5" t="str">
        <f>IFERROR(__xludf.DUMMYFUNCTION("GOOGLETRANSLATE(B17989,""en"",""it"")"),"Quindi, l'uomo grande la maniglia della macchina.")</f>
        <v>Quindi, l'uomo grande la maniglia della macchina.</v>
      </c>
    </row>
    <row r="17990">
      <c r="A17990" s="4" t="s">
        <v>22636</v>
      </c>
      <c r="B17990" s="4" t="s">
        <v>22639</v>
      </c>
      <c r="C17990" s="5" t="str">
        <f>IFERROR(__xludf.DUMMYFUNCTION("GOOGLETRANSLATE(B17990,""en"",""it"")"),"Dopo, l'uomo tira la maniglia di La macchina per fare addominali.")</f>
        <v>Dopo, l'uomo tira la maniglia di La macchina per fare addominali.</v>
      </c>
    </row>
    <row r="17991">
      <c r="A17991" s="4" t="s">
        <v>22640</v>
      </c>
      <c r="B17991" s="4" t="s">
        <v>22641</v>
      </c>
      <c r="C17991" s="5" t="str">
        <f>IFERROR(__xludf.DUMMYFUNCTION("GOOGLETRANSLATE(B17991,""en"",""it"")"),"Un uomo di notizie sta parlando di fronte a un'immagine di un cucciolo di bulldog.")</f>
        <v>Un uomo di notizie sta parlando di fronte a un'immagine di un cucciolo di bulldog.</v>
      </c>
    </row>
    <row r="17992">
      <c r="A17992" s="4" t="s">
        <v>22640</v>
      </c>
      <c r="B17992" s="4" t="s">
        <v>22642</v>
      </c>
      <c r="C17992" s="5" t="str">
        <f>IFERROR(__xludf.DUMMYFUNCTION("GOOGLETRANSLATE(B17992,""en"",""it"")"),"Le porte si aprono a un negozio, con varie immagini di persone che lavorano su diversi progetti.")</f>
        <v>Le porte si aprono a un negozio, con varie immagini di persone che lavorano su diversi progetti.</v>
      </c>
    </row>
    <row r="17993">
      <c r="A17993" s="4" t="s">
        <v>22640</v>
      </c>
      <c r="B17993" s="4" t="s">
        <v>22643</v>
      </c>
      <c r="C17993" s="5" t="str">
        <f>IFERROR(__xludf.DUMMYFUNCTION("GOOGLETRANSLATE(B17993,""en"",""it"")"),"Un uomo mostra come ha ricevuto gambe prospetiche per il cane.")</f>
        <v>Un uomo mostra come ha ricevuto gambe prospetiche per il cane.</v>
      </c>
    </row>
    <row r="17994">
      <c r="A17994" s="4" t="s">
        <v>22640</v>
      </c>
      <c r="B17994" s="4" t="s">
        <v>22644</v>
      </c>
      <c r="C17994" s="5" t="str">
        <f>IFERROR(__xludf.DUMMYFUNCTION("GOOGLETRANSLATE(B17994,""en"",""it"")"),"Il cane viene mostrato con le sue nuove gambe mentre guariscono.")</f>
        <v>Il cane viene mostrato con le sue nuove gambe mentre guariscono.</v>
      </c>
    </row>
    <row r="17995">
      <c r="A17995" s="4" t="s">
        <v>22640</v>
      </c>
      <c r="B17995" s="4" t="s">
        <v>22645</v>
      </c>
      <c r="C17995" s="5" t="str">
        <f>IFERROR(__xludf.DUMMYFUNCTION("GOOGLETRANSLATE(B17995,""en"",""it"")"),"Nella scena finale, il cane sta camminando insieme a un maiale da compagnia al guinzaglio.")</f>
        <v>Nella scena finale, il cane sta camminando insieme a un maiale da compagnia al guinzaglio.</v>
      </c>
    </row>
    <row r="17996">
      <c r="A17996" s="4" t="s">
        <v>22646</v>
      </c>
      <c r="B17996" s="4" t="s">
        <v>22647</v>
      </c>
      <c r="C17996" s="5" t="str">
        <f>IFERROR(__xludf.DUMMYFUNCTION("GOOGLETRANSLATE(B17996,""en"",""it"")"),"Viene visualizzata una schermata del titolo e quindi diversi paragrafi iniziano a rotolare sullo schermo.")</f>
        <v>Viene visualizzata una schermata del titolo e quindi diversi paragrafi iniziano a rotolare sullo schermo.</v>
      </c>
    </row>
    <row r="17997">
      <c r="A17997" s="4" t="s">
        <v>22646</v>
      </c>
      <c r="B17997" s="4" t="s">
        <v>22648</v>
      </c>
      <c r="C17997" s="5" t="str">
        <f>IFERROR(__xludf.DUMMYFUNCTION("GOOGLETRANSLATE(B17997,""en"",""it"")"),"Successivamente, un uomo con capelli neri ricci di dimensioni medie vestite con un abito inizia a parlare.")</f>
        <v>Successivamente, un uomo con capelli neri ricci di dimensioni medie vestite con un abito inizia a parlare.</v>
      </c>
    </row>
    <row r="17998">
      <c r="A17998" s="4" t="s">
        <v>22646</v>
      </c>
      <c r="B17998" s="6" t="s">
        <v>22649</v>
      </c>
      <c r="C17998" s="5" t="str">
        <f>IFERROR(__xludf.DUMMYFUNCTION("GOOGLETRANSLATE(B17998,""en"",""it"")"),"Quando ha finito, un uomo viene mostrato suonare il sassofono in uno spettacolo televisivo notturno e poi l'uomo torna a finire a parlare.")</f>
        <v>Quando ha finito, un uomo viene mostrato suonare il sassofono in uno spettacolo televisivo notturno e poi l'uomo torna a finire a parlare.</v>
      </c>
    </row>
    <row r="17999">
      <c r="A17999" s="4" t="s">
        <v>22650</v>
      </c>
      <c r="B17999" s="6" t="s">
        <v>22651</v>
      </c>
      <c r="C17999" s="5" t="str">
        <f>IFERROR(__xludf.DUMMYFUNCTION("GOOGLETRANSLATE(B17999,""en"",""it"")"),"L'uomo è in piedi rimbalzando verso la telecamera mentre si trova su un nastro piatto stretto che è collegato a due pareti di roccia molto alte.")</f>
        <v>L'uomo è in piedi rimbalzando verso la telecamera mentre si trova su un nastro piatto stretto che è collegato a due pareti di roccia molto alte.</v>
      </c>
    </row>
    <row r="18000">
      <c r="A18000" s="4" t="s">
        <v>22650</v>
      </c>
      <c r="B18000" s="6" t="s">
        <v>22652</v>
      </c>
      <c r="C18000" s="5" t="str">
        <f>IFERROR(__xludf.DUMMYFUNCTION("GOOGLETRANSLATE(B18000,""en"",""it"")"),"L'uomo poi si gira e inizia a rimbalzare sulla schiena, poi avanti e indietro in piedi e sul retro mentre tiene e lascia andare il nastro.")</f>
        <v>L'uomo poi si gira e inizia a rimbalzare sulla schiena, poi avanti e indietro in piedi e sul retro mentre tiene e lascia andare il nastro.</v>
      </c>
    </row>
    <row r="18001">
      <c r="A18001" s="4" t="s">
        <v>22650</v>
      </c>
      <c r="B18001" s="6" t="s">
        <v>22653</v>
      </c>
      <c r="C18001" s="5" t="str">
        <f>IFERROR(__xludf.DUMMYFUNCTION("GOOGLETRANSLATE(B18001,""en"",""it"")"),"L'uomo continua a fare trucchi sul nastro stretto fino a quando non scende dal nastro e si allontana sorridendo.")</f>
        <v>L'uomo continua a fare trucchi sul nastro stretto fino a quando non scende dal nastro e si allontana sorridendo.</v>
      </c>
    </row>
    <row r="18002">
      <c r="A18002" s="4" t="s">
        <v>22654</v>
      </c>
      <c r="B18002" s="4" t="s">
        <v>22655</v>
      </c>
      <c r="C18002" s="5" t="str">
        <f>IFERROR(__xludf.DUMMYFUNCTION("GOOGLETRANSLATE(B18002,""en"",""it"")"),"Un'introduzione arriva sullo schermo per un video su una competizione sportiva.")</f>
        <v>Un'introduzione arriva sullo schermo per un video su una competizione sportiva.</v>
      </c>
    </row>
    <row r="18003">
      <c r="A18003" s="4" t="s">
        <v>22654</v>
      </c>
      <c r="B18003" s="4" t="s">
        <v>22656</v>
      </c>
      <c r="C18003" s="5" t="str">
        <f>IFERROR(__xludf.DUMMYFUNCTION("GOOGLETRANSLATE(B18003,""en"",""it"")"),"Una donna sta intervistando un'altra donna sulla competizione e su tutti gli eventi.")</f>
        <v>Una donna sta intervistando un'altra donna sulla competizione e su tutti gli eventi.</v>
      </c>
    </row>
    <row r="18004">
      <c r="A18004" s="4" t="s">
        <v>22654</v>
      </c>
      <c r="B18004" s="4" t="s">
        <v>22657</v>
      </c>
      <c r="C18004" s="5" t="str">
        <f>IFERROR(__xludf.DUMMYFUNCTION("GOOGLETRANSLATE(B18004,""en"",""it"")"),"Vengono mostrate diverse clip di persone che godono di diversi sport e attività.")</f>
        <v>Vengono mostrate diverse clip di persone che godono di diversi sport e attività.</v>
      </c>
    </row>
    <row r="18005">
      <c r="A18005" s="4" t="s">
        <v>22654</v>
      </c>
      <c r="B18005" s="4" t="s">
        <v>22658</v>
      </c>
      <c r="C18005" s="5" t="str">
        <f>IFERROR(__xludf.DUMMYFUNCTION("GOOGLETRANSLATE(B18005,""en"",""it"")"),"Dopo la fine dell'intervista, i crediti di chiusura vengono mostrati con grafica.")</f>
        <v>Dopo la fine dell'intervista, i crediti di chiusura vengono mostrati con grafica.</v>
      </c>
    </row>
    <row r="18006">
      <c r="A18006" s="4" t="s">
        <v>22659</v>
      </c>
      <c r="B18006" s="4" t="s">
        <v>22660</v>
      </c>
      <c r="C18006" s="5" t="str">
        <f>IFERROR(__xludf.DUMMYFUNCTION("GOOGLETRANSLATE(B18006,""en"",""it"")"),"Un cowboy che cavalca un cavallo esce da un cancello.")</f>
        <v>Un cowboy che cavalca un cavallo esce da un cancello.</v>
      </c>
    </row>
    <row r="18007">
      <c r="A18007" s="4" t="s">
        <v>22659</v>
      </c>
      <c r="B18007" s="4" t="s">
        <v>22661</v>
      </c>
      <c r="C18007" s="5" t="str">
        <f>IFERROR(__xludf.DUMMYFUNCTION("GOOGLETRANSLATE(B18007,""en"",""it"")"),"Si fa un po 'di vitello con un lazo.")</f>
        <v>Si fa un po 'di vitello con un lazo.</v>
      </c>
    </row>
    <row r="18008">
      <c r="A18008" s="4" t="s">
        <v>22659</v>
      </c>
      <c r="B18008" s="4" t="s">
        <v>22662</v>
      </c>
      <c r="C18008" s="5" t="str">
        <f>IFERROR(__xludf.DUMMYFUNCTION("GOOGLETRANSLATE(B18008,""en"",""it"")"),"Salta giù e lega il polpaccio.")</f>
        <v>Salta giù e lega il polpaccio.</v>
      </c>
    </row>
    <row r="18009">
      <c r="A18009" s="4" t="s">
        <v>22663</v>
      </c>
      <c r="B18009" s="4" t="s">
        <v>22664</v>
      </c>
      <c r="C18009" s="5" t="str">
        <f>IFERROR(__xludf.DUMMYFUNCTION("GOOGLETRANSLATE(B18009,""en"",""it"")"),"Una pallina rotola su un tavolo lentamente lontano dalla tasca.")</f>
        <v>Una pallina rotola su un tavolo lentamente lontano dalla tasca.</v>
      </c>
    </row>
    <row r="18010">
      <c r="A18010" s="4" t="s">
        <v>22663</v>
      </c>
      <c r="B18010" s="4" t="s">
        <v>22665</v>
      </c>
      <c r="C18010" s="5" t="str">
        <f>IFERROR(__xludf.DUMMYFUNCTION("GOOGLETRANSLATE(B18010,""en"",""it"")"),"Un uomo si trova con un touchscreen discutendo.")</f>
        <v>Un uomo si trova con un touchscreen discutendo.</v>
      </c>
    </row>
    <row r="18011">
      <c r="A18011" s="4" t="s">
        <v>22663</v>
      </c>
      <c r="B18011" s="4" t="s">
        <v>22666</v>
      </c>
      <c r="C18011" s="5" t="str">
        <f>IFERROR(__xludf.DUMMYFUNCTION("GOOGLETRANSLATE(B18011,""en"",""it"")"),"Gli uomini competono e giocano a giochi di biliardo.")</f>
        <v>Gli uomini competono e giocano a giochi di biliardo.</v>
      </c>
    </row>
    <row r="18012">
      <c r="A18012" s="4" t="s">
        <v>22667</v>
      </c>
      <c r="B18012" s="6" t="s">
        <v>22668</v>
      </c>
      <c r="C18012" s="5" t="str">
        <f>IFERROR(__xludf.DUMMYFUNCTION("GOOGLETRANSLATE(B18012,""en"",""it"")"),"Viene mostrata una gamba che indossa pantaloni blu con linee rosse e bianche, si muove sulla neve, le gambe sono state incrociate mentre il LifeBuoy si muove sulla neve.")</f>
        <v>Viene mostrata una gamba che indossa pantaloni blu con linee rosse e bianche, si muove sulla neve, le gambe sono state incrociate mentre il LifeBuoy si muove sulla neve.</v>
      </c>
    </row>
    <row r="18013">
      <c r="A18013" s="4" t="s">
        <v>22667</v>
      </c>
      <c r="B18013" s="4" t="s">
        <v>22669</v>
      </c>
      <c r="C18013" s="5" t="str">
        <f>IFERROR(__xludf.DUMMYFUNCTION("GOOGLETRANSLATE(B18013,""en"",""it"")"),"Una persona di lontano è su un LifeBuoy che scivola sulla neve.")</f>
        <v>Una persona di lontano è su un LifeBuoy che scivola sulla neve.</v>
      </c>
    </row>
    <row r="18014">
      <c r="A18014" s="4" t="s">
        <v>22670</v>
      </c>
      <c r="B18014" s="4" t="s">
        <v>22671</v>
      </c>
      <c r="C18014" s="5" t="str">
        <f>IFERROR(__xludf.DUMMYFUNCTION("GOOGLETRANSLATE(B18014,""en"",""it"")"),"Una bambina oscilla attraverso le barre delle scimmie in un parco giochi.")</f>
        <v>Una bambina oscilla attraverso le barre delle scimmie in un parco giochi.</v>
      </c>
    </row>
    <row r="18015">
      <c r="A18015" s="4" t="s">
        <v>22670</v>
      </c>
      <c r="B18015" s="4" t="s">
        <v>22672</v>
      </c>
      <c r="C18015" s="5" t="str">
        <f>IFERROR(__xludf.DUMMYFUNCTION("GOOGLETRANSLATE(B18015,""en"",""it"")"),"Sua madre parla mentre guarda la sua scivolata a terra e ricomincia.")</f>
        <v>Sua madre parla mentre guarda la sua scivolata a terra e ricomincia.</v>
      </c>
    </row>
    <row r="18016">
      <c r="A18016" s="4" t="s">
        <v>22673</v>
      </c>
      <c r="B18016" s="4" t="s">
        <v>22674</v>
      </c>
      <c r="C18016" s="5" t="str">
        <f>IFERROR(__xludf.DUMMYFUNCTION("GOOGLETRANSLATE(B18016,""en"",""it"")"),"Viene mostrato un primo piano di un cavallo seguito da una donna che cammina nella cornice e spazzola il cavallo.")</f>
        <v>Viene mostrato un primo piano di un cavallo seguito da una donna che cammina nella cornice e spazzola il cavallo.</v>
      </c>
    </row>
    <row r="18017">
      <c r="A18017" s="4" t="s">
        <v>22673</v>
      </c>
      <c r="B18017" s="4" t="s">
        <v>22675</v>
      </c>
      <c r="C18017" s="5" t="str">
        <f>IFERROR(__xludf.DUMMYFUNCTION("GOOGLETRANSLATE(B18017,""en"",""it"")"),"Continua a spazzolare il cavallo in vari punti e termina con il suo alimentare il cavallo.")</f>
        <v>Continua a spazzolare il cavallo in vari punti e termina con il suo alimentare il cavallo.</v>
      </c>
    </row>
    <row r="18018">
      <c r="A18018" s="4" t="s">
        <v>22676</v>
      </c>
      <c r="B18018" s="4" t="s">
        <v>9910</v>
      </c>
      <c r="C18018" s="5" t="str">
        <f>IFERROR(__xludf.DUMMYFUNCTION("GOOGLETRANSLATE(B18018,""en"",""it"")"),"Un uomo salta su un raggio di equilibrio.")</f>
        <v>Un uomo salta su un raggio di equilibrio.</v>
      </c>
    </row>
    <row r="18019">
      <c r="A18019" s="4" t="s">
        <v>22676</v>
      </c>
      <c r="B18019" s="4" t="s">
        <v>22677</v>
      </c>
      <c r="C18019" s="5" t="str">
        <f>IFERROR(__xludf.DUMMYFUNCTION("GOOGLETRANSLATE(B18019,""en"",""it"")"),"Fa una routine di ginnastica sul raggio dell'equilibrio.")</f>
        <v>Fa una routine di ginnastica sul raggio dell'equilibrio.</v>
      </c>
    </row>
    <row r="18020">
      <c r="A18020" s="4" t="s">
        <v>22676</v>
      </c>
      <c r="B18020" s="4" t="s">
        <v>22678</v>
      </c>
      <c r="C18020" s="5" t="str">
        <f>IFERROR(__xludf.DUMMYFUNCTION("GOOGLETRANSLATE(B18020,""en"",""it"")"),"Smonta e atterra su un tappetino blu.")</f>
        <v>Smonta e atterra su un tappetino blu.</v>
      </c>
    </row>
    <row r="18021">
      <c r="A18021" s="4" t="s">
        <v>22676</v>
      </c>
      <c r="B18021" s="4" t="s">
        <v>22679</v>
      </c>
      <c r="C18021" s="5" t="str">
        <f>IFERROR(__xludf.DUMMYFUNCTION("GOOGLETRANSLATE(B18021,""en"",""it"")"),"Accenda la folla e se ne va.")</f>
        <v>Accenda la folla e se ne va.</v>
      </c>
    </row>
    <row r="18022">
      <c r="A18022" s="4" t="s">
        <v>22680</v>
      </c>
      <c r="B18022" s="6" t="s">
        <v>22681</v>
      </c>
      <c r="C18022" s="5" t="str">
        <f>IFERROR(__xludf.DUMMYFUNCTION("GOOGLETRANSLATE(B18022,""en"",""it"")"),"La fotocamera si lancia attorno a un folto gruppo di persone con fiocchi e frecce seguite da diversi colpi di loro che sparano alle frecce.")</f>
        <v>La fotocamera si lancia attorno a un folto gruppo di persone con fiocchi e frecce seguite da diversi colpi di loro che sparano alle frecce.</v>
      </c>
    </row>
    <row r="18023">
      <c r="A18023" s="4" t="s">
        <v>22680</v>
      </c>
      <c r="B18023" s="6" t="s">
        <v>22682</v>
      </c>
      <c r="C18023" s="5" t="str">
        <f>IFERROR(__xludf.DUMMYFUNCTION("GOOGLETRANSLATE(B18023,""en"",""it"")"),"Diversi uomini attraversano il campo mentre lanciano frecce contro di loro che conducono a combattimenti con la spada e le persone ferite.")</f>
        <v>Diversi uomini attraversano il campo mentre lanciano frecce contro di loro che conducono a combattimenti con la spada e le persone ferite.</v>
      </c>
    </row>
    <row r="18024">
      <c r="A18024" s="4" t="s">
        <v>22680</v>
      </c>
      <c r="B18024" s="4" t="s">
        <v>22683</v>
      </c>
      <c r="C18024" s="5" t="str">
        <f>IFERROR(__xludf.DUMMYFUNCTION("GOOGLETRANSLATE(B18024,""en"",""it"")"),"Le persone lanciano spugne contro un uomo, combattono il pugno e lanciano più frecce agli altri.")</f>
        <v>Le persone lanciano spugne contro un uomo, combattono il pugno e lanciano più frecce agli altri.</v>
      </c>
    </row>
    <row r="18025">
      <c r="A18025" s="4" t="s">
        <v>22684</v>
      </c>
      <c r="B18025" s="4" t="s">
        <v>22685</v>
      </c>
      <c r="C18025" s="5" t="str">
        <f>IFERROR(__xludf.DUMMYFUNCTION("GOOGLETRANSLATE(B18025,""en"",""it"")"),"Una donna è in piedi e cammina all'interno di un negozio.")</f>
        <v>Una donna è in piedi e cammina all'interno di un negozio.</v>
      </c>
    </row>
    <row r="18026">
      <c r="A18026" s="4" t="s">
        <v>22684</v>
      </c>
      <c r="B18026" s="4" t="s">
        <v>22686</v>
      </c>
      <c r="C18026" s="5" t="str">
        <f>IFERROR(__xludf.DUMMYFUNCTION("GOOGLETRANSLATE(B18026,""en"",""it"")"),"Si avvicina a un uomo e stringe la mano.")</f>
        <v>Si avvicina a un uomo e stringe la mano.</v>
      </c>
    </row>
    <row r="18027">
      <c r="A18027" s="4" t="s">
        <v>22684</v>
      </c>
      <c r="B18027" s="6" t="s">
        <v>22687</v>
      </c>
      <c r="C18027" s="5" t="str">
        <f>IFERROR(__xludf.DUMMYFUNCTION("GOOGLETRANSLATE(B18027,""en"",""it"")"),"Si allontana, esaminando gli oggetti sugli scaffali prima di appoggiarsi al bancone, flettendo i suoi bicipiti.")</f>
        <v>Si allontana, esaminando gli oggetti sugli scaffali prima di appoggiarsi al bancone, flettendo i suoi bicipiti.</v>
      </c>
    </row>
    <row r="18028">
      <c r="A18028" s="4" t="s">
        <v>22684</v>
      </c>
      <c r="B18028" s="4" t="s">
        <v>22688</v>
      </c>
      <c r="C18028" s="5" t="str">
        <f>IFERROR(__xludf.DUMMYFUNCTION("GOOGLETRANSLATE(B18028,""en"",""it"")"),"La donna mostra all'uomo i suoi bicipiti prima di impegnarsi nel braccio di lotta con lui.")</f>
        <v>La donna mostra all'uomo i suoi bicipiti prima di impegnarsi nel braccio di lotta con lui.</v>
      </c>
    </row>
    <row r="18029">
      <c r="A18029" s="4" t="s">
        <v>22684</v>
      </c>
      <c r="B18029" s="4" t="s">
        <v>22689</v>
      </c>
      <c r="C18029" s="5" t="str">
        <f>IFERROR(__xludf.DUMMYFUNCTION("GOOGLETRANSLATE(B18029,""en"",""it"")"),"Si siede accanto al bancone, continuando a parlare con lui per un po '.")</f>
        <v>Si siede accanto al bancone, continuando a parlare con lui per un po '.</v>
      </c>
    </row>
    <row r="18030">
      <c r="A18030" s="4" t="s">
        <v>22690</v>
      </c>
      <c r="B18030" s="4" t="s">
        <v>22691</v>
      </c>
      <c r="C18030" s="5" t="str">
        <f>IFERROR(__xludf.DUMMYFUNCTION("GOOGLETRANSLATE(B18030,""en"",""it"")"),"L'uomo corre indossando palafitte in un campo erboso verde.")</f>
        <v>L'uomo corre indossando palafitte in un campo erboso verde.</v>
      </c>
    </row>
    <row r="18031">
      <c r="A18031" s="4" t="s">
        <v>22690</v>
      </c>
      <c r="B18031" s="4" t="s">
        <v>22692</v>
      </c>
      <c r="C18031" s="5" t="str">
        <f>IFERROR(__xludf.DUMMYFUNCTION("GOOGLETRANSLATE(B18031,""en"",""it"")"),"Le auto sono parcheggiate sul lato di una strada sullo sfondo.")</f>
        <v>Le auto sono parcheggiate sul lato di una strada sullo sfondo.</v>
      </c>
    </row>
    <row r="18032">
      <c r="A18032" s="4" t="s">
        <v>22690</v>
      </c>
      <c r="B18032" s="4" t="s">
        <v>22693</v>
      </c>
      <c r="C18032" s="5" t="str">
        <f>IFERROR(__xludf.DUMMYFUNCTION("GOOGLETRANSLATE(B18032,""en"",""it"")"),"L'uomo diventa l'erba e si imbatte in una strada.")</f>
        <v>L'uomo diventa l'erba e si imbatte in una strada.</v>
      </c>
    </row>
    <row r="18033">
      <c r="A18033" s="4" t="s">
        <v>22694</v>
      </c>
      <c r="B18033" s="4" t="s">
        <v>22695</v>
      </c>
      <c r="C18033" s="5" t="str">
        <f>IFERROR(__xludf.DUMMYFUNCTION("GOOGLETRANSLATE(B18033,""en"",""it"")"),"Le persone sono in palestra a parlare.")</f>
        <v>Le persone sono in palestra a parlare.</v>
      </c>
    </row>
    <row r="18034">
      <c r="A18034" s="4" t="s">
        <v>22694</v>
      </c>
      <c r="B18034" s="4" t="s">
        <v>22696</v>
      </c>
      <c r="C18034" s="5" t="str">
        <f>IFERROR(__xludf.DUMMYFUNCTION("GOOGLETRANSLATE(B18034,""en"",""it"")"),"Iniziano a correre e lanciarsi palle l'un l'altro.")</f>
        <v>Iniziano a correre e lanciarsi palle l'un l'altro.</v>
      </c>
    </row>
    <row r="18035">
      <c r="A18035" s="4" t="s">
        <v>22697</v>
      </c>
      <c r="B18035" s="4" t="s">
        <v>22698</v>
      </c>
      <c r="C18035" s="5" t="str">
        <f>IFERROR(__xludf.DUMMYFUNCTION("GOOGLETRANSLATE(B18035,""en"",""it"")"),"Un uomo viene visto in piedi alla fine di un molo e guarda indietro alle persone che festeggiano.")</f>
        <v>Un uomo viene visto in piedi alla fine di un molo e guarda indietro alle persone che festeggiano.</v>
      </c>
    </row>
    <row r="18036">
      <c r="A18036" s="4" t="s">
        <v>22697</v>
      </c>
      <c r="B18036" s="4" t="s">
        <v>22699</v>
      </c>
      <c r="C18036" s="5" t="str">
        <f>IFERROR(__xludf.DUMMYFUNCTION("GOOGLETRANSLATE(B18036,""en"",""it"")"),"L'uomo si avvicina e vede due persone che esibiscono arti marziali nel mezzo di un cerchio.")</f>
        <v>L'uomo si avvicina e vede due persone che esibiscono arti marziali nel mezzo di un cerchio.</v>
      </c>
    </row>
    <row r="18037">
      <c r="A18037" s="4" t="s">
        <v>22697</v>
      </c>
      <c r="B18037" s="6" t="s">
        <v>22700</v>
      </c>
      <c r="C18037" s="5" t="str">
        <f>IFERROR(__xludf.DUMMYFUNCTION("GOOGLETRANSLATE(B18037,""en"",""it"")"),"Le persone continuano a muoversi mentre altri guardano sul lato e anche il soldato che si unisce.")</f>
        <v>Le persone continuano a muoversi mentre altri guardano sul lato e anche il soldato che si unisce.</v>
      </c>
    </row>
    <row r="18038">
      <c r="A18038" s="4" t="s">
        <v>22701</v>
      </c>
      <c r="B18038" s="4" t="s">
        <v>22702</v>
      </c>
      <c r="C18038" s="5" t="str">
        <f>IFERROR(__xludf.DUMMYFUNCTION("GOOGLETRANSLATE(B18038,""en"",""it"")"),"C'è una giovane donna che si arriccia in una pista di arricciatura.")</f>
        <v>C'è una giovane donna che si arriccia in una pista di arricciatura.</v>
      </c>
    </row>
    <row r="18039">
      <c r="A18039" s="4" t="s">
        <v>22701</v>
      </c>
      <c r="B18039" s="4" t="s">
        <v>22703</v>
      </c>
      <c r="C18039" s="5" t="str">
        <f>IFERROR(__xludf.DUMMYFUNCTION("GOOGLETRANSLATE(B18039,""en"",""it"")"),"Ci sono molti altri giocatori che si arricciano anche.")</f>
        <v>Ci sono molti altri giocatori che si arricciano anche.</v>
      </c>
    </row>
    <row r="18040">
      <c r="A18040" s="4" t="s">
        <v>22701</v>
      </c>
      <c r="B18040" s="4" t="s">
        <v>22704</v>
      </c>
      <c r="C18040" s="5" t="str">
        <f>IFERROR(__xludf.DUMMYFUNCTION("GOOGLETRANSLATE(B18040,""en"",""it"")"),"Varie foto di quella stessa donna vengono mostrate in posa per una sorta di fotografo.")</f>
        <v>Varie foto di quella stessa donna vengono mostrate in posa per una sorta di fotografo.</v>
      </c>
    </row>
    <row r="18041">
      <c r="A18041" s="4" t="s">
        <v>22701</v>
      </c>
      <c r="B18041" s="4" t="s">
        <v>22705</v>
      </c>
      <c r="C18041" s="5" t="str">
        <f>IFERROR(__xludf.DUMMYFUNCTION("GOOGLETRANSLATE(B18041,""en"",""it"")"),"La donna sembra un po 'angosciata dal gioco.")</f>
        <v>La donna sembra un po 'angosciata dal gioco.</v>
      </c>
    </row>
    <row r="18042">
      <c r="A18042" s="4" t="s">
        <v>22701</v>
      </c>
      <c r="B18042" s="4" t="s">
        <v>22706</v>
      </c>
      <c r="C18042" s="5" t="str">
        <f>IFERROR(__xludf.DUMMYFUNCTION("GOOGLETRANSLATE(B18042,""en"",""it"")"),"Sta in posa per un servizio fotografico con una roccia arricciata.")</f>
        <v>Sta in posa per un servizio fotografico con una roccia arricciata.</v>
      </c>
    </row>
    <row r="18043">
      <c r="A18043" s="4" t="s">
        <v>22707</v>
      </c>
      <c r="B18043" s="4" t="s">
        <v>22708</v>
      </c>
      <c r="C18043" s="5" t="str">
        <f>IFERROR(__xludf.DUMMYFUNCTION("GOOGLETRANSLATE(B18043,""en"",""it"")"),"Un uomo sta usando un whacker per tagliare i cespugli.")</f>
        <v>Un uomo sta usando un whacker per tagliare i cespugli.</v>
      </c>
    </row>
    <row r="18044">
      <c r="A18044" s="4" t="s">
        <v>22707</v>
      </c>
      <c r="B18044" s="4" t="s">
        <v>22709</v>
      </c>
      <c r="C18044" s="5" t="str">
        <f>IFERROR(__xludf.DUMMYFUNCTION("GOOGLETRANSLATE(B18044,""en"",""it"")"),"Si allontana dai cespugli e taglia le erbacce a terra.")</f>
        <v>Si allontana dai cespugli e taglia le erbacce a terra.</v>
      </c>
    </row>
    <row r="18045">
      <c r="A18045" s="4" t="s">
        <v>22710</v>
      </c>
      <c r="B18045" s="6" t="s">
        <v>22711</v>
      </c>
      <c r="C18045" s="5" t="str">
        <f>IFERROR(__xludf.DUMMYFUNCTION("GOOGLETRANSLATE(B18045,""en"",""it"")"),"Vengono mostrate varie clip di una donna in piedi e che punta su una spiaggia che la conduce nel trascinamento di una tavola e la regolazione sull'acqua.")</f>
        <v>Vengono mostrate varie clip di una donna in piedi e che punta su una spiaggia che la conduce nel trascinamento di una tavola e la regolazione sull'acqua.</v>
      </c>
    </row>
    <row r="18046">
      <c r="A18046" s="4" t="s">
        <v>22710</v>
      </c>
      <c r="B18046" s="6" t="s">
        <v>22712</v>
      </c>
      <c r="C18046" s="5" t="str">
        <f>IFERROR(__xludf.DUMMYFUNCTION("GOOGLETRANSLATE(B18046,""en"",""it"")"),"La donna quindi afferra sulla tavola e si muove attorno all'acqua mentre dimostra le mosse adeguate e la telecamera si muove intorno agli altri.")</f>
        <v>La donna quindi afferra sulla tavola e si muove attorno all'acqua mentre dimostra le mosse adeguate e la telecamera si muove intorno agli altri.</v>
      </c>
    </row>
    <row r="18047">
      <c r="A18047" s="4" t="s">
        <v>22713</v>
      </c>
      <c r="B18047" s="6" t="s">
        <v>22714</v>
      </c>
      <c r="C18047" s="5" t="str">
        <f>IFERROR(__xludf.DUMMYFUNCTION("GOOGLETRANSLATE(B18047,""en"",""it"")"),"Un ragazzo è seduto nella stanza con tre chitarre e inizia a suonare tutti e tre con un arco di violino.")</f>
        <v>Un ragazzo è seduto nella stanza con tre chitarre e inizia a suonare tutti e tre con un arco di violino.</v>
      </c>
    </row>
    <row r="18048">
      <c r="A18048" s="4" t="s">
        <v>22713</v>
      </c>
      <c r="B18048" s="6" t="s">
        <v>22715</v>
      </c>
      <c r="C18048" s="5" t="str">
        <f>IFERROR(__xludf.DUMMYFUNCTION("GOOGLETRANSLATE(B18048,""en"",""it"")"),"L'uomo inizia quindi a suonare l'unica chitarra che è in grembo con le dita e finisce la canzone.")</f>
        <v>L'uomo inizia quindi a suonare l'unica chitarra che è in grembo con le dita e finisce la canzone.</v>
      </c>
    </row>
    <row r="18049">
      <c r="A18049" s="4" t="s">
        <v>22716</v>
      </c>
      <c r="B18049" s="4" t="s">
        <v>22717</v>
      </c>
      <c r="C18049" s="5" t="str">
        <f>IFERROR(__xludf.DUMMYFUNCTION("GOOGLETRANSLATE(B18049,""en"",""it"")"),"Una persona fa una routine su barre parallele.")</f>
        <v>Una persona fa una routine su barre parallele.</v>
      </c>
    </row>
    <row r="18050">
      <c r="A18050" s="4" t="s">
        <v>22716</v>
      </c>
      <c r="B18050" s="4" t="s">
        <v>22718</v>
      </c>
      <c r="C18050" s="5" t="str">
        <f>IFERROR(__xludf.DUMMYFUNCTION("GOOGLETRANSLATE(B18050,""en"",""it"")"),"Fa la sua routine e poi smontato.")</f>
        <v>Fa la sua routine e poi smontato.</v>
      </c>
    </row>
    <row r="18051">
      <c r="A18051" s="4" t="s">
        <v>22719</v>
      </c>
      <c r="B18051" s="4" t="s">
        <v>22720</v>
      </c>
      <c r="C18051" s="5" t="str">
        <f>IFERROR(__xludf.DUMMYFUNCTION("GOOGLETRANSLATE(B18051,""en"",""it"")"),"Il proprietario del cane sta e tieni i loro cani.")</f>
        <v>Il proprietario del cane sta e tieni i loro cani.</v>
      </c>
    </row>
    <row r="18052">
      <c r="A18052" s="4" t="s">
        <v>22719</v>
      </c>
      <c r="B18052" s="4" t="s">
        <v>22721</v>
      </c>
      <c r="C18052" s="5" t="str">
        <f>IFERROR(__xludf.DUMMYFUNCTION("GOOGLETRANSLATE(B18052,""en"",""it"")"),"Le persone giocano con i loro cani in un parco con ostacoli.")</f>
        <v>Le persone giocano con i loro cani in un parco con ostacoli.</v>
      </c>
    </row>
    <row r="18053">
      <c r="A18053" s="4" t="s">
        <v>22719</v>
      </c>
      <c r="B18053" s="4" t="s">
        <v>22722</v>
      </c>
      <c r="C18053" s="5" t="str">
        <f>IFERROR(__xludf.DUMMYFUNCTION("GOOGLETRANSLATE(B18053,""en"",""it"")"),"Un gruppo tiene segni con un cane su un marciapiede della città.")</f>
        <v>Un gruppo tiene segni con un cane su un marciapiede della città.</v>
      </c>
    </row>
    <row r="18054">
      <c r="A18054" s="4" t="s">
        <v>22723</v>
      </c>
      <c r="B18054" s="4" t="s">
        <v>22724</v>
      </c>
      <c r="C18054" s="5" t="str">
        <f>IFERROR(__xludf.DUMMYFUNCTION("GOOGLETRANSLATE(B18054,""en"",""it"")"),"Un uomo e una donna sono visti in piedi su un palco con un riflettore mostrato su di loro.")</f>
        <v>Un uomo e una donna sono visti in piedi su un palco con un riflettore mostrato su di loro.</v>
      </c>
    </row>
    <row r="18055">
      <c r="A18055" s="4" t="s">
        <v>22723</v>
      </c>
      <c r="B18055" s="4" t="s">
        <v>22725</v>
      </c>
      <c r="C18055" s="5" t="str">
        <f>IFERROR(__xludf.DUMMYFUNCTION("GOOGLETRANSLATE(B18055,""en"",""it"")"),"Il duo inizia a suonare insieme gli strumenti mentre si guarda e la telecamera.")</f>
        <v>Il duo inizia a suonare insieme gli strumenti mentre si guarda e la telecamera.</v>
      </c>
    </row>
    <row r="18056">
      <c r="A18056" s="4" t="s">
        <v>22723</v>
      </c>
      <c r="B18056" s="4" t="s">
        <v>22726</v>
      </c>
      <c r="C18056" s="5" t="str">
        <f>IFERROR(__xludf.DUMMYFUNCTION("GOOGLETRANSLATE(B18056,""en"",""it"")"),"I due continuano a giocare tra loro e si fermano per guardare la fotocamera.")</f>
        <v>I due continuano a giocare tra loro e si fermano per guardare la fotocamera.</v>
      </c>
    </row>
    <row r="18057">
      <c r="A18057" s="4" t="s">
        <v>22727</v>
      </c>
      <c r="B18057" s="4" t="s">
        <v>22728</v>
      </c>
      <c r="C18057" s="5" t="str">
        <f>IFERROR(__xludf.DUMMYFUNCTION("GOOGLETRANSLATE(B18057,""en"",""it"")"),"Una persona viene vista tagliare un pomodoro e dimostrare come funziona il coltello su un pezzo di carta.")</f>
        <v>Una persona viene vista tagliare un pomodoro e dimostrare come funziona il coltello su un pezzo di carta.</v>
      </c>
    </row>
    <row r="18058">
      <c r="A18058" s="4" t="s">
        <v>22727</v>
      </c>
      <c r="B18058" s="4" t="s">
        <v>22729</v>
      </c>
      <c r="C18058" s="5" t="str">
        <f>IFERROR(__xludf.DUMMYFUNCTION("GOOGLETRANSLATE(B18058,""en"",""it"")"),"La persona quindi affila la lama su una tazza di caffè e taglia la carta.")</f>
        <v>La persona quindi affila la lama su una tazza di caffè e taglia la carta.</v>
      </c>
    </row>
    <row r="18059">
      <c r="A18059" s="4" t="s">
        <v>22730</v>
      </c>
      <c r="B18059" s="4" t="s">
        <v>22731</v>
      </c>
      <c r="C18059" s="5" t="str">
        <f>IFERROR(__xludf.DUMMYFUNCTION("GOOGLETRANSLATE(B18059,""en"",""it"")"),"Le parole ""Abstract Birds/Oil Painting Katy Jade Dobson"" appaiono sullo schermo.")</f>
        <v>Le parole "Abstract Birds/Oil Painting Katy Jade Dobson" appaiono sullo schermo.</v>
      </c>
    </row>
    <row r="18060">
      <c r="A18060" s="4" t="s">
        <v>22730</v>
      </c>
      <c r="B18060" s="4" t="s">
        <v>22732</v>
      </c>
      <c r="C18060" s="5" t="str">
        <f>IFERROR(__xludf.DUMMYFUNCTION("GOOGLETRANSLATE(B18060,""en"",""it"")"),"Dobson disegna un design su tela bianca e inizia a dipingerlo.")</f>
        <v>Dobson disegna un design su tela bianca e inizia a dipingerlo.</v>
      </c>
    </row>
    <row r="18061">
      <c r="A18061" s="4" t="s">
        <v>22730</v>
      </c>
      <c r="B18061" s="4" t="s">
        <v>22733</v>
      </c>
      <c r="C18061" s="5" t="str">
        <f>IFERROR(__xludf.DUMMYFUNCTION("GOOGLETRANSLATE(B18061,""en"",""it"")"),"Sta accanto al suo lavoro finito come gocciolamento di vernice in linea lungo la tela.")</f>
        <v>Sta accanto al suo lavoro finito come gocciolamento di vernice in linea lungo la tela.</v>
      </c>
    </row>
    <row r="18062">
      <c r="A18062" s="4" t="s">
        <v>22734</v>
      </c>
      <c r="B18062" s="4" t="s">
        <v>22735</v>
      </c>
      <c r="C18062" s="5" t="str">
        <f>IFERROR(__xludf.DUMMYFUNCTION("GOOGLETRANSLATE(B18062,""en"",""it"")"),"Un uomo è in piedi dietro un bar.")</f>
        <v>Un uomo è in piedi dietro un bar.</v>
      </c>
    </row>
    <row r="18063">
      <c r="A18063" s="4" t="s">
        <v>22734</v>
      </c>
      <c r="B18063" s="4" t="s">
        <v>22736</v>
      </c>
      <c r="C18063" s="5" t="str">
        <f>IFERROR(__xludf.DUMMYFUNCTION("GOOGLETRANSLATE(B18063,""en"",""it"")"),"Mette il ghiaccio nel bicchiere e ci versa bevande.")</f>
        <v>Mette il ghiaccio nel bicchiere e ci versa bevande.</v>
      </c>
    </row>
    <row r="18064">
      <c r="A18064" s="4" t="s">
        <v>22734</v>
      </c>
      <c r="B18064" s="4" t="s">
        <v>22737</v>
      </c>
      <c r="C18064" s="5" t="str">
        <f>IFERROR(__xludf.DUMMYFUNCTION("GOOGLETRANSLATE(B18064,""en"",""it"")"),"Lo agita con una cannuccia.")</f>
        <v>Lo agita con una cannuccia.</v>
      </c>
    </row>
    <row r="18065">
      <c r="A18065" s="4" t="s">
        <v>22738</v>
      </c>
      <c r="B18065" s="4" t="s">
        <v>22739</v>
      </c>
      <c r="C18065" s="5" t="str">
        <f>IFERROR(__xludf.DUMMYFUNCTION("GOOGLETRANSLATE(B18065,""en"",""it"")"),"La scena si apre con un autolavaggio e una pubblicità.")</f>
        <v>La scena si apre con un autolavaggio e una pubblicità.</v>
      </c>
    </row>
    <row r="18066">
      <c r="A18066" s="4" t="s">
        <v>22738</v>
      </c>
      <c r="B18066" s="4" t="s">
        <v>22740</v>
      </c>
      <c r="C18066" s="5" t="str">
        <f>IFERROR(__xludf.DUMMYFUNCTION("GOOGLETRANSLATE(B18066,""en"",""it"")"),"Due uomini parlano mentre uno è seduto in macchina.")</f>
        <v>Due uomini parlano mentre uno è seduto in macchina.</v>
      </c>
    </row>
    <row r="18067">
      <c r="A18067" s="4" t="s">
        <v>22738</v>
      </c>
      <c r="B18067" s="4" t="s">
        <v>22741</v>
      </c>
      <c r="C18067" s="5" t="str">
        <f>IFERROR(__xludf.DUMMYFUNCTION("GOOGLETRANSLATE(B18067,""en"",""it"")"),"Un uomo sta pulendo un'auto e parla con la telecamera.")</f>
        <v>Un uomo sta pulendo un'auto e parla con la telecamera.</v>
      </c>
    </row>
    <row r="18068">
      <c r="A18068" s="4" t="s">
        <v>22738</v>
      </c>
      <c r="B18068" s="4" t="s">
        <v>22742</v>
      </c>
      <c r="C18068" s="5" t="str">
        <f>IFERROR(__xludf.DUMMYFUNCTION("GOOGLETRANSLATE(B18068,""en"",""it"")"),"L'auto viene essiccata e aspirata, quindi sulla macchina successiva.")</f>
        <v>L'auto viene essiccata e aspirata, quindi sulla macchina successiva.</v>
      </c>
    </row>
    <row r="18069">
      <c r="A18069" s="4" t="s">
        <v>22738</v>
      </c>
      <c r="B18069" s="4" t="s">
        <v>22743</v>
      </c>
      <c r="C18069" s="5" t="str">
        <f>IFERROR(__xludf.DUMMYFUNCTION("GOOGLETRANSLATE(B18069,""en"",""it"")"),"Il cliente viene consegnato le chiavi e sta arrivando con un'auto pulita.")</f>
        <v>Il cliente viene consegnato le chiavi e sta arrivando con un'auto pulita.</v>
      </c>
    </row>
    <row r="18070">
      <c r="A18070" s="4" t="s">
        <v>22738</v>
      </c>
      <c r="B18070" s="4" t="s">
        <v>22744</v>
      </c>
      <c r="C18070" s="5" t="str">
        <f>IFERROR(__xludf.DUMMYFUNCTION("GOOGLETRANSLATE(B18070,""en"",""it"")"),"Due uomini stanno scherzando mentre puliscono la macchina.")</f>
        <v>Due uomini stanno scherzando mentre puliscono la macchina.</v>
      </c>
    </row>
    <row r="18071">
      <c r="A18071" s="4" t="s">
        <v>22738</v>
      </c>
      <c r="B18071" s="4" t="s">
        <v>22745</v>
      </c>
      <c r="C18071" s="5" t="str">
        <f>IFERROR(__xludf.DUMMYFUNCTION("GOOGLETRANSLATE(B18071,""en"",""it"")"),"Un cartello mostra i servizi che offrono.")</f>
        <v>Un cartello mostra i servizi che offrono.</v>
      </c>
    </row>
    <row r="18072">
      <c r="A18072" s="4" t="s">
        <v>22746</v>
      </c>
      <c r="B18072" s="6" t="s">
        <v>22747</v>
      </c>
      <c r="C18072" s="5" t="str">
        <f>IFERROR(__xludf.DUMMYFUNCTION("GOOGLETRANSLATE(B18072,""en"",""it"")"),"Una ragazza è in piedi nel suo salotto con in mano un testimone orizzontale al collo mentre un gatto a terra si muove.")</f>
        <v>Una ragazza è in piedi nel suo salotto con in mano un testimone orizzontale al collo mentre un gatto a terra si muove.</v>
      </c>
    </row>
    <row r="18073">
      <c r="A18073" s="4" t="s">
        <v>22746</v>
      </c>
      <c r="B18073" s="6" t="s">
        <v>22748</v>
      </c>
      <c r="C18073" s="5" t="str">
        <f>IFERROR(__xludf.DUMMYFUNCTION("GOOGLETRANSLATE(B18073,""en"",""it"")"),"La ragazza poi si incastra il braccio, lascia che il testimone rotoli in mano, quindi inizia a fare una serie di roteare il testimone.")</f>
        <v>La ragazza poi si incastra il braccio, lascia che il testimone rotoli in mano, quindi inizia a fare una serie di roteare il testimone.</v>
      </c>
    </row>
    <row r="18074">
      <c r="A18074" s="4" t="s">
        <v>22746</v>
      </c>
      <c r="B18074" s="6" t="s">
        <v>22749</v>
      </c>
      <c r="C18074" s="5" t="str">
        <f>IFERROR(__xludf.DUMMYFUNCTION("GOOGLETRANSLATE(B18074,""en"",""it"")"),"Il gatto di seguito entra e uscirà dallo schermo mentre fa roteare il testimone e persino lanciarlo in aria, lo prende poi continua a roteare.")</f>
        <v>Il gatto di seguito entra e uscirà dallo schermo mentre fa roteare il testimone e persino lanciarlo in aria, lo prende poi continua a roteare.</v>
      </c>
    </row>
    <row r="18075">
      <c r="A18075" s="4" t="s">
        <v>22750</v>
      </c>
      <c r="B18075" s="4" t="s">
        <v>22751</v>
      </c>
      <c r="C18075" s="5" t="str">
        <f>IFERROR(__xludf.DUMMYFUNCTION("GOOGLETRANSLATE(B18075,""en"",""it"")"),"Un uomo si piega sulla parte anteriore di una siepe con un cutter elettrico.")</f>
        <v>Un uomo si piega sulla parte anteriore di una siepe con un cutter elettrico.</v>
      </c>
    </row>
    <row r="18076">
      <c r="A18076" s="4" t="s">
        <v>22750</v>
      </c>
      <c r="B18076" s="4" t="s">
        <v>22752</v>
      </c>
      <c r="C18076" s="5" t="str">
        <f>IFERROR(__xludf.DUMMYFUNCTION("GOOGLETRANSLATE(B18076,""en"",""it"")"),"L'uomo taglia una lunga siepe di un giardino usando un taglierina elettrica.")</f>
        <v>L'uomo taglia una lunga siepe di un giardino usando un taglierina elettrica.</v>
      </c>
    </row>
    <row r="18077">
      <c r="A18077" s="4" t="s">
        <v>22750</v>
      </c>
      <c r="B18077" s="4" t="s">
        <v>22753</v>
      </c>
      <c r="C18077" s="5" t="str">
        <f>IFERROR(__xludf.DUMMYFUNCTION("GOOGLETRANSLATE(B18077,""en"",""it"")"),"Quindi, l'uomo rimuove le foglie in cima alla siepe con la mano.")</f>
        <v>Quindi, l'uomo rimuove le foglie in cima alla siepe con la mano.</v>
      </c>
    </row>
    <row r="18078">
      <c r="A18078" s="4" t="s">
        <v>22754</v>
      </c>
      <c r="B18078" s="4" t="s">
        <v>22755</v>
      </c>
      <c r="C18078" s="5" t="str">
        <f>IFERROR(__xludf.DUMMYFUNCTION("GOOGLETRANSLATE(B18078,""en"",""it"")"),"L'uomo è seduto in una stanza giocando a Congas.")</f>
        <v>L'uomo è seduto in una stanza giocando a Congas.</v>
      </c>
    </row>
    <row r="18079">
      <c r="A18079" s="4" t="s">
        <v>22754</v>
      </c>
      <c r="B18079" s="4" t="s">
        <v>22756</v>
      </c>
      <c r="C18079" s="5" t="str">
        <f>IFERROR(__xludf.DUMMYFUNCTION("GOOGLETRANSLATE(B18079,""en"",""it"")"),"La tastiera è dietro l'uomo che gioca a Congsa in una stanza.")</f>
        <v>La tastiera è dietro l'uomo che gioca a Congsa in una stanza.</v>
      </c>
    </row>
    <row r="18080">
      <c r="A18080" s="4" t="s">
        <v>22754</v>
      </c>
      <c r="B18080" s="4" t="s">
        <v>22757</v>
      </c>
      <c r="C18080" s="5" t="str">
        <f>IFERROR(__xludf.DUMMYFUNCTION("GOOGLETRANSLATE(B18080,""en"",""it"")"),"L'uomo suona la salsa a Congas in una sala da musica.")</f>
        <v>L'uomo suona la salsa a Congas in una sala da musica.</v>
      </c>
    </row>
    <row r="18081">
      <c r="A18081" s="4" t="s">
        <v>22758</v>
      </c>
      <c r="B18081" s="4" t="s">
        <v>22759</v>
      </c>
      <c r="C18081" s="5" t="str">
        <f>IFERROR(__xludf.DUMMYFUNCTION("GOOGLETRANSLATE(B18081,""en"",""it"")"),"Una ragazza sta cavalcando un tosaerba giallo in sella su un cortile molto grande pieno di erba verde.")</f>
        <v>Una ragazza sta cavalcando un tosaerba giallo in sella su un cortile molto grande pieno di erba verde.</v>
      </c>
    </row>
    <row r="18082">
      <c r="A18082" s="4" t="s">
        <v>22758</v>
      </c>
      <c r="B18082" s="6" t="s">
        <v>22760</v>
      </c>
      <c r="C18082" s="5" t="str">
        <f>IFERROR(__xludf.DUMMYFUNCTION("GOOGLETRANSLATE(B18082,""en"",""it"")"),"Quando la ragazza raggiunge la fine del cortile, fa una svolta e si avvicina nella stessa direzione da cui è appena venuta.")</f>
        <v>Quando la ragazza raggiunge la fine del cortile, fa una svolta e si avvicina nella stessa direzione da cui è appena venuta.</v>
      </c>
    </row>
    <row r="18083">
      <c r="A18083" s="4" t="s">
        <v>22758</v>
      </c>
      <c r="B18083" s="4" t="s">
        <v>22761</v>
      </c>
      <c r="C18083" s="5" t="str">
        <f>IFERROR(__xludf.DUMMYFUNCTION("GOOGLETRANSLATE(B18083,""en"",""it"")"),"Quando raggiunge quella fine, fa una svolta ma è troppo stretta e si inverte un po '.")</f>
        <v>Quando raggiunge quella fine, fa una svolta ma è troppo stretta e si inverte un po '.</v>
      </c>
    </row>
    <row r="18084">
      <c r="A18084" s="4" t="s">
        <v>22758</v>
      </c>
      <c r="B18084" s="6" t="s">
        <v>22762</v>
      </c>
      <c r="C18084" s="5" t="str">
        <f>IFERROR(__xludf.DUMMYFUNCTION("GOOGLETRANSLATE(B18084,""en"",""it"")"),"La ragazza quindi la fa di nuovo in direzione opposta e quando raggiunge a metà del cortile si gira di nuovo e si dirige verso la direzione da cui proveniva.")</f>
        <v>La ragazza quindi la fa di nuovo in direzione opposta e quando raggiunge a metà del cortile si gira di nuovo e si dirige verso la direzione da cui proveniva.</v>
      </c>
    </row>
    <row r="18085">
      <c r="A18085" s="4" t="s">
        <v>22763</v>
      </c>
      <c r="B18085" s="4" t="s">
        <v>22764</v>
      </c>
      <c r="C18085" s="5" t="str">
        <f>IFERROR(__xludf.DUMMYFUNCTION("GOOGLETRANSLATE(B18085,""en"",""it"")"),"Un uomo in giacca da sci su uno snowboard si tiene su una corda attaccata a un camion.")</f>
        <v>Un uomo in giacca da sci su uno snowboard si tiene su una corda attaccata a un camion.</v>
      </c>
    </row>
    <row r="18086">
      <c r="A18086" s="4" t="s">
        <v>22763</v>
      </c>
      <c r="B18086" s="4" t="s">
        <v>22765</v>
      </c>
      <c r="C18086" s="5" t="str">
        <f>IFERROR(__xludf.DUMMYFUNCTION("GOOGLETRANSLATE(B18086,""en"",""it"")"),"Il camion inizia a guidare e l'uomo viene tirato dietro la corda del rimorchio.")</f>
        <v>Il camion inizia a guidare e l'uomo viene tirato dietro la corda del rimorchio.</v>
      </c>
    </row>
    <row r="18087">
      <c r="A18087" s="4" t="s">
        <v>22763</v>
      </c>
      <c r="B18087" s="6" t="s">
        <v>22766</v>
      </c>
      <c r="C18087" s="5" t="str">
        <f>IFERROR(__xludf.DUMMYFUNCTION("GOOGLETRANSLATE(B18087,""en"",""it"")"),"L'uomo manovra per tirare su parallelo con il camion e si alterna che va avanti e indietro dietro il camion.")</f>
        <v>L'uomo manovra per tirare su parallelo con il camion e si alterna che va avanti e indietro dietro il camion.</v>
      </c>
    </row>
    <row r="18088">
      <c r="A18088" s="4" t="s">
        <v>22763</v>
      </c>
      <c r="B18088" s="4" t="s">
        <v>22767</v>
      </c>
      <c r="C18088" s="5" t="str">
        <f>IFERROR(__xludf.DUMMYFUNCTION("GOOGLETRANSLATE(B18088,""en"",""it"")"),"L'uomo rallenta prima di lasciar andare la corda del rimorchio e si ferma.")</f>
        <v>L'uomo rallenta prima di lasciar andare la corda del rimorchio e si ferma.</v>
      </c>
    </row>
    <row r="18089">
      <c r="A18089" s="4" t="s">
        <v>22768</v>
      </c>
      <c r="B18089" s="6" t="s">
        <v>22769</v>
      </c>
      <c r="C18089" s="5" t="str">
        <f>IFERROR(__xludf.DUMMYFUNCTION("GOOGLETRANSLATE(B18089,""en"",""it"")"),"Un ragazzo è su un cavallo con una corda lunga bianca che ha un grande cerchio legato alla fine e sembra aspettare che alcune porte blu si aprano.")</f>
        <v>Un ragazzo è su un cavallo con una corda lunga bianca che ha un grande cerchio legato alla fine e sembra aspettare che alcune porte blu si aprano.</v>
      </c>
    </row>
    <row r="18090">
      <c r="A18090" s="4" t="s">
        <v>22768</v>
      </c>
      <c r="B18090" s="4" t="s">
        <v>22770</v>
      </c>
      <c r="C18090" s="5" t="str">
        <f>IFERROR(__xludf.DUMMYFUNCTION("GOOGLETRANSLATE(B18090,""en"",""it"")"),"Le porte blu si aprono e un piccolo toro si esaurisce e il ragazzo sul cavallo lo insegue.")</f>
        <v>Le porte blu si aprono e un piccolo toro si esaurisce e il ragazzo sul cavallo lo insegue.</v>
      </c>
    </row>
    <row r="18091">
      <c r="A18091" s="4" t="s">
        <v>22768</v>
      </c>
      <c r="B18091" s="6" t="s">
        <v>22771</v>
      </c>
      <c r="C18091" s="5" t="str">
        <f>IFERROR(__xludf.DUMMYFUNCTION("GOOGLETRANSLATE(B18091,""en"",""it"")"),"Il ragazzo lancia la corda e cattura il toro intorno al collo mentre l'estremità della corda è legata al cavallo.")</f>
        <v>Il ragazzo lancia la corda e cattura il toro intorno al collo mentre l'estremità della corda è legata al cavallo.</v>
      </c>
    </row>
    <row r="18092">
      <c r="A18092" s="4" t="s">
        <v>22768</v>
      </c>
      <c r="B18092" s="6" t="s">
        <v>22772</v>
      </c>
      <c r="C18092" s="5" t="str">
        <f>IFERROR(__xludf.DUMMYFUNCTION("GOOGLETRANSLATE(B18092,""en"",""it"")"),"Il ragazzo quindi salta giù dal cavallo, corre sul toro e lo gira sulla schiena, quindi lega le gambe dei tori.")</f>
        <v>Il ragazzo quindi salta giù dal cavallo, corre sul toro e lo gira sulla schiena, quindi lega le gambe dei tori.</v>
      </c>
    </row>
    <row r="18093">
      <c r="A18093" s="4" t="s">
        <v>22768</v>
      </c>
      <c r="B18093" s="6" t="s">
        <v>22773</v>
      </c>
      <c r="C18093" s="5" t="str">
        <f>IFERROR(__xludf.DUMMYFUNCTION("GOOGLETRANSLATE(B18093,""en"",""it"")"),"Il ragazzo poi torna a cavallo mentre altri due ragazzi liberano il toro dalla cravatta della corda e lo portano via.")</f>
        <v>Il ragazzo poi torna a cavallo mentre altri due ragazzi liberano il toro dalla cravatta della corda e lo portano via.</v>
      </c>
    </row>
    <row r="18094">
      <c r="A18094" s="4" t="s">
        <v>22774</v>
      </c>
      <c r="B18094" s="6" t="s">
        <v>22775</v>
      </c>
      <c r="C18094" s="5" t="str">
        <f>IFERROR(__xludf.DUMMYFUNCTION("GOOGLETRANSLATE(B18094,""en"",""it"")"),"L'uomo è inginocchiato sul pavimento, ma si alza per alzare il braccio e salire sui bar per eseguire il suo atto.")</f>
        <v>L'uomo è inginocchiato sul pavimento, ma si alza per alzare il braccio e salire sui bar per eseguire il suo atto.</v>
      </c>
    </row>
    <row r="18095">
      <c r="A18095" s="4" t="s">
        <v>22774</v>
      </c>
      <c r="B18095" s="6" t="s">
        <v>22776</v>
      </c>
      <c r="C18095" s="5" t="str">
        <f>IFERROR(__xludf.DUMMYFUNCTION("GOOGLETRANSLATE(B18095,""en"",""it"")"),"Quando ha finito si gira e si inchina, dopo una ragazza viene mostrata seduta sulla sedia e poi viene mostrato di nuovo, ma al rallentatore.")</f>
        <v>Quando ha finito si gira e si inchina, dopo una ragazza viene mostrata seduta sulla sedia e poi viene mostrato di nuovo, ma al rallentatore.</v>
      </c>
    </row>
    <row r="18096">
      <c r="A18096" s="4" t="s">
        <v>22774</v>
      </c>
      <c r="B18096" s="6" t="s">
        <v>22777</v>
      </c>
      <c r="C18096" s="5" t="str">
        <f>IFERROR(__xludf.DUMMYFUNCTION("GOOGLETRANSLATE(B18096,""en"",""it"")"),"Successivamente, una ragazza viene mostrata oscillando sui bar irregolari e quando ha finito si sede e parla di ciò che fa.")</f>
        <v>Successivamente, una ragazza viene mostrata oscillando sui bar irregolari e quando ha finito si sede e parla di ciò che fa.</v>
      </c>
    </row>
    <row r="18097">
      <c r="A18097" s="4" t="s">
        <v>22778</v>
      </c>
      <c r="B18097" s="4" t="s">
        <v>22779</v>
      </c>
      <c r="C18097" s="5" t="str">
        <f>IFERROR(__xludf.DUMMYFUNCTION("GOOGLETRANSLATE(B18097,""en"",""it"")"),"Una signora sta attraversando un prato.")</f>
        <v>Una signora sta attraversando un prato.</v>
      </c>
    </row>
    <row r="18098">
      <c r="A18098" s="4" t="s">
        <v>22778</v>
      </c>
      <c r="B18098" s="4" t="s">
        <v>22780</v>
      </c>
      <c r="C18098" s="5" t="str">
        <f>IFERROR(__xludf.DUMMYFUNCTION("GOOGLETRANSLATE(B18098,""en"",""it"")"),"Un ragazzo corre e si ferma sul prato.")</f>
        <v>Un ragazzo corre e si ferma sul prato.</v>
      </c>
    </row>
    <row r="18099">
      <c r="A18099" s="4" t="s">
        <v>22778</v>
      </c>
      <c r="B18099" s="4" t="s">
        <v>22781</v>
      </c>
      <c r="C18099" s="5" t="str">
        <f>IFERROR(__xludf.DUMMYFUNCTION("GOOGLETRANSLATE(B18099,""en"",""it"")"),"Un uomo è in piedi su una pista.")</f>
        <v>Un uomo è in piedi su una pista.</v>
      </c>
    </row>
    <row r="18100">
      <c r="A18100" s="4" t="s">
        <v>22778</v>
      </c>
      <c r="B18100" s="4" t="s">
        <v>22782</v>
      </c>
      <c r="C18100" s="5" t="str">
        <f>IFERROR(__xludf.DUMMYFUNCTION("GOOGLETRANSLATE(B18100,""en"",""it"")"),"L'uomo corre in pista, salta e atterra in una scatola di sabbia.")</f>
        <v>L'uomo corre in pista, salta e atterra in una scatola di sabbia.</v>
      </c>
    </row>
    <row r="18101">
      <c r="A18101" s="4" t="s">
        <v>22778</v>
      </c>
      <c r="B18101" s="4" t="s">
        <v>22783</v>
      </c>
      <c r="C18101" s="5" t="str">
        <f>IFERROR(__xludf.DUMMYFUNCTION("GOOGLETRANSLATE(B18101,""en"",""it"")"),"L'uomo si alza, cade a terra e giace lì.")</f>
        <v>L'uomo si alza, cade a terra e giace lì.</v>
      </c>
    </row>
    <row r="18102">
      <c r="A18102" s="4" t="s">
        <v>22784</v>
      </c>
      <c r="B18102" s="4" t="s">
        <v>22785</v>
      </c>
      <c r="C18102" s="5" t="str">
        <f>IFERROR(__xludf.DUMMYFUNCTION("GOOGLETRANSLATE(B18102,""en"",""it"")"),"Ragazza noi che pende da un palo in una palestra coperta e facciamo un salto alla piscina di terra.")</f>
        <v>Ragazza noi che pende da un palo in una palestra coperta e facciamo un salto alla piscina di terra.</v>
      </c>
    </row>
    <row r="18103">
      <c r="A18103" s="4" t="s">
        <v>22784</v>
      </c>
      <c r="B18103" s="4" t="s">
        <v>22786</v>
      </c>
      <c r="C18103" s="5" t="str">
        <f>IFERROR(__xludf.DUMMYFUNCTION("GOOGLETRANSLATE(B18103,""en"",""it"")"),"La donna che si muove una camicia rossa è in piedi davanti al palo.")</f>
        <v>La donna che si muove una camicia rossa è in piedi davanti al palo.</v>
      </c>
    </row>
    <row r="18104">
      <c r="A18104" s="4" t="s">
        <v>22784</v>
      </c>
      <c r="B18104" s="4" t="s">
        <v>22787</v>
      </c>
      <c r="C18104" s="5" t="str">
        <f>IFERROR(__xludf.DUMMYFUNCTION("GOOGLETRANSLATE(B18104,""en"",""it"")"),"La bambina sta camminando davanti alla sua ragazza che fa ginnastica.")</f>
        <v>La bambina sta camminando davanti alla sua ragazza che fa ginnastica.</v>
      </c>
    </row>
    <row r="18105">
      <c r="A18105" s="4" t="s">
        <v>22788</v>
      </c>
      <c r="B18105" s="6" t="s">
        <v>22789</v>
      </c>
      <c r="C18105" s="5" t="str">
        <f>IFERROR(__xludf.DUMMYFUNCTION("GOOGLETRANSLATE(B18105,""en"",""it"")"),"Un uomo si trova di fronte alla telecamera prima di essere mostrato a giocare a basket mentre prende a pugni un uomo con un paio di guanti da boxe.")</f>
        <v>Un uomo si trova di fronte alla telecamera prima di essere mostrato a giocare a basket mentre prende a pugni un uomo con un paio di guanti da boxe.</v>
      </c>
    </row>
    <row r="18106">
      <c r="A18106" s="4" t="s">
        <v>22788</v>
      </c>
      <c r="B18106" s="4" t="s">
        <v>22790</v>
      </c>
      <c r="C18106" s="5" t="str">
        <f>IFERROR(__xludf.DUMMYFUNCTION("GOOGLETRANSLATE(B18106,""en"",""it"")"),"I due uomini si stringono la mano.")</f>
        <v>I due uomini si stringono la mano.</v>
      </c>
    </row>
    <row r="18107">
      <c r="A18107" s="4" t="s">
        <v>22791</v>
      </c>
      <c r="B18107" s="4" t="s">
        <v>22792</v>
      </c>
      <c r="C18107" s="5" t="str">
        <f>IFERROR(__xludf.DUMMYFUNCTION("GOOGLETRANSLATE(B18107,""en"",""it"")"),"Un uomo viene visto seduto su una panchina con in mano una chitarra e parlare alla telecamera.")</f>
        <v>Un uomo viene visto seduto su una panchina con in mano una chitarra e parlare alla telecamera.</v>
      </c>
    </row>
    <row r="18108">
      <c r="A18108" s="4" t="s">
        <v>22791</v>
      </c>
      <c r="B18108" s="4" t="s">
        <v>22793</v>
      </c>
      <c r="C18108" s="5" t="str">
        <f>IFERROR(__xludf.DUMMYFUNCTION("GOOGLETRANSLATE(B18108,""en"",""it"")"),"Indica i microfoni di fronte a lui e inizia a strimpellare la chitarra.")</f>
        <v>Indica i microfoni di fronte a lui e inizia a strimpellare la chitarra.</v>
      </c>
    </row>
    <row r="18109">
      <c r="A18109" s="4" t="s">
        <v>22791</v>
      </c>
      <c r="B18109" s="4" t="s">
        <v>22794</v>
      </c>
      <c r="C18109" s="5" t="str">
        <f>IFERROR(__xludf.DUMMYFUNCTION("GOOGLETRANSLATE(B18109,""en"",""it"")"),"L'uomo continua a giocare mentre si muove le mani e fermandosi a guardare la telecamera.")</f>
        <v>L'uomo continua a giocare mentre si muove le mani e fermandosi a guardare la telecamera.</v>
      </c>
    </row>
    <row r="18110">
      <c r="A18110" s="4" t="s">
        <v>22795</v>
      </c>
      <c r="B18110" s="4" t="s">
        <v>22796</v>
      </c>
      <c r="C18110" s="5" t="str">
        <f>IFERROR(__xludf.DUMMYFUNCTION("GOOGLETRANSLATE(B18110,""en"",""it"")"),"Vediamo persone in piedi in una lezione di aerobica.")</f>
        <v>Vediamo persone in piedi in una lezione di aerobica.</v>
      </c>
    </row>
    <row r="18111">
      <c r="A18111" s="4" t="s">
        <v>22795</v>
      </c>
      <c r="B18111" s="4" t="s">
        <v>22797</v>
      </c>
      <c r="C18111" s="5" t="str">
        <f>IFERROR(__xludf.DUMMYFUNCTION("GOOGLETRANSLATE(B18111,""en"",""it"")"),"L'insegnante inizia e la classe segue.")</f>
        <v>L'insegnante inizia e la classe segue.</v>
      </c>
    </row>
    <row r="18112">
      <c r="A18112" s="4" t="s">
        <v>22795</v>
      </c>
      <c r="B18112" s="4" t="s">
        <v>22798</v>
      </c>
      <c r="C18112" s="5" t="str">
        <f>IFERROR(__xludf.DUMMYFUNCTION("GOOGLETRANSLATE(B18112,""en"",""it"")"),"Mentre si trovava sul gradino, le persone oscillano le mani.")</f>
        <v>Mentre si trovava sul gradino, le persone oscillano le mani.</v>
      </c>
    </row>
    <row r="18113">
      <c r="A18113" s="4" t="s">
        <v>22795</v>
      </c>
      <c r="B18113" s="4" t="s">
        <v>22799</v>
      </c>
      <c r="C18113" s="5" t="str">
        <f>IFERROR(__xludf.DUMMYFUNCTION("GOOGLETRANSLATE(B18113,""en"",""it"")"),"La classe oscilla di nuovo le braccia.")</f>
        <v>La classe oscilla di nuovo le braccia.</v>
      </c>
    </row>
    <row r="18114">
      <c r="A18114" s="4" t="s">
        <v>22795</v>
      </c>
      <c r="B18114" s="4" t="s">
        <v>22800</v>
      </c>
      <c r="C18114" s="5" t="str">
        <f>IFERROR(__xludf.DUMMYFUNCTION("GOOGLETRANSLATE(B18114,""en"",""it"")"),"L'uomo in rosso parte a sinistra.")</f>
        <v>L'uomo in rosso parte a sinistra.</v>
      </c>
    </row>
    <row r="18115">
      <c r="A18115" s="4" t="s">
        <v>22795</v>
      </c>
      <c r="B18115" s="4" t="s">
        <v>22801</v>
      </c>
      <c r="C18115" s="5" t="str">
        <f>IFERROR(__xludf.DUMMYFUNCTION("GOOGLETRANSLATE(B18115,""en"",""it"")"),"La classe termina e smetti di ballare.")</f>
        <v>La classe termina e smetti di ballare.</v>
      </c>
    </row>
    <row r="18116">
      <c r="A18116" s="4" t="s">
        <v>22795</v>
      </c>
      <c r="B18116" s="4" t="s">
        <v>22802</v>
      </c>
      <c r="C18116" s="5" t="str">
        <f>IFERROR(__xludf.DUMMYFUNCTION("GOOGLETRANSLATE(B18116,""en"",""it"")"),"L'insegnante cammina per spegnere la telecamera.")</f>
        <v>L'insegnante cammina per spegnere la telecamera.</v>
      </c>
    </row>
    <row r="18117">
      <c r="A18117" s="4" t="s">
        <v>22803</v>
      </c>
      <c r="B18117" s="6" t="s">
        <v>22804</v>
      </c>
      <c r="C18117" s="5" t="str">
        <f>IFERROR(__xludf.DUMMYFUNCTION("GOOGLETRANSLATE(B18117,""en"",""it"")"),"Una nuotatrice è in piedi su una tavola da immersione in costume da bagno nero e salta giù facendo più lanci.")</f>
        <v>Una nuotatrice è in piedi su una tavola da immersione in costume da bagno nero e salta giù facendo più lanci.</v>
      </c>
    </row>
    <row r="18118">
      <c r="A18118" s="4" t="s">
        <v>22803</v>
      </c>
      <c r="B18118" s="4" t="s">
        <v>22805</v>
      </c>
      <c r="C18118" s="5" t="str">
        <f>IFERROR(__xludf.DUMMYFUNCTION("GOOGLETRANSLATE(B18118,""en"",""it"")"),"Viene quindi mostrata a livello del suolo parlando e asciugandosi il viso con un asciugamano.")</f>
        <v>Viene quindi mostrata a livello del suolo parlando e asciugandosi il viso con un asciugamano.</v>
      </c>
    </row>
    <row r="18119">
      <c r="A18119" s="4" t="s">
        <v>22803</v>
      </c>
      <c r="B18119" s="6" t="s">
        <v>22806</v>
      </c>
      <c r="C18119" s="5" t="str">
        <f>IFERROR(__xludf.DUMMYFUNCTION("GOOGLETRANSLATE(B18119,""en"",""it"")"),"All'improvviso, torna al tabellone e fa una follia folle in cui le sue ginocchia sono nascoste e sta facendo diversi lanci e poi gli uomini la applaudono e c'è un replay istantaneo.")</f>
        <v>All'improvviso, torna al tabellone e fa una follia folle in cui le sue ginocchia sono nascoste e sta facendo diversi lanci e poi gli uomini la applaudono e c'è un replay istantaneo.</v>
      </c>
    </row>
    <row r="18120">
      <c r="A18120" s="4" t="s">
        <v>22803</v>
      </c>
      <c r="B18120" s="6" t="s">
        <v>22807</v>
      </c>
      <c r="C18120" s="5" t="str">
        <f>IFERROR(__xludf.DUMMYFUNCTION("GOOGLETRANSLATE(B18120,""en"",""it"")"),"La routine continua e la ragazza tenta di fare più lanci e la gente reagisce allo stesso modo e lei si alza la mano in bocca a timore reverenziale.")</f>
        <v>La routine continua e la ragazza tenta di fare più lanci e la gente reagisce allo stesso modo e lei si alza la mano in bocca a timore reverenziale.</v>
      </c>
    </row>
    <row r="18121">
      <c r="A18121" s="4" t="s">
        <v>22808</v>
      </c>
      <c r="B18121" s="4" t="s">
        <v>22809</v>
      </c>
      <c r="C18121" s="5" t="str">
        <f>IFERROR(__xludf.DUMMYFUNCTION("GOOGLETRANSLATE(B18121,""en"",""it"")"),"Varie intros di testo conducono nelle immagini di una ragazza e dipingono da vicino.")</f>
        <v>Varie intros di testo conducono nelle immagini di una ragazza e dipingono da vicino.</v>
      </c>
    </row>
    <row r="18122">
      <c r="A18122" s="4" t="s">
        <v>22808</v>
      </c>
      <c r="B18122" s="4" t="s">
        <v>22810</v>
      </c>
      <c r="C18122" s="5" t="str">
        <f>IFERROR(__xludf.DUMMYFUNCTION("GOOGLETRANSLATE(B18122,""en"",""it"")"),"Una persona viene quindi vista dipingere su un pezzo di carta usando colori diversi.")</f>
        <v>Una persona viene quindi vista dipingere su un pezzo di carta usando colori diversi.</v>
      </c>
    </row>
    <row r="18123">
      <c r="A18123" s="4" t="s">
        <v>22808</v>
      </c>
      <c r="B18123" s="4" t="s">
        <v>22811</v>
      </c>
      <c r="C18123" s="5" t="str">
        <f>IFERROR(__xludf.DUMMYFUNCTION("GOOGLETRANSLATE(B18123,""en"",""it"")"),"La persona continua a dipingere con il testo mostrato e mescolando nella vernice.")</f>
        <v>La persona continua a dipingere con il testo mostrato e mescolando nella vernice.</v>
      </c>
    </row>
    <row r="18124">
      <c r="A18124" s="4" t="s">
        <v>22812</v>
      </c>
      <c r="B18124" s="4" t="s">
        <v>22813</v>
      </c>
      <c r="C18124" s="5" t="str">
        <f>IFERROR(__xludf.DUMMYFUNCTION("GOOGLETRANSLATE(B18124,""en"",""it"")"),"Il video parla di Bristol BMX Club che organizza un evento in bicicletta.")</f>
        <v>Il video parla di Bristol BMX Club che organizza un evento in bicicletta.</v>
      </c>
    </row>
    <row r="18125">
      <c r="A18125" s="4" t="s">
        <v>22812</v>
      </c>
      <c r="B18125" s="4" t="s">
        <v>22814</v>
      </c>
      <c r="C18125" s="5" t="str">
        <f>IFERROR(__xludf.DUMMYFUNCTION("GOOGLETRANSLATE(B18125,""en"",""it"")"),"C'è un uomo che disegna una linea di partenza bianca a terra per la gara.")</f>
        <v>C'è un uomo che disegna una linea di partenza bianca a terra per la gara.</v>
      </c>
    </row>
    <row r="18126">
      <c r="A18126" s="4" t="s">
        <v>22812</v>
      </c>
      <c r="B18126" s="4" t="s">
        <v>22815</v>
      </c>
      <c r="C18126" s="5" t="str">
        <f>IFERROR(__xludf.DUMMYFUNCTION("GOOGLETRANSLATE(B18126,""en"",""it"")"),"I motociclisti si preparano per iniziare la loro gara.")</f>
        <v>I motociclisti si preparano per iniziare la loro gara.</v>
      </c>
    </row>
    <row r="18127">
      <c r="A18127" s="4" t="s">
        <v>22812</v>
      </c>
      <c r="B18127" s="4" t="s">
        <v>22816</v>
      </c>
      <c r="C18127" s="5" t="str">
        <f>IFERROR(__xludf.DUMMYFUNCTION("GOOGLETRANSLATE(B18127,""en"",""it"")"),"Iniziano la gara e attraversano rampe e dossi.")</f>
        <v>Iniziano la gara e attraversano rampe e dossi.</v>
      </c>
    </row>
    <row r="18128">
      <c r="A18128" s="4" t="s">
        <v>22812</v>
      </c>
      <c r="B18128" s="4" t="s">
        <v>22817</v>
      </c>
      <c r="C18128" s="5" t="str">
        <f>IFERROR(__xludf.DUMMYFUNCTION("GOOGLETRANSLATE(B18128,""en"",""it"")"),"I motociclisti provengono da varie fasce di età che vanno dagli adolescenti agli adulti.")</f>
        <v>I motociclisti provengono da varie fasce di età che vanno dagli adolescenti agli adulti.</v>
      </c>
    </row>
    <row r="18129">
      <c r="A18129" s="4" t="s">
        <v>22812</v>
      </c>
      <c r="B18129" s="6" t="s">
        <v>22818</v>
      </c>
      <c r="C18129" s="5" t="str">
        <f>IFERROR(__xludf.DUMMYFUNCTION("GOOGLETRANSLATE(B18129,""en"",""it"")"),"Le razze continuano mentre i motociclisti si fanno strada attraverso il percorso ad ostacoli di andare oltre rampe e dossi.")</f>
        <v>Le razze continuano mentre i motociclisti si fanno strada attraverso il percorso ad ostacoli di andare oltre rampe e dossi.</v>
      </c>
    </row>
    <row r="18130">
      <c r="A18130" s="4" t="s">
        <v>22819</v>
      </c>
      <c r="B18130" s="4" t="s">
        <v>22820</v>
      </c>
      <c r="C18130" s="5" t="str">
        <f>IFERROR(__xludf.DUMMYFUNCTION("GOOGLETRANSLATE(B18130,""en"",""it"")"),"Un paio di lottatori di sumo sono su un palco.")</f>
        <v>Un paio di lottatori di sumo sono su un palco.</v>
      </c>
    </row>
    <row r="18131">
      <c r="A18131" s="4" t="s">
        <v>22819</v>
      </c>
      <c r="B18131" s="4" t="s">
        <v>22821</v>
      </c>
      <c r="C18131" s="5" t="str">
        <f>IFERROR(__xludf.DUMMYFUNCTION("GOOGLETRANSLATE(B18131,""en"",""it"")"),"Si impegnano insieme in una partita di wrestling.")</f>
        <v>Si impegnano insieme in una partita di wrestling.</v>
      </c>
    </row>
    <row r="18132">
      <c r="A18132" s="4" t="s">
        <v>22819</v>
      </c>
      <c r="B18132" s="4" t="s">
        <v>22822</v>
      </c>
      <c r="C18132" s="5" t="str">
        <f>IFERROR(__xludf.DUMMYFUNCTION("GOOGLETRANSLATE(B18132,""en"",""it"")"),"A PER FAVORE STAMPE BY SEGNO APPAVE quando si riscontrano problemi tecnici.")</f>
        <v>A PER FAVORE STAMPE BY SEGNO APPAVE quando si riscontrano problemi tecnici.</v>
      </c>
    </row>
    <row r="18133">
      <c r="A18133" s="4" t="s">
        <v>22823</v>
      </c>
      <c r="B18133" s="6" t="s">
        <v>22824</v>
      </c>
      <c r="C18133" s="5" t="str">
        <f>IFERROR(__xludf.DUMMYFUNCTION("GOOGLETRANSLATE(B18133,""en"",""it"")"),"Viene mostrato uno schermo bianco e vari loghi sono mostrati sopra lo schermo mentre va a uno schermo nero.")</f>
        <v>Viene mostrato uno schermo bianco e vari loghi sono mostrati sopra lo schermo mentre va a uno schermo nero.</v>
      </c>
    </row>
    <row r="18134">
      <c r="A18134" s="4" t="s">
        <v>22823</v>
      </c>
      <c r="B18134" s="4" t="s">
        <v>22825</v>
      </c>
      <c r="C18134" s="5" t="str">
        <f>IFERROR(__xludf.DUMMYFUNCTION("GOOGLETRANSLATE(B18134,""en"",""it"")"),"Un sole si alza e gli uomini camminano su una collina, tirando una corda e leggendo un libro.")</f>
        <v>Un sole si alza e gli uomini camminano su una collina, tirando una corda e leggendo un libro.</v>
      </c>
    </row>
    <row r="18135">
      <c r="A18135" s="4" t="s">
        <v>22823</v>
      </c>
      <c r="B18135" s="6" t="s">
        <v>22826</v>
      </c>
      <c r="C18135" s="5" t="str">
        <f>IFERROR(__xludf.DUMMYFUNCTION("GOOGLETRANSLATE(B18135,""en"",""it"")"),"Continuano a fare vari hobby in montagna e un uomo torna e inizia a parlare mentre i crediti iniziano a rotolare.")</f>
        <v>Continuano a fare vari hobby in montagna e un uomo torna e inizia a parlare mentre i crediti iniziano a rotolare.</v>
      </c>
    </row>
    <row r="18136">
      <c r="A18136" s="4" t="s">
        <v>22827</v>
      </c>
      <c r="B18136" s="4" t="s">
        <v>22828</v>
      </c>
      <c r="C18136" s="5" t="str">
        <f>IFERROR(__xludf.DUMMYFUNCTION("GOOGLETRANSLATE(B18136,""en"",""it"")"),"Una ragazza è fuori al parco a parlare con quello che sembra essere suo fratello maggiore.")</f>
        <v>Una ragazza è fuori al parco a parlare con quello che sembra essere suo fratello maggiore.</v>
      </c>
    </row>
    <row r="18137">
      <c r="A18137" s="4" t="s">
        <v>22827</v>
      </c>
      <c r="B18137" s="4" t="s">
        <v>22829</v>
      </c>
      <c r="C18137" s="5" t="str">
        <f>IFERROR(__xludf.DUMMYFUNCTION("GOOGLETRANSLATE(B18137,""en"",""it"")"),"I due iniziano una faccia e cadono sul marciapiede disegnando una lunga partita di hopscotch.")</f>
        <v>I due iniziano una faccia e cadono sul marciapiede disegnando una lunga partita di hopscotch.</v>
      </c>
    </row>
    <row r="18138">
      <c r="A18138" s="4" t="s">
        <v>22827</v>
      </c>
      <c r="B18138" s="4" t="s">
        <v>22830</v>
      </c>
      <c r="C18138" s="5" t="str">
        <f>IFERROR(__xludf.DUMMYFUNCTION("GOOGLETRANSLATE(B18138,""en"",""it"")"),"Una volta completati, si alzano, gettano il gesso e la ragazza si muove a destra del gioco.")</f>
        <v>Una volta completati, si alzano, gettano il gesso e la ragazza si muove a destra del gioco.</v>
      </c>
    </row>
    <row r="18139">
      <c r="A18139" s="4" t="s">
        <v>22827</v>
      </c>
      <c r="B18139" s="6" t="s">
        <v>22831</v>
      </c>
      <c r="C18139" s="5" t="str">
        <f>IFERROR(__xludf.DUMMYFUNCTION("GOOGLETRANSLATE(B18139,""en"",""it"")"),"Il ragazzo inizia il gioco e la ragazza inizia il suo turno andando avanti e indietro verso il basso.")</f>
        <v>Il ragazzo inizia il gioco e la ragazza inizia il suo turno andando avanti e indietro verso il basso.</v>
      </c>
    </row>
    <row r="18140">
      <c r="A18140" s="4" t="s">
        <v>22827</v>
      </c>
      <c r="B18140" s="6" t="s">
        <v>22832</v>
      </c>
      <c r="C18140" s="5" t="str">
        <f>IFERROR(__xludf.DUMMYFUNCTION("GOOGLETRANSLATE(B18140,""en"",""it"")"),"Per mostrarla, il ragazzo inizia a ballare attraverso il marciapiede e la ragazza lo restituisce sfogliando il gioco.")</f>
        <v>Per mostrarla, il ragazzo inizia a ballare attraverso il marciapiede e la ragazza lo restituisce sfogliando il gioco.</v>
      </c>
    </row>
    <row r="18141">
      <c r="A18141" s="4" t="s">
        <v>22827</v>
      </c>
      <c r="B18141" s="4" t="s">
        <v>22833</v>
      </c>
      <c r="C18141" s="5" t="str">
        <f>IFERROR(__xludf.DUMMYFUNCTION("GOOGLETRANSLATE(B18141,""en"",""it"")"),"Ora è il turno del ragazzo e cerca di capovolgere ma finisce per cadere e la ragazza inizia a ridere di lui.")</f>
        <v>Ora è il turno del ragazzo e cerca di capovolgere ma finisce per cadere e la ragazza inizia a ridere di lui.</v>
      </c>
    </row>
    <row r="18142">
      <c r="A18142" s="4" t="s">
        <v>22827</v>
      </c>
      <c r="B18142" s="4" t="s">
        <v>22834</v>
      </c>
      <c r="C18142" s="5" t="str">
        <f>IFERROR(__xludf.DUMMYFUNCTION("GOOGLETRANSLATE(B18142,""en"",""it"")"),"La ragazza vince e il ragazzo le dà di conseguenza la sua Xbox.")</f>
        <v>La ragazza vince e il ragazzo le dà di conseguenza la sua Xbox.</v>
      </c>
    </row>
    <row r="18143">
      <c r="A18143" s="4" t="s">
        <v>22835</v>
      </c>
      <c r="B18143" s="4" t="s">
        <v>22836</v>
      </c>
      <c r="C18143" s="5" t="str">
        <f>IFERROR(__xludf.DUMMYFUNCTION("GOOGLETRANSLATE(B18143,""en"",""it"")"),"Un uomo vestito di nero suona un sassofono in un patio in piscina.")</f>
        <v>Un uomo vestito di nero suona un sassofono in un patio in piscina.</v>
      </c>
    </row>
    <row r="18144">
      <c r="A18144" s="4" t="s">
        <v>22835</v>
      </c>
      <c r="B18144" s="4" t="s">
        <v>22837</v>
      </c>
      <c r="C18144" s="5" t="str">
        <f>IFERROR(__xludf.DUMMYFUNCTION("GOOGLETRANSLATE(B18144,""en"",""it"")"),"Il giocatore di sassofono guarda il suo tastierista.")</f>
        <v>Il giocatore di sassofono guarda il suo tastierista.</v>
      </c>
    </row>
    <row r="18145">
      <c r="A18145" s="4" t="s">
        <v>22835</v>
      </c>
      <c r="B18145" s="4" t="s">
        <v>22838</v>
      </c>
      <c r="C18145" s="5" t="str">
        <f>IFERROR(__xludf.DUMMYFUNCTION("GOOGLETRANSLATE(B18145,""en"",""it"")"),"La fotocamera si avvicina al tastierista che gioca un piano elettrico Korg.")</f>
        <v>La fotocamera si avvicina al tastierista che gioca un piano elettrico Korg.</v>
      </c>
    </row>
    <row r="18146">
      <c r="A18146" s="4" t="s">
        <v>22839</v>
      </c>
      <c r="B18146" s="4" t="s">
        <v>22840</v>
      </c>
      <c r="C18146" s="5" t="str">
        <f>IFERROR(__xludf.DUMMYFUNCTION("GOOGLETRANSLATE(B18146,""en"",""it"")"),"La signora parla alla telecamera.")</f>
        <v>La signora parla alla telecamera.</v>
      </c>
    </row>
    <row r="18147">
      <c r="A18147" s="4" t="s">
        <v>22839</v>
      </c>
      <c r="B18147" s="4" t="s">
        <v>22841</v>
      </c>
      <c r="C18147" s="5" t="str">
        <f>IFERROR(__xludf.DUMMYFUNCTION("GOOGLETRANSLATE(B18147,""en"",""it"")"),"Quindi vediamo una pentola.")</f>
        <v>Quindi vediamo una pentola.</v>
      </c>
    </row>
    <row r="18148">
      <c r="A18148" s="4" t="s">
        <v>22839</v>
      </c>
      <c r="B18148" s="4" t="s">
        <v>22842</v>
      </c>
      <c r="C18148" s="5" t="str">
        <f>IFERROR(__xludf.DUMMYFUNCTION("GOOGLETRANSLATE(B18148,""en"",""it"")"),"Vediamo gli spaghetti in una scatola.")</f>
        <v>Vediamo gli spaghetti in una scatola.</v>
      </c>
    </row>
    <row r="18149">
      <c r="A18149" s="4" t="s">
        <v>22839</v>
      </c>
      <c r="B18149" s="4" t="s">
        <v>22843</v>
      </c>
      <c r="C18149" s="5" t="str">
        <f>IFERROR(__xludf.DUMMYFUNCTION("GOOGLETRANSLATE(B18149,""en"",""it"")"),"Vediamo sale in una tazza.")</f>
        <v>Vediamo sale in una tazza.</v>
      </c>
    </row>
    <row r="18150">
      <c r="A18150" s="4" t="s">
        <v>22839</v>
      </c>
      <c r="B18150" s="4" t="s">
        <v>22844</v>
      </c>
      <c r="C18150" s="5" t="str">
        <f>IFERROR(__xludf.DUMMYFUNCTION("GOOGLETRANSLATE(B18150,""en"",""it"")"),"L'acqua bolle nel bot.")</f>
        <v>L'acqua bolle nel bot.</v>
      </c>
    </row>
    <row r="18151">
      <c r="A18151" s="4" t="s">
        <v>22839</v>
      </c>
      <c r="B18151" s="4" t="s">
        <v>22845</v>
      </c>
      <c r="C18151" s="5" t="str">
        <f>IFERROR(__xludf.DUMMYFUNCTION("GOOGLETRANSLATE(B18151,""en"",""it"")"),"Aggiunge sale alla pentola.")</f>
        <v>Aggiunge sale alla pentola.</v>
      </c>
    </row>
    <row r="18152">
      <c r="A18152" s="4" t="s">
        <v>22839</v>
      </c>
      <c r="B18152" s="4" t="s">
        <v>22846</v>
      </c>
      <c r="C18152" s="5" t="str">
        <f>IFERROR(__xludf.DUMMYFUNCTION("GOOGLETRANSLATE(B18152,""en"",""it"")"),"Aggiunge la pasta all'acqua.")</f>
        <v>Aggiunge la pasta all'acqua.</v>
      </c>
    </row>
    <row r="18153">
      <c r="A18153" s="4" t="s">
        <v>22839</v>
      </c>
      <c r="B18153" s="4" t="s">
        <v>22847</v>
      </c>
      <c r="C18153" s="5" t="str">
        <f>IFERROR(__xludf.DUMMYFUNCTION("GOOGLETRANSLATE(B18153,""en"",""it"")"),"Vediamo da vicino la scatola di pasta.")</f>
        <v>Vediamo da vicino la scatola di pasta.</v>
      </c>
    </row>
    <row r="18154">
      <c r="A18154" s="4" t="s">
        <v>22839</v>
      </c>
      <c r="B18154" s="4" t="s">
        <v>22848</v>
      </c>
      <c r="C18154" s="5" t="str">
        <f>IFERROR(__xludf.DUMMYFUNCTION("GOOGLETRANSLATE(B18154,""en"",""it"")"),"Vediamo la signora impostare il timer.")</f>
        <v>Vediamo la signora impostare il timer.</v>
      </c>
    </row>
    <row r="18155">
      <c r="A18155" s="4" t="s">
        <v>22839</v>
      </c>
      <c r="B18155" s="4" t="s">
        <v>22849</v>
      </c>
      <c r="C18155" s="5" t="str">
        <f>IFERROR(__xludf.DUMMYFUNCTION("GOOGLETRANSLATE(B18155,""en"",""it"")"),"Toglie la pasta dal vaso.")</f>
        <v>Toglie la pasta dal vaso.</v>
      </c>
    </row>
    <row r="18156">
      <c r="A18156" s="4" t="s">
        <v>22839</v>
      </c>
      <c r="B18156" s="4" t="s">
        <v>22850</v>
      </c>
      <c r="C18156" s="5" t="str">
        <f>IFERROR(__xludf.DUMMYFUNCTION("GOOGLETRANSLATE(B18156,""en"",""it"")"),"Parla e saluta saluta la telecamera.")</f>
        <v>Parla e saluta saluta la telecamera.</v>
      </c>
    </row>
    <row r="18157">
      <c r="A18157" s="4" t="s">
        <v>22851</v>
      </c>
      <c r="B18157" s="6" t="s">
        <v>22852</v>
      </c>
      <c r="C18157" s="5" t="str">
        <f>IFERROR(__xludf.DUMMYFUNCTION("GOOGLETRANSLATE(B18157,""en"",""it"")"),"Un uomo e una donna sono visti in piedi nel mezzo di un pavimento con una donna che parla alla telecamera e portando a ballare con l'uomo.")</f>
        <v>Un uomo e una donna sono visti in piedi nel mezzo di un pavimento con una donna che parla alla telecamera e portando a ballare con l'uomo.</v>
      </c>
    </row>
    <row r="18158">
      <c r="A18158" s="4" t="s">
        <v>22851</v>
      </c>
      <c r="B18158" s="4" t="s">
        <v>22853</v>
      </c>
      <c r="C18158" s="5" t="str">
        <f>IFERROR(__xludf.DUMMYFUNCTION("GOOGLETRANSLATE(B18158,""en"",""it"")"),"I due girano e ballano l'uno intorno all'altro e finiscono allontanandosi l'uno dall'altro.")</f>
        <v>I due girano e ballano l'uno intorno all'altro e finiscono allontanandosi l'uno dall'altro.</v>
      </c>
    </row>
    <row r="18159">
      <c r="A18159" s="4" t="s">
        <v>22854</v>
      </c>
      <c r="B18159" s="4" t="s">
        <v>22855</v>
      </c>
      <c r="C18159" s="5" t="str">
        <f>IFERROR(__xludf.DUMMYFUNCTION("GOOGLETRANSLATE(B18159,""en"",""it"")"),"Viene visto un uomo parlare alla telecamera mentre si trova accanto a un'auto con un baule aperto.")</f>
        <v>Viene visto un uomo parlare alla telecamera mentre si trova accanto a un'auto con un baule aperto.</v>
      </c>
    </row>
    <row r="18160">
      <c r="A18160" s="4" t="s">
        <v>22854</v>
      </c>
      <c r="B18160" s="4" t="s">
        <v>22856</v>
      </c>
      <c r="C18160" s="5" t="str">
        <f>IFERROR(__xludf.DUMMYFUNCTION("GOOGLETRANSLATE(B18160,""en"",""it"")"),"L'uomo quindi svita una gomma e solleva la macchina con un jack.")</f>
        <v>L'uomo quindi svita una gomma e solleva la macchina con un jack.</v>
      </c>
    </row>
    <row r="18161">
      <c r="A18161" s="4" t="s">
        <v>22854</v>
      </c>
      <c r="B18161" s="4" t="s">
        <v>22857</v>
      </c>
      <c r="C18161" s="5" t="str">
        <f>IFERROR(__xludf.DUMMYFUNCTION("GOOGLETRANSLATE(B18161,""en"",""it"")"),"L'uomo toglie lo pneumatico e ne mette uno nuovo, terminando avvitandolo in posizione.")</f>
        <v>L'uomo toglie lo pneumatico e ne mette uno nuovo, terminando avvitandolo in posizione.</v>
      </c>
    </row>
    <row r="18162">
      <c r="A18162" s="4" t="s">
        <v>22854</v>
      </c>
      <c r="B18162" s="4" t="s">
        <v>22858</v>
      </c>
      <c r="C18162" s="5" t="str">
        <f>IFERROR(__xludf.DUMMYFUNCTION("GOOGLETRANSLATE(B18162,""en"",""it"")"),"Si toglie il jack e finisce parlando alla telecamera.")</f>
        <v>Si toglie il jack e finisce parlando alla telecamera.</v>
      </c>
    </row>
    <row r="18163">
      <c r="A18163" s="4" t="s">
        <v>22859</v>
      </c>
      <c r="B18163" s="4" t="s">
        <v>22860</v>
      </c>
      <c r="C18163" s="5" t="str">
        <f>IFERROR(__xludf.DUMMYFUNCTION("GOOGLETRANSLATE(B18163,""en"",""it"")"),"Una bicicletta è mostrata in una stanza buia.")</f>
        <v>Una bicicletta è mostrata in una stanza buia.</v>
      </c>
    </row>
    <row r="18164">
      <c r="A18164" s="4" t="s">
        <v>22859</v>
      </c>
      <c r="B18164" s="4" t="s">
        <v>22861</v>
      </c>
      <c r="C18164" s="5" t="str">
        <f>IFERROR(__xludf.DUMMYFUNCTION("GOOGLETRANSLATE(B18164,""en"",""it"")"),"L'uomo indossa abiti da motobike e sta cavalcando una moto in un campo.")</f>
        <v>L'uomo indossa abiti da motobike e sta cavalcando una moto in un campo.</v>
      </c>
    </row>
    <row r="18165">
      <c r="A18165" s="4" t="s">
        <v>22859</v>
      </c>
      <c r="B18165" s="4" t="s">
        <v>22862</v>
      </c>
      <c r="C18165" s="5" t="str">
        <f>IFERROR(__xludf.DUMMYFUNCTION("GOOGLETRANSLATE(B18165,""en"",""it"")"),"L'uomo sta facendo salti alti sul motocross per la moto in un campo polveroso.")</f>
        <v>L'uomo sta facendo salti alti sul motocross per la moto in un campo polveroso.</v>
      </c>
    </row>
    <row r="18166">
      <c r="A18166" s="4" t="s">
        <v>22863</v>
      </c>
      <c r="B18166" s="4" t="s">
        <v>22864</v>
      </c>
      <c r="C18166" s="5" t="str">
        <f>IFERROR(__xludf.DUMMYFUNCTION("GOOGLETRANSLATE(B18166,""en"",""it"")"),"Viene mostrato un folto gruppo di bandiere.")</f>
        <v>Viene mostrato un folto gruppo di bandiere.</v>
      </c>
    </row>
    <row r="18167">
      <c r="A18167" s="4" t="s">
        <v>22863</v>
      </c>
      <c r="B18167" s="4" t="s">
        <v>22865</v>
      </c>
      <c r="C18167" s="5" t="str">
        <f>IFERROR(__xludf.DUMMYFUNCTION("GOOGLETRANSLATE(B18167,""en"",""it"")"),"Diversi nuotatori stanno nuotando in piscina.")</f>
        <v>Diversi nuotatori stanno nuotando in piscina.</v>
      </c>
    </row>
    <row r="18168">
      <c r="A18168" s="4" t="s">
        <v>22863</v>
      </c>
      <c r="B18168" s="4" t="s">
        <v>22866</v>
      </c>
      <c r="C18168" s="5" t="str">
        <f>IFERROR(__xludf.DUMMYFUNCTION("GOOGLETRANSLATE(B18168,""en"",""it"")"),"Nuotano in modo competitivo, mostrato da sotto.")</f>
        <v>Nuotano in modo competitivo, mostrato da sotto.</v>
      </c>
    </row>
    <row r="18169">
      <c r="A18169" s="4" t="s">
        <v>22867</v>
      </c>
      <c r="B18169" s="4" t="s">
        <v>22868</v>
      </c>
      <c r="C18169" s="5" t="str">
        <f>IFERROR(__xludf.DUMMYFUNCTION("GOOGLETRANSLATE(B18169,""en"",""it"")"),"Un uomo viene mostrato rastrellando rapidamente le foglie nel suo cortile.")</f>
        <v>Un uomo viene mostrato rastrellando rapidamente le foglie nel suo cortile.</v>
      </c>
    </row>
    <row r="18170">
      <c r="A18170" s="4" t="s">
        <v>22867</v>
      </c>
      <c r="B18170" s="4" t="s">
        <v>22869</v>
      </c>
      <c r="C18170" s="5" t="str">
        <f>IFERROR(__xludf.DUMMYFUNCTION("GOOGLETRANSLATE(B18170,""en"",""it"")"),"Passano diverse auto mentre continua a rastrellare.")</f>
        <v>Passano diverse auto mentre continua a rastrellare.</v>
      </c>
    </row>
    <row r="18171">
      <c r="A18171" s="4" t="s">
        <v>22867</v>
      </c>
      <c r="B18171" s="4" t="s">
        <v>22870</v>
      </c>
      <c r="C18171" s="5" t="str">
        <f>IFERROR(__xludf.DUMMYFUNCTION("GOOGLETRANSLATE(B18171,""en"",""it"")"),"Riguarda i cespugli e gli alberi nel suo cortile.")</f>
        <v>Riguarda i cespugli e gli alberi nel suo cortile.</v>
      </c>
    </row>
    <row r="18172">
      <c r="A18172" s="4" t="s">
        <v>22867</v>
      </c>
      <c r="B18172" s="4" t="s">
        <v>22871</v>
      </c>
      <c r="C18172" s="5" t="str">
        <f>IFERROR(__xludf.DUMMYFUNCTION("GOOGLETRANSLATE(B18172,""en"",""it"")"),"Appare una donna e lo aiuta a rastrellare e incastrare le foglie.")</f>
        <v>Appare una donna e lo aiuta a rastrellare e incastrare le foglie.</v>
      </c>
    </row>
    <row r="18173">
      <c r="A18173" s="4" t="s">
        <v>22867</v>
      </c>
      <c r="B18173" s="4" t="s">
        <v>22872</v>
      </c>
      <c r="C18173" s="5" t="str">
        <f>IFERROR(__xludf.DUMMYFUNCTION("GOOGLETRANSLATE(B18173,""en"",""it"")"),"Portano via le borse quando hanno finito.")</f>
        <v>Portano via le borse quando hanno finito.</v>
      </c>
    </row>
    <row r="18174">
      <c r="A18174" s="4" t="s">
        <v>22867</v>
      </c>
      <c r="B18174" s="4" t="s">
        <v>22873</v>
      </c>
      <c r="C18174" s="5" t="str">
        <f>IFERROR(__xludf.DUMMYFUNCTION("GOOGLETRANSLATE(B18174,""en"",""it"")"),"Si trovano di fronte alla fotocamera e posano con il rastrello.")</f>
        <v>Si trovano di fronte alla fotocamera e posano con il rastrello.</v>
      </c>
    </row>
    <row r="18175">
      <c r="A18175" s="4" t="s">
        <v>22874</v>
      </c>
      <c r="B18175" s="4" t="s">
        <v>22875</v>
      </c>
      <c r="C18175" s="5" t="str">
        <f>IFERROR(__xludf.DUMMYFUNCTION("GOOGLETRANSLATE(B18175,""en"",""it"")"),"Una persona sta camminando in un cortile mentre la registra con una fotocamera.")</f>
        <v>Una persona sta camminando in un cortile mentre la registra con una fotocamera.</v>
      </c>
    </row>
    <row r="18176">
      <c r="A18176" s="4" t="s">
        <v>22874</v>
      </c>
      <c r="B18176" s="4" t="s">
        <v>22876</v>
      </c>
      <c r="C18176" s="5" t="str">
        <f>IFERROR(__xludf.DUMMYFUNCTION("GOOGLETRANSLATE(B18176,""en"",""it"")"),"La persona ottiene un vassoio di vernice bianca e dipinge una recinzione.")</f>
        <v>La persona ottiene un vassoio di vernice bianca e dipinge una recinzione.</v>
      </c>
    </row>
    <row r="18177">
      <c r="A18177" s="4" t="s">
        <v>22877</v>
      </c>
      <c r="B18177" s="4" t="s">
        <v>22878</v>
      </c>
      <c r="C18177" s="5" t="str">
        <f>IFERROR(__xludf.DUMMYFUNCTION("GOOGLETRANSLATE(B18177,""en"",""it"")"),"Un uomo parla alla telecamera da una cucina.")</f>
        <v>Un uomo parla alla telecamera da una cucina.</v>
      </c>
    </row>
    <row r="18178">
      <c r="A18178" s="4" t="s">
        <v>22877</v>
      </c>
      <c r="B18178" s="4" t="s">
        <v>22879</v>
      </c>
      <c r="C18178" s="5" t="str">
        <f>IFERROR(__xludf.DUMMYFUNCTION("GOOGLETRANSLATE(B18178,""en"",""it"")"),"L'uomo dimostra l'affilatura di un coltello con diversi strumenti di affinamento.")</f>
        <v>L'uomo dimostra l'affilatura di un coltello con diversi strumenti di affinamento.</v>
      </c>
    </row>
    <row r="18179">
      <c r="A18179" s="4" t="s">
        <v>22877</v>
      </c>
      <c r="B18179" s="4" t="s">
        <v>22880</v>
      </c>
      <c r="C18179" s="5" t="str">
        <f>IFERROR(__xludf.DUMMYFUNCTION("GOOGLETRANSLATE(B18179,""en"",""it"")"),"L'uomo parla di nuovo con la telecamera.")</f>
        <v>L'uomo parla di nuovo con la telecamera.</v>
      </c>
    </row>
    <row r="18180">
      <c r="A18180" s="4" t="s">
        <v>22877</v>
      </c>
      <c r="B18180" s="4" t="s">
        <v>22881</v>
      </c>
      <c r="C18180" s="5" t="str">
        <f>IFERROR(__xludf.DUMMYFUNCTION("GOOGLETRANSLATE(B18180,""en"",""it"")"),"L'uomo si affila e poi solleva un coltello.")</f>
        <v>L'uomo si affila e poi solleva un coltello.</v>
      </c>
    </row>
    <row r="18181">
      <c r="A18181" s="4" t="s">
        <v>22877</v>
      </c>
      <c r="B18181" s="4" t="s">
        <v>22882</v>
      </c>
      <c r="C18181" s="5" t="str">
        <f>IFERROR(__xludf.DUMMYFUNCTION("GOOGLETRANSLATE(B18181,""en"",""it"")"),"Vengono visualizzati diversi tipi di opzioni di archiviazione dei coltelli.")</f>
        <v>Vengono visualizzati diversi tipi di opzioni di archiviazione dei coltelli.</v>
      </c>
    </row>
    <row r="18182">
      <c r="A18182" s="4" t="s">
        <v>22877</v>
      </c>
      <c r="B18182" s="4" t="s">
        <v>22883</v>
      </c>
      <c r="C18182" s="5" t="str">
        <f>IFERROR(__xludf.DUMMYFUNCTION("GOOGLETRANSLATE(B18182,""en"",""it"")"),"L'uomo parla ancora una volta con la telecamera.")</f>
        <v>L'uomo parla ancora una volta con la telecamera.</v>
      </c>
    </row>
    <row r="18183">
      <c r="A18183" s="4" t="s">
        <v>22884</v>
      </c>
      <c r="B18183" s="4" t="s">
        <v>22885</v>
      </c>
      <c r="C18183" s="5" t="str">
        <f>IFERROR(__xludf.DUMMYFUNCTION("GOOGLETRANSLATE(B18183,""en"",""it"")"),"Vediamo uno schermo di apertura con un cane.")</f>
        <v>Vediamo uno schermo di apertura con un cane.</v>
      </c>
    </row>
    <row r="18184">
      <c r="A18184" s="4" t="s">
        <v>22884</v>
      </c>
      <c r="B18184" s="4" t="s">
        <v>22886</v>
      </c>
      <c r="C18184" s="5" t="str">
        <f>IFERROR(__xludf.DUMMYFUNCTION("GOOGLETRANSLATE(B18184,""en"",""it"")"),"Vediamo una signora con una camicia da infermiera che parla e due cani in cucina.")</f>
        <v>Vediamo una signora con una camicia da infermiera che parla e due cani in cucina.</v>
      </c>
    </row>
    <row r="18185">
      <c r="A18185" s="4" t="s">
        <v>22884</v>
      </c>
      <c r="B18185" s="4" t="s">
        <v>22887</v>
      </c>
      <c r="C18185" s="5" t="str">
        <f>IFERROR(__xludf.DUMMYFUNCTION("GOOGLETRANSLATE(B18185,""en"",""it"")"),"La signora ha un piccolo cane bagnato che sta aspirando sul tavolo e sta spazzolando il cane.")</f>
        <v>La signora ha un piccolo cane bagnato che sta aspirando sul tavolo e sta spazzolando il cane.</v>
      </c>
    </row>
    <row r="18186">
      <c r="A18186" s="4" t="s">
        <v>22884</v>
      </c>
      <c r="B18186" s="4" t="s">
        <v>22888</v>
      </c>
      <c r="C18186" s="5" t="str">
        <f>IFERROR(__xludf.DUMMYFUNCTION("GOOGLETRANSLATE(B18186,""en"",""it"")"),"Vediamo i cani correre sul pavimento della cucina.")</f>
        <v>Vediamo i cani correre sul pavimento della cucina.</v>
      </c>
    </row>
    <row r="18187">
      <c r="A18187" s="4" t="s">
        <v>22884</v>
      </c>
      <c r="B18187" s="4" t="s">
        <v>22889</v>
      </c>
      <c r="C18187" s="5" t="str">
        <f>IFERROR(__xludf.DUMMYFUNCTION("GOOGLETRANSLATE(B18187,""en"",""it"")"),"Vediamo la signora radere un cani pelliccia e spazzolare il cane.")</f>
        <v>Vediamo la signora radere un cani pelliccia e spazzolare il cane.</v>
      </c>
    </row>
    <row r="18188">
      <c r="A18188" s="4" t="s">
        <v>22884</v>
      </c>
      <c r="B18188" s="4" t="s">
        <v>22890</v>
      </c>
      <c r="C18188" s="5" t="str">
        <f>IFERROR(__xludf.DUMMYFUNCTION("GOOGLETRANSLATE(B18188,""en"",""it"")"),"Quindi vediamo di nuovo i cani sul pavimento.")</f>
        <v>Quindi vediamo di nuovo i cani sul pavimento.</v>
      </c>
    </row>
    <row r="18189">
      <c r="A18189" s="4" t="s">
        <v>22884</v>
      </c>
      <c r="B18189" s="4" t="s">
        <v>22891</v>
      </c>
      <c r="C18189" s="5" t="str">
        <f>IFERROR(__xludf.DUMMYFUNCTION("GOOGLETRANSLATE(B18189,""en"",""it"")"),"Vediamo la signora e le sue informazioni di contatto sul suo viso.")</f>
        <v>Vediamo la signora e le sue informazioni di contatto sul suo viso.</v>
      </c>
    </row>
    <row r="18190">
      <c r="A18190" s="4" t="s">
        <v>22892</v>
      </c>
      <c r="B18190" s="4" t="s">
        <v>22893</v>
      </c>
      <c r="C18190" s="5" t="str">
        <f>IFERROR(__xludf.DUMMYFUNCTION("GOOGLETRANSLATE(B18190,""en"",""it"")"),"Un annuncio per il calcio appare sullo schermo.")</f>
        <v>Un annuncio per il calcio appare sullo schermo.</v>
      </c>
    </row>
    <row r="18191">
      <c r="A18191" s="4" t="s">
        <v>22892</v>
      </c>
      <c r="B18191" s="4" t="s">
        <v>22894</v>
      </c>
      <c r="C18191" s="5" t="str">
        <f>IFERROR(__xludf.DUMMYFUNCTION("GOOGLETRANSLATE(B18191,""en"",""it"")"),"Diversi uomini stanno giocando a calcio in casa.")</f>
        <v>Diversi uomini stanno giocando a calcio in casa.</v>
      </c>
    </row>
    <row r="18192">
      <c r="A18192" s="4" t="s">
        <v>22892</v>
      </c>
      <c r="B18192" s="4" t="s">
        <v>22895</v>
      </c>
      <c r="C18192" s="5" t="str">
        <f>IFERROR(__xludf.DUMMYFUNCTION("GOOGLETRANSLATE(B18192,""en"",""it"")"),"Calciano la palla avanti e indietro mentre alcune persone guardano a margine.")</f>
        <v>Calciano la palla avanti e indietro mentre alcune persone guardano a margine.</v>
      </c>
    </row>
    <row r="18193">
      <c r="A18193" s="4" t="s">
        <v>22896</v>
      </c>
      <c r="B18193" s="4" t="s">
        <v>22897</v>
      </c>
      <c r="C18193" s="5" t="str">
        <f>IFERROR(__xludf.DUMMYFUNCTION("GOOGLETRANSLATE(B18193,""en"",""it"")"),"Un giocatore di baseball colpisce una corsa su un campo sportivo e corre le basi facendo una corsa in casa.")</f>
        <v>Un giocatore di baseball colpisce una corsa su un campo sportivo e corre le basi facendo una corsa in casa.</v>
      </c>
    </row>
    <row r="18194">
      <c r="A18194" s="4" t="s">
        <v>22896</v>
      </c>
      <c r="B18194" s="4" t="s">
        <v>22898</v>
      </c>
      <c r="C18194" s="5" t="str">
        <f>IFERROR(__xludf.DUMMYFUNCTION("GOOGLETRANSLATE(B18194,""en"",""it"")"),"I giocatori calciano una palla e corrono le basi su un campo da baseball.")</f>
        <v>I giocatori calciano una palla e corrono le basi su un campo da baseball.</v>
      </c>
    </row>
    <row r="18195">
      <c r="A18195" s="4" t="s">
        <v>22896</v>
      </c>
      <c r="B18195" s="4" t="s">
        <v>22899</v>
      </c>
      <c r="C18195" s="5" t="str">
        <f>IFERROR(__xludf.DUMMYFUNCTION("GOOGLETRANSLATE(B18195,""en"",""it"")"),"Il catcher si diverte mentre balla.")</f>
        <v>Il catcher si diverte mentre balla.</v>
      </c>
    </row>
    <row r="18196">
      <c r="A18196" s="4" t="s">
        <v>22896</v>
      </c>
      <c r="B18196" s="4" t="s">
        <v>22900</v>
      </c>
      <c r="C18196" s="5" t="str">
        <f>IFERROR(__xludf.DUMMYFUNCTION("GOOGLETRANSLATE(B18196,""en"",""it"")"),"Un calcio viene catturato a mezz'aria dal base e il giocatore è fuori.")</f>
        <v>Un calcio viene catturato a mezz'aria dal base e il giocatore è fuori.</v>
      </c>
    </row>
    <row r="18197">
      <c r="A18197" s="4" t="s">
        <v>22901</v>
      </c>
      <c r="B18197" s="4" t="s">
        <v>22902</v>
      </c>
      <c r="C18197" s="5" t="str">
        <f>IFERROR(__xludf.DUMMYFUNCTION("GOOGLETRANSLATE(B18197,""en"",""it"")"),"Una persona sta cavalcando un tosaerba con un ombrello attraverso la pioggia.")</f>
        <v>Una persona sta cavalcando un tosaerba con un ombrello attraverso la pioggia.</v>
      </c>
    </row>
    <row r="18198">
      <c r="A18198" s="4" t="s">
        <v>22901</v>
      </c>
      <c r="B18198" s="4" t="s">
        <v>22903</v>
      </c>
      <c r="C18198" s="5" t="str">
        <f>IFERROR(__xludf.DUMMYFUNCTION("GOOGLETRANSLATE(B18198,""en"",""it"")"),"Una berlina di colore chiaro passa sulla strada.")</f>
        <v>Una berlina di colore chiaro passa sulla strada.</v>
      </c>
    </row>
    <row r="18199">
      <c r="A18199" s="4" t="s">
        <v>22901</v>
      </c>
      <c r="B18199" s="4" t="s">
        <v>22904</v>
      </c>
      <c r="C18199" s="5" t="str">
        <f>IFERROR(__xludf.DUMMYFUNCTION("GOOGLETRANSLATE(B18199,""en"",""it"")"),"La persona sul tosaerba guida fino alla carreggiata.")</f>
        <v>La persona sul tosaerba guida fino alla carreggiata.</v>
      </c>
    </row>
    <row r="18200">
      <c r="A18200" s="4" t="s">
        <v>22905</v>
      </c>
      <c r="B18200" s="4" t="s">
        <v>22906</v>
      </c>
      <c r="C18200" s="5" t="str">
        <f>IFERROR(__xludf.DUMMYFUNCTION("GOOGLETRANSLATE(B18200,""en"",""it"")"),"Un bambino piccolo è visto seduto in un'altalena.")</f>
        <v>Un bambino piccolo è visto seduto in un'altalena.</v>
      </c>
    </row>
    <row r="18201">
      <c r="A18201" s="4" t="s">
        <v>22905</v>
      </c>
      <c r="B18201" s="4" t="s">
        <v>22907</v>
      </c>
      <c r="C18201" s="5" t="str">
        <f>IFERROR(__xludf.DUMMYFUNCTION("GOOGLETRANSLATE(B18201,""en"",""it"")"),"Il bambino si sposta indietro e quarto sull'altalena mentre ride.")</f>
        <v>Il bambino si sposta indietro e quarto sull'altalena mentre ride.</v>
      </c>
    </row>
    <row r="18202">
      <c r="A18202" s="4" t="s">
        <v>22905</v>
      </c>
      <c r="B18202" s="4" t="s">
        <v>22908</v>
      </c>
      <c r="C18202" s="5" t="str">
        <f>IFERROR(__xludf.DUMMYFUNCTION("GOOGLETRANSLATE(B18202,""en"",""it"")"),"La mano di una persona viene vista spingere il bambino mentre si sposta indietro e quarta.")</f>
        <v>La mano di una persona viene vista spingere il bambino mentre si sposta indietro e quarta.</v>
      </c>
    </row>
    <row r="18203">
      <c r="A18203" s="4" t="s">
        <v>22909</v>
      </c>
      <c r="B18203" s="4" t="s">
        <v>22910</v>
      </c>
      <c r="C18203" s="5" t="str">
        <f>IFERROR(__xludf.DUMMYFUNCTION("GOOGLETRANSLATE(B18203,""en"",""it"")"),"Una signora si sta asciugando il viso.")</f>
        <v>Una signora si sta asciugando il viso.</v>
      </c>
    </row>
    <row r="18204">
      <c r="A18204" s="4" t="s">
        <v>22909</v>
      </c>
      <c r="B18204" s="4" t="s">
        <v>22911</v>
      </c>
      <c r="C18204" s="5" t="str">
        <f>IFERROR(__xludf.DUMMYFUNCTION("GOOGLETRANSLATE(B18204,""en"",""it"")"),"Una bambina si sta facendo trucco sul viso.")</f>
        <v>Una bambina si sta facendo trucco sul viso.</v>
      </c>
    </row>
    <row r="18205">
      <c r="A18205" s="4" t="s">
        <v>22909</v>
      </c>
      <c r="B18205" s="4" t="s">
        <v>22912</v>
      </c>
      <c r="C18205" s="5" t="str">
        <f>IFERROR(__xludf.DUMMYFUNCTION("GOOGLETRANSLATE(B18205,""en"",""it"")"),"La madre fa il trucco delle ragazze.")</f>
        <v>La madre fa il trucco delle ragazze.</v>
      </c>
    </row>
    <row r="18206">
      <c r="A18206" s="4" t="s">
        <v>22909</v>
      </c>
      <c r="B18206" s="4" t="s">
        <v>22913</v>
      </c>
      <c r="C18206" s="5" t="str">
        <f>IFERROR(__xludf.DUMMYFUNCTION("GOOGLETRANSLATE(B18206,""en"",""it"")"),"Le ragazze ammirano il suo riflesso.")</f>
        <v>Le ragazze ammirano il suo riflesso.</v>
      </c>
    </row>
    <row r="18207">
      <c r="A18207" s="4" t="s">
        <v>22909</v>
      </c>
      <c r="B18207" s="4" t="s">
        <v>22914</v>
      </c>
      <c r="C18207" s="5" t="str">
        <f>IFERROR(__xludf.DUMMYFUNCTION("GOOGLETRANSLATE(B18207,""en"",""it"")"),"La ragazza afferra lo spazzolino da denti.")</f>
        <v>La ragazza afferra lo spazzolino da denti.</v>
      </c>
    </row>
    <row r="18208">
      <c r="A18208" s="4" t="s">
        <v>22915</v>
      </c>
      <c r="B18208" s="4" t="s">
        <v>22916</v>
      </c>
      <c r="C18208" s="5" t="str">
        <f>IFERROR(__xludf.DUMMYFUNCTION("GOOGLETRANSLATE(B18208,""en"",""it"")"),"Un uomo che indossa occhiali da sci regola la fotocamera.")</f>
        <v>Un uomo che indossa occhiali da sci regola la fotocamera.</v>
      </c>
    </row>
    <row r="18209">
      <c r="A18209" s="4" t="s">
        <v>22915</v>
      </c>
      <c r="B18209" s="4" t="s">
        <v>22917</v>
      </c>
      <c r="C18209" s="5" t="str">
        <f>IFERROR(__xludf.DUMMYFUNCTION("GOOGLETRANSLATE(B18209,""en"",""it"")"),"Diverse persone vengono viste sciare su un pendio ripido.")</f>
        <v>Diverse persone vengono viste sciare su un pendio ripido.</v>
      </c>
    </row>
    <row r="18210">
      <c r="A18210" s="4" t="s">
        <v>22915</v>
      </c>
      <c r="B18210" s="4" t="s">
        <v>22918</v>
      </c>
      <c r="C18210" s="5" t="str">
        <f>IFERROR(__xludf.DUMMYFUNCTION("GOOGLETRANSLATE(B18210,""en"",""it"")"),"Continuano a sciare sempre più velocemente mentre vanno in discesa.")</f>
        <v>Continuano a sciare sempre più velocemente mentre vanno in discesa.</v>
      </c>
    </row>
    <row r="18211">
      <c r="A18211" s="4" t="s">
        <v>22919</v>
      </c>
      <c r="B18211" s="6" t="s">
        <v>22920</v>
      </c>
      <c r="C18211" s="5" t="str">
        <f>IFERROR(__xludf.DUMMYFUNCTION("GOOGLETRANSLATE(B18211,""en"",""it"")"),"La donna è posizionata per decollare in pista e l'uomo si allontana per far andare.")</f>
        <v>La donna è posizionata per decollare in pista e l'uomo si allontana per far andare.</v>
      </c>
    </row>
    <row r="18212">
      <c r="A18212" s="4" t="s">
        <v>22919</v>
      </c>
      <c r="B18212" s="6" t="s">
        <v>22921</v>
      </c>
      <c r="C18212" s="5" t="str">
        <f>IFERROR(__xludf.DUMMYFUNCTION("GOOGLETRANSLATE(B18212,""en"",""it"")"),"Quindi accelera e fa il triplo salto nella sabbia facendo tutto fino alla fine del sovrano da 16 pollici.")</f>
        <v>Quindi accelera e fa il triplo salto nella sabbia facendo tutto fino alla fine del sovrano da 16 pollici.</v>
      </c>
    </row>
    <row r="18213">
      <c r="A18213" s="4" t="s">
        <v>22919</v>
      </c>
      <c r="B18213" s="4" t="s">
        <v>22922</v>
      </c>
      <c r="C18213" s="5" t="str">
        <f>IFERROR(__xludf.DUMMYFUNCTION("GOOGLETRANSLATE(B18213,""en"",""it"")"),"Successivamente viene mostrata in piedi dalla pista sorridendo con le braccia sollevate in aria piena di gioia.")</f>
        <v>Successivamente viene mostrata in piedi dalla pista sorridendo con le braccia sollevate in aria piena di gioia.</v>
      </c>
    </row>
    <row r="18214">
      <c r="A18214" s="4" t="s">
        <v>22923</v>
      </c>
      <c r="B18214" s="4" t="s">
        <v>22924</v>
      </c>
      <c r="C18214" s="5" t="str">
        <f>IFERROR(__xludf.DUMMYFUNCTION("GOOGLETRANSLATE(B18214,""en"",""it"")"),"Le persone sciano alle porte tra loro.")</f>
        <v>Le persone sciano alle porte tra loro.</v>
      </c>
    </row>
    <row r="18215">
      <c r="A18215" s="4" t="s">
        <v>22923</v>
      </c>
      <c r="B18215" s="4" t="s">
        <v>22925</v>
      </c>
      <c r="C18215" s="5" t="str">
        <f>IFERROR(__xludf.DUMMYFUNCTION("GOOGLETRANSLATE(B18215,""en"",""it"")"),"Un pulsante viene premuto su una macchina.")</f>
        <v>Un pulsante viene premuto su una macchina.</v>
      </c>
    </row>
    <row r="18216">
      <c r="A18216" s="4" t="s">
        <v>22923</v>
      </c>
      <c r="B18216" s="4" t="s">
        <v>22926</v>
      </c>
      <c r="C18216" s="5" t="str">
        <f>IFERROR(__xludf.DUMMYFUNCTION("GOOGLETRANSLATE(B18216,""en"",""it"")"),"Le persone camminano in una cabina.")</f>
        <v>Le persone camminano in una cabina.</v>
      </c>
    </row>
    <row r="18217">
      <c r="A18217" s="4" t="s">
        <v>22923</v>
      </c>
      <c r="B18217" s="4" t="s">
        <v>22927</v>
      </c>
      <c r="C18217" s="5" t="str">
        <f>IFERROR(__xludf.DUMMYFUNCTION("GOOGLETRANSLATE(B18217,""en"",""it"")"),"Una persona sta provando gli sci.")</f>
        <v>Una persona sta provando gli sci.</v>
      </c>
    </row>
    <row r="18218">
      <c r="A18218" s="4" t="s">
        <v>22923</v>
      </c>
      <c r="B18218" s="4" t="s">
        <v>22928</v>
      </c>
      <c r="C18218" s="5" t="str">
        <f>IFERROR(__xludf.DUMMYFUNCTION("GOOGLETRANSLATE(B18218,""en"",""it"")"),"Altre persone si esercitano a sciare su una cintura motore.")</f>
        <v>Altre persone si esercitano a sciare su una cintura motore.</v>
      </c>
    </row>
    <row r="18219">
      <c r="A18219" s="4" t="s">
        <v>22929</v>
      </c>
      <c r="B18219" s="4" t="s">
        <v>22930</v>
      </c>
      <c r="C18219" s="5" t="str">
        <f>IFERROR(__xludf.DUMMYFUNCTION("GOOGLETRANSLATE(B18219,""en"",""it"")"),"Gli uomini si trovano su una piattaforma in acciaio in alto nella zona e un istruttore parla.")</f>
        <v>Gli uomini si trovano su una piattaforma in acciaio in alto nella zona e un istruttore parla.</v>
      </c>
    </row>
    <row r="18220">
      <c r="A18220" s="4" t="s">
        <v>22929</v>
      </c>
      <c r="B18220" s="4" t="s">
        <v>22931</v>
      </c>
      <c r="C18220" s="5" t="str">
        <f>IFERROR(__xludf.DUMMYFUNCTION("GOOGLETRANSLATE(B18220,""en"",""it"")"),"Un uomo è seduto sul bordo della piattaforma e si tiene su grandi corde.")</f>
        <v>Un uomo è seduto sul bordo della piattaforma e si tiene su grandi corde.</v>
      </c>
    </row>
    <row r="18221">
      <c r="A18221" s="4" t="s">
        <v>22929</v>
      </c>
      <c r="B18221" s="6" t="s">
        <v>22932</v>
      </c>
      <c r="C18221" s="5" t="str">
        <f>IFERROR(__xludf.DUMMYFUNCTION("GOOGLETRANSLATE(B18221,""en"",""it"")"),"Un patrono corre e salta dalla piattaforma indossando un cordone di budgie e lo rimbalza mentre raggiunge il fondo.")</f>
        <v>Un patrono corre e salta dalla piattaforma indossando un cordone di budgie e lo rimbalza mentre raggiunge il fondo.</v>
      </c>
    </row>
    <row r="18222">
      <c r="A18222" s="4" t="s">
        <v>22933</v>
      </c>
      <c r="B18222" s="4" t="s">
        <v>22934</v>
      </c>
      <c r="C18222" s="5" t="str">
        <f>IFERROR(__xludf.DUMMYFUNCTION("GOOGLETRANSLATE(B18222,""en"",""it"")"),"Vediamo una barca che tira fuori dal molo.")</f>
        <v>Vediamo una barca che tira fuori dal molo.</v>
      </c>
    </row>
    <row r="18223">
      <c r="A18223" s="4" t="s">
        <v>22933</v>
      </c>
      <c r="B18223" s="4" t="s">
        <v>22935</v>
      </c>
      <c r="C18223" s="5" t="str">
        <f>IFERROR(__xludf.DUMMYFUNCTION("GOOGLETRANSLATE(B18223,""en"",""it"")"),"Vediamo la barca guidare come un jet ski dietro di essa.")</f>
        <v>Vediamo la barca guidare come un jet ski dietro di essa.</v>
      </c>
    </row>
    <row r="18224">
      <c r="A18224" s="4" t="s">
        <v>22933</v>
      </c>
      <c r="B18224" s="4" t="s">
        <v>22936</v>
      </c>
      <c r="C18224" s="5" t="str">
        <f>IFERROR(__xludf.DUMMYFUNCTION("GOOGLETRANSLATE(B18224,""en"",""it"")"),"Vediamo lo sciatore senza la barca.")</f>
        <v>Vediamo lo sciatore senza la barca.</v>
      </c>
    </row>
    <row r="18225">
      <c r="A18225" s="4" t="s">
        <v>22933</v>
      </c>
      <c r="B18225" s="4" t="s">
        <v>22937</v>
      </c>
      <c r="C18225" s="5" t="str">
        <f>IFERROR(__xludf.DUMMYFUNCTION("GOOGLETRANSLATE(B18225,""en"",""it"")"),"Vediamo di nuovo la barca dall'alto.")</f>
        <v>Vediamo di nuovo la barca dall'alto.</v>
      </c>
    </row>
    <row r="18226">
      <c r="A18226" s="4" t="s">
        <v>22933</v>
      </c>
      <c r="B18226" s="4" t="s">
        <v>22938</v>
      </c>
      <c r="C18226" s="5" t="str">
        <f>IFERROR(__xludf.DUMMYFUNCTION("GOOGLETRANSLATE(B18226,""en"",""it"")"),"Lo sciatore cade nell'acqua.")</f>
        <v>Lo sciatore cade nell'acqua.</v>
      </c>
    </row>
    <row r="18227">
      <c r="A18227" s="4" t="s">
        <v>22933</v>
      </c>
      <c r="B18227" s="4" t="s">
        <v>22939</v>
      </c>
      <c r="C18227" s="5" t="str">
        <f>IFERROR(__xludf.DUMMYFUNCTION("GOOGLETRANSLATE(B18227,""en"",""it"")"),"Vediamo lo sci sciano ed eseguiamo 4 lanci.")</f>
        <v>Vediamo lo sci sciano ed eseguiamo 4 lanci.</v>
      </c>
    </row>
    <row r="18228">
      <c r="A18228" s="4" t="s">
        <v>22933</v>
      </c>
      <c r="B18228" s="4" t="s">
        <v>22940</v>
      </c>
      <c r="C18228" s="5" t="str">
        <f>IFERROR(__xludf.DUMMYFUNCTION("GOOGLETRANSLATE(B18228,""en"",""it"")"),"Vediamo lo sci scie.")</f>
        <v>Vediamo lo sci scie.</v>
      </c>
    </row>
    <row r="18229">
      <c r="A18229" s="4" t="s">
        <v>22933</v>
      </c>
      <c r="B18229" s="4" t="s">
        <v>22941</v>
      </c>
      <c r="C18229" s="5" t="str">
        <f>IFERROR(__xludf.DUMMYFUNCTION("GOOGLETRANSLATE(B18229,""en"",""it"")"),"Vediamo lo sciatore nuotare verso la barca.")</f>
        <v>Vediamo lo sciatore nuotare verso la barca.</v>
      </c>
    </row>
    <row r="18230">
      <c r="A18230" s="4" t="s">
        <v>22933</v>
      </c>
      <c r="B18230" s="4" t="s">
        <v>22942</v>
      </c>
      <c r="C18230" s="5" t="str">
        <f>IFERROR(__xludf.DUMMYFUNCTION("GOOGLETRANSLATE(B18230,""en"",""it"")"),"Una persona nella barca alza le mani in aria.")</f>
        <v>Una persona nella barca alza le mani in aria.</v>
      </c>
    </row>
    <row r="18231">
      <c r="A18231" s="4" t="s">
        <v>22943</v>
      </c>
      <c r="B18231" s="4" t="s">
        <v>22944</v>
      </c>
      <c r="C18231" s="5" t="str">
        <f>IFERROR(__xludf.DUMMYFUNCTION("GOOGLETRANSLATE(B18231,""en"",""it"")"),"The Man in Black Shirt suona la chitarra in studio.")</f>
        <v>The Man in Black Shirt suona la chitarra in studio.</v>
      </c>
    </row>
    <row r="18232">
      <c r="A18232" s="4" t="s">
        <v>22943</v>
      </c>
      <c r="B18232" s="4" t="s">
        <v>22945</v>
      </c>
      <c r="C18232" s="5" t="str">
        <f>IFERROR(__xludf.DUMMYFUNCTION("GOOGLETRANSLATE(B18232,""en"",""it"")"),"L'uomo sta strimpellando la chitarra.")</f>
        <v>L'uomo sta strimpellando la chitarra.</v>
      </c>
    </row>
    <row r="18233">
      <c r="A18233" s="4" t="s">
        <v>22943</v>
      </c>
      <c r="B18233" s="4" t="s">
        <v>22946</v>
      </c>
      <c r="C18233" s="5" t="str">
        <f>IFERROR(__xludf.DUMMYFUNCTION("GOOGLETRANSLATE(B18233,""en"",""it"")"),"L'uomo sta premendo il filo sui tasti della chitarra mentre stringe la chitarra.")</f>
        <v>L'uomo sta premendo il filo sui tasti della chitarra mentre stringe la chitarra.</v>
      </c>
    </row>
    <row r="18234">
      <c r="A18234" s="4" t="s">
        <v>22947</v>
      </c>
      <c r="B18234" s="4" t="s">
        <v>22948</v>
      </c>
      <c r="C18234" s="5" t="str">
        <f>IFERROR(__xludf.DUMMYFUNCTION("GOOGLETRANSLATE(B18234,""en"",""it"")"),"Una persona cucina su una pentola in legno, quindi una persona raft in un fiume.")</f>
        <v>Una persona cucina su una pentola in legno, quindi una persona raft in un fiume.</v>
      </c>
    </row>
    <row r="18235">
      <c r="A18235" s="4" t="s">
        <v>22947</v>
      </c>
      <c r="B18235" s="4" t="s">
        <v>22949</v>
      </c>
      <c r="C18235" s="5" t="str">
        <f>IFERROR(__xludf.DUMMYFUNCTION("GOOGLETRANSLATE(B18235,""en"",""it"")"),"I giovani hanno disimballato un'auto e poi portano barche nella giungla e passano un ponte di corda.")</f>
        <v>I giovani hanno disimballato un'auto e poi portano barche nella giungla e passano un ponte di corda.</v>
      </c>
    </row>
    <row r="18236">
      <c r="A18236" s="4" t="s">
        <v>22947</v>
      </c>
      <c r="B18236" s="4" t="s">
        <v>22950</v>
      </c>
      <c r="C18236" s="5" t="str">
        <f>IFERROR(__xludf.DUMMYFUNCTION("GOOGLETRANSLATE(B18236,""en"",""it"")"),"Raft Young Men in uno stretto fiume mosso su singoli barche.")</f>
        <v>Raft Young Men in uno stretto fiume mosso su singoli barche.</v>
      </c>
    </row>
    <row r="18237">
      <c r="A18237" s="4" t="s">
        <v>22947</v>
      </c>
      <c r="B18237" s="4" t="s">
        <v>22951</v>
      </c>
      <c r="C18237" s="5" t="str">
        <f>IFERROR(__xludf.DUMMYFUNCTION("GOOGLETRANSLATE(B18237,""en"",""it"")"),"I giovani cadono da piccole cascate nel fiume roccioso.")</f>
        <v>I giovani cadono da piccole cascate nel fiume roccioso.</v>
      </c>
    </row>
    <row r="18238">
      <c r="A18238" s="4" t="s">
        <v>22952</v>
      </c>
      <c r="B18238" s="4" t="s">
        <v>22953</v>
      </c>
      <c r="C18238" s="5" t="str">
        <f>IFERROR(__xludf.DUMMYFUNCTION("GOOGLETRANSLATE(B18238,""en"",""it"")"),"Una donna si piega in una posa di balletto.")</f>
        <v>Una donna si piega in una posa di balletto.</v>
      </c>
    </row>
    <row r="18239">
      <c r="A18239" s="4" t="s">
        <v>22952</v>
      </c>
      <c r="B18239" s="4" t="s">
        <v>22954</v>
      </c>
      <c r="C18239" s="5" t="str">
        <f>IFERROR(__xludf.DUMMYFUNCTION("GOOGLETRANSLATE(B18239,""en"",""it"")"),"Quindi affronta la telecamera a parlare.")</f>
        <v>Quindi affronta la telecamera a parlare.</v>
      </c>
    </row>
    <row r="18240">
      <c r="A18240" s="4" t="s">
        <v>22952</v>
      </c>
      <c r="B18240" s="4" t="s">
        <v>22955</v>
      </c>
      <c r="C18240" s="5" t="str">
        <f>IFERROR(__xludf.DUMMYFUNCTION("GOOGLETRANSLATE(B18240,""en"",""it"")"),"Mostra più mosse di balletto.")</f>
        <v>Mostra più mosse di balletto.</v>
      </c>
    </row>
    <row r="18241">
      <c r="A18241" s="4" t="s">
        <v>22952</v>
      </c>
      <c r="B18241" s="4" t="s">
        <v>22956</v>
      </c>
      <c r="C18241" s="5" t="str">
        <f>IFERROR(__xludf.DUMMYFUNCTION("GOOGLETRANSLATE(B18241,""en"",""it"")"),"Finisce con la bassa quinta posizione.")</f>
        <v>Finisce con la bassa quinta posizione.</v>
      </c>
    </row>
    <row r="18242">
      <c r="A18242" s="4" t="s">
        <v>22957</v>
      </c>
      <c r="B18242" s="6" t="s">
        <v>22958</v>
      </c>
      <c r="C18242" s="5" t="str">
        <f>IFERROR(__xludf.DUMMYFUNCTION("GOOGLETRANSLATE(B18242,""en"",""it"")"),"Vengono mostrate diverse paia di scarpe, nonché un folto gruppo di persone che socializzano e versano alcol in occhiali.")</f>
        <v>Vengono mostrate diverse paia di scarpe, nonché un folto gruppo di persone che socializzano e versano alcol in occhiali.</v>
      </c>
    </row>
    <row r="18243">
      <c r="A18243" s="4" t="s">
        <v>22957</v>
      </c>
      <c r="B18243" s="4" t="s">
        <v>22959</v>
      </c>
      <c r="C18243" s="5" t="str">
        <f>IFERROR(__xludf.DUMMYFUNCTION("GOOGLETRANSLATE(B18243,""en"",""it"")"),"Gli occhiali sono disposti su un tavolo e vengono mostrati diversi colpi di persone che giocano a Beer Pong.")</f>
        <v>Gli occhiali sono disposti su un tavolo e vengono mostrati diversi colpi di persone che giocano a Beer Pong.</v>
      </c>
    </row>
    <row r="18244">
      <c r="A18244" s="4" t="s">
        <v>22957</v>
      </c>
      <c r="B18244" s="6" t="s">
        <v>22960</v>
      </c>
      <c r="C18244" s="5" t="str">
        <f>IFERROR(__xludf.DUMMYFUNCTION("GOOGLETRANSLATE(B18244,""en"",""it"")"),"Vengono mostrati più colpi di persone che parlano e giocano a Beer Pong in diverse località e festeggiano tra loro.")</f>
        <v>Vengono mostrati più colpi di persone che parlano e giocano a Beer Pong in diverse località e festeggiano tra loro.</v>
      </c>
    </row>
    <row r="18245">
      <c r="A18245" s="4" t="s">
        <v>22957</v>
      </c>
      <c r="B18245" s="4" t="s">
        <v>22961</v>
      </c>
      <c r="C18245" s="5" t="str">
        <f>IFERROR(__xludf.DUMMYFUNCTION("GOOGLETRANSLATE(B18245,""en"",""it"")"),"Alla fine le medaglie vengono distribuite e le persone le indossano mentre festeggiano in punti diversi.")</f>
        <v>Alla fine le medaglie vengono distribuite e le persone le indossano mentre festeggiano in punti diversi.</v>
      </c>
    </row>
    <row r="18246">
      <c r="A18246" s="4" t="s">
        <v>22962</v>
      </c>
      <c r="B18246" s="4" t="s">
        <v>22963</v>
      </c>
      <c r="C18246" s="5" t="str">
        <f>IFERROR(__xludf.DUMMYFUNCTION("GOOGLETRANSLATE(B18246,""en"",""it"")"),"Ci sono diversi nuotatori in piedi sulla tavola da immersione più alta di una piscina.")</f>
        <v>Ci sono diversi nuotatori in piedi sulla tavola da immersione più alta di una piscina.</v>
      </c>
    </row>
    <row r="18247">
      <c r="A18247" s="4" t="s">
        <v>22962</v>
      </c>
      <c r="B18247" s="4" t="s">
        <v>22964</v>
      </c>
      <c r="C18247" s="5" t="str">
        <f>IFERROR(__xludf.DUMMYFUNCTION("GOOGLETRANSLATE(B18247,""en"",""it"")"),"I subacquei si stanno preparando a immergersi in piscina.")</f>
        <v>I subacquei si stanno preparando a immergersi in piscina.</v>
      </c>
    </row>
    <row r="18248">
      <c r="A18248" s="4" t="s">
        <v>22962</v>
      </c>
      <c r="B18248" s="4" t="s">
        <v>22965</v>
      </c>
      <c r="C18248" s="5" t="str">
        <f>IFERROR(__xludf.DUMMYFUNCTION("GOOGLETRANSLATE(B18248,""en"",""it"")"),"Uno dei subacquei si tuffa e salta in piscina da una grande altezza.")</f>
        <v>Uno dei subacquei si tuffa e salta in piscina da una grande altezza.</v>
      </c>
    </row>
    <row r="18249">
      <c r="A18249" s="4" t="s">
        <v>22966</v>
      </c>
      <c r="B18249" s="4" t="s">
        <v>22967</v>
      </c>
      <c r="C18249" s="5" t="str">
        <f>IFERROR(__xludf.DUMMYFUNCTION("GOOGLETRANSLATE(B18249,""en"",""it"")"),"Un uomo in un grembiule rosso sta parlando.")</f>
        <v>Un uomo in un grembiule rosso sta parlando.</v>
      </c>
    </row>
    <row r="18250">
      <c r="A18250" s="4" t="s">
        <v>22966</v>
      </c>
      <c r="B18250" s="4" t="s">
        <v>22968</v>
      </c>
      <c r="C18250" s="5" t="str">
        <f>IFERROR(__xludf.DUMMYFUNCTION("GOOGLETRANSLATE(B18250,""en"",""it"")"),"Sta strofinando qualcosa su una tavola e lo stira.")</f>
        <v>Sta strofinando qualcosa su una tavola e lo stira.</v>
      </c>
    </row>
    <row r="18251">
      <c r="A18251" s="4" t="s">
        <v>22966</v>
      </c>
      <c r="B18251" s="4" t="s">
        <v>22969</v>
      </c>
      <c r="C18251" s="5" t="str">
        <f>IFERROR(__xludf.DUMMYFUNCTION("GOOGLETRANSLATE(B18251,""en"",""it"")"),"Sta raschiando la cima della tavola che ha stirato.")</f>
        <v>Sta raschiando la cima della tavola che ha stirato.</v>
      </c>
    </row>
    <row r="18252">
      <c r="A18252" s="4" t="s">
        <v>22970</v>
      </c>
      <c r="B18252" s="4" t="s">
        <v>22971</v>
      </c>
      <c r="C18252" s="5" t="str">
        <f>IFERROR(__xludf.DUMMYFUNCTION("GOOGLETRANSLATE(B18252,""en"",""it"")"),"Una donna viene vista cavalcare su un cammello dietro un altro uomo su un cammello.")</f>
        <v>Una donna viene vista cavalcare su un cammello dietro un altro uomo su un cammello.</v>
      </c>
    </row>
    <row r="18253">
      <c r="A18253" s="4" t="s">
        <v>22970</v>
      </c>
      <c r="B18253" s="4" t="s">
        <v>22972</v>
      </c>
      <c r="C18253" s="5" t="str">
        <f>IFERROR(__xludf.DUMMYFUNCTION("GOOGLETRANSLATE(B18253,""en"",""it"")"),"Guarda indietro e sorride alla telecamera mentre si muove intorno all'area.")</f>
        <v>Guarda indietro e sorride alla telecamera mentre si muove intorno all'area.</v>
      </c>
    </row>
    <row r="18254">
      <c r="A18254" s="4" t="s">
        <v>22970</v>
      </c>
      <c r="B18254" s="4" t="s">
        <v>22973</v>
      </c>
      <c r="C18254" s="5" t="str">
        <f>IFERROR(__xludf.DUMMYFUNCTION("GOOGLETRANSLATE(B18254,""en"",""it"")"),"Un'altra persona viene vista cavalcare da dietro mentre le persone si aggrappano ai cammelli.")</f>
        <v>Un'altra persona viene vista cavalcare da dietro mentre le persone si aggrappano ai cammelli.</v>
      </c>
    </row>
    <row r="18255">
      <c r="A18255" s="4" t="s">
        <v>22974</v>
      </c>
      <c r="B18255" s="6" t="s">
        <v>22975</v>
      </c>
      <c r="C18255" s="5" t="str">
        <f>IFERROR(__xludf.DUMMYFUNCTION("GOOGLETRANSLATE(B18255,""en"",""it"")"),"Due donne in un bambino sono mostrate in canoa mentre un uomo tira la canoa mentre si trova in acqua, con altre persone visibili sullo sfondo.")</f>
        <v>Due donne in un bambino sono mostrate in canoa mentre un uomo tira la canoa mentre si trova in acqua, con altre persone visibili sullo sfondo.</v>
      </c>
    </row>
    <row r="18256">
      <c r="A18256" s="4" t="s">
        <v>22974</v>
      </c>
      <c r="B18256" s="4" t="s">
        <v>22976</v>
      </c>
      <c r="C18256" s="5" t="str">
        <f>IFERROR(__xludf.DUMMYFUNCTION("GOOGLETRANSLATE(B18256,""en"",""it"")"),"Il bambino e un uomo diverso si siedono su una canoa mentre l'uomo pagava.")</f>
        <v>Il bambino e un uomo diverso si siedono su una canoa mentre l'uomo pagava.</v>
      </c>
    </row>
    <row r="18257">
      <c r="A18257" s="4" t="s">
        <v>22974</v>
      </c>
      <c r="B18257" s="4" t="s">
        <v>22977</v>
      </c>
      <c r="C18257" s="5" t="str">
        <f>IFERROR(__xludf.DUMMYFUNCTION("GOOGLETRANSLATE(B18257,""en"",""it"")"),"La fotocamera piova per mostrare il primo uomo in primo piano.")</f>
        <v>La fotocamera piova per mostrare il primo uomo in primo piano.</v>
      </c>
    </row>
    <row r="18258">
      <c r="A18258" s="4" t="s">
        <v>22974</v>
      </c>
      <c r="B18258" s="4" t="s">
        <v>22978</v>
      </c>
      <c r="C18258" s="5" t="str">
        <f>IFERROR(__xludf.DUMMYFUNCTION("GOOGLETRANSLATE(B18258,""en"",""it"")"),"Il bambino e il primo uomo sono su una canoa mentre il primo uomo pagava.")</f>
        <v>Il bambino e il primo uomo sono su una canoa mentre il primo uomo pagava.</v>
      </c>
    </row>
    <row r="18259">
      <c r="A18259" s="4" t="s">
        <v>22974</v>
      </c>
      <c r="B18259" s="4" t="s">
        <v>22979</v>
      </c>
      <c r="C18259" s="5" t="str">
        <f>IFERROR(__xludf.DUMMYFUNCTION("GOOGLETRANSLATE(B18259,""en"",""it"")"),"Vengono mostrate una serie di immagini fisse delle varie persone mostrate durante il video.")</f>
        <v>Vengono mostrate una serie di immagini fisse delle varie persone mostrate durante il video.</v>
      </c>
    </row>
    <row r="18260">
      <c r="A18260" s="4" t="s">
        <v>22980</v>
      </c>
      <c r="B18260" s="4" t="s">
        <v>22981</v>
      </c>
      <c r="C18260" s="5" t="str">
        <f>IFERROR(__xludf.DUMMYFUNCTION("GOOGLETRANSLATE(B18260,""en"",""it"")"),"Una persona rotola nell'erba dopo una caduta e si alza per unirsi a una partita di lacrosse.")</f>
        <v>Una persona rotola nell'erba dopo una caduta e si alza per unirsi a una partita di lacrosse.</v>
      </c>
    </row>
    <row r="18261">
      <c r="A18261" s="4" t="s">
        <v>22980</v>
      </c>
      <c r="B18261" s="4" t="s">
        <v>22982</v>
      </c>
      <c r="C18261" s="5" t="str">
        <f>IFERROR(__xludf.DUMMYFUNCTION("GOOGLETRANSLATE(B18261,""en"",""it"")"),"Vediamo gli attrezzi nell'erba e un uomo che parla alla telecamera.")</f>
        <v>Vediamo gli attrezzi nell'erba e un uomo che parla alla telecamera.</v>
      </c>
    </row>
    <row r="18262">
      <c r="A18262" s="4" t="s">
        <v>22980</v>
      </c>
      <c r="B18262" s="4" t="s">
        <v>22983</v>
      </c>
      <c r="C18262" s="5" t="str">
        <f>IFERROR(__xludf.DUMMYFUNCTION("GOOGLETRANSLATE(B18262,""en"",""it"")"),"Gli uomini suonano lacrosse e le donne tifano sul lato.")</f>
        <v>Gli uomini suonano lacrosse e le donne tifano sul lato.</v>
      </c>
    </row>
    <row r="18263">
      <c r="A18263" s="4" t="s">
        <v>22980</v>
      </c>
      <c r="B18263" s="4" t="s">
        <v>22984</v>
      </c>
      <c r="C18263" s="5" t="str">
        <f>IFERROR(__xludf.DUMMYFUNCTION("GOOGLETRANSLATE(B18263,""en"",""it"")"),"Vediamo un uomo intervistato e un team rannicchiarsi e vedere gli uomini giocare.")</f>
        <v>Vediamo un uomo intervistato e un team rannicchiarsi e vedere gli uomini giocare.</v>
      </c>
    </row>
    <row r="18264">
      <c r="A18264" s="4" t="s">
        <v>22980</v>
      </c>
      <c r="B18264" s="4" t="s">
        <v>22985</v>
      </c>
      <c r="C18264" s="5" t="str">
        <f>IFERROR(__xludf.DUMMYFUNCTION("GOOGLETRANSLATE(B18264,""en"",""it"")"),"Un uomo intervistato e vediamo gli uomini suonare lacrosse.")</f>
        <v>Un uomo intervistato e vediamo gli uomini suonare lacrosse.</v>
      </c>
    </row>
    <row r="18265">
      <c r="A18265" s="4" t="s">
        <v>22980</v>
      </c>
      <c r="B18265" s="4" t="s">
        <v>22986</v>
      </c>
      <c r="C18265" s="5" t="str">
        <f>IFERROR(__xludf.DUMMYFUNCTION("GOOGLETRANSLATE(B18265,""en"",""it"")"),"Un uomo in rosso viene intervistato e le squadre si stringono la mano, sollevano il loro trofeo e posano per le foto.")</f>
        <v>Un uomo in rosso viene intervistato e le squadre si stringono la mano, sollevano il loro trofeo e posano per le foto.</v>
      </c>
    </row>
    <row r="18266">
      <c r="A18266" s="4" t="s">
        <v>22987</v>
      </c>
      <c r="B18266" s="4" t="s">
        <v>22988</v>
      </c>
      <c r="C18266" s="5" t="str">
        <f>IFERROR(__xludf.DUMMYFUNCTION("GOOGLETRANSLATE(B18266,""en"",""it"")"),"Una giovane ginnasta femminile che indossa Red si prepara per la sua routine del raggio di equilibrio alle Olimpiadi.")</f>
        <v>Una giovane ginnasta femminile che indossa Red si prepara per la sua routine del raggio di equilibrio alle Olimpiadi.</v>
      </c>
    </row>
    <row r="18267">
      <c r="A18267" s="4" t="s">
        <v>22987</v>
      </c>
      <c r="B18267" s="4" t="s">
        <v>22989</v>
      </c>
      <c r="C18267" s="5" t="str">
        <f>IFERROR(__xludf.DUMMYFUNCTION("GOOGLETRANSLATE(B18267,""en"",""it"")"),"La ginnasta femminile corre verso il trampolino e salta da esso al raggio di equilibrio.")</f>
        <v>La ginnasta femminile corre verso il trampolino e salta da esso al raggio di equilibrio.</v>
      </c>
    </row>
    <row r="18268">
      <c r="A18268" s="4" t="s">
        <v>22987</v>
      </c>
      <c r="B18268" s="6" t="s">
        <v>22990</v>
      </c>
      <c r="C18268" s="5" t="str">
        <f>IFERROR(__xludf.DUMMYFUNCTION("GOOGLETRANSLATE(B18268,""en"",""it"")"),"La ginnasta femminile quindi fa la sua routine di caduta sul raggio dell'equilibrio mentre i commentatori spiegano cosa sta facendo e quanto sia difficile.")</f>
        <v>La ginnasta femminile quindi fa la sua routine di caduta sul raggio dell'equilibrio mentre i commentatori spiegano cosa sta facendo e quanto sia difficile.</v>
      </c>
    </row>
    <row r="18269">
      <c r="A18269" s="4" t="s">
        <v>22987</v>
      </c>
      <c r="B18269" s="4" t="s">
        <v>22991</v>
      </c>
      <c r="C18269" s="5" t="str">
        <f>IFERROR(__xludf.DUMMYFUNCTION("GOOGLETRANSLATE(B18269,""en"",""it"")"),"Una folla enorme osserva e applaude la ginnasta.")</f>
        <v>Una folla enorme osserva e applaude la ginnasta.</v>
      </c>
    </row>
    <row r="18270">
      <c r="A18270" s="4" t="s">
        <v>22987</v>
      </c>
      <c r="B18270" s="4" t="s">
        <v>22992</v>
      </c>
      <c r="C18270" s="5" t="str">
        <f>IFERROR(__xludf.DUMMYFUNCTION("GOOGLETRANSLATE(B18270,""en"",""it"")"),"Un uomo asiatico cammina verso il raggio di equilibrio e allontana il trampolino dal raggio.")</f>
        <v>Un uomo asiatico cammina verso il raggio di equilibrio e allontana il trampolino dal raggio.</v>
      </c>
    </row>
    <row r="18271">
      <c r="A18271" s="4" t="s">
        <v>22987</v>
      </c>
      <c r="B18271" s="4" t="s">
        <v>22993</v>
      </c>
      <c r="C18271" s="5" t="str">
        <f>IFERROR(__xludf.DUMMYFUNCTION("GOOGLETRANSLATE(B18271,""en"",""it"")"),"La ginnasta esegue una sequenza di caduta difficile e la folla esulta più di prima.")</f>
        <v>La ginnasta esegue una sequenza di caduta difficile e la folla esulta più di prima.</v>
      </c>
    </row>
    <row r="18272">
      <c r="A18272" s="4" t="s">
        <v>22987</v>
      </c>
      <c r="B18272" s="6" t="s">
        <v>22994</v>
      </c>
      <c r="C18272" s="5" t="str">
        <f>IFERROR(__xludf.DUMMYFUNCTION("GOOGLETRANSLATE(B18272,""en"",""it"")"),"Le persone tra la folla che guardano la ginnasta entrano in palestra e trovano posti mentre altri si alzano ed escono dalla palestra.")</f>
        <v>Le persone tra la folla che guardano la ginnasta entrano in palestra e trovano posti mentre altri si alzano ed escono dalla palestra.</v>
      </c>
    </row>
    <row r="18273">
      <c r="A18273" s="4" t="s">
        <v>22987</v>
      </c>
      <c r="B18273" s="4" t="s">
        <v>22995</v>
      </c>
      <c r="C18273" s="5" t="str">
        <f>IFERROR(__xludf.DUMMYFUNCTION("GOOGLETRANSLATE(B18273,""en"",""it"")"),"Un'altra ginnasta femminile cammina oltre il raggio dell'equilibrio in background.")</f>
        <v>Un'altra ginnasta femminile cammina oltre il raggio dell'equilibrio in background.</v>
      </c>
    </row>
    <row r="18274">
      <c r="A18274" s="4" t="s">
        <v>22987</v>
      </c>
      <c r="B18274" s="4" t="s">
        <v>22996</v>
      </c>
      <c r="C18274" s="5" t="str">
        <f>IFERROR(__xludf.DUMMYFUNCTION("GOOGLETRANSLATE(B18274,""en"",""it"")"),"La ginnasta femminile si prepara per il suo smontaggio.")</f>
        <v>La ginnasta femminile si prepara per il suo smontaggio.</v>
      </c>
    </row>
    <row r="18275">
      <c r="A18275" s="4" t="s">
        <v>22987</v>
      </c>
      <c r="B18275" s="4" t="s">
        <v>22997</v>
      </c>
      <c r="C18275" s="5" t="str">
        <f>IFERROR(__xludf.DUMMYFUNCTION("GOOGLETRANSLATE(B18275,""en"",""it"")"),"La ginnasta femminile corre e completa una sequenza di caduta per uscire dal raggio dell'equilibrio.")</f>
        <v>La ginnasta femminile corre e completa una sequenza di caduta per uscire dal raggio dell'equilibrio.</v>
      </c>
    </row>
    <row r="18276">
      <c r="A18276" s="4" t="s">
        <v>22987</v>
      </c>
      <c r="B18276" s="6" t="s">
        <v>22998</v>
      </c>
      <c r="C18276" s="5" t="str">
        <f>IFERROR(__xludf.DUMMYFUNCTION("GOOGLETRANSLATE(B18276,""en"",""it"")"),"La ginnasta femminile atterra perfettamente e getta le braccia dritte in aria con un enorme sorriso sul viso altre ginnaste sull'orologio e applaudono.")</f>
        <v>La ginnasta femminile atterra perfettamente e getta le braccia dritte in aria con un enorme sorriso sul viso altre ginnaste sull'orologio e applaudono.</v>
      </c>
    </row>
    <row r="18277">
      <c r="A18277" s="4" t="s">
        <v>22987</v>
      </c>
      <c r="B18277" s="4" t="s">
        <v>22999</v>
      </c>
      <c r="C18277" s="5" t="str">
        <f>IFERROR(__xludf.DUMMYFUNCTION("GOOGLETRANSLATE(B18277,""en"",""it"")"),"Un folto gruppo di fotografi guarda e scatta fotografie della ginnasta.")</f>
        <v>Un folto gruppo di fotografi guarda e scatta fotografie della ginnasta.</v>
      </c>
    </row>
    <row r="18278">
      <c r="A18278" s="4" t="s">
        <v>22987</v>
      </c>
      <c r="B18278" s="4" t="s">
        <v>23000</v>
      </c>
      <c r="C18278" s="5" t="str">
        <f>IFERROR(__xludf.DUMMYFUNCTION("GOOGLETRANSLATE(B18278,""en"",""it"")"),"Le onde della ginnasta si girano in cerchio e poi corre sul lato del pavimento della palestra.")</f>
        <v>Le onde della ginnasta si girano in cerchio e poi corre sul lato del pavimento della palestra.</v>
      </c>
    </row>
    <row r="18279">
      <c r="A18279" s="4" t="s">
        <v>22987</v>
      </c>
      <c r="B18279" s="4" t="s">
        <v>23001</v>
      </c>
      <c r="C18279" s="5" t="str">
        <f>IFERROR(__xludf.DUMMYFUNCTION("GOOGLETRANSLATE(B18279,""en"",""it"")"),"Tre ginnaste asiatiche in orologio giallo e applausi senza sorridere.")</f>
        <v>Tre ginnaste asiatiche in orologio giallo e applausi senza sorridere.</v>
      </c>
    </row>
    <row r="18280">
      <c r="A18280" s="4" t="s">
        <v>22987</v>
      </c>
      <c r="B18280" s="6" t="s">
        <v>23002</v>
      </c>
      <c r="C18280" s="5" t="str">
        <f>IFERROR(__xludf.DUMMYFUNCTION("GOOGLETRANSLATE(B18280,""en"",""it"")"),"La ginnasta in abbracci rossi e parla con gli altri suoi compagni di squadra e il suo allenatore mentre diversi fotografi le scattano foto.")</f>
        <v>La ginnasta in abbracci rossi e parla con gli altri suoi compagni di squadra e il suo allenatore mentre diversi fotografi le scattano foto.</v>
      </c>
    </row>
    <row r="18281">
      <c r="A18281" s="4" t="s">
        <v>22987</v>
      </c>
      <c r="B18281" s="6" t="s">
        <v>23003</v>
      </c>
      <c r="C18281" s="5" t="str">
        <f>IFERROR(__xludf.DUMMYFUNCTION("GOOGLETRANSLATE(B18281,""en"",""it"")"),"I commentatori riproducono molte delle ginnaste sequenze di caduta più difficili e il suo smontaggio al rallentatore mentre spiegano cosa sta facendo.")</f>
        <v>I commentatori riproducono molte delle ginnaste sequenze di caduta più difficili e il suo smontaggio al rallentatore mentre spiegano cosa sta facendo.</v>
      </c>
    </row>
    <row r="18282">
      <c r="A18282" s="4" t="s">
        <v>22987</v>
      </c>
      <c r="B18282" s="6" t="s">
        <v>23004</v>
      </c>
      <c r="C18282" s="5" t="str">
        <f>IFERROR(__xludf.DUMMYFUNCTION("GOOGLETRANSLATE(B18282,""en"",""it"")"),"La ginnasta femminile abbraccia un altro allenatore e un altro dei suoi compagni di squadra mentre un uomo li filma con una grande macchina fotografica.")</f>
        <v>La ginnasta femminile abbraccia un altro allenatore e un altro dei suoi compagni di squadra mentre un uomo li filma con una grande macchina fotografica.</v>
      </c>
    </row>
    <row r="18283">
      <c r="A18283" s="4" t="s">
        <v>22987</v>
      </c>
      <c r="B18283" s="6" t="s">
        <v>23005</v>
      </c>
      <c r="C18283" s="5" t="str">
        <f>IFERROR(__xludf.DUMMYFUNCTION("GOOGLETRANSLATE(B18283,""en"",""it"")"),"Tutte le ginnaste della squadra degli Stati Uniti e i loro allenatori camminano in palestra mentre la folla applaude molto forte.")</f>
        <v>Tutte le ginnaste della squadra degli Stati Uniti e i loro allenatori camminano in palestra mentre la folla applaude molto forte.</v>
      </c>
    </row>
    <row r="18284">
      <c r="A18284" s="4" t="s">
        <v>22987</v>
      </c>
      <c r="B18284" s="4" t="s">
        <v>23006</v>
      </c>
      <c r="C18284" s="5" t="str">
        <f>IFERROR(__xludf.DUMMYFUNCTION("GOOGLETRANSLATE(B18284,""en"",""it"")"),"Anche diverse ginnaste di altre squadre passano.")</f>
        <v>Anche diverse ginnaste di altre squadre passano.</v>
      </c>
    </row>
    <row r="18285">
      <c r="A18285" s="4" t="s">
        <v>22987</v>
      </c>
      <c r="B18285" s="4" t="s">
        <v>23007</v>
      </c>
      <c r="C18285" s="5" t="str">
        <f>IFERROR(__xludf.DUMMYFUNCTION("GOOGLETRANSLATE(B18285,""en"",""it"")"),"La ginnasta femminile parla con la sua squadra in attesa che il suo punteggio venisse esposto.")</f>
        <v>La ginnasta femminile parla con la sua squadra in attesa che il suo punteggio venisse esposto.</v>
      </c>
    </row>
    <row r="18286">
      <c r="A18286" s="4" t="s">
        <v>23008</v>
      </c>
      <c r="B18286" s="6" t="s">
        <v>23009</v>
      </c>
      <c r="C18286" s="5" t="str">
        <f>IFERROR(__xludf.DUMMYFUNCTION("GOOGLETRANSLATE(B18286,""en"",""it"")"),"Una bambina dimostra come applicare il trucco usando un mini kit di trucco come fonte di trucco, tutto mentre parla con la fotocamera.")</f>
        <v>Una bambina dimostra come applicare il trucco usando un mini kit di trucco come fonte di trucco, tutto mentre parla con la fotocamera.</v>
      </c>
    </row>
    <row r="18287">
      <c r="A18287" s="4" t="s">
        <v>23008</v>
      </c>
      <c r="B18287" s="4" t="s">
        <v>23010</v>
      </c>
      <c r="C18287" s="5" t="str">
        <f>IFERROR(__xludf.DUMMYFUNCTION("GOOGLETRANSLATE(B18287,""en"",""it"")"),"Una bambina parla con la telecamera e poi si appoggia alla telecamera in un colpo vicino.")</f>
        <v>Una bambina parla con la telecamera e poi si appoggia alla telecamera in un colpo vicino.</v>
      </c>
    </row>
    <row r="18288">
      <c r="A18288" s="4" t="s">
        <v>23008</v>
      </c>
      <c r="B18288" s="6" t="s">
        <v>23011</v>
      </c>
      <c r="C18288" s="5" t="str">
        <f>IFERROR(__xludf.DUMMYFUNCTION("GOOGLETRANSLATE(B18288,""en"",""it"")"),"La bambina tira fuori una tavolozza di trucco colorata e mostra la telecamera all'interno della tavolozza prima di iniziare ad applicare un po 'di trucco agli occhi.")</f>
        <v>La bambina tira fuori una tavolozza di trucco colorata e mostra la telecamera all'interno della tavolozza prima di iniziare ad applicare un po 'di trucco agli occhi.</v>
      </c>
    </row>
    <row r="18289">
      <c r="A18289" s="4" t="s">
        <v>23008</v>
      </c>
      <c r="B18289" s="6" t="s">
        <v>23012</v>
      </c>
      <c r="C18289" s="5" t="str">
        <f>IFERROR(__xludf.DUMMYFUNCTION("GOOGLETRANSLATE(B18289,""en"",""it"")"),"La ragazza applica quindi il mascara nera alle ciglia e un po 'di ombretto e lucidalabbra che si prendono pause dopo le applicazioni per parlare con la telecamera.")</f>
        <v>La ragazza applica quindi il mascara nera alle ciglia e un po 'di ombretto e lucidalabbra che si prendono pause dopo le applicazioni per parlare con la telecamera.</v>
      </c>
    </row>
    <row r="18290">
      <c r="A18290" s="4" t="s">
        <v>23008</v>
      </c>
      <c r="B18290" s="6" t="s">
        <v>23013</v>
      </c>
      <c r="C18290" s="5" t="str">
        <f>IFERROR(__xludf.DUMMYFUNCTION("GOOGLETRANSLATE(B18290,""en"",""it"")"),"La bambina dà un pollice finale in alto e fa saltare baci alla telecamera prima di parlare di più e sorridere mentre la scena svanisce.")</f>
        <v>La bambina dà un pollice finale in alto e fa saltare baci alla telecamera prima di parlare di più e sorridere mentre la scena svanisce.</v>
      </c>
    </row>
    <row r="18291">
      <c r="A18291" s="4" t="s">
        <v>23014</v>
      </c>
      <c r="B18291" s="6" t="s">
        <v>23015</v>
      </c>
      <c r="C18291" s="5" t="str">
        <f>IFERROR(__xludf.DUMMYFUNCTION("GOOGLETRANSLATE(B18291,""en"",""it"")"),"Un uomo si siede su una vogatrice in palestra e parla con la fotocamera mentre dimostra come utilizzare una macchina per gli esercizi di canottaggio.")</f>
        <v>Un uomo si siede su una vogatrice in palestra e parla con la fotocamera mentre dimostra come utilizzare una macchina per gli esercizi di canottaggio.</v>
      </c>
    </row>
    <row r="18292">
      <c r="A18292" s="4" t="s">
        <v>23014</v>
      </c>
      <c r="B18292" s="6" t="s">
        <v>23016</v>
      </c>
      <c r="C18292" s="5" t="str">
        <f>IFERROR(__xludf.DUMMYFUNCTION("GOOGLETRANSLATE(B18292,""en"",""it"")"),"L'uomo inizia a esercitare lentamente sulla macchina, tutto mentre parla con la fotocamera, alla fine si basa su un allenamento più veloce sulla stessa macchina.")</f>
        <v>L'uomo inizia a esercitare lentamente sulla macchina, tutto mentre parla con la fotocamera, alla fine si basa su un allenamento più veloce sulla stessa macchina.</v>
      </c>
    </row>
    <row r="18293">
      <c r="A18293" s="4" t="s">
        <v>23014</v>
      </c>
      <c r="B18293" s="6" t="s">
        <v>23017</v>
      </c>
      <c r="C18293" s="5" t="str">
        <f>IFERROR(__xludf.DUMMYFUNCTION("GOOGLETRANSLATE(B18293,""en"",""it"")"),"L'uomo inizia a dimostrare come utilizzare il pannello digitale sulla macchina per esercizi indicandolo e parlando con la fotocamera.")</f>
        <v>L'uomo inizia a dimostrare come utilizzare il pannello digitale sulla macchina per esercizi indicandolo e parlando con la fotocamera.</v>
      </c>
    </row>
    <row r="18294">
      <c r="A18294" s="4" t="s">
        <v>23018</v>
      </c>
      <c r="B18294" s="4" t="s">
        <v>23019</v>
      </c>
      <c r="C18294" s="5" t="str">
        <f>IFERROR(__xludf.DUMMYFUNCTION("GOOGLETRANSLATE(B18294,""en"",""it"")"),"Un aquilone viene mostrato in alto nell'aria.")</f>
        <v>Un aquilone viene mostrato in alto nell'aria.</v>
      </c>
    </row>
    <row r="18295">
      <c r="A18295" s="4" t="s">
        <v>23018</v>
      </c>
      <c r="B18295" s="4" t="s">
        <v>23020</v>
      </c>
      <c r="C18295" s="5" t="str">
        <f>IFERROR(__xludf.DUMMYFUNCTION("GOOGLETRANSLATE(B18295,""en"",""it"")"),"Un uomo tiene l'aquilone prima di lasciarlo andare.")</f>
        <v>Un uomo tiene l'aquilone prima di lasciarlo andare.</v>
      </c>
    </row>
    <row r="18296">
      <c r="A18296" s="4" t="s">
        <v>23018</v>
      </c>
      <c r="B18296" s="4" t="s">
        <v>23021</v>
      </c>
      <c r="C18296" s="5" t="str">
        <f>IFERROR(__xludf.DUMMYFUNCTION("GOOGLETRANSLATE(B18296,""en"",""it"")"),"Si gira in alto nell'aria e si lancia in cerchi e angoli, rimbalzando da terra.")</f>
        <v>Si gira in alto nell'aria e si lancia in cerchi e angoli, rimbalzando da terra.</v>
      </c>
    </row>
    <row r="18297">
      <c r="A18297" s="4" t="s">
        <v>23022</v>
      </c>
      <c r="B18297" s="6" t="s">
        <v>23023</v>
      </c>
      <c r="C18297" s="5" t="str">
        <f>IFERROR(__xludf.DUMMYFUNCTION("GOOGLETRANSLATE(B18297,""en"",""it"")"),"Un uomo è in palestra che tiene su una grande ruota in bicicletta che muove le mani lungo il tubo all'interno della gomma.")</f>
        <v>Un uomo è in palestra che tiene su una grande ruota in bicicletta che muove le mani lungo il tubo all'interno della gomma.</v>
      </c>
    </row>
    <row r="18298">
      <c r="A18298" s="4" t="s">
        <v>23022</v>
      </c>
      <c r="B18298" s="4" t="s">
        <v>23024</v>
      </c>
      <c r="C18298" s="5" t="str">
        <f>IFERROR(__xludf.DUMMYFUNCTION("GOOGLETRANSLATE(B18298,""en"",""it"")"),"L'uomo esegue continuamente l'azione mentre muove il cerchio sul ginocchio.")</f>
        <v>L'uomo esegue continuamente l'azione mentre muove il cerchio sul ginocchio.</v>
      </c>
    </row>
    <row r="18299">
      <c r="A18299" s="4" t="s">
        <v>23022</v>
      </c>
      <c r="B18299" s="6" t="s">
        <v>23025</v>
      </c>
      <c r="C18299" s="5" t="str">
        <f>IFERROR(__xludf.DUMMYFUNCTION("GOOGLETRANSLATE(B18299,""en"",""it"")"),"Dopo, l'uomo raccoglie un oggetto giallo e inizia a stringere i raggi sulla ruota e sigillando il sollevamento della gomma.")</f>
        <v>Dopo, l'uomo raccoglie un oggetto giallo e inizia a stringere i raggi sulla ruota e sigillando il sollevamento della gomma.</v>
      </c>
    </row>
    <row r="18300">
      <c r="A18300" s="4" t="s">
        <v>23026</v>
      </c>
      <c r="B18300" s="4" t="s">
        <v>23027</v>
      </c>
      <c r="C18300" s="5" t="str">
        <f>IFERROR(__xludf.DUMMYFUNCTION("GOOGLETRANSLATE(B18300,""en"",""it"")"),"Un uomo usa un trimmer per tagliare le foglie su un albero in un cortile, a partire dal mezzo.")</f>
        <v>Un uomo usa un trimmer per tagliare le foglie su un albero in un cortile, a partire dal mezzo.</v>
      </c>
    </row>
    <row r="18301">
      <c r="A18301" s="4" t="s">
        <v>23026</v>
      </c>
      <c r="B18301" s="4" t="s">
        <v>23028</v>
      </c>
      <c r="C18301" s="5" t="str">
        <f>IFERROR(__xludf.DUMMYFUNCTION("GOOGLETRANSLATE(B18301,""en"",""it"")"),"Si muove alla sua sinistra per continuare a tagliare l'albero.")</f>
        <v>Si muove alla sua sinistra per continuare a tagliare l'albero.</v>
      </c>
    </row>
    <row r="18302">
      <c r="A18302" s="4" t="s">
        <v>23029</v>
      </c>
      <c r="B18302" s="4" t="s">
        <v>23030</v>
      </c>
      <c r="C18302" s="5" t="str">
        <f>IFERROR(__xludf.DUMMYFUNCTION("GOOGLETRANSLATE(B18302,""en"",""it"")"),"Due donne sono in piedi all'interno di una casa.")</f>
        <v>Due donne sono in piedi all'interno di una casa.</v>
      </c>
    </row>
    <row r="18303">
      <c r="A18303" s="4" t="s">
        <v>23029</v>
      </c>
      <c r="B18303" s="4" t="s">
        <v>23031</v>
      </c>
      <c r="C18303" s="5" t="str">
        <f>IFERROR(__xludf.DUMMYFUNCTION("GOOGLETRANSLATE(B18303,""en"",""it"")"),"Mostrano una piastrella di tela.")</f>
        <v>Mostrano una piastrella di tela.</v>
      </c>
    </row>
    <row r="18304">
      <c r="A18304" s="4" t="s">
        <v>23029</v>
      </c>
      <c r="B18304" s="6" t="s">
        <v>23032</v>
      </c>
      <c r="C18304" s="5" t="str">
        <f>IFERROR(__xludf.DUMMYFUNCTION("GOOGLETRANSLATE(B18304,""en"",""it"")"),"Quindi mostrano come hanno realizzato la piastrella e la hanno messo a terra, mettendola insieme come un puzzle.")</f>
        <v>Quindi mostrano come hanno realizzato la piastrella e la hanno messo a terra, mettendola insieme come un puzzle.</v>
      </c>
    </row>
    <row r="18305">
      <c r="A18305" s="4" t="s">
        <v>23029</v>
      </c>
      <c r="B18305" s="4" t="s">
        <v>23033</v>
      </c>
      <c r="C18305" s="5" t="str">
        <f>IFERROR(__xludf.DUMMYFUNCTION("GOOGLETRANSLATE(B18305,""en"",""it"")"),"Si siedono sopra a parlarne prima di spostare i mobili in posizione.")</f>
        <v>Si siedono sopra a parlarne prima di spostare i mobili in posizione.</v>
      </c>
    </row>
    <row r="18306">
      <c r="A18306" s="4" t="s">
        <v>23034</v>
      </c>
      <c r="B18306" s="4" t="s">
        <v>23035</v>
      </c>
      <c r="C18306" s="5" t="str">
        <f>IFERROR(__xludf.DUMMYFUNCTION("GOOGLETRANSLATE(B18306,""en"",""it"")"),"Un cane soffice è in piedi su un marciapiede con un bambino dietro di esso.")</f>
        <v>Un cane soffice è in piedi su un marciapiede con un bambino dietro di esso.</v>
      </c>
    </row>
    <row r="18307">
      <c r="A18307" s="4" t="s">
        <v>23034</v>
      </c>
      <c r="B18307" s="6" t="s">
        <v>23036</v>
      </c>
      <c r="C18307" s="5" t="str">
        <f>IFERROR(__xludf.DUMMYFUNCTION("GOOGLETRANSLATE(B18307,""en"",""it"")"),"Il cane inizia a camminare sul marciapiede e da vicino dietro di lui un bambino sta cavalcando uno scooter mentre il cane cammina.")</f>
        <v>Il cane inizia a camminare sul marciapiede e da vicino dietro di lui un bambino sta cavalcando uno scooter mentre il cane cammina.</v>
      </c>
    </row>
    <row r="18308">
      <c r="A18308" s="4" t="s">
        <v>23037</v>
      </c>
      <c r="B18308" s="4" t="s">
        <v>23038</v>
      </c>
      <c r="C18308" s="5" t="str">
        <f>IFERROR(__xludf.DUMMYFUNCTION("GOOGLETRANSLATE(B18308,""en"",""it"")"),"Un lavandino è mostrato pieno di piatti sporchi e conduce in vari prodotti mostrati.")</f>
        <v>Un lavandino è mostrato pieno di piatti sporchi e conduce in vari prodotti mostrati.</v>
      </c>
    </row>
    <row r="18309">
      <c r="A18309" s="4" t="s">
        <v>23037</v>
      </c>
      <c r="B18309" s="4" t="s">
        <v>23039</v>
      </c>
      <c r="C18309" s="5" t="str">
        <f>IFERROR(__xludf.DUMMYFUNCTION("GOOGLETRANSLATE(B18309,""en"",""it"")"),"Una persona quindi strofina i piatti e inizia a metterli in un secchio.")</f>
        <v>Una persona quindi strofina i piatti e inizia a metterli in un secchio.</v>
      </c>
    </row>
    <row r="18310">
      <c r="A18310" s="4" t="s">
        <v>23037</v>
      </c>
      <c r="B18310" s="4" t="s">
        <v>23040</v>
      </c>
      <c r="C18310" s="5" t="str">
        <f>IFERROR(__xludf.DUMMYFUNCTION("GOOGLETRANSLATE(B18310,""en"",""it"")"),"Lavano i piatti continuamente mentre li impilano in una griglia di lato.")</f>
        <v>Lavano i piatti continuamente mentre li impilano in una griglia di lato.</v>
      </c>
    </row>
    <row r="18311">
      <c r="A18311" s="4" t="s">
        <v>23041</v>
      </c>
      <c r="B18311" s="4" t="s">
        <v>23042</v>
      </c>
      <c r="C18311" s="5" t="str">
        <f>IFERROR(__xludf.DUMMYFUNCTION("GOOGLETRANSLATE(B18311,""en"",""it"")"),"Viene mostrato un rasoio a tre teste Phillips e quindi non scatolato su una tabella rossa.")</f>
        <v>Viene mostrato un rasoio a tre teste Phillips e quindi non scatolato su una tabella rossa.</v>
      </c>
    </row>
    <row r="18312">
      <c r="A18312" s="4" t="s">
        <v>23041</v>
      </c>
      <c r="B18312" s="4" t="s">
        <v>23043</v>
      </c>
      <c r="C18312" s="5" t="str">
        <f>IFERROR(__xludf.DUMMYFUNCTION("GOOGLETRANSLATE(B18312,""en"",""it"")"),"Successivamente, il rasoio viene assemblato e posiziona la sua carica per caricare una volta collegato.")</f>
        <v>Successivamente, il rasoio viene assemblato e posiziona la sua carica per caricare una volta collegato.</v>
      </c>
    </row>
    <row r="18313">
      <c r="A18313" s="4" t="s">
        <v>23041</v>
      </c>
      <c r="B18313" s="6" t="s">
        <v>23044</v>
      </c>
      <c r="C18313" s="5" t="str">
        <f>IFERROR(__xludf.DUMMYFUNCTION("GOOGLETRANSLATE(B18313,""en"",""it"")"),"Una volta completamente carico, l'uomo sciacqua i rasoi, applica la crema da barba in questa zona della barba e inizia a radersi.")</f>
        <v>Una volta completamente carico, l'uomo sciacqua i rasoi, applica la crema da barba in questa zona della barba e inizia a radersi.</v>
      </c>
    </row>
    <row r="18314">
      <c r="A18314" s="4" t="s">
        <v>23041</v>
      </c>
      <c r="B18314" s="6" t="s">
        <v>23045</v>
      </c>
      <c r="C18314" s="5" t="str">
        <f>IFERROR(__xludf.DUMMYFUNCTION("GOOGLETRANSLATE(B18314,""en"",""it"")"),"Mentre si sta randomi, l'uomo continua a parlare e il suo viso inizia a diventare un po 'di grande rasoio e il rasoio viene quindi rimesso sul caricabatterie.")</f>
        <v>Mentre si sta randomi, l'uomo continua a parlare e il suo viso inizia a diventare un po 'di grande rasoio e il rasoio viene quindi rimesso sul caricabatterie.</v>
      </c>
    </row>
    <row r="18315">
      <c r="A18315" s="4" t="s">
        <v>23046</v>
      </c>
      <c r="B18315" s="6" t="s">
        <v>23047</v>
      </c>
      <c r="C18315" s="5" t="str">
        <f>IFERROR(__xludf.DUMMYFUNCTION("GOOGLETRANSLATE(B18315,""en"",""it"")"),"Un uomo è in piedi su un palco di fronte a una bandiera americana mentre legge in un microfono da un pezzo di carta.")</f>
        <v>Un uomo è in piedi su un palco di fronte a una bandiera americana mentre legge in un microfono da un pezzo di carta.</v>
      </c>
    </row>
    <row r="18316">
      <c r="A18316" s="4" t="s">
        <v>23046</v>
      </c>
      <c r="B18316" s="4" t="s">
        <v>23048</v>
      </c>
      <c r="C18316" s="5" t="str">
        <f>IFERROR(__xludf.DUMMYFUNCTION("GOOGLETRANSLATE(B18316,""en"",""it"")"),"Quindi viene mostrato di fronte a una folla mentre urlano dietro di lui.")</f>
        <v>Quindi viene mostrato di fronte a una folla mentre urlano dietro di lui.</v>
      </c>
    </row>
    <row r="18317">
      <c r="A18317" s="4" t="s">
        <v>23046</v>
      </c>
      <c r="B18317" s="4" t="s">
        <v>23049</v>
      </c>
      <c r="C18317" s="5" t="str">
        <f>IFERROR(__xludf.DUMMYFUNCTION("GOOGLETRANSLATE(B18317,""en"",""it"")"),"Gli uomini escono e iniziano a gareggiare in una sfida di lancio di dardi.")</f>
        <v>Gli uomini escono e iniziano a gareggiare in una sfida di lancio di dardi.</v>
      </c>
    </row>
    <row r="18318">
      <c r="A18318" s="4" t="s">
        <v>23046</v>
      </c>
      <c r="B18318" s="4" t="s">
        <v>23050</v>
      </c>
      <c r="C18318" s="5" t="str">
        <f>IFERROR(__xludf.DUMMYFUNCTION("GOOGLETRANSLATE(B18318,""en"",""it"")"),"Il vincitore viene intervistato in seguito.")</f>
        <v>Il vincitore viene intervistato in seguito.</v>
      </c>
    </row>
    <row r="18319">
      <c r="A18319" s="4" t="s">
        <v>23051</v>
      </c>
      <c r="B18319" s="4" t="s">
        <v>23052</v>
      </c>
      <c r="C18319" s="5" t="str">
        <f>IFERROR(__xludf.DUMMYFUNCTION("GOOGLETRANSLATE(B18319,""en"",""it"")"),"Le informazioni sul tubo del fiume Bali sono mostrate sullo schermo.")</f>
        <v>Le informazioni sul tubo del fiume Bali sono mostrate sullo schermo.</v>
      </c>
    </row>
    <row r="18320">
      <c r="A18320" s="4" t="s">
        <v>23051</v>
      </c>
      <c r="B18320" s="4" t="s">
        <v>23053</v>
      </c>
      <c r="C18320" s="5" t="str">
        <f>IFERROR(__xludf.DUMMYFUNCTION("GOOGLETRANSLATE(B18320,""en"",""it"")"),"C'è un tubo giallo e rosso mostrato con il nome Bali River stampato su di esso.")</f>
        <v>C'è un tubo giallo e rosso mostrato con il nome Bali River stampato su di esso.</v>
      </c>
    </row>
    <row r="18321">
      <c r="A18321" s="4" t="s">
        <v>23051</v>
      </c>
      <c r="B18321" s="4" t="s">
        <v>23054</v>
      </c>
      <c r="C18321" s="5" t="str">
        <f>IFERROR(__xludf.DUMMYFUNCTION("GOOGLETRANSLATE(B18321,""en"",""it"")"),"Ci sono diverse persone che indossano caschi protettivi tubi nel fiume.")</f>
        <v>Ci sono diverse persone che indossano caschi protettivi tubi nel fiume.</v>
      </c>
    </row>
    <row r="18322">
      <c r="A18322" s="4" t="s">
        <v>23051</v>
      </c>
      <c r="B18322" s="4" t="s">
        <v>23055</v>
      </c>
      <c r="C18322" s="5" t="str">
        <f>IFERROR(__xludf.DUMMYFUNCTION("GOOGLETRANSLATE(B18322,""en"",""it"")"),"C'è un uomo in piedi sotto un tubo con acqua che scorre veloce.")</f>
        <v>C'è un uomo in piedi sotto un tubo con acqua che scorre veloce.</v>
      </c>
    </row>
    <row r="18323">
      <c r="A18323" s="4" t="s">
        <v>23051</v>
      </c>
      <c r="B18323" s="4" t="s">
        <v>23056</v>
      </c>
      <c r="C18323" s="5" t="str">
        <f>IFERROR(__xludf.DUMMYFUNCTION("GOOGLETRANSLATE(B18323,""en"",""it"")"),"Ci sono alcuni tuberi che remognano nell'acqua con le mani.")</f>
        <v>Ci sono alcuni tuberi che remognano nell'acqua con le mani.</v>
      </c>
    </row>
    <row r="18324">
      <c r="A18324" s="4" t="s">
        <v>23051</v>
      </c>
      <c r="B18324" s="4" t="s">
        <v>23057</v>
      </c>
      <c r="C18324" s="5" t="str">
        <f>IFERROR(__xludf.DUMMYFUNCTION("GOOGLETRANSLATE(B18324,""en"",""it"")"),"C'è un uomo che si rilassa nel suo tubo che dà un pollice in su.")</f>
        <v>C'è un uomo che si rilassa nel suo tubo che dà un pollice in su.</v>
      </c>
    </row>
    <row r="18325">
      <c r="A18325" s="4" t="s">
        <v>23051</v>
      </c>
      <c r="B18325" s="4" t="s">
        <v>23058</v>
      </c>
      <c r="C18325" s="5" t="str">
        <f>IFERROR(__xludf.DUMMYFUNCTION("GOOGLETRANSLATE(B18325,""en"",""it"")"),"I tuberi continuano a tubo attraverso il fiume.")</f>
        <v>I tuberi continuano a tubo attraverso il fiume.</v>
      </c>
    </row>
    <row r="18326">
      <c r="A18326" s="4" t="s">
        <v>23059</v>
      </c>
      <c r="B18326" s="4" t="s">
        <v>23060</v>
      </c>
      <c r="C18326" s="5" t="str">
        <f>IFERROR(__xludf.DUMMYFUNCTION("GOOGLETRANSLATE(B18326,""en"",""it"")"),"Un uomo viene visto indossare una maschera e spingere un oggetto lungo un muro.")</f>
        <v>Un uomo viene visto indossare una maschera e spingere un oggetto lungo un muro.</v>
      </c>
    </row>
    <row r="18327">
      <c r="A18327" s="4" t="s">
        <v>23059</v>
      </c>
      <c r="B18327" s="4" t="s">
        <v>23061</v>
      </c>
      <c r="C18327" s="5" t="str">
        <f>IFERROR(__xludf.DUMMYFUNCTION("GOOGLETRANSLATE(B18327,""en"",""it"")"),"L'uomo viene quindi visto esprimere la carta attraverso un tavolo.")</f>
        <v>L'uomo viene quindi visto esprimere la carta attraverso un tavolo.</v>
      </c>
    </row>
    <row r="18328">
      <c r="A18328" s="4" t="s">
        <v>23059</v>
      </c>
      <c r="B18328" s="4" t="s">
        <v>23062</v>
      </c>
      <c r="C18328" s="5" t="str">
        <f>IFERROR(__xludf.DUMMYFUNCTION("GOOGLETRANSLATE(B18328,""en"",""it"")"),"Poco dopo mette lo sfondo sul muro.")</f>
        <v>Poco dopo mette lo sfondo sul muro.</v>
      </c>
    </row>
    <row r="18329">
      <c r="A18329" s="4" t="s">
        <v>23063</v>
      </c>
      <c r="B18329" s="4" t="s">
        <v>23064</v>
      </c>
      <c r="C18329" s="5" t="str">
        <f>IFERROR(__xludf.DUMMYFUNCTION("GOOGLETRANSLATE(B18329,""en"",""it"")"),"Una donna sulle lame a rulli si muove all'indietro, cade sull'erba e ride.")</f>
        <v>Una donna sulle lame a rulli si muove all'indietro, cade sull'erba e ride.</v>
      </c>
    </row>
    <row r="18330">
      <c r="A18330" s="4" t="s">
        <v>23063</v>
      </c>
      <c r="B18330" s="4" t="s">
        <v>23065</v>
      </c>
      <c r="C18330" s="5" t="str">
        <f>IFERROR(__xludf.DUMMYFUNCTION("GOOGLETRANSLATE(B18330,""en"",""it"")"),"Un'amica sta parlando con la donna caduta mentre cerca di alzarsi.")</f>
        <v>Un'amica sta parlando con la donna caduta mentre cerca di alzarsi.</v>
      </c>
    </row>
    <row r="18331">
      <c r="A18331" s="4" t="s">
        <v>23063</v>
      </c>
      <c r="B18331" s="4" t="s">
        <v>23066</v>
      </c>
      <c r="C18331" s="5" t="str">
        <f>IFERROR(__xludf.DUMMYFUNCTION("GOOGLETRANSLATE(B18331,""en"",""it"")"),"Un'amica le parla mentre tiene la telecamera e le offre una mano per alzarsi.")</f>
        <v>Un'amica le parla mentre tiene la telecamera e le offre una mano per alzarsi.</v>
      </c>
    </row>
    <row r="18332">
      <c r="A18332" s="4" t="s">
        <v>23063</v>
      </c>
      <c r="B18332" s="4" t="s">
        <v>23067</v>
      </c>
      <c r="C18332" s="5" t="str">
        <f>IFERROR(__xludf.DUMMYFUNCTION("GOOGLETRANSLATE(B18332,""en"",""it"")"),"Due donne tengono la mano e iniziano a rulli, mentre la ragazza con la camicia rossa impara come.")</f>
        <v>Due donne tengono la mano e iniziano a rulli, mentre la ragazza con la camicia rossa impara come.</v>
      </c>
    </row>
    <row r="18333">
      <c r="A18333" s="4" t="s">
        <v>23063</v>
      </c>
      <c r="B18333" s="4" t="s">
        <v>23068</v>
      </c>
      <c r="C18333" s="5" t="str">
        <f>IFERROR(__xludf.DUMMYFUNCTION("GOOGLETRANSLATE(B18333,""en"",""it"")"),"La ragazza con la camicia rossa cade e tutti ridono.")</f>
        <v>La ragazza con la camicia rossa cade e tutti ridono.</v>
      </c>
    </row>
    <row r="18334">
      <c r="A18334" s="4" t="s">
        <v>23069</v>
      </c>
      <c r="B18334" s="6" t="s">
        <v>23070</v>
      </c>
      <c r="C18334" s="5" t="str">
        <f>IFERROR(__xludf.DUMMYFUNCTION("GOOGLETRANSLATE(B18334,""en"",""it"")"),"Viene mostrato un soffiatore di foglie che soffia una grande pila di foglie su un prato verde di fronte alle case residenziali.")</f>
        <v>Viene mostrato un soffiatore di foglie che soffia una grande pila di foglie su un prato verde di fronte alle case residenziali.</v>
      </c>
    </row>
    <row r="18335">
      <c r="A18335" s="4" t="s">
        <v>23069</v>
      </c>
      <c r="B18335" s="6" t="s">
        <v>23071</v>
      </c>
      <c r="C18335" s="5" t="str">
        <f>IFERROR(__xludf.DUMMYFUNCTION("GOOGLETRANSLATE(B18335,""en"",""it"")"),"Le foglie volano in aria ma si attaccano in gran parte mentre il soffiatore di foglie si asciuga il terreno pulito delle foglie marroni e inizia a formare pile sul prato.")</f>
        <v>Le foglie volano in aria ma si attaccano in gran parte mentre il soffiatore di foglie si asciuga il terreno pulito delle foglie marroni e inizia a formare pile sul prato.</v>
      </c>
    </row>
    <row r="18336">
      <c r="A18336" s="4" t="s">
        <v>23069</v>
      </c>
      <c r="B18336" s="6" t="s">
        <v>23072</v>
      </c>
      <c r="C18336" s="5" t="str">
        <f>IFERROR(__xludf.DUMMYFUNCTION("GOOGLETRANSLATE(B18336,""en"",""it"")"),"La telecamera di tanto in tanto e infine si sistema su un rasaerba da sterzo giallo seduto nel cortile oltre le pile di foglie.")</f>
        <v>La telecamera di tanto in tanto e infine si sistema su un rasaerba da sterzo giallo seduto nel cortile oltre le pile di foglie.</v>
      </c>
    </row>
    <row r="18337">
      <c r="A18337" s="4" t="s">
        <v>23073</v>
      </c>
      <c r="B18337" s="4" t="s">
        <v>23074</v>
      </c>
      <c r="C18337" s="5" t="str">
        <f>IFERROR(__xludf.DUMMYFUNCTION("GOOGLETRANSLATE(B18337,""en"",""it"")"),"Vediamo una ragazza con i capelli viola che parla alla telecamera.")</f>
        <v>Vediamo una ragazza con i capelli viola che parla alla telecamera.</v>
      </c>
    </row>
    <row r="18338">
      <c r="A18338" s="4" t="s">
        <v>23073</v>
      </c>
      <c r="B18338" s="4" t="s">
        <v>23075</v>
      </c>
      <c r="C18338" s="5" t="str">
        <f>IFERROR(__xludf.DUMMYFUNCTION("GOOGLETRANSLATE(B18338,""en"",""it"")"),"Vediamo la ragazza che guarda la telecamera.")</f>
        <v>Vediamo la ragazza che guarda la telecamera.</v>
      </c>
    </row>
    <row r="18339">
      <c r="A18339" s="4" t="s">
        <v>23073</v>
      </c>
      <c r="B18339" s="4" t="s">
        <v>23076</v>
      </c>
      <c r="C18339" s="5" t="str">
        <f>IFERROR(__xludf.DUMMYFUNCTION("GOOGLETRANSLATE(B18339,""en"",""it"")"),"Vediamo la ragazza fingere di spazzolare e spruzzare i capelli.")</f>
        <v>Vediamo la ragazza fingere di spazzolare e spruzzare i capelli.</v>
      </c>
    </row>
    <row r="18340">
      <c r="A18340" s="4" t="s">
        <v>23073</v>
      </c>
      <c r="B18340" s="4" t="s">
        <v>23077</v>
      </c>
      <c r="C18340" s="5" t="str">
        <f>IFERROR(__xludf.DUMMYFUNCTION("GOOGLETRANSLATE(B18340,""en"",""it"")"),"Tiene 2 bottiglie alla telecamera.")</f>
        <v>Tiene 2 bottiglie alla telecamera.</v>
      </c>
    </row>
    <row r="18341">
      <c r="A18341" s="4" t="s">
        <v>23073</v>
      </c>
      <c r="B18341" s="4" t="s">
        <v>23078</v>
      </c>
      <c r="C18341" s="5" t="str">
        <f>IFERROR(__xludf.DUMMYFUNCTION("GOOGLETRANSLATE(B18341,""en"",""it"")"),"La ragazza si sfiora i capelli e la mette in una coda di cavallo.")</f>
        <v>La ragazza si sfiora i capelli e la mette in una coda di cavallo.</v>
      </c>
    </row>
    <row r="18342">
      <c r="A18342" s="4" t="s">
        <v>23073</v>
      </c>
      <c r="B18342" s="4" t="s">
        <v>23079</v>
      </c>
      <c r="C18342" s="5" t="str">
        <f>IFERROR(__xludf.DUMMYFUNCTION("GOOGLETRANSLATE(B18342,""en"",""it"")"),"La ragazza aggiunge prodotti ai capelli.")</f>
        <v>La ragazza aggiunge prodotti ai capelli.</v>
      </c>
    </row>
    <row r="18343">
      <c r="A18343" s="4" t="s">
        <v>23073</v>
      </c>
      <c r="B18343" s="4" t="s">
        <v>23080</v>
      </c>
      <c r="C18343" s="5" t="str">
        <f>IFERROR(__xludf.DUMMYFUNCTION("GOOGLETRANSLATE(B18343,""en"",""it"")"),"La ragazza punta alla telecamera.")</f>
        <v>La ragazza punta alla telecamera.</v>
      </c>
    </row>
    <row r="18344">
      <c r="A18344" s="4" t="s">
        <v>23073</v>
      </c>
      <c r="B18344" s="4" t="s">
        <v>23081</v>
      </c>
      <c r="C18344" s="5" t="str">
        <f>IFERROR(__xludf.DUMMYFUNCTION("GOOGLETRANSLATE(B18344,""en"",""it"")"),"La ragazza dà alla telecamera un pollice in su.")</f>
        <v>La ragazza dà alla telecamera un pollice in su.</v>
      </c>
    </row>
    <row r="18345">
      <c r="A18345" s="4" t="s">
        <v>23082</v>
      </c>
      <c r="B18345" s="4" t="s">
        <v>23083</v>
      </c>
      <c r="C18345" s="5" t="str">
        <f>IFERROR(__xludf.DUMMYFUNCTION("GOOGLETRANSLATE(B18345,""en"",""it"")"),"L'uomo è in piedi in una stanza giocando a dardo.")</f>
        <v>L'uomo è in piedi in una stanza giocando a dardo.</v>
      </c>
    </row>
    <row r="18346">
      <c r="A18346" s="4" t="s">
        <v>23082</v>
      </c>
      <c r="B18346" s="4" t="s">
        <v>23084</v>
      </c>
      <c r="C18346" s="5" t="str">
        <f>IFERROR(__xludf.DUMMYFUNCTION("GOOGLETRANSLATE(B18346,""en"",""it"")"),"L'uomo sta gettando le freccette in un bordo di freccette.")</f>
        <v>L'uomo sta gettando le freccette in un bordo di freccette.</v>
      </c>
    </row>
    <row r="18347">
      <c r="A18347" s="4" t="s">
        <v>23082</v>
      </c>
      <c r="B18347" s="4" t="s">
        <v>23085</v>
      </c>
      <c r="C18347" s="5" t="str">
        <f>IFERROR(__xludf.DUMMYFUNCTION("GOOGLETRANSLATE(B18347,""en"",""it"")"),"L'uomo afferra le freccette dal tabellone e parla alla telecamera.")</f>
        <v>L'uomo afferra le freccette dal tabellone e parla alla telecamera.</v>
      </c>
    </row>
    <row r="18348">
      <c r="A18348" s="4" t="s">
        <v>23086</v>
      </c>
      <c r="B18348" s="6" t="s">
        <v>23087</v>
      </c>
      <c r="C18348" s="5" t="str">
        <f>IFERROR(__xludf.DUMMYFUNCTION("GOOGLETRANSLATE(B18348,""en"",""it"")"),"Ci sono persone che lavorano in un bevanda alimentari che riempiono tazze, scuotono tazze, tengono tazze o semplicemente camminano in giro.")</f>
        <v>Ci sono persone che lavorano in un bevanda alimentari che riempiono tazze, scuotono tazze, tengono tazze o semplicemente camminano in giro.</v>
      </c>
    </row>
    <row r="18349">
      <c r="A18349" s="4" t="s">
        <v>23086</v>
      </c>
      <c r="B18349" s="6" t="s">
        <v>23088</v>
      </c>
      <c r="C18349" s="5" t="str">
        <f>IFERROR(__xludf.DUMMYFUNCTION("GOOGLETRANSLATE(B18349,""en"",""it"")"),"Un giovane riempie una tazza limpida di liquido, la mette sul bancone, lo copre con una tazza di carta, la scuote vigorosamente e quando ha finito mette giù la tazza di carta e versa tutto il contenuto, mette una cannuccia gialla in e lo consegna alla per"&amp;"sona che aspetta.")</f>
        <v>Un giovane riempie una tazza limpida di liquido, la mette sul bancone, lo copre con una tazza di carta, la scuote vigorosamente e quando ha finito mette giù la tazza di carta e versa tutto il contenuto, mette una cannuccia gialla in e lo consegna alla persona che aspetta.</v>
      </c>
    </row>
    <row r="18350">
      <c r="A18350" s="4" t="s">
        <v>23086</v>
      </c>
      <c r="B18350" s="6" t="s">
        <v>23089</v>
      </c>
      <c r="C18350" s="5" t="str">
        <f>IFERROR(__xludf.DUMMYFUNCTION("GOOGLETRANSLATE(B18350,""en"",""it"")"),"Accanto a lui un altro ragazzo stava anche scuotendo una tazza e poi si preparava a trasferire il contenuto su un bicchiere di carta.")</f>
        <v>Accanto a lui un altro ragazzo stava anche scuotendo una tazza e poi si preparava a trasferire il contenuto su un bicchiere di carta.</v>
      </c>
    </row>
    <row r="18351">
      <c r="A18351" s="4" t="s">
        <v>23090</v>
      </c>
      <c r="B18351" s="6" t="s">
        <v>23091</v>
      </c>
      <c r="C18351" s="5" t="str">
        <f>IFERROR(__xludf.DUMMYFUNCTION("GOOGLETRANSLATE(B18351,""en"",""it"")"),"Un uomo con una camicia blu parla accanto a una partita da tavolo da hockey aereo in una stanza di vetrina, intervallata dal video di quattro uomini che dimostrano un gioco di hockey su aria da tavolo.")</f>
        <v>Un uomo con una camicia blu parla accanto a una partita da tavolo da hockey aereo in una stanza di vetrina, intervallata dal video di quattro uomini che dimostrano un gioco di hockey su aria da tavolo.</v>
      </c>
    </row>
    <row r="18352">
      <c r="A18352" s="4" t="s">
        <v>23090</v>
      </c>
      <c r="B18352" s="4" t="s">
        <v>23092</v>
      </c>
      <c r="C18352" s="5" t="str">
        <f>IFERROR(__xludf.DUMMYFUNCTION("GOOGLETRANSLATE(B18352,""en"",""it"")"),"Un uomo inizia a parlare da uno showroom, mentre si trova davanti a una partita da tavolo da hockey aereo.")</f>
        <v>Un uomo inizia a parlare da uno showroom, mentre si trova davanti a una partita da tavolo da hockey aereo.</v>
      </c>
    </row>
    <row r="18353">
      <c r="A18353" s="4" t="s">
        <v>23090</v>
      </c>
      <c r="B18353" s="4" t="s">
        <v>23093</v>
      </c>
      <c r="C18353" s="5" t="str">
        <f>IFERROR(__xludf.DUMMYFUNCTION("GOOGLETRANSLATE(B18353,""en"",""it"")"),"La fotocamera si taglia per mostrare quattro uomini che giocano a un gioco di aria con il gioco da tavolo.")</f>
        <v>La fotocamera si taglia per mostrare quattro uomini che giocano a un gioco di aria con il gioco da tavolo.</v>
      </c>
    </row>
    <row r="18354">
      <c r="A18354" s="4" t="s">
        <v>23090</v>
      </c>
      <c r="B18354" s="6" t="s">
        <v>23094</v>
      </c>
      <c r="C18354" s="5" t="str">
        <f>IFERROR(__xludf.DUMMYFUNCTION("GOOGLETRANSLATE(B18354,""en"",""it"")"),"L'uomo parla di nuovo, accanto al gioco del tavolo, fino a quando la telecamera si allontana di nuovo agli uomini che giocano a hockey aereo fino a quando la scena svanisce per un elaborato grafico di marketing di giochi di gold standard.")</f>
        <v>L'uomo parla di nuovo, accanto al gioco del tavolo, fino a quando la telecamera si allontana di nuovo agli uomini che giocano a hockey aereo fino a quando la scena svanisce per un elaborato grafico di marketing di giochi di gold standard.</v>
      </c>
    </row>
    <row r="18355">
      <c r="A18355" s="4" t="s">
        <v>23095</v>
      </c>
      <c r="B18355" s="6" t="s">
        <v>23096</v>
      </c>
      <c r="C18355" s="5" t="str">
        <f>IFERROR(__xludf.DUMMYFUNCTION("GOOGLETRANSLATE(B18355,""en"",""it"")"),"Un uomo si erge a bordo di un impianto di volta mentre una serie di Vaulters viene mostrata tentando la volta con vari gradi di successo.")</f>
        <v>Un uomo si erge a bordo di un impianto di volta mentre una serie di Vaulters viene mostrata tentando la volta con vari gradi di successo.</v>
      </c>
    </row>
    <row r="18356">
      <c r="A18356" s="4" t="s">
        <v>23095</v>
      </c>
      <c r="B18356" s="4" t="s">
        <v>23097</v>
      </c>
      <c r="C18356" s="5" t="str">
        <f>IFERROR(__xludf.DUMMYFUNCTION("GOOGLETRANSLATE(B18356,""en"",""it"")"),"Un gruppo di persone che indossano uniformi bianche camminano sullo sfondo.")</f>
        <v>Un gruppo di persone che indossano uniformi bianche camminano sullo sfondo.</v>
      </c>
    </row>
    <row r="18357">
      <c r="A18357" s="4" t="s">
        <v>23095</v>
      </c>
      <c r="B18357" s="4" t="s">
        <v>23098</v>
      </c>
      <c r="C18357" s="5" t="str">
        <f>IFERROR(__xludf.DUMMYFUNCTION("GOOGLETRANSLATE(B18357,""en"",""it"")"),"Due persone passano in sottofondo.")</f>
        <v>Due persone passano in sottofondo.</v>
      </c>
    </row>
    <row r="18358">
      <c r="A18358" s="4" t="s">
        <v>23099</v>
      </c>
      <c r="B18358" s="4" t="s">
        <v>23100</v>
      </c>
      <c r="C18358" s="5" t="str">
        <f>IFERROR(__xludf.DUMMYFUNCTION("GOOGLETRANSLATE(B18358,""en"",""it"")"),"Una donna sta chiudendo gli occhi in piedi su una tavola da immersione.")</f>
        <v>Una donna sta chiudendo gli occhi in piedi su una tavola da immersione.</v>
      </c>
    </row>
    <row r="18359">
      <c r="A18359" s="4" t="s">
        <v>23099</v>
      </c>
      <c r="B18359" s="4" t="s">
        <v>23101</v>
      </c>
      <c r="C18359" s="5" t="str">
        <f>IFERROR(__xludf.DUMMYFUNCTION("GOOGLETRANSLATE(B18359,""en"",""it"")"),"Si lancia e si tuffa nell'acqua.")</f>
        <v>Si lancia e si tuffa nell'acqua.</v>
      </c>
    </row>
    <row r="18360">
      <c r="A18360" s="4" t="s">
        <v>23099</v>
      </c>
      <c r="B18360" s="4" t="s">
        <v>23102</v>
      </c>
      <c r="C18360" s="5" t="str">
        <f>IFERROR(__xludf.DUMMYFUNCTION("GOOGLETRANSLATE(B18360,""en"",""it"")"),"Nuota in superficie.")</f>
        <v>Nuota in superficie.</v>
      </c>
    </row>
    <row r="18361">
      <c r="A18361" s="4" t="s">
        <v>23103</v>
      </c>
      <c r="B18361" s="4" t="s">
        <v>23104</v>
      </c>
      <c r="C18361" s="5" t="str">
        <f>IFERROR(__xludf.DUMMYFUNCTION("GOOGLETRANSLATE(B18361,""en"",""it"")"),"Una band suona su un palco.")</f>
        <v>Una band suona su un palco.</v>
      </c>
    </row>
    <row r="18362">
      <c r="A18362" s="4" t="s">
        <v>23103</v>
      </c>
      <c r="B18362" s="4" t="s">
        <v>23105</v>
      </c>
      <c r="C18362" s="5" t="str">
        <f>IFERROR(__xludf.DUMMYFUNCTION("GOOGLETRANSLATE(B18362,""en"",""it"")"),"Un uomo e una donna bacio.")</f>
        <v>Un uomo e una donna bacio.</v>
      </c>
    </row>
    <row r="18363">
      <c r="A18363" s="4" t="s">
        <v>23103</v>
      </c>
      <c r="B18363" s="4" t="s">
        <v>23106</v>
      </c>
      <c r="C18363" s="5" t="str">
        <f>IFERROR(__xludf.DUMMYFUNCTION("GOOGLETRANSLATE(B18363,""en"",""it"")"),"Un uomo con una camicia gialla suona il sassofono.")</f>
        <v>Un uomo con una camicia gialla suona il sassofono.</v>
      </c>
    </row>
    <row r="18364">
      <c r="A18364" s="4" t="s">
        <v>23107</v>
      </c>
      <c r="B18364" s="4" t="s">
        <v>23108</v>
      </c>
      <c r="C18364" s="5" t="str">
        <f>IFERROR(__xludf.DUMMYFUNCTION("GOOGLETRANSLATE(B18364,""en"",""it"")"),"Un giovane si siede e si avvicina a un tamburo.")</f>
        <v>Un giovane si siede e si avvicina a un tamburo.</v>
      </c>
    </row>
    <row r="18365">
      <c r="A18365" s="4" t="s">
        <v>23107</v>
      </c>
      <c r="B18365" s="4" t="s">
        <v>23109</v>
      </c>
      <c r="C18365" s="5" t="str">
        <f>IFERROR(__xludf.DUMMYFUNCTION("GOOGLETRANSLATE(B18365,""en"",""it"")"),"Prende i suoi bastoncini e li colpisce insieme.")</f>
        <v>Prende i suoi bastoncini e li colpisce insieme.</v>
      </c>
    </row>
    <row r="18366">
      <c r="A18366" s="4" t="s">
        <v>23107</v>
      </c>
      <c r="B18366" s="4" t="s">
        <v>23110</v>
      </c>
      <c r="C18366" s="5" t="str">
        <f>IFERROR(__xludf.DUMMYFUNCTION("GOOGLETRANSLATE(B18366,""en"",""it"")"),"Comincia a contare e tamburo.")</f>
        <v>Comincia a contare e tamburo.</v>
      </c>
    </row>
    <row r="18367">
      <c r="A18367" s="4" t="s">
        <v>23107</v>
      </c>
      <c r="B18367" s="4" t="s">
        <v>23111</v>
      </c>
      <c r="C18367" s="5" t="str">
        <f>IFERROR(__xludf.DUMMYFUNCTION("GOOGLETRANSLATE(B18367,""en"",""it"")"),"Si batte più velocemente mentre distoglie lo sguardo e poi si ferma per regolare alcuni tamburi.")</f>
        <v>Si batte più velocemente mentre distoglie lo sguardo e poi si ferma per regolare alcuni tamburi.</v>
      </c>
    </row>
    <row r="18368">
      <c r="A18368" s="4" t="s">
        <v>23107</v>
      </c>
      <c r="B18368" s="6" t="s">
        <v>23112</v>
      </c>
      <c r="C18368" s="5" t="str">
        <f>IFERROR(__xludf.DUMMYFUNCTION("GOOGLETRANSLATE(B18368,""en"",""it"")"),"Si alza e muove la telecamera per mostrare una leva che si muove e poi tocca più e più volte una tamburo.")</f>
        <v>Si alza e muove la telecamera per mostrare una leva che si muove e poi tocca più e più volte una tamburo.</v>
      </c>
    </row>
    <row r="18369">
      <c r="A18369" s="4" t="s">
        <v>23107</v>
      </c>
      <c r="B18369" s="4" t="s">
        <v>23113</v>
      </c>
      <c r="C18369" s="5" t="str">
        <f>IFERROR(__xludf.DUMMYFUNCTION("GOOGLETRANSLATE(B18369,""en"",""it"")"),"Dà un pollice in su e un segno di pace.")</f>
        <v>Dà un pollice in su e un segno di pace.</v>
      </c>
    </row>
    <row r="18370">
      <c r="A18370" s="4" t="s">
        <v>23114</v>
      </c>
      <c r="B18370" s="4" t="s">
        <v>23115</v>
      </c>
      <c r="C18370" s="5" t="str">
        <f>IFERROR(__xludf.DUMMYFUNCTION("GOOGLETRANSLATE(B18370,""en"",""it"")"),"Un uomo è seduto a un piano, suonando e canta in un microfono.")</f>
        <v>Un uomo è seduto a un piano, suonando e canta in un microfono.</v>
      </c>
    </row>
    <row r="18371">
      <c r="A18371" s="4" t="s">
        <v>23114</v>
      </c>
      <c r="B18371" s="4" t="s">
        <v>23116</v>
      </c>
      <c r="C18371" s="5" t="str">
        <f>IFERROR(__xludf.DUMMYFUNCTION("GOOGLETRANSLATE(B18371,""en"",""it"")"),"Quando finisce, alza lo sguardo e sorride.")</f>
        <v>Quando finisce, alza lo sguardo e sorride.</v>
      </c>
    </row>
    <row r="18372">
      <c r="A18372" s="4" t="s">
        <v>23117</v>
      </c>
      <c r="B18372" s="4" t="s">
        <v>23118</v>
      </c>
      <c r="C18372" s="5" t="str">
        <f>IFERROR(__xludf.DUMMYFUNCTION("GOOGLETRANSLATE(B18372,""en"",""it"")"),"Una femmina atleta corre rapidamente lungo una pista.")</f>
        <v>Una femmina atleta corre rapidamente lungo una pista.</v>
      </c>
    </row>
    <row r="18373">
      <c r="A18373" s="4" t="s">
        <v>23117</v>
      </c>
      <c r="B18373" s="4" t="s">
        <v>23119</v>
      </c>
      <c r="C18373" s="5" t="str">
        <f>IFERROR(__xludf.DUMMYFUNCTION("GOOGLETRANSLATE(B18373,""en"",""it"")"),"Arazzi la sabbia prima di alzarsi e allontanarsi.")</f>
        <v>Arazzi la sabbia prima di alzarsi e allontanarsi.</v>
      </c>
    </row>
    <row r="18374">
      <c r="A18374" s="4" t="s">
        <v>23117</v>
      </c>
      <c r="B18374" s="4" t="s">
        <v>23120</v>
      </c>
      <c r="C18374" s="5" t="str">
        <f>IFERROR(__xludf.DUMMYFUNCTION("GOOGLETRANSLATE(B18374,""en"",""it"")"),"La scena si ripete tre volte prima di terminare con il suo applauso e applaudito.")</f>
        <v>La scena si ripete tre volte prima di terminare con il suo applauso e applaudito.</v>
      </c>
    </row>
    <row r="18375">
      <c r="A18375" s="4" t="s">
        <v>23121</v>
      </c>
      <c r="B18375" s="4" t="s">
        <v>23122</v>
      </c>
      <c r="C18375" s="5" t="str">
        <f>IFERROR(__xludf.DUMMYFUNCTION("GOOGLETRANSLATE(B18375,""en"",""it"")"),"Una persona viene vista appesa sul lato di un raggio che scende mentre un altro uomo lo tiene.")</f>
        <v>Una persona viene vista appesa sul lato di un raggio che scende mentre un altro uomo lo tiene.</v>
      </c>
    </row>
    <row r="18376">
      <c r="A18376" s="4" t="s">
        <v>23121</v>
      </c>
      <c r="B18376" s="4" t="s">
        <v>23123</v>
      </c>
      <c r="C18376" s="5" t="str">
        <f>IFERROR(__xludf.DUMMYFUNCTION("GOOGLETRANSLATE(B18376,""en"",""it"")"),"Quindi solleva l'altro uomo e lo guarda saltare sul lato su una bungee corda.")</f>
        <v>Quindi solleva l'altro uomo e lo guarda saltare sul lato su una bungee corda.</v>
      </c>
    </row>
    <row r="18377">
      <c r="A18377" s="4" t="s">
        <v>23124</v>
      </c>
      <c r="B18377" s="4" t="s">
        <v>23125</v>
      </c>
      <c r="C18377" s="5" t="str">
        <f>IFERROR(__xludf.DUMMYFUNCTION("GOOGLETRANSLATE(B18377,""en"",""it"")"),"Un uomo è in un culto, parlando di fronte a un pezzo di legno.")</f>
        <v>Un uomo è in un culto, parlando di fronte a un pezzo di legno.</v>
      </c>
    </row>
    <row r="18378">
      <c r="A18378" s="4" t="s">
        <v>23124</v>
      </c>
      <c r="B18378" s="4" t="s">
        <v>23126</v>
      </c>
      <c r="C18378" s="5" t="str">
        <f>IFERROR(__xludf.DUMMYFUNCTION("GOOGLETRANSLATE(B18378,""en"",""it"")"),"Leviga il pezzo di legno verso il basso, quindi si asciuga il sigillante o la macchia sul legno.")</f>
        <v>Leviga il pezzo di legno verso il basso, quindi si asciuga il sigillante o la macchia sul legno.</v>
      </c>
    </row>
    <row r="18379">
      <c r="A18379" s="4" t="s">
        <v>23127</v>
      </c>
      <c r="B18379" s="4" t="s">
        <v>23128</v>
      </c>
      <c r="C18379" s="5" t="str">
        <f>IFERROR(__xludf.DUMMYFUNCTION("GOOGLETRANSLATE(B18379,""en"",""it"")"),"Un uomo si accovaccia nei boschi accanto a un mucchio di pietre.")</f>
        <v>Un uomo si accovaccia nei boschi accanto a un mucchio di pietre.</v>
      </c>
    </row>
    <row r="18380">
      <c r="A18380" s="4" t="s">
        <v>23127</v>
      </c>
      <c r="B18380" s="4" t="s">
        <v>23129</v>
      </c>
      <c r="C18380" s="5" t="str">
        <f>IFERROR(__xludf.DUMMYFUNCTION("GOOGLETRANSLATE(B18380,""en"",""it"")"),"Sta spiegando l'edificio di un incendio.")</f>
        <v>Sta spiegando l'edificio di un incendio.</v>
      </c>
    </row>
    <row r="18381">
      <c r="A18381" s="4" t="s">
        <v>23127</v>
      </c>
      <c r="B18381" s="4" t="s">
        <v>23130</v>
      </c>
      <c r="C18381" s="5" t="str">
        <f>IFERROR(__xludf.DUMMYFUNCTION("GOOGLETRANSLATE(B18381,""en"",""it"")"),"Accende il legno, creando un fuoco.")</f>
        <v>Accende il legno, creando un fuoco.</v>
      </c>
    </row>
    <row r="18382">
      <c r="A18382" s="4" t="s">
        <v>23131</v>
      </c>
      <c r="B18382" s="4" t="s">
        <v>23132</v>
      </c>
      <c r="C18382" s="5" t="str">
        <f>IFERROR(__xludf.DUMMYFUNCTION("GOOGLETRANSLATE(B18382,""en"",""it"")"),"Le persone giocano a hockey su una pista di pattinaggio.")</f>
        <v>Le persone giocano a hockey su una pista di pattinaggio.</v>
      </c>
    </row>
    <row r="18383">
      <c r="A18383" s="4" t="s">
        <v>23131</v>
      </c>
      <c r="B18383" s="4" t="s">
        <v>23133</v>
      </c>
      <c r="C18383" s="5" t="str">
        <f>IFERROR(__xludf.DUMMYFUNCTION("GOOGLETRANSLATE(B18383,""en"",""it"")"),"Una persona cade sul ghiaccio.")</f>
        <v>Una persona cade sul ghiaccio.</v>
      </c>
    </row>
    <row r="18384">
      <c r="A18384" s="4" t="s">
        <v>23131</v>
      </c>
      <c r="B18384" s="4" t="s">
        <v>23134</v>
      </c>
      <c r="C18384" s="5" t="str">
        <f>IFERROR(__xludf.DUMMYFUNCTION("GOOGLETRANSLATE(B18384,""en"",""it"")"),"Una persona corre dopo un disco e cade di nuovo.")</f>
        <v>Una persona corre dopo un disco e cade di nuovo.</v>
      </c>
    </row>
    <row r="18385">
      <c r="A18385" s="4" t="s">
        <v>23131</v>
      </c>
      <c r="B18385" s="4" t="s">
        <v>23135</v>
      </c>
      <c r="C18385" s="5" t="str">
        <f>IFERROR(__xludf.DUMMYFUNCTION("GOOGLETRANSLATE(B18385,""en"",""it"")"),"Comincia a colpire il disco e cade di nuovo.")</f>
        <v>Comincia a colpire il disco e cade di nuovo.</v>
      </c>
    </row>
    <row r="18386">
      <c r="A18386" s="4" t="s">
        <v>23136</v>
      </c>
      <c r="B18386" s="4" t="s">
        <v>1487</v>
      </c>
      <c r="C18386" s="5" t="str">
        <f>IFERROR(__xludf.DUMMYFUNCTION("GOOGLETRANSLATE(B18386,""en"",""it"")"),"Vediamo una schermata del titolo di apertura.")</f>
        <v>Vediamo una schermata del titolo di apertura.</v>
      </c>
    </row>
    <row r="18387">
      <c r="A18387" s="4" t="s">
        <v>23136</v>
      </c>
      <c r="B18387" s="4" t="s">
        <v>23137</v>
      </c>
      <c r="C18387" s="5" t="str">
        <f>IFERROR(__xludf.DUMMYFUNCTION("GOOGLETRANSLATE(B18387,""en"",""it"")"),"Vediamo un uomo in un negozio con uno sci.")</f>
        <v>Vediamo un uomo in un negozio con uno sci.</v>
      </c>
    </row>
    <row r="18388">
      <c r="A18388" s="4" t="s">
        <v>23136</v>
      </c>
      <c r="B18388" s="4" t="s">
        <v>23138</v>
      </c>
      <c r="C18388" s="5" t="str">
        <f>IFERROR(__xludf.DUMMYFUNCTION("GOOGLETRANSLATE(B18388,""en"",""it"")"),"L'uomo ci mostra una lattina di prodotto su cui spruzza e asciuga uno sci.")</f>
        <v>L'uomo ci mostra una lattina di prodotto su cui spruzza e asciuga uno sci.</v>
      </c>
    </row>
    <row r="18389">
      <c r="A18389" s="4" t="s">
        <v>23136</v>
      </c>
      <c r="B18389" s="4" t="s">
        <v>23139</v>
      </c>
      <c r="C18389" s="5" t="str">
        <f>IFERROR(__xludf.DUMMYFUNCTION("GOOGLETRANSLATE(B18389,""en"",""it"")"),"L'uomo quindi tiene lo sci per vedere.")</f>
        <v>L'uomo quindi tiene lo sci per vedere.</v>
      </c>
    </row>
    <row r="18390">
      <c r="A18390" s="4" t="s">
        <v>23136</v>
      </c>
      <c r="B18390" s="4" t="s">
        <v>23140</v>
      </c>
      <c r="C18390" s="5" t="str">
        <f>IFERROR(__xludf.DUMMYFUNCTION("GOOGLETRANSLATE(B18390,""en"",""it"")"),"Vediamo due prodotti da sci e uno schermo finale.")</f>
        <v>Vediamo due prodotti da sci e uno schermo finale.</v>
      </c>
    </row>
    <row r="18391">
      <c r="A18391" s="4" t="s">
        <v>23141</v>
      </c>
      <c r="B18391" s="4" t="s">
        <v>23142</v>
      </c>
      <c r="C18391" s="5" t="str">
        <f>IFERROR(__xludf.DUMMYFUNCTION("GOOGLETRANSLATE(B18391,""en"",""it"")"),"Due bambini con capelli estremamente lunghi sono fuori vicino a un gruppo di capannoni.")</f>
        <v>Due bambini con capelli estremamente lunghi sono fuori vicino a un gruppo di capannoni.</v>
      </c>
    </row>
    <row r="18392">
      <c r="A18392" s="4" t="s">
        <v>23141</v>
      </c>
      <c r="B18392" s="4" t="s">
        <v>23143</v>
      </c>
      <c r="C18392" s="5" t="str">
        <f>IFERROR(__xludf.DUMMYFUNCTION("GOOGLETRANSLATE(B18392,""en"",""it"")"),"Il ragazzo più corto inizia a tirare i capelli degli altri ragazzi e tirarlo davanti.")</f>
        <v>Il ragazzo più corto inizia a tirare i capelli degli altri ragazzi e tirarlo davanti.</v>
      </c>
    </row>
    <row r="18393">
      <c r="A18393" s="4" t="s">
        <v>23141</v>
      </c>
      <c r="B18393" s="6" t="s">
        <v>23144</v>
      </c>
      <c r="C18393" s="5" t="str">
        <f>IFERROR(__xludf.DUMMYFUNCTION("GOOGLETRANSLATE(B18393,""en"",""it"")"),"Tuttavia, il ragazzo lascia andare i capelli dei ragazzi e il ragazzo inizia a inginocchiarlo nella zona privata, raccoglierlo sopra la sua testa e lasciarlo cadere su un pezzo di legno.")</f>
        <v>Tuttavia, il ragazzo lascia andare i capelli dei ragazzi e il ragazzo inizia a inginocchiarlo nella zona privata, raccoglierlo sopra la sua testa e lasciarlo cadere su un pezzo di legno.</v>
      </c>
    </row>
    <row r="18394">
      <c r="A18394" s="4" t="s">
        <v>23145</v>
      </c>
      <c r="B18394" s="4" t="s">
        <v>23146</v>
      </c>
      <c r="C18394" s="5" t="str">
        <f>IFERROR(__xludf.DUMMYFUNCTION("GOOGLETRANSLATE(B18394,""en"",""it"")"),"Ci sono molte persone vestite sedute in una grande sala da pranzo in un ricevimento.")</f>
        <v>Ci sono molte persone vestite sedute in una grande sala da pranzo in un ricevimento.</v>
      </c>
    </row>
    <row r="18395">
      <c r="A18395" s="4" t="s">
        <v>23145</v>
      </c>
      <c r="B18395" s="6" t="s">
        <v>23147</v>
      </c>
      <c r="C18395" s="5" t="str">
        <f>IFERROR(__xludf.DUMMYFUNCTION("GOOGLETRANSLATE(B18395,""en"",""it"")"),"Una donna bruna tocca una donna bionda sulla schiena, indica qualcosa a terra e le donne sorridono con la donna bionda si sporge e raccoglie il suo maglione che era a terra.")</f>
        <v>Una donna bruna tocca una donna bionda sulla schiena, indica qualcosa a terra e le donne sorridono con la donna bionda si sporge e raccoglie il suo maglione che era a terra.</v>
      </c>
    </row>
    <row r="18396">
      <c r="A18396" s="4" t="s">
        <v>23145</v>
      </c>
      <c r="B18396" s="6" t="s">
        <v>23148</v>
      </c>
      <c r="C18396" s="5" t="str">
        <f>IFERROR(__xludf.DUMMYFUNCTION("GOOGLETRANSLATE(B18396,""en"",""it"")"),"Una donna vestita con un abito fluente blu con un body blu sotto si sta alzando, e inizia a fare una routine di danza di balletto nel mezzo del grande pavimento danzante mentre le persone nell'area della reception la guardano ogni mossa, scattando foto e "&amp;"Videndola.")</f>
        <v>Una donna vestita con un abito fluente blu con un body blu sotto si sta alzando, e inizia a fare una routine di danza di balletto nel mezzo del grande pavimento danzante mentre le persone nell'area della reception la guardano ogni mossa, scattando foto e Videndola.</v>
      </c>
    </row>
    <row r="18397">
      <c r="A18397" s="4" t="s">
        <v>23145</v>
      </c>
      <c r="B18397" s="6" t="s">
        <v>23149</v>
      </c>
      <c r="C18397" s="5" t="str">
        <f>IFERROR(__xludf.DUMMYFUNCTION("GOOGLETRANSLATE(B18397,""en"",""it"")"),"Quando la donna ha finito di ballare, si trova lì con le braccia incrociate sul petto e la folla applaude e le dà una standing ovation mentre prende qualche archi.")</f>
        <v>Quando la donna ha finito di ballare, si trova lì con le braccia incrociate sul petto e la folla applaude e le dà una standing ovation mentre prende qualche archi.</v>
      </c>
    </row>
    <row r="18398">
      <c r="A18398" s="4" t="s">
        <v>23150</v>
      </c>
      <c r="B18398" s="4" t="s">
        <v>23151</v>
      </c>
      <c r="C18398" s="5" t="str">
        <f>IFERROR(__xludf.DUMMYFUNCTION("GOOGLETRANSLATE(B18398,""en"",""it"")"),"La donna è in piedi davanti a un poker e carte.")</f>
        <v>La donna è in piedi davanti a un poker e carte.</v>
      </c>
    </row>
    <row r="18399">
      <c r="A18399" s="4" t="s">
        <v>23150</v>
      </c>
      <c r="B18399" s="4" t="s">
        <v>23152</v>
      </c>
      <c r="C18399" s="5" t="str">
        <f>IFERROR(__xludf.DUMMYFUNCTION("GOOGLETRANSLATE(B18399,""en"",""it"")"),"Si gira le carte e mescola.")</f>
        <v>Si gira le carte e mescola.</v>
      </c>
    </row>
    <row r="18400">
      <c r="A18400" s="4" t="s">
        <v>23150</v>
      </c>
      <c r="B18400" s="4" t="s">
        <v>23153</v>
      </c>
      <c r="C18400" s="5" t="str">
        <f>IFERROR(__xludf.DUMMYFUNCTION("GOOGLETRANSLATE(B18400,""en"",""it"")"),"Le carte sono in uno stack e le hanno divise in 4 e mescolandolo.")</f>
        <v>Le carte sono in uno stack e le hanno divise in 4 e mescolandolo.</v>
      </c>
    </row>
    <row r="18401">
      <c r="A18401" s="4" t="s">
        <v>23150</v>
      </c>
      <c r="B18401" s="4" t="s">
        <v>23154</v>
      </c>
      <c r="C18401" s="5" t="str">
        <f>IFERROR(__xludf.DUMMYFUNCTION("GOOGLETRANSLATE(B18401,""en"",""it"")"),"Le carte sono in uno stack e l'altra persona lo divide in due e le mettono in una scatola trasparente.")</f>
        <v>Le carte sono in uno stack e l'altra persona lo divide in due e le mettono in una scatola trasparente.</v>
      </c>
    </row>
    <row r="18402">
      <c r="A18402" s="4" t="s">
        <v>23155</v>
      </c>
      <c r="B18402" s="4" t="s">
        <v>23156</v>
      </c>
      <c r="C18402" s="5" t="str">
        <f>IFERROR(__xludf.DUMMYFUNCTION("GOOGLETRANSLATE(B18402,""en"",""it"")"),"Una ragazza mostra come cuocere i biscotti da zero.")</f>
        <v>Una ragazza mostra come cuocere i biscotti da zero.</v>
      </c>
    </row>
    <row r="18403">
      <c r="A18403" s="4" t="s">
        <v>23155</v>
      </c>
      <c r="B18403" s="4" t="s">
        <v>23157</v>
      </c>
      <c r="C18403" s="5" t="str">
        <f>IFERROR(__xludf.DUMMYFUNCTION("GOOGLETRANSLATE(B18403,""en"",""it"")"),"Gli ingredienti vengono aggiunti, agitati e quindi la miscela viene inserita nel forno.")</f>
        <v>Gli ingredienti vengono aggiunti, agitati e quindi la miscela viene inserita nel forno.</v>
      </c>
    </row>
    <row r="18404">
      <c r="A18404" s="4" t="s">
        <v>23158</v>
      </c>
      <c r="B18404" s="4" t="s">
        <v>23159</v>
      </c>
      <c r="C18404" s="5" t="str">
        <f>IFERROR(__xludf.DUMMYFUNCTION("GOOGLETRANSLATE(B18404,""en"",""it"")"),"C'è una donna in un impermeabile nero in piedi accanto a una recinzione di legno.")</f>
        <v>C'è una donna in un impermeabile nero in piedi accanto a una recinzione di legno.</v>
      </c>
    </row>
    <row r="18405">
      <c r="A18405" s="4" t="s">
        <v>23158</v>
      </c>
      <c r="B18405" s="4" t="s">
        <v>23160</v>
      </c>
      <c r="C18405" s="5" t="str">
        <f>IFERROR(__xludf.DUMMYFUNCTION("GOOGLETRANSLATE(B18405,""en"",""it"")"),"Si unisce a una bambina che indossa una giacca a polpe punteggiata che le porta un po 'di vernice verde.")</f>
        <v>Si unisce a una bambina che indossa una giacca a polpe punteggiata che le porta un po 'di vernice verde.</v>
      </c>
    </row>
    <row r="18406">
      <c r="A18406" s="4" t="s">
        <v>23158</v>
      </c>
      <c r="B18406" s="4" t="s">
        <v>23161</v>
      </c>
      <c r="C18406" s="5" t="str">
        <f>IFERROR(__xludf.DUMMYFUNCTION("GOOGLETRANSLATE(B18406,""en"",""it"")"),"La donna inizia a dipingere la recinzione con un cespuglio.")</f>
        <v>La donna inizia a dipingere la recinzione con un cespuglio.</v>
      </c>
    </row>
    <row r="18407">
      <c r="A18407" s="4" t="s">
        <v>23158</v>
      </c>
      <c r="B18407" s="6" t="s">
        <v>23162</v>
      </c>
      <c r="C18407" s="5" t="str">
        <f>IFERROR(__xludf.DUMMYFUNCTION("GOOGLETRANSLATE(B18407,""en"",""it"")"),"Ci sono molte altre persone nel quartiere che vengono viste fare volontariato per dipingere la recinzione con la vernice verde.")</f>
        <v>Ci sono molte altre persone nel quartiere che vengono viste fare volontariato per dipingere la recinzione con la vernice verde.</v>
      </c>
    </row>
    <row r="18408">
      <c r="A18408" s="4" t="s">
        <v>23158</v>
      </c>
      <c r="B18408" s="4" t="s">
        <v>23163</v>
      </c>
      <c r="C18408" s="5" t="str">
        <f>IFERROR(__xludf.DUMMYFUNCTION("GOOGLETRANSLATE(B18408,""en"",""it"")"),"I volontari vengono intervistati.")</f>
        <v>I volontari vengono intervistati.</v>
      </c>
    </row>
    <row r="18409">
      <c r="A18409" s="4" t="s">
        <v>23158</v>
      </c>
      <c r="B18409" s="4" t="s">
        <v>23164</v>
      </c>
      <c r="C18409" s="5" t="str">
        <f>IFERROR(__xludf.DUMMYFUNCTION("GOOGLETRANSLATE(B18409,""en"",""it"")"),"Ci sono due ragazzi vestiti con costumi di Batman in piedi lì.")</f>
        <v>Ci sono due ragazzi vestiti con costumi di Batman in piedi lì.</v>
      </c>
    </row>
    <row r="18410">
      <c r="A18410" s="4" t="s">
        <v>23158</v>
      </c>
      <c r="B18410" s="4" t="s">
        <v>23165</v>
      </c>
      <c r="C18410" s="5" t="str">
        <f>IFERROR(__xludf.DUMMYFUNCTION("GOOGLETRANSLATE(B18410,""en"",""it"")"),"I volontari continuano a dipingere la recinzione.")</f>
        <v>I volontari continuano a dipingere la recinzione.</v>
      </c>
    </row>
    <row r="18411">
      <c r="A18411" s="4" t="s">
        <v>23158</v>
      </c>
      <c r="B18411" s="4" t="s">
        <v>23166</v>
      </c>
      <c r="C18411" s="5" t="str">
        <f>IFERROR(__xludf.DUMMYFUNCTION("GOOGLETRANSLATE(B18411,""en"",""it"")"),"Alcune persone della comunità si radunano nel parcheggio.")</f>
        <v>Alcune persone della comunità si radunano nel parcheggio.</v>
      </c>
    </row>
    <row r="18412">
      <c r="A18412" s="4" t="s">
        <v>23158</v>
      </c>
      <c r="B18412" s="4" t="s">
        <v>23167</v>
      </c>
      <c r="C18412" s="5" t="str">
        <f>IFERROR(__xludf.DUMMYFUNCTION("GOOGLETRANSLATE(B18412,""en"",""it"")"),"Le persone continuano a dipingere la recinzione.")</f>
        <v>Le persone continuano a dipingere la recinzione.</v>
      </c>
    </row>
    <row r="18413">
      <c r="A18413" s="4" t="s">
        <v>23168</v>
      </c>
      <c r="B18413" s="4" t="s">
        <v>23169</v>
      </c>
      <c r="C18413" s="5" t="str">
        <f>IFERROR(__xludf.DUMMYFUNCTION("GOOGLETRANSLATE(B18413,""en"",""it"")"),"Vari scenari di montagna sono mostrati da diverse angolazioni.")</f>
        <v>Vari scenari di montagna sono mostrati da diverse angolazioni.</v>
      </c>
    </row>
    <row r="18414">
      <c r="A18414" s="4" t="s">
        <v>23168</v>
      </c>
      <c r="B18414" s="4" t="s">
        <v>23170</v>
      </c>
      <c r="C18414" s="5" t="str">
        <f>IFERROR(__xludf.DUMMYFUNCTION("GOOGLETRANSLATE(B18414,""en"",""it"")"),"Un soldato suona una cornamusa in una scena di montagna.")</f>
        <v>Un soldato suona una cornamusa in una scena di montagna.</v>
      </c>
    </row>
    <row r="18415">
      <c r="A18415" s="4" t="s">
        <v>23171</v>
      </c>
      <c r="B18415" s="6" t="s">
        <v>23172</v>
      </c>
      <c r="C18415" s="5" t="str">
        <f>IFERROR(__xludf.DUMMYFUNCTION("GOOGLETRANSLATE(B18415,""en"",""it"")"),"Vengono mostrate varie clip di paesaggi e persone che cavalcano su barche e un uomo che parla alla telecamera.")</f>
        <v>Vengono mostrate varie clip di paesaggi e persone che cavalcano su barche e un uomo che parla alla telecamera.</v>
      </c>
    </row>
    <row r="18416">
      <c r="A18416" s="4" t="s">
        <v>23171</v>
      </c>
      <c r="B18416" s="6" t="s">
        <v>23173</v>
      </c>
      <c r="C18416" s="5" t="str">
        <f>IFERROR(__xludf.DUMMYFUNCTION("GOOGLETRANSLATE(B18416,""en"",""it"")"),"L'uomo si tuffa nell'acqua ed è mostrato in diverse clip che nuotano e si muovono anche lungo.")</f>
        <v>L'uomo si tuffa nell'acqua ed è mostrato in diverse clip che nuotano e si muovono anche lungo.</v>
      </c>
    </row>
    <row r="18417">
      <c r="A18417" s="4" t="s">
        <v>23171</v>
      </c>
      <c r="B18417" s="6" t="s">
        <v>23174</v>
      </c>
      <c r="C18417" s="5" t="str">
        <f>IFERROR(__xludf.DUMMYFUNCTION("GOOGLETRANSLATE(B18417,""en"",""it"")"),"L'uomo dà gesti della mano alla telecamera e nuota in superficie quando un altro uomo afferra la sua attrezzatura e parla alla telecamera.")</f>
        <v>L'uomo dà gesti della mano alla telecamera e nuota in superficie quando un altro uomo afferra la sua attrezzatura e parla alla telecamera.</v>
      </c>
    </row>
    <row r="18418">
      <c r="A18418" s="4" t="s">
        <v>23171</v>
      </c>
      <c r="B18418" s="4" t="s">
        <v>23175</v>
      </c>
      <c r="C18418" s="5" t="str">
        <f>IFERROR(__xludf.DUMMYFUNCTION("GOOGLETRANSLATE(B18418,""en"",""it"")"),"Più uomini parlano alla telecamera mentre salta dentro.")</f>
        <v>Più uomini parlano alla telecamera mentre salta dentro.</v>
      </c>
    </row>
    <row r="18419">
      <c r="A18419" s="4" t="s">
        <v>23176</v>
      </c>
      <c r="B18419" s="4" t="s">
        <v>23177</v>
      </c>
      <c r="C18419" s="5" t="str">
        <f>IFERROR(__xludf.DUMMYFUNCTION("GOOGLETRANSLATE(B18419,""en"",""it"")"),"Un'introduzione conduce a due uomini che scherzano in un campo.")</f>
        <v>Un'introduzione conduce a due uomini che scherzano in un campo.</v>
      </c>
    </row>
    <row r="18420">
      <c r="A18420" s="4" t="s">
        <v>23176</v>
      </c>
      <c r="B18420" s="4" t="s">
        <v>23178</v>
      </c>
      <c r="C18420" s="5" t="str">
        <f>IFERROR(__xludf.DUMMYFUNCTION("GOOGLETRANSLATE(B18420,""en"",""it"")"),"Vengono mostrati diversi scatti degli uomini che si attaccano l'uno all'altro e l'altro bloccante.")</f>
        <v>Vengono mostrati diversi scatti degli uomini che si attaccano l'uno all'altro e l'altro bloccante.</v>
      </c>
    </row>
    <row r="18421">
      <c r="A18421" s="4" t="s">
        <v>23176</v>
      </c>
      <c r="B18421" s="4" t="s">
        <v>23179</v>
      </c>
      <c r="C18421" s="5" t="str">
        <f>IFERROR(__xludf.DUMMYFUNCTION("GOOGLETRANSLATE(B18421,""en"",""it"")"),"Tra le clip tra le clip della boxe degli uomini.")</f>
        <v>Tra le clip tra le clip della boxe degli uomini.</v>
      </c>
    </row>
    <row r="18422">
      <c r="A18422" s="4" t="s">
        <v>23180</v>
      </c>
      <c r="B18422" s="6" t="s">
        <v>23181</v>
      </c>
      <c r="C18422" s="5" t="str">
        <f>IFERROR(__xludf.DUMMYFUNCTION("GOOGLETRANSLATE(B18422,""en"",""it"")"),"Camminando per l'aeroporto, volando su un aereo e guidando lungo l'autostrada che arrivano dove stanno andando.")</f>
        <v>Camminando per l'aeroporto, volando su un aereo e guidando lungo l'autostrada che arrivano dove stanno andando.</v>
      </c>
    </row>
    <row r="18423">
      <c r="A18423" s="4" t="s">
        <v>23180</v>
      </c>
      <c r="B18423" s="6" t="s">
        <v>23182</v>
      </c>
      <c r="C18423" s="5" t="str">
        <f>IFERROR(__xludf.DUMMYFUNCTION("GOOGLETRANSLATE(B18423,""en"",""it"")"),"Un uomo in una maschera bianca si sta preparando per andare a fare un bungee saltando da una scogliera molto alta, si alza con le braccia come se fossero ali sul bordo.")</f>
        <v>Un uomo in una maschera bianca si sta preparando per andare a fare un bungee saltando da una scogliera molto alta, si alza con le braccia come se fossero ali sul bordo.</v>
      </c>
    </row>
    <row r="18424">
      <c r="A18424" s="4" t="s">
        <v>23180</v>
      </c>
      <c r="B18424" s="6" t="s">
        <v>23183</v>
      </c>
      <c r="C18424" s="5" t="str">
        <f>IFERROR(__xludf.DUMMYFUNCTION("GOOGLETRANSLATE(B18424,""en"",""it"")"),"Quindi salta giù, cadendo da un'alta altezza, un altro uomo lo segue, e poi l'uomo della telecamera stesso fa il salto che registra l'intera caduta.")</f>
        <v>Quindi salta giù, cadendo da un'alta altezza, un altro uomo lo segue, e poi l'uomo della telecamera stesso fa il salto che registra l'intera caduta.</v>
      </c>
    </row>
    <row r="18425">
      <c r="A18425" s="4" t="s">
        <v>23180</v>
      </c>
      <c r="B18425" s="4" t="s">
        <v>23184</v>
      </c>
      <c r="C18425" s="5" t="str">
        <f>IFERROR(__xludf.DUMMYFUNCTION("GOOGLETRANSLATE(B18425,""en"",""it"")"),"Accendono tutti saltando, uno di loro scende all'indietro.")</f>
        <v>Accendono tutti saltando, uno di loro scende all'indietro.</v>
      </c>
    </row>
    <row r="18426">
      <c r="A18426" s="4" t="s">
        <v>23185</v>
      </c>
      <c r="B18426" s="6" t="s">
        <v>23186</v>
      </c>
      <c r="C18426" s="5" t="str">
        <f>IFERROR(__xludf.DUMMYFUNCTION("GOOGLETRANSLATE(B18426,""en"",""it"")"),"Una telecamera si lancia attorno a un'area nevosa e conduce a un uomo che tiene una fisarmonica e inizia a giocare.")</f>
        <v>Una telecamera si lancia attorno a un'area nevosa e conduce a un uomo che tiene una fisarmonica e inizia a giocare.</v>
      </c>
    </row>
    <row r="18427">
      <c r="A18427" s="4" t="s">
        <v>23185</v>
      </c>
      <c r="B18427" s="6" t="s">
        <v>23187</v>
      </c>
      <c r="C18427" s="5" t="str">
        <f>IFERROR(__xludf.DUMMYFUNCTION("GOOGLETRANSLATE(B18427,""en"",""it"")"),"L'uomo continua a suonare lo strumento mentre la telecamera mostra più scenari di aree nevose e l'uomo che continua a suonare.")</f>
        <v>L'uomo continua a suonare lo strumento mentre la telecamera mostra più scenari di aree nevose e l'uomo che continua a suonare.</v>
      </c>
    </row>
    <row r="18428">
      <c r="A18428" s="4" t="s">
        <v>23188</v>
      </c>
      <c r="B18428" s="4" t="s">
        <v>23189</v>
      </c>
      <c r="C18428" s="5" t="str">
        <f>IFERROR(__xludf.DUMMYFUNCTION("GOOGLETRANSLATE(B18428,""en"",""it"")"),"Un involucro del sole Capri in un mucchio di rocce a terra con una pila di segatura su di esso.")</f>
        <v>Un involucro del sole Capri in un mucchio di rocce a terra con una pila di segatura su di esso.</v>
      </c>
    </row>
    <row r="18429">
      <c r="A18429" s="4" t="s">
        <v>23188</v>
      </c>
      <c r="B18429" s="4" t="s">
        <v>23190</v>
      </c>
      <c r="C18429" s="5" t="str">
        <f>IFERROR(__xludf.DUMMYFUNCTION("GOOGLETRANSLATE(B18429,""en"",""it"")"),"Vediamo un mucchio di bastoncini a sinistra e vediamo una pietra focaia.")</f>
        <v>Vediamo un mucchio di bastoncini a sinistra e vediamo una pietra focaia.</v>
      </c>
    </row>
    <row r="18430">
      <c r="A18430" s="4" t="s">
        <v>23188</v>
      </c>
      <c r="B18430" s="4" t="s">
        <v>23191</v>
      </c>
      <c r="C18430" s="5" t="str">
        <f>IFERROR(__xludf.DUMMYFUNCTION("GOOGLETRANSLATE(B18430,""en"",""it"")"),"La persona colpisce la pietra focaia e una fiamma si siede.")</f>
        <v>La persona colpisce la pietra focaia e una fiamma si siede.</v>
      </c>
    </row>
    <row r="18431">
      <c r="A18431" s="4" t="s">
        <v>23188</v>
      </c>
      <c r="B18431" s="4" t="s">
        <v>23192</v>
      </c>
      <c r="C18431" s="5" t="str">
        <f>IFERROR(__xludf.DUMMYFUNCTION("GOOGLETRANSLATE(B18431,""en"",""it"")"),"La persona mette quindi una manciata di ramoscelli sul fuoco.")</f>
        <v>La persona mette quindi una manciata di ramoscelli sul fuoco.</v>
      </c>
    </row>
    <row r="18432">
      <c r="A18432" s="4" t="s">
        <v>23188</v>
      </c>
      <c r="B18432" s="4" t="s">
        <v>23193</v>
      </c>
      <c r="C18432" s="5" t="str">
        <f>IFERROR(__xludf.DUMMYFUNCTION("GOOGLETRANSLATE(B18432,""en"",""it"")"),"Il fuoco cresce e il cameraman fa sostenere per mostrare le rocce che circondano il fuoco.")</f>
        <v>Il fuoco cresce e il cameraman fa sostenere per mostrare le rocce che circondano il fuoco.</v>
      </c>
    </row>
    <row r="18433">
      <c r="A18433" s="4" t="s">
        <v>23194</v>
      </c>
      <c r="B18433" s="4" t="s">
        <v>23195</v>
      </c>
      <c r="C18433" s="5" t="str">
        <f>IFERROR(__xludf.DUMMYFUNCTION("GOOGLETRANSLATE(B18433,""en"",""it"")"),"Due uomini sono seduti in una stanza con quattro congos di fronte a loro suonando.")</f>
        <v>Due uomini sono seduti in una stanza con quattro congos di fronte a loro suonando.</v>
      </c>
    </row>
    <row r="18434">
      <c r="A18434" s="4" t="s">
        <v>23194</v>
      </c>
      <c r="B18434" s="6" t="s">
        <v>23196</v>
      </c>
      <c r="C18434" s="5" t="str">
        <f>IFERROR(__xludf.DUMMYFUNCTION("GOOGLETRANSLATE(B18434,""en"",""it"")"),"Sono entrambi all'unisono e stanno usando le loro parti del corpo come parte della loro routine per emettere suoni diversi.")</f>
        <v>Sono entrambi all'unisono e stanno usando le loro parti del corpo come parte della loro routine per emettere suoni diversi.</v>
      </c>
    </row>
    <row r="18435">
      <c r="A18435" s="4" t="s">
        <v>23194</v>
      </c>
      <c r="B18435" s="6" t="s">
        <v>23197</v>
      </c>
      <c r="C18435" s="5" t="str">
        <f>IFERROR(__xludf.DUMMYFUNCTION("GOOGLETRANSLATE(B18435,""en"",""it"")"),"Gli uomini fanno una pausa estremamente breve prima di colpire rapidamente il Congo e la fine puntando il dito l'un l'altro.")</f>
        <v>Gli uomini fanno una pausa estremamente breve prima di colpire rapidamente il Congo e la fine puntando il dito l'un l'altro.</v>
      </c>
    </row>
    <row r="18436">
      <c r="A18436" s="4" t="s">
        <v>23198</v>
      </c>
      <c r="B18436" s="6" t="s">
        <v>23199</v>
      </c>
      <c r="C18436" s="5" t="str">
        <f>IFERROR(__xludf.DUMMYFUNCTION("GOOGLETRANSLATE(B18436,""en"",""it"")"),"Due persone sono viste sedute su bici da terra che parlano alla telecamera con uno sporco a spalancare e l'altro che cavalca.")</f>
        <v>Due persone sono viste sedute su bici da terra che parlano alla telecamera con uno sporco a spalancare e l'altro che cavalca.</v>
      </c>
    </row>
    <row r="18437">
      <c r="A18437" s="4" t="s">
        <v>23198</v>
      </c>
      <c r="B18437" s="6" t="s">
        <v>23200</v>
      </c>
      <c r="C18437" s="5" t="str">
        <f>IFERROR(__xludf.DUMMYFUNCTION("GOOGLETRANSLATE(B18437,""en"",""it"")"),"Vengono quindi mostrati diversi scatti delle due bici da corsa lungo un sentiero mentre si fermano per gestire la telecamera ogni tanto.")</f>
        <v>Vengono quindi mostrati diversi scatti delle due bici da corsa lungo un sentiero mentre si fermano per gestire la telecamera ogni tanto.</v>
      </c>
    </row>
    <row r="18438">
      <c r="A18438" s="4" t="s">
        <v>23201</v>
      </c>
      <c r="B18438" s="4" t="s">
        <v>23202</v>
      </c>
      <c r="C18438" s="5" t="str">
        <f>IFERROR(__xludf.DUMMYFUNCTION("GOOGLETRANSLATE(B18438,""en"",""it"")"),"Una donna su una spiaggia inizia a costruire un castello di sabbia.")</f>
        <v>Una donna su una spiaggia inizia a costruire un castello di sabbia.</v>
      </c>
    </row>
    <row r="18439">
      <c r="A18439" s="4" t="s">
        <v>23201</v>
      </c>
      <c r="B18439" s="4" t="s">
        <v>23203</v>
      </c>
      <c r="C18439" s="5" t="str">
        <f>IFERROR(__xludf.DUMMYFUNCTION("GOOGLETRANSLATE(B18439,""en"",""it"")"),"Un uomo si avvicina e inizia a costruire il castello di sabbia con lei.")</f>
        <v>Un uomo si avvicina e inizia a costruire il castello di sabbia con lei.</v>
      </c>
    </row>
    <row r="18440">
      <c r="A18440" s="4" t="s">
        <v>23201</v>
      </c>
      <c r="B18440" s="4" t="s">
        <v>23204</v>
      </c>
      <c r="C18440" s="5" t="str">
        <f>IFERROR(__xludf.DUMMYFUNCTION("GOOGLETRANSLATE(B18440,""en"",""it"")"),"Diverse persone passano mentre continuano a costruire il castello.")</f>
        <v>Diverse persone passano mentre continuano a costruire il castello.</v>
      </c>
    </row>
    <row r="18441">
      <c r="A18441" s="4" t="s">
        <v>23205</v>
      </c>
      <c r="B18441" s="4" t="s">
        <v>23206</v>
      </c>
      <c r="C18441" s="5" t="str">
        <f>IFERROR(__xludf.DUMMYFUNCTION("GOOGLETRANSLATE(B18441,""en"",""it"")"),"Una donna con una giacca sta lavando i vestiti in un lavandino.")</f>
        <v>Una donna con una giacca sta lavando i vestiti in un lavandino.</v>
      </c>
    </row>
    <row r="18442">
      <c r="A18442" s="4" t="s">
        <v>23205</v>
      </c>
      <c r="B18442" s="4" t="s">
        <v>23207</v>
      </c>
      <c r="C18442" s="5" t="str">
        <f>IFERROR(__xludf.DUMMYFUNCTION("GOOGLETRANSLATE(B18442,""en"",""it"")"),"Versa acqua in una ciotola blu.")</f>
        <v>Versa acqua in una ciotola blu.</v>
      </c>
    </row>
    <row r="18443">
      <c r="A18443" s="4" t="s">
        <v>23205</v>
      </c>
      <c r="B18443" s="4" t="s">
        <v>23208</v>
      </c>
      <c r="C18443" s="5" t="str">
        <f>IFERROR(__xludf.DUMMYFUNCTION("GOOGLETRANSLATE(B18443,""en"",""it"")"),"Mette vestiti nei secchi d'acqua che si trovano nel lavandino.")</f>
        <v>Mette vestiti nei secchi d'acqua che si trovano nel lavandino.</v>
      </c>
    </row>
    <row r="18444">
      <c r="A18444" s="4" t="s">
        <v>23205</v>
      </c>
      <c r="B18444" s="4" t="s">
        <v>23209</v>
      </c>
      <c r="C18444" s="5" t="str">
        <f>IFERROR(__xludf.DUMMYFUNCTION("GOOGLETRANSLATE(B18444,""en"",""it"")"),"Viene mostrata una lavatrice bianca che viene scollegata.")</f>
        <v>Viene mostrata una lavatrice bianca che viene scollegata.</v>
      </c>
    </row>
    <row r="18445">
      <c r="A18445" s="4" t="s">
        <v>23205</v>
      </c>
      <c r="B18445" s="4" t="s">
        <v>23210</v>
      </c>
      <c r="C18445" s="5" t="str">
        <f>IFERROR(__xludf.DUMMYFUNCTION("GOOGLETRANSLATE(B18445,""en"",""it"")"),"La donna continua a lavare i vestiti nel lavandino.")</f>
        <v>La donna continua a lavare i vestiti nel lavandino.</v>
      </c>
    </row>
    <row r="18446">
      <c r="A18446" s="4" t="s">
        <v>23205</v>
      </c>
      <c r="B18446" s="4" t="s">
        <v>23211</v>
      </c>
      <c r="C18446" s="5" t="str">
        <f>IFERROR(__xludf.DUMMYFUNCTION("GOOGLETRANSLATE(B18446,""en"",""it"")"),"Si avvicina e toglie il coperchio da un grande secchio d'acqua a terra.")</f>
        <v>Si avvicina e toglie il coperchio da un grande secchio d'acqua a terra.</v>
      </c>
    </row>
    <row r="18447">
      <c r="A18447" s="4" t="s">
        <v>23205</v>
      </c>
      <c r="B18447" s="4" t="s">
        <v>23212</v>
      </c>
      <c r="C18447" s="5" t="str">
        <f>IFERROR(__xludf.DUMMYFUNCTION("GOOGLETRANSLATE(B18447,""en"",""it"")"),"Accenda una pentola nel secchio e scarica l'acqua nel lavandino.")</f>
        <v>Accenda una pentola nel secchio e scarica l'acqua nel lavandino.</v>
      </c>
    </row>
    <row r="18448">
      <c r="A18448" s="4" t="s">
        <v>23213</v>
      </c>
      <c r="B18448" s="4" t="s">
        <v>23214</v>
      </c>
      <c r="C18448" s="5" t="str">
        <f>IFERROR(__xludf.DUMMYFUNCTION("GOOGLETRANSLATE(B18448,""en"",""it"")"),"Un toro corre attorno a una penna e cerca di colpire il clown con le corna.")</f>
        <v>Un toro corre attorno a una penna e cerca di colpire il clown con le corna.</v>
      </c>
    </row>
    <row r="18449">
      <c r="A18449" s="4" t="s">
        <v>23213</v>
      </c>
      <c r="B18449" s="4" t="s">
        <v>23215</v>
      </c>
      <c r="C18449" s="5" t="str">
        <f>IFERROR(__xludf.DUMMYFUNCTION("GOOGLETRANSLATE(B18449,""en"",""it"")"),"Un ragazzo salta su una recinzione per allontanarsi dal toro.")</f>
        <v>Un ragazzo salta su una recinzione per allontanarsi dal toro.</v>
      </c>
    </row>
    <row r="18450">
      <c r="A18450" s="4" t="s">
        <v>23213</v>
      </c>
      <c r="B18450" s="4" t="s">
        <v>23216</v>
      </c>
      <c r="C18450" s="5" t="str">
        <f>IFERROR(__xludf.DUMMYFUNCTION("GOOGLETRANSLATE(B18450,""en"",""it"")"),"Un clown si nasconde dietro una canna rossa.")</f>
        <v>Un clown si nasconde dietro una canna rossa.</v>
      </c>
    </row>
    <row r="18451">
      <c r="A18451" s="4" t="s">
        <v>23213</v>
      </c>
      <c r="B18451" s="4" t="s">
        <v>23217</v>
      </c>
      <c r="C18451" s="5" t="str">
        <f>IFERROR(__xludf.DUMMYFUNCTION("GOOGLETRANSLATE(B18451,""en"",""it"")"),"L'uomo cade a terra inseguito dal toro.")</f>
        <v>L'uomo cade a terra inseguito dal toro.</v>
      </c>
    </row>
    <row r="18452">
      <c r="A18452" s="4" t="s">
        <v>23218</v>
      </c>
      <c r="B18452" s="4" t="s">
        <v>23219</v>
      </c>
      <c r="C18452" s="5" t="str">
        <f>IFERROR(__xludf.DUMMYFUNCTION("GOOGLETRANSLATE(B18452,""en"",""it"")"),"Un esercizio di ginnasta sui bar paralleli mentre l'allenatore dà indicazioni e fissa un tappetino.")</f>
        <v>Un esercizio di ginnasta sui bar paralleli mentre l'allenatore dà indicazioni e fissa un tappetino.</v>
      </c>
    </row>
    <row r="18453">
      <c r="A18453" s="4" t="s">
        <v>23218</v>
      </c>
      <c r="B18453" s="4" t="s">
        <v>23220</v>
      </c>
      <c r="C18453" s="5" t="str">
        <f>IFERROR(__xludf.DUMMYFUNCTION("GOOGLETRANSLATE(B18453,""en"",""it"")"),"Quindi, la ginnasta gira sulla barra alta, quindi capovolge e cadono sul tappeto.")</f>
        <v>Quindi, la ginnasta gira sulla barra alta, quindi capovolge e cadono sul tappeto.</v>
      </c>
    </row>
    <row r="18454">
      <c r="A18454" s="4" t="s">
        <v>23221</v>
      </c>
      <c r="B18454" s="4" t="s">
        <v>23222</v>
      </c>
      <c r="C18454" s="5" t="str">
        <f>IFERROR(__xludf.DUMMYFUNCTION("GOOGLETRANSLATE(B18454,""en"",""it"")"),"Vediamo un titolo su uno schermo grigio scuro, vediamo una barca su un lago da diverse angolazioni.")</f>
        <v>Vediamo un titolo su uno schermo grigio scuro, vediamo una barca su un lago da diverse angolazioni.</v>
      </c>
    </row>
    <row r="18455">
      <c r="A18455" s="4" t="s">
        <v>23221</v>
      </c>
      <c r="B18455" s="4" t="s">
        <v>23223</v>
      </c>
      <c r="C18455" s="5" t="str">
        <f>IFERROR(__xludf.DUMMYFUNCTION("GOOGLETRANSLATE(B18455,""en"",""it"")"),"Una persona che cavalca una tavola da surf dietro la barca fa un lancio.")</f>
        <v>Una persona che cavalca una tavola da surf dietro la barca fa un lancio.</v>
      </c>
    </row>
    <row r="18456">
      <c r="A18456" s="4" t="s">
        <v>23221</v>
      </c>
      <c r="B18456" s="4" t="s">
        <v>23224</v>
      </c>
      <c r="C18456" s="5" t="str">
        <f>IFERROR(__xludf.DUMMYFUNCTION("GOOGLETRANSLATE(B18456,""en"",""it"")"),", Ci viene mostrato l'interno della barca.")</f>
        <v>, Ci viene mostrato l'interno della barca.</v>
      </c>
    </row>
    <row r="18457">
      <c r="A18457" s="4" t="s">
        <v>23221</v>
      </c>
      <c r="B18457" s="4" t="s">
        <v>23225</v>
      </c>
      <c r="C18457" s="5" t="str">
        <f>IFERROR(__xludf.DUMMYFUNCTION("GOOGLETRANSLATE(B18457,""en"",""it"")"),"Vediamo l'interno e poi l'esterno della barca in modo intermittente.")</f>
        <v>Vediamo l'interno e poi l'esterno della barca in modo intermittente.</v>
      </c>
    </row>
    <row r="18458">
      <c r="A18458" s="4" t="s">
        <v>23221</v>
      </c>
      <c r="B18458" s="4" t="s">
        <v>23226</v>
      </c>
      <c r="C18458" s="5" t="str">
        <f>IFERROR(__xludf.DUMMYFUNCTION("GOOGLETRANSLATE(B18458,""en"",""it"")"),"Vediamo persone su una zattera che vengono tirate dalla barca.")</f>
        <v>Vediamo persone su una zattera che vengono tirate dalla barca.</v>
      </c>
    </row>
    <row r="18459">
      <c r="A18459" s="4" t="s">
        <v>23221</v>
      </c>
      <c r="B18459" s="4" t="s">
        <v>23227</v>
      </c>
      <c r="C18459" s="5" t="str">
        <f>IFERROR(__xludf.DUMMYFUNCTION("GOOGLETRANSLATE(B18459,""en"",""it"")"),"Una ragazza afferra qualcosa forma un armadio, quindi salta in acqua.")</f>
        <v>Una ragazza afferra qualcosa forma un armadio, quindi salta in acqua.</v>
      </c>
    </row>
    <row r="18460">
      <c r="A18460" s="4" t="s">
        <v>23221</v>
      </c>
      <c r="B18460" s="4" t="s">
        <v>23228</v>
      </c>
      <c r="C18460" s="5" t="str">
        <f>IFERROR(__xludf.DUMMYFUNCTION("GOOGLETRANSLATE(B18460,""en"",""it"")"),"Vediamo le scene di credito finali.")</f>
        <v>Vediamo le scene di credito finali.</v>
      </c>
    </row>
    <row r="18461">
      <c r="A18461" s="4" t="s">
        <v>23229</v>
      </c>
      <c r="B18461" s="4" t="s">
        <v>23230</v>
      </c>
      <c r="C18461" s="5" t="str">
        <f>IFERROR(__xludf.DUMMYFUNCTION("GOOGLETRANSLATE(B18461,""en"",""it"")"),"La vodka viene mostrata versata in un bicchiere di martini.")</f>
        <v>La vodka viene mostrata versata in un bicchiere di martini.</v>
      </c>
    </row>
    <row r="18462">
      <c r="A18462" s="4" t="s">
        <v>23229</v>
      </c>
      <c r="B18462" s="4" t="s">
        <v>23231</v>
      </c>
      <c r="C18462" s="5" t="str">
        <f>IFERROR(__xludf.DUMMYFUNCTION("GOOGLETRANSLATE(B18462,""en"",""it"")"),"Una donna è dietro un bar, che mostra bottiglie di alcol.")</f>
        <v>Una donna è dietro un bar, che mostra bottiglie di alcol.</v>
      </c>
    </row>
    <row r="18463">
      <c r="A18463" s="4" t="s">
        <v>23229</v>
      </c>
      <c r="B18463" s="6" t="s">
        <v>23232</v>
      </c>
      <c r="C18463" s="5" t="str">
        <f>IFERROR(__xludf.DUMMYFUNCTION("GOOGLETRANSLATE(B18463,""en"",""it"")"),"Mescola insieme gli ingredienti, poi li scuote prima di versare in un bicchiere pieno di ghiaccio.")</f>
        <v>Mescola insieme gli ingredienti, poi li scuote prima di versare in un bicchiere pieno di ghiaccio.</v>
      </c>
    </row>
    <row r="18464">
      <c r="A18464" s="4" t="s">
        <v>23233</v>
      </c>
      <c r="B18464" s="4" t="s">
        <v>23234</v>
      </c>
      <c r="C18464" s="5" t="str">
        <f>IFERROR(__xludf.DUMMYFUNCTION("GOOGLETRANSLATE(B18464,""en"",""it"")"),"Tre uomini si siedono insieme su un divano.")</f>
        <v>Tre uomini si siedono insieme su un divano.</v>
      </c>
    </row>
    <row r="18465">
      <c r="A18465" s="4" t="s">
        <v>23233</v>
      </c>
      <c r="B18465" s="4" t="s">
        <v>23235</v>
      </c>
      <c r="C18465" s="5" t="str">
        <f>IFERROR(__xludf.DUMMYFUNCTION("GOOGLETRANSLATE(B18465,""en"",""it"")"),"Un uomo si alza e entra in un negozio di barbiere.")</f>
        <v>Un uomo si alza e entra in un negozio di barbiere.</v>
      </c>
    </row>
    <row r="18466">
      <c r="A18466" s="4" t="s">
        <v>23233</v>
      </c>
      <c r="B18466" s="4" t="s">
        <v>23236</v>
      </c>
      <c r="C18466" s="5" t="str">
        <f>IFERROR(__xludf.DUMMYFUNCTION("GOOGLETRANSLATE(B18466,""en"",""it"")"),"Si siede e si taglia i capelli.")</f>
        <v>Si siede e si taglia i capelli.</v>
      </c>
    </row>
    <row r="18467">
      <c r="A18467" s="4" t="s">
        <v>23233</v>
      </c>
      <c r="B18467" s="4" t="s">
        <v>23237</v>
      </c>
      <c r="C18467" s="5" t="str">
        <f>IFERROR(__xludf.DUMMYFUNCTION("GOOGLETRANSLATE(B18467,""en"",""it"")"),"Sta dormendo sulla sedia.")</f>
        <v>Sta dormendo sulla sedia.</v>
      </c>
    </row>
    <row r="18468">
      <c r="A18468" s="4" t="s">
        <v>23233</v>
      </c>
      <c r="B18468" s="4" t="s">
        <v>23238</v>
      </c>
      <c r="C18468" s="5" t="str">
        <f>IFERROR(__xludf.DUMMYFUNCTION("GOOGLETRANSLATE(B18468,""en"",""it"")"),"Si sveglia e si guarda allo specchio.")</f>
        <v>Si sveglia e si guarda allo specchio.</v>
      </c>
    </row>
    <row r="18469">
      <c r="A18469" s="4" t="s">
        <v>23233</v>
      </c>
      <c r="B18469" s="4" t="s">
        <v>23239</v>
      </c>
      <c r="C18469" s="5" t="str">
        <f>IFERROR(__xludf.DUMMYFUNCTION("GOOGLETRANSLATE(B18469,""en"",""it"")"),"Lui e l'uomo iniziano a combattere.")</f>
        <v>Lui e l'uomo iniziano a combattere.</v>
      </c>
    </row>
    <row r="18470">
      <c r="A18470" s="4" t="s">
        <v>23233</v>
      </c>
      <c r="B18470" s="4" t="s">
        <v>23240</v>
      </c>
      <c r="C18470" s="5" t="str">
        <f>IFERROR(__xludf.DUMMYFUNCTION("GOOGLETRANSLATE(B18470,""en"",""it"")"),"L'uomo tira una pistola e la punta contro l'altro uomo.")</f>
        <v>L'uomo tira una pistola e la punta contro l'altro uomo.</v>
      </c>
    </row>
    <row r="18471">
      <c r="A18471" s="4" t="s">
        <v>23233</v>
      </c>
      <c r="B18471" s="4" t="s">
        <v>23241</v>
      </c>
      <c r="C18471" s="5" t="str">
        <f>IFERROR(__xludf.DUMMYFUNCTION("GOOGLETRANSLATE(B18471,""en"",""it"")"),"Si imbatte tra le braccia di un altro uomo e escono dalla porta.")</f>
        <v>Si imbatte tra le braccia di un altro uomo e escono dalla porta.</v>
      </c>
    </row>
    <row r="18472">
      <c r="A18472" s="4" t="s">
        <v>23242</v>
      </c>
      <c r="B18472" s="4" t="s">
        <v>23243</v>
      </c>
      <c r="C18472" s="5" t="str">
        <f>IFERROR(__xludf.DUMMYFUNCTION("GOOGLETRANSLATE(B18472,""en"",""it"")"),"Il video mostra come ottenere sconti su Amazon per una categoria di forniture per cani.")</f>
        <v>Il video mostra come ottenere sconti su Amazon per una categoria di forniture per cani.</v>
      </c>
    </row>
    <row r="18473">
      <c r="A18473" s="4" t="s">
        <v>23242</v>
      </c>
      <c r="B18473" s="4" t="s">
        <v>23244</v>
      </c>
      <c r="C18473" s="5" t="str">
        <f>IFERROR(__xludf.DUMMYFUNCTION("GOOGLETRANSLATE(B18473,""en"",""it"")"),"Quindi mostra una donna che rasa un cane.")</f>
        <v>Quindi mostra una donna che rasa un cane.</v>
      </c>
    </row>
    <row r="18474">
      <c r="A18474" s="4" t="s">
        <v>23245</v>
      </c>
      <c r="B18474" s="4" t="s">
        <v>23246</v>
      </c>
      <c r="C18474" s="5" t="str">
        <f>IFERROR(__xludf.DUMMYFUNCTION("GOOGLETRANSLATE(B18474,""en"",""it"")"),"Una signora tiene uno spazzolino da denti da bambino si siede su un bancone.")</f>
        <v>Una signora tiene uno spazzolino da denti da bambino si siede su un bancone.</v>
      </c>
    </row>
    <row r="18475">
      <c r="A18475" s="4" t="s">
        <v>23245</v>
      </c>
      <c r="B18475" s="4" t="s">
        <v>23247</v>
      </c>
      <c r="C18475" s="5" t="str">
        <f>IFERROR(__xludf.DUMMYFUNCTION("GOOGLETRANSLATE(B18475,""en"",""it"")"),"La signora spazzola i denti dei ragazzi.")</f>
        <v>La signora spazzola i denti dei ragazzi.</v>
      </c>
    </row>
    <row r="18476">
      <c r="A18476" s="4" t="s">
        <v>23245</v>
      </c>
      <c r="B18476" s="4" t="s">
        <v>23248</v>
      </c>
      <c r="C18476" s="5" t="str">
        <f>IFERROR(__xludf.DUMMYFUNCTION("GOOGLETRANSLATE(B18476,""en"",""it"")"),"Finisce e il ragazzino sorride.")</f>
        <v>Finisce e il ragazzino sorride.</v>
      </c>
    </row>
    <row r="18477">
      <c r="A18477" s="4" t="s">
        <v>23245</v>
      </c>
      <c r="B18477" s="4" t="s">
        <v>23249</v>
      </c>
      <c r="C18477" s="5" t="str">
        <f>IFERROR(__xludf.DUMMYFUNCTION("GOOGLETRANSLATE(B18477,""en"",""it"")"),"La signora si allontana e il bambino si mette in bocca un ciuccio.")</f>
        <v>La signora si allontana e il bambino si mette in bocca un ciuccio.</v>
      </c>
    </row>
    <row r="18478">
      <c r="A18478" s="4" t="s">
        <v>23250</v>
      </c>
      <c r="B18478" s="4" t="s">
        <v>23251</v>
      </c>
      <c r="C18478" s="5" t="str">
        <f>IFERROR(__xludf.DUMMYFUNCTION("GOOGLETRANSLATE(B18478,""en"",""it"")"),"Un uomo si siede in una stanza ridendo.")</f>
        <v>Un uomo si siede in una stanza ridendo.</v>
      </c>
    </row>
    <row r="18479">
      <c r="A18479" s="4" t="s">
        <v>23250</v>
      </c>
      <c r="B18479" s="4" t="s">
        <v>23252</v>
      </c>
      <c r="C18479" s="5" t="str">
        <f>IFERROR(__xludf.DUMMYFUNCTION("GOOGLETRANSLATE(B18479,""en"",""it"")"),"L'uomo si unisce a una donna e uomo a un tavolo che mangia.")</f>
        <v>L'uomo si unisce a una donna e uomo a un tavolo che mangia.</v>
      </c>
    </row>
    <row r="18480">
      <c r="A18480" s="4" t="s">
        <v>23250</v>
      </c>
      <c r="B18480" s="4" t="s">
        <v>23253</v>
      </c>
      <c r="C18480" s="5" t="str">
        <f>IFERROR(__xludf.DUMMYFUNCTION("GOOGLETRANSLATE(B18480,""en"",""it"")"),"L'uomo vede una bambola bobble e la spinge.")</f>
        <v>L'uomo vede una bambola bobble e la spinge.</v>
      </c>
    </row>
    <row r="18481">
      <c r="A18481" s="4" t="s">
        <v>23250</v>
      </c>
      <c r="B18481" s="6" t="s">
        <v>23254</v>
      </c>
      <c r="C18481" s="5" t="str">
        <f>IFERROR(__xludf.DUMMYFUNCTION("GOOGLETRANSLATE(B18481,""en"",""it"")"),"L'uomo colpisce la bambola e fa rimbalzare una palla intorno alla stanza bussando a tutto il cibo dal tavolo e facendo casino.")</f>
        <v>L'uomo colpisce la bambola e fa rimbalzare una palla intorno alla stanza bussando a tutto il cibo dal tavolo e facendo casino.</v>
      </c>
    </row>
    <row r="18482">
      <c r="A18482" s="4" t="s">
        <v>23250</v>
      </c>
      <c r="B18482" s="6" t="s">
        <v>23255</v>
      </c>
      <c r="C18482" s="5" t="str">
        <f>IFERROR(__xludf.DUMMYFUNCTION("GOOGLETRANSLATE(B18482,""en"",""it"")"),"La gente ride e l'uomo pulisce e crea un vortice nel pozzo che si rompe e la palla distrugge le pareti.")</f>
        <v>La gente ride e l'uomo pulisce e crea un vortice nel pozzo che si rompe e la palla distrugge le pareti.</v>
      </c>
    </row>
    <row r="18483">
      <c r="A18483" s="4" t="s">
        <v>23250</v>
      </c>
      <c r="B18483" s="4" t="s">
        <v>23256</v>
      </c>
      <c r="C18483" s="5" t="str">
        <f>IFERROR(__xludf.DUMMYFUNCTION("GOOGLETRANSLATE(B18483,""en"",""it"")"),"L'uomo si allena in un campo.")</f>
        <v>L'uomo si allena in un campo.</v>
      </c>
    </row>
    <row r="18484">
      <c r="A18484" s="4" t="s">
        <v>23250</v>
      </c>
      <c r="B18484" s="4" t="s">
        <v>23257</v>
      </c>
      <c r="C18484" s="5" t="str">
        <f>IFERROR(__xludf.DUMMYFUNCTION("GOOGLETRANSLATE(B18484,""en"",""it"")"),"La polvere sorge dall'uomo e le foglie volano attraverso il cielo.")</f>
        <v>La polvere sorge dall'uomo e le foglie volano attraverso il cielo.</v>
      </c>
    </row>
    <row r="18485">
      <c r="A18485" s="4" t="s">
        <v>23258</v>
      </c>
      <c r="B18485" s="4" t="s">
        <v>12542</v>
      </c>
      <c r="C18485" s="5" t="str">
        <f>IFERROR(__xludf.DUMMYFUNCTION("GOOGLETRANSLATE(B18485,""en"",""it"")"),"Una donna sta parlando con la telecamera.")</f>
        <v>Una donna sta parlando con la telecamera.</v>
      </c>
    </row>
    <row r="18486">
      <c r="A18486" s="4" t="s">
        <v>23258</v>
      </c>
      <c r="B18486" s="4" t="s">
        <v>23259</v>
      </c>
      <c r="C18486" s="5" t="str">
        <f>IFERROR(__xludf.DUMMYFUNCTION("GOOGLETRANSLATE(B18486,""en"",""it"")"),"Mostra come appendere un bordo lungo un muro in un soggiorno.")</f>
        <v>Mostra come appendere un bordo lungo un muro in un soggiorno.</v>
      </c>
    </row>
    <row r="18487">
      <c r="A18487" s="4" t="s">
        <v>23258</v>
      </c>
      <c r="B18487" s="4" t="s">
        <v>23260</v>
      </c>
      <c r="C18487" s="5" t="str">
        <f>IFERROR(__xludf.DUMMYFUNCTION("GOOGLETRANSLATE(B18487,""en"",""it"")"),"Quindi torna a parlare con la telecamera.")</f>
        <v>Quindi torna a parlare con la telecamera.</v>
      </c>
    </row>
    <row r="18488">
      <c r="A18488" s="4" t="s">
        <v>23261</v>
      </c>
      <c r="B18488" s="4" t="s">
        <v>23262</v>
      </c>
      <c r="C18488" s="5" t="str">
        <f>IFERROR(__xludf.DUMMYFUNCTION("GOOGLETRANSLATE(B18488,""en"",""it"")"),"Un gruppo sta giocando a pallavolo in una piscina nuotare.")</f>
        <v>Un gruppo sta giocando a pallavolo in una piscina nuotare.</v>
      </c>
    </row>
    <row r="18489">
      <c r="A18489" s="4" t="s">
        <v>23261</v>
      </c>
      <c r="B18489" s="6" t="s">
        <v>23263</v>
      </c>
      <c r="C18489" s="5" t="str">
        <f>IFERROR(__xludf.DUMMYFUNCTION("GOOGLETRANSLATE(B18489,""en"",""it"")"),"Rimbalzano la palla avanti e indietro sopra la rete mentre un Golden Retriever si unisce, colpendo la palla con il naso.")</f>
        <v>Rimbalzano la palla avanti e indietro sopra la rete mentre un Golden Retriever si unisce, colpendo la palla con il naso.</v>
      </c>
    </row>
    <row r="18490">
      <c r="A18490" s="4" t="s">
        <v>23264</v>
      </c>
      <c r="B18490" s="4" t="s">
        <v>23265</v>
      </c>
      <c r="C18490" s="5" t="str">
        <f>IFERROR(__xludf.DUMMYFUNCTION("GOOGLETRANSLATE(B18490,""en"",""it"")"),"Un ragazzo suona la batteria sulle persone anteriori.")</f>
        <v>Un ragazzo suona la batteria sulle persone anteriori.</v>
      </c>
    </row>
    <row r="18491">
      <c r="A18491" s="4" t="s">
        <v>23264</v>
      </c>
      <c r="B18491" s="4" t="s">
        <v>23266</v>
      </c>
      <c r="C18491" s="5" t="str">
        <f>IFERROR(__xludf.DUMMYFUNCTION("GOOGLETRANSLATE(B18491,""en"",""it"")"),"Un uomo canta con in mano un microfono accanto al batterista.")</f>
        <v>Un uomo canta con in mano un microfono accanto al batterista.</v>
      </c>
    </row>
    <row r="18492">
      <c r="A18492" s="4" t="s">
        <v>23264</v>
      </c>
      <c r="B18492" s="4" t="s">
        <v>23267</v>
      </c>
      <c r="C18492" s="5" t="str">
        <f>IFERROR(__xludf.DUMMYFUNCTION("GOOGLETRANSLATE(B18492,""en"",""it"")"),"Una persona passa davanti al ragazzo.")</f>
        <v>Una persona passa davanti al ragazzo.</v>
      </c>
    </row>
    <row r="18493">
      <c r="A18493" s="4" t="s">
        <v>23268</v>
      </c>
      <c r="B18493" s="4" t="s">
        <v>23269</v>
      </c>
      <c r="C18493" s="5" t="str">
        <f>IFERROR(__xludf.DUMMYFUNCTION("GOOGLETRANSLATE(B18493,""en"",""it"")"),"Un piccolo gruppo di persone viene visto cavalcare in una zattera lungo un fiume ruvido.")</f>
        <v>Un piccolo gruppo di persone viene visto cavalcare in una zattera lungo un fiume ruvido.</v>
      </c>
    </row>
    <row r="18494">
      <c r="A18494" s="4" t="s">
        <v>23268</v>
      </c>
      <c r="B18494" s="4" t="s">
        <v>23270</v>
      </c>
      <c r="C18494" s="5" t="str">
        <f>IFERROR(__xludf.DUMMYFUNCTION("GOOGLETRANSLATE(B18494,""en"",""it"")"),"Le persone usano palette per muoversi lungo l'acqua e sotto i tunnel.")</f>
        <v>Le persone usano palette per muoversi lungo l'acqua e sotto i tunnel.</v>
      </c>
    </row>
    <row r="18495">
      <c r="A18495" s="4" t="s">
        <v>23268</v>
      </c>
      <c r="B18495" s="4" t="s">
        <v>23271</v>
      </c>
      <c r="C18495" s="5" t="str">
        <f>IFERROR(__xludf.DUMMYFUNCTION("GOOGLETRANSLATE(B18495,""en"",""it"")"),"Il gruppo continua a cavalcare lungo il fiume e termina con il testo sullo schermo.")</f>
        <v>Il gruppo continua a cavalcare lungo il fiume e termina con il testo sullo schermo.</v>
      </c>
    </row>
    <row r="18496">
      <c r="A18496" s="4" t="s">
        <v>23272</v>
      </c>
      <c r="B18496" s="4" t="s">
        <v>23273</v>
      </c>
      <c r="C18496" s="5" t="str">
        <f>IFERROR(__xludf.DUMMYFUNCTION("GOOGLETRANSLATE(B18496,""en"",""it"")"),"Una donna si taglia i capelli molto corti in cucina da una donna con un paio di forbici.")</f>
        <v>Una donna si taglia i capelli molto corti in cucina da una donna con un paio di forbici.</v>
      </c>
    </row>
    <row r="18497">
      <c r="A18497" s="4" t="s">
        <v>23272</v>
      </c>
      <c r="B18497" s="6" t="s">
        <v>23274</v>
      </c>
      <c r="C18497" s="5" t="str">
        <f>IFERROR(__xludf.DUMMYFUNCTION("GOOGLETRANSLATE(B18497,""en"",""it"")"),"Un uomo, che indossa gli occhiali, parla nella telecamera in un colpo vicino prima che la telecamera si muova su una donna seduta su una sedia morbida e si concentra sulla parte superiore del braccio.")</f>
        <v>Un uomo, che indossa gli occhiali, parla nella telecamera in un colpo vicino prima che la telecamera si muova su una donna seduta su una sedia morbida e si concentra sulla parte superiore del braccio.</v>
      </c>
    </row>
    <row r="18498">
      <c r="A18498" s="4" t="s">
        <v>23272</v>
      </c>
      <c r="B18498" s="6" t="s">
        <v>23275</v>
      </c>
      <c r="C18498" s="5" t="str">
        <f>IFERROR(__xludf.DUMMYFUNCTION("GOOGLETRANSLATE(B18498,""en"",""it"")"),"La telecamera si muove in una cucina e una donna seduta che solleva una ciocca di capelli mentre un'altra donna dietro di lei (la donna che era precedentemente seduta) inizia a tagliarsi i capelli con un paio di forbici.")</f>
        <v>La telecamera si muove in una cucina e una donna seduta che solleva una ciocca di capelli mentre un'altra donna dietro di lei (la donna che era precedentemente seduta) inizia a tagliarsi i capelli con un paio di forbici.</v>
      </c>
    </row>
    <row r="18499">
      <c r="A18499" s="4" t="s">
        <v>23272</v>
      </c>
      <c r="B18499" s="6" t="s">
        <v>23276</v>
      </c>
      <c r="C18499" s="5" t="str">
        <f>IFERROR(__xludf.DUMMYFUNCTION("GOOGLETRANSLATE(B18499,""en"",""it"")"),"La telecamera piova fino a un primo piano della donna sulla sedia da cucina che ha tagliato la maggior parte dei capelli e ora come un taglio di capelli molto corto.")</f>
        <v>La telecamera piova fino a un primo piano della donna sulla sedia da cucina che ha tagliato la maggior parte dei capelli e ora come un taglio di capelli molto corto.</v>
      </c>
    </row>
    <row r="18500">
      <c r="A18500" s="4" t="s">
        <v>23272</v>
      </c>
      <c r="B18500" s="6" t="s">
        <v>23277</v>
      </c>
      <c r="C18500" s="5" t="str">
        <f>IFERROR(__xludf.DUMMYFUNCTION("GOOGLETRANSLATE(B18500,""en"",""it"")"),"La fotocamera taglia di nuovo all'uomo che appare per la prima volta nel film e uno scatto di un orologio digitale che mostra il tempo.")</f>
        <v>La fotocamera taglia di nuovo all'uomo che appare per la prima volta nel film e uno scatto di un orologio digitale che mostra il tempo.</v>
      </c>
    </row>
    <row r="18501">
      <c r="A18501" s="4" t="s">
        <v>23278</v>
      </c>
      <c r="B18501" s="4" t="s">
        <v>23279</v>
      </c>
      <c r="C18501" s="5" t="str">
        <f>IFERROR(__xludf.DUMMYFUNCTION("GOOGLETRANSLATE(B18501,""en"",""it"")"),"Una giovane donna viene vista in ginocchio in una vasca con vestiti intorno a lei.")</f>
        <v>Una giovane donna viene vista in ginocchio in una vasca con vestiti intorno a lei.</v>
      </c>
    </row>
    <row r="18502">
      <c r="A18502" s="4" t="s">
        <v>23278</v>
      </c>
      <c r="B18502" s="4" t="s">
        <v>23280</v>
      </c>
      <c r="C18502" s="5" t="str">
        <f>IFERROR(__xludf.DUMMYFUNCTION("GOOGLETRANSLATE(B18502,""en"",""it"")"),"Si avvicina ai vestiti e si china di nuovo per strofinarli mentre la telecamera si muove intorno a lei.")</f>
        <v>Si avvicina ai vestiti e si china di nuovo per strofinarli mentre la telecamera si muove intorno a lei.</v>
      </c>
    </row>
    <row r="18503">
      <c r="A18503" s="4" t="s">
        <v>23278</v>
      </c>
      <c r="B18503" s="6" t="s">
        <v>23281</v>
      </c>
      <c r="C18503" s="5" t="str">
        <f>IFERROR(__xludf.DUMMYFUNCTION("GOOGLETRANSLATE(B18503,""en"",""it"")"),"Alza i vestiti e continua a lavarli e un uomo che entra in un telaio per aiutare.")</f>
        <v>Alza i vestiti e continua a lavarli e un uomo che entra in un telaio per aiutare.</v>
      </c>
    </row>
    <row r="18504">
      <c r="A18504" s="4" t="s">
        <v>23282</v>
      </c>
      <c r="B18504" s="6" t="s">
        <v>23283</v>
      </c>
      <c r="C18504" s="5" t="str">
        <f>IFERROR(__xludf.DUMMYFUNCTION("GOOGLETRANSLATE(B18504,""en"",""it"")"),"Una donna ballerina vestita con una gonna rosa e la camicetta bianca è in posa con la schiena piegata in avanti e le mani sui lati su un palco.")</f>
        <v>Una donna ballerina vestita con una gonna rosa e la camicetta bianca è in posa con la schiena piegata in avanti e le mani sui lati su un palco.</v>
      </c>
    </row>
    <row r="18505">
      <c r="A18505" s="4" t="s">
        <v>23282</v>
      </c>
      <c r="B18505" s="4" t="s">
        <v>23284</v>
      </c>
      <c r="C18505" s="5" t="str">
        <f>IFERROR(__xludf.DUMMYFUNCTION("GOOGLETRANSLATE(B18505,""en"",""it"")"),"Un uomo con jeans blu e una camicia bianca entra e accarezza la schiena con un panno giallo.")</f>
        <v>Un uomo con jeans blu e una camicia bianca entra e accarezza la schiena con un panno giallo.</v>
      </c>
    </row>
    <row r="18506">
      <c r="A18506" s="4" t="s">
        <v>23282</v>
      </c>
      <c r="B18506" s="4" t="s">
        <v>23285</v>
      </c>
      <c r="C18506" s="5" t="str">
        <f>IFERROR(__xludf.DUMMYFUNCTION("GOOGLETRANSLATE(B18506,""en"",""it"")"),"Poi una bambina ballerina viene e si imbatte nella donna.")</f>
        <v>Poi una bambina ballerina viene e si imbatte nella donna.</v>
      </c>
    </row>
    <row r="18507">
      <c r="A18507" s="4" t="s">
        <v>23282</v>
      </c>
      <c r="B18507" s="4" t="s">
        <v>23286</v>
      </c>
      <c r="C18507" s="5" t="str">
        <f>IFERROR(__xludf.DUMMYFUNCTION("GOOGLETRANSLATE(B18507,""en"",""it"")"),"La donna si rompe in una danza ogni volta che la bambina ballerina la sfrutta.")</f>
        <v>La donna si rompe in una danza ogni volta che la bambina ballerina la sfrutta.</v>
      </c>
    </row>
    <row r="18508">
      <c r="A18508" s="4" t="s">
        <v>23282</v>
      </c>
      <c r="B18508" s="4" t="s">
        <v>23287</v>
      </c>
      <c r="C18508" s="5" t="str">
        <f>IFERROR(__xludf.DUMMYFUNCTION("GOOGLETRANSLATE(B18508,""en"",""it"")"),"La bambina raccoglie un paio di ali e cerca di metterlo sulla schiena.")</f>
        <v>La bambina raccoglie un paio di ali e cerca di metterlo sulla schiena.</v>
      </c>
    </row>
    <row r="18509">
      <c r="A18509" s="4" t="s">
        <v>23282</v>
      </c>
      <c r="B18509" s="4" t="s">
        <v>23288</v>
      </c>
      <c r="C18509" s="5" t="str">
        <f>IFERROR(__xludf.DUMMYFUNCTION("GOOGLETRANSLATE(B18509,""en"",""it"")"),"La donna inizia a fare delle mosse di balletto.")</f>
        <v>La donna inizia a fare delle mosse di balletto.</v>
      </c>
    </row>
    <row r="18510">
      <c r="A18510" s="4" t="s">
        <v>23282</v>
      </c>
      <c r="B18510" s="4" t="s">
        <v>23289</v>
      </c>
      <c r="C18510" s="5" t="str">
        <f>IFERROR(__xludf.DUMMYFUNCTION("GOOGLETRANSLATE(B18510,""en"",""it"")"),"Continua a ballare con le mosse di balletto mentre la bambina si allontana.")</f>
        <v>Continua a ballare con le mosse di balletto mentre la bambina si allontana.</v>
      </c>
    </row>
    <row r="18511">
      <c r="A18511" s="4" t="s">
        <v>23282</v>
      </c>
      <c r="B18511" s="4" t="s">
        <v>23290</v>
      </c>
      <c r="C18511" s="5" t="str">
        <f>IFERROR(__xludf.DUMMYFUNCTION("GOOGLETRANSLATE(B18511,""en"",""it"")"),"La donna ballerina si gira e gira in punta di piedi mentre balla alla musica.")</f>
        <v>La donna ballerina si gira e gira in punta di piedi mentre balla alla musica.</v>
      </c>
    </row>
    <row r="18512">
      <c r="A18512" s="4" t="s">
        <v>23282</v>
      </c>
      <c r="B18512" s="6" t="s">
        <v>23291</v>
      </c>
      <c r="C18512" s="5" t="str">
        <f>IFERROR(__xludf.DUMMYFUNCTION("GOOGLETRANSLATE(B18512,""en"",""it"")"),"La folla applaude e l'uomo con la camicia bianca e i jeans blu la sollevano e cammina dal palco.")</f>
        <v>La folla applaude e l'uomo con la camicia bianca e i jeans blu la sollevano e cammina dal palco.</v>
      </c>
    </row>
    <row r="18513">
      <c r="A18513" s="4" t="s">
        <v>23292</v>
      </c>
      <c r="B18513" s="6" t="s">
        <v>23293</v>
      </c>
      <c r="C18513" s="5" t="str">
        <f>IFERROR(__xludf.DUMMYFUNCTION("GOOGLETRANSLATE(B18513,""en"",""it"")"),"Si vede una fotocamera in una stanza con un muro appena dipinto e si vede un uomo che dipinge il muro su uno sgabello.")</f>
        <v>Si vede una fotocamera in una stanza con un muro appena dipinto e si vede un uomo che dipinge il muro su uno sgabello.</v>
      </c>
    </row>
    <row r="18514">
      <c r="A18514" s="4" t="s">
        <v>23292</v>
      </c>
      <c r="B18514" s="4" t="s">
        <v>23294</v>
      </c>
      <c r="C18514" s="5" t="str">
        <f>IFERROR(__xludf.DUMMYFUNCTION("GOOGLETRANSLATE(B18514,""en"",""it"")"),"La fotocamera piova sul lucernario e finisce guardando dietro l'area.")</f>
        <v>La fotocamera piova sul lucernario e finisce guardando dietro l'area.</v>
      </c>
    </row>
    <row r="18515">
      <c r="A18515" s="4" t="s">
        <v>23295</v>
      </c>
      <c r="B18515" s="4" t="s">
        <v>23296</v>
      </c>
      <c r="C18515" s="5" t="str">
        <f>IFERROR(__xludf.DUMMYFUNCTION("GOOGLETRANSLATE(B18515,""en"",""it"")"),"Vediamo una persona in cucina che cucina sul fornello.")</f>
        <v>Vediamo una persona in cucina che cucina sul fornello.</v>
      </c>
    </row>
    <row r="18516">
      <c r="A18516" s="4" t="s">
        <v>23295</v>
      </c>
      <c r="B18516" s="4" t="s">
        <v>23297</v>
      </c>
      <c r="C18516" s="5" t="str">
        <f>IFERROR(__xludf.DUMMYFUNCTION("GOOGLETRANSLATE(B18516,""en"",""it"")"),"La persona ha una padella con il burro a cui aggiungono uova.")</f>
        <v>La persona ha una padella con il burro a cui aggiungono uova.</v>
      </c>
    </row>
    <row r="18517">
      <c r="A18517" s="4" t="s">
        <v>23295</v>
      </c>
      <c r="B18517" s="4" t="s">
        <v>23298</v>
      </c>
      <c r="C18517" s="5" t="str">
        <f>IFERROR(__xludf.DUMMYFUNCTION("GOOGLETRANSLATE(B18517,""en"",""it"")"),"La persona lancia le uova.")</f>
        <v>La persona lancia le uova.</v>
      </c>
    </row>
    <row r="18518">
      <c r="A18518" s="4" t="s">
        <v>23295</v>
      </c>
      <c r="B18518" s="4" t="s">
        <v>23299</v>
      </c>
      <c r="C18518" s="5" t="str">
        <f>IFERROR(__xludf.DUMMYFUNCTION("GOOGLETRANSLATE(B18518,""en"",""it"")"),"Un incendio inizia dagli occhi che la persona lo fa esplodere.")</f>
        <v>Un incendio inizia dagli occhi che la persona lo fa esplodere.</v>
      </c>
    </row>
    <row r="18519">
      <c r="A18519" s="4" t="s">
        <v>23295</v>
      </c>
      <c r="B18519" s="4" t="s">
        <v>23300</v>
      </c>
      <c r="C18519" s="5" t="str">
        <f>IFERROR(__xludf.DUMMYFUNCTION("GOOGLETRANSLATE(B18519,""en"",""it"")"),"La persona lancia le uova con una spatola.")</f>
        <v>La persona lancia le uova con una spatola.</v>
      </c>
    </row>
    <row r="18520">
      <c r="A18520" s="4" t="s">
        <v>23295</v>
      </c>
      <c r="B18520" s="4" t="s">
        <v>23301</v>
      </c>
      <c r="C18520" s="5" t="str">
        <f>IFERROR(__xludf.DUMMYFUNCTION("GOOGLETRANSLATE(B18520,""en"",""it"")"),"Le uova vengono versate in un piatto e vengono aggiunti sale e pepe.")</f>
        <v>Le uova vengono versate in un piatto e vengono aggiunti sale e pepe.</v>
      </c>
    </row>
    <row r="18521">
      <c r="A18521" s="4" t="s">
        <v>23295</v>
      </c>
      <c r="B18521" s="4" t="s">
        <v>23302</v>
      </c>
      <c r="C18521" s="5" t="str">
        <f>IFERROR(__xludf.DUMMYFUNCTION("GOOGLETRANSLATE(B18521,""en"",""it"")"),"La persona si allontana dalla stufa.")</f>
        <v>La persona si allontana dalla stufa.</v>
      </c>
    </row>
    <row r="18522">
      <c r="A18522" s="4" t="s">
        <v>23303</v>
      </c>
      <c r="B18522" s="6" t="s">
        <v>23304</v>
      </c>
      <c r="C18522" s="5" t="str">
        <f>IFERROR(__xludf.DUMMYFUNCTION("GOOGLETRANSLATE(B18522,""en"",""it"")"),"Un cane urina costantemente, senza fermarsi, e mentre cammina solo sulle sue zampe anteriori, giù e intorno a un marciapiede asfaltato mentre una persona li cammina al guinzaglio giallo.")</f>
        <v>Un cane urina costantemente, senza fermarsi, e mentre cammina solo sulle sue zampe anteriori, giù e intorno a un marciapiede asfaltato mentre una persona li cammina al guinzaglio giallo.</v>
      </c>
    </row>
    <row r="18523">
      <c r="A18523" s="4" t="s">
        <v>23303</v>
      </c>
      <c r="B18523" s="6" t="s">
        <v>23305</v>
      </c>
      <c r="C18523" s="5" t="str">
        <f>IFERROR(__xludf.DUMMYFUNCTION("GOOGLETRANSLATE(B18523,""en"",""it"")"),"Il cane Pug inizia a urinare su un marciapiede di pietra lungo un mini muro di pietra bassa, atterra su tutte e quattro le gambe per girarsi, e poi procede a iniziare a camminare solo sui suoi due zampe anteriori.")</f>
        <v>Il cane Pug inizia a urinare su un marciapiede di pietra lungo un mini muro di pietra bassa, atterra su tutte e quattro le gambe per girarsi, e poi procede a iniziare a camminare solo sui suoi due zampe anteriori.</v>
      </c>
    </row>
    <row r="18524">
      <c r="A18524" s="4" t="s">
        <v>23303</v>
      </c>
      <c r="B18524" s="6" t="s">
        <v>23306</v>
      </c>
      <c r="C18524" s="5" t="str">
        <f>IFERROR(__xludf.DUMMYFUNCTION("GOOGLETRANSLATE(B18524,""en"",""it"")"),"Il cane inizia a urinare mentre cammina sulle sue zampe anteriori solo con il guinzaglio giallo che segue mentre una persona invisibile cammina dal cane dallo sfondo.")</f>
        <v>Il cane inizia a urinare mentre cammina sulle sue zampe anteriori solo con il guinzaglio giallo che segue mentre una persona invisibile cammina dal cane dallo sfondo.</v>
      </c>
    </row>
    <row r="18525">
      <c r="A18525" s="4" t="s">
        <v>23303</v>
      </c>
      <c r="B18525" s="6" t="s">
        <v>23307</v>
      </c>
      <c r="C18525" s="5" t="str">
        <f>IFERROR(__xludf.DUMMYFUNCTION("GOOGLETRANSLATE(B18525,""en"",""it"")"),"Il cane continua a urinare in questo modo, oltre più marciapiede ed erba, e infine inizia a usare tre gambe, si ferma e urina di più mentre sta fermo su tre gambe.")</f>
        <v>Il cane continua a urinare in questo modo, oltre più marciapiede ed erba, e infine inizia a usare tre gambe, si ferma e urina di più mentre sta fermo su tre gambe.</v>
      </c>
    </row>
    <row r="18526">
      <c r="A18526" s="4" t="s">
        <v>23308</v>
      </c>
      <c r="B18526" s="4" t="s">
        <v>23309</v>
      </c>
      <c r="C18526" s="5" t="str">
        <f>IFERROR(__xludf.DUMMYFUNCTION("GOOGLETRANSLATE(B18526,""en"",""it"")"),"Un uomo fissa una donna seduta in un'imbracatura di bungee mentre altri stanno accanto.")</f>
        <v>Un uomo fissa una donna seduta in un'imbracatura di bungee mentre altri stanno accanto.</v>
      </c>
    </row>
    <row r="18527">
      <c r="A18527" s="4" t="s">
        <v>23308</v>
      </c>
      <c r="B18527" s="4" t="s">
        <v>23310</v>
      </c>
      <c r="C18527" s="5" t="str">
        <f>IFERROR(__xludf.DUMMYFUNCTION("GOOGLETRANSLATE(B18527,""en"",""it"")"),"La donna parla alla telecamera in una vista ravvicinata.")</f>
        <v>La donna parla alla telecamera in una vista ravvicinata.</v>
      </c>
    </row>
    <row r="18528">
      <c r="A18528" s="4" t="s">
        <v>23308</v>
      </c>
      <c r="B18528" s="4" t="s">
        <v>23311</v>
      </c>
      <c r="C18528" s="5" t="str">
        <f>IFERROR(__xludf.DUMMYFUNCTION("GOOGLETRANSLATE(B18528,""en"",""it"")"),"Diversi scatti dello scenario sono mostrati intervallati dalla donna in attesa.")</f>
        <v>Diversi scatti dello scenario sono mostrati intervallati dalla donna in attesa.</v>
      </c>
    </row>
    <row r="18529">
      <c r="A18529" s="4" t="s">
        <v>23308</v>
      </c>
      <c r="B18529" s="4" t="s">
        <v>23312</v>
      </c>
      <c r="C18529" s="5" t="str">
        <f>IFERROR(__xludf.DUMMYFUNCTION("GOOGLETRANSLATE(B18529,""en"",""it"")"),"L'uomo finisce con l'attrezzatura.")</f>
        <v>L'uomo finisce con l'attrezzatura.</v>
      </c>
    </row>
    <row r="18530">
      <c r="A18530" s="4" t="s">
        <v>23308</v>
      </c>
      <c r="B18530" s="6" t="s">
        <v>23313</v>
      </c>
      <c r="C18530" s="5" t="str">
        <f>IFERROR(__xludf.DUMMYFUNCTION("GOOGLETRANSLATE(B18530,""en"",""it"")"),"La donna esce con cura alla piattaforma di salto mentre uno degli uomini sta dietro di lei e un pubblico guarda.")</f>
        <v>La donna esce con cura alla piattaforma di salto mentre uno degli uomini sta dietro di lei e un pubblico guarda.</v>
      </c>
    </row>
    <row r="18531">
      <c r="A18531" s="4" t="s">
        <v>23308</v>
      </c>
      <c r="B18531" s="4" t="s">
        <v>23314</v>
      </c>
      <c r="C18531" s="5" t="str">
        <f>IFERROR(__xludf.DUMMYFUNCTION("GOOGLETRANSLATE(B18531,""en"",""it"")"),"La donna bunge dalla piattaforma.")</f>
        <v>La donna bunge dalla piattaforma.</v>
      </c>
    </row>
    <row r="18532">
      <c r="A18532" s="4" t="s">
        <v>23308</v>
      </c>
      <c r="B18532" s="4" t="s">
        <v>23315</v>
      </c>
      <c r="C18532" s="5" t="str">
        <f>IFERROR(__xludf.DUMMYFUNCTION("GOOGLETRANSLATE(B18532,""en"",""it"")"),"Viene mostrato un replay della donna bungeeing dalla piattaforma.")</f>
        <v>Viene mostrato un replay della donna bungeeing dalla piattaforma.</v>
      </c>
    </row>
    <row r="18533">
      <c r="A18533" s="4" t="s">
        <v>23316</v>
      </c>
      <c r="B18533" s="4" t="s">
        <v>23317</v>
      </c>
      <c r="C18533" s="5" t="str">
        <f>IFERROR(__xludf.DUMMYFUNCTION("GOOGLETRANSLATE(B18533,""en"",""it"")"),"Vediamo un tavolo coperto di carte e un laptop mentre un uomo lavora.")</f>
        <v>Vediamo un tavolo coperto di carte e un laptop mentre un uomo lavora.</v>
      </c>
    </row>
    <row r="18534">
      <c r="A18534" s="4" t="s">
        <v>23316</v>
      </c>
      <c r="B18534" s="4" t="s">
        <v>23318</v>
      </c>
      <c r="C18534" s="5" t="str">
        <f>IFERROR(__xludf.DUMMYFUNCTION("GOOGLETRANSLATE(B18534,""en"",""it"")"),"L'uomo se ne va e si reca in un garage coperto di graffiti e gira su un boombox.")</f>
        <v>L'uomo se ne va e si reca in un garage coperto di graffiti e gira su un boombox.</v>
      </c>
    </row>
    <row r="18535">
      <c r="A18535" s="4" t="s">
        <v>23316</v>
      </c>
      <c r="B18535" s="4" t="s">
        <v>23319</v>
      </c>
      <c r="C18535" s="5" t="str">
        <f>IFERROR(__xludf.DUMMYFUNCTION("GOOGLETRANSLATE(B18535,""en"",""it"")"),"L'uomo si rompe danze quindi vede che c'è un uomo attraverso la stanza.")</f>
        <v>L'uomo si rompe danze quindi vede che c'è un uomo attraverso la stanza.</v>
      </c>
    </row>
    <row r="18536">
      <c r="A18536" s="4" t="s">
        <v>23316</v>
      </c>
      <c r="B18536" s="4" t="s">
        <v>23320</v>
      </c>
      <c r="C18536" s="5" t="str">
        <f>IFERROR(__xludf.DUMMYFUNCTION("GOOGLETRANSLATE(B18536,""en"",""it"")"),"Gli uomini poi si alternano a ballare.")</f>
        <v>Gli uomini poi si alternano a ballare.</v>
      </c>
    </row>
    <row r="18537">
      <c r="A18537" s="4" t="s">
        <v>23316</v>
      </c>
      <c r="B18537" s="4" t="s">
        <v>23321</v>
      </c>
      <c r="C18537" s="5" t="str">
        <f>IFERROR(__xludf.DUMMYFUNCTION("GOOGLETRANSLATE(B18537,""en"",""it"")"),"Gli uomini stanno faccia a faccia e spezzano la danza insieme.")</f>
        <v>Gli uomini stanno faccia a faccia e spezzano la danza insieme.</v>
      </c>
    </row>
    <row r="18538">
      <c r="A18538" s="4" t="s">
        <v>23316</v>
      </c>
      <c r="B18538" s="4" t="s">
        <v>5107</v>
      </c>
      <c r="C18538" s="5" t="str">
        <f>IFERROR(__xludf.DUMMYFUNCTION("GOOGLETRANSLATE(B18538,""en"",""it"")"),"Vediamo quindi la schermata del titolo finale.")</f>
        <v>Vediamo quindi la schermata del titolo finale.</v>
      </c>
    </row>
    <row r="18539">
      <c r="A18539" s="4" t="s">
        <v>23322</v>
      </c>
      <c r="B18539" s="6" t="s">
        <v>23323</v>
      </c>
      <c r="C18539" s="5" t="str">
        <f>IFERROR(__xludf.DUMMYFUNCTION("GOOGLETRANSLATE(B18539,""en"",""it"")"),"Gli sci di una persona vengono mostrati da vicino mentre si muovono continuamente lungo una collina innevata che si muove rapidamente oltre gli alberi.")</f>
        <v>Gli sci di una persona vengono mostrati da vicino mentre si muovono continuamente lungo una collina innevata che si muove rapidamente oltre gli alberi.</v>
      </c>
    </row>
    <row r="18540">
      <c r="A18540" s="4" t="s">
        <v>23322</v>
      </c>
      <c r="B18540" s="6" t="s">
        <v>23324</v>
      </c>
      <c r="C18540" s="5" t="str">
        <f>IFERROR(__xludf.DUMMYFUNCTION("GOOGLETRANSLATE(B18540,""en"",""it"")"),"La persona continua a muoversi lungo il sentiero a un ritmo veloce e incontrarsi con gli altri in fondo.")</f>
        <v>La persona continua a muoversi lungo il sentiero a un ritmo veloce e incontrarsi con gli altri in fondo.</v>
      </c>
    </row>
    <row r="18541">
      <c r="A18541" s="4" t="s">
        <v>23325</v>
      </c>
      <c r="B18541" s="6" t="s">
        <v>23326</v>
      </c>
      <c r="C18541" s="5" t="str">
        <f>IFERROR(__xludf.DUMMYFUNCTION("GOOGLETRANSLATE(B18541,""en"",""it"")"),"Le persone stanno in un campo giocando a shufleboard mentre le persone sono nelle terrazze guardano la partita.")</f>
        <v>Le persone stanno in un campo giocando a shufleboard mentre le persone sono nelle terrazze guardano la partita.</v>
      </c>
    </row>
    <row r="18542">
      <c r="A18542" s="4" t="s">
        <v>23325</v>
      </c>
      <c r="B18542" s="4" t="s">
        <v>23327</v>
      </c>
      <c r="C18542" s="5" t="str">
        <f>IFERROR(__xludf.DUMMYFUNCTION("GOOGLETRANSLATE(B18542,""en"",""it"")"),"Molte persone che indossano le uniformi rosse camminano e si siedono in campo.")</f>
        <v>Molte persone che indossano le uniformi rosse camminano e si siedono in campo.</v>
      </c>
    </row>
    <row r="18543">
      <c r="A18543" s="4" t="s">
        <v>23328</v>
      </c>
      <c r="B18543" s="4" t="s">
        <v>23329</v>
      </c>
      <c r="C18543" s="5" t="str">
        <f>IFERROR(__xludf.DUMMYFUNCTION("GOOGLETRANSLATE(B18543,""en"",""it"")"),"Un uomo in giacca e cravatta e una signora in un abito scintillante sul palco.")</f>
        <v>Un uomo in giacca e cravatta e una signora in un abito scintillante sul palco.</v>
      </c>
    </row>
    <row r="18544">
      <c r="A18544" s="4" t="s">
        <v>23328</v>
      </c>
      <c r="B18544" s="4" t="s">
        <v>23330</v>
      </c>
      <c r="C18544" s="5" t="str">
        <f>IFERROR(__xludf.DUMMYFUNCTION("GOOGLETRANSLATE(B18544,""en"",""it"")"),"La gente quindi balla balla mentre la gente guarda.")</f>
        <v>La gente quindi balla balla mentre la gente guarda.</v>
      </c>
    </row>
    <row r="18545">
      <c r="A18545" s="4" t="s">
        <v>23328</v>
      </c>
      <c r="B18545" s="4" t="s">
        <v>23331</v>
      </c>
      <c r="C18545" s="5" t="str">
        <f>IFERROR(__xludf.DUMMYFUNCTION("GOOGLETRANSLATE(B18545,""en"",""it"")"),"L'uomo gira la donna in aria di fronte a lui.")</f>
        <v>L'uomo gira la donna in aria di fronte a lui.</v>
      </c>
    </row>
    <row r="18546">
      <c r="A18546" s="4" t="s">
        <v>23328</v>
      </c>
      <c r="B18546" s="4" t="s">
        <v>23332</v>
      </c>
      <c r="C18546" s="5" t="str">
        <f>IFERROR(__xludf.DUMMYFUNCTION("GOOGLETRANSLATE(B18546,""en"",""it"")"),"L'uomo immerge la signora e lei calcia i piedi in aria.")</f>
        <v>L'uomo immerge la signora e lei calcia i piedi in aria.</v>
      </c>
    </row>
    <row r="18547">
      <c r="A18547" s="4" t="s">
        <v>23328</v>
      </c>
      <c r="B18547" s="4" t="s">
        <v>23333</v>
      </c>
      <c r="C18547" s="5" t="str">
        <f>IFERROR(__xludf.DUMMYFUNCTION("GOOGLETRANSLATE(B18547,""en"",""it"")"),"Finiscono e la folla applaude mentre scendono dal palco.")</f>
        <v>Finiscono e la folla applaude mentre scendono dal palco.</v>
      </c>
    </row>
    <row r="18548">
      <c r="A18548" s="4" t="s">
        <v>23334</v>
      </c>
      <c r="B18548" s="6" t="s">
        <v>23335</v>
      </c>
      <c r="C18548" s="5" t="str">
        <f>IFERROR(__xludf.DUMMYFUNCTION("GOOGLETRANSLATE(B18548,""en"",""it"")"),"Due ragazze sono viste tenere una posa nel mezzo di una grande palestra mentre altre guardano intorno a loro.")</f>
        <v>Due ragazze sono viste tenere una posa nel mezzo di una grande palestra mentre altre guardano intorno a loro.</v>
      </c>
    </row>
    <row r="18549">
      <c r="A18549" s="4" t="s">
        <v>23334</v>
      </c>
      <c r="B18549" s="4" t="s">
        <v>23336</v>
      </c>
      <c r="C18549" s="5" t="str">
        <f>IFERROR(__xludf.DUMMYFUNCTION("GOOGLETRANSLATE(B18549,""en"",""it"")"),"Le ragazze iniziano a eseguire una routine di danza mentre usano i manganelli.")</f>
        <v>Le ragazze iniziano a eseguire una routine di danza mentre usano i manganelli.</v>
      </c>
    </row>
    <row r="18550">
      <c r="A18550" s="4" t="s">
        <v>23334</v>
      </c>
      <c r="B18550" s="4" t="s">
        <v>23337</v>
      </c>
      <c r="C18550" s="5" t="str">
        <f>IFERROR(__xludf.DUMMYFUNCTION("GOOGLETRANSLATE(B18550,""en"",""it"")"),"Le ragazze continuano a ballare e finiscono tenendo una posa.")</f>
        <v>Le ragazze continuano a ballare e finiscono tenendo una posa.</v>
      </c>
    </row>
    <row r="18551">
      <c r="A18551" s="4" t="s">
        <v>23338</v>
      </c>
      <c r="B18551" s="4" t="s">
        <v>23339</v>
      </c>
      <c r="C18551" s="5" t="str">
        <f>IFERROR(__xludf.DUMMYFUNCTION("GOOGLETRANSLATE(B18551,""en"",""it"")"),"Una donna sta camminando sulla spiaggia portando una tavola da surf.")</f>
        <v>Una donna sta camminando sulla spiaggia portando una tavola da surf.</v>
      </c>
    </row>
    <row r="18552">
      <c r="A18552" s="4" t="s">
        <v>23338</v>
      </c>
      <c r="B18552" s="4" t="s">
        <v>23340</v>
      </c>
      <c r="C18552" s="5" t="str">
        <f>IFERROR(__xludf.DUMMYFUNCTION("GOOGLETRANSLATE(B18552,""en"",""it"")"),"Comincia a navigare in acqua.")</f>
        <v>Comincia a navigare in acqua.</v>
      </c>
    </row>
    <row r="18553">
      <c r="A18553" s="4" t="s">
        <v>23341</v>
      </c>
      <c r="B18553" s="4" t="s">
        <v>23342</v>
      </c>
      <c r="C18553" s="5" t="str">
        <f>IFERROR(__xludf.DUMMYFUNCTION("GOOGLETRANSLATE(B18553,""en"",""it"")"),"Una donna sta lavando in un lavandino e mostra una piccola bottiglia.")</f>
        <v>Una donna sta lavando in un lavandino e mostra una piccola bottiglia.</v>
      </c>
    </row>
    <row r="18554">
      <c r="A18554" s="4" t="s">
        <v>23341</v>
      </c>
      <c r="B18554" s="4" t="s">
        <v>23343</v>
      </c>
      <c r="C18554" s="5" t="str">
        <f>IFERROR(__xludf.DUMMYFUNCTION("GOOGLETRANSLATE(B18554,""en"",""it"")"),"Quindi, la donna aggiunge diverse patate in una pentola fumante.")</f>
        <v>Quindi, la donna aggiunge diverse patate in una pentola fumante.</v>
      </c>
    </row>
    <row r="18555">
      <c r="A18555" s="4" t="s">
        <v>23341</v>
      </c>
      <c r="B18555" s="4" t="s">
        <v>23344</v>
      </c>
      <c r="C18555" s="5" t="str">
        <f>IFERROR(__xludf.DUMMYFUNCTION("GOOGLETRANSLATE(B18555,""en"",""it"")"),"Dopo, la donna mise le patate in una ciotola e poi sbuccia facilmente una patate.")</f>
        <v>Dopo, la donna mise le patate in una ciotola e poi sbuccia facilmente una patate.</v>
      </c>
    </row>
    <row r="18556">
      <c r="A18556" s="4" t="s">
        <v>23345</v>
      </c>
      <c r="B18556" s="4" t="s">
        <v>23346</v>
      </c>
      <c r="C18556" s="5" t="str">
        <f>IFERROR(__xludf.DUMMYFUNCTION("GOOGLETRANSLATE(B18556,""en"",""it"")"),"C'è un giardino con molti alberi e arbusti.")</f>
        <v>C'è un giardino con molti alberi e arbusti.</v>
      </c>
    </row>
    <row r="18557">
      <c r="A18557" s="4" t="s">
        <v>23345</v>
      </c>
      <c r="B18557" s="4" t="s">
        <v>23347</v>
      </c>
      <c r="C18557" s="5" t="str">
        <f>IFERROR(__xludf.DUMMYFUNCTION("GOOGLETRANSLATE(B18557,""en"",""it"")"),"C'è un uomo che usa un'attrezzatura di copertura e taglio che taglia i cespugli.")</f>
        <v>C'è un uomo che usa un'attrezzatura di copertura e taglio che taglia i cespugli.</v>
      </c>
    </row>
    <row r="18558">
      <c r="A18558" s="4" t="s">
        <v>23345</v>
      </c>
      <c r="B18558" s="4" t="s">
        <v>23348</v>
      </c>
      <c r="C18558" s="5" t="str">
        <f>IFERROR(__xludf.DUMMYFUNCTION("GOOGLETRANSLATE(B18558,""en"",""it"")"),"Un altro uomo sta dando istruzioni sulla cura del prato e del giardino.")</f>
        <v>Un altro uomo sta dando istruzioni sulla cura del prato e del giardino.</v>
      </c>
    </row>
    <row r="18559">
      <c r="A18559" s="4" t="s">
        <v>23345</v>
      </c>
      <c r="B18559" s="4" t="s">
        <v>23349</v>
      </c>
      <c r="C18559" s="5" t="str">
        <f>IFERROR(__xludf.DUMMYFUNCTION("GOOGLETRANSLATE(B18559,""en"",""it"")"),"L'uomo si arrampica su una scala alta per tagliare più volte gli alberi e i cespugli.")</f>
        <v>L'uomo si arrampica su una scala alta per tagliare più volte gli alberi e i cespugli.</v>
      </c>
    </row>
    <row r="18560">
      <c r="A18560" s="4" t="s">
        <v>23345</v>
      </c>
      <c r="B18560" s="4" t="s">
        <v>23350</v>
      </c>
      <c r="C18560" s="5" t="str">
        <f>IFERROR(__xludf.DUMMYFUNCTION("GOOGLETRANSLATE(B18560,""en"",""it"")"),"Va intorno a tutto il lato per tagliare le siepi.")</f>
        <v>Va intorno a tutto il lato per tagliare le siepi.</v>
      </c>
    </row>
    <row r="18561">
      <c r="A18561" s="4" t="s">
        <v>23345</v>
      </c>
      <c r="B18561" s="6" t="s">
        <v>23351</v>
      </c>
      <c r="C18561" s="5" t="str">
        <f>IFERROR(__xludf.DUMMYFUNCTION("GOOGLETRANSLATE(B18561,""en"",""it"")"),"L'istruttore continua a parlare del processo di giardinaggio, l'uomo taglia le siepi che formano una barriera vicino a una casa.")</f>
        <v>L'istruttore continua a parlare del processo di giardinaggio, l'uomo taglia le siepi che formano una barriera vicino a una casa.</v>
      </c>
    </row>
    <row r="18562">
      <c r="A18562" s="4" t="s">
        <v>23345</v>
      </c>
      <c r="B18562" s="4" t="s">
        <v>23352</v>
      </c>
      <c r="C18562" s="5" t="str">
        <f>IFERROR(__xludf.DUMMYFUNCTION("GOOGLETRANSLATE(B18562,""en"",""it"")"),"L'istruttore spiega nuovamente il processo agli spettatori.")</f>
        <v>L'istruttore spiega nuovamente il processo agli spettatori.</v>
      </c>
    </row>
    <row r="18563">
      <c r="A18563" s="4" t="s">
        <v>23345</v>
      </c>
      <c r="B18563" s="6" t="s">
        <v>23353</v>
      </c>
      <c r="C18563" s="5" t="str">
        <f>IFERROR(__xludf.DUMMYFUNCTION("GOOGLETRANSLATE(B18563,""en"",""it"")"),"La scena cambia in una strana statua dall'aspetto in una città trafficata e termina con un ringraziamento per aver visto il messaggio.")</f>
        <v>La scena cambia in una strana statua dall'aspetto in una città trafficata e termina con un ringraziamento per aver visto il messaggio.</v>
      </c>
    </row>
    <row r="18564">
      <c r="A18564" s="4" t="s">
        <v>23354</v>
      </c>
      <c r="B18564" s="4" t="s">
        <v>23355</v>
      </c>
      <c r="C18564" s="5" t="str">
        <f>IFERROR(__xludf.DUMMYFUNCTION("GOOGLETRANSLATE(B18564,""en"",""it"")"),"Una donna in lingerie è seduta su un divano agitato alla telecamera.")</f>
        <v>Una donna in lingerie è seduta su un divano agitato alla telecamera.</v>
      </c>
    </row>
    <row r="18565">
      <c r="A18565" s="4" t="s">
        <v>23354</v>
      </c>
      <c r="B18565" s="4" t="s">
        <v>23356</v>
      </c>
      <c r="C18565" s="5" t="str">
        <f>IFERROR(__xludf.DUMMYFUNCTION("GOOGLETRANSLATE(B18565,""en"",""it"")"),"Apre un pacchetto di sigarette e si illumina.")</f>
        <v>Apre un pacchetto di sigarette e si illumina.</v>
      </c>
    </row>
    <row r="18566">
      <c r="A18566" s="4" t="s">
        <v>23354</v>
      </c>
      <c r="B18566" s="4" t="s">
        <v>23357</v>
      </c>
      <c r="C18566" s="5" t="str">
        <f>IFERROR(__xludf.DUMMYFUNCTION("GOOGLETRANSLATE(B18566,""en"",""it"")"),"Continua a sedersi e a fumare mentre guarda la telecamera.")</f>
        <v>Continua a sedersi e a fumare mentre guarda la telecamera.</v>
      </c>
    </row>
    <row r="18567">
      <c r="A18567" s="4" t="s">
        <v>23358</v>
      </c>
      <c r="B18567" s="4" t="s">
        <v>23359</v>
      </c>
      <c r="C18567" s="5" t="str">
        <f>IFERROR(__xludf.DUMMYFUNCTION("GOOGLETRANSLATE(B18567,""en"",""it"")"),"Una signora discute mentre si trova in cucina adiacente a un lavandino.")</f>
        <v>Una signora discute mentre si trova in cucina adiacente a un lavandino.</v>
      </c>
    </row>
    <row r="18568">
      <c r="A18568" s="4" t="s">
        <v>23358</v>
      </c>
      <c r="B18568" s="4" t="s">
        <v>23360</v>
      </c>
      <c r="C18568" s="5" t="str">
        <f>IFERROR(__xludf.DUMMYFUNCTION("GOOGLETRANSLATE(B18568,""en"",""it"")"),"La signora tiene in mano una spugna mentre l'acqua del lavandino funziona.")</f>
        <v>La signora tiene in mano una spugna mentre l'acqua del lavandino funziona.</v>
      </c>
    </row>
    <row r="18569">
      <c r="A18569" s="4" t="s">
        <v>23358</v>
      </c>
      <c r="B18569" s="4" t="s">
        <v>23361</v>
      </c>
      <c r="C18569" s="5" t="str">
        <f>IFERROR(__xludf.DUMMYFUNCTION("GOOGLETRANSLATE(B18569,""en"",""it"")"),"La signora sta immergendo i piatti in acqua insaponata.")</f>
        <v>La signora sta immergendo i piatti in acqua insaponata.</v>
      </c>
    </row>
    <row r="18570">
      <c r="A18570" s="4" t="s">
        <v>23362</v>
      </c>
      <c r="B18570" s="4" t="s">
        <v>23363</v>
      </c>
      <c r="C18570" s="5" t="str">
        <f>IFERROR(__xludf.DUMMYFUNCTION("GOOGLETRANSLATE(B18570,""en"",""it"")"),"Una donna in un vestito bianco balla fuori vicino a colonne e alberi.")</f>
        <v>Una donna in un vestito bianco balla fuori vicino a colonne e alberi.</v>
      </c>
    </row>
    <row r="18571">
      <c r="A18571" s="4" t="s">
        <v>23362</v>
      </c>
      <c r="B18571" s="4" t="s">
        <v>23364</v>
      </c>
      <c r="C18571" s="5" t="str">
        <f>IFERROR(__xludf.DUMMYFUNCTION("GOOGLETRANSLATE(B18571,""en"",""it"")"),"La donna scuote i fianchi mentre balla.")</f>
        <v>La donna scuote i fianchi mentre balla.</v>
      </c>
    </row>
    <row r="18572">
      <c r="A18572" s="4" t="s">
        <v>23362</v>
      </c>
      <c r="B18572" s="4" t="s">
        <v>23365</v>
      </c>
      <c r="C18572" s="5" t="str">
        <f>IFERROR(__xludf.DUMMYFUNCTION("GOOGLETRANSLATE(B18572,""en"",""it"")"),"I crediti vengono visualizzati sullo schermo.")</f>
        <v>I crediti vengono visualizzati sullo schermo.</v>
      </c>
    </row>
    <row r="18573">
      <c r="A18573" s="4" t="s">
        <v>23366</v>
      </c>
      <c r="B18573" s="4" t="s">
        <v>23367</v>
      </c>
      <c r="C18573" s="5" t="str">
        <f>IFERROR(__xludf.DUMMYFUNCTION("GOOGLETRANSLATE(B18573,""en"",""it"")"),"Viene mostrato un vetro di tiro, riempito con tre colori di liquido.")</f>
        <v>Viene mostrato un vetro di tiro, riempito con tre colori di liquido.</v>
      </c>
    </row>
    <row r="18574">
      <c r="A18574" s="4" t="s">
        <v>23366</v>
      </c>
      <c r="B18574" s="4" t="s">
        <v>23368</v>
      </c>
      <c r="C18574" s="5" t="str">
        <f>IFERROR(__xludf.DUMMYFUNCTION("GOOGLETRANSLATE(B18574,""en"",""it"")"),"Vengono mostrate diverse bottiglie di alcoli di colore diverso.")</f>
        <v>Vengono mostrate diverse bottiglie di alcoli di colore diverso.</v>
      </c>
    </row>
    <row r="18575">
      <c r="A18575" s="4" t="s">
        <v>23366</v>
      </c>
      <c r="B18575" s="4" t="s">
        <v>23369</v>
      </c>
      <c r="C18575" s="5" t="str">
        <f>IFERROR(__xludf.DUMMYFUNCTION("GOOGLETRANSLATE(B18575,""en"",""it"")"),"I liquidi vengono versati uno alla volta negli occhiali, formando la bevanda tricolore.")</f>
        <v>I liquidi vengono versati uno alla volta negli occhiali, formando la bevanda tricolore.</v>
      </c>
    </row>
    <row r="18576">
      <c r="A18576" s="4" t="s">
        <v>23370</v>
      </c>
      <c r="B18576" s="4" t="s">
        <v>23371</v>
      </c>
      <c r="C18576" s="5" t="str">
        <f>IFERROR(__xludf.DUMMYFUNCTION("GOOGLETRANSLATE(B18576,""en"",""it"")"),"Un uomo in camicia elegante tocca il suo panno sul beccuccio di un contenitore di vetro per farlo umido.")</f>
        <v>Un uomo in camicia elegante tocca il suo panno sul beccuccio di un contenitore di vetro per farlo umido.</v>
      </c>
    </row>
    <row r="18577">
      <c r="A18577" s="4" t="s">
        <v>23370</v>
      </c>
      <c r="B18577" s="4" t="s">
        <v>23372</v>
      </c>
      <c r="C18577" s="5" t="str">
        <f>IFERROR(__xludf.DUMMYFUNCTION("GOOGLETRANSLATE(B18577,""en"",""it"")"),"L'uomo usa il suo panno avvolto attorno al suo indice e al centro più fine per lucidare una scarpa.")</f>
        <v>L'uomo usa il suo panno avvolto attorno al suo indice e al centro più fine per lucidare una scarpa.</v>
      </c>
    </row>
    <row r="18578">
      <c r="A18578" s="4" t="s">
        <v>23370</v>
      </c>
      <c r="B18578" s="4" t="s">
        <v>23373</v>
      </c>
      <c r="C18578" s="5" t="str">
        <f>IFERROR(__xludf.DUMMYFUNCTION("GOOGLETRANSLATE(B18578,""en"",""it"")"),"L'uomo si strofina il panno in una latta di lucidatura per più sostanza.")</f>
        <v>L'uomo si strofina il panno in una latta di lucidatura per più sostanza.</v>
      </c>
    </row>
    <row r="18579">
      <c r="A18579" s="4" t="s">
        <v>23370</v>
      </c>
      <c r="B18579" s="4" t="s">
        <v>23374</v>
      </c>
      <c r="C18579" s="5" t="str">
        <f>IFERROR(__xludf.DUMMYFUNCTION("GOOGLETRANSLATE(B18579,""en"",""it"")"),"L'uomo continua a lucidare lo spettacolo attorno alla punta della scarpa.")</f>
        <v>L'uomo continua a lucidare lo spettacolo attorno alla punta della scarpa.</v>
      </c>
    </row>
    <row r="18580">
      <c r="A18580" s="4" t="s">
        <v>23370</v>
      </c>
      <c r="B18580" s="4" t="s">
        <v>23375</v>
      </c>
      <c r="C18580" s="5" t="str">
        <f>IFERROR(__xludf.DUMMYFUNCTION("GOOGLETRANSLATE(B18580,""en"",""it"")"),"L'uomo si strofina di nuovo la stoffa nella scatola per più smalto.")</f>
        <v>L'uomo si strofina di nuovo la stoffa nella scatola per più smalto.</v>
      </c>
    </row>
    <row r="18581">
      <c r="A18581" s="4" t="s">
        <v>23370</v>
      </c>
      <c r="B18581" s="6" t="s">
        <v>23376</v>
      </c>
      <c r="C18581" s="5" t="str">
        <f>IFERROR(__xludf.DUMMYFUNCTION("GOOGLETRANSLATE(B18581,""en"",""it"")"),"L'uomo continua a lucidare lo spettacolo attorno alla punta della scarpa vicino alla punta con un movimento circolare.")</f>
        <v>L'uomo continua a lucidare lo spettacolo attorno alla punta della scarpa vicino alla punta con un movimento circolare.</v>
      </c>
    </row>
    <row r="18582">
      <c r="A18582" s="4" t="s">
        <v>23377</v>
      </c>
      <c r="B18582" s="4" t="s">
        <v>23378</v>
      </c>
      <c r="C18582" s="5" t="str">
        <f>IFERROR(__xludf.DUMMYFUNCTION("GOOGLETRANSLATE(B18582,""en"",""it"")"),"Due ragazze si comportano sciocche e lanciano cartelli a una macchina fotografica.")</f>
        <v>Due ragazze si comportano sciocche e lanciano cartelli a una macchina fotografica.</v>
      </c>
    </row>
    <row r="18583">
      <c r="A18583" s="4" t="s">
        <v>23377</v>
      </c>
      <c r="B18583" s="4" t="s">
        <v>23379</v>
      </c>
      <c r="C18583" s="5" t="str">
        <f>IFERROR(__xludf.DUMMYFUNCTION("GOOGLETRANSLATE(B18583,""en"",""it"")"),"Si alternano quindi facendo cartwheels attraverso il prato.")</f>
        <v>Si alternano quindi facendo cartwheels attraverso il prato.</v>
      </c>
    </row>
    <row r="18584">
      <c r="A18584" s="4" t="s">
        <v>23377</v>
      </c>
      <c r="B18584" s="4" t="s">
        <v>23380</v>
      </c>
      <c r="C18584" s="5" t="str">
        <f>IFERROR(__xludf.DUMMYFUNCTION("GOOGLETRANSLATE(B18584,""en"",""it"")"),"Fanno la parte anteriore e posteriore, quindi corrono verso la fotocamera.")</f>
        <v>Fanno la parte anteriore e posteriore, quindi corrono verso la fotocamera.</v>
      </c>
    </row>
    <row r="18585">
      <c r="A18585" s="4" t="s">
        <v>23381</v>
      </c>
      <c r="B18585" s="4" t="s">
        <v>23382</v>
      </c>
      <c r="C18585" s="5" t="str">
        <f>IFERROR(__xludf.DUMMYFUNCTION("GOOGLETRANSLATE(B18585,""en"",""it"")"),"Un uomo è in piedi all'interno di una cucina davanti agli ingredienti e agli strumenti per la cottura.")</f>
        <v>Un uomo è in piedi all'interno di una cucina davanti agli ingredienti e agli strumenti per la cottura.</v>
      </c>
    </row>
    <row r="18586">
      <c r="A18586" s="4" t="s">
        <v>23381</v>
      </c>
      <c r="B18586" s="4" t="s">
        <v>23383</v>
      </c>
      <c r="C18586" s="5" t="str">
        <f>IFERROR(__xludf.DUMMYFUNCTION("GOOGLETRANSLATE(B18586,""en"",""it"")"),"Mostra il vestito versato su un'insalata di cavolo.")</f>
        <v>Mostra il vestito versato su un'insalata di cavolo.</v>
      </c>
    </row>
    <row r="18587">
      <c r="A18587" s="4" t="s">
        <v>23381</v>
      </c>
      <c r="B18587" s="4" t="s">
        <v>23384</v>
      </c>
      <c r="C18587" s="5" t="str">
        <f>IFERROR(__xludf.DUMMYFUNCTION("GOOGLETRANSLATE(B18587,""en"",""it"")"),"Spiega come tagliare un melone, creando fette che vanno nella sua insalata.")</f>
        <v>Spiega come tagliare un melone, creando fette che vanno nella sua insalata.</v>
      </c>
    </row>
    <row r="18588">
      <c r="A18588" s="4" t="s">
        <v>23381</v>
      </c>
      <c r="B18588" s="4" t="s">
        <v>23385</v>
      </c>
      <c r="C18588" s="5" t="str">
        <f>IFERROR(__xludf.DUMMYFUNCTION("GOOGLETRANSLATE(B18588,""en"",""it"")"),"Quindi distrugge una carota e sposta l'insalata in una ciotola prima di pioviggarla con il condimento.")</f>
        <v>Quindi distrugge una carota e sposta l'insalata in una ciotola prima di pioviggarla con il condimento.</v>
      </c>
    </row>
    <row r="18589">
      <c r="A18589" s="4" t="s">
        <v>23386</v>
      </c>
      <c r="B18589" s="6" t="s">
        <v>23387</v>
      </c>
      <c r="C18589" s="5" t="str">
        <f>IFERROR(__xludf.DUMMYFUNCTION("GOOGLETRANSLATE(B18589,""en"",""it"")"),"Appare uno schermo nero con parole bianche che leggono ""GoPro Hero3+Black che rendono i compiti quotidiani divertenti"" Mowing the Lawn ""Risoluzione: 1080p Superwide.")</f>
        <v>Appare uno schermo nero con parole bianche che leggono "GoPro Hero3+Black che rendono i compiti quotidiani divertenti" Mowing the Lawn "Risoluzione: 1080p Superwide.</v>
      </c>
    </row>
    <row r="18590">
      <c r="A18590" s="4" t="s">
        <v>23386</v>
      </c>
      <c r="B18590" s="6" t="s">
        <v>23388</v>
      </c>
      <c r="C18590" s="5" t="str">
        <f>IFERROR(__xludf.DUMMYFUNCTION("GOOGLETRANSLATE(B18590,""en"",""it"")"),"Una vista dalla cima di un tosaerba mostra una donna che tira sulla maniglia di tiro del tosaerba.")</f>
        <v>Una vista dalla cima di un tosaerba mostra una donna che tira sulla maniglia di tiro del tosaerba.</v>
      </c>
    </row>
    <row r="18591">
      <c r="A18591" s="4" t="s">
        <v>23386</v>
      </c>
      <c r="B18591" s="6" t="s">
        <v>23389</v>
      </c>
      <c r="C18591" s="5" t="str">
        <f>IFERROR(__xludf.DUMMYFUNCTION("GOOGLETRANSLATE(B18591,""en"",""it"")"),"La vista cambia alla vista del tosaerba e del tosaerba si muove lungo un cortile pieno di erba verde.")</f>
        <v>La vista cambia alla vista del tosaerba e del tosaerba si muove lungo un cortile pieno di erba verde.</v>
      </c>
    </row>
    <row r="18592">
      <c r="A18592" s="4" t="s">
        <v>23386</v>
      </c>
      <c r="B18592" s="6" t="s">
        <v>23390</v>
      </c>
      <c r="C18592" s="5" t="str">
        <f>IFERROR(__xludf.DUMMYFUNCTION("GOOGLETRANSLATE(B18592,""en"",""it"")"),"La vista cambia avanti e indietro dalla visione del tosaerba e la visione di tutta la donna che falcia il prato.")</f>
        <v>La vista cambia avanti e indietro dalla visione del tosaerba e la visione di tutta la donna che falcia il prato.</v>
      </c>
    </row>
    <row r="18593">
      <c r="A18593" s="4" t="s">
        <v>23391</v>
      </c>
      <c r="B18593" s="4" t="s">
        <v>23392</v>
      </c>
      <c r="C18593" s="5" t="str">
        <f>IFERROR(__xludf.DUMMYFUNCTION("GOOGLETRANSLATE(B18593,""en"",""it"")"),"Un folto gruppo di persone è visto seduto sulle biciclette che si esercitano tra loro.")</f>
        <v>Un folto gruppo di persone è visto seduto sulle biciclette che si esercitano tra loro.</v>
      </c>
    </row>
    <row r="18594">
      <c r="A18594" s="4" t="s">
        <v>23391</v>
      </c>
      <c r="B18594" s="4" t="s">
        <v>23393</v>
      </c>
      <c r="C18594" s="5" t="str">
        <f>IFERROR(__xludf.DUMMYFUNCTION("GOOGLETRANSLATE(B18594,""en"",""it"")"),"Una donna parla alla telecamera mentre vengono mostrati più scatti di persone che cavalcano.")</f>
        <v>Una donna parla alla telecamera mentre vengono mostrati più scatti di persone che cavalcano.</v>
      </c>
    </row>
    <row r="18595">
      <c r="A18595" s="4" t="s">
        <v>23391</v>
      </c>
      <c r="B18595" s="4" t="s">
        <v>23394</v>
      </c>
      <c r="C18595" s="5" t="str">
        <f>IFERROR(__xludf.DUMMYFUNCTION("GOOGLETRANSLATE(B18595,""en"",""it"")"),"Una donna guida la classe e parla alla telecamera e ad altri in giro.")</f>
        <v>Una donna guida la classe e parla alla telecamera e ad altri in giro.</v>
      </c>
    </row>
    <row r="18596">
      <c r="A18596" s="4" t="s">
        <v>23395</v>
      </c>
      <c r="B18596" s="6" t="s">
        <v>23396</v>
      </c>
      <c r="C18596" s="5" t="str">
        <f>IFERROR(__xludf.DUMMYFUNCTION("GOOGLETRANSLATE(B18596,""en"",""it"")"),"Una mano sta mostrando un coltello a lama curva, e poi ha mostrato una scelta di ghiaccio con carta bianca alla fine.")</f>
        <v>Una mano sta mostrando un coltello a lama curva, e poi ha mostrato una scelta di ghiaccio con carta bianca alla fine.</v>
      </c>
    </row>
    <row r="18597">
      <c r="A18597" s="4" t="s">
        <v>23395</v>
      </c>
      <c r="B18597" s="4" t="s">
        <v>23397</v>
      </c>
      <c r="C18597" s="5" t="str">
        <f>IFERROR(__xludf.DUMMYFUNCTION("GOOGLETRANSLATE(B18597,""en"",""it"")"),"L'uomo gettò la lama sul compensato, poi lanciò la scelta del ghiaccio.")</f>
        <v>L'uomo gettò la lama sul compensato, poi lanciò la scelta del ghiaccio.</v>
      </c>
    </row>
    <row r="18598">
      <c r="A18598" s="4" t="s">
        <v>23398</v>
      </c>
      <c r="B18598" s="4" t="s">
        <v>23399</v>
      </c>
      <c r="C18598" s="5" t="str">
        <f>IFERROR(__xludf.DUMMYFUNCTION("GOOGLETRANSLATE(B18598,""en"",""it"")"),"Un ragazzo mette i biscotti appena sfornati su una griglia di raffreddamento.")</f>
        <v>Un ragazzo mette i biscotti appena sfornati su una griglia di raffreddamento.</v>
      </c>
    </row>
    <row r="18599">
      <c r="A18599" s="4" t="s">
        <v>23398</v>
      </c>
      <c r="B18599" s="4" t="s">
        <v>23400</v>
      </c>
      <c r="C18599" s="5" t="str">
        <f>IFERROR(__xludf.DUMMYFUNCTION("GOOGLETRANSLATE(B18599,""en"",""it"")"),"Uno si blocca e lecca la spatola.")</f>
        <v>Uno si blocca e lecca la spatola.</v>
      </c>
    </row>
    <row r="18600">
      <c r="A18600" s="4" t="s">
        <v>23401</v>
      </c>
      <c r="B18600" s="6" t="s">
        <v>23402</v>
      </c>
      <c r="C18600" s="5" t="str">
        <f>IFERROR(__xludf.DUMMYFUNCTION("GOOGLETRANSLATE(B18600,""en"",""it"")"),"La mano di una persona viene vista spingere vari marmi lungo una lunga pista e guardare dove atterrano.")</f>
        <v>La mano di una persona viene vista spingere vari marmi lungo una lunga pista e guardare dove atterrano.</v>
      </c>
    </row>
    <row r="18601">
      <c r="A18601" s="4" t="s">
        <v>23401</v>
      </c>
      <c r="B18601" s="4" t="s">
        <v>23403</v>
      </c>
      <c r="C18601" s="5" t="str">
        <f>IFERROR(__xludf.DUMMYFUNCTION("GOOGLETRANSLATE(B18601,""en"",""it"")"),"Spingono molti altri marmi mentre la fotocamera si muove su e giù per catturare l'azione.")</f>
        <v>Spingono molti altri marmi mentre la fotocamera si muove su e giù per catturare l'azione.</v>
      </c>
    </row>
    <row r="18602">
      <c r="A18602" s="4" t="s">
        <v>23404</v>
      </c>
      <c r="B18602" s="4" t="s">
        <v>23405</v>
      </c>
      <c r="C18602" s="5" t="str">
        <f>IFERROR(__xludf.DUMMYFUNCTION("GOOGLETRANSLATE(B18602,""en"",""it"")"),"Viene visto un giovane parlare alla telecamera e conduce in lui cercando di risolvere un cubo di Rubix.")</f>
        <v>Viene visto un giovane parlare alla telecamera e conduce in lui cercando di risolvere un cubo di Rubix.</v>
      </c>
    </row>
    <row r="18603">
      <c r="A18603" s="4" t="s">
        <v>23404</v>
      </c>
      <c r="B18603" s="4" t="s">
        <v>23406</v>
      </c>
      <c r="C18603" s="5" t="str">
        <f>IFERROR(__xludf.DUMMYFUNCTION("GOOGLETRANSLATE(B18603,""en"",""it"")"),"Il ragazzo risolve quindi il cubo e fa la panoramica per mostrare il suo tempo.")</f>
        <v>Il ragazzo risolve quindi il cubo e fa la panoramica per mostrare il suo tempo.</v>
      </c>
    </row>
    <row r="18604">
      <c r="A18604" s="4" t="s">
        <v>23407</v>
      </c>
      <c r="B18604" s="6" t="s">
        <v>23408</v>
      </c>
      <c r="C18604" s="5" t="str">
        <f>IFERROR(__xludf.DUMMYFUNCTION("GOOGLETRANSLATE(B18604,""en"",""it"")"),"Un uomo viene visto usare un narghilè e soffiare fumo in aria e conduce in lui raschiando il tabacco e guidando.")</f>
        <v>Un uomo viene visto usare un narghilè e soffiare fumo in aria e conduce in lui raschiando il tabacco e guidando.</v>
      </c>
    </row>
    <row r="18605">
      <c r="A18605" s="4" t="s">
        <v>23407</v>
      </c>
      <c r="B18605" s="4" t="s">
        <v>23409</v>
      </c>
      <c r="C18605" s="5" t="str">
        <f>IFERROR(__xludf.DUMMYFUNCTION("GOOGLETRANSLATE(B18605,""en"",""it"")"),"Parla con la telecamera e torna a un narghilè e inizia a fumarne.")</f>
        <v>Parla con la telecamera e torna a un narghilè e inizia a fumarne.</v>
      </c>
    </row>
    <row r="18606">
      <c r="A18606" s="4" t="s">
        <v>23410</v>
      </c>
      <c r="B18606" s="4" t="s">
        <v>23411</v>
      </c>
      <c r="C18606" s="5" t="str">
        <f>IFERROR(__xludf.DUMMYFUNCTION("GOOGLETRANSLATE(B18606,""en"",""it"")"),"Un uomo è in piedi in un capannone dietro un tavolo da artigianato che parla alla telecamera.")</f>
        <v>Un uomo è in piedi in un capannone dietro un tavolo da artigianato che parla alla telecamera.</v>
      </c>
    </row>
    <row r="18607">
      <c r="A18607" s="4" t="s">
        <v>23410</v>
      </c>
      <c r="B18607" s="6" t="s">
        <v>23412</v>
      </c>
      <c r="C18607" s="5" t="str">
        <f>IFERROR(__xludf.DUMMYFUNCTION("GOOGLETRANSLATE(B18607,""en"",""it"")"),"Successivamente, un uomo in un'uniforme della Marina inizia a camminare lungo la strada e finisce nella stanza con l'uomo.")</f>
        <v>Successivamente, un uomo in un'uniforme della Marina inizia a camminare lungo la strada e finisce nella stanza con l'uomo.</v>
      </c>
    </row>
    <row r="18608">
      <c r="A18608" s="4" t="s">
        <v>23410</v>
      </c>
      <c r="B18608" s="4" t="s">
        <v>23413</v>
      </c>
      <c r="C18608" s="5" t="str">
        <f>IFERROR(__xludf.DUMMYFUNCTION("GOOGLETRANSLATE(B18608,""en"",""it"")"),"I due iniziano a lucidare un paio di stivali insieme a un panno bianco e un pennello verde.")</f>
        <v>I due iniziano a lucidare un paio di stivali insieme a un panno bianco e un pennello verde.</v>
      </c>
    </row>
    <row r="18609">
      <c r="A18609" s="4" t="s">
        <v>23410</v>
      </c>
      <c r="B18609" s="6" t="s">
        <v>23414</v>
      </c>
      <c r="C18609" s="5" t="str">
        <f>IFERROR(__xludf.DUMMYFUNCTION("GOOGLETRANSLATE(B18609,""en"",""it"")"),"Quando finiscono, l'uomo nella camicia verde viene data una patch e uno schermo di punte arriva sullo schermo per la cura corretta dei tuoi stivali.")</f>
        <v>Quando finiscono, l'uomo nella camicia verde viene data una patch e uno schermo di punte arriva sullo schermo per la cura corretta dei tuoi stivali.</v>
      </c>
    </row>
    <row r="18610">
      <c r="A18610" s="4" t="s">
        <v>23415</v>
      </c>
      <c r="B18610" s="4" t="s">
        <v>1251</v>
      </c>
      <c r="C18610" s="5" t="str">
        <f>IFERROR(__xludf.DUMMYFUNCTION("GOOGLETRANSLATE(B18610,""en"",""it"")"),"Vengono visualizzati i crediti della clip.")</f>
        <v>Vengono visualizzati i crediti della clip.</v>
      </c>
    </row>
    <row r="18611">
      <c r="A18611" s="4" t="s">
        <v>23415</v>
      </c>
      <c r="B18611" s="4" t="s">
        <v>23416</v>
      </c>
      <c r="C18611" s="5" t="str">
        <f>IFERROR(__xludf.DUMMYFUNCTION("GOOGLETRANSLATE(B18611,""en"",""it"")"),"Le persone vanno in bicicletta lungo un percorso.")</f>
        <v>Le persone vanno in bicicletta lungo un percorso.</v>
      </c>
    </row>
    <row r="18612">
      <c r="A18612" s="4" t="s">
        <v>23415</v>
      </c>
      <c r="B18612" s="4" t="s">
        <v>23417</v>
      </c>
      <c r="C18612" s="5" t="str">
        <f>IFERROR(__xludf.DUMMYFUNCTION("GOOGLETRANSLATE(B18612,""en"",""it"")"),"Una persona sta cercando di accendere un fuoco.")</f>
        <v>Una persona sta cercando di accendere un fuoco.</v>
      </c>
    </row>
    <row r="18613">
      <c r="A18613" s="4" t="s">
        <v>23415</v>
      </c>
      <c r="B18613" s="4" t="s">
        <v>23418</v>
      </c>
      <c r="C18613" s="5" t="str">
        <f>IFERROR(__xludf.DUMMYFUNCTION("GOOGLETRANSLATE(B18613,""en"",""it"")"),"La persona nutre il fuoco e lo sposta in un buco.")</f>
        <v>La persona nutre il fuoco e lo sposta in un buco.</v>
      </c>
    </row>
    <row r="18614">
      <c r="A18614" s="4" t="s">
        <v>23415</v>
      </c>
      <c r="B18614" s="4" t="s">
        <v>573</v>
      </c>
      <c r="C18614" s="5" t="str">
        <f>IFERROR(__xludf.DUMMYFUNCTION("GOOGLETRANSLATE(B18614,""en"",""it"")"),"Vengono visualizzati i crediti del video.")</f>
        <v>Vengono visualizzati i crediti del video.</v>
      </c>
    </row>
    <row r="18615">
      <c r="A18615" s="4" t="s">
        <v>23419</v>
      </c>
      <c r="B18615" s="4" t="s">
        <v>23420</v>
      </c>
      <c r="C18615" s="5" t="str">
        <f>IFERROR(__xludf.DUMMYFUNCTION("GOOGLETRANSLATE(B18615,""en"",""it"")"),"Una ragazza con un vestito sta attraversando le barre delle scimmie.")</f>
        <v>Una ragazza con un vestito sta attraversando le barre delle scimmie.</v>
      </c>
    </row>
    <row r="18616">
      <c r="A18616" s="4" t="s">
        <v>23419</v>
      </c>
      <c r="B18616" s="4" t="s">
        <v>23421</v>
      </c>
      <c r="C18616" s="5" t="str">
        <f>IFERROR(__xludf.DUMMYFUNCTION("GOOGLETRANSLATE(B18616,""en"",""it"")"),"Arriva alla fine e fa un passo su una roccia.")</f>
        <v>Arriva alla fine e fa un passo su una roccia.</v>
      </c>
    </row>
    <row r="18617">
      <c r="A18617" s="4" t="s">
        <v>23419</v>
      </c>
      <c r="B18617" s="4" t="s">
        <v>23422</v>
      </c>
      <c r="C18617" s="5" t="str">
        <f>IFERROR(__xludf.DUMMYFUNCTION("GOOGLETRANSLATE(B18617,""en"",""it"")"),"Un ragazzo con una camicia blu si trova dietro di lei.")</f>
        <v>Un ragazzo con una camicia blu si trova dietro di lei.</v>
      </c>
    </row>
    <row r="18618">
      <c r="A18618" s="4" t="s">
        <v>23423</v>
      </c>
      <c r="B18618" s="4" t="s">
        <v>23424</v>
      </c>
      <c r="C18618" s="5" t="str">
        <f>IFERROR(__xludf.DUMMYFUNCTION("GOOGLETRANSLATE(B18618,""en"",""it"")"),"Un padre e una figlia stanno giocando a Scotch Hop sul loro portico piastrellato.")</f>
        <v>Un padre e una figlia stanno giocando a Scotch Hop sul loro portico piastrellato.</v>
      </c>
    </row>
    <row r="18619">
      <c r="A18619" s="4" t="s">
        <v>23423</v>
      </c>
      <c r="B18619" s="6" t="s">
        <v>23425</v>
      </c>
      <c r="C18619" s="5" t="str">
        <f>IFERROR(__xludf.DUMMYFUNCTION("GOOGLETRANSLATE(B18619,""en"",""it"")"),"La ragazza indossa una camicia senza maniche blu e pantaloncini e il padre indossa una camicia grigia e pantaloncini.")</f>
        <v>La ragazza indossa una camicia senza maniche blu e pantaloncini e il padre indossa una camicia grigia e pantaloncini.</v>
      </c>
    </row>
    <row r="18620">
      <c r="A18620" s="4" t="s">
        <v>23423</v>
      </c>
      <c r="B18620" s="4" t="s">
        <v>23426</v>
      </c>
      <c r="C18620" s="5" t="str">
        <f>IFERROR(__xludf.DUMMYFUNCTION("GOOGLETRANSLATE(B18620,""en"",""it"")"),"Si alternano per saltare sui quadrati.")</f>
        <v>Si alternano per saltare sui quadrati.</v>
      </c>
    </row>
    <row r="18621">
      <c r="A18621" s="4" t="s">
        <v>23423</v>
      </c>
      <c r="B18621" s="4" t="s">
        <v>23427</v>
      </c>
      <c r="C18621" s="5" t="str">
        <f>IFERROR(__xludf.DUMMYFUNCTION("GOOGLETRANSLATE(B18621,""en"",""it"")"),"Poi lei bambina è unita a sua madre che inizia a saltare nei quadrati.")</f>
        <v>Poi lei bambina è unita a sua madre che inizia a saltare nei quadrati.</v>
      </c>
    </row>
    <row r="18622">
      <c r="A18622" s="4" t="s">
        <v>23423</v>
      </c>
      <c r="B18622" s="4" t="s">
        <v>23428</v>
      </c>
      <c r="C18622" s="5" t="str">
        <f>IFERROR(__xludf.DUMMYFUNCTION("GOOGLETRANSLATE(B18622,""en"",""it"")"),"Dà alla figlia un alto cinque.")</f>
        <v>Dà alla figlia un alto cinque.</v>
      </c>
    </row>
    <row r="18623">
      <c r="A18623" s="4" t="s">
        <v>23423</v>
      </c>
      <c r="B18623" s="4" t="s">
        <v>23429</v>
      </c>
      <c r="C18623" s="5" t="str">
        <f>IFERROR(__xludf.DUMMYFUNCTION("GOOGLETRANSLATE(B18623,""en"",""it"")"),"Quindi la ragazza inizia a saltare e saltare attraverso i quadrati.")</f>
        <v>Quindi la ragazza inizia a saltare e saltare attraverso i quadrati.</v>
      </c>
    </row>
    <row r="18624">
      <c r="A18624" s="4" t="s">
        <v>23430</v>
      </c>
      <c r="B18624" s="4" t="s">
        <v>23431</v>
      </c>
      <c r="C18624" s="5" t="str">
        <f>IFERROR(__xludf.DUMMYFUNCTION("GOOGLETRANSLATE(B18624,""en"",""it"")"),"Un uomo sta su un lavandino.")</f>
        <v>Un uomo sta su un lavandino.</v>
      </c>
    </row>
    <row r="18625">
      <c r="A18625" s="4" t="s">
        <v>23430</v>
      </c>
      <c r="B18625" s="4" t="s">
        <v>23432</v>
      </c>
      <c r="C18625" s="5" t="str">
        <f>IFERROR(__xludf.DUMMYFUNCTION("GOOGLETRANSLATE(B18625,""en"",""it"")"),"Quindi, l'uomo mette il sapone su un panno.")</f>
        <v>Quindi, l'uomo mette il sapone su un panno.</v>
      </c>
    </row>
    <row r="18626">
      <c r="A18626" s="4" t="s">
        <v>23430</v>
      </c>
      <c r="B18626" s="4" t="s">
        <v>23433</v>
      </c>
      <c r="C18626" s="5" t="str">
        <f>IFERROR(__xludf.DUMMYFUNCTION("GOOGLETRANSLATE(B18626,""en"",""it"")"),"Dopo, l'uomo lavato la pentola fuori e dentro.")</f>
        <v>Dopo, l'uomo lavato la pentola fuori e dentro.</v>
      </c>
    </row>
    <row r="18627">
      <c r="A18627" s="4" t="s">
        <v>23430</v>
      </c>
      <c r="B18627" s="4" t="s">
        <v>23434</v>
      </c>
      <c r="C18627" s="5" t="str">
        <f>IFERROR(__xludf.DUMMYFUNCTION("GOOGLETRANSLATE(B18627,""en"",""it"")"),"Successivamente, l'uomo si gira e asciuga le mani.")</f>
        <v>Successivamente, l'uomo si gira e asciuga le mani.</v>
      </c>
    </row>
    <row r="18628">
      <c r="A18628" s="4" t="s">
        <v>23435</v>
      </c>
      <c r="B18628" s="4" t="s">
        <v>23436</v>
      </c>
      <c r="C18628" s="5" t="str">
        <f>IFERROR(__xludf.DUMMYFUNCTION("GOOGLETRANSLATE(B18628,""en"",""it"")"),"La parola Funkin è sullo schermo e sotto di essa dice Cocktail Bacardi.")</f>
        <v>La parola Funkin è sullo schermo e sotto di essa dice Cocktail Bacardi.</v>
      </c>
    </row>
    <row r="18629">
      <c r="A18629" s="4" t="s">
        <v>23435</v>
      </c>
      <c r="B18629" s="6" t="s">
        <v>23437</v>
      </c>
      <c r="C18629" s="5" t="str">
        <f>IFERROR(__xludf.DUMMYFUNCTION("GOOGLETRANSLATE(B18629,""en"",""it"")"),"Un uomo con una camicia funkin parla e dimostra come preparare il cocktail Bacardi da dietro un bar.")</f>
        <v>Un uomo con una camicia funkin parla e dimostra come preparare il cocktail Bacardi da dietro un bar.</v>
      </c>
    </row>
    <row r="18630">
      <c r="A18630" s="4" t="s">
        <v>23435</v>
      </c>
      <c r="B18630" s="4" t="s">
        <v>23438</v>
      </c>
      <c r="C18630" s="5" t="str">
        <f>IFERROR(__xludf.DUMMYFUNCTION("GOOGLETRANSLATE(B18630,""en"",""it"")"),"L'uomo sta mostrando alle persone come bere qualcosa in un bicchiere di martini.")</f>
        <v>L'uomo sta mostrando alle persone come bere qualcosa in un bicchiere di martini.</v>
      </c>
    </row>
    <row r="18631">
      <c r="A18631" s="4" t="s">
        <v>23435</v>
      </c>
      <c r="B18631" s="4" t="s">
        <v>23439</v>
      </c>
      <c r="C18631" s="5" t="str">
        <f>IFERROR(__xludf.DUMMYFUNCTION("GOOGLETRANSLATE(B18631,""en"",""it"")"),"L'uomo mette gli ingredienti in un bicchiere normale mentre mostra le bottiglie di ingredienti che sta usando.")</f>
        <v>L'uomo mette gli ingredienti in un bicchiere normale mentre mostra le bottiglie di ingredienti che sta usando.</v>
      </c>
    </row>
    <row r="18632">
      <c r="A18632" s="4" t="s">
        <v>23435</v>
      </c>
      <c r="B18632" s="4" t="s">
        <v>23440</v>
      </c>
      <c r="C18632" s="5" t="str">
        <f>IFERROR(__xludf.DUMMYFUNCTION("GOOGLETRANSLATE(B18632,""en"",""it"")"),"La parola funkin è sullo schermo.")</f>
        <v>La parola funkin è sullo schermo.</v>
      </c>
    </row>
    <row r="18633">
      <c r="A18633" s="4" t="s">
        <v>23441</v>
      </c>
      <c r="B18633" s="4" t="s">
        <v>23442</v>
      </c>
      <c r="C18633" s="5" t="str">
        <f>IFERROR(__xludf.DUMMYFUNCTION("GOOGLETRANSLATE(B18633,""en"",""it"")"),"Un uomo si trova in un soggiorno rustico e gioca una cornamusa nelle calze.")</f>
        <v>Un uomo si trova in un soggiorno rustico e gioca una cornamusa nelle calze.</v>
      </c>
    </row>
    <row r="18634">
      <c r="A18634" s="4" t="s">
        <v>23441</v>
      </c>
      <c r="B18634" s="4" t="s">
        <v>23443</v>
      </c>
      <c r="C18634" s="5" t="str">
        <f>IFERROR(__xludf.DUMMYFUNCTION("GOOGLETRANSLATE(B18634,""en"",""it"")"),"Vediamo un uomo che tocca il piede mentre gioca.")</f>
        <v>Vediamo un uomo che tocca il piede mentre gioca.</v>
      </c>
    </row>
    <row r="18635">
      <c r="A18635" s="4" t="s">
        <v>23441</v>
      </c>
      <c r="B18635" s="4" t="s">
        <v>23444</v>
      </c>
      <c r="C18635" s="5" t="str">
        <f>IFERROR(__xludf.DUMMYFUNCTION("GOOGLETRANSLATE(B18635,""en"",""it"")"),"L'uomo passa all'altro piede toccando.")</f>
        <v>L'uomo passa all'altro piede toccando.</v>
      </c>
    </row>
    <row r="18636">
      <c r="A18636" s="4" t="s">
        <v>23441</v>
      </c>
      <c r="B18636" s="4" t="s">
        <v>23445</v>
      </c>
      <c r="C18636" s="5" t="str">
        <f>IFERROR(__xludf.DUMMYFUNCTION("GOOGLETRANSLATE(B18636,""en"",""it"")"),"L'uomo finisce di giocare e si asciuga il viso.")</f>
        <v>L'uomo finisce di giocare e si asciuga il viso.</v>
      </c>
    </row>
    <row r="18637">
      <c r="A18637" s="4" t="s">
        <v>23446</v>
      </c>
      <c r="B18637" s="4" t="s">
        <v>23447</v>
      </c>
      <c r="C18637" s="5" t="str">
        <f>IFERROR(__xludf.DUMMYFUNCTION("GOOGLETRANSLATE(B18637,""en"",""it"")"),"Un gruppo di persone anziane è visto seduto su un autobus che parlava tra loro.")</f>
        <v>Un gruppo di persone anziane è visto seduto su un autobus che parlava tra loro.</v>
      </c>
    </row>
    <row r="18638">
      <c r="A18638" s="4" t="s">
        <v>23446</v>
      </c>
      <c r="B18638" s="4" t="s">
        <v>23448</v>
      </c>
      <c r="C18638" s="5" t="str">
        <f>IFERROR(__xludf.DUMMYFUNCTION("GOOGLETRANSLATE(B18638,""en"",""it"")"),"La telecamera si lancia attorno al bus per mostrare più persone sedute e parlare.")</f>
        <v>La telecamera si lancia attorno al bus per mostrare più persone sedute e parlare.</v>
      </c>
    </row>
    <row r="18639">
      <c r="A18639" s="4" t="s">
        <v>23446</v>
      </c>
      <c r="B18639" s="4" t="s">
        <v>23449</v>
      </c>
      <c r="C18639" s="5" t="str">
        <f>IFERROR(__xludf.DUMMYFUNCTION("GOOGLETRANSLATE(B18639,""en"",""it"")"),"Una donna viene vista parlare con un uomo accanto a lei mentre lavora.")</f>
        <v>Una donna viene vista parlare con un uomo accanto a lei mentre lavora.</v>
      </c>
    </row>
    <row r="18640">
      <c r="A18640" s="4" t="s">
        <v>23450</v>
      </c>
      <c r="B18640" s="4" t="s">
        <v>1251</v>
      </c>
      <c r="C18640" s="5" t="str">
        <f>IFERROR(__xludf.DUMMYFUNCTION("GOOGLETRANSLATE(B18640,""en"",""it"")"),"Vengono visualizzati i crediti della clip.")</f>
        <v>Vengono visualizzati i crediti della clip.</v>
      </c>
    </row>
    <row r="18641">
      <c r="A18641" s="4" t="s">
        <v>23450</v>
      </c>
      <c r="B18641" s="4" t="s">
        <v>23451</v>
      </c>
      <c r="C18641" s="5" t="str">
        <f>IFERROR(__xludf.DUMMYFUNCTION("GOOGLETRANSLATE(B18641,""en"",""it"")"),"I ragazzi stanno ballando su un palco di fronte a un pubblico.")</f>
        <v>I ragazzi stanno ballando su un palco di fronte a un pubblico.</v>
      </c>
    </row>
    <row r="18642">
      <c r="A18642" s="4" t="s">
        <v>23450</v>
      </c>
      <c r="B18642" s="4" t="s">
        <v>23452</v>
      </c>
      <c r="C18642" s="5" t="str">
        <f>IFERROR(__xludf.DUMMYFUNCTION("GOOGLETRANSLATE(B18642,""en"",""it"")"),"Un ragazzo rompe il ballo dal palco ed esce.")</f>
        <v>Un ragazzo rompe il ballo dal palco ed esce.</v>
      </c>
    </row>
    <row r="18643">
      <c r="A18643" s="4" t="s">
        <v>23450</v>
      </c>
      <c r="B18643" s="4" t="s">
        <v>573</v>
      </c>
      <c r="C18643" s="5" t="str">
        <f>IFERROR(__xludf.DUMMYFUNCTION("GOOGLETRANSLATE(B18643,""en"",""it"")"),"Vengono visualizzati i crediti del video.")</f>
        <v>Vengono visualizzati i crediti del video.</v>
      </c>
    </row>
    <row r="18644">
      <c r="A18644" s="4" t="s">
        <v>23453</v>
      </c>
      <c r="B18644" s="4" t="s">
        <v>23454</v>
      </c>
      <c r="C18644" s="5" t="str">
        <f>IFERROR(__xludf.DUMMYFUNCTION("GOOGLETRANSLATE(B18644,""en"",""it"")"),"Un gruppo di ragazze balla lungo una sporgenza.")</f>
        <v>Un gruppo di ragazze balla lungo una sporgenza.</v>
      </c>
    </row>
    <row r="18645">
      <c r="A18645" s="4" t="s">
        <v>23453</v>
      </c>
      <c r="B18645" s="4" t="s">
        <v>23455</v>
      </c>
      <c r="C18645" s="5" t="str">
        <f>IFERROR(__xludf.DUMMYFUNCTION("GOOGLETRANSLATE(B18645,""en"",""it"")"),"Ogni ragazza balla sulla sporgenza con grazia.")</f>
        <v>Ogni ragazza balla sulla sporgenza con grazia.</v>
      </c>
    </row>
    <row r="18646">
      <c r="A18646" s="4" t="s">
        <v>23453</v>
      </c>
      <c r="B18646" s="4" t="s">
        <v>23456</v>
      </c>
      <c r="C18646" s="5" t="str">
        <f>IFERROR(__xludf.DUMMYFUNCTION("GOOGLETRANSLATE(B18646,""en"",""it"")"),"Lo schermo svanisce al nero.")</f>
        <v>Lo schermo svanisce al nero.</v>
      </c>
    </row>
    <row r="18647">
      <c r="A18647" s="4" t="s">
        <v>23457</v>
      </c>
      <c r="B18647" s="4" t="s">
        <v>23458</v>
      </c>
      <c r="C18647" s="5" t="str">
        <f>IFERROR(__xludf.DUMMYFUNCTION("GOOGLETRANSLATE(B18647,""en"",""it"")"),"Vediamo le persone che si allenano per le fasi di esercizio in una lezione di aerobica.")</f>
        <v>Vediamo le persone che si allenano per le fasi di esercizio in una lezione di aerobica.</v>
      </c>
    </row>
    <row r="18648">
      <c r="A18648" s="4" t="s">
        <v>23457</v>
      </c>
      <c r="B18648" s="4" t="s">
        <v>23459</v>
      </c>
      <c r="C18648" s="5" t="str">
        <f>IFERROR(__xludf.DUMMYFUNCTION("GOOGLETRANSLATE(B18648,""en"",""it"")"),"Il leader mette la mano in aria.")</f>
        <v>Il leader mette la mano in aria.</v>
      </c>
    </row>
    <row r="18649">
      <c r="A18649" s="4" t="s">
        <v>23457</v>
      </c>
      <c r="B18649" s="4" t="s">
        <v>23460</v>
      </c>
      <c r="C18649" s="5" t="str">
        <f>IFERROR(__xludf.DUMMYFUNCTION("GOOGLETRANSLATE(B18649,""en"",""it"")"),"La signora posteriore a sinistra si perde e si ferma.")</f>
        <v>La signora posteriore a sinistra si perde e si ferma.</v>
      </c>
    </row>
    <row r="18650">
      <c r="A18650" s="4" t="s">
        <v>23457</v>
      </c>
      <c r="B18650" s="4" t="s">
        <v>23461</v>
      </c>
      <c r="C18650" s="5" t="str">
        <f>IFERROR(__xludf.DUMMYFUNCTION("GOOGLETRANSLATE(B18650,""en"",""it"")"),"La parte posteriore a destra si perde e getta le braccia.")</f>
        <v>La parte posteriore a destra si perde e getta le braccia.</v>
      </c>
    </row>
    <row r="18651">
      <c r="A18651" s="4" t="s">
        <v>23457</v>
      </c>
      <c r="B18651" s="4" t="s">
        <v>23462</v>
      </c>
      <c r="C18651" s="5" t="str">
        <f>IFERROR(__xludf.DUMMYFUNCTION("GOOGLETRANSLATE(B18651,""en"",""it"")"),"Il braccio degli istruttori è di nuovo in aria.")</f>
        <v>Il braccio degli istruttori è di nuovo in aria.</v>
      </c>
    </row>
    <row r="18652">
      <c r="A18652" s="4" t="s">
        <v>23457</v>
      </c>
      <c r="B18652" s="4" t="s">
        <v>23463</v>
      </c>
      <c r="C18652" s="5" t="str">
        <f>IFERROR(__xludf.DUMMYFUNCTION("GOOGLETRANSLATE(B18652,""en"",""it"")"),"La signora secondo a destra smette di provare.")</f>
        <v>La signora secondo a destra smette di provare.</v>
      </c>
    </row>
    <row r="18653">
      <c r="A18653" s="4" t="s">
        <v>23464</v>
      </c>
      <c r="B18653" s="4" t="s">
        <v>23465</v>
      </c>
      <c r="C18653" s="5" t="str">
        <f>IFERROR(__xludf.DUMMYFUNCTION("GOOGLETRANSLATE(B18653,""en"",""it"")"),"Due persone sono su una barca che si preparano ad immergersi nell'oceano.")</f>
        <v>Due persone sono su una barca che si preparano ad immergersi nell'oceano.</v>
      </c>
    </row>
    <row r="18654">
      <c r="A18654" s="4" t="s">
        <v>23464</v>
      </c>
      <c r="B18654" s="4" t="s">
        <v>23466</v>
      </c>
      <c r="C18654" s="5" t="str">
        <f>IFERROR(__xludf.DUMMYFUNCTION("GOOGLETRANSLATE(B18654,""en"",""it"")"),"Si immergono e sono in grado di guardare tutti i bellissimi coralli e vedere pesce e altre cose.")</f>
        <v>Si immergono e sono in grado di guardare tutti i bellissimi coralli e vedere pesce e altre cose.</v>
      </c>
    </row>
    <row r="18655">
      <c r="A18655" s="4" t="s">
        <v>23464</v>
      </c>
      <c r="B18655" s="4" t="s">
        <v>23467</v>
      </c>
      <c r="C18655" s="5" t="str">
        <f>IFERROR(__xludf.DUMMYFUNCTION("GOOGLETRANSLATE(B18655,""en"",""it"")"),"Trovano una cabina di pilotaggio che iniziano a osservare e si guardano intorno anche a correre in una gelatina.")</f>
        <v>Trovano una cabina di pilotaggio che iniziano a osservare e si guardano intorno anche a correre in una gelatina.</v>
      </c>
    </row>
    <row r="18656">
      <c r="A18656" s="4" t="s">
        <v>23464</v>
      </c>
      <c r="B18656" s="6" t="s">
        <v>23468</v>
      </c>
      <c r="C18656" s="5" t="str">
        <f>IFERROR(__xludf.DUMMYFUNCTION("GOOGLETRANSLATE(B18656,""en"",""it"")"),"Cominciano a esplorare l'esterno dell'aereo in cui sono anche in grado di vedere più pesci e altra vita marina attorno ad esso.")</f>
        <v>Cominciano a esplorare l'esterno dell'aereo in cui sono anche in grado di vedere più pesci e altra vita marina attorno ad esso.</v>
      </c>
    </row>
    <row r="18657">
      <c r="A18657" s="4" t="s">
        <v>23469</v>
      </c>
      <c r="B18657" s="4" t="s">
        <v>23470</v>
      </c>
      <c r="C18657" s="5" t="str">
        <f>IFERROR(__xludf.DUMMYFUNCTION("GOOGLETRANSLATE(B18657,""en"",""it"")"),"Una ragazza con una camicia arancione prende un drink di bocca.")</f>
        <v>Una ragazza con una camicia arancione prende un drink di bocca.</v>
      </c>
    </row>
    <row r="18658">
      <c r="A18658" s="4" t="s">
        <v>23469</v>
      </c>
      <c r="B18658" s="4" t="s">
        <v>23471</v>
      </c>
      <c r="C18658" s="5" t="str">
        <f>IFERROR(__xludf.DUMMYFUNCTION("GOOGLETRANSLATE(B18658,""en"",""it"")"),"La fa scorrere in bocca e lo sputa in un lavandino.")</f>
        <v>La fa scorrere in bocca e lo sputa in un lavandino.</v>
      </c>
    </row>
    <row r="18659">
      <c r="A18659" s="4" t="s">
        <v>23472</v>
      </c>
      <c r="B18659" s="4" t="s">
        <v>23473</v>
      </c>
      <c r="C18659" s="5" t="str">
        <f>IFERROR(__xludf.DUMMYFUNCTION("GOOGLETRANSLATE(B18659,""en"",""it"")"),"C'è una signora che fa un tutorial su come lavarsi le mani nella sua cucina.")</f>
        <v>C'è una signora che fa un tutorial su come lavarsi le mani nella sua cucina.</v>
      </c>
    </row>
    <row r="18660">
      <c r="A18660" s="4" t="s">
        <v>23472</v>
      </c>
      <c r="B18660" s="4" t="s">
        <v>23474</v>
      </c>
      <c r="C18660" s="5" t="str">
        <f>IFERROR(__xludf.DUMMYFUNCTION("GOOGLETRANSLATE(B18660,""en"",""it"")"),"Cammina verso il lavandino e gira il rubinetto.")</f>
        <v>Cammina verso il lavandino e gira il rubinetto.</v>
      </c>
    </row>
    <row r="18661">
      <c r="A18661" s="4" t="s">
        <v>23472</v>
      </c>
      <c r="B18661" s="6" t="s">
        <v>23475</v>
      </c>
      <c r="C18661" s="5" t="str">
        <f>IFERROR(__xludf.DUMMYFUNCTION("GOOGLETRANSLATE(B18661,""en"",""it"")"),"Quindi prende un po 'di sapone liquido tra le mani e si strofina le mani sulla parte superiore, i palmi e tra le dita.")</f>
        <v>Quindi prende un po 'di sapone liquido tra le mani e si strofina le mani sulla parte superiore, i palmi e tra le dita.</v>
      </c>
    </row>
    <row r="18662">
      <c r="A18662" s="4" t="s">
        <v>23472</v>
      </c>
      <c r="B18662" s="4" t="s">
        <v>23476</v>
      </c>
      <c r="C18662" s="5" t="str">
        <f>IFERROR(__xludf.DUMMYFUNCTION("GOOGLETRANSLATE(B18662,""en"",""it"")"),"Dimostra come strofinare correttamente i palmi e l'area del polso per garantire un lavaggio pulito.")</f>
        <v>Dimostra come strofinare correttamente i palmi e l'area del polso per garantire un lavaggio pulito.</v>
      </c>
    </row>
    <row r="18663">
      <c r="A18663" s="4" t="s">
        <v>23472</v>
      </c>
      <c r="B18663" s="4" t="s">
        <v>23477</v>
      </c>
      <c r="C18663" s="5" t="str">
        <f>IFERROR(__xludf.DUMMYFUNCTION("GOOGLETRANSLATE(B18663,""en"",""it"")"),"Quindi riaccende il rubinetto per lavare il sapone.")</f>
        <v>Quindi riaccende il rubinetto per lavare il sapone.</v>
      </c>
    </row>
    <row r="18664">
      <c r="A18664" s="4" t="s">
        <v>23472</v>
      </c>
      <c r="B18664" s="4" t="s">
        <v>23478</v>
      </c>
      <c r="C18664" s="5" t="str">
        <f>IFERROR(__xludf.DUMMYFUNCTION("GOOGLETRANSLATE(B18664,""en"",""it"")"),"Quindi usa il gomito destro per spegnere il rubinetto per evitare di toccarlo direttamente.")</f>
        <v>Quindi usa il gomito destro per spegnere il rubinetto per evitare di toccarlo direttamente.</v>
      </c>
    </row>
    <row r="18665">
      <c r="A18665" s="4" t="s">
        <v>23472</v>
      </c>
      <c r="B18665" s="4" t="s">
        <v>23479</v>
      </c>
      <c r="C18665" s="5" t="str">
        <f>IFERROR(__xludf.DUMMYFUNCTION("GOOGLETRANSLATE(B18665,""en"",""it"")"),"Quindi prende un tovagliolo di carta dal davanzale della finestra e si asciuga le mani.")</f>
        <v>Quindi prende un tovagliolo di carta dal davanzale della finestra e si asciuga le mani.</v>
      </c>
    </row>
    <row r="18666">
      <c r="A18666" s="4" t="s">
        <v>23480</v>
      </c>
      <c r="B18666" s="6" t="s">
        <v>23481</v>
      </c>
      <c r="C18666" s="5" t="str">
        <f>IFERROR(__xludf.DUMMYFUNCTION("GOOGLETRANSLATE(B18666,""en"",""it"")"),"Tre persone vengono viste uscire su una grande pavimento in palestra e guidano in tre esibirsi in una routine di corda di salto.")</f>
        <v>Tre persone vengono viste uscire su una grande pavimento in palestra e guidano in tre esibirsi in una routine di corda di salto.</v>
      </c>
    </row>
    <row r="18667">
      <c r="A18667" s="4" t="s">
        <v>23480</v>
      </c>
      <c r="B18667" s="4" t="s">
        <v>23482</v>
      </c>
      <c r="C18667" s="5" t="str">
        <f>IFERROR(__xludf.DUMMYFUNCTION("GOOGLETRANSLATE(B18667,""en"",""it"")"),"I tre continuano a saltare sul pavimento mentre molti guardano e finiscono con le braccia in su.")</f>
        <v>I tre continuano a saltare sul pavimento mentre molti guardano e finiscono con le braccia in su.</v>
      </c>
    </row>
    <row r="18668">
      <c r="A18668" s="4" t="s">
        <v>23483</v>
      </c>
      <c r="B18668" s="4" t="s">
        <v>23484</v>
      </c>
      <c r="C18668" s="5" t="str">
        <f>IFERROR(__xludf.DUMMYFUNCTION("GOOGLETRANSLATE(B18668,""en"",""it"")"),"Una cade da uno skateboard in modo imbarazzante.")</f>
        <v>Una cade da uno skateboard in modo imbarazzante.</v>
      </c>
    </row>
    <row r="18669">
      <c r="A18669" s="4" t="s">
        <v>23483</v>
      </c>
      <c r="B18669" s="4" t="s">
        <v>23485</v>
      </c>
      <c r="C18669" s="5" t="str">
        <f>IFERROR(__xludf.DUMMYFUNCTION("GOOGLETRANSLATE(B18669,""en"",""it"")"),"Poi vediamo molti altri ragazzi mentre scattano e cadono.")</f>
        <v>Poi vediamo molti altri ragazzi mentre scattano e cadono.</v>
      </c>
    </row>
    <row r="18670">
      <c r="A18670" s="4" t="s">
        <v>23483</v>
      </c>
      <c r="B18670" s="4" t="s">
        <v>23486</v>
      </c>
      <c r="C18670" s="5" t="str">
        <f>IFERROR(__xludf.DUMMYFUNCTION("GOOGLETRANSLATE(B18670,""en"",""it"")"),"Si svolgono acuti su strade suburbane, cercando di rimanere sulle loro tavole.")</f>
        <v>Si svolgono acuti su strade suburbane, cercando di rimanere sulle loro tavole.</v>
      </c>
    </row>
    <row r="18671">
      <c r="A18671" s="4" t="s">
        <v>23487</v>
      </c>
      <c r="B18671" s="4" t="s">
        <v>23488</v>
      </c>
      <c r="C18671" s="5" t="str">
        <f>IFERROR(__xludf.DUMMYFUNCTION("GOOGLETRANSLATE(B18671,""en"",""it"")"),"Il gruppo gioca i bongti mentre una giovane donna balla.")</f>
        <v>Il gruppo gioca i bongti mentre una giovane donna balla.</v>
      </c>
    </row>
    <row r="18672">
      <c r="A18672" s="4" t="s">
        <v>23487</v>
      </c>
      <c r="B18672" s="4" t="s">
        <v>23489</v>
      </c>
      <c r="C18672" s="5" t="str">
        <f>IFERROR(__xludf.DUMMYFUNCTION("GOOGLETRANSLATE(B18672,""en"",""it"")"),"Un paio di cammina oltre il gruppo.")</f>
        <v>Un paio di cammina oltre il gruppo.</v>
      </c>
    </row>
    <row r="18673">
      <c r="A18673" s="4" t="s">
        <v>23487</v>
      </c>
      <c r="B18673" s="4" t="s">
        <v>23490</v>
      </c>
      <c r="C18673" s="5" t="str">
        <f>IFERROR(__xludf.DUMMYFUNCTION("GOOGLETRANSLATE(B18673,""en"",""it"")"),"Il batterista offre alla fotocamera un gesto di pollice in su.")</f>
        <v>Il batterista offre alla fotocamera un gesto di pollice in su.</v>
      </c>
    </row>
    <row r="18674">
      <c r="A18674" s="4" t="s">
        <v>23487</v>
      </c>
      <c r="B18674" s="4" t="s">
        <v>23491</v>
      </c>
      <c r="C18674" s="5" t="str">
        <f>IFERROR(__xludf.DUMMYFUNCTION("GOOGLETRANSLATE(B18674,""en"",""it"")"),"Molte persone passano in background.")</f>
        <v>Molte persone passano in background.</v>
      </c>
    </row>
    <row r="18675">
      <c r="A18675" s="4" t="s">
        <v>23487</v>
      </c>
      <c r="B18675" s="4" t="s">
        <v>23492</v>
      </c>
      <c r="C18675" s="5" t="str">
        <f>IFERROR(__xludf.DUMMYFUNCTION("GOOGLETRANSLATE(B18675,""en"",""it"")"),"Un piccolo gruppo sta guardando i musicisti.")</f>
        <v>Un piccolo gruppo sta guardando i musicisti.</v>
      </c>
    </row>
    <row r="18676">
      <c r="A18676" s="4" t="s">
        <v>23487</v>
      </c>
      <c r="B18676" s="4" t="s">
        <v>23493</v>
      </c>
      <c r="C18676" s="5" t="str">
        <f>IFERROR(__xludf.DUMMYFUNCTION("GOOGLETRANSLATE(B18676,""en"",""it"")"),"Il ballerino posa con altre 2 donne.")</f>
        <v>Il ballerino posa con altre 2 donne.</v>
      </c>
    </row>
    <row r="18677">
      <c r="A18677" s="4" t="s">
        <v>23494</v>
      </c>
      <c r="B18677" s="4" t="s">
        <v>23495</v>
      </c>
      <c r="C18677" s="5" t="str">
        <f>IFERROR(__xludf.DUMMYFUNCTION("GOOGLETRANSLATE(B18677,""en"",""it"")"),"Un professionista sanitario ridotto le mani con sapone in un lavandino.")</f>
        <v>Un professionista sanitario ridotto le mani con sapone in un lavandino.</v>
      </c>
    </row>
    <row r="18678">
      <c r="A18678" s="4" t="s">
        <v>23494</v>
      </c>
      <c r="B18678" s="4" t="s">
        <v>23496</v>
      </c>
      <c r="C18678" s="5" t="str">
        <f>IFERROR(__xludf.DUMMYFUNCTION("GOOGLETRANSLATE(B18678,""en"",""it"")"),"La donna strofina a fondo tra le dita.")</f>
        <v>La donna strofina a fondo tra le dita.</v>
      </c>
    </row>
    <row r="18679">
      <c r="A18679" s="4" t="s">
        <v>23494</v>
      </c>
      <c r="B18679" s="4" t="s">
        <v>23497</v>
      </c>
      <c r="C18679" s="5" t="str">
        <f>IFERROR(__xludf.DUMMYFUNCTION("GOOGLETRANSLATE(B18679,""en"",""it"")"),"Le mani vengono essiccate con un tovagliolo di carta tra le dita accuratamente.")</f>
        <v>Le mani vengono essiccate con un tovagliolo di carta tra le dita accuratamente.</v>
      </c>
    </row>
    <row r="18680">
      <c r="A18680" s="4" t="s">
        <v>23494</v>
      </c>
      <c r="B18680" s="4" t="s">
        <v>23498</v>
      </c>
      <c r="C18680" s="5" t="str">
        <f>IFERROR(__xludf.DUMMYFUNCTION("GOOGLETRANSLATE(B18680,""en"",""it"")"),"La donna lancia il tovagliolo di carta in un cestino designato.")</f>
        <v>La donna lancia il tovagliolo di carta in un cestino designato.</v>
      </c>
    </row>
    <row r="18681">
      <c r="A18681" s="4" t="s">
        <v>23494</v>
      </c>
      <c r="B18681" s="4" t="s">
        <v>23499</v>
      </c>
      <c r="C18681" s="5" t="str">
        <f>IFERROR(__xludf.DUMMYFUNCTION("GOOGLETRANSLATE(B18681,""en"",""it"")"),"Il professionista medico spegne il rubinetto dell'acqua usando il gomito e anche il tovagliolo di carta.")</f>
        <v>Il professionista medico spegne il rubinetto dell'acqua usando il gomito e anche il tovagliolo di carta.</v>
      </c>
    </row>
    <row r="18682">
      <c r="A18682" s="4" t="s">
        <v>23500</v>
      </c>
      <c r="B18682" s="4" t="s">
        <v>23501</v>
      </c>
      <c r="C18682" s="5" t="str">
        <f>IFERROR(__xludf.DUMMYFUNCTION("GOOGLETRANSLATE(B18682,""en"",""it"")"),"Viene visto un uomo assemblare uno pneumatico su un ascensore e togliere la gomma usando una macchina.")</f>
        <v>Viene visto un uomo assemblare uno pneumatico su un ascensore e togliere la gomma usando una macchina.</v>
      </c>
    </row>
    <row r="18683">
      <c r="A18683" s="4" t="s">
        <v>23500</v>
      </c>
      <c r="B18683" s="4" t="s">
        <v>23502</v>
      </c>
      <c r="C18683" s="5" t="str">
        <f>IFERROR(__xludf.DUMMYFUNCTION("GOOGLETRANSLATE(B18683,""en"",""it"")"),"Quindi rimette la gomma usando la macchina e termina tornando indietro dal pneumatico.")</f>
        <v>Quindi rimette la gomma usando la macchina e termina tornando indietro dal pneumatico.</v>
      </c>
    </row>
    <row r="18684">
      <c r="A18684" s="4" t="s">
        <v>23503</v>
      </c>
      <c r="B18684" s="4" t="s">
        <v>21512</v>
      </c>
      <c r="C18684" s="5" t="str">
        <f>IFERROR(__xludf.DUMMYFUNCTION("GOOGLETRANSLATE(B18684,""en"",""it"")"),"Un uomo si inginocchia su un tappetino blu.")</f>
        <v>Un uomo si inginocchia su un tappetino blu.</v>
      </c>
    </row>
    <row r="18685">
      <c r="A18685" s="4" t="s">
        <v>23503</v>
      </c>
      <c r="B18685" s="4" t="s">
        <v>23504</v>
      </c>
      <c r="C18685" s="5" t="str">
        <f>IFERROR(__xludf.DUMMYFUNCTION("GOOGLETRANSLATE(B18685,""en"",""it"")"),"Si tira giù su una corda e si allena.")</f>
        <v>Si tira giù su una corda e si allena.</v>
      </c>
    </row>
    <row r="18686">
      <c r="A18686" s="4" t="s">
        <v>23503</v>
      </c>
      <c r="B18686" s="4" t="s">
        <v>23505</v>
      </c>
      <c r="C18686" s="5" t="str">
        <f>IFERROR(__xludf.DUMMYFUNCTION("GOOGLETRANSLATE(B18686,""en"",""it"")"),"Abbassa la barra e inizia a tirare la corda nella direzione opposta.")</f>
        <v>Abbassa la barra e inizia a tirare la corda nella direzione opposta.</v>
      </c>
    </row>
    <row r="18687">
      <c r="A18687" s="4" t="s">
        <v>23506</v>
      </c>
      <c r="B18687" s="4" t="s">
        <v>23507</v>
      </c>
      <c r="C18687" s="5" t="str">
        <f>IFERROR(__xludf.DUMMYFUNCTION("GOOGLETRANSLATE(B18687,""en"",""it"")"),"C'è uno scivolo molto alto e ripido che attraversa alcuni alberi in un grande terreno aperto.")</f>
        <v>C'è uno scivolo molto alto e ripido che attraversa alcuni alberi in un grande terreno aperto.</v>
      </c>
    </row>
    <row r="18688">
      <c r="A18688" s="4" t="s">
        <v>23506</v>
      </c>
      <c r="B18688" s="6" t="s">
        <v>23508</v>
      </c>
      <c r="C18688" s="5" t="str">
        <f>IFERROR(__xludf.DUMMYFUNCTION("GOOGLETRANSLATE(B18688,""en"",""it"")"),"C'è una superficie di gomma che corre nel senso della lunghezza all'estremità inferiore del diapositiva per proteggere le persone da farsi male mentre atterrano.")</f>
        <v>C'è una superficie di gomma che corre nel senso della lunghezza all'estremità inferiore del diapositiva per proteggere le persone da farsi male mentre atterrano.</v>
      </c>
    </row>
    <row r="18689">
      <c r="A18689" s="4" t="s">
        <v>23506</v>
      </c>
      <c r="B18689" s="4" t="s">
        <v>23509</v>
      </c>
      <c r="C18689" s="5" t="str">
        <f>IFERROR(__xludf.DUMMYFUNCTION("GOOGLETRANSLATE(B18689,""en"",""it"")"),"Un ragazzo che indossa pantaloncini neri e una camicia viene scivolato in piena forza.")</f>
        <v>Un ragazzo che indossa pantaloncini neri e una camicia viene scivolato in piena forza.</v>
      </c>
    </row>
    <row r="18690">
      <c r="A18690" s="4" t="s">
        <v>23506</v>
      </c>
      <c r="B18690" s="4" t="s">
        <v>23510</v>
      </c>
      <c r="C18690" s="5" t="str">
        <f>IFERROR(__xludf.DUMMYFUNCTION("GOOGLETRANSLATE(B18690,""en"",""it"")"),"Atterra lontano dalla diapositiva mentre cade giù e fuori dalla diapositiva.")</f>
        <v>Atterra lontano dalla diapositiva mentre cade giù e fuori dalla diapositiva.</v>
      </c>
    </row>
    <row r="18691">
      <c r="A18691" s="4" t="s">
        <v>23511</v>
      </c>
      <c r="B18691" s="4" t="s">
        <v>23512</v>
      </c>
      <c r="C18691" s="5" t="str">
        <f>IFERROR(__xludf.DUMMYFUNCTION("GOOGLETRANSLATE(B18691,""en"",""it"")"),"Un uomo in un cappello parla in una conferenza stampa.")</f>
        <v>Un uomo in un cappello parla in una conferenza stampa.</v>
      </c>
    </row>
    <row r="18692">
      <c r="A18692" s="4" t="s">
        <v>23511</v>
      </c>
      <c r="B18692" s="4" t="s">
        <v>23513</v>
      </c>
      <c r="C18692" s="5" t="str">
        <f>IFERROR(__xludf.DUMMYFUNCTION("GOOGLETRANSLATE(B18692,""en"",""it"")"),"Vediamo cabine e rimorchi in una zona nevosa.")</f>
        <v>Vediamo cabine e rimorchi in una zona nevosa.</v>
      </c>
    </row>
    <row r="18693">
      <c r="A18693" s="4" t="s">
        <v>23511</v>
      </c>
      <c r="B18693" s="4" t="s">
        <v>23514</v>
      </c>
      <c r="C18693" s="5" t="str">
        <f>IFERROR(__xludf.DUMMYFUNCTION("GOOGLETRANSLATE(B18693,""en"",""it"")"),"Tre uomini stanno cerendo gli sci in un seminario e vediamo l'uomo alla conferenza stampa.")</f>
        <v>Tre uomini stanno cerendo gli sci in un seminario e vediamo l'uomo alla conferenza stampa.</v>
      </c>
    </row>
    <row r="18694">
      <c r="A18694" s="4" t="s">
        <v>23511</v>
      </c>
      <c r="B18694" s="6" t="s">
        <v>23515</v>
      </c>
      <c r="C18694" s="5" t="str">
        <f>IFERROR(__xludf.DUMMYFUNCTION("GOOGLETRANSLATE(B18694,""en"",""it"")"),"Un uomo corre dietro rimorchi e due uomini camminano sulla neve prima di vedere di nuovo la conferenza stampa.")</f>
        <v>Un uomo corre dietro rimorchi e due uomini camminano sulla neve prima di vedere di nuovo la conferenza stampa.</v>
      </c>
    </row>
    <row r="18695">
      <c r="A18695" s="4" t="s">
        <v>23511</v>
      </c>
      <c r="B18695" s="4" t="s">
        <v>23516</v>
      </c>
      <c r="C18695" s="5" t="str">
        <f>IFERROR(__xludf.DUMMYFUNCTION("GOOGLETRANSLATE(B18695,""en"",""it"")"),"Vediamo gli uomini sciare.")</f>
        <v>Vediamo gli uomini sciare.</v>
      </c>
    </row>
    <row r="18696">
      <c r="A18696" s="4" t="s">
        <v>23511</v>
      </c>
      <c r="B18696" s="6" t="s">
        <v>23517</v>
      </c>
      <c r="C18696" s="5" t="str">
        <f>IFERROR(__xludf.DUMMYFUNCTION("GOOGLETRANSLATE(B18696,""en"",""it"")"),"L'uomo alla conferenza stampa e un uomo mette una maschera nel seminario e una macchina si trova sul campo.")</f>
        <v>L'uomo alla conferenza stampa e un uomo mette una maschera nel seminario e una macchina si trova sul campo.</v>
      </c>
    </row>
    <row r="18697">
      <c r="A18697" s="4" t="s">
        <v>23511</v>
      </c>
      <c r="B18697" s="4" t="s">
        <v>23518</v>
      </c>
      <c r="C18697" s="5" t="str">
        <f>IFERROR(__xludf.DUMMYFUNCTION("GOOGLETRANSLATE(B18697,""en"",""it"")"),"Due uomini si posano tenendo i fucili sulla neve.")</f>
        <v>Due uomini si posano tenendo i fucili sulla neve.</v>
      </c>
    </row>
    <row r="18698">
      <c r="A18698" s="4" t="s">
        <v>23519</v>
      </c>
      <c r="B18698" s="4" t="s">
        <v>23520</v>
      </c>
      <c r="C18698" s="5" t="str">
        <f>IFERROR(__xludf.DUMMYFUNCTION("GOOGLETRANSLATE(B18698,""en"",""it"")"),"Un uomo è visto seduto su una sedia e colpi di persone che cavalcano le asciugature e le clip di un molo.")</f>
        <v>Un uomo è visto seduto su una sedia e colpi di persone che cavalcano le asciugature e le clip di un molo.</v>
      </c>
    </row>
    <row r="18699">
      <c r="A18699" s="4" t="s">
        <v>23519</v>
      </c>
      <c r="B18699" s="6" t="s">
        <v>23521</v>
      </c>
      <c r="C18699" s="5" t="str">
        <f>IFERROR(__xludf.DUMMYFUNCTION("GOOGLETRANSLATE(B18699,""en"",""it"")"),"L'uomo continua a parlare con la telecamera mentre vengono mostrati più scatti di persone che si svegliano, oltre a fare giri e trucchi.")</f>
        <v>L'uomo continua a parlare con la telecamera mentre vengono mostrati più scatti di persone che si svegliano, oltre a fare giri e trucchi.</v>
      </c>
    </row>
    <row r="18700">
      <c r="A18700" s="4" t="s">
        <v>23522</v>
      </c>
      <c r="B18700" s="4" t="s">
        <v>23523</v>
      </c>
      <c r="C18700" s="5" t="str">
        <f>IFERROR(__xludf.DUMMYFUNCTION("GOOGLETRANSLATE(B18700,""en"",""it"")"),"Vediamo una signora che tiene la telecamera e soffia che si asciughi i capelli.")</f>
        <v>Vediamo una signora che tiene la telecamera e soffia che si asciughi i capelli.</v>
      </c>
    </row>
    <row r="18701">
      <c r="A18701" s="4" t="s">
        <v>23522</v>
      </c>
      <c r="B18701" s="4" t="s">
        <v>23524</v>
      </c>
      <c r="C18701" s="5" t="str">
        <f>IFERROR(__xludf.DUMMYFUNCTION("GOOGLETRANSLATE(B18701,""en"",""it"")"),"La signora si siede la telecamera sul pavimento e continua a asciugare i capelli.")</f>
        <v>La signora si siede la telecamera sul pavimento e continua a asciugare i capelli.</v>
      </c>
    </row>
    <row r="18702">
      <c r="A18702" s="4" t="s">
        <v>23522</v>
      </c>
      <c r="B18702" s="4" t="s">
        <v>23525</v>
      </c>
      <c r="C18702" s="5" t="str">
        <f>IFERROR(__xludf.DUMMYFUNCTION("GOOGLETRANSLATE(B18702,""en"",""it"")"),"La signora si getta i capelli indietro e solleva il telefono.")</f>
        <v>La signora si getta i capelli indietro e solleva il telefono.</v>
      </c>
    </row>
    <row r="18703">
      <c r="A18703" s="4" t="s">
        <v>23526</v>
      </c>
      <c r="B18703" s="4" t="s">
        <v>23527</v>
      </c>
      <c r="C18703" s="5" t="str">
        <f>IFERROR(__xludf.DUMMYFUNCTION("GOOGLETRANSLATE(B18703,""en"",""it"")"),"Vediamo una donna addormentata in ospedale.")</f>
        <v>Vediamo una donna addormentata in ospedale.</v>
      </c>
    </row>
    <row r="18704">
      <c r="A18704" s="4" t="s">
        <v>23526</v>
      </c>
      <c r="B18704" s="4" t="s">
        <v>23528</v>
      </c>
      <c r="C18704" s="5" t="str">
        <f>IFERROR(__xludf.DUMMYFUNCTION("GOOGLETRANSLATE(B18704,""en"",""it"")"),"Una persona inizia a pettinare i capelli di una donna anziana addormentata in ospedale.")</f>
        <v>Una persona inizia a pettinare i capelli di una donna anziana addormentata in ospedale.</v>
      </c>
    </row>
    <row r="18705">
      <c r="A18705" s="4" t="s">
        <v>23526</v>
      </c>
      <c r="B18705" s="4" t="s">
        <v>23529</v>
      </c>
      <c r="C18705" s="5" t="str">
        <f>IFERROR(__xludf.DUMMYFUNCTION("GOOGLETRANSLATE(B18705,""en"",""it"")"),"La fotocamera si sposta in cima alla testa delle donne.")</f>
        <v>La fotocamera si sposta in cima alla testa delle donne.</v>
      </c>
    </row>
    <row r="18706">
      <c r="A18706" s="4" t="s">
        <v>23526</v>
      </c>
      <c r="B18706" s="4" t="s">
        <v>23530</v>
      </c>
      <c r="C18706" s="5" t="str">
        <f>IFERROR(__xludf.DUMMYFUNCTION("GOOGLETRANSLATE(B18706,""en"",""it"")"),"La fotocamera si sposta quindi sulla parte anteriore della faccia da donna.")</f>
        <v>La fotocamera si sposta quindi sulla parte anteriore della faccia da donna.</v>
      </c>
    </row>
    <row r="18707">
      <c r="A18707" s="4" t="s">
        <v>23531</v>
      </c>
      <c r="B18707" s="4" t="s">
        <v>23532</v>
      </c>
      <c r="C18707" s="5" t="str">
        <f>IFERROR(__xludf.DUMMYFUNCTION("GOOGLETRANSLATE(B18707,""en"",""it"")"),"Un uomo in pantaloncini è in palestra.")</f>
        <v>Un uomo in pantaloncini è in palestra.</v>
      </c>
    </row>
    <row r="18708">
      <c r="A18708" s="4" t="s">
        <v>23531</v>
      </c>
      <c r="B18708" s="4" t="s">
        <v>23533</v>
      </c>
      <c r="C18708" s="5" t="str">
        <f>IFERROR(__xludf.DUMMYFUNCTION("GOOGLETRANSLATE(B18708,""en"",""it"")"),"Sta saltando la corda lì dentro.")</f>
        <v>Sta saltando la corda lì dentro.</v>
      </c>
    </row>
    <row r="18709">
      <c r="A18709" s="4" t="s">
        <v>23531</v>
      </c>
      <c r="B18709" s="4" t="s">
        <v>23534</v>
      </c>
      <c r="C18709" s="5" t="str">
        <f>IFERROR(__xludf.DUMMYFUNCTION("GOOGLETRANSLATE(B18709,""en"",""it"")"),"Acceleva il suo salto.")</f>
        <v>Acceleva il suo salto.</v>
      </c>
    </row>
    <row r="18710">
      <c r="A18710" s="4" t="s">
        <v>23531</v>
      </c>
      <c r="B18710" s="4" t="s">
        <v>23535</v>
      </c>
      <c r="C18710" s="5" t="str">
        <f>IFERROR(__xludf.DUMMYFUNCTION("GOOGLETRANSLATE(B18710,""en"",""it"")"),"Lo sta facendo davanti a uno specchio.")</f>
        <v>Lo sta facendo davanti a uno specchio.</v>
      </c>
    </row>
    <row r="18711">
      <c r="A18711" s="4" t="s">
        <v>23536</v>
      </c>
      <c r="B18711" s="4" t="s">
        <v>23537</v>
      </c>
      <c r="C18711" s="5" t="str">
        <f>IFERROR(__xludf.DUMMYFUNCTION("GOOGLETRANSLATE(B18711,""en"",""it"")"),"Un uomo più anziano viene mostrato in piedi su un equipaggiamento di esercizio.")</f>
        <v>Un uomo più anziano viene mostrato in piedi su un equipaggiamento di esercizio.</v>
      </c>
    </row>
    <row r="18712">
      <c r="A18712" s="4" t="s">
        <v>23536</v>
      </c>
      <c r="B18712" s="4" t="s">
        <v>23538</v>
      </c>
      <c r="C18712" s="5" t="str">
        <f>IFERROR(__xludf.DUMMYFUNCTION("GOOGLETRANSLATE(B18712,""en"",""it"")"),"Parla con la telecamera e tiene un telecomando e continua a muoversi sulla macchina.")</f>
        <v>Parla con la telecamera e tiene un telecomando e continua a muoversi sulla macchina.</v>
      </c>
    </row>
    <row r="18713">
      <c r="A18713" s="4" t="s">
        <v>23539</v>
      </c>
      <c r="B18713" s="4" t="s">
        <v>23540</v>
      </c>
      <c r="C18713" s="5" t="str">
        <f>IFERROR(__xludf.DUMMYFUNCTION("GOOGLETRANSLATE(B18713,""en"",""it"")"),"Innanzitutto, la persona viene vista svitare le barre dell'impugnatura.")</f>
        <v>Innanzitutto, la persona viene vista svitare le barre dell'impugnatura.</v>
      </c>
    </row>
    <row r="18714">
      <c r="A18714" s="4" t="s">
        <v>23539</v>
      </c>
      <c r="B18714" s="4" t="s">
        <v>23541</v>
      </c>
      <c r="C18714" s="5" t="str">
        <f>IFERROR(__xludf.DUMMYFUNCTION("GOOGLETRANSLATE(B18714,""en"",""it"")"),"Quindi svita la base per livellarla a suo piacimento.")</f>
        <v>Quindi svita la base per livellarla a suo piacimento.</v>
      </c>
    </row>
    <row r="18715">
      <c r="A18715" s="4" t="s">
        <v>23539</v>
      </c>
      <c r="B18715" s="4" t="s">
        <v>23542</v>
      </c>
      <c r="C18715" s="5" t="str">
        <f>IFERROR(__xludf.DUMMYFUNCTION("GOOGLETRANSLATE(B18715,""en"",""it"")"),"Quindi si siede sul sedile per biciclette per ottenere i migliori risultati.")</f>
        <v>Quindi si siede sul sedile per biciclette per ottenere i migliori risultati.</v>
      </c>
    </row>
    <row r="18716">
      <c r="A18716" s="4" t="s">
        <v>23539</v>
      </c>
      <c r="B18716" s="4" t="s">
        <v>23543</v>
      </c>
      <c r="C18716" s="5" t="str">
        <f>IFERROR(__xludf.DUMMYFUNCTION("GOOGLETRANSLATE(B18716,""en"",""it"")"),"Quindi regola di nuovo le barre della maniglia e si assicura che siano saldamente in atto.")</f>
        <v>Quindi regola di nuovo le barre della maniglia e si assicura che siano saldamente in atto.</v>
      </c>
    </row>
    <row r="18717">
      <c r="A18717" s="4" t="s">
        <v>23544</v>
      </c>
      <c r="B18717" s="6" t="s">
        <v>23545</v>
      </c>
      <c r="C18717" s="5" t="str">
        <f>IFERROR(__xludf.DUMMYFUNCTION("GOOGLETRANSLATE(B18717,""en"",""it"")"),"Due uomini si trovano in una stanza con tre pareti e una serie di porte di vetro dietro di loro che colpiscono una palla indietro e la quarta contro il muro con racchette da tennis.")</f>
        <v>Due uomini si trovano in una stanza con tre pareti e una serie di porte di vetro dietro di loro che colpiscono una palla indietro e la quarta contro il muro con racchette da tennis.</v>
      </c>
    </row>
    <row r="18718">
      <c r="A18718" s="4" t="s">
        <v>23544</v>
      </c>
      <c r="B18718" s="4" t="s">
        <v>23546</v>
      </c>
      <c r="C18718" s="5" t="str">
        <f>IFERROR(__xludf.DUMMYFUNCTION("GOOGLETRANSLATE(B18718,""en"",""it"")"),"Mentre continuano, un ragazzo cade a terra e devono ricominciare.")</f>
        <v>Mentre continuano, un ragazzo cade a terra e devono ricominciare.</v>
      </c>
    </row>
    <row r="18719">
      <c r="A18719" s="4" t="s">
        <v>23547</v>
      </c>
      <c r="B18719" s="4" t="s">
        <v>23548</v>
      </c>
      <c r="C18719" s="5" t="str">
        <f>IFERROR(__xludf.DUMMYFUNCTION("GOOGLETRANSLATE(B18719,""en"",""it"")"),"Vediamo un uomo in piedi davanti a un banco da lavoro in un seminario e parlare.")</f>
        <v>Vediamo un uomo in piedi davanti a un banco da lavoro in un seminario e parlare.</v>
      </c>
    </row>
    <row r="18720">
      <c r="A18720" s="4" t="s">
        <v>23547</v>
      </c>
      <c r="B18720" s="4" t="s">
        <v>23549</v>
      </c>
      <c r="C18720" s="5" t="str">
        <f>IFERROR(__xludf.DUMMYFUNCTION("GOOGLETRANSLATE(B18720,""en"",""it"")"),"L'uomo mostra un pezzo di legno e una levigatrice.")</f>
        <v>L'uomo mostra un pezzo di legno e una levigatrice.</v>
      </c>
    </row>
    <row r="18721">
      <c r="A18721" s="4" t="s">
        <v>23547</v>
      </c>
      <c r="B18721" s="4" t="s">
        <v>23550</v>
      </c>
      <c r="C18721" s="5" t="str">
        <f>IFERROR(__xludf.DUMMYFUNCTION("GOOGLETRANSLATE(B18721,""en"",""it"")"),"L'uomo cancella una sostanza da una brocca sul legno e la levigatrice e leviga il legno.")</f>
        <v>L'uomo cancella una sostanza da una brocca sul legno e la levigatrice e leviga il legno.</v>
      </c>
    </row>
    <row r="18722">
      <c r="A18722" s="4" t="s">
        <v>23547</v>
      </c>
      <c r="B18722" s="4" t="s">
        <v>23551</v>
      </c>
      <c r="C18722" s="5" t="str">
        <f>IFERROR(__xludf.DUMMYFUNCTION("GOOGLETRANSLATE(B18722,""en"",""it"")"),"L'uomo ci mostra il prodotto finito.")</f>
        <v>L'uomo ci mostra il prodotto finito.</v>
      </c>
    </row>
    <row r="18723">
      <c r="A18723" s="4" t="s">
        <v>23552</v>
      </c>
      <c r="B18723" s="6" t="s">
        <v>23553</v>
      </c>
      <c r="C18723" s="5" t="str">
        <f>IFERROR(__xludf.DUMMYFUNCTION("GOOGLETRANSLATE(B18723,""en"",""it"")"),"Diverse persone parasail su un corpo d'acqua circondato da altre barche, fogliame e case in lontananza.")</f>
        <v>Diverse persone parasail su un corpo d'acqua circondato da altre barche, fogliame e case in lontananza.</v>
      </c>
    </row>
    <row r="18724">
      <c r="A18724" s="4" t="s">
        <v>23552</v>
      </c>
      <c r="B18724" s="4" t="s">
        <v>23554</v>
      </c>
      <c r="C18724" s="5" t="str">
        <f>IFERROR(__xludf.DUMMYFUNCTION("GOOGLETRANSLATE(B18724,""en"",""it"")"),"Diverse persone in bauli da nuoto navigano in un corpo d'acqua con parasail a più colorati.")</f>
        <v>Diverse persone in bauli da nuoto navigano in un corpo d'acqua con parasail a più colorati.</v>
      </c>
    </row>
    <row r="18725">
      <c r="A18725" s="4" t="s">
        <v>23552</v>
      </c>
      <c r="B18725" s="6" t="s">
        <v>23555</v>
      </c>
      <c r="C18725" s="5" t="str">
        <f>IFERROR(__xludf.DUMMYFUNCTION("GOOGLETRANSLATE(B18725,""en"",""it"")"),"Una persona in primo piano in bauli da nuoto blu lancia la vela ma la vela si gira sul fondo in modo che la persona e la vela atterrano in piedi.")</f>
        <v>Una persona in primo piano in bauli da nuoto blu lancia la vela ma la vela si gira sul fondo in modo che la persona e la vela atterrano in piedi.</v>
      </c>
    </row>
    <row r="18726">
      <c r="A18726" s="4" t="s">
        <v>23556</v>
      </c>
      <c r="B18726" s="4" t="s">
        <v>23557</v>
      </c>
      <c r="C18726" s="5" t="str">
        <f>IFERROR(__xludf.DUMMYFUNCTION("GOOGLETRANSLATE(B18726,""en"",""it"")"),"Su una traccia, un corridore si prepara all'esecuzione.")</f>
        <v>Su una traccia, un corridore si prepara all'esecuzione.</v>
      </c>
    </row>
    <row r="18727">
      <c r="A18727" s="4" t="s">
        <v>23556</v>
      </c>
      <c r="B18727" s="4" t="s">
        <v>23558</v>
      </c>
      <c r="C18727" s="5" t="str">
        <f>IFERROR(__xludf.DUMMYFUNCTION("GOOGLETRANSLATE(B18727,""en"",""it"")"),"Corre e salta lungo la strada, saltando in alto alla fine.")</f>
        <v>Corre e salta lungo la strada, saltando in alto alla fine.</v>
      </c>
    </row>
    <row r="18728">
      <c r="A18728" s="4" t="s">
        <v>23556</v>
      </c>
      <c r="B18728" s="4" t="s">
        <v>23559</v>
      </c>
      <c r="C18728" s="5" t="str">
        <f>IFERROR(__xludf.DUMMYFUNCTION("GOOGLETRANSLATE(B18728,""en"",""it"")"),"Cammina lungo la pista dopo essere stato finito.")</f>
        <v>Cammina lungo la pista dopo essere stato finito.</v>
      </c>
    </row>
    <row r="18729">
      <c r="A18729" s="4" t="s">
        <v>23556</v>
      </c>
      <c r="B18729" s="4" t="s">
        <v>23560</v>
      </c>
      <c r="C18729" s="5" t="str">
        <f>IFERROR(__xludf.DUMMYFUNCTION("GOOGLETRANSLATE(B18729,""en"",""it"")"),"L'uomo corre e salta di nuovo.")</f>
        <v>L'uomo corre e salta di nuovo.</v>
      </c>
    </row>
    <row r="18730">
      <c r="A18730" s="4" t="s">
        <v>23556</v>
      </c>
      <c r="B18730" s="4" t="s">
        <v>23561</v>
      </c>
      <c r="C18730" s="5" t="str">
        <f>IFERROR(__xludf.DUMMYFUNCTION("GOOGLETRANSLATE(B18730,""en"",""it"")"),"Il corridore parla con qualcuno.")</f>
        <v>Il corridore parla con qualcuno.</v>
      </c>
    </row>
    <row r="18731">
      <c r="A18731" s="4" t="s">
        <v>23562</v>
      </c>
      <c r="B18731" s="4" t="s">
        <v>23563</v>
      </c>
      <c r="C18731" s="5" t="str">
        <f>IFERROR(__xludf.DUMMYFUNCTION("GOOGLETRANSLATE(B18731,""en"",""it"")"),"Un uomo suona le cornamuse sul palco mentre indossa una gonna scozzese.")</f>
        <v>Un uomo suona le cornamuse sul palco mentre indossa una gonna scozzese.</v>
      </c>
    </row>
    <row r="18732">
      <c r="A18732" s="4" t="s">
        <v>23562</v>
      </c>
      <c r="B18732" s="4" t="s">
        <v>23564</v>
      </c>
      <c r="C18732" s="5" t="str">
        <f>IFERROR(__xludf.DUMMYFUNCTION("GOOGLETRANSLATE(B18732,""en"",""it"")"),"Quindi, l'uomo finisce giocando e tiene le cornamuse sul braccio sinistro.")</f>
        <v>Quindi, l'uomo finisce giocando e tiene le cornamuse sul braccio sinistro.</v>
      </c>
    </row>
    <row r="18733">
      <c r="A18733" s="4" t="s">
        <v>23565</v>
      </c>
      <c r="B18733" s="4" t="s">
        <v>23566</v>
      </c>
      <c r="C18733" s="5" t="str">
        <f>IFERROR(__xludf.DUMMYFUNCTION("GOOGLETRANSLATE(B18733,""en"",""it"")"),"Un uomo in giallo apre una birra.")</f>
        <v>Un uomo in giallo apre una birra.</v>
      </c>
    </row>
    <row r="18734">
      <c r="A18734" s="4" t="s">
        <v>23565</v>
      </c>
      <c r="B18734" s="4" t="s">
        <v>23567</v>
      </c>
      <c r="C18734" s="5" t="str">
        <f>IFERROR(__xludf.DUMMYFUNCTION("GOOGLETRANSLATE(B18734,""en"",""it"")"),"Un uomo in grigio afferra la birra, si regola i vestiti, quindi si siede sul pavimento con la birra.")</f>
        <v>Un uomo in grigio afferra la birra, si regola i vestiti, quindi si siede sul pavimento con la birra.</v>
      </c>
    </row>
    <row r="18735">
      <c r="A18735" s="4" t="s">
        <v>23565</v>
      </c>
      <c r="B18735" s="6" t="s">
        <v>23568</v>
      </c>
      <c r="C18735" s="5" t="str">
        <f>IFERROR(__xludf.DUMMYFUNCTION("GOOGLETRANSLATE(B18735,""en"",""it"")"),"L'uomo mette un braccio dietro la schiena e si adatta a provare a raccogliere la bottiglia con la bocca.")</f>
        <v>L'uomo mette un braccio dietro la schiena e si adatta a provare a raccogliere la bottiglia con la bocca.</v>
      </c>
    </row>
    <row r="18736">
      <c r="A18736" s="4" t="s">
        <v>23565</v>
      </c>
      <c r="B18736" s="4" t="s">
        <v>23569</v>
      </c>
      <c r="C18736" s="5" t="str">
        <f>IFERROR(__xludf.DUMMYFUNCTION("GOOGLETRANSLATE(B18736,""en"",""it"")"),"L'uomo quindi beve rapidamente e mette giù la bottiglia.")</f>
        <v>L'uomo quindi beve rapidamente e mette giù la bottiglia.</v>
      </c>
    </row>
    <row r="18737">
      <c r="A18737" s="4" t="s">
        <v>23565</v>
      </c>
      <c r="B18737" s="4" t="s">
        <v>23570</v>
      </c>
      <c r="C18737" s="5" t="str">
        <f>IFERROR(__xludf.DUMMYFUNCTION("GOOGLETRANSLATE(B18737,""en"",""it"")"),"Vediamo un conto alla rovescia.")</f>
        <v>Vediamo un conto alla rovescia.</v>
      </c>
    </row>
    <row r="18738">
      <c r="A18738" s="4" t="s">
        <v>23571</v>
      </c>
      <c r="B18738" s="4" t="s">
        <v>23572</v>
      </c>
      <c r="C18738" s="5" t="str">
        <f>IFERROR(__xludf.DUMMYFUNCTION("GOOGLETRANSLATE(B18738,""en"",""it"")"),"Vediamo la schermata del titolo bianco.")</f>
        <v>Vediamo la schermata del titolo bianco.</v>
      </c>
    </row>
    <row r="18739">
      <c r="A18739" s="4" t="s">
        <v>23571</v>
      </c>
      <c r="B18739" s="4" t="s">
        <v>23573</v>
      </c>
      <c r="C18739" s="5" t="str">
        <f>IFERROR(__xludf.DUMMYFUNCTION("GOOGLETRANSLATE(B18739,""en"",""it"")"),"Vediamo quindi un barista parlare con due persone in un bar.")</f>
        <v>Vediamo quindi un barista parlare con due persone in un bar.</v>
      </c>
    </row>
    <row r="18740">
      <c r="A18740" s="4" t="s">
        <v>23571</v>
      </c>
      <c r="B18740" s="4" t="s">
        <v>23574</v>
      </c>
      <c r="C18740" s="5" t="str">
        <f>IFERROR(__xludf.DUMMYFUNCTION("GOOGLETRANSLATE(B18740,""en"",""it"")"),"L'uomo si mette il braccio dietro la schiena.")</f>
        <v>L'uomo si mette il braccio dietro la schiena.</v>
      </c>
    </row>
    <row r="18741">
      <c r="A18741" s="4" t="s">
        <v>23571</v>
      </c>
      <c r="B18741" s="4" t="s">
        <v>23575</v>
      </c>
      <c r="C18741" s="5" t="str">
        <f>IFERROR(__xludf.DUMMYFUNCTION("GOOGLETRANSLATE(B18741,""en"",""it"")"),"Il barista mette due carte sul bar.")</f>
        <v>Il barista mette due carte sul bar.</v>
      </c>
    </row>
    <row r="18742">
      <c r="A18742" s="4" t="s">
        <v>23571</v>
      </c>
      <c r="B18742" s="4" t="s">
        <v>23576</v>
      </c>
      <c r="C18742" s="5" t="str">
        <f>IFERROR(__xludf.DUMMYFUNCTION("GOOGLETRANSLATE(B18742,""en"",""it"")"),"Spingono le loro carte e bevono birra, poi tirano le carte e bevono birra.")</f>
        <v>Spingono le loro carte e bevono birra, poi tirano le carte e bevono birra.</v>
      </c>
    </row>
    <row r="18743">
      <c r="A18743" s="4" t="s">
        <v>23571</v>
      </c>
      <c r="B18743" s="4" t="s">
        <v>23577</v>
      </c>
      <c r="C18743" s="5" t="str">
        <f>IFERROR(__xludf.DUMMYFUNCTION("GOOGLETRANSLATE(B18743,""en"",""it"")"),"Il barista sputa la birra nel bicchiere.")</f>
        <v>Il barista sputa la birra nel bicchiere.</v>
      </c>
    </row>
    <row r="18744">
      <c r="A18744" s="4" t="s">
        <v>23571</v>
      </c>
      <c r="B18744" s="4" t="s">
        <v>23578</v>
      </c>
      <c r="C18744" s="5" t="str">
        <f>IFERROR(__xludf.DUMMYFUNCTION("GOOGLETRANSLATE(B18744,""en"",""it"")"),"Il barista guarda la fotocamera e parla.")</f>
        <v>Il barista guarda la fotocamera e parla.</v>
      </c>
    </row>
    <row r="18745">
      <c r="A18745" s="4" t="s">
        <v>23571</v>
      </c>
      <c r="B18745" s="4" t="s">
        <v>23579</v>
      </c>
      <c r="C18745" s="5" t="str">
        <f>IFERROR(__xludf.DUMMYFUNCTION("GOOGLETRANSLATE(B18745,""en"",""it"")"),"Vediamo la schermata del titolo finale.")</f>
        <v>Vediamo la schermata del titolo finale.</v>
      </c>
    </row>
    <row r="18746">
      <c r="A18746" s="4" t="s">
        <v>23580</v>
      </c>
      <c r="B18746" s="4" t="s">
        <v>23581</v>
      </c>
      <c r="C18746" s="5" t="str">
        <f>IFERROR(__xludf.DUMMYFUNCTION("GOOGLETRANSLATE(B18746,""en"",""it"")"),"Un bambino raccoglie una palla da bowling.")</f>
        <v>Un bambino raccoglie una palla da bowling.</v>
      </c>
    </row>
    <row r="18747">
      <c r="A18747" s="4" t="s">
        <v>23580</v>
      </c>
      <c r="B18747" s="4" t="s">
        <v>23582</v>
      </c>
      <c r="C18747" s="5" t="str">
        <f>IFERROR(__xludf.DUMMYFUNCTION("GOOGLETRANSLATE(B18747,""en"",""it"")"),"Lo mette su un binario e lo spinge lungo una corsia.")</f>
        <v>Lo mette su un binario e lo spinge lungo una corsia.</v>
      </c>
    </row>
    <row r="18748">
      <c r="A18748" s="4" t="s">
        <v>23580</v>
      </c>
      <c r="B18748" s="4" t="s">
        <v>23583</v>
      </c>
      <c r="C18748" s="5" t="str">
        <f>IFERROR(__xludf.DUMMYFUNCTION("GOOGLETRANSLATE(B18748,""en"",""it"")"),"Una donna con un bambino legato al torace ciocola una palla lungo una corsia.")</f>
        <v>Una donna con un bambino legato al torace ciocola una palla lungo una corsia.</v>
      </c>
    </row>
    <row r="18749">
      <c r="A18749" s="4" t="s">
        <v>23584</v>
      </c>
      <c r="B18749" s="4" t="s">
        <v>23585</v>
      </c>
      <c r="C18749" s="5" t="str">
        <f>IFERROR(__xludf.DUMMYFUNCTION("GOOGLETRANSLATE(B18749,""en"",""it"")"),"Un uomo con camicia a quadri ha colpito la palla con il bastone, la palla sparsa sul tavolo.")</f>
        <v>Un uomo con camicia a quadri ha colpito la palla con il bastone, la palla sparsa sul tavolo.</v>
      </c>
    </row>
    <row r="18750">
      <c r="A18750" s="4" t="s">
        <v>23584</v>
      </c>
      <c r="B18750" s="6" t="s">
        <v>23586</v>
      </c>
      <c r="C18750" s="5" t="str">
        <f>IFERROR(__xludf.DUMMYFUNCTION("GOOGLETRANSLATE(B18750,""en"",""it"")"),"L'uomo con maglione grigio si appoggia sul tavolo e guarda la palla, poi colpì la palla bianca e colpì la palla gialla, mentre l'uomo con camicia a quadri sedeva sulla sedia.")</f>
        <v>L'uomo con maglione grigio si appoggia sul tavolo e guarda la palla, poi colpì la palla bianca e colpì la palla gialla, mentre l'uomo con camicia a quadri sedeva sulla sedia.</v>
      </c>
    </row>
    <row r="18751">
      <c r="A18751" s="4" t="s">
        <v>23584</v>
      </c>
      <c r="B18751" s="4" t="s">
        <v>23587</v>
      </c>
      <c r="C18751" s="5" t="str">
        <f>IFERROR(__xludf.DUMMYFUNCTION("GOOGLETRANSLATE(B18751,""en"",""it"")"),"L'uomo in maglione grigio continua a giocare il biliardo, facendo sparare le palle nei buchi.")</f>
        <v>L'uomo in maglione grigio continua a giocare il biliardo, facendo sparare le palle nei buchi.</v>
      </c>
    </row>
    <row r="18752">
      <c r="A18752" s="4" t="s">
        <v>23588</v>
      </c>
      <c r="B18752" s="4" t="s">
        <v>23589</v>
      </c>
      <c r="C18752" s="5" t="str">
        <f>IFERROR(__xludf.DUMMYFUNCTION("GOOGLETRANSLATE(B18752,""en"",""it"")"),"Una mano sta spingendo una macchina per soffiatore di erba.")</f>
        <v>Una mano sta spingendo una macchina per soffiatore di erba.</v>
      </c>
    </row>
    <row r="18753">
      <c r="A18753" s="4" t="s">
        <v>23588</v>
      </c>
      <c r="B18753" s="4" t="s">
        <v>23590</v>
      </c>
      <c r="C18753" s="5" t="str">
        <f>IFERROR(__xludf.DUMMYFUNCTION("GOOGLETRANSLATE(B18753,""en"",""it"")"),"La macchina sputa le foglie secche da un palo nero.")</f>
        <v>La macchina sputa le foglie secche da un palo nero.</v>
      </c>
    </row>
    <row r="18754">
      <c r="A18754" s="4" t="s">
        <v>23588</v>
      </c>
      <c r="B18754" s="4" t="s">
        <v>23591</v>
      </c>
      <c r="C18754" s="5" t="str">
        <f>IFERROR(__xludf.DUMMYFUNCTION("GOOGLETRANSLATE(B18754,""en"",""it"")"),"La macchina si trasformò in una curva verso la casa.")</f>
        <v>La macchina si trasformò in una curva verso la casa.</v>
      </c>
    </row>
    <row r="18755">
      <c r="A18755" s="4" t="s">
        <v>23592</v>
      </c>
      <c r="B18755" s="6" t="s">
        <v>23593</v>
      </c>
      <c r="C18755" s="5" t="str">
        <f>IFERROR(__xludf.DUMMYFUNCTION("GOOGLETRANSLATE(B18755,""en"",""it"")"),"Viene vista una donna parlare alla telecamera e poi toglie l'anello per scorrere le mani sotto l'acqua.")</f>
        <v>Viene vista una donna parlare alla telecamera e poi toglie l'anello per scorrere le mani sotto l'acqua.</v>
      </c>
    </row>
    <row r="18756">
      <c r="A18756" s="4" t="s">
        <v>23592</v>
      </c>
      <c r="B18756" s="4" t="s">
        <v>23594</v>
      </c>
      <c r="C18756" s="5" t="str">
        <f>IFERROR(__xludf.DUMMYFUNCTION("GOOGLETRANSLATE(B18756,""en"",""it"")"),"Strofina le mani con il sapone e poi corre le dita sotto l'acqua.")</f>
        <v>Strofina le mani con il sapone e poi corre le dita sotto l'acqua.</v>
      </c>
    </row>
    <row r="18757">
      <c r="A18757" s="4" t="s">
        <v>23592</v>
      </c>
      <c r="B18757" s="4" t="s">
        <v>23595</v>
      </c>
      <c r="C18757" s="5" t="str">
        <f>IFERROR(__xludf.DUMMYFUNCTION("GOOGLETRANSLATE(B18757,""en"",""it"")"),"Alla fine le persone si esibiscono un po 'di danza mostrando come lavarti correttamente le mani.")</f>
        <v>Alla fine le persone si esibiscono un po 'di danza mostrando come lavarti correttamente le mani.</v>
      </c>
    </row>
    <row r="18758">
      <c r="A18758" s="4" t="s">
        <v>23596</v>
      </c>
      <c r="B18758" s="4" t="s">
        <v>23597</v>
      </c>
      <c r="C18758" s="5" t="str">
        <f>IFERROR(__xludf.DUMMYFUNCTION("GOOGLETRANSLATE(B18758,""en"",""it"")"),"Vediamo persone che si immergono in mare.")</f>
        <v>Vediamo persone che si immergono in mare.</v>
      </c>
    </row>
    <row r="18759">
      <c r="A18759" s="4" t="s">
        <v>23596</v>
      </c>
      <c r="B18759" s="4" t="s">
        <v>23598</v>
      </c>
      <c r="C18759" s="5" t="str">
        <f>IFERROR(__xludf.DUMMYFUNCTION("GOOGLETRANSLATE(B18759,""en"",""it"")"),"Vediamo la superficie dell'oceano.")</f>
        <v>Vediamo la superficie dell'oceano.</v>
      </c>
    </row>
    <row r="18760">
      <c r="A18760" s="4" t="s">
        <v>23596</v>
      </c>
      <c r="B18760" s="4" t="s">
        <v>23599</v>
      </c>
      <c r="C18760" s="5" t="str">
        <f>IFERROR(__xludf.DUMMYFUNCTION("GOOGLETRANSLATE(B18760,""en"",""it"")"),"Vediamo persone che si tiene per mano sott'acqua.")</f>
        <v>Vediamo persone che si tiene per mano sott'acqua.</v>
      </c>
    </row>
    <row r="18761">
      <c r="A18761" s="4" t="s">
        <v>23596</v>
      </c>
      <c r="B18761" s="4" t="s">
        <v>23600</v>
      </c>
      <c r="C18761" s="5" t="str">
        <f>IFERROR(__xludf.DUMMYFUNCTION("GOOGLETRANSLATE(B18761,""en"",""it"")"),"Le persone stanno vomitando segni manuali.")</f>
        <v>Le persone stanno vomitando segni manuali.</v>
      </c>
    </row>
    <row r="18762">
      <c r="A18762" s="4" t="s">
        <v>23596</v>
      </c>
      <c r="B18762" s="4" t="s">
        <v>23601</v>
      </c>
      <c r="C18762" s="5" t="str">
        <f>IFERROR(__xludf.DUMMYFUNCTION("GOOGLETRANSLATE(B18762,""en"",""it"")"),"Vediamo un uomo lanciare un cartello e vediamo persone in piedi in acqua.")</f>
        <v>Vediamo un uomo lanciare un cartello e vediamo persone in piedi in acqua.</v>
      </c>
    </row>
    <row r="18763">
      <c r="A18763" s="4" t="s">
        <v>23596</v>
      </c>
      <c r="B18763" s="4" t="s">
        <v>23602</v>
      </c>
      <c r="C18763" s="5" t="str">
        <f>IFERROR(__xludf.DUMMYFUNCTION("GOOGLETRANSLATE(B18763,""en"",""it"")"),"Un uomo va sotto l'acqua lentamente.")</f>
        <v>Un uomo va sotto l'acqua lentamente.</v>
      </c>
    </row>
    <row r="18764">
      <c r="A18764" s="4" t="s">
        <v>23603</v>
      </c>
      <c r="B18764" s="4" t="s">
        <v>23604</v>
      </c>
      <c r="C18764" s="5" t="str">
        <f>IFERROR(__xludf.DUMMYFUNCTION("GOOGLETRANSLATE(B18764,""en"",""it"")"),"Un piccolo gruppo di persone è visto in piedi su una spiaggia giocando una partita di pallavolo.")</f>
        <v>Un piccolo gruppo di persone è visto in piedi su una spiaggia giocando una partita di pallavolo.</v>
      </c>
    </row>
    <row r="18765">
      <c r="A18765" s="4" t="s">
        <v>23603</v>
      </c>
      <c r="B18765" s="4" t="s">
        <v>23605</v>
      </c>
      <c r="C18765" s="5" t="str">
        <f>IFERROR(__xludf.DUMMYFUNCTION("GOOGLETRANSLATE(B18765,""en"",""it"")"),"Una persona lo colpisce all'altra e colpiscono la partita a palla.")</f>
        <v>Una persona lo colpisce all'altra e colpiscono la partita a palla.</v>
      </c>
    </row>
    <row r="18766">
      <c r="A18766" s="4" t="s">
        <v>23603</v>
      </c>
      <c r="B18766" s="4" t="s">
        <v>23606</v>
      </c>
      <c r="C18766" s="5" t="str">
        <f>IFERROR(__xludf.DUMMYFUNCTION("GOOGLETRANSLATE(B18766,""en"",""it"")"),"Il gioco continua mentre le persone vengono viste guardare dai lati.")</f>
        <v>Il gioco continua mentre le persone vengono viste guardare dai lati.</v>
      </c>
    </row>
    <row r="18767">
      <c r="A18767" s="4" t="s">
        <v>23607</v>
      </c>
      <c r="B18767" s="4" t="s">
        <v>23608</v>
      </c>
      <c r="C18767" s="5" t="str">
        <f>IFERROR(__xludf.DUMMYFUNCTION("GOOGLETRANSLATE(B18767,""en"",""it"")"),"Un uomo viene visto giocare con i capelli davanti alla telecamera e le conduce a sfiorare i capelli.")</f>
        <v>Un uomo viene visto giocare con i capelli davanti alla telecamera e le conduce a sfiorare i capelli.</v>
      </c>
    </row>
    <row r="18768">
      <c r="A18768" s="4" t="s">
        <v>23607</v>
      </c>
      <c r="B18768" s="4" t="s">
        <v>23609</v>
      </c>
      <c r="C18768" s="5" t="str">
        <f>IFERROR(__xludf.DUMMYFUNCTION("GOOGLETRANSLATE(B18768,""en"",""it"")"),"Quindi si lega i capelli e procede a asciugare i capelli mentre un pettine.")</f>
        <v>Quindi si lega i capelli e procede a asciugare i capelli mentre un pettine.</v>
      </c>
    </row>
    <row r="18769">
      <c r="A18769" s="4" t="s">
        <v>23607</v>
      </c>
      <c r="B18769" s="4" t="s">
        <v>23610</v>
      </c>
      <c r="C18769" s="5" t="str">
        <f>IFERROR(__xludf.DUMMYFUNCTION("GOOGLETRANSLATE(B18769,""en"",""it"")"),"Quindi abbassa i capelli e le fa la lozione tra i capelli mentre guardi ancora alla telecamera.")</f>
        <v>Quindi abbassa i capelli e le fa la lozione tra i capelli mentre guardi ancora alla telecamera.</v>
      </c>
    </row>
    <row r="18770">
      <c r="A18770" s="4" t="s">
        <v>23611</v>
      </c>
      <c r="B18770" s="4" t="s">
        <v>23612</v>
      </c>
      <c r="C18770" s="5" t="str">
        <f>IFERROR(__xludf.DUMMYFUNCTION("GOOGLETRANSLATE(B18770,""en"",""it"")"),"Viene mostrato uno scatto di una tavola seguita da vari cani da toelettatura ai tavoli.")</f>
        <v>Viene mostrato uno scatto di una tavola seguita da vari cani da toelettatura ai tavoli.</v>
      </c>
    </row>
    <row r="18771">
      <c r="A18771" s="4" t="s">
        <v>23611</v>
      </c>
      <c r="B18771" s="4" t="s">
        <v>23613</v>
      </c>
      <c r="C18771" s="5" t="str">
        <f>IFERROR(__xludf.DUMMYFUNCTION("GOOGLETRANSLATE(B18771,""en"",""it"")"),"Le persone continuano a governare i cani sui tavoli e il video termina con il testo sullo schermo.")</f>
        <v>Le persone continuano a governare i cani sui tavoli e il video termina con il testo sullo schermo.</v>
      </c>
    </row>
    <row r="18772">
      <c r="A18772" s="4" t="s">
        <v>23614</v>
      </c>
      <c r="B18772" s="4" t="s">
        <v>23615</v>
      </c>
      <c r="C18772" s="5" t="str">
        <f>IFERROR(__xludf.DUMMYFUNCTION("GOOGLETRANSLATE(B18772,""en"",""it"")"),"Vengono mostrate varie persone che sorridono in una macchina fotografica e vengono intervistate su una domanda.")</f>
        <v>Vengono mostrate varie persone che sorridono in una macchina fotografica e vengono intervistate su una domanda.</v>
      </c>
    </row>
    <row r="18773">
      <c r="A18773" s="4" t="s">
        <v>23614</v>
      </c>
      <c r="B18773" s="6" t="s">
        <v>23616</v>
      </c>
      <c r="C18773" s="5" t="str">
        <f>IFERROR(__xludf.DUMMYFUNCTION("GOOGLETRANSLATE(B18773,""en"",""it"")"),"Diverse altre domande vengono poste alle stesse persone e alle riprese di persone che svolgono attività intorno alla spiaggia su una corda.")</f>
        <v>Diverse altre domande vengono poste alle stesse persone e alle riprese di persone che svolgono attività intorno alla spiaggia su una corda.</v>
      </c>
    </row>
    <row r="18774">
      <c r="A18774" s="4" t="s">
        <v>23617</v>
      </c>
      <c r="B18774" s="4" t="s">
        <v>23618</v>
      </c>
      <c r="C18774" s="5" t="str">
        <f>IFERROR(__xludf.DUMMYFUNCTION("GOOGLETRANSLATE(B18774,""en"",""it"")"),"La parte anteriore di un kayak giallo è vista come la barca galleggia attraverso acque bianche turbolente di un fiume.")</f>
        <v>La parte anteriore di un kayak giallo è vista come la barca galleggia attraverso acque bianche turbolente di un fiume.</v>
      </c>
    </row>
    <row r="18775">
      <c r="A18775" s="4" t="s">
        <v>23617</v>
      </c>
      <c r="B18775" s="4" t="s">
        <v>23619</v>
      </c>
      <c r="C18775" s="5" t="str">
        <f>IFERROR(__xludf.DUMMYFUNCTION("GOOGLETRANSLATE(B18775,""en"",""it"")"),"Passa una roccia e numerosi alberi prima di rallentare.")</f>
        <v>Passa una roccia e numerosi alberi prima di rallentare.</v>
      </c>
    </row>
    <row r="18776">
      <c r="A18776" s="4" t="s">
        <v>23620</v>
      </c>
      <c r="B18776" s="4" t="s">
        <v>23621</v>
      </c>
      <c r="C18776" s="5" t="str">
        <f>IFERROR(__xludf.DUMMYFUNCTION("GOOGLETRANSLATE(B18776,""en"",""it"")"),"Un giovane ragazzo biondo viene mostrato in diverse immagini fisse, tra cui diverse mentre sci.")</f>
        <v>Un giovane ragazzo biondo viene mostrato in diverse immagini fisse, tra cui diverse mentre sci.</v>
      </c>
    </row>
    <row r="18777">
      <c r="A18777" s="4" t="s">
        <v>23620</v>
      </c>
      <c r="B18777" s="4" t="s">
        <v>23622</v>
      </c>
      <c r="C18777" s="5" t="str">
        <f>IFERROR(__xludf.DUMMYFUNCTION("GOOGLETRANSLATE(B18777,""en"",""it"")"),"Viene quindi visto sciare su una grande collina da più angoli e video.")</f>
        <v>Viene quindi visto sciare su una grande collina da più angoli e video.</v>
      </c>
    </row>
    <row r="18778">
      <c r="A18778" s="4" t="s">
        <v>23620</v>
      </c>
      <c r="B18778" s="4" t="s">
        <v>23623</v>
      </c>
      <c r="C18778" s="5" t="str">
        <f>IFERROR(__xludf.DUMMYFUNCTION("GOOGLETRANSLATE(B18778,""en"",""it"")"),"Atterra in cima a una piccola collina, cadendo.")</f>
        <v>Atterra in cima a una piccola collina, cadendo.</v>
      </c>
    </row>
    <row r="18779">
      <c r="A18779" s="4" t="s">
        <v>23620</v>
      </c>
      <c r="B18779" s="4" t="s">
        <v>23624</v>
      </c>
      <c r="C18779" s="5" t="str">
        <f>IFERROR(__xludf.DUMMYFUNCTION("GOOGLETRANSLATE(B18779,""en"",""it"")"),"Quindi vediamo un'immagine di lui che dorme su un divano.")</f>
        <v>Quindi vediamo un'immagine di lui che dorme su un divano.</v>
      </c>
    </row>
    <row r="18780">
      <c r="A18780" s="4" t="s">
        <v>23625</v>
      </c>
      <c r="B18780" s="4" t="s">
        <v>23626</v>
      </c>
      <c r="C18780" s="5" t="str">
        <f>IFERROR(__xludf.DUMMYFUNCTION("GOOGLETRANSLATE(B18780,""en"",""it"")"),"Un uomo è dentro una stanza in una casa.")</f>
        <v>Un uomo è dentro una stanza in una casa.</v>
      </c>
    </row>
    <row r="18781">
      <c r="A18781" s="4" t="s">
        <v>23625</v>
      </c>
      <c r="B18781" s="4" t="s">
        <v>23627</v>
      </c>
      <c r="C18781" s="5" t="str">
        <f>IFERROR(__xludf.DUMMYFUNCTION("GOOGLETRANSLATE(B18781,""en"",""it"")"),"Sta usando una racchetta per colpire una palla da tennis avanti e indietro contro un muro.")</f>
        <v>Sta usando una racchetta per colpire una palla da tennis avanti e indietro contro un muro.</v>
      </c>
    </row>
    <row r="18782">
      <c r="A18782" s="4" t="s">
        <v>23625</v>
      </c>
      <c r="B18782" s="4" t="s">
        <v>23628</v>
      </c>
      <c r="C18782" s="5" t="str">
        <f>IFERROR(__xludf.DUMMYFUNCTION("GOOGLETRANSLATE(B18782,""en"",""it"")"),"Continua a colpire la palla fino a quando non ha finito di giocare.")</f>
        <v>Continua a colpire la palla fino a quando non ha finito di giocare.</v>
      </c>
    </row>
    <row r="18783">
      <c r="A18783" s="4" t="s">
        <v>23629</v>
      </c>
      <c r="B18783" s="6" t="s">
        <v>23630</v>
      </c>
      <c r="C18783" s="5" t="str">
        <f>IFERROR(__xludf.DUMMYFUNCTION("GOOGLETRANSLATE(B18783,""en"",""it"")"),"Un paio di limoni sono visti seduti su un tavolo con occhiali e piastre e conducono in una persona che mette i limoni in un contenitore.")</f>
        <v>Un paio di limoni sono visti seduti su un tavolo con occhiali e piastre e conducono in una persona che mette i limoni in un contenitore.</v>
      </c>
    </row>
    <row r="18784">
      <c r="A18784" s="4" t="s">
        <v>23629</v>
      </c>
      <c r="B18784" s="4" t="s">
        <v>23631</v>
      </c>
      <c r="C18784" s="5" t="str">
        <f>IFERROR(__xludf.DUMMYFUNCTION("GOOGLETRANSLATE(B18784,""en"",""it"")"),"Mescola gli ingredienti con i limoni e li scuote in un altro bicchiere.")</f>
        <v>Mescola gli ingredienti con i limoni e li scuote in un altro bicchiere.</v>
      </c>
    </row>
    <row r="18785">
      <c r="A18785" s="4" t="s">
        <v>23629</v>
      </c>
      <c r="B18785" s="4" t="s">
        <v>23632</v>
      </c>
      <c r="C18785" s="5" t="str">
        <f>IFERROR(__xludf.DUMMYFUNCTION("GOOGLETRANSLATE(B18785,""en"",""it"")"),"Finisce la limonata e la presenta alla telecamera e anche un sorso.")</f>
        <v>Finisce la limonata e la presenta alla telecamera e anche un sorso.</v>
      </c>
    </row>
    <row r="18786">
      <c r="A18786" s="4" t="s">
        <v>23633</v>
      </c>
      <c r="B18786" s="4" t="s">
        <v>23634</v>
      </c>
      <c r="C18786" s="5" t="str">
        <f>IFERROR(__xludf.DUMMYFUNCTION("GOOGLETRANSLATE(B18786,""en"",""it"")"),"Le persone sono viste passeggiare per una palestra e conducono in uno in piedi tra le sbarre.")</f>
        <v>Le persone sono viste passeggiare per una palestra e conducono in uno in piedi tra le sbarre.</v>
      </c>
    </row>
    <row r="18787">
      <c r="A18787" s="4" t="s">
        <v>23633</v>
      </c>
      <c r="B18787" s="4" t="s">
        <v>23635</v>
      </c>
      <c r="C18787" s="5" t="str">
        <f>IFERROR(__xludf.DUMMYFUNCTION("GOOGLETRANSLATE(B18787,""en"",""it"")"),"La ginnasta si muove quindi intorno alle sbarre e salta giù dopo.")</f>
        <v>La ginnasta si muove quindi intorno alle sbarre e salta giù dopo.</v>
      </c>
    </row>
    <row r="18788">
      <c r="A18788" s="4" t="s">
        <v>23633</v>
      </c>
      <c r="B18788" s="4" t="s">
        <v>23636</v>
      </c>
      <c r="C18788" s="5" t="str">
        <f>IFERROR(__xludf.DUMMYFUNCTION("GOOGLETRANSLATE(B18788,""en"",""it"")"),"Un altro uomo si avvicina alle barre e tenta di girare.")</f>
        <v>Un altro uomo si avvicina alle barre e tenta di girare.</v>
      </c>
    </row>
    <row r="18789">
      <c r="A18789" s="4" t="s">
        <v>23637</v>
      </c>
      <c r="B18789" s="4" t="s">
        <v>23638</v>
      </c>
      <c r="C18789" s="5" t="str">
        <f>IFERROR(__xludf.DUMMYFUNCTION("GOOGLETRANSLATE(B18789,""en"",""it"")"),"Un bambino lavare un cane in una vasca da bagno che versa acqua con il tubo della doccia.")</f>
        <v>Un bambino lavare un cane in una vasca da bagno che versa acqua con il tubo della doccia.</v>
      </c>
    </row>
    <row r="18790">
      <c r="A18790" s="4" t="s">
        <v>23637</v>
      </c>
      <c r="B18790" s="4" t="s">
        <v>23639</v>
      </c>
      <c r="C18790" s="5" t="str">
        <f>IFERROR(__xludf.DUMMYFUNCTION("GOOGLETRANSLATE(B18790,""en"",""it"")"),"Il bambino solleva la coda del cavallo e lavare il sedere.")</f>
        <v>Il bambino solleva la coda del cavallo e lavare il sedere.</v>
      </c>
    </row>
    <row r="18791">
      <c r="A18791" s="4" t="s">
        <v>23637</v>
      </c>
      <c r="B18791" s="4" t="s">
        <v>23640</v>
      </c>
      <c r="C18791" s="5" t="str">
        <f>IFERROR(__xludf.DUMMYFUNCTION("GOOGLETRANSLATE(B18791,""en"",""it"")"),"Dopo, il bambino, prendi un pennello e strofina e lava il cane.")</f>
        <v>Dopo, il bambino, prendi un pennello e strofina e lava il cane.</v>
      </c>
    </row>
    <row r="18792">
      <c r="A18792" s="4" t="s">
        <v>23641</v>
      </c>
      <c r="B18792" s="4" t="s">
        <v>23642</v>
      </c>
      <c r="C18792" s="5" t="str">
        <f>IFERROR(__xludf.DUMMYFUNCTION("GOOGLETRANSLATE(B18792,""en"",""it"")"),"Un uomo sta cavalcando un paio di sci d'acqua mentre è attaccato a una barca.")</f>
        <v>Un uomo sta cavalcando un paio di sci d'acqua mentre è attaccato a una barca.</v>
      </c>
    </row>
    <row r="18793">
      <c r="A18793" s="4" t="s">
        <v>23641</v>
      </c>
      <c r="B18793" s="4" t="s">
        <v>23643</v>
      </c>
      <c r="C18793" s="5" t="str">
        <f>IFERROR(__xludf.DUMMYFUNCTION("GOOGLETRANSLATE(B18793,""en"",""it"")"),"Sveglia da un lato all'altro nell'acqua, aggrappandosi.")</f>
        <v>Sveglia da un lato all'altro nell'acqua, aggrappandosi.</v>
      </c>
    </row>
    <row r="18794">
      <c r="A18794" s="4" t="s">
        <v>23641</v>
      </c>
      <c r="B18794" s="4" t="s">
        <v>23644</v>
      </c>
      <c r="C18794" s="5" t="str">
        <f>IFERROR(__xludf.DUMMYFUNCTION("GOOGLETRANSLATE(B18794,""en"",""it"")"),"Salta in aria come acrobazia, poi perde l'equilibrio e cade in acqua.")</f>
        <v>Salta in aria come acrobazia, poi perde l'equilibrio e cade in acqua.</v>
      </c>
    </row>
    <row r="18795">
      <c r="A18795" s="4" t="s">
        <v>23645</v>
      </c>
      <c r="B18795" s="6" t="s">
        <v>23646</v>
      </c>
      <c r="C18795" s="5" t="str">
        <f>IFERROR(__xludf.DUMMYFUNCTION("GOOGLETRANSLATE(B18795,""en"",""it"")"),"Due squadre stanno giocando a un tiro alla fune, mentre l'arbitro è al centro e sul lato sono persone che scattano foto.")</f>
        <v>Due squadre stanno giocando a un tiro alla fune, mentre l'arbitro è al centro e sul lato sono persone che scattano foto.</v>
      </c>
    </row>
    <row r="18796">
      <c r="A18796" s="4" t="s">
        <v>23645</v>
      </c>
      <c r="B18796" s="6" t="s">
        <v>23647</v>
      </c>
      <c r="C18796" s="5" t="str">
        <f>IFERROR(__xludf.DUMMYFUNCTION("GOOGLETRANSLATE(B18796,""en"",""it"")"),"L'arbitro ha dato un segnale per iniziare la squadra, i giocatori stanno tirando la corda con tutte le loro forze fino a quando la squadra blu non ha vinto, dall'altra parte della corsia un'altra squadra sta giocando a rimorchiarsi e la telecamera faceva "&amp;"il miscuglio Il pubblico che sta guardando il gioco.")</f>
        <v>L'arbitro ha dato un segnale per iniziare la squadra, i giocatori stanno tirando la corda con tutte le loro forze fino a quando la squadra blu non ha vinto, dall'altra parte della corsia un'altra squadra sta giocando a rimorchiarsi e la telecamera faceva il miscuglio Il pubblico che sta guardando il gioco.</v>
      </c>
    </row>
    <row r="18797">
      <c r="A18797" s="4" t="s">
        <v>23648</v>
      </c>
      <c r="B18797" s="4" t="s">
        <v>23649</v>
      </c>
      <c r="C18797" s="5" t="str">
        <f>IFERROR(__xludf.DUMMYFUNCTION("GOOGLETRANSLATE(B18797,""en"",""it"")"),"Una donna sta usando un pennello rosa per lavarsi i denti.")</f>
        <v>Una donna sta usando un pennello rosa per lavarsi i denti.</v>
      </c>
    </row>
    <row r="18798">
      <c r="A18798" s="4" t="s">
        <v>23648</v>
      </c>
      <c r="B18798" s="4" t="s">
        <v>23650</v>
      </c>
      <c r="C18798" s="5" t="str">
        <f>IFERROR(__xludf.DUMMYFUNCTION("GOOGLETRANSLATE(B18798,""en"",""it"")"),"Sta spazzolando molto velocemente e vigorosamente.")</f>
        <v>Sta spazzolando molto velocemente e vigorosamente.</v>
      </c>
    </row>
    <row r="18799">
      <c r="A18799" s="4" t="s">
        <v>23648</v>
      </c>
      <c r="B18799" s="4" t="s">
        <v>23651</v>
      </c>
      <c r="C18799" s="5" t="str">
        <f>IFERROR(__xludf.DUMMYFUNCTION("GOOGLETRANSLATE(B18799,""en"",""it"")"),"Sta lavando i denti superiore e inferiore.")</f>
        <v>Sta lavando i denti superiore e inferiore.</v>
      </c>
    </row>
    <row r="18800">
      <c r="A18800" s="4" t="s">
        <v>23648</v>
      </c>
      <c r="B18800" s="4" t="s">
        <v>23652</v>
      </c>
      <c r="C18800" s="5" t="str">
        <f>IFERROR(__xludf.DUMMYFUNCTION("GOOGLETRANSLATE(B18800,""en"",""it"")"),"Lei tira fuori la lingua per pulire il dentifricio.")</f>
        <v>Lei tira fuori la lingua per pulire il dentifricio.</v>
      </c>
    </row>
    <row r="18801">
      <c r="A18801" s="4" t="s">
        <v>23648</v>
      </c>
      <c r="B18801" s="4" t="s">
        <v>23653</v>
      </c>
      <c r="C18801" s="5" t="str">
        <f>IFERROR(__xludf.DUMMYFUNCTION("GOOGLETRANSLATE(B18801,""en"",""it"")"),"Lei controlla i denti per vedere se sono abbastanza puliti.")</f>
        <v>Lei controlla i denti per vedere se sono abbastanza puliti.</v>
      </c>
    </row>
    <row r="18802">
      <c r="A18802" s="4" t="s">
        <v>23648</v>
      </c>
      <c r="B18802" s="4" t="s">
        <v>23654</v>
      </c>
      <c r="C18802" s="5" t="str">
        <f>IFERROR(__xludf.DUMMYFUNCTION("GOOGLETRANSLATE(B18802,""en"",""it"")"),"Mentre continua a sfiorare, apre la bocca.")</f>
        <v>Mentre continua a sfiorare, apre la bocca.</v>
      </c>
    </row>
    <row r="18803">
      <c r="A18803" s="4" t="s">
        <v>23648</v>
      </c>
      <c r="B18803" s="4" t="s">
        <v>23655</v>
      </c>
      <c r="C18803" s="5" t="str">
        <f>IFERROR(__xludf.DUMMYFUNCTION("GOOGLETRANSLATE(B18803,""en"",""it"")"),"Parte del dentifricio cade.")</f>
        <v>Parte del dentifricio cade.</v>
      </c>
    </row>
    <row r="18804">
      <c r="A18804" s="4" t="s">
        <v>23648</v>
      </c>
      <c r="B18804" s="4" t="s">
        <v>23656</v>
      </c>
      <c r="C18804" s="5" t="str">
        <f>IFERROR(__xludf.DUMMYFUNCTION("GOOGLETRANSLATE(B18804,""en"",""it"")"),"Comincia a sfiorare a fondo la lingua.")</f>
        <v>Comincia a sfiorare a fondo la lingua.</v>
      </c>
    </row>
    <row r="18805">
      <c r="A18805" s="4" t="s">
        <v>23648</v>
      </c>
      <c r="B18805" s="4" t="s">
        <v>23657</v>
      </c>
      <c r="C18805" s="5" t="str">
        <f>IFERROR(__xludf.DUMMYFUNCTION("GOOGLETRANSLATE(B18805,""en"",""it"")"),"Quindi continua a lavarsi di nuovo i denti superiore e inferiore.")</f>
        <v>Quindi continua a lavarsi di nuovo i denti superiore e inferiore.</v>
      </c>
    </row>
    <row r="18806">
      <c r="A18806" s="4" t="s">
        <v>23648</v>
      </c>
      <c r="B18806" s="4" t="s">
        <v>23658</v>
      </c>
      <c r="C18806" s="5" t="str">
        <f>IFERROR(__xludf.DUMMYFUNCTION("GOOGLETRANSLATE(B18806,""en"",""it"")"),"Quindi tira fuori la lingua e la graffia contro i denti.")</f>
        <v>Quindi tira fuori la lingua e la graffia contro i denti.</v>
      </c>
    </row>
    <row r="18807">
      <c r="A18807" s="4" t="s">
        <v>23648</v>
      </c>
      <c r="B18807" s="4" t="s">
        <v>23659</v>
      </c>
      <c r="C18807" s="5" t="str">
        <f>IFERROR(__xludf.DUMMYFUNCTION("GOOGLETRANSLATE(B18807,""en"",""it"")"),"Sputa un po 'di dentifricio.")</f>
        <v>Sputa un po 'di dentifricio.</v>
      </c>
    </row>
    <row r="18808">
      <c r="A18808" s="4" t="s">
        <v>23648</v>
      </c>
      <c r="B18808" s="4" t="s">
        <v>23660</v>
      </c>
      <c r="C18808" s="5" t="str">
        <f>IFERROR(__xludf.DUMMYFUNCTION("GOOGLETRANSLATE(B18808,""en"",""it"")"),"Parte del dentifricio cade sul mento che lo fa sembrare una barba bianca.")</f>
        <v>Parte del dentifricio cade sul mento che lo fa sembrare una barba bianca.</v>
      </c>
    </row>
    <row r="18809">
      <c r="A18809" s="4" t="s">
        <v>23648</v>
      </c>
      <c r="B18809" s="4" t="s">
        <v>23661</v>
      </c>
      <c r="C18809" s="5" t="str">
        <f>IFERROR(__xludf.DUMMYFUNCTION("GOOGLETRANSLATE(B18809,""en"",""it"")"),"Finge di essere Babbo Natale e dice, Ho, Ho, Buon Natale.")</f>
        <v>Finge di essere Babbo Natale e dice, Ho, Ho, Buon Natale.</v>
      </c>
    </row>
    <row r="18810">
      <c r="A18810" s="4" t="s">
        <v>23648</v>
      </c>
      <c r="B18810" s="4" t="s">
        <v>23662</v>
      </c>
      <c r="C18810" s="5" t="str">
        <f>IFERROR(__xludf.DUMMYFUNCTION("GOOGLETRANSLATE(B18810,""en"",""it"")"),"Poi ride mentre mostra i denti con un ampio sorriso.")</f>
        <v>Poi ride mentre mostra i denti con un ampio sorriso.</v>
      </c>
    </row>
    <row r="18811">
      <c r="A18811" s="4" t="s">
        <v>23663</v>
      </c>
      <c r="B18811" s="4" t="s">
        <v>23664</v>
      </c>
      <c r="C18811" s="5" t="str">
        <f>IFERROR(__xludf.DUMMYFUNCTION("GOOGLETRANSLATE(B18811,""en"",""it"")"),"Un folto gruppo di persone è visto seduto in un cerchio e 2 tori in piedi nella fossa.")</f>
        <v>Un folto gruppo di persone è visto seduto in un cerchio e 2 tori in piedi nella fossa.</v>
      </c>
    </row>
    <row r="18812">
      <c r="A18812" s="4" t="s">
        <v>23663</v>
      </c>
      <c r="B18812" s="6" t="s">
        <v>23665</v>
      </c>
      <c r="C18812" s="5" t="str">
        <f>IFERROR(__xludf.DUMMYFUNCTION("GOOGLETRANSLATE(B18812,""en"",""it"")"),"Gli animali e le persone continuano a camminare l'uno intorno all'altro e conducono nei tori combattendo l'un l'altro.")</f>
        <v>Gli animali e le persone continuano a camminare l'uno intorno all'altro e conducono nei tori combattendo l'un l'altro.</v>
      </c>
    </row>
    <row r="18813">
      <c r="A18813" s="4" t="s">
        <v>23666</v>
      </c>
      <c r="B18813" s="4" t="s">
        <v>23667</v>
      </c>
      <c r="C18813" s="5" t="str">
        <f>IFERROR(__xludf.DUMMYFUNCTION("GOOGLETRANSLATE(B18813,""en"",""it"")"),"Viene visualizzato un logo quindi la parola scherma.")</f>
        <v>Viene visualizzato un logo quindi la parola scherma.</v>
      </c>
    </row>
    <row r="18814">
      <c r="A18814" s="4" t="s">
        <v>23666</v>
      </c>
      <c r="B18814" s="4" t="s">
        <v>23668</v>
      </c>
      <c r="C18814" s="5" t="str">
        <f>IFERROR(__xludf.DUMMYFUNCTION("GOOGLETRANSLATE(B18814,""en"",""it"")"),"Le persone iniziano a recuperare insieme.")</f>
        <v>Le persone iniziano a recuperare insieme.</v>
      </c>
    </row>
    <row r="18815">
      <c r="A18815" s="4" t="s">
        <v>23666</v>
      </c>
      <c r="B18815" s="4" t="s">
        <v>23669</v>
      </c>
      <c r="C18815" s="5" t="str">
        <f>IFERROR(__xludf.DUMMYFUNCTION("GOOGLETRANSLATE(B18815,""en"",""it"")"),"Le persone si preparano alla recinzione e vengono mostrate recinzioni in vari modi.")</f>
        <v>Le persone si preparano alla recinzione e vengono mostrate recinzioni in vari modi.</v>
      </c>
    </row>
    <row r="18816">
      <c r="A18816" s="4" t="s">
        <v>23670</v>
      </c>
      <c r="B18816" s="4" t="s">
        <v>23671</v>
      </c>
      <c r="C18816" s="5" t="str">
        <f>IFERROR(__xludf.DUMMYFUNCTION("GOOGLETRANSLATE(B18816,""en"",""it"")"),"Viene mostrato il fondo di un fiume torbido e quindi lampeggia al nome delle sorgenti.")</f>
        <v>Viene mostrato il fondo di un fiume torbido e quindi lampeggia al nome delle sorgenti.</v>
      </c>
    </row>
    <row r="18817">
      <c r="A18817" s="4" t="s">
        <v>23670</v>
      </c>
      <c r="B18817" s="6" t="s">
        <v>23672</v>
      </c>
      <c r="C18817" s="5" t="str">
        <f>IFERROR(__xludf.DUMMYFUNCTION("GOOGLETRANSLATE(B18817,""en"",""it"")"),"Viene mostrato un gruppo di persone e iniziano a fare galleggianti, giocare e galleggiare attraverso le sorgenti.")</f>
        <v>Viene mostrato un gruppo di persone e iniziano a fare galleggianti, giocare e galleggiare attraverso le sorgenti.</v>
      </c>
    </row>
    <row r="18818">
      <c r="A18818" s="4" t="s">
        <v>23670</v>
      </c>
      <c r="B18818" s="4" t="s">
        <v>23673</v>
      </c>
      <c r="C18818" s="5" t="str">
        <f>IFERROR(__xludf.DUMMYFUNCTION("GOOGLETRANSLATE(B18818,""en"",""it"")"),"Due bambini sono sulle rocce insieme e catturano una libellula.")</f>
        <v>Due bambini sono sulle rocce insieme e catturano una libellula.</v>
      </c>
    </row>
    <row r="18819">
      <c r="A18819" s="4" t="s">
        <v>23670</v>
      </c>
      <c r="B18819" s="6" t="s">
        <v>23674</v>
      </c>
      <c r="C18819" s="5" t="str">
        <f>IFERROR(__xludf.DUMMYFUNCTION("GOOGLETRANSLATE(B18819,""en"",""it"")"),"Dopo, vengono mostrati vari gruppi di persone e un paio di galleggia insieme a un cane seduto sulle ginocchia del maschio.")</f>
        <v>Dopo, vengono mostrati vari gruppi di persone e un paio di galleggia insieme a un cane seduto sulle ginocchia del maschio.</v>
      </c>
    </row>
    <row r="18820">
      <c r="A18820" s="4" t="s">
        <v>23675</v>
      </c>
      <c r="B18820" s="4" t="s">
        <v>23676</v>
      </c>
      <c r="C18820" s="5" t="str">
        <f>IFERROR(__xludf.DUMMYFUNCTION("GOOGLETRANSLATE(B18820,""en"",""it"")"),"Per prima cosa l'uomo spinge una gomma e si avvicina.")</f>
        <v>Per prima cosa l'uomo spinge una gomma e si avvicina.</v>
      </c>
    </row>
    <row r="18821">
      <c r="A18821" s="4" t="s">
        <v>23675</v>
      </c>
      <c r="B18821" s="4" t="s">
        <v>23677</v>
      </c>
      <c r="C18821" s="5" t="str">
        <f>IFERROR(__xludf.DUMMYFUNCTION("GOOGLETRANSLATE(B18821,""en"",""it"")"),"Quindi inizia Hula Hooping all'interno della gomma con esso intorno alla sua vita.")</f>
        <v>Quindi inizia Hula Hooping all'interno della gomma con esso intorno alla sua vita.</v>
      </c>
    </row>
    <row r="18822">
      <c r="A18822" s="4" t="s">
        <v>23678</v>
      </c>
      <c r="B18822" s="4" t="s">
        <v>23679</v>
      </c>
      <c r="C18822" s="5" t="str">
        <f>IFERROR(__xludf.DUMMYFUNCTION("GOOGLETRANSLATE(B18822,""en"",""it"")"),"Le persone che suonano strumenti sono sul palco.")</f>
        <v>Le persone che suonano strumenti sono sul palco.</v>
      </c>
    </row>
    <row r="18823">
      <c r="A18823" s="4" t="s">
        <v>23678</v>
      </c>
      <c r="B18823" s="4" t="s">
        <v>23680</v>
      </c>
      <c r="C18823" s="5" t="str">
        <f>IFERROR(__xludf.DUMMYFUNCTION("GOOGLETRANSLATE(B18823,""en"",""it"")"),"Un uomo in abito cammina sul palco e inizia a parlare.")</f>
        <v>Un uomo in abito cammina sul palco e inizia a parlare.</v>
      </c>
    </row>
    <row r="18824">
      <c r="A18824" s="4" t="s">
        <v>23678</v>
      </c>
      <c r="B18824" s="4" t="s">
        <v>23681</v>
      </c>
      <c r="C18824" s="5" t="str">
        <f>IFERROR(__xludf.DUMMYFUNCTION("GOOGLETRANSLATE(B18824,""en"",""it"")"),"La band continua a suonare in sottofondo.")</f>
        <v>La band continua a suonare in sottofondo.</v>
      </c>
    </row>
    <row r="18825">
      <c r="A18825" s="4" t="s">
        <v>23682</v>
      </c>
      <c r="B18825" s="4" t="s">
        <v>23683</v>
      </c>
      <c r="C18825" s="5" t="str">
        <f>IFERROR(__xludf.DUMMYFUNCTION("GOOGLETRANSLATE(B18825,""en"",""it"")"),"Una donna viene vista in ginocchio sul pavimento parlando alla telecamera mentre un cane si trova accanto a lei.")</f>
        <v>Una donna viene vista in ginocchio sul pavimento parlando alla telecamera mentre un cane si trova accanto a lei.</v>
      </c>
    </row>
    <row r="18826">
      <c r="A18826" s="4" t="s">
        <v>23682</v>
      </c>
      <c r="B18826" s="6" t="s">
        <v>23684</v>
      </c>
      <c r="C18826" s="5" t="str">
        <f>IFERROR(__xludf.DUMMYFUNCTION("GOOGLETRANSLATE(B18826,""en"",""it"")"),"La donna viene quindi vista che correva in sapone e acqua su un cane nel lavandino e finendo ripulendolo e guardandolo correre ed essere eccitato.")</f>
        <v>La donna viene quindi vista che correva in sapone e acqua su un cane nel lavandino e finendo ripulendolo e guardandolo correre ed essere eccitato.</v>
      </c>
    </row>
    <row r="18827">
      <c r="A18827" s="4" t="s">
        <v>23685</v>
      </c>
      <c r="B18827" s="4" t="s">
        <v>23686</v>
      </c>
      <c r="C18827" s="5" t="str">
        <f>IFERROR(__xludf.DUMMYFUNCTION("GOOGLETRANSLATE(B18827,""en"",""it"")"),"Un uomo viene mostrato lavorando in un giardino all'aperto.")</f>
        <v>Un uomo viene mostrato lavorando in un giardino all'aperto.</v>
      </c>
    </row>
    <row r="18828">
      <c r="A18828" s="4" t="s">
        <v>23685</v>
      </c>
      <c r="B18828" s="4" t="s">
        <v>23687</v>
      </c>
      <c r="C18828" s="5" t="str">
        <f>IFERROR(__xludf.DUMMYFUNCTION("GOOGLETRANSLATE(B18828,""en"",""it"")"),"Sta usando strumenti mentre lavora.")</f>
        <v>Sta usando strumenti mentre lavora.</v>
      </c>
    </row>
    <row r="18829">
      <c r="A18829" s="4" t="s">
        <v>23685</v>
      </c>
      <c r="B18829" s="4" t="s">
        <v>23688</v>
      </c>
      <c r="C18829" s="5" t="str">
        <f>IFERROR(__xludf.DUMMYFUNCTION("GOOGLETRANSLATE(B18829,""en"",""it"")"),"Taglia una lunga fila di siepi, quindi pulisce i detriti.")</f>
        <v>Taglia una lunga fila di siepi, quindi pulisce i detriti.</v>
      </c>
    </row>
    <row r="18830">
      <c r="A18830" s="4" t="s">
        <v>23689</v>
      </c>
      <c r="B18830" s="4" t="s">
        <v>23690</v>
      </c>
      <c r="C18830" s="5" t="str">
        <f>IFERROR(__xludf.DUMMYFUNCTION("GOOGLETRANSLATE(B18830,""en"",""it"")"),"Vediamo una serie di tamburi e un uomo in piedi dietro la batteria che parla e tiene un drink.")</f>
        <v>Vediamo una serie di tamburi e un uomo in piedi dietro la batteria che parla e tiene un drink.</v>
      </c>
    </row>
    <row r="18831">
      <c r="A18831" s="4" t="s">
        <v>23689</v>
      </c>
      <c r="B18831" s="4" t="s">
        <v>23691</v>
      </c>
      <c r="C18831" s="5" t="str">
        <f>IFERROR(__xludf.DUMMYFUNCTION("GOOGLETRANSLATE(B18831,""en"",""it"")"),"L'uomo beve dalla bevanda e lo mette giù.")</f>
        <v>L'uomo beve dalla bevanda e lo mette giù.</v>
      </c>
    </row>
    <row r="18832">
      <c r="A18832" s="4" t="s">
        <v>23689</v>
      </c>
      <c r="B18832" s="4" t="s">
        <v>23692</v>
      </c>
      <c r="C18832" s="5" t="str">
        <f>IFERROR(__xludf.DUMMYFUNCTION("GOOGLETRANSLATE(B18832,""en"",""it"")"),"L'uomo suona la batteria con le mani.")</f>
        <v>L'uomo suona la batteria con le mani.</v>
      </c>
    </row>
    <row r="18833">
      <c r="A18833" s="4" t="s">
        <v>23689</v>
      </c>
      <c r="B18833" s="4" t="s">
        <v>23693</v>
      </c>
      <c r="C18833" s="5" t="str">
        <f>IFERROR(__xludf.DUMMYFUNCTION("GOOGLETRANSLATE(B18833,""en"",""it"")"),"L'uomo si ferma e parla prima di suonare di nuovo la batteria.")</f>
        <v>L'uomo si ferma e parla prima di suonare di nuovo la batteria.</v>
      </c>
    </row>
    <row r="18834">
      <c r="A18834" s="4" t="s">
        <v>23689</v>
      </c>
      <c r="B18834" s="4" t="s">
        <v>23694</v>
      </c>
      <c r="C18834" s="5" t="str">
        <f>IFERROR(__xludf.DUMMYFUNCTION("GOOGLETRANSLATE(B18834,""en"",""it"")"),"L'uomo si trova sulla batteria e sui balli.")</f>
        <v>L'uomo si trova sulla batteria e sui balli.</v>
      </c>
    </row>
    <row r="18835">
      <c r="A18835" s="4" t="s">
        <v>23689</v>
      </c>
      <c r="B18835" s="4" t="s">
        <v>23695</v>
      </c>
      <c r="C18835" s="5" t="str">
        <f>IFERROR(__xludf.DUMMYFUNCTION("GOOGLETRANSLATE(B18835,""en"",""it"")"),"Vediamo due uomini seduti e il primo uomo si batte le mani.")</f>
        <v>Vediamo due uomini seduti e il primo uomo si batte le mani.</v>
      </c>
    </row>
    <row r="18836">
      <c r="A18836" s="4" t="s">
        <v>23689</v>
      </c>
      <c r="B18836" s="6" t="s">
        <v>23696</v>
      </c>
      <c r="C18836" s="5" t="str">
        <f>IFERROR(__xludf.DUMMYFUNCTION("GOOGLETRANSLATE(B18836,""en"",""it"")"),"Vediamo l'uomo che suona i Maracas mentre una signora balla nelle vicinanze l'uomo si ferma e la signora si allontana.")</f>
        <v>Vediamo l'uomo che suona i Maracas mentre una signora balla nelle vicinanze l'uomo si ferma e la signora si allontana.</v>
      </c>
    </row>
    <row r="18837">
      <c r="A18837" s="4" t="s">
        <v>23697</v>
      </c>
      <c r="B18837" s="4" t="s">
        <v>23698</v>
      </c>
      <c r="C18837" s="5" t="str">
        <f>IFERROR(__xludf.DUMMYFUNCTION("GOOGLETRANSLATE(B18837,""en"",""it"")"),"C'è un ragazzo vestito con una camicia nera e pantaloncini neri in un campo che gioca con un bastone da hockey.")</f>
        <v>C'è un ragazzo vestito con una camicia nera e pantaloncini neri in un campo che gioca con un bastone da hockey.</v>
      </c>
    </row>
    <row r="18838">
      <c r="A18838" s="4" t="s">
        <v>23697</v>
      </c>
      <c r="B18838" s="4" t="s">
        <v>23699</v>
      </c>
      <c r="C18838" s="5" t="str">
        <f>IFERROR(__xludf.DUMMYFUNCTION("GOOGLETRANSLATE(B18838,""en"",""it"")"),"Sta colpendo la palla in porta con il suo bastone.")</f>
        <v>Sta colpendo la palla in porta con il suo bastone.</v>
      </c>
    </row>
    <row r="18839">
      <c r="A18839" s="4" t="s">
        <v>23697</v>
      </c>
      <c r="B18839" s="4" t="s">
        <v>23700</v>
      </c>
      <c r="C18839" s="5" t="str">
        <f>IFERROR(__xludf.DUMMYFUNCTION("GOOGLETRANSLATE(B18839,""en"",""it"")"),"Fa oscillare il bastone quando un'altra persona gli lancia la palla e la punta verso l'obiettivo.")</f>
        <v>Fa oscillare il bastone quando un'altra persona gli lancia la palla e la punta verso l'obiettivo.</v>
      </c>
    </row>
    <row r="18840">
      <c r="A18840" s="4" t="s">
        <v>23701</v>
      </c>
      <c r="B18840" s="4" t="s">
        <v>23702</v>
      </c>
      <c r="C18840" s="5" t="str">
        <f>IFERROR(__xludf.DUMMYFUNCTION("GOOGLETRANSLATE(B18840,""en"",""it"")"),"L'uomo sta mostrando come suona la chitarra.")</f>
        <v>L'uomo sta mostrando come suona la chitarra.</v>
      </c>
    </row>
    <row r="18841">
      <c r="A18841" s="4" t="s">
        <v>23701</v>
      </c>
      <c r="B18841" s="4" t="s">
        <v>23703</v>
      </c>
      <c r="C18841" s="5" t="str">
        <f>IFERROR(__xludf.DUMMYFUNCTION("GOOGLETRANSLATE(B18841,""en"",""it"")"),"Quindi ci mostra come suona il flauto.")</f>
        <v>Quindi ci mostra come suona il flauto.</v>
      </c>
    </row>
    <row r="18842">
      <c r="A18842" s="4" t="s">
        <v>23704</v>
      </c>
      <c r="B18842" s="4" t="s">
        <v>23705</v>
      </c>
      <c r="C18842" s="5" t="str">
        <f>IFERROR(__xludf.DUMMYFUNCTION("GOOGLETRANSLATE(B18842,""en"",""it"")"),"Una donna e un uomo eseguono fitness cardiovascolari che tiene le maniglie di una macchina durante la corsa.")</f>
        <v>Una donna e un uomo eseguono fitness cardiovascolari che tiene le maniglie di una macchina durante la corsa.</v>
      </c>
    </row>
    <row r="18843">
      <c r="A18843" s="4" t="s">
        <v>23704</v>
      </c>
      <c r="B18843" s="4" t="s">
        <v>23706</v>
      </c>
      <c r="C18843" s="5" t="str">
        <f>IFERROR(__xludf.DUMMYFUNCTION("GOOGLETRANSLATE(B18843,""en"",""it"")"),"Una persona regola l'angolo del pedale e continua a funzionare.")</f>
        <v>Una persona regola l'angolo del pedale e continua a funzionare.</v>
      </c>
    </row>
    <row r="18844">
      <c r="A18844" s="4" t="s">
        <v>23704</v>
      </c>
      <c r="B18844" s="6" t="s">
        <v>23707</v>
      </c>
      <c r="C18844" s="5" t="str">
        <f>IFERROR(__xludf.DUMMYFUNCTION("GOOGLETRANSLATE(B18844,""en"",""it"")"),"Lo schermo della macchina mostra informazioni pertinenti e mostra il jack di input audio della macchina e il profilo muscolare mentre l'uomo e la donna continuano a esercitarsi.")</f>
        <v>Lo schermo della macchina mostra informazioni pertinenti e mostra il jack di input audio della macchina e il profilo muscolare mentre l'uomo e la donna continuano a esercitarsi.</v>
      </c>
    </row>
    <row r="18845">
      <c r="A18845" s="4" t="s">
        <v>23708</v>
      </c>
      <c r="B18845" s="4" t="s">
        <v>23709</v>
      </c>
      <c r="C18845" s="5" t="str">
        <f>IFERROR(__xludf.DUMMYFUNCTION("GOOGLETRANSLATE(B18845,""en"",""it"")"),"Una donna si appoggia a un ragazzo, che si tamponò il viso con una sostanza.")</f>
        <v>Una donna si appoggia a un ragazzo, che si tamponò il viso con una sostanza.</v>
      </c>
    </row>
    <row r="18846">
      <c r="A18846" s="4" t="s">
        <v>23708</v>
      </c>
      <c r="B18846" s="4" t="s">
        <v>23710</v>
      </c>
      <c r="C18846" s="5" t="str">
        <f>IFERROR(__xludf.DUMMYFUNCTION("GOOGLETRANSLATE(B18846,""en"",""it"")"),"Ride e lotta mentre continua.")</f>
        <v>Ride e lotta mentre continua.</v>
      </c>
    </row>
    <row r="18847">
      <c r="A18847" s="4" t="s">
        <v>23708</v>
      </c>
      <c r="B18847" s="4" t="s">
        <v>23711</v>
      </c>
      <c r="C18847" s="5" t="str">
        <f>IFERROR(__xludf.DUMMYFUNCTION("GOOGLETRANSLATE(B18847,""en"",""it"")"),"La afferra per i capelli, mangiando il pezzo di cibo che gli aveva sfregato.")</f>
        <v>La afferra per i capelli, mangiando il pezzo di cibo che gli aveva sfregato.</v>
      </c>
    </row>
    <row r="18848">
      <c r="A18848" s="4" t="s">
        <v>23712</v>
      </c>
      <c r="B18848" s="4" t="s">
        <v>23713</v>
      </c>
      <c r="C18848" s="5" t="str">
        <f>IFERROR(__xludf.DUMMYFUNCTION("GOOGLETRANSLATE(B18848,""en"",""it"")"),"C'è un vecchio che fa Tai Chi su un marciapiede mentre i pedoni camminano.")</f>
        <v>C'è un vecchio che fa Tai Chi su un marciapiede mentre i pedoni camminano.</v>
      </c>
    </row>
    <row r="18849">
      <c r="A18849" s="4" t="s">
        <v>23712</v>
      </c>
      <c r="B18849" s="4" t="s">
        <v>23714</v>
      </c>
      <c r="C18849" s="5" t="str">
        <f>IFERROR(__xludf.DUMMYFUNCTION("GOOGLETRANSLATE(B18849,""en"",""it"")"),"L'uomo continua a fare Tai Chi sul marciapiede mentre diverse persone lo camminano.")</f>
        <v>L'uomo continua a fare Tai Chi sul marciapiede mentre diverse persone lo camminano.</v>
      </c>
    </row>
    <row r="18850">
      <c r="A18850" s="4" t="s">
        <v>23712</v>
      </c>
      <c r="B18850" s="6" t="s">
        <v>23715</v>
      </c>
      <c r="C18850" s="5" t="str">
        <f>IFERROR(__xludf.DUMMYFUNCTION("GOOGLETRANSLATE(B18850,""en"",""it"")"),"Quindi si trova accanto ad alcuni arbusti ben potati e continua il suo esercizio all'aperto mentre piove pesantemente.")</f>
        <v>Quindi si trova accanto ad alcuni arbusti ben potati e continua il suo esercizio all'aperto mentre piove pesantemente.</v>
      </c>
    </row>
    <row r="18851">
      <c r="A18851" s="4" t="s">
        <v>23712</v>
      </c>
      <c r="B18851" s="4" t="s">
        <v>23716</v>
      </c>
      <c r="C18851" s="5" t="str">
        <f>IFERROR(__xludf.DUMMYFUNCTION("GOOGLETRANSLATE(B18851,""en"",""it"")"),"Quindi si prende la camicia e si allontana dopo aver finito con il suo esercizio di Tai Chi.")</f>
        <v>Quindi si prende la camicia e si allontana dopo aver finito con il suo esercizio di Tai Chi.</v>
      </c>
    </row>
    <row r="18852">
      <c r="A18852" s="4" t="s">
        <v>23717</v>
      </c>
      <c r="B18852" s="4" t="s">
        <v>23718</v>
      </c>
      <c r="C18852" s="5" t="str">
        <f>IFERROR(__xludf.DUMMYFUNCTION("GOOGLETRANSLATE(B18852,""en"",""it"")"),"Un uomo viene visto in piedi davanti a una grande recinzione con in mano un tubo spray in mano.")</f>
        <v>Un uomo viene visto in piedi davanti a una grande recinzione con in mano un tubo spray in mano.</v>
      </c>
    </row>
    <row r="18853">
      <c r="A18853" s="4" t="s">
        <v>23717</v>
      </c>
      <c r="B18853" s="4" t="s">
        <v>23719</v>
      </c>
      <c r="C18853" s="5" t="str">
        <f>IFERROR(__xludf.DUMMYFUNCTION("GOOGLETRANSLATE(B18853,""en"",""it"")"),"L'uomo spruzza dipinge lungo il muro mentre la telecamera cattura i suoi movimenti.")</f>
        <v>L'uomo spruzza dipinge lungo il muro mentre la telecamera cattura i suoi movimenti.</v>
      </c>
    </row>
    <row r="18854">
      <c r="A18854" s="4" t="s">
        <v>23717</v>
      </c>
      <c r="B18854" s="4" t="s">
        <v>23720</v>
      </c>
      <c r="C18854" s="5" t="str">
        <f>IFERROR(__xludf.DUMMYFUNCTION("GOOGLETRANSLATE(B18854,""en"",""it"")"),"L'uomo continua a spruzzare il muro mentre la telecamera lo segue da dietro.")</f>
        <v>L'uomo continua a spruzzare il muro mentre la telecamera lo segue da dietro.</v>
      </c>
    </row>
    <row r="18855">
      <c r="A18855" s="4" t="s">
        <v>23721</v>
      </c>
      <c r="B18855" s="4" t="s">
        <v>23722</v>
      </c>
      <c r="C18855" s="5" t="str">
        <f>IFERROR(__xludf.DUMMYFUNCTION("GOOGLETRANSLATE(B18855,""en"",""it"")"),"Una ragazza con un abito bianco sta colpendo una pinata con una mazza.")</f>
        <v>Una ragazza con un abito bianco sta colpendo una pinata con una mazza.</v>
      </c>
    </row>
    <row r="18856">
      <c r="A18856" s="4" t="s">
        <v>23721</v>
      </c>
      <c r="B18856" s="4" t="s">
        <v>23723</v>
      </c>
      <c r="C18856" s="5" t="str">
        <f>IFERROR(__xludf.DUMMYFUNCTION("GOOGLETRANSLATE(B18856,""en"",""it"")"),"Un uomo è in piedi dietro di lei a guardare.")</f>
        <v>Un uomo è in piedi dietro di lei a guardare.</v>
      </c>
    </row>
    <row r="18857">
      <c r="A18857" s="4" t="s">
        <v>23721</v>
      </c>
      <c r="B18857" s="4" t="s">
        <v>23724</v>
      </c>
      <c r="C18857" s="5" t="str">
        <f>IFERROR(__xludf.DUMMYFUNCTION("GOOGLETRANSLATE(B18857,""en"",""it"")"),"Due ragazze sono in piedi vicino a casa a guardare.")</f>
        <v>Due ragazze sono in piedi vicino a casa a guardare.</v>
      </c>
    </row>
    <row r="18858">
      <c r="A18858" s="4" t="s">
        <v>23725</v>
      </c>
      <c r="B18858" s="4" t="s">
        <v>6939</v>
      </c>
      <c r="C18858" s="5" t="str">
        <f>IFERROR(__xludf.DUMMYFUNCTION("GOOGLETRANSLATE(B18858,""en"",""it"")"),"Le persone ballano su una pista da ballo a un matrimonio.")</f>
        <v>Le persone ballano su una pista da ballo a un matrimonio.</v>
      </c>
    </row>
    <row r="18859">
      <c r="A18859" s="4" t="s">
        <v>23725</v>
      </c>
      <c r="B18859" s="4" t="s">
        <v>23726</v>
      </c>
      <c r="C18859" s="5" t="str">
        <f>IFERROR(__xludf.DUMMYFUNCTION("GOOGLETRANSLATE(B18859,""en"",""it"")"),"È scuro nella stanza e si accendono luci colorate.")</f>
        <v>È scuro nella stanza e si accendono luci colorate.</v>
      </c>
    </row>
    <row r="18860">
      <c r="A18860" s="4" t="s">
        <v>23725</v>
      </c>
      <c r="B18860" s="4" t="s">
        <v>23727</v>
      </c>
      <c r="C18860" s="5" t="str">
        <f>IFERROR(__xludf.DUMMYFUNCTION("GOOGLETRANSLATE(B18860,""en"",""it"")"),"Le persone continuano a ballare sulla pista da ballo.")</f>
        <v>Le persone continuano a ballare sulla pista da ballo.</v>
      </c>
    </row>
    <row r="18861">
      <c r="A18861" s="4" t="s">
        <v>23728</v>
      </c>
      <c r="B18861" s="4" t="s">
        <v>23729</v>
      </c>
      <c r="C18861" s="5" t="str">
        <f>IFERROR(__xludf.DUMMYFUNCTION("GOOGLETRANSLATE(B18861,""en"",""it"")"),"Un piccolo albero di Natale bianco di medie dimensioni è in piedi davanti a due porte verdi.")</f>
        <v>Un piccolo albero di Natale bianco di medie dimensioni è in piedi davanti a due porte verdi.</v>
      </c>
    </row>
    <row r="18862">
      <c r="A18862" s="4" t="s">
        <v>23728</v>
      </c>
      <c r="B18862" s="4" t="s">
        <v>23730</v>
      </c>
      <c r="C18862" s="5" t="str">
        <f>IFERROR(__xludf.DUMMYFUNCTION("GOOGLETRANSLATE(B18862,""en"",""it"")"),"Una signora porta una borsa che ha un ""gregge n. 1"" di ""Snor-Bond #1"".")</f>
        <v>Una signora porta una borsa che ha un "gregge n. 1" di "Snor-Bond #1".</v>
      </c>
    </row>
    <row r="18863">
      <c r="A18863" s="4" t="s">
        <v>23728</v>
      </c>
      <c r="B18863" s="4" t="s">
        <v>23731</v>
      </c>
      <c r="C18863" s="5" t="str">
        <f>IFERROR(__xludf.DUMMYFUNCTION("GOOGLETRANSLATE(B18863,""en"",""it"")"),"La signora mise il gregge di bidone snorro in un colino e prendi un flacone spray per l'acqua.")</f>
        <v>La signora mise il gregge di bidone snorro in un colino e prendi un flacone spray per l'acqua.</v>
      </c>
    </row>
    <row r="18864">
      <c r="A18864" s="4" t="s">
        <v>23728</v>
      </c>
      <c r="B18864" s="4" t="s">
        <v>23732</v>
      </c>
      <c r="C18864" s="5" t="str">
        <f>IFERROR(__xludf.DUMMYFUNCTION("GOOGLETRANSLATE(B18864,""en"",""it"")"),"Ha iniziato a setacciare la roba bianca sull'albero.")</f>
        <v>Ha iniziato a setacciare la roba bianca sull'albero.</v>
      </c>
    </row>
    <row r="18865">
      <c r="A18865" s="4" t="s">
        <v>23728</v>
      </c>
      <c r="B18865" s="4" t="s">
        <v>23733</v>
      </c>
      <c r="C18865" s="5" t="str">
        <f>IFERROR(__xludf.DUMMYFUNCTION("GOOGLETRANSLATE(B18865,""en"",""it"")"),"Dopo aver setacciato, spruzza la polvere verso l'albero.")</f>
        <v>Dopo aver setacciato, spruzza la polvere verso l'albero.</v>
      </c>
    </row>
    <row r="18866">
      <c r="A18866" s="4" t="s">
        <v>23734</v>
      </c>
      <c r="B18866" s="4" t="s">
        <v>23735</v>
      </c>
      <c r="C18866" s="5" t="str">
        <f>IFERROR(__xludf.DUMMYFUNCTION("GOOGLETRANSLATE(B18866,""en"",""it"")"),"Un uomo sta lucidando il pavimento con un buffer blu.")</f>
        <v>Un uomo sta lucidando il pavimento con un buffer blu.</v>
      </c>
    </row>
    <row r="18867">
      <c r="A18867" s="4" t="s">
        <v>23734</v>
      </c>
      <c r="B18867" s="4" t="s">
        <v>23736</v>
      </c>
      <c r="C18867" s="5" t="str">
        <f>IFERROR(__xludf.DUMMYFUNCTION("GOOGLETRANSLATE(B18867,""en"",""it"")"),"Un altro uomo è accanto a lui che guarda.")</f>
        <v>Un altro uomo è accanto a lui che guarda.</v>
      </c>
    </row>
    <row r="18868">
      <c r="A18868" s="4" t="s">
        <v>23734</v>
      </c>
      <c r="B18868" s="4" t="s">
        <v>23737</v>
      </c>
      <c r="C18868" s="5" t="str">
        <f>IFERROR(__xludf.DUMMYFUNCTION("GOOGLETRANSLATE(B18868,""en"",""it"")"),"Supera la piastrella con il buffer.")</f>
        <v>Supera la piastrella con il buffer.</v>
      </c>
    </row>
    <row r="18869">
      <c r="A18869" s="4" t="s">
        <v>23738</v>
      </c>
      <c r="B18869" s="4" t="s">
        <v>23739</v>
      </c>
      <c r="C18869" s="5" t="str">
        <f>IFERROR(__xludf.DUMMYFUNCTION("GOOGLETRANSLATE(B18869,""en"",""it"")"),"Due uomini sono visti seduti in canoa a basso movimento e quindi inclina un po 'la canoa con una pagaia.")</f>
        <v>Due uomini sono visti seduti in canoa a basso movimento e quindi inclina un po 'la canoa con una pagaia.</v>
      </c>
    </row>
    <row r="18870">
      <c r="A18870" s="4" t="s">
        <v>23738</v>
      </c>
      <c r="B18870" s="4" t="s">
        <v>23740</v>
      </c>
      <c r="C18870" s="5" t="str">
        <f>IFERROR(__xludf.DUMMYFUNCTION("GOOGLETRANSLATE(B18870,""en"",""it"")"),"Gli uomini lo fanno più volte seguiti da istruzioni e posizioni scritte nel testo.")</f>
        <v>Gli uomini lo fanno più volte seguiti da istruzioni e posizioni scritte nel testo.</v>
      </c>
    </row>
    <row r="18871">
      <c r="A18871" s="4" t="s">
        <v>23741</v>
      </c>
      <c r="B18871" s="4" t="s">
        <v>23742</v>
      </c>
      <c r="C18871" s="5" t="str">
        <f>IFERROR(__xludf.DUMMYFUNCTION("GOOGLETRANSLATE(B18871,""en"",""it"")"),"Qualcuno sta cavalcando un cavallo attraverso un campo erboso e si imbatte in altre persone a cavallo.")</f>
        <v>Qualcuno sta cavalcando un cavallo attraverso un campo erboso e si imbatte in altre persone a cavallo.</v>
      </c>
    </row>
    <row r="18872">
      <c r="A18872" s="4" t="s">
        <v>23741</v>
      </c>
      <c r="B18872" s="6" t="s">
        <v>23743</v>
      </c>
      <c r="C18872" s="5" t="str">
        <f>IFERROR(__xludf.DUMMYFUNCTION("GOOGLETRANSLATE(B18872,""en"",""it"")"),"Vediamo presto che i ciclisti fanno parte di un gruppo e seguiamo il gruppo attraverso un parcheggio e in un flusso.")</f>
        <v>Vediamo presto che i ciclisti fanno parte di un gruppo e seguiamo il gruppo attraverso un parcheggio e in un flusso.</v>
      </c>
    </row>
    <row r="18873">
      <c r="A18873" s="4" t="s">
        <v>23741</v>
      </c>
      <c r="B18873" s="4" t="s">
        <v>23744</v>
      </c>
      <c r="C18873" s="5" t="str">
        <f>IFERROR(__xludf.DUMMYFUNCTION("GOOGLETRANSLATE(B18873,""en"",""it"")"),"Gli applausi celebrativi sono ascoltati mentre il gruppo si sta godendo attraverso il torrente.")</f>
        <v>Gli applausi celebrativi sono ascoltati mentre il gruppo si sta godendo attraverso il torrente.</v>
      </c>
    </row>
    <row r="18874">
      <c r="A18874" s="4" t="s">
        <v>23741</v>
      </c>
      <c r="B18874" s="4" t="s">
        <v>23745</v>
      </c>
      <c r="C18874" s="5" t="str">
        <f>IFERROR(__xludf.DUMMYFUNCTION("GOOGLETRANSLATE(B18874,""en"",""it"")"),"Poi vediamo un paio di ciclisti, uno dei quali in piedi in sella.")</f>
        <v>Poi vediamo un paio di ciclisti, uno dei quali in piedi in sella.</v>
      </c>
    </row>
    <row r="18875">
      <c r="A18875" s="4" t="s">
        <v>23746</v>
      </c>
      <c r="B18875" s="4" t="s">
        <v>23747</v>
      </c>
      <c r="C18875" s="5" t="str">
        <f>IFERROR(__xludf.DUMMYFUNCTION("GOOGLETRANSLATE(B18875,""en"",""it"")"),"Due ragazzi che iniziano una partita di wrestling del braccio, il ragazzo con la maglietta posteriore vince la prima partita.")</f>
        <v>Due ragazzi che iniziano una partita di wrestling del braccio, il ragazzo con la maglietta posteriore vince la prima partita.</v>
      </c>
    </row>
    <row r="18876">
      <c r="A18876" s="4" t="s">
        <v>23746</v>
      </c>
      <c r="B18876" s="4" t="s">
        <v>23748</v>
      </c>
      <c r="C18876" s="5" t="str">
        <f>IFERROR(__xludf.DUMMYFUNCTION("GOOGLETRANSLATE(B18876,""en"",""it"")"),"Gli uomini hanno cambiato le mani e avvia una nuova partita.")</f>
        <v>Gli uomini hanno cambiato le mani e avvia una nuova partita.</v>
      </c>
    </row>
    <row r="18877">
      <c r="A18877" s="4" t="s">
        <v>23746</v>
      </c>
      <c r="B18877" s="4" t="s">
        <v>23749</v>
      </c>
      <c r="C18877" s="5" t="str">
        <f>IFERROR(__xludf.DUMMYFUNCTION("GOOGLETRANSLATE(B18877,""en"",""it"")"),"La partita finalmente è stata vinta dallo stesso ragazzo con la camicia posteriore.")</f>
        <v>La partita finalmente è stata vinta dallo stesso ragazzo con la camicia posteriore.</v>
      </c>
    </row>
    <row r="18878">
      <c r="A18878" s="4" t="s">
        <v>23750</v>
      </c>
      <c r="B18878" s="4" t="s">
        <v>23751</v>
      </c>
      <c r="C18878" s="5" t="str">
        <f>IFERROR(__xludf.DUMMYFUNCTION("GOOGLETRANSLATE(B18878,""en"",""it"")"),"Un primo piano di piano si vede seguito da una persona che cammina nella cornice.")</f>
        <v>Un primo piano di piano si vede seguito da una persona che cammina nella cornice.</v>
      </c>
    </row>
    <row r="18879">
      <c r="A18879" s="4" t="s">
        <v>23750</v>
      </c>
      <c r="B18879" s="4" t="s">
        <v>23752</v>
      </c>
      <c r="C18879" s="5" t="str">
        <f>IFERROR(__xludf.DUMMYFUNCTION("GOOGLETRANSLATE(B18879,""en"",""it"")"),"La persona si allunga quindi le unghie e inizia a suonare il piano.")</f>
        <v>La persona si allunga quindi le unghie e inizia a suonare il piano.</v>
      </c>
    </row>
    <row r="18880">
      <c r="A18880" s="4" t="s">
        <v>23750</v>
      </c>
      <c r="B18880" s="4" t="s">
        <v>23753</v>
      </c>
      <c r="C18880" s="5" t="str">
        <f>IFERROR(__xludf.DUMMYFUNCTION("GOOGLETRANSLATE(B18880,""en"",""it"")"),"La persona continua a suonare sullo strumento e si ferma per spegnere la fotocamera.")</f>
        <v>La persona continua a suonare sullo strumento e si ferma per spegnere la fotocamera.</v>
      </c>
    </row>
    <row r="18881">
      <c r="A18881" s="4" t="s">
        <v>23754</v>
      </c>
      <c r="B18881" s="4" t="s">
        <v>23755</v>
      </c>
      <c r="C18881" s="5" t="str">
        <f>IFERROR(__xludf.DUMMYFUNCTION("GOOGLETRANSLATE(B18881,""en"",""it"")"),"Gli uomini che cavalcano i cavalli giocano a polo sul campo.")</f>
        <v>Gli uomini che cavalcano i cavalli giocano a polo sul campo.</v>
      </c>
    </row>
    <row r="18882">
      <c r="A18882" s="4" t="s">
        <v>23754</v>
      </c>
      <c r="B18882" s="4" t="s">
        <v>23756</v>
      </c>
      <c r="C18882" s="5" t="str">
        <f>IFERROR(__xludf.DUMMYFUNCTION("GOOGLETRANSLATE(B18882,""en"",""it"")"),"Gli uomini stanno inseguendo la palla e colpiscono con Mallet.")</f>
        <v>Gli uomini stanno inseguendo la palla e colpiscono con Mallet.</v>
      </c>
    </row>
    <row r="18883">
      <c r="A18883" s="4" t="s">
        <v>23754</v>
      </c>
      <c r="B18883" s="4" t="s">
        <v>23757</v>
      </c>
      <c r="C18883" s="5" t="str">
        <f>IFERROR(__xludf.DUMMYFUNCTION("GOOGLETRANSLATE(B18883,""en"",""it"")"),"Un giocatore ha colpito la palla e poi ha corso dietro di lui, sono altri giocatori.")</f>
        <v>Un giocatore ha colpito la palla e poi ha corso dietro di lui, sono altri giocatori.</v>
      </c>
    </row>
    <row r="18884">
      <c r="A18884" s="4" t="s">
        <v>23758</v>
      </c>
      <c r="B18884" s="4" t="s">
        <v>23759</v>
      </c>
      <c r="C18884" s="5" t="str">
        <f>IFERROR(__xludf.DUMMYFUNCTION("GOOGLETRANSLATE(B18884,""en"",""it"")"),"Una folla di persone osserva mentre due tori si combattono in una competizione.")</f>
        <v>Una folla di persone osserva mentre due tori si combattono in una competizione.</v>
      </c>
    </row>
    <row r="18885">
      <c r="A18885" s="4" t="s">
        <v>23758</v>
      </c>
      <c r="B18885" s="4" t="s">
        <v>23760</v>
      </c>
      <c r="C18885" s="5" t="str">
        <f>IFERROR(__xludf.DUMMYFUNCTION("GOOGLETRANSLATE(B18885,""en"",""it"")"),"La telecamera si muove per mostrare molte persone tra la folla che guardano lo spettacolo.")</f>
        <v>La telecamera si muove per mostrare molte persone tra la folla che guardano lo spettacolo.</v>
      </c>
    </row>
    <row r="18886">
      <c r="A18886" s="4" t="s">
        <v>23758</v>
      </c>
      <c r="B18886" s="4" t="s">
        <v>23761</v>
      </c>
      <c r="C18886" s="5" t="str">
        <f>IFERROR(__xludf.DUMMYFUNCTION("GOOGLETRANSLATE(B18886,""en"",""it"")"),"Un uomo cammina vicino alla telecamera.")</f>
        <v>Un uomo cammina vicino alla telecamera.</v>
      </c>
    </row>
    <row r="18887">
      <c r="A18887" s="4" t="s">
        <v>23758</v>
      </c>
      <c r="B18887" s="4" t="s">
        <v>23762</v>
      </c>
      <c r="C18887" s="5" t="str">
        <f>IFERROR(__xludf.DUMMYFUNCTION("GOOGLETRANSLATE(B18887,""en"",""it"")"),"Diverse persone si stanno avvicinando al toro cercando di intraprendere l'azione.")</f>
        <v>Diverse persone si stanno avvicinando al toro cercando di intraprendere l'azione.</v>
      </c>
    </row>
    <row r="18888">
      <c r="A18888" s="4" t="s">
        <v>23758</v>
      </c>
      <c r="B18888" s="4" t="s">
        <v>23763</v>
      </c>
      <c r="C18888" s="5" t="str">
        <f>IFERROR(__xludf.DUMMYFUNCTION("GOOGLETRANSLATE(B18888,""en"",""it"")"),"I tori iniziano a inseguirsi a vicenda sul campo.")</f>
        <v>I tori iniziano a inseguirsi a vicenda sul campo.</v>
      </c>
    </row>
    <row r="18889">
      <c r="A18889" s="4" t="s">
        <v>23764</v>
      </c>
      <c r="B18889" s="6" t="s">
        <v>23765</v>
      </c>
      <c r="C18889" s="5" t="str">
        <f>IFERROR(__xludf.DUMMYFUNCTION("GOOGLETRANSLATE(B18889,""en"",""it"")"),"Vengono mostrati diversi colpi di persone che vagano su una spiaggia che conducono a clip di una partita di calcio e persone che festeggiano.")</f>
        <v>Vengono mostrati diversi colpi di persone che vagano su una spiaggia che conducono a clip di una partita di calcio e persone che festeggiano.</v>
      </c>
    </row>
    <row r="18890">
      <c r="A18890" s="4" t="s">
        <v>23764</v>
      </c>
      <c r="B18890" s="4" t="s">
        <v>23766</v>
      </c>
      <c r="C18890" s="5" t="str">
        <f>IFERROR(__xludf.DUMMYFUNCTION("GOOGLETRANSLATE(B18890,""en"",""it"")"),"Più persone vengono viste ballare in giro oltre a giocare a calcio e gestirsi alla telecamera.")</f>
        <v>Più persone vengono viste ballare in giro oltre a giocare a calcio e gestirsi alla telecamera.</v>
      </c>
    </row>
    <row r="18891">
      <c r="A18891" s="4" t="s">
        <v>23767</v>
      </c>
      <c r="B18891" s="4" t="s">
        <v>23768</v>
      </c>
      <c r="C18891" s="5" t="str">
        <f>IFERROR(__xludf.DUMMYFUNCTION("GOOGLETRANSLATE(B18891,""en"",""it"")"),"Un cane a cui manca le gambe anteriori sta attraversando un prato.")</f>
        <v>Un cane a cui manca le gambe anteriori sta attraversando un prato.</v>
      </c>
    </row>
    <row r="18892">
      <c r="A18892" s="4" t="s">
        <v>23767</v>
      </c>
      <c r="B18892" s="4" t="s">
        <v>23769</v>
      </c>
      <c r="C18892" s="5" t="str">
        <f>IFERROR(__xludf.DUMMYFUNCTION("GOOGLETRANSLATE(B18892,""en"",""it"")"),"Sta seguendo l'uomo della telecamera, quindi si rompe in una corsa di salto.")</f>
        <v>Sta seguendo l'uomo della telecamera, quindi si rompe in una corsa di salto.</v>
      </c>
    </row>
    <row r="18893">
      <c r="A18893" s="4" t="s">
        <v>23767</v>
      </c>
      <c r="B18893" s="4" t="s">
        <v>23770</v>
      </c>
      <c r="C18893" s="5" t="str">
        <f>IFERROR(__xludf.DUMMYFUNCTION("GOOGLETRANSLATE(B18893,""en"",""it"")"),"Ritorna e fa di nuovo lo stesso.")</f>
        <v>Ritorna e fa di nuovo lo stesso.</v>
      </c>
    </row>
    <row r="18894">
      <c r="A18894" s="4" t="s">
        <v>23771</v>
      </c>
      <c r="B18894" s="4" t="s">
        <v>23772</v>
      </c>
      <c r="C18894" s="5" t="str">
        <f>IFERROR(__xludf.DUMMYFUNCTION("GOOGLETRANSLATE(B18894,""en"",""it"")"),"Un uomo in abbigliamento da tempo freddo è il kayak su un fiume.")</f>
        <v>Un uomo in abbigliamento da tempo freddo è il kayak su un fiume.</v>
      </c>
    </row>
    <row r="18895">
      <c r="A18895" s="4" t="s">
        <v>23771</v>
      </c>
      <c r="B18895" s="4" t="s">
        <v>23773</v>
      </c>
      <c r="C18895" s="5" t="str">
        <f>IFERROR(__xludf.DUMMYFUNCTION("GOOGLETRANSLATE(B18895,""en"",""it"")"),"Lo scatto si lancia per mostrare diversi kayak e l'uomo bloccato su una piccola cascata.")</f>
        <v>Lo scatto si lancia per mostrare diversi kayak e l'uomo bloccato su una piccola cascata.</v>
      </c>
    </row>
    <row r="18896">
      <c r="A18896" s="4" t="s">
        <v>23771</v>
      </c>
      <c r="B18896" s="4" t="s">
        <v>23774</v>
      </c>
      <c r="C18896" s="5" t="str">
        <f>IFERROR(__xludf.DUMMYFUNCTION("GOOGLETRANSLATE(B18896,""en"",""it"")"),"Alla fine si prende una pulizia, allontanandosi dalle cascate.")</f>
        <v>Alla fine si prende una pulizia, allontanandosi dalle cascate.</v>
      </c>
    </row>
    <row r="18897">
      <c r="A18897" s="4" t="s">
        <v>23775</v>
      </c>
      <c r="B18897" s="4" t="s">
        <v>23776</v>
      </c>
      <c r="C18897" s="5" t="str">
        <f>IFERROR(__xludf.DUMMYFUNCTION("GOOGLETRANSLATE(B18897,""en"",""it"")"),"Un cane annusa i piedi di un uomo e di una donna.")</f>
        <v>Un cane annusa i piedi di un uomo e di una donna.</v>
      </c>
    </row>
    <row r="18898">
      <c r="A18898" s="4" t="s">
        <v>23775</v>
      </c>
      <c r="B18898" s="4" t="s">
        <v>23777</v>
      </c>
      <c r="C18898" s="5" t="str">
        <f>IFERROR(__xludf.DUMMYFUNCTION("GOOGLETRANSLATE(B18898,""en"",""it"")"),"La coppia cammina il cane verso un lago.")</f>
        <v>La coppia cammina il cane verso un lago.</v>
      </c>
    </row>
    <row r="18899">
      <c r="A18899" s="4" t="s">
        <v>23775</v>
      </c>
      <c r="B18899" s="4" t="s">
        <v>23778</v>
      </c>
      <c r="C18899" s="5" t="str">
        <f>IFERROR(__xludf.DUMMYFUNCTION("GOOGLETRANSLATE(B18899,""en"",""it"")"),"Ci sono altri proprietari e cani e giocano al bordo dell'acqua.")</f>
        <v>Ci sono altri proprietari e cani e giocano al bordo dell'acqua.</v>
      </c>
    </row>
    <row r="18900">
      <c r="A18900" s="4" t="s">
        <v>23779</v>
      </c>
      <c r="B18900" s="6" t="s">
        <v>23780</v>
      </c>
      <c r="C18900" s="5" t="str">
        <f>IFERROR(__xludf.DUMMYFUNCTION("GOOGLETRANSLATE(B18900,""en"",""it"")"),"Una ragazza viene vista sorridere e salutare la telecamera seguita da lei che regge una lente a contatto e un detergente.")</f>
        <v>Una ragazza viene vista sorridere e salutare la telecamera seguita da lei che regge una lente a contatto e un detergente.</v>
      </c>
    </row>
    <row r="18901">
      <c r="A18901" s="4" t="s">
        <v>23779</v>
      </c>
      <c r="B18901" s="4" t="s">
        <v>23781</v>
      </c>
      <c r="C18901" s="5" t="str">
        <f>IFERROR(__xludf.DUMMYFUNCTION("GOOGLETRANSLATE(B18901,""en"",""it"")"),"Mescola i due insieme seguiti dal mettere le lenti a contatto negli occhi.")</f>
        <v>Mescola i due insieme seguiti dal mettere le lenti a contatto negli occhi.</v>
      </c>
    </row>
    <row r="18902">
      <c r="A18902" s="4" t="s">
        <v>23779</v>
      </c>
      <c r="B18902" s="4" t="s">
        <v>23782</v>
      </c>
      <c r="C18902" s="5" t="str">
        <f>IFERROR(__xludf.DUMMYFUNCTION("GOOGLETRANSLATE(B18902,""en"",""it"")"),"Alla fine mostra gli occhi alla fine e dà alla telecamera un pollice in su.")</f>
        <v>Alla fine mostra gli occhi alla fine e dà alla telecamera un pollice in su.</v>
      </c>
    </row>
    <row r="18903">
      <c r="A18903" s="4" t="s">
        <v>23783</v>
      </c>
      <c r="B18903" s="6" t="s">
        <v>23784</v>
      </c>
      <c r="C18903" s="5" t="str">
        <f>IFERROR(__xludf.DUMMYFUNCTION("GOOGLETRANSLATE(B18903,""en"",""it"")"),"Ci sono due uomini al chiuso e giocano a racquetball in un campo indoor mentre colpiscono rapidamente la palla contro il muro e si alternano.")</f>
        <v>Ci sono due uomini al chiuso e giocano a racquetball in un campo indoor mentre colpiscono rapidamente la palla contro il muro e si alternano.</v>
      </c>
    </row>
    <row r="18904">
      <c r="A18904" s="4" t="s">
        <v>23783</v>
      </c>
      <c r="B18904" s="6" t="s">
        <v>23785</v>
      </c>
      <c r="C18904" s="5" t="str">
        <f>IFERROR(__xludf.DUMMYFUNCTION("GOOGLETRANSLATE(B18904,""en"",""it"")"),"Uno degli uomini che indossano una camicia verde guarda rabbiosamente la telecamera e lancia la racchetta contro la telecamera.")</f>
        <v>Uno degli uomini che indossano una camicia verde guarda rabbiosamente la telecamera e lancia la racchetta contro la telecamera.</v>
      </c>
    </row>
    <row r="18905">
      <c r="A18905" s="4" t="s">
        <v>23783</v>
      </c>
      <c r="B18905" s="6" t="s">
        <v>23786</v>
      </c>
      <c r="C18905" s="5" t="str">
        <f>IFERROR(__xludf.DUMMYFUNCTION("GOOGLETRANSLATE(B18905,""en"",""it"")"),"La persona della telecamera si gira la macchina fotografica e sta correndo e ridendo mentre guarda nella telecamera.")</f>
        <v>La persona della telecamera si gira la macchina fotografica e sta correndo e ridendo mentre guarda nella telecamera.</v>
      </c>
    </row>
    <row r="18906">
      <c r="A18906" s="4" t="s">
        <v>23787</v>
      </c>
      <c r="B18906" s="4" t="s">
        <v>23788</v>
      </c>
      <c r="C18906" s="5" t="str">
        <f>IFERROR(__xludf.DUMMYFUNCTION("GOOGLETRANSLATE(B18906,""en"",""it"")"),"Vari ingredienti sono disposti su un bancone e sono tutti mescolati insieme in una ciotola.")</f>
        <v>Vari ingredienti sono disposti su un bancone e sono tutti mescolati insieme in una ciotola.</v>
      </c>
    </row>
    <row r="18907">
      <c r="A18907" s="4" t="s">
        <v>23787</v>
      </c>
      <c r="B18907" s="4" t="s">
        <v>23789</v>
      </c>
      <c r="C18907" s="5" t="str">
        <f>IFERROR(__xludf.DUMMYFUNCTION("GOOGLETRANSLATE(B18907,""en"",""it"")"),"La persona viene quindi mostrata posizionando palline di pasta nel forno e premendo un pulsante.")</f>
        <v>La persona viene quindi mostrata posizionando palline di pasta nel forno e premendo un pulsante.</v>
      </c>
    </row>
    <row r="18908">
      <c r="A18908" s="4" t="s">
        <v>23787</v>
      </c>
      <c r="B18908" s="4" t="s">
        <v>23790</v>
      </c>
      <c r="C18908" s="5" t="str">
        <f>IFERROR(__xludf.DUMMYFUNCTION("GOOGLETRANSLATE(B18908,""en"",""it"")"),"Quindi la persona quindi tira fuori i biscotti e scompaiono, tutti in Stop Animation.")</f>
        <v>Quindi la persona quindi tira fuori i biscotti e scompaiono, tutti in Stop Animation.</v>
      </c>
    </row>
    <row r="18909">
      <c r="A18909" s="4" t="s">
        <v>23791</v>
      </c>
      <c r="B18909" s="4" t="s">
        <v>23792</v>
      </c>
      <c r="C18909" s="5" t="str">
        <f>IFERROR(__xludf.DUMMYFUNCTION("GOOGLETRANSLATE(B18909,""en"",""it"")"),"Viene visto un uomo parlare alla telecamera mentre uno scatto di una persona che gioca a basket.")</f>
        <v>Viene visto un uomo parlare alla telecamera mentre uno scatto di una persona che gioca a basket.</v>
      </c>
    </row>
    <row r="18910">
      <c r="A18910" s="4" t="s">
        <v>23791</v>
      </c>
      <c r="B18910" s="4" t="s">
        <v>23793</v>
      </c>
      <c r="C18910" s="5" t="str">
        <f>IFERROR(__xludf.DUMMYFUNCTION("GOOGLETRANSLATE(B18910,""en"",""it"")"),"L'uomo continua a parlare mentre vengono mostrati più colpi del ragazzo che gioca a basket.")</f>
        <v>L'uomo continua a parlare mentre vengono mostrati più colpi del ragazzo che gioca a basket.</v>
      </c>
    </row>
    <row r="18911">
      <c r="A18911" s="4" t="s">
        <v>23791</v>
      </c>
      <c r="B18911" s="4" t="s">
        <v>23794</v>
      </c>
      <c r="C18911" s="5" t="str">
        <f>IFERROR(__xludf.DUMMYFUNCTION("GOOGLETRANSLATE(B18911,""en"",""it"")"),"L'uomo continua a parlare e termina con il testo sullo schermo.")</f>
        <v>L'uomo continua a parlare e termina con il testo sullo schermo.</v>
      </c>
    </row>
    <row r="18912">
      <c r="A18912" s="4" t="s">
        <v>23795</v>
      </c>
      <c r="B18912" s="4" t="s">
        <v>23796</v>
      </c>
      <c r="C18912" s="5" t="str">
        <f>IFERROR(__xludf.DUMMYFUNCTION("GOOGLETRANSLATE(B18912,""en"",""it"")"),"Un nuotatore professionista si asciuga gli occhi prima di impegnarsi nella competizione.")</f>
        <v>Un nuotatore professionista si asciuga gli occhi prima di impegnarsi nella competizione.</v>
      </c>
    </row>
    <row r="18913">
      <c r="A18913" s="4" t="s">
        <v>23795</v>
      </c>
      <c r="B18913" s="4" t="s">
        <v>23797</v>
      </c>
      <c r="C18913" s="5" t="str">
        <f>IFERROR(__xludf.DUMMYFUNCTION("GOOGLETRANSLATE(B18913,""en"",""it"")"),"Si decolla, nuotando mentre cerca di battere i due concorrenti su entrambi i lati di lui.")</f>
        <v>Si decolla, nuotando mentre cerca di battere i due concorrenti su entrambi i lati di lui.</v>
      </c>
    </row>
    <row r="18914">
      <c r="A18914" s="4" t="s">
        <v>23798</v>
      </c>
      <c r="B18914" s="4" t="s">
        <v>23799</v>
      </c>
      <c r="C18914" s="5" t="str">
        <f>IFERROR(__xludf.DUMMYFUNCTION("GOOGLETRANSLATE(B18914,""en"",""it"")"),"Una ginnasta si prepara e si estende prima di un evento.")</f>
        <v>Una ginnasta si prepara e si estende prima di un evento.</v>
      </c>
    </row>
    <row r="18915">
      <c r="A18915" s="4" t="s">
        <v>23798</v>
      </c>
      <c r="B18915" s="6" t="s">
        <v>23800</v>
      </c>
      <c r="C18915" s="5" t="str">
        <f>IFERROR(__xludf.DUMMYFUNCTION("GOOGLETRANSLATE(B18915,""en"",""it"")"),"La ginnasta corre, quindi cade giù da una piattaforma durante una partita olimpica che finisce finalmente su un tappetino imbottito.")</f>
        <v>La ginnasta corre, quindi cade giù da una piattaforma durante una partita olimpica che finisce finalmente su un tappetino imbottito.</v>
      </c>
    </row>
    <row r="18916">
      <c r="A18916" s="4" t="s">
        <v>23798</v>
      </c>
      <c r="B18916" s="4" t="s">
        <v>23801</v>
      </c>
      <c r="C18916" s="5" t="str">
        <f>IFERROR(__xludf.DUMMYFUNCTION("GOOGLETRANSLATE(B18916,""en"",""it"")"),"Una grande folla applaude la performance.")</f>
        <v>Una grande folla applaude la performance.</v>
      </c>
    </row>
    <row r="18917">
      <c r="A18917" s="4" t="s">
        <v>23798</v>
      </c>
      <c r="B18917" s="4" t="s">
        <v>23802</v>
      </c>
      <c r="C18917" s="5" t="str">
        <f>IFERROR(__xludf.DUMMYFUNCTION("GOOGLETRANSLATE(B18917,""en"",""it"")"),"Altra ginnasta guarda e annuisce con l'approvazione.")</f>
        <v>Altra ginnasta guarda e annuisce con l'approvazione.</v>
      </c>
    </row>
    <row r="18918">
      <c r="A18918" s="4" t="s">
        <v>23798</v>
      </c>
      <c r="B18918" s="4" t="s">
        <v>23803</v>
      </c>
      <c r="C18918" s="5" t="str">
        <f>IFERROR(__xludf.DUMMYFUNCTION("GOOGLETRANSLATE(B18918,""en"",""it"")"),"Un replay mostra le prestazioni delle ginnaste al rallentatore.")</f>
        <v>Un replay mostra le prestazioni delle ginnaste al rallentatore.</v>
      </c>
    </row>
    <row r="18919">
      <c r="A18919" s="4" t="s">
        <v>23798</v>
      </c>
      <c r="B18919" s="4" t="s">
        <v>23804</v>
      </c>
      <c r="C18919" s="5" t="str">
        <f>IFERROR(__xludf.DUMMYFUNCTION("GOOGLETRANSLATE(B18919,""en"",""it"")"),"La ginnasta si siede con il suo allenatore e si congratula.")</f>
        <v>La ginnasta si siede con il suo allenatore e si congratula.</v>
      </c>
    </row>
    <row r="18920">
      <c r="A18920" s="4" t="s">
        <v>23805</v>
      </c>
      <c r="B18920" s="4" t="s">
        <v>23806</v>
      </c>
      <c r="C18920" s="5" t="str">
        <f>IFERROR(__xludf.DUMMYFUNCTION("GOOGLETRANSLATE(B18920,""en"",""it"")"),"Un primo piano di un cavallo si vede in piedi in una zona recintata.")</f>
        <v>Un primo piano di un cavallo si vede in piedi in una zona recintata.</v>
      </c>
    </row>
    <row r="18921">
      <c r="A18921" s="4" t="s">
        <v>23805</v>
      </c>
      <c r="B18921" s="4" t="s">
        <v>23807</v>
      </c>
      <c r="C18921" s="5" t="str">
        <f>IFERROR(__xludf.DUMMYFUNCTION("GOOGLETRANSLATE(B18921,""en"",""it"")"),"Una persona viene quindi vista spazzolare il cavallo da un lato.")</f>
        <v>Una persona viene quindi vista spazzolare il cavallo da un lato.</v>
      </c>
    </row>
    <row r="18922">
      <c r="A18922" s="4" t="s">
        <v>23805</v>
      </c>
      <c r="B18922" s="4" t="s">
        <v>23808</v>
      </c>
      <c r="C18922" s="5" t="str">
        <f>IFERROR(__xludf.DUMMYFUNCTION("GOOGLETRANSLATE(B18922,""en"",""it"")"),"Viene mostrato la persona a sfiorare mentre viene mostrato un primo piano del cavallo.")</f>
        <v>Viene mostrato la persona a sfiorare mentre viene mostrato un primo piano del cavallo.</v>
      </c>
    </row>
    <row r="18923">
      <c r="A18923" s="4" t="s">
        <v>23809</v>
      </c>
      <c r="B18923" s="4" t="s">
        <v>23810</v>
      </c>
      <c r="C18923" s="5" t="str">
        <f>IFERROR(__xludf.DUMMYFUNCTION("GOOGLETRANSLATE(B18923,""en"",""it"")"),"Si vedono le mani di una persona nel mezzo di una carta e inizia a disegnare lungo l'immagine.")</f>
        <v>Si vedono le mani di una persona nel mezzo di una carta e inizia a disegnare lungo l'immagine.</v>
      </c>
    </row>
    <row r="18924">
      <c r="A18924" s="4" t="s">
        <v>23809</v>
      </c>
      <c r="B18924" s="4" t="s">
        <v>23811</v>
      </c>
      <c r="C18924" s="5" t="str">
        <f>IFERROR(__xludf.DUMMYFUNCTION("GOOGLETRANSLATE(B18924,""en"",""it"")"),"La persona quindi dipinge un grande albero mentre si muove rapidamente sul dipinto.")</f>
        <v>La persona quindi dipinge un grande albero mentre si muove rapidamente sul dipinto.</v>
      </c>
    </row>
    <row r="18925">
      <c r="A18925" s="4" t="s">
        <v>23809</v>
      </c>
      <c r="B18925" s="4" t="s">
        <v>23812</v>
      </c>
      <c r="C18925" s="5" t="str">
        <f>IFERROR(__xludf.DUMMYFUNCTION("GOOGLETRANSLATE(B18925,""en"",""it"")"),"La persona finisce il dipinto e firma il proprio nome e mostra un'immagine di se stessi.")</f>
        <v>La persona finisce il dipinto e firma il proprio nome e mostra un'immagine di se stessi.</v>
      </c>
    </row>
    <row r="18926">
      <c r="A18926" s="4" t="s">
        <v>23813</v>
      </c>
      <c r="B18926" s="4" t="s">
        <v>23814</v>
      </c>
      <c r="C18926" s="5" t="str">
        <f>IFERROR(__xludf.DUMMYFUNCTION("GOOGLETRANSLATE(B18926,""en"",""it"")"),"Un schermo nero appare con parole bianche che leggono, Winter Sedona, AZ.")</f>
        <v>Un schermo nero appare con parole bianche che leggono, Winter Sedona, AZ.</v>
      </c>
    </row>
    <row r="18927">
      <c r="A18927" s="4" t="s">
        <v>23813</v>
      </c>
      <c r="B18927" s="6" t="s">
        <v>23815</v>
      </c>
      <c r="C18927" s="5" t="str">
        <f>IFERROR(__xludf.DUMMYFUNCTION("GOOGLETRANSLATE(B18927,""en"",""it"")"),"Un uomo inizia a camminare attraverso un campo di alberi e arbusti, indossando un cappello giallo, cardigan, stivali e una borsa.")</f>
        <v>Un uomo inizia a camminare attraverso un campo di alberi e arbusti, indossando un cappello giallo, cardigan, stivali e una borsa.</v>
      </c>
    </row>
    <row r="18928">
      <c r="A18928" s="4" t="s">
        <v>23813</v>
      </c>
      <c r="B18928" s="4" t="s">
        <v>23816</v>
      </c>
      <c r="C18928" s="5" t="str">
        <f>IFERROR(__xludf.DUMMYFUNCTION("GOOGLETRANSLATE(B18928,""en"",""it"")"),"Quindi si ferma e inizia a suonare un registratore di legno.")</f>
        <v>Quindi si ferma e inizia a suonare un registratore di legno.</v>
      </c>
    </row>
    <row r="18929">
      <c r="A18929" s="4" t="s">
        <v>23813</v>
      </c>
      <c r="B18929" s="6" t="s">
        <v>23817</v>
      </c>
      <c r="C18929" s="5" t="str">
        <f>IFERROR(__xludf.DUMMYFUNCTION("GOOGLETRANSLATE(B18929,""en"",""it"")"),"La fotocamera ingrandisce e continua a suonare il registratore e vengono mostrate varie forme del paesaggio circostante.")</f>
        <v>La fotocamera ingrandisce e continua a suonare il registratore e vengono mostrate varie forme del paesaggio circostante.</v>
      </c>
    </row>
    <row r="18930">
      <c r="A18930" s="4" t="s">
        <v>23818</v>
      </c>
      <c r="B18930" s="4" t="s">
        <v>23819</v>
      </c>
      <c r="C18930" s="5" t="str">
        <f>IFERROR(__xludf.DUMMYFUNCTION("GOOGLETRANSLATE(B18930,""en"",""it"")"),"La telecamera si muove su due macchine parcheggiate per strada una volta.")</f>
        <v>La telecamera si muove su due macchine parcheggiate per strada una volta.</v>
      </c>
    </row>
    <row r="18931">
      <c r="A18931" s="4" t="s">
        <v>23818</v>
      </c>
      <c r="B18931" s="6" t="s">
        <v>23820</v>
      </c>
      <c r="C18931" s="5" t="str">
        <f>IFERROR(__xludf.DUMMYFUNCTION("GOOGLETRANSLATE(B18931,""en"",""it"")"),"Un giovane viene quindi visto cavalcare un trattore lungo il prato per tagliare l'erba e si muove intorno all'uomo della telecamera.")</f>
        <v>Un giovane viene quindi visto cavalcare un trattore lungo il prato per tagliare l'erba e si muove intorno all'uomo della telecamera.</v>
      </c>
    </row>
    <row r="18932">
      <c r="A18932" s="4" t="s">
        <v>23821</v>
      </c>
      <c r="B18932" s="4" t="s">
        <v>23822</v>
      </c>
      <c r="C18932" s="5" t="str">
        <f>IFERROR(__xludf.DUMMYFUNCTION("GOOGLETRANSLATE(B18932,""en"",""it"")"),"Cinque persone che trasportano skateboard stanno camminando verso la luce.")</f>
        <v>Cinque persone che trasportano skateboard stanno camminando verso la luce.</v>
      </c>
    </row>
    <row r="18933">
      <c r="A18933" s="4" t="s">
        <v>23821</v>
      </c>
      <c r="B18933" s="6" t="s">
        <v>23823</v>
      </c>
      <c r="C18933" s="5" t="str">
        <f>IFERROR(__xludf.DUMMYFUNCTION("GOOGLETRANSLATE(B18933,""en"",""it"")"),"I giovani stanno skateboard in una suddivisione mentre si sedevano usando le mani come una pausa.")</f>
        <v>I giovani stanno skateboard in una suddivisione mentre si sedevano usando le mani come una pausa.</v>
      </c>
    </row>
    <row r="18934">
      <c r="A18934" s="4" t="s">
        <v>23821</v>
      </c>
      <c r="B18934" s="6" t="s">
        <v>23824</v>
      </c>
      <c r="C18934" s="5" t="str">
        <f>IFERROR(__xludf.DUMMYFUNCTION("GOOGLETRANSLATE(B18934,""en"",""it"")"),"I giovani skateboard in una rampa, poi al parcheggio, quindi alla suddivisione, uno degli skateboarder cadde dai loro skateboard.")</f>
        <v>I giovani skateboard in una rampa, poi al parcheggio, quindi alla suddivisione, uno degli skateboarder cadde dai loro skateboard.</v>
      </c>
    </row>
    <row r="18935">
      <c r="A18935" s="4" t="s">
        <v>23825</v>
      </c>
      <c r="B18935" s="4" t="s">
        <v>23826</v>
      </c>
      <c r="C18935" s="5" t="str">
        <f>IFERROR(__xludf.DUMMYFUNCTION("GOOGLETRANSLATE(B18935,""en"",""it"")"),"Un uomo tiene in mano una custodia in legno.")</f>
        <v>Un uomo tiene in mano una custodia in legno.</v>
      </c>
    </row>
    <row r="18936">
      <c r="A18936" s="4" t="s">
        <v>23825</v>
      </c>
      <c r="B18936" s="4" t="s">
        <v>23827</v>
      </c>
      <c r="C18936" s="5" t="str">
        <f>IFERROR(__xludf.DUMMYFUNCTION("GOOGLETRANSLATE(B18936,""en"",""it"")"),"Mette un asciugamano attraverso il caso.")</f>
        <v>Mette un asciugamano attraverso il caso.</v>
      </c>
    </row>
    <row r="18937">
      <c r="A18937" s="4" t="s">
        <v>23825</v>
      </c>
      <c r="B18937" s="4" t="s">
        <v>23828</v>
      </c>
      <c r="C18937" s="5" t="str">
        <f>IFERROR(__xludf.DUMMYFUNCTION("GOOGLETRANSLATE(B18937,""en"",""it"")"),"Comincia a brillare la scarpa con l'asciugamano.")</f>
        <v>Comincia a brillare la scarpa con l'asciugamano.</v>
      </c>
    </row>
    <row r="18938">
      <c r="A18938" s="4" t="s">
        <v>23829</v>
      </c>
      <c r="B18938" s="4" t="s">
        <v>23830</v>
      </c>
      <c r="C18938" s="5" t="str">
        <f>IFERROR(__xludf.DUMMYFUNCTION("GOOGLETRANSLATE(B18938,""en"",""it"")"),"Un uomo viene visto indossare un abito e andare via.")</f>
        <v>Un uomo viene visto indossare un abito e andare via.</v>
      </c>
    </row>
    <row r="18939">
      <c r="A18939" s="4" t="s">
        <v>23829</v>
      </c>
      <c r="B18939" s="4" t="s">
        <v>23831</v>
      </c>
      <c r="C18939" s="5" t="str">
        <f>IFERROR(__xludf.DUMMYFUNCTION("GOOGLETRANSLATE(B18939,""en"",""it"")"),"L'uomo si avvicina a una grande sedia e si siede.")</f>
        <v>L'uomo si avvicina a una grande sedia e si siede.</v>
      </c>
    </row>
    <row r="18940">
      <c r="A18940" s="4" t="s">
        <v>23829</v>
      </c>
      <c r="B18940" s="4" t="s">
        <v>23832</v>
      </c>
      <c r="C18940" s="5" t="str">
        <f>IFERROR(__xludf.DUMMYFUNCTION("GOOGLETRANSLATE(B18940,""en"",""it"")"),"Un altro uomo viene visto in piedi davanti alla sedia e inizia a guardare i piedi dell'uomo.")</f>
        <v>Un altro uomo viene visto in piedi davanti alla sedia e inizia a guardare i piedi dell'uomo.</v>
      </c>
    </row>
    <row r="18941">
      <c r="A18941" s="4" t="s">
        <v>23833</v>
      </c>
      <c r="B18941" s="6" t="s">
        <v>23834</v>
      </c>
      <c r="C18941" s="5" t="str">
        <f>IFERROR(__xludf.DUMMYFUNCTION("GOOGLETRANSLATE(B18941,""en"",""it"")"),"Due uomini sono fuori sul lato di un ponte che parlano tra loro mentre diverse persone camminano parlando con loro e scuotendo le mani.")</f>
        <v>Due uomini sono fuori sul lato di un ponte che parlano tra loro mentre diverse persone camminano parlando con loro e scuotendo le mani.</v>
      </c>
    </row>
    <row r="18942">
      <c r="A18942" s="4" t="s">
        <v>23833</v>
      </c>
      <c r="B18942" s="6" t="s">
        <v>23835</v>
      </c>
      <c r="C18942" s="5" t="str">
        <f>IFERROR(__xludf.DUMMYFUNCTION("GOOGLETRANSLATE(B18942,""en"",""it"")"),"Dopo, l'uomo che si trova nell'imbracatura afferra le spalle di due uomini mentre lo aiutano a alzarsi in cima al ponte.")</f>
        <v>Dopo, l'uomo che si trova nell'imbracatura afferra le spalle di due uomini mentre lo aiutano a alzarsi in cima al ponte.</v>
      </c>
    </row>
    <row r="18943">
      <c r="A18943" s="4" t="s">
        <v>23833</v>
      </c>
      <c r="B18943" s="4" t="s">
        <v>23836</v>
      </c>
      <c r="C18943" s="5" t="str">
        <f>IFERROR(__xludf.DUMMYFUNCTION("GOOGLETRANSLATE(B18943,""en"",""it"")"),"Alla fine, l'uomo fa una caduta libera dal ponte e una palla arancione gli viene lanciata.")</f>
        <v>Alla fine, l'uomo fa una caduta libera dal ponte e una palla arancione gli viene lanciata.</v>
      </c>
    </row>
    <row r="18944">
      <c r="A18944" s="4" t="s">
        <v>23837</v>
      </c>
      <c r="B18944" s="6" t="s">
        <v>23838</v>
      </c>
      <c r="C18944" s="5" t="str">
        <f>IFERROR(__xludf.DUMMYFUNCTION("GOOGLETRANSLATE(B18944,""en"",""it"")"),"Una ginnasta che indossa i body rossi sta eseguendo ginnastica in barre irregolari in un grande stadio con diversi spettatori.")</f>
        <v>Una ginnasta che indossa i body rossi sta eseguendo ginnastica in barre irregolari in un grande stadio con diversi spettatori.</v>
      </c>
    </row>
    <row r="18945">
      <c r="A18945" s="4" t="s">
        <v>23837</v>
      </c>
      <c r="B18945" s="4" t="s">
        <v>23839</v>
      </c>
      <c r="C18945" s="5" t="str">
        <f>IFERROR(__xludf.DUMMYFUNCTION("GOOGLETRANSLATE(B18945,""en"",""it"")"),"Sta facendo giri anteriori e lancia posteriore con un movimento rapido senza cadere.")</f>
        <v>Sta facendo giri anteriori e lancia posteriore con un movimento rapido senza cadere.</v>
      </c>
    </row>
    <row r="18946">
      <c r="A18946" s="4" t="s">
        <v>23837</v>
      </c>
      <c r="B18946" s="4" t="s">
        <v>23840</v>
      </c>
      <c r="C18946" s="5" t="str">
        <f>IFERROR(__xludf.DUMMYFUNCTION("GOOGLETRANSLATE(B18946,""en"",""it"")"),"Dopo aver finito, scende dai bar irregolari e se ne va mentre dà un altissimo allenatore.")</f>
        <v>Dopo aver finito, scende dai bar irregolari e se ne va mentre dà un altissimo allenatore.</v>
      </c>
    </row>
    <row r="18947">
      <c r="A18947" s="4" t="s">
        <v>23841</v>
      </c>
      <c r="B18947" s="4" t="s">
        <v>23842</v>
      </c>
      <c r="C18947" s="5" t="str">
        <f>IFERROR(__xludf.DUMMYFUNCTION("GOOGLETRANSLATE(B18947,""en"",""it"")"),"Due donne vengono viste parlare alla telecamera con una che tiene un gatto in grembo.")</f>
        <v>Due donne vengono viste parlare alla telecamera con una che tiene un gatto in grembo.</v>
      </c>
    </row>
    <row r="18948">
      <c r="A18948" s="4" t="s">
        <v>23841</v>
      </c>
      <c r="B18948" s="6" t="s">
        <v>23843</v>
      </c>
      <c r="C18948" s="5" t="str">
        <f>IFERROR(__xludf.DUMMYFUNCTION("GOOGLETRANSLATE(B18948,""en"",""it"")"),"La donna procede quindi a tenere gli artigli del gatto e tagliare le unghie mentre indica il gatto e guardando alla telecamera.")</f>
        <v>La donna procede quindi a tenere gli artigli del gatto e tagliare le unghie mentre indica il gatto e guardando alla telecamera.</v>
      </c>
    </row>
    <row r="18949">
      <c r="A18949" s="4" t="s">
        <v>23844</v>
      </c>
      <c r="B18949" s="4" t="s">
        <v>23845</v>
      </c>
      <c r="C18949" s="5" t="str">
        <f>IFERROR(__xludf.DUMMYFUNCTION("GOOGLETRANSLATE(B18949,""en"",""it"")"),"Una donna si trova su una tavola da immersione.")</f>
        <v>Una donna si trova su una tavola da immersione.</v>
      </c>
    </row>
    <row r="18950">
      <c r="A18950" s="4" t="s">
        <v>23844</v>
      </c>
      <c r="B18950" s="4" t="s">
        <v>23846</v>
      </c>
      <c r="C18950" s="5" t="str">
        <f>IFERROR(__xludf.DUMMYFUNCTION("GOOGLETRANSLATE(B18950,""en"",""it"")"),"Salta giù dalla tavola da immersione.")</f>
        <v>Salta giù dalla tavola da immersione.</v>
      </c>
    </row>
    <row r="18951">
      <c r="A18951" s="4" t="s">
        <v>23844</v>
      </c>
      <c r="B18951" s="4" t="s">
        <v>23847</v>
      </c>
      <c r="C18951" s="5" t="str">
        <f>IFERROR(__xludf.DUMMYFUNCTION("GOOGLETRANSLATE(B18951,""en"",""it"")"),"Si tuffa nella pozza d'acqua.")</f>
        <v>Si tuffa nella pozza d'acqua.</v>
      </c>
    </row>
    <row r="18952">
      <c r="A18952" s="4" t="s">
        <v>23844</v>
      </c>
      <c r="B18952" s="4" t="s">
        <v>23848</v>
      </c>
      <c r="C18952" s="5" t="str">
        <f>IFERROR(__xludf.DUMMYFUNCTION("GOOGLETRANSLATE(B18952,""en"",""it"")"),"Nuota sotto l'acqua.")</f>
        <v>Nuota sotto l'acqua.</v>
      </c>
    </row>
    <row r="18953">
      <c r="A18953" s="4" t="s">
        <v>23849</v>
      </c>
      <c r="B18953" s="6" t="s">
        <v>23850</v>
      </c>
      <c r="C18953" s="5" t="str">
        <f>IFERROR(__xludf.DUMMYFUNCTION("GOOGLETRANSLATE(B18953,""en"",""it"")"),"Due uomini esibiscono e dimostrano l'uso di un server da tennis automatizzato su un campo da tennis.")</f>
        <v>Due uomini esibiscono e dimostrano l'uso di un server da tennis automatizzato su un campo da tennis.</v>
      </c>
    </row>
    <row r="18954">
      <c r="A18954" s="4" t="s">
        <v>23849</v>
      </c>
      <c r="B18954" s="4" t="s">
        <v>23851</v>
      </c>
      <c r="C18954" s="5" t="str">
        <f>IFERROR(__xludf.DUMMYFUNCTION("GOOGLETRANSLATE(B18954,""en"",""it"")"),"Appare un grafico di animazione che mostra due cilindri d'oro all'interno di una staffa di metallo.")</f>
        <v>Appare un grafico di animazione che mostra due cilindri d'oro all'interno di una staffa di metallo.</v>
      </c>
    </row>
    <row r="18955">
      <c r="A18955" s="4" t="s">
        <v>23849</v>
      </c>
      <c r="B18955" s="6" t="s">
        <v>23852</v>
      </c>
      <c r="C18955" s="5" t="str">
        <f>IFERROR(__xludf.DUMMYFUNCTION("GOOGLETRANSLATE(B18955,""en"",""it"")"),"La grafica animata si trasforma in una versione reale e reale del grafico, che appare su un campo da tennis all'aperto e affiancato da due uomini.")</f>
        <v>La grafica animata si trasforma in una versione reale e reale del grafico, che appare su un campo da tennis all'aperto e affiancato da due uomini.</v>
      </c>
    </row>
    <row r="18956">
      <c r="A18956" s="4" t="s">
        <v>23849</v>
      </c>
      <c r="B18956" s="6" t="s">
        <v>23853</v>
      </c>
      <c r="C18956" s="5" t="str">
        <f>IFERROR(__xludf.DUMMYFUNCTION("GOOGLETRANSLATE(B18956,""en"",""it"")"),"I due uomini in piedi accanto ai macchinari collocano le palline da tennis nella macchina, che a sua volta sputa le palle che agiscono come un server di palline da tennis automatizzato per un giocatore che si trova dall'altra parte del campo da tennis con"&amp;" una racchetta da tennis.")</f>
        <v>I due uomini in piedi accanto ai macchinari collocano le palline da tennis nella macchina, che a sua volta sputa le palle che agiscono come un server di palline da tennis automatizzato per un giocatore che si trova dall'altra parte del campo da tennis con una racchetta da tennis.</v>
      </c>
    </row>
    <row r="18957">
      <c r="A18957" s="4" t="s">
        <v>23854</v>
      </c>
      <c r="B18957" s="4" t="s">
        <v>23855</v>
      </c>
      <c r="C18957" s="5" t="str">
        <f>IFERROR(__xludf.DUMMYFUNCTION("GOOGLETRANSLATE(B18957,""en"",""it"")"),"Una zucca è seduta su un bancone.")</f>
        <v>Una zucca è seduta su un bancone.</v>
      </c>
    </row>
    <row r="18958">
      <c r="A18958" s="4" t="s">
        <v>23854</v>
      </c>
      <c r="B18958" s="4" t="s">
        <v>23856</v>
      </c>
      <c r="C18958" s="5" t="str">
        <f>IFERROR(__xludf.DUMMYFUNCTION("GOOGLETRANSLATE(B18958,""en"",""it"")"),"Un coltello sta scolpendo una faccia nella zucca.")</f>
        <v>Un coltello sta scolpendo una faccia nella zucca.</v>
      </c>
    </row>
    <row r="18959">
      <c r="A18959" s="4" t="s">
        <v>23854</v>
      </c>
      <c r="B18959" s="4" t="s">
        <v>23857</v>
      </c>
      <c r="C18959" s="5" t="str">
        <f>IFERROR(__xludf.DUMMYFUNCTION("GOOGLETRANSLATE(B18959,""en"",""it"")"),"Le luci sono spente e la zucca è illuminata.")</f>
        <v>Le luci sono spente e la zucca è illuminata.</v>
      </c>
    </row>
    <row r="18960">
      <c r="A18960" s="4" t="s">
        <v>23858</v>
      </c>
      <c r="B18960" s="4" t="s">
        <v>23859</v>
      </c>
      <c r="C18960" s="5" t="str">
        <f>IFERROR(__xludf.DUMMYFUNCTION("GOOGLETRANSLATE(B18960,""en"",""it"")"),"Ci sono membri della band che parlano del loro concerto in Canada.")</f>
        <v>Ci sono membri della band che parlano del loro concerto in Canada.</v>
      </c>
    </row>
    <row r="18961">
      <c r="A18961" s="4" t="s">
        <v>23858</v>
      </c>
      <c r="B18961" s="4" t="s">
        <v>23860</v>
      </c>
      <c r="C18961" s="5" t="str">
        <f>IFERROR(__xludf.DUMMYFUNCTION("GOOGLETRANSLATE(B18961,""en"",""it"")"),"Sono seduti su un palco mentre parlano della loro esperienza di sorprendente un fan.")</f>
        <v>Sono seduti su un palco mentre parlano della loro esperienza di sorprendente un fan.</v>
      </c>
    </row>
    <row r="18962">
      <c r="A18962" s="4" t="s">
        <v>23858</v>
      </c>
      <c r="B18962" s="4" t="s">
        <v>23861</v>
      </c>
      <c r="C18962" s="5" t="str">
        <f>IFERROR(__xludf.DUMMYFUNCTION("GOOGLETRANSLATE(B18962,""en"",""it"")"),"Sorprendono un fan che è il vincitore di una gara.")</f>
        <v>Sorprendono un fan che è il vincitore di una gara.</v>
      </c>
    </row>
    <row r="18963">
      <c r="A18963" s="4" t="s">
        <v>23858</v>
      </c>
      <c r="B18963" s="4" t="s">
        <v>23862</v>
      </c>
      <c r="C18963" s="5" t="str">
        <f>IFERROR(__xludf.DUMMYFUNCTION("GOOGLETRANSLATE(B18963,""en"",""it"")"),"I membri della band vanno a bowling con il fan sorpreso e suonano alla pista da bowling.")</f>
        <v>I membri della band vanno a bowling con il fan sorpreso e suonano alla pista da bowling.</v>
      </c>
    </row>
    <row r="18964">
      <c r="A18964" s="4" t="s">
        <v>23858</v>
      </c>
      <c r="B18964" s="6" t="s">
        <v>23863</v>
      </c>
      <c r="C18964" s="5" t="str">
        <f>IFERROR(__xludf.DUMMYFUNCTION("GOOGLETRANSLATE(B18964,""en"",""it"")"),"Dopo che il gioco di bowling è finito, sorprendono ulteriormente il fan invitandola al loro concerto e alla festa di controllo.")</f>
        <v>Dopo che il gioco di bowling è finito, sorprendono ulteriormente il fan invitandola al loro concerto e alla festa di controllo.</v>
      </c>
    </row>
    <row r="18965">
      <c r="A18965" s="4" t="s">
        <v>23864</v>
      </c>
      <c r="B18965" s="4" t="s">
        <v>23865</v>
      </c>
      <c r="C18965" s="5" t="str">
        <f>IFERROR(__xludf.DUMMYFUNCTION("GOOGLETRANSLATE(B18965,""en"",""it"")"),"Un uomo monta un cavallo da pomolo e inizia a girare.")</f>
        <v>Un uomo monta un cavallo da pomolo e inizia a girare.</v>
      </c>
    </row>
    <row r="18966">
      <c r="A18966" s="4" t="s">
        <v>23864</v>
      </c>
      <c r="B18966" s="4" t="s">
        <v>23866</v>
      </c>
      <c r="C18966" s="5" t="str">
        <f>IFERROR(__xludf.DUMMYFUNCTION("GOOGLETRANSLATE(B18966,""en"",""it"")"),"Una ginnasta in background cade a metà prestazione.")</f>
        <v>Una ginnasta in background cade a metà prestazione.</v>
      </c>
    </row>
    <row r="18967">
      <c r="A18967" s="4" t="s">
        <v>23864</v>
      </c>
      <c r="B18967" s="4" t="s">
        <v>23867</v>
      </c>
      <c r="C18967" s="5" t="str">
        <f>IFERROR(__xludf.DUMMYFUNCTION("GOOGLETRANSLATE(B18967,""en"",""it"")"),"L'esecutore principale smonde e getta le braccia in aria.")</f>
        <v>L'esecutore principale smonde e getta le braccia in aria.</v>
      </c>
    </row>
    <row r="18968">
      <c r="A18968" s="4" t="s">
        <v>23864</v>
      </c>
      <c r="B18968" s="4" t="s">
        <v>23868</v>
      </c>
      <c r="C18968" s="5" t="str">
        <f>IFERROR(__xludf.DUMMYFUNCTION("GOOGLETRANSLATE(B18968,""en"",""it"")"),"L'esecutore principale se ne va.")</f>
        <v>L'esecutore principale se ne va.</v>
      </c>
    </row>
    <row r="18969">
      <c r="A18969" s="4" t="s">
        <v>23869</v>
      </c>
      <c r="B18969" s="4" t="s">
        <v>23870</v>
      </c>
      <c r="C18969" s="5" t="str">
        <f>IFERROR(__xludf.DUMMYFUNCTION("GOOGLETRANSLATE(B18969,""en"",""it"")"),"Un uomo è in piedi in una stanza a parlare.")</f>
        <v>Un uomo è in piedi in una stanza a parlare.</v>
      </c>
    </row>
    <row r="18970">
      <c r="A18970" s="4" t="s">
        <v>23869</v>
      </c>
      <c r="B18970" s="4" t="s">
        <v>23871</v>
      </c>
      <c r="C18970" s="5" t="str">
        <f>IFERROR(__xludf.DUMMYFUNCTION("GOOGLETRANSLATE(B18970,""en"",""it"")"),"Un altro uomo sta dipingendo le pareti della stanza.")</f>
        <v>Un altro uomo sta dipingendo le pareti della stanza.</v>
      </c>
    </row>
    <row r="18971">
      <c r="A18971" s="4" t="s">
        <v>23869</v>
      </c>
      <c r="B18971" s="4" t="s">
        <v>23872</v>
      </c>
      <c r="C18971" s="5" t="str">
        <f>IFERROR(__xludf.DUMMYFUNCTION("GOOGLETRANSLATE(B18971,""en"",""it"")"),"L'uomo mette la lattina di vernice e il suo asciugamano accanto a lui.")</f>
        <v>L'uomo mette la lattina di vernice e il suo asciugamano accanto a lui.</v>
      </c>
    </row>
    <row r="18972">
      <c r="A18972" s="4" t="s">
        <v>23873</v>
      </c>
      <c r="B18972" s="4" t="s">
        <v>23874</v>
      </c>
      <c r="C18972" s="5" t="str">
        <f>IFERROR(__xludf.DUMMYFUNCTION("GOOGLETRANSLATE(B18972,""en"",""it"")"),"Una corda di tether si alza su un bar.")</f>
        <v>Una corda di tether si alza su un bar.</v>
      </c>
    </row>
    <row r="18973">
      <c r="A18973" s="4" t="s">
        <v>23873</v>
      </c>
      <c r="B18973" s="4" t="s">
        <v>23875</v>
      </c>
      <c r="C18973" s="5" t="str">
        <f>IFERROR(__xludf.DUMMYFUNCTION("GOOGLETRANSLATE(B18973,""en"",""it"")"),"Gli atleti si preparano per un evento che prepara i pali e le mani.")</f>
        <v>Gli atleti si preparano per un evento che prepara i pali e le mani.</v>
      </c>
    </row>
    <row r="18974">
      <c r="A18974" s="4" t="s">
        <v>23873</v>
      </c>
      <c r="B18974" s="4" t="s">
        <v>23876</v>
      </c>
      <c r="C18974" s="5" t="str">
        <f>IFERROR(__xludf.DUMMYFUNCTION("GOOGLETRANSLATE(B18974,""en"",""it"")"),"Atleti Vault pole su una barra alta in una competizione.")</f>
        <v>Atleti Vault pole su una barra alta in una competizione.</v>
      </c>
    </row>
    <row r="18975">
      <c r="A18975" s="4" t="s">
        <v>23873</v>
      </c>
      <c r="B18975" s="4" t="s">
        <v>23877</v>
      </c>
      <c r="C18975" s="5" t="str">
        <f>IFERROR(__xludf.DUMMYFUNCTION("GOOGLETRANSLATE(B18975,""en"",""it"")"),"Atleti e fan si incontrano dopo l'evento che parlava e firma autografi.")</f>
        <v>Atleti e fan si incontrano dopo l'evento che parlava e firma autografi.</v>
      </c>
    </row>
    <row r="18976">
      <c r="A18976" s="4" t="s">
        <v>23873</v>
      </c>
      <c r="B18976" s="4" t="s">
        <v>23878</v>
      </c>
      <c r="C18976" s="5" t="str">
        <f>IFERROR(__xludf.DUMMYFUNCTION("GOOGLETRANSLATE(B18976,""en"",""it"")"),"Si vede una grafica di sponsor degli eventi e sito Web sullo schermo con backround nero.")</f>
        <v>Si vede una grafica di sponsor degli eventi e sito Web sullo schermo con backround nero.</v>
      </c>
    </row>
    <row r="18977">
      <c r="A18977" s="4" t="s">
        <v>23879</v>
      </c>
      <c r="B18977" s="4" t="s">
        <v>23880</v>
      </c>
      <c r="C18977" s="5" t="str">
        <f>IFERROR(__xludf.DUMMYFUNCTION("GOOGLETRANSLATE(B18977,""en"",""it"")"),"Un gruppo di adulti è in una zattera, remellando attraverso l'acqua con grandi onde.")</f>
        <v>Un gruppo di adulti è in una zattera, remellando attraverso l'acqua con grandi onde.</v>
      </c>
    </row>
    <row r="18978">
      <c r="A18978" s="4" t="s">
        <v>23879</v>
      </c>
      <c r="B18978" s="4" t="s">
        <v>23881</v>
      </c>
      <c r="C18978" s="5" t="str">
        <f>IFERROR(__xludf.DUMMYFUNCTION("GOOGLETRANSLATE(B18978,""en"",""it"")"),"Il gruppo si colpì a vicenda come un alto cinque e poi continua a remare attraverso il fiume.")</f>
        <v>Il gruppo si colpì a vicenda come un alto cinque e poi continua a remare attraverso il fiume.</v>
      </c>
    </row>
    <row r="18979">
      <c r="A18979" s="4" t="s">
        <v>23879</v>
      </c>
      <c r="B18979" s="4" t="s">
        <v>23882</v>
      </c>
      <c r="C18979" s="5" t="str">
        <f>IFERROR(__xludf.DUMMYFUNCTION("GOOGLETRANSLATE(B18979,""en"",""it"")"),"Altri gruppi di persone stanno cavalcando le zattere e si fermano sul lato del fiume.")</f>
        <v>Altri gruppi di persone stanno cavalcando le zattere e si fermano sul lato del fiume.</v>
      </c>
    </row>
    <row r="18980">
      <c r="A18980" s="4" t="s">
        <v>23883</v>
      </c>
      <c r="B18980" s="6" t="s">
        <v>23884</v>
      </c>
      <c r="C18980" s="5" t="str">
        <f>IFERROR(__xludf.DUMMYFUNCTION("GOOGLETRANSLATE(B18980,""en"",""it"")"),"Viene vista una donna parlare con la telecamera con in mano uno strumento e conduce a suonare il flauto.")</f>
        <v>Viene vista una donna parlare con la telecamera con in mano uno strumento e conduce a suonare il flauto.</v>
      </c>
    </row>
    <row r="18981">
      <c r="A18981" s="4" t="s">
        <v>23883</v>
      </c>
      <c r="B18981" s="6" t="s">
        <v>23885</v>
      </c>
      <c r="C18981" s="5" t="str">
        <f>IFERROR(__xludf.DUMMYFUNCTION("GOOGLETRANSLATE(B18981,""en"",""it"")"),"La telecamera continua a ingrandire la sua interpretazione dello strumento mentre interviene parlando alla telecamera.")</f>
        <v>La telecamera continua a ingrandire la sua interpretazione dello strumento mentre interviene parlando alla telecamera.</v>
      </c>
    </row>
    <row r="18982">
      <c r="A18982" s="4" t="s">
        <v>23886</v>
      </c>
      <c r="B18982" s="4" t="s">
        <v>23887</v>
      </c>
      <c r="C18982" s="5" t="str">
        <f>IFERROR(__xludf.DUMMYFUNCTION("GOOGLETRANSLATE(B18982,""en"",""it"")"),"Vediamo una bottiglia di lavaggio del viso.")</f>
        <v>Vediamo una bottiglia di lavaggio del viso.</v>
      </c>
    </row>
    <row r="18983">
      <c r="A18983" s="4" t="s">
        <v>23886</v>
      </c>
      <c r="B18983" s="4" t="s">
        <v>23888</v>
      </c>
      <c r="C18983" s="5" t="str">
        <f>IFERROR(__xludf.DUMMYFUNCTION("GOOGLETRANSLATE(B18983,""en"",""it"")"),"Vediamo una persona che tiene il lavaggio del viso e poi metterlo in faccia.")</f>
        <v>Vediamo una persona che tiene il lavaggio del viso e poi metterlo in faccia.</v>
      </c>
    </row>
    <row r="18984">
      <c r="A18984" s="4" t="s">
        <v>23886</v>
      </c>
      <c r="B18984" s="4" t="s">
        <v>23889</v>
      </c>
      <c r="C18984" s="5" t="str">
        <f>IFERROR(__xludf.DUMMYFUNCTION("GOOGLETRANSLATE(B18984,""en"",""it"")"),"Sciacquano il viso e aggiungono il lavaggio del viso con una spazzola.")</f>
        <v>Sciacquano il viso e aggiungono il lavaggio del viso con una spazzola.</v>
      </c>
    </row>
    <row r="18985">
      <c r="A18985" s="4" t="s">
        <v>23886</v>
      </c>
      <c r="B18985" s="4" t="s">
        <v>23890</v>
      </c>
      <c r="C18985" s="5" t="str">
        <f>IFERROR(__xludf.DUMMYFUNCTION("GOOGLETRANSLATE(B18985,""en"",""it"")"),"Vediamo un'illustrazione su come aggiungere il lavaggio usando un pennello.")</f>
        <v>Vediamo un'illustrazione su come aggiungere il lavaggio usando un pennello.</v>
      </c>
    </row>
    <row r="18986">
      <c r="A18986" s="4" t="s">
        <v>23886</v>
      </c>
      <c r="B18986" s="4" t="s">
        <v>4513</v>
      </c>
      <c r="C18986" s="5" t="str">
        <f>IFERROR(__xludf.DUMMYFUNCTION("GOOGLETRANSLATE(B18986,""en"",""it"")"),"Vediamo i titoli di coda.")</f>
        <v>Vediamo i titoli di coda.</v>
      </c>
    </row>
    <row r="18987">
      <c r="A18987" s="4" t="s">
        <v>23891</v>
      </c>
      <c r="B18987" s="6" t="s">
        <v>23892</v>
      </c>
      <c r="C18987" s="5" t="str">
        <f>IFERROR(__xludf.DUMMYFUNCTION("GOOGLETRANSLATE(B18987,""en"",""it"")"),"Varie clip di un folto gruppo di persone sono viste in piedi insieme che portano in clip di persone che sparano a fili e frecce.")</f>
        <v>Varie clip di un folto gruppo di persone sono viste in piedi insieme che portano in clip di persone che sparano a fili e frecce.</v>
      </c>
    </row>
    <row r="18988">
      <c r="A18988" s="4" t="s">
        <v>23891</v>
      </c>
      <c r="B18988" s="6" t="s">
        <v>23893</v>
      </c>
      <c r="C18988" s="5" t="str">
        <f>IFERROR(__xludf.DUMMYFUNCTION("GOOGLETRANSLATE(B18988,""en"",""it"")"),"Vengono mostrate altre clip di persone che parlano alla telecamera, così come le persone che celebrano e sparano più archi e balli.")</f>
        <v>Vengono mostrate altre clip di persone che parlano alla telecamera, così come le persone che celebrano e sparano più archi e balli.</v>
      </c>
    </row>
    <row r="18989">
      <c r="A18989" s="4" t="s">
        <v>23894</v>
      </c>
      <c r="B18989" s="4" t="s">
        <v>23895</v>
      </c>
      <c r="C18989" s="5" t="str">
        <f>IFERROR(__xludf.DUMMYFUNCTION("GOOGLETRANSLATE(B18989,""en"",""it"")"),"Un primo piano di casa si vede quando una persona entra in cornice.")</f>
        <v>Un primo piano di casa si vede quando una persona entra in cornice.</v>
      </c>
    </row>
    <row r="18990">
      <c r="A18990" s="4" t="s">
        <v>23894</v>
      </c>
      <c r="B18990" s="4" t="s">
        <v>23896</v>
      </c>
      <c r="C18990" s="5" t="str">
        <f>IFERROR(__xludf.DUMMYFUNCTION("GOOGLETRANSLATE(B18990,""en"",""it"")"),"La persona viene vista afferrare il tosaerba e tirarlo di lato.")</f>
        <v>La persona viene vista afferrare il tosaerba e tirarlo di lato.</v>
      </c>
    </row>
    <row r="18991">
      <c r="A18991" s="4" t="s">
        <v>23894</v>
      </c>
      <c r="B18991" s="4" t="s">
        <v>23897</v>
      </c>
      <c r="C18991" s="5" t="str">
        <f>IFERROR(__xludf.DUMMYFUNCTION("GOOGLETRANSLATE(B18991,""en"",""it"")"),"La persona spinge quindi il tosaerba in tutta la casa.")</f>
        <v>La persona spinge quindi il tosaerba in tutta la casa.</v>
      </c>
    </row>
    <row r="18992">
      <c r="A18992" s="4" t="s">
        <v>23898</v>
      </c>
      <c r="B18992" s="6" t="s">
        <v>23899</v>
      </c>
      <c r="C18992" s="5" t="str">
        <f>IFERROR(__xludf.DUMMYFUNCTION("GOOGLETRANSLATE(B18992,""en"",""it"")"),"Le mani di una persona vengono viste da vicino su uno strumento e inizia a muovere la maniglia e a smontare lo strumento.")</f>
        <v>Le mani di una persona vengono viste da vicino su uno strumento e inizia a muovere la maniglia e a smontare lo strumento.</v>
      </c>
    </row>
    <row r="18993">
      <c r="A18993" s="4" t="s">
        <v>23898</v>
      </c>
      <c r="B18993" s="6" t="s">
        <v>23900</v>
      </c>
      <c r="C18993" s="5" t="str">
        <f>IFERROR(__xludf.DUMMYFUNCTION("GOOGLETRANSLATE(B18993,""en"",""it"")"),"La persona svita alcuni oggetti e stringe l'interno e sposta il cacciavite mentre tiene lo strumento.")</f>
        <v>La persona svita alcuni oggetti e stringe l'interno e sposta il cacciavite mentre tiene lo strumento.</v>
      </c>
    </row>
    <row r="18994">
      <c r="A18994" s="4" t="s">
        <v>23901</v>
      </c>
      <c r="B18994" s="4" t="s">
        <v>23902</v>
      </c>
      <c r="C18994" s="5" t="str">
        <f>IFERROR(__xludf.DUMMYFUNCTION("GOOGLETRANSLATE(B18994,""en"",""it"")"),"Un gruppo di uomini si è radunato all'interno.")</f>
        <v>Un gruppo di uomini si è radunato all'interno.</v>
      </c>
    </row>
    <row r="18995">
      <c r="A18995" s="4" t="s">
        <v>23901</v>
      </c>
      <c r="B18995" s="4" t="s">
        <v>23903</v>
      </c>
      <c r="C18995" s="5" t="str">
        <f>IFERROR(__xludf.DUMMYFUNCTION("GOOGLETRANSLATE(B18995,""en"",""it"")"),"Due di loro si accovacciano al centro.")</f>
        <v>Due di loro si accovacciano al centro.</v>
      </c>
    </row>
    <row r="18996">
      <c r="A18996" s="4" t="s">
        <v>23901</v>
      </c>
      <c r="B18996" s="4" t="s">
        <v>23904</v>
      </c>
      <c r="C18996" s="5" t="str">
        <f>IFERROR(__xludf.DUMMYFUNCTION("GOOGLETRANSLATE(B18996,""en"",""it"")"),"Si avvicinano al centro del cerchio, facendo acrobazie decorate.")</f>
        <v>Si avvicinano al centro del cerchio, facendo acrobazie decorate.</v>
      </c>
    </row>
    <row r="18997">
      <c r="A18997" s="4" t="s">
        <v>23901</v>
      </c>
      <c r="B18997" s="4" t="s">
        <v>23905</v>
      </c>
      <c r="C18997" s="5" t="str">
        <f>IFERROR(__xludf.DUMMYFUNCTION("GOOGLETRANSLATE(B18997,""en"",""it"")"),"Vengono mostrate diverse altre clip di altri combattenti, lanciando, rotolando e calci.")</f>
        <v>Vengono mostrate diverse altre clip di altri combattenti, lanciando, rotolando e calci.</v>
      </c>
    </row>
    <row r="18998">
      <c r="A18998" s="4" t="s">
        <v>23901</v>
      </c>
      <c r="B18998" s="4" t="s">
        <v>23906</v>
      </c>
      <c r="C18998" s="5" t="str">
        <f>IFERROR(__xludf.DUMMYFUNCTION("GOOGLETRANSLATE(B18998,""en"",""it"")"),"I due uomini si abbracciano alla fine.")</f>
        <v>I due uomini si abbracciano alla fine.</v>
      </c>
    </row>
    <row r="18999">
      <c r="A18999" s="4" t="s">
        <v>23907</v>
      </c>
      <c r="B18999" s="6" t="s">
        <v>23908</v>
      </c>
      <c r="C18999" s="5" t="str">
        <f>IFERROR(__xludf.DUMMYFUNCTION("GOOGLETRANSLATE(B18999,""en"",""it"")"),"Varie foto ancora scattate di uomini diversi, età diverse, razze diverse e dimensioni diverse appaiono con nomi di testo bianco che appaiono su ciascuno dei loro volti.")</f>
        <v>Varie foto ancora scattate di uomini diversi, età diverse, razze diverse e dimensioni diverse appaiono con nomi di testo bianco che appaiono su ciascuno dei loro volti.</v>
      </c>
    </row>
    <row r="19000">
      <c r="A19000" s="4" t="s">
        <v>23907</v>
      </c>
      <c r="B19000" s="6" t="s">
        <v>23909</v>
      </c>
      <c r="C19000" s="5" t="str">
        <f>IFERROR(__xludf.DUMMYFUNCTION("GOOGLETRANSLATE(B19000,""en"",""it"")"),"Appare quindi uno schermo blu e appaiono parole di testo bianco e dicono ""Aspetta !! Allora cos'è l'acqua Polo ??"".")</f>
        <v>Appare quindi uno schermo blu e appaiono parole di testo bianco e dicono "Aspetta !! Allora cos'è l'acqua Polo ??".</v>
      </c>
    </row>
    <row r="19001">
      <c r="A19001" s="4" t="s">
        <v>23907</v>
      </c>
      <c r="B19001" s="6" t="s">
        <v>23910</v>
      </c>
      <c r="C19001" s="5" t="str">
        <f>IFERROR(__xludf.DUMMYFUNCTION("GOOGLETRANSLATE(B19001,""en"",""it"")"),"Varie clip di molti uomini che giocano a polo d'acqua in una piscina iniziano a giocare e le mostra che si schizzano in acqua, combattono per la palla, nuotano e cercano di fare un gol in rete che è alla fine di una piscina.")</f>
        <v>Varie clip di molti uomini che giocano a polo d'acqua in una piscina iniziano a giocare e le mostra che si schizzano in acqua, combattono per la palla, nuotano e cercano di fare un gol in rete che è alla fine di una piscina.</v>
      </c>
    </row>
    <row r="19002">
      <c r="A19002" s="4" t="s">
        <v>23907</v>
      </c>
      <c r="B19002" s="6" t="s">
        <v>23911</v>
      </c>
      <c r="C19002" s="5" t="str">
        <f>IFERROR(__xludf.DUMMYFUNCTION("GOOGLETRANSLATE(B19002,""en"",""it"")"),"Viene visualizzato un altro schermo blu e ha un testo bianco che dice ""OK, quindi così ecco in azione"" e vengono visualizzate numerose immagini ancora scattate di persone che giocano a polo d'acqua in piscina, o semplicemente di uscire.")</f>
        <v>Viene visualizzato un altro schermo blu e ha un testo bianco che dice "OK, quindi così ecco in azione" e vengono visualizzate numerose immagini ancora scattate di persone che giocano a polo d'acqua in piscina, o semplicemente di uscire.</v>
      </c>
    </row>
    <row r="19003">
      <c r="A19003" s="4" t="s">
        <v>23907</v>
      </c>
      <c r="B19003" s="6" t="s">
        <v>23912</v>
      </c>
      <c r="C19003" s="5" t="str">
        <f>IFERROR(__xludf.DUMMYFUNCTION("GOOGLETRANSLATE(B19003,""en"",""it"")"),"Quando le immagini vengono eseguite, appare uno schermo blu con molte parole bianche che in pratica dicono che se sei interessato a ciò che hai appena visto, devi solo contattarli.")</f>
        <v>Quando le immagini vengono eseguite, appare uno schermo blu con molte parole bianche che in pratica dicono che se sei interessato a ciò che hai appena visto, devi solo contattarli.</v>
      </c>
    </row>
    <row r="19004">
      <c r="A19004" s="4" t="s">
        <v>23913</v>
      </c>
      <c r="B19004" s="4" t="s">
        <v>23914</v>
      </c>
      <c r="C19004" s="5" t="str">
        <f>IFERROR(__xludf.DUMMYFUNCTION("GOOGLETRANSLATE(B19004,""en"",""it"")"),"Diverse persone stanno parlando di microfoni sul palco.")</f>
        <v>Diverse persone stanno parlando di microfoni sul palco.</v>
      </c>
    </row>
    <row r="19005">
      <c r="A19005" s="4" t="s">
        <v>23913</v>
      </c>
      <c r="B19005" s="4" t="s">
        <v>23915</v>
      </c>
      <c r="C19005" s="5" t="str">
        <f>IFERROR(__xludf.DUMMYFUNCTION("GOOGLETRANSLATE(B19005,""en"",""it"")"),"Uno degli uomini inizia a suonare un violino.")</f>
        <v>Uno degli uomini inizia a suonare un violino.</v>
      </c>
    </row>
    <row r="19006">
      <c r="A19006" s="4" t="s">
        <v>23913</v>
      </c>
      <c r="B19006" s="4" t="s">
        <v>23916</v>
      </c>
      <c r="C19006" s="5" t="str">
        <f>IFERROR(__xludf.DUMMYFUNCTION("GOOGLETRANSLATE(B19006,""en"",""it"")"),"Dà il violino a un altro uomo che lo suona.")</f>
        <v>Dà il violino a un altro uomo che lo suona.</v>
      </c>
    </row>
    <row r="19007">
      <c r="A19007" s="4" t="s">
        <v>23913</v>
      </c>
      <c r="B19007" s="4" t="s">
        <v>23917</v>
      </c>
      <c r="C19007" s="5" t="str">
        <f>IFERROR(__xludf.DUMMYFUNCTION("GOOGLETRANSLATE(B19007,""en"",""it"")"),"Il pubblico inizia a battere le mani per loro.")</f>
        <v>Il pubblico inizia a battere le mani per loro.</v>
      </c>
    </row>
    <row r="19008">
      <c r="A19008" s="4" t="s">
        <v>23918</v>
      </c>
      <c r="B19008" s="4" t="s">
        <v>23919</v>
      </c>
      <c r="C19008" s="5" t="str">
        <f>IFERROR(__xludf.DUMMYFUNCTION("GOOGLETRANSLATE(B19008,""en"",""it"")"),"Un uomo di grandi dimensioni balla in una stanza buia.")</f>
        <v>Un uomo di grandi dimensioni balla in una stanza buia.</v>
      </c>
    </row>
    <row r="19009">
      <c r="A19009" s="4" t="s">
        <v>23918</v>
      </c>
      <c r="B19009" s="4" t="s">
        <v>23920</v>
      </c>
      <c r="C19009" s="5" t="str">
        <f>IFERROR(__xludf.DUMMYFUNCTION("GOOGLETRANSLATE(B19009,""en"",""it"")"),"Le persone dietro di lui ridono e battono.")</f>
        <v>Le persone dietro di lui ridono e battono.</v>
      </c>
    </row>
    <row r="19010">
      <c r="A19010" s="4" t="s">
        <v>23918</v>
      </c>
      <c r="B19010" s="4" t="s">
        <v>23921</v>
      </c>
      <c r="C19010" s="5" t="str">
        <f>IFERROR(__xludf.DUMMYFUNCTION("GOOGLETRANSLATE(B19010,""en"",""it"")"),"Sta lanciando freccette a un bersaglio in lontananza.")</f>
        <v>Sta lanciando freccette a un bersaglio in lontananza.</v>
      </c>
    </row>
    <row r="19011">
      <c r="A19011" s="4" t="s">
        <v>23922</v>
      </c>
      <c r="B19011" s="4" t="s">
        <v>23923</v>
      </c>
      <c r="C19011" s="5" t="str">
        <f>IFERROR(__xludf.DUMMYFUNCTION("GOOGLETRANSLATE(B19011,""en"",""it"")"),"Una donna è vista con vista che indossa un carro armato con testo di introduzione.")</f>
        <v>Una donna è vista con vista che indossa un carro armato con testo di introduzione.</v>
      </c>
    </row>
    <row r="19012">
      <c r="A19012" s="4" t="s">
        <v>23922</v>
      </c>
      <c r="B19012" s="4" t="s">
        <v>23924</v>
      </c>
      <c r="C19012" s="5" t="str">
        <f>IFERROR(__xludf.DUMMYFUNCTION("GOOGLETRANSLATE(B19012,""en"",""it"")"),"La donna ha i capelli legati alla schiena e applica gli occhi per gli occhi usando vari pennelli e colori.")</f>
        <v>La donna ha i capelli legati alla schiena e applica gli occhi per gli occhi usando vari pennelli e colori.</v>
      </c>
    </row>
    <row r="19013">
      <c r="A19013" s="4" t="s">
        <v>23922</v>
      </c>
      <c r="B19013" s="4" t="s">
        <v>23925</v>
      </c>
      <c r="C19013" s="5" t="str">
        <f>IFERROR(__xludf.DUMMYFUNCTION("GOOGLETRANSLATE(B19013,""en"",""it"")"),"La donna inizia a mettere gli occhi con una matita sottile.")</f>
        <v>La donna inizia a mettere gli occhi con una matita sottile.</v>
      </c>
    </row>
    <row r="19014">
      <c r="A19014" s="4" t="s">
        <v>23922</v>
      </c>
      <c r="B19014" s="4" t="s">
        <v>23926</v>
      </c>
      <c r="C19014" s="5" t="str">
        <f>IFERROR(__xludf.DUMMYFUNCTION("GOOGLETRANSLATE(B19014,""en"",""it"")"),"Le donne toglie i cravatte di stoffa dai capelli e si abbassano i capelli che ora sono arricciati.")</f>
        <v>Le donne toglie i cravatte di stoffa dai capelli e si abbassano i capelli che ora sono arricciati.</v>
      </c>
    </row>
    <row r="19015">
      <c r="A19015" s="4" t="s">
        <v>23922</v>
      </c>
      <c r="B19015" s="4" t="s">
        <v>23927</v>
      </c>
      <c r="C19015" s="5" t="str">
        <f>IFERROR(__xludf.DUMMYFUNCTION("GOOGLETRANSLATE(B19015,""en"",""it"")"),"La donna usa un pettine e una lacca per raddrizzare le parti di qui i capelli, quindi lo si lega.")</f>
        <v>La donna usa un pettine e una lacca per raddrizzare le parti di qui i capelli, quindi lo si lega.</v>
      </c>
    </row>
    <row r="19016">
      <c r="A19016" s="4" t="s">
        <v>23922</v>
      </c>
      <c r="B19016" s="4" t="s">
        <v>23928</v>
      </c>
      <c r="C19016" s="5" t="str">
        <f>IFERROR(__xludf.DUMMYFUNCTION("GOOGLETRANSLATE(B19016,""en"",""it"")"),"I messaggi di Tex sono mostrati alla fine del video.")</f>
        <v>I messaggi di Tex sono mostrati alla fine del video.</v>
      </c>
    </row>
    <row r="19017">
      <c r="A19017" s="4" t="s">
        <v>23929</v>
      </c>
      <c r="B19017" s="4" t="s">
        <v>23930</v>
      </c>
      <c r="C19017" s="5" t="str">
        <f>IFERROR(__xludf.DUMMYFUNCTION("GOOGLETRANSLATE(B19017,""en"",""it"")"),"Una persona fissa una cinghia su un ragazzo.")</f>
        <v>Una persona fissa una cinghia su un ragazzo.</v>
      </c>
    </row>
    <row r="19018">
      <c r="A19018" s="4" t="s">
        <v>23929</v>
      </c>
      <c r="B19018" s="4" t="s">
        <v>23931</v>
      </c>
      <c r="C19018" s="5" t="str">
        <f>IFERROR(__xludf.DUMMYFUNCTION("GOOGLETRANSLATE(B19018,""en"",""it"")"),"Il ragazzo si avvicina al limite.")</f>
        <v>Il ragazzo si avvicina al limite.</v>
      </c>
    </row>
    <row r="19019">
      <c r="A19019" s="4" t="s">
        <v>23929</v>
      </c>
      <c r="B19019" s="4" t="s">
        <v>23932</v>
      </c>
      <c r="C19019" s="5" t="str">
        <f>IFERROR(__xludf.DUMMYFUNCTION("GOOGLETRANSLATE(B19019,""en"",""it"")"),"Due uomini mettono ganci sul ragazzo.")</f>
        <v>Due uomini mettono ganci sul ragazzo.</v>
      </c>
    </row>
    <row r="19020">
      <c r="A19020" s="4" t="s">
        <v>23929</v>
      </c>
      <c r="B19020" s="4" t="s">
        <v>23933</v>
      </c>
      <c r="C19020" s="5" t="str">
        <f>IFERROR(__xludf.DUMMYFUNCTION("GOOGLETRANSLATE(B19020,""en"",""it"")"),"Un uomo rilascia una corda.")</f>
        <v>Un uomo rilascia una corda.</v>
      </c>
    </row>
    <row r="19021">
      <c r="A19021" s="4" t="s">
        <v>23929</v>
      </c>
      <c r="B19021" s="4" t="s">
        <v>23934</v>
      </c>
      <c r="C19021" s="5" t="str">
        <f>IFERROR(__xludf.DUMMYFUNCTION("GOOGLETRANSLATE(B19021,""en"",""it"")"),"Il ragazzo salta dal bordo o salta Bungee.")</f>
        <v>Il ragazzo salta dal bordo o salta Bungee.</v>
      </c>
    </row>
    <row r="19022">
      <c r="A19022" s="4" t="s">
        <v>23935</v>
      </c>
      <c r="B19022" s="4" t="s">
        <v>23936</v>
      </c>
      <c r="C19022" s="5" t="str">
        <f>IFERROR(__xludf.DUMMYFUNCTION("GOOGLETRANSLATE(B19022,""en"",""it"")"),"Una band di marcia sfilata lungo la strada, suonando tamburi e altri strumenti.")</f>
        <v>Una band di marcia sfilata lungo la strada, suonando tamburi e altri strumenti.</v>
      </c>
    </row>
    <row r="19023">
      <c r="A19023" s="4" t="s">
        <v>23935</v>
      </c>
      <c r="B19023" s="4" t="s">
        <v>23937</v>
      </c>
      <c r="C19023" s="5" t="str">
        <f>IFERROR(__xludf.DUMMYFUNCTION("GOOGLETRANSLATE(B19023,""en"",""it"")"),"Le persone su entrambi i lati della strada guardano la band esibirsi.")</f>
        <v>Le persone su entrambi i lati della strada guardano la band esibirsi.</v>
      </c>
    </row>
    <row r="19024">
      <c r="A19024" s="4" t="s">
        <v>23938</v>
      </c>
      <c r="B19024" s="4" t="s">
        <v>23939</v>
      </c>
      <c r="C19024" s="5" t="str">
        <f>IFERROR(__xludf.DUMMYFUNCTION("GOOGLETRANSLATE(B19024,""en"",""it"")"),"Una donna con i capelli lunghi parla alla telecamera.")</f>
        <v>Una donna con i capelli lunghi parla alla telecamera.</v>
      </c>
    </row>
    <row r="19025">
      <c r="A19025" s="4" t="s">
        <v>23938</v>
      </c>
      <c r="B19025" s="4" t="s">
        <v>23940</v>
      </c>
      <c r="C19025" s="5" t="str">
        <f>IFERROR(__xludf.DUMMYFUNCTION("GOOGLETRANSLATE(B19025,""en"",""it"")"),"Solleva un lungo pennello.")</f>
        <v>Solleva un lungo pennello.</v>
      </c>
    </row>
    <row r="19026">
      <c r="A19026" s="4" t="s">
        <v>23938</v>
      </c>
      <c r="B19026" s="4" t="s">
        <v>23941</v>
      </c>
      <c r="C19026" s="5" t="str">
        <f>IFERROR(__xludf.DUMMYFUNCTION("GOOGLETRANSLATE(B19026,""en"",""it"")"),"Dimostra come usare il pennello per raschiare la neve da un'auto.")</f>
        <v>Dimostra come usare il pennello per raschiare la neve da un'auto.</v>
      </c>
    </row>
    <row r="19027">
      <c r="A19027" s="4" t="s">
        <v>23938</v>
      </c>
      <c r="B19027" s="4" t="s">
        <v>23942</v>
      </c>
      <c r="C19027" s="5" t="str">
        <f>IFERROR(__xludf.DUMMYFUNCTION("GOOGLETRANSLATE(B19027,""en"",""it"")"),"Quando ha finito, continua a parlare del pennello.")</f>
        <v>Quando ha finito, continua a parlare del pennello.</v>
      </c>
    </row>
    <row r="19028">
      <c r="A19028" s="4" t="s">
        <v>23943</v>
      </c>
      <c r="B19028" s="4" t="s">
        <v>23944</v>
      </c>
      <c r="C19028" s="5" t="str">
        <f>IFERROR(__xludf.DUMMYFUNCTION("GOOGLETRANSLATE(B19028,""en"",""it"")"),"Una signora inginocchia, mentre un ragazzo cammina e istruisce.")</f>
        <v>Una signora inginocchia, mentre un ragazzo cammina e istruisce.</v>
      </c>
    </row>
    <row r="19029">
      <c r="A19029" s="4" t="s">
        <v>23943</v>
      </c>
      <c r="B19029" s="4" t="s">
        <v>23945</v>
      </c>
      <c r="C19029" s="5" t="str">
        <f>IFERROR(__xludf.DUMMYFUNCTION("GOOGLETRANSLATE(B19029,""en"",""it"")"),"La signora mette entrambe le mani dietro la testa.")</f>
        <v>La signora mette entrambe le mani dietro la testa.</v>
      </c>
    </row>
    <row r="19030">
      <c r="A19030" s="4" t="s">
        <v>23946</v>
      </c>
      <c r="B19030" s="4" t="s">
        <v>23947</v>
      </c>
      <c r="C19030" s="5" t="str">
        <f>IFERROR(__xludf.DUMMYFUNCTION("GOOGLETRANSLATE(B19030,""en"",""it"")"),"Una signora si sta lavando i capelli.")</f>
        <v>Una signora si sta lavando i capelli.</v>
      </c>
    </row>
    <row r="19031">
      <c r="A19031" s="4" t="s">
        <v>23946</v>
      </c>
      <c r="B19031" s="4" t="s">
        <v>23948</v>
      </c>
      <c r="C19031" s="5" t="str">
        <f>IFERROR(__xludf.DUMMYFUNCTION("GOOGLETRANSLATE(B19031,""en"",""it"")"),"La signora si lava i capelli da sotto.")</f>
        <v>La signora si lava i capelli da sotto.</v>
      </c>
    </row>
    <row r="19032">
      <c r="A19032" s="4" t="s">
        <v>23946</v>
      </c>
      <c r="B19032" s="4" t="s">
        <v>23949</v>
      </c>
      <c r="C19032" s="5" t="str">
        <f>IFERROR(__xludf.DUMMYFUNCTION("GOOGLETRANSLATE(B19032,""en"",""it"")"),"115 La signora gli scorre la mano tra i capelli.")</f>
        <v>115 La signora gli scorre la mano tra i capelli.</v>
      </c>
    </row>
    <row r="19033">
      <c r="A19033" s="4" t="s">
        <v>23946</v>
      </c>
      <c r="B19033" s="4" t="s">
        <v>23950</v>
      </c>
      <c r="C19033" s="5" t="str">
        <f>IFERROR(__xludf.DUMMYFUNCTION("GOOGLETRANSLATE(B19033,""en"",""it"")"),"La signora finisce e si siede in posizione verticale.")</f>
        <v>La signora finisce e si siede in posizione verticale.</v>
      </c>
    </row>
    <row r="19034">
      <c r="A19034" s="4" t="s">
        <v>23951</v>
      </c>
      <c r="B19034" s="4" t="s">
        <v>23952</v>
      </c>
      <c r="C19034" s="5" t="str">
        <f>IFERROR(__xludf.DUMMYFUNCTION("GOOGLETRANSLATE(B19034,""en"",""it"")"),"Le mani di una persona vengono mostrate suonando il piano.")</f>
        <v>Le mani di una persona vengono mostrate suonando il piano.</v>
      </c>
    </row>
    <row r="19035">
      <c r="A19035" s="4" t="s">
        <v>23951</v>
      </c>
      <c r="B19035" s="4" t="s">
        <v>23953</v>
      </c>
      <c r="C19035" s="5" t="str">
        <f>IFERROR(__xludf.DUMMYFUNCTION("GOOGLETRANSLATE(B19035,""en"",""it"")"),"Un primo piano di una tromba mostra un uomo che gioca.")</f>
        <v>Un primo piano di una tromba mostra un uomo che gioca.</v>
      </c>
    </row>
    <row r="19036">
      <c r="A19036" s="4" t="s">
        <v>23951</v>
      </c>
      <c r="B19036" s="4" t="s">
        <v>23954</v>
      </c>
      <c r="C19036" s="5" t="str">
        <f>IFERROR(__xludf.DUMMYFUNCTION("GOOGLETRANSLATE(B19036,""en"",""it"")"),"Il video svanisce per le persone che suonano sul palco.")</f>
        <v>Il video svanisce per le persone che suonano sul palco.</v>
      </c>
    </row>
    <row r="19037">
      <c r="A19037" s="4" t="s">
        <v>23951</v>
      </c>
      <c r="B19037" s="4" t="s">
        <v>23955</v>
      </c>
      <c r="C19037" s="5" t="str">
        <f>IFERROR(__xludf.DUMMYFUNCTION("GOOGLETRANSLATE(B19037,""en"",""it"")"),"La fotocamera ingrandisce il trombettista.")</f>
        <v>La fotocamera ingrandisce il trombettista.</v>
      </c>
    </row>
    <row r="19038">
      <c r="A19038" s="4" t="s">
        <v>23951</v>
      </c>
      <c r="B19038" s="4" t="s">
        <v>23956</v>
      </c>
      <c r="C19038" s="5" t="str">
        <f>IFERROR(__xludf.DUMMYFUNCTION("GOOGLETRANSLATE(B19038,""en"",""it"")"),"Una ragazza viene mostrata suonando il piano.")</f>
        <v>Una ragazza viene mostrata suonando il piano.</v>
      </c>
    </row>
    <row r="19039">
      <c r="A19039" s="4" t="s">
        <v>23951</v>
      </c>
      <c r="B19039" s="4" t="s">
        <v>23957</v>
      </c>
      <c r="C19039" s="5" t="str">
        <f>IFERROR(__xludf.DUMMYFUNCTION("GOOGLETRANSLATE(B19039,""en"",""it"")"),"Il duo continua a suonare fino alla fine della canzone.")</f>
        <v>Il duo continua a suonare fino alla fine della canzone.</v>
      </c>
    </row>
    <row r="19040">
      <c r="A19040" s="4" t="s">
        <v>23958</v>
      </c>
      <c r="B19040" s="4" t="s">
        <v>23959</v>
      </c>
      <c r="C19040" s="5" t="str">
        <f>IFERROR(__xludf.DUMMYFUNCTION("GOOGLETRANSLATE(B19040,""en"",""it"")"),"Un uomo ha scalato una grande scala fuori.")</f>
        <v>Un uomo ha scalato una grande scala fuori.</v>
      </c>
    </row>
    <row r="19041">
      <c r="A19041" s="4" t="s">
        <v>23958</v>
      </c>
      <c r="B19041" s="4" t="s">
        <v>23960</v>
      </c>
      <c r="C19041" s="5" t="str">
        <f>IFERROR(__xludf.DUMMYFUNCTION("GOOGLETRANSLATE(B19041,""en"",""it"")"),"Sta usando i trimmer per tagliare e tagliare alberi grandi.")</f>
        <v>Sta usando i trimmer per tagliare e tagliare alberi grandi.</v>
      </c>
    </row>
    <row r="19042">
      <c r="A19042" s="4" t="s">
        <v>23958</v>
      </c>
      <c r="B19042" s="4" t="s">
        <v>23961</v>
      </c>
      <c r="C19042" s="5" t="str">
        <f>IFERROR(__xludf.DUMMYFUNCTION("GOOGLETRANSLATE(B19042,""en"",""it"")"),"Si allunga, tagliando i rami e i ramoscelli.")</f>
        <v>Si allunga, tagliando i rami e i ramoscelli.</v>
      </c>
    </row>
    <row r="19043">
      <c r="A19043" s="4" t="s">
        <v>23962</v>
      </c>
      <c r="B19043" s="4" t="s">
        <v>23963</v>
      </c>
      <c r="C19043" s="5" t="str">
        <f>IFERROR(__xludf.DUMMYFUNCTION("GOOGLETRANSLATE(B19043,""en"",""it"")"),"Viene visto un uomo con in mano una racchetta da tennis e inizia a colpire una palla intorno a una stanza.")</f>
        <v>Viene visto un uomo con in mano una racchetta da tennis e inizia a colpire una palla intorno a una stanza.</v>
      </c>
    </row>
    <row r="19044">
      <c r="A19044" s="4" t="s">
        <v>23962</v>
      </c>
      <c r="B19044" s="4" t="s">
        <v>23964</v>
      </c>
      <c r="C19044" s="5" t="str">
        <f>IFERROR(__xludf.DUMMYFUNCTION("GOOGLETRANSLATE(B19044,""en"",""it"")"),"Un altro uomo è in telaio che tiene anche una racchetta da tennis e colpisce una palla intorno.")</f>
        <v>Un altro uomo è in telaio che tiene anche una racchetta da tennis e colpisce una palla intorno.</v>
      </c>
    </row>
    <row r="19045">
      <c r="A19045" s="4" t="s">
        <v>23962</v>
      </c>
      <c r="B19045" s="6" t="s">
        <v>23965</v>
      </c>
      <c r="C19045" s="5" t="str">
        <f>IFERROR(__xludf.DUMMYFUNCTION("GOOGLETRANSLATE(B19045,""en"",""it"")"),"Gli uomini continuano a giocare tra loro nella stanza mentre la telecamera segue i loro movimenti.")</f>
        <v>Gli uomini continuano a giocare tra loro nella stanza mentre la telecamera segue i loro movimenti.</v>
      </c>
    </row>
    <row r="19046">
      <c r="A19046" s="4" t="s">
        <v>23966</v>
      </c>
      <c r="B19046" s="4" t="s">
        <v>23967</v>
      </c>
      <c r="C19046" s="5" t="str">
        <f>IFERROR(__xludf.DUMMYFUNCTION("GOOGLETRANSLATE(B19046,""en"",""it"")"),"Diversi giocatori di NHL stanno giocando una partita di hockey in uno stadio di hockey.")</f>
        <v>Diversi giocatori di NHL stanno giocando una partita di hockey in uno stadio di hockey.</v>
      </c>
    </row>
    <row r="19047">
      <c r="A19047" s="4" t="s">
        <v>23966</v>
      </c>
      <c r="B19047" s="4" t="s">
        <v>23968</v>
      </c>
      <c r="C19047" s="5" t="str">
        <f>IFERROR(__xludf.DUMMYFUNCTION("GOOGLETRANSLATE(B19047,""en"",""it"")"),"Uno dei giocatori viene mostrato che esprime la sua rabbia al gioco.")</f>
        <v>Uno dei giocatori viene mostrato che esprime la sua rabbia al gioco.</v>
      </c>
    </row>
    <row r="19048">
      <c r="A19048" s="4" t="s">
        <v>23966</v>
      </c>
      <c r="B19048" s="4" t="s">
        <v>23969</v>
      </c>
      <c r="C19048" s="5" t="str">
        <f>IFERROR(__xludf.DUMMYFUNCTION("GOOGLETRANSLATE(B19048,""en"",""it"")"),"Una notizia si avvicina allo schermo per annunciare un segmento A sui crolli di hockey.")</f>
        <v>Una notizia si avvicina allo schermo per annunciare un segmento A sui crolli di hockey.</v>
      </c>
    </row>
    <row r="19049">
      <c r="A19049" s="4" t="s">
        <v>23966</v>
      </c>
      <c r="B19049" s="4" t="s">
        <v>23970</v>
      </c>
      <c r="C19049" s="5" t="str">
        <f>IFERROR(__xludf.DUMMYFUNCTION("GOOGLETRANSLATE(B19049,""en"",""it"")"),"Vengono quindi visualizzati i primi dieci di hockey.")</f>
        <v>Vengono quindi visualizzati i primi dieci di hockey.</v>
      </c>
    </row>
    <row r="19050">
      <c r="A19050" s="4" t="s">
        <v>23971</v>
      </c>
      <c r="B19050" s="4" t="s">
        <v>23972</v>
      </c>
      <c r="C19050" s="5" t="str">
        <f>IFERROR(__xludf.DUMMYFUNCTION("GOOGLETRANSLATE(B19050,""en"",""it"")"),"Un uomo taglia una grande siepe con un barattolo.")</f>
        <v>Un uomo taglia una grande siepe con un barattolo.</v>
      </c>
    </row>
    <row r="19051">
      <c r="A19051" s="4" t="s">
        <v>23971</v>
      </c>
      <c r="B19051" s="4" t="s">
        <v>23973</v>
      </c>
      <c r="C19051" s="5" t="str">
        <f>IFERROR(__xludf.DUMMYFUNCTION("GOOGLETRANSLATE(B19051,""en"",""it"")"),"Esistono diversi primi piani dello strumento in azione.")</f>
        <v>Esistono diversi primi piani dello strumento in azione.</v>
      </c>
    </row>
    <row r="19052">
      <c r="A19052" s="4" t="s">
        <v>23971</v>
      </c>
      <c r="B19052" s="4" t="s">
        <v>23974</v>
      </c>
      <c r="C19052" s="5" t="str">
        <f>IFERROR(__xludf.DUMMYFUNCTION("GOOGLETRANSLATE(B19052,""en"",""it"")"),"Vengono mostrate diverse estensioni.")</f>
        <v>Vengono mostrate diverse estensioni.</v>
      </c>
    </row>
    <row r="19053">
      <c r="A19053" s="4" t="s">
        <v>23971</v>
      </c>
      <c r="B19053" s="4" t="s">
        <v>23975</v>
      </c>
      <c r="C19053" s="5" t="str">
        <f>IFERROR(__xludf.DUMMYFUNCTION("GOOGLETRANSLATE(B19053,""en"",""it"")"),"L'uomo taglia un albero con esso.")</f>
        <v>L'uomo taglia un albero con esso.</v>
      </c>
    </row>
    <row r="19054">
      <c r="A19054" s="4" t="s">
        <v>23976</v>
      </c>
      <c r="B19054" s="4" t="s">
        <v>23977</v>
      </c>
      <c r="C19054" s="5" t="str">
        <f>IFERROR(__xludf.DUMMYFUNCTION("GOOGLETRANSLATE(B19054,""en"",""it"")"),"Viene vista una donna parlare alla telecamera e conduce a giocare con i capelli e appuntarli.")</f>
        <v>Viene vista una donna parlare alla telecamera e conduce a giocare con i capelli e appuntarli.</v>
      </c>
    </row>
    <row r="19055">
      <c r="A19055" s="4" t="s">
        <v>23976</v>
      </c>
      <c r="B19055" s="4" t="s">
        <v>23978</v>
      </c>
      <c r="C19055" s="5" t="str">
        <f>IFERROR(__xludf.DUMMYFUNCTION("GOOGLETRANSLATE(B19055,""en"",""it"")"),"Lei inizia a intrecciare i capelli in vari punti mentre parla alla telecamera.")</f>
        <v>Lei inizia a intrecciare i capelli in vari punti mentre parla alla telecamera.</v>
      </c>
    </row>
    <row r="19056">
      <c r="A19056" s="4" t="s">
        <v>23976</v>
      </c>
      <c r="B19056" s="4" t="s">
        <v>23979</v>
      </c>
      <c r="C19056" s="5" t="str">
        <f>IFERROR(__xludf.DUMMYFUNCTION("GOOGLETRANSLATE(B19056,""en"",""it"")"),"Lei si lega i capelli intorno alla testa e termina parlando alla telecamera.")</f>
        <v>Lei si lega i capelli intorno alla testa e termina parlando alla telecamera.</v>
      </c>
    </row>
    <row r="19057">
      <c r="A19057" s="4" t="s">
        <v>23980</v>
      </c>
      <c r="B19057" s="4" t="s">
        <v>23981</v>
      </c>
      <c r="C19057" s="5" t="str">
        <f>IFERROR(__xludf.DUMMYFUNCTION("GOOGLETRANSLATE(B19057,""en"",""it"")"),"Una ragazza tiene un testimone.")</f>
        <v>Una ragazza tiene un testimone.</v>
      </c>
    </row>
    <row r="19058">
      <c r="A19058" s="4" t="s">
        <v>23980</v>
      </c>
      <c r="B19058" s="4" t="s">
        <v>23982</v>
      </c>
      <c r="C19058" s="5" t="str">
        <f>IFERROR(__xludf.DUMMYFUNCTION("GOOGLETRANSLATE(B19058,""en"",""it"")"),"Lo lancia a un ragazzo accanto a lei.")</f>
        <v>Lo lancia a un ragazzo accanto a lei.</v>
      </c>
    </row>
    <row r="19059">
      <c r="A19059" s="4" t="s">
        <v>23980</v>
      </c>
      <c r="B19059" s="4" t="s">
        <v>23983</v>
      </c>
      <c r="C19059" s="5" t="str">
        <f>IFERROR(__xludf.DUMMYFUNCTION("GOOGLETRANSLATE(B19059,""en"",""it"")"),"Si svolgono gettandolo in aria e catturandolo.")</f>
        <v>Si svolgono gettandolo in aria e catturandolo.</v>
      </c>
    </row>
    <row r="19060">
      <c r="A19060" s="4" t="s">
        <v>23984</v>
      </c>
      <c r="B19060" s="4" t="s">
        <v>23985</v>
      </c>
      <c r="C19060" s="5" t="str">
        <f>IFERROR(__xludf.DUMMYFUNCTION("GOOGLETRANSLATE(B19060,""en"",""it"")"),"La telecamera trema su un'immagine di un campo da pallavolo indoor.")</f>
        <v>La telecamera trema su un'immagine di un campo da pallavolo indoor.</v>
      </c>
    </row>
    <row r="19061">
      <c r="A19061" s="4" t="s">
        <v>23984</v>
      </c>
      <c r="B19061" s="4" t="s">
        <v>23986</v>
      </c>
      <c r="C19061" s="5" t="str">
        <f>IFERROR(__xludf.DUMMYFUNCTION("GOOGLETRANSLATE(B19061,""en"",""it"")"),"Una donna torna dalla rete per colpire la pallavolo in arrivo.")</f>
        <v>Una donna torna dalla rete per colpire la pallavolo in arrivo.</v>
      </c>
    </row>
    <row r="19062">
      <c r="A19062" s="4" t="s">
        <v>23984</v>
      </c>
      <c r="B19062" s="4" t="s">
        <v>23987</v>
      </c>
      <c r="C19062" s="5" t="str">
        <f>IFERROR(__xludf.DUMMYFUNCTION("GOOGLETRANSLATE(B19062,""en"",""it"")"),"Un collega membro del team colpisce anche la palla e la invia attraverso la rete.")</f>
        <v>Un collega membro del team colpisce anche la palla e la invia attraverso la rete.</v>
      </c>
    </row>
    <row r="19063">
      <c r="A19063" s="4" t="s">
        <v>23988</v>
      </c>
      <c r="B19063" s="6" t="s">
        <v>23989</v>
      </c>
      <c r="C19063" s="5" t="str">
        <f>IFERROR(__xludf.DUMMYFUNCTION("GOOGLETRANSLATE(B19063,""en"",""it"")"),"L'uomo indossa un grembiule mentre cammina nello spazio delle opere e le parole ""il servizio di bobine conti presenta un'operazione di gara"" sono sovrapposte allo schermo mentre afferra un palo da sci e raccoglie un trapano e lo usa sulla parte superior"&amp;"e del sciare.")</f>
        <v>L'uomo indossa un grembiule mentre cammina nello spazio delle opere e le parole "il servizio di bobine conti presenta un'operazione di gara" sono sovrapposte allo schermo mentre afferra un palo da sci e raccoglie un trapano e lo usa sulla parte superiore del sciare.</v>
      </c>
    </row>
    <row r="19064">
      <c r="A19064" s="4" t="s">
        <v>23988</v>
      </c>
      <c r="B19064" s="6" t="s">
        <v>23990</v>
      </c>
      <c r="C19064" s="5" t="str">
        <f>IFERROR(__xludf.DUMMYFUNCTION("GOOGLETRANSLATE(B19064,""en"",""it"")"),"L'uomo quindi afferra lo sci e lo mette nel meccanismo verde che si trova dietro di lui e lo corre attraverso la macchina alcune volte, quindi lo rimuove e le stelle per lavorare sul retro dello sci che sembrano sembrare che stia levigando, registrando e "&amp;"versando un qualche tipo di finitura chiara su di esso.")</f>
        <v>L'uomo quindi afferra lo sci e lo mette nel meccanismo verde che si trova dietro di lui e lo corre attraverso la macchina alcune volte, quindi lo rimuove e le stelle per lavorare sul retro dello sci che sembrano sembrare che stia levigando, registrando e versando un qualche tipo di finitura chiara su di esso.</v>
      </c>
    </row>
    <row r="19065">
      <c r="A19065" s="4" t="s">
        <v>23988</v>
      </c>
      <c r="B19065" s="6" t="s">
        <v>23991</v>
      </c>
      <c r="C19065" s="5" t="str">
        <f>IFERROR(__xludf.DUMMYFUNCTION("GOOGLETRANSLATE(B19065,""en"",""it"")"),"L'uomo quindi gestisce un dispositivo sul cielo che sembra un ferro e continua a carteggiarlo, cancellarlo, raschiare e usare di nuovo il dispositivo di stiro.")</f>
        <v>L'uomo quindi gestisce un dispositivo sul cielo che sembra un ferro e continua a carteggiarlo, cancellarlo, raschiare e usare di nuovo il dispositivo di stiro.</v>
      </c>
    </row>
    <row r="19066">
      <c r="A19066" s="4" t="s">
        <v>23988</v>
      </c>
      <c r="B19066" s="4" t="s">
        <v>23992</v>
      </c>
      <c r="C19066" s="5" t="str">
        <f>IFERROR(__xludf.DUMMYFUNCTION("GOOGLETRANSLATE(B19066,""en"",""it"")"),"L'uomo quindi rimuove il nastro e gira lo sci sul lato per raschiare.")</f>
        <v>L'uomo quindi rimuove il nastro e gira lo sci sul lato per raschiare.</v>
      </c>
    </row>
    <row r="19067">
      <c r="A19067" s="4" t="s">
        <v>23988</v>
      </c>
      <c r="B19067" s="6" t="s">
        <v>23993</v>
      </c>
      <c r="C19067" s="5" t="str">
        <f>IFERROR(__xludf.DUMMYFUNCTION("GOOGLETRANSLATE(B19067,""en"",""it"")"),"Quando ha finito, afferra lo sci e lo mette in uno scompartimento che si trova sopra la macchina verde.")</f>
        <v>Quando ha finito, afferra lo sci e lo mette in uno scompartimento che si trova sopra la macchina verde.</v>
      </c>
    </row>
    <row r="19068">
      <c r="A19068" s="4" t="s">
        <v>23994</v>
      </c>
      <c r="B19068" s="4" t="s">
        <v>23995</v>
      </c>
      <c r="C19068" s="5" t="str">
        <f>IFERROR(__xludf.DUMMYFUNCTION("GOOGLETRANSLATE(B19068,""en"",""it"")"),"Un ragazzo e una ragazza in uniforme da karate giocano davanti a una macchina fotografica.")</f>
        <v>Un ragazzo e una ragazza in uniforme da karate giocano davanti a una macchina fotografica.</v>
      </c>
    </row>
    <row r="19069">
      <c r="A19069" s="4" t="s">
        <v>23994</v>
      </c>
      <c r="B19069" s="4" t="s">
        <v>23996</v>
      </c>
      <c r="C19069" s="5" t="str">
        <f>IFERROR(__xludf.DUMMYFUNCTION("GOOGLETRANSLATE(B19069,""en"",""it"")"),"Parlano di come hanno guadagnato le loro uniformi di karate e di cosa gli piace del karate.")</f>
        <v>Parlano di come hanno guadagnato le loro uniformi di karate e di cosa gli piace del karate.</v>
      </c>
    </row>
    <row r="19070">
      <c r="A19070" s="4" t="s">
        <v>23994</v>
      </c>
      <c r="B19070" s="4" t="s">
        <v>23997</v>
      </c>
      <c r="C19070" s="5" t="str">
        <f>IFERROR(__xludf.DUMMYFUNCTION("GOOGLETRANSLATE(B19070,""en"",""it"")"),"La ragazza parla di suo fratello e di più di Karate.")</f>
        <v>La ragazza parla di suo fratello e di più di Karate.</v>
      </c>
    </row>
    <row r="19071">
      <c r="A19071" s="4" t="s">
        <v>23994</v>
      </c>
      <c r="B19071" s="4" t="s">
        <v>23998</v>
      </c>
      <c r="C19071" s="5" t="str">
        <f>IFERROR(__xludf.DUMMYFUNCTION("GOOGLETRANSLATE(B19071,""en"",""it"")"),"La ragazza suona effetti su suo fratello.")</f>
        <v>La ragazza suona effetti su suo fratello.</v>
      </c>
    </row>
    <row r="19072">
      <c r="A19072" s="4" t="s">
        <v>23994</v>
      </c>
      <c r="B19072" s="4" t="s">
        <v>23999</v>
      </c>
      <c r="C19072" s="5" t="str">
        <f>IFERROR(__xludf.DUMMYFUNCTION("GOOGLETRANSLATE(B19072,""en"",""it"")"),"La ragazza fa varie mosse di karate per la fotocamera.")</f>
        <v>La ragazza fa varie mosse di karate per la fotocamera.</v>
      </c>
    </row>
    <row r="19073">
      <c r="A19073" s="4" t="s">
        <v>23994</v>
      </c>
      <c r="B19073" s="4" t="s">
        <v>24000</v>
      </c>
      <c r="C19073" s="5" t="str">
        <f>IFERROR(__xludf.DUMMYFUNCTION("GOOGLETRANSLATE(B19073,""en"",""it"")"),"Quindi il fratello fa diverse mosse di karate per la telecamera.")</f>
        <v>Quindi il fratello fa diverse mosse di karate per la telecamera.</v>
      </c>
    </row>
    <row r="19074">
      <c r="A19074" s="4" t="s">
        <v>24001</v>
      </c>
      <c r="B19074" s="6" t="s">
        <v>24002</v>
      </c>
      <c r="C19074" s="5" t="str">
        <f>IFERROR(__xludf.DUMMYFUNCTION("GOOGLETRANSLATE(B19074,""en"",""it"")"),"Un uomo si trova in un'area schermata in piedi su un cerchio di cemento e fa oscillare una palla su una corda circa due volte sopra la sua testa.")</f>
        <v>Un uomo si trova in un'area schermata in piedi su un cerchio di cemento e fa oscillare una palla su una corda circa due volte sopra la sua testa.</v>
      </c>
    </row>
    <row r="19075">
      <c r="A19075" s="4" t="s">
        <v>24001</v>
      </c>
      <c r="B19075" s="4" t="s">
        <v>24003</v>
      </c>
      <c r="C19075" s="5" t="str">
        <f>IFERROR(__xludf.DUMMYFUNCTION("GOOGLETRANSLATE(B19075,""en"",""it"")"),"L'uomo quindi inizia rapidamente a girare se stesso insieme a oscillare la palla sulla corda.")</f>
        <v>L'uomo quindi inizia rapidamente a girare se stesso insieme a oscillare la palla sulla corda.</v>
      </c>
    </row>
    <row r="19076">
      <c r="A19076" s="4" t="s">
        <v>24001</v>
      </c>
      <c r="B19076" s="4" t="s">
        <v>24004</v>
      </c>
      <c r="C19076" s="5" t="str">
        <f>IFERROR(__xludf.DUMMYFUNCTION("GOOGLETRANSLATE(B19076,""en"",""it"")"),"Dopo numerose e rapide oscillazioni e gira l'uomo lascia andare la corda e la palla vola.")</f>
        <v>Dopo numerose e rapide oscillazioni e gira l'uomo lascia andare la corda e la palla vola.</v>
      </c>
    </row>
    <row r="19077">
      <c r="A19077" s="4" t="s">
        <v>24005</v>
      </c>
      <c r="B19077" s="4" t="s">
        <v>24006</v>
      </c>
      <c r="C19077" s="5" t="str">
        <f>IFERROR(__xludf.DUMMYFUNCTION("GOOGLETRANSLATE(B19077,""en"",""it"")"),"Una persona lavare i piatti usando una spazzola in un lavandino.")</f>
        <v>Una persona lavare i piatti usando una spazzola in un lavandino.</v>
      </c>
    </row>
    <row r="19078">
      <c r="A19078" s="4" t="s">
        <v>24005</v>
      </c>
      <c r="B19078" s="4" t="s">
        <v>24007</v>
      </c>
      <c r="C19078" s="5" t="str">
        <f>IFERROR(__xludf.DUMMYFUNCTION("GOOGLETRANSLATE(B19078,""en"",""it"")"),"Quindi, la persona lava gli utensili durante la pulizia con il pennello.")</f>
        <v>Quindi, la persona lava gli utensili durante la pulizia con il pennello.</v>
      </c>
    </row>
    <row r="19079">
      <c r="A19079" s="4" t="s">
        <v>24005</v>
      </c>
      <c r="B19079" s="4" t="s">
        <v>24008</v>
      </c>
      <c r="C19079" s="5" t="str">
        <f>IFERROR(__xludf.DUMMYFUNCTION("GOOGLETRANSLATE(B19079,""en"",""it"")"),"Dopo, la persona versa la lavastoviglie in un bicchiere e una tazza, quindi spazzolare e risciacquare.")</f>
        <v>Dopo, la persona versa la lavastoviglie in un bicchiere e una tazza, quindi spazzolare e risciacquare.</v>
      </c>
    </row>
    <row r="19080">
      <c r="A19080" s="4" t="s">
        <v>24009</v>
      </c>
      <c r="B19080" s="4" t="s">
        <v>24010</v>
      </c>
      <c r="C19080" s="5" t="str">
        <f>IFERROR(__xludf.DUMMYFUNCTION("GOOGLETRANSLATE(B19080,""en"",""it"")"),"Un uomo guarda attraverso una finestra che due orsi si coprono mentre spazzola una scarpa.")</f>
        <v>Un uomo guarda attraverso una finestra che due orsi si coprono mentre spazzola una scarpa.</v>
      </c>
    </row>
    <row r="19081">
      <c r="A19081" s="4" t="s">
        <v>24009</v>
      </c>
      <c r="B19081" s="4" t="s">
        <v>24011</v>
      </c>
      <c r="C19081" s="5" t="str">
        <f>IFERROR(__xludf.DUMMYFUNCTION("GOOGLETRANSLATE(B19081,""en"",""it"")"),"Una ragazza entra nella stanza e vede gli orsi, poi lascia la stanza.")</f>
        <v>Una ragazza entra nella stanza e vede gli orsi, poi lascia la stanza.</v>
      </c>
    </row>
    <row r="19082">
      <c r="A19082" s="4" t="s">
        <v>24012</v>
      </c>
      <c r="B19082" s="4" t="s">
        <v>24013</v>
      </c>
      <c r="C19082" s="5" t="str">
        <f>IFERROR(__xludf.DUMMYFUNCTION("GOOGLETRANSLATE(B19082,""en"",""it"")"),"I bambini eseguono mosse di arti marziali in un dojo mentre gli adulti guardano.")</f>
        <v>I bambini eseguono mosse di arti marziali in un dojo mentre gli adulti guardano.</v>
      </c>
    </row>
    <row r="19083">
      <c r="A19083" s="4" t="s">
        <v>24012</v>
      </c>
      <c r="B19083" s="4" t="s">
        <v>24014</v>
      </c>
      <c r="C19083" s="5" t="str">
        <f>IFERROR(__xludf.DUMMYFUNCTION("GOOGLETRANSLATE(B19083,""en"",""it"")"),"Una ragazza si gira e si svolge, quindi si sposta dal centro.")</f>
        <v>Una ragazza si gira e si svolge, quindi si sposta dal centro.</v>
      </c>
    </row>
    <row r="19084">
      <c r="A19084" s="4" t="s">
        <v>24012</v>
      </c>
      <c r="B19084" s="4" t="s">
        <v>24015</v>
      </c>
      <c r="C19084" s="5" t="str">
        <f>IFERROR(__xludf.DUMMYFUNCTION("GOOGLETRANSLATE(B19084,""en"",""it"")"),"Un adolescente fa un giro dall'altra parte della stanza.")</f>
        <v>Un adolescente fa un giro dall'altra parte della stanza.</v>
      </c>
    </row>
    <row r="19085">
      <c r="A19085" s="4" t="s">
        <v>24012</v>
      </c>
      <c r="B19085" s="4" t="s">
        <v>24016</v>
      </c>
      <c r="C19085" s="5" t="str">
        <f>IFERROR(__xludf.DUMMYFUNCTION("GOOGLETRANSLATE(B19085,""en"",""it"")"),"Uno degli insegnanti si sposta al centro del pavimento.")</f>
        <v>Uno degli insegnanti si sposta al centro del pavimento.</v>
      </c>
    </row>
    <row r="19086">
      <c r="A19086" s="4" t="s">
        <v>24012</v>
      </c>
      <c r="B19086" s="4" t="s">
        <v>24017</v>
      </c>
      <c r="C19086" s="5" t="str">
        <f>IFERROR(__xludf.DUMMYFUNCTION("GOOGLETRANSLATE(B19086,""en"",""it"")"),"L'adolescente parla con un altro dei bambini e manda il ragazzo quando è il suo turno.")</f>
        <v>L'adolescente parla con un altro dei bambini e manda il ragazzo quando è il suo turno.</v>
      </c>
    </row>
    <row r="19087">
      <c r="A19087" s="4" t="s">
        <v>24012</v>
      </c>
      <c r="B19087" s="4" t="s">
        <v>24018</v>
      </c>
      <c r="C19087" s="5" t="str">
        <f>IFERROR(__xludf.DUMMYFUNCTION("GOOGLETRANSLATE(B19087,""en"",""it"")"),"L'adolescente tenta di fare in modo che un ragazzo spaventato si svolga ma il ragazzo rifiuta.")</f>
        <v>L'adolescente tenta di fare in modo che un ragazzo spaventato si svolga ma il ragazzo rifiuta.</v>
      </c>
    </row>
    <row r="19088">
      <c r="A19088" s="4" t="s">
        <v>24012</v>
      </c>
      <c r="B19088" s="4" t="s">
        <v>24019</v>
      </c>
      <c r="C19088" s="5" t="str">
        <f>IFERROR(__xludf.DUMMYFUNCTION("GOOGLETRANSLATE(B19088,""en"",""it"")"),"I bambini corrono tutti a terra.")</f>
        <v>I bambini corrono tutti a terra.</v>
      </c>
    </row>
    <row r="19089">
      <c r="A19089" s="4" t="s">
        <v>24020</v>
      </c>
      <c r="B19089" s="4" t="s">
        <v>24021</v>
      </c>
      <c r="C19089" s="5" t="str">
        <f>IFERROR(__xludf.DUMMYFUNCTION("GOOGLETRANSLATE(B19089,""en"",""it"")"),"Una donna balla in mezzo alla strada con un testimone.")</f>
        <v>Una donna balla in mezzo alla strada con un testimone.</v>
      </c>
    </row>
    <row r="19090">
      <c r="A19090" s="4" t="s">
        <v>24020</v>
      </c>
      <c r="B19090" s="4" t="s">
        <v>24022</v>
      </c>
      <c r="C19090" s="5" t="str">
        <f>IFERROR(__xludf.DUMMYFUNCTION("GOOGLETRANSLATE(B19090,""en"",""it"")"),"Fa gira e lancia il testimone mentre una piccola folla guarda.")</f>
        <v>Fa gira e lancia il testimone mentre una piccola folla guarda.</v>
      </c>
    </row>
    <row r="19091">
      <c r="A19091" s="4" t="s">
        <v>24020</v>
      </c>
      <c r="B19091" s="4" t="s">
        <v>24023</v>
      </c>
      <c r="C19091" s="5" t="str">
        <f>IFERROR(__xludf.DUMMYFUNCTION("GOOGLETRANSLATE(B19091,""en"",""it"")"),"Continua lungo la strada, esibendosi con il testimone.")</f>
        <v>Continua lungo la strada, esibendosi con il testimone.</v>
      </c>
    </row>
    <row r="19092">
      <c r="A19092" s="4" t="s">
        <v>24024</v>
      </c>
      <c r="B19092" s="4" t="s">
        <v>24025</v>
      </c>
      <c r="C19092" s="5" t="str">
        <f>IFERROR(__xludf.DUMMYFUNCTION("GOOGLETRANSLATE(B19092,""en"",""it"")"),"Nella neve, vari giovani uomini eseguono trucchi di snowboard davanti alla telecamera.")</f>
        <v>Nella neve, vari giovani uomini eseguono trucchi di snowboard davanti alla telecamera.</v>
      </c>
    </row>
    <row r="19093">
      <c r="A19093" s="4" t="s">
        <v>24024</v>
      </c>
      <c r="B19093" s="4" t="s">
        <v>24026</v>
      </c>
      <c r="C19093" s="5" t="str">
        <f>IFERROR(__xludf.DUMMYFUNCTION("GOOGLETRANSLATE(B19093,""en"",""it"")"),"Un uomo in una felpa blu salta giù da una scala.")</f>
        <v>Un uomo in una felpa blu salta giù da una scala.</v>
      </c>
    </row>
    <row r="19094">
      <c r="A19094" s="4" t="s">
        <v>24024</v>
      </c>
      <c r="B19094" s="6" t="s">
        <v>24027</v>
      </c>
      <c r="C19094" s="5" t="str">
        <f>IFERROR(__xludf.DUMMYFUNCTION("GOOGLETRANSLATE(B19094,""en"",""it"")"),"Un giovane in un vestito nero esegue un doppio trucco macinando una ringhiera e saltando giù per una scala.")</f>
        <v>Un giovane in un vestito nero esegue un doppio trucco macinando una ringhiera e saltando giù per una scala.</v>
      </c>
    </row>
    <row r="19095">
      <c r="A19095" s="4" t="s">
        <v>24024</v>
      </c>
      <c r="B19095" s="4" t="s">
        <v>24028</v>
      </c>
      <c r="C19095" s="5" t="str">
        <f>IFERROR(__xludf.DUMMYFUNCTION("GOOGLETRANSLATE(B19095,""en"",""it"")"),"Un uomo in una felpa viola macina una ringhiera delle scale.")</f>
        <v>Un uomo in una felpa viola macina una ringhiera delle scale.</v>
      </c>
    </row>
    <row r="19096">
      <c r="A19096" s="4" t="s">
        <v>24024</v>
      </c>
      <c r="B19096" s="4" t="s">
        <v>24029</v>
      </c>
      <c r="C19096" s="5" t="str">
        <f>IFERROR(__xludf.DUMMYFUNCTION("GOOGLETRANSLATE(B19096,""en"",""it"")"),"Un uomo in una felpa a strisce viola e nera salta giù da una scala.")</f>
        <v>Un uomo in una felpa a strisce viola e nera salta giù da una scala.</v>
      </c>
    </row>
    <row r="19097">
      <c r="A19097" s="4" t="s">
        <v>24024</v>
      </c>
      <c r="B19097" s="4" t="s">
        <v>24030</v>
      </c>
      <c r="C19097" s="5" t="str">
        <f>IFERROR(__xludf.DUMMYFUNCTION("GOOGLETRANSLATE(B19097,""en"",""it"")"),"L'uomo nella felpa blu macina una ringhiera e atterra elegantemente sul pavimento.")</f>
        <v>L'uomo nella felpa blu macina una ringhiera e atterra elegantemente sul pavimento.</v>
      </c>
    </row>
    <row r="19098">
      <c r="A19098" s="4" t="s">
        <v>24031</v>
      </c>
      <c r="B19098" s="4" t="s">
        <v>24032</v>
      </c>
      <c r="C19098" s="5" t="str">
        <f>IFERROR(__xludf.DUMMYFUNCTION("GOOGLETRANSLATE(B19098,""en"",""it"")"),"Un colpo di tramonto conduce in un folto gruppo di persone che cavalcano cammelli lungo la spiaggia.")</f>
        <v>Un colpo di tramonto conduce in un folto gruppo di persone che cavalcano cammelli lungo la spiaggia.</v>
      </c>
    </row>
    <row r="19099">
      <c r="A19099" s="4" t="s">
        <v>24031</v>
      </c>
      <c r="B19099" s="4" t="s">
        <v>24033</v>
      </c>
      <c r="C19099" s="5" t="str">
        <f>IFERROR(__xludf.DUMMYFUNCTION("GOOGLETRANSLATE(B19099,""en"",""it"")"),"Molte persone sono viste cavalcare i cammelli uno dopo l'altro sulla sabbia.")</f>
        <v>Molte persone sono viste cavalcare i cammelli uno dopo l'altro sulla sabbia.</v>
      </c>
    </row>
    <row r="19100">
      <c r="A19100" s="4" t="s">
        <v>24031</v>
      </c>
      <c r="B19100" s="4" t="s">
        <v>24034</v>
      </c>
      <c r="C19100" s="5" t="str">
        <f>IFERROR(__xludf.DUMMYFUNCTION("GOOGLETRANSLATE(B19100,""en"",""it"")"),"Il video continua a mostrare più persone che cavalcano i cammelli e altri che guidano nella parte anteriore.")</f>
        <v>Il video continua a mostrare più persone che cavalcano i cammelli e altri che guidano nella parte anteriore.</v>
      </c>
    </row>
    <row r="19101">
      <c r="A19101" s="4" t="s">
        <v>24035</v>
      </c>
      <c r="B19101" s="4" t="s">
        <v>24036</v>
      </c>
      <c r="C19101" s="5" t="str">
        <f>IFERROR(__xludf.DUMMYFUNCTION("GOOGLETRANSLATE(B19101,""en"",""it"")"),"Un uomo sta dipingendo il legno con il pennello, viene mostrato il legno.")</f>
        <v>Un uomo sta dipingendo il legno con il pennello, viene mostrato il legno.</v>
      </c>
    </row>
    <row r="19102">
      <c r="A19102" s="4" t="s">
        <v>24035</v>
      </c>
      <c r="B19102" s="4" t="s">
        <v>24037</v>
      </c>
      <c r="C19102" s="5" t="str">
        <f>IFERROR(__xludf.DUMMYFUNCTION("GOOGLETRANSLATE(B19102,""en"",""it"")"),"L'uomo sta dipingendo la recinzione con vernice marrone, quindi dipingendo il tavolo.")</f>
        <v>L'uomo sta dipingendo la recinzione con vernice marrone, quindi dipingendo il tavolo.</v>
      </c>
    </row>
    <row r="19103">
      <c r="A19103" s="4" t="s">
        <v>24035</v>
      </c>
      <c r="B19103" s="6" t="s">
        <v>24038</v>
      </c>
      <c r="C19103" s="5" t="str">
        <f>IFERROR(__xludf.DUMMYFUNCTION("GOOGLETRANSLATE(B19103,""en"",""it"")"),"L'uomo mescolò la vernice e poi iniziò a dipingere il tavolo di legno, poi puliva il pavimento e la spazzola.")</f>
        <v>L'uomo mescolò la vernice e poi iniziò a dipingere il tavolo di legno, poi puliva il pavimento e la spazzola.</v>
      </c>
    </row>
    <row r="19104">
      <c r="A19104" s="4" t="s">
        <v>24039</v>
      </c>
      <c r="B19104" s="6" t="s">
        <v>24040</v>
      </c>
      <c r="C19104" s="5" t="str">
        <f>IFERROR(__xludf.DUMMYFUNCTION("GOOGLETRANSLATE(B19104,""en"",""it"")"),"Una persona è vista seduta a un tavolo seguito da due persone che ballano l'una con l'altra e altre sedute a guardare.")</f>
        <v>Una persona è vista seduta a un tavolo seguito da due persone che ballano l'una con l'altra e altre sedute a guardare.</v>
      </c>
    </row>
    <row r="19105">
      <c r="A19105" s="4" t="s">
        <v>24039</v>
      </c>
      <c r="B19105" s="6" t="s">
        <v>24041</v>
      </c>
      <c r="C19105" s="5" t="str">
        <f>IFERROR(__xludf.DUMMYFUNCTION("GOOGLETRANSLATE(B19105,""en"",""it"")"),"Le persone continuano a ballare l'una verso l'altra e finiscono fermandosi e avendo altre due balli accanto a loro.")</f>
        <v>Le persone continuano a ballare l'una verso l'altra e finiscono fermandosi e avendo altre due balli accanto a loro.</v>
      </c>
    </row>
    <row r="19106">
      <c r="A19106" s="4" t="s">
        <v>24042</v>
      </c>
      <c r="B19106" s="4" t="s">
        <v>24043</v>
      </c>
      <c r="C19106" s="5" t="str">
        <f>IFERROR(__xludf.DUMMYFUNCTION("GOOGLETRANSLATE(B19106,""en"",""it"")"),"Vediamo uno schermo di apertura con uno sfondo nero.")</f>
        <v>Vediamo uno schermo di apertura con uno sfondo nero.</v>
      </c>
    </row>
    <row r="19107">
      <c r="A19107" s="4" t="s">
        <v>24042</v>
      </c>
      <c r="B19107" s="4" t="s">
        <v>24044</v>
      </c>
      <c r="C19107" s="5" t="str">
        <f>IFERROR(__xludf.DUMMYFUNCTION("GOOGLETRANSLATE(B19107,""en"",""it"")"),"Vediamo molte persone che muovono la neve con pala, scope, pentole e ciotole.")</f>
        <v>Vediamo molte persone che muovono la neve con pala, scope, pentole e ciotole.</v>
      </c>
    </row>
    <row r="19108">
      <c r="A19108" s="4" t="s">
        <v>24042</v>
      </c>
      <c r="B19108" s="4" t="s">
        <v>24045</v>
      </c>
      <c r="C19108" s="5" t="str">
        <f>IFERROR(__xludf.DUMMYFUNCTION("GOOGLETRANSLATE(B19108,""en"",""it"")"),"Un uomo si spinge con una padella a dist seguita da donne con una zappa e un piatto.")</f>
        <v>Un uomo si spinge con una padella a dist seguita da donne con una zappa e un piatto.</v>
      </c>
    </row>
    <row r="19109">
      <c r="A19109" s="4" t="s">
        <v>24042</v>
      </c>
      <c r="B19109" s="4" t="s">
        <v>24046</v>
      </c>
      <c r="C19109" s="5" t="str">
        <f>IFERROR(__xludf.DUMMYFUNCTION("GOOGLETRANSLATE(B19109,""en"",""it"")"),"Un uomo getta neve su una signora.")</f>
        <v>Un uomo getta neve su una signora.</v>
      </c>
    </row>
    <row r="19110">
      <c r="A19110" s="4" t="s">
        <v>24042</v>
      </c>
      <c r="B19110" s="4" t="s">
        <v>24047</v>
      </c>
      <c r="C19110" s="5" t="str">
        <f>IFERROR(__xludf.DUMMYFUNCTION("GOOGLETRANSLATE(B19110,""en"",""it"")"),"Un uomo getta la neve sulle persone.")</f>
        <v>Un uomo getta la neve sulle persone.</v>
      </c>
    </row>
    <row r="19111">
      <c r="A19111" s="4" t="s">
        <v>24042</v>
      </c>
      <c r="B19111" s="4" t="s">
        <v>24048</v>
      </c>
      <c r="C19111" s="5" t="str">
        <f>IFERROR(__xludf.DUMMYFUNCTION("GOOGLETRANSLATE(B19111,""en"",""it"")"),"Una persona è bloccata nella neve è sepolta da altri.")</f>
        <v>Una persona è bloccata nella neve è sepolta da altri.</v>
      </c>
    </row>
    <row r="19112">
      <c r="A19112" s="4" t="s">
        <v>24042</v>
      </c>
      <c r="B19112" s="4" t="s">
        <v>24049</v>
      </c>
      <c r="C19112" s="5" t="str">
        <f>IFERROR(__xludf.DUMMYFUNCTION("GOOGLETRANSLATE(B19112,""en"",""it"")"),"Una signora parla alla telecamera e diventa in bianco e nero.")</f>
        <v>Una signora parla alla telecamera e diventa in bianco e nero.</v>
      </c>
    </row>
    <row r="19113">
      <c r="A19113" s="4" t="s">
        <v>24042</v>
      </c>
      <c r="B19113" s="4" t="s">
        <v>24050</v>
      </c>
      <c r="C19113" s="5" t="str">
        <f>IFERROR(__xludf.DUMMYFUNCTION("GOOGLETRANSLATE(B19113,""en"",""it"")"),"Le persone sono angeli di neve ingiustificati.")</f>
        <v>Le persone sono angeli di neve ingiustificati.</v>
      </c>
    </row>
    <row r="19114">
      <c r="A19114" s="4" t="s">
        <v>24042</v>
      </c>
      <c r="B19114" s="4" t="s">
        <v>24051</v>
      </c>
      <c r="C19114" s="5" t="str">
        <f>IFERROR(__xludf.DUMMYFUNCTION("GOOGLETRANSLATE(B19114,""en"",""it"")"),"Vediamo i crediti di chiusura del video.")</f>
        <v>Vediamo i crediti di chiusura del video.</v>
      </c>
    </row>
    <row r="19115">
      <c r="A19115" s="4" t="s">
        <v>24052</v>
      </c>
      <c r="B19115" s="4" t="s">
        <v>24053</v>
      </c>
      <c r="C19115" s="5" t="str">
        <f>IFERROR(__xludf.DUMMYFUNCTION("GOOGLETRANSLATE(B19115,""en"",""it"")"),"Una donna di mezza età viene mostrata accovacciata a raccogliere la neve e scaricarlo in pila.")</f>
        <v>Una donna di mezza età viene mostrata accovacciata a raccogliere la neve e scaricarlo in pila.</v>
      </c>
    </row>
    <row r="19116">
      <c r="A19116" s="4" t="s">
        <v>24052</v>
      </c>
      <c r="B19116" s="4" t="s">
        <v>24054</v>
      </c>
      <c r="C19116" s="5" t="str">
        <f>IFERROR(__xludf.DUMMYFUNCTION("GOOGLETRANSLATE(B19116,""en"",""it"")"),"Quindi cammina verso la telecamera e tira fuori la lingua.")</f>
        <v>Quindi cammina verso la telecamera e tira fuori la lingua.</v>
      </c>
    </row>
    <row r="19117">
      <c r="A19117" s="4" t="s">
        <v>24055</v>
      </c>
      <c r="B19117" s="4" t="s">
        <v>24056</v>
      </c>
      <c r="C19117" s="5" t="str">
        <f>IFERROR(__xludf.DUMMYFUNCTION("GOOGLETRANSLATE(B19117,""en"",""it"")"),"Una donna accende una sigaretta davanti alla telecamera.")</f>
        <v>Una donna accende una sigaretta davanti alla telecamera.</v>
      </c>
    </row>
    <row r="19118">
      <c r="A19118" s="4" t="s">
        <v>24055</v>
      </c>
      <c r="B19118" s="4" t="s">
        <v>24057</v>
      </c>
      <c r="C19118" s="5" t="str">
        <f>IFERROR(__xludf.DUMMYFUNCTION("GOOGLETRANSLATE(B19118,""en"",""it"")"),"Si toglie la sigaretta.")</f>
        <v>Si toglie la sigaretta.</v>
      </c>
    </row>
    <row r="19119">
      <c r="A19119" s="4" t="s">
        <v>24055</v>
      </c>
      <c r="B19119" s="4" t="s">
        <v>24058</v>
      </c>
      <c r="C19119" s="5" t="str">
        <f>IFERROR(__xludf.DUMMYFUNCTION("GOOGLETRANSLATE(B19119,""en"",""it"")"),"Fa il fumo alla telecamera e sorride.")</f>
        <v>Fa il fumo alla telecamera e sorride.</v>
      </c>
    </row>
    <row r="19120">
      <c r="A19120" s="4" t="s">
        <v>24055</v>
      </c>
      <c r="B19120" s="4" t="s">
        <v>24059</v>
      </c>
      <c r="C19120" s="5" t="str">
        <f>IFERROR(__xludf.DUMMYFUNCTION("GOOGLETRANSLATE(B19120,""en"",""it"")"),"Prende un'altra tiratura della sigaretta e fa esplodere il fumo.")</f>
        <v>Prende un'altra tiratura della sigaretta e fa esplodere il fumo.</v>
      </c>
    </row>
    <row r="19121">
      <c r="A19121" s="4" t="s">
        <v>24055</v>
      </c>
      <c r="B19121" s="4" t="s">
        <v>24060</v>
      </c>
      <c r="C19121" s="5" t="str">
        <f>IFERROR(__xludf.DUMMYFUNCTION("GOOGLETRANSLATE(B19121,""en"",""it"")"),"Gioca con i capelli.")</f>
        <v>Gioca con i capelli.</v>
      </c>
    </row>
    <row r="19122">
      <c r="A19122" s="4" t="s">
        <v>24055</v>
      </c>
      <c r="B19122" s="4" t="s">
        <v>24061</v>
      </c>
      <c r="C19122" s="5" t="str">
        <f>IFERROR(__xludf.DUMMYFUNCTION("GOOGLETRANSLATE(B19122,""en"",""it"")"),"Quindi continua a fumare la sigaretta mentre si guarda intorno.")</f>
        <v>Quindi continua a fumare la sigaretta mentre si guarda intorno.</v>
      </c>
    </row>
    <row r="19123">
      <c r="A19123" s="4" t="s">
        <v>24062</v>
      </c>
      <c r="B19123" s="4" t="s">
        <v>24063</v>
      </c>
      <c r="C19123" s="5" t="str">
        <f>IFERROR(__xludf.DUMMYFUNCTION("GOOGLETRANSLATE(B19123,""en"",""it"")"),"Un piccolo gruppo di persone è visto su un palco preparare i propri strumenti.")</f>
        <v>Un piccolo gruppo di persone è visto su un palco preparare i propri strumenti.</v>
      </c>
    </row>
    <row r="19124">
      <c r="A19124" s="4" t="s">
        <v>24062</v>
      </c>
      <c r="B19124" s="4" t="s">
        <v>24064</v>
      </c>
      <c r="C19124" s="5" t="str">
        <f>IFERROR(__xludf.DUMMYFUNCTION("GOOGLETRANSLATE(B19124,""en"",""it"")"),"Una donna inizia a suonare la batteria mentre un'altra suona piano e gli altri guardano.")</f>
        <v>Una donna inizia a suonare la batteria mentre un'altra suona piano e gli altri guardano.</v>
      </c>
    </row>
    <row r="19125">
      <c r="A19125" s="4" t="s">
        <v>24062</v>
      </c>
      <c r="B19125" s="4" t="s">
        <v>24065</v>
      </c>
      <c r="C19125" s="5" t="str">
        <f>IFERROR(__xludf.DUMMYFUNCTION("GOOGLETRANSLATE(B19125,""en"",""it"")"),"I due continuano a suonare i loro strumenti e altri sull'orologio laterale.")</f>
        <v>I due continuano a suonare i loro strumenti e altri sull'orologio laterale.</v>
      </c>
    </row>
    <row r="19126">
      <c r="A19126" s="4" t="s">
        <v>24066</v>
      </c>
      <c r="B19126" s="4" t="s">
        <v>24067</v>
      </c>
      <c r="C19126" s="5" t="str">
        <f>IFERROR(__xludf.DUMMYFUNCTION("GOOGLETRANSLATE(B19126,""en"",""it"")"),"Due uomini smantellano rapidamente un camino rosso.")</f>
        <v>Due uomini smantellano rapidamente un camino rosso.</v>
      </c>
    </row>
    <row r="19127">
      <c r="A19127" s="4" t="s">
        <v>24066</v>
      </c>
      <c r="B19127" s="4" t="s">
        <v>24068</v>
      </c>
      <c r="C19127" s="5" t="str">
        <f>IFERROR(__xludf.DUMMYFUNCTION("GOOGLETRANSLATE(B19127,""en"",""it"")"),"Un uomo mette il legno sul buco spalancato.")</f>
        <v>Un uomo mette il legno sul buco spalancato.</v>
      </c>
    </row>
    <row r="19128">
      <c r="A19128" s="4" t="s">
        <v>24066</v>
      </c>
      <c r="B19128" s="4" t="s">
        <v>24069</v>
      </c>
      <c r="C19128" s="5" t="str">
        <f>IFERROR(__xludf.DUMMYFUNCTION("GOOGLETRANSLATE(B19128,""en"",""it"")"),"L'uomo quindi copre il legno con l'herpes zoster.")</f>
        <v>L'uomo quindi copre il legno con l'herpes zoster.</v>
      </c>
    </row>
    <row r="19129">
      <c r="A19129" s="4" t="s">
        <v>24070</v>
      </c>
      <c r="B19129" s="4" t="s">
        <v>24071</v>
      </c>
      <c r="C19129" s="5" t="str">
        <f>IFERROR(__xludf.DUMMYFUNCTION("GOOGLETRANSLATE(B19129,""en"",""it"")"),"Vediamo una persona che taglia un frutto.")</f>
        <v>Vediamo una persona che taglia un frutto.</v>
      </c>
    </row>
    <row r="19130">
      <c r="A19130" s="4" t="s">
        <v>24070</v>
      </c>
      <c r="B19130" s="4" t="s">
        <v>24072</v>
      </c>
      <c r="C19130" s="5" t="str">
        <f>IFERROR(__xludf.DUMMYFUNCTION("GOOGLETRANSLATE(B19130,""en"",""it"")"),"La persona quindi taglia la porzione tritata.")</f>
        <v>La persona quindi taglia la porzione tritata.</v>
      </c>
    </row>
    <row r="19131">
      <c r="A19131" s="4" t="s">
        <v>24070</v>
      </c>
      <c r="B19131" s="4" t="s">
        <v>24073</v>
      </c>
      <c r="C19131" s="5" t="str">
        <f>IFERROR(__xludf.DUMMYFUNCTION("GOOGLETRANSLATE(B19131,""en"",""it"")"),"La persona taglia di nuovo il frutto e taglia la parte tritata.")</f>
        <v>La persona taglia di nuovo il frutto e taglia la parte tritata.</v>
      </c>
    </row>
    <row r="19132">
      <c r="A19132" s="4" t="s">
        <v>24070</v>
      </c>
      <c r="B19132" s="4" t="s">
        <v>24074</v>
      </c>
      <c r="C19132" s="5" t="str">
        <f>IFERROR(__xludf.DUMMYFUNCTION("GOOGLETRANSLATE(B19132,""en"",""it"")"),"La persona raccoglie una fetta dalla ciotola e la taglia.")</f>
        <v>La persona raccoglie una fetta dalla ciotola e la taglia.</v>
      </c>
    </row>
    <row r="19133">
      <c r="A19133" s="4" t="s">
        <v>24070</v>
      </c>
      <c r="B19133" s="4" t="s">
        <v>24075</v>
      </c>
      <c r="C19133" s="5" t="str">
        <f>IFERROR(__xludf.DUMMYFUNCTION("GOOGLETRANSLATE(B19133,""en"",""it"")"),"Vediamo quindi la persona tagliare e tagliare di più.")</f>
        <v>Vediamo quindi la persona tagliare e tagliare di più.</v>
      </c>
    </row>
    <row r="19134">
      <c r="A19134" s="4" t="s">
        <v>24070</v>
      </c>
      <c r="B19134" s="4" t="s">
        <v>24076</v>
      </c>
      <c r="C19134" s="5" t="str">
        <f>IFERROR(__xludf.DUMMYFUNCTION("GOOGLETRANSLATE(B19134,""en"",""it"")"),"La persona raccoglie i pezzi dai pantaloni.")</f>
        <v>La persona raccoglie i pezzi dai pantaloni.</v>
      </c>
    </row>
    <row r="19135">
      <c r="A19135" s="4" t="s">
        <v>24077</v>
      </c>
      <c r="B19135" s="4" t="s">
        <v>24078</v>
      </c>
      <c r="C19135" s="5" t="str">
        <f>IFERROR(__xludf.DUMMYFUNCTION("GOOGLETRANSLATE(B19135,""en"",""it"")"),"Un ragazzo viene visto tenere un bastone mentre altre persone guardano e applaudono a margine.")</f>
        <v>Un ragazzo viene visto tenere un bastone mentre altre persone guardano e applaudono a margine.</v>
      </c>
    </row>
    <row r="19136">
      <c r="A19136" s="4" t="s">
        <v>24077</v>
      </c>
      <c r="B19136" s="6" t="s">
        <v>24079</v>
      </c>
      <c r="C19136" s="5" t="str">
        <f>IFERROR(__xludf.DUMMYFUNCTION("GOOGLETRANSLATE(B19136,""en"",""it"")"),"Il ragazzo che tiene il bastone esegue una routine di arti marziali di fronte alla gente e termina con una posa mentre tutti intorno a lui applausi.")</f>
        <v>Il ragazzo che tiene il bastone esegue una routine di arti marziali di fronte alla gente e termina con una posa mentre tutti intorno a lui applausi.</v>
      </c>
    </row>
    <row r="19137">
      <c r="A19137" s="4" t="s">
        <v>24080</v>
      </c>
      <c r="B19137" s="4" t="s">
        <v>24081</v>
      </c>
      <c r="C19137" s="5" t="str">
        <f>IFERROR(__xludf.DUMMYFUNCTION("GOOGLETRANSLATE(B19137,""en"",""it"")"),"Un uomo viene visto dare alla telecamera un cartello di un pezzo mentre altri intorno a lui parlano e si preparano.")</f>
        <v>Un uomo viene visto dare alla telecamera un cartello di un pezzo mentre altri intorno a lui parlano e si preparano.</v>
      </c>
    </row>
    <row r="19138">
      <c r="A19138" s="4" t="s">
        <v>24080</v>
      </c>
      <c r="B19138" s="4" t="s">
        <v>24082</v>
      </c>
      <c r="C19138" s="5" t="str">
        <f>IFERROR(__xludf.DUMMYFUNCTION("GOOGLETRANSLATE(B19138,""en"",""it"")"),"Un uomo viene quindi visto salire su una piattaforma e saltare di lato.")</f>
        <v>Un uomo viene quindi visto salire su una piattaforma e saltare di lato.</v>
      </c>
    </row>
    <row r="19139">
      <c r="A19139" s="4" t="s">
        <v>24083</v>
      </c>
      <c r="B19139" s="4" t="s">
        <v>24084</v>
      </c>
      <c r="C19139" s="5" t="str">
        <f>IFERROR(__xludf.DUMMYFUNCTION("GOOGLETRANSLATE(B19139,""en"",""it"")"),"Un uomo compete in una canoa in un fiume che sposta il remo molto velocemente.")</f>
        <v>Un uomo compete in una canoa in un fiume che sposta il remo molto velocemente.</v>
      </c>
    </row>
    <row r="19140">
      <c r="A19140" s="4" t="s">
        <v>24083</v>
      </c>
      <c r="B19140" s="4" t="s">
        <v>24085</v>
      </c>
      <c r="C19140" s="5" t="str">
        <f>IFERROR(__xludf.DUMMYFUNCTION("GOOGLETRANSLATE(B19140,""en"",""it"")"),"Quindi, l'uomo passa acque turbolente.")</f>
        <v>Quindi, l'uomo passa acque turbolente.</v>
      </c>
    </row>
    <row r="19141">
      <c r="A19141" s="4" t="s">
        <v>24086</v>
      </c>
      <c r="B19141" s="4" t="s">
        <v>24087</v>
      </c>
      <c r="C19141" s="5" t="str">
        <f>IFERROR(__xludf.DUMMYFUNCTION("GOOGLETRANSLATE(B19141,""en"",""it"")"),"La parola ehow appare sullo schermo.")</f>
        <v>La parola ehow appare sullo schermo.</v>
      </c>
    </row>
    <row r="19142">
      <c r="A19142" s="4" t="s">
        <v>24086</v>
      </c>
      <c r="B19142" s="4" t="s">
        <v>24088</v>
      </c>
      <c r="C19142" s="5" t="str">
        <f>IFERROR(__xludf.DUMMYFUNCTION("GOOGLETRANSLATE(B19142,""en"",""it"")"),"Vediamo una donna vestita di rosso in piedi in una stanza di una casa.")</f>
        <v>Vediamo una donna vestita di rosso in piedi in una stanza di una casa.</v>
      </c>
    </row>
    <row r="19143">
      <c r="A19143" s="4" t="s">
        <v>24086</v>
      </c>
      <c r="B19143" s="4" t="s">
        <v>24089</v>
      </c>
      <c r="C19143" s="5" t="str">
        <f>IFERROR(__xludf.DUMMYFUNCTION("GOOGLETRANSLATE(B19143,""en"",""it"")"),"Sta parlando di un tavolo di fronte a lei.")</f>
        <v>Sta parlando di un tavolo di fronte a lei.</v>
      </c>
    </row>
    <row r="19144">
      <c r="A19144" s="4" t="s">
        <v>24086</v>
      </c>
      <c r="B19144" s="6" t="s">
        <v>24090</v>
      </c>
      <c r="C19144" s="5" t="str">
        <f>IFERROR(__xludf.DUMMYFUNCTION("GOOGLETRANSLATE(B19144,""en"",""it"")"),"Raccoglie un po 'di lucido per mobili e lo applica al legno, lucidandolo con una calza che ha messo in mano.")</f>
        <v>Raccoglie un po 'di lucido per mobili e lo applica al legno, lucidandolo con una calza che ha messo in mano.</v>
      </c>
    </row>
    <row r="19145">
      <c r="A19145" s="4" t="s">
        <v>24091</v>
      </c>
      <c r="B19145" s="6" t="s">
        <v>24092</v>
      </c>
      <c r="C19145" s="5" t="str">
        <f>IFERROR(__xludf.DUMMYFUNCTION("GOOGLETRANSLATE(B19145,""en"",""it"")"),"Viene vista una donna parlare alla telecamera mentre si tiene su un pezzo di attrezzatura da esercizio con le braccia.")</f>
        <v>Viene vista una donna parlare alla telecamera mentre si tiene su un pezzo di attrezzatura da esercizio con le braccia.</v>
      </c>
    </row>
    <row r="19146">
      <c r="A19146" s="4" t="s">
        <v>24091</v>
      </c>
      <c r="B19146" s="4" t="s">
        <v>24093</v>
      </c>
      <c r="C19146" s="5" t="str">
        <f>IFERROR(__xludf.DUMMYFUNCTION("GOOGLETRANSLATE(B19146,""en"",""it"")"),"Sposta la macchina indietro e quarto mentre ride e sorride alla telecamera.")</f>
        <v>Sposta la macchina indietro e quarto mentre ride e sorride alla telecamera.</v>
      </c>
    </row>
    <row r="19147">
      <c r="A19147" s="4" t="s">
        <v>24094</v>
      </c>
      <c r="B19147" s="4" t="s">
        <v>24095</v>
      </c>
      <c r="C19147" s="5" t="str">
        <f>IFERROR(__xludf.DUMMYFUNCTION("GOOGLETRANSLATE(B19147,""en"",""it"")"),"In una sfera di cristallo scuro, un'aspetto alieno sta guardando i personaggi all'interno.")</f>
        <v>In una sfera di cristallo scuro, un'aspetto alieno sta guardando i personaggi all'interno.</v>
      </c>
    </row>
    <row r="19148">
      <c r="A19148" s="4" t="s">
        <v>24094</v>
      </c>
      <c r="B19148" s="6" t="s">
        <v>24096</v>
      </c>
      <c r="C19148" s="5" t="str">
        <f>IFERROR(__xludf.DUMMYFUNCTION("GOOGLETRANSLATE(B19148,""en"",""it"")"),"Tre uomini giocano a carta, forbice, bastone e pietra mentre le creature con colori diversi li guardano con shock.")</f>
        <v>Tre uomini giocano a carta, forbice, bastone e pietra mentre le creature con colori diversi li guardano con shock.</v>
      </c>
    </row>
    <row r="19149">
      <c r="A19149" s="4" t="s">
        <v>24094</v>
      </c>
      <c r="B19149" s="4" t="s">
        <v>24097</v>
      </c>
      <c r="C19149" s="5" t="str">
        <f>IFERROR(__xludf.DUMMYFUNCTION("GOOGLETRANSLATE(B19149,""en"",""it"")"),"Un personaggio ha vinto usando Scissor, ha poi parlato con le persone intorno a lui.")</f>
        <v>Un personaggio ha vinto usando Scissor, ha poi parlato con le persone intorno a lui.</v>
      </c>
    </row>
    <row r="19150">
      <c r="A19150" s="4" t="s">
        <v>24098</v>
      </c>
      <c r="B19150" s="4" t="s">
        <v>24099</v>
      </c>
      <c r="C19150" s="5" t="str">
        <f>IFERROR(__xludf.DUMMYFUNCTION("GOOGLETRANSLATE(B19150,""en"",""it"")"),"Una donna si piega e solleva un peso forte sopra la testa.")</f>
        <v>Una donna si piega e solleva un peso forte sopra la testa.</v>
      </c>
    </row>
    <row r="19151">
      <c r="A19151" s="4" t="s">
        <v>24098</v>
      </c>
      <c r="B19151" s="4" t="s">
        <v>24100</v>
      </c>
      <c r="C19151" s="5" t="str">
        <f>IFERROR(__xludf.DUMMYFUNCTION("GOOGLETRANSLATE(B19151,""en"",""it"")"),"Le persone sono sedute dietro di loro sulle panchine.")</f>
        <v>Le persone sono sedute dietro di loro sulle panchine.</v>
      </c>
    </row>
    <row r="19152">
      <c r="A19152" s="4" t="s">
        <v>24098</v>
      </c>
      <c r="B19152" s="4" t="s">
        <v>24101</v>
      </c>
      <c r="C19152" s="5" t="str">
        <f>IFERROR(__xludf.DUMMYFUNCTION("GOOGLETRANSLATE(B19152,""en"",""it"")"),"Molte altre persone continuano a sollevare i pesi.")</f>
        <v>Molte altre persone continuano a sollevare i pesi.</v>
      </c>
    </row>
    <row r="19153">
      <c r="A19153" s="4" t="s">
        <v>24102</v>
      </c>
      <c r="B19153" s="6" t="s">
        <v>24103</v>
      </c>
      <c r="C19153" s="5" t="str">
        <f>IFERROR(__xludf.DUMMYFUNCTION("GOOGLETRANSLATE(B19153,""en"",""it"")"),"Viene vista una donna parlare alla telecamera in modo aggressivo e porta a sollevarsi un tetto di hula.")</f>
        <v>Viene vista una donna parlare alla telecamera in modo aggressivo e porta a sollevarsi un tetto di hula.</v>
      </c>
    </row>
    <row r="19154">
      <c r="A19154" s="4" t="s">
        <v>24102</v>
      </c>
      <c r="B19154" s="6" t="s">
        <v>24104</v>
      </c>
      <c r="C19154" s="5" t="str">
        <f>IFERROR(__xludf.DUMMYFUNCTION("GOOGLETRANSLATE(B19154,""en"",""it"")"),"La donna tenta di Hula Hoop più volte e riesce a usarlo sul collo e piegandosi alla telecamera.")</f>
        <v>La donna tenta di Hula Hoop più volte e riesce a usarlo sul collo e piegandosi alla telecamera.</v>
      </c>
    </row>
    <row r="19155">
      <c r="A19155" s="4" t="s">
        <v>24105</v>
      </c>
      <c r="B19155" s="4" t="s">
        <v>24106</v>
      </c>
      <c r="C19155" s="5" t="str">
        <f>IFERROR(__xludf.DUMMYFUNCTION("GOOGLETRANSLATE(B19155,""en"",""it"")"),"Una donna in abito rosa sta tagliando la zampa destra di un gatto bianco che è seduto in grembo.")</f>
        <v>Una donna in abito rosa sta tagliando la zampa destra di un gatto bianco che è seduto in grembo.</v>
      </c>
    </row>
    <row r="19156">
      <c r="A19156" s="4" t="s">
        <v>24105</v>
      </c>
      <c r="B19156" s="6" t="s">
        <v>24107</v>
      </c>
      <c r="C19156" s="5" t="str">
        <f>IFERROR(__xludf.DUMMYFUNCTION("GOOGLETRANSLATE(B19156,""en"",""it"")"),"Prese la zampa sinistra per agganciare, il gatto alzò lo sguardo e la donna guardò in basso e le diede un rapido bacio in testa.")</f>
        <v>Prese la zampa sinistra per agganciare, il gatto alzò lo sguardo e la donna guardò in basso e le diede un rapido bacio in testa.</v>
      </c>
    </row>
    <row r="19157">
      <c r="A19157" s="4" t="s">
        <v>24105</v>
      </c>
      <c r="B19157" s="4" t="s">
        <v>24108</v>
      </c>
      <c r="C19157" s="5" t="str">
        <f>IFERROR(__xludf.DUMMYFUNCTION("GOOGLETRANSLATE(B19157,""en"",""it"")"),"Il gatto alzò lo sguardo mentre la donna taglia la zampa destra del gatto.")</f>
        <v>Il gatto alzò lo sguardo mentre la donna taglia la zampa destra del gatto.</v>
      </c>
    </row>
    <row r="19158">
      <c r="A19158" s="4" t="s">
        <v>24105</v>
      </c>
      <c r="B19158" s="4" t="s">
        <v>24109</v>
      </c>
      <c r="C19158" s="5" t="str">
        <f>IFERROR(__xludf.DUMMYFUNCTION("GOOGLETRANSLATE(B19158,""en"",""it"")"),"Mentre la donna sta ritagliando la zampa sinistra, il gatto sbatteva lampeggiante per la telecamera.")</f>
        <v>Mentre la donna sta ritagliando la zampa sinistra, il gatto sbatteva lampeggiante per la telecamera.</v>
      </c>
    </row>
    <row r="19159">
      <c r="A19159" s="4" t="s">
        <v>24110</v>
      </c>
      <c r="B19159" s="4" t="s">
        <v>24111</v>
      </c>
      <c r="C19159" s="5" t="str">
        <f>IFERROR(__xludf.DUMMYFUNCTION("GOOGLETRANSLATE(B19159,""en"",""it"")"),"Due uomini sono visti in una stanza e parlano alla telecamera mentre tengono le racchette.")</f>
        <v>Due uomini sono visti in una stanza e parlano alla telecamera mentre tengono le racchette.</v>
      </c>
    </row>
    <row r="19160">
      <c r="A19160" s="4" t="s">
        <v>24110</v>
      </c>
      <c r="B19160" s="6" t="s">
        <v>24112</v>
      </c>
      <c r="C19160" s="5" t="str">
        <f>IFERROR(__xludf.DUMMYFUNCTION("GOOGLETRANSLATE(B19160,""en"",""it"")"),"I due quindi colpiscono continuamente la palla attorno all'area chiusa e quarta e indicano la fotocamera con una racchetta e corrono in giro.")</f>
        <v>I due quindi colpiscono continuamente la palla attorno all'area chiusa e quarta e indicano la fotocamera con una racchetta e corrono in giro.</v>
      </c>
    </row>
    <row r="19161">
      <c r="A19161" s="4" t="s">
        <v>24113</v>
      </c>
      <c r="B19161" s="4" t="s">
        <v>24114</v>
      </c>
      <c r="C19161" s="5" t="str">
        <f>IFERROR(__xludf.DUMMYFUNCTION("GOOGLETRANSLATE(B19161,""en"",""it"")"),"Un gruppo di numerose persone sta camminando per una strada pubblica.")</f>
        <v>Un gruppo di numerose persone sta camminando per una strada pubblica.</v>
      </c>
    </row>
    <row r="19162">
      <c r="A19162" s="4" t="s">
        <v>24113</v>
      </c>
      <c r="B19162" s="4" t="s">
        <v>24115</v>
      </c>
      <c r="C19162" s="5" t="str">
        <f>IFERROR(__xludf.DUMMYFUNCTION("GOOGLETRANSLATE(B19162,""en"",""it"")"),"Una coppia sta camminando a un pitbull al guinzaglio.")</f>
        <v>Una coppia sta camminando a un pitbull al guinzaglio.</v>
      </c>
    </row>
    <row r="19163">
      <c r="A19163" s="4" t="s">
        <v>24113</v>
      </c>
      <c r="B19163" s="4" t="s">
        <v>24116</v>
      </c>
      <c r="C19163" s="5" t="str">
        <f>IFERROR(__xludf.DUMMYFUNCTION("GOOGLETRANSLATE(B19163,""en"",""it"")"),"Vediamo fumo fluttuante da un edificio mentre le persone si allontanano.")</f>
        <v>Vediamo fumo fluttuante da un edificio mentre le persone si allontanano.</v>
      </c>
    </row>
    <row r="19164">
      <c r="A19164" s="4" t="s">
        <v>24117</v>
      </c>
      <c r="B19164" s="4" t="s">
        <v>24118</v>
      </c>
      <c r="C19164" s="5" t="str">
        <f>IFERROR(__xludf.DUMMYFUNCTION("GOOGLETRANSLATE(B19164,""en"",""it"")"),"Due lavoratori sono mostrati in un negozio all'aperto.")</f>
        <v>Due lavoratori sono mostrati in un negozio all'aperto.</v>
      </c>
    </row>
    <row r="19165">
      <c r="A19165" s="4" t="s">
        <v>24117</v>
      </c>
      <c r="B19165" s="4" t="s">
        <v>24119</v>
      </c>
      <c r="C19165" s="5" t="str">
        <f>IFERROR(__xludf.DUMMYFUNCTION("GOOGLETRANSLATE(B19165,""en"",""it"")"),"Stanno lavando le auto con sapone, comprese le gomme di Maserati.")</f>
        <v>Stanno lavando le auto con sapone, comprese le gomme di Maserati.</v>
      </c>
    </row>
    <row r="19166">
      <c r="A19166" s="4" t="s">
        <v>24117</v>
      </c>
      <c r="B19166" s="4" t="s">
        <v>24120</v>
      </c>
      <c r="C19166" s="5" t="str">
        <f>IFERROR(__xludf.DUMMYFUNCTION("GOOGLETRANSLATE(B19166,""en"",""it"")"),"Quindi sciacquano le macchine e le pulite.")</f>
        <v>Quindi sciacquano le macchine e le pulite.</v>
      </c>
    </row>
    <row r="19167">
      <c r="A19167" s="4" t="s">
        <v>24117</v>
      </c>
      <c r="B19167" s="4" t="s">
        <v>24121</v>
      </c>
      <c r="C19167" s="5" t="str">
        <f>IFERROR(__xludf.DUMMYFUNCTION("GOOGLETRANSLATE(B19167,""en"",""it"")"),"Il prodotto finale è mostrato come un'auto italiana pulita e lucida.")</f>
        <v>Il prodotto finale è mostrato come un'auto italiana pulita e lucida.</v>
      </c>
    </row>
    <row r="19168">
      <c r="A19168" s="4" t="s">
        <v>24122</v>
      </c>
      <c r="B19168" s="4" t="s">
        <v>24123</v>
      </c>
      <c r="C19168" s="5" t="str">
        <f>IFERROR(__xludf.DUMMYFUNCTION("GOOGLETRANSLATE(B19168,""en"",""it"")"),"Un uomo tiene in mano una tavola da surf.")</f>
        <v>Un uomo tiene in mano una tavola da surf.</v>
      </c>
    </row>
    <row r="19169">
      <c r="A19169" s="4" t="s">
        <v>24122</v>
      </c>
      <c r="B19169" s="4" t="s">
        <v>24124</v>
      </c>
      <c r="C19169" s="5" t="str">
        <f>IFERROR(__xludf.DUMMYFUNCTION("GOOGLETRANSLATE(B19169,""en"",""it"")"),"Gli uccelli volano nel cielo sopra l'acqua.")</f>
        <v>Gli uccelli volano nel cielo sopra l'acqua.</v>
      </c>
    </row>
    <row r="19170">
      <c r="A19170" s="4" t="s">
        <v>24122</v>
      </c>
      <c r="B19170" s="4" t="s">
        <v>24125</v>
      </c>
      <c r="C19170" s="5" t="str">
        <f>IFERROR(__xludf.DUMMYFUNCTION("GOOGLETRANSLATE(B19170,""en"",""it"")"),"Naviga nelle onde nell'acqua.")</f>
        <v>Naviga nelle onde nell'acqua.</v>
      </c>
    </row>
    <row r="19171">
      <c r="A19171" s="4" t="s">
        <v>24122</v>
      </c>
      <c r="B19171" s="4" t="s">
        <v>24126</v>
      </c>
      <c r="C19171" s="5" t="str">
        <f>IFERROR(__xludf.DUMMYFUNCTION("GOOGLETRANSLATE(B19171,""en"",""it"")"),"È in macchina a parlare.")</f>
        <v>È in macchina a parlare.</v>
      </c>
    </row>
    <row r="19172">
      <c r="A19172" s="4" t="s">
        <v>24122</v>
      </c>
      <c r="B19172" s="4" t="s">
        <v>24127</v>
      </c>
      <c r="C19172" s="5" t="str">
        <f>IFERROR(__xludf.DUMMYFUNCTION("GOOGLETRANSLATE(B19172,""en"",""it"")"),"Naviga in acqua ancora in acqua.")</f>
        <v>Naviga in acqua ancora in acqua.</v>
      </c>
    </row>
    <row r="19173">
      <c r="A19173" s="4" t="s">
        <v>24122</v>
      </c>
      <c r="B19173" s="4" t="s">
        <v>24128</v>
      </c>
      <c r="C19173" s="5" t="str">
        <f>IFERROR(__xludf.DUMMYFUNCTION("GOOGLETRANSLATE(B19173,""en"",""it"")"),"Gli uccelli volano di nuovo sull'acqua.")</f>
        <v>Gli uccelli volano di nuovo sull'acqua.</v>
      </c>
    </row>
    <row r="19174">
      <c r="A19174" s="4" t="s">
        <v>24129</v>
      </c>
      <c r="B19174" s="4" t="s">
        <v>24130</v>
      </c>
      <c r="C19174" s="5" t="str">
        <f>IFERROR(__xludf.DUMMYFUNCTION("GOOGLETRANSLATE(B19174,""en"",""it"")"),"Una grande bandiera scorre nel vento.")</f>
        <v>Una grande bandiera scorre nel vento.</v>
      </c>
    </row>
    <row r="19175">
      <c r="A19175" s="4" t="s">
        <v>24129</v>
      </c>
      <c r="B19175" s="4" t="s">
        <v>24131</v>
      </c>
      <c r="C19175" s="5" t="str">
        <f>IFERROR(__xludf.DUMMYFUNCTION("GOOGLETRANSLATE(B19175,""en"",""it"")"),"Un uomo è su una strada, colpendo un bastone con un altro bastone.")</f>
        <v>Un uomo è su una strada, colpendo un bastone con un altro bastone.</v>
      </c>
    </row>
    <row r="19176">
      <c r="A19176" s="4" t="s">
        <v>24129</v>
      </c>
      <c r="B19176" s="4" t="s">
        <v>24132</v>
      </c>
      <c r="C19176" s="5" t="str">
        <f>IFERROR(__xludf.DUMMYFUNCTION("GOOGLETRANSLATE(B19176,""en"",""it"")"),"Due uomini si impegnano nel calcio di calcio di arti marziali, a calci, oscillando e lanciando.")</f>
        <v>Due uomini si impegnano nel calcio di calcio di arti marziali, a calci, oscillando e lanciando.</v>
      </c>
    </row>
    <row r="19177">
      <c r="A19177" s="4" t="s">
        <v>24133</v>
      </c>
      <c r="B19177" s="4" t="s">
        <v>24134</v>
      </c>
      <c r="C19177" s="5" t="str">
        <f>IFERROR(__xludf.DUMMYFUNCTION("GOOGLETRANSLATE(B19177,""en"",""it"")"),"Un uomo sta tagliando il legno in un cortile innevato.")</f>
        <v>Un uomo sta tagliando il legno in un cortile innevato.</v>
      </c>
    </row>
    <row r="19178">
      <c r="A19178" s="4" t="s">
        <v>24133</v>
      </c>
      <c r="B19178" s="4" t="s">
        <v>24135</v>
      </c>
      <c r="C19178" s="5" t="str">
        <f>IFERROR(__xludf.DUMMYFUNCTION("GOOGLETRANSLATE(B19178,""en"",""it"")"),"C'è un mucchio di neve dietro di lui.")</f>
        <v>C'è un mucchio di neve dietro di lui.</v>
      </c>
    </row>
    <row r="19179">
      <c r="A19179" s="4" t="s">
        <v>24133</v>
      </c>
      <c r="B19179" s="4" t="s">
        <v>24136</v>
      </c>
      <c r="C19179" s="5" t="str">
        <f>IFERROR(__xludf.DUMMYFUNCTION("GOOGLETRANSLATE(B19179,""en"",""it"")"),"Il registro si è diviso in due con un colpo.")</f>
        <v>Il registro si è diviso in due con un colpo.</v>
      </c>
    </row>
    <row r="19180">
      <c r="A19180" s="4" t="s">
        <v>24137</v>
      </c>
      <c r="B19180" s="4" t="s">
        <v>24138</v>
      </c>
      <c r="C19180" s="5" t="str">
        <f>IFERROR(__xludf.DUMMYFUNCTION("GOOGLETRANSLATE(B19180,""en"",""it"")"),"Un uomo si piega per parlare con la telecamera.")</f>
        <v>Un uomo si piega per parlare con la telecamera.</v>
      </c>
    </row>
    <row r="19181">
      <c r="A19181" s="4" t="s">
        <v>24137</v>
      </c>
      <c r="B19181" s="4" t="s">
        <v>24139</v>
      </c>
      <c r="C19181" s="5" t="str">
        <f>IFERROR(__xludf.DUMMYFUNCTION("GOOGLETRANSLATE(B19181,""en"",""it"")"),"L'uomo quindi skateboard su una rampa.")</f>
        <v>L'uomo quindi skateboard su una rampa.</v>
      </c>
    </row>
    <row r="19182">
      <c r="A19182" s="4" t="s">
        <v>24137</v>
      </c>
      <c r="B19182" s="4" t="s">
        <v>24140</v>
      </c>
      <c r="C19182" s="5" t="str">
        <f>IFERROR(__xludf.DUMMYFUNCTION("GOOGLETRANSLATE(B19182,""en"",""it"")"),"Cerca di correre sulla rampa senza uno skateboard.")</f>
        <v>Cerca di correre sulla rampa senza uno skateboard.</v>
      </c>
    </row>
    <row r="19183">
      <c r="A19183" s="4" t="s">
        <v>24137</v>
      </c>
      <c r="B19183" s="4" t="s">
        <v>24141</v>
      </c>
      <c r="C19183" s="5" t="str">
        <f>IFERROR(__xludf.DUMMYFUNCTION("GOOGLETRANSLATE(B19183,""en"",""it"")"),"Un bambino scivola lungo la rampa sul sedere.")</f>
        <v>Un bambino scivola lungo la rampa sul sedere.</v>
      </c>
    </row>
    <row r="19184">
      <c r="A19184" s="4" t="s">
        <v>24137</v>
      </c>
      <c r="B19184" s="4" t="s">
        <v>24142</v>
      </c>
      <c r="C19184" s="5" t="str">
        <f>IFERROR(__xludf.DUMMYFUNCTION("GOOGLETRANSLATE(B19184,""en"",""it"")"),"Lo skateboard dell'uomo si allontana da lui.")</f>
        <v>Lo skateboard dell'uomo si allontana da lui.</v>
      </c>
    </row>
    <row r="19185">
      <c r="A19185" s="4" t="s">
        <v>24137</v>
      </c>
      <c r="B19185" s="4" t="s">
        <v>24143</v>
      </c>
      <c r="C19185" s="5" t="str">
        <f>IFERROR(__xludf.DUMMYFUNCTION("GOOGLETRANSLATE(B19185,""en"",""it"")"),"L'uomo insegue il suo skareboard.")</f>
        <v>L'uomo insegue il suo skareboard.</v>
      </c>
    </row>
    <row r="19186">
      <c r="A19186" s="4" t="s">
        <v>24137</v>
      </c>
      <c r="B19186" s="4" t="s">
        <v>24144</v>
      </c>
      <c r="C19186" s="5" t="str">
        <f>IFERROR(__xludf.DUMMYFUNCTION("GOOGLETRANSLATE(B19186,""en"",""it"")"),"L'uomo parla alla telecamera.")</f>
        <v>L'uomo parla alla telecamera.</v>
      </c>
    </row>
    <row r="19187">
      <c r="A19187" s="4" t="s">
        <v>24145</v>
      </c>
      <c r="B19187" s="4" t="s">
        <v>24146</v>
      </c>
      <c r="C19187" s="5" t="str">
        <f>IFERROR(__xludf.DUMMYFUNCTION("GOOGLETRANSLATE(B19187,""en"",""it"")"),"Un signore più anziano con una camicia blu sta dipingendo una recinzione di legno.")</f>
        <v>Un signore più anziano con una camicia blu sta dipingendo una recinzione di legno.</v>
      </c>
    </row>
    <row r="19188">
      <c r="A19188" s="4" t="s">
        <v>24145</v>
      </c>
      <c r="B19188" s="4" t="s">
        <v>24147</v>
      </c>
      <c r="C19188" s="5" t="str">
        <f>IFERROR(__xludf.DUMMYFUNCTION("GOOGLETRANSLATE(B19188,""en"",""it"")"),"Prende il secchio di vernice e cammina sul marciapiede.")</f>
        <v>Prende il secchio di vernice e cammina sul marciapiede.</v>
      </c>
    </row>
    <row r="19189">
      <c r="A19189" s="4" t="s">
        <v>24148</v>
      </c>
      <c r="B19189" s="6" t="s">
        <v>24149</v>
      </c>
      <c r="C19189" s="5" t="str">
        <f>IFERROR(__xludf.DUMMYFUNCTION("GOOGLETRANSLATE(B19189,""en"",""it"")"),"Un uomo viene visto andare in giro sulle lame a rulli in un parco ed esegue una macinatura mentre la fotocamera rallenta.")</f>
        <v>Un uomo viene visto andare in giro sulle lame a rulli in un parco ed esegue una macinatura mentre la fotocamera rallenta.</v>
      </c>
    </row>
    <row r="19190">
      <c r="A19190" s="4" t="s">
        <v>24148</v>
      </c>
      <c r="B19190" s="6" t="s">
        <v>24150</v>
      </c>
      <c r="C19190" s="5" t="str">
        <f>IFERROR(__xludf.DUMMYFUNCTION("GOOGLETRANSLATE(B19190,""en"",""it"")"),"Numerosi altri vescrili a rulli vengono mostrati macinati in un parco in varie località e mostrano molti altri trucchi.")</f>
        <v>Numerosi altri vescrili a rulli vengono mostrati macinati in un parco in varie località e mostrano molti altri trucchi.</v>
      </c>
    </row>
    <row r="19191">
      <c r="A19191" s="4" t="s">
        <v>24148</v>
      </c>
      <c r="B19191" s="4" t="s">
        <v>24151</v>
      </c>
      <c r="C19191" s="5" t="str">
        <f>IFERROR(__xludf.DUMMYFUNCTION("GOOGLETRANSLATE(B19191,""en"",""it"")"),"L'uomo della telecamera tiene la telecamera vicino al suo viso e ingrandisce un uomo seduto e fumando.")</f>
        <v>L'uomo della telecamera tiene la telecamera vicino al suo viso e ingrandisce un uomo seduto e fumando.</v>
      </c>
    </row>
    <row r="19192">
      <c r="A19192" s="4" t="s">
        <v>24152</v>
      </c>
      <c r="B19192" s="4" t="s">
        <v>24153</v>
      </c>
      <c r="C19192" s="5" t="str">
        <f>IFERROR(__xludf.DUMMYFUNCTION("GOOGLETRANSLATE(B19192,""en"",""it"")"),"Una ragazza suona uno strumento a vento all'interno di una casa.")</f>
        <v>Una ragazza suona uno strumento a vento all'interno di una casa.</v>
      </c>
    </row>
    <row r="19193">
      <c r="A19193" s="4" t="s">
        <v>24152</v>
      </c>
      <c r="B19193" s="4" t="s">
        <v>24154</v>
      </c>
      <c r="C19193" s="5" t="str">
        <f>IFERROR(__xludf.DUMMYFUNCTION("GOOGLETRANSLATE(B19193,""en"",""it"")"),"La donna ride quindi riprende suonando la canzone sullo strumento.")</f>
        <v>La donna ride quindi riprende suonando la canzone sullo strumento.</v>
      </c>
    </row>
    <row r="19194">
      <c r="A19194" s="4" t="s">
        <v>24155</v>
      </c>
      <c r="B19194" s="6" t="s">
        <v>24156</v>
      </c>
      <c r="C19194" s="5" t="str">
        <f>IFERROR(__xludf.DUMMYFUNCTION("GOOGLETRANSLATE(B19194,""en"",""it"")"),"Un piccolo gruppo di persone è visto seduto su cavalli e conduce a cavalcare lungo un sentiero sterrato.")</f>
        <v>Un piccolo gruppo di persone è visto seduto su cavalli e conduce a cavalcare lungo un sentiero sterrato.</v>
      </c>
    </row>
    <row r="19195">
      <c r="A19195" s="4" t="s">
        <v>24155</v>
      </c>
      <c r="B19195" s="4" t="s">
        <v>24157</v>
      </c>
      <c r="C19195" s="5" t="str">
        <f>IFERROR(__xludf.DUMMYFUNCTION("GOOGLETRANSLATE(B19195,""en"",""it"")"),"La telecamera segue le persone che cavalcano i cavalli e li conduce alle stalle.")</f>
        <v>La telecamera segue le persone che cavalcano i cavalli e li conduce alle stalle.</v>
      </c>
    </row>
    <row r="19196">
      <c r="A19196" s="4" t="s">
        <v>24158</v>
      </c>
      <c r="B19196" s="4" t="s">
        <v>24159</v>
      </c>
      <c r="C19196" s="5" t="str">
        <f>IFERROR(__xludf.DUMMYFUNCTION("GOOGLETRANSLATE(B19196,""en"",""it"")"),"Una persona che tiene un gatto raddrizza la zampa del gatto.")</f>
        <v>Una persona che tiene un gatto raddrizza la zampa del gatto.</v>
      </c>
    </row>
    <row r="19197">
      <c r="A19197" s="4" t="s">
        <v>24158</v>
      </c>
      <c r="B19197" s="4" t="s">
        <v>24160</v>
      </c>
      <c r="C19197" s="5" t="str">
        <f>IFERROR(__xludf.DUMMYFUNCTION("GOOGLETRANSLATE(B19197,""en"",""it"")"),"La persona taglia gli artigli del gatto con una forma a forma di forbice.")</f>
        <v>La persona taglia gli artigli del gatto con una forma a forma di forbice.</v>
      </c>
    </row>
    <row r="19198">
      <c r="A19198" s="4" t="s">
        <v>24158</v>
      </c>
      <c r="B19198" s="4" t="s">
        <v>24161</v>
      </c>
      <c r="C19198" s="5" t="str">
        <f>IFERROR(__xludf.DUMMYFUNCTION("GOOGLETRANSLATE(B19198,""en"",""it"")"),"Il gatto attacca il cutter.")</f>
        <v>Il gatto attacca il cutter.</v>
      </c>
    </row>
    <row r="19199">
      <c r="A19199" s="4" t="s">
        <v>24162</v>
      </c>
      <c r="B19199" s="4" t="s">
        <v>24163</v>
      </c>
      <c r="C19199" s="5" t="str">
        <f>IFERROR(__xludf.DUMMYFUNCTION("GOOGLETRANSLATE(B19199,""en"",""it"")"),"Le persone navigano su una grande ondata nell'acqua.")</f>
        <v>Le persone navigano su una grande ondata nell'acqua.</v>
      </c>
    </row>
    <row r="19200">
      <c r="A19200" s="4" t="s">
        <v>24162</v>
      </c>
      <c r="B19200" s="4" t="s">
        <v>24164</v>
      </c>
      <c r="C19200" s="5" t="str">
        <f>IFERROR(__xludf.DUMMYFUNCTION("GOOGLETRANSLATE(B19200,""en"",""it"")"),"Una barca è in acqua.")</f>
        <v>Una barca è in acqua.</v>
      </c>
    </row>
    <row r="19201">
      <c r="A19201" s="4" t="s">
        <v>24162</v>
      </c>
      <c r="B19201" s="4" t="s">
        <v>24165</v>
      </c>
      <c r="C19201" s="5" t="str">
        <f>IFERROR(__xludf.DUMMYFUNCTION("GOOGLETRANSLATE(B19201,""en"",""it"")"),"Una grande onda si schianta nell'acqua.")</f>
        <v>Una grande onda si schianta nell'acqua.</v>
      </c>
    </row>
    <row r="19202">
      <c r="A19202" s="4" t="s">
        <v>24166</v>
      </c>
      <c r="B19202" s="4" t="s">
        <v>24167</v>
      </c>
      <c r="C19202" s="5" t="str">
        <f>IFERROR(__xludf.DUMMYFUNCTION("GOOGLETRANSLATE(B19202,""en"",""it"")"),"Vengono mostrate due persone e quindi vengono pubblicizzate diverse barche.")</f>
        <v>Vengono mostrate due persone e quindi vengono pubblicizzate diverse barche.</v>
      </c>
    </row>
    <row r="19203">
      <c r="A19203" s="4" t="s">
        <v>24166</v>
      </c>
      <c r="B19203" s="4" t="s">
        <v>24168</v>
      </c>
      <c r="C19203" s="5" t="str">
        <f>IFERROR(__xludf.DUMMYFUNCTION("GOOGLETRANSLATE(B19203,""en"",""it"")"),"Dopo, le due persone nella navigazione navigano su grandi onde enormi insieme.")</f>
        <v>Dopo, le due persone nella navigazione navigano su grandi onde enormi insieme.</v>
      </c>
    </row>
    <row r="19204">
      <c r="A19204" s="4" t="s">
        <v>24166</v>
      </c>
      <c r="B19204" s="6" t="s">
        <v>24169</v>
      </c>
      <c r="C19204" s="5" t="str">
        <f>IFERROR(__xludf.DUMMYFUNCTION("GOOGLETRANSLATE(B19204,""en"",""it"")"),"Successivamente, le persone sulla barca entrano in acqua e sugli sci di jet mentre un uomo si trova sopra una grande scogliera sull'acqua.")</f>
        <v>Successivamente, le persone sulla barca entrano in acqua e sugli sci di jet mentre un uomo si trova sopra una grande scogliera sull'acqua.</v>
      </c>
    </row>
    <row r="19205">
      <c r="A19205" s="4" t="s">
        <v>24170</v>
      </c>
      <c r="B19205" s="6" t="s">
        <v>24171</v>
      </c>
      <c r="C19205" s="5" t="str">
        <f>IFERROR(__xludf.DUMMYFUNCTION("GOOGLETRANSLATE(B19205,""en"",""it"")"),"Una telecamera si panoramica intorno a un lago che mostra gli alberi e le montagne e la canoa seduta davanti a lui.")</f>
        <v>Una telecamera si panoramica intorno a un lago che mostra gli alberi e le montagne e la canoa seduta davanti a lui.</v>
      </c>
    </row>
    <row r="19206">
      <c r="A19206" s="4" t="s">
        <v>24170</v>
      </c>
      <c r="B19206" s="4" t="s">
        <v>24172</v>
      </c>
      <c r="C19206" s="5" t="str">
        <f>IFERROR(__xludf.DUMMYFUNCTION("GOOGLETRANSLATE(B19206,""en"",""it"")"),"Un altro ragazzo viene visto cavalcare lungo l'acqua in canoa e molti altri che remavano.")</f>
        <v>Un altro ragazzo viene visto cavalcare lungo l'acqua in canoa e molti altri che remavano.</v>
      </c>
    </row>
    <row r="19207">
      <c r="A19207" s="4" t="s">
        <v>24170</v>
      </c>
      <c r="B19207" s="4" t="s">
        <v>24173</v>
      </c>
      <c r="C19207" s="5" t="str">
        <f>IFERROR(__xludf.DUMMYFUNCTION("GOOGLETRANSLATE(B19207,""en"",""it"")"),"Vengono mostrati più colpi di persone che cavalcano le loro canoe e catturano lo scenario intorno a loro.")</f>
        <v>Vengono mostrati più colpi di persone che cavalcano le loro canoe e catturano lo scenario intorno a loro.</v>
      </c>
    </row>
    <row r="19208">
      <c r="A19208" s="4" t="s">
        <v>24174</v>
      </c>
      <c r="B19208" s="4" t="s">
        <v>24175</v>
      </c>
      <c r="C19208" s="5" t="str">
        <f>IFERROR(__xludf.DUMMYFUNCTION("GOOGLETRANSLATE(B19208,""en"",""it"")"),"Un uomo inizia a saltare su un palco su un palco.")</f>
        <v>Un uomo inizia a saltare su un palco su un palco.</v>
      </c>
    </row>
    <row r="19209">
      <c r="A19209" s="4" t="s">
        <v>24174</v>
      </c>
      <c r="B19209" s="4" t="s">
        <v>24176</v>
      </c>
      <c r="C19209" s="5" t="str">
        <f>IFERROR(__xludf.DUMMYFUNCTION("GOOGLETRANSLATE(B19209,""en"",""it"")"),"Le persone sono tra il pubblico a guardarlo.")</f>
        <v>Le persone sono tra il pubblico a guardarlo.</v>
      </c>
    </row>
    <row r="19210">
      <c r="A19210" s="4" t="s">
        <v>24174</v>
      </c>
      <c r="B19210" s="4" t="s">
        <v>24177</v>
      </c>
      <c r="C19210" s="5" t="str">
        <f>IFERROR(__xludf.DUMMYFUNCTION("GOOGLETRANSLATE(B19210,""en"",""it"")"),"Due uomini stanno dietro le telecamere che lo filmano.")</f>
        <v>Due uomini stanno dietro le telecamere che lo filmano.</v>
      </c>
    </row>
    <row r="19211">
      <c r="A19211" s="4" t="s">
        <v>24178</v>
      </c>
      <c r="B19211" s="4" t="s">
        <v>24179</v>
      </c>
      <c r="C19211" s="5" t="str">
        <f>IFERROR(__xludf.DUMMYFUNCTION("GOOGLETRANSLATE(B19211,""en"",""it"")"),"Una squadra di giocatori di basket viene mostrata sul lato destro del campo che eseguono i lay-up.")</f>
        <v>Una squadra di giocatori di basket viene mostrata sul lato destro del campo che eseguono i lay-up.</v>
      </c>
    </row>
    <row r="19212">
      <c r="A19212" s="4" t="s">
        <v>24178</v>
      </c>
      <c r="B19212" s="6" t="s">
        <v>24180</v>
      </c>
      <c r="C19212" s="5" t="str">
        <f>IFERROR(__xludf.DUMMYFUNCTION("GOOGLETRANSLATE(B19212,""en"",""it"")"),"Dopo diversi turni, si spostano sul lato sinistro del campo e iniziano a praticare ancora una volta i lay up.")</f>
        <v>Dopo diversi turni, si spostano sul lato sinistro del campo e iniziano a praticare ancora una volta i lay up.</v>
      </c>
    </row>
    <row r="19213">
      <c r="A19213" s="4" t="s">
        <v>24178</v>
      </c>
      <c r="B19213" s="6" t="s">
        <v>24181</v>
      </c>
      <c r="C19213" s="5" t="str">
        <f>IFERROR(__xludf.DUMMYFUNCTION("GOOGLETRANSLATE(B19213,""en"",""it"")"),"Mentre vanno, una sedia si siede di fronte a loro per servire come indicatore e un uomo cammina avanti e indietro guardandoli andare.")</f>
        <v>Mentre vanno, una sedia si siede di fronte a loro per servire come indicatore e un uomo cammina avanti e indietro guardandoli andare.</v>
      </c>
    </row>
    <row r="19214">
      <c r="A19214" s="4" t="s">
        <v>24182</v>
      </c>
      <c r="B19214" s="4" t="s">
        <v>24183</v>
      </c>
      <c r="C19214" s="5" t="str">
        <f>IFERROR(__xludf.DUMMYFUNCTION("GOOGLETRANSLATE(B19214,""en"",""it"")"),"Un uomo è in piedi e cammina in palestra.")</f>
        <v>Un uomo è in piedi e cammina in palestra.</v>
      </c>
    </row>
    <row r="19215">
      <c r="A19215" s="4" t="s">
        <v>24182</v>
      </c>
      <c r="B19215" s="4" t="s">
        <v>24184</v>
      </c>
      <c r="C19215" s="5" t="str">
        <f>IFERROR(__xludf.DUMMYFUNCTION("GOOGLETRANSLATE(B19215,""en"",""it"")"),"L'uomo si sedette sulla macchina del canottaggio e mise i piedi sul pedale.")</f>
        <v>L'uomo si sedette sulla macchina del canottaggio e mise i piedi sul pedale.</v>
      </c>
    </row>
    <row r="19216">
      <c r="A19216" s="4" t="s">
        <v>24182</v>
      </c>
      <c r="B19216" s="4" t="s">
        <v>24185</v>
      </c>
      <c r="C19216" s="5" t="str">
        <f>IFERROR(__xludf.DUMMYFUNCTION("GOOGLETRANSLATE(B19216,""en"",""it"")"),"L'uomo iniziò a tirare la cintura.")</f>
        <v>L'uomo iniziò a tirare la cintura.</v>
      </c>
    </row>
    <row r="19217">
      <c r="A19217" s="4" t="s">
        <v>24186</v>
      </c>
      <c r="B19217" s="4" t="s">
        <v>24187</v>
      </c>
      <c r="C19217" s="5" t="str">
        <f>IFERROR(__xludf.DUMMYFUNCTION("GOOGLETRANSLATE(B19217,""en"",""it"")"),"Vediamo i bambini su bici da sporco su un campo sporco con adulti che li sta.")</f>
        <v>Vediamo i bambini su bici da sporco su un campo sporco con adulti che li sta.</v>
      </c>
    </row>
    <row r="19218">
      <c r="A19218" s="4" t="s">
        <v>24186</v>
      </c>
      <c r="B19218" s="4" t="s">
        <v>24188</v>
      </c>
      <c r="C19218" s="5" t="str">
        <f>IFERROR(__xludf.DUMMYFUNCTION("GOOGLETRANSLATE(B19218,""en"",""it"")"),"I bambini decollano e iniziano la pista di Dirk.")</f>
        <v>I bambini decollano e iniziano la pista di Dirk.</v>
      </c>
    </row>
    <row r="19219">
      <c r="A19219" s="4" t="s">
        <v>24186</v>
      </c>
      <c r="B19219" s="4" t="s">
        <v>24189</v>
      </c>
      <c r="C19219" s="5" t="str">
        <f>IFERROR(__xludf.DUMMYFUNCTION("GOOGLETRANSLATE(B19219,""en"",""it"")"),"I bambini hanno difficoltà a girare per salire sulla pista sporca.")</f>
        <v>I bambini hanno difficoltà a girare per salire sulla pista sporca.</v>
      </c>
    </row>
    <row r="19220">
      <c r="A19220" s="4" t="s">
        <v>24186</v>
      </c>
      <c r="B19220" s="4" t="s">
        <v>24190</v>
      </c>
      <c r="C19220" s="5" t="str">
        <f>IFERROR(__xludf.DUMMYFUNCTION("GOOGLETRANSLATE(B19220,""en"",""it"")"),"Uno dei ragazzi è caduto e ha lasciato cadere la bici.")</f>
        <v>Uno dei ragazzi è caduto e ha lasciato cadere la bici.</v>
      </c>
    </row>
    <row r="19221">
      <c r="A19221" s="4" t="s">
        <v>24186</v>
      </c>
      <c r="B19221" s="4" t="s">
        <v>24191</v>
      </c>
      <c r="C19221" s="5" t="str">
        <f>IFERROR(__xludf.DUMMYFUNCTION("GOOGLETRANSLATE(B19221,""en"",""it"")"),"Vediamo gli uomini e le donne alti per bambini in disparte.")</f>
        <v>Vediamo gli uomini e le donne alti per bambini in disparte.</v>
      </c>
    </row>
    <row r="19222">
      <c r="A19222" s="4" t="s">
        <v>24192</v>
      </c>
      <c r="B19222" s="4" t="s">
        <v>24193</v>
      </c>
      <c r="C19222" s="5" t="str">
        <f>IFERROR(__xludf.DUMMYFUNCTION("GOOGLETRANSLATE(B19222,""en"",""it"")"),"Il video parla di Girls Varsity Water Polo.")</f>
        <v>Il video parla di Girls Varsity Water Polo.</v>
      </c>
    </row>
    <row r="19223">
      <c r="A19223" s="4" t="s">
        <v>24192</v>
      </c>
      <c r="B19223" s="4" t="s">
        <v>24194</v>
      </c>
      <c r="C19223" s="5" t="str">
        <f>IFERROR(__xludf.DUMMYFUNCTION("GOOGLETRANSLATE(B19223,""en"",""it"")"),"Ci sono diverse ragazze che si preparano per andare a un evento di polo sport d'acqua.")</f>
        <v>Ci sono diverse ragazze che si preparano per andare a un evento di polo sport d'acqua.</v>
      </c>
    </row>
    <row r="19224">
      <c r="A19224" s="4" t="s">
        <v>24192</v>
      </c>
      <c r="B19224" s="4" t="s">
        <v>24195</v>
      </c>
      <c r="C19224" s="5" t="str">
        <f>IFERROR(__xludf.DUMMYFUNCTION("GOOGLETRANSLATE(B19224,""en"",""it"")"),"Stanno tenendo gli zaini e gli attrezzi.")</f>
        <v>Stanno tenendo gli zaini e gli attrezzi.</v>
      </c>
    </row>
    <row r="19225">
      <c r="A19225" s="4" t="s">
        <v>24192</v>
      </c>
      <c r="B19225" s="4" t="s">
        <v>24196</v>
      </c>
      <c r="C19225" s="5" t="str">
        <f>IFERROR(__xludf.DUMMYFUNCTION("GOOGLETRANSLATE(B19225,""en"",""it"")"),"Stanno viaggiando insieme all'evento e controllano in un hotel.")</f>
        <v>Stanno viaggiando insieme all'evento e controllano in un hotel.</v>
      </c>
    </row>
    <row r="19226">
      <c r="A19226" s="4" t="s">
        <v>24192</v>
      </c>
      <c r="B19226" s="4" t="s">
        <v>24197</v>
      </c>
      <c r="C19226" s="5" t="str">
        <f>IFERROR(__xludf.DUMMYFUNCTION("GOOGLETRANSLATE(B19226,""en"",""it"")"),"L'intera squadra trascorre del tempo insieme prima dell'evento.")</f>
        <v>L'intera squadra trascorre del tempo insieme prima dell'evento.</v>
      </c>
    </row>
    <row r="19227">
      <c r="A19227" s="4" t="s">
        <v>24192</v>
      </c>
      <c r="B19227" s="4" t="s">
        <v>24198</v>
      </c>
      <c r="C19227" s="5" t="str">
        <f>IFERROR(__xludf.DUMMYFUNCTION("GOOGLETRANSLATE(B19227,""en"",""it"")"),"Due dei membri del team parlano della loro esperienza con l'evento Water Polo.")</f>
        <v>Due dei membri del team parlano della loro esperienza con l'evento Water Polo.</v>
      </c>
    </row>
    <row r="19228">
      <c r="A19228" s="4" t="s">
        <v>24192</v>
      </c>
      <c r="B19228" s="4" t="s">
        <v>24199</v>
      </c>
      <c r="C19228" s="5" t="str">
        <f>IFERROR(__xludf.DUMMYFUNCTION("GOOGLETRANSLATE(B19228,""en"",""it"")"),"I membri del team parlano della competizione e di come sono andati nello sport.")</f>
        <v>I membri del team parlano della competizione e di come sono andati nello sport.</v>
      </c>
    </row>
    <row r="19229">
      <c r="A19229" s="4" t="s">
        <v>24192</v>
      </c>
      <c r="B19229" s="4" t="s">
        <v>24200</v>
      </c>
      <c r="C19229" s="5" t="str">
        <f>IFERROR(__xludf.DUMMYFUNCTION("GOOGLETRANSLATE(B19229,""en"",""it"")"),"Lo schermo mostra tutte le vittorie finali e perde nella polo d'acqua delle ragazze.")</f>
        <v>Lo schermo mostra tutte le vittorie finali e perde nella polo d'acqua delle ragazze.</v>
      </c>
    </row>
    <row r="19230">
      <c r="A19230" s="4" t="s">
        <v>24201</v>
      </c>
      <c r="B19230" s="4" t="s">
        <v>24202</v>
      </c>
      <c r="C19230" s="5" t="str">
        <f>IFERROR(__xludf.DUMMYFUNCTION("GOOGLETRANSLATE(B19230,""en"",""it"")"),"Un uomo senza camicia suona la batteria di bongo davanti a un microfono.")</f>
        <v>Un uomo senza camicia suona la batteria di bongo davanti a un microfono.</v>
      </c>
    </row>
    <row r="19231">
      <c r="A19231" s="4" t="s">
        <v>24201</v>
      </c>
      <c r="B19231" s="4" t="s">
        <v>24203</v>
      </c>
      <c r="C19231" s="5" t="str">
        <f>IFERROR(__xludf.DUMMYFUNCTION("GOOGLETRANSLATE(B19231,""en"",""it"")"),"Ci sono altri set di tamburi alla sua sinistra.")</f>
        <v>Ci sono altri set di tamburi alla sua sinistra.</v>
      </c>
    </row>
    <row r="19232">
      <c r="A19232" s="4" t="s">
        <v>24201</v>
      </c>
      <c r="B19232" s="4" t="s">
        <v>24204</v>
      </c>
      <c r="C19232" s="5" t="str">
        <f>IFERROR(__xludf.DUMMYFUNCTION("GOOGLETRANSLATE(B19232,""en"",""it"")"),"Alla sua destra c'è una borsa verde e un cappello situato su un tavolo.")</f>
        <v>Alla sua destra c'è una borsa verde e un cappello situato su un tavolo.</v>
      </c>
    </row>
    <row r="19233">
      <c r="A19233" s="4" t="s">
        <v>24205</v>
      </c>
      <c r="B19233" s="4" t="s">
        <v>24206</v>
      </c>
      <c r="C19233" s="5" t="str">
        <f>IFERROR(__xludf.DUMMYFUNCTION("GOOGLETRANSLATE(B19233,""en"",""it"")"),"Le forniture di pulizia (e l'elenco dei nomi appaiono sullo schermo) sono su un'isola in cucina.")</f>
        <v>Le forniture di pulizia (e l'elenco dei nomi appaiono sullo schermo) sono su un'isola in cucina.</v>
      </c>
    </row>
    <row r="19234">
      <c r="A19234" s="4" t="s">
        <v>24205</v>
      </c>
      <c r="B19234" s="6" t="s">
        <v>24207</v>
      </c>
      <c r="C19234" s="5" t="str">
        <f>IFERROR(__xludf.DUMMYFUNCTION("GOOGLETRANSLATE(B19234,""en"",""it"")"),"Una donna entra, afferra le provviste, inizia a spruzzare il lavandino e inizia a strofinarsi con una spugna.")</f>
        <v>Una donna entra, afferra le provviste, inizia a spruzzare il lavandino e inizia a strofinarsi con una spugna.</v>
      </c>
    </row>
    <row r="19235">
      <c r="A19235" s="4" t="s">
        <v>24205</v>
      </c>
      <c r="B19235" s="4" t="s">
        <v>24208</v>
      </c>
      <c r="C19235" s="5" t="str">
        <f>IFERROR(__xludf.DUMMYFUNCTION("GOOGLETRANSLATE(B19235,""en"",""it"")"),"La donna inizia quindi a sciacquare il lavandino con lo spruzzatore portatile fino a quando non è tutto pulito.")</f>
        <v>La donna inizia quindi a sciacquare il lavandino con lo spruzzatore portatile fino a quando non è tutto pulito.</v>
      </c>
    </row>
    <row r="19236">
      <c r="A19236" s="4" t="s">
        <v>24205</v>
      </c>
      <c r="B19236" s="6" t="s">
        <v>24209</v>
      </c>
      <c r="C19236" s="5" t="str">
        <f>IFERROR(__xludf.DUMMYFUNCTION("GOOGLETRANSLATE(B19236,""en"",""it"")"),"Lo spray per la pulizia si trova sul bordo del bancone e il testo sullo schermo sottostante leggi ""Per le macchie difficili si ripetono se necessario.")</f>
        <v>Lo spray per la pulizia si trova sul bordo del bancone e il testo sullo schermo sottostante leggi "Per le macchie difficili si ripetono se necessario.</v>
      </c>
    </row>
    <row r="19237">
      <c r="A19237" s="4" t="s">
        <v>24210</v>
      </c>
      <c r="B19237" s="4" t="s">
        <v>24211</v>
      </c>
      <c r="C19237" s="5" t="str">
        <f>IFERROR(__xludf.DUMMYFUNCTION("GOOGLETRANSLATE(B19237,""en"",""it"")"),"Due giovani ragazzi eseguono balli di arti marziali.")</f>
        <v>Due giovani ragazzi eseguono balli di arti marziali.</v>
      </c>
    </row>
    <row r="19238">
      <c r="A19238" s="4" t="s">
        <v>24210</v>
      </c>
      <c r="B19238" s="4" t="s">
        <v>24212</v>
      </c>
      <c r="C19238" s="5" t="str">
        <f>IFERROR(__xludf.DUMMYFUNCTION("GOOGLETRANSLATE(B19238,""en"",""it"")"),"Un gruppo di ragazzi intorno a loro veglia.")</f>
        <v>Un gruppo di ragazzi intorno a loro veglia.</v>
      </c>
    </row>
    <row r="19239">
      <c r="A19239" s="4" t="s">
        <v>24210</v>
      </c>
      <c r="B19239" s="4" t="s">
        <v>24213</v>
      </c>
      <c r="C19239" s="5" t="str">
        <f>IFERROR(__xludf.DUMMYFUNCTION("GOOGLETRANSLATE(B19239,""en"",""it"")"),"Dietro le esibizioni siede un gruppo di uomini che suonano musica per l'esibizione.")</f>
        <v>Dietro le esibizioni siede un gruppo di uomini che suonano musica per l'esibizione.</v>
      </c>
    </row>
    <row r="19240">
      <c r="A19240" s="4" t="s">
        <v>24210</v>
      </c>
      <c r="B19240" s="4" t="s">
        <v>24214</v>
      </c>
      <c r="C19240" s="5" t="str">
        <f>IFERROR(__xludf.DUMMYFUNCTION("GOOGLETRANSLATE(B19240,""en"",""it"")"),"Gli artisti tornano ai loro posti.")</f>
        <v>Gli artisti tornano ai loro posti.</v>
      </c>
    </row>
    <row r="19241">
      <c r="A19241" s="4" t="s">
        <v>24215</v>
      </c>
      <c r="B19241" s="4" t="s">
        <v>24216</v>
      </c>
      <c r="C19241" s="5" t="str">
        <f>IFERROR(__xludf.DUMMYFUNCTION("GOOGLETRANSLATE(B19241,""en"",""it"")"),"Un mucchio di bambini è in piedi su un campo da calcio e una ragazza sta parlando.")</f>
        <v>Un mucchio di bambini è in piedi su un campo da calcio e una ragazza sta parlando.</v>
      </c>
    </row>
    <row r="19242">
      <c r="A19242" s="4" t="s">
        <v>24215</v>
      </c>
      <c r="B19242" s="4" t="s">
        <v>24217</v>
      </c>
      <c r="C19242" s="5" t="str">
        <f>IFERROR(__xludf.DUMMYFUNCTION("GOOGLETRANSLATE(B19242,""en"",""it"")"),"La ragazza è pronta a calciare una palla rossa arrotolata a terra.")</f>
        <v>La ragazza è pronta a calciare una palla rossa arrotolata a terra.</v>
      </c>
    </row>
    <row r="19243">
      <c r="A19243" s="4" t="s">
        <v>24215</v>
      </c>
      <c r="B19243" s="4" t="s">
        <v>24218</v>
      </c>
      <c r="C19243" s="5" t="str">
        <f>IFERROR(__xludf.DUMMYFUNCTION("GOOGLETRANSLATE(B19243,""en"",""it"")"),"La giovane donna che indossa pantaloncini blu e una maglietta corre e calcia la palla.")</f>
        <v>La giovane donna che indossa pantaloncini blu e una maglietta corre e calcia la palla.</v>
      </c>
    </row>
    <row r="19244">
      <c r="A19244" s="4" t="s">
        <v>24215</v>
      </c>
      <c r="B19244" s="4" t="s">
        <v>24219</v>
      </c>
      <c r="C19244" s="5" t="str">
        <f>IFERROR(__xludf.DUMMYFUNCTION("GOOGLETRANSLATE(B19244,""en"",""it"")"),"La ragazza scivola nel primo scivolo d'acqua.")</f>
        <v>La ragazza scivola nel primo scivolo d'acqua.</v>
      </c>
    </row>
    <row r="19245">
      <c r="A19245" s="4" t="s">
        <v>24215</v>
      </c>
      <c r="B19245" s="4" t="s">
        <v>24220</v>
      </c>
      <c r="C19245" s="5" t="str">
        <f>IFERROR(__xludf.DUMMYFUNCTION("GOOGLETRANSLATE(B19245,""en"",""it"")"),"La ragazza poi si alza e poi scivola nel secondo scivolo d'acqua.")</f>
        <v>La ragazza poi si alza e poi scivola nel secondo scivolo d'acqua.</v>
      </c>
    </row>
    <row r="19246">
      <c r="A19246" s="4" t="s">
        <v>24221</v>
      </c>
      <c r="B19246" s="4" t="s">
        <v>24222</v>
      </c>
      <c r="C19246" s="5" t="str">
        <f>IFERROR(__xludf.DUMMYFUNCTION("GOOGLETRANSLATE(B19246,""en"",""it"")"),"Un uomo cattura un pesce da un buco nel ghiaccio.")</f>
        <v>Un uomo cattura un pesce da un buco nel ghiaccio.</v>
      </c>
    </row>
    <row r="19247">
      <c r="A19247" s="4" t="s">
        <v>24221</v>
      </c>
      <c r="B19247" s="4" t="s">
        <v>24223</v>
      </c>
      <c r="C19247" s="5" t="str">
        <f>IFERROR(__xludf.DUMMYFUNCTION("GOOGLETRANSLATE(B19247,""en"",""it"")"),"Quindi, l'uomo tiene il pesce che si muove sul ghiaccio.")</f>
        <v>Quindi, l'uomo tiene il pesce che si muove sul ghiaccio.</v>
      </c>
    </row>
    <row r="19248">
      <c r="A19248" s="4" t="s">
        <v>24221</v>
      </c>
      <c r="B19248" s="4" t="s">
        <v>24224</v>
      </c>
      <c r="C19248" s="5" t="str">
        <f>IFERROR(__xludf.DUMMYFUNCTION("GOOGLETRANSLATE(B19248,""en"",""it"")"),"Dopo, l'uomo mise un'asta di metallo sulla bocca del pesce.")</f>
        <v>Dopo, l'uomo mise un'asta di metallo sulla bocca del pesce.</v>
      </c>
    </row>
    <row r="19249">
      <c r="A19249" s="4" t="s">
        <v>24225</v>
      </c>
      <c r="B19249" s="4" t="s">
        <v>24226</v>
      </c>
      <c r="C19249" s="5" t="str">
        <f>IFERROR(__xludf.DUMMYFUNCTION("GOOGLETRANSLATE(B19249,""en"",""it"")"),"Una persona viene vista gettare intonaco su un muro mentre la telecamera segue la persona vicino.")</f>
        <v>Una persona viene vista gettare intonaco su un muro mentre la telecamera segue la persona vicino.</v>
      </c>
    </row>
    <row r="19250">
      <c r="A19250" s="4" t="s">
        <v>24225</v>
      </c>
      <c r="B19250" s="6" t="s">
        <v>24227</v>
      </c>
      <c r="C19250" s="5" t="str">
        <f>IFERROR(__xludf.DUMMYFUNCTION("GOOGLETRANSLATE(B19250,""en"",""it"")"),"La persona lancia gradualmente sempre di più sul muro e la fotocamera piova sul prodotto finito.")</f>
        <v>La persona lancia gradualmente sempre di più sul muro e la fotocamera piova sul prodotto finito.</v>
      </c>
    </row>
    <row r="19251">
      <c r="A19251" s="4" t="s">
        <v>24228</v>
      </c>
      <c r="B19251" s="4" t="s">
        <v>24229</v>
      </c>
      <c r="C19251" s="5" t="str">
        <f>IFERROR(__xludf.DUMMYFUNCTION("GOOGLETRANSLATE(B19251,""en"",""it"")"),"Molte persone vengono viste camminare all'inizio del video.")</f>
        <v>Molte persone vengono viste camminare all'inizio del video.</v>
      </c>
    </row>
    <row r="19252">
      <c r="A19252" s="4" t="s">
        <v>24228</v>
      </c>
      <c r="B19252" s="4" t="s">
        <v>24230</v>
      </c>
      <c r="C19252" s="5" t="str">
        <f>IFERROR(__xludf.DUMMYFUNCTION("GOOGLETRANSLATE(B19252,""en"",""it"")"),"Quindi le persone diverse vengono mostrate sciare rampe per fare fantastici trucchi.")</f>
        <v>Quindi le persone diverse vengono mostrate sciare rampe per fare fantastici trucchi.</v>
      </c>
    </row>
    <row r="19253">
      <c r="A19253" s="4" t="s">
        <v>24231</v>
      </c>
      <c r="B19253" s="4" t="s">
        <v>24232</v>
      </c>
      <c r="C19253" s="5" t="str">
        <f>IFERROR(__xludf.DUMMYFUNCTION("GOOGLETRANSLATE(B19253,""en"",""it"")"),"Un bambino mangia pane in un seggiolone.")</f>
        <v>Un bambino mangia pane in un seggiolone.</v>
      </c>
    </row>
    <row r="19254">
      <c r="A19254" s="4" t="s">
        <v>24231</v>
      </c>
      <c r="B19254" s="4" t="s">
        <v>24233</v>
      </c>
      <c r="C19254" s="5" t="str">
        <f>IFERROR(__xludf.DUMMYFUNCTION("GOOGLETRANSLATE(B19254,""en"",""it"")"),"Una persona mette qualcosa agli occhi del bambino.")</f>
        <v>Una persona mette qualcosa agli occhi del bambino.</v>
      </c>
    </row>
    <row r="19255">
      <c r="A19255" s="4" t="s">
        <v>24231</v>
      </c>
      <c r="B19255" s="4" t="s">
        <v>24234</v>
      </c>
      <c r="C19255" s="5" t="str">
        <f>IFERROR(__xludf.DUMMYFUNCTION("GOOGLETRANSLATE(B19255,""en"",""it"")"),"Una persona scherza con i capelli del bambino.")</f>
        <v>Una persona scherza con i capelli del bambino.</v>
      </c>
    </row>
    <row r="19256">
      <c r="A19256" s="4" t="s">
        <v>24235</v>
      </c>
      <c r="B19256" s="4" t="s">
        <v>24236</v>
      </c>
      <c r="C19256" s="5" t="str">
        <f>IFERROR(__xludf.DUMMYFUNCTION("GOOGLETRANSLATE(B19256,""en"",""it"")"),"Un ragazzo è seduto di fronte a un desktop mentre gioca con un cubo di Rubik.")</f>
        <v>Un ragazzo è seduto di fronte a un desktop mentre gioca con un cubo di Rubik.</v>
      </c>
    </row>
    <row r="19257">
      <c r="A19257" s="4" t="s">
        <v>24235</v>
      </c>
      <c r="B19257" s="4" t="s">
        <v>24237</v>
      </c>
      <c r="C19257" s="5" t="str">
        <f>IFERROR(__xludf.DUMMYFUNCTION("GOOGLETRANSLATE(B19257,""en"",""it"")"),"Finisce il cubo e lo imposta sulla scrivania e ferma rapidamente un timer.")</f>
        <v>Finisce il cubo e lo imposta sulla scrivania e ferma rapidamente un timer.</v>
      </c>
    </row>
    <row r="19258">
      <c r="A19258" s="4" t="s">
        <v>24235</v>
      </c>
      <c r="B19258" s="4" t="s">
        <v>24238</v>
      </c>
      <c r="C19258" s="5" t="str">
        <f>IFERROR(__xludf.DUMMYFUNCTION("GOOGLETRANSLATE(B19258,""en"",""it"")"),"Afferra di nuovo il cubo e inizia a completarlo.")</f>
        <v>Afferra di nuovo il cubo e inizia a completarlo.</v>
      </c>
    </row>
    <row r="19259">
      <c r="A19259" s="4" t="s">
        <v>24235</v>
      </c>
      <c r="B19259" s="4" t="s">
        <v>24239</v>
      </c>
      <c r="C19259" s="5" t="str">
        <f>IFERROR(__xludf.DUMMYFUNCTION("GOOGLETRANSLATE(B19259,""en"",""it"")"),"Finisce di nuovo e inizia un altro gioco del cubo.")</f>
        <v>Finisce di nuovo e inizia un altro gioco del cubo.</v>
      </c>
    </row>
    <row r="19260">
      <c r="A19260" s="4" t="s">
        <v>24240</v>
      </c>
      <c r="B19260" s="4" t="s">
        <v>24241</v>
      </c>
      <c r="C19260" s="5" t="str">
        <f>IFERROR(__xludf.DUMMYFUNCTION("GOOGLETRANSLATE(B19260,""en"",""it"")"),"Un'introduzione appare sullo schermo per un video per un uomo che suonerà i rum.")</f>
        <v>Un'introduzione appare sullo schermo per un video per un uomo che suonerà i rum.</v>
      </c>
    </row>
    <row r="19261">
      <c r="A19261" s="4" t="s">
        <v>24240</v>
      </c>
      <c r="B19261" s="4" t="s">
        <v>24242</v>
      </c>
      <c r="C19261" s="5" t="str">
        <f>IFERROR(__xludf.DUMMYFUNCTION("GOOGLETRANSLATE(B19261,""en"",""it"")"),"L'uomo inizia a suonare la batteria mentre la telecamera lo registra.")</f>
        <v>L'uomo inizia a suonare la batteria mentre la telecamera lo registra.</v>
      </c>
    </row>
    <row r="19262">
      <c r="A19262" s="4" t="s">
        <v>24240</v>
      </c>
      <c r="B19262" s="4" t="s">
        <v>24243</v>
      </c>
      <c r="C19262" s="5" t="str">
        <f>IFERROR(__xludf.DUMMYFUNCTION("GOOGLETRANSLATE(B19262,""en"",""it"")"),"Fa una pausa e le persone ridono e si godono la musica.")</f>
        <v>Fa una pausa e le persone ridono e si godono la musica.</v>
      </c>
    </row>
    <row r="19263">
      <c r="A19263" s="4" t="s">
        <v>24240</v>
      </c>
      <c r="B19263" s="4" t="s">
        <v>24244</v>
      </c>
      <c r="C19263" s="5" t="str">
        <f>IFERROR(__xludf.DUMMYFUNCTION("GOOGLETRANSLATE(B19263,""en"",""it"")"),"Fa di nuovo una pausa e aspetta una reazione dalla folla.")</f>
        <v>Fa di nuovo una pausa e aspetta una reazione dalla folla.</v>
      </c>
    </row>
    <row r="19264">
      <c r="A19264" s="4" t="s">
        <v>24240</v>
      </c>
      <c r="B19264" s="4" t="s">
        <v>24245</v>
      </c>
      <c r="C19264" s="5" t="str">
        <f>IFERROR(__xludf.DUMMYFUNCTION("GOOGLETRANSLATE(B19264,""en"",""it"")"),"La fotocamera si gira per mostrare alle persone che stanno godendo la musica.")</f>
        <v>La fotocamera si gira per mostrare alle persone che stanno godendo la musica.</v>
      </c>
    </row>
    <row r="19265">
      <c r="A19265" s="4" t="s">
        <v>24240</v>
      </c>
      <c r="B19265" s="4" t="s">
        <v>4959</v>
      </c>
      <c r="C19265" s="5" t="str">
        <f>IFERROR(__xludf.DUMMYFUNCTION("GOOGLETRANSLATE(B19265,""en"",""it"")"),"Il video termina con i crediti di chiusura.")</f>
        <v>Il video termina con i crediti di chiusura.</v>
      </c>
    </row>
    <row r="19266">
      <c r="A19266" s="4" t="s">
        <v>24246</v>
      </c>
      <c r="B19266" s="6" t="s">
        <v>24247</v>
      </c>
      <c r="C19266" s="5" t="str">
        <f>IFERROR(__xludf.DUMMYFUNCTION("GOOGLETRANSLATE(B19266,""en"",""it"")"),"Un gruppo di donne indossa uniformi della squadra di pallavolo in piedi in una palestra indoor e una giovane donna che ha un numero 10 sulla sua camicia sta rimbalzando sulla pallavolo e si prepara a servire.")</f>
        <v>Un gruppo di donne indossa uniformi della squadra di pallavolo in piedi in una palestra indoor e una giovane donna che ha un numero 10 sulla sua camicia sta rimbalzando sulla pallavolo e si prepara a servire.</v>
      </c>
    </row>
    <row r="19267">
      <c r="A19267" s="4" t="s">
        <v>24246</v>
      </c>
      <c r="B19267" s="6" t="s">
        <v>24248</v>
      </c>
      <c r="C19267" s="5" t="str">
        <f>IFERROR(__xludf.DUMMYFUNCTION("GOOGLETRANSLATE(B19267,""en"",""it"")"),"La donna serve la palla e ne consegue un gioco mentre tutte le donne mantengono la palla nella zona e la colpiscono più volte cercando di tenerla nei limiti.")</f>
        <v>La donna serve la palla e ne consegue un gioco mentre tutte le donne mantengono la palla nella zona e la colpiscono più volte cercando di tenerla nei limiti.</v>
      </c>
    </row>
    <row r="19268">
      <c r="A19268" s="4" t="s">
        <v>24246</v>
      </c>
      <c r="B19268" s="6" t="s">
        <v>24249</v>
      </c>
      <c r="C19268" s="5" t="str">
        <f>IFERROR(__xludf.DUMMYFUNCTION("GOOGLETRANSLATE(B19268,""en"",""it"")"),"La stessa donna che ha servito la palla a punta molto duramente la palla, l'altra squadra manca e i suoi compagni di squadra esultano.")</f>
        <v>La stessa donna che ha servito la palla a punta molto duramente la palla, l'altra squadra manca e i suoi compagni di squadra esultano.</v>
      </c>
    </row>
    <row r="19269">
      <c r="A19269" s="4" t="s">
        <v>24246</v>
      </c>
      <c r="B19269" s="6" t="s">
        <v>24250</v>
      </c>
      <c r="C19269" s="5" t="str">
        <f>IFERROR(__xludf.DUMMYFUNCTION("GOOGLETRANSLATE(B19269,""en"",""it"")"),"La stessa donna che ha servito in precedenza serve di nuovo la pallavolo e l'altra squadra aumenta rapidamente la palla che manda il membro della squadra avversaria che rotola a terra nel tentativo di salvare la palla dal colpire a terra.")</f>
        <v>La stessa donna che ha servito in precedenza serve di nuovo la pallavolo e l'altra squadra aumenta rapidamente la palla che manda il membro della squadra avversaria che rotola a terra nel tentativo di salvare la palla dal colpire a terra.</v>
      </c>
    </row>
    <row r="19270">
      <c r="A19270" s="4" t="s">
        <v>24251</v>
      </c>
      <c r="B19270" s="4" t="s">
        <v>24252</v>
      </c>
      <c r="C19270" s="5" t="str">
        <f>IFERROR(__xludf.DUMMYFUNCTION("GOOGLETRANSLATE(B19270,""en"",""it"")"),"Viene visto un uomo parlare con la telecamera e conduce in lui strofinando una finestra.")</f>
        <v>Viene visto un uomo parlare con la telecamera e conduce in lui strofinando una finestra.</v>
      </c>
    </row>
    <row r="19271">
      <c r="A19271" s="4" t="s">
        <v>24251</v>
      </c>
      <c r="B19271" s="4" t="s">
        <v>24253</v>
      </c>
      <c r="C19271" s="5" t="str">
        <f>IFERROR(__xludf.DUMMYFUNCTION("GOOGLETRANSLATE(B19271,""en"",""it"")"),"Stringe la finestra con più pulito e mostra diversi metodi su come utilizzare correttamente un tergicristallo.")</f>
        <v>Stringe la finestra con più pulito e mostra diversi metodi su come utilizzare correttamente un tergicristallo.</v>
      </c>
    </row>
    <row r="19272">
      <c r="A19272" s="4" t="s">
        <v>24251</v>
      </c>
      <c r="B19272" s="4" t="s">
        <v>24254</v>
      </c>
      <c r="C19272" s="5" t="str">
        <f>IFERROR(__xludf.DUMMYFUNCTION("GOOGLETRANSLATE(B19272,""en"",""it"")"),"La finestra è tutta pulita alla fine e viene ancora visto parlare con la telecamera.")</f>
        <v>La finestra è tutta pulita alla fine e viene ancora visto parlare con la telecamera.</v>
      </c>
    </row>
    <row r="19273">
      <c r="A19273" s="4" t="s">
        <v>24255</v>
      </c>
      <c r="B19273" s="4" t="s">
        <v>24256</v>
      </c>
      <c r="C19273" s="5" t="str">
        <f>IFERROR(__xludf.DUMMYFUNCTION("GOOGLETRANSLATE(B19273,""en"",""it"")"),"Sono disposte diverse canoe che portano a colpi di persone che cavalcano nelle canoe.")</f>
        <v>Sono disposte diverse canoe che portano a colpi di persone che cavalcano nelle canoe.</v>
      </c>
    </row>
    <row r="19274">
      <c r="A19274" s="4" t="s">
        <v>24255</v>
      </c>
      <c r="B19274" s="4" t="s">
        <v>24257</v>
      </c>
      <c r="C19274" s="5" t="str">
        <f>IFERROR(__xludf.DUMMYFUNCTION("GOOGLETRANSLATE(B19274,""en"",""it"")"),"Viene visto un uomo parlare alla telecamera e guidare in canoa con un'altra donna.")</f>
        <v>Viene visto un uomo parlare alla telecamera e guidare in canoa con un'altra donna.</v>
      </c>
    </row>
    <row r="19275">
      <c r="A19275" s="4" t="s">
        <v>24255</v>
      </c>
      <c r="B19275" s="4" t="s">
        <v>24258</v>
      </c>
      <c r="C19275" s="5" t="str">
        <f>IFERROR(__xludf.DUMMYFUNCTION("GOOGLETRANSLATE(B19275,""en"",""it"")"),"Più persone vengono viste cavalcare lungo il fiume in canoa mentre l'uomo continua a parlare.")</f>
        <v>Più persone vengono viste cavalcare lungo il fiume in canoa mentre l'uomo continua a parlare.</v>
      </c>
    </row>
    <row r="19276">
      <c r="A19276" s="4" t="s">
        <v>24259</v>
      </c>
      <c r="B19276" s="4" t="s">
        <v>24260</v>
      </c>
      <c r="C19276" s="5" t="str">
        <f>IFERROR(__xludf.DUMMYFUNCTION("GOOGLETRANSLATE(B19276,""en"",""it"")"),"I ragazzi in forma si trovano su una candeggina.")</f>
        <v>I ragazzi in forma si trovano su una candeggina.</v>
      </c>
    </row>
    <row r="19277">
      <c r="A19277" s="4" t="s">
        <v>24259</v>
      </c>
      <c r="B19277" s="4" t="s">
        <v>24261</v>
      </c>
      <c r="C19277" s="5" t="str">
        <f>IFERROR(__xludf.DUMMYFUNCTION("GOOGLETRANSLATE(B19277,""en"",""it"")"),"I ragazzi giocano a spiaggia.")</f>
        <v>I ragazzi giocano a spiaggia.</v>
      </c>
    </row>
    <row r="19278">
      <c r="A19278" s="4" t="s">
        <v>24259</v>
      </c>
      <c r="B19278" s="4" t="s">
        <v>24262</v>
      </c>
      <c r="C19278" s="5" t="str">
        <f>IFERROR(__xludf.DUMMYFUNCTION("GOOGLETRANSLATE(B19278,""en"",""it"")"),"Un uomo fa un'intervista.")</f>
        <v>Un uomo fa un'intervista.</v>
      </c>
    </row>
    <row r="19279">
      <c r="A19279" s="4" t="s">
        <v>24259</v>
      </c>
      <c r="B19279" s="4" t="s">
        <v>24263</v>
      </c>
      <c r="C19279" s="5" t="str">
        <f>IFERROR(__xludf.DUMMYFUNCTION("GOOGLETRANSLATE(B19279,""en"",""it"")"),"Un giocatore si destreggia con due palloni da calcio.")</f>
        <v>Un giocatore si destreggia con due palloni da calcio.</v>
      </c>
    </row>
    <row r="19280">
      <c r="A19280" s="4" t="s">
        <v>24264</v>
      </c>
      <c r="B19280" s="4" t="s">
        <v>24265</v>
      </c>
      <c r="C19280" s="5" t="str">
        <f>IFERROR(__xludf.DUMMYFUNCTION("GOOGLETRANSLATE(B19280,""en"",""it"")"),"Una ragazza con una camicia gialla sta mangiando un cono gelato.")</f>
        <v>Una ragazza con una camicia gialla sta mangiando un cono gelato.</v>
      </c>
    </row>
    <row r="19281">
      <c r="A19281" s="4" t="s">
        <v>24264</v>
      </c>
      <c r="B19281" s="4" t="s">
        <v>24266</v>
      </c>
      <c r="C19281" s="5" t="str">
        <f>IFERROR(__xludf.DUMMYFUNCTION("GOOGLETRANSLATE(B19281,""en"",""it"")"),"Un ragazzo con una camicia a strisce è seduto di fronte a lei mangiando un cono gelato.")</f>
        <v>Un ragazzo con una camicia a strisce è seduto di fronte a lei mangiando un cono gelato.</v>
      </c>
    </row>
    <row r="19282">
      <c r="A19282" s="4" t="s">
        <v>24264</v>
      </c>
      <c r="B19282" s="4" t="s">
        <v>24267</v>
      </c>
      <c r="C19282" s="5" t="str">
        <f>IFERROR(__xludf.DUMMYFUNCTION("GOOGLETRANSLATE(B19282,""en"",""it"")"),"Un uomo accanto a lui la guarda di nuovo.")</f>
        <v>Un uomo accanto a lui la guarda di nuovo.</v>
      </c>
    </row>
    <row r="19283">
      <c r="A19283" s="4" t="s">
        <v>24268</v>
      </c>
      <c r="B19283" s="4" t="s">
        <v>24269</v>
      </c>
      <c r="C19283" s="5" t="str">
        <f>IFERROR(__xludf.DUMMYFUNCTION("GOOGLETRANSLATE(B19283,""en"",""it"")"),"Un ragazzo gira una palla attaccata a una corda.")</f>
        <v>Un ragazzo gira una palla attaccata a una corda.</v>
      </c>
    </row>
    <row r="19284">
      <c r="A19284" s="4" t="s">
        <v>24268</v>
      </c>
      <c r="B19284" s="4" t="s">
        <v>24270</v>
      </c>
      <c r="C19284" s="5" t="str">
        <f>IFERROR(__xludf.DUMMYFUNCTION("GOOGLETRANSLATE(B19284,""en"",""it"")"),"Il ragazzo rilascia l'attaccamento della palla e della corda all'area dietro di lui.")</f>
        <v>Il ragazzo rilascia l'attaccamento della palla e della corda all'area dietro di lui.</v>
      </c>
    </row>
    <row r="19285">
      <c r="A19285" s="4" t="s">
        <v>24268</v>
      </c>
      <c r="B19285" s="4" t="s">
        <v>24271</v>
      </c>
      <c r="C19285" s="5" t="str">
        <f>IFERROR(__xludf.DUMMYFUNCTION("GOOGLETRANSLATE(B19285,""en"",""it"")"),"Il ragazzo gira la palla attaccata a una corda e cade a terra.")</f>
        <v>Il ragazzo gira la palla attaccata a una corda e cade a terra.</v>
      </c>
    </row>
    <row r="19286">
      <c r="A19286" s="4" t="s">
        <v>24272</v>
      </c>
      <c r="B19286" s="4" t="s">
        <v>24273</v>
      </c>
      <c r="C19286" s="5" t="str">
        <f>IFERROR(__xludf.DUMMYFUNCTION("GOOGLETRANSLATE(B19286,""en"",""it"")"),"Un uomo con camicia bianca e Lifevest bianco è seduto in una singola zattera arancione.")</f>
        <v>Un uomo con camicia bianca e Lifevest bianco è seduto in una singola zattera arancione.</v>
      </c>
    </row>
    <row r="19287">
      <c r="A19287" s="4" t="s">
        <v>24272</v>
      </c>
      <c r="B19287" s="4" t="s">
        <v>24274</v>
      </c>
      <c r="C19287" s="5" t="str">
        <f>IFERROR(__xludf.DUMMYFUNCTION("GOOGLETRANSLATE(B19287,""en"",""it"")"),"L'uomo in una zattera sta andando contro le onde d'acqua, paga e la zattera si sta girando al cerchio.")</f>
        <v>L'uomo in una zattera sta andando contro le onde d'acqua, paga e la zattera si sta girando al cerchio.</v>
      </c>
    </row>
    <row r="19288">
      <c r="A19288" s="4" t="s">
        <v>24275</v>
      </c>
      <c r="B19288" s="4" t="s">
        <v>24276</v>
      </c>
      <c r="C19288" s="5" t="str">
        <f>IFERROR(__xludf.DUMMYFUNCTION("GOOGLETRANSLATE(B19288,""en"",""it"")"),"Una stanza vuota è mostrata con piastrelle gialle.")</f>
        <v>Una stanza vuota è mostrata con piastrelle gialle.</v>
      </c>
    </row>
    <row r="19289">
      <c r="A19289" s="4" t="s">
        <v>24275</v>
      </c>
      <c r="B19289" s="4" t="s">
        <v>24277</v>
      </c>
      <c r="C19289" s="5" t="str">
        <f>IFERROR(__xludf.DUMMYFUNCTION("GOOGLETRANSLATE(B19289,""en"",""it"")"),"Un uomo con una camicia bianca sta dipingendo un muro.")</f>
        <v>Un uomo con una camicia bianca sta dipingendo un muro.</v>
      </c>
    </row>
    <row r="19290">
      <c r="A19290" s="4" t="s">
        <v>24275</v>
      </c>
      <c r="B19290" s="4" t="s">
        <v>24278</v>
      </c>
      <c r="C19290" s="5" t="str">
        <f>IFERROR(__xludf.DUMMYFUNCTION("GOOGLETRANSLATE(B19290,""en"",""it"")"),"Si gira e guarda la telecamera.")</f>
        <v>Si gira e guarda la telecamera.</v>
      </c>
    </row>
    <row r="19291">
      <c r="A19291" s="4" t="s">
        <v>24279</v>
      </c>
      <c r="B19291" s="4" t="s">
        <v>24280</v>
      </c>
      <c r="C19291" s="5" t="str">
        <f>IFERROR(__xludf.DUMMYFUNCTION("GOOGLETRANSLATE(B19291,""en"",""it"")"),"Vediamo una serie di schermi del titolo.")</f>
        <v>Vediamo una serie di schermi del titolo.</v>
      </c>
    </row>
    <row r="19292">
      <c r="A19292" s="4" t="s">
        <v>24279</v>
      </c>
      <c r="B19292" s="4" t="s">
        <v>24281</v>
      </c>
      <c r="C19292" s="5" t="str">
        <f>IFERROR(__xludf.DUMMYFUNCTION("GOOGLETRANSLATE(B19292,""en"",""it"")"),"Vediamo quindi una partita di badminton.")</f>
        <v>Vediamo quindi una partita di badminton.</v>
      </c>
    </row>
    <row r="19293">
      <c r="A19293" s="4" t="s">
        <v>24279</v>
      </c>
      <c r="B19293" s="4" t="s">
        <v>24282</v>
      </c>
      <c r="C19293" s="5" t="str">
        <f>IFERROR(__xludf.DUMMYFUNCTION("GOOGLETRANSLATE(B19293,""en"",""it"")"),"Vediamo un'illustrazione di badminton.")</f>
        <v>Vediamo un'illustrazione di badminton.</v>
      </c>
    </row>
    <row r="19294">
      <c r="A19294" s="4" t="s">
        <v>24279</v>
      </c>
      <c r="B19294" s="4" t="s">
        <v>24283</v>
      </c>
      <c r="C19294" s="5" t="str">
        <f>IFERROR(__xludf.DUMMYFUNCTION("GOOGLETRANSLATE(B19294,""en"",""it"")"),"Vediamo quindi una signora e un uomo che giocano in casa.")</f>
        <v>Vediamo quindi una signora e un uomo che giocano in casa.</v>
      </c>
    </row>
    <row r="19295">
      <c r="A19295" s="4" t="s">
        <v>24279</v>
      </c>
      <c r="B19295" s="4" t="s">
        <v>24284</v>
      </c>
      <c r="C19295" s="5" t="str">
        <f>IFERROR(__xludf.DUMMYFUNCTION("GOOGLETRANSLATE(B19295,""en"",""it"")"),"Vediamo animazioni mentre l'uomo colpisce la palla.")</f>
        <v>Vediamo animazioni mentre l'uomo colpisce la palla.</v>
      </c>
    </row>
    <row r="19296">
      <c r="A19296" s="4" t="s">
        <v>24279</v>
      </c>
      <c r="B19296" s="4" t="s">
        <v>24285</v>
      </c>
      <c r="C19296" s="5" t="str">
        <f>IFERROR(__xludf.DUMMYFUNCTION("GOOGLETRANSLATE(B19296,""en"",""it"")"),"Vediamo un'illustrazione dell'uomo.")</f>
        <v>Vediamo un'illustrazione dell'uomo.</v>
      </c>
    </row>
    <row r="19297">
      <c r="A19297" s="4" t="s">
        <v>24279</v>
      </c>
      <c r="B19297" s="4" t="s">
        <v>4452</v>
      </c>
      <c r="C19297" s="5" t="str">
        <f>IFERROR(__xludf.DUMMYFUNCTION("GOOGLETRANSLATE(B19297,""en"",""it"")"),"Vediamo quindi lo schermo finale.")</f>
        <v>Vediamo quindi lo schermo finale.</v>
      </c>
    </row>
    <row r="19298">
      <c r="A19298" s="4" t="s">
        <v>24279</v>
      </c>
      <c r="B19298" s="4" t="s">
        <v>24286</v>
      </c>
      <c r="C19298" s="5" t="str">
        <f>IFERROR(__xludf.DUMMYFUNCTION("GOOGLETRANSLATE(B19298,""en"",""it"")"),"Un uomo sta parlando in una stanza verde.")</f>
        <v>Un uomo sta parlando in una stanza verde.</v>
      </c>
    </row>
    <row r="19299">
      <c r="A19299" s="4" t="s">
        <v>24287</v>
      </c>
      <c r="B19299" s="4" t="s">
        <v>24288</v>
      </c>
      <c r="C19299" s="5" t="str">
        <f>IFERROR(__xludf.DUMMYFUNCTION("GOOGLETRANSLATE(B19299,""en"",""it"")"),"Due persone sono viste giocare a un tavolo di foose e incoraggiarsi l'uno con l'altro.")</f>
        <v>Due persone sono viste giocare a un tavolo di foose e incoraggiarsi l'uno con l'altro.</v>
      </c>
    </row>
    <row r="19300">
      <c r="A19300" s="4" t="s">
        <v>24287</v>
      </c>
      <c r="B19300" s="4" t="s">
        <v>24289</v>
      </c>
      <c r="C19300" s="5" t="str">
        <f>IFERROR(__xludf.DUMMYFUNCTION("GOOGLETRANSLATE(B19300,""en"",""it"")"),"Le persone continuano a giocare e fermarti per fare il tifo con una stretta di mano.")</f>
        <v>Le persone continuano a giocare e fermarti per fare il tifo con una stretta di mano.</v>
      </c>
    </row>
    <row r="19301">
      <c r="A19301" s="4" t="s">
        <v>24290</v>
      </c>
      <c r="B19301" s="4" t="s">
        <v>24291</v>
      </c>
      <c r="C19301" s="5" t="str">
        <f>IFERROR(__xludf.DUMMYFUNCTION("GOOGLETRANSLATE(B19301,""en"",""it"")"),"Viene mostrato un supporto per pennello verde.")</f>
        <v>Viene mostrato un supporto per pennello verde.</v>
      </c>
    </row>
    <row r="19302">
      <c r="A19302" s="4" t="s">
        <v>24290</v>
      </c>
      <c r="B19302" s="4" t="s">
        <v>24292</v>
      </c>
      <c r="C19302" s="5" t="str">
        <f>IFERROR(__xludf.DUMMYFUNCTION("GOOGLETRANSLATE(B19302,""en"",""it"")"),"Il pennello del pennello viene mostrato sul dito di una persona.")</f>
        <v>Il pennello del pennello viene mostrato sul dito di una persona.</v>
      </c>
    </row>
    <row r="19303">
      <c r="A19303" s="4" t="s">
        <v>24290</v>
      </c>
      <c r="B19303" s="4" t="s">
        <v>24293</v>
      </c>
      <c r="C19303" s="5" t="str">
        <f>IFERROR(__xludf.DUMMYFUNCTION("GOOGLETRANSLATE(B19303,""en"",""it"")"),"Stanno dipingendo con il pennello.")</f>
        <v>Stanno dipingendo con il pennello.</v>
      </c>
    </row>
    <row r="19304">
      <c r="A19304" s="4" t="s">
        <v>24290</v>
      </c>
      <c r="B19304" s="4" t="s">
        <v>24294</v>
      </c>
      <c r="C19304" s="5" t="str">
        <f>IFERROR(__xludf.DUMMYFUNCTION("GOOGLETRANSLATE(B19304,""en"",""it"")"),"Stanno lasciando cadere più sottili nella vernice con un contagocce.")</f>
        <v>Stanno lasciando cadere più sottili nella vernice con un contagocce.</v>
      </c>
    </row>
    <row r="19305">
      <c r="A19305" s="4" t="s">
        <v>24290</v>
      </c>
      <c r="B19305" s="4" t="s">
        <v>24295</v>
      </c>
      <c r="C19305" s="5" t="str">
        <f>IFERROR(__xludf.DUMMYFUNCTION("GOOGLETRANSLATE(B19305,""en"",""it"")"),"C'è un aereo modello seduto sul tavolo.")</f>
        <v>C'è un aereo modello seduto sul tavolo.</v>
      </c>
    </row>
    <row r="19306">
      <c r="A19306" s="4" t="s">
        <v>24290</v>
      </c>
      <c r="B19306" s="4" t="s">
        <v>24296</v>
      </c>
      <c r="C19306" s="5" t="str">
        <f>IFERROR(__xludf.DUMMYFUNCTION("GOOGLETRANSLATE(B19306,""en"",""it"")"),"L'aereo viene dipinto di un colore oro.")</f>
        <v>L'aereo viene dipinto di un colore oro.</v>
      </c>
    </row>
    <row r="19307">
      <c r="A19307" s="4" t="s">
        <v>24290</v>
      </c>
      <c r="B19307" s="4" t="s">
        <v>24297</v>
      </c>
      <c r="C19307" s="5" t="str">
        <f>IFERROR(__xludf.DUMMYFUNCTION("GOOGLETRANSLATE(B19307,""en"",""it"")"),"Viene mostrato un pennello verde e girato.")</f>
        <v>Viene mostrato un pennello verde e girato.</v>
      </c>
    </row>
    <row r="19308">
      <c r="A19308" s="4" t="s">
        <v>24298</v>
      </c>
      <c r="B19308" s="4" t="s">
        <v>24299</v>
      </c>
      <c r="C19308" s="5" t="str">
        <f>IFERROR(__xludf.DUMMYFUNCTION("GOOGLETRANSLATE(B19308,""en"",""it"")"),"Viene vista una persona che cammina lungo la neve e tira dietro di sé una slitta.")</f>
        <v>Viene vista una persona che cammina lungo la neve e tira dietro di sé una slitta.</v>
      </c>
    </row>
    <row r="19309">
      <c r="A19309" s="4" t="s">
        <v>24298</v>
      </c>
      <c r="B19309" s="4" t="s">
        <v>24300</v>
      </c>
      <c r="C19309" s="5" t="str">
        <f>IFERROR(__xludf.DUMMYFUNCTION("GOOGLETRANSLATE(B19309,""en"",""it"")"),"La persona taglia un buco nel ghiaccio e esca e infine cattura un pesce.")</f>
        <v>La persona taglia un buco nel ghiaccio e esca e infine cattura un pesce.</v>
      </c>
    </row>
    <row r="19310">
      <c r="A19310" s="4" t="s">
        <v>24298</v>
      </c>
      <c r="B19310" s="4" t="s">
        <v>24301</v>
      </c>
      <c r="C19310" s="5" t="str">
        <f>IFERROR(__xludf.DUMMYFUNCTION("GOOGLETRANSLATE(B19310,""en"",""it"")"),"L'uomo taglia il pesce, lo cucina e viene poi visto mangiarlo e allontanarsi.")</f>
        <v>L'uomo taglia il pesce, lo cucina e viene poi visto mangiarlo e allontanarsi.</v>
      </c>
    </row>
    <row r="19311">
      <c r="A19311" s="4" t="s">
        <v>24302</v>
      </c>
      <c r="B19311" s="4" t="s">
        <v>24303</v>
      </c>
      <c r="C19311" s="5" t="str">
        <f>IFERROR(__xludf.DUMMYFUNCTION("GOOGLETRANSLATE(B19311,""en"",""it"")"),"Una signora sta lavando un cagnolino in un lavandino.")</f>
        <v>Una signora sta lavando un cagnolino in un lavandino.</v>
      </c>
    </row>
    <row r="19312">
      <c r="A19312" s="4" t="s">
        <v>24302</v>
      </c>
      <c r="B19312" s="4" t="s">
        <v>24304</v>
      </c>
      <c r="C19312" s="5" t="str">
        <f>IFERROR(__xludf.DUMMYFUNCTION("GOOGLETRANSLATE(B19312,""en"",""it"")"),"La signora mette lo shampoo sul cane.")</f>
        <v>La signora mette lo shampoo sul cane.</v>
      </c>
    </row>
    <row r="19313">
      <c r="A19313" s="4" t="s">
        <v>24302</v>
      </c>
      <c r="B19313" s="4" t="s">
        <v>24305</v>
      </c>
      <c r="C19313" s="5" t="str">
        <f>IFERROR(__xludf.DUMMYFUNCTION("GOOGLETRANSLATE(B19313,""en"",""it"")"),"La signora riprende il cane.")</f>
        <v>La signora riprende il cane.</v>
      </c>
    </row>
    <row r="19314">
      <c r="A19314" s="4" t="s">
        <v>24302</v>
      </c>
      <c r="B19314" s="4" t="s">
        <v>24306</v>
      </c>
      <c r="C19314" s="5" t="str">
        <f>IFERROR(__xludf.DUMMYFUNCTION("GOOGLETRANSLATE(B19314,""en"",""it"")"),"La signora porta il cane a un tavolo e lo alza.")</f>
        <v>La signora porta il cane a un tavolo e lo alza.</v>
      </c>
    </row>
    <row r="19315">
      <c r="A19315" s="4" t="s">
        <v>24302</v>
      </c>
      <c r="B19315" s="4" t="s">
        <v>24307</v>
      </c>
      <c r="C19315" s="5" t="str">
        <f>IFERROR(__xludf.DUMMYFUNCTION("GOOGLETRANSLATE(B19315,""en"",""it"")"),"Drape il cane sopra un asciugamano arrotolato.")</f>
        <v>Drape il cane sopra un asciugamano arrotolato.</v>
      </c>
    </row>
    <row r="19316">
      <c r="A19316" s="4" t="s">
        <v>24302</v>
      </c>
      <c r="B19316" s="4" t="s">
        <v>24308</v>
      </c>
      <c r="C19316" s="5" t="str">
        <f>IFERROR(__xludf.DUMMYFUNCTION("GOOGLETRANSLATE(B19316,""en"",""it"")"),"Quindi prende il cane.")</f>
        <v>Quindi prende il cane.</v>
      </c>
    </row>
    <row r="19317">
      <c r="A19317" s="4" t="s">
        <v>24309</v>
      </c>
      <c r="B19317" s="6" t="s">
        <v>24310</v>
      </c>
      <c r="C19317" s="5" t="str">
        <f>IFERROR(__xludf.DUMMYFUNCTION("GOOGLETRANSLATE(B19317,""en"",""it"")"),"Viene visto un uomo parlare con la fotocamera con vari oggetti e transizioni in lui tagliando il bordo di un prato.")</f>
        <v>Viene visto un uomo parlare con la fotocamera con vari oggetti e transizioni in lui tagliando il bordo di un prato.</v>
      </c>
    </row>
    <row r="19318">
      <c r="A19318" s="4" t="s">
        <v>24309</v>
      </c>
      <c r="B19318" s="6" t="s">
        <v>24311</v>
      </c>
      <c r="C19318" s="5" t="str">
        <f>IFERROR(__xludf.DUMMYFUNCTION("GOOGLETRANSLATE(B19318,""en"",""it"")"),"Viene quindi mostrato falciare prati e tagliare le siepi mentre parla alla telecamera e soffia le foglie da un cortile.")</f>
        <v>Viene quindi mostrato falciare prati e tagliare le siepi mentre parla alla telecamera e soffia le foglie da un cortile.</v>
      </c>
    </row>
    <row r="19319">
      <c r="A19319" s="4" t="s">
        <v>24312</v>
      </c>
      <c r="B19319" s="4" t="s">
        <v>24313</v>
      </c>
      <c r="C19319" s="5" t="str">
        <f>IFERROR(__xludf.DUMMYFUNCTION("GOOGLETRANSLATE(B19319,""en"",""it"")"),"Due squadre giocano una partita di hockey sul campo interno.")</f>
        <v>Due squadre giocano una partita di hockey sul campo interno.</v>
      </c>
    </row>
    <row r="19320">
      <c r="A19320" s="4" t="s">
        <v>24312</v>
      </c>
      <c r="B19320" s="4" t="s">
        <v>24314</v>
      </c>
      <c r="C19320" s="5" t="str">
        <f>IFERROR(__xludf.DUMMYFUNCTION("GOOGLETRANSLATE(B19320,""en"",""it"")"),"Le squadre fanno colpi su un portiere bloccato.")</f>
        <v>Le squadre fanno colpi su un portiere bloccato.</v>
      </c>
    </row>
    <row r="19321">
      <c r="A19321" s="4" t="s">
        <v>24312</v>
      </c>
      <c r="B19321" s="4" t="s">
        <v>24315</v>
      </c>
      <c r="C19321" s="5" t="str">
        <f>IFERROR(__xludf.DUMMYFUNCTION("GOOGLETRANSLATE(B19321,""en"",""it"")"),"L'arbitro inizia e ferma il gioco.")</f>
        <v>L'arbitro inizia e ferma il gioco.</v>
      </c>
    </row>
    <row r="19322">
      <c r="A19322" s="4" t="s">
        <v>24316</v>
      </c>
      <c r="B19322" s="4" t="s">
        <v>24317</v>
      </c>
      <c r="C19322" s="5" t="str">
        <f>IFERROR(__xludf.DUMMYFUNCTION("GOOGLETRANSLATE(B19322,""en"",""it"")"),"Viene mostrata la catena montuosa innevata e le persone stanno facendo lo snowboard.")</f>
        <v>Viene mostrata la catena montuosa innevata e le persone stanno facendo lo snowboard.</v>
      </c>
    </row>
    <row r="19323">
      <c r="A19323" s="4" t="s">
        <v>24316</v>
      </c>
      <c r="B19323" s="4" t="s">
        <v>24318</v>
      </c>
      <c r="C19323" s="5" t="str">
        <f>IFERROR(__xludf.DUMMYFUNCTION("GOOGLETRANSLATE(B19323,""en"",""it"")"),"L'elicottero è in aria atterrando in una montagna lasciando le persone in cima alla montagna.")</f>
        <v>L'elicottero è in aria atterrando in una montagna lasciando le persone in cima alla montagna.</v>
      </c>
    </row>
    <row r="19324">
      <c r="A19324" s="4" t="s">
        <v>24316</v>
      </c>
      <c r="B19324" s="4" t="s">
        <v>24319</v>
      </c>
      <c r="C19324" s="5" t="str">
        <f>IFERROR(__xludf.DUMMYFUNCTION("GOOGLETRANSLATE(B19324,""en"",""it"")"),"Le persone sono dentro l'elicottero che parla tra di loro.")</f>
        <v>Le persone sono dentro l'elicottero che parla tra di loro.</v>
      </c>
    </row>
    <row r="19325">
      <c r="A19325" s="4" t="s">
        <v>24316</v>
      </c>
      <c r="B19325" s="4" t="s">
        <v>24320</v>
      </c>
      <c r="C19325" s="5" t="str">
        <f>IFERROR(__xludf.DUMMYFUNCTION("GOOGLETRANSLATE(B19325,""en"",""it"")"),"Le persone iniziano a scendere dallo snowboard del pendio nella montagna.")</f>
        <v>Le persone iniziano a scendere dallo snowboard del pendio nella montagna.</v>
      </c>
    </row>
    <row r="19326">
      <c r="A19326" s="4" t="s">
        <v>24316</v>
      </c>
      <c r="B19326" s="4" t="s">
        <v>24321</v>
      </c>
      <c r="C19326" s="5" t="str">
        <f>IFERROR(__xludf.DUMMYFUNCTION("GOOGLETRANSLATE(B19326,""en"",""it"")"),"Peolpe all'interno dell'elicottero sta parlando e mettendo i vestiti invernali e parlando con la telecamera.")</f>
        <v>Peolpe all'interno dell'elicottero sta parlando e mettendo i vestiti invernali e parlando con la telecamera.</v>
      </c>
    </row>
    <row r="19327">
      <c r="A19327" s="4" t="s">
        <v>24322</v>
      </c>
      <c r="B19327" s="4" t="s">
        <v>24323</v>
      </c>
      <c r="C19327" s="5" t="str">
        <f>IFERROR(__xludf.DUMMYFUNCTION("GOOGLETRANSLATE(B19327,""en"",""it"")"),"Vengono mostrate scene di donne che usano vari metodi per arricciarsi i capelli.")</f>
        <v>Vengono mostrate scene di donne che usano vari metodi per arricciarsi i capelli.</v>
      </c>
    </row>
    <row r="19328">
      <c r="A19328" s="4" t="s">
        <v>24322</v>
      </c>
      <c r="B19328" s="4" t="s">
        <v>24324</v>
      </c>
      <c r="C19328" s="5" t="str">
        <f>IFERROR(__xludf.DUMMYFUNCTION("GOOGLETRANSLATE(B19328,""en"",""it"")"),"Una sequenza di computer grafica mostra la funzionalità di un particolare dispositivo.")</f>
        <v>Una sequenza di computer grafica mostra la funzionalità di un particolare dispositivo.</v>
      </c>
    </row>
    <row r="19329">
      <c r="A19329" s="4" t="s">
        <v>24322</v>
      </c>
      <c r="B19329" s="4" t="s">
        <v>24325</v>
      </c>
      <c r="C19329" s="5" t="str">
        <f>IFERROR(__xludf.DUMMYFUNCTION("GOOGLETRANSLATE(B19329,""en"",""it"")"),"Diverse donne mostrano i capelli arricciati.")</f>
        <v>Diverse donne mostrano i capelli arricciati.</v>
      </c>
    </row>
    <row r="19330">
      <c r="A19330" s="4" t="s">
        <v>24322</v>
      </c>
      <c r="B19330" s="4" t="s">
        <v>24326</v>
      </c>
      <c r="C19330" s="5" t="str">
        <f>IFERROR(__xludf.DUMMYFUNCTION("GOOGLETRANSLATE(B19330,""en"",""it"")"),"Il prodotto di curling è nuovamente dimostrato da diverse donne.")</f>
        <v>Il prodotto di curling è nuovamente dimostrato da diverse donne.</v>
      </c>
    </row>
    <row r="19331">
      <c r="A19331" s="4" t="s">
        <v>24322</v>
      </c>
      <c r="B19331" s="4" t="s">
        <v>24327</v>
      </c>
      <c r="C19331" s="5" t="str">
        <f>IFERROR(__xludf.DUMMYFUNCTION("GOOGLETRANSLATE(B19331,""en"",""it"")"),"Vengono mostrate le immagini prima e dopo.")</f>
        <v>Vengono mostrate le immagini prima e dopo.</v>
      </c>
    </row>
    <row r="19332">
      <c r="A19332" s="4" t="s">
        <v>24328</v>
      </c>
      <c r="B19332" s="4" t="s">
        <v>24329</v>
      </c>
      <c r="C19332" s="5" t="str">
        <f>IFERROR(__xludf.DUMMYFUNCTION("GOOGLETRANSLATE(B19332,""en"",""it"")"),"Un uomo in una camicia verde getta un disco su un campo.")</f>
        <v>Un uomo in una camicia verde getta un disco su un campo.</v>
      </c>
    </row>
    <row r="19333">
      <c r="A19333" s="4" t="s">
        <v>24328</v>
      </c>
      <c r="B19333" s="4" t="s">
        <v>24330</v>
      </c>
      <c r="C19333" s="5" t="str">
        <f>IFERROR(__xludf.DUMMYFUNCTION("GOOGLETRANSLATE(B19333,""en"",""it"")"),"Un uomo con una camicia blu lancia un disco sul campo.")</f>
        <v>Un uomo con una camicia blu lancia un disco sul campo.</v>
      </c>
    </row>
    <row r="19334">
      <c r="A19334" s="4" t="s">
        <v>24328</v>
      </c>
      <c r="B19334" s="4" t="s">
        <v>24331</v>
      </c>
      <c r="C19334" s="5" t="str">
        <f>IFERROR(__xludf.DUMMYFUNCTION("GOOGLETRANSLATE(B19334,""en"",""it"")"),"Un uomo in una camicia viola getta un disco sul campo.")</f>
        <v>Un uomo in una camicia viola getta un disco sul campo.</v>
      </c>
    </row>
    <row r="19335">
      <c r="A19335" s="4" t="s">
        <v>24332</v>
      </c>
      <c r="B19335" s="4" t="s">
        <v>24333</v>
      </c>
      <c r="C19335" s="5" t="str">
        <f>IFERROR(__xludf.DUMMYFUNCTION("GOOGLETRANSLATE(B19335,""en"",""it"")"),"Un uomo lavora su un aquilone.")</f>
        <v>Un uomo lavora su un aquilone.</v>
      </c>
    </row>
    <row r="19336">
      <c r="A19336" s="4" t="s">
        <v>24332</v>
      </c>
      <c r="B19336" s="4" t="s">
        <v>24334</v>
      </c>
      <c r="C19336" s="5" t="str">
        <f>IFERROR(__xludf.DUMMYFUNCTION("GOOGLETRANSLATE(B19336,""en"",""it"")"),"Un altro uomo che tiene un bambino regge la bobina dell'aquilone.")</f>
        <v>Un altro uomo che tiene un bambino regge la bobina dell'aquilone.</v>
      </c>
    </row>
    <row r="19337">
      <c r="A19337" s="4" t="s">
        <v>24332</v>
      </c>
      <c r="B19337" s="4" t="s">
        <v>24335</v>
      </c>
      <c r="C19337" s="5" t="str">
        <f>IFERROR(__xludf.DUMMYFUNCTION("GOOGLETRANSLATE(B19337,""en"",""it"")"),"Un terzo uomo lavora su un aquilone simile mentre il secondo uomo tiene una bobina.")</f>
        <v>Un terzo uomo lavora su un aquilone simile mentre il secondo uomo tiene una bobina.</v>
      </c>
    </row>
    <row r="19338">
      <c r="A19338" s="4" t="s">
        <v>24332</v>
      </c>
      <c r="B19338" s="4" t="s">
        <v>24336</v>
      </c>
      <c r="C19338" s="5" t="str">
        <f>IFERROR(__xludf.DUMMYFUNCTION("GOOGLETRANSLATE(B19338,""en"",""it"")"),"Gli uomini pilotano gli aquiloni da un tetto.")</f>
        <v>Gli uomini pilotano gli aquiloni da un tetto.</v>
      </c>
    </row>
    <row r="19339">
      <c r="A19339" s="4" t="s">
        <v>24332</v>
      </c>
      <c r="B19339" s="4" t="s">
        <v>24337</v>
      </c>
      <c r="C19339" s="5" t="str">
        <f>IFERROR(__xludf.DUMMYFUNCTION("GOOGLETRANSLATE(B19339,""en"",""it"")"),"La scena cambia in una vista notturna del cielo con una luce non identificata.")</f>
        <v>La scena cambia in una vista notturna del cielo con una luce non identificata.</v>
      </c>
    </row>
    <row r="19340">
      <c r="A19340" s="4" t="s">
        <v>24338</v>
      </c>
      <c r="B19340" s="4" t="s">
        <v>24339</v>
      </c>
      <c r="C19340" s="5" t="str">
        <f>IFERROR(__xludf.DUMMYFUNCTION("GOOGLETRANSLATE(B19340,""en"",""it"")"),"Una schermata pubblicitaria appare momentaneamente quando inizia il video.")</f>
        <v>Una schermata pubblicitaria appare momentaneamente quando inizia il video.</v>
      </c>
    </row>
    <row r="19341">
      <c r="A19341" s="4" t="s">
        <v>24338</v>
      </c>
      <c r="B19341" s="4" t="s">
        <v>24340</v>
      </c>
      <c r="C19341" s="5" t="str">
        <f>IFERROR(__xludf.DUMMYFUNCTION("GOOGLETRANSLATE(B19341,""en"",""it"")"),"Un gruppo di uomini viene mostrato a calci una palla avanti e indietro in uno stadio.")</f>
        <v>Un gruppo di uomini viene mostrato a calci una palla avanti e indietro in uno stadio.</v>
      </c>
    </row>
    <row r="19342">
      <c r="A19342" s="4" t="s">
        <v>24338</v>
      </c>
      <c r="B19342" s="4" t="s">
        <v>24341</v>
      </c>
      <c r="C19342" s="5" t="str">
        <f>IFERROR(__xludf.DUMMYFUNCTION("GOOGLETRANSLATE(B19342,""en"",""it"")"),"Gli uomini corrono dopo la palla, tentando di catturarla dalla squadra avversaria.")</f>
        <v>Gli uomini corrono dopo la palla, tentando di catturarla dalla squadra avversaria.</v>
      </c>
    </row>
    <row r="19343">
      <c r="A19343" s="4" t="s">
        <v>24338</v>
      </c>
      <c r="B19343" s="4" t="s">
        <v>24342</v>
      </c>
      <c r="C19343" s="5" t="str">
        <f>IFERROR(__xludf.DUMMYFUNCTION("GOOGLETRANSLATE(B19343,""en"",""it"")"),"Un cerchio giallo viene mostrato attorno a un particolare giocatore.")</f>
        <v>Un cerchio giallo viene mostrato attorno a un particolare giocatore.</v>
      </c>
    </row>
    <row r="19344">
      <c r="A19344" s="4" t="s">
        <v>24343</v>
      </c>
      <c r="B19344" s="4" t="s">
        <v>24344</v>
      </c>
      <c r="C19344" s="5" t="str">
        <f>IFERROR(__xludf.DUMMYFUNCTION("GOOGLETRANSLATE(B19344,""en"",""it"")"),"Un gruppo di bambini è in piedi indossando giubbotti di salvataggio mentre la telecamera si muove intorno a un lago.")</f>
        <v>Un gruppo di bambini è in piedi indossando giubbotti di salvataggio mentre la telecamera si muove intorno a un lago.</v>
      </c>
    </row>
    <row r="19345">
      <c r="A19345" s="4" t="s">
        <v>24343</v>
      </c>
      <c r="B19345" s="4" t="s">
        <v>24345</v>
      </c>
      <c r="C19345" s="5" t="str">
        <f>IFERROR(__xludf.DUMMYFUNCTION("GOOGLETRANSLATE(B19345,""en"",""it"")"),"Un uomo viene visto seduto su una barca e la telecamera continua a fare la panoramica nella zona.")</f>
        <v>Un uomo viene visto seduto su una barca e la telecamera continua a fare la panoramica nella zona.</v>
      </c>
    </row>
    <row r="19346">
      <c r="A19346" s="4" t="s">
        <v>24343</v>
      </c>
      <c r="B19346" s="4" t="s">
        <v>24346</v>
      </c>
      <c r="C19346" s="5" t="str">
        <f>IFERROR(__xludf.DUMMYFUNCTION("GOOGLETRANSLATE(B19346,""en"",""it"")"),"I bambini vagano nelle barche e iniziano a remare lungo il fiume.")</f>
        <v>I bambini vagano nelle barche e iniziano a remare lungo il fiume.</v>
      </c>
    </row>
    <row r="19347">
      <c r="A19347" s="4" t="s">
        <v>24343</v>
      </c>
      <c r="B19347" s="4" t="s">
        <v>24347</v>
      </c>
      <c r="C19347" s="5" t="str">
        <f>IFERROR(__xludf.DUMMYFUNCTION("GOOGLETRANSLATE(B19347,""en"",""it"")"),"L'acqua diventa più furiosa e i bambini schizzano giocosamente l'uomo della telecamera.")</f>
        <v>L'acqua diventa più furiosa e i bambini schizzano giocosamente l'uomo della telecamera.</v>
      </c>
    </row>
    <row r="19348">
      <c r="A19348" s="4" t="s">
        <v>24343</v>
      </c>
      <c r="B19348" s="4" t="s">
        <v>24348</v>
      </c>
      <c r="C19348" s="5" t="str">
        <f>IFERROR(__xludf.DUMMYFUNCTION("GOOGLETRANSLATE(B19348,""en"",""it"")"),"Continua a cavalcare le onde insidiose mentre la telecamera le osserva da lontano.")</f>
        <v>Continua a cavalcare le onde insidiose mentre la telecamera le osserva da lontano.</v>
      </c>
    </row>
    <row r="19349">
      <c r="A19349" s="4" t="s">
        <v>24349</v>
      </c>
      <c r="B19349" s="6" t="s">
        <v>24350</v>
      </c>
      <c r="C19349" s="5" t="str">
        <f>IFERROR(__xludf.DUMMYFUNCTION("GOOGLETRANSLATE(B19349,""en"",""it"")"),"Un piccolo gruppo di persone viene visto nuotare intorno a una piscina afferrare una palla e gettarla indietro e quarta.")</f>
        <v>Un piccolo gruppo di persone viene visto nuotare intorno a una piscina afferrare una palla e gettarla indietro e quarta.</v>
      </c>
    </row>
    <row r="19350">
      <c r="A19350" s="4" t="s">
        <v>24349</v>
      </c>
      <c r="B19350" s="4" t="s">
        <v>24351</v>
      </c>
      <c r="C19350" s="5" t="str">
        <f>IFERROR(__xludf.DUMMYFUNCTION("GOOGLETRANSLATE(B19350,""en"",""it"")"),"Le persone continuano a giocare tra loro e lanciano la palla.")</f>
        <v>Le persone continuano a giocare tra loro e lanciano la palla.</v>
      </c>
    </row>
    <row r="19351">
      <c r="A19351" s="4" t="s">
        <v>24352</v>
      </c>
      <c r="B19351" s="4" t="s">
        <v>24353</v>
      </c>
      <c r="C19351" s="5" t="str">
        <f>IFERROR(__xludf.DUMMYFUNCTION("GOOGLETRANSLATE(B19351,""en"",""it"")"),"Un uomo e una donna stanno parlando in una stanza.")</f>
        <v>Un uomo e una donna stanno parlando in una stanza.</v>
      </c>
    </row>
    <row r="19352">
      <c r="A19352" s="4" t="s">
        <v>24352</v>
      </c>
      <c r="B19352" s="4" t="s">
        <v>24354</v>
      </c>
      <c r="C19352" s="5" t="str">
        <f>IFERROR(__xludf.DUMMYFUNCTION("GOOGLETRANSLATE(B19352,""en"",""it"")"),"Una persona sta andando in bicicletta lungo la strada.")</f>
        <v>Una persona sta andando in bicicletta lungo la strada.</v>
      </c>
    </row>
    <row r="19353">
      <c r="A19353" s="4" t="s">
        <v>24352</v>
      </c>
      <c r="B19353" s="4" t="s">
        <v>24355</v>
      </c>
      <c r="C19353" s="5" t="str">
        <f>IFERROR(__xludf.DUMMYFUNCTION("GOOGLETRANSLATE(B19353,""en"",""it"")"),"Qualcuno cade dopo aver guidato una bici.")</f>
        <v>Qualcuno cade dopo aver guidato una bici.</v>
      </c>
    </row>
    <row r="19354">
      <c r="A19354" s="4" t="s">
        <v>24352</v>
      </c>
      <c r="B19354" s="4" t="s">
        <v>24356</v>
      </c>
      <c r="C19354" s="5" t="str">
        <f>IFERROR(__xludf.DUMMYFUNCTION("GOOGLETRANSLATE(B19354,""en"",""it"")"),"L'uomo e la donna stanno parlando in una stanza.")</f>
        <v>L'uomo e la donna stanno parlando in una stanza.</v>
      </c>
    </row>
    <row r="19355">
      <c r="A19355" s="4" t="s">
        <v>24352</v>
      </c>
      <c r="B19355" s="4" t="s">
        <v>24357</v>
      </c>
      <c r="C19355" s="5" t="str">
        <f>IFERROR(__xludf.DUMMYFUNCTION("GOOGLETRANSLATE(B19355,""en"",""it"")"),"Una bici si appoggia a una recinzione.")</f>
        <v>Una bici si appoggia a una recinzione.</v>
      </c>
    </row>
    <row r="19356">
      <c r="A19356" s="4" t="s">
        <v>24352</v>
      </c>
      <c r="B19356" s="4" t="s">
        <v>24358</v>
      </c>
      <c r="C19356" s="5" t="str">
        <f>IFERROR(__xludf.DUMMYFUNCTION("GOOGLETRANSLATE(B19356,""en"",""it"")"),"Un uomo mette una serratura attorno alla gomma della sua bici.")</f>
        <v>Un uomo mette una serratura attorno alla gomma della sua bici.</v>
      </c>
    </row>
    <row r="19357">
      <c r="A19357" s="4" t="s">
        <v>24359</v>
      </c>
      <c r="B19357" s="4" t="s">
        <v>24360</v>
      </c>
      <c r="C19357" s="5" t="str">
        <f>IFERROR(__xludf.DUMMYFUNCTION("GOOGLETRANSLATE(B19357,""en"",""it"")"),"Viene mostrato uno scatto di un tramonto, seguito da un picco di fumo e che cammina per una fossa a sfera di verniciatura.")</f>
        <v>Viene mostrato uno scatto di un tramonto, seguito da un picco di fumo e che cammina per una fossa a sfera di verniciatura.</v>
      </c>
    </row>
    <row r="19358">
      <c r="A19358" s="4" t="s">
        <v>24359</v>
      </c>
      <c r="B19358" s="4" t="s">
        <v>24361</v>
      </c>
      <c r="C19358" s="5" t="str">
        <f>IFERROR(__xludf.DUMMYFUNCTION("GOOGLETRANSLATE(B19358,""en"",""it"")"),"Gli uomini si parlano e portano a correre e giocare a palla di verniciatura.")</f>
        <v>Gli uomini si parlano e portano a correre e giocare a palla di verniciatura.</v>
      </c>
    </row>
    <row r="19359">
      <c r="A19359" s="4" t="s">
        <v>24359</v>
      </c>
      <c r="B19359" s="6" t="s">
        <v>24362</v>
      </c>
      <c r="C19359" s="5" t="str">
        <f>IFERROR(__xludf.DUMMYFUNCTION("GOOGLETRANSLATE(B19359,""en"",""it"")"),"Si fanno una pausa per alcuni momenti per parlarsi e la fotocamera cattura i tiratori da diverse angolazioni.")</f>
        <v>Si fanno una pausa per alcuni momenti per parlarsi e la fotocamera cattura i tiratori da diverse angolazioni.</v>
      </c>
    </row>
    <row r="19360">
      <c r="A19360" s="4" t="s">
        <v>24363</v>
      </c>
      <c r="B19360" s="4" t="s">
        <v>24364</v>
      </c>
      <c r="C19360" s="5" t="str">
        <f>IFERROR(__xludf.DUMMYFUNCTION("GOOGLETRANSLATE(B19360,""en"",""it"")"),"Un bambino piccolo viene visto sdraiato su un tappeto mentre la fotocamera li registra.")</f>
        <v>Un bambino piccolo viene visto sdraiato su un tappeto mentre la fotocamera li registra.</v>
      </c>
    </row>
    <row r="19361">
      <c r="A19361" s="4" t="s">
        <v>24363</v>
      </c>
      <c r="B19361" s="4" t="s">
        <v>24365</v>
      </c>
      <c r="C19361" s="5" t="str">
        <f>IFERROR(__xludf.DUMMYFUNCTION("GOOGLETRANSLATE(B19361,""en"",""it"")"),"Il bambino quindi copre gli occhi con le mani e muove la testa su e giù.")</f>
        <v>Il bambino quindi copre gli occhi con le mani e muove la testa su e giù.</v>
      </c>
    </row>
    <row r="19362">
      <c r="A19362" s="4" t="s">
        <v>24363</v>
      </c>
      <c r="B19362" s="4" t="s">
        <v>24366</v>
      </c>
      <c r="C19362" s="5" t="str">
        <f>IFERROR(__xludf.DUMMYFUNCTION("GOOGLETRANSLATE(B19362,""en"",""it"")"),"Alla fine sorridono alla telecamera.")</f>
        <v>Alla fine sorridono alla telecamera.</v>
      </c>
    </row>
    <row r="19363">
      <c r="A19363" s="4" t="s">
        <v>24367</v>
      </c>
      <c r="B19363" s="4" t="s">
        <v>24368</v>
      </c>
      <c r="C19363" s="5" t="str">
        <f>IFERROR(__xludf.DUMMYFUNCTION("GOOGLETRANSLATE(B19363,""en"",""it"")"),"Si vede un primo piano di accordi e numeri che scorrono accanto alla cima di una chitarra.")</f>
        <v>Si vede un primo piano di accordi e numeri che scorrono accanto alla cima di una chitarra.</v>
      </c>
    </row>
    <row r="19364">
      <c r="A19364" s="4" t="s">
        <v>24367</v>
      </c>
      <c r="B19364" s="4" t="s">
        <v>24369</v>
      </c>
      <c r="C19364" s="5" t="str">
        <f>IFERROR(__xludf.DUMMYFUNCTION("GOOGLETRANSLATE(B19364,""en"",""it"")"),"Le istruzioni vengono fornite per suonare lo strumento.")</f>
        <v>Le istruzioni vengono fornite per suonare lo strumento.</v>
      </c>
    </row>
    <row r="19365">
      <c r="A19365" s="4" t="s">
        <v>24367</v>
      </c>
      <c r="B19365" s="4" t="s">
        <v>24370</v>
      </c>
      <c r="C19365" s="5" t="str">
        <f>IFERROR(__xludf.DUMMYFUNCTION("GOOGLETRANSLATE(B19365,""en"",""it"")"),"Le dita della persona si muovono su e giù sugli accordi mentre vengono mostrati.")</f>
        <v>Le dita della persona si muovono su e giù sugli accordi mentre vengono mostrati.</v>
      </c>
    </row>
    <row r="19366">
      <c r="A19366" s="4" t="s">
        <v>24371</v>
      </c>
      <c r="B19366" s="4" t="s">
        <v>24372</v>
      </c>
      <c r="C19366" s="5" t="str">
        <f>IFERROR(__xludf.DUMMYFUNCTION("GOOGLETRANSLATE(B19366,""en"",""it"")"),"L'uomo indossa Stils e sta facendo salti alti sopra un cestino in un parcheggio.")</f>
        <v>L'uomo indossa Stils e sta facendo salti alti sopra un cestino in un parcheggio.</v>
      </c>
    </row>
    <row r="19367">
      <c r="A19367" s="4" t="s">
        <v>24371</v>
      </c>
      <c r="B19367" s="6" t="s">
        <v>24373</v>
      </c>
      <c r="C19367" s="5" t="str">
        <f>IFERROR(__xludf.DUMMYFUNCTION("GOOGLETRANSLATE(B19367,""en"",""it"")"),"L'uomo sta facendo salti in alto nel cartello di Las Vegas in strada e sopra un muro lapidato per strada.")</f>
        <v>L'uomo sta facendo salti in alto nel cartello di Las Vegas in strada e sopra un muro lapidato per strada.</v>
      </c>
    </row>
    <row r="19368">
      <c r="A19368" s="4" t="s">
        <v>24374</v>
      </c>
      <c r="B19368" s="6" t="s">
        <v>24375</v>
      </c>
      <c r="C19368" s="5" t="str">
        <f>IFERROR(__xludf.DUMMYFUNCTION("GOOGLETRANSLATE(B19368,""en"",""it"")"),"Due squadre sono mostrate su un campo e l'uomo sta eseguendo il lacrosse e corre direttamente nell'altro avversario.")</f>
        <v>Due squadre sono mostrate su un campo e l'uomo sta eseguendo il lacrosse e corre direttamente nell'altro avversario.</v>
      </c>
    </row>
    <row r="19369">
      <c r="A19369" s="4" t="s">
        <v>24374</v>
      </c>
      <c r="B19369" s="6" t="s">
        <v>24376</v>
      </c>
      <c r="C19369" s="5" t="str">
        <f>IFERROR(__xludf.DUMMYFUNCTION("GOOGLETRANSLATE(B19369,""en"",""it"")"),"Un altro gioco inizia e questa volta viene incontrata un'altra persona, tranne che è più profumata e la persona giace a terra ferita per un bel po 'di tempo.")</f>
        <v>Un altro gioco inizia e questa volta viene incontrata un'altra persona, tranne che è più profumata e la persona giace a terra ferita per un bel po 'di tempo.</v>
      </c>
    </row>
    <row r="19370">
      <c r="A19370" s="4" t="s">
        <v>24374</v>
      </c>
      <c r="B19370" s="6" t="s">
        <v>24377</v>
      </c>
      <c r="C19370" s="5" t="str">
        <f>IFERROR(__xludf.DUMMYFUNCTION("GOOGLETRANSLATE(B19370,""en"",""it"")"),"Dopo aver consultato l'arbitro e aver cercato aiuto, il maschio finalmente si alza e il resto del gioco continua.")</f>
        <v>Dopo aver consultato l'arbitro e aver cercato aiuto, il maschio finalmente si alza e il resto del gioco continua.</v>
      </c>
    </row>
    <row r="19371">
      <c r="A19371" s="4" t="s">
        <v>24378</v>
      </c>
      <c r="B19371" s="4" t="s">
        <v>24379</v>
      </c>
      <c r="C19371" s="5" t="str">
        <f>IFERROR(__xludf.DUMMYFUNCTION("GOOGLETRANSLATE(B19371,""en"",""it"")"),"Due persone che indossano attrezzature subacquee sono sott'acqua.")</f>
        <v>Due persone che indossano attrezzature subacquee sono sott'acqua.</v>
      </c>
    </row>
    <row r="19372">
      <c r="A19372" s="4" t="s">
        <v>24378</v>
      </c>
      <c r="B19372" s="4" t="s">
        <v>24380</v>
      </c>
      <c r="C19372" s="5" t="str">
        <f>IFERROR(__xludf.DUMMYFUNCTION("GOOGLETRANSLATE(B19372,""en"",""it"")"),"Si guardano l'un l'altro, rimuovono la bocca, poi si baciano.")</f>
        <v>Si guardano l'un l'altro, rimuovono la bocca, poi si baciano.</v>
      </c>
    </row>
    <row r="19373">
      <c r="A19373" s="4" t="s">
        <v>24378</v>
      </c>
      <c r="B19373" s="4" t="s">
        <v>24381</v>
      </c>
      <c r="C19373" s="5" t="str">
        <f>IFERROR(__xludf.DUMMYFUNCTION("GOOGLETRANSLATE(B19373,""en"",""it"")"),"L'uomo rimette il boccaglia.")</f>
        <v>L'uomo rimette il boccaglia.</v>
      </c>
    </row>
    <row r="19374">
      <c r="A19374" s="4" t="s">
        <v>24382</v>
      </c>
      <c r="B19374" s="4" t="s">
        <v>24383</v>
      </c>
      <c r="C19374" s="5" t="str">
        <f>IFERROR(__xludf.DUMMYFUNCTION("GOOGLETRANSLATE(B19374,""en"",""it"")"),"Una persona salta giù da una barca in acqua.")</f>
        <v>Una persona salta giù da una barca in acqua.</v>
      </c>
    </row>
    <row r="19375">
      <c r="A19375" s="4" t="s">
        <v>24382</v>
      </c>
      <c r="B19375" s="4" t="s">
        <v>24384</v>
      </c>
      <c r="C19375" s="5" t="str">
        <f>IFERROR(__xludf.DUMMYFUNCTION("GOOGLETRANSLATE(B19375,""en"",""it"")"),"Un ragazzo sta saltando lungo una strada.")</f>
        <v>Un ragazzo sta saltando lungo una strada.</v>
      </c>
    </row>
    <row r="19376">
      <c r="A19376" s="4" t="s">
        <v>24382</v>
      </c>
      <c r="B19376" s="4" t="s">
        <v>24385</v>
      </c>
      <c r="C19376" s="5" t="str">
        <f>IFERROR(__xludf.DUMMYFUNCTION("GOOGLETRANSLATE(B19376,""en"",""it"")"),"Si fermano e si siedono su una panchina del parco.")</f>
        <v>Si fermano e si siedono su una panchina del parco.</v>
      </c>
    </row>
    <row r="19377">
      <c r="A19377" s="4" t="s">
        <v>24382</v>
      </c>
      <c r="B19377" s="4" t="s">
        <v>24386</v>
      </c>
      <c r="C19377" s="5" t="str">
        <f>IFERROR(__xludf.DUMMYFUNCTION("GOOGLETRANSLATE(B19377,""en"",""it"")"),"Una persona sta cavalcando una scala mobile.")</f>
        <v>Una persona sta cavalcando una scala mobile.</v>
      </c>
    </row>
    <row r="19378">
      <c r="A19378" s="4" t="s">
        <v>24387</v>
      </c>
      <c r="B19378" s="4" t="s">
        <v>9397</v>
      </c>
      <c r="C19378" s="5" t="str">
        <f>IFERROR(__xludf.DUMMYFUNCTION("GOOGLETRANSLATE(B19378,""en"",""it"")"),"Una donna è in piedi in una stanza a parlare.")</f>
        <v>Una donna è in piedi in una stanza a parlare.</v>
      </c>
    </row>
    <row r="19379">
      <c r="A19379" s="4" t="s">
        <v>24387</v>
      </c>
      <c r="B19379" s="4" t="s">
        <v>24388</v>
      </c>
      <c r="C19379" s="5" t="str">
        <f>IFERROR(__xludf.DUMMYFUNCTION("GOOGLETRANSLATE(B19379,""en"",""it"")"),"Mostra una bottiglia in mano.")</f>
        <v>Mostra una bottiglia in mano.</v>
      </c>
    </row>
    <row r="19380">
      <c r="A19380" s="4" t="s">
        <v>24387</v>
      </c>
      <c r="B19380" s="4" t="s">
        <v>24389</v>
      </c>
      <c r="C19380" s="5" t="str">
        <f>IFERROR(__xludf.DUMMYFUNCTION("GOOGLETRANSLATE(B19380,""en"",""it"")"),"Versa un po 'della lozione sulle mani e se la strofina sul viso.")</f>
        <v>Versa un po 'della lozione sulle mani e se la strofina sul viso.</v>
      </c>
    </row>
    <row r="19381">
      <c r="A19381" s="4" t="s">
        <v>24387</v>
      </c>
      <c r="B19381" s="4" t="s">
        <v>24390</v>
      </c>
      <c r="C19381" s="5" t="str">
        <f>IFERROR(__xludf.DUMMYFUNCTION("GOOGLETRANSLATE(B19381,""en"",""it"")"),"Usa un asciugamano per asciugarmi il viso.")</f>
        <v>Usa un asciugamano per asciugarmi il viso.</v>
      </c>
    </row>
    <row r="19382">
      <c r="A19382" s="4" t="s">
        <v>24391</v>
      </c>
      <c r="B19382" s="4" t="s">
        <v>24392</v>
      </c>
      <c r="C19382" s="5" t="str">
        <f>IFERROR(__xludf.DUMMYFUNCTION("GOOGLETRANSLATE(B19382,""en"",""it"")"),"Un bambino si trova in un parcheggio all'aperto.")</f>
        <v>Un bambino si trova in un parcheggio all'aperto.</v>
      </c>
    </row>
    <row r="19383">
      <c r="A19383" s="4" t="s">
        <v>24391</v>
      </c>
      <c r="B19383" s="4" t="s">
        <v>24393</v>
      </c>
      <c r="C19383" s="5" t="str">
        <f>IFERROR(__xludf.DUMMYFUNCTION("GOOGLETRANSLATE(B19383,""en"",""it"")"),"Sta cercando di rotolare su un paio di pattini in linea.")</f>
        <v>Sta cercando di rotolare su un paio di pattini in linea.</v>
      </c>
    </row>
    <row r="19384">
      <c r="A19384" s="4" t="s">
        <v>24391</v>
      </c>
      <c r="B19384" s="4" t="s">
        <v>24394</v>
      </c>
      <c r="C19384" s="5" t="str">
        <f>IFERROR(__xludf.DUMMYFUNCTION("GOOGLETRANSLATE(B19384,""en"",""it"")"),"Cerca di bilanciarsi su un piccolo pezzo di legno.")</f>
        <v>Cerca di bilanciarsi su un piccolo pezzo di legno.</v>
      </c>
    </row>
    <row r="19385">
      <c r="A19385" s="4" t="s">
        <v>24395</v>
      </c>
      <c r="B19385" s="6" t="s">
        <v>24396</v>
      </c>
      <c r="C19385" s="5" t="str">
        <f>IFERROR(__xludf.DUMMYFUNCTION("GOOGLETRANSLATE(B19385,""en"",""it"")"),"Viene visto un uomo parlare alla telecamera mentre tiene in mano un rotolo di carta igienica e inizia a soffiare fumo nel rotolo.")</f>
        <v>Viene visto un uomo parlare alla telecamera mentre tiene in mano un rotolo di carta igienica e inizia a soffiare fumo nel rotolo.</v>
      </c>
    </row>
    <row r="19386">
      <c r="A19386" s="4" t="s">
        <v>24395</v>
      </c>
      <c r="B19386" s="4" t="s">
        <v>24397</v>
      </c>
      <c r="C19386" s="5" t="str">
        <f>IFERROR(__xludf.DUMMYFUNCTION("GOOGLETRANSLATE(B19386,""en"",""it"")"),"L'uomo continua a prendere diverse trascinamenti da un tubo e farla esplodere nel rotolo di carta igienica.")</f>
        <v>L'uomo continua a prendere diverse trascinamenti da un tubo e farla esplodere nel rotolo di carta igienica.</v>
      </c>
    </row>
    <row r="19387">
      <c r="A19387" s="4" t="s">
        <v>24398</v>
      </c>
      <c r="B19387" s="4" t="s">
        <v>24399</v>
      </c>
      <c r="C19387" s="5" t="str">
        <f>IFERROR(__xludf.DUMMYFUNCTION("GOOGLETRANSLATE(B19387,""en"",""it"")"),"Una persona è vista seduta in un kayak e si muove lungo un fiume ruvido.")</f>
        <v>Una persona è vista seduta in un kayak e si muove lungo un fiume ruvido.</v>
      </c>
    </row>
    <row r="19388">
      <c r="A19388" s="4" t="s">
        <v>24398</v>
      </c>
      <c r="B19388" s="4" t="s">
        <v>24400</v>
      </c>
      <c r="C19388" s="5" t="str">
        <f>IFERROR(__xludf.DUMMYFUNCTION("GOOGLETRANSLATE(B19388,""en"",""it"")"),"La persona continua a cavalcare lungo il fiume mentre un'altra gente guarda sul lato.")</f>
        <v>La persona continua a cavalcare lungo il fiume mentre un'altra gente guarda sul lato.</v>
      </c>
    </row>
    <row r="19389">
      <c r="A19389" s="4" t="s">
        <v>24401</v>
      </c>
      <c r="B19389" s="4" t="s">
        <v>24402</v>
      </c>
      <c r="C19389" s="5" t="str">
        <f>IFERROR(__xludf.DUMMYFUNCTION("GOOGLETRANSLATE(B19389,""en"",""it"")"),"Un uomo con una camicia nera sta suonando un'armonica.")</f>
        <v>Un uomo con una camicia nera sta suonando un'armonica.</v>
      </c>
    </row>
    <row r="19390">
      <c r="A19390" s="4" t="s">
        <v>24401</v>
      </c>
      <c r="B19390" s="4" t="s">
        <v>24403</v>
      </c>
      <c r="C19390" s="5" t="str">
        <f>IFERROR(__xludf.DUMMYFUNCTION("GOOGLETRANSLATE(B19390,""en"",""it"")"),"Un altro uomo si siede su un portico di una casa.")</f>
        <v>Un altro uomo si siede su un portico di una casa.</v>
      </c>
    </row>
    <row r="19391">
      <c r="A19391" s="4" t="s">
        <v>24401</v>
      </c>
      <c r="B19391" s="4" t="s">
        <v>24404</v>
      </c>
      <c r="C19391" s="5" t="str">
        <f>IFERROR(__xludf.DUMMYFUNCTION("GOOGLETRANSLATE(B19391,""en"",""it"")"),"Una donna in una sciarpa bianca spegne una lanterna.")</f>
        <v>Una donna in una sciarpa bianca spegne una lanterna.</v>
      </c>
    </row>
    <row r="19392">
      <c r="A19392" s="4" t="s">
        <v>24405</v>
      </c>
      <c r="B19392" s="4" t="s">
        <v>24406</v>
      </c>
      <c r="C19392" s="5" t="str">
        <f>IFERROR(__xludf.DUMMYFUNCTION("GOOGLETRANSLATE(B19392,""en"",""it"")"),"Un uomo viene mostrato su barre parallele che fanno una routine su di loro.")</f>
        <v>Un uomo viene mostrato su barre parallele che fanno una routine su di loro.</v>
      </c>
    </row>
    <row r="19393">
      <c r="A19393" s="4" t="s">
        <v>24405</v>
      </c>
      <c r="B19393" s="4" t="s">
        <v>24407</v>
      </c>
      <c r="C19393" s="5" t="str">
        <f>IFERROR(__xludf.DUMMYFUNCTION("GOOGLETRANSLATE(B19393,""en"",""it"")"),"È molto concentrato, lanciando e dondola avanti e indietro.")</f>
        <v>È molto concentrato, lanciando e dondola avanti e indietro.</v>
      </c>
    </row>
    <row r="19394">
      <c r="A19394" s="4" t="s">
        <v>24405</v>
      </c>
      <c r="B19394" s="4" t="s">
        <v>24408</v>
      </c>
      <c r="C19394" s="5" t="str">
        <f>IFERROR(__xludf.DUMMYFUNCTION("GOOGLETRANSLATE(B19394,""en"",""it"")"),"L'atleta quindi smontisce le sbarre e atterra in piedi.")</f>
        <v>L'atleta quindi smontisce le sbarre e atterra in piedi.</v>
      </c>
    </row>
    <row r="19395">
      <c r="A19395" s="4" t="s">
        <v>24405</v>
      </c>
      <c r="B19395" s="6" t="s">
        <v>24409</v>
      </c>
      <c r="C19395" s="5" t="str">
        <f>IFERROR(__xludf.DUMMYFUNCTION("GOOGLETRANSLATE(B19395,""en"",""it"")"),"Vengono mostrati vari scatti della stessa routine con pause e note per la tecnica corretta.")</f>
        <v>Vengono mostrati vari scatti della stessa routine con pause e note per la tecnica corretta.</v>
      </c>
    </row>
    <row r="19396">
      <c r="A19396" s="4" t="s">
        <v>24410</v>
      </c>
      <c r="B19396" s="4" t="s">
        <v>24411</v>
      </c>
      <c r="C19396" s="5" t="str">
        <f>IFERROR(__xludf.DUMMYFUNCTION("GOOGLETRANSLATE(B19396,""en"",""it"")"),"Una donna viene vista camminare su un palco eseguendo una routine di danza del ventre di fronte a un pubblico.")</f>
        <v>Una donna viene vista camminare su un palco eseguendo una routine di danza del ventre di fronte a un pubblico.</v>
      </c>
    </row>
    <row r="19397">
      <c r="A19397" s="4" t="s">
        <v>24410</v>
      </c>
      <c r="B19397" s="4" t="s">
        <v>24412</v>
      </c>
      <c r="C19397" s="5" t="str">
        <f>IFERROR(__xludf.DUMMYFUNCTION("GOOGLETRANSLATE(B19397,""en"",""it"")"),"La donna continua a ballare sul palco e termina con la sua posa.")</f>
        <v>La donna continua a ballare sul palco e termina con la sua posa.</v>
      </c>
    </row>
    <row r="19398">
      <c r="A19398" s="4" t="s">
        <v>24413</v>
      </c>
      <c r="B19398" s="4" t="s">
        <v>24414</v>
      </c>
      <c r="C19398" s="5" t="str">
        <f>IFERROR(__xludf.DUMMYFUNCTION("GOOGLETRANSLATE(B19398,""en"",""it"")"),"La donna è in piedi davanti a una schermata.")</f>
        <v>La donna è in piedi davanti a una schermata.</v>
      </c>
    </row>
    <row r="19399">
      <c r="A19399" s="4" t="s">
        <v>24413</v>
      </c>
      <c r="B19399" s="6" t="s">
        <v>24415</v>
      </c>
      <c r="C19399" s="5" t="str">
        <f>IFERROR(__xludf.DUMMYFUNCTION("GOOGLETRANSLATE(B19399,""en"",""it"")"),"L'uomo cucina a tagliare le carote e soffriggere le verdure in una padella e servendolo in ciotole per il condimento e il formaggio mentre i Pople dietro di lui lo guardano cucinare.")</f>
        <v>L'uomo cucina a tagliare le carote e soffriggere le verdure in una padella e servendolo in ciotole per il condimento e il formaggio mentre i Pople dietro di lui lo guardano cucinare.</v>
      </c>
    </row>
    <row r="19400">
      <c r="A19400" s="4" t="s">
        <v>24416</v>
      </c>
      <c r="B19400" s="6" t="s">
        <v>24417</v>
      </c>
      <c r="C19400" s="5" t="str">
        <f>IFERROR(__xludf.DUMMYFUNCTION("GOOGLETRANSLATE(B19400,""en"",""it"")"),"Un piccolo gruppo di persone viene visto cavalcare un fiume ruvido oltre gli altri mentre molti guardano sul lato.")</f>
        <v>Un piccolo gruppo di persone viene visto cavalcare un fiume ruvido oltre gli altri mentre molti guardano sul lato.</v>
      </c>
    </row>
    <row r="19401">
      <c r="A19401" s="4" t="s">
        <v>24416</v>
      </c>
      <c r="B19401" s="4" t="s">
        <v>24418</v>
      </c>
      <c r="C19401" s="5" t="str">
        <f>IFERROR(__xludf.DUMMYFUNCTION("GOOGLETRANSLATE(B19401,""en"",""it"")"),"Il gruppo continua a remare e incontrarsi con altri gruppi in fondo.")</f>
        <v>Il gruppo continua a remare e incontrarsi con altri gruppi in fondo.</v>
      </c>
    </row>
    <row r="19402">
      <c r="A19402" s="4" t="s">
        <v>24419</v>
      </c>
      <c r="B19402" s="4" t="s">
        <v>24420</v>
      </c>
      <c r="C19402" s="5" t="str">
        <f>IFERROR(__xludf.DUMMYFUNCTION("GOOGLETRANSLATE(B19402,""en"",""it"")"),"Una ragazza è vista seduta su un divano accanto a un adulto che guarda i piedi.")</f>
        <v>Una ragazza è vista seduta su un divano accanto a un adulto che guarda i piedi.</v>
      </c>
    </row>
    <row r="19403">
      <c r="A19403" s="4" t="s">
        <v>24419</v>
      </c>
      <c r="B19403" s="4" t="s">
        <v>24421</v>
      </c>
      <c r="C19403" s="5" t="str">
        <f>IFERROR(__xludf.DUMMYFUNCTION("GOOGLETRANSLATE(B19403,""en"",""it"")"),"La ragazza gioca con un ferro giocattolo e sposta l'oggetto su e giù su una camicia.")</f>
        <v>La ragazza gioca con un ferro giocattolo e sposta l'oggetto su e giù su una camicia.</v>
      </c>
    </row>
    <row r="19404">
      <c r="A19404" s="4" t="s">
        <v>24422</v>
      </c>
      <c r="B19404" s="4" t="s">
        <v>24423</v>
      </c>
      <c r="C19404" s="5" t="str">
        <f>IFERROR(__xludf.DUMMYFUNCTION("GOOGLETRANSLATE(B19404,""en"",""it"")"),"Un uomo tedesco sta gettando un disco in competizione.")</f>
        <v>Un uomo tedesco sta gettando un disco in competizione.</v>
      </c>
    </row>
    <row r="19405">
      <c r="A19405" s="4" t="s">
        <v>24422</v>
      </c>
      <c r="B19405" s="4" t="s">
        <v>24424</v>
      </c>
      <c r="C19405" s="5" t="str">
        <f>IFERROR(__xludf.DUMMYFUNCTION("GOOGLETRANSLATE(B19405,""en"",""it"")"),"Lascia cadere il disco e poi se ne va.")</f>
        <v>Lascia cadere il disco e poi se ne va.</v>
      </c>
    </row>
    <row r="19406">
      <c r="A19406" s="4" t="s">
        <v>24422</v>
      </c>
      <c r="B19406" s="4" t="s">
        <v>24425</v>
      </c>
      <c r="C19406" s="5" t="str">
        <f>IFERROR(__xludf.DUMMYFUNCTION("GOOGLETRANSLATE(B19406,""en"",""it"")"),"Viene mostrato un replay e sembra triste.")</f>
        <v>Viene mostrato un replay e sembra triste.</v>
      </c>
    </row>
    <row r="19407">
      <c r="A19407" s="4" t="s">
        <v>24426</v>
      </c>
      <c r="B19407" s="4" t="s">
        <v>24427</v>
      </c>
      <c r="C19407" s="5" t="str">
        <f>IFERROR(__xludf.DUMMYFUNCTION("GOOGLETRANSLATE(B19407,""en"",""it"")"),"Vediamo un uomo che parla con altri due uomini fuori da un magazzino.")</f>
        <v>Vediamo un uomo che parla con altri due uomini fuori da un magazzino.</v>
      </c>
    </row>
    <row r="19408">
      <c r="A19408" s="4" t="s">
        <v>24426</v>
      </c>
      <c r="B19408" s="4" t="s">
        <v>24428</v>
      </c>
      <c r="C19408" s="5" t="str">
        <f>IFERROR(__xludf.DUMMYFUNCTION("GOOGLETRANSLATE(B19408,""en"",""it"")"),"All'interno del magazzino vediamo una scatola su cui gli uomini cavalcano i loro skateboard.")</f>
        <v>All'interno del magazzino vediamo una scatola su cui gli uomini cavalcano i loro skateboard.</v>
      </c>
    </row>
    <row r="19409">
      <c r="A19409" s="4" t="s">
        <v>24426</v>
      </c>
      <c r="B19409" s="4" t="s">
        <v>24429</v>
      </c>
      <c r="C19409" s="5" t="str">
        <f>IFERROR(__xludf.DUMMYFUNCTION("GOOGLETRANSLATE(B19409,""en"",""it"")"),"L'uomo cade ripetutamente dallo skateboard.")</f>
        <v>L'uomo cade ripetutamente dallo skateboard.</v>
      </c>
    </row>
    <row r="19410">
      <c r="A19410" s="4" t="s">
        <v>24426</v>
      </c>
      <c r="B19410" s="4" t="s">
        <v>24430</v>
      </c>
      <c r="C19410" s="5" t="str">
        <f>IFERROR(__xludf.DUMMYFUNCTION("GOOGLETRANSLATE(B19410,""en"",""it"")"),"Rivolge lo skateboard e lo vediamo al rallentatore.")</f>
        <v>Rivolge lo skateboard e lo vediamo al rallentatore.</v>
      </c>
    </row>
    <row r="19411">
      <c r="A19411" s="4" t="s">
        <v>24426</v>
      </c>
      <c r="B19411" s="4" t="s">
        <v>24431</v>
      </c>
      <c r="C19411" s="5" t="str">
        <f>IFERROR(__xludf.DUMMYFUNCTION("GOOGLETRANSLATE(B19411,""en"",""it"")"),"L'uomo ottiene un cappello e vediamo lo schermo finale.")</f>
        <v>L'uomo ottiene un cappello e vediamo lo schermo finale.</v>
      </c>
    </row>
    <row r="19412">
      <c r="A19412" s="4" t="s">
        <v>24426</v>
      </c>
      <c r="B19412" s="4" t="s">
        <v>24432</v>
      </c>
      <c r="C19412" s="5" t="str">
        <f>IFERROR(__xludf.DUMMYFUNCTION("GOOGLETRANSLATE(B19412,""en"",""it"")"),"Un uomo salta su una pila di scatole e vediamo di nuovo lo schermo finale.")</f>
        <v>Un uomo salta su una pila di scatole e vediamo di nuovo lo schermo finale.</v>
      </c>
    </row>
    <row r="19413">
      <c r="A19413" s="4" t="s">
        <v>24433</v>
      </c>
      <c r="B19413" s="4" t="s">
        <v>24434</v>
      </c>
      <c r="C19413" s="5" t="str">
        <f>IFERROR(__xludf.DUMMYFUNCTION("GOOGLETRANSLATE(B19413,""en"",""it"")"),"Betty Heidler compete nei giochi Olimpic nella categoria Hammer femminile.")</f>
        <v>Betty Heidler compete nei giochi Olimpic nella categoria Hammer femminile.</v>
      </c>
    </row>
    <row r="19414">
      <c r="A19414" s="4" t="s">
        <v>24433</v>
      </c>
      <c r="B19414" s="4" t="s">
        <v>24435</v>
      </c>
      <c r="C19414" s="5" t="str">
        <f>IFERROR(__xludf.DUMMYFUNCTION("GOOGLETRANSLATE(B19414,""en"",""it"")"),"Betty Haidler sembra davvero concentrato e determinato a tornare a casa con un premio.")</f>
        <v>Betty Haidler sembra davvero concentrato e determinato a tornare a casa con un premio.</v>
      </c>
    </row>
    <row r="19415">
      <c r="A19415" s="4" t="s">
        <v>24433</v>
      </c>
      <c r="B19415" s="4" t="s">
        <v>24436</v>
      </c>
      <c r="C19415" s="5" t="str">
        <f>IFERROR(__xludf.DUMMYFUNCTION("GOOGLETRANSLATE(B19415,""en"",""it"")"),"Betty Heidler inizia a girare e poi con tutto lo slancio lanciato il martello molto lontano.")</f>
        <v>Betty Heidler inizia a girare e poi con tutto lo slancio lanciato il martello molto lontano.</v>
      </c>
    </row>
    <row r="19416">
      <c r="A19416" s="4" t="s">
        <v>24433</v>
      </c>
      <c r="B19416" s="4" t="s">
        <v>24437</v>
      </c>
      <c r="C19416" s="5" t="str">
        <f>IFERROR(__xludf.DUMMYFUNCTION("GOOGLETRANSLATE(B19416,""en"",""it"")"),"Betty Heidler ha classificato al round successivo poiché il sorteggio ha avuto successo.")</f>
        <v>Betty Heidler ha classificato al round successivo poiché il sorteggio ha avuto successo.</v>
      </c>
    </row>
    <row r="19417">
      <c r="A19417" s="4" t="s">
        <v>24433</v>
      </c>
      <c r="B19417" s="6" t="s">
        <v>24438</v>
      </c>
      <c r="C19417" s="5" t="str">
        <f>IFERROR(__xludf.DUMMYFUNCTION("GOOGLETRANSLATE(B19417,""en"",""it"")"),"Qualcuno intervista Betty Heidler ed è davvero felice di qualificarsi ai successivi round del gioco.")</f>
        <v>Qualcuno intervista Betty Heidler ed è davvero felice di qualificarsi ai successivi round del gioco.</v>
      </c>
    </row>
    <row r="19418">
      <c r="A19418" s="4" t="s">
        <v>24439</v>
      </c>
      <c r="B19418" s="4" t="s">
        <v>24440</v>
      </c>
      <c r="C19418" s="5" t="str">
        <f>IFERROR(__xludf.DUMMYFUNCTION("GOOGLETRANSLATE(B19418,""en"",""it"")"),"Le persone si allenano su una macchina per il fitness che tirano le corde su una canna e va avanti e indietro.")</f>
        <v>Le persone si allenano su una macchina per il fitness che tirano le corde su una canna e va avanti e indietro.</v>
      </c>
    </row>
    <row r="19419">
      <c r="A19419" s="4" t="s">
        <v>24439</v>
      </c>
      <c r="B19419" s="4" t="s">
        <v>24441</v>
      </c>
      <c r="C19419" s="5" t="str">
        <f>IFERROR(__xludf.DUMMYFUNCTION("GOOGLETRANSLATE(B19419,""en"",""it"")"),"Un uomo piega una macchina per il fitness in palestra.")</f>
        <v>Un uomo piega una macchina per il fitness in palestra.</v>
      </c>
    </row>
    <row r="19420">
      <c r="A19420" s="4" t="s">
        <v>24439</v>
      </c>
      <c r="B19420" s="4" t="s">
        <v>24442</v>
      </c>
      <c r="C19420" s="5" t="str">
        <f>IFERROR(__xludf.DUMMYFUNCTION("GOOGLETRANSLATE(B19420,""en"",""it"")"),"Quindi, un uomo fa allenamenti in una macchina per il fitness.")</f>
        <v>Quindi, un uomo fa allenamenti in una macchina per il fitness.</v>
      </c>
    </row>
    <row r="19421">
      <c r="A19421" s="4" t="s">
        <v>24443</v>
      </c>
      <c r="B19421" s="6" t="s">
        <v>24444</v>
      </c>
      <c r="C19421" s="5" t="str">
        <f>IFERROR(__xludf.DUMMYFUNCTION("GOOGLETRANSLATE(B19421,""en"",""it"")"),"Una donna con camicia blu sta tagliando il legno, quando ha tagliato il legno a metà, li ha messi da parte, poi prende un altro tronco e l'ha tagliata a metà.")</f>
        <v>Una donna con camicia blu sta tagliando il legno, quando ha tagliato il legno a metà, li ha messi da parte, poi prende un altro tronco e l'ha tagliata a metà.</v>
      </c>
    </row>
    <row r="19422">
      <c r="A19422" s="4" t="s">
        <v>24443</v>
      </c>
      <c r="B19422" s="6" t="s">
        <v>24445</v>
      </c>
      <c r="C19422" s="5" t="str">
        <f>IFERROR(__xludf.DUMMYFUNCTION("GOOGLETRANSLATE(B19422,""en"",""it"")"),"La donna cerca di tagliare il legno a metà ma non verrà tagliata a metà, poi è caduta a terra e lei lo ha rimesso sul tagliere, e continua a tagliare il legno, dopo diversi tentativi ha finalmente tagliato il legno a metà.")</f>
        <v>La donna cerca di tagliare il legno a metà ma non verrà tagliata a metà, poi è caduta a terra e lei lo ha rimesso sul tagliere, e continua a tagliare il legno, dopo diversi tentativi ha finalmente tagliato il legno a metà.</v>
      </c>
    </row>
    <row r="19423">
      <c r="A19423" s="4" t="s">
        <v>24446</v>
      </c>
      <c r="B19423" s="6" t="s">
        <v>24447</v>
      </c>
      <c r="C19423" s="5" t="str">
        <f>IFERROR(__xludf.DUMMYFUNCTION("GOOGLETRANSLATE(B19423,""en"",""it"")"),"Vari tavoli da picnic sono mostrati su un campo seguito da un uomo che mette in marcia e altri che attraversano la foresta.")</f>
        <v>Vari tavoli da picnic sono mostrati su un campo seguito da un uomo che mette in marcia e altri che attraversano la foresta.</v>
      </c>
    </row>
    <row r="19424">
      <c r="A19424" s="4" t="s">
        <v>24446</v>
      </c>
      <c r="B19424" s="6" t="s">
        <v>24448</v>
      </c>
      <c r="C19424" s="5" t="str">
        <f>IFERROR(__xludf.DUMMYFUNCTION("GOOGLETRANSLATE(B19424,""en"",""it"")"),"Diverse persone si vedono giocare una partita di paintball tra loro e muoversi continuamente intorno alla foresta e sollevare una pistola.")</f>
        <v>Diverse persone si vedono giocare una partita di paintball tra loro e muoversi continuamente intorno alla foresta e sollevare una pistola.</v>
      </c>
    </row>
    <row r="19425">
      <c r="A19425" s="4" t="s">
        <v>24446</v>
      </c>
      <c r="B19425" s="4" t="s">
        <v>24449</v>
      </c>
      <c r="C19425" s="5" t="str">
        <f>IFERROR(__xludf.DUMMYFUNCTION("GOOGLETRANSLATE(B19425,""en"",""it"")"),"La persona corre quindi attraverso un'area che tiene la pistola e spara quando arriva una persona.")</f>
        <v>La persona corre quindi attraverso un'area che tiene la pistola e spara quando arriva una persona.</v>
      </c>
    </row>
    <row r="19426">
      <c r="A19426" s="4" t="s">
        <v>24450</v>
      </c>
      <c r="B19426" s="6" t="s">
        <v>24451</v>
      </c>
      <c r="C19426" s="5" t="str">
        <f>IFERROR(__xludf.DUMMYFUNCTION("GOOGLETRANSLATE(B19426,""en"",""it"")"),"Il video conduce in diversi scatti di persone che corrono lungo una lunga pista e saltano in una buca di sabbia.")</f>
        <v>Il video conduce in diversi scatti di persone che corrono lungo una lunga pista e saltano in una buca di sabbia.</v>
      </c>
    </row>
    <row r="19427">
      <c r="A19427" s="4" t="s">
        <v>24450</v>
      </c>
      <c r="B19427" s="4" t="s">
        <v>24452</v>
      </c>
      <c r="C19427" s="5" t="str">
        <f>IFERROR(__xludf.DUMMYFUNCTION("GOOGLETRANSLATE(B19427,""en"",""it"")"),"Altre donne vengono mostrate che corrono lungo la pista e atterrano nella buca della sabbia mentre altri guardano.")</f>
        <v>Altre donne vengono mostrate che corrono lungo la pista e atterrano nella buca della sabbia mentre altri guardano.</v>
      </c>
    </row>
    <row r="19428">
      <c r="A19428" s="4" t="s">
        <v>24453</v>
      </c>
      <c r="B19428" s="4" t="s">
        <v>24454</v>
      </c>
      <c r="C19428" s="5" t="str">
        <f>IFERROR(__xludf.DUMMYFUNCTION("GOOGLETRANSLATE(B19428,""en"",""it"")"),"Un uomo e due bambini pagavano lungo un fiume.")</f>
        <v>Un uomo e due bambini pagavano lungo un fiume.</v>
      </c>
    </row>
    <row r="19429">
      <c r="A19429" s="4" t="s">
        <v>24453</v>
      </c>
      <c r="B19429" s="4" t="s">
        <v>24455</v>
      </c>
      <c r="C19429" s="5" t="str">
        <f>IFERROR(__xludf.DUMMYFUNCTION("GOOGLETRANSLATE(B19429,""en"",""it"")"),"Due canoe sono legate insieme.")</f>
        <v>Due canoe sono legate insieme.</v>
      </c>
    </row>
    <row r="19430">
      <c r="A19430" s="4" t="s">
        <v>24453</v>
      </c>
      <c r="B19430" s="4" t="s">
        <v>24456</v>
      </c>
      <c r="C19430" s="5" t="str">
        <f>IFERROR(__xludf.DUMMYFUNCTION("GOOGLETRANSLATE(B19430,""en"",""it"")"),"L'acqua diventa più bassa mentre vanno avanti.")</f>
        <v>L'acqua diventa più bassa mentre vanno avanti.</v>
      </c>
    </row>
    <row r="19431">
      <c r="A19431" s="4" t="s">
        <v>24453</v>
      </c>
      <c r="B19431" s="4" t="s">
        <v>24457</v>
      </c>
      <c r="C19431" s="5" t="str">
        <f>IFERROR(__xludf.DUMMYFUNCTION("GOOGLETRANSLATE(B19431,""en"",""it"")"),"Il fiume è fiancheggiato da molti alberi.")</f>
        <v>Il fiume è fiancheggiato da molti alberi.</v>
      </c>
    </row>
    <row r="19432">
      <c r="A19432" s="4" t="s">
        <v>24458</v>
      </c>
      <c r="B19432" s="4" t="s">
        <v>1487</v>
      </c>
      <c r="C19432" s="5" t="str">
        <f>IFERROR(__xludf.DUMMYFUNCTION("GOOGLETRANSLATE(B19432,""en"",""it"")"),"Vediamo una schermata del titolo di apertura.")</f>
        <v>Vediamo una schermata del titolo di apertura.</v>
      </c>
    </row>
    <row r="19433">
      <c r="A19433" s="4" t="s">
        <v>24458</v>
      </c>
      <c r="B19433" s="4" t="s">
        <v>24459</v>
      </c>
      <c r="C19433" s="5" t="str">
        <f>IFERROR(__xludf.DUMMYFUNCTION("GOOGLETRANSLATE(B19433,""en"",""it"")"),"Un gruppo di uomini gioca a biliardo all'aperto.")</f>
        <v>Un gruppo di uomini gioca a biliardo all'aperto.</v>
      </c>
    </row>
    <row r="19434">
      <c r="A19434" s="4" t="s">
        <v>24458</v>
      </c>
      <c r="B19434" s="4" t="s">
        <v>24460</v>
      </c>
      <c r="C19434" s="5" t="str">
        <f>IFERROR(__xludf.DUMMYFUNCTION("GOOGLETRANSLATE(B19434,""en"",""it"")"),"Gli uomini sulla vittoria destra e si stringono la mano e appesero.")</f>
        <v>Gli uomini sulla vittoria destra e si stringono la mano e appesero.</v>
      </c>
    </row>
    <row r="19435">
      <c r="A19435" s="4" t="s">
        <v>24458</v>
      </c>
      <c r="B19435" s="4" t="s">
        <v>24461</v>
      </c>
      <c r="C19435" s="5" t="str">
        <f>IFERROR(__xludf.DUMMYFUNCTION("GOOGLETRANSLATE(B19435,""en"",""it"")"),"Un uomo alta alimenta un bambino trattenuto da una signora dietro di loro.")</f>
        <v>Un uomo alta alimenta un bambino trattenuto da una signora dietro di loro.</v>
      </c>
    </row>
    <row r="19436">
      <c r="A19436" s="4" t="s">
        <v>24458</v>
      </c>
      <c r="B19436" s="4" t="s">
        <v>2940</v>
      </c>
      <c r="C19436" s="5" t="str">
        <f>IFERROR(__xludf.DUMMYFUNCTION("GOOGLETRANSLATE(B19436,""en"",""it"")"),"Vediamo uno schermo di chiusura.")</f>
        <v>Vediamo uno schermo di chiusura.</v>
      </c>
    </row>
    <row r="19437">
      <c r="A19437" s="4" t="s">
        <v>24462</v>
      </c>
      <c r="B19437" s="6" t="s">
        <v>24463</v>
      </c>
      <c r="C19437" s="5" t="str">
        <f>IFERROR(__xludf.DUMMYFUNCTION("GOOGLETRANSLATE(B19437,""en"",""it"")"),"Un uomo che sfoggia la barba e i baffi e indossa una camicia bianca sta dando un tutorial sulla sicurezza della pallavolo.")</f>
        <v>Un uomo che sfoggia la barba e i baffi e indossa una camicia bianca sta dando un tutorial sulla sicurezza della pallavolo.</v>
      </c>
    </row>
    <row r="19438">
      <c r="A19438" s="4" t="s">
        <v>24462</v>
      </c>
      <c r="B19438" s="4" t="s">
        <v>24464</v>
      </c>
      <c r="C19438" s="5" t="str">
        <f>IFERROR(__xludf.DUMMYFUNCTION("GOOGLETRANSLATE(B19438,""en"",""it"")"),"Quindi indossa una felpa nera e dimostra come fare esercizi di stretching.")</f>
        <v>Quindi indossa una felpa nera e dimostra come fare esercizi di stretching.</v>
      </c>
    </row>
    <row r="19439">
      <c r="A19439" s="4" t="s">
        <v>24462</v>
      </c>
      <c r="B19439" s="4" t="s">
        <v>24465</v>
      </c>
      <c r="C19439" s="5" t="str">
        <f>IFERROR(__xludf.DUMMYFUNCTION("GOOGLETRANSLATE(B19439,""en"",""it"")"),"Continua a spiegare quale attrezzatura indossare mentre gioca e si scalda per la pallavolo.")</f>
        <v>Continua a spiegare quale attrezzatura indossare mentre gioca e si scalda per la pallavolo.</v>
      </c>
    </row>
    <row r="19440">
      <c r="A19440" s="4" t="s">
        <v>24462</v>
      </c>
      <c r="B19440" s="4" t="s">
        <v>24466</v>
      </c>
      <c r="C19440" s="5" t="str">
        <f>IFERROR(__xludf.DUMMYFUNCTION("GOOGLETRANSLATE(B19440,""en"",""it"")"),"Ci sono alcuni atleti che giocano a pallavolo mentre parla.")</f>
        <v>Ci sono alcuni atleti che giocano a pallavolo mentre parla.</v>
      </c>
    </row>
    <row r="19441">
      <c r="A19441" s="4" t="s">
        <v>24462</v>
      </c>
      <c r="B19441" s="4" t="s">
        <v>24467</v>
      </c>
      <c r="C19441" s="5" t="str">
        <f>IFERROR(__xludf.DUMMYFUNCTION("GOOGLETRANSLATE(B19441,""en"",""it"")"),"C'è una partita di pallavolo mostrata dove i giocatori si trovano in una palestra indoor.")</f>
        <v>C'è una partita di pallavolo mostrata dove i giocatori si trovano in una palestra indoor.</v>
      </c>
    </row>
    <row r="19442">
      <c r="A19442" s="4" t="s">
        <v>24468</v>
      </c>
      <c r="B19442" s="4" t="s">
        <v>24469</v>
      </c>
      <c r="C19442" s="5" t="str">
        <f>IFERROR(__xludf.DUMMYFUNCTION("GOOGLETRANSLATE(B19442,""en"",""it"")"),"Vediamo uomini che giocano a calcio nella sabbia.")</f>
        <v>Vediamo uomini che giocano a calcio nella sabbia.</v>
      </c>
    </row>
    <row r="19443">
      <c r="A19443" s="4" t="s">
        <v>24468</v>
      </c>
      <c r="B19443" s="4" t="s">
        <v>24470</v>
      </c>
      <c r="C19443" s="5" t="str">
        <f>IFERROR(__xludf.DUMMYFUNCTION("GOOGLETRANSLATE(B19443,""en"",""it"")"),"La palla entra e tutti corrono verso la palla.")</f>
        <v>La palla entra e tutti corrono verso la palla.</v>
      </c>
    </row>
    <row r="19444">
      <c r="A19444" s="4" t="s">
        <v>24468</v>
      </c>
      <c r="B19444" s="4" t="s">
        <v>24471</v>
      </c>
      <c r="C19444" s="5" t="str">
        <f>IFERROR(__xludf.DUMMYFUNCTION("GOOGLETRANSLATE(B19444,""en"",""it"")"),"Un uomo sulla destra dà il via alla palla in porta.")</f>
        <v>Un uomo sulla destra dà il via alla palla in porta.</v>
      </c>
    </row>
    <row r="19445">
      <c r="A19445" s="4" t="s">
        <v>24468</v>
      </c>
      <c r="B19445" s="4" t="s">
        <v>24472</v>
      </c>
      <c r="C19445" s="5" t="str">
        <f>IFERROR(__xludf.DUMMYFUNCTION("GOOGLETRANSLATE(B19445,""en"",""it"")"),"Gli uomini in rosso sono tutti alti cinque.")</f>
        <v>Gli uomini in rosso sono tutti alti cinque.</v>
      </c>
    </row>
    <row r="19446">
      <c r="A19446" s="4" t="s">
        <v>24473</v>
      </c>
      <c r="B19446" s="4" t="s">
        <v>24474</v>
      </c>
      <c r="C19446" s="5" t="str">
        <f>IFERROR(__xludf.DUMMYFUNCTION("GOOGLETRANSLATE(B19446,""en"",""it"")"),"Viene vista una donna parlare alla telecamera mentre si trova accanto a un cavallo e tiene un pennello.")</f>
        <v>Viene vista una donna parlare alla telecamera mentre si trova accanto a un cavallo e tiene un pennello.</v>
      </c>
    </row>
    <row r="19447">
      <c r="A19447" s="4" t="s">
        <v>24473</v>
      </c>
      <c r="B19447" s="4" t="s">
        <v>24475</v>
      </c>
      <c r="C19447" s="5" t="str">
        <f>IFERROR(__xludf.DUMMYFUNCTION("GOOGLETRANSLATE(B19447,""en"",""it"")"),"Comincia a sfiorare tutto il cavallo mentre parla ancora alla telecamera.")</f>
        <v>Comincia a sfiorare tutto il cavallo mentre parla ancora alla telecamera.</v>
      </c>
    </row>
    <row r="19448">
      <c r="A19448" s="4" t="s">
        <v>24473</v>
      </c>
      <c r="B19448" s="4" t="s">
        <v>24476</v>
      </c>
      <c r="C19448" s="5" t="str">
        <f>IFERROR(__xludf.DUMMYFUNCTION("GOOGLETRANSLATE(B19448,""en"",""it"")"),"Fa una pausa per un momento per finire mentre parla alla telecamera.")</f>
        <v>Fa una pausa per un momento per finire mentre parla alla telecamera.</v>
      </c>
    </row>
    <row r="19449">
      <c r="A19449" s="4" t="s">
        <v>24477</v>
      </c>
      <c r="B19449" s="6" t="s">
        <v>24478</v>
      </c>
      <c r="C19449" s="5" t="str">
        <f>IFERROR(__xludf.DUMMYFUNCTION("GOOGLETRANSLATE(B19449,""en"",""it"")"),"Un'auto viene fermata a una luce rossa e c'è una vista di una piccola città che ha un po 'di neve a terra.")</f>
        <v>Un'auto viene fermata a una luce rossa e c'è una vista di una piccola città che ha un po 'di neve a terra.</v>
      </c>
    </row>
    <row r="19450">
      <c r="A19450" s="4" t="s">
        <v>24477</v>
      </c>
      <c r="B19450" s="6" t="s">
        <v>24479</v>
      </c>
      <c r="C19450" s="5" t="str">
        <f>IFERROR(__xludf.DUMMYFUNCTION("GOOGLETRANSLATE(B19450,""en"",""it"")"),"La luce diventa verde e l'auto guida lungo la strada e non ci sono persone che camminano sul marciapiede e solo un camion parcheggiato.")</f>
        <v>La luce diventa verde e l'auto guida lungo la strada e non ci sono persone che camminano sul marciapiede e solo un camion parcheggiato.</v>
      </c>
    </row>
    <row r="19451">
      <c r="A19451" s="4" t="s">
        <v>24477</v>
      </c>
      <c r="B19451" s="4" t="s">
        <v>24480</v>
      </c>
      <c r="C19451" s="5" t="str">
        <f>IFERROR(__xludf.DUMMYFUNCTION("GOOGLETRANSLATE(B19451,""en"",""it"")"),"Sul lato destro c'è qualcuno che spala il ghiaccio dalla strada e l'auto lo passa.")</f>
        <v>Sul lato destro c'è qualcuno che spala il ghiaccio dalla strada e l'auto lo passa.</v>
      </c>
    </row>
    <row r="19452">
      <c r="A19452" s="4" t="s">
        <v>24481</v>
      </c>
      <c r="B19452" s="4" t="s">
        <v>24482</v>
      </c>
      <c r="C19452" s="5" t="str">
        <f>IFERROR(__xludf.DUMMYFUNCTION("GOOGLETRANSLATE(B19452,""en"",""it"")"),"Un uomo è all'aperto in piedi su uno strumento a 4 gradini e fa scorrere il taglierina a destra.")</f>
        <v>Un uomo è all'aperto in piedi su uno strumento a 4 gradini e fa scorrere il taglierina a destra.</v>
      </c>
    </row>
    <row r="19453">
      <c r="A19453" s="4" t="s">
        <v>24481</v>
      </c>
      <c r="B19453" s="4" t="s">
        <v>24483</v>
      </c>
      <c r="C19453" s="5" t="str">
        <f>IFERROR(__xludf.DUMMYFUNCTION("GOOGLETRANSLATE(B19453,""en"",""it"")"),"L'uomo quindi solleva le frese e inizia a tagliare di più verso il lato sinistro.")</f>
        <v>L'uomo quindi solleva le frese e inizia a tagliare di più verso il lato sinistro.</v>
      </c>
    </row>
    <row r="19454">
      <c r="A19454" s="4" t="s">
        <v>24481</v>
      </c>
      <c r="B19454" s="4" t="s">
        <v>24484</v>
      </c>
      <c r="C19454" s="5" t="str">
        <f>IFERROR(__xludf.DUMMYFUNCTION("GOOGLETRANSLATE(B19454,""en"",""it"")"),"L'uomo smette di tagliare e inizia a dimettersi dalla scala.")</f>
        <v>L'uomo smette di tagliare e inizia a dimettersi dalla scala.</v>
      </c>
    </row>
    <row r="19455">
      <c r="A19455" s="4" t="s">
        <v>24485</v>
      </c>
      <c r="B19455" s="4" t="s">
        <v>24486</v>
      </c>
      <c r="C19455" s="5" t="str">
        <f>IFERROR(__xludf.DUMMYFUNCTION("GOOGLETRANSLATE(B19455,""en"",""it"")"),"Una donna inizia a intrecciarsi i capelli.")</f>
        <v>Una donna inizia a intrecciarsi i capelli.</v>
      </c>
    </row>
    <row r="19456">
      <c r="A19456" s="4" t="s">
        <v>24485</v>
      </c>
      <c r="B19456" s="4" t="s">
        <v>24487</v>
      </c>
      <c r="C19456" s="5" t="str">
        <f>IFERROR(__xludf.DUMMYFUNCTION("GOOGLETRANSLATE(B19456,""en"",""it"")"),"Le indicazioni si presentano sul lato dello schermo.")</f>
        <v>Le indicazioni si presentano sul lato dello schermo.</v>
      </c>
    </row>
    <row r="19457">
      <c r="A19457" s="4" t="s">
        <v>24485</v>
      </c>
      <c r="B19457" s="4" t="s">
        <v>24488</v>
      </c>
      <c r="C19457" s="5" t="str">
        <f>IFERROR(__xludf.DUMMYFUNCTION("GOOGLETRANSLATE(B19457,""en"",""it"")"),"La donna si gira di lato per mostrare la sua treccia.")</f>
        <v>La donna si gira di lato per mostrare la sua treccia.</v>
      </c>
    </row>
    <row r="19458">
      <c r="A19458" s="4" t="s">
        <v>24489</v>
      </c>
      <c r="B19458" s="4" t="s">
        <v>24490</v>
      </c>
      <c r="C19458" s="5" t="str">
        <f>IFERROR(__xludf.DUMMYFUNCTION("GOOGLETRANSLATE(B19458,""en"",""it"")"),"Due squadre sono su entrambi i lati di un campo.")</f>
        <v>Due squadre sono su entrambi i lati di un campo.</v>
      </c>
    </row>
    <row r="19459">
      <c r="A19459" s="4" t="s">
        <v>24489</v>
      </c>
      <c r="B19459" s="4" t="s">
        <v>24491</v>
      </c>
      <c r="C19459" s="5" t="str">
        <f>IFERROR(__xludf.DUMMYFUNCTION("GOOGLETRANSLATE(B19459,""en"",""it"")"),"Stanno trattenendo una corda, preparando a tirare.")</f>
        <v>Stanno trattenendo una corda, preparando a tirare.</v>
      </c>
    </row>
    <row r="19460">
      <c r="A19460" s="4" t="s">
        <v>24489</v>
      </c>
      <c r="B19460" s="4" t="s">
        <v>24492</v>
      </c>
      <c r="C19460" s="5" t="str">
        <f>IFERROR(__xludf.DUMMYFUNCTION("GOOGLETRANSLATE(B19460,""en"",""it"")"),"Le due squadre iniziano a tirare, cercando di vincere la competizione mentre una folla guarda.")</f>
        <v>Le due squadre iniziano a tirare, cercando di vincere la competizione mentre una folla guarda.</v>
      </c>
    </row>
    <row r="19461">
      <c r="A19461" s="4" t="s">
        <v>24489</v>
      </c>
      <c r="B19461" s="4" t="s">
        <v>24493</v>
      </c>
      <c r="C19461" s="5" t="str">
        <f>IFERROR(__xludf.DUMMYFUNCTION("GOOGLETRANSLATE(B19461,""en"",""it"")"),"Il gruppo giallo inizia ad essere trascinato contro la loro volontà.")</f>
        <v>Il gruppo giallo inizia ad essere trascinato contro la loro volontà.</v>
      </c>
    </row>
    <row r="19462">
      <c r="A19462" s="4" t="s">
        <v>24494</v>
      </c>
      <c r="B19462" s="4" t="s">
        <v>24495</v>
      </c>
      <c r="C19462" s="5" t="str">
        <f>IFERROR(__xludf.DUMMYFUNCTION("GOOGLETRANSLATE(B19462,""en"",""it"")"),"Si vede la parte anteriore di un edificio chiamato Giant.")</f>
        <v>Si vede la parte anteriore di un edificio chiamato Giant.</v>
      </c>
    </row>
    <row r="19463">
      <c r="A19463" s="4" t="s">
        <v>24494</v>
      </c>
      <c r="B19463" s="4" t="s">
        <v>24496</v>
      </c>
      <c r="C19463" s="5" t="str">
        <f>IFERROR(__xludf.DUMMYFUNCTION("GOOGLETRANSLATE(B19463,""en"",""it"")"),"I tecnici sono mostrati all'interno, lavorando sulle biciclette.")</f>
        <v>I tecnici sono mostrati all'interno, lavorando sulle biciclette.</v>
      </c>
    </row>
    <row r="19464">
      <c r="A19464" s="4" t="s">
        <v>24494</v>
      </c>
      <c r="B19464" s="4" t="s">
        <v>24497</v>
      </c>
      <c r="C19464" s="5" t="str">
        <f>IFERROR(__xludf.DUMMYFUNCTION("GOOGLETRANSLATE(B19464,""en"",""it"")"),"Lavorano in team, cercando di costruire e riparare.")</f>
        <v>Lavorano in team, cercando di costruire e riparare.</v>
      </c>
    </row>
    <row r="19465">
      <c r="A19465" s="4" t="s">
        <v>24498</v>
      </c>
      <c r="B19465" s="4" t="s">
        <v>24499</v>
      </c>
      <c r="C19465" s="5" t="str">
        <f>IFERROR(__xludf.DUMMYFUNCTION("GOOGLETRANSLATE(B19465,""en"",""it"")"),"Due uomini sono mostrati sul lato di un tetto dell'edificio.")</f>
        <v>Due uomini sono mostrati sul lato di un tetto dell'edificio.</v>
      </c>
    </row>
    <row r="19466">
      <c r="A19466" s="4" t="s">
        <v>24498</v>
      </c>
      <c r="B19466" s="4" t="s">
        <v>24500</v>
      </c>
      <c r="C19466" s="5" t="str">
        <f>IFERROR(__xludf.DUMMYFUNCTION("GOOGLETRANSLATE(B19466,""en"",""it"")"),"Uno si gira di lato, usando un pezzo di equipaggiamento.")</f>
        <v>Uno si gira di lato, usando un pezzo di equipaggiamento.</v>
      </c>
    </row>
    <row r="19467">
      <c r="A19467" s="4" t="s">
        <v>24498</v>
      </c>
      <c r="B19467" s="4" t="s">
        <v>24501</v>
      </c>
      <c r="C19467" s="5" t="str">
        <f>IFERROR(__xludf.DUMMYFUNCTION("GOOGLETRANSLATE(B19467,""en"",""it"")"),"Sembrano costruire un tetto.")</f>
        <v>Sembrano costruire un tetto.</v>
      </c>
    </row>
    <row r="19468">
      <c r="A19468" s="4" t="s">
        <v>24502</v>
      </c>
      <c r="B19468" s="4" t="s">
        <v>24503</v>
      </c>
      <c r="C19468" s="5" t="str">
        <f>IFERROR(__xludf.DUMMYFUNCTION("GOOGLETRANSLATE(B19468,""en"",""it"")"),"Un uomo sta diffondendo pacciame attorno alle piante.")</f>
        <v>Un uomo sta diffondendo pacciame attorno alle piante.</v>
      </c>
    </row>
    <row r="19469">
      <c r="A19469" s="4" t="s">
        <v>24502</v>
      </c>
      <c r="B19469" s="4" t="s">
        <v>24504</v>
      </c>
      <c r="C19469" s="5" t="str">
        <f>IFERROR(__xludf.DUMMYFUNCTION("GOOGLETRANSLATE(B19469,""en"",""it"")"),"Un uomo è seduto a un tavolo a leggere un giornale.")</f>
        <v>Un uomo è seduto a un tavolo a leggere un giornale.</v>
      </c>
    </row>
    <row r="19470">
      <c r="A19470" s="4" t="s">
        <v>24502</v>
      </c>
      <c r="B19470" s="4" t="s">
        <v>24505</v>
      </c>
      <c r="C19470" s="5" t="str">
        <f>IFERROR(__xludf.DUMMYFUNCTION("GOOGLETRANSLATE(B19470,""en"",""it"")"),"Viene mostrato un cortile ben curato.")</f>
        <v>Viene mostrato un cortile ben curato.</v>
      </c>
    </row>
    <row r="19471">
      <c r="A19471" s="4" t="s">
        <v>24506</v>
      </c>
      <c r="B19471" s="4" t="s">
        <v>24507</v>
      </c>
      <c r="C19471" s="5" t="str">
        <f>IFERROR(__xludf.DUMMYFUNCTION("GOOGLETRANSLATE(B19471,""en"",""it"")"),"Si sta mostrando una partita di calcio e un uomo nelle notizie sta parlando di una partita di Voleyball.")</f>
        <v>Si sta mostrando una partita di calcio e un uomo nelle notizie sta parlando di una partita di Voleyball.</v>
      </c>
    </row>
    <row r="19472">
      <c r="A19472" s="4" t="s">
        <v>24506</v>
      </c>
      <c r="B19472" s="6" t="s">
        <v>24508</v>
      </c>
      <c r="C19472" s="5" t="str">
        <f>IFERROR(__xludf.DUMMYFUNCTION("GOOGLETRANSLATE(B19472,""en"",""it"")"),"Il set è mostrato con il gioco Voleyball e alcune donne in bikini che giocano a bianchi, gli spettatori sono sui voti che applaudono.")</f>
        <v>Il set è mostrato con il gioco Voleyball e alcune donne in bikini che giocano a bianchi, gli spettatori sono sui voti che applaudono.</v>
      </c>
    </row>
    <row r="19473">
      <c r="A19473" s="4" t="s">
        <v>24506</v>
      </c>
      <c r="B19473" s="4" t="s">
        <v>24509</v>
      </c>
      <c r="C19473" s="5" t="str">
        <f>IFERROR(__xludf.DUMMYFUNCTION("GOOGLETRANSLATE(B19473,""en"",""it"")"),"Tornando in studio tre commentatori che parlano.")</f>
        <v>Tornando in studio tre commentatori che parlano.</v>
      </c>
    </row>
    <row r="19474">
      <c r="A19474" s="4" t="s">
        <v>24510</v>
      </c>
      <c r="B19474" s="4" t="s">
        <v>24511</v>
      </c>
      <c r="C19474" s="5" t="str">
        <f>IFERROR(__xludf.DUMMYFUNCTION("GOOGLETRANSLATE(B19474,""en"",""it"")"),"Un uomo e una donna stanno accanto a un tavolo che parla alla telecamera.")</f>
        <v>Un uomo e una donna stanno accanto a un tavolo che parla alla telecamera.</v>
      </c>
    </row>
    <row r="19475">
      <c r="A19475" s="4" t="s">
        <v>24510</v>
      </c>
      <c r="B19475" s="4" t="s">
        <v>24512</v>
      </c>
      <c r="C19475" s="5" t="str">
        <f>IFERROR(__xludf.DUMMYFUNCTION("GOOGLETRANSLATE(B19475,""en"",""it"")"),"Una ricetta di purè di patate si trova sul tavolo.")</f>
        <v>Una ricetta di purè di patate si trova sul tavolo.</v>
      </c>
    </row>
    <row r="19476">
      <c r="A19476" s="4" t="s">
        <v>24510</v>
      </c>
      <c r="B19476" s="4" t="s">
        <v>24513</v>
      </c>
      <c r="C19476" s="5" t="str">
        <f>IFERROR(__xludf.DUMMYFUNCTION("GOOGLETRANSLATE(B19476,""en"",""it"")"),"L'uomo sbuccia e taglia le patate prima di gettarle in una pentola gialla.")</f>
        <v>L'uomo sbuccia e taglia le patate prima di gettarle in una pentola gialla.</v>
      </c>
    </row>
    <row r="19477">
      <c r="A19477" s="4" t="s">
        <v>24510</v>
      </c>
      <c r="B19477" s="4" t="s">
        <v>24514</v>
      </c>
      <c r="C19477" s="5" t="str">
        <f>IFERROR(__xludf.DUMMYFUNCTION("GOOGLETRANSLATE(B19477,""en"",""it"")"),"L'uomo getta tre manciate di sale nella pentola gialla.")</f>
        <v>L'uomo getta tre manciate di sale nella pentola gialla.</v>
      </c>
    </row>
    <row r="19478">
      <c r="A19478" s="4" t="s">
        <v>24510</v>
      </c>
      <c r="B19478" s="4" t="s">
        <v>24515</v>
      </c>
      <c r="C19478" s="5" t="str">
        <f>IFERROR(__xludf.DUMMYFUNCTION("GOOGLETRANSLATE(B19478,""en"",""it"")"),"L'uomo taglia un po 'di aglio.")</f>
        <v>L'uomo taglia un po 'di aglio.</v>
      </c>
    </row>
    <row r="19479">
      <c r="A19479" s="4" t="s">
        <v>24510</v>
      </c>
      <c r="B19479" s="4" t="s">
        <v>24516</v>
      </c>
      <c r="C19479" s="5" t="str">
        <f>IFERROR(__xludf.DUMMYFUNCTION("GOOGLETRANSLATE(B19479,""en"",""it"")"),"Nella pentola, l'uomo getta l'aglio insieme a due foglie.")</f>
        <v>Nella pentola, l'uomo getta l'aglio insieme a due foglie.</v>
      </c>
    </row>
    <row r="19480">
      <c r="A19480" s="4" t="s">
        <v>24510</v>
      </c>
      <c r="B19480" s="4" t="s">
        <v>24517</v>
      </c>
      <c r="C19480" s="5" t="str">
        <f>IFERROR(__xludf.DUMMYFUNCTION("GOOGLETRANSLATE(B19480,""en"",""it"")"),"La donna si unisce all'uomo al tavolo e taglia il burro a metà.")</f>
        <v>La donna si unisce all'uomo al tavolo e taglia il burro a metà.</v>
      </c>
    </row>
    <row r="19481">
      <c r="A19481" s="4" t="s">
        <v>24510</v>
      </c>
      <c r="B19481" s="4" t="s">
        <v>24518</v>
      </c>
      <c r="C19481" s="5" t="str">
        <f>IFERROR(__xludf.DUMMYFUNCTION("GOOGLETRANSLATE(B19481,""en"",""it"")"),"La donna getta il burro in una casseruola.")</f>
        <v>La donna getta il burro in una casseruola.</v>
      </c>
    </row>
    <row r="19482">
      <c r="A19482" s="4" t="s">
        <v>24510</v>
      </c>
      <c r="B19482" s="4" t="s">
        <v>24519</v>
      </c>
      <c r="C19482" s="5" t="str">
        <f>IFERROR(__xludf.DUMMYFUNCTION("GOOGLETRANSLATE(B19482,""en"",""it"")"),"L'uomo le parla brevemente e la donna procede a versare un po 'di latte nella casseruola.")</f>
        <v>L'uomo le parla brevemente e la donna procede a versare un po 'di latte nella casseruola.</v>
      </c>
    </row>
    <row r="19483">
      <c r="A19483" s="4" t="s">
        <v>24510</v>
      </c>
      <c r="B19483" s="4" t="s">
        <v>24520</v>
      </c>
      <c r="C19483" s="5" t="str">
        <f>IFERROR(__xludf.DUMMYFUNCTION("GOOGLETRANSLATE(B19483,""en"",""it"")"),"L'uomo posiziona la pentola gialla e la casseruola sul fornello.")</f>
        <v>L'uomo posiziona la pentola gialla e la casseruola sul fornello.</v>
      </c>
    </row>
    <row r="19484">
      <c r="A19484" s="4" t="s">
        <v>24510</v>
      </c>
      <c r="B19484" s="4" t="s">
        <v>24521</v>
      </c>
      <c r="C19484" s="5" t="str">
        <f>IFERROR(__xludf.DUMMYFUNCTION("GOOGLETRANSLATE(B19484,""en"",""it"")"),"L'uomo afferra il coperchio della pentola e copre la pentola.")</f>
        <v>L'uomo afferra il coperchio della pentola e copre la pentola.</v>
      </c>
    </row>
    <row r="19485">
      <c r="A19485" s="4" t="s">
        <v>24510</v>
      </c>
      <c r="B19485" s="4" t="s">
        <v>24522</v>
      </c>
      <c r="C19485" s="5" t="str">
        <f>IFERROR(__xludf.DUMMYFUNCTION("GOOGLETRANSLATE(B19485,""en"",""it"")"),"Di nuovo al tavolo, l'uomo rimuove il coperchio dalla pentola e rimuove le foglie.")</f>
        <v>Di nuovo al tavolo, l'uomo rimuove il coperchio dalla pentola e rimuove le foglie.</v>
      </c>
    </row>
    <row r="19486">
      <c r="A19486" s="4" t="s">
        <v>24510</v>
      </c>
      <c r="B19486" s="4" t="s">
        <v>24523</v>
      </c>
      <c r="C19486" s="5" t="str">
        <f>IFERROR(__xludf.DUMMYFUNCTION("GOOGLETRANSLATE(B19486,""en"",""it"")"),"L'uomo schiaccia le patate.")</f>
        <v>L'uomo schiaccia le patate.</v>
      </c>
    </row>
    <row r="19487">
      <c r="A19487" s="4" t="s">
        <v>24510</v>
      </c>
      <c r="B19487" s="4" t="s">
        <v>24524</v>
      </c>
      <c r="C19487" s="5" t="str">
        <f>IFERROR(__xludf.DUMMYFUNCTION("GOOGLETRANSLATE(B19487,""en"",""it"")"),"L'uomo getta un pizzico di sale sulle patate.")</f>
        <v>L'uomo getta un pizzico di sale sulle patate.</v>
      </c>
    </row>
    <row r="19488">
      <c r="A19488" s="4" t="s">
        <v>24510</v>
      </c>
      <c r="B19488" s="4" t="s">
        <v>24525</v>
      </c>
      <c r="C19488" s="5" t="str">
        <f>IFERROR(__xludf.DUMMYFUNCTION("GOOGLETRANSLATE(B19488,""en"",""it"")"),"L'uomo riprende schiacciando le patate.")</f>
        <v>L'uomo riprende schiacciando le patate.</v>
      </c>
    </row>
    <row r="19489">
      <c r="A19489" s="4" t="s">
        <v>24510</v>
      </c>
      <c r="B19489" s="4" t="s">
        <v>24526</v>
      </c>
      <c r="C19489" s="5" t="str">
        <f>IFERROR(__xludf.DUMMYFUNCTION("GOOGLETRANSLATE(B19489,""en"",""it"")"),"L'uomo versa il latte dalla casseruola nella pentola.")</f>
        <v>L'uomo versa il latte dalla casseruola nella pentola.</v>
      </c>
    </row>
    <row r="19490">
      <c r="A19490" s="4" t="s">
        <v>24510</v>
      </c>
      <c r="B19490" s="4" t="s">
        <v>24527</v>
      </c>
      <c r="C19490" s="5" t="str">
        <f>IFERROR(__xludf.DUMMYFUNCTION("GOOGLETRANSLATE(B19490,""en"",""it"")"),"L'uomo schiaccia ancora un po 'le patate.")</f>
        <v>L'uomo schiaccia ancora un po 'le patate.</v>
      </c>
    </row>
    <row r="19491">
      <c r="A19491" s="4" t="s">
        <v>24510</v>
      </c>
      <c r="B19491" s="4" t="s">
        <v>24528</v>
      </c>
      <c r="C19491" s="5" t="str">
        <f>IFERROR(__xludf.DUMMYFUNCTION("GOOGLETRANSLATE(B19491,""en"",""it"")"),"L'uomo afferra un po 'di pepe e lo getta sulle patate.")</f>
        <v>L'uomo afferra un po 'di pepe e lo getta sulle patate.</v>
      </c>
    </row>
    <row r="19492">
      <c r="A19492" s="4" t="s">
        <v>24510</v>
      </c>
      <c r="B19492" s="4" t="s">
        <v>24529</v>
      </c>
      <c r="C19492" s="5" t="str">
        <f>IFERROR(__xludf.DUMMYFUNCTION("GOOGLETRANSLATE(B19492,""en"",""it"")"),"L'uomo aggiunge un po 'di più latte.")</f>
        <v>L'uomo aggiunge un po 'di più latte.</v>
      </c>
    </row>
    <row r="19493">
      <c r="A19493" s="4" t="s">
        <v>24510</v>
      </c>
      <c r="B19493" s="4" t="s">
        <v>24530</v>
      </c>
      <c r="C19493" s="5" t="str">
        <f>IFERROR(__xludf.DUMMYFUNCTION("GOOGLETRANSLATE(B19493,""en"",""it"")"),"L'uomo torna a schiacciare le patate e mescolandole man mano che sono diventate completamente morbide.")</f>
        <v>L'uomo torna a schiacciare le patate e mescolandole man mano che sono diventate completamente morbide.</v>
      </c>
    </row>
    <row r="19494">
      <c r="A19494" s="4" t="s">
        <v>24510</v>
      </c>
      <c r="B19494" s="4" t="s">
        <v>24531</v>
      </c>
      <c r="C19494" s="5" t="str">
        <f>IFERROR(__xludf.DUMMYFUNCTION("GOOGLETRANSLATE(B19494,""en"",""it"")"),"L'uomo fa una pausa per un secondo per gettare un po 'd'acqua e riprende a mescolare le patate.")</f>
        <v>L'uomo fa una pausa per un secondo per gettare un po 'd'acqua e riprende a mescolare le patate.</v>
      </c>
    </row>
    <row r="19495">
      <c r="A19495" s="4" t="s">
        <v>24510</v>
      </c>
      <c r="B19495" s="4" t="s">
        <v>24532</v>
      </c>
      <c r="C19495" s="5" t="str">
        <f>IFERROR(__xludf.DUMMYFUNCTION("GOOGLETRANSLATE(B19495,""en"",""it"")"),"Il piatto di purè di patate finito viene lasciato su un bancone.")</f>
        <v>Il piatto di purè di patate finito viene lasciato su un bancone.</v>
      </c>
    </row>
    <row r="19496">
      <c r="A19496" s="4" t="s">
        <v>24533</v>
      </c>
      <c r="B19496" s="4" t="s">
        <v>24534</v>
      </c>
      <c r="C19496" s="5" t="str">
        <f>IFERROR(__xludf.DUMMYFUNCTION("GOOGLETRANSLATE(B19496,""en"",""it"")"),"Un primo piano di una tavola con mostrato con diversi dischi seduti sul lato.")</f>
        <v>Un primo piano di una tavola con mostrato con diversi dischi seduti sul lato.</v>
      </c>
    </row>
    <row r="19497">
      <c r="A19497" s="4" t="s">
        <v>24533</v>
      </c>
      <c r="B19497" s="4" t="s">
        <v>24535</v>
      </c>
      <c r="C19497" s="5" t="str">
        <f>IFERROR(__xludf.DUMMYFUNCTION("GOOGLETRANSLATE(B19497,""en"",""it"")"),"All'improvviso un altro disco viene spinto verso il basso e bussato agli altri mentre le persone guardano.")</f>
        <v>All'improvviso un altro disco viene spinto verso il basso e bussato agli altri mentre le persone guardano.</v>
      </c>
    </row>
    <row r="19498">
      <c r="A19498" s="4" t="s">
        <v>24536</v>
      </c>
      <c r="B19498" s="4" t="s">
        <v>24537</v>
      </c>
      <c r="C19498" s="5" t="str">
        <f>IFERROR(__xludf.DUMMYFUNCTION("GOOGLETRANSLATE(B19498,""en"",""it"")"),"Due uomini sono accovacciati accanto a un'auto e un terzo sta.")</f>
        <v>Due uomini sono accovacciati accanto a un'auto e un terzo sta.</v>
      </c>
    </row>
    <row r="19499">
      <c r="A19499" s="4" t="s">
        <v>24536</v>
      </c>
      <c r="B19499" s="4" t="s">
        <v>24538</v>
      </c>
      <c r="C19499" s="5" t="str">
        <f>IFERROR(__xludf.DUMMYFUNCTION("GOOGLETRANSLATE(B19499,""en"",""it"")"),"Rimuovono il pneumatico mentre un altro uomo scatta foto.")</f>
        <v>Rimuovono il pneumatico mentre un altro uomo scatta foto.</v>
      </c>
    </row>
    <row r="19500">
      <c r="A19500" s="4" t="s">
        <v>24536</v>
      </c>
      <c r="B19500" s="4" t="s">
        <v>24539</v>
      </c>
      <c r="C19500" s="5" t="str">
        <f>IFERROR(__xludf.DUMMYFUNCTION("GOOGLETRANSLATE(B19500,""en"",""it"")"),"I due uomini cambiano la gomma, mettendo su una riserva.")</f>
        <v>I due uomini cambiano la gomma, mettendo su una riserva.</v>
      </c>
    </row>
    <row r="19501">
      <c r="A19501" s="4" t="s">
        <v>24540</v>
      </c>
      <c r="B19501" s="4" t="s">
        <v>24541</v>
      </c>
      <c r="C19501" s="5" t="str">
        <f>IFERROR(__xludf.DUMMYFUNCTION("GOOGLETRANSLATE(B19501,""en"",""it"")"),"Una donna porta una palla pesante e si trova su un cerchio.")</f>
        <v>Una donna porta una palla pesante e si trova su un cerchio.</v>
      </c>
    </row>
    <row r="19502">
      <c r="A19502" s="4" t="s">
        <v>24540</v>
      </c>
      <c r="B19502" s="4" t="s">
        <v>24542</v>
      </c>
      <c r="C19502" s="5" t="str">
        <f>IFERROR(__xludf.DUMMYFUNCTION("GOOGLETRANSLATE(B19502,""en"",""it"")"),"Quindi, la donna gira il peso.")</f>
        <v>Quindi, la donna gira il peso.</v>
      </c>
    </row>
    <row r="19503">
      <c r="A19503" s="4" t="s">
        <v>24540</v>
      </c>
      <c r="B19503" s="4" t="s">
        <v>24543</v>
      </c>
      <c r="C19503" s="5" t="str">
        <f>IFERROR(__xludf.DUMMYFUNCTION("GOOGLETRANSLATE(B19503,""en"",""it"")"),"Quindi, la donna getta il peso.")</f>
        <v>Quindi, la donna getta il peso.</v>
      </c>
    </row>
    <row r="19504">
      <c r="A19504" s="4" t="s">
        <v>24544</v>
      </c>
      <c r="B19504" s="4" t="s">
        <v>24545</v>
      </c>
      <c r="C19504" s="5" t="str">
        <f>IFERROR(__xludf.DUMMYFUNCTION("GOOGLETRANSLATE(B19504,""en"",""it"")"),"I bambini sono sull'altalena mentre un bambino si alza e spingono un cagnolino sull'altalena.")</f>
        <v>I bambini sono sull'altalena mentre un bambino si alza e spingono un cagnolino sull'altalena.</v>
      </c>
    </row>
    <row r="19505">
      <c r="A19505" s="4" t="s">
        <v>24544</v>
      </c>
      <c r="B19505" s="4" t="s">
        <v>24546</v>
      </c>
      <c r="C19505" s="5" t="str">
        <f>IFERROR(__xludf.DUMMYFUNCTION("GOOGLETRANSLATE(B19505,""en"",""it"")"),"Tre motociclisti stanno andando lì in bici nel parcheggio passando l'area di swing.")</f>
        <v>Tre motociclisti stanno andando lì in bici nel parcheggio passando l'area di swing.</v>
      </c>
    </row>
    <row r="19506">
      <c r="A19506" s="4" t="s">
        <v>24544</v>
      </c>
      <c r="B19506" s="4" t="s">
        <v>24547</v>
      </c>
      <c r="C19506" s="5" t="str">
        <f>IFERROR(__xludf.DUMMYFUNCTION("GOOGLETRANSLATE(B19506,""en"",""it"")"),"Una donna quindi fa jogging sul marciapiede che passa anche l'area di swing.")</f>
        <v>Una donna quindi fa jogging sul marciapiede che passa anche l'area di swing.</v>
      </c>
    </row>
    <row r="19507">
      <c r="A19507" s="4" t="s">
        <v>24548</v>
      </c>
      <c r="B19507" s="4" t="s">
        <v>24549</v>
      </c>
      <c r="C19507" s="5" t="str">
        <f>IFERROR(__xludf.DUMMYFUNCTION("GOOGLETRANSLATE(B19507,""en"",""it"")"),"Due giovani maschi sono seduti alla scrivania dietro due microfoni e due computer.")</f>
        <v>Due giovani maschi sono seduti alla scrivania dietro due microfoni e due computer.</v>
      </c>
    </row>
    <row r="19508">
      <c r="A19508" s="4" t="s">
        <v>24548</v>
      </c>
      <c r="B19508" s="4" t="s">
        <v>24550</v>
      </c>
      <c r="C19508" s="5" t="str">
        <f>IFERROR(__xludf.DUMMYFUNCTION("GOOGLETRANSLATE(B19508,""en"",""it"")"),"Un ragazzo se ne va e gli altri ragazzi rimangono per raccogliere le sue cose.")</f>
        <v>Un ragazzo se ne va e gli altri ragazzi rimangono per raccogliere le sue cose.</v>
      </c>
    </row>
    <row r="19509">
      <c r="A19509" s="4" t="s">
        <v>24548</v>
      </c>
      <c r="B19509" s="6" t="s">
        <v>24551</v>
      </c>
      <c r="C19509" s="5" t="str">
        <f>IFERROR(__xludf.DUMMYFUNCTION("GOOGLETRANSLATE(B19509,""en"",""it"")"),"Mentre sta facendo le valigie, una giovane donna entra e inizia a chiudere l'attrezzatura e a ripulire intorno alla stazione radio.")</f>
        <v>Mentre sta facendo le valigie, una giovane donna entra e inizia a chiudere l'attrezzatura e a ripulire intorno alla stazione radio.</v>
      </c>
    </row>
    <row r="19510">
      <c r="A19510" s="4" t="s">
        <v>24548</v>
      </c>
      <c r="B19510" s="4" t="s">
        <v>24552</v>
      </c>
      <c r="C19510" s="5" t="str">
        <f>IFERROR(__xludf.DUMMYFUNCTION("GOOGLETRANSLATE(B19510,""en"",""it"")"),"Una volta che tutto è pieno, il ragazzo parte e inizia a soffiare baci alla telecamera.")</f>
        <v>Una volta che tutto è pieno, il ragazzo parte e inizia a soffiare baci alla telecamera.</v>
      </c>
    </row>
    <row r="19511">
      <c r="A19511" s="4" t="s">
        <v>24553</v>
      </c>
      <c r="B19511" s="4" t="s">
        <v>24554</v>
      </c>
      <c r="C19511" s="5" t="str">
        <f>IFERROR(__xludf.DUMMYFUNCTION("GOOGLETRANSLATE(B19511,""en"",""it"")"),"Un uomo vestito con passeggiate nere attraverso una lunga sala in un palazzo.")</f>
        <v>Un uomo vestito con passeggiate nere attraverso una lunga sala in un palazzo.</v>
      </c>
    </row>
    <row r="19512">
      <c r="A19512" s="4" t="s">
        <v>24553</v>
      </c>
      <c r="B19512" s="6" t="s">
        <v>24555</v>
      </c>
      <c r="C19512" s="5" t="str">
        <f>IFERROR(__xludf.DUMMYFUNCTION("GOOGLETRANSLATE(B19512,""en"",""it"")"),"Due uomini vestiti con pratica bianca si allungano e si preparano per una partita di scherma mentre un allenatore vestito di nero si guarda avanti con un maggiordomo nella parte posteriore.")</f>
        <v>Due uomini vestiti con pratica bianca si allungano e si preparano per una partita di scherma mentre un allenatore vestito di nero si guarda avanti con un maggiordomo nella parte posteriore.</v>
      </c>
    </row>
    <row r="19513">
      <c r="A19513" s="4" t="s">
        <v>24553</v>
      </c>
      <c r="B19513" s="4" t="s">
        <v>24556</v>
      </c>
      <c r="C19513" s="5" t="str">
        <f>IFERROR(__xludf.DUMMYFUNCTION("GOOGLETRANSLATE(B19513,""en"",""it"")"),"I due uomini vestiti di bianco mettono le loro maschere di scherma e iniziano una partita di scherma.")</f>
        <v>I due uomini vestiti di bianco mettono le loro maschere di scherma e iniziano una partita di scherma.</v>
      </c>
    </row>
    <row r="19514">
      <c r="A19514" s="4" t="s">
        <v>24553</v>
      </c>
      <c r="B19514" s="6" t="s">
        <v>24557</v>
      </c>
      <c r="C19514" s="5" t="str">
        <f>IFERROR(__xludf.DUMMYFUNCTION("GOOGLETRANSLATE(B19514,""en"",""it"")"),"L'allenatore vestito di nero inizia a criticare i due schermieri e tiene in mano le punte delle spade.")</f>
        <v>L'allenatore vestito di nero inizia a criticare i due schermieri e tiene in mano le punte delle spade.</v>
      </c>
    </row>
    <row r="19515">
      <c r="A19515" s="4" t="s">
        <v>24553</v>
      </c>
      <c r="B19515" s="4" t="s">
        <v>24558</v>
      </c>
      <c r="C19515" s="5" t="str">
        <f>IFERROR(__xludf.DUMMYFUNCTION("GOOGLETRANSLATE(B19515,""en"",""it"")"),"L'allenatore si gira e cammina verso il maggiordomo e inizia a conversare.")</f>
        <v>L'allenatore si gira e cammina verso il maggiordomo e inizia a conversare.</v>
      </c>
    </row>
    <row r="19516">
      <c r="A19516" s="4" t="s">
        <v>24559</v>
      </c>
      <c r="B19516" s="6" t="s">
        <v>24560</v>
      </c>
      <c r="C19516" s="5" t="str">
        <f>IFERROR(__xludf.DUMMYFUNCTION("GOOGLETRANSLATE(B19516,""en"",""it"")"),"Un sollevatore di pesi si trova su una piattaforma di legno in una sala da palestra e solleva campane pesantemente ponderate sopra la sua testa, più volte mentre circondata da curiosi.")</f>
        <v>Un sollevatore di pesi si trova su una piattaforma di legno in una sala da palestra e solleva campane pesantemente ponderate sopra la sua testa, più volte mentre circondata da curiosi.</v>
      </c>
    </row>
    <row r="19517">
      <c r="A19517" s="4" t="s">
        <v>24559</v>
      </c>
      <c r="B19517" s="6" t="s">
        <v>24561</v>
      </c>
      <c r="C19517" s="5" t="str">
        <f>IFERROR(__xludf.DUMMYFUNCTION("GOOGLETRANSLATE(B19517,""en"",""it"")"),"Un sollevatore di pesi solleva su tre campane sopra la testa che si accovacciano sotto il peso mentre altri partecipanti alla palestra guardano mentre solleva il peso sopra la sua testa e quindi permette alla campana di cadere a terra.")</f>
        <v>Un sollevatore di pesi solleva su tre campane sopra la testa che si accovacciano sotto il peso mentre altri partecipanti alla palestra guardano mentre solleva il peso sopra la sua testa e quindi permette alla campana di cadere a terra.</v>
      </c>
    </row>
    <row r="19518">
      <c r="A19518" s="4" t="s">
        <v>24559</v>
      </c>
      <c r="B19518" s="6" t="s">
        <v>24562</v>
      </c>
      <c r="C19518" s="5" t="str">
        <f>IFERROR(__xludf.DUMMYFUNCTION("GOOGLETRANSLATE(B19518,""en"",""it"")"),"L'uomo esegue molti altri ascensori della campana che si piegano prima sulle ginocchia e poi solleva la campana sulle spalle prima di lanciare il peso sul pavimento.")</f>
        <v>L'uomo esegue molti altri ascensori della campana che si piegano prima sulle ginocchia e poi solleva la campana sulle spalle prima di lanciare il peso sul pavimento.</v>
      </c>
    </row>
    <row r="19519">
      <c r="A19519" s="4" t="s">
        <v>24559</v>
      </c>
      <c r="B19519" s="4" t="s">
        <v>24563</v>
      </c>
      <c r="C19519" s="5" t="str">
        <f>IFERROR(__xludf.DUMMYFUNCTION("GOOGLETRANSLATE(B19519,""en"",""it"")"),"L'uomo scuote le mani e abbraccia gli spettatori quando è passato con la dimostrazione.")</f>
        <v>L'uomo scuote le mani e abbraccia gli spettatori quando è passato con la dimostrazione.</v>
      </c>
    </row>
    <row r="19520">
      <c r="A19520" s="4" t="s">
        <v>24564</v>
      </c>
      <c r="B19520" s="4" t="s">
        <v>24565</v>
      </c>
      <c r="C19520" s="5" t="str">
        <f>IFERROR(__xludf.DUMMYFUNCTION("GOOGLETRANSLATE(B19520,""en"",""it"")"),"Una donna è seduta su una sedia con una donna in piedi dietro di lei.")</f>
        <v>Una donna è seduta su una sedia con una donna in piedi dietro di lei.</v>
      </c>
    </row>
    <row r="19521">
      <c r="A19521" s="4" t="s">
        <v>24564</v>
      </c>
      <c r="B19521" s="4" t="s">
        <v>24566</v>
      </c>
      <c r="C19521" s="5" t="str">
        <f>IFERROR(__xludf.DUMMYFUNCTION("GOOGLETRANSLATE(B19521,""en"",""it"")"),"La donna inizia a spazzolare i capelli della donna.")</f>
        <v>La donna inizia a spazzolare i capelli della donna.</v>
      </c>
    </row>
    <row r="19522">
      <c r="A19522" s="4" t="s">
        <v>24564</v>
      </c>
      <c r="B19522" s="4" t="s">
        <v>24567</v>
      </c>
      <c r="C19522" s="5" t="str">
        <f>IFERROR(__xludf.DUMMYFUNCTION("GOOGLETRANSLATE(B19522,""en"",""it"")"),"Comincia a intrecciare i capelli.")</f>
        <v>Comincia a intrecciare i capelli.</v>
      </c>
    </row>
    <row r="19523">
      <c r="A19523" s="4" t="s">
        <v>24568</v>
      </c>
      <c r="B19523" s="4" t="s">
        <v>24569</v>
      </c>
      <c r="C19523" s="5" t="str">
        <f>IFERROR(__xludf.DUMMYFUNCTION("GOOGLETRANSLATE(B19523,""en"",""it"")"),"C'è un gruppo di donne in palestra vestita con cime e collant.")</f>
        <v>C'è un gruppo di donne in palestra vestita con cime e collant.</v>
      </c>
    </row>
    <row r="19524">
      <c r="A19524" s="4" t="s">
        <v>24568</v>
      </c>
      <c r="B19524" s="4" t="s">
        <v>24570</v>
      </c>
      <c r="C19524" s="5" t="str">
        <f>IFERROR(__xludf.DUMMYFUNCTION("GOOGLETRANSLATE(B19524,""en"",""it"")"),"Stanno tutti partecipando a una lezione di aerobica strutturata.")</f>
        <v>Stanno tutti partecipando a una lezione di aerobica strutturata.</v>
      </c>
    </row>
    <row r="19525">
      <c r="A19525" s="4" t="s">
        <v>24568</v>
      </c>
      <c r="B19525" s="6" t="s">
        <v>24571</v>
      </c>
      <c r="C19525" s="5" t="str">
        <f>IFERROR(__xludf.DUMMYFUNCTION("GOOGLETRANSLATE(B19525,""en"",""it"")"),"Stanno coordinando i loro passi e sincronizzando le loro mosse mentre calpestano la piattaforma.")</f>
        <v>Stanno coordinando i loro passi e sincronizzando le loro mosse mentre calpestano la piattaforma.</v>
      </c>
    </row>
    <row r="19526">
      <c r="A19526" s="4" t="s">
        <v>24568</v>
      </c>
      <c r="B19526" s="4" t="s">
        <v>24572</v>
      </c>
      <c r="C19526" s="5" t="str">
        <f>IFERROR(__xludf.DUMMYFUNCTION("GOOGLETRANSLATE(B19526,""en"",""it"")"),"Stanno ballando mentre si allenano alla musica.")</f>
        <v>Stanno ballando mentre si allenano alla musica.</v>
      </c>
    </row>
    <row r="19527">
      <c r="A19527" s="4" t="s">
        <v>24568</v>
      </c>
      <c r="B19527" s="4" t="s">
        <v>24573</v>
      </c>
      <c r="C19527" s="5" t="str">
        <f>IFERROR(__xludf.DUMMYFUNCTION("GOOGLETRANSLATE(B19527,""en"",""it"")"),"Dopo aver finito, si fermano e aumentano le piattaforme.")</f>
        <v>Dopo aver finito, si fermano e aumentano le piattaforme.</v>
      </c>
    </row>
    <row r="19528">
      <c r="A19528" s="4" t="s">
        <v>24574</v>
      </c>
      <c r="B19528" s="6" t="s">
        <v>24575</v>
      </c>
      <c r="C19528" s="5" t="str">
        <f>IFERROR(__xludf.DUMMYFUNCTION("GOOGLETRANSLATE(B19528,""en"",""it"")"),"E per circa dot com inizia con un uomo in bianco che parla alla telecamera di fronte a uno sfondo bianco.")</f>
        <v>E per circa dot com inizia con un uomo in bianco che parla alla telecamera di fronte a uno sfondo bianco.</v>
      </c>
    </row>
    <row r="19529">
      <c r="A19529" s="4" t="s">
        <v>24574</v>
      </c>
      <c r="B19529" s="6" t="s">
        <v>24576</v>
      </c>
      <c r="C19529" s="5" t="str">
        <f>IFERROR(__xludf.DUMMYFUNCTION("GOOGLETRANSLATE(B19529,""en"",""it"")"),"Il video mostra quindi una serie di professionisti che lavorano duramente e poi tagliano due donne che corrono sulla spiaggia.")</f>
        <v>Il video mostra quindi una serie di professionisti che lavorano duramente e poi tagliano due donne che corrono sulla spiaggia.</v>
      </c>
    </row>
    <row r="19530">
      <c r="A19530" s="4" t="s">
        <v>24574</v>
      </c>
      <c r="B19530" s="4" t="s">
        <v>24577</v>
      </c>
      <c r="C19530" s="5" t="str">
        <f>IFERROR(__xludf.DUMMYFUNCTION("GOOGLETRANSLATE(B19530,""en"",""it"")"),"Viene mostrato uno scatto di un ciclista e poi si riduce allo stesso uomo in bianco.")</f>
        <v>Viene mostrato uno scatto di un ciclista e poi si riduce allo stesso uomo in bianco.</v>
      </c>
    </row>
    <row r="19531">
      <c r="A19531" s="4" t="s">
        <v>24574</v>
      </c>
      <c r="B19531" s="4" t="s">
        <v>24578</v>
      </c>
      <c r="C19531" s="5" t="str">
        <f>IFERROR(__xludf.DUMMYFUNCTION("GOOGLETRANSLATE(B19531,""en"",""it"")"),"Una donna viene mostrata correre e l'uomo continua a parlare di consigli per il fitness.")</f>
        <v>Una donna viene mostrata correre e l'uomo continua a parlare di consigli per il fitness.</v>
      </c>
    </row>
    <row r="19532">
      <c r="A19532" s="4" t="s">
        <v>24579</v>
      </c>
      <c r="B19532" s="4" t="s">
        <v>24580</v>
      </c>
      <c r="C19532" s="5" t="str">
        <f>IFERROR(__xludf.DUMMYFUNCTION("GOOGLETRANSLATE(B19532,""en"",""it"")"),"Un uomo con una camicia blu è fuori per camminare su una custodia in un edificio.")</f>
        <v>Un uomo con una camicia blu è fuori per camminare su una custodia in un edificio.</v>
      </c>
    </row>
    <row r="19533">
      <c r="A19533" s="4" t="s">
        <v>24579</v>
      </c>
      <c r="B19533" s="4" t="s">
        <v>24581</v>
      </c>
      <c r="C19533" s="5" t="str">
        <f>IFERROR(__xludf.DUMMYFUNCTION("GOOGLETRANSLATE(B19533,""en"",""it"")"),"Mentre entra, cammina giù per una fila di diverse biciclette e crea una macchina fotografica.")</f>
        <v>Mentre entra, cammina giù per una fila di diverse biciclette e crea una macchina fotografica.</v>
      </c>
    </row>
    <row r="19534">
      <c r="A19534" s="4" t="s">
        <v>24579</v>
      </c>
      <c r="B19534" s="6" t="s">
        <v>24582</v>
      </c>
      <c r="C19534" s="5" t="str">
        <f>IFERROR(__xludf.DUMMYFUNCTION("GOOGLETRANSLATE(B19534,""en"",""it"")"),"L'uomo entra quindi in un'altra stanza con altri tre maschi e iniziano a slacciare e assemblare diverse biciclette insieme.")</f>
        <v>L'uomo entra quindi in un'altra stanza con altri tre maschi e iniziano a slacciare e assemblare diverse biciclette insieme.</v>
      </c>
    </row>
    <row r="19535">
      <c r="A19535" s="4" t="s">
        <v>24579</v>
      </c>
      <c r="B19535" s="6" t="s">
        <v>24583</v>
      </c>
      <c r="C19535" s="5" t="str">
        <f>IFERROR(__xludf.DUMMYFUNCTION("GOOGLETRANSLATE(B19535,""en"",""it"")"),"Una volta fissati, gli uomini ci salgono su di loro, testandoli e facendo i tocchi finali su di loro.")</f>
        <v>Una volta fissati, gli uomini ci salgono su di loro, testandoli e facendo i tocchi finali su di loro.</v>
      </c>
    </row>
    <row r="19536">
      <c r="A19536" s="4" t="s">
        <v>24579</v>
      </c>
      <c r="B19536" s="6" t="s">
        <v>24584</v>
      </c>
      <c r="C19536" s="5" t="str">
        <f>IFERROR(__xludf.DUMMYFUNCTION("GOOGLETRANSLATE(B19536,""en"",""it"")"),"Le bici sono finalmente finite e l'uomo lo solleva alla telecamera e inizia a cavalcarlo lungo il marciapiede.")</f>
        <v>Le bici sono finalmente finite e l'uomo lo solleva alla telecamera e inizia a cavalcarlo lungo il marciapiede.</v>
      </c>
    </row>
    <row r="19537">
      <c r="A19537" s="4" t="s">
        <v>24585</v>
      </c>
      <c r="B19537" s="4" t="s">
        <v>24586</v>
      </c>
      <c r="C19537" s="5" t="str">
        <f>IFERROR(__xludf.DUMMYFUNCTION("GOOGLETRANSLATE(B19537,""en"",""it"")"),"Un uomo viene visto cavalcare un cammello che ha un carrello attaccato alla parte posteriore con due passeggeri.")</f>
        <v>Un uomo viene visto cavalcare un cammello che ha un carrello attaccato alla parte posteriore con due passeggeri.</v>
      </c>
    </row>
    <row r="19538">
      <c r="A19538" s="4" t="s">
        <v>24585</v>
      </c>
      <c r="B19538" s="6" t="s">
        <v>24587</v>
      </c>
      <c r="C19538" s="5" t="str">
        <f>IFERROR(__xludf.DUMMYFUNCTION("GOOGLETRANSLATE(B19538,""en"",""it"")"),"Le persone nella parte posteriore hanno una conversazione mentre cavalcano diverse persone che guardano a margine.")</f>
        <v>Le persone nella parte posteriore hanno una conversazione mentre cavalcano diverse persone che guardano a margine.</v>
      </c>
    </row>
    <row r="19539">
      <c r="A19539" s="4" t="s">
        <v>24585</v>
      </c>
      <c r="B19539" s="4" t="s">
        <v>24588</v>
      </c>
      <c r="C19539" s="5" t="str">
        <f>IFERROR(__xludf.DUMMYFUNCTION("GOOGLETRANSLATE(B19539,""en"",""it"")"),"L'uomo che cavalcano il cammello sorride e ondate alla fotocamera.")</f>
        <v>L'uomo che cavalcano il cammello sorride e ondate alla fotocamera.</v>
      </c>
    </row>
    <row r="19540">
      <c r="A19540" s="4" t="s">
        <v>24589</v>
      </c>
      <c r="B19540" s="4" t="s">
        <v>24590</v>
      </c>
      <c r="C19540" s="5" t="str">
        <f>IFERROR(__xludf.DUMMYFUNCTION("GOOGLETRANSLATE(B19540,""en"",""it"")"),"Un gruppo di atleti è in pista all'esterno.")</f>
        <v>Un gruppo di atleti è in pista all'esterno.</v>
      </c>
    </row>
    <row r="19541">
      <c r="A19541" s="4" t="s">
        <v>24589</v>
      </c>
      <c r="B19541" s="4" t="s">
        <v>24591</v>
      </c>
      <c r="C19541" s="5" t="str">
        <f>IFERROR(__xludf.DUMMYFUNCTION("GOOGLETRANSLATE(B19541,""en"",""it"")"),"Un uomo cammina lungo il sentiero, poi corre.")</f>
        <v>Un uomo cammina lungo il sentiero, poi corre.</v>
      </c>
    </row>
    <row r="19542">
      <c r="A19542" s="4" t="s">
        <v>24589</v>
      </c>
      <c r="B19542" s="4" t="s">
        <v>24592</v>
      </c>
      <c r="C19542" s="5" t="str">
        <f>IFERROR(__xludf.DUMMYFUNCTION("GOOGLETRANSLATE(B19542,""en"",""it"")"),"Fa un salto gigante in una fossa di sabbia.")</f>
        <v>Fa un salto gigante in una fossa di sabbia.</v>
      </c>
    </row>
    <row r="19543">
      <c r="A19543" s="4" t="s">
        <v>24593</v>
      </c>
      <c r="B19543" s="4" t="s">
        <v>24594</v>
      </c>
      <c r="C19543" s="5" t="str">
        <f>IFERROR(__xludf.DUMMYFUNCTION("GOOGLETRANSLATE(B19543,""en"",""it"")"),"Un gruppo di pesci di ghiaccio delle persone su un lago coperto di ghiaccio in una giornata nuvolosa.")</f>
        <v>Un gruppo di pesci di ghiaccio delle persone su un lago coperto di ghiaccio in una giornata nuvolosa.</v>
      </c>
    </row>
    <row r="19544">
      <c r="A19544" s="4" t="s">
        <v>24593</v>
      </c>
      <c r="B19544" s="4" t="s">
        <v>24595</v>
      </c>
      <c r="C19544" s="5" t="str">
        <f>IFERROR(__xludf.DUMMYFUNCTION("GOOGLETRANSLATE(B19544,""en"",""it"")"),"Un uomo cammina su un lago coperto di neve e tira fuori un pesce da una buca per la pesca.")</f>
        <v>Un uomo cammina su un lago coperto di neve e tira fuori un pesce da una buca per la pesca.</v>
      </c>
    </row>
    <row r="19545">
      <c r="A19545" s="4" t="s">
        <v>24593</v>
      </c>
      <c r="B19545" s="4" t="s">
        <v>24596</v>
      </c>
      <c r="C19545" s="5" t="str">
        <f>IFERROR(__xludf.DUMMYFUNCTION("GOOGLETRANSLATE(B19545,""en"",""it"")"),"Una donna e un uomo corrono quindi sul ghiaccio e tirano fuori un altro pesce da un altro buco nel lago.")</f>
        <v>Una donna e un uomo corrono quindi sul ghiaccio e tirano fuori un altro pesce da un altro buco nel lago.</v>
      </c>
    </row>
    <row r="19546">
      <c r="A19546" s="4" t="s">
        <v>24593</v>
      </c>
      <c r="B19546" s="4" t="s">
        <v>24597</v>
      </c>
      <c r="C19546" s="5" t="str">
        <f>IFERROR(__xludf.DUMMYFUNCTION("GOOGLETRANSLATE(B19546,""en"",""it"")"),"Un terzo pesce viene tirato fuori da un altro buco nel ghiaccio e poi gettato di nuovo nel buco.")</f>
        <v>Un terzo pesce viene tirato fuori da un altro buco nel ghiaccio e poi gettato di nuovo nel buco.</v>
      </c>
    </row>
    <row r="19547">
      <c r="A19547" s="4" t="s">
        <v>24598</v>
      </c>
      <c r="B19547" s="4" t="s">
        <v>24599</v>
      </c>
      <c r="C19547" s="5" t="str">
        <f>IFERROR(__xludf.DUMMYFUNCTION("GOOGLETRANSLATE(B19547,""en"",""it"")"),"Un uomo è seduto su una strada.")</f>
        <v>Un uomo è seduto su una strada.</v>
      </c>
    </row>
    <row r="19548">
      <c r="A19548" s="4" t="s">
        <v>24598</v>
      </c>
      <c r="B19548" s="4" t="s">
        <v>24600</v>
      </c>
      <c r="C19548" s="5" t="str">
        <f>IFERROR(__xludf.DUMMYFUNCTION("GOOGLETRANSLATE(B19548,""en"",""it"")"),"Suona uno strumento accanto a una custodia per strumenti aperti.")</f>
        <v>Suona uno strumento accanto a una custodia per strumenti aperti.</v>
      </c>
    </row>
    <row r="19549">
      <c r="A19549" s="4" t="s">
        <v>24598</v>
      </c>
      <c r="B19549" s="4" t="s">
        <v>24601</v>
      </c>
      <c r="C19549" s="5" t="str">
        <f>IFERROR(__xludf.DUMMYFUNCTION("GOOGLETRANSLATE(B19549,""en"",""it"")"),"Le persone stanno passando sul marciapiede di fronte a lui.")</f>
        <v>Le persone stanno passando sul marciapiede di fronte a lui.</v>
      </c>
    </row>
    <row r="19550">
      <c r="A19550" s="4" t="s">
        <v>24602</v>
      </c>
      <c r="B19550" s="4" t="s">
        <v>24603</v>
      </c>
      <c r="C19550" s="5" t="str">
        <f>IFERROR(__xludf.DUMMYFUNCTION("GOOGLETRANSLATE(B19550,""en"",""it"")"),"Un ragazzo guarda mentre un camion semi attraversa il deserto.")</f>
        <v>Un ragazzo guarda mentre un camion semi attraversa il deserto.</v>
      </c>
    </row>
    <row r="19551">
      <c r="A19551" s="4" t="s">
        <v>24602</v>
      </c>
      <c r="B19551" s="4" t="s">
        <v>24604</v>
      </c>
      <c r="C19551" s="5" t="str">
        <f>IFERROR(__xludf.DUMMYFUNCTION("GOOGLETRANSLATE(B19551,""en"",""it"")"),"Un uomo si mette il casco e si spinge nel fiume su un kayak.")</f>
        <v>Un uomo si mette il casco e si spinge nel fiume su un kayak.</v>
      </c>
    </row>
    <row r="19552">
      <c r="A19552" s="4" t="s">
        <v>24602</v>
      </c>
      <c r="B19552" s="4" t="s">
        <v>24605</v>
      </c>
      <c r="C19552" s="5" t="str">
        <f>IFERROR(__xludf.DUMMYFUNCTION("GOOGLETRANSLATE(B19552,""en"",""it"")"),"Un uomo pagava le rapide e giù per un fiume su un kayak.")</f>
        <v>Un uomo pagava le rapide e giù per un fiume su un kayak.</v>
      </c>
    </row>
    <row r="19553">
      <c r="A19553" s="4" t="s">
        <v>24602</v>
      </c>
      <c r="B19553" s="4" t="s">
        <v>24606</v>
      </c>
      <c r="C19553" s="5" t="str">
        <f>IFERROR(__xludf.DUMMYFUNCTION("GOOGLETRANSLATE(B19553,""en"",""it"")"),"Un uomo pesca da una spiaggia sulla riva di un fiume.")</f>
        <v>Un uomo pesca da una spiaggia sulla riva di un fiume.</v>
      </c>
    </row>
    <row r="19554">
      <c r="A19554" s="4" t="s">
        <v>24602</v>
      </c>
      <c r="B19554" s="4" t="s">
        <v>24607</v>
      </c>
      <c r="C19554" s="5" t="str">
        <f>IFERROR(__xludf.DUMMYFUNCTION("GOOGLETRANSLATE(B19554,""en"",""it"")"),"Un gruppo prepara un picnic sulla riva.")</f>
        <v>Un gruppo prepara un picnic sulla riva.</v>
      </c>
    </row>
    <row r="19555">
      <c r="A19555" s="4" t="s">
        <v>24602</v>
      </c>
      <c r="B19555" s="4" t="s">
        <v>24608</v>
      </c>
      <c r="C19555" s="5" t="str">
        <f>IFERROR(__xludf.DUMMYFUNCTION("GOOGLETRANSLATE(B19555,""en"",""it"")"),"Un uomo si gira sul suo kayak dall'essere girato in acqua.")</f>
        <v>Un uomo si gira sul suo kayak dall'essere girato in acqua.</v>
      </c>
    </row>
    <row r="19556">
      <c r="A19556" s="4" t="s">
        <v>24609</v>
      </c>
      <c r="B19556" s="4" t="s">
        <v>24610</v>
      </c>
      <c r="C19556" s="5" t="str">
        <f>IFERROR(__xludf.DUMMYFUNCTION("GOOGLETRANSLATE(B19556,""en"",""it"")"),"Un ragazzo lancia freccette attraverso la stanza.")</f>
        <v>Un ragazzo lancia freccette attraverso la stanza.</v>
      </c>
    </row>
    <row r="19557">
      <c r="A19557" s="4" t="s">
        <v>24609</v>
      </c>
      <c r="B19557" s="4" t="s">
        <v>24611</v>
      </c>
      <c r="C19557" s="5" t="str">
        <f>IFERROR(__xludf.DUMMYFUNCTION("GOOGLETRANSLATE(B19557,""en"",""it"")"),"La velocità della clip viene accelerata.")</f>
        <v>La velocità della clip viene accelerata.</v>
      </c>
    </row>
    <row r="19558">
      <c r="A19558" s="4" t="s">
        <v>24612</v>
      </c>
      <c r="B19558" s="4" t="s">
        <v>24613</v>
      </c>
      <c r="C19558" s="5" t="str">
        <f>IFERROR(__xludf.DUMMYFUNCTION("GOOGLETRANSLATE(B19558,""en"",""it"")"),"Un uomo e una donna sono in posizione di danza.")</f>
        <v>Un uomo e una donna sono in posizione di danza.</v>
      </c>
    </row>
    <row r="19559">
      <c r="A19559" s="4" t="s">
        <v>24612</v>
      </c>
      <c r="B19559" s="4" t="s">
        <v>24614</v>
      </c>
      <c r="C19559" s="5" t="str">
        <f>IFERROR(__xludf.DUMMYFUNCTION("GOOGLETRANSLATE(B19559,""en"",""it"")"),"Quindi si spostano, mostrando lentamente passaggi diversi.")</f>
        <v>Quindi si spostano, mostrando lentamente passaggi diversi.</v>
      </c>
    </row>
    <row r="19560">
      <c r="A19560" s="4" t="s">
        <v>24612</v>
      </c>
      <c r="B19560" s="4" t="s">
        <v>24615</v>
      </c>
      <c r="C19560" s="5" t="str">
        <f>IFERROR(__xludf.DUMMYFUNCTION("GOOGLETRANSLATE(B19560,""en"",""it"")"),"Continuano a ballare, mostrando come eseguire mosse diverse.")</f>
        <v>Continuano a ballare, mostrando come eseguire mosse diverse.</v>
      </c>
    </row>
    <row r="19561">
      <c r="A19561" s="4" t="s">
        <v>24616</v>
      </c>
      <c r="B19561" s="4" t="s">
        <v>24617</v>
      </c>
      <c r="C19561" s="5" t="str">
        <f>IFERROR(__xludf.DUMMYFUNCTION("GOOGLETRANSLATE(B19561,""en"",""it"")"),"Uno shuffleboard è seduto contro un muro.")</f>
        <v>Uno shuffleboard è seduto contro un muro.</v>
      </c>
    </row>
    <row r="19562">
      <c r="A19562" s="4" t="s">
        <v>24616</v>
      </c>
      <c r="B19562" s="4" t="s">
        <v>24618</v>
      </c>
      <c r="C19562" s="5" t="str">
        <f>IFERROR(__xludf.DUMMYFUNCTION("GOOGLETRANSLATE(B19562,""en"",""it"")"),"Qualcuno lancia una palla.")</f>
        <v>Qualcuno lancia una palla.</v>
      </c>
    </row>
    <row r="19563">
      <c r="A19563" s="4" t="s">
        <v>24616</v>
      </c>
      <c r="B19563" s="4" t="s">
        <v>24619</v>
      </c>
      <c r="C19563" s="5" t="str">
        <f>IFERROR(__xludf.DUMMYFUNCTION("GOOGLETRANSLATE(B19563,""en"",""it"")"),"Una palla verde passa dopo di essa.")</f>
        <v>Una palla verde passa dopo di essa.</v>
      </c>
    </row>
    <row r="19564">
      <c r="A19564" s="4" t="s">
        <v>24620</v>
      </c>
      <c r="B19564" s="4" t="s">
        <v>24621</v>
      </c>
      <c r="C19564" s="5" t="str">
        <f>IFERROR(__xludf.DUMMYFUNCTION("GOOGLETRANSLATE(B19564,""en"",""it"")"),"La ragazza sta sparando alla freccia.")</f>
        <v>La ragazza sta sparando alla freccia.</v>
      </c>
    </row>
    <row r="19565">
      <c r="A19565" s="4" t="s">
        <v>24620</v>
      </c>
      <c r="B19565" s="4" t="s">
        <v>24622</v>
      </c>
      <c r="C19565" s="5" t="str">
        <f>IFERROR(__xludf.DUMMYFUNCTION("GOOGLETRANSLATE(B19565,""en"",""it"")"),"Cinque giovani stanno girando frecce.")</f>
        <v>Cinque giovani stanno girando frecce.</v>
      </c>
    </row>
    <row r="19566">
      <c r="A19566" s="4" t="s">
        <v>24620</v>
      </c>
      <c r="B19566" s="4" t="s">
        <v>24623</v>
      </c>
      <c r="C19566" s="5" t="str">
        <f>IFERROR(__xludf.DUMMYFUNCTION("GOOGLETRANSLATE(B19566,""en"",""it"")"),"I giovani hanno rimosso le frecce dalle schede target.")</f>
        <v>I giovani hanno rimosso le frecce dalle schede target.</v>
      </c>
    </row>
    <row r="19567">
      <c r="A19567" s="4" t="s">
        <v>24624</v>
      </c>
      <c r="B19567" s="4" t="s">
        <v>24625</v>
      </c>
      <c r="C19567" s="5" t="str">
        <f>IFERROR(__xludf.DUMMYFUNCTION("GOOGLETRANSLATE(B19567,""en"",""it"")"),"Una bambina suona dolcemente i tamburi con due bastoncini mentre canta su un microfono.")</f>
        <v>Una bambina suona dolcemente i tamburi con due bastoncini mentre canta su un microfono.</v>
      </c>
    </row>
    <row r="19568">
      <c r="A19568" s="4" t="s">
        <v>24624</v>
      </c>
      <c r="B19568" s="4" t="s">
        <v>24626</v>
      </c>
      <c r="C19568" s="5" t="str">
        <f>IFERROR(__xludf.DUMMYFUNCTION("GOOGLETRANSLATE(B19568,""en"",""it"")"),"La ragazza suona più velocemente i tamburi.")</f>
        <v>La ragazza suona più velocemente i tamburi.</v>
      </c>
    </row>
    <row r="19569">
      <c r="A19569" s="4" t="s">
        <v>24627</v>
      </c>
      <c r="B19569" s="4" t="s">
        <v>24628</v>
      </c>
      <c r="C19569" s="5" t="str">
        <f>IFERROR(__xludf.DUMMYFUNCTION("GOOGLETRANSLATE(B19569,""en"",""it"")"),"Una donna si sdraia su una sedia come un uomo con i guanti.")</f>
        <v>Una donna si sdraia su una sedia come un uomo con i guanti.</v>
      </c>
    </row>
    <row r="19570">
      <c r="A19570" s="4" t="s">
        <v>24627</v>
      </c>
      <c r="B19570" s="4" t="s">
        <v>24629</v>
      </c>
      <c r="C19570" s="5" t="str">
        <f>IFERROR(__xludf.DUMMYFUNCTION("GOOGLETRANSLATE(B19570,""en"",""it"")"),"Posa i morsetti su varie parti del naso.")</f>
        <v>Posa i morsetti su varie parti del naso.</v>
      </c>
    </row>
    <row r="19571">
      <c r="A19571" s="4" t="s">
        <v>24627</v>
      </c>
      <c r="B19571" s="4" t="s">
        <v>24630</v>
      </c>
      <c r="C19571" s="5" t="str">
        <f>IFERROR(__xludf.DUMMYFUNCTION("GOOGLETRANSLATE(B19571,""en"",""it"")"),"Quindi inserisce un'asta prima di creare un piercing.")</f>
        <v>Quindi inserisce un'asta prima di creare un piercing.</v>
      </c>
    </row>
    <row r="19572">
      <c r="A19572" s="4" t="s">
        <v>24631</v>
      </c>
      <c r="B19572" s="4" t="s">
        <v>24632</v>
      </c>
      <c r="C19572" s="5" t="str">
        <f>IFERROR(__xludf.DUMMYFUNCTION("GOOGLETRANSLATE(B19572,""en"",""it"")"),"Una persona in una giacca verde cammina sulla neve.")</f>
        <v>Una persona in una giacca verde cammina sulla neve.</v>
      </c>
    </row>
    <row r="19573">
      <c r="A19573" s="4" t="s">
        <v>24631</v>
      </c>
      <c r="B19573" s="4" t="s">
        <v>24633</v>
      </c>
      <c r="C19573" s="5" t="str">
        <f>IFERROR(__xludf.DUMMYFUNCTION("GOOGLETRANSLATE(B19573,""en"",""it"")"),"Una ragazza giace in un tubo sulla neve.")</f>
        <v>Una ragazza giace in un tubo sulla neve.</v>
      </c>
    </row>
    <row r="19574">
      <c r="A19574" s="4" t="s">
        <v>24631</v>
      </c>
      <c r="B19574" s="4" t="s">
        <v>24634</v>
      </c>
      <c r="C19574" s="5" t="str">
        <f>IFERROR(__xludf.DUMMYFUNCTION("GOOGLETRANSLATE(B19574,""en"",""it"")"),"Viene quindi spinta verso il basso la rampa.")</f>
        <v>Viene quindi spinta verso il basso la rampa.</v>
      </c>
    </row>
    <row r="19575">
      <c r="A19575" s="4" t="s">
        <v>24631</v>
      </c>
      <c r="B19575" s="4" t="s">
        <v>24635</v>
      </c>
      <c r="C19575" s="5" t="str">
        <f>IFERROR(__xludf.DUMMYFUNCTION("GOOGLETRANSLATE(B19575,""en"",""it"")"),"Alla fine si ferma.")</f>
        <v>Alla fine si ferma.</v>
      </c>
    </row>
    <row r="19576">
      <c r="A19576" s="4" t="s">
        <v>24636</v>
      </c>
      <c r="B19576" s="6" t="s">
        <v>24637</v>
      </c>
      <c r="C19576" s="5" t="str">
        <f>IFERROR(__xludf.DUMMYFUNCTION("GOOGLETRANSLATE(B19576,""en"",""it"")"),"Un uomo atletico viene visto in piedi pronto davanti a una grande folla e poi corre lungo la pista e salta su una trave.")</f>
        <v>Un uomo atletico viene visto in piedi pronto davanti a una grande folla e poi corre lungo la pista e salta su una trave.</v>
      </c>
    </row>
    <row r="19577">
      <c r="A19577" s="4" t="s">
        <v>24636</v>
      </c>
      <c r="B19577" s="4" t="s">
        <v>24638</v>
      </c>
      <c r="C19577" s="5" t="str">
        <f>IFERROR(__xludf.DUMMYFUNCTION("GOOGLETRANSLATE(B19577,""en"",""it"")"),"L'uomo celebra con altre persone e il suo stesso salto è mostrato più volte al rallentatore.")</f>
        <v>L'uomo celebra con altre persone e il suo stesso salto è mostrato più volte al rallentatore.</v>
      </c>
    </row>
    <row r="19578">
      <c r="A19578" s="4" t="s">
        <v>24639</v>
      </c>
      <c r="B19578" s="6" t="s">
        <v>24640</v>
      </c>
      <c r="C19578" s="5" t="str">
        <f>IFERROR(__xludf.DUMMYFUNCTION("GOOGLETRANSLATE(B19578,""en"",""it"")"),"Il video conduce in vari testo mostrati sullo schermo seguito da cheerleader che eseguono una routine.")</f>
        <v>Il video conduce in vari testo mostrati sullo schermo seguito da cheerleader che eseguono una routine.</v>
      </c>
    </row>
    <row r="19579">
      <c r="A19579" s="4" t="s">
        <v>24639</v>
      </c>
      <c r="B19579" s="6" t="s">
        <v>24641</v>
      </c>
      <c r="C19579" s="5" t="str">
        <f>IFERROR(__xludf.DUMMYFUNCTION("GOOGLETRANSLATE(B19579,""en"",""it"")"),"Numerosi scatti di artisti che allegri vengono mostrati completando acrobazie impressionanti e si muovono attraverso un palco mentre altri guardano.")</f>
        <v>Numerosi scatti di artisti che allegri vengono mostrati completando acrobazie impressionanti e si muovono attraverso un palco mentre altri guardano.</v>
      </c>
    </row>
    <row r="19580">
      <c r="A19580" s="4" t="s">
        <v>24642</v>
      </c>
      <c r="B19580" s="6" t="s">
        <v>24643</v>
      </c>
      <c r="C19580" s="5" t="str">
        <f>IFERROR(__xludf.DUMMYFUNCTION("GOOGLETRANSLATE(B19580,""en"",""it"")"),"Le donne sono in una competizione di ginnastica facendo salti in alto in una palestra coperta con molte persone riunite intorno a loro guardandole.")</f>
        <v>Le donne sono in una competizione di ginnastica facendo salti in alto in una palestra coperta con molte persone riunite intorno a loro guardandole.</v>
      </c>
    </row>
    <row r="19581">
      <c r="A19581" s="4" t="s">
        <v>24642</v>
      </c>
      <c r="B19581" s="4" t="s">
        <v>24644</v>
      </c>
      <c r="C19581" s="5" t="str">
        <f>IFERROR(__xludf.DUMMYFUNCTION("GOOGLETRANSLATE(B19581,""en"",""it"")"),"I partecipanti sono sulle medaglie del podio.")</f>
        <v>I partecipanti sono sulle medaglie del podio.</v>
      </c>
    </row>
    <row r="19582">
      <c r="A19582" s="4" t="s">
        <v>24645</v>
      </c>
      <c r="B19582" s="4" t="s">
        <v>24646</v>
      </c>
      <c r="C19582" s="5" t="str">
        <f>IFERROR(__xludf.DUMMYFUNCTION("GOOGLETRANSLATE(B19582,""en"",""it"")"),"Un uomo dipinge una recinzione mentre l'uomo accanto a lui acque la recinzione.")</f>
        <v>Un uomo dipinge una recinzione mentre l'uomo accanto a lui acque la recinzione.</v>
      </c>
    </row>
    <row r="19583">
      <c r="A19583" s="4" t="s">
        <v>24645</v>
      </c>
      <c r="B19583" s="4" t="s">
        <v>24647</v>
      </c>
      <c r="C19583" s="5" t="str">
        <f>IFERROR(__xludf.DUMMYFUNCTION("GOOGLETRANSLATE(B19583,""en"",""it"")"),"Entrambi vanno oltre il recinto una seconda volta.")</f>
        <v>Entrambi vanno oltre il recinto una seconda volta.</v>
      </c>
    </row>
    <row r="19584">
      <c r="A19584" s="4" t="s">
        <v>24645</v>
      </c>
      <c r="B19584" s="4" t="s">
        <v>24648</v>
      </c>
      <c r="C19584" s="5" t="str">
        <f>IFERROR(__xludf.DUMMYFUNCTION("GOOGLETRANSLATE(B19584,""en"",""it"")"),"Lo fanno una terza volta.")</f>
        <v>Lo fanno una terza volta.</v>
      </c>
    </row>
    <row r="19585">
      <c r="A19585" s="4" t="s">
        <v>24645</v>
      </c>
      <c r="B19585" s="4" t="s">
        <v>24649</v>
      </c>
      <c r="C19585" s="5" t="str">
        <f>IFERROR(__xludf.DUMMYFUNCTION("GOOGLETRANSLATE(B19585,""en"",""it"")"),"E lo fanno una quarta volta.")</f>
        <v>E lo fanno una quarta volta.</v>
      </c>
    </row>
    <row r="19586">
      <c r="A19586" s="4" t="s">
        <v>24645</v>
      </c>
      <c r="B19586" s="4" t="s">
        <v>24650</v>
      </c>
      <c r="C19586" s="5" t="str">
        <f>IFERROR(__xludf.DUMMYFUNCTION("GOOGLETRANSLATE(B19586,""en"",""it"")"),"Lo fanno una quinta volta.")</f>
        <v>Lo fanno una quinta volta.</v>
      </c>
    </row>
    <row r="19587">
      <c r="A19587" s="4" t="s">
        <v>24651</v>
      </c>
      <c r="B19587" s="4" t="s">
        <v>24652</v>
      </c>
      <c r="C19587" s="5" t="str">
        <f>IFERROR(__xludf.DUMMYFUNCTION("GOOGLETRANSLATE(B19587,""en"",""it"")"),"Un operaio edile di nome Dave inizia a mostrarti come stuccarsi.")</f>
        <v>Un operaio edile di nome Dave inizia a mostrarti come stuccarsi.</v>
      </c>
    </row>
    <row r="19588">
      <c r="A19588" s="4" t="s">
        <v>24651</v>
      </c>
      <c r="B19588" s="4" t="s">
        <v>24653</v>
      </c>
      <c r="C19588" s="5" t="str">
        <f>IFERROR(__xludf.DUMMYFUNCTION("GOOGLETRANSLATE(B19588,""en"",""it"")"),"Comincia sul muro e inizia a spiegare cosa sta facendo e perché sta facendo.")</f>
        <v>Comincia sul muro e inizia a spiegare cosa sta facendo e perché sta facendo.</v>
      </c>
    </row>
    <row r="19589">
      <c r="A19589" s="4" t="s">
        <v>24651</v>
      </c>
      <c r="B19589" s="6" t="s">
        <v>24654</v>
      </c>
      <c r="C19589" s="5" t="str">
        <f>IFERROR(__xludf.DUMMYFUNCTION("GOOGLETRANSLATE(B19589,""en"",""it"")"),"Una volta che la malta inizia ad asciugarsi, ti informa che dovresti pulirlo con una spugna varie volte.")</f>
        <v>Una volta che la malta inizia ad asciugarsi, ti informa che dovresti pulirlo con una spugna varie volte.</v>
      </c>
    </row>
    <row r="19590">
      <c r="A19590" s="4" t="s">
        <v>24651</v>
      </c>
      <c r="B19590" s="6" t="s">
        <v>24655</v>
      </c>
      <c r="C19590" s="5" t="str">
        <f>IFERROR(__xludf.DUMMYFUNCTION("GOOGLETRANSLATE(B19590,""en"",""it"")"),"Con una spugna più fine, lo ripassi di nuovo e lo fai bagnare mentre non rovina la piastrella e tutto il lavoro che hai fatto.")</f>
        <v>Con una spugna più fine, lo ripassi di nuovo e lo fai bagnare mentre non rovina la piastrella e tutto il lavoro che hai fatto.</v>
      </c>
    </row>
    <row r="19591">
      <c r="A19591" s="4" t="s">
        <v>24656</v>
      </c>
      <c r="B19591" s="4" t="s">
        <v>24657</v>
      </c>
      <c r="C19591" s="5" t="str">
        <f>IFERROR(__xludf.DUMMYFUNCTION("GOOGLETRANSLATE(B19591,""en"",""it"")"),"Viene visto un uomo che indossa guanti da boxe e colpisce una borsa nel mezzo di una grande stanza.")</f>
        <v>Viene visto un uomo che indossa guanti da boxe e colpisce una borsa nel mezzo di una grande stanza.</v>
      </c>
    </row>
    <row r="19592">
      <c r="A19592" s="4" t="s">
        <v>24656</v>
      </c>
      <c r="B19592" s="4" t="s">
        <v>24658</v>
      </c>
      <c r="C19592" s="5" t="str">
        <f>IFERROR(__xludf.DUMMYFUNCTION("GOOGLETRANSLATE(B19592,""en"",""it"")"),"L'uomo continua a colpire la borsa mentre molti altri vengono visti colpire borse sullo sfondo.")</f>
        <v>L'uomo continua a colpire la borsa mentre molti altri vengono visti colpire borse sullo sfondo.</v>
      </c>
    </row>
    <row r="19593">
      <c r="A19593" s="4" t="s">
        <v>24656</v>
      </c>
      <c r="B19593" s="4" t="s">
        <v>24659</v>
      </c>
      <c r="C19593" s="5" t="str">
        <f>IFERROR(__xludf.DUMMYFUNCTION("GOOGLETRANSLATE(B19593,""en"",""it"")"),"Prende a calci e colpisce la borsa e termina camminando verso la telecamera.")</f>
        <v>Prende a calci e colpisce la borsa e termina camminando verso la telecamera.</v>
      </c>
    </row>
    <row r="19594">
      <c r="A19594" s="4" t="s">
        <v>24660</v>
      </c>
      <c r="B19594" s="4" t="s">
        <v>24661</v>
      </c>
      <c r="C19594" s="5" t="str">
        <f>IFERROR(__xludf.DUMMYFUNCTION("GOOGLETRANSLATE(B19594,""en"",""it"")"),"Una pallavolo sta girando su una sporgenza.")</f>
        <v>Una pallavolo sta girando su una sporgenza.</v>
      </c>
    </row>
    <row r="19595">
      <c r="A19595" s="4" t="s">
        <v>24660</v>
      </c>
      <c r="B19595" s="6" t="s">
        <v>24662</v>
      </c>
      <c r="C19595" s="5" t="str">
        <f>IFERROR(__xludf.DUMMYFUNCTION("GOOGLETRANSLATE(B19595,""en"",""it"")"),"Vediamo quindi un gioco giocato a tennis da tavolo, i giocatori che mostrano i meccanici della paletta, della palla e del tavolo mentre giocano.")</f>
        <v>Vediamo quindi un gioco giocato a tennis da tavolo, i giocatori che mostrano i meccanici della paletta, della palla e del tavolo mentre giocano.</v>
      </c>
    </row>
    <row r="19596">
      <c r="A19596" s="4" t="s">
        <v>24663</v>
      </c>
      <c r="B19596" s="4" t="s">
        <v>24664</v>
      </c>
      <c r="C19596" s="5" t="str">
        <f>IFERROR(__xludf.DUMMYFUNCTION("GOOGLETRANSLATE(B19596,""en"",""it"")"),"Un uomo in piedi in un cortile e gioca a cornamuse.")</f>
        <v>Un uomo in piedi in un cortile e gioca a cornamuse.</v>
      </c>
    </row>
    <row r="19597">
      <c r="A19597" s="4" t="s">
        <v>24663</v>
      </c>
      <c r="B19597" s="4" t="s">
        <v>24665</v>
      </c>
      <c r="C19597" s="5" t="str">
        <f>IFERROR(__xludf.DUMMYFUNCTION("GOOGLETRANSLATE(B19597,""en"",""it"")"),"L'uomo sta facendo respiri profondi e muove le chiavi.")</f>
        <v>L'uomo sta facendo respiri profondi e muove le chiavi.</v>
      </c>
    </row>
    <row r="19598">
      <c r="A19598" s="4" t="s">
        <v>24666</v>
      </c>
      <c r="B19598" s="4" t="s">
        <v>24667</v>
      </c>
      <c r="C19598" s="5" t="str">
        <f>IFERROR(__xludf.DUMMYFUNCTION("GOOGLETRANSLATE(B19598,""en"",""it"")"),"Due persone giocano a squash insieme in un campo indoor.")</f>
        <v>Due persone giocano a squash insieme in un campo indoor.</v>
      </c>
    </row>
    <row r="19599">
      <c r="A19599" s="4" t="s">
        <v>24666</v>
      </c>
      <c r="B19599" s="4" t="s">
        <v>24668</v>
      </c>
      <c r="C19599" s="5" t="str">
        <f>IFERROR(__xludf.DUMMYFUNCTION("GOOGLETRANSLATE(B19599,""en"",""it"")"),"Una delle persone recupera la palla e serve.")</f>
        <v>Una delle persone recupera la palla e serve.</v>
      </c>
    </row>
    <row r="19600">
      <c r="A19600" s="4" t="s">
        <v>24666</v>
      </c>
      <c r="B19600" s="4" t="s">
        <v>24669</v>
      </c>
      <c r="C19600" s="5" t="str">
        <f>IFERROR(__xludf.DUMMYFUNCTION("GOOGLETRANSLATE(B19600,""en"",""it"")"),"Lo stesso individuo recupera la palla e serve di nuovo.")</f>
        <v>Lo stesso individuo recupera la palla e serve di nuovo.</v>
      </c>
    </row>
    <row r="19601">
      <c r="A19601" s="4" t="s">
        <v>24670</v>
      </c>
      <c r="B19601" s="4" t="s">
        <v>24671</v>
      </c>
      <c r="C19601" s="5" t="str">
        <f>IFERROR(__xludf.DUMMYFUNCTION("GOOGLETRANSLATE(B19601,""en"",""it"")"),"Le persone cavalcano una fila su una collina in un resort da tubo.")</f>
        <v>Le persone cavalcano una fila su una collina in un resort da tubo.</v>
      </c>
    </row>
    <row r="19602">
      <c r="A19602" s="4" t="s">
        <v>24670</v>
      </c>
      <c r="B19602" s="4" t="s">
        <v>24672</v>
      </c>
      <c r="C19602" s="5" t="str">
        <f>IFERROR(__xludf.DUMMYFUNCTION("GOOGLETRANSLATE(B19602,""en"",""it"")"),"Una persona cavalca un tubo giù da una collina.")</f>
        <v>Una persona cavalca un tubo giù da una collina.</v>
      </c>
    </row>
    <row r="19603">
      <c r="A19603" s="4" t="s">
        <v>24670</v>
      </c>
      <c r="B19603" s="4" t="s">
        <v>24673</v>
      </c>
      <c r="C19603" s="5" t="str">
        <f>IFERROR(__xludf.DUMMYFUNCTION("GOOGLETRANSLATE(B19603,""en"",""it"")"),"Guardiamo le persone che camminano su per la collina tenendo i loro tubi e guardiamo le persone scendere dalla collina.")</f>
        <v>Guardiamo le persone che camminano su per la collina tenendo i loro tubi e guardiamo le persone scendere dalla collina.</v>
      </c>
    </row>
    <row r="19604">
      <c r="A19604" s="4" t="s">
        <v>24670</v>
      </c>
      <c r="B19604" s="4" t="s">
        <v>24674</v>
      </c>
      <c r="C19604" s="5" t="str">
        <f>IFERROR(__xludf.DUMMYFUNCTION("GOOGLETRANSLATE(B19604,""en"",""it"")"),"Guardiamo mentre l'uomo della telecamera scende dalla collina.")</f>
        <v>Guardiamo mentre l'uomo della telecamera scende dalla collina.</v>
      </c>
    </row>
    <row r="19605">
      <c r="A19605" s="4" t="s">
        <v>24670</v>
      </c>
      <c r="B19605" s="4" t="s">
        <v>3608</v>
      </c>
      <c r="C19605" s="5" t="str">
        <f>IFERROR(__xludf.DUMMYFUNCTION("GOOGLETRANSLATE(B19605,""en"",""it"")"),"Vediamo lo schermo finale.")</f>
        <v>Vediamo lo schermo finale.</v>
      </c>
    </row>
    <row r="19606">
      <c r="A19606" s="4" t="s">
        <v>24675</v>
      </c>
      <c r="B19606" s="4" t="s">
        <v>24676</v>
      </c>
      <c r="C19606" s="5" t="str">
        <f>IFERROR(__xludf.DUMMYFUNCTION("GOOGLETRANSLATE(B19606,""en"",""it"")"),"Una ragazza sta accanto a un bancone con vari prodotti alimentari posizionati sul bancone.")</f>
        <v>Una ragazza sta accanto a un bancone con vari prodotti alimentari posizionati sul bancone.</v>
      </c>
    </row>
    <row r="19607">
      <c r="A19607" s="4" t="s">
        <v>24675</v>
      </c>
      <c r="B19607" s="4" t="s">
        <v>24677</v>
      </c>
      <c r="C19607" s="5" t="str">
        <f>IFERROR(__xludf.DUMMYFUNCTION("GOOGLETRANSLATE(B19607,""en"",""it"")"),"Solleva gli ingredienti e istruisce ciò di cui avrai bisogno per preparare un panino.")</f>
        <v>Solleva gli ingredienti e istruisce ciò di cui avrai bisogno per preparare un panino.</v>
      </c>
    </row>
    <row r="19608">
      <c r="A19608" s="4" t="s">
        <v>24675</v>
      </c>
      <c r="B19608" s="4" t="s">
        <v>24678</v>
      </c>
      <c r="C19608" s="5" t="str">
        <f>IFERROR(__xludf.DUMMYFUNCTION("GOOGLETRANSLATE(B19608,""en"",""it"")"),"Comincia a tagliare le verdure e mettere la medicazione sul pane.")</f>
        <v>Comincia a tagliare le verdure e mettere la medicazione sul pane.</v>
      </c>
    </row>
    <row r="19609">
      <c r="A19609" s="4" t="s">
        <v>24675</v>
      </c>
      <c r="B19609" s="4" t="s">
        <v>24679</v>
      </c>
      <c r="C19609" s="5" t="str">
        <f>IFERROR(__xludf.DUMMYFUNCTION("GOOGLETRANSLATE(B19609,""en"",""it"")"),"Si diffonde attorno al condimento e mette gli altri ingredienti sul panino per finire.")</f>
        <v>Si diffonde attorno al condimento e mette gli altri ingredienti sul panino per finire.</v>
      </c>
    </row>
    <row r="19610">
      <c r="A19610" s="4" t="s">
        <v>24680</v>
      </c>
      <c r="B19610" s="4" t="s">
        <v>24681</v>
      </c>
      <c r="C19610" s="5" t="str">
        <f>IFERROR(__xludf.DUMMYFUNCTION("GOOGLETRANSLATE(B19610,""en"",""it"")"),"Vediamo il titolo attraversare lo schermo.")</f>
        <v>Vediamo il titolo attraversare lo schermo.</v>
      </c>
    </row>
    <row r="19611">
      <c r="A19611" s="4" t="s">
        <v>24680</v>
      </c>
      <c r="B19611" s="4" t="s">
        <v>24682</v>
      </c>
      <c r="C19611" s="5" t="str">
        <f>IFERROR(__xludf.DUMMYFUNCTION("GOOGLETRANSLATE(B19611,""en"",""it"")"),"Vediamo prodotti da cottura e ingredienti.")</f>
        <v>Vediamo prodotti da cottura e ingredienti.</v>
      </c>
    </row>
    <row r="19612">
      <c r="A19612" s="4" t="s">
        <v>24680</v>
      </c>
      <c r="B19612" s="4" t="s">
        <v>24683</v>
      </c>
      <c r="C19612" s="5" t="str">
        <f>IFERROR(__xludf.DUMMYFUNCTION("GOOGLETRANSLATE(B19612,""en"",""it"")"),"Qualcuno mescola l'impasto per biscotti e mette i biscotti su un foglio.")</f>
        <v>Qualcuno mescola l'impasto per biscotti e mette i biscotti su un foglio.</v>
      </c>
    </row>
    <row r="19613">
      <c r="A19613" s="4" t="s">
        <v>24680</v>
      </c>
      <c r="B19613" s="4" t="s">
        <v>24684</v>
      </c>
      <c r="C19613" s="5" t="str">
        <f>IFERROR(__xludf.DUMMYFUNCTION("GOOGLETRANSLATE(B19613,""en"",""it"")"),"I biscotti vanno nel forno e cuoci per 9 minuti e un nuovo lotto viene messo nel forno.")</f>
        <v>I biscotti vanno nel forno e cuoci per 9 minuti e un nuovo lotto viene messo nel forno.</v>
      </c>
    </row>
    <row r="19614">
      <c r="A19614" s="4" t="s">
        <v>24680</v>
      </c>
      <c r="B19614" s="4" t="s">
        <v>24685</v>
      </c>
      <c r="C19614" s="5" t="str">
        <f>IFERROR(__xludf.DUMMYFUNCTION("GOOGLETRANSLATE(B19614,""en"",""it"")"),"I biscotti caldi vengono messi su una griglia di raffreddamento.")</f>
        <v>I biscotti caldi vengono messi su una griglia di raffreddamento.</v>
      </c>
    </row>
    <row r="19615">
      <c r="A19615" s="4" t="s">
        <v>24680</v>
      </c>
      <c r="B19615" s="4" t="s">
        <v>24686</v>
      </c>
      <c r="C19615" s="5" t="str">
        <f>IFERROR(__xludf.DUMMYFUNCTION("GOOGLETRANSLATE(B19615,""en"",""it"")"),"La persona lava e dry la teglia in silicone.")</f>
        <v>La persona lava e dry la teglia in silicone.</v>
      </c>
    </row>
    <row r="19616">
      <c r="A19616" s="4" t="s">
        <v>24680</v>
      </c>
      <c r="B19616" s="4" t="s">
        <v>24687</v>
      </c>
      <c r="C19616" s="5" t="str">
        <f>IFERROR(__xludf.DUMMYFUNCTION("GOOGLETRANSLATE(B19616,""en"",""it"")"),"Arrotolano la teglia e ci mostrano i biscotti di raffreddamento finiti.")</f>
        <v>Arrotolano la teglia e ci mostrano i biscotti di raffreddamento finiti.</v>
      </c>
    </row>
    <row r="19617">
      <c r="A19617" s="4" t="s">
        <v>24688</v>
      </c>
      <c r="B19617" s="4" t="s">
        <v>24689</v>
      </c>
      <c r="C19617" s="5" t="str">
        <f>IFERROR(__xludf.DUMMYFUNCTION("GOOGLETRANSLATE(B19617,""en"",""it"")"),"Un uomo è in piedi su un campo aperto all'aperto.")</f>
        <v>Un uomo è in piedi su un campo aperto all'aperto.</v>
      </c>
    </row>
    <row r="19618">
      <c r="A19618" s="4" t="s">
        <v>24688</v>
      </c>
      <c r="B19618" s="4" t="s">
        <v>24690</v>
      </c>
      <c r="C19618" s="5" t="str">
        <f>IFERROR(__xludf.DUMMYFUNCTION("GOOGLETRANSLATE(B19618,""en"",""it"")"),"Usa un set di tiro con l'arco per tirar indietro e freccia contro un disco volante.")</f>
        <v>Usa un set di tiro con l'arco per tirar indietro e freccia contro un disco volante.</v>
      </c>
    </row>
    <row r="19619">
      <c r="A19619" s="4" t="s">
        <v>24688</v>
      </c>
      <c r="B19619" s="4" t="s">
        <v>24691</v>
      </c>
      <c r="C19619" s="5" t="str">
        <f>IFERROR(__xludf.DUMMYFUNCTION("GOOGLETRANSLATE(B19619,""en"",""it"")"),"Colpisce i dischi con la freccia ogni volta.")</f>
        <v>Colpisce i dischi con la freccia ogni volta.</v>
      </c>
    </row>
    <row r="19620">
      <c r="A19620" s="4" t="s">
        <v>24692</v>
      </c>
      <c r="B19620" s="4" t="s">
        <v>24693</v>
      </c>
      <c r="C19620" s="5" t="str">
        <f>IFERROR(__xludf.DUMMYFUNCTION("GOOGLETRANSLATE(B19620,""en"",""it"")"),"Una fotocamera viene mostrata seduta sul lato di una piscina che cattura la bolla sotto.")</f>
        <v>Una fotocamera viene mostrata seduta sul lato di una piscina che cattura la bolla sotto.</v>
      </c>
    </row>
    <row r="19621">
      <c r="A19621" s="4" t="s">
        <v>24692</v>
      </c>
      <c r="B19621" s="4" t="s">
        <v>24694</v>
      </c>
      <c r="C19621" s="5" t="str">
        <f>IFERROR(__xludf.DUMMYFUNCTION("GOOGLETRANSLATE(B19621,""en"",""it"")"),"Sono mostrate più bolle seguite da un uomo che salta dentro.")</f>
        <v>Sono mostrate più bolle seguite da un uomo che salta dentro.</v>
      </c>
    </row>
    <row r="19622">
      <c r="A19622" s="4" t="s">
        <v>24692</v>
      </c>
      <c r="B19622" s="4" t="s">
        <v>24695</v>
      </c>
      <c r="C19622" s="5" t="str">
        <f>IFERROR(__xludf.DUMMYFUNCTION("GOOGLETRANSLATE(B19622,""en"",""it"")"),"L'uomo salta fino in piscina e la telecamera cattura i suoi movimenti.")</f>
        <v>L'uomo salta fino in piscina e la telecamera cattura i suoi movimenti.</v>
      </c>
    </row>
    <row r="19623">
      <c r="A19623" s="4" t="s">
        <v>24696</v>
      </c>
      <c r="B19623" s="4" t="s">
        <v>24697</v>
      </c>
      <c r="C19623" s="5" t="str">
        <f>IFERROR(__xludf.DUMMYFUNCTION("GOOGLETRANSLATE(B19623,""en"",""it"")"),"Una donna con una camicia arancione è seduta su una macchina da esercizio.")</f>
        <v>Una donna con una camicia arancione è seduta su una macchina da esercizio.</v>
      </c>
    </row>
    <row r="19624">
      <c r="A19624" s="4" t="s">
        <v>24696</v>
      </c>
      <c r="B19624" s="4" t="s">
        <v>6016</v>
      </c>
      <c r="C19624" s="5" t="str">
        <f>IFERROR(__xludf.DUMMYFUNCTION("GOOGLETRANSLATE(B19624,""en"",""it"")"),"Comincia ad allenarti sulla macchina per l'esercizio.")</f>
        <v>Comincia ad allenarti sulla macchina per l'esercizio.</v>
      </c>
    </row>
    <row r="19625">
      <c r="A19625" s="4" t="s">
        <v>24696</v>
      </c>
      <c r="B19625" s="4" t="s">
        <v>24698</v>
      </c>
      <c r="C19625" s="5" t="str">
        <f>IFERROR(__xludf.DUMMYFUNCTION("GOOGLETRANSLATE(B19625,""en"",""it"")"),"Le persone camminano davanti a una finestra dietro di lei.")</f>
        <v>Le persone camminano davanti a una finestra dietro di lei.</v>
      </c>
    </row>
    <row r="19626">
      <c r="A19626" s="4" t="s">
        <v>24699</v>
      </c>
      <c r="B19626" s="4" t="s">
        <v>24700</v>
      </c>
      <c r="C19626" s="5" t="str">
        <f>IFERROR(__xludf.DUMMYFUNCTION("GOOGLETRANSLATE(B19626,""en"",""it"")"),"Un uomo si inginocchia nella terra su una ciotola d'argento piena di sapone.")</f>
        <v>Un uomo si inginocchia nella terra su una ciotola d'argento piena di sapone.</v>
      </c>
    </row>
    <row r="19627">
      <c r="A19627" s="4" t="s">
        <v>24699</v>
      </c>
      <c r="B19627" s="4" t="s">
        <v>24701</v>
      </c>
      <c r="C19627" s="5" t="str">
        <f>IFERROR(__xludf.DUMMYFUNCTION("GOOGLETRANSLATE(B19627,""en"",""it"")"),"Nella grande ciotola, inizia a muovere una camicia bianca come se la stesse lavando.")</f>
        <v>Nella grande ciotola, inizia a muovere una camicia bianca come se la stesse lavando.</v>
      </c>
    </row>
    <row r="19628">
      <c r="A19628" s="4" t="s">
        <v>24699</v>
      </c>
      <c r="B19628" s="4" t="s">
        <v>24702</v>
      </c>
      <c r="C19628" s="5" t="str">
        <f>IFERROR(__xludf.DUMMYFUNCTION("GOOGLETRANSLATE(B19628,""en"",""it"")"),"Alla fine, si ferma e prende un tubo per finire il risciacquo dell'acqua.")</f>
        <v>Alla fine, si ferma e prende un tubo per finire il risciacquo dell'acqua.</v>
      </c>
    </row>
    <row r="19629">
      <c r="A19629" s="4" t="s">
        <v>24703</v>
      </c>
      <c r="B19629" s="6" t="s">
        <v>24704</v>
      </c>
      <c r="C19629" s="5" t="str">
        <f>IFERROR(__xludf.DUMMYFUNCTION("GOOGLETRANSLATE(B19629,""en"",""it"")"),"Si vede una mano di una persona che gira una manopola seguita dal piede che calpesta un pulsante e un uomo che tiene su un ferro.")</f>
        <v>Si vede una mano di una persona che gira una manopola seguita dal piede che calpesta un pulsante e un uomo che tiene su un ferro.</v>
      </c>
    </row>
    <row r="19630">
      <c r="A19630" s="4" t="s">
        <v>24703</v>
      </c>
      <c r="B19630" s="4" t="s">
        <v>24705</v>
      </c>
      <c r="C19630" s="5" t="str">
        <f>IFERROR(__xludf.DUMMYFUNCTION("GOOGLETRANSLATE(B19630,""en"",""it"")"),"Regola più impostazioni durante il test del ferro e inizia a stirare una camicia su un tavolo.")</f>
        <v>Regola più impostazioni durante il test del ferro e inizia a stirare una camicia su un tavolo.</v>
      </c>
    </row>
    <row r="19631">
      <c r="A19631" s="4" t="s">
        <v>24703</v>
      </c>
      <c r="B19631" s="6" t="s">
        <v>24706</v>
      </c>
      <c r="C19631" s="5" t="str">
        <f>IFERROR(__xludf.DUMMYFUNCTION("GOOGLETRANSLATE(B19631,""en"",""it"")"),"Gli uomini continuano a girare intorno alla camicia e al ferro e en mostrando la macchina da stiro alla fotocamera.")</f>
        <v>Gli uomini continuano a girare intorno alla camicia e al ferro e en mostrando la macchina da stiro alla fotocamera.</v>
      </c>
    </row>
    <row r="19632">
      <c r="A19632" s="4" t="s">
        <v>24707</v>
      </c>
      <c r="B19632" s="4" t="s">
        <v>24708</v>
      </c>
      <c r="C19632" s="5" t="str">
        <f>IFERROR(__xludf.DUMMYFUNCTION("GOOGLETRANSLATE(B19632,""en"",""it"")"),"Un uomo si siede dietro un set di batteria.")</f>
        <v>Un uomo si siede dietro un set di batteria.</v>
      </c>
    </row>
    <row r="19633">
      <c r="A19633" s="4" t="s">
        <v>24707</v>
      </c>
      <c r="B19633" s="4" t="s">
        <v>24709</v>
      </c>
      <c r="C19633" s="5" t="str">
        <f>IFERROR(__xludf.DUMMYFUNCTION("GOOGLETRANSLATE(B19633,""en"",""it"")"),"L'uomo inizia a suonare il set di batteria.")</f>
        <v>L'uomo inizia a suonare il set di batteria.</v>
      </c>
    </row>
    <row r="19634">
      <c r="A19634" s="4" t="s">
        <v>24707</v>
      </c>
      <c r="B19634" s="4" t="s">
        <v>24710</v>
      </c>
      <c r="C19634" s="5" t="str">
        <f>IFERROR(__xludf.DUMMYFUNCTION("GOOGLETRANSLATE(B19634,""en"",""it"")"),"L'uomo continua a suonare la batteria.")</f>
        <v>L'uomo continua a suonare la batteria.</v>
      </c>
    </row>
    <row r="19635">
      <c r="A19635" s="4" t="s">
        <v>24711</v>
      </c>
      <c r="B19635" s="4" t="s">
        <v>24712</v>
      </c>
      <c r="C19635" s="5" t="str">
        <f>IFERROR(__xludf.DUMMYFUNCTION("GOOGLETRANSLATE(B19635,""en"",""it"")"),"Due ragazze sono viste in piedi su un pavimento di palestra di fronte a una grande folla.")</f>
        <v>Due ragazze sono viste in piedi su un pavimento di palestra di fronte a una grande folla.</v>
      </c>
    </row>
    <row r="19636">
      <c r="A19636" s="4" t="s">
        <v>24711</v>
      </c>
      <c r="B19636" s="4" t="s">
        <v>24713</v>
      </c>
      <c r="C19636" s="5" t="str">
        <f>IFERROR(__xludf.DUMMYFUNCTION("GOOGLETRANSLATE(B19636,""en"",""it"")"),"Le ragazze iniziano quindi a ballare per la zona mentre facevano roteare i manganelli tra le mani.")</f>
        <v>Le ragazze iniziano quindi a ballare per la zona mentre facevano roteare i manganelli tra le mani.</v>
      </c>
    </row>
    <row r="19637">
      <c r="A19637" s="4" t="s">
        <v>24711</v>
      </c>
      <c r="B19637" s="4" t="s">
        <v>24714</v>
      </c>
      <c r="C19637" s="5" t="str">
        <f>IFERROR(__xludf.DUMMYFUNCTION("GOOGLETRANSLATE(B19637,""en"",""it"")"),"Continuano a girare l'uno verso l'altro e finiscono tenendo una posa.")</f>
        <v>Continuano a girare l'uno verso l'altro e finiscono tenendo una posa.</v>
      </c>
    </row>
    <row r="19638">
      <c r="A19638" s="4" t="s">
        <v>24715</v>
      </c>
      <c r="B19638" s="4" t="s">
        <v>24716</v>
      </c>
      <c r="C19638" s="5" t="str">
        <f>IFERROR(__xludf.DUMMYFUNCTION("GOOGLETRANSLATE(B19638,""en"",""it"")"),"C'è un uomo che sciare su un pendio di montagna molto ripido.")</f>
        <v>C'è un uomo che sciare su un pendio di montagna molto ripido.</v>
      </c>
    </row>
    <row r="19639">
      <c r="A19639" s="4" t="s">
        <v>24715</v>
      </c>
      <c r="B19639" s="4" t="s">
        <v>24717</v>
      </c>
      <c r="C19639" s="5" t="str">
        <f>IFERROR(__xludf.DUMMYFUNCTION("GOOGLETRANSLATE(B19639,""en"",""it"")"),"L'uomo sta scendendo molto velocemente e costantemente mentre è completamente vestito con attrezzatura da sci e occhiali.")</f>
        <v>L'uomo sta scendendo molto velocemente e costantemente mentre è completamente vestito con attrezzatura da sci e occhiali.</v>
      </c>
    </row>
    <row r="19640">
      <c r="A19640" s="4" t="s">
        <v>24715</v>
      </c>
      <c r="B19640" s="4" t="s">
        <v>24718</v>
      </c>
      <c r="C19640" s="5" t="str">
        <f>IFERROR(__xludf.DUMMYFUNCTION("GOOGLETRANSLATE(B19640,""en"",""it"")"),"Quindi cade a terra mentre raggiunge il fondo del pendio.")</f>
        <v>Quindi cade a terra mentre raggiunge il fondo del pendio.</v>
      </c>
    </row>
    <row r="19641">
      <c r="A19641" s="4" t="s">
        <v>24715</v>
      </c>
      <c r="B19641" s="4" t="s">
        <v>24719</v>
      </c>
      <c r="C19641" s="5" t="str">
        <f>IFERROR(__xludf.DUMMYFUNCTION("GOOGLETRANSLATE(B19641,""en"",""it"")"),"Si alza e spolvera dalla neve dai suoi vestiti.")</f>
        <v>Si alza e spolvera dalla neve dai suoi vestiti.</v>
      </c>
    </row>
    <row r="19642">
      <c r="A19642" s="4" t="s">
        <v>24715</v>
      </c>
      <c r="B19642" s="6" t="s">
        <v>24720</v>
      </c>
      <c r="C19642" s="5" t="str">
        <f>IFERROR(__xludf.DUMMYFUNCTION("GOOGLETRANSLATE(B19642,""en"",""it"")"),"Parla con un'altra persona attraverso un dispositivo senza mani attaccato sul suo cappotto per fargli sapere che sta bene.")</f>
        <v>Parla con un'altra persona attraverso un dispositivo senza mani attaccato sul suo cappotto per fargli sapere che sta bene.</v>
      </c>
    </row>
    <row r="19643">
      <c r="A19643" s="4" t="s">
        <v>24721</v>
      </c>
      <c r="B19643" s="4" t="s">
        <v>24722</v>
      </c>
      <c r="C19643" s="5" t="str">
        <f>IFERROR(__xludf.DUMMYFUNCTION("GOOGLETRANSLATE(B19643,""en"",""it"")"),"L'immagine di una ragazza con il suo vlog chiede alle persone di iscriversi.")</f>
        <v>L'immagine di una ragazza con il suo vlog chiede alle persone di iscriversi.</v>
      </c>
    </row>
    <row r="19644">
      <c r="A19644" s="4" t="s">
        <v>24721</v>
      </c>
      <c r="B19644" s="6" t="s">
        <v>24723</v>
      </c>
      <c r="C19644" s="5" t="str">
        <f>IFERROR(__xludf.DUMMYFUNCTION("GOOGLETRANSLATE(B19644,""en"",""it"")"),"Una ragazza che indossa la hirt rossa con il viso è seduta in un soggiorno e sta leggendo tweet e ne parla.")</f>
        <v>Una ragazza che indossa la hirt rossa con il viso è seduta in un soggiorno e sta leggendo tweet e ne parla.</v>
      </c>
    </row>
    <row r="19645">
      <c r="A19645" s="4" t="s">
        <v>24721</v>
      </c>
      <c r="B19645" s="4" t="s">
        <v>24724</v>
      </c>
      <c r="C19645" s="5" t="str">
        <f>IFERROR(__xludf.DUMMYFUNCTION("GOOGLETRANSLATE(B19645,""en"",""it"")"),"La ragazza tiene una piccola zucca e un coltello e taglia la zucca mentre parla.")</f>
        <v>La ragazza tiene una piccola zucca e un coltello e taglia la zucca mentre parla.</v>
      </c>
    </row>
    <row r="19646">
      <c r="A19646" s="4" t="s">
        <v>24721</v>
      </c>
      <c r="B19646" s="4" t="s">
        <v>24725</v>
      </c>
      <c r="C19646" s="5" t="str">
        <f>IFERROR(__xludf.DUMMYFUNCTION("GOOGLETRANSLATE(B19646,""en"",""it"")"),"Il pumkkin è fetta in due e viene mostrato l'interno mentre la ragazza che parla e la lettura dei tweet.")</f>
        <v>Il pumkkin è fetta in due e viene mostrato l'interno mentre la ragazza che parla e la lettura dei tweet.</v>
      </c>
    </row>
    <row r="19647">
      <c r="A19647" s="4" t="s">
        <v>24726</v>
      </c>
      <c r="B19647" s="4" t="s">
        <v>24727</v>
      </c>
      <c r="C19647" s="5" t="str">
        <f>IFERROR(__xludf.DUMMYFUNCTION("GOOGLETRANSLATE(B19647,""en"",""it"")"),"Una donna viene vista la pancia ballare su un grande palcoscenico mentre le persone la guardano sul lato.")</f>
        <v>Una donna viene vista la pancia ballare su un grande palcoscenico mentre le persone la guardano sul lato.</v>
      </c>
    </row>
    <row r="19648">
      <c r="A19648" s="4" t="s">
        <v>24726</v>
      </c>
      <c r="B19648" s="4" t="s">
        <v>24728</v>
      </c>
      <c r="C19648" s="5" t="str">
        <f>IFERROR(__xludf.DUMMYFUNCTION("GOOGLETRANSLATE(B19648,""en"",""it"")"),"Si muove i fianchi tutt'intorno mentre una band suona strumenti dietro di lei.")</f>
        <v>Si muove i fianchi tutt'intorno mentre una band suona strumenti dietro di lei.</v>
      </c>
    </row>
    <row r="19649">
      <c r="A19649" s="4" t="s">
        <v>24726</v>
      </c>
      <c r="B19649" s="4" t="s">
        <v>24729</v>
      </c>
      <c r="C19649" s="5" t="str">
        <f>IFERROR(__xludf.DUMMYFUNCTION("GOOGLETRANSLATE(B19649,""en"",""it"")"),"La donna continua a ballare e termina tenendo una posa e capovolgendosi i capelli.")</f>
        <v>La donna continua a ballare e termina tenendo una posa e capovolgendosi i capelli.</v>
      </c>
    </row>
    <row r="19650">
      <c r="A19650" s="4" t="s">
        <v>24730</v>
      </c>
      <c r="B19650" s="4" t="s">
        <v>24731</v>
      </c>
      <c r="C19650" s="5" t="str">
        <f>IFERROR(__xludf.DUMMYFUNCTION("GOOGLETRANSLATE(B19650,""en"",""it"")"),"Un gioco di lacrosse di essere stato mostrato con un folto gruppo di persone che corrono in un campo.")</f>
        <v>Un gioco di lacrosse di essere stato mostrato con un folto gruppo di persone che corrono in un campo.</v>
      </c>
    </row>
    <row r="19651">
      <c r="A19651" s="4" t="s">
        <v>24730</v>
      </c>
      <c r="B19651" s="4" t="s">
        <v>24732</v>
      </c>
      <c r="C19651" s="5" t="str">
        <f>IFERROR(__xludf.DUMMYFUNCTION("GOOGLETRANSLATE(B19651,""en"",""it"")"),"Diverse persone guardano a margine mentre il gioco continua e un arbitro interviene per effettuare una chiamata.")</f>
        <v>Diverse persone guardano a margine mentre il gioco continua e un arbitro interviene per effettuare una chiamata.</v>
      </c>
    </row>
    <row r="19652">
      <c r="A19652" s="4" t="s">
        <v>24733</v>
      </c>
      <c r="B19652" s="4" t="s">
        <v>24734</v>
      </c>
      <c r="C19652" s="5" t="str">
        <f>IFERROR(__xludf.DUMMYFUNCTION("GOOGLETRANSLATE(B19652,""en"",""it"")"),"Una persona tiene e accarezza un gatto senza peli.")</f>
        <v>Una persona tiene e accarezza un gatto senza peli.</v>
      </c>
    </row>
    <row r="19653">
      <c r="A19653" s="4" t="s">
        <v>24733</v>
      </c>
      <c r="B19653" s="4" t="s">
        <v>24735</v>
      </c>
      <c r="C19653" s="5" t="str">
        <f>IFERROR(__xludf.DUMMYFUNCTION("GOOGLETRANSLATE(B19653,""en"",""it"")"),"La persona pulisce e taglia le unghie delle gambe anteriori del gatto.")</f>
        <v>La persona pulisce e taglia le unghie delle gambe anteriori del gatto.</v>
      </c>
    </row>
    <row r="19654">
      <c r="A19654" s="4" t="s">
        <v>24736</v>
      </c>
      <c r="B19654" s="4" t="s">
        <v>24737</v>
      </c>
      <c r="C19654" s="5" t="str">
        <f>IFERROR(__xludf.DUMMYFUNCTION("GOOGLETRANSLATE(B19654,""en"",""it"")"),"Un uomo sta parlando da dietro un bar.")</f>
        <v>Un uomo sta parlando da dietro un bar.</v>
      </c>
    </row>
    <row r="19655">
      <c r="A19655" s="4" t="s">
        <v>24736</v>
      </c>
      <c r="B19655" s="4" t="s">
        <v>24738</v>
      </c>
      <c r="C19655" s="5" t="str">
        <f>IFERROR(__xludf.DUMMYFUNCTION("GOOGLETRANSLATE(B19655,""en"",""it"")"),"Mostra diversi tipi di bottiglie e rubinetti.")</f>
        <v>Mostra diversi tipi di bottiglie e rubinetti.</v>
      </c>
    </row>
    <row r="19656">
      <c r="A19656" s="4" t="s">
        <v>24736</v>
      </c>
      <c r="B19656" s="4" t="s">
        <v>24739</v>
      </c>
      <c r="C19656" s="5" t="str">
        <f>IFERROR(__xludf.DUMMYFUNCTION("GOOGLETRANSLATE(B19656,""en"",""it"")"),"Mostra come mescolare un drink che serve a una donna.")</f>
        <v>Mostra come mescolare un drink che serve a una donna.</v>
      </c>
    </row>
    <row r="19657">
      <c r="A19657" s="4" t="s">
        <v>24740</v>
      </c>
      <c r="B19657" s="4" t="s">
        <v>24741</v>
      </c>
      <c r="C19657" s="5" t="str">
        <f>IFERROR(__xludf.DUMMYFUNCTION("GOOGLETRANSLATE(B19657,""en"",""it"")"),"Una persona sbuccia le patate in un lavandino, improvvisamente un gatto salta in panchina per guardare la donna.")</f>
        <v>Una persona sbuccia le patate in un lavandino, improvvisamente un gatto salta in panchina per guardare la donna.</v>
      </c>
    </row>
    <row r="19658">
      <c r="A19658" s="4" t="s">
        <v>24740</v>
      </c>
      <c r="B19658" s="6" t="s">
        <v>24742</v>
      </c>
      <c r="C19658" s="5" t="str">
        <f>IFERROR(__xludf.DUMMYFUNCTION("GOOGLETRANSLATE(B19658,""en"",""it"")"),"Il gatto tocca il lavandino con la bocca e intende passare dall'altra parte del lavandino, ma la donna lo impedisce.")</f>
        <v>Il gatto tocca il lavandino con la bocca e intende passare dall'altra parte del lavandino, ma la donna lo impedisce.</v>
      </c>
    </row>
    <row r="19659">
      <c r="A19659" s="4" t="s">
        <v>24740</v>
      </c>
      <c r="B19659" s="4" t="s">
        <v>24743</v>
      </c>
      <c r="C19659" s="5" t="str">
        <f>IFERROR(__xludf.DUMMYFUNCTION("GOOGLETRANSLATE(B19659,""en"",""it"")"),"Quindi, il gatto beve acqua dal lavandino e il gatto continua a guardare la donna.")</f>
        <v>Quindi, il gatto beve acqua dal lavandino e il gatto continua a guardare la donna.</v>
      </c>
    </row>
    <row r="19660">
      <c r="A19660" s="4" t="s">
        <v>24740</v>
      </c>
      <c r="B19660" s="4" t="s">
        <v>24744</v>
      </c>
      <c r="C19660" s="5" t="str">
        <f>IFERROR(__xludf.DUMMYFUNCTION("GOOGLETRANSLATE(B19660,""en"",""it"")"),"Dopo, il gatto tocca il pelapista di patate con una gamba mentre la persona continua a sbucciare le patate.")</f>
        <v>Dopo, il gatto tocca il pelapista di patate con una gamba mentre la persona continua a sbucciare le patate.</v>
      </c>
    </row>
    <row r="19661">
      <c r="A19661" s="4" t="s">
        <v>24745</v>
      </c>
      <c r="B19661" s="4" t="s">
        <v>24746</v>
      </c>
      <c r="C19661" s="5" t="str">
        <f>IFERROR(__xludf.DUMMYFUNCTION("GOOGLETRANSLATE(B19661,""en"",""it"")"),"Una donna è sdraiata sull'attrezzatura in palestra.")</f>
        <v>Una donna è sdraiata sull'attrezzatura in palestra.</v>
      </c>
    </row>
    <row r="19662">
      <c r="A19662" s="4" t="s">
        <v>24745</v>
      </c>
      <c r="B19662" s="4" t="s">
        <v>24747</v>
      </c>
      <c r="C19662" s="5" t="str">
        <f>IFERROR(__xludf.DUMMYFUNCTION("GOOGLETRANSLATE(B19662,""en"",""it"")"),"Ha i piedi legati alla catena a una macchina.")</f>
        <v>Ha i piedi legati alla catena a una macchina.</v>
      </c>
    </row>
    <row r="19663">
      <c r="A19663" s="4" t="s">
        <v>24745</v>
      </c>
      <c r="B19663" s="4" t="s">
        <v>24748</v>
      </c>
      <c r="C19663" s="5" t="str">
        <f>IFERROR(__xludf.DUMMYFUNCTION("GOOGLETRANSLATE(B19663,""en"",""it"")"),"Tiene la testa mentre tira i piedi avanti e indietro.")</f>
        <v>Tiene la testa mentre tira i piedi avanti e indietro.</v>
      </c>
    </row>
    <row r="19664">
      <c r="A19664" s="4" t="s">
        <v>24749</v>
      </c>
      <c r="B19664" s="4" t="s">
        <v>24750</v>
      </c>
      <c r="C19664" s="5" t="str">
        <f>IFERROR(__xludf.DUMMYFUNCTION("GOOGLETRANSLATE(B19664,""en"",""it"")"),"Un ragazzo tiene un panno leggero.")</f>
        <v>Un ragazzo tiene un panno leggero.</v>
      </c>
    </row>
    <row r="19665">
      <c r="A19665" s="4" t="s">
        <v>24749</v>
      </c>
      <c r="B19665" s="4" t="s">
        <v>24751</v>
      </c>
      <c r="C19665" s="5" t="str">
        <f>IFERROR(__xludf.DUMMYFUNCTION("GOOGLETRANSLATE(B19665,""en"",""it"")"),"Un ragazzo prende un bacino bianco da sotto il lavandino e lo riempie di acqua in un lavandino.")</f>
        <v>Un ragazzo prende un bacino bianco da sotto il lavandino e lo riempie di acqua in un lavandino.</v>
      </c>
    </row>
    <row r="19666">
      <c r="A19666" s="4" t="s">
        <v>24749</v>
      </c>
      <c r="B19666" s="4" t="s">
        <v>24752</v>
      </c>
      <c r="C19666" s="5" t="str">
        <f>IFERROR(__xludf.DUMMYFUNCTION("GOOGLETRANSLATE(B19666,""en"",""it"")"),"Il ragazzo mette giù il panno leggero e aggiunge sapone per piatti al bacino.")</f>
        <v>Il ragazzo mette giù il panno leggero e aggiunge sapone per piatti al bacino.</v>
      </c>
    </row>
    <row r="19667">
      <c r="A19667" s="4" t="s">
        <v>24749</v>
      </c>
      <c r="B19667" s="4" t="s">
        <v>24753</v>
      </c>
      <c r="C19667" s="5" t="str">
        <f>IFERROR(__xludf.DUMMYFUNCTION("GOOGLETRANSLATE(B19667,""en"",""it"")"),"Il ragazzo prende una griglia da sotto il lavandino e lo posiziona sul bancone.")</f>
        <v>Il ragazzo prende una griglia da sotto il lavandino e lo posiziona sul bancone.</v>
      </c>
    </row>
    <row r="19668">
      <c r="A19668" s="4" t="s">
        <v>24749</v>
      </c>
      <c r="B19668" s="4" t="s">
        <v>24754</v>
      </c>
      <c r="C19668" s="5" t="str">
        <f>IFERROR(__xludf.DUMMYFUNCTION("GOOGLETRANSLATE(B19668,""en"",""it"")"),"Il ragazzo aggiunge utensili e un piatto al bacino bianco e li lava con un tappeto rosso.")</f>
        <v>Il ragazzo aggiunge utensili e un piatto al bacino bianco e li lava con un tappeto rosso.</v>
      </c>
    </row>
    <row r="19669">
      <c r="A19669" s="4" t="s">
        <v>24749</v>
      </c>
      <c r="B19669" s="4" t="s">
        <v>24755</v>
      </c>
      <c r="C19669" s="5" t="str">
        <f>IFERROR(__xludf.DUMMYFUNCTION("GOOGLETRANSLATE(B19669,""en"",""it"")"),"Un ragazzo guarda da dietro.")</f>
        <v>Un ragazzo guarda da dietro.</v>
      </c>
    </row>
    <row r="19670">
      <c r="A19670" s="4" t="s">
        <v>24749</v>
      </c>
      <c r="B19670" s="4" t="s">
        <v>24756</v>
      </c>
      <c r="C19670" s="5" t="str">
        <f>IFERROR(__xludf.DUMMYFUNCTION("GOOGLETRANSLATE(B19670,""en"",""it"")"),"Il ragazzo sciacqua i piatti e li mette in un rack.")</f>
        <v>Il ragazzo sciacqua i piatti e li mette in un rack.</v>
      </c>
    </row>
    <row r="19671">
      <c r="A19671" s="4" t="s">
        <v>24749</v>
      </c>
      <c r="B19671" s="4" t="s">
        <v>24757</v>
      </c>
      <c r="C19671" s="5" t="str">
        <f>IFERROR(__xludf.DUMMYFUNCTION("GOOGLETRANSLATE(B19671,""en"",""it"")"),"Il ragazzo asciuga il piatto con il panno chiaro.")</f>
        <v>Il ragazzo asciuga il piatto con il panno chiaro.</v>
      </c>
    </row>
    <row r="19672">
      <c r="A19672" s="4" t="s">
        <v>24758</v>
      </c>
      <c r="B19672" s="6" t="s">
        <v>24759</v>
      </c>
      <c r="C19672" s="5" t="str">
        <f>IFERROR(__xludf.DUMMYFUNCTION("GOOGLETRANSLATE(B19672,""en"",""it"")"),"Un uomo con camicia grigia e jeans con casco arancione sta tagliando le siepi, è in piedi in una scala per raggiungere la parte superiore della siepe e tagliarla, l'uomo continua a tagliare la siepe.")</f>
        <v>Un uomo con camicia grigia e jeans con casco arancione sta tagliando le siepi, è in piedi in una scala per raggiungere la parte superiore della siepe e tagliarla, l'uomo continua a tagliare la siepe.</v>
      </c>
    </row>
    <row r="19673">
      <c r="A19673" s="4" t="s">
        <v>24758</v>
      </c>
      <c r="B19673" s="4" t="s">
        <v>24760</v>
      </c>
      <c r="C19673" s="5" t="str">
        <f>IFERROR(__xludf.DUMMYFUNCTION("GOOGLETRANSLATE(B19673,""en"",""it"")"),"Un uomo con camicia bianca e casco arancione sta tagliando le siepi bruciate.")</f>
        <v>Un uomo con camicia bianca e casco arancione sta tagliando le siepi bruciate.</v>
      </c>
    </row>
    <row r="19674">
      <c r="A19674" s="4" t="s">
        <v>24761</v>
      </c>
      <c r="B19674" s="6" t="s">
        <v>24762</v>
      </c>
      <c r="C19674" s="5" t="str">
        <f>IFERROR(__xludf.DUMMYFUNCTION("GOOGLETRANSLATE(B19674,""en"",""it"")"),"Una persona in un abito bianco protettivo e gli occhiali spruzza una superficie con vernice viola usando una pistola a spruzzo in una stanza con pareti bianche e pavimenti.")</f>
        <v>Una persona in un abito bianco protettivo e gli occhiali spruzza una superficie con vernice viola usando una pistola a spruzzo in una stanza con pareti bianche e pavimenti.</v>
      </c>
    </row>
    <row r="19675">
      <c r="A19675" s="4" t="s">
        <v>24761</v>
      </c>
      <c r="B19675" s="4" t="s">
        <v>24763</v>
      </c>
      <c r="C19675" s="5" t="str">
        <f>IFERROR(__xludf.DUMMYFUNCTION("GOOGLETRANSLATE(B19675,""en"",""it"")"),"La persona gira quindi la superficie su un tavolo rotante e dipinge i lati.")</f>
        <v>La persona gira quindi la superficie su un tavolo rotante e dipinge i lati.</v>
      </c>
    </row>
    <row r="19676">
      <c r="A19676" s="4" t="s">
        <v>24761</v>
      </c>
      <c r="B19676" s="4" t="s">
        <v>24764</v>
      </c>
      <c r="C19676" s="5" t="str">
        <f>IFERROR(__xludf.DUMMYFUNCTION("GOOGLETRANSLATE(B19676,""en"",""it"")"),"Viene mostrato il prodotto opaco di finiture, essiccata, nella semplice stanza bianca in cui è avvenuto il dipinto.")</f>
        <v>Viene mostrato il prodotto opaco di finiture, essiccata, nella semplice stanza bianca in cui è avvenuto il dipinto.</v>
      </c>
    </row>
    <row r="19677">
      <c r="A19677" s="4" t="s">
        <v>24765</v>
      </c>
      <c r="B19677" s="4" t="s">
        <v>24766</v>
      </c>
      <c r="C19677" s="5" t="str">
        <f>IFERROR(__xludf.DUMMYFUNCTION("GOOGLETRANSLATE(B19677,""en"",""it"")"),"L'uomo è in piedi in una stanza a mescolare cemento su un secchio.")</f>
        <v>L'uomo è in piedi in una stanza a mescolare cemento su un secchio.</v>
      </c>
    </row>
    <row r="19678">
      <c r="A19678" s="4" t="s">
        <v>24765</v>
      </c>
      <c r="B19678" s="4" t="s">
        <v>24767</v>
      </c>
      <c r="C19678" s="5" t="str">
        <f>IFERROR(__xludf.DUMMYFUNCTION("GOOGLETRANSLATE(B19678,""en"",""it"")"),"L'uomo afferra il mix e lo diffonde sul pavimento e mette piastrelle bianche.")</f>
        <v>L'uomo afferra il mix e lo diffonde sul pavimento e mette piastrelle bianche.</v>
      </c>
    </row>
    <row r="19679">
      <c r="A19679" s="4" t="s">
        <v>24765</v>
      </c>
      <c r="B19679" s="6" t="s">
        <v>24768</v>
      </c>
      <c r="C19679" s="5" t="str">
        <f>IFERROR(__xludf.DUMMYFUNCTION("GOOGLETRANSLATE(B19679,""en"",""it"")"),"L'uomo spazza il pavimento e diffonde di nuovo cemento per mettere le piastrelle nella parte rimanente della stanza.")</f>
        <v>L'uomo spazza il pavimento e diffonde di nuovo cemento per mettere le piastrelle nella parte rimanente della stanza.</v>
      </c>
    </row>
    <row r="19680">
      <c r="A19680" s="4" t="s">
        <v>24769</v>
      </c>
      <c r="B19680" s="4" t="s">
        <v>24770</v>
      </c>
      <c r="C19680" s="5" t="str">
        <f>IFERROR(__xludf.DUMMYFUNCTION("GOOGLETRANSLATE(B19680,""en"",""it"")"),"Il video inizia con quattro immagini di addome umani contratti.")</f>
        <v>Il video inizia con quattro immagini di addome umani contratti.</v>
      </c>
    </row>
    <row r="19681">
      <c r="A19681" s="4" t="s">
        <v>24769</v>
      </c>
      <c r="B19681" s="6" t="s">
        <v>24771</v>
      </c>
      <c r="C19681" s="5" t="str">
        <f>IFERROR(__xludf.DUMMYFUNCTION("GOOGLETRANSLATE(B19681,""en"",""it"")"),"C'è una ragazza vestita con una canotta blu e collant neri che dimostrano il modo giusto di fare assi e scricchiolii.")</f>
        <v>C'è una ragazza vestita con una canotta blu e collant neri che dimostrano il modo giusto di fare assi e scricchiolii.</v>
      </c>
    </row>
    <row r="19682">
      <c r="A19682" s="4" t="s">
        <v>24769</v>
      </c>
      <c r="B19682" s="4" t="s">
        <v>24772</v>
      </c>
      <c r="C19682" s="5" t="str">
        <f>IFERROR(__xludf.DUMMYFUNCTION("GOOGLETRANSLATE(B19682,""en"",""it"")"),"Si sdraia su un tappetino da yoga blu mentre fa scricchiolii.")</f>
        <v>Si sdraia su un tappetino da yoga blu mentre fa scricchiolii.</v>
      </c>
    </row>
    <row r="19683">
      <c r="A19683" s="4" t="s">
        <v>24769</v>
      </c>
      <c r="B19683" s="4" t="s">
        <v>24773</v>
      </c>
      <c r="C19683" s="5" t="str">
        <f>IFERROR(__xludf.DUMMYFUNCTION("GOOGLETRANSLATE(B19683,""en"",""it"")"),"Quindi si sdraia sullo stomaco sollevandosi sui gomiti per mostrare come fare assi.")</f>
        <v>Quindi si sdraia sullo stomaco sollevandosi sui gomiti per mostrare come fare assi.</v>
      </c>
    </row>
    <row r="19684">
      <c r="A19684" s="4" t="s">
        <v>24774</v>
      </c>
      <c r="B19684" s="6" t="s">
        <v>24775</v>
      </c>
      <c r="C19684" s="5" t="str">
        <f>IFERROR(__xludf.DUMMYFUNCTION("GOOGLETRANSLATE(B19684,""en"",""it"")"),"Un atleta in camicia nera dà istruzioni per un trapano di pratica mentre si trova su un grande campo sportivo.")</f>
        <v>Un atleta in camicia nera dà istruzioni per un trapano di pratica mentre si trova su un grande campo sportivo.</v>
      </c>
    </row>
    <row r="19685">
      <c r="A19685" s="4" t="s">
        <v>24774</v>
      </c>
      <c r="B19685" s="4" t="s">
        <v>24776</v>
      </c>
      <c r="C19685" s="5" t="str">
        <f>IFERROR(__xludf.DUMMYFUNCTION("GOOGLETRANSLATE(B19685,""en"",""it"")"),"L'uomo si prepara per un esercizio e si accovaccia su e giù per la pratica.")</f>
        <v>L'uomo si prepara per un esercizio e si accovaccia su e giù per la pratica.</v>
      </c>
    </row>
    <row r="19686">
      <c r="A19686" s="4" t="s">
        <v>24774</v>
      </c>
      <c r="B19686" s="4" t="s">
        <v>24777</v>
      </c>
      <c r="C19686" s="5" t="str">
        <f>IFERROR(__xludf.DUMMYFUNCTION("GOOGLETRANSLATE(B19686,""en"",""it"")"),"L'uomo salta più volte e va oltre ogni salto.")</f>
        <v>L'uomo salta più volte e va oltre ogni salto.</v>
      </c>
    </row>
    <row r="19687">
      <c r="A19687" s="4" t="s">
        <v>24774</v>
      </c>
      <c r="B19687" s="4" t="s">
        <v>24778</v>
      </c>
      <c r="C19687" s="5" t="str">
        <f>IFERROR(__xludf.DUMMYFUNCTION("GOOGLETRANSLATE(B19687,""en"",""it"")"),"L'uomo si china e tocca il terreno mentre si torce.")</f>
        <v>L'uomo si china e tocca il terreno mentre si torce.</v>
      </c>
    </row>
    <row r="19688">
      <c r="A19688" s="4" t="s">
        <v>24774</v>
      </c>
      <c r="B19688" s="4" t="s">
        <v>24779</v>
      </c>
      <c r="C19688" s="5" t="str">
        <f>IFERROR(__xludf.DUMMYFUNCTION("GOOGLETRANSLATE(B19688,""en"",""it"")"),"L'uomo fornisce più istruzioni su una corsa di pratica mentre dà gesti delle mani.")</f>
        <v>L'uomo fornisce più istruzioni su una corsa di pratica mentre dà gesti delle mani.</v>
      </c>
    </row>
    <row r="19689">
      <c r="A19689" s="4" t="s">
        <v>24774</v>
      </c>
      <c r="B19689" s="4" t="s">
        <v>24780</v>
      </c>
      <c r="C19689" s="5" t="str">
        <f>IFERROR(__xludf.DUMMYFUNCTION("GOOGLETRANSLATE(B19689,""en"",""it"")"),"L'uomo si mette sul bordo di una linea e salta con un piede, quindi si ripete.")</f>
        <v>L'uomo si mette sul bordo di una linea e salta con un piede, quindi si ripete.</v>
      </c>
    </row>
    <row r="19690">
      <c r="A19690" s="4" t="s">
        <v>24774</v>
      </c>
      <c r="B19690" s="4" t="s">
        <v>24781</v>
      </c>
      <c r="C19690" s="5" t="str">
        <f>IFERROR(__xludf.DUMMYFUNCTION("GOOGLETRANSLATE(B19690,""en"",""it"")"),"L'uomo fornisce un set finale di istruzioni mentre respira pesantemente.")</f>
        <v>L'uomo fornisce un set finale di istruzioni mentre respira pesantemente.</v>
      </c>
    </row>
    <row r="19691">
      <c r="A19691" s="4" t="s">
        <v>24774</v>
      </c>
      <c r="B19691" s="4" t="s">
        <v>24782</v>
      </c>
      <c r="C19691" s="5" t="str">
        <f>IFERROR(__xludf.DUMMYFUNCTION("GOOGLETRANSLATE(B19691,""en"",""it"")"),"Una serie di testo viene visualizzata con informazioni.")</f>
        <v>Una serie di testo viene visualizzata con informazioni.</v>
      </c>
    </row>
    <row r="19692">
      <c r="A19692" s="4" t="s">
        <v>24783</v>
      </c>
      <c r="B19692" s="4" t="s">
        <v>24784</v>
      </c>
      <c r="C19692" s="5" t="str">
        <f>IFERROR(__xludf.DUMMYFUNCTION("GOOGLETRANSLATE(B19692,""en"",""it"")"),"Viene visto un grafico a freccia e testo del titolo.")</f>
        <v>Viene visto un grafico a freccia e testo del titolo.</v>
      </c>
    </row>
    <row r="19693">
      <c r="A19693" s="4" t="s">
        <v>24783</v>
      </c>
      <c r="B19693" s="4" t="s">
        <v>24785</v>
      </c>
      <c r="C19693" s="5" t="str">
        <f>IFERROR(__xludf.DUMMYFUNCTION("GOOGLETRANSLATE(B19693,""en"",""it"")"),"Una donna si trova su una stanza scura che tiene una fisarmonica e dimostra come suonarla.")</f>
        <v>Una donna si trova su una stanza scura che tiene una fisarmonica e dimostra come suonarla.</v>
      </c>
    </row>
    <row r="19694">
      <c r="A19694" s="4" t="s">
        <v>24783</v>
      </c>
      <c r="B19694" s="4" t="s">
        <v>24786</v>
      </c>
      <c r="C19694" s="5" t="str">
        <f>IFERROR(__xludf.DUMMYFUNCTION("GOOGLETRANSLATE(B19694,""en"",""it"")"),"La donna inizia a suonare una canzone premendo nelle chiavi.")</f>
        <v>La donna inizia a suonare una canzone premendo nelle chiavi.</v>
      </c>
    </row>
    <row r="19695">
      <c r="A19695" s="4" t="s">
        <v>24783</v>
      </c>
      <c r="B19695" s="4" t="s">
        <v>24787</v>
      </c>
      <c r="C19695" s="5" t="str">
        <f>IFERROR(__xludf.DUMMYFUNCTION("GOOGLETRANSLATE(B19695,""en"",""it"")"),"La donna fa una pausa per discutere, quindi suona più della canzone.")</f>
        <v>La donna fa una pausa per discutere, quindi suona più della canzone.</v>
      </c>
    </row>
    <row r="19696">
      <c r="A19696" s="4" t="s">
        <v>24783</v>
      </c>
      <c r="B19696" s="4" t="s">
        <v>24788</v>
      </c>
      <c r="C19696" s="5" t="str">
        <f>IFERROR(__xludf.DUMMYFUNCTION("GOOGLETRANSLATE(B19696,""en"",""it"")"),"La donna finisce e chiude la fisarmonica.")</f>
        <v>La donna finisce e chiude la fisarmonica.</v>
      </c>
    </row>
    <row r="19697">
      <c r="A19697" s="4" t="s">
        <v>24789</v>
      </c>
      <c r="B19697" s="4" t="s">
        <v>24790</v>
      </c>
      <c r="C19697" s="5" t="str">
        <f>IFERROR(__xludf.DUMMYFUNCTION("GOOGLETRANSLATE(B19697,""en"",""it"")"),"Una ragazza è nervosa ai margini di una tavola di divisione.")</f>
        <v>Una ragazza è nervosa ai margini di una tavola di divisione.</v>
      </c>
    </row>
    <row r="19698">
      <c r="A19698" s="4" t="s">
        <v>24789</v>
      </c>
      <c r="B19698" s="4" t="s">
        <v>24791</v>
      </c>
      <c r="C19698" s="5" t="str">
        <f>IFERROR(__xludf.DUMMYFUNCTION("GOOGLETRANSLATE(B19698,""en"",""it"")"),"Cade dopo essersi alzata e poi accovacciarsi di nuovo.")</f>
        <v>Cade dopo essersi alzata e poi accovacciarsi di nuovo.</v>
      </c>
    </row>
    <row r="19699">
      <c r="A19699" s="4" t="s">
        <v>24792</v>
      </c>
      <c r="B19699" s="4" t="s">
        <v>24793</v>
      </c>
      <c r="C19699" s="5" t="str">
        <f>IFERROR(__xludf.DUMMYFUNCTION("GOOGLETRANSLATE(B19699,""en"",""it"")"),"Una banda musicale cammina nella strada che suona gli strumenti mentre una donna sul davanti tiene una bandiera.")</f>
        <v>Una banda musicale cammina nella strada che suona gli strumenti mentre una donna sul davanti tiene una bandiera.</v>
      </c>
    </row>
    <row r="19700">
      <c r="A19700" s="4" t="s">
        <v>24792</v>
      </c>
      <c r="B19700" s="4" t="s">
        <v>24794</v>
      </c>
      <c r="C19700" s="5" t="str">
        <f>IFERROR(__xludf.DUMMYFUNCTION("GOOGLETRANSLATE(B19700,""en"",""it"")"),"Un ragazzo sulla parte anteriore la band tiene una cavalcata e solleva e gira in giro.")</f>
        <v>Un ragazzo sulla parte anteriore la band tiene una cavalcata e solleva e gira in giro.</v>
      </c>
    </row>
    <row r="19701">
      <c r="A19701" s="4" t="s">
        <v>24792</v>
      </c>
      <c r="B19701" s="4" t="s">
        <v>24795</v>
      </c>
      <c r="C19701" s="5" t="str">
        <f>IFERROR(__xludf.DUMMYFUNCTION("GOOGLETRANSLATE(B19701,""en"",""it"")"),"Quindi, la band arriva e passa un semaforo.")</f>
        <v>Quindi, la band arriva e passa un semaforo.</v>
      </c>
    </row>
    <row r="19702">
      <c r="A19702" s="4" t="s">
        <v>24796</v>
      </c>
      <c r="B19702" s="4" t="s">
        <v>24797</v>
      </c>
      <c r="C19702" s="5" t="str">
        <f>IFERROR(__xludf.DUMMYFUNCTION("GOOGLETRANSLATE(B19702,""en"",""it"")"),"Due persone vengono mostrate passeggiate con un tappeto sulle spalle e camminano all'interno di un edificio.")</f>
        <v>Due persone vengono mostrate passeggiate con un tappeto sulle spalle e camminano all'interno di un edificio.</v>
      </c>
    </row>
    <row r="19703">
      <c r="A19703" s="4" t="s">
        <v>24796</v>
      </c>
      <c r="B19703" s="4" t="s">
        <v>24798</v>
      </c>
      <c r="C19703" s="5" t="str">
        <f>IFERROR(__xludf.DUMMYFUNCTION("GOOGLETRANSLATE(B19703,""en"",""it"")"),"Aprino il tappeto, quindi tirano fuori misurano il nastro e martellano il tappeto.")</f>
        <v>Aprino il tappeto, quindi tirano fuori misurano il nastro e martellano il tappeto.</v>
      </c>
    </row>
    <row r="19704">
      <c r="A19704" s="4" t="s">
        <v>24796</v>
      </c>
      <c r="B19704" s="6" t="s">
        <v>24799</v>
      </c>
      <c r="C19704" s="5" t="str">
        <f>IFERROR(__xludf.DUMMYFUNCTION("GOOGLETRANSLATE(B19704,""en"",""it"")"),"Hanno quindi messo l'intonaco su tutto il pavimento e presentano il prodotto finito del tappeto stringendo le mani con i proprietari e sorridendo per le foto.")</f>
        <v>Hanno quindi messo l'intonaco su tutto il pavimento e presentano il prodotto finito del tappeto stringendo le mani con i proprietari e sorridendo per le foto.</v>
      </c>
    </row>
    <row r="19705">
      <c r="A19705" s="4" t="s">
        <v>24800</v>
      </c>
      <c r="B19705" s="4" t="s">
        <v>24801</v>
      </c>
      <c r="C19705" s="5" t="str">
        <f>IFERROR(__xludf.DUMMYFUNCTION("GOOGLETRANSLATE(B19705,""en"",""it"")"),"Viene visto un uomo parlare con la telecamera e lo conduce in uno sfondo stendendo sul muro.")</f>
        <v>Viene visto un uomo parlare con la telecamera e lo conduce in uno sfondo stendendo sul muro.</v>
      </c>
    </row>
    <row r="19706">
      <c r="A19706" s="4" t="s">
        <v>24800</v>
      </c>
      <c r="B19706" s="4" t="s">
        <v>24802</v>
      </c>
      <c r="C19706" s="5" t="str">
        <f>IFERROR(__xludf.DUMMYFUNCTION("GOOGLETRANSLATE(B19706,""en"",""it"")"),"Continua a parlare con la telecamera mentre si diffonde ancora sul muro.")</f>
        <v>Continua a parlare con la telecamera mentre si diffonde ancora sul muro.</v>
      </c>
    </row>
    <row r="19707">
      <c r="A19707" s="4" t="s">
        <v>24803</v>
      </c>
      <c r="B19707" s="4" t="s">
        <v>24804</v>
      </c>
      <c r="C19707" s="5" t="str">
        <f>IFERROR(__xludf.DUMMYFUNCTION("GOOGLETRANSLATE(B19707,""en"",""it"")"),"Una donna si sta lavando il viso in un lavandino.")</f>
        <v>Una donna si sta lavando il viso in un lavandino.</v>
      </c>
    </row>
    <row r="19708">
      <c r="A19708" s="4" t="s">
        <v>24803</v>
      </c>
      <c r="B19708" s="4" t="s">
        <v>24805</v>
      </c>
      <c r="C19708" s="5" t="str">
        <f>IFERROR(__xludf.DUMMYFUNCTION("GOOGLETRANSLATE(B19708,""en"",""it"")"),"Si guarda allo specchio di fronte a lei.")</f>
        <v>Si guarda allo specchio di fronte a lei.</v>
      </c>
    </row>
    <row r="19709">
      <c r="A19709" s="4" t="s">
        <v>24803</v>
      </c>
      <c r="B19709" s="4" t="s">
        <v>24806</v>
      </c>
      <c r="C19709" s="5" t="str">
        <f>IFERROR(__xludf.DUMMYFUNCTION("GOOGLETRANSLATE(B19709,""en"",""it"")"),"Continua a asciugandosi il viso.")</f>
        <v>Continua a asciugandosi il viso.</v>
      </c>
    </row>
    <row r="19710">
      <c r="A19710" s="4" t="s">
        <v>24807</v>
      </c>
      <c r="B19710" s="4" t="s">
        <v>24808</v>
      </c>
      <c r="C19710" s="5" t="str">
        <f>IFERROR(__xludf.DUMMYFUNCTION("GOOGLETRANSLATE(B19710,""en"",""it"")"),"Un cane è seduto su un divano arancione.")</f>
        <v>Un cane è seduto su un divano arancione.</v>
      </c>
    </row>
    <row r="19711">
      <c r="A19711" s="4" t="s">
        <v>24807</v>
      </c>
      <c r="B19711" s="4" t="s">
        <v>24809</v>
      </c>
      <c r="C19711" s="5" t="str">
        <f>IFERROR(__xludf.DUMMYFUNCTION("GOOGLETRANSLATE(B19711,""en"",""it"")"),"Un cane è seduto in una vasca da bagno che fa il bagno.")</f>
        <v>Un cane è seduto in una vasca da bagno che fa il bagno.</v>
      </c>
    </row>
    <row r="19712">
      <c r="A19712" s="4" t="s">
        <v>24807</v>
      </c>
      <c r="B19712" s="4" t="s">
        <v>24810</v>
      </c>
      <c r="C19712" s="5" t="str">
        <f>IFERROR(__xludf.DUMMYFUNCTION("GOOGLETRANSLATE(B19712,""en"",""it"")"),"Una persona sta asciugando il cane con un asciugamano.")</f>
        <v>Una persona sta asciugando il cane con un asciugamano.</v>
      </c>
    </row>
    <row r="19713">
      <c r="A19713" s="4" t="s">
        <v>24807</v>
      </c>
      <c r="B19713" s="4" t="s">
        <v>24811</v>
      </c>
      <c r="C19713" s="5" t="str">
        <f>IFERROR(__xludf.DUMMYFUNCTION("GOOGLETRANSLATE(B19713,""en"",""it"")"),"Il cane si sta asciugando con un asciugacapelli.")</f>
        <v>Il cane si sta asciugando con un asciugacapelli.</v>
      </c>
    </row>
    <row r="19714">
      <c r="A19714" s="4" t="s">
        <v>24812</v>
      </c>
      <c r="B19714" s="4" t="s">
        <v>24813</v>
      </c>
      <c r="C19714" s="5" t="str">
        <f>IFERROR(__xludf.DUMMYFUNCTION("GOOGLETRANSLATE(B19714,""en"",""it"")"),"Il logo ""Weldy"" appare su una foto di strumenti di saldatura.")</f>
        <v>Il logo "Weldy" appare su una foto di strumenti di saldatura.</v>
      </c>
    </row>
    <row r="19715">
      <c r="A19715" s="4" t="s">
        <v>24812</v>
      </c>
      <c r="B19715" s="4" t="s">
        <v>24814</v>
      </c>
      <c r="C19715" s="5" t="str">
        <f>IFERROR(__xludf.DUMMYFUNCTION("GOOGLETRANSLATE(B19715,""en"",""it"")"),"Viene visualizzata le parole ""Energia 1600"" e l'indirizzo del sito Web Weldy.")</f>
        <v>Viene visualizzata le parole "Energia 1600" e l'indirizzo del sito Web Weldy.</v>
      </c>
    </row>
    <row r="19716">
      <c r="A19716" s="4" t="s">
        <v>24812</v>
      </c>
      <c r="B19716" s="4" t="s">
        <v>24815</v>
      </c>
      <c r="C19716" s="5" t="str">
        <f>IFERROR(__xludf.DUMMYFUNCTION("GOOGLETRANSLATE(B19716,""en"",""it"")"),"Un uomo sta lavorando su un tetto bianco con uno degli strumenti Weldy.")</f>
        <v>Un uomo sta lavorando su un tetto bianco con uno degli strumenti Weldy.</v>
      </c>
    </row>
    <row r="19717">
      <c r="A19717" s="4" t="s">
        <v>24812</v>
      </c>
      <c r="B19717" s="4" t="s">
        <v>24816</v>
      </c>
      <c r="C19717" s="5" t="str">
        <f>IFERROR(__xludf.DUMMYFUNCTION("GOOGLETRANSLATE(B19717,""en"",""it"")"),"""Energy 1600"" e il sito Web appare di nuovo sullo schermo.")</f>
        <v>"Energy 1600" e il sito Web appare di nuovo sullo schermo.</v>
      </c>
    </row>
    <row r="19718">
      <c r="A19718" s="4" t="s">
        <v>24817</v>
      </c>
      <c r="B19718" s="4" t="s">
        <v>24818</v>
      </c>
      <c r="C19718" s="5" t="str">
        <f>IFERROR(__xludf.DUMMYFUNCTION("GOOGLETRANSLATE(B19718,""en"",""it"")"),"Una donna viene vista parlare alla telecamera mentre si accende un rubinetto.")</f>
        <v>Una donna viene vista parlare alla telecamera mentre si accende un rubinetto.</v>
      </c>
    </row>
    <row r="19719">
      <c r="A19719" s="4" t="s">
        <v>24817</v>
      </c>
      <c r="B19719" s="4" t="s">
        <v>24819</v>
      </c>
      <c r="C19719" s="5" t="str">
        <f>IFERROR(__xludf.DUMMYFUNCTION("GOOGLETRANSLATE(B19719,""en"",""it"")"),"Quindi pompa sapone e strofina le mani.")</f>
        <v>Quindi pompa sapone e strofina le mani.</v>
      </c>
    </row>
    <row r="19720">
      <c r="A19720" s="4" t="s">
        <v>24817</v>
      </c>
      <c r="B19720" s="6" t="s">
        <v>24820</v>
      </c>
      <c r="C19720" s="5" t="str">
        <f>IFERROR(__xludf.DUMMYFUNCTION("GOOGLETRANSLATE(B19720,""en"",""it"")"),"Lei corre le mani sotto il lavandino e termina asciugandosi le mani e uscendo per mettere le mani sanitizor.")</f>
        <v>Lei corre le mani sotto il lavandino e termina asciugandosi le mani e uscendo per mettere le mani sanitizor.</v>
      </c>
    </row>
    <row r="19721">
      <c r="A19721" s="4" t="s">
        <v>24821</v>
      </c>
      <c r="B19721" s="4" t="s">
        <v>24822</v>
      </c>
      <c r="C19721" s="5" t="str">
        <f>IFERROR(__xludf.DUMMYFUNCTION("GOOGLETRANSLATE(B19721,""en"",""it"")"),"Una donna sta usando lo smalto in un contenitore per lucidare una scarpa nera.")</f>
        <v>Una donna sta usando lo smalto in un contenitore per lucidare una scarpa nera.</v>
      </c>
    </row>
    <row r="19722">
      <c r="A19722" s="4" t="s">
        <v>24821</v>
      </c>
      <c r="B19722" s="4" t="s">
        <v>24823</v>
      </c>
      <c r="C19722" s="5" t="str">
        <f>IFERROR(__xludf.DUMMYFUNCTION("GOOGLETRANSLATE(B19722,""en"",""it"")"),"Parla con la telecamera mentre lavora.")</f>
        <v>Parla con la telecamera mentre lavora.</v>
      </c>
    </row>
    <row r="19723">
      <c r="A19723" s="4" t="s">
        <v>24821</v>
      </c>
      <c r="B19723" s="4" t="s">
        <v>24824</v>
      </c>
      <c r="C19723" s="5" t="str">
        <f>IFERROR(__xludf.DUMMYFUNCTION("GOOGLETRANSLATE(B19723,""en"",""it"")"),"Lo smalto nero viene mostrato gocciolando sulle gambe.")</f>
        <v>Lo smalto nero viene mostrato gocciolando sulle gambe.</v>
      </c>
    </row>
    <row r="19724">
      <c r="A19724" s="4" t="s">
        <v>24825</v>
      </c>
      <c r="B19724" s="4" t="s">
        <v>24826</v>
      </c>
      <c r="C19724" s="5" t="str">
        <f>IFERROR(__xludf.DUMMYFUNCTION("GOOGLETRANSLATE(B19724,""en"",""it"")"),"C'è un addestratore per cani da donna vestito con una felpa con cappuccio blu che gioca con un cane bianco e nero in un parco.")</f>
        <v>C'è un addestratore per cani da donna vestito con una felpa con cappuccio blu che gioca con un cane bianco e nero in un parco.</v>
      </c>
    </row>
    <row r="19725">
      <c r="A19725" s="4" t="s">
        <v>24825</v>
      </c>
      <c r="B19725" s="4" t="s">
        <v>24827</v>
      </c>
      <c r="C19725" s="5" t="str">
        <f>IFERROR(__xludf.DUMMYFUNCTION("GOOGLETRANSLATE(B19725,""en"",""it"")"),"Sta gettando un frisbee al cane e fa prendere il cane per lei.")</f>
        <v>Sta gettando un frisbee al cane e fa prendere il cane per lei.</v>
      </c>
    </row>
    <row r="19726">
      <c r="A19726" s="4" t="s">
        <v>24825</v>
      </c>
      <c r="B19726" s="4" t="s">
        <v>24828</v>
      </c>
      <c r="C19726" s="5" t="str">
        <f>IFERROR(__xludf.DUMMYFUNCTION("GOOGLETRANSLATE(B19726,""en"",""it"")"),"Il cane corre ogni volta che lancia il frisbee a distanza e lo prende per lei.")</f>
        <v>Il cane corre ogni volta che lancia il frisbee a distanza e lo prende per lei.</v>
      </c>
    </row>
    <row r="19727">
      <c r="A19727" s="4" t="s">
        <v>24825</v>
      </c>
      <c r="B19727" s="4" t="s">
        <v>24829</v>
      </c>
      <c r="C19727" s="5" t="str">
        <f>IFERROR(__xludf.DUMMYFUNCTION("GOOGLETRANSLATE(B19727,""en"",""it"")"),"Il doh salta in alto per prendere il frisbee dalla sua mano.")</f>
        <v>Il doh salta in alto per prendere il frisbee dalla sua mano.</v>
      </c>
    </row>
    <row r="19728">
      <c r="A19728" s="4" t="s">
        <v>24825</v>
      </c>
      <c r="B19728" s="4" t="s">
        <v>24830</v>
      </c>
      <c r="C19728" s="5" t="str">
        <f>IFERROR(__xludf.DUMMYFUNCTION("GOOGLETRANSLATE(B19728,""en"",""it"")"),"Il cane salta persino sopra la signora quando si sdraia a terra.")</f>
        <v>Il cane salta persino sopra la signora quando si sdraia a terra.</v>
      </c>
    </row>
    <row r="19729">
      <c r="A19729" s="4" t="s">
        <v>24825</v>
      </c>
      <c r="B19729" s="4" t="s">
        <v>24831</v>
      </c>
      <c r="C19729" s="5" t="str">
        <f>IFERROR(__xludf.DUMMYFUNCTION("GOOGLETRANSLATE(B19729,""en"",""it"")"),"Continua a correre e prendere il frisbee per la signora mentre lancia più frisbee.")</f>
        <v>Continua a correre e prendere il frisbee per la signora mentre lancia più frisbee.</v>
      </c>
    </row>
    <row r="19730">
      <c r="A19730" s="4" t="s">
        <v>24825</v>
      </c>
      <c r="B19730" s="4" t="s">
        <v>24832</v>
      </c>
      <c r="C19730" s="5" t="str">
        <f>IFERROR(__xludf.DUMMYFUNCTION("GOOGLETRANSLATE(B19730,""en"",""it"")"),"La stessa signora ora indossa una camicia arancione e sta gettando il frisbee al cane.")</f>
        <v>La stessa signora ora indossa una camicia arancione e sta gettando il frisbee al cane.</v>
      </c>
    </row>
    <row r="19731">
      <c r="A19731" s="4" t="s">
        <v>24825</v>
      </c>
      <c r="B19731" s="4" t="s">
        <v>24833</v>
      </c>
      <c r="C19731" s="5" t="str">
        <f>IFERROR(__xludf.DUMMYFUNCTION("GOOGLETRANSLATE(B19731,""en"",""it"")"),"Il cane continua a saltare e catturare il frisbee in bocca.")</f>
        <v>Il cane continua a saltare e catturare il frisbee in bocca.</v>
      </c>
    </row>
    <row r="19732">
      <c r="A19732" s="4" t="s">
        <v>24834</v>
      </c>
      <c r="B19732" s="4" t="s">
        <v>24835</v>
      </c>
      <c r="C19732" s="5" t="str">
        <f>IFERROR(__xludf.DUMMYFUNCTION("GOOGLETRANSLATE(B19732,""en"",""it"")"),"Un ragazzo è in piedi fuori guardando un'altra persona suonare le tubature della borsa.")</f>
        <v>Un ragazzo è in piedi fuori guardando un'altra persona suonare le tubature della borsa.</v>
      </c>
    </row>
    <row r="19733">
      <c r="A19733" s="4" t="s">
        <v>24834</v>
      </c>
      <c r="B19733" s="4" t="s">
        <v>24836</v>
      </c>
      <c r="C19733" s="5" t="str">
        <f>IFERROR(__xludf.DUMMYFUNCTION("GOOGLETRANSLATE(B19733,""en"",""it"")"),"Diverse persone passano e una signora si ferma e getta denaro nel caso della persona.")</f>
        <v>Diverse persone passano e una signora si ferma e getta denaro nel caso della persona.</v>
      </c>
    </row>
    <row r="19734">
      <c r="A19734" s="4" t="s">
        <v>24837</v>
      </c>
      <c r="B19734" s="4" t="s">
        <v>24838</v>
      </c>
      <c r="C19734" s="5" t="str">
        <f>IFERROR(__xludf.DUMMYFUNCTION("GOOGLETRANSLATE(B19734,""en"",""it"")"),"Un uomo viene visto piegarsi in avanti e trattenere una serie di pesi mentre si afferra saldamente.")</f>
        <v>Un uomo viene visto piegarsi in avanti e trattenere una serie di pesi mentre si afferra saldamente.</v>
      </c>
    </row>
    <row r="19735">
      <c r="A19735" s="4" t="s">
        <v>24837</v>
      </c>
      <c r="B19735" s="4" t="s">
        <v>24839</v>
      </c>
      <c r="C19735" s="5" t="str">
        <f>IFERROR(__xludf.DUMMYFUNCTION("GOOGLETRANSLATE(B19735,""en"",""it"")"),"L'uomo quindi solleva il peso sopra la sua estremità e lo butta alla fine.")</f>
        <v>L'uomo quindi solleva il peso sopra la sua estremità e lo butta alla fine.</v>
      </c>
    </row>
    <row r="19736">
      <c r="A19736" s="4" t="s">
        <v>24840</v>
      </c>
      <c r="B19736" s="4" t="s">
        <v>24841</v>
      </c>
      <c r="C19736" s="5" t="str">
        <f>IFERROR(__xludf.DUMMYFUNCTION("GOOGLETRANSLATE(B19736,""en"",""it"")"),"Due giovani amici sono insieme su una spiaggia sabbiosa.")</f>
        <v>Due giovani amici sono insieme su una spiaggia sabbiosa.</v>
      </c>
    </row>
    <row r="19737">
      <c r="A19737" s="4" t="s">
        <v>24840</v>
      </c>
      <c r="B19737" s="4" t="s">
        <v>24842</v>
      </c>
      <c r="C19737" s="5" t="str">
        <f>IFERROR(__xludf.DUMMYFUNCTION("GOOGLETRANSLATE(B19737,""en"",""it"")"),"Prima la ragazza a destra parla, e poi la sua amica in una maglietta viola parla dopo.")</f>
        <v>Prima la ragazza a destra parla, e poi la sua amica in una maglietta viola parla dopo.</v>
      </c>
    </row>
    <row r="19738">
      <c r="A19738" s="4" t="s">
        <v>24840</v>
      </c>
      <c r="B19738" s="6" t="s">
        <v>24843</v>
      </c>
      <c r="C19738" s="5" t="str">
        <f>IFERROR(__xludf.DUMMYFUNCTION("GOOGLETRANSLATE(B19738,""en"",""it"")"),"Finisce rivolgendosi alla sua amica e si alzano, afferrando le mani ed escono dalla scena a destra.")</f>
        <v>Finisce rivolgendosi alla sua amica e si alzano, afferrando le mani ed escono dalla scena a destra.</v>
      </c>
    </row>
    <row r="19739">
      <c r="A19739" s="4" t="s">
        <v>24840</v>
      </c>
      <c r="B19739" s="6" t="s">
        <v>24844</v>
      </c>
      <c r="C19739" s="5" t="str">
        <f>IFERROR(__xludf.DUMMYFUNCTION("GOOGLETRANSLATE(B19739,""en"",""it"")"),"Successivamente li vediamo di nuovo seduti sulla sabbia uno di fronte all'altro mentre iniziano a costruire qualcosa nella sabbia.")</f>
        <v>Successivamente li vediamo di nuovo seduti sulla sabbia uno di fronte all'altro mentre iniziano a costruire qualcosa nella sabbia.</v>
      </c>
    </row>
    <row r="19740">
      <c r="A19740" s="4" t="s">
        <v>24840</v>
      </c>
      <c r="B19740" s="4" t="s">
        <v>24845</v>
      </c>
      <c r="C19740" s="5" t="str">
        <f>IFERROR(__xludf.DUMMYFUNCTION("GOOGLETRANSLATE(B19740,""en"",""it"")"),"L'attenzione si sposta su una ragazza, che parla e termina scrivendo qualcosa nella sabbia.")</f>
        <v>L'attenzione si sposta su una ragazza, che parla e termina scrivendo qualcosa nella sabbia.</v>
      </c>
    </row>
    <row r="19741">
      <c r="A19741" s="4" t="s">
        <v>24846</v>
      </c>
      <c r="B19741" s="4" t="s">
        <v>24847</v>
      </c>
      <c r="C19741" s="5" t="str">
        <f>IFERROR(__xludf.DUMMYFUNCTION("GOOGLETRANSLATE(B19741,""en"",""it"")"),"Vengono mostrate varie clip di persone che vanno in bicicletta e sedute in bici pronte a correre.")</f>
        <v>Vengono mostrate varie clip di persone che vanno in bicicletta e sedute in bici pronte a correre.</v>
      </c>
    </row>
    <row r="19742">
      <c r="A19742" s="4" t="s">
        <v>24846</v>
      </c>
      <c r="B19742" s="4" t="s">
        <v>24848</v>
      </c>
      <c r="C19742" s="5" t="str">
        <f>IFERROR(__xludf.DUMMYFUNCTION("GOOGLETRANSLATE(B19742,""en"",""it"")"),"Diverse clip sono mostrate da vicino e le loro in giro in bici.")</f>
        <v>Diverse clip sono mostrate da vicino e le loro in giro in bici.</v>
      </c>
    </row>
    <row r="19743">
      <c r="A19743" s="4" t="s">
        <v>24849</v>
      </c>
      <c r="B19743" s="4" t="s">
        <v>24850</v>
      </c>
      <c r="C19743" s="5" t="str">
        <f>IFERROR(__xludf.DUMMYFUNCTION("GOOGLETRANSLATE(B19743,""en"",""it"")"),"Un uomo mette un legno in posizione verticale su un moncone.")</f>
        <v>Un uomo mette un legno in posizione verticale su un moncone.</v>
      </c>
    </row>
    <row r="19744">
      <c r="A19744" s="4" t="s">
        <v>24849</v>
      </c>
      <c r="B19744" s="4" t="s">
        <v>24851</v>
      </c>
      <c r="C19744" s="5" t="str">
        <f>IFERROR(__xludf.DUMMYFUNCTION("GOOGLETRANSLATE(B19744,""en"",""it"")"),"Un ragazzo sta dividendo il legno a metà.")</f>
        <v>Un ragazzo sta dividendo il legno a metà.</v>
      </c>
    </row>
    <row r="19745">
      <c r="A19745" s="4" t="s">
        <v>24849</v>
      </c>
      <c r="B19745" s="4" t="s">
        <v>24852</v>
      </c>
      <c r="C19745" s="5" t="str">
        <f>IFERROR(__xludf.DUMMYFUNCTION("GOOGLETRANSLATE(B19745,""en"",""it"")"),"Un ragazzo cerca ripetutamente di tagliare un legno.")</f>
        <v>Un ragazzo cerca ripetutamente di tagliare un legno.</v>
      </c>
    </row>
    <row r="19746">
      <c r="A19746" s="4" t="s">
        <v>24849</v>
      </c>
      <c r="B19746" s="4" t="s">
        <v>573</v>
      </c>
      <c r="C19746" s="5" t="str">
        <f>IFERROR(__xludf.DUMMYFUNCTION("GOOGLETRANSLATE(B19746,""en"",""it"")"),"Vengono visualizzati i crediti del video.")</f>
        <v>Vengono visualizzati i crediti del video.</v>
      </c>
    </row>
    <row r="19747">
      <c r="A19747" s="4" t="s">
        <v>24853</v>
      </c>
      <c r="B19747" s="4" t="s">
        <v>24854</v>
      </c>
      <c r="C19747" s="5" t="str">
        <f>IFERROR(__xludf.DUMMYFUNCTION("GOOGLETRANSLATE(B19747,""en"",""it"")"),"Una palla vola attraverso l'aria su un campo da baseball.")</f>
        <v>Una palla vola attraverso l'aria su un campo da baseball.</v>
      </c>
    </row>
    <row r="19748">
      <c r="A19748" s="4" t="s">
        <v>24853</v>
      </c>
      <c r="B19748" s="4" t="s">
        <v>24855</v>
      </c>
      <c r="C19748" s="5" t="str">
        <f>IFERROR(__xludf.DUMMYFUNCTION("GOOGLETRANSLATE(B19748,""en"",""it"")"),"La persona con la fotocamera decolla in esecuzione.")</f>
        <v>La persona con la fotocamera decolla in esecuzione.</v>
      </c>
    </row>
    <row r="19749">
      <c r="A19749" s="4" t="s">
        <v>24853</v>
      </c>
      <c r="B19749" s="4" t="s">
        <v>24856</v>
      </c>
      <c r="C19749" s="5" t="str">
        <f>IFERROR(__xludf.DUMMYFUNCTION("GOOGLETRANSLATE(B19749,""en"",""it"")"),"Il corridore si ferma sulla base di casa e si gira.")</f>
        <v>Il corridore si ferma sulla base di casa e si gira.</v>
      </c>
    </row>
    <row r="19750">
      <c r="A19750" s="4" t="s">
        <v>24853</v>
      </c>
      <c r="B19750" s="4" t="s">
        <v>24857</v>
      </c>
      <c r="C19750" s="5" t="str">
        <f>IFERROR(__xludf.DUMMYFUNCTION("GOOGLETRANSLATE(B19750,""en"",""it"")"),"Vediamo le persone sul retro del campo.")</f>
        <v>Vediamo le persone sul retro del campo.</v>
      </c>
    </row>
    <row r="19751">
      <c r="A19751" s="4" t="s">
        <v>24858</v>
      </c>
      <c r="B19751" s="6" t="s">
        <v>24859</v>
      </c>
      <c r="C19751" s="5" t="str">
        <f>IFERROR(__xludf.DUMMYFUNCTION("GOOGLETRANSLATE(B19751,""en"",""it"")"),"Un folto gruppo di persone è visto in piedi in una piscina e persone che scrivono su carta e si parlano.")</f>
        <v>Un folto gruppo di persone è visto in piedi in una piscina e persone che scrivono su carta e si parlano.</v>
      </c>
    </row>
    <row r="19752">
      <c r="A19752" s="4" t="s">
        <v>24858</v>
      </c>
      <c r="B19752" s="4" t="s">
        <v>24860</v>
      </c>
      <c r="C19752" s="5" t="str">
        <f>IFERROR(__xludf.DUMMYFUNCTION("GOOGLETRANSLATE(B19752,""en"",""it"")"),"Più persone vengono viste immergersi su una tavola e saltare di lato.")</f>
        <v>Più persone vengono viste immergersi su una tavola e saltare di lato.</v>
      </c>
    </row>
    <row r="19753">
      <c r="A19753" s="4" t="s">
        <v>24858</v>
      </c>
      <c r="B19753" s="4" t="s">
        <v>24861</v>
      </c>
      <c r="C19753" s="5" t="str">
        <f>IFERROR(__xludf.DUMMYFUNCTION("GOOGLETRANSLATE(B19753,""en"",""it"")"),"Diverse persone vengono viste guardare sul lato mentre i bambini continuano a immergersi.")</f>
        <v>Diverse persone vengono viste guardare sul lato mentre i bambini continuano a immergersi.</v>
      </c>
    </row>
    <row r="19754">
      <c r="A19754" s="4" t="s">
        <v>24862</v>
      </c>
      <c r="B19754" s="4" t="s">
        <v>24863</v>
      </c>
      <c r="C19754" s="5" t="str">
        <f>IFERROR(__xludf.DUMMYFUNCTION("GOOGLETRANSLATE(B19754,""en"",""it"")"),"Vengono utilizzati un disegno di aeroplani e macchinari, quindi immagini di uomini e una donna.")</f>
        <v>Vengono utilizzati un disegno di aeroplani e macchinari, quindi immagini di uomini e una donna.</v>
      </c>
    </row>
    <row r="19755">
      <c r="A19755" s="4" t="s">
        <v>24862</v>
      </c>
      <c r="B19755" s="6" t="s">
        <v>24864</v>
      </c>
      <c r="C19755" s="5" t="str">
        <f>IFERROR(__xludf.DUMMYFUNCTION("GOOGLETRANSLATE(B19755,""en"",""it"")"),"Un uomo con camicia blu sta spazzolando una vernice su un modello di aereo, quindi dipinge di un colore diverso per far sembrare l'aereo un camuffamento.")</f>
        <v>Un uomo con camicia blu sta spazzolando una vernice su un modello di aereo, quindi dipinge di un colore diverso per far sembrare l'aereo un camuffamento.</v>
      </c>
    </row>
    <row r="19756">
      <c r="A19756" s="4" t="s">
        <v>24865</v>
      </c>
      <c r="B19756" s="4" t="s">
        <v>24866</v>
      </c>
      <c r="C19756" s="5" t="str">
        <f>IFERROR(__xludf.DUMMYFUNCTION("GOOGLETRANSLATE(B19756,""en"",""it"")"),"Un uomo è seduto accanto a diversi piccoli alberi.")</f>
        <v>Un uomo è seduto accanto a diversi piccoli alberi.</v>
      </c>
    </row>
    <row r="19757">
      <c r="A19757" s="4" t="s">
        <v>24865</v>
      </c>
      <c r="B19757" s="4" t="s">
        <v>24867</v>
      </c>
      <c r="C19757" s="5" t="str">
        <f>IFERROR(__xludf.DUMMYFUNCTION("GOOGLETRANSLATE(B19757,""en"",""it"")"),"Toglie alcune foglie dagli alberi.")</f>
        <v>Toglie alcune foglie dagli alberi.</v>
      </c>
    </row>
    <row r="19758">
      <c r="A19758" s="4" t="s">
        <v>24865</v>
      </c>
      <c r="B19758" s="4" t="s">
        <v>24868</v>
      </c>
      <c r="C19758" s="5" t="str">
        <f>IFERROR(__xludf.DUMMYFUNCTION("GOOGLETRANSLATE(B19758,""en"",""it"")"),"Prende le forbici e taglia alcune foglie dall'albero.")</f>
        <v>Prende le forbici e taglia alcune foglie dall'albero.</v>
      </c>
    </row>
    <row r="19759">
      <c r="A19759" s="4" t="s">
        <v>24869</v>
      </c>
      <c r="B19759" s="4" t="s">
        <v>24870</v>
      </c>
      <c r="C19759" s="5" t="str">
        <f>IFERROR(__xludf.DUMMYFUNCTION("GOOGLETRANSLATE(B19759,""en"",""it"")"),"Un uomo acqua sciocca in un fiume.")</f>
        <v>Un uomo acqua sciocca in un fiume.</v>
      </c>
    </row>
    <row r="19760">
      <c r="A19760" s="4" t="s">
        <v>24869</v>
      </c>
      <c r="B19760" s="4" t="s">
        <v>24871</v>
      </c>
      <c r="C19760" s="5" t="str">
        <f>IFERROR(__xludf.DUMMYFUNCTION("GOOGLETRANSLATE(B19760,""en"",""it"")"),"Un uomo dai capelli lunghi gestisce una barca e la barca trascina un uomo d'acqua attraverso l'acqua.")</f>
        <v>Un uomo dai capelli lunghi gestisce una barca e la barca trascina un uomo d'acqua attraverso l'acqua.</v>
      </c>
    </row>
    <row r="19761">
      <c r="A19761" s="4" t="s">
        <v>24869</v>
      </c>
      <c r="B19761" s="4" t="s">
        <v>14857</v>
      </c>
      <c r="C19761" s="5" t="str">
        <f>IFERROR(__xludf.DUMMYFUNCTION("GOOGLETRANSLATE(B19761,""en"",""it"")"),"Un uomo in occhiali parla alla fotocamera.")</f>
        <v>Un uomo in occhiali parla alla fotocamera.</v>
      </c>
    </row>
    <row r="19762">
      <c r="A19762" s="4" t="s">
        <v>24869</v>
      </c>
      <c r="B19762" s="4" t="s">
        <v>24872</v>
      </c>
      <c r="C19762" s="5" t="str">
        <f>IFERROR(__xludf.DUMMYFUNCTION("GOOGLETRANSLATE(B19762,""en"",""it"")"),"Un ragazzo che si tiene su una corda attaccata a una barca d'acqua sciistica.")</f>
        <v>Un ragazzo che si tiene su una corda attaccata a una barca d'acqua sciistica.</v>
      </c>
    </row>
    <row r="19763">
      <c r="A19763" s="4" t="s">
        <v>24869</v>
      </c>
      <c r="B19763" s="6" t="s">
        <v>24873</v>
      </c>
      <c r="C19763" s="5" t="str">
        <f>IFERROR(__xludf.DUMMYFUNCTION("GOOGLETRANSLATE(B19763,""en"",""it"")"),"L'uomo negli occhiali appare di nuovo, parlando alla telecamera e indica un uomo che scivola sul fiume.")</f>
        <v>L'uomo negli occhiali appare di nuovo, parlando alla telecamera e indica un uomo che scivola sul fiume.</v>
      </c>
    </row>
    <row r="19764">
      <c r="A19764" s="4" t="s">
        <v>24869</v>
      </c>
      <c r="B19764" s="4" t="s">
        <v>24874</v>
      </c>
      <c r="C19764" s="5" t="str">
        <f>IFERROR(__xludf.DUMMYFUNCTION("GOOGLETRANSLATE(B19764,""en"",""it"")"),"Lo sci d'acqua scivola avanti e indietro sull'acqua del fiume.")</f>
        <v>Lo sci d'acqua scivola avanti e indietro sull'acqua del fiume.</v>
      </c>
    </row>
    <row r="19765">
      <c r="A19765" s="4" t="s">
        <v>24869</v>
      </c>
      <c r="B19765" s="4" t="s">
        <v>24875</v>
      </c>
      <c r="C19765" s="5" t="str">
        <f>IFERROR(__xludf.DUMMYFUNCTION("GOOGLETRANSLATE(B19765,""en"",""it"")"),"L'uomo in occhiali parla degli sci d'acqua.")</f>
        <v>L'uomo in occhiali parla degli sci d'acqua.</v>
      </c>
    </row>
    <row r="19766">
      <c r="A19766" s="4" t="s">
        <v>24876</v>
      </c>
      <c r="B19766" s="4" t="s">
        <v>24877</v>
      </c>
      <c r="C19766" s="5" t="str">
        <f>IFERROR(__xludf.DUMMYFUNCTION("GOOGLETRANSLATE(B19766,""en"",""it"")"),"Un bambino piccolo si vede in piedi su un trampolino e lancia una palla in lontananza.")</f>
        <v>Un bambino piccolo si vede in piedi su un trampolino e lancia una palla in lontananza.</v>
      </c>
    </row>
    <row r="19767">
      <c r="A19767" s="4" t="s">
        <v>24876</v>
      </c>
      <c r="B19767" s="4" t="s">
        <v>24878</v>
      </c>
      <c r="C19767" s="5" t="str">
        <f>IFERROR(__xludf.DUMMYFUNCTION("GOOGLETRANSLATE(B19767,""en"",""it"")"),"Altri bambini vengono visti raccogliere palle e gettarle dall'altra parte.")</f>
        <v>Altri bambini vengono visti raccogliere palle e gettarle dall'altra parte.</v>
      </c>
    </row>
    <row r="19768">
      <c r="A19768" s="4" t="s">
        <v>24876</v>
      </c>
      <c r="B19768" s="4" t="s">
        <v>24879</v>
      </c>
      <c r="C19768" s="5" t="str">
        <f>IFERROR(__xludf.DUMMYFUNCTION("GOOGLETRANSLATE(B19768,""en"",""it"")"),"Altri bambini vengono visti lanciare palle e giocare a Dodgeball l'uno con l'altro.")</f>
        <v>Altri bambini vengono visti lanciare palle e giocare a Dodgeball l'uno con l'altro.</v>
      </c>
    </row>
    <row r="19769">
      <c r="A19769" s="4" t="s">
        <v>24880</v>
      </c>
      <c r="B19769" s="6" t="s">
        <v>24881</v>
      </c>
      <c r="C19769" s="5" t="str">
        <f>IFERROR(__xludf.DUMMYFUNCTION("GOOGLETRANSLATE(B19769,""en"",""it"")"),"Vengono mostrati vari colpi di subacquei subacquei che si muovono lungo l'acqua e persone che cavalcano e cavalcano barche.")</f>
        <v>Vengono mostrati vari colpi di subacquei subacquei che si muovono lungo l'acqua e persone che cavalcano e cavalcano barche.</v>
      </c>
    </row>
    <row r="19770">
      <c r="A19770" s="4" t="s">
        <v>24880</v>
      </c>
      <c r="B19770" s="4" t="s">
        <v>24882</v>
      </c>
      <c r="C19770" s="5" t="str">
        <f>IFERROR(__xludf.DUMMYFUNCTION("GOOGLETRANSLATE(B19770,""en"",""it"")"),"Vengono mostrate altre clip di persone che si preparano sulla terra e nuotano intorno all'oceano.")</f>
        <v>Vengono mostrate altre clip di persone che si preparano sulla terra e nuotano intorno all'oceano.</v>
      </c>
    </row>
    <row r="19771">
      <c r="A19771" s="4" t="s">
        <v>24883</v>
      </c>
      <c r="B19771" s="4" t="s">
        <v>24884</v>
      </c>
      <c r="C19771" s="5" t="str">
        <f>IFERROR(__xludf.DUMMYFUNCTION("GOOGLETRANSLATE(B19771,""en"",""it"")"),"Un cane viene visto in piedi nella neve e una persona che spinge la neve con una pala.")</f>
        <v>Un cane viene visto in piedi nella neve e una persona che spinge la neve con una pala.</v>
      </c>
    </row>
    <row r="19772">
      <c r="A19772" s="4" t="s">
        <v>24883</v>
      </c>
      <c r="B19772" s="4" t="s">
        <v>24885</v>
      </c>
      <c r="C19772" s="5" t="str">
        <f>IFERROR(__xludf.DUMMYFUNCTION("GOOGLETRANSLATE(B19772,""en"",""it"")"),"Il cane segue la persona che spala mentre si morde la pala e abbaia il telecamera.")</f>
        <v>Il cane segue la persona che spala mentre si morde la pala e abbaia il telecamera.</v>
      </c>
    </row>
    <row r="19773">
      <c r="A19773" s="4" t="s">
        <v>24886</v>
      </c>
      <c r="B19773" s="4" t="s">
        <v>24887</v>
      </c>
      <c r="C19773" s="5" t="str">
        <f>IFERROR(__xludf.DUMMYFUNCTION("GOOGLETRANSLATE(B19773,""en"",""it"")"),"Le lettere RPM vengono visualizzate sullo schermo.")</f>
        <v>Le lettere RPM vengono visualizzate sullo schermo.</v>
      </c>
    </row>
    <row r="19774">
      <c r="A19774" s="4" t="s">
        <v>24886</v>
      </c>
      <c r="B19774" s="4" t="s">
        <v>24888</v>
      </c>
      <c r="C19774" s="5" t="str">
        <f>IFERROR(__xludf.DUMMYFUNCTION("GOOGLETRANSLATE(B19774,""en"",""it"")"),"Una stanza è piena di persone in sella alle bici da esercizio.")</f>
        <v>Una stanza è piena di persone in sella alle bici da esercizio.</v>
      </c>
    </row>
    <row r="19775">
      <c r="A19775" s="4" t="s">
        <v>24886</v>
      </c>
      <c r="B19775" s="4" t="s">
        <v>24889</v>
      </c>
      <c r="C19775" s="5" t="str">
        <f>IFERROR(__xludf.DUMMYFUNCTION("GOOGLETRANSLATE(B19775,""en"",""it"")"),"Vanno il più velocemente possibile, pubblicizzando una palestra di fitness.")</f>
        <v>Vanno il più velocemente possibile, pubblicizzando una palestra di fitness.</v>
      </c>
    </row>
    <row r="19776">
      <c r="A19776" s="4" t="s">
        <v>24890</v>
      </c>
      <c r="B19776" s="4" t="s">
        <v>24891</v>
      </c>
      <c r="C19776" s="5" t="str">
        <f>IFERROR(__xludf.DUMMYFUNCTION("GOOGLETRANSLATE(B19776,""en"",""it"")"),"Le persone iniziano a combattere fuori per terra.")</f>
        <v>Le persone iniziano a combattere fuori per terra.</v>
      </c>
    </row>
    <row r="19777">
      <c r="A19777" s="4" t="s">
        <v>24890</v>
      </c>
      <c r="B19777" s="4" t="s">
        <v>24892</v>
      </c>
      <c r="C19777" s="5" t="str">
        <f>IFERROR(__xludf.DUMMYFUNCTION("GOOGLETRANSLATE(B19777,""en"",""it"")"),"Bussano a un uomo a terra.")</f>
        <v>Bussano a un uomo a terra.</v>
      </c>
    </row>
    <row r="19778">
      <c r="A19778" s="4" t="s">
        <v>24890</v>
      </c>
      <c r="B19778" s="4" t="s">
        <v>24893</v>
      </c>
      <c r="C19778" s="5" t="str">
        <f>IFERROR(__xludf.DUMMYFUNCTION("GOOGLETRANSLATE(B19778,""en"",""it"")"),"Lo sollevano in aria e lo sbattono di nuovo a terra.")</f>
        <v>Lo sollevano in aria e lo sbattono di nuovo a terra.</v>
      </c>
    </row>
    <row r="19779">
      <c r="A19779" s="4" t="s">
        <v>24894</v>
      </c>
      <c r="B19779" s="4" t="s">
        <v>24895</v>
      </c>
      <c r="C19779" s="5" t="str">
        <f>IFERROR(__xludf.DUMMYFUNCTION("GOOGLETRANSLATE(B19779,""en"",""it"")"),"Un uomo indossa un casco di saldatura e tiene un'asta.")</f>
        <v>Un uomo indossa un casco di saldatura e tiene un'asta.</v>
      </c>
    </row>
    <row r="19780">
      <c r="A19780" s="4" t="s">
        <v>24894</v>
      </c>
      <c r="B19780" s="4" t="s">
        <v>24896</v>
      </c>
      <c r="C19780" s="5" t="str">
        <f>IFERROR(__xludf.DUMMYFUNCTION("GOOGLETRANSLATE(B19780,""en"",""it"")"),"Quindi, l'uomo usa la strada per tenere un pezzo di metallo sul pavimento.")</f>
        <v>Quindi, l'uomo usa la strada per tenere un pezzo di metallo sul pavimento.</v>
      </c>
    </row>
    <row r="19781">
      <c r="A19781" s="4" t="s">
        <v>24897</v>
      </c>
      <c r="B19781" s="4" t="s">
        <v>24898</v>
      </c>
      <c r="C19781" s="5" t="str">
        <f>IFERROR(__xludf.DUMMYFUNCTION("GOOGLETRANSLATE(B19781,""en"",""it"")"),"C'è una doppia partita di Badminton Ladies che si svolge in un campo indoor.")</f>
        <v>C'è una doppia partita di Badminton Ladies che si svolge in un campo indoor.</v>
      </c>
    </row>
    <row r="19782">
      <c r="A19782" s="4" t="s">
        <v>24897</v>
      </c>
      <c r="B19782" s="6" t="s">
        <v>24899</v>
      </c>
      <c r="C19782" s="5" t="str">
        <f>IFERROR(__xludf.DUMMYFUNCTION("GOOGLETRANSLATE(B19782,""en"",""it"")"),"Ci sono diversi spettatori che guardano la partita mentre i partner doppi colpiscono lo shuttlecock con le loro racchette.")</f>
        <v>Ci sono diversi spettatori che guardano la partita mentre i partner doppi colpiscono lo shuttlecock con le loro racchette.</v>
      </c>
    </row>
    <row r="19783">
      <c r="A19783" s="4" t="s">
        <v>24897</v>
      </c>
      <c r="B19783" s="4" t="s">
        <v>24900</v>
      </c>
      <c r="C19783" s="5" t="str">
        <f>IFERROR(__xludf.DUMMYFUNCTION("GOOGLETRANSLATE(B19783,""en"",""it"")"),"La folla si applaude mentre la partita procede e i giocatori colpiscono con le loro racchette avanti e indietro.")</f>
        <v>La folla si applaude mentre la partita procede e i giocatori colpiscono con le loro racchette avanti e indietro.</v>
      </c>
    </row>
    <row r="19784">
      <c r="A19784" s="4" t="s">
        <v>24901</v>
      </c>
      <c r="B19784" s="4" t="s">
        <v>24902</v>
      </c>
      <c r="C19784" s="5" t="str">
        <f>IFERROR(__xludf.DUMMYFUNCTION("GOOGLETRANSLATE(B19784,""en"",""it"")"),"Un uomo si alza, urlando forte mentre solleva un bilanciere.")</f>
        <v>Un uomo si alza, urlando forte mentre solleva un bilanciere.</v>
      </c>
    </row>
    <row r="19785">
      <c r="A19785" s="4" t="s">
        <v>24901</v>
      </c>
      <c r="B19785" s="4" t="s">
        <v>24903</v>
      </c>
      <c r="C19785" s="5" t="str">
        <f>IFERROR(__xludf.DUMMYFUNCTION("GOOGLETRANSLATE(B19785,""en"",""it"")"),"Solleva un peso sopra la sua testa.")</f>
        <v>Solleva un peso sopra la sua testa.</v>
      </c>
    </row>
    <row r="19786">
      <c r="A19786" s="4" t="s">
        <v>24901</v>
      </c>
      <c r="B19786" s="4" t="s">
        <v>24904</v>
      </c>
      <c r="C19786" s="5" t="str">
        <f>IFERROR(__xludf.DUMMYFUNCTION("GOOGLETRANSLATE(B19786,""en"",""it"")"),"Un altro uomo viene mostrato sollevare un peso mentre una folla guarda.")</f>
        <v>Un altro uomo viene mostrato sollevare un peso mentre una folla guarda.</v>
      </c>
    </row>
    <row r="19787">
      <c r="A19787" s="4" t="s">
        <v>24901</v>
      </c>
      <c r="B19787" s="4" t="s">
        <v>24905</v>
      </c>
      <c r="C19787" s="5" t="str">
        <f>IFERROR(__xludf.DUMMYFUNCTION("GOOGLETRANSLATE(B19787,""en"",""it"")"),"Diversi sollevatori di peso continuano a sollevare bilancieri.")</f>
        <v>Diversi sollevatori di peso continuano a sollevare bilancieri.</v>
      </c>
    </row>
    <row r="19788">
      <c r="A19788" s="4" t="s">
        <v>24901</v>
      </c>
      <c r="B19788" s="4" t="s">
        <v>24906</v>
      </c>
      <c r="C19788" s="5" t="str">
        <f>IFERROR(__xludf.DUMMYFUNCTION("GOOGLETRANSLATE(B19788,""en"",""it"")"),"Un uomo viene mostrato sdraiato mentre viene ferito.")</f>
        <v>Un uomo viene mostrato sdraiato mentre viene ferito.</v>
      </c>
    </row>
    <row r="19789">
      <c r="A19789" s="4" t="s">
        <v>24907</v>
      </c>
      <c r="B19789" s="4" t="s">
        <v>24908</v>
      </c>
      <c r="C19789" s="5" t="str">
        <f>IFERROR(__xludf.DUMMYFUNCTION("GOOGLETRANSLATE(B19789,""en"",""it"")"),"Due uomini sono visti in giro per una stanza e iniziano a colpire una palla mentre altri guardano.")</f>
        <v>Due uomini sono visti in giro per una stanza e iniziano a colpire una palla mentre altri guardano.</v>
      </c>
    </row>
    <row r="19790">
      <c r="A19790" s="4" t="s">
        <v>24907</v>
      </c>
      <c r="B19790" s="4" t="s">
        <v>24909</v>
      </c>
      <c r="C19790" s="5" t="str">
        <f>IFERROR(__xludf.DUMMYFUNCTION("GOOGLETRANSLATE(B19790,""en"",""it"")"),"Più uomini appaiono nella stanza e si vedono inseguire una palla da tennis e colpirla.")</f>
        <v>Più uomini appaiono nella stanza e si vedono inseguire una palla da tennis e colpirla.</v>
      </c>
    </row>
    <row r="19791">
      <c r="A19791" s="4" t="s">
        <v>24910</v>
      </c>
      <c r="B19791" s="4" t="s">
        <v>24911</v>
      </c>
      <c r="C19791" s="5" t="str">
        <f>IFERROR(__xludf.DUMMYFUNCTION("GOOGLETRANSLATE(B19791,""en"",""it"")"),"Il cemento viene realizzato nel mixer di cemento.")</f>
        <v>Il cemento viene realizzato nel mixer di cemento.</v>
      </c>
    </row>
    <row r="19792">
      <c r="A19792" s="4" t="s">
        <v>24910</v>
      </c>
      <c r="B19792" s="4" t="s">
        <v>24912</v>
      </c>
      <c r="C19792" s="5" t="str">
        <f>IFERROR(__xludf.DUMMYFUNCTION("GOOGLETRANSLATE(B19792,""en"",""it"")"),"Tre uomini ispanici stanno gettando le basi della piscina con una pistola in cemento.")</f>
        <v>Tre uomini ispanici stanno gettando le basi della piscina con una pistola in cemento.</v>
      </c>
    </row>
    <row r="19793">
      <c r="A19793" s="4" t="s">
        <v>24910</v>
      </c>
      <c r="B19793" s="6" t="s">
        <v>24913</v>
      </c>
      <c r="C19793" s="5" t="str">
        <f>IFERROR(__xludf.DUMMYFUNCTION("GOOGLETRANSLATE(B19793,""en"",""it"")"),"Un uomo che è vestito di bianco sta facendo la finitura del cemento mentre gli altri uomini posano il cemento con una pistola.")</f>
        <v>Un uomo che è vestito di bianco sta facendo la finitura del cemento mentre gli altri uomini posano il cemento con una pistola.</v>
      </c>
    </row>
    <row r="19794">
      <c r="A19794" s="4" t="s">
        <v>24910</v>
      </c>
      <c r="B19794" s="4" t="s">
        <v>24914</v>
      </c>
      <c r="C19794" s="5" t="str">
        <f>IFERROR(__xludf.DUMMYFUNCTION("GOOGLETRANSLATE(B19794,""en"",""it"")"),"Una volta fatto il cemento, tutti gli uomini iniziano a finire.")</f>
        <v>Una volta fatto il cemento, tutti gli uomini iniziano a finire.</v>
      </c>
    </row>
    <row r="19795">
      <c r="A19795" s="4" t="s">
        <v>24915</v>
      </c>
      <c r="B19795" s="4" t="s">
        <v>24916</v>
      </c>
      <c r="C19795" s="5" t="str">
        <f>IFERROR(__xludf.DUMMYFUNCTION("GOOGLETRANSLATE(B19795,""en"",""it"")"),"Gli sciatori camminano e si trovano sugli sci sul fondo della collina in una stazione sciistica.")</f>
        <v>Gli sciatori camminano e si trovano sugli sci sul fondo della collina in una stazione sciistica.</v>
      </c>
    </row>
    <row r="19796">
      <c r="A19796" s="4" t="s">
        <v>24915</v>
      </c>
      <c r="B19796" s="4" t="s">
        <v>24917</v>
      </c>
      <c r="C19796" s="5" t="str">
        <f>IFERROR(__xludf.DUMMYFUNCTION("GOOGLETRANSLATE(B19796,""en"",""it"")"),"I bambini cavalcano su tubi gonfiabili lungo le corsie su un pendio da sci.")</f>
        <v>I bambini cavalcano su tubi gonfiabili lungo le corsie su un pendio da sci.</v>
      </c>
    </row>
    <row r="19797">
      <c r="A19797" s="4" t="s">
        <v>24915</v>
      </c>
      <c r="B19797" s="4" t="s">
        <v>24918</v>
      </c>
      <c r="C19797" s="5" t="str">
        <f>IFERROR(__xludf.DUMMYFUNCTION("GOOGLETRANSLATE(B19797,""en"",""it"")"),"Gli snowboarder e gli sciatori cavalcano le corse da sci mentre altri gruppi siedono sull'ascensore da sci.")</f>
        <v>Gli snowboarder e gli sciatori cavalcano le corse da sci mentre altri gruppi siedono sull'ascensore da sci.</v>
      </c>
    </row>
    <row r="19798">
      <c r="A19798" s="4" t="s">
        <v>24915</v>
      </c>
      <c r="B19798" s="4" t="s">
        <v>24919</v>
      </c>
      <c r="C19798" s="5" t="str">
        <f>IFERROR(__xludf.DUMMYFUNCTION("GOOGLETRANSLATE(B19798,""en"",""it"")"),"Un gruppo si aggrappa a una corda di rimorchio su tubi tra e lancia palle di neve.")</f>
        <v>Un gruppo si aggrappa a una corda di rimorchio su tubi tra e lancia palle di neve.</v>
      </c>
    </row>
    <row r="19799">
      <c r="A19799" s="4" t="s">
        <v>24920</v>
      </c>
      <c r="B19799" s="4" t="s">
        <v>24921</v>
      </c>
      <c r="C19799" s="5" t="str">
        <f>IFERROR(__xludf.DUMMYFUNCTION("GOOGLETRANSLATE(B19799,""en"",""it"")"),"Un uomo suona una canzone su una chitarra acustica in uno studio.")</f>
        <v>Un uomo suona una canzone su una chitarra acustica in uno studio.</v>
      </c>
    </row>
    <row r="19800">
      <c r="A19800" s="4" t="s">
        <v>24920</v>
      </c>
      <c r="B19800" s="4" t="s">
        <v>24922</v>
      </c>
      <c r="C19800" s="5" t="str">
        <f>IFERROR(__xludf.DUMMYFUNCTION("GOOGLETRANSLATE(B19800,""en"",""it"")"),"L'uomo reimposta le mani e finisce la canzone.")</f>
        <v>L'uomo reimposta le mani e finisce la canzone.</v>
      </c>
    </row>
    <row r="19801">
      <c r="A19801" s="4" t="s">
        <v>24923</v>
      </c>
      <c r="B19801" s="4" t="s">
        <v>24924</v>
      </c>
      <c r="C19801" s="5" t="str">
        <f>IFERROR(__xludf.DUMMYFUNCTION("GOOGLETRANSLATE(B19801,""en"",""it"")"),"Una donna cammina attraverso un parcheggio innevato, cercando la sua auto.")</f>
        <v>Una donna cammina attraverso un parcheggio innevato, cercando la sua auto.</v>
      </c>
    </row>
    <row r="19802">
      <c r="A19802" s="4" t="s">
        <v>24923</v>
      </c>
      <c r="B19802" s="4" t="s">
        <v>24925</v>
      </c>
      <c r="C19802" s="5" t="str">
        <f>IFERROR(__xludf.DUMMYFUNCTION("GOOGLETRANSLATE(B19802,""en"",""it"")"),"Viene vista usare un mop nel tentativo di asciugare la neve dalla macchina.")</f>
        <v>Viene vista usare un mop nel tentativo di asciugare la neve dalla macchina.</v>
      </c>
    </row>
    <row r="19803">
      <c r="A19803" s="4" t="s">
        <v>24923</v>
      </c>
      <c r="B19803" s="4" t="s">
        <v>24926</v>
      </c>
      <c r="C19803" s="5" t="str">
        <f>IFERROR(__xludf.DUMMYFUNCTION("GOOGLETRANSLATE(B19803,""en"",""it"")"),"La neve inizia a cadere mentre continua a pulire.")</f>
        <v>La neve inizia a cadere mentre continua a pulire.</v>
      </c>
    </row>
    <row r="19804">
      <c r="A19804" s="4" t="s">
        <v>24927</v>
      </c>
      <c r="B19804" s="4" t="s">
        <v>24928</v>
      </c>
      <c r="C19804" s="5" t="str">
        <f>IFERROR(__xludf.DUMMYFUNCTION("GOOGLETRANSLATE(B19804,""en"",""it"")"),"Un gruppo di cheerleader si esibisce nel mezzo di un campo da basket mentre un pubblico guarda.")</f>
        <v>Un gruppo di cheerleader si esibisce nel mezzo di un campo da basket mentre un pubblico guarda.</v>
      </c>
    </row>
    <row r="19805">
      <c r="A19805" s="4" t="s">
        <v>24927</v>
      </c>
      <c r="B19805" s="4" t="s">
        <v>24929</v>
      </c>
      <c r="C19805" s="5" t="str">
        <f>IFERROR(__xludf.DUMMYFUNCTION("GOOGLETRANSLATE(B19805,""en"",""it"")"),"Un uomo cammina attraverso il fondo della cornice.")</f>
        <v>Un uomo cammina attraverso il fondo della cornice.</v>
      </c>
    </row>
    <row r="19806">
      <c r="A19806" s="4" t="s">
        <v>24927</v>
      </c>
      <c r="B19806" s="4" t="s">
        <v>24930</v>
      </c>
      <c r="C19806" s="5" t="str">
        <f>IFERROR(__xludf.DUMMYFUNCTION("GOOGLETRANSLATE(B19806,""en"",""it"")"),"Le cheerleader finiscono e un gruppo di cheerleader più giovani li sostituiscono.")</f>
        <v>Le cheerleader finiscono e un gruppo di cheerleader più giovani li sostituiscono.</v>
      </c>
    </row>
    <row r="19807">
      <c r="A19807" s="4" t="s">
        <v>24931</v>
      </c>
      <c r="B19807" s="6" t="s">
        <v>24932</v>
      </c>
      <c r="C19807" s="5" t="str">
        <f>IFERROR(__xludf.DUMMYFUNCTION("GOOGLETRANSLATE(B19807,""en"",""it"")"),"Un uomo parla e sta in piedi in cucina indossando una verdura bianca e un sacco di verdure colorate davanti a lui.")</f>
        <v>Un uomo parla e sta in piedi in cucina indossando una verdura bianca e un sacco di verdure colorate davanti a lui.</v>
      </c>
    </row>
    <row r="19808">
      <c r="A19808" s="4" t="s">
        <v>24931</v>
      </c>
      <c r="B19808" s="6" t="s">
        <v>24933</v>
      </c>
      <c r="C19808" s="5" t="str">
        <f>IFERROR(__xludf.DUMMYFUNCTION("GOOGLETRANSLATE(B19808,""en"",""it"")"),"Ora le verdure sono sparite e l'uomo ora sta raccogliendo qualcosa da una ciotola a un piatto bianco che è seduto su un tagliere di legno.")</f>
        <v>Ora le verdure sono sparite e l'uomo ora sta raccogliendo qualcosa da una ciotola a un piatto bianco che è seduto su un tagliere di legno.</v>
      </c>
    </row>
    <row r="19809">
      <c r="A19809" s="4" t="s">
        <v>24931</v>
      </c>
      <c r="B19809" s="6" t="s">
        <v>24934</v>
      </c>
      <c r="C19809" s="5" t="str">
        <f>IFERROR(__xludf.DUMMYFUNCTION("GOOGLETRANSLATE(B19809,""en"",""it"")"),"L'uomo inizia quindi a rompere il contenuto con il suo utensile e poi le mani fino a quando non si trovano in pezzi separati.")</f>
        <v>L'uomo inizia quindi a rompere il contenuto con il suo utensile e poi le mani fino a quando non si trovano in pezzi separati.</v>
      </c>
    </row>
    <row r="19810">
      <c r="A19810" s="4" t="s">
        <v>24935</v>
      </c>
      <c r="B19810" s="4" t="s">
        <v>24936</v>
      </c>
      <c r="C19810" s="5" t="str">
        <f>IFERROR(__xludf.DUMMYFUNCTION("GOOGLETRANSLATE(B19810,""en"",""it"")"),"Un giovane con una camicia nera colpisce una palla contro il muro.")</f>
        <v>Un giovane con una camicia nera colpisce una palla contro il muro.</v>
      </c>
    </row>
    <row r="19811">
      <c r="A19811" s="4" t="s">
        <v>24935</v>
      </c>
      <c r="B19811" s="4" t="s">
        <v>24937</v>
      </c>
      <c r="C19811" s="5" t="str">
        <f>IFERROR(__xludf.DUMMYFUNCTION("GOOGLETRANSLATE(B19811,""en"",""it"")"),"Un uomo con una camicia rossa gli passa la palla con la sua racchetta.")</f>
        <v>Un uomo con una camicia rossa gli passa la palla con la sua racchetta.</v>
      </c>
    </row>
    <row r="19812">
      <c r="A19812" s="4" t="s">
        <v>24935</v>
      </c>
      <c r="B19812" s="4" t="s">
        <v>24938</v>
      </c>
      <c r="C19812" s="5" t="str">
        <f>IFERROR(__xludf.DUMMYFUNCTION("GOOGLETRANSLATE(B19812,""en"",""it"")"),"Il giovane colpisce di nuovo la palla contro il muro.")</f>
        <v>Il giovane colpisce di nuovo la palla contro il muro.</v>
      </c>
    </row>
    <row r="19813">
      <c r="A19813" s="4" t="s">
        <v>24935</v>
      </c>
      <c r="B19813" s="4" t="s">
        <v>24939</v>
      </c>
      <c r="C19813" s="5" t="str">
        <f>IFERROR(__xludf.DUMMYFUNCTION("GOOGLETRANSLATE(B19813,""en"",""it"")"),"Un gruppo di uomini vanno in giro cercando di colpire la palla.")</f>
        <v>Un gruppo di uomini vanno in giro cercando di colpire la palla.</v>
      </c>
    </row>
    <row r="19814">
      <c r="A19814" s="4" t="s">
        <v>24935</v>
      </c>
      <c r="B19814" s="4" t="s">
        <v>24940</v>
      </c>
      <c r="C19814" s="5" t="str">
        <f>IFERROR(__xludf.DUMMYFUNCTION("GOOGLETRANSLATE(B19814,""en"",""it"")"),"Il giovane con la camicia nera consegna la palla all'uomo con la camicia rossa.")</f>
        <v>Il giovane con la camicia nera consegna la palla all'uomo con la camicia rossa.</v>
      </c>
    </row>
    <row r="19815">
      <c r="A19815" s="4" t="s">
        <v>24935</v>
      </c>
      <c r="B19815" s="4" t="s">
        <v>24941</v>
      </c>
      <c r="C19815" s="5" t="str">
        <f>IFERROR(__xludf.DUMMYFUNCTION("GOOGLETRANSLATE(B19815,""en"",""it"")"),"L'uomo nella camicia rossa colpisce la palla contro il muro.")</f>
        <v>L'uomo nella camicia rossa colpisce la palla contro il muro.</v>
      </c>
    </row>
    <row r="19816">
      <c r="A19816" s="4" t="s">
        <v>24935</v>
      </c>
      <c r="B19816" s="4" t="s">
        <v>24942</v>
      </c>
      <c r="C19816" s="5" t="str">
        <f>IFERROR(__xludf.DUMMYFUNCTION("GOOGLETRANSLATE(B19816,""en"",""it"")"),"Il gruppo di uomini corre in campo, facendo oscillare le loro racchette e cercando di catturare la palla.")</f>
        <v>Il gruppo di uomini corre in campo, facendo oscillare le loro racchette e cercando di catturare la palla.</v>
      </c>
    </row>
    <row r="19817">
      <c r="A19817" s="4" t="s">
        <v>24943</v>
      </c>
      <c r="B19817" s="4" t="s">
        <v>24944</v>
      </c>
      <c r="C19817" s="5" t="str">
        <f>IFERROR(__xludf.DUMMYFUNCTION("GOOGLETRANSLATE(B19817,""en"",""it"")"),"La squadra che indossa l'uniforme gialla sta correndo in un campo.")</f>
        <v>La squadra che indossa l'uniforme gialla sta correndo in un campo.</v>
      </c>
    </row>
    <row r="19818">
      <c r="A19818" s="4" t="s">
        <v>24943</v>
      </c>
      <c r="B19818" s="4" t="s">
        <v>24945</v>
      </c>
      <c r="C19818" s="5" t="str">
        <f>IFERROR(__xludf.DUMMYFUNCTION("GOOGLETRANSLATE(B19818,""en"",""it"")"),"I fotografi sono in piedi a Heeld a scattare foto della squadra gialla e blu.")</f>
        <v>I fotografi sono in piedi a Heeld a scattare foto della squadra gialla e blu.</v>
      </c>
    </row>
    <row r="19819">
      <c r="A19819" s="4" t="s">
        <v>24943</v>
      </c>
      <c r="B19819" s="4" t="s">
        <v>24946</v>
      </c>
      <c r="C19819" s="5" t="str">
        <f>IFERROR(__xludf.DUMMYFUNCTION("GOOGLETRANSLATE(B19819,""en"",""it"")"),"Le squadre iniziano a PLA Lacrosse in un grande campo erboso.")</f>
        <v>Le squadre iniziano a PLA Lacrosse in un grande campo erboso.</v>
      </c>
    </row>
    <row r="19820">
      <c r="A19820" s="4" t="s">
        <v>24947</v>
      </c>
      <c r="B19820" s="4" t="s">
        <v>24948</v>
      </c>
      <c r="C19820" s="5" t="str">
        <f>IFERROR(__xludf.DUMMYFUNCTION("GOOGLETRANSLATE(B19820,""en"",""it"")"),"La signora raccoglie un pennello e forbici.")</f>
        <v>La signora raccoglie un pennello e forbici.</v>
      </c>
    </row>
    <row r="19821">
      <c r="A19821" s="4" t="s">
        <v>24947</v>
      </c>
      <c r="B19821" s="4" t="s">
        <v>24949</v>
      </c>
      <c r="C19821" s="5" t="str">
        <f>IFERROR(__xludf.DUMMYFUNCTION("GOOGLETRANSLATE(B19821,""en"",""it"")"),"Spazza la base dello stand.")</f>
        <v>Spazza la base dello stand.</v>
      </c>
    </row>
    <row r="19822">
      <c r="A19822" s="4" t="s">
        <v>24947</v>
      </c>
      <c r="B19822" s="4" t="s">
        <v>24950</v>
      </c>
      <c r="C19822" s="5" t="str">
        <f>IFERROR(__xludf.DUMMYFUNCTION("GOOGLETRANSLATE(B19822,""en"",""it"")"),"Spazzola la gamba destra dei cani.")</f>
        <v>Spazzola la gamba destra dei cani.</v>
      </c>
    </row>
    <row r="19823">
      <c r="A19823" s="4" t="s">
        <v>24947</v>
      </c>
      <c r="B19823" s="4" t="s">
        <v>24951</v>
      </c>
      <c r="C19823" s="5" t="str">
        <f>IFERROR(__xludf.DUMMYFUNCTION("GOOGLETRANSLATE(B19823,""en"",""it"")"),"Quindi taglia i capelli su questa zampa.")</f>
        <v>Quindi taglia i capelli su questa zampa.</v>
      </c>
    </row>
    <row r="19824">
      <c r="A19824" s="4" t="s">
        <v>24947</v>
      </c>
      <c r="B19824" s="4" t="s">
        <v>24952</v>
      </c>
      <c r="C19824" s="5" t="str">
        <f>IFERROR(__xludf.DUMMYFUNCTION("GOOGLETRANSLATE(B19824,""en"",""it"")"),"Spazzola la pelliccia verso l'alto.")</f>
        <v>Spazzola la pelliccia verso l'alto.</v>
      </c>
    </row>
    <row r="19825">
      <c r="A19825" s="4" t="s">
        <v>24947</v>
      </c>
      <c r="B19825" s="4" t="s">
        <v>24953</v>
      </c>
      <c r="C19825" s="5" t="str">
        <f>IFERROR(__xludf.DUMMYFUNCTION("GOOGLETRANSLATE(B19825,""en"",""it"")"),"Quindi taglia di nuovo la pelliccia sulla zampa.")</f>
        <v>Quindi taglia di nuovo la pelliccia sulla zampa.</v>
      </c>
    </row>
    <row r="19826">
      <c r="A19826" s="4" t="s">
        <v>24947</v>
      </c>
      <c r="B19826" s="4" t="s">
        <v>24954</v>
      </c>
      <c r="C19826" s="5" t="str">
        <f>IFERROR(__xludf.DUMMYFUNCTION("GOOGLETRANSLATE(B19826,""en"",""it"")"),"Lei si sfiora di nuovo la zampa.")</f>
        <v>Lei si sfiora di nuovo la zampa.</v>
      </c>
    </row>
    <row r="19827">
      <c r="A19827" s="4" t="s">
        <v>24947</v>
      </c>
      <c r="B19827" s="4" t="s">
        <v>24955</v>
      </c>
      <c r="C19827" s="5" t="str">
        <f>IFERROR(__xludf.DUMMYFUNCTION("GOOGLETRANSLATE(B19827,""en"",""it"")"),"Quindi si aggancia la pelliccia sulla zampa un'altra volta.")</f>
        <v>Quindi si aggancia la pelliccia sulla zampa un'altra volta.</v>
      </c>
    </row>
    <row r="19828">
      <c r="A19828" s="4" t="s">
        <v>24947</v>
      </c>
      <c r="B19828" s="4" t="s">
        <v>24956</v>
      </c>
      <c r="C19828" s="5" t="str">
        <f>IFERROR(__xludf.DUMMYFUNCTION("GOOGLETRANSLATE(B19828,""en"",""it"")"),"Quindi abbraccia i capelli tagliati dalla zampa.")</f>
        <v>Quindi abbraccia i capelli tagliati dalla zampa.</v>
      </c>
    </row>
    <row r="19829">
      <c r="A19829" s="4" t="s">
        <v>24947</v>
      </c>
      <c r="B19829" s="4" t="s">
        <v>24957</v>
      </c>
      <c r="C19829" s="5" t="str">
        <f>IFERROR(__xludf.DUMMYFUNCTION("GOOGLETRANSLATE(B19829,""en"",""it"")"),"Clips i capelli dalla parte posteriore della zampa.")</f>
        <v>Clips i capelli dalla parte posteriore della zampa.</v>
      </c>
    </row>
    <row r="19830">
      <c r="A19830" s="4" t="s">
        <v>24947</v>
      </c>
      <c r="B19830" s="4" t="s">
        <v>24958</v>
      </c>
      <c r="C19830" s="5" t="str">
        <f>IFERROR(__xludf.DUMMYFUNCTION("GOOGLETRANSLATE(B19830,""en"",""it"")"),"Dissolvenza al nero e i crediti si verificano.")</f>
        <v>Dissolvenza al nero e i crediti si verificano.</v>
      </c>
    </row>
    <row r="19831">
      <c r="A19831" s="4" t="s">
        <v>24959</v>
      </c>
      <c r="B19831" s="4" t="s">
        <v>24960</v>
      </c>
      <c r="C19831" s="5" t="str">
        <f>IFERROR(__xludf.DUMMYFUNCTION("GOOGLETRANSLATE(B19831,""en"",""it"")"),"Una signora si guarda dietro di lei con gioia.")</f>
        <v>Una signora si guarda dietro di lei con gioia.</v>
      </c>
    </row>
    <row r="19832">
      <c r="A19832" s="4" t="s">
        <v>24959</v>
      </c>
      <c r="B19832" s="4" t="s">
        <v>24961</v>
      </c>
      <c r="C19832" s="5" t="str">
        <f>IFERROR(__xludf.DUMMYFUNCTION("GOOGLETRANSLATE(B19832,""en"",""it"")"),"La signora suona un piano nero.")</f>
        <v>La signora suona un piano nero.</v>
      </c>
    </row>
    <row r="19833">
      <c r="A19833" s="4" t="s">
        <v>24959</v>
      </c>
      <c r="B19833" s="4" t="s">
        <v>24962</v>
      </c>
      <c r="C19833" s="5" t="str">
        <f>IFERROR(__xludf.DUMMYFUNCTION("GOOGLETRANSLATE(B19833,""en"",""it"")"),"La signora guarda al suo fianco.")</f>
        <v>La signora guarda al suo fianco.</v>
      </c>
    </row>
    <row r="19834">
      <c r="A19834" s="4" t="s">
        <v>24963</v>
      </c>
      <c r="B19834" s="6" t="s">
        <v>24964</v>
      </c>
      <c r="C19834" s="5" t="str">
        <f>IFERROR(__xludf.DUMMYFUNCTION("GOOGLETRANSLATE(B19834,""en"",""it"")"),"Vengono mostrate chiodi zebra colorate e appare uno schermo colorato con un testo colorato che dice ""Acid Zebra Nail art di ProfessionalDQ"", e poi seguito da molte altre parole che includono un elenco di forniture necessarie.")</f>
        <v>Vengono mostrate chiodi zebra colorate e appare uno schermo colorato con un testo colorato che dice "Acid Zebra Nail art di ProfessionalDQ", e poi seguito da molte altre parole che includono un elenco di forniture necessarie.</v>
      </c>
    </row>
    <row r="19835">
      <c r="A19835" s="4" t="s">
        <v>24963</v>
      </c>
      <c r="B19835" s="6" t="s">
        <v>24965</v>
      </c>
      <c r="C19835" s="5" t="str">
        <f>IFERROR(__xludf.DUMMYFUNCTION("GOOGLETRANSLATE(B19835,""en"",""it"")"),"Vengono mostrati un colpo di sei diversi colori solidi di smalto e alcuni sono bottiglie arrotondate e alcune sono bottiglie quadrate.")</f>
        <v>Vengono mostrati un colpo di sei diversi colori solidi di smalto e alcuni sono bottiglie arrotondate e alcune sono bottiglie quadrate.</v>
      </c>
    </row>
    <row r="19836">
      <c r="A19836" s="4" t="s">
        <v>24963</v>
      </c>
      <c r="B19836" s="6" t="s">
        <v>24966</v>
      </c>
      <c r="C19836" s="5" t="str">
        <f>IFERROR(__xludf.DUMMYFUNCTION("GOOGLETRANSLATE(B19836,""en"",""it"")"),"La dimostrazione inizia e mostra che qualcuno è spugna dipingendo vari colori su un chiodo dipinto bianco lungo.")</f>
        <v>La dimostrazione inizia e mostra che qualcuno è spugna dipingendo vari colori su un chiodo dipinto bianco lungo.</v>
      </c>
    </row>
    <row r="19837">
      <c r="A19837" s="4" t="s">
        <v>24963</v>
      </c>
      <c r="B19837" s="6" t="s">
        <v>24967</v>
      </c>
      <c r="C19837" s="5" t="str">
        <f>IFERROR(__xludf.DUMMYFUNCTION("GOOGLETRANSLATE(B19837,""en"",""it"")"),"Appare brevemente uno schermo colorato con un testo colorato e ha detto ""Quindi ha aggiunto una mano di scintillio fantastico"", mostra la bottiglia di smalto scintillante, quindi più testo appare su uno schermo colorato.")</f>
        <v>Appare brevemente uno schermo colorato con un testo colorato e ha detto "Quindi ha aggiunto una mano di scintillio fantastico", mostra la bottiglia di smalto scintillante, quindi più testo appare su uno schermo colorato.</v>
      </c>
    </row>
    <row r="19838">
      <c r="A19838" s="4" t="s">
        <v>24963</v>
      </c>
      <c r="B19838" s="6" t="s">
        <v>24968</v>
      </c>
      <c r="C19838" s="5" t="str">
        <f>IFERROR(__xludf.DUMMYFUNCTION("GOOGLETRANSLATE(B19838,""en"",""it"")"),"Viene mostrata una bottiglia di vernice nera quindi la persona dipinge una sottile linea nera al chiodo scintillante e multiplo e li dipinge nel motivo delle strisce di zebra.")</f>
        <v>Viene mostrata una bottiglia di vernice nera quindi la persona dipinge una sottile linea nera al chiodo scintillante e multiplo e li dipinge nel motivo delle strisce di zebra.</v>
      </c>
    </row>
    <row r="19839">
      <c r="A19839" s="4" t="s">
        <v>24963</v>
      </c>
      <c r="B19839" s="6" t="s">
        <v>24969</v>
      </c>
      <c r="C19839" s="5" t="str">
        <f>IFERROR(__xludf.DUMMYFUNCTION("GOOGLETRANSLATE(B19839,""en"",""it"")"),"Viene visualizzato uno schermo colorato insieme a un testo colorato e ha istruzioni per ""finire con Topcoat e ora sei un invincibile nyan zebra !!"".")</f>
        <v>Viene visualizzato uno schermo colorato insieme a un testo colorato e ha istruzioni per "finire con Topcoat e ora sei un invincibile nyan zebra !!".</v>
      </c>
    </row>
    <row r="19840">
      <c r="A19840" s="4" t="s">
        <v>24963</v>
      </c>
      <c r="B19840" s="6" t="s">
        <v>24970</v>
      </c>
      <c r="C19840" s="5" t="str">
        <f>IFERROR(__xludf.DUMMYFUNCTION("GOOGLETRANSLATE(B19840,""en"",""it"")"),"Le unghie finite sono modellate e mostrate a diverse angolazioni e compaiono uno schermo colorato con lettere colorate e dice ""Non dimenticare la coda!"" E poi mostra la persona che tiene una coda rosa e nera pelosa.")</f>
        <v>Le unghie finite sono modellate e mostrate a diverse angolazioni e compaiono uno schermo colorato con lettere colorate e dice "Non dimenticare la coda!" E poi mostra la persona che tiene una coda rosa e nera pelosa.</v>
      </c>
    </row>
    <row r="19841">
      <c r="A19841" s="4" t="s">
        <v>24963</v>
      </c>
      <c r="B19841" s="6" t="s">
        <v>24971</v>
      </c>
      <c r="C19841" s="5" t="str">
        <f>IFERROR(__xludf.DUMMYFUNCTION("GOOGLETRANSLATE(B19841,""en"",""it"")"),"Viene visualizzato uno schermo colorato con testo colorato e dice ""Grazie per aver guardato Swoosh!"" E altri scatti ancora dei chiodi zebra colorati finiti vengono visualizzati in diverse posizioni e angoli.")</f>
        <v>Viene visualizzato uno schermo colorato con testo colorato e dice "Grazie per aver guardato Swoosh!" E altri scatti ancora dei chiodi zebra colorati finiti vengono visualizzati in diverse posizioni e angoli.</v>
      </c>
    </row>
    <row r="19842">
      <c r="A19842" s="4" t="s">
        <v>24972</v>
      </c>
      <c r="B19842" s="6" t="s">
        <v>24973</v>
      </c>
      <c r="C19842" s="5" t="str">
        <f>IFERROR(__xludf.DUMMYFUNCTION("GOOGLETRANSLATE(B19842,""en"",""it"")"),"Il cammello è seduto a terra, ma poi l'uomo si mette sugli occhiali mentre è seduto sul cammello mentre si solleva portando l'uomo in avanti un po '.")</f>
        <v>Il cammello è seduto a terra, ma poi l'uomo si mette sugli occhiali mentre è seduto sul cammello mentre si solleva portando l'uomo in avanti un po '.</v>
      </c>
    </row>
    <row r="19843">
      <c r="A19843" s="4" t="s">
        <v>24972</v>
      </c>
      <c r="B19843" s="4" t="s">
        <v>24974</v>
      </c>
      <c r="C19843" s="5" t="str">
        <f>IFERROR(__xludf.DUMMYFUNCTION("GOOGLETRANSLATE(B19843,""en"",""it"")"),"Quindi qualcuno afferra la corda sul cammello per guidare il cammello nel posto giusto.")</f>
        <v>Quindi qualcuno afferra la corda sul cammello per guidare il cammello nel posto giusto.</v>
      </c>
    </row>
    <row r="19844">
      <c r="A19844" s="4" t="s">
        <v>24972</v>
      </c>
      <c r="B19844" s="6" t="s">
        <v>24975</v>
      </c>
      <c r="C19844" s="5" t="str">
        <f>IFERROR(__xludf.DUMMYFUNCTION("GOOGLETRANSLATE(B19844,""en"",""it"")"),"Alla fine l'uomo tira il cammello su cui l'uomo è seduto mentre gli altri 2 cammelli camminano dietro il cammello nella parte anteriore.")</f>
        <v>Alla fine l'uomo tira il cammello su cui l'uomo è seduto mentre gli altri 2 cammelli camminano dietro il cammello nella parte anteriore.</v>
      </c>
    </row>
    <row r="19845">
      <c r="A19845" s="4" t="s">
        <v>24976</v>
      </c>
      <c r="B19845" s="4" t="s">
        <v>24977</v>
      </c>
      <c r="C19845" s="5" t="str">
        <f>IFERROR(__xludf.DUMMYFUNCTION("GOOGLETRANSLATE(B19845,""en"",""it"")"),"Le persone navigano in canoe remi con una pagaia in un fiume mosso.")</f>
        <v>Le persone navigano in canoe remi con una pagaia in un fiume mosso.</v>
      </c>
    </row>
    <row r="19846">
      <c r="A19846" s="4" t="s">
        <v>24976</v>
      </c>
      <c r="B19846" s="4" t="s">
        <v>24978</v>
      </c>
      <c r="C19846" s="5" t="str">
        <f>IFERROR(__xludf.DUMMYFUNCTION("GOOGLETRANSLATE(B19846,""en"",""it"")"),"Due uomini in una canoa navigano vicino alla riva del fiume, ma poi navigano nel fiume.")</f>
        <v>Due uomini in una canoa navigano vicino alla riva del fiume, ma poi navigano nel fiume.</v>
      </c>
    </row>
    <row r="19847">
      <c r="A19847" s="4" t="s">
        <v>24976</v>
      </c>
      <c r="B19847" s="4" t="s">
        <v>24979</v>
      </c>
      <c r="C19847" s="5" t="str">
        <f>IFERROR(__xludf.DUMMYFUNCTION("GOOGLETRANSLATE(B19847,""en"",""it"")"),"Gli uomini girano la canoa un passaggio vicino a un arco del percorso in canoa.")</f>
        <v>Gli uomini girano la canoa un passaggio vicino a un arco del percorso in canoa.</v>
      </c>
    </row>
    <row r="19848">
      <c r="A19848" s="4" t="s">
        <v>24976</v>
      </c>
      <c r="B19848" s="4" t="s">
        <v>24980</v>
      </c>
      <c r="C19848" s="5" t="str">
        <f>IFERROR(__xludf.DUMMYFUNCTION("GOOGLETRANSLATE(B19848,""en"",""it"")"),"I due uomini attraversano una persona da soli in canoa.")</f>
        <v>I due uomini attraversano una persona da soli in canoa.</v>
      </c>
    </row>
    <row r="19849">
      <c r="A19849" s="4" t="s">
        <v>24976</v>
      </c>
      <c r="B19849" s="4" t="s">
        <v>24981</v>
      </c>
      <c r="C19849" s="5" t="str">
        <f>IFERROR(__xludf.DUMMYFUNCTION("GOOGLETRANSLATE(B19849,""en"",""it"")"),"Gli uomini continuano a navigare lungo il fiume passando tra gli archi.")</f>
        <v>Gli uomini continuano a navigare lungo il fiume passando tra gli archi.</v>
      </c>
    </row>
    <row r="19850">
      <c r="A19850" s="4" t="s">
        <v>24976</v>
      </c>
      <c r="B19850" s="4" t="s">
        <v>24982</v>
      </c>
      <c r="C19850" s="5" t="str">
        <f>IFERROR(__xludf.DUMMYFUNCTION("GOOGLETRANSLATE(B19850,""en"",""it"")"),"Gli uomini in canoa sono al confine con il fiume.")</f>
        <v>Gli uomini in canoa sono al confine con il fiume.</v>
      </c>
    </row>
    <row r="19851">
      <c r="A19851" s="4" t="s">
        <v>24976</v>
      </c>
      <c r="B19851" s="4" t="s">
        <v>24983</v>
      </c>
      <c r="C19851" s="5" t="str">
        <f>IFERROR(__xludf.DUMMYFUNCTION("GOOGLETRANSLATE(B19851,""en"",""it"")"),"Dopo, continua a navigare dritto nel fiume.")</f>
        <v>Dopo, continua a navigare dritto nel fiume.</v>
      </c>
    </row>
    <row r="19852">
      <c r="A19852" s="4" t="s">
        <v>24984</v>
      </c>
      <c r="B19852" s="4" t="s">
        <v>24985</v>
      </c>
      <c r="C19852" s="5" t="str">
        <f>IFERROR(__xludf.DUMMYFUNCTION("GOOGLETRANSLATE(B19852,""en"",""it"")"),"Un uomo tiene in mano un palo da pesca su una buca per la pesca del ghiaccio.")</f>
        <v>Un uomo tiene in mano un palo da pesca su una buca per la pesca del ghiaccio.</v>
      </c>
    </row>
    <row r="19853">
      <c r="A19853" s="4" t="s">
        <v>24984</v>
      </c>
      <c r="B19853" s="4" t="s">
        <v>24986</v>
      </c>
      <c r="C19853" s="5" t="str">
        <f>IFERROR(__xludf.DUMMYFUNCTION("GOOGLETRANSLATE(B19853,""en"",""it"")"),"Cerca delicatamente di tirarsi su e poi allontanare la lenza dal buco.")</f>
        <v>Cerca delicatamente di tirarsi su e poi allontanare la lenza dal buco.</v>
      </c>
    </row>
    <row r="19854">
      <c r="A19854" s="4" t="s">
        <v>24984</v>
      </c>
      <c r="B19854" s="4" t="s">
        <v>24987</v>
      </c>
      <c r="C19854" s="5" t="str">
        <f>IFERROR(__xludf.DUMMYFUNCTION("GOOGLETRANSLATE(B19854,""en"",""it"")"),"Si immerge e si abbassa mentre fa una pausa.")</f>
        <v>Si immerge e si abbassa mentre fa una pausa.</v>
      </c>
    </row>
    <row r="19855">
      <c r="A19855" s="4" t="s">
        <v>24984</v>
      </c>
      <c r="B19855" s="4" t="s">
        <v>24988</v>
      </c>
      <c r="C19855" s="5" t="str">
        <f>IFERROR(__xludf.DUMMYFUNCTION("GOOGLETRANSLATE(B19855,""en"",""it"")"),"Cerca di cancellare di nuovo la linea.")</f>
        <v>Cerca di cancellare di nuovo la linea.</v>
      </c>
    </row>
    <row r="19856">
      <c r="A19856" s="4" t="s">
        <v>24984</v>
      </c>
      <c r="B19856" s="6" t="s">
        <v>24989</v>
      </c>
      <c r="C19856" s="5" t="str">
        <f>IFERROR(__xludf.DUMMYFUNCTION("GOOGLETRANSLATE(B19856,""en"",""it"")"),"Si rimuove i guanti e si mette in ginocchio e fa il backup mentre cerca di estrarre ripetutamente la linea dal buco.")</f>
        <v>Si rimuove i guanti e si mette in ginocchio e fa il backup mentre cerca di estrarre ripetutamente la linea dal buco.</v>
      </c>
    </row>
    <row r="19857">
      <c r="A19857" s="4" t="s">
        <v>24984</v>
      </c>
      <c r="B19857" s="6" t="s">
        <v>24990</v>
      </c>
      <c r="C19857" s="5" t="str">
        <f>IFERROR(__xludf.DUMMYFUNCTION("GOOGLETRANSLATE(B19857,""en"",""it"")"),"Si avvicina al buco e tira continuamente delicatamente la linea dall'acqua mentre un altro uomo tira fuori il pesce dall'acqua.")</f>
        <v>Si avvicina al buco e tira continuamente delicatamente la linea dall'acqua mentre un altro uomo tira fuori il pesce dall'acqua.</v>
      </c>
    </row>
    <row r="19858">
      <c r="A19858" s="4" t="s">
        <v>24991</v>
      </c>
      <c r="B19858" s="4" t="s">
        <v>24992</v>
      </c>
      <c r="C19858" s="5" t="str">
        <f>IFERROR(__xludf.DUMMYFUNCTION("GOOGLETRANSLATE(B19858,""en"",""it"")"),"Una persona si sta radermi la barba con un rasoio elettrico.")</f>
        <v>Una persona si sta radermi la barba con un rasoio elettrico.</v>
      </c>
    </row>
    <row r="19859">
      <c r="A19859" s="4" t="s">
        <v>24991</v>
      </c>
      <c r="B19859" s="4" t="s">
        <v>24993</v>
      </c>
      <c r="C19859" s="5" t="str">
        <f>IFERROR(__xludf.DUMMYFUNCTION("GOOGLETRANSLATE(B19859,""en"",""it"")"),"Stanno lentamente muovendo il rasoio sul mento.")</f>
        <v>Stanno lentamente muovendo il rasoio sul mento.</v>
      </c>
    </row>
    <row r="19860">
      <c r="A19860" s="4" t="s">
        <v>24991</v>
      </c>
      <c r="B19860" s="4" t="s">
        <v>1599</v>
      </c>
      <c r="C19860" s="5" t="str">
        <f>IFERROR(__xludf.DUMMYFUNCTION("GOOGLETRANSLATE(B19860,""en"",""it"")"),"Le parole sono mostrate sullo schermo.")</f>
        <v>Le parole sono mostrate sullo schermo.</v>
      </c>
    </row>
    <row r="19861">
      <c r="A19861" s="4" t="s">
        <v>24994</v>
      </c>
      <c r="B19861" s="4" t="s">
        <v>24995</v>
      </c>
      <c r="C19861" s="5" t="str">
        <f>IFERROR(__xludf.DUMMYFUNCTION("GOOGLETRANSLATE(B19861,""en"",""it"")"),"Una ragazza si sta mostrando seduta su un pavimento a parlare con la telecamera e fingendo di ferro.")</f>
        <v>Una ragazza si sta mostrando seduta su un pavimento a parlare con la telecamera e fingendo di ferro.</v>
      </c>
    </row>
    <row r="19862">
      <c r="A19862" s="4" t="s">
        <v>24994</v>
      </c>
      <c r="B19862" s="4" t="s">
        <v>24996</v>
      </c>
      <c r="C19862" s="5" t="str">
        <f>IFERROR(__xludf.DUMMYFUNCTION("GOOGLETRANSLATE(B19862,""en"",""it"")"),"Prega la bottiglia d'acqua sui vestiti e nei ferri che lo fa più volte.")</f>
        <v>Prega la bottiglia d'acqua sui vestiti e nei ferri che lo fa più volte.</v>
      </c>
    </row>
    <row r="19863">
      <c r="A19863" s="4" t="s">
        <v>24994</v>
      </c>
      <c r="B19863" s="4" t="s">
        <v>24997</v>
      </c>
      <c r="C19863" s="5" t="str">
        <f>IFERROR(__xludf.DUMMYFUNCTION("GOOGLETRANSLATE(B19863,""en"",""it"")"),"Si gira sulla maglietta per continuare a stirare e si affaccia in lontananza.")</f>
        <v>Si gira sulla maglietta per continuare a stirare e si affaccia in lontananza.</v>
      </c>
    </row>
    <row r="19864">
      <c r="A19864" s="4" t="s">
        <v>24998</v>
      </c>
      <c r="B19864" s="6" t="s">
        <v>24999</v>
      </c>
      <c r="C19864" s="5" t="str">
        <f>IFERROR(__xludf.DUMMYFUNCTION("GOOGLETRANSLATE(B19864,""en"",""it"")"),"Due bambini sono visti sedersi in una vasca da bagno con uno che tiene un secchio e la tenuta sorridente e ridente.")</f>
        <v>Due bambini sono visti sedersi in una vasca da bagno con uno che tiene un secchio e la tenuta sorridente e ridente.</v>
      </c>
    </row>
    <row r="19865">
      <c r="A19865" s="4" t="s">
        <v>24998</v>
      </c>
      <c r="B19865" s="6" t="s">
        <v>25000</v>
      </c>
      <c r="C19865" s="5" t="str">
        <f>IFERROR(__xludf.DUMMYFUNCTION("GOOGLETRANSLATE(B19865,""en"",""it"")"),"Il ragazzo si riversa il secchio sul viso e una mano gli dà un asciugamano mentre la ragazza le spruzza anche il viso.")</f>
        <v>Il ragazzo si riversa il secchio sul viso e una mano gli dà un asciugamano mentre la ragazza le spruzza anche il viso.</v>
      </c>
    </row>
    <row r="19866">
      <c r="A19866" s="4" t="s">
        <v>24998</v>
      </c>
      <c r="B19866" s="4" t="s">
        <v>25001</v>
      </c>
      <c r="C19866" s="5" t="str">
        <f>IFERROR(__xludf.DUMMYFUNCTION("GOOGLETRANSLATE(B19866,""en"",""it"")"),"Gli spruzzano di nuovo annaffiano con il secchio e si strofina gli occhi.")</f>
        <v>Gli spruzzano di nuovo annaffiano con il secchio e si strofina gli occhi.</v>
      </c>
    </row>
    <row r="19867">
      <c r="A19867" s="4" t="s">
        <v>25002</v>
      </c>
      <c r="B19867" s="4" t="s">
        <v>25003</v>
      </c>
      <c r="C19867" s="5" t="str">
        <f>IFERROR(__xludf.DUMMYFUNCTION("GOOGLETRANSLATE(B19867,""en"",""it"")"),"Un ornamento d'oro viene mostrato appeso a un albero di Natale.")</f>
        <v>Un ornamento d'oro viene mostrato appeso a un albero di Natale.</v>
      </c>
    </row>
    <row r="19868">
      <c r="A19868" s="4" t="s">
        <v>25002</v>
      </c>
      <c r="B19868" s="4" t="s">
        <v>25004</v>
      </c>
      <c r="C19868" s="5" t="str">
        <f>IFERROR(__xludf.DUMMYFUNCTION("GOOGLETRANSLATE(B19868,""en"",""it"")"),"Due donne sono sul pavimento, avvolgendo regali.")</f>
        <v>Due donne sono sul pavimento, avvolgendo regali.</v>
      </c>
    </row>
    <row r="19869">
      <c r="A19869" s="4" t="s">
        <v>25002</v>
      </c>
      <c r="B19869" s="4" t="s">
        <v>25005</v>
      </c>
      <c r="C19869" s="5" t="str">
        <f>IFERROR(__xludf.DUMMYFUNCTION("GOOGLETRANSLATE(B19869,""en"",""it"")"),"Tagliano la carta e la registrano intorno alle scatole prima di aggiungere archi.")</f>
        <v>Tagliano la carta e la registrano intorno alle scatole prima di aggiungere archi.</v>
      </c>
    </row>
    <row r="19870">
      <c r="A19870" s="4" t="s">
        <v>25002</v>
      </c>
      <c r="B19870" s="4" t="s">
        <v>25006</v>
      </c>
      <c r="C19870" s="5" t="str">
        <f>IFERROR(__xludf.DUMMYFUNCTION("GOOGLETRANSLATE(B19870,""en"",""it"")"),"Vediamo quindi l'albero completato, adornato con un anello di regali avvolti alla base.")</f>
        <v>Vediamo quindi l'albero completato, adornato con un anello di regali avvolti alla base.</v>
      </c>
    </row>
    <row r="19871">
      <c r="A19871" s="4" t="s">
        <v>25007</v>
      </c>
      <c r="B19871" s="4" t="s">
        <v>25008</v>
      </c>
      <c r="C19871" s="5" t="str">
        <f>IFERROR(__xludf.DUMMYFUNCTION("GOOGLETRANSLATE(B19871,""en"",""it"")"),"Un ragazzo che indossa occhiali da sole viene mostrato spingendo un lungo rasaerba attraverso un prato.")</f>
        <v>Un ragazzo che indossa occhiali da sole viene mostrato spingendo un lungo rasaerba attraverso un prato.</v>
      </c>
    </row>
    <row r="19872">
      <c r="A19872" s="4" t="s">
        <v>25007</v>
      </c>
      <c r="B19872" s="4" t="s">
        <v>25009</v>
      </c>
      <c r="C19872" s="5" t="str">
        <f>IFERROR(__xludf.DUMMYFUNCTION("GOOGLETRANSLATE(B19872,""en"",""it"")"),"La telecamera lo segue continuamente mentre si sposta indietro e quarto con il tosaerba sul prato.")</f>
        <v>La telecamera lo segue continuamente mentre si sposta indietro e quarto con il tosaerba sul prato.</v>
      </c>
    </row>
    <row r="19873">
      <c r="A19873" s="4" t="s">
        <v>25007</v>
      </c>
      <c r="B19873" s="4" t="s">
        <v>25010</v>
      </c>
      <c r="C19873" s="5" t="str">
        <f>IFERROR(__xludf.DUMMYFUNCTION("GOOGLETRANSLATE(B19873,""en"",""it"")"),"Finalmente viene mostrata una foto di lui che dorme sul divano.")</f>
        <v>Finalmente viene mostrata una foto di lui che dorme sul divano.</v>
      </c>
    </row>
    <row r="19874">
      <c r="A19874" s="4" t="s">
        <v>25011</v>
      </c>
      <c r="B19874" s="4" t="s">
        <v>25012</v>
      </c>
      <c r="C19874" s="5" t="str">
        <f>IFERROR(__xludf.DUMMYFUNCTION("GOOGLETRANSLATE(B19874,""en"",""it"")"),"Una donna viene vista spingere un tosaerba lungo un po 'di erba alta mentre si sposta indietro e quarto.")</f>
        <v>Una donna viene vista spingere un tosaerba lungo un po 'di erba alta mentre si sposta indietro e quarto.</v>
      </c>
    </row>
    <row r="19875">
      <c r="A19875" s="4" t="s">
        <v>25011</v>
      </c>
      <c r="B19875" s="6" t="s">
        <v>25013</v>
      </c>
      <c r="C19875" s="5" t="str">
        <f>IFERROR(__xludf.DUMMYFUNCTION("GOOGLETRANSLATE(B19875,""en"",""it"")"),"La donna continua a spingere la macchina intorno al cortile e gira le spalle verso la telecamera per falciare la parte posteriore.")</f>
        <v>La donna continua a spingere la macchina intorno al cortile e gira le spalle verso la telecamera per falciare la parte posteriore.</v>
      </c>
    </row>
    <row r="19876">
      <c r="A19876" s="4" t="s">
        <v>25014</v>
      </c>
      <c r="B19876" s="4" t="s">
        <v>25015</v>
      </c>
      <c r="C19876" s="5" t="str">
        <f>IFERROR(__xludf.DUMMYFUNCTION("GOOGLETRANSLATE(B19876,""en"",""it"")"),"La donna dice alcune parole all'inizio mentre la ballerina si trova in silenzio.")</f>
        <v>La donna dice alcune parole all'inizio mentre la ballerina si trova in silenzio.</v>
      </c>
    </row>
    <row r="19877">
      <c r="A19877" s="4" t="s">
        <v>25014</v>
      </c>
      <c r="B19877" s="4" t="s">
        <v>25016</v>
      </c>
      <c r="C19877" s="5" t="str">
        <f>IFERROR(__xludf.DUMMYFUNCTION("GOOGLETRANSLATE(B19877,""en"",""it"")"),"Innanzitutto il ballerino si assicura che le sue gambe siano posizionate correttamente.")</f>
        <v>Innanzitutto il ballerino si assicura che le sue gambe siano posizionate correttamente.</v>
      </c>
    </row>
    <row r="19878">
      <c r="A19878" s="4" t="s">
        <v>25014</v>
      </c>
      <c r="B19878" s="4" t="s">
        <v>25017</v>
      </c>
      <c r="C19878" s="5" t="str">
        <f>IFERROR(__xludf.DUMMYFUNCTION("GOOGLETRANSLATE(B19878,""en"",""it"")"),"Quindi il ballerino di balletto porta un piede in una coupé.")</f>
        <v>Quindi il ballerino di balletto porta un piede in una coupé.</v>
      </c>
    </row>
    <row r="19879">
      <c r="A19879" s="4" t="s">
        <v>25014</v>
      </c>
      <c r="B19879" s="4" t="s">
        <v>25018</v>
      </c>
      <c r="C19879" s="5" t="str">
        <f>IFERROR(__xludf.DUMMYFUNCTION("GOOGLETRANSLATE(B19879,""en"",""it"")"),"Successivamente raddrizza entrambe le gambe e mette una gamba nella parte anteriore e la riporta indietro.")</f>
        <v>Successivamente raddrizza entrambe le gambe e mette una gamba nella parte anteriore e la riporta indietro.</v>
      </c>
    </row>
    <row r="19880">
      <c r="A19880" s="4" t="s">
        <v>25014</v>
      </c>
      <c r="B19880" s="4" t="s">
        <v>25019</v>
      </c>
      <c r="C19880" s="5" t="str">
        <f>IFERROR(__xludf.DUMMYFUNCTION("GOOGLETRANSLATE(B19880,""en"",""it"")"),"Quindi ripete di nuovo quei 3 passi.")</f>
        <v>Quindi ripete di nuovo quei 3 passi.</v>
      </c>
    </row>
    <row r="19881">
      <c r="A19881" s="4" t="s">
        <v>25020</v>
      </c>
      <c r="B19881" s="4" t="s">
        <v>25021</v>
      </c>
      <c r="C19881" s="5" t="str">
        <f>IFERROR(__xludf.DUMMYFUNCTION("GOOGLETRANSLATE(B19881,""en"",""it"")"),"Una vecchia signora maglietta con un ago rosso e lana rossa.")</f>
        <v>Una vecchia signora maglietta con un ago rosso e lana rossa.</v>
      </c>
    </row>
    <row r="19882">
      <c r="A19882" s="4" t="s">
        <v>25020</v>
      </c>
      <c r="B19882" s="4" t="s">
        <v>25022</v>
      </c>
      <c r="C19882" s="5" t="str">
        <f>IFERROR(__xludf.DUMMYFUNCTION("GOOGLETRANSLATE(B19882,""en"",""it"")"),"Una vecchia signora smette di lavorare a maglia e parla continuamente.")</f>
        <v>Una vecchia signora smette di lavorare a maglia e parla continuamente.</v>
      </c>
    </row>
    <row r="19883">
      <c r="A19883" s="4" t="s">
        <v>25020</v>
      </c>
      <c r="B19883" s="4" t="s">
        <v>25023</v>
      </c>
      <c r="C19883" s="5" t="str">
        <f>IFERROR(__xludf.DUMMYFUNCTION("GOOGLETRANSLATE(B19883,""en"",""it"")"),"La vecchia signora mosse di nuovo ed esamina la sua creazione.")</f>
        <v>La vecchia signora mosse di nuovo ed esamina la sua creazione.</v>
      </c>
    </row>
    <row r="19884">
      <c r="A19884" s="4" t="s">
        <v>25024</v>
      </c>
      <c r="B19884" s="4" t="s">
        <v>25025</v>
      </c>
      <c r="C19884" s="5" t="str">
        <f>IFERROR(__xludf.DUMMYFUNCTION("GOOGLETRANSLATE(B19884,""en"",""it"")"),"Una bambina slitta in una barca gonfiabile tenuta a una corda davanti a un uomo, improvvisamente cade in una cavità.")</f>
        <v>Una bambina slitta in una barca gonfiabile tenuta a una corda davanti a un uomo, improvvisamente cade in una cavità.</v>
      </c>
    </row>
    <row r="19885">
      <c r="A19885" s="4" t="s">
        <v>25024</v>
      </c>
      <c r="B19885" s="4" t="s">
        <v>25026</v>
      </c>
      <c r="C19885" s="5" t="str">
        <f>IFERROR(__xludf.DUMMYFUNCTION("GOOGLETRANSLATE(B19885,""en"",""it"")"),"Le persone portano barche in slitta e la bambina è su una barca a slitta.")</f>
        <v>Le persone portano barche in slitta e la bambina è su una barca a slitta.</v>
      </c>
    </row>
    <row r="19886">
      <c r="A19886" s="4" t="s">
        <v>25024</v>
      </c>
      <c r="B19886" s="4" t="s">
        <v>25027</v>
      </c>
      <c r="C19886" s="5" t="str">
        <f>IFERROR(__xludf.DUMMYFUNCTION("GOOGLETRANSLATE(B19886,""en"",""it"")"),"Dopo che un gruppo di persone slitte faceva giù per la collina fino a quando non si incontrano altre persone.")</f>
        <v>Dopo che un gruppo di persone slitte faceva giù per la collina fino a quando non si incontrano altre persone.</v>
      </c>
    </row>
    <row r="19887">
      <c r="A19887" s="4" t="s">
        <v>25028</v>
      </c>
      <c r="B19887" s="4" t="s">
        <v>25029</v>
      </c>
      <c r="C19887" s="5" t="str">
        <f>IFERROR(__xludf.DUMMYFUNCTION("GOOGLETRANSLATE(B19887,""en"",""it"")"),"Una ragazza si sta applicando la protezione solare in faccia.")</f>
        <v>Una ragazza si sta applicando la protezione solare in faccia.</v>
      </c>
    </row>
    <row r="19888">
      <c r="A19888" s="4" t="s">
        <v>25028</v>
      </c>
      <c r="B19888" s="4" t="s">
        <v>25030</v>
      </c>
      <c r="C19888" s="5" t="str">
        <f>IFERROR(__xludf.DUMMYFUNCTION("GOOGLETRANSLATE(B19888,""en"",""it"")"),"Una spiaggia è affollata di persone mentre un motoroboat accelera attraverso l'acqua.")</f>
        <v>Una spiaggia è affollata di persone mentre un motoroboat accelera attraverso l'acqua.</v>
      </c>
    </row>
    <row r="19889">
      <c r="A19889" s="4" t="s">
        <v>25028</v>
      </c>
      <c r="B19889" s="4" t="s">
        <v>25031</v>
      </c>
      <c r="C19889" s="5" t="str">
        <f>IFERROR(__xludf.DUMMYFUNCTION("GOOGLETRANSLATE(B19889,""en"",""it"")"),"Spetta un medico della Cleveland Clinic di nome Jennifer Lucas.")</f>
        <v>Spetta un medico della Cleveland Clinic di nome Jennifer Lucas.</v>
      </c>
    </row>
    <row r="19890">
      <c r="A19890" s="4" t="s">
        <v>25028</v>
      </c>
      <c r="B19890" s="4" t="s">
        <v>25032</v>
      </c>
      <c r="C19890" s="5" t="str">
        <f>IFERROR(__xludf.DUMMYFUNCTION("GOOGLETRANSLATE(B19890,""en"",""it"")"),"Le persone si applicano la crema solare l'un l'altro all'aperto.")</f>
        <v>Le persone si applicano la crema solare l'un l'altro all'aperto.</v>
      </c>
    </row>
    <row r="19891">
      <c r="A19891" s="4" t="s">
        <v>25033</v>
      </c>
      <c r="B19891" s="6" t="s">
        <v>25034</v>
      </c>
      <c r="C19891" s="5" t="str">
        <f>IFERROR(__xludf.DUMMYFUNCTION("GOOGLETRANSLATE(B19891,""en"",""it"")"),"Una ragazza nomina Ashley vestita con tutte le passeggiate viola lentamente, poi si trasforma in vista naturale di sporco e fiori.")</f>
        <v>Una ragazza nomina Ashley vestita con tutte le passeggiate viola lentamente, poi si trasforma in vista naturale di sporco e fiori.</v>
      </c>
    </row>
    <row r="19892">
      <c r="A19892" s="4" t="s">
        <v>25033</v>
      </c>
      <c r="B19892" s="4" t="s">
        <v>25035</v>
      </c>
      <c r="C19892" s="5" t="str">
        <f>IFERROR(__xludf.DUMMYFUNCTION("GOOGLETRANSLATE(B19892,""en"",""it"")"),"Ashley esce vestindosi con la sua automobilistica e cammina lentamente la bici.")</f>
        <v>Ashley esce vestindosi con la sua automobilistica e cammina lentamente la bici.</v>
      </c>
    </row>
    <row r="19893">
      <c r="A19893" s="4" t="s">
        <v>25033</v>
      </c>
      <c r="B19893" s="6" t="s">
        <v>25036</v>
      </c>
      <c r="C19893" s="5" t="str">
        <f>IFERROR(__xludf.DUMMYFUNCTION("GOOGLETRANSLATE(B19893,""en"",""it"")"),"Esce e inizia a cavalcare la terra, catturando un po 'di aria molto in alto dopo aver colpito le piccole colline di montagna.")</f>
        <v>Esce e inizia a cavalcare la terra, catturando un po 'di aria molto in alto dopo aver colpito le piccole colline di montagna.</v>
      </c>
    </row>
    <row r="19894">
      <c r="A19894" s="4" t="s">
        <v>25033</v>
      </c>
      <c r="B19894" s="6" t="s">
        <v>25037</v>
      </c>
      <c r="C19894" s="5" t="str">
        <f>IFERROR(__xludf.DUMMYFUNCTION("GOOGLETRANSLATE(B19894,""en"",""it"")"),"Parla in un linguaggio dei segni con un altro pilota per un po ', ma prima di restituire la terra per cavalcare un po' di più.")</f>
        <v>Parla in un linguaggio dei segni con un altro pilota per un po ', ma prima di restituire la terra per cavalcare un po' di più.</v>
      </c>
    </row>
    <row r="19895">
      <c r="A19895" s="4" t="s">
        <v>25038</v>
      </c>
      <c r="B19895" s="6" t="s">
        <v>25039</v>
      </c>
      <c r="C19895" s="5" t="str">
        <f>IFERROR(__xludf.DUMMYFUNCTION("GOOGLETRANSLATE(B19895,""en"",""it"")"),"La donna è in cucina a parlare con la telecamera e mostra ingredienti che sono sopra un bancone.")</f>
        <v>La donna è in cucina a parlare con la telecamera e mostra ingredienti che sono sopra un bancone.</v>
      </c>
    </row>
    <row r="19896">
      <c r="A19896" s="4" t="s">
        <v>25038</v>
      </c>
      <c r="B19896" s="4" t="s">
        <v>25040</v>
      </c>
      <c r="C19896" s="5" t="str">
        <f>IFERROR(__xludf.DUMMYFUNCTION("GOOGLETRANSLATE(B19896,""en"",""it"")"),"La donna tiene un limone e lo stringe in un barattolo di acqua di plastica e mescola con zucchero.")</f>
        <v>La donna tiene un limone e lo stringe in un barattolo di acqua di plastica e mescola con zucchero.</v>
      </c>
    </row>
    <row r="19897">
      <c r="A19897" s="4" t="s">
        <v>25038</v>
      </c>
      <c r="B19897" s="6" t="s">
        <v>25041</v>
      </c>
      <c r="C19897" s="5" t="str">
        <f>IFERROR(__xludf.DUMMYFUNCTION("GOOGLETRANSLATE(B19897,""en"",""it"")"),"La donna tiene un coltello e tagli i limoni in piccoli pezzi e aggiunge soda al barattolo e ai limoni tritati insieme a fragole.")</f>
        <v>La donna tiene un coltello e tagli i limoni in piccoli pezzi e aggiunge soda al barattolo e ai limoni tritati insieme a fragole.</v>
      </c>
    </row>
    <row r="19898">
      <c r="A19898" s="4" t="s">
        <v>25042</v>
      </c>
      <c r="B19898" s="4" t="s">
        <v>25043</v>
      </c>
      <c r="C19898" s="5" t="str">
        <f>IFERROR(__xludf.DUMMYFUNCTION("GOOGLETRANSLATE(B19898,""en"",""it"")"),"Una donna usa un pezzo di gesso su una tela.")</f>
        <v>Una donna usa un pezzo di gesso su una tela.</v>
      </c>
    </row>
    <row r="19899">
      <c r="A19899" s="4" t="s">
        <v>25042</v>
      </c>
      <c r="B19899" s="4" t="s">
        <v>25044</v>
      </c>
      <c r="C19899" s="5" t="str">
        <f>IFERROR(__xludf.DUMMYFUNCTION("GOOGLETRANSLATE(B19899,""en"",""it"")"),"Quindi usa diversi colori di vernice per creare un'immagine.")</f>
        <v>Quindi usa diversi colori di vernice per creare un'immagine.</v>
      </c>
    </row>
    <row r="19900">
      <c r="A19900" s="4" t="s">
        <v>25042</v>
      </c>
      <c r="B19900" s="4" t="s">
        <v>25045</v>
      </c>
      <c r="C19900" s="5" t="str">
        <f>IFERROR(__xludf.DUMMYFUNCTION("GOOGLETRANSLATE(B19900,""en"",""it"")"),"Quando ha finito, vediamo un'immagine morta di un'arancia su un bancone.")</f>
        <v>Quando ha finito, vediamo un'immagine morta di un'arancia su un bancone.</v>
      </c>
    </row>
    <row r="19901">
      <c r="A19901" s="4" t="s">
        <v>25046</v>
      </c>
      <c r="B19901" s="6" t="s">
        <v>25047</v>
      </c>
      <c r="C19901" s="5" t="str">
        <f>IFERROR(__xludf.DUMMYFUNCTION("GOOGLETRANSLATE(B19901,""en"",""it"")"),"Un piccolo gruppo di ragazze viene visto uscire su un lago con tubi e conduce ad altri che cavalcano nei tubi.")</f>
        <v>Un piccolo gruppo di ragazze viene visto uscire su un lago con tubi e conduce ad altri che cavalcano nei tubi.</v>
      </c>
    </row>
    <row r="19902">
      <c r="A19902" s="4" t="s">
        <v>25046</v>
      </c>
      <c r="B19902" s="6" t="s">
        <v>25048</v>
      </c>
      <c r="C19902" s="5" t="str">
        <f>IFERROR(__xludf.DUMMYFUNCTION("GOOGLETRANSLATE(B19902,""en"",""it"")"),"Le persone continuano a guidare lungo il fiume sui tubi e la fotocamera si lancia attorno al grande gruppo.")</f>
        <v>Le persone continuano a guidare lungo il fiume sui tubi e la fotocamera si lancia attorno al grande gruppo.</v>
      </c>
    </row>
    <row r="19903">
      <c r="A19903" s="4" t="s">
        <v>25046</v>
      </c>
      <c r="B19903" s="4" t="s">
        <v>25049</v>
      </c>
      <c r="C19903" s="5" t="str">
        <f>IFERROR(__xludf.DUMMYFUNCTION("GOOGLETRANSLATE(B19903,""en"",""it"")"),"La passeggiata al largo della riva e si parla tra loro seguita dai tubi appesi e l'autobus parcheggiava.")</f>
        <v>La passeggiata al largo della riva e si parla tra loro seguita dai tubi appesi e l'autobus parcheggiava.</v>
      </c>
    </row>
    <row r="19904">
      <c r="A19904" s="4" t="s">
        <v>25050</v>
      </c>
      <c r="B19904" s="6" t="s">
        <v>25051</v>
      </c>
      <c r="C19904" s="5" t="str">
        <f>IFERROR(__xludf.DUMMYFUNCTION("GOOGLETRANSLATE(B19904,""en"",""it"")"),"Una donna viene vista camminare lungo una serie di scale e inizia a eseguire una routine di fronte a un vasto pubblico.")</f>
        <v>Una donna viene vista camminare lungo una serie di scale e inizia a eseguire una routine di fronte a un vasto pubblico.</v>
      </c>
    </row>
    <row r="19905">
      <c r="A19905" s="4" t="s">
        <v>25050</v>
      </c>
      <c r="B19905" s="6" t="s">
        <v>25052</v>
      </c>
      <c r="C19905" s="5" t="str">
        <f>IFERROR(__xludf.DUMMYFUNCTION("GOOGLETRANSLATE(B19905,""en"",""it"")"),"La donna continua a ballare sul palco mentre un gruppo di persone suonano strumenti dietro di lei.")</f>
        <v>La donna continua a ballare sul palco mentre un gruppo di persone suonano strumenti dietro di lei.</v>
      </c>
    </row>
    <row r="19906">
      <c r="A19906" s="4" t="s">
        <v>25053</v>
      </c>
      <c r="B19906" s="6" t="s">
        <v>25054</v>
      </c>
      <c r="C19906" s="5" t="str">
        <f>IFERROR(__xludf.DUMMYFUNCTION("GOOGLETRANSLATE(B19906,""en"",""it"")"),"I materiali di pulizia si siedono accanto a un doppio lavello, quindi una persona mette una bottiglia con liquido blu accanto ai materiali di pulizia.")</f>
        <v>I materiali di pulizia si siedono accanto a un doppio lavello, quindi una persona mette una bottiglia con liquido blu accanto ai materiali di pulizia.</v>
      </c>
    </row>
    <row r="19907">
      <c r="A19907" s="4" t="s">
        <v>25053</v>
      </c>
      <c r="B19907" s="4" t="s">
        <v>25055</v>
      </c>
      <c r="C19907" s="5" t="str">
        <f>IFERROR(__xludf.DUMMYFUNCTION("GOOGLETRANSLATE(B19907,""en"",""it"")"),"Dopo, la persona versa un po 'di liquido blu nel lavandino e strofina i lavandini con una spugna.")</f>
        <v>Dopo, la persona versa un po 'di liquido blu nel lavandino e strofina i lavandini con una spugna.</v>
      </c>
    </row>
    <row r="19908">
      <c r="A19908" s="4" t="s">
        <v>25053</v>
      </c>
      <c r="B19908" s="4" t="s">
        <v>25056</v>
      </c>
      <c r="C19908" s="5" t="str">
        <f>IFERROR(__xludf.DUMMYFUNCTION("GOOGLETRANSLATE(B19908,""en"",""it"")"),"Dopo, la persona sciacqua i lavandini con acqua e si asciuga con un panno.")</f>
        <v>Dopo, la persona sciacqua i lavandini con acqua e si asciuga con un panno.</v>
      </c>
    </row>
    <row r="19909">
      <c r="A19909" s="4" t="s">
        <v>25057</v>
      </c>
      <c r="B19909" s="4" t="s">
        <v>25058</v>
      </c>
      <c r="C19909" s="5" t="str">
        <f>IFERROR(__xludf.DUMMYFUNCTION("GOOGLETRANSLATE(B19909,""en"",""it"")"),"Un uomo sta pattinando su una pista indoor con uno spazzino mentre la gente guarda.")</f>
        <v>Un uomo sta pattinando su una pista indoor con uno spazzino mentre la gente guarda.</v>
      </c>
    </row>
    <row r="19910">
      <c r="A19910" s="4" t="s">
        <v>25057</v>
      </c>
      <c r="B19910" s="4" t="s">
        <v>25059</v>
      </c>
      <c r="C19910" s="5" t="str">
        <f>IFERROR(__xludf.DUMMYFUNCTION("GOOGLETRANSLATE(B19910,""en"",""it"")"),"Pulisce il pavimento mentre le persone cercano di parlargli.")</f>
        <v>Pulisce il pavimento mentre le persone cercano di parlargli.</v>
      </c>
    </row>
    <row r="19911">
      <c r="A19911" s="4" t="s">
        <v>25057</v>
      </c>
      <c r="B19911" s="4" t="s">
        <v>25060</v>
      </c>
      <c r="C19911" s="5" t="str">
        <f>IFERROR(__xludf.DUMMYFUNCTION("GOOGLETRANSLATE(B19911,""en"",""it"")"),"Un uomo cade e scivola, e un altro lo afferra in una rissa.")</f>
        <v>Un uomo cade e scivola, e un altro lo afferra in una rissa.</v>
      </c>
    </row>
    <row r="19912">
      <c r="A19912" s="4" t="s">
        <v>25061</v>
      </c>
      <c r="B19912" s="4" t="s">
        <v>25062</v>
      </c>
      <c r="C19912" s="5" t="str">
        <f>IFERROR(__xludf.DUMMYFUNCTION("GOOGLETRANSLATE(B19912,""en"",""it"")"),"Diversi uomini si trovano in un'arena sporca.")</f>
        <v>Diversi uomini si trovano in un'arena sporca.</v>
      </c>
    </row>
    <row r="19913">
      <c r="A19913" s="4" t="s">
        <v>25061</v>
      </c>
      <c r="B19913" s="4" t="s">
        <v>25063</v>
      </c>
      <c r="C19913" s="5" t="str">
        <f>IFERROR(__xludf.DUMMYFUNCTION("GOOGLETRANSLATE(B19913,""en"",""it"")"),"Molti altri uomini si siedono sui cavalli.")</f>
        <v>Molti altri uomini si siedono sui cavalli.</v>
      </c>
    </row>
    <row r="19914">
      <c r="A19914" s="4" t="s">
        <v>25061</v>
      </c>
      <c r="B19914" s="4" t="s">
        <v>25064</v>
      </c>
      <c r="C19914" s="5" t="str">
        <f>IFERROR(__xludf.DUMMYFUNCTION("GOOGLETRANSLATE(B19914,""en"",""it"")"),"Un cancello si apre e un vitello si esaurisce da vicino seguito da un uomo a cavallo.")</f>
        <v>Un cancello si apre e un vitello si esaurisce da vicino seguito da un uomo a cavallo.</v>
      </c>
    </row>
    <row r="19915">
      <c r="A19915" s="4" t="s">
        <v>25061</v>
      </c>
      <c r="B19915" s="6" t="s">
        <v>25065</v>
      </c>
      <c r="C19915" s="5" t="str">
        <f>IFERROR(__xludf.DUMMYFUNCTION("GOOGLETRANSLATE(B19915,""en"",""it"")"),"L'uomo sul cavallo lancia un lazo attorno al collo del polpaccio che strappa il vitello per atterrare sulla schiena.")</f>
        <v>L'uomo sul cavallo lancia un lazo attorno al collo del polpaccio che strappa il vitello per atterrare sulla schiena.</v>
      </c>
    </row>
    <row r="19916">
      <c r="A19916" s="4" t="s">
        <v>25061</v>
      </c>
      <c r="B19916" s="4" t="s">
        <v>25066</v>
      </c>
      <c r="C19916" s="5" t="str">
        <f>IFERROR(__xludf.DUMMYFUNCTION("GOOGLETRANSLATE(B19916,""en"",""it"")"),"L'uomo salta dal suo cavallo e corre e lega il vitello.")</f>
        <v>L'uomo salta dal suo cavallo e corre e lega il vitello.</v>
      </c>
    </row>
    <row r="19917">
      <c r="A19917" s="4" t="s">
        <v>25061</v>
      </c>
      <c r="B19917" s="4" t="s">
        <v>25067</v>
      </c>
      <c r="C19917" s="5" t="str">
        <f>IFERROR(__xludf.DUMMYFUNCTION("GOOGLETRANSLATE(B19917,""en"",""it"")"),"L'uomo si alza e torna indietro per salire a cavallo.")</f>
        <v>L'uomo si alza e torna indietro per salire a cavallo.</v>
      </c>
    </row>
    <row r="19918">
      <c r="A19918" s="4" t="s">
        <v>25061</v>
      </c>
      <c r="B19918" s="4" t="s">
        <v>25068</v>
      </c>
      <c r="C19918" s="5" t="str">
        <f>IFERROR(__xludf.DUMMYFUNCTION("GOOGLETRANSLATE(B19918,""en"",""it"")"),"Diversi uomini corrono per liberare il polpaccio mentre si alza e scappa.")</f>
        <v>Diversi uomini corrono per liberare il polpaccio mentre si alza e scappa.</v>
      </c>
    </row>
    <row r="19919">
      <c r="A19919" s="4" t="s">
        <v>25069</v>
      </c>
      <c r="B19919" s="6" t="s">
        <v>25070</v>
      </c>
      <c r="C19919" s="5" t="str">
        <f>IFERROR(__xludf.DUMMYFUNCTION("GOOGLETRANSLATE(B19919,""en"",""it"")"),"Un gruppo di persone nuota in una piscina interna con altri nuotatori in piedi sul lato della piscina.")</f>
        <v>Un gruppo di persone nuota in una piscina interna con altri nuotatori in piedi sul lato della piscina.</v>
      </c>
    </row>
    <row r="19920">
      <c r="A19920" s="4" t="s">
        <v>25069</v>
      </c>
      <c r="B19920" s="6" t="s">
        <v>25071</v>
      </c>
      <c r="C19920" s="5" t="str">
        <f>IFERROR(__xludf.DUMMYFUNCTION("GOOGLETRANSLATE(B19920,""en"",""it"")"),"I bambini a margine saltano su e giù con tappi da bagno e costumi da bagno mentre guardano le persone che sono già in piscina a nuotare.")</f>
        <v>I bambini a margine saltano su e giù con tappi da bagno e costumi da bagno mentre guardano le persone che sono già in piscina a nuotare.</v>
      </c>
    </row>
    <row r="19921">
      <c r="A19921" s="4" t="s">
        <v>25069</v>
      </c>
      <c r="B19921" s="6" t="s">
        <v>25072</v>
      </c>
      <c r="C19921" s="5" t="str">
        <f>IFERROR(__xludf.DUMMYFUNCTION("GOOGLETRANSLATE(B19921,""en"",""it"")"),"Una persona cammina vicino alla telecamera mentre la telecamera traballante si concentra sulle persone che sono già in piscina.")</f>
        <v>Una persona cammina vicino alla telecamera mentre la telecamera traballante si concentra sulle persone che sono già in piscina.</v>
      </c>
    </row>
    <row r="19922">
      <c r="A19922" s="4" t="s">
        <v>25073</v>
      </c>
      <c r="B19922" s="6" t="s">
        <v>25074</v>
      </c>
      <c r="C19922" s="5" t="str">
        <f>IFERROR(__xludf.DUMMYFUNCTION("GOOGLETRANSLATE(B19922,""en"",""it"")"),"Due persone vengono viste eseguire vari calci e trucchi l'uno attorno all'altro mentre un folto gruppo di persone guardano dai lati.")</f>
        <v>Due persone vengono viste eseguire vari calci e trucchi l'uno attorno all'altro mentre un folto gruppo di persone guardano dai lati.</v>
      </c>
    </row>
    <row r="19923">
      <c r="A19923" s="4" t="s">
        <v>25073</v>
      </c>
      <c r="B19923" s="6" t="s">
        <v>25075</v>
      </c>
      <c r="C19923" s="5" t="str">
        <f>IFERROR(__xludf.DUMMYFUNCTION("GOOGLETRANSLATE(B19923,""en"",""it"")"),"Più continuano a calciare l'uno intorno all'altro nel mezzo del cerchio mentre altri guardano e reagiscono sul lato.")</f>
        <v>Più continuano a calciare l'uno intorno all'altro nel mezzo del cerchio mentre altri guardano e reagiscono sul lato.</v>
      </c>
    </row>
    <row r="19924">
      <c r="A19924" s="4" t="s">
        <v>25076</v>
      </c>
      <c r="B19924" s="6" t="s">
        <v>25077</v>
      </c>
      <c r="C19924" s="5" t="str">
        <f>IFERROR(__xludf.DUMMYFUNCTION("GOOGLETRANSLATE(B19924,""en"",""it"")"),"Un giovane che indossa jeans blu e una camicia a bottoni a maniche lunga a piazze blu e bianca è seduta a terra con le gambe larghe aperte su una tavola che ha numeri in forma triangolare.")</f>
        <v>Un giovane che indossa jeans blu e una camicia a bottoni a maniche lunga a piazze blu e bianca è seduta a terra con le gambe larghe aperte su una tavola che ha numeri in forma triangolare.</v>
      </c>
    </row>
    <row r="19925">
      <c r="A19925" s="4" t="s">
        <v>25076</v>
      </c>
      <c r="B19925" s="6" t="s">
        <v>25078</v>
      </c>
      <c r="C19925" s="5" t="str">
        <f>IFERROR(__xludf.DUMMYFUNCTION("GOOGLETRANSLATE(B19925,""en"",""it"")"),"Ci sono due donne anziane che tengono bastoncini e si stanno preparando a colpire i dischi su per il tabellone nel cavallo dell'uomo mentre 5 uomini sono in piedi accanto alla tavola a guardare e rabbrividire.")</f>
        <v>Ci sono due donne anziane che tengono bastoncini e si stanno preparando a colpire i dischi su per il tabellone nel cavallo dell'uomo mentre 5 uomini sono in piedi accanto alla tavola a guardare e rabbrividire.</v>
      </c>
    </row>
    <row r="19926">
      <c r="A19926" s="4" t="s">
        <v>25076</v>
      </c>
      <c r="B19926" s="6" t="s">
        <v>25079</v>
      </c>
      <c r="C19926" s="5" t="str">
        <f>IFERROR(__xludf.DUMMYFUNCTION("GOOGLETRANSLATE(B19926,""en"",""it"")"),"La donna spinge il disco su per la tavola e colpisce l'uomo nel cavallo, la seconda donna spinge il disco su tutta la linea e colpisce molto l'uomo nel cavallo molto forte e tutti i ragazzi ridono e gridano e poi aiutano il ragazzo a salire.")</f>
        <v>La donna spinge il disco su per la tavola e colpisce l'uomo nel cavallo, la seconda donna spinge il disco su tutta la linea e colpisce molto l'uomo nel cavallo molto forte e tutti i ragazzi ridono e gridano e poi aiutano il ragazzo a salire.</v>
      </c>
    </row>
    <row r="19927">
      <c r="A19927" s="4" t="s">
        <v>25080</v>
      </c>
      <c r="B19927" s="6" t="s">
        <v>25081</v>
      </c>
      <c r="C19927" s="5" t="str">
        <f>IFERROR(__xludf.DUMMYFUNCTION("GOOGLETRANSLATE(B19927,""en"",""it"")"),"Una ginnasta viene vista strofinandosi le mani e si avvicina a una serie di bar irregolari e alza le mani.")</f>
        <v>Una ginnasta viene vista strofinandosi le mani e si avvicina a una serie di bar irregolari e alza le mani.</v>
      </c>
    </row>
    <row r="19928">
      <c r="A19928" s="4" t="s">
        <v>25080</v>
      </c>
      <c r="B19928" s="4" t="s">
        <v>25082</v>
      </c>
      <c r="C19928" s="5" t="str">
        <f>IFERROR(__xludf.DUMMYFUNCTION("GOOGLETRANSLATE(B19928,""en"",""it"")"),"L'uomo esegue una routine sui bar mentre centinaia di persone guardano a margine.")</f>
        <v>L'uomo esegue una routine sui bar mentre centinaia di persone guardano a margine.</v>
      </c>
    </row>
    <row r="19929">
      <c r="A19929" s="4" t="s">
        <v>25080</v>
      </c>
      <c r="B19929" s="4" t="s">
        <v>25083</v>
      </c>
      <c r="C19929" s="5" t="str">
        <f>IFERROR(__xludf.DUMMYFUNCTION("GOOGLETRANSLATE(B19929,""en"",""it"")"),"Salta giù, agita le braccia in aria e dopo si avvicina al suo allenatore.")</f>
        <v>Salta giù, agita le braccia in aria e dopo si avvicina al suo allenatore.</v>
      </c>
    </row>
    <row r="19930">
      <c r="A19930" s="4" t="s">
        <v>25084</v>
      </c>
      <c r="B19930" s="6" t="s">
        <v>25085</v>
      </c>
      <c r="C19930" s="5" t="str">
        <f>IFERROR(__xludf.DUMMYFUNCTION("GOOGLETRANSLATE(B19930,""en"",""it"")"),"Un uomo attraversa una corda sospesa tra due montagne alte in aria usando le braccia per equilibrio.")</f>
        <v>Un uomo attraversa una corda sospesa tra due montagne alte in aria usando le braccia per equilibrio.</v>
      </c>
    </row>
    <row r="19931">
      <c r="A19931" s="4" t="s">
        <v>25084</v>
      </c>
      <c r="B19931" s="6" t="s">
        <v>25086</v>
      </c>
      <c r="C19931" s="5" t="str">
        <f>IFERROR(__xludf.DUMMYFUNCTION("GOOGLETRANSLATE(B19931,""en"",""it"")"),"Un uomo attraversa una corda sospesa in aria, perdendo equilibrio a un certo punto e aggrappandosi alla corda con le mani e i piedi avvolti attorno alla corda.")</f>
        <v>Un uomo attraversa una corda sospesa in aria, perdendo equilibrio a un certo punto e aggrappandosi alla corda con le mani e i piedi avvolti attorno alla corda.</v>
      </c>
    </row>
    <row r="19932">
      <c r="A19932" s="4" t="s">
        <v>25084</v>
      </c>
      <c r="B19932" s="6" t="s">
        <v>25087</v>
      </c>
      <c r="C19932" s="5" t="str">
        <f>IFERROR(__xludf.DUMMYFUNCTION("GOOGLETRANSLATE(B19932,""en"",""it"")"),"L'uomo è quindi in grado di sollevare abbastanza sulla corda per sedersi su di essa con la corda tra le sue gambe.")</f>
        <v>L'uomo è quindi in grado di sollevare abbastanza sulla corda per sedersi su di essa con la corda tra le sue gambe.</v>
      </c>
    </row>
    <row r="19933">
      <c r="A19933" s="4" t="s">
        <v>25088</v>
      </c>
      <c r="B19933" s="6" t="s">
        <v>25089</v>
      </c>
      <c r="C19933" s="5" t="str">
        <f>IFERROR(__xludf.DUMMYFUNCTION("GOOGLETRANSLATE(B19933,""en"",""it"")"),"Una persona viene vista eseguire un trucco su uno snowboard seguito da più una donna che parla alla telecamera.")</f>
        <v>Una persona viene vista eseguire un trucco su uno snowboard seguito da più una donna che parla alla telecamera.</v>
      </c>
    </row>
    <row r="19934">
      <c r="A19934" s="4" t="s">
        <v>25088</v>
      </c>
      <c r="B19934" s="4" t="s">
        <v>25090</v>
      </c>
      <c r="C19934" s="5" t="str">
        <f>IFERROR(__xludf.DUMMYFUNCTION("GOOGLETRANSLATE(B19934,""en"",""it"")"),"Vengono mostrate diverse altre clip di persone che cavalcano snowboard ed eseguono trucchi su una tavola.")</f>
        <v>Vengono mostrate diverse altre clip di persone che cavalcano snowboard ed eseguono trucchi su una tavola.</v>
      </c>
    </row>
    <row r="19935">
      <c r="A19935" s="4" t="s">
        <v>25088</v>
      </c>
      <c r="B19935" s="4" t="s">
        <v>25091</v>
      </c>
      <c r="C19935" s="5" t="str">
        <f>IFERROR(__xludf.DUMMYFUNCTION("GOOGLETRANSLATE(B19935,""en"",""it"")"),"Più persone vengono viste cavalcare su una tavola e parlare alla telecamera.")</f>
        <v>Più persone vengono viste cavalcare su una tavola e parlare alla telecamera.</v>
      </c>
    </row>
    <row r="19936">
      <c r="A19936" s="4" t="s">
        <v>25092</v>
      </c>
      <c r="B19936" s="4" t="s">
        <v>25093</v>
      </c>
      <c r="C19936" s="5" t="str">
        <f>IFERROR(__xludf.DUMMYFUNCTION("GOOGLETRANSLATE(B19936,""en"",""it"")"),"Una persona sciare su una guida da sci e gira in aria, quindi atterra sulla neve.")</f>
        <v>Una persona sciare su una guida da sci e gira in aria, quindi atterra sulla neve.</v>
      </c>
    </row>
    <row r="19937">
      <c r="A19937" s="4" t="s">
        <v>25092</v>
      </c>
      <c r="B19937" s="4" t="s">
        <v>25094</v>
      </c>
      <c r="C19937" s="5" t="str">
        <f>IFERROR(__xludf.DUMMYFUNCTION("GOOGLETRANSLATE(B19937,""en"",""it"")"),"La persona sciare su una rampa e vola in aria molto alta.")</f>
        <v>La persona sciare su una rampa e vola in aria molto alta.</v>
      </c>
    </row>
    <row r="19938">
      <c r="A19938" s="4" t="s">
        <v>25092</v>
      </c>
      <c r="B19938" s="4" t="s">
        <v>25095</v>
      </c>
      <c r="C19938" s="5" t="str">
        <f>IFERROR(__xludf.DUMMYFUNCTION("GOOGLETRANSLATE(B19938,""en"",""it"")"),"Quindi, la persona sciare sui binari di una casa che gira e poi atterra per strada.")</f>
        <v>Quindi, la persona sciare sui binari di una casa che gira e poi atterra per strada.</v>
      </c>
    </row>
    <row r="19939">
      <c r="A19939" s="4" t="s">
        <v>25092</v>
      </c>
      <c r="B19939" s="4" t="s">
        <v>25096</v>
      </c>
      <c r="C19939" s="5" t="str">
        <f>IFERROR(__xludf.DUMMYFUNCTION("GOOGLETRANSLATE(B19939,""en"",""it"")"),"Quindi, una persona sciare sul recinto di un ponte a piedi e anche sciare sulle scale.")</f>
        <v>Quindi, una persona sciare sul recinto di un ponte a piedi e anche sciare sulle scale.</v>
      </c>
    </row>
    <row r="19940">
      <c r="A19940" s="4" t="s">
        <v>25097</v>
      </c>
      <c r="B19940" s="4" t="s">
        <v>25098</v>
      </c>
      <c r="C19940" s="5" t="str">
        <f>IFERROR(__xludf.DUMMYFUNCTION("GOOGLETRANSLATE(B19940,""en"",""it"")"),"Viene visto un uomo in cerettare un set di sci mentre guarda indietro per parlare alla telecamera.")</f>
        <v>Viene visto un uomo in cerettare un set di sci mentre guarda indietro per parlare alla telecamera.</v>
      </c>
    </row>
    <row r="19941">
      <c r="A19941" s="4" t="s">
        <v>25097</v>
      </c>
      <c r="B19941" s="6" t="s">
        <v>25099</v>
      </c>
      <c r="C19941" s="5" t="str">
        <f>IFERROR(__xludf.DUMMYFUNCTION("GOOGLETRANSLATE(B19941,""en"",""it"")"),"L'uomo continua a muovere le braccia su e giù per gli sci, alzando lo sguardo per parlare alla telecamera ogni tanto.")</f>
        <v>L'uomo continua a muovere le braccia su e giù per gli sci, alzando lo sguardo per parlare alla telecamera ogni tanto.</v>
      </c>
    </row>
    <row r="19942">
      <c r="A19942" s="4" t="s">
        <v>25100</v>
      </c>
      <c r="B19942" s="4" t="s">
        <v>25101</v>
      </c>
      <c r="C19942" s="5" t="str">
        <f>IFERROR(__xludf.DUMMYFUNCTION("GOOGLETRANSLATE(B19942,""en"",""it"")"),"Si vedono preparati intagliati di pepe.")</f>
        <v>Si vedono preparati intagliati di pepe.</v>
      </c>
    </row>
    <row r="19943">
      <c r="A19943" s="4" t="s">
        <v>25100</v>
      </c>
      <c r="B19943" s="6" t="s">
        <v>25102</v>
      </c>
      <c r="C19943" s="5" t="str">
        <f>IFERROR(__xludf.DUMMYFUNCTION("GOOGLETRANSLATE(B19943,""en"",""it"")"),"Una donna usa un coltello per ritagliarsi il centro e le caratteristiche del viso di un peperone, quindi si posiziona in un piatto.")</f>
        <v>Una donna usa un coltello per ritagliarsi il centro e le caratteristiche del viso di un peperone, quindi si posiziona in un piatto.</v>
      </c>
    </row>
    <row r="19944">
      <c r="A19944" s="4" t="s">
        <v>25100</v>
      </c>
      <c r="B19944" s="4" t="s">
        <v>25103</v>
      </c>
      <c r="C19944" s="5" t="str">
        <f>IFERROR(__xludf.DUMMYFUNCTION("GOOGLETRANSLATE(B19944,""en"",""it"")"),"La donna aggiunge verdure tritate, salsa e uova in una ciotola capiente.")</f>
        <v>La donna aggiunge verdure tritate, salsa e uova in una ciotola capiente.</v>
      </c>
    </row>
    <row r="19945">
      <c r="A19945" s="4" t="s">
        <v>25100</v>
      </c>
      <c r="B19945" s="4" t="s">
        <v>25104</v>
      </c>
      <c r="C19945" s="5" t="str">
        <f>IFERROR(__xludf.DUMMYFUNCTION("GOOGLETRANSLATE(B19945,""en"",""it"")"),"La donna usa una spatola per mescolare tutto insieme.")</f>
        <v>La donna usa una spatola per mescolare tutto insieme.</v>
      </c>
    </row>
    <row r="19946">
      <c r="A19946" s="4" t="s">
        <v>25100</v>
      </c>
      <c r="B19946" s="4" t="s">
        <v>25105</v>
      </c>
      <c r="C19946" s="5" t="str">
        <f>IFERROR(__xludf.DUMMYFUNCTION("GOOGLETRANSLATE(B19946,""en"",""it"")"),"Un cucchiaio viene utilizzato per aggiungere ingredienti ai peperoni cavi.")</f>
        <v>Un cucchiaio viene utilizzato per aggiungere ingredienti ai peperoni cavi.</v>
      </c>
    </row>
    <row r="19947">
      <c r="A19947" s="4" t="s">
        <v>25100</v>
      </c>
      <c r="B19947" s="4" t="s">
        <v>25106</v>
      </c>
      <c r="C19947" s="5" t="str">
        <f>IFERROR(__xludf.DUMMYFUNCTION("GOOGLETRANSLATE(B19947,""en"",""it"")"),"Il formaggio viene aggiunto alle cime dei peperoni e le cime vengono poste su di loro.")</f>
        <v>Il formaggio viene aggiunto alle cime dei peperoni e le cime vengono poste su di loro.</v>
      </c>
    </row>
    <row r="19948">
      <c r="A19948" s="4" t="s">
        <v>25100</v>
      </c>
      <c r="B19948" s="4" t="s">
        <v>25107</v>
      </c>
      <c r="C19948" s="5" t="str">
        <f>IFERROR(__xludf.DUMMYFUNCTION("GOOGLETRANSLATE(B19948,""en"",""it"")"),"I peperoni vengono rimossi dal piatto e mettono un piatto.")</f>
        <v>I peperoni vengono rimossi dal piatto e mettono un piatto.</v>
      </c>
    </row>
    <row r="19949">
      <c r="A19949" s="4" t="s">
        <v>25100</v>
      </c>
      <c r="B19949" s="4" t="s">
        <v>25108</v>
      </c>
      <c r="C19949" s="5" t="str">
        <f>IFERROR(__xludf.DUMMYFUNCTION("GOOGLETRANSLATE(B19949,""en"",""it"")"),"I peperoni finiti sono visti sul tagliere.")</f>
        <v>I peperoni finiti sono visti sul tagliere.</v>
      </c>
    </row>
    <row r="19950">
      <c r="A19950" s="4" t="s">
        <v>25100</v>
      </c>
      <c r="B19950" s="4" t="s">
        <v>25109</v>
      </c>
      <c r="C19950" s="5" t="str">
        <f>IFERROR(__xludf.DUMMYFUNCTION("GOOGLETRANSLATE(B19950,""en"",""it"")"),"Una donna aggiunge ingredienti a un piatto di casseruola.")</f>
        <v>Una donna aggiunge ingredienti a un piatto di casseruola.</v>
      </c>
    </row>
    <row r="19951">
      <c r="A19951" s="4" t="s">
        <v>25110</v>
      </c>
      <c r="B19951" s="4" t="s">
        <v>25111</v>
      </c>
      <c r="C19951" s="5" t="str">
        <f>IFERROR(__xludf.DUMMYFUNCTION("GOOGLETRANSLATE(B19951,""en"",""it"")"),"Le navi sono mostrate nell'acqua.")</f>
        <v>Le navi sono mostrate nell'acqua.</v>
      </c>
    </row>
    <row r="19952">
      <c r="A19952" s="4" t="s">
        <v>25110</v>
      </c>
      <c r="B19952" s="4" t="s">
        <v>25112</v>
      </c>
      <c r="C19952" s="5" t="str">
        <f>IFERROR(__xludf.DUMMYFUNCTION("GOOGLETRANSLATE(B19952,""en"",""it"")"),"Gli uomini camminano su una strada.")</f>
        <v>Gli uomini camminano su una strada.</v>
      </c>
    </row>
    <row r="19953">
      <c r="A19953" s="4" t="s">
        <v>25110</v>
      </c>
      <c r="B19953" s="4" t="s">
        <v>25113</v>
      </c>
      <c r="C19953" s="5" t="str">
        <f>IFERROR(__xludf.DUMMYFUNCTION("GOOGLETRANSLATE(B19953,""en"",""it"")"),"Un uomo con una camicia gialla sta cavalcando su una barca.")</f>
        <v>Un uomo con una camicia gialla sta cavalcando su una barca.</v>
      </c>
    </row>
    <row r="19954">
      <c r="A19954" s="4" t="s">
        <v>25110</v>
      </c>
      <c r="B19954" s="4" t="s">
        <v>25114</v>
      </c>
      <c r="C19954" s="5" t="str">
        <f>IFERROR(__xludf.DUMMYFUNCTION("GOOGLETRANSLATE(B19954,""en"",""it"")"),"Le persone che guardano gli uomini nella barca stanno applaudendo.")</f>
        <v>Le persone che guardano gli uomini nella barca stanno applaudendo.</v>
      </c>
    </row>
    <row r="19955">
      <c r="A19955" s="4" t="s">
        <v>25115</v>
      </c>
      <c r="B19955" s="4" t="s">
        <v>25116</v>
      </c>
      <c r="C19955" s="5" t="str">
        <f>IFERROR(__xludf.DUMMYFUNCTION("GOOGLETRANSLATE(B19955,""en"",""it"")"),"Una donna è seduta, un uomo è in piedi e una bambina si arrampica sull'attrezzatura da gioco.")</f>
        <v>Una donna è seduta, un uomo è in piedi e una bambina si arrampica sull'attrezzatura da gioco.</v>
      </c>
    </row>
    <row r="19956">
      <c r="A19956" s="4" t="s">
        <v>25115</v>
      </c>
      <c r="B19956" s="4" t="s">
        <v>25117</v>
      </c>
      <c r="C19956" s="5" t="str">
        <f>IFERROR(__xludf.DUMMYFUNCTION("GOOGLETRANSLATE(B19956,""en"",""it"")"),"Scende, appesa alle barre delle scimmie mentre finge di calciare l'uomo.")</f>
        <v>Scende, appesa alle barre delle scimmie mentre finge di calciare l'uomo.</v>
      </c>
    </row>
    <row r="19957">
      <c r="A19957" s="4" t="s">
        <v>25115</v>
      </c>
      <c r="B19957" s="4" t="s">
        <v>25118</v>
      </c>
      <c r="C19957" s="5" t="str">
        <f>IFERROR(__xludf.DUMMYFUNCTION("GOOGLETRANSLATE(B19957,""en"",""it"")"),"Oscilla fino alla fine e atterra tra le braccia di un altro uomo.")</f>
        <v>Oscilla fino alla fine e atterra tra le braccia di un altro uomo.</v>
      </c>
    </row>
    <row r="19958">
      <c r="A19958" s="4" t="s">
        <v>25119</v>
      </c>
      <c r="B19958" s="6" t="s">
        <v>25120</v>
      </c>
      <c r="C19958" s="5" t="str">
        <f>IFERROR(__xludf.DUMMYFUNCTION("GOOGLETRANSLATE(B19958,""en"",""it"")"),"Tre persone sono in piedi fuori sotto un gazebo di cemento molto grande e brevemente la parola bianca ""Maranhao"" è sul lato destro dello schermo.")</f>
        <v>Tre persone sono in piedi fuori sotto un gazebo di cemento molto grande e brevemente la parola bianca "Maranhao" è sul lato destro dello schermo.</v>
      </c>
    </row>
    <row r="19959">
      <c r="A19959" s="4" t="s">
        <v>25119</v>
      </c>
      <c r="B19959" s="6" t="s">
        <v>25121</v>
      </c>
      <c r="C19959" s="5" t="str">
        <f>IFERROR(__xludf.DUMMYFUNCTION("GOOGLETRANSLATE(B19959,""en"",""it"")"),"Un uomo con uno strumento inizia a camminare verso le tre persone e inizia a regolare il suo strumento.")</f>
        <v>Un uomo con uno strumento inizia a camminare verso le tre persone e inizia a regolare il suo strumento.</v>
      </c>
    </row>
    <row r="19960">
      <c r="A19960" s="4" t="s">
        <v>25119</v>
      </c>
      <c r="B19960" s="6" t="s">
        <v>25122</v>
      </c>
      <c r="C19960" s="5" t="str">
        <f>IFERROR(__xludf.DUMMYFUNCTION("GOOGLETRANSLATE(B19960,""en"",""it"")"),"Due delle persone iniziano a ballare, la donna inizia a cantare, quindi tutte le persone stanno tenendo strumenti e sorridono mentre iniziano a suonare i loro strumenti, ballare e cantare insieme.")</f>
        <v>Due delle persone iniziano a ballare, la donna inizia a cantare, quindi tutte le persone stanno tenendo strumenti e sorridono mentre iniziano a suonare i loro strumenti, ballare e cantare insieme.</v>
      </c>
    </row>
    <row r="19961">
      <c r="A19961" s="4" t="s">
        <v>25123</v>
      </c>
      <c r="B19961" s="4" t="s">
        <v>25124</v>
      </c>
      <c r="C19961" s="5" t="str">
        <f>IFERROR(__xludf.DUMMYFUNCTION("GOOGLETRANSLATE(B19961,""en"",""it"")"),"Quest'uomo viene mostrato sollevare un peso molto pesante all'inizio del video.")</f>
        <v>Quest'uomo viene mostrato sollevare un peso molto pesante all'inizio del video.</v>
      </c>
    </row>
    <row r="19962">
      <c r="A19962" s="4" t="s">
        <v>25123</v>
      </c>
      <c r="B19962" s="4" t="s">
        <v>25125</v>
      </c>
      <c r="C19962" s="5" t="str">
        <f>IFERROR(__xludf.DUMMYFUNCTION("GOOGLETRANSLATE(B19962,""en"",""it"")"),"Quindi un altro uomo fa la stessa cosa e lo solleva con successo.")</f>
        <v>Quindi un altro uomo fa la stessa cosa e lo solleva con successo.</v>
      </c>
    </row>
    <row r="19963">
      <c r="A19963" s="4" t="s">
        <v>25123</v>
      </c>
      <c r="B19963" s="4" t="s">
        <v>25126</v>
      </c>
      <c r="C19963" s="5" t="str">
        <f>IFERROR(__xludf.DUMMYFUNCTION("GOOGLETRANSLATE(B19963,""en"",""it"")"),"Quando ha finito, qualcuno sale sul palco e gli abbraccia.")</f>
        <v>Quando ha finito, qualcuno sale sul palco e gli abbraccia.</v>
      </c>
    </row>
    <row r="19964">
      <c r="A19964" s="4" t="s">
        <v>25123</v>
      </c>
      <c r="B19964" s="4" t="s">
        <v>25127</v>
      </c>
      <c r="C19964" s="5" t="str">
        <f>IFERROR(__xludf.DUMMYFUNCTION("GOOGLETRANSLATE(B19964,""en"",""it"")"),"Gli viene quindi data una medaglia.")</f>
        <v>Gli viene quindi data una medaglia.</v>
      </c>
    </row>
    <row r="19965">
      <c r="A19965" s="4" t="s">
        <v>25128</v>
      </c>
      <c r="B19965" s="4" t="s">
        <v>25129</v>
      </c>
      <c r="C19965" s="5" t="str">
        <f>IFERROR(__xludf.DUMMYFUNCTION("GOOGLETRANSLATE(B19965,""en"",""it"")"),"Vediamo una palestra piena di persone che guardano mentre le persone saltano la corda.")</f>
        <v>Vediamo una palestra piena di persone che guardano mentre le persone saltano la corda.</v>
      </c>
    </row>
    <row r="19966">
      <c r="A19966" s="4" t="s">
        <v>25128</v>
      </c>
      <c r="B19966" s="4" t="s">
        <v>25130</v>
      </c>
      <c r="C19966" s="5" t="str">
        <f>IFERROR(__xludf.DUMMYFUNCTION("GOOGLETRANSLATE(B19966,""en"",""it"")"),"Vediamo l'esterno dell'edificio e un uomo viene intervistato con scatti dell'interno.")</f>
        <v>Vediamo l'esterno dell'edificio e un uomo viene intervistato con scatti dell'interno.</v>
      </c>
    </row>
    <row r="19967">
      <c r="A19967" s="4" t="s">
        <v>25128</v>
      </c>
      <c r="B19967" s="4" t="s">
        <v>25131</v>
      </c>
      <c r="C19967" s="5" t="str">
        <f>IFERROR(__xludf.DUMMYFUNCTION("GOOGLETRANSLATE(B19967,""en"",""it"")"),"Guardiamo Girl esibirsi See signore che servono snack e guardiamo un'altra persona esibirsi.")</f>
        <v>Guardiamo Girl esibirsi See signore che servono snack e guardiamo un'altra persona esibirsi.</v>
      </c>
    </row>
    <row r="19968">
      <c r="A19968" s="4" t="s">
        <v>25128</v>
      </c>
      <c r="B19968" s="4" t="s">
        <v>25132</v>
      </c>
      <c r="C19968" s="5" t="str">
        <f>IFERROR(__xludf.DUMMYFUNCTION("GOOGLETRANSLATE(B19968,""en"",""it"")"),"Vediamo ragazze intervistate fuori dalla stanza principale e scene dall'interno della palestra.")</f>
        <v>Vediamo ragazze intervistate fuori dalla stanza principale e scene dall'interno della palestra.</v>
      </c>
    </row>
    <row r="19969">
      <c r="A19969" s="4" t="s">
        <v>25128</v>
      </c>
      <c r="B19969" s="4" t="s">
        <v>25133</v>
      </c>
      <c r="C19969" s="5" t="str">
        <f>IFERROR(__xludf.DUMMYFUNCTION("GOOGLETRANSLATE(B19969,""en"",""it"")"),"Vediamo persone su gradinate e bambini saltare.")</f>
        <v>Vediamo persone su gradinate e bambini saltare.</v>
      </c>
    </row>
    <row r="19970">
      <c r="A19970" s="4" t="s">
        <v>25128</v>
      </c>
      <c r="B19970" s="4" t="s">
        <v>25134</v>
      </c>
      <c r="C19970" s="5" t="str">
        <f>IFERROR(__xludf.DUMMYFUNCTION("GOOGLETRANSLATE(B19970,""en"",""it"")"),"Vediamo quindi lo schermo di fine blu.")</f>
        <v>Vediamo quindi lo schermo di fine blu.</v>
      </c>
    </row>
    <row r="19971">
      <c r="A19971" s="4" t="s">
        <v>25135</v>
      </c>
      <c r="B19971" s="6" t="s">
        <v>25136</v>
      </c>
      <c r="C19971" s="5" t="str">
        <f>IFERROR(__xludf.DUMMYFUNCTION("GOOGLETRANSLATE(B19971,""en"",""it"")"),"La donna si presenta all'inizio del video e quindi vengono mostrate immagini diverse.")</f>
        <v>La donna si presenta all'inizio del video e quindi vengono mostrate immagini diverse.</v>
      </c>
    </row>
    <row r="19972">
      <c r="A19972" s="4" t="s">
        <v>25135</v>
      </c>
      <c r="B19972" s="6" t="s">
        <v>25137</v>
      </c>
      <c r="C19972" s="5" t="str">
        <f>IFERROR(__xludf.DUMMYFUNCTION("GOOGLETRANSLATE(B19972,""en"",""it"")"),"Parla anche del divertimento che puoi avere a Chicago e della sua grande produzione di Black Widow.")</f>
        <v>Parla anche del divertimento che puoi avere a Chicago e della sua grande produzione di Black Widow.</v>
      </c>
    </row>
    <row r="19973">
      <c r="A19973" s="4" t="s">
        <v>25138</v>
      </c>
      <c r="B19973" s="4" t="s">
        <v>25139</v>
      </c>
      <c r="C19973" s="5" t="str">
        <f>IFERROR(__xludf.DUMMYFUNCTION("GOOGLETRANSLATE(B19973,""en"",""it"")"),"L'uomo con camicia blu scuro è in ginocchio con un ginocchio.")</f>
        <v>L'uomo con camicia blu scuro è in ginocchio con un ginocchio.</v>
      </c>
    </row>
    <row r="19974">
      <c r="A19974" s="4" t="s">
        <v>25138</v>
      </c>
      <c r="B19974" s="4" t="s">
        <v>25140</v>
      </c>
      <c r="C19974" s="5" t="str">
        <f>IFERROR(__xludf.DUMMYFUNCTION("GOOGLETRANSLATE(B19974,""en"",""it"")"),"L'uomo dribbla la palla blu.")</f>
        <v>L'uomo dribbla la palla blu.</v>
      </c>
    </row>
    <row r="19975">
      <c r="A19975" s="4" t="s">
        <v>25138</v>
      </c>
      <c r="B19975" s="4" t="s">
        <v>25141</v>
      </c>
      <c r="C19975" s="5" t="str">
        <f>IFERROR(__xludf.DUMMYFUNCTION("GOOGLETRANSLATE(B19975,""en"",""it"")"),"L'uomo sta dribblando la palla su un fianco.")</f>
        <v>L'uomo sta dribblando la palla su un fianco.</v>
      </c>
    </row>
    <row r="19976">
      <c r="A19976" s="4" t="s">
        <v>25142</v>
      </c>
      <c r="B19976" s="6" t="s">
        <v>25143</v>
      </c>
      <c r="C19976" s="5" t="str">
        <f>IFERROR(__xludf.DUMMYFUNCTION("GOOGLETRANSLATE(B19976,""en"",""it"")"),"Diverse immagini sono mostrate all'inizio di vecchi tetti, nonché nuovi tetti e persone che lavorano su questi tetti.")</f>
        <v>Diverse immagini sono mostrate all'inizio di vecchi tetti, nonché nuovi tetti e persone che lavorano su questi tetti.</v>
      </c>
    </row>
    <row r="19977">
      <c r="A19977" s="4" t="s">
        <v>25142</v>
      </c>
      <c r="B19977" s="4" t="s">
        <v>25144</v>
      </c>
      <c r="C19977" s="5" t="str">
        <f>IFERROR(__xludf.DUMMYFUNCTION("GOOGLETRANSLATE(B19977,""en"",""it"")"),"Vengono mostrati più scatti di persone che spruzzano i tetti e distoglie lo sguardo dalla telecamera.")</f>
        <v>Vengono mostrati più scatti di persone che spruzzano i tetti e distoglie lo sguardo dalla telecamera.</v>
      </c>
    </row>
    <row r="19978">
      <c r="A19978" s="4" t="s">
        <v>25145</v>
      </c>
      <c r="B19978" s="4" t="s">
        <v>25146</v>
      </c>
      <c r="C19978" s="5" t="str">
        <f>IFERROR(__xludf.DUMMYFUNCTION("GOOGLETRANSLATE(B19978,""en"",""it"")"),"Una ginnasta si esibisce sui bar mentre una folla sta guardando.")</f>
        <v>Una ginnasta si esibisce sui bar mentre una folla sta guardando.</v>
      </c>
    </row>
    <row r="19979">
      <c r="A19979" s="4" t="s">
        <v>25145</v>
      </c>
      <c r="B19979" s="4" t="s">
        <v>25147</v>
      </c>
      <c r="C19979" s="5" t="str">
        <f>IFERROR(__xludf.DUMMYFUNCTION("GOOGLETRANSLATE(B19979,""en"",""it"")"),"Alla fine, la ginnasta gira intorno alle sbarre e salta sul materasso.")</f>
        <v>Alla fine, la ginnasta gira intorno alle sbarre e salta sul materasso.</v>
      </c>
    </row>
    <row r="19980">
      <c r="A19980" s="4" t="s">
        <v>25148</v>
      </c>
      <c r="B19980" s="6" t="s">
        <v>25149</v>
      </c>
      <c r="C19980" s="5" t="str">
        <f>IFERROR(__xludf.DUMMYFUNCTION("GOOGLETRANSLATE(B19980,""en"",""it"")"),"Una donna è vista seduta sul palco mentre canta in un microfono e persone sedute dietro i suoi strumenti di gioco.")</f>
        <v>Una donna è vista seduta sul palco mentre canta in un microfono e persone sedute dietro i suoi strumenti di gioco.</v>
      </c>
    </row>
    <row r="19981">
      <c r="A19981" s="4" t="s">
        <v>25148</v>
      </c>
      <c r="B19981" s="4" t="s">
        <v>25150</v>
      </c>
      <c r="C19981" s="5" t="str">
        <f>IFERROR(__xludf.DUMMYFUNCTION("GOOGLETRANSLATE(B19981,""en"",""it"")"),"La ragazza continua a cantare con la band e finisce parlando al pubblico.")</f>
        <v>La ragazza continua a cantare con la band e finisce parlando al pubblico.</v>
      </c>
    </row>
    <row r="19982">
      <c r="A19982" s="4" t="s">
        <v>25151</v>
      </c>
      <c r="B19982" s="4" t="s">
        <v>25152</v>
      </c>
      <c r="C19982" s="5" t="str">
        <f>IFERROR(__xludf.DUMMYFUNCTION("GOOGLETRANSLATE(B19982,""en"",""it"")"),"Una donna si trova accanto a un cavallo in un campo.")</f>
        <v>Una donna si trova accanto a un cavallo in un campo.</v>
      </c>
    </row>
    <row r="19983">
      <c r="A19983" s="4" t="s">
        <v>25151</v>
      </c>
      <c r="B19983" s="4" t="s">
        <v>25153</v>
      </c>
      <c r="C19983" s="5" t="str">
        <f>IFERROR(__xludf.DUMMYFUNCTION("GOOGLETRANSLATE(B19983,""en"",""it"")"),"""HJCTV Presents: Grooming Your Horse 101"" è sovrapposto.")</f>
        <v>"HJCTV Presents: Grooming Your Horse 101" è sovrapposto.</v>
      </c>
    </row>
    <row r="19984">
      <c r="A19984" s="4" t="s">
        <v>25151</v>
      </c>
      <c r="B19984" s="4" t="s">
        <v>25154</v>
      </c>
      <c r="C19984" s="5" t="str">
        <f>IFERROR(__xludf.DUMMYFUNCTION("GOOGLETRANSLATE(B19984,""en"",""it"")"),"Una donna si trova in una stalla con un cavallo con un pennello da toeletta, inizia a spazzolarlo.")</f>
        <v>Una donna si trova in una stalla con un cavallo con un pennello da toeletta, inizia a spazzolarlo.</v>
      </c>
    </row>
    <row r="19985">
      <c r="A19985" s="4" t="s">
        <v>25151</v>
      </c>
      <c r="B19985" s="4" t="s">
        <v>25155</v>
      </c>
      <c r="C19985" s="5" t="str">
        <f>IFERROR(__xludf.DUMMYFUNCTION("GOOGLETRANSLATE(B19985,""en"",""it"")"),"Due ragazze si trovano all'aperto con un altro cavallo e lo spazzolano.")</f>
        <v>Due ragazze si trovano all'aperto con un altro cavallo e lo spazzolano.</v>
      </c>
    </row>
    <row r="19986">
      <c r="A19986" s="4" t="s">
        <v>25151</v>
      </c>
      <c r="B19986" s="4" t="s">
        <v>25156</v>
      </c>
      <c r="C19986" s="5" t="str">
        <f>IFERROR(__xludf.DUMMYFUNCTION("GOOGLETRANSLATE(B19986,""en"",""it"")"),"La prima donna ritorna con un nuovo pennello e consente ai bambini di aiutare a spazzolare il cavallo.")</f>
        <v>La prima donna ritorna con un nuovo pennello e consente ai bambini di aiutare a spazzolare il cavallo.</v>
      </c>
    </row>
    <row r="19987">
      <c r="A19987" s="4" t="s">
        <v>25157</v>
      </c>
      <c r="B19987" s="4" t="s">
        <v>25158</v>
      </c>
      <c r="C19987" s="5" t="str">
        <f>IFERROR(__xludf.DUMMYFUNCTION("GOOGLETRANSLATE(B19987,""en"",""it"")"),"Una persona tiene un anello in una piccola scatola.")</f>
        <v>Una persona tiene un anello in una piccola scatola.</v>
      </c>
    </row>
    <row r="19988">
      <c r="A19988" s="4" t="s">
        <v>25157</v>
      </c>
      <c r="B19988" s="4" t="s">
        <v>25159</v>
      </c>
      <c r="C19988" s="5" t="str">
        <f>IFERROR(__xludf.DUMMYFUNCTION("GOOGLETRANSLATE(B19988,""en"",""it"")"),"Quindi, l'uomo avvolge la scatola con carta regalo.")</f>
        <v>Quindi, l'uomo avvolge la scatola con carta regalo.</v>
      </c>
    </row>
    <row r="19989">
      <c r="A19989" s="4" t="s">
        <v>25157</v>
      </c>
      <c r="B19989" s="4" t="s">
        <v>25160</v>
      </c>
      <c r="C19989" s="5" t="str">
        <f>IFERROR(__xludf.DUMMYFUNCTION("GOOGLETRANSLATE(B19989,""en"",""it"")"),"Dopo, l'uomo cerca di trovare la fine di un tiro a nastro scozzese, ma non riesce a trovarlo.")</f>
        <v>Dopo, l'uomo cerca di trovare la fine di un tiro a nastro scozzese, ma non riesce a trovarlo.</v>
      </c>
    </row>
    <row r="19990">
      <c r="A19990" s="4" t="s">
        <v>25157</v>
      </c>
      <c r="B19990" s="4" t="s">
        <v>25161</v>
      </c>
      <c r="C19990" s="5" t="str">
        <f>IFERROR(__xludf.DUMMYFUNCTION("GOOGLETRANSLATE(B19990,""en"",""it"")"),"L'uomo taglia l'eccesso di carta e mette il regalo.")</f>
        <v>L'uomo taglia l'eccesso di carta e mette il regalo.</v>
      </c>
    </row>
    <row r="19991">
      <c r="A19991" s="4" t="s">
        <v>25162</v>
      </c>
      <c r="B19991" s="6" t="s">
        <v>25163</v>
      </c>
      <c r="C19991" s="5" t="str">
        <f>IFERROR(__xludf.DUMMYFUNCTION("GOOGLETRANSLATE(B19991,""en"",""it"")"),"Quattro uomini eseguono una acrobazia di wrestling in costume mentre si trova su un palcoscenico elevato, illuminato davanti a un pubblico seduto.")</f>
        <v>Quattro uomini eseguono una acrobazia di wrestling in costume mentre si trova su un palcoscenico elevato, illuminato davanti a un pubblico seduto.</v>
      </c>
    </row>
    <row r="19992">
      <c r="A19992" s="4" t="s">
        <v>25162</v>
      </c>
      <c r="B19992" s="4" t="s">
        <v>25164</v>
      </c>
      <c r="C19992" s="5" t="str">
        <f>IFERROR(__xludf.DUMMYFUNCTION("GOOGLETRANSLATE(B19992,""en"",""it"")"),"Due uomini in nero solleva un uomo in un vestito blu luccicante, in su, sulle loro spalle.")</f>
        <v>Due uomini in nero solleva un uomo in un vestito blu luccicante, in su, sulle loro spalle.</v>
      </c>
    </row>
    <row r="19993">
      <c r="A19993" s="4" t="s">
        <v>25162</v>
      </c>
      <c r="B19993" s="6" t="s">
        <v>25165</v>
      </c>
      <c r="C19993" s="5" t="str">
        <f>IFERROR(__xludf.DUMMYFUNCTION("GOOGLETRANSLATE(B19993,""en"",""it"")"),"I due uomini in nero piazzano l'uomo nelle gambe blu intorno al collo di un altro uomo, l'uomo più grande sul palco, che è anche vestito di nero.")</f>
        <v>I due uomini in nero piazzano l'uomo nelle gambe blu intorno al collo di un altro uomo, l'uomo più grande sul palco, che è anche vestito di nero.</v>
      </c>
    </row>
    <row r="19994">
      <c r="A19994" s="4" t="s">
        <v>25162</v>
      </c>
      <c r="B19994" s="6" t="s">
        <v>25166</v>
      </c>
      <c r="C19994" s="5" t="str">
        <f>IFERROR(__xludf.DUMMYFUNCTION("GOOGLETRANSLATE(B19994,""en"",""it"")"),"Il grande uomo in nero prende quindi l'uomo in blu e lo sbatte giù, dal palco e su un tavolo vicino al palco, a quel punto l'uomo atterra con una forza che rompe il tavolo in due causando la caduta dell'uomo al uomo pavimento sotto il tavolo.")</f>
        <v>Il grande uomo in nero prende quindi l'uomo in blu e lo sbatte giù, dal palco e su un tavolo vicino al palco, a quel punto l'uomo atterra con una forza che rompe il tavolo in due causando la caduta dell'uomo al uomo pavimento sotto il tavolo.</v>
      </c>
    </row>
    <row r="19995">
      <c r="A19995" s="4" t="s">
        <v>25167</v>
      </c>
      <c r="B19995" s="6" t="s">
        <v>25168</v>
      </c>
      <c r="C19995" s="5" t="str">
        <f>IFERROR(__xludf.DUMMYFUNCTION("GOOGLETRANSLATE(B19995,""en"",""it"")"),"Ci sono due squadre che giocano a pallavolo in uno stadio indoor di fronte a un gran numero di spettatori.")</f>
        <v>Ci sono due squadre che giocano a pallavolo in uno stadio indoor di fronte a un gran numero di spettatori.</v>
      </c>
    </row>
    <row r="19996">
      <c r="A19996" s="4" t="s">
        <v>25167</v>
      </c>
      <c r="B19996" s="4" t="s">
        <v>25169</v>
      </c>
      <c r="C19996" s="5" t="str">
        <f>IFERROR(__xludf.DUMMYFUNCTION("GOOGLETRANSLATE(B19996,""en"",""it"")"),"La squadra verde e gialla sta giocando contro la squadra rossa.")</f>
        <v>La squadra verde e gialla sta giocando contro la squadra rossa.</v>
      </c>
    </row>
    <row r="19997">
      <c r="A19997" s="4" t="s">
        <v>25167</v>
      </c>
      <c r="B19997" s="4" t="s">
        <v>25170</v>
      </c>
      <c r="C19997" s="5" t="str">
        <f>IFERROR(__xludf.DUMMYFUNCTION("GOOGLETRANSLATE(B19997,""en"",""it"")"),"I giocatori si tuffano in alto per lanciare la palla attraverso la rete alla loro squadra avversaria.")</f>
        <v>I giocatori si tuffano in alto per lanciare la palla attraverso la rete alla loro squadra avversaria.</v>
      </c>
    </row>
    <row r="19998">
      <c r="A19998" s="4" t="s">
        <v>25167</v>
      </c>
      <c r="B19998" s="4" t="s">
        <v>25171</v>
      </c>
      <c r="C19998" s="5" t="str">
        <f>IFERROR(__xludf.DUMMYFUNCTION("GOOGLETRANSLATE(B19998,""en"",""it"")"),"Quindi la squadra verde e gialla gioca contro la squadra blu.")</f>
        <v>Quindi la squadra verde e gialla gioca contro la squadra blu.</v>
      </c>
    </row>
    <row r="19999">
      <c r="A19999" s="4" t="s">
        <v>25167</v>
      </c>
      <c r="B19999" s="4" t="s">
        <v>25172</v>
      </c>
      <c r="C19999" s="5" t="str">
        <f>IFERROR(__xludf.DUMMYFUNCTION("GOOGLETRANSLATE(B19999,""en"",""it"")"),"La squadra rossa è tornata a giocare con la squadra verde e gialla.")</f>
        <v>La squadra rossa è tornata a giocare con la squadra verde e gialla.</v>
      </c>
    </row>
    <row r="20000">
      <c r="A20000" s="4" t="s">
        <v>25167</v>
      </c>
      <c r="B20000" s="4" t="s">
        <v>25173</v>
      </c>
      <c r="C20000" s="5" t="str">
        <f>IFERROR(__xludf.DUMMYFUNCTION("GOOGLETRANSLATE(B20000,""en"",""it"")"),"Quindi la squadra blu torna a giocare contro la squadra verde e gialla.")</f>
        <v>Quindi la squadra blu torna a giocare contro la squadra verde e gialla.</v>
      </c>
    </row>
    <row r="20001">
      <c r="A20001" s="4" t="s">
        <v>25167</v>
      </c>
      <c r="B20001" s="6" t="s">
        <v>25174</v>
      </c>
      <c r="C20001" s="5" t="str">
        <f>IFERROR(__xludf.DUMMYFUNCTION("GOOGLETRANSLATE(B20001,""en"",""it"")"),"Il gioco Volley Ball continua mentre la squadra rossa e la squadra blu giocano alternativamente con i loro avversari.")</f>
        <v>Il gioco Volley Ball continua mentre la squadra rossa e la squadra blu giocano alternativamente con i loro avversari.</v>
      </c>
    </row>
    <row r="20002">
      <c r="A20002" s="4" t="s">
        <v>25175</v>
      </c>
      <c r="B20002" s="4" t="s">
        <v>25176</v>
      </c>
      <c r="C20002" s="5" t="str">
        <f>IFERROR(__xludf.DUMMYFUNCTION("GOOGLETRANSLATE(B20002,""en"",""it"")"),"Una telecamera si panoramica in tutto un pezzo di attrezzatura da esercizio seguita da una donna che ci cavalca.")</f>
        <v>Una telecamera si panoramica in tutto un pezzo di attrezzatura da esercizio seguita da una donna che ci cavalca.</v>
      </c>
    </row>
    <row r="20003">
      <c r="A20003" s="4" t="s">
        <v>25175</v>
      </c>
      <c r="B20003" s="4" t="s">
        <v>25177</v>
      </c>
      <c r="C20003" s="5" t="str">
        <f>IFERROR(__xludf.DUMMYFUNCTION("GOOGLETRANSLATE(B20003,""en"",""it"")"),"Una persona viene vista regolare le impostazioni della bici e andare in giro e bere acqua.")</f>
        <v>Una persona viene vista regolare le impostazioni della bici e andare in giro e bere acqua.</v>
      </c>
    </row>
    <row r="20004">
      <c r="A20004" s="4" t="s">
        <v>25175</v>
      </c>
      <c r="B20004" s="6" t="s">
        <v>25178</v>
      </c>
      <c r="C20004" s="5" t="str">
        <f>IFERROR(__xludf.DUMMYFUNCTION("GOOGLETRANSLATE(B20004,""en"",""it"")"),"Vengono mostrati altri scatti della donna che regola la macchina, oltre a rotolarla e continua a cavalcare.")</f>
        <v>Vengono mostrati altri scatti della donna che regola la macchina, oltre a rotolarla e continua a cavalcare.</v>
      </c>
    </row>
    <row r="20005">
      <c r="A20005" s="4" t="s">
        <v>25179</v>
      </c>
      <c r="B20005" s="6" t="s">
        <v>25180</v>
      </c>
      <c r="C20005" s="5" t="str">
        <f>IFERROR(__xludf.DUMMYFUNCTION("GOOGLETRANSLATE(B20005,""en"",""it"")"),"Un piccolo gruppo di persone viene visto nuotare in una piscina e condurre in diverse clip di persone che giocano e festeggiano.")</f>
        <v>Un piccolo gruppo di persone viene visto nuotare in una piscina e condurre in diverse clip di persone che giocano e festeggiano.</v>
      </c>
    </row>
    <row r="20006">
      <c r="A20006" s="4" t="s">
        <v>25179</v>
      </c>
      <c r="B20006" s="6" t="s">
        <v>25181</v>
      </c>
      <c r="C20006" s="5" t="str">
        <f>IFERROR(__xludf.DUMMYFUNCTION("GOOGLETRANSLATE(B20006,""en"",""it"")"),"Vengono quindi viste varie persone che parlano alla telecamera seguite da più clip del gioco mostrate e persone che celebrano.")</f>
        <v>Vengono quindi viste varie persone che parlano alla telecamera seguite da più clip del gioco mostrate e persone che celebrano.</v>
      </c>
    </row>
    <row r="20007">
      <c r="A20007" s="4" t="s">
        <v>25182</v>
      </c>
      <c r="B20007" s="4" t="s">
        <v>25183</v>
      </c>
      <c r="C20007" s="5" t="str">
        <f>IFERROR(__xludf.DUMMYFUNCTION("GOOGLETRANSLATE(B20007,""en"",""it"")"),"Un atleta maschio afroamericano sta camminando preparandosi a correre.")</f>
        <v>Un atleta maschio afroamericano sta camminando preparandosi a correre.</v>
      </c>
    </row>
    <row r="20008">
      <c r="A20008" s="4" t="s">
        <v>25182</v>
      </c>
      <c r="B20008" s="6" t="s">
        <v>25184</v>
      </c>
      <c r="C20008" s="5" t="str">
        <f>IFERROR(__xludf.DUMMYFUNCTION("GOOGLETRANSLATE(B20008,""en"",""it"")"),"Il maschio inizia quindi a correre da un angolo verso il tappetino e fa un salto in alto elimina la barra.")</f>
        <v>Il maschio inizia quindi a correre da un angolo verso il tappetino e fa un salto in alto elimina la barra.</v>
      </c>
    </row>
    <row r="20009">
      <c r="A20009" s="4" t="s">
        <v>25182</v>
      </c>
      <c r="B20009" s="4" t="s">
        <v>25185</v>
      </c>
      <c r="C20009" s="5" t="str">
        <f>IFERROR(__xludf.DUMMYFUNCTION("GOOGLETRANSLATE(B20009,""en"",""it"")"),"Viene mostrato un replay e la folla inizia a tifare per lui.")</f>
        <v>Viene mostrato un replay e la folla inizia a tifare per lui.</v>
      </c>
    </row>
    <row r="20010">
      <c r="A20010" s="4" t="s">
        <v>25186</v>
      </c>
      <c r="B20010" s="6" t="s">
        <v>25187</v>
      </c>
      <c r="C20010" s="5" t="str">
        <f>IFERROR(__xludf.DUMMYFUNCTION("GOOGLETRANSLATE(B20010,""en"",""it"")"),"Due uomini, una donna e un bambino camminano lungo la strada ma tutti gli adulti hanno scarpe di canguro.")</f>
        <v>Due uomini, una donna e un bambino camminano lungo la strada ma tutti gli adulti hanno scarpe di canguro.</v>
      </c>
    </row>
    <row r="20011">
      <c r="A20011" s="4" t="s">
        <v>25186</v>
      </c>
      <c r="B20011" s="6" t="s">
        <v>25188</v>
      </c>
      <c r="C20011" s="5" t="str">
        <f>IFERROR(__xludf.DUMMYFUNCTION("GOOGLETRANSLATE(B20011,""en"",""it"")"),"Le persone continuano a camminare passarli e i due maschi iniziano a saltare estremamente in alto mentre la signora si allontana con il bambino.")</f>
        <v>Le persone continuano a camminare passarli e i due maschi iniziano a saltare estremamente in alto mentre la signora si allontana con il bambino.</v>
      </c>
    </row>
    <row r="20012">
      <c r="A20012" s="4" t="s">
        <v>25186</v>
      </c>
      <c r="B20012" s="6" t="s">
        <v>25189</v>
      </c>
      <c r="C20012" s="5" t="str">
        <f>IFERROR(__xludf.DUMMYFUNCTION("GOOGLETRANSLATE(B20012,""en"",""it"")"),"Le quattro persone si muovono quindi davanti a un edificio e iniziano a sperare in poi una serie di passi in quello che sembra essere un cortile di corte.")</f>
        <v>Le quattro persone si muovono quindi davanti a un edificio e iniziano a sperare in poi una serie di passi in quello che sembra essere un cortile di corte.</v>
      </c>
    </row>
    <row r="20013">
      <c r="A20013" s="4" t="s">
        <v>25190</v>
      </c>
      <c r="B20013" s="4" t="s">
        <v>25191</v>
      </c>
      <c r="C20013" s="5" t="str">
        <f>IFERROR(__xludf.DUMMYFUNCTION("GOOGLETRANSLATE(B20013,""en"",""it"")"),"Un uomo viene visto in piedi in un garage e procede a suonare una serie di cornamuse.")</f>
        <v>Un uomo viene visto in piedi in un garage e procede a suonare una serie di cornamuse.</v>
      </c>
    </row>
    <row r="20014">
      <c r="A20014" s="4" t="s">
        <v>25190</v>
      </c>
      <c r="B20014" s="6" t="s">
        <v>25192</v>
      </c>
      <c r="C20014" s="5" t="str">
        <f>IFERROR(__xludf.DUMMYFUNCTION("GOOGLETRANSLATE(B20014,""en"",""it"")"),"L'uomo continua a suonare lo strumento mentre si muove le mani e si ferma alla fine per spegnere la telecamera.")</f>
        <v>L'uomo continua a suonare lo strumento mentre si muove le mani e si ferma alla fine per spegnere la telecamera.</v>
      </c>
    </row>
    <row r="20015">
      <c r="A20015" s="4" t="s">
        <v>25193</v>
      </c>
      <c r="B20015" s="4" t="s">
        <v>25194</v>
      </c>
      <c r="C20015" s="5" t="str">
        <f>IFERROR(__xludf.DUMMYFUNCTION("GOOGLETRANSLATE(B20015,""en"",""it"")"),"Diverse coppie di persone sono fuori nel deserto con in mano un selfie mentre viaggiano sui cammelli.")</f>
        <v>Diverse coppie di persone sono fuori nel deserto con in mano un selfie mentre viaggiano sui cammelli.</v>
      </c>
    </row>
    <row r="20016">
      <c r="A20016" s="4" t="s">
        <v>25193</v>
      </c>
      <c r="B20016" s="4" t="s">
        <v>25195</v>
      </c>
      <c r="C20016" s="5" t="str">
        <f>IFERROR(__xludf.DUMMYFUNCTION("GOOGLETRANSLATE(B20016,""en"",""it"")"),"Mentre continuano, alcune persone vengono e iniziano a filmare le persone con la propria macchina fotografica.")</f>
        <v>Mentre continuano, alcune persone vengono e iniziano a filmare le persone con la propria macchina fotografica.</v>
      </c>
    </row>
    <row r="20017">
      <c r="A20017" s="4" t="s">
        <v>25193</v>
      </c>
      <c r="B20017" s="6" t="s">
        <v>25196</v>
      </c>
      <c r="C20017" s="5" t="str">
        <f>IFERROR(__xludf.DUMMYFUNCTION("GOOGLETRANSLATE(B20017,""en"",""it"")"),"Ora, una fila di persone è nella sabbia solo in piedi a guardarle mentre le persone sul cammello iniziano a parlare con loro.")</f>
        <v>Ora, una fila di persone è nella sabbia solo in piedi a guardarle mentre le persone sul cammello iniziano a parlare con loro.</v>
      </c>
    </row>
    <row r="20018">
      <c r="A20018" s="4" t="s">
        <v>25197</v>
      </c>
      <c r="B20018" s="6" t="s">
        <v>25198</v>
      </c>
      <c r="C20018" s="5" t="str">
        <f>IFERROR(__xludf.DUMMYFUNCTION("GOOGLETRANSLATE(B20018,""en"",""it"")"),"Appare uno schermo bianco e le lettere verdi appaiono al centro dello schermo e leggono ""ehow"" e si trasforma in uno schermo blu che ha una grande parola bianca che legge ""salute"" sotto una piccola piazza bianca che contiene l'ehow verde.")</f>
        <v>Appare uno schermo bianco e le lettere verdi appaiono al centro dello schermo e leggono "ehow" e si trasforma in uno schermo blu che ha una grande parola bianca che legge "salute" sotto una piccola piazza bianca che contiene l'ehow verde.</v>
      </c>
    </row>
    <row r="20019">
      <c r="A20019" s="4" t="s">
        <v>25197</v>
      </c>
      <c r="B20019" s="6" t="s">
        <v>25199</v>
      </c>
      <c r="C20019" s="5" t="str">
        <f>IFERROR(__xludf.DUMMYFUNCTION("GOOGLETRANSLATE(B20019,""en"",""it"")"),"Un uomo che indossa abiti atletici è in piedi in una palestra al coperto facendo alcuni esercizi di combattimento e quando si ferma a parlare, uno striscione in basso a sinistra dice che si chiama Steve Hess ed è un personal trainer.")</f>
        <v>Un uomo che indossa abiti atletici è in piedi in una palestra al coperto facendo alcuni esercizi di combattimento e quando si ferma a parlare, uno striscione in basso a sinistra dice che si chiama Steve Hess ed è un personal trainer.</v>
      </c>
    </row>
    <row r="20020">
      <c r="A20020" s="4" t="s">
        <v>25197</v>
      </c>
      <c r="B20020" s="6" t="s">
        <v>25200</v>
      </c>
      <c r="C20020" s="5" t="str">
        <f>IFERROR(__xludf.DUMMYFUNCTION("GOOGLETRANSLATE(B20020,""en"",""it"")"),"Mentre parla, l'uomo sta anche facendo movimenti di braccio e gambe e la fotocamera viene ingrandita per mostrare tutto il suo corpo.")</f>
        <v>Mentre parla, l'uomo sta anche facendo movimenti di braccio e gambe e la fotocamera viene ingrandita per mostrare tutto il suo corpo.</v>
      </c>
    </row>
    <row r="20021">
      <c r="A20021" s="4" t="s">
        <v>25197</v>
      </c>
      <c r="B20021" s="6" t="s">
        <v>25201</v>
      </c>
      <c r="C20021" s="5" t="str">
        <f>IFERROR(__xludf.DUMMYFUNCTION("GOOGLETRANSLATE(B20021,""en"",""it"")"),"Quando l'uomo viene eseguito lo stesso schermo blu dall'inizio, appare e termina con lo stesso schermo bianco con l'ehow verde scritto nel mezzo.")</f>
        <v>Quando l'uomo viene eseguito lo stesso schermo blu dall'inizio, appare e termina con lo stesso schermo bianco con l'ehow verde scritto nel mezzo.</v>
      </c>
    </row>
    <row r="20022">
      <c r="A20022" s="4" t="s">
        <v>25202</v>
      </c>
      <c r="B20022" s="4" t="s">
        <v>25203</v>
      </c>
      <c r="C20022" s="5" t="str">
        <f>IFERROR(__xludf.DUMMYFUNCTION("GOOGLETRANSLATE(B20022,""en"",""it"")"),"Una persona è vista in piedi su un paio di sci mentre altri si muovono in un'area.")</f>
        <v>Una persona è vista in piedi su un paio di sci mentre altri si muovono in un'area.</v>
      </c>
    </row>
    <row r="20023">
      <c r="A20023" s="4" t="s">
        <v>25202</v>
      </c>
      <c r="B20023" s="4" t="s">
        <v>25204</v>
      </c>
      <c r="C20023" s="5" t="str">
        <f>IFERROR(__xludf.DUMMYFUNCTION("GOOGLETRANSLATE(B20023,""en"",""it"")"),"Una persona si siede su un tubo mentre altri camminano da dietro.")</f>
        <v>Una persona si siede su un tubo mentre altri camminano da dietro.</v>
      </c>
    </row>
    <row r="20024">
      <c r="A20024" s="4" t="s">
        <v>25202</v>
      </c>
      <c r="B20024" s="4" t="s">
        <v>25205</v>
      </c>
      <c r="C20024" s="5" t="str">
        <f>IFERROR(__xludf.DUMMYFUNCTION("GOOGLETRANSLATE(B20024,""en"",""it"")"),"Una persona quindi prende a calci la persona nel tubo giù per la collina.")</f>
        <v>Una persona quindi prende a calci la persona nel tubo giù per la collina.</v>
      </c>
    </row>
    <row r="20025">
      <c r="A20025" s="4" t="s">
        <v>25206</v>
      </c>
      <c r="B20025" s="6" t="s">
        <v>25207</v>
      </c>
      <c r="C20025" s="5" t="str">
        <f>IFERROR(__xludf.DUMMYFUNCTION("GOOGLETRANSLATE(B20025,""en"",""it"")"),"Un uomo si avvicina a una serie di barre irregolari mentre un uomo si sposta dietro di lui e inizia a eseguire una routine di ginnastica.")</f>
        <v>Un uomo si avvicina a una serie di barre irregolari mentre un uomo si sposta dietro di lui e inizia a eseguire una routine di ginnastica.</v>
      </c>
    </row>
    <row r="20026">
      <c r="A20026" s="4" t="s">
        <v>25206</v>
      </c>
      <c r="B20026" s="6" t="s">
        <v>25208</v>
      </c>
      <c r="C20026" s="5" t="str">
        <f>IFERROR(__xludf.DUMMYFUNCTION("GOOGLETRANSLATE(B20026,""en"",""it"")"),"L'uomo si gira e si gira sulle sbarre e finisce saltando giù e agitando le mani.")</f>
        <v>L'uomo si gira e si gira sulle sbarre e finisce saltando giù e agitando le mani.</v>
      </c>
    </row>
    <row r="20027">
      <c r="A20027" s="4" t="s">
        <v>25209</v>
      </c>
      <c r="B20027" s="4" t="s">
        <v>25210</v>
      </c>
      <c r="C20027" s="5" t="str">
        <f>IFERROR(__xludf.DUMMYFUNCTION("GOOGLETRANSLATE(B20027,""en"",""it"")"),"Viene visto un uomo che indossa un grembiule davanti al lavandino impilato con molti piatti.")</f>
        <v>Viene visto un uomo che indossa un grembiule davanti al lavandino impilato con molti piatti.</v>
      </c>
    </row>
    <row r="20028">
      <c r="A20028" s="4" t="s">
        <v>25209</v>
      </c>
      <c r="B20028" s="4" t="s">
        <v>25211</v>
      </c>
      <c r="C20028" s="5" t="str">
        <f>IFERROR(__xludf.DUMMYFUNCTION("GOOGLETRANSLATE(B20028,""en"",""it"")"),"L'uomo inizia a lavare i piatti con un rapido movimento e gettandoli in una pila.")</f>
        <v>L'uomo inizia a lavare i piatti con un rapido movimento e gettandoli in una pila.</v>
      </c>
    </row>
    <row r="20029">
      <c r="A20029" s="4" t="s">
        <v>25209</v>
      </c>
      <c r="B20029" s="4" t="s">
        <v>25212</v>
      </c>
      <c r="C20029" s="5" t="str">
        <f>IFERROR(__xludf.DUMMYFUNCTION("GOOGLETRANSLATE(B20029,""en"",""it"")"),"L'uomo continua a lavare i piatti mentre guarda indietro alla telecamera.")</f>
        <v>L'uomo continua a lavare i piatti mentre guarda indietro alla telecamera.</v>
      </c>
    </row>
    <row r="20030">
      <c r="A20030" s="4" t="s">
        <v>25213</v>
      </c>
      <c r="B20030" s="4" t="s">
        <v>25214</v>
      </c>
      <c r="C20030" s="5" t="str">
        <f>IFERROR(__xludf.DUMMYFUNCTION("GOOGLETRANSLATE(B20030,""en"",""it"")"),"Un uomo viene visto piegarsi prima di un grande peso mentre guarda in lontananza.")</f>
        <v>Un uomo viene visto piegarsi prima di un grande peso mentre guarda in lontananza.</v>
      </c>
    </row>
    <row r="20031">
      <c r="A20031" s="4" t="s">
        <v>25213</v>
      </c>
      <c r="B20031" s="4" t="s">
        <v>25215</v>
      </c>
      <c r="C20031" s="5" t="str">
        <f>IFERROR(__xludf.DUMMYFUNCTION("GOOGLETRANSLATE(B20031,""en"",""it"")"),"Quindi prende il peso sopra la sua testa.")</f>
        <v>Quindi prende il peso sopra la sua testa.</v>
      </c>
    </row>
    <row r="20032">
      <c r="A20032" s="4" t="s">
        <v>25213</v>
      </c>
      <c r="B20032" s="4" t="s">
        <v>25216</v>
      </c>
      <c r="C20032" s="5" t="str">
        <f>IFERROR(__xludf.DUMMYFUNCTION("GOOGLETRANSLATE(B20032,""en"",""it"")"),"Alla fine getta il peso sul pavimento.")</f>
        <v>Alla fine getta il peso sul pavimento.</v>
      </c>
    </row>
    <row r="20033">
      <c r="A20033" s="4" t="s">
        <v>25217</v>
      </c>
      <c r="B20033" s="4" t="s">
        <v>25218</v>
      </c>
      <c r="C20033" s="5" t="str">
        <f>IFERROR(__xludf.DUMMYFUNCTION("GOOGLETRANSLATE(B20033,""en"",""it"")"),"Un bambino è seduto in un'altalena, dondolando delicatamente.")</f>
        <v>Un bambino è seduto in un'altalena, dondolando delicatamente.</v>
      </c>
    </row>
    <row r="20034">
      <c r="A20034" s="4" t="s">
        <v>25217</v>
      </c>
      <c r="B20034" s="4" t="s">
        <v>25219</v>
      </c>
      <c r="C20034" s="5" t="str">
        <f>IFERROR(__xludf.DUMMYFUNCTION("GOOGLETRANSLATE(B20034,""en"",""it"")"),"Una bambina si vede oscillare avanti e indietro.")</f>
        <v>Una bambina si vede oscillare avanti e indietro.</v>
      </c>
    </row>
    <row r="20035">
      <c r="A20035" s="4" t="s">
        <v>25217</v>
      </c>
      <c r="B20035" s="4" t="s">
        <v>25220</v>
      </c>
      <c r="C20035" s="5" t="str">
        <f>IFERROR(__xludf.DUMMYFUNCTION("GOOGLETRANSLATE(B20035,""en"",""it"")"),"Quindi un bambino e un bambino si guardano l'un l'altro mentre continuano a oscillare leggermente.")</f>
        <v>Quindi un bambino e un bambino si guardano l'un l'altro mentre continuano a oscillare leggermente.</v>
      </c>
    </row>
    <row r="20036">
      <c r="A20036" s="4" t="s">
        <v>25221</v>
      </c>
      <c r="B20036" s="4" t="s">
        <v>25222</v>
      </c>
      <c r="C20036" s="5" t="str">
        <f>IFERROR(__xludf.DUMMYFUNCTION("GOOGLETRANSLATE(B20036,""en"",""it"")"),"Una donna è in piedi in una stanza, circondata da attrezzatura da yoga.")</f>
        <v>Una donna è in piedi in una stanza, circondata da attrezzatura da yoga.</v>
      </c>
    </row>
    <row r="20037">
      <c r="A20037" s="4" t="s">
        <v>25221</v>
      </c>
      <c r="B20037" s="4" t="s">
        <v>25223</v>
      </c>
      <c r="C20037" s="5" t="str">
        <f>IFERROR(__xludf.DUMMYFUNCTION("GOOGLETRANSLATE(B20037,""en"",""it"")"),"Quindi mostra come usare un passo passo per esercitare, calpestarsi e spento, da un lato all'altro.")</f>
        <v>Quindi mostra come usare un passo passo per esercitare, calpestarsi e spento, da un lato all'altro.</v>
      </c>
    </row>
    <row r="20038">
      <c r="A20038" s="4" t="s">
        <v>25221</v>
      </c>
      <c r="B20038" s="4" t="s">
        <v>25224</v>
      </c>
      <c r="C20038" s="5" t="str">
        <f>IFERROR(__xludf.DUMMYFUNCTION("GOOGLETRANSLATE(B20038,""en"",""it"")"),"Parla un po 'più a lungo dell'esercizio.")</f>
        <v>Parla un po 'più a lungo dell'esercizio.</v>
      </c>
    </row>
    <row r="20039">
      <c r="A20039" s="4" t="s">
        <v>25225</v>
      </c>
      <c r="B20039" s="4" t="s">
        <v>25226</v>
      </c>
      <c r="C20039" s="5" t="str">
        <f>IFERROR(__xludf.DUMMYFUNCTION("GOOGLETRANSLATE(B20039,""en"",""it"")"),"Gli uomini giocano a palla da parete in una stanza l'uno contro l'altro.")</f>
        <v>Gli uomini giocano a palla da parete in una stanza l'uno contro l'altro.</v>
      </c>
    </row>
    <row r="20040">
      <c r="A20040" s="4" t="s">
        <v>25225</v>
      </c>
      <c r="B20040" s="4" t="s">
        <v>25227</v>
      </c>
      <c r="C20040" s="5" t="str">
        <f>IFERROR(__xludf.DUMMYFUNCTION("GOOGLETRANSLATE(B20040,""en"",""it"")"),"Parla un uomo con una camicia rossa e gli occhiali.")</f>
        <v>Parla un uomo con una camicia rossa e gli occhiali.</v>
      </c>
    </row>
    <row r="20041">
      <c r="A20041" s="4" t="s">
        <v>25225</v>
      </c>
      <c r="B20041" s="4" t="s">
        <v>25228</v>
      </c>
      <c r="C20041" s="5" t="str">
        <f>IFERROR(__xludf.DUMMYFUNCTION("GOOGLETRANSLATE(B20041,""en"",""it"")"),"Un uomo con una camicia nera parla con un uomo con una camicia rossa.")</f>
        <v>Un uomo con una camicia nera parla con un uomo con una camicia rossa.</v>
      </c>
    </row>
    <row r="20042">
      <c r="A20042" s="4" t="s">
        <v>25225</v>
      </c>
      <c r="B20042" s="4" t="s">
        <v>25229</v>
      </c>
      <c r="C20042" s="5" t="str">
        <f>IFERROR(__xludf.DUMMYFUNCTION("GOOGLETRANSLATE(B20042,""en"",""it"")"),"Gli articoli vengono mostrati sullo schermo.")</f>
        <v>Gli articoli vengono mostrati sullo schermo.</v>
      </c>
    </row>
    <row r="20043">
      <c r="A20043" s="4" t="s">
        <v>25225</v>
      </c>
      <c r="B20043" s="4" t="s">
        <v>25230</v>
      </c>
      <c r="C20043" s="5" t="str">
        <f>IFERROR(__xludf.DUMMYFUNCTION("GOOGLETRANSLATE(B20043,""en"",""it"")"),"L'uomo continua a parlare con il microfono.")</f>
        <v>L'uomo continua a parlare con il microfono.</v>
      </c>
    </row>
    <row r="20044">
      <c r="A20044" s="4" t="s">
        <v>25225</v>
      </c>
      <c r="B20044" s="4" t="s">
        <v>25231</v>
      </c>
      <c r="C20044" s="5" t="str">
        <f>IFERROR(__xludf.DUMMYFUNCTION("GOOGLETRANSLATE(B20044,""en"",""it"")"),"Un uomo con una camicia nera sta parlando.")</f>
        <v>Un uomo con una camicia nera sta parlando.</v>
      </c>
    </row>
    <row r="20045">
      <c r="A20045" s="4" t="s">
        <v>25225</v>
      </c>
      <c r="B20045" s="4" t="s">
        <v>25232</v>
      </c>
      <c r="C20045" s="5" t="str">
        <f>IFERROR(__xludf.DUMMYFUNCTION("GOOGLETRANSLATE(B20045,""en"",""it"")"),"Gli uomini stanno giocando più palla da muro.")</f>
        <v>Gli uomini stanno giocando più palla da muro.</v>
      </c>
    </row>
    <row r="20046">
      <c r="A20046" s="4" t="s">
        <v>25233</v>
      </c>
      <c r="B20046" s="4" t="s">
        <v>25234</v>
      </c>
      <c r="C20046" s="5" t="str">
        <f>IFERROR(__xludf.DUMMYFUNCTION("GOOGLETRANSLATE(B20046,""en"",""it"")"),"Le persone sono su un palcoscenico che suonano strumenti.")</f>
        <v>Le persone sono su un palcoscenico che suonano strumenti.</v>
      </c>
    </row>
    <row r="20047">
      <c r="A20047" s="4" t="s">
        <v>25233</v>
      </c>
      <c r="B20047" s="4" t="s">
        <v>25235</v>
      </c>
      <c r="C20047" s="5" t="str">
        <f>IFERROR(__xludf.DUMMYFUNCTION("GOOGLETRANSLATE(B20047,""en"",""it"")"),"Un uomo con una camicia nera suona un set di batteria.")</f>
        <v>Un uomo con una camicia nera suona un set di batteria.</v>
      </c>
    </row>
    <row r="20048">
      <c r="A20048" s="4" t="s">
        <v>25233</v>
      </c>
      <c r="B20048" s="4" t="s">
        <v>25236</v>
      </c>
      <c r="C20048" s="5" t="str">
        <f>IFERROR(__xludf.DUMMYFUNCTION("GOOGLETRANSLATE(B20048,""en"",""it"")"),"Un uomo con una camicia verde suona una chitarra nella parte anteriore del palco.")</f>
        <v>Un uomo con una camicia verde suona una chitarra nella parte anteriore del palco.</v>
      </c>
    </row>
    <row r="20049">
      <c r="A20049" s="4" t="s">
        <v>25237</v>
      </c>
      <c r="B20049" s="4" t="s">
        <v>25238</v>
      </c>
      <c r="C20049" s="5" t="str">
        <f>IFERROR(__xludf.DUMMYFUNCTION("GOOGLETRANSLATE(B20049,""en"",""it"")"),"Due scienziati lancia pietre nell'acqua mentre parlano.")</f>
        <v>Due scienziati lancia pietre nell'acqua mentre parlano.</v>
      </c>
    </row>
    <row r="20050">
      <c r="A20050" s="4" t="s">
        <v>25237</v>
      </c>
      <c r="B20050" s="4" t="s">
        <v>25239</v>
      </c>
      <c r="C20050" s="5" t="str">
        <f>IFERROR(__xludf.DUMMYFUNCTION("GOOGLETRANSLATE(B20050,""en"",""it"")"),"Lo scienziato scrive una formula su una tavola, quindi gli scienziati corrono e saltano in acqua.")</f>
        <v>Lo scienziato scrive una formula su una tavola, quindi gli scienziati corrono e saltano in acqua.</v>
      </c>
    </row>
    <row r="20051">
      <c r="A20051" s="4" t="s">
        <v>25237</v>
      </c>
      <c r="B20051" s="4" t="s">
        <v>25240</v>
      </c>
      <c r="C20051" s="5" t="str">
        <f>IFERROR(__xludf.DUMMYFUNCTION("GOOGLETRANSLATE(B20051,""en"",""it"")"),"Quindi, le persone innaffiano in acqua nell'acqua che tirano su una barca.")</f>
        <v>Quindi, le persone innaffiano in acqua nell'acqua che tirano su una barca.</v>
      </c>
    </row>
    <row r="20052">
      <c r="A20052" s="4" t="s">
        <v>25237</v>
      </c>
      <c r="B20052" s="4" t="s">
        <v>25241</v>
      </c>
      <c r="C20052" s="5" t="str">
        <f>IFERROR(__xludf.DUMMYFUNCTION("GOOGLETRANSLATE(B20052,""en"",""it"")"),"Una donna d'acqua idrica mentre due uomini spiega i movimenti fatti dalla ragazza.")</f>
        <v>Una donna d'acqua idrica mentre due uomini spiega i movimenti fatti dalla ragazza.</v>
      </c>
    </row>
    <row r="20053">
      <c r="A20053" s="4" t="s">
        <v>25237</v>
      </c>
      <c r="B20053" s="6" t="s">
        <v>25242</v>
      </c>
      <c r="C20053" s="5" t="str">
        <f>IFERROR(__xludf.DUMMYFUNCTION("GOOGLETRANSLATE(B20053,""en"",""it"")"),"Dopo, uno sci d'acqua per uomo che tiene un pareggio per la corda del cielo d'acqua a un palo mentre una persona guarda, poi cade in acqua.")</f>
        <v>Dopo, uno sci d'acqua per uomo che tiene un pareggio per la corda del cielo d'acqua a un palo mentre una persona guarda, poi cade in acqua.</v>
      </c>
    </row>
    <row r="20054">
      <c r="A20054" s="4" t="s">
        <v>25237</v>
      </c>
      <c r="B20054" s="4" t="s">
        <v>25243</v>
      </c>
      <c r="C20054" s="5" t="str">
        <f>IFERROR(__xludf.DUMMYFUNCTION("GOOGLETRANSLATE(B20054,""en"",""it"")"),"Dopo, una persona d'acqua acqua e poi cade in acqua.")</f>
        <v>Dopo, una persona d'acqua acqua e poi cade in acqua.</v>
      </c>
    </row>
    <row r="20055">
      <c r="A20055" s="4" t="s">
        <v>25244</v>
      </c>
      <c r="B20055" s="6" t="s">
        <v>25245</v>
      </c>
      <c r="C20055" s="5" t="str">
        <f>IFERROR(__xludf.DUMMYFUNCTION("GOOGLETRANSLATE(B20055,""en"",""it"")"),"Viene mostrato un nuotatore indossando gli occhiali e spargi le mani prima di immergersi in una piscina.")</f>
        <v>Viene mostrato un nuotatore indossando gli occhiali e spargi le mani prima di immergersi in una piscina.</v>
      </c>
    </row>
    <row r="20056">
      <c r="A20056" s="4" t="s">
        <v>25244</v>
      </c>
      <c r="B20056" s="4" t="s">
        <v>25246</v>
      </c>
      <c r="C20056" s="5" t="str">
        <f>IFERROR(__xludf.DUMMYFUNCTION("GOOGLETRANSLATE(B20056,""en"",""it"")"),"Viene mostrata una vista laterale dell'uomo mentre fa la corsa laterale sotto l'acqua.")</f>
        <v>Viene mostrata una vista laterale dell'uomo mentre fa la corsa laterale sotto l'acqua.</v>
      </c>
    </row>
    <row r="20057">
      <c r="A20057" s="4" t="s">
        <v>25244</v>
      </c>
      <c r="B20057" s="6" t="s">
        <v>25247</v>
      </c>
      <c r="C20057" s="5" t="str">
        <f>IFERROR(__xludf.DUMMYFUNCTION("GOOGLETRANSLATE(B20057,""en"",""it"")"),"Il maschio continua a nuotare e diverse sue tecniche sono evidenziate come il modo in cui la sua mano è ammanettata e la posizione delle sue gambe.")</f>
        <v>Il maschio continua a nuotare e diverse sue tecniche sono evidenziate come il modo in cui la sua mano è ammanettata e la posizione delle sue gambe.</v>
      </c>
    </row>
    <row r="20058">
      <c r="A20058" s="4" t="s">
        <v>25248</v>
      </c>
      <c r="B20058" s="4" t="s">
        <v>25249</v>
      </c>
      <c r="C20058" s="5" t="str">
        <f>IFERROR(__xludf.DUMMYFUNCTION("GOOGLETRANSLATE(B20058,""en"",""it"")"),"Vengono mostrati i crediti delle clip.")</f>
        <v>Vengono mostrati i crediti delle clip.</v>
      </c>
    </row>
    <row r="20059">
      <c r="A20059" s="4" t="s">
        <v>25248</v>
      </c>
      <c r="B20059" s="4" t="s">
        <v>25250</v>
      </c>
      <c r="C20059" s="5" t="str">
        <f>IFERROR(__xludf.DUMMYFUNCTION("GOOGLETRANSLATE(B20059,""en"",""it"")"),"People in Black Play Dodge Ball su un campo.")</f>
        <v>People in Black Play Dodge Ball su un campo.</v>
      </c>
    </row>
    <row r="20060">
      <c r="A20060" s="4" t="s">
        <v>25248</v>
      </c>
      <c r="B20060" s="4" t="s">
        <v>25251</v>
      </c>
      <c r="C20060" s="5" t="str">
        <f>IFERROR(__xludf.DUMMYFUNCTION("GOOGLETRANSLATE(B20060,""en"",""it"")"),"Un ragazzo si tuffa a terra per evitare che la palla lo colpisca.")</f>
        <v>Un ragazzo si tuffa a terra per evitare che la palla lo colpisca.</v>
      </c>
    </row>
    <row r="20061">
      <c r="A20061" s="4" t="s">
        <v>25252</v>
      </c>
      <c r="B20061" s="4" t="s">
        <v>25253</v>
      </c>
      <c r="C20061" s="5" t="str">
        <f>IFERROR(__xludf.DUMMYFUNCTION("GOOGLETRANSLATE(B20061,""en"",""it"")"),"Un uomo è sdraiato a letto e guarda il suo telefono.")</f>
        <v>Un uomo è sdraiato a letto e guarda il suo telefono.</v>
      </c>
    </row>
    <row r="20062">
      <c r="A20062" s="4" t="s">
        <v>25252</v>
      </c>
      <c r="B20062" s="4" t="s">
        <v>25254</v>
      </c>
      <c r="C20062" s="5" t="str">
        <f>IFERROR(__xludf.DUMMYFUNCTION("GOOGLETRANSLATE(B20062,""en"",""it"")"),"Si imbatte in una stanza e si vesti.")</f>
        <v>Si imbatte in una stanza e si vesti.</v>
      </c>
    </row>
    <row r="20063">
      <c r="A20063" s="4" t="s">
        <v>25252</v>
      </c>
      <c r="B20063" s="4" t="s">
        <v>25255</v>
      </c>
      <c r="C20063" s="5" t="str">
        <f>IFERROR(__xludf.DUMMYFUNCTION("GOOGLETRANSLATE(B20063,""en"",""it"")"),"Si siede sul suo letto e mette le scarpe.")</f>
        <v>Si siede sul suo letto e mette le scarpe.</v>
      </c>
    </row>
    <row r="20064">
      <c r="A20064" s="4" t="s">
        <v>25252</v>
      </c>
      <c r="B20064" s="4" t="s">
        <v>25256</v>
      </c>
      <c r="C20064" s="5" t="str">
        <f>IFERROR(__xludf.DUMMYFUNCTION("GOOGLETRANSLATE(B20064,""en"",""it"")"),"Si alza e corre fuori dalla porta.")</f>
        <v>Si alza e corre fuori dalla porta.</v>
      </c>
    </row>
    <row r="20065">
      <c r="A20065" s="4" t="s">
        <v>25257</v>
      </c>
      <c r="B20065" s="4" t="s">
        <v>25258</v>
      </c>
      <c r="C20065" s="5" t="str">
        <f>IFERROR(__xludf.DUMMYFUNCTION("GOOGLETRANSLATE(B20065,""en"",""it"")"),"Appare uno schermo nero con parole bianche che leggono ""Come dipingere una porta a pannelli"".")</f>
        <v>Appare uno schermo nero con parole bianche che leggono "Come dipingere una porta a pannelli".</v>
      </c>
    </row>
    <row r="20066">
      <c r="A20066" s="4" t="s">
        <v>25257</v>
      </c>
      <c r="B20066" s="6" t="s">
        <v>25259</v>
      </c>
      <c r="C20066" s="5" t="str">
        <f>IFERROR(__xludf.DUMMYFUNCTION("GOOGLETRANSLATE(B20066,""en"",""it"")"),"Un uomo appare quindi davanti a una porta rossa che si sporge contro un muro che ha la plastica, e sta parlando e toccando la porta.")</f>
        <v>Un uomo appare quindi davanti a una porta rossa che si sporge contro un muro che ha la plastica, e sta parlando e toccando la porta.</v>
      </c>
    </row>
    <row r="20067">
      <c r="A20067" s="4" t="s">
        <v>25257</v>
      </c>
      <c r="B20067" s="6" t="s">
        <v>25260</v>
      </c>
      <c r="C20067" s="5" t="str">
        <f>IFERROR(__xludf.DUMMYFUNCTION("GOOGLETRANSLATE(B20067,""en"",""it"")"),"L'uomo quindi afferra un pennello e inizia a dipingere su dipinge varie parti della porta continuando a parlare.")</f>
        <v>L'uomo quindi afferra un pennello e inizia a dipingere su dipinge varie parti della porta continuando a parlare.</v>
      </c>
    </row>
    <row r="20068">
      <c r="A20068" s="4" t="s">
        <v>25257</v>
      </c>
      <c r="B20068" s="4" t="s">
        <v>25261</v>
      </c>
      <c r="C20068" s="5" t="str">
        <f>IFERROR(__xludf.DUMMYFUNCTION("GOOGLETRANSLATE(B20068,""en"",""it"")"),"L'uomo smette di dipingere e inizia a parlare mentre indica alcune cose sulla porta.")</f>
        <v>L'uomo smette di dipingere e inizia a parlare mentre indica alcune cose sulla porta.</v>
      </c>
    </row>
    <row r="20069">
      <c r="A20069" s="4" t="s">
        <v>25257</v>
      </c>
      <c r="B20069" s="6" t="s">
        <v>25262</v>
      </c>
      <c r="C20069" s="5" t="str">
        <f>IFERROR(__xludf.DUMMYFUNCTION("GOOGLETRANSLATE(B20069,""en"",""it"")"),"Viene visualizzato uno schermo nero con parole bianche che includono un sito Web se qualcuno desidera maggiori informazioni.")</f>
        <v>Viene visualizzato uno schermo nero con parole bianche che includono un sito Web se qualcuno desidera maggiori informazioni.</v>
      </c>
    </row>
    <row r="20070">
      <c r="A20070" s="4" t="s">
        <v>25263</v>
      </c>
      <c r="B20070" s="4" t="s">
        <v>25264</v>
      </c>
      <c r="C20070" s="5" t="str">
        <f>IFERROR(__xludf.DUMMYFUNCTION("GOOGLETRANSLATE(B20070,""en"",""it"")"),"Una donna viene vista asciugarsi i piedi e entrare in una buca del cerchio.")</f>
        <v>Una donna viene vista asciugarsi i piedi e entrare in una buca del cerchio.</v>
      </c>
    </row>
    <row r="20071">
      <c r="A20071" s="4" t="s">
        <v>25263</v>
      </c>
      <c r="B20071" s="4" t="s">
        <v>25265</v>
      </c>
      <c r="C20071" s="5" t="str">
        <f>IFERROR(__xludf.DUMMYFUNCTION("GOOGLETRANSLATE(B20071,""en"",""it"")"),"La donna si gira quindi e getta una discussione in aria mentre la telecamera la segue.")</f>
        <v>La donna si gira quindi e getta una discussione in aria mentre la telecamera la segue.</v>
      </c>
    </row>
    <row r="20072">
      <c r="A20072" s="4" t="s">
        <v>25266</v>
      </c>
      <c r="B20072" s="4" t="s">
        <v>25267</v>
      </c>
      <c r="C20072" s="5" t="str">
        <f>IFERROR(__xludf.DUMMYFUNCTION("GOOGLETRANSLATE(B20072,""en"",""it"")"),"Un subacqueo professionista di nome Pandelela Rinong si sta preparando a tuffarsi in una competizione.")</f>
        <v>Un subacqueo professionista di nome Pandelela Rinong si sta preparando a tuffarsi in una competizione.</v>
      </c>
    </row>
    <row r="20073">
      <c r="A20073" s="4" t="s">
        <v>25266</v>
      </c>
      <c r="B20073" s="4" t="s">
        <v>25268</v>
      </c>
      <c r="C20073" s="5" t="str">
        <f>IFERROR(__xludf.DUMMYFUNCTION("GOOGLETRANSLATE(B20073,""en"",""it"")"),"Va avanti sul tabellone e fa un'immersione all'indietro nella piscina da diversi piedi.")</f>
        <v>Va avanti sul tabellone e fa un'immersione all'indietro nella piscina da diversi piedi.</v>
      </c>
    </row>
    <row r="20074">
      <c r="A20074" s="4" t="s">
        <v>25266</v>
      </c>
      <c r="B20074" s="4" t="s">
        <v>25269</v>
      </c>
      <c r="C20074" s="5" t="str">
        <f>IFERROR(__xludf.DUMMYFUNCTION("GOOGLETRANSLATE(B20074,""en"",""it"")"),"Si gira il suo corpo mentre si tuffa in piscina.")</f>
        <v>Si gira il suo corpo mentre si tuffa in piscina.</v>
      </c>
    </row>
    <row r="20075">
      <c r="A20075" s="4" t="s">
        <v>25266</v>
      </c>
      <c r="B20075" s="4" t="s">
        <v>25270</v>
      </c>
      <c r="C20075" s="5" t="str">
        <f>IFERROR(__xludf.DUMMYFUNCTION("GOOGLETRANSLATE(B20075,""en"",""it"")"),"Dopo aver finito, sorride e esce dalla piscina.")</f>
        <v>Dopo aver finito, sorride e esce dalla piscina.</v>
      </c>
    </row>
    <row r="20076">
      <c r="A20076" s="4" t="s">
        <v>25271</v>
      </c>
      <c r="B20076" s="4" t="s">
        <v>25272</v>
      </c>
      <c r="C20076" s="5" t="str">
        <f>IFERROR(__xludf.DUMMYFUNCTION("GOOGLETRANSLATE(B20076,""en"",""it"")"),"Diversi giocatori a cavallo stanno giocando a cricket su un campo.")</f>
        <v>Diversi giocatori a cavallo stanno giocando a cricket su un campo.</v>
      </c>
    </row>
    <row r="20077">
      <c r="A20077" s="4" t="s">
        <v>25271</v>
      </c>
      <c r="B20077" s="4" t="s">
        <v>25273</v>
      </c>
      <c r="C20077" s="5" t="str">
        <f>IFERROR(__xludf.DUMMYFUNCTION("GOOGLETRANSLATE(B20077,""en"",""it"")"),"Tutti i giocatori cavalcano i loro cavalli da un lato del campo.")</f>
        <v>Tutti i giocatori cavalcano i loro cavalli da un lato del campo.</v>
      </c>
    </row>
    <row r="20078">
      <c r="A20078" s="4" t="s">
        <v>25271</v>
      </c>
      <c r="B20078" s="4" t="s">
        <v>25274</v>
      </c>
      <c r="C20078" s="5" t="str">
        <f>IFERROR(__xludf.DUMMYFUNCTION("GOOGLETRANSLATE(B20078,""en"",""it"")"),"Il giro intorno e intorno mentre cerca di colpire la palla da cricket.")</f>
        <v>Il giro intorno e intorno mentre cerca di colpire la palla da cricket.</v>
      </c>
    </row>
    <row r="20079">
      <c r="A20079" s="4" t="s">
        <v>25271</v>
      </c>
      <c r="B20079" s="4" t="s">
        <v>25275</v>
      </c>
      <c r="C20079" s="5" t="str">
        <f>IFERROR(__xludf.DUMMYFUNCTION("GOOGLETRANSLATE(B20079,""en"",""it"")"),"La palla viene colpita nel mezzo del campo lontano da tutti i giocatori.")</f>
        <v>La palla viene colpita nel mezzo del campo lontano da tutti i giocatori.</v>
      </c>
    </row>
    <row r="20080">
      <c r="A20080" s="4" t="s">
        <v>25276</v>
      </c>
      <c r="B20080" s="4" t="s">
        <v>25277</v>
      </c>
      <c r="C20080" s="5" t="str">
        <f>IFERROR(__xludf.DUMMYFUNCTION("GOOGLETRANSLATE(B20080,""en"",""it"")"),"Vediamo un uomo in un vialetto che pulisce la neve dalla sua auto.")</f>
        <v>Vediamo un uomo in un vialetto che pulisce la neve dalla sua auto.</v>
      </c>
    </row>
    <row r="20081">
      <c r="A20081" s="4" t="s">
        <v>25276</v>
      </c>
      <c r="B20081" s="4" t="s">
        <v>25278</v>
      </c>
      <c r="C20081" s="5" t="str">
        <f>IFERROR(__xludf.DUMMYFUNCTION("GOOGLETRANSLATE(B20081,""en"",""it"")"),"L'uomo pulisce la neve sotto i tergicristalli.")</f>
        <v>L'uomo pulisce la neve sotto i tergicristalli.</v>
      </c>
    </row>
    <row r="20082">
      <c r="A20082" s="4" t="s">
        <v>25276</v>
      </c>
      <c r="B20082" s="4" t="s">
        <v>25279</v>
      </c>
      <c r="C20082" s="5" t="str">
        <f>IFERROR(__xludf.DUMMYFUNCTION("GOOGLETRANSLATE(B20082,""en"",""it"")"),"Vediamo l'edificio dietro la macchina.")</f>
        <v>Vediamo l'edificio dietro la macchina.</v>
      </c>
    </row>
    <row r="20083">
      <c r="A20083" s="4" t="s">
        <v>25276</v>
      </c>
      <c r="B20083" s="4" t="s">
        <v>25280</v>
      </c>
      <c r="C20083" s="5" t="str">
        <f>IFERROR(__xludf.DUMMYFUNCTION("GOOGLETRANSLATE(B20083,""en"",""it"")"),"Facciamo una rotazione 360 ​​per vedere il parcheggio.")</f>
        <v>Facciamo una rotazione 360 ​​per vedere il parcheggio.</v>
      </c>
    </row>
    <row r="20084">
      <c r="A20084" s="4" t="s">
        <v>25276</v>
      </c>
      <c r="B20084" s="4" t="s">
        <v>25281</v>
      </c>
      <c r="C20084" s="5" t="str">
        <f>IFERROR(__xludf.DUMMYFUNCTION("GOOGLETRANSLATE(B20084,""en"",""it"")"),"L'uomo apre le porte sulla sua auto e entra.")</f>
        <v>L'uomo apre le porte sulla sua auto e entra.</v>
      </c>
    </row>
    <row r="20085">
      <c r="A20085" s="4" t="s">
        <v>25276</v>
      </c>
      <c r="B20085" s="4" t="s">
        <v>25282</v>
      </c>
      <c r="C20085" s="5" t="str">
        <f>IFERROR(__xludf.DUMMYFUNCTION("GOOGLETRANSLATE(B20085,""en"",""it"")"),"L'uomo si ritira e esce dall'auto.")</f>
        <v>L'uomo si ritira e esce dall'auto.</v>
      </c>
    </row>
    <row r="20086">
      <c r="A20086" s="4" t="s">
        <v>25283</v>
      </c>
      <c r="B20086" s="6" t="s">
        <v>25284</v>
      </c>
      <c r="C20086" s="5" t="str">
        <f>IFERROR(__xludf.DUMMYFUNCTION("GOOGLETRANSLATE(B20086,""en"",""it"")"),"Un gruppo di persone ha visto correre in un campo sabbioso giocare una partita di calcio di fronte a una grande folla.")</f>
        <v>Un gruppo di persone ha visto correre in un campo sabbioso giocare una partita di calcio di fronte a una grande folla.</v>
      </c>
    </row>
    <row r="20087">
      <c r="A20087" s="4" t="s">
        <v>25283</v>
      </c>
      <c r="B20087" s="4" t="s">
        <v>25285</v>
      </c>
      <c r="C20087" s="5" t="str">
        <f>IFERROR(__xludf.DUMMYFUNCTION("GOOGLETRANSLATE(B20087,""en"",""it"")"),"Le persone continuano a calciare la palla con anche altre palle che vengono lanciate.")</f>
        <v>Le persone continuano a calciare la palla con anche altre palle che vengono lanciate.</v>
      </c>
    </row>
    <row r="20088">
      <c r="A20088" s="4" t="s">
        <v>25286</v>
      </c>
      <c r="B20088" s="6" t="s">
        <v>25287</v>
      </c>
      <c r="C20088" s="5" t="str">
        <f>IFERROR(__xludf.DUMMYFUNCTION("GOOGLETRANSLATE(B20088,""en"",""it"")"),"Due persone sono viste sedute su una panchina da sci, mettere in marcia e conducono a persone che spingono un disco attorno a una pista di hockey.")</f>
        <v>Due persone sono viste sedute su una panchina da sci, mettere in marcia e conducono a persone che spingono un disco attorno a una pista di hockey.</v>
      </c>
    </row>
    <row r="20089">
      <c r="A20089" s="4" t="s">
        <v>25286</v>
      </c>
      <c r="B20089" s="4" t="s">
        <v>25288</v>
      </c>
      <c r="C20089" s="5" t="str">
        <f>IFERROR(__xludf.DUMMYFUNCTION("GOOGLETRANSLATE(B20089,""en"",""it"")"),"Vengono mostrati diversi colpi dei giocatori che pattinano intorno al ghiaccio e praticano lo sport dell'hockey.")</f>
        <v>Vengono mostrati diversi colpi dei giocatori che pattinano intorno al ghiaccio e praticano lo sport dell'hockey.</v>
      </c>
    </row>
    <row r="20090">
      <c r="A20090" s="4" t="s">
        <v>25286</v>
      </c>
      <c r="B20090" s="4" t="s">
        <v>25289</v>
      </c>
      <c r="C20090" s="5" t="str">
        <f>IFERROR(__xludf.DUMMYFUNCTION("GOOGLETRANSLATE(B20090,""en"",""it"")"),"Alla fine si inginocchiano uno accanto all'altro e pattinano via.")</f>
        <v>Alla fine si inginocchiano uno accanto all'altro e pattinano via.</v>
      </c>
    </row>
    <row r="20091">
      <c r="A20091" s="4" t="s">
        <v>25290</v>
      </c>
      <c r="B20091" s="4" t="s">
        <v>25291</v>
      </c>
      <c r="C20091" s="5" t="str">
        <f>IFERROR(__xludf.DUMMYFUNCTION("GOOGLETRANSLATE(B20091,""en"",""it"")"),"Un uomo viene mostrato all'interno di una chiesa.")</f>
        <v>Un uomo viene mostrato all'interno di una chiesa.</v>
      </c>
    </row>
    <row r="20092">
      <c r="A20092" s="4" t="s">
        <v>25290</v>
      </c>
      <c r="B20092" s="4" t="s">
        <v>25292</v>
      </c>
      <c r="C20092" s="5" t="str">
        <f>IFERROR(__xludf.DUMMYFUNCTION("GOOGLETRANSLATE(B20092,""en"",""it"")"),"Sta giocando una serie di cornamuse mentre indossa un kilt.")</f>
        <v>Sta giocando una serie di cornamuse mentre indossa un kilt.</v>
      </c>
    </row>
    <row r="20093">
      <c r="A20093" s="4" t="s">
        <v>25290</v>
      </c>
      <c r="B20093" s="4" t="s">
        <v>25293</v>
      </c>
      <c r="C20093" s="5" t="str">
        <f>IFERROR(__xludf.DUMMYFUNCTION("GOOGLETRANSLATE(B20093,""en"",""it"")"),"Continua a giocare, non muoversi.")</f>
        <v>Continua a giocare, non muoversi.</v>
      </c>
    </row>
    <row r="20094">
      <c r="A20094" s="4" t="s">
        <v>25294</v>
      </c>
      <c r="B20094" s="4" t="s">
        <v>25295</v>
      </c>
      <c r="C20094" s="5" t="str">
        <f>IFERROR(__xludf.DUMMYFUNCTION("GOOGLETRANSLATE(B20094,""en"",""it"")"),"Una donna in un top nero e pantaloncini indossa guanti da boxe.")</f>
        <v>Una donna in un top nero e pantaloncini indossa guanti da boxe.</v>
      </c>
    </row>
    <row r="20095">
      <c r="A20095" s="4" t="s">
        <v>25294</v>
      </c>
      <c r="B20095" s="4" t="s">
        <v>25296</v>
      </c>
      <c r="C20095" s="5" t="str">
        <f>IFERROR(__xludf.DUMMYFUNCTION("GOOGLETRANSLATE(B20095,""en"",""it"")"),"Lei risparmia con un uomo in nero.")</f>
        <v>Lei risparmia con un uomo in nero.</v>
      </c>
    </row>
    <row r="20096">
      <c r="A20096" s="4" t="s">
        <v>25294</v>
      </c>
      <c r="B20096" s="4" t="s">
        <v>25297</v>
      </c>
      <c r="C20096" s="5" t="str">
        <f>IFERROR(__xludf.DUMMYFUNCTION("GOOGLETRANSLATE(B20096,""en"",""it"")"),"Lei prende a calci e gli colpisce.")</f>
        <v>Lei prende a calci e gli colpisce.</v>
      </c>
    </row>
    <row r="20097">
      <c r="A20097" s="4" t="s">
        <v>25294</v>
      </c>
      <c r="B20097" s="4" t="s">
        <v>25298</v>
      </c>
      <c r="C20097" s="5" t="str">
        <f>IFERROR(__xludf.DUMMYFUNCTION("GOOGLETRANSLATE(B20097,""en"",""it"")"),"Fa diversi esercizi.")</f>
        <v>Fa diversi esercizi.</v>
      </c>
    </row>
    <row r="20098">
      <c r="A20098" s="4" t="s">
        <v>25299</v>
      </c>
      <c r="B20098" s="4" t="s">
        <v>1251</v>
      </c>
      <c r="C20098" s="5" t="str">
        <f>IFERROR(__xludf.DUMMYFUNCTION("GOOGLETRANSLATE(B20098,""en"",""it"")"),"Vengono visualizzati i crediti della clip.")</f>
        <v>Vengono visualizzati i crediti della clip.</v>
      </c>
    </row>
    <row r="20099">
      <c r="A20099" s="4" t="s">
        <v>25299</v>
      </c>
      <c r="B20099" s="4" t="s">
        <v>25300</v>
      </c>
      <c r="C20099" s="5" t="str">
        <f>IFERROR(__xludf.DUMMYFUNCTION("GOOGLETRANSLATE(B20099,""en"",""it"")"),"I giocatori giocano a croquet in un prato.")</f>
        <v>I giocatori giocano a croquet in un prato.</v>
      </c>
    </row>
    <row r="20100">
      <c r="A20100" s="4" t="s">
        <v>25299</v>
      </c>
      <c r="B20100" s="4" t="s">
        <v>25301</v>
      </c>
      <c r="C20100" s="5" t="str">
        <f>IFERROR(__xludf.DUMMYFUNCTION("GOOGLETRANSLATE(B20100,""en"",""it"")"),"Un ragazzo suona un tubo di borsa sul campo del croquet.")</f>
        <v>Un ragazzo suona un tubo di borsa sul campo del croquet.</v>
      </c>
    </row>
    <row r="20101">
      <c r="A20101" s="4" t="s">
        <v>25299</v>
      </c>
      <c r="B20101" s="4" t="s">
        <v>25302</v>
      </c>
      <c r="C20101" s="5" t="str">
        <f>IFERROR(__xludf.DUMMYFUNCTION("GOOGLETRANSLATE(B20101,""en"",""it"")"),"I giocatori si stringono la mano per dimostrare lo sportività.")</f>
        <v>I giocatori si stringono la mano per dimostrare lo sportività.</v>
      </c>
    </row>
    <row r="20102">
      <c r="A20102" s="4" t="s">
        <v>25299</v>
      </c>
      <c r="B20102" s="4" t="s">
        <v>25303</v>
      </c>
      <c r="C20102" s="5" t="str">
        <f>IFERROR(__xludf.DUMMYFUNCTION("GOOGLETRANSLATE(B20102,""en"",""it"")"),"I giocatori portano un enorme assegno.")</f>
        <v>I giocatori portano un enorme assegno.</v>
      </c>
    </row>
    <row r="20103">
      <c r="A20103" s="4" t="s">
        <v>25299</v>
      </c>
      <c r="B20103" s="4" t="s">
        <v>25304</v>
      </c>
      <c r="C20103" s="5" t="str">
        <f>IFERROR(__xludf.DUMMYFUNCTION("GOOGLETRANSLATE(B20103,""en"",""it"")"),"Un ragazzo esce da una linea e carica la telecamera.")</f>
        <v>Un ragazzo esce da una linea e carica la telecamera.</v>
      </c>
    </row>
    <row r="20104">
      <c r="A20104" s="4" t="s">
        <v>25305</v>
      </c>
      <c r="B20104" s="4" t="s">
        <v>25306</v>
      </c>
      <c r="C20104" s="5" t="str">
        <f>IFERROR(__xludf.DUMMYFUNCTION("GOOGLETRANSLATE(B20104,""en"",""it"")"),"Un uomo tiene un sassofono, quindi tira fuori il collo e soffia il bocchino mentre parla.")</f>
        <v>Un uomo tiene un sassofono, quindi tira fuori il collo e soffia il bocchino mentre parla.</v>
      </c>
    </row>
    <row r="20105">
      <c r="A20105" s="4" t="s">
        <v>25305</v>
      </c>
      <c r="B20105" s="4" t="s">
        <v>25307</v>
      </c>
      <c r="C20105" s="5" t="str">
        <f>IFERROR(__xludf.DUMMYFUNCTION("GOOGLETRANSLATE(B20105,""en"",""it"")"),"Quindi, l'uomo si mette sul collo nel sassofono e mostra le chiavi mentre parla.")</f>
        <v>Quindi, l'uomo si mette sul collo nel sassofono e mostra le chiavi mentre parla.</v>
      </c>
    </row>
    <row r="20106">
      <c r="A20106" s="4" t="s">
        <v>25305</v>
      </c>
      <c r="B20106" s="4" t="s">
        <v>25308</v>
      </c>
      <c r="C20106" s="5" t="str">
        <f>IFERROR(__xludf.DUMMYFUNCTION("GOOGLETRANSLATE(B20106,""en"",""it"")"),"Quindi, l'uomo suona il sassofono mentre spiega.")</f>
        <v>Quindi, l'uomo suona il sassofono mentre spiega.</v>
      </c>
    </row>
    <row r="20107">
      <c r="A20107" s="4" t="s">
        <v>25309</v>
      </c>
      <c r="B20107" s="4" t="s">
        <v>25310</v>
      </c>
      <c r="C20107" s="5" t="str">
        <f>IFERROR(__xludf.DUMMYFUNCTION("GOOGLETRANSLATE(B20107,""en"",""it"")"),"Le persone sono in una grande zattera gialla che scende in una caduta d'acqua.")</f>
        <v>Le persone sono in una grande zattera gialla che scende in una caduta d'acqua.</v>
      </c>
    </row>
    <row r="20108">
      <c r="A20108" s="4" t="s">
        <v>25309</v>
      </c>
      <c r="B20108" s="4" t="s">
        <v>25311</v>
      </c>
      <c r="C20108" s="5" t="str">
        <f>IFERROR(__xludf.DUMMYFUNCTION("GOOGLETRANSLATE(B20108,""en"",""it"")"),"Un uomo in una barca sta andando giù per il fiume.")</f>
        <v>Un uomo in una barca sta andando giù per il fiume.</v>
      </c>
    </row>
    <row r="20109">
      <c r="A20109" s="4" t="s">
        <v>25309</v>
      </c>
      <c r="B20109" s="4" t="s">
        <v>25312</v>
      </c>
      <c r="C20109" s="5" t="str">
        <f>IFERROR(__xludf.DUMMYFUNCTION("GOOGLETRANSLATE(B20109,""en"",""it"")"),"Diverse immagini di travi vengono visualizzate sullo schermo.")</f>
        <v>Diverse immagini di travi vengono visualizzate sullo schermo.</v>
      </c>
    </row>
    <row r="20110">
      <c r="A20110" s="4" t="s">
        <v>25309</v>
      </c>
      <c r="B20110" s="4" t="s">
        <v>25313</v>
      </c>
      <c r="C20110" s="5" t="str">
        <f>IFERROR(__xludf.DUMMYFUNCTION("GOOGLETRANSLATE(B20110,""en"",""it"")"),"Le travi stanno andando giù per una collina ruvida e colpendo le rocce.")</f>
        <v>Le travi stanno andando giù per una collina ruvida e colpendo le rocce.</v>
      </c>
    </row>
    <row r="20111">
      <c r="A20111" s="4" t="s">
        <v>25314</v>
      </c>
      <c r="B20111" s="4" t="s">
        <v>25315</v>
      </c>
      <c r="C20111" s="5" t="str">
        <f>IFERROR(__xludf.DUMMYFUNCTION("GOOGLETRANSLATE(B20111,""en"",""it"")"),"Una scarpa viene pulita con uno spazzolino da un lavandino.")</f>
        <v>Una scarpa viene pulita con uno spazzolino da un lavandino.</v>
      </c>
    </row>
    <row r="20112">
      <c r="A20112" s="4" t="s">
        <v>25314</v>
      </c>
      <c r="B20112" s="4" t="s">
        <v>25316</v>
      </c>
      <c r="C20112" s="5" t="str">
        <f>IFERROR(__xludf.DUMMYFUNCTION("GOOGLETRANSLATE(B20112,""en"",""it"")"),"Il bancone viene pulito con un asciugamano.")</f>
        <v>Il bancone viene pulito con un asciugamano.</v>
      </c>
    </row>
    <row r="20113">
      <c r="A20113" s="4" t="s">
        <v>25314</v>
      </c>
      <c r="B20113" s="4" t="s">
        <v>25317</v>
      </c>
      <c r="C20113" s="5" t="str">
        <f>IFERROR(__xludf.DUMMYFUNCTION("GOOGLETRANSLATE(B20113,""en"",""it"")"),"La scarpa viene pulita di più con lo spazzolino e un asciugamano.")</f>
        <v>La scarpa viene pulita di più con lo spazzolino e un asciugamano.</v>
      </c>
    </row>
    <row r="20114">
      <c r="A20114" s="4" t="s">
        <v>25318</v>
      </c>
      <c r="B20114" s="4" t="s">
        <v>25319</v>
      </c>
      <c r="C20114" s="5" t="str">
        <f>IFERROR(__xludf.DUMMYFUNCTION("GOOGLETRANSLATE(B20114,""en"",""it"")"),"Vediamo un uomo e un ragazzino che tengono un arco e una freccia in un campo.")</f>
        <v>Vediamo un uomo e un ragazzino che tengono un arco e una freccia in un campo.</v>
      </c>
    </row>
    <row r="20115">
      <c r="A20115" s="4" t="s">
        <v>25318</v>
      </c>
      <c r="B20115" s="4" t="s">
        <v>25320</v>
      </c>
      <c r="C20115" s="5" t="str">
        <f>IFERROR(__xludf.DUMMYFUNCTION("GOOGLETRANSLATE(B20115,""en"",""it"")"),"Il ragazzo spara la freccia si estende e lancia più frecce.")</f>
        <v>Il ragazzo spara la freccia si estende e lancia più frecce.</v>
      </c>
    </row>
    <row r="20116">
      <c r="A20116" s="4" t="s">
        <v>25318</v>
      </c>
      <c r="B20116" s="4" t="s">
        <v>25321</v>
      </c>
      <c r="C20116" s="5" t="str">
        <f>IFERROR(__xludf.DUMMYFUNCTION("GOOGLETRANSLATE(B20116,""en"",""it"")"),"Vediamo l'uomo sparare tre frecce e vediamo il bersaglio.")</f>
        <v>Vediamo l'uomo sparare tre frecce e vediamo il bersaglio.</v>
      </c>
    </row>
    <row r="20117">
      <c r="A20117" s="4" t="s">
        <v>25318</v>
      </c>
      <c r="B20117" s="4" t="s">
        <v>25322</v>
      </c>
      <c r="C20117" s="5" t="str">
        <f>IFERROR(__xludf.DUMMYFUNCTION("GOOGLETRANSLATE(B20117,""en"",""it"")"),"Vediamo il ragazzo mentre cerca di sparare a palloncini sul bersaglio e gli mancano tutti.")</f>
        <v>Vediamo il ragazzo mentre cerca di sparare a palloncini sul bersaglio e gli mancano tutti.</v>
      </c>
    </row>
    <row r="20118">
      <c r="A20118" s="4" t="s">
        <v>25318</v>
      </c>
      <c r="B20118" s="4" t="s">
        <v>25323</v>
      </c>
      <c r="C20118" s="5" t="str">
        <f>IFERROR(__xludf.DUMMYFUNCTION("GOOGLETRANSLATE(B20118,""en"",""it"")"),"Il ragazzo si allontana e vediamo Lady sparare due frecce e girare e baciarle la mano.")</f>
        <v>Il ragazzo si allontana e vediamo Lady sparare due frecce e girare e baciarle la mano.</v>
      </c>
    </row>
    <row r="20119">
      <c r="A20119" s="4" t="s">
        <v>25324</v>
      </c>
      <c r="B20119" s="4" t="s">
        <v>25325</v>
      </c>
      <c r="C20119" s="5" t="str">
        <f>IFERROR(__xludf.DUMMYFUNCTION("GOOGLETRANSLATE(B20119,""en"",""it"")"),"Il testo blu parla della descrizione del video.")</f>
        <v>Il testo blu parla della descrizione del video.</v>
      </c>
    </row>
    <row r="20120">
      <c r="A20120" s="4" t="s">
        <v>25324</v>
      </c>
      <c r="B20120" s="4" t="s">
        <v>25326</v>
      </c>
      <c r="C20120" s="5" t="str">
        <f>IFERROR(__xludf.DUMMYFUNCTION("GOOGLETRANSLATE(B20120,""en"",""it"")"),"Alcuni ragazzi vengono mostrati eseguendo layup del backet, uno dopo l'altro.")</f>
        <v>Alcuni ragazzi vengono mostrati eseguendo layup del backet, uno dopo l'altro.</v>
      </c>
    </row>
    <row r="20121">
      <c r="A20121" s="4" t="s">
        <v>25324</v>
      </c>
      <c r="B20121" s="4" t="s">
        <v>25327</v>
      </c>
      <c r="C20121" s="5" t="str">
        <f>IFERROR(__xludf.DUMMYFUNCTION("GOOGLETRANSLATE(B20121,""en"",""it"")"),"Un ragazzo fa continuamente i layup fino alla fine.")</f>
        <v>Un ragazzo fa continuamente i layup fino alla fine.</v>
      </c>
    </row>
    <row r="20122">
      <c r="A20122" s="4" t="s">
        <v>25328</v>
      </c>
      <c r="B20122" s="4" t="s">
        <v>25329</v>
      </c>
      <c r="C20122" s="5" t="str">
        <f>IFERROR(__xludf.DUMMYFUNCTION("GOOGLETRANSLATE(B20122,""en"",""it"")"),"Un uomo prende un'ascia.")</f>
        <v>Un uomo prende un'ascia.</v>
      </c>
    </row>
    <row r="20123">
      <c r="A20123" s="4" t="s">
        <v>25328</v>
      </c>
      <c r="B20123" s="4" t="s">
        <v>25330</v>
      </c>
      <c r="C20123" s="5" t="str">
        <f>IFERROR(__xludf.DUMMYFUNCTION("GOOGLETRANSLATE(B20123,""en"",""it"")"),"Lo fa oscillare in un pezzo di legno su un moncone.")</f>
        <v>Lo fa oscillare in un pezzo di legno su un moncone.</v>
      </c>
    </row>
    <row r="20124">
      <c r="A20124" s="4" t="s">
        <v>25328</v>
      </c>
      <c r="B20124" s="4" t="s">
        <v>25331</v>
      </c>
      <c r="C20124" s="5" t="str">
        <f>IFERROR(__xludf.DUMMYFUNCTION("GOOGLETRANSLATE(B20124,""en"",""it"")"),"Ne raccoglie un altro e lo taglia.")</f>
        <v>Ne raccoglie un altro e lo taglia.</v>
      </c>
    </row>
    <row r="20125">
      <c r="A20125" s="4" t="s">
        <v>25332</v>
      </c>
      <c r="B20125" s="4" t="s">
        <v>25333</v>
      </c>
      <c r="C20125" s="5" t="str">
        <f>IFERROR(__xludf.DUMMYFUNCTION("GOOGLETRANSLATE(B20125,""en"",""it"")"),"Una persona mette fette di limone su due bicchieri di limonata con ghiaccio.")</f>
        <v>Una persona mette fette di limone su due bicchieri di limonata con ghiaccio.</v>
      </c>
    </row>
    <row r="20126">
      <c r="A20126" s="4" t="s">
        <v>25332</v>
      </c>
      <c r="B20126" s="4" t="s">
        <v>25334</v>
      </c>
      <c r="C20126" s="5" t="str">
        <f>IFERROR(__xludf.DUMMYFUNCTION("GOOGLETRANSLATE(B20126,""en"",""it"")"),"Quindi, la persona versa acqua e aggiunge zucchero in una pentola per preparare lo sciroppo.")</f>
        <v>Quindi, la persona versa acqua e aggiunge zucchero in una pentola per preparare lo sciroppo.</v>
      </c>
    </row>
    <row r="20127">
      <c r="A20127" s="4" t="s">
        <v>25332</v>
      </c>
      <c r="B20127" s="6" t="s">
        <v>25335</v>
      </c>
      <c r="C20127" s="5" t="str">
        <f>IFERROR(__xludf.DUMMYFUNCTION("GOOGLETRANSLATE(B20127,""en"",""it"")"),"La persona preme duramente un limone, quindi taglia i Lemmons e li stringe usando uno spremiagrumi di agrumi elettrici.")</f>
        <v>La persona preme duramente un limone, quindi taglia i Lemmons e li stringe usando uno spremiagrumi di agrumi elettrici.</v>
      </c>
    </row>
    <row r="20128">
      <c r="A20128" s="4" t="s">
        <v>25332</v>
      </c>
      <c r="B20128" s="6" t="s">
        <v>25336</v>
      </c>
      <c r="C20128" s="5" t="str">
        <f>IFERROR(__xludf.DUMMYFUNCTION("GOOGLETRANSLATE(B20128,""en"",""it"")"),"Successivamente, la persona versa un bicchiere d'acqua in un barattolo, quindi aggiunge lo sciroppo, il succo di limone, le fette di limone e ghiaccio.")</f>
        <v>Successivamente, la persona versa un bicchiere d'acqua in un barattolo, quindi aggiunge lo sciroppo, il succo di limone, le fette di limone e ghiaccio.</v>
      </c>
    </row>
    <row r="20129">
      <c r="A20129" s="4" t="s">
        <v>25332</v>
      </c>
      <c r="B20129" s="4" t="s">
        <v>25337</v>
      </c>
      <c r="C20129" s="5" t="str">
        <f>IFERROR(__xludf.DUMMYFUNCTION("GOOGLETRANSLATE(B20129,""en"",""it"")"),"Quindi la persona serve la limonata.")</f>
        <v>Quindi la persona serve la limonata.</v>
      </c>
    </row>
    <row r="20130">
      <c r="A20130" s="4" t="s">
        <v>25338</v>
      </c>
      <c r="B20130" s="4" t="s">
        <v>25339</v>
      </c>
      <c r="C20130" s="5" t="str">
        <f>IFERROR(__xludf.DUMMYFUNCTION("GOOGLETRANSLATE(B20130,""en"",""it"")"),"Una ginnasta si trova davanti a una grande folla in un'arena e alza le mani.")</f>
        <v>Una ginnasta si trova davanti a una grande folla in un'arena e alza le mani.</v>
      </c>
    </row>
    <row r="20131">
      <c r="A20131" s="4" t="s">
        <v>25338</v>
      </c>
      <c r="B20131" s="4" t="s">
        <v>25340</v>
      </c>
      <c r="C20131" s="5" t="str">
        <f>IFERROR(__xludf.DUMMYFUNCTION("GOOGLETRANSLATE(B20131,""en"",""it"")"),"Inizia la sua routine che coinvolge molti lanci e rotazioni.")</f>
        <v>Inizia la sua routine che coinvolge molti lanci e rotazioni.</v>
      </c>
    </row>
    <row r="20132">
      <c r="A20132" s="4" t="s">
        <v>25338</v>
      </c>
      <c r="B20132" s="4" t="s">
        <v>25341</v>
      </c>
      <c r="C20132" s="5" t="str">
        <f>IFERROR(__xludf.DUMMYFUNCTION("GOOGLETRANSLATE(B20132,""en"",""it"")"),"La folla si siede silenziosamente mentre lo fa.")</f>
        <v>La folla si siede silenziosamente mentre lo fa.</v>
      </c>
    </row>
    <row r="20133">
      <c r="A20133" s="4" t="s">
        <v>25338</v>
      </c>
      <c r="B20133" s="4" t="s">
        <v>25342</v>
      </c>
      <c r="C20133" s="5" t="str">
        <f>IFERROR(__xludf.DUMMYFUNCTION("GOOGLETRANSLATE(B20133,""en"",""it"")"),"Fa un verticale e una serie di più rotazioni e lancia prima di smontare.")</f>
        <v>Fa un verticale e una serie di più rotazioni e lancia prima di smontare.</v>
      </c>
    </row>
    <row r="20134">
      <c r="A20134" s="4" t="s">
        <v>25338</v>
      </c>
      <c r="B20134" s="4" t="s">
        <v>25343</v>
      </c>
      <c r="C20134" s="5" t="str">
        <f>IFERROR(__xludf.DUMMYFUNCTION("GOOGLETRANSLATE(B20134,""en"",""it"")"),"Si applaude mentre la folla lo rallegra dopo che la sua routine è finita.")</f>
        <v>Si applaude mentre la folla lo rallegra dopo che la sua routine è finita.</v>
      </c>
    </row>
    <row r="20135">
      <c r="A20135" s="4" t="s">
        <v>25344</v>
      </c>
      <c r="B20135" s="4" t="s">
        <v>25345</v>
      </c>
      <c r="C20135" s="5" t="str">
        <f>IFERROR(__xludf.DUMMYFUNCTION("GOOGLETRANSLATE(B20135,""en"",""it"")"),"Una persona si tuffa da una tavola in una piscina.")</f>
        <v>Una persona si tuffa da una tavola in una piscina.</v>
      </c>
    </row>
    <row r="20136">
      <c r="A20136" s="4" t="s">
        <v>25344</v>
      </c>
      <c r="B20136" s="4" t="s">
        <v>25346</v>
      </c>
      <c r="C20136" s="5" t="str">
        <f>IFERROR(__xludf.DUMMYFUNCTION("GOOGLETRANSLATE(B20136,""en"",""it"")"),"Vengono da sotto l'acqua.")</f>
        <v>Vengono da sotto l'acqua.</v>
      </c>
    </row>
    <row r="20137">
      <c r="A20137" s="4" t="s">
        <v>25347</v>
      </c>
      <c r="B20137" s="4" t="s">
        <v>25348</v>
      </c>
      <c r="C20137" s="5" t="str">
        <f>IFERROR(__xludf.DUMMYFUNCTION("GOOGLETRANSLATE(B20137,""en"",""it"")"),"L'uomo è in strada con una tavola e skateboard per la strada.")</f>
        <v>L'uomo è in strada con una tavola e skateboard per la strada.</v>
      </c>
    </row>
    <row r="20138">
      <c r="A20138" s="4" t="s">
        <v>25347</v>
      </c>
      <c r="B20138" s="4" t="s">
        <v>25349</v>
      </c>
      <c r="C20138" s="5" t="str">
        <f>IFERROR(__xludf.DUMMYFUNCTION("GOOGLETRANSLATE(B20138,""en"",""it"")"),"L'uomo sta camminando in un cortile e fa salti e parla con un microfono.")</f>
        <v>L'uomo sta camminando in un cortile e fa salti e parla con un microfono.</v>
      </c>
    </row>
    <row r="20139">
      <c r="A20139" s="4" t="s">
        <v>25350</v>
      </c>
      <c r="B20139" s="4" t="s">
        <v>25351</v>
      </c>
      <c r="C20139" s="5" t="str">
        <f>IFERROR(__xludf.DUMMYFUNCTION("GOOGLETRANSLATE(B20139,""en"",""it"")"),"Un uomo è fuori indossando una camicia Superman.")</f>
        <v>Un uomo è fuori indossando una camicia Superman.</v>
      </c>
    </row>
    <row r="20140">
      <c r="A20140" s="4" t="s">
        <v>25350</v>
      </c>
      <c r="B20140" s="4" t="s">
        <v>25352</v>
      </c>
      <c r="C20140" s="5" t="str">
        <f>IFERROR(__xludf.DUMMYFUNCTION("GOOGLETRANSLATE(B20140,""en"",""it"")"),"Si gira in cerchio, guardandosi intorno.")</f>
        <v>Si gira in cerchio, guardandosi intorno.</v>
      </c>
    </row>
    <row r="20141">
      <c r="A20141" s="4" t="s">
        <v>25350</v>
      </c>
      <c r="B20141" s="4" t="s">
        <v>25353</v>
      </c>
      <c r="C20141" s="5" t="str">
        <f>IFERROR(__xludf.DUMMYFUNCTION("GOOGLETRANSLATE(B20141,""en"",""it"")"),"Trova una bici rotta e la ripara mentre un uomo arrabbiato gli urla contro.")</f>
        <v>Trova una bici rotta e la ripara mentre un uomo arrabbiato gli urla contro.</v>
      </c>
    </row>
    <row r="20142">
      <c r="A20142" s="4" t="s">
        <v>25354</v>
      </c>
      <c r="B20142" s="4" t="s">
        <v>25355</v>
      </c>
      <c r="C20142" s="5" t="str">
        <f>IFERROR(__xludf.DUMMYFUNCTION("GOOGLETRANSLATE(B20142,""en"",""it"")"),"Un uomo viene mostrato levigare un muro e disporre un grande pezzo di carta d'acqua attraverso il muro.")</f>
        <v>Un uomo viene mostrato levigare un muro e disporre un grande pezzo di carta d'acqua attraverso il muro.</v>
      </c>
    </row>
    <row r="20143">
      <c r="A20143" s="4" t="s">
        <v>25354</v>
      </c>
      <c r="B20143" s="4" t="s">
        <v>25356</v>
      </c>
      <c r="C20143" s="5" t="str">
        <f>IFERROR(__xludf.DUMMYFUNCTION("GOOGLETRANSLATE(B20143,""en"",""it"")"),"Continua a spingere la carta nel muro e levigandolo da dietro.")</f>
        <v>Continua a spingere la carta nel muro e levigandolo da dietro.</v>
      </c>
    </row>
    <row r="20144">
      <c r="A20144" s="4" t="s">
        <v>25357</v>
      </c>
      <c r="B20144" s="4" t="s">
        <v>25358</v>
      </c>
      <c r="C20144" s="5" t="str">
        <f>IFERROR(__xludf.DUMMYFUNCTION("GOOGLETRANSLATE(B20144,""en"",""it"")"),"Un uomo spinge un tavolo nella sabbia.")</f>
        <v>Un uomo spinge un tavolo nella sabbia.</v>
      </c>
    </row>
    <row r="20145">
      <c r="A20145" s="4" t="s">
        <v>25357</v>
      </c>
      <c r="B20145" s="4" t="s">
        <v>25359</v>
      </c>
      <c r="C20145" s="5" t="str">
        <f>IFERROR(__xludf.DUMMYFUNCTION("GOOGLETRANSLATE(B20145,""en"",""it"")"),"Viene quindi mostrato navigare sul fondo del tavolo nell'oceano, scivolando attraverso un'onda.")</f>
        <v>Viene quindi mostrato navigare sul fondo del tavolo nell'oceano, scivolando attraverso un'onda.</v>
      </c>
    </row>
    <row r="20146">
      <c r="A20146" s="4" t="s">
        <v>25357</v>
      </c>
      <c r="B20146" s="4" t="s">
        <v>25360</v>
      </c>
      <c r="C20146" s="5" t="str">
        <f>IFERROR(__xludf.DUMMYFUNCTION("GOOGLETRANSLATE(B20146,""en"",""it"")"),"Un altro angolo viene mostrato con il surfista che cavalca senza sforzo un'onda su un tavolo.")</f>
        <v>Un altro angolo viene mostrato con il surfista che cavalca senza sforzo un'onda su un tavolo.</v>
      </c>
    </row>
    <row r="20147">
      <c r="A20147" s="4" t="s">
        <v>25357</v>
      </c>
      <c r="B20147" s="4" t="s">
        <v>25361</v>
      </c>
      <c r="C20147" s="5" t="str">
        <f>IFERROR(__xludf.DUMMYFUNCTION("GOOGLETRANSLATE(B20147,""en"",""it"")"),"Si schianta insieme all'onda.")</f>
        <v>Si schianta insieme all'onda.</v>
      </c>
    </row>
    <row r="20148">
      <c r="A20148" s="4" t="s">
        <v>25362</v>
      </c>
      <c r="B20148" s="4" t="s">
        <v>25363</v>
      </c>
      <c r="C20148" s="5" t="str">
        <f>IFERROR(__xludf.DUMMYFUNCTION("GOOGLETRANSLATE(B20148,""en"",""it"")"),"Un uomo che indossa le cuffie è in studio, che parla in un microfono.")</f>
        <v>Un uomo che indossa le cuffie è in studio, che parla in un microfono.</v>
      </c>
    </row>
    <row r="20149">
      <c r="A20149" s="4" t="s">
        <v>25362</v>
      </c>
      <c r="B20149" s="4" t="s">
        <v>25364</v>
      </c>
      <c r="C20149" s="5" t="str">
        <f>IFERROR(__xludf.DUMMYFUNCTION("GOOGLETRANSLATE(B20149,""en"",""it"")"),"Vengono mostrati altri uomini, uno dei quali inizia a suonare un'armonica.")</f>
        <v>Vengono mostrati altri uomini, uno dei quali inizia a suonare un'armonica.</v>
      </c>
    </row>
    <row r="20150">
      <c r="A20150" s="4" t="s">
        <v>25362</v>
      </c>
      <c r="B20150" s="4" t="s">
        <v>25365</v>
      </c>
      <c r="C20150" s="5" t="str">
        <f>IFERROR(__xludf.DUMMYFUNCTION("GOOGLETRANSLATE(B20150,""en"",""it"")"),"Smette di giocare e dice qualcosa che fa ridere il DJ.")</f>
        <v>Smette di giocare e dice qualcosa che fa ridere il DJ.</v>
      </c>
    </row>
    <row r="20151">
      <c r="A20151" s="4" t="s">
        <v>25366</v>
      </c>
      <c r="B20151" s="4" t="s">
        <v>25367</v>
      </c>
      <c r="C20151" s="5" t="str">
        <f>IFERROR(__xludf.DUMMYFUNCTION("GOOGLETRANSLATE(B20151,""en"",""it"")"),"Una macchina disegna una faccia su una zucca.")</f>
        <v>Una macchina disegna una faccia su una zucca.</v>
      </c>
    </row>
    <row r="20152">
      <c r="A20152" s="4" t="s">
        <v>25366</v>
      </c>
      <c r="B20152" s="4" t="s">
        <v>25368</v>
      </c>
      <c r="C20152" s="5" t="str">
        <f>IFERROR(__xludf.DUMMYFUNCTION("GOOGLETRANSLATE(B20152,""en"",""it"")"),"Le luci si spegne e mostra la zucca intagliata accesa.")</f>
        <v>Le luci si spegne e mostra la zucca intagliata accesa.</v>
      </c>
    </row>
    <row r="20153">
      <c r="A20153" s="4" t="s">
        <v>25366</v>
      </c>
      <c r="B20153" s="4" t="s">
        <v>25369</v>
      </c>
      <c r="C20153" s="5" t="str">
        <f>IFERROR(__xludf.DUMMYFUNCTION("GOOGLETRANSLATE(B20153,""en"",""it"")"),"Mostra la zucca nella luce.")</f>
        <v>Mostra la zucca nella luce.</v>
      </c>
    </row>
    <row r="20154">
      <c r="A20154" s="4" t="s">
        <v>25370</v>
      </c>
      <c r="B20154" s="4" t="s">
        <v>25371</v>
      </c>
      <c r="C20154" s="5" t="str">
        <f>IFERROR(__xludf.DUMMYFUNCTION("GOOGLETRANSLATE(B20154,""en"",""it"")"),"Un grande camion semi sta guidando sotto la pioggia.")</f>
        <v>Un grande camion semi sta guidando sotto la pioggia.</v>
      </c>
    </row>
    <row r="20155">
      <c r="A20155" s="4" t="s">
        <v>25370</v>
      </c>
      <c r="B20155" s="4" t="s">
        <v>25372</v>
      </c>
      <c r="C20155" s="5" t="str">
        <f>IFERROR(__xludf.DUMMYFUNCTION("GOOGLETRANSLATE(B20155,""en"",""it"")"),"Poi vediamo i ragazzi che cavalcano skateboard fuori da una casa.")</f>
        <v>Poi vediamo i ragazzi che cavalcano skateboard fuori da una casa.</v>
      </c>
    </row>
    <row r="20156">
      <c r="A20156" s="4" t="s">
        <v>25370</v>
      </c>
      <c r="B20156" s="4" t="s">
        <v>25373</v>
      </c>
      <c r="C20156" s="5" t="str">
        <f>IFERROR(__xludf.DUMMYFUNCTION("GOOGLETRANSLATE(B20156,""en"",""it"")"),"Eseguono diverse acrobazie su una tavola nel vialetto.")</f>
        <v>Eseguono diverse acrobazie su una tavola nel vialetto.</v>
      </c>
    </row>
    <row r="20157">
      <c r="A20157" s="4" t="s">
        <v>25374</v>
      </c>
      <c r="B20157" s="4" t="s">
        <v>25375</v>
      </c>
      <c r="C20157" s="5" t="str">
        <f>IFERROR(__xludf.DUMMYFUNCTION("GOOGLETRANSLATE(B20157,""en"",""it"")"),"Un palo Vaulter corre e si lancia sopra il bar.")</f>
        <v>Un palo Vaulter corre e si lancia sopra il bar.</v>
      </c>
    </row>
    <row r="20158">
      <c r="A20158" s="4" t="s">
        <v>25374</v>
      </c>
      <c r="B20158" s="6" t="s">
        <v>25376</v>
      </c>
      <c r="C20158" s="5" t="str">
        <f>IFERROR(__xludf.DUMMYFUNCTION("GOOGLETRANSLATE(B20158,""en"",""it"")"),"Il Vaulter introduce la sua sfida alla telecamera, che è quella di farla più di dieci volte di seguito in 20 minuti.")</f>
        <v>Il Vaulter introduce la sua sfida alla telecamera, che è quella di farla più di dieci volte di seguito in 20 minuti.</v>
      </c>
    </row>
    <row r="20159">
      <c r="A20159" s="4" t="s">
        <v>25374</v>
      </c>
      <c r="B20159" s="4" t="s">
        <v>25377</v>
      </c>
      <c r="C20159" s="5" t="str">
        <f>IFERROR(__xludf.DUMMYFUNCTION("GOOGLETRANSLATE(B20159,""en"",""it"")"),"Si lancia oltre 10 volte con successo e facilmente sotto il limite di 20 minuti.")</f>
        <v>Si lancia oltre 10 volte con successo e facilmente sotto il limite di 20 minuti.</v>
      </c>
    </row>
    <row r="20160">
      <c r="A20160" s="4" t="s">
        <v>25378</v>
      </c>
      <c r="B20160" s="4" t="s">
        <v>25379</v>
      </c>
      <c r="C20160" s="5" t="str">
        <f>IFERROR(__xludf.DUMMYFUNCTION("GOOGLETRANSLATE(B20160,""en"",""it"")"),"Vediamo un uomo e una donna che gioca a forbici di carta rocciosa competitiva tagliate con scene della folla.")</f>
        <v>Vediamo un uomo e una donna che gioca a forbici di carta rocciosa competitiva tagliate con scene della folla.</v>
      </c>
    </row>
    <row r="20161">
      <c r="A20161" s="4" t="s">
        <v>25378</v>
      </c>
      <c r="B20161" s="4" t="s">
        <v>25380</v>
      </c>
      <c r="C20161" s="5" t="str">
        <f>IFERROR(__xludf.DUMMYFUNCTION("GOOGLETRANSLATE(B20161,""en"",""it"")"),"Vediamo un uomo con un applaudito baffi.")</f>
        <v>Vediamo un uomo con un applaudito baffi.</v>
      </c>
    </row>
    <row r="20162">
      <c r="A20162" s="4" t="s">
        <v>25378</v>
      </c>
      <c r="B20162" s="4" t="s">
        <v>25381</v>
      </c>
      <c r="C20162" s="5" t="str">
        <f>IFERROR(__xludf.DUMMYFUNCTION("GOOGLETRANSLATE(B20162,""en"",""it"")"),"La signora vince e l'uomo nella causa alza la mano.")</f>
        <v>La signora vince e l'uomo nella causa alza la mano.</v>
      </c>
    </row>
    <row r="20163">
      <c r="A20163" s="4" t="s">
        <v>25378</v>
      </c>
      <c r="B20163" s="4" t="s">
        <v>25382</v>
      </c>
      <c r="C20163" s="5" t="str">
        <f>IFERROR(__xludf.DUMMYFUNCTION("GOOGLETRANSLATE(B20163,""en"",""it"")"),"L'uomo e la donna si stringono le mani.")</f>
        <v>L'uomo e la donna si stringono le mani.</v>
      </c>
    </row>
    <row r="20164">
      <c r="A20164" s="4" t="s">
        <v>25378</v>
      </c>
      <c r="B20164" s="4" t="s">
        <v>25383</v>
      </c>
      <c r="C20164" s="5" t="str">
        <f>IFERROR(__xludf.DUMMYFUNCTION("GOOGLETRANSLATE(B20164,""en"",""it"")"),"L'uomo nel gioco scuote la testa mentre si gira.")</f>
        <v>L'uomo nel gioco scuote la testa mentre si gira.</v>
      </c>
    </row>
    <row r="20165">
      <c r="A20165" s="4" t="s">
        <v>25384</v>
      </c>
      <c r="B20165" s="4" t="s">
        <v>25385</v>
      </c>
      <c r="C20165" s="5" t="str">
        <f>IFERROR(__xludf.DUMMYFUNCTION("GOOGLETRANSLATE(B20165,""en"",""it"")"),"Una donna entra in un cortile e si lancia in avanti.")</f>
        <v>Una donna entra in un cortile e si lancia in avanti.</v>
      </c>
    </row>
    <row r="20166">
      <c r="A20166" s="4" t="s">
        <v>25384</v>
      </c>
      <c r="B20166" s="4" t="s">
        <v>25386</v>
      </c>
      <c r="C20166" s="5" t="str">
        <f>IFERROR(__xludf.DUMMYFUNCTION("GOOGLETRANSLATE(B20166,""en"",""it"")"),"Si lava i capelli per molto tempo, levigando e lanciandoli.")</f>
        <v>Si lava i capelli per molto tempo, levigando e lanciandoli.</v>
      </c>
    </row>
    <row r="20167">
      <c r="A20167" s="4" t="s">
        <v>25384</v>
      </c>
      <c r="B20167" s="4" t="s">
        <v>25387</v>
      </c>
      <c r="C20167" s="5" t="str">
        <f>IFERROR(__xludf.DUMMYFUNCTION("GOOGLETRANSLATE(B20167,""en"",""it"")"),"Quindi si allontana dalla telecamera, continuando a spazzolare.")</f>
        <v>Quindi si allontana dalla telecamera, continuando a spazzolare.</v>
      </c>
    </row>
    <row r="20168">
      <c r="A20168" s="4" t="s">
        <v>25384</v>
      </c>
      <c r="B20168" s="4" t="s">
        <v>25388</v>
      </c>
      <c r="C20168" s="5" t="str">
        <f>IFERROR(__xludf.DUMMYFUNCTION("GOOGLETRANSLATE(B20168,""en"",""it"")"),"Si alza in piedi, poi si piega per spazzolare un po 'di più.")</f>
        <v>Si alza in piedi, poi si piega per spazzolare un po 'di più.</v>
      </c>
    </row>
    <row r="20169">
      <c r="A20169" s="4" t="s">
        <v>25389</v>
      </c>
      <c r="B20169" s="4" t="s">
        <v>25390</v>
      </c>
      <c r="C20169" s="5" t="str">
        <f>IFERROR(__xludf.DUMMYFUNCTION("GOOGLETRANSLATE(B20169,""en"",""it"")"),"Una cornice gialla con ragazze che gioca a LaCross apre il video.")</f>
        <v>Una cornice gialla con ragazze che gioca a LaCross apre il video.</v>
      </c>
    </row>
    <row r="20170">
      <c r="A20170" s="4" t="s">
        <v>25389</v>
      </c>
      <c r="B20170" s="4" t="s">
        <v>25391</v>
      </c>
      <c r="C20170" s="5" t="str">
        <f>IFERROR(__xludf.DUMMYFUNCTION("GOOGLETRANSLATE(B20170,""en"",""it"")"),"È in corso un gioco di ragazze lacross mentre vengono mostrate diapositive diverse.")</f>
        <v>È in corso un gioco di ragazze lacross mentre vengono mostrate diapositive diverse.</v>
      </c>
    </row>
    <row r="20171">
      <c r="A20171" s="4" t="s">
        <v>25389</v>
      </c>
      <c r="B20171" s="4" t="s">
        <v>25392</v>
      </c>
      <c r="C20171" s="5" t="str">
        <f>IFERROR(__xludf.DUMMYFUNCTION("GOOGLETRANSLATE(B20171,""en"",""it"")"),"Il gioco termina con una penalità.")</f>
        <v>Il gioco termina con una penalità.</v>
      </c>
    </row>
    <row r="20172">
      <c r="A20172" s="4" t="s">
        <v>25393</v>
      </c>
      <c r="B20172" s="4" t="s">
        <v>25394</v>
      </c>
      <c r="C20172" s="5" t="str">
        <f>IFERROR(__xludf.DUMMYFUNCTION("GOOGLETRANSLATE(B20172,""en"",""it"")"),"Una persona in un cappotto nero sta spalando da un vialetto.")</f>
        <v>Una persona in un cappotto nero sta spalando da un vialetto.</v>
      </c>
    </row>
    <row r="20173">
      <c r="A20173" s="4" t="s">
        <v>25393</v>
      </c>
      <c r="B20173" s="4" t="s">
        <v>25395</v>
      </c>
      <c r="C20173" s="5" t="str">
        <f>IFERROR(__xludf.DUMMYFUNCTION("GOOGLETRANSLATE(B20173,""en"",""it"")"),"Un uomo viene mostrato in piedi in un garage.")</f>
        <v>Un uomo viene mostrato in piedi in un garage.</v>
      </c>
    </row>
    <row r="20174">
      <c r="A20174" s="4" t="s">
        <v>25396</v>
      </c>
      <c r="B20174" s="4" t="s">
        <v>25397</v>
      </c>
      <c r="C20174" s="5" t="str">
        <f>IFERROR(__xludf.DUMMYFUNCTION("GOOGLETRANSLATE(B20174,""en"",""it"")"),"Vediamo un uomo e una gente entrare in uno stadio.")</f>
        <v>Vediamo un uomo e una gente entrare in uno stadio.</v>
      </c>
    </row>
    <row r="20175">
      <c r="A20175" s="4" t="s">
        <v>25396</v>
      </c>
      <c r="B20175" s="4" t="s">
        <v>25398</v>
      </c>
      <c r="C20175" s="5" t="str">
        <f>IFERROR(__xludf.DUMMYFUNCTION("GOOGLETRANSLATE(B20175,""en"",""it"")"),"Passiamo a persone nelle squadre e marciano militari in un cortile.")</f>
        <v>Passiamo a persone nelle squadre e marciano militari in un cortile.</v>
      </c>
    </row>
    <row r="20176">
      <c r="A20176" s="4" t="s">
        <v>25396</v>
      </c>
      <c r="B20176" s="4" t="s">
        <v>25399</v>
      </c>
      <c r="C20176" s="5" t="str">
        <f>IFERROR(__xludf.DUMMYFUNCTION("GOOGLETRANSLATE(B20176,""en"",""it"")"),"Le persone stanno giocando con bastoncini.")</f>
        <v>Le persone stanno giocando con bastoncini.</v>
      </c>
    </row>
    <row r="20177">
      <c r="A20177" s="4" t="s">
        <v>25396</v>
      </c>
      <c r="B20177" s="4" t="s">
        <v>25400</v>
      </c>
      <c r="C20177" s="5" t="str">
        <f>IFERROR(__xludf.DUMMYFUNCTION("GOOGLETRANSLATE(B20177,""en"",""it"")"),"Vediamo un gruppo di persone in una squadra in piedi in un cerchio.")</f>
        <v>Vediamo un gruppo di persone in una squadra in piedi in un cerchio.</v>
      </c>
    </row>
    <row r="20178">
      <c r="A20178" s="4" t="s">
        <v>25396</v>
      </c>
      <c r="B20178" s="4" t="s">
        <v>25401</v>
      </c>
      <c r="C20178" s="5" t="str">
        <f>IFERROR(__xludf.DUMMYFUNCTION("GOOGLETRANSLATE(B20178,""en"",""it"")"),"Vediamo un uomo che cammina per strada, poi una persona seduta sul marciapiede.")</f>
        <v>Vediamo un uomo che cammina per strada, poi una persona seduta sul marciapiede.</v>
      </c>
    </row>
    <row r="20179">
      <c r="A20179" s="4" t="s">
        <v>25402</v>
      </c>
      <c r="B20179" s="4" t="s">
        <v>25403</v>
      </c>
      <c r="C20179" s="5" t="str">
        <f>IFERROR(__xludf.DUMMYFUNCTION("GOOGLETRANSLATE(B20179,""en"",""it"")"),"Un uomo è in piedi in una stanza di fronte a uno specchio che parla.")</f>
        <v>Un uomo è in piedi in una stanza di fronte a uno specchio che parla.</v>
      </c>
    </row>
    <row r="20180">
      <c r="A20180" s="4" t="s">
        <v>25402</v>
      </c>
      <c r="B20180" s="4" t="s">
        <v>25404</v>
      </c>
      <c r="C20180" s="5" t="str">
        <f>IFERROR(__xludf.DUMMYFUNCTION("GOOGLETRANSLATE(B20180,""en"",""it"")"),"Si mette in ginocchio e gli sta sulla testa.")</f>
        <v>Si mette in ginocchio e gli sta sulla testa.</v>
      </c>
    </row>
    <row r="20181">
      <c r="A20181" s="4" t="s">
        <v>25402</v>
      </c>
      <c r="B20181" s="4" t="s">
        <v>25405</v>
      </c>
      <c r="C20181" s="5" t="str">
        <f>IFERROR(__xludf.DUMMYFUNCTION("GOOGLETRANSLATE(B20181,""en"",""it"")"),"Si muove in cerchio in testa e gira.")</f>
        <v>Si muove in cerchio in testa e gira.</v>
      </c>
    </row>
    <row r="20182">
      <c r="A20182" s="4" t="s">
        <v>25406</v>
      </c>
      <c r="B20182" s="4" t="s">
        <v>25407</v>
      </c>
      <c r="C20182" s="5" t="str">
        <f>IFERROR(__xludf.DUMMYFUNCTION("GOOGLETRANSLATE(B20182,""en"",""it"")"),"Ci sono giocatori, uno in giallo e l'altro in rossa che lancia in uno stadio all'aperto.")</f>
        <v>Ci sono giocatori, uno in giallo e l'altro in rossa che lancia in uno stadio all'aperto.</v>
      </c>
    </row>
    <row r="20183">
      <c r="A20183" s="4" t="s">
        <v>25406</v>
      </c>
      <c r="B20183" s="4" t="s">
        <v>25408</v>
      </c>
      <c r="C20183" s="5" t="str">
        <f>IFERROR(__xludf.DUMMYFUNCTION("GOOGLETRANSLATE(B20183,""en"",""it"")"),"Fanno parte di una squadra che gioca nel grande stadio con diversi spettatori.")</f>
        <v>Fanno parte di una squadra che gioca nel grande stadio con diversi spettatori.</v>
      </c>
    </row>
    <row r="20184">
      <c r="A20184" s="4" t="s">
        <v>25406</v>
      </c>
      <c r="B20184" s="4" t="s">
        <v>25409</v>
      </c>
      <c r="C20184" s="5" t="str">
        <f>IFERROR(__xludf.DUMMYFUNCTION("GOOGLETRANSLATE(B20184,""en"",""it"")"),"Il video sta dimostrando come catturare la palla e raccoglierla con il bastone.")</f>
        <v>Il video sta dimostrando come catturare la palla e raccoglierla con il bastone.</v>
      </c>
    </row>
    <row r="20185">
      <c r="A20185" s="4" t="s">
        <v>25406</v>
      </c>
      <c r="B20185" s="4" t="s">
        <v>25410</v>
      </c>
      <c r="C20185" s="5" t="str">
        <f>IFERROR(__xludf.DUMMYFUNCTION("GOOGLETRANSLATE(B20185,""en"",""it"")"),"Dimostra anche come bilanciare la palla sul bastone mentre il giocatore corre.")</f>
        <v>Dimostra anche come bilanciare la palla sul bastone mentre il giocatore corre.</v>
      </c>
    </row>
    <row r="20186">
      <c r="A20186" s="4" t="s">
        <v>25406</v>
      </c>
      <c r="B20186" s="6" t="s">
        <v>25411</v>
      </c>
      <c r="C20186" s="5" t="str">
        <f>IFERROR(__xludf.DUMMYFUNCTION("GOOGLETRANSLATE(B20186,""en"",""it"")"),"I giocatori stanno mostrando tutti i passaggi del tutorial in cui quello del giocatore spara coraggiosamente la palla per un punto.")</f>
        <v>I giocatori stanno mostrando tutti i passaggi del tutorial in cui quello del giocatore spara coraggiosamente la palla per un punto.</v>
      </c>
    </row>
    <row r="20187">
      <c r="A20187" s="4" t="s">
        <v>25406</v>
      </c>
      <c r="B20187" s="4" t="s">
        <v>25412</v>
      </c>
      <c r="C20187" s="5" t="str">
        <f>IFERROR(__xludf.DUMMYFUNCTION("GOOGLETRANSLATE(B20187,""en"",""it"")"),"C'è un giocatore in un'uniforme blu e bianca che spara alla palla per un punto e segnando un goal.")</f>
        <v>C'è un giocatore in un'uniforme blu e bianca che spara alla palla per un punto e segnando un goal.</v>
      </c>
    </row>
    <row r="20188">
      <c r="A20188" s="4" t="s">
        <v>25413</v>
      </c>
      <c r="B20188" s="4" t="s">
        <v>25414</v>
      </c>
      <c r="C20188" s="5" t="str">
        <f>IFERROR(__xludf.DUMMYFUNCTION("GOOGLETRANSLATE(B20188,""en"",""it"")"),"Un uomo sta tagliando il traguardo di una gara.")</f>
        <v>Un uomo sta tagliando il traguardo di una gara.</v>
      </c>
    </row>
    <row r="20189">
      <c r="A20189" s="4" t="s">
        <v>25413</v>
      </c>
      <c r="B20189" s="4" t="s">
        <v>25415</v>
      </c>
      <c r="C20189" s="5" t="str">
        <f>IFERROR(__xludf.DUMMYFUNCTION("GOOGLETRANSLATE(B20189,""en"",""it"")"),"Molte persone corrono in gara.")</f>
        <v>Molte persone corrono in gara.</v>
      </c>
    </row>
    <row r="20190">
      <c r="A20190" s="4" t="s">
        <v>25413</v>
      </c>
      <c r="B20190" s="4" t="s">
        <v>25416</v>
      </c>
      <c r="C20190" s="5" t="str">
        <f>IFERROR(__xludf.DUMMYFUNCTION("GOOGLETRANSLATE(B20190,""en"",""it"")"),"Le persone stanno correndo lungo una strada sterrata.")</f>
        <v>Le persone stanno correndo lungo una strada sterrata.</v>
      </c>
    </row>
    <row r="20191">
      <c r="A20191" s="4" t="s">
        <v>25417</v>
      </c>
      <c r="B20191" s="6" t="s">
        <v>25418</v>
      </c>
      <c r="C20191" s="5" t="str">
        <f>IFERROR(__xludf.DUMMYFUNCTION("GOOGLETRANSLATE(B20191,""en"",""it"")"),"Un gruppo di quattro ragazze sono in piedi uno accanto all'altra in bagno e si schierano qualcosa.")</f>
        <v>Un gruppo di quattro ragazze sono in piedi uno accanto all'altra in bagno e si schierano qualcosa.</v>
      </c>
    </row>
    <row r="20192">
      <c r="A20192" s="4" t="s">
        <v>25417</v>
      </c>
      <c r="B20192" s="4" t="s">
        <v>25419</v>
      </c>
      <c r="C20192" s="5" t="str">
        <f>IFERROR(__xludf.DUMMYFUNCTION("GOOGLETRANSLATE(B20192,""en"",""it"")"),"Lo stanno gonfiando in bocca e quasi tutti hanno le mani sopra la bocca.")</f>
        <v>Lo stanno gonfiando in bocca e quasi tutti hanno le mani sopra la bocca.</v>
      </c>
    </row>
    <row r="20193">
      <c r="A20193" s="4" t="s">
        <v>25417</v>
      </c>
      <c r="B20193" s="4" t="s">
        <v>25420</v>
      </c>
      <c r="C20193" s="5" t="str">
        <f>IFERROR(__xludf.DUMMYFUNCTION("GOOGLETRANSLATE(B20193,""en"",""it"")"),"Uno di loro lo sputa nel lavandino e gli altri tre stanno cercando di continuare.")</f>
        <v>Uno di loro lo sputa nel lavandino e gli altri tre stanno cercando di continuare.</v>
      </c>
    </row>
    <row r="20194">
      <c r="A20194" s="4" t="s">
        <v>25417</v>
      </c>
      <c r="B20194" s="4" t="s">
        <v>25421</v>
      </c>
      <c r="C20194" s="5" t="str">
        <f>IFERROR(__xludf.DUMMYFUNCTION("GOOGLETRANSLATE(B20194,""en"",""it"")"),"Stanno divertendo davvero e alla fine sputano tutti e una ragazza vince.")</f>
        <v>Stanno divertendo davvero e alla fine sputano tutti e una ragazza vince.</v>
      </c>
    </row>
    <row r="20195">
      <c r="A20195" s="4" t="s">
        <v>25422</v>
      </c>
      <c r="B20195" s="4" t="s">
        <v>25423</v>
      </c>
      <c r="C20195" s="5" t="str">
        <f>IFERROR(__xludf.DUMMYFUNCTION("GOOGLETRANSLATE(B20195,""en"",""it"")"),"Una donna ha una bandana legata agli occhi.")</f>
        <v>Una donna ha una bandana legata agli occhi.</v>
      </c>
    </row>
    <row r="20196">
      <c r="A20196" s="4" t="s">
        <v>25422</v>
      </c>
      <c r="B20196" s="4" t="s">
        <v>25424</v>
      </c>
      <c r="C20196" s="5" t="str">
        <f>IFERROR(__xludf.DUMMYFUNCTION("GOOGLETRANSLATE(B20196,""en"",""it"")"),"Usa un bastone per oscillare su una pinata.")</f>
        <v>Usa un bastone per oscillare su una pinata.</v>
      </c>
    </row>
    <row r="20197">
      <c r="A20197" s="4" t="s">
        <v>25422</v>
      </c>
      <c r="B20197" s="4" t="s">
        <v>25425</v>
      </c>
      <c r="C20197" s="5" t="str">
        <f>IFERROR(__xludf.DUMMYFUNCTION("GOOGLETRANSLATE(B20197,""en"",""it"")"),"Colpisce la Pinata numerose volte.")</f>
        <v>Colpisce la Pinata numerose volte.</v>
      </c>
    </row>
    <row r="20198">
      <c r="A20198" s="4" t="s">
        <v>25426</v>
      </c>
      <c r="B20198" s="4" t="s">
        <v>25427</v>
      </c>
      <c r="C20198" s="5" t="str">
        <f>IFERROR(__xludf.DUMMYFUNCTION("GOOGLETRANSLATE(B20198,""en"",""it"")"),"Un uomo è in piedi fuori da un tatuaggio e da un salone perforato.")</f>
        <v>Un uomo è in piedi fuori da un tatuaggio e da un salone perforato.</v>
      </c>
    </row>
    <row r="20199">
      <c r="A20199" s="4" t="s">
        <v>25426</v>
      </c>
      <c r="B20199" s="4" t="s">
        <v>25428</v>
      </c>
      <c r="C20199" s="5" t="str">
        <f>IFERROR(__xludf.DUMMYFUNCTION("GOOGLETRANSLATE(B20199,""en"",""it"")"),"Si sdraia su una panchina mentre un tatuatore lavora su un tatuaggio sulla schiena.")</f>
        <v>Si sdraia su una panchina mentre un tatuatore lavora su un tatuaggio sulla schiena.</v>
      </c>
    </row>
    <row r="20200">
      <c r="A20200" s="4" t="s">
        <v>25426</v>
      </c>
      <c r="B20200" s="4" t="s">
        <v>25429</v>
      </c>
      <c r="C20200" s="5" t="str">
        <f>IFERROR(__xludf.DUMMYFUNCTION("GOOGLETRANSLATE(B20200,""en"",""it"")"),"Mostra un primo piano del suo lavoro, che dice Thugglife.")</f>
        <v>Mostra un primo piano del suo lavoro, che dice Thugglife.</v>
      </c>
    </row>
    <row r="20201">
      <c r="A20201" s="4" t="s">
        <v>25426</v>
      </c>
      <c r="B20201" s="4" t="s">
        <v>25430</v>
      </c>
      <c r="C20201" s="5" t="str">
        <f>IFERROR(__xludf.DUMMYFUNCTION("GOOGLETRANSLATE(B20201,""en"",""it"")"),"L'uomo guarda il lavoro allo specchio.")</f>
        <v>L'uomo guarda il lavoro allo specchio.</v>
      </c>
    </row>
    <row r="20202">
      <c r="A20202" s="4" t="s">
        <v>25431</v>
      </c>
      <c r="B20202" s="4" t="s">
        <v>25432</v>
      </c>
      <c r="C20202" s="5" t="str">
        <f>IFERROR(__xludf.DUMMYFUNCTION("GOOGLETRANSLATE(B20202,""en"",""it"")"),"Un artisti di arti marziali si esibisce contemporaneamente mosse lente con le braccia e le gambe.")</f>
        <v>Un artisti di arti marziali si esibisce contemporaneamente mosse lente con le braccia e le gambe.</v>
      </c>
    </row>
    <row r="20203">
      <c r="A20203" s="4" t="s">
        <v>25431</v>
      </c>
      <c r="B20203" s="4" t="s">
        <v>25433</v>
      </c>
      <c r="C20203" s="5" t="str">
        <f>IFERROR(__xludf.DUMMYFUNCTION("GOOGLETRANSLATE(B20203,""en"",""it"")"),"Un uomo parla alla telecamera dopo che la donna ha terminato la sua routine di arti marziali.")</f>
        <v>Un uomo parla alla telecamera dopo che la donna ha terminato la sua routine di arti marziali.</v>
      </c>
    </row>
    <row r="20204">
      <c r="A20204" s="4" t="s">
        <v>25434</v>
      </c>
      <c r="B20204" s="4" t="s">
        <v>25435</v>
      </c>
      <c r="C20204" s="5" t="str">
        <f>IFERROR(__xludf.DUMMYFUNCTION("GOOGLETRANSLATE(B20204,""en"",""it"")"),"Un uomo si trova su una porta a parlare.")</f>
        <v>Un uomo si trova su una porta a parlare.</v>
      </c>
    </row>
    <row r="20205">
      <c r="A20205" s="4" t="s">
        <v>25434</v>
      </c>
      <c r="B20205" s="4" t="s">
        <v>25436</v>
      </c>
      <c r="C20205" s="5" t="str">
        <f>IFERROR(__xludf.DUMMYFUNCTION("GOOGLETRANSLATE(B20205,""en"",""it"")"),"L'uomo si arrampica su una scala e aggiunge un pezzo di sfondo al muro.")</f>
        <v>L'uomo si arrampica su una scala e aggiunge un pezzo di sfondo al muro.</v>
      </c>
    </row>
    <row r="20206">
      <c r="A20206" s="4" t="s">
        <v>25434</v>
      </c>
      <c r="B20206" s="4" t="s">
        <v>25437</v>
      </c>
      <c r="C20206" s="5" t="str">
        <f>IFERROR(__xludf.DUMMYFUNCTION("GOOGLETRANSLATE(B20206,""en"",""it"")"),"L'uomo usa uno strumento prima di girare per parlare, quindi lo applausi.")</f>
        <v>L'uomo usa uno strumento prima di girare per parlare, quindi lo applausi.</v>
      </c>
    </row>
    <row r="20207">
      <c r="A20207" s="4" t="s">
        <v>25434</v>
      </c>
      <c r="B20207" s="4" t="s">
        <v>25438</v>
      </c>
      <c r="C20207" s="5" t="str">
        <f>IFERROR(__xludf.DUMMYFUNCTION("GOOGLETRANSLATE(B20207,""en"",""it"")"),"L'uomo parla e usa un altro strumento per tagliare un pezzo, quindi asciuga il soffitto.")</f>
        <v>L'uomo parla e usa un altro strumento per tagliare un pezzo, quindi asciuga il soffitto.</v>
      </c>
    </row>
    <row r="20208">
      <c r="A20208" s="4" t="s">
        <v>25439</v>
      </c>
      <c r="B20208" s="4" t="s">
        <v>25440</v>
      </c>
      <c r="C20208" s="5" t="str">
        <f>IFERROR(__xludf.DUMMYFUNCTION("GOOGLETRANSLATE(B20208,""en"",""it"")"),"Una donna sta tenendo un violino contro se stessa.")</f>
        <v>Una donna sta tenendo un violino contro se stessa.</v>
      </c>
    </row>
    <row r="20209">
      <c r="A20209" s="4" t="s">
        <v>25439</v>
      </c>
      <c r="B20209" s="4" t="s">
        <v>25441</v>
      </c>
      <c r="C20209" s="5" t="str">
        <f>IFERROR(__xludf.DUMMYFUNCTION("GOOGLETRANSLATE(B20209,""en"",""it"")"),"La donna suona il violino.")</f>
        <v>La donna suona il violino.</v>
      </c>
    </row>
    <row r="20210">
      <c r="A20210" s="4" t="s">
        <v>25439</v>
      </c>
      <c r="B20210" s="4" t="s">
        <v>25442</v>
      </c>
      <c r="C20210" s="5" t="str">
        <f>IFERROR(__xludf.DUMMYFUNCTION("GOOGLETRANSLATE(B20210,""en"",""it"")"),"La donna smette di suonare il violino.")</f>
        <v>La donna smette di suonare il violino.</v>
      </c>
    </row>
    <row r="20211">
      <c r="A20211" s="4" t="s">
        <v>25443</v>
      </c>
      <c r="B20211" s="4" t="s">
        <v>25444</v>
      </c>
      <c r="C20211" s="5" t="str">
        <f>IFERROR(__xludf.DUMMYFUNCTION("GOOGLETRANSLATE(B20211,""en"",""it"")"),"C'è un uomo con una camicia rossa e una camicia controllata, in piedi in un parco.")</f>
        <v>C'è un uomo con una camicia rossa e una camicia controllata, in piedi in un parco.</v>
      </c>
    </row>
    <row r="20212">
      <c r="A20212" s="4" t="s">
        <v>25443</v>
      </c>
      <c r="B20212" s="4" t="s">
        <v>25445</v>
      </c>
      <c r="C20212" s="5" t="str">
        <f>IFERROR(__xludf.DUMMYFUNCTION("GOOGLETRANSLATE(B20212,""en"",""it"")"),"Lancia uno pneumatico in gomma a terra.")</f>
        <v>Lancia uno pneumatico in gomma a terra.</v>
      </c>
    </row>
    <row r="20213">
      <c r="A20213" s="4" t="s">
        <v>25443</v>
      </c>
      <c r="B20213" s="4" t="s">
        <v>25446</v>
      </c>
      <c r="C20213" s="5" t="str">
        <f>IFERROR(__xludf.DUMMYFUNCTION("GOOGLETRANSLATE(B20213,""en"",""it"")"),"Sta in piedi vicino a una panchina con uno skateboard in mano.")</f>
        <v>Sta in piedi vicino a una panchina con uno skateboard in mano.</v>
      </c>
    </row>
    <row r="20214">
      <c r="A20214" s="4" t="s">
        <v>25443</v>
      </c>
      <c r="B20214" s="4" t="s">
        <v>25447</v>
      </c>
      <c r="C20214" s="5" t="str">
        <f>IFERROR(__xludf.DUMMYFUNCTION("GOOGLETRANSLATE(B20214,""en"",""it"")"),"Sta dimostrando come fare le acrobazie sullo skateboard saltando sulla panchina del parco.")</f>
        <v>Sta dimostrando come fare le acrobazie sullo skateboard saltando sulla panchina del parco.</v>
      </c>
    </row>
    <row r="20215">
      <c r="A20215" s="4" t="s">
        <v>25443</v>
      </c>
      <c r="B20215" s="4" t="s">
        <v>25448</v>
      </c>
      <c r="C20215" s="5" t="str">
        <f>IFERROR(__xludf.DUMMYFUNCTION("GOOGLETRANSLATE(B20215,""en"",""it"")"),"Ripete la stessa acrobazia ancora e ancora.")</f>
        <v>Ripete la stessa acrobazia ancora e ancora.</v>
      </c>
    </row>
    <row r="20216">
      <c r="A20216" s="4" t="s">
        <v>25443</v>
      </c>
      <c r="B20216" s="4" t="s">
        <v>25449</v>
      </c>
      <c r="C20216" s="5" t="str">
        <f>IFERROR(__xludf.DUMMYFUNCTION("GOOGLETRANSLATE(B20216,""en"",""it"")"),"Cade dallo skateboard un paio di volte, ma ha successo la maggior parte del tempo.")</f>
        <v>Cade dallo skateboard un paio di volte, ma ha successo la maggior parte del tempo.</v>
      </c>
    </row>
    <row r="20217">
      <c r="A20217" s="4" t="s">
        <v>25443</v>
      </c>
      <c r="B20217" s="4" t="s">
        <v>25450</v>
      </c>
      <c r="C20217" s="5" t="str">
        <f>IFERROR(__xludf.DUMMYFUNCTION("GOOGLETRANSLATE(B20217,""en"",""it"")"),"Quindi tiene in mano lo skateboard mentre parla mentre indica la panchina.")</f>
        <v>Quindi tiene in mano lo skateboard mentre parla mentre indica la panchina.</v>
      </c>
    </row>
    <row r="20218">
      <c r="A20218" s="4" t="s">
        <v>25451</v>
      </c>
      <c r="B20218" s="4" t="s">
        <v>25452</v>
      </c>
      <c r="C20218" s="5" t="str">
        <f>IFERROR(__xludf.DUMMYFUNCTION("GOOGLETRANSLATE(B20218,""en"",""it"")"),"Un logo ""Eesa"" è mostrato sullo schermo.")</f>
        <v>Un logo "Eesa" è mostrato sullo schermo.</v>
      </c>
    </row>
    <row r="20219">
      <c r="A20219" s="4" t="s">
        <v>25451</v>
      </c>
      <c r="B20219" s="4" t="s">
        <v>25453</v>
      </c>
      <c r="C20219" s="5" t="str">
        <f>IFERROR(__xludf.DUMMYFUNCTION("GOOGLETRANSLATE(B20219,""en"",""it"")"),"Due uomini che indossano attrezzature per immersioni subacquee in una piscina interna parlano con la telecamera.")</f>
        <v>Due uomini che indossano attrezzature per immersioni subacquee in una piscina interna parlano con la telecamera.</v>
      </c>
    </row>
    <row r="20220">
      <c r="A20220" s="4" t="s">
        <v>25451</v>
      </c>
      <c r="B20220" s="6" t="s">
        <v>25454</v>
      </c>
      <c r="C20220" s="5" t="str">
        <f>IFERROR(__xludf.DUMMYFUNCTION("GOOGLETRANSLATE(B20220,""en"",""it"")"),"La telecamera segue uno degli uomini sott'acqua dove sono presenti numerosi ostacoli artificiali.")</f>
        <v>La telecamera segue uno degli uomini sott'acqua dove sono presenti numerosi ostacoli artificiali.</v>
      </c>
    </row>
    <row r="20221">
      <c r="A20221" s="4" t="s">
        <v>25451</v>
      </c>
      <c r="B20221" s="4" t="s">
        <v>25455</v>
      </c>
      <c r="C20221" s="5" t="str">
        <f>IFERROR(__xludf.DUMMYFUNCTION("GOOGLETRANSLATE(B20221,""en"",""it"")"),"Altri uomini vestiti come gli astronauti sono sott'acqua con loro.")</f>
        <v>Altri uomini vestiti come gli astronauti sono sott'acqua con loro.</v>
      </c>
    </row>
    <row r="20222">
      <c r="A20222" s="4" t="s">
        <v>25451</v>
      </c>
      <c r="B20222" s="4" t="s">
        <v>25456</v>
      </c>
      <c r="C20222" s="5" t="str">
        <f>IFERROR(__xludf.DUMMYFUNCTION("GOOGLETRANSLATE(B20222,""en"",""it"")"),"Il rotolamento dei subacquei subacquei e i crediti.")</f>
        <v>Il rotolamento dei subacquei subacquei e i crediti.</v>
      </c>
    </row>
    <row r="20223">
      <c r="A20223" s="4" t="s">
        <v>25457</v>
      </c>
      <c r="B20223" s="4" t="s">
        <v>1487</v>
      </c>
      <c r="C20223" s="5" t="str">
        <f>IFERROR(__xludf.DUMMYFUNCTION("GOOGLETRANSLATE(B20223,""en"",""it"")"),"Vediamo una schermata del titolo di apertura.")</f>
        <v>Vediamo una schermata del titolo di apertura.</v>
      </c>
    </row>
    <row r="20224">
      <c r="A20224" s="4" t="s">
        <v>25457</v>
      </c>
      <c r="B20224" s="4" t="s">
        <v>25458</v>
      </c>
      <c r="C20224" s="5" t="str">
        <f>IFERROR(__xludf.DUMMYFUNCTION("GOOGLETRANSLATE(B20224,""en"",""it"")"),"Vediamo palle e pagaie e un tavolo blu, poi un uomo parla e due uomini che giocano a ping -pong.")</f>
        <v>Vediamo palle e pagaie e un tavolo blu, poi un uomo parla e due uomini che giocano a ping -pong.</v>
      </c>
    </row>
    <row r="20225">
      <c r="A20225" s="4" t="s">
        <v>25457</v>
      </c>
      <c r="B20225" s="4" t="s">
        <v>25459</v>
      </c>
      <c r="C20225" s="5" t="str">
        <f>IFERROR(__xludf.DUMMYFUNCTION("GOOGLETRANSLATE(B20225,""en"",""it"")"),"Vediamo uno schermo del titolo didattico.")</f>
        <v>Vediamo uno schermo del titolo didattico.</v>
      </c>
    </row>
    <row r="20226">
      <c r="A20226" s="4" t="s">
        <v>25457</v>
      </c>
      <c r="B20226" s="4" t="s">
        <v>25460</v>
      </c>
      <c r="C20226" s="5" t="str">
        <f>IFERROR(__xludf.DUMMYFUNCTION("GOOGLETRANSLATE(B20226,""en"",""it"")"),"L'uomo dimostra colpire una palla e lo vediamo in gioco colpire la palla.")</f>
        <v>L'uomo dimostra colpire una palla e lo vediamo in gioco colpire la palla.</v>
      </c>
    </row>
    <row r="20227">
      <c r="A20227" s="4" t="s">
        <v>25457</v>
      </c>
      <c r="B20227" s="4" t="s">
        <v>777</v>
      </c>
      <c r="C20227" s="5" t="str">
        <f>IFERROR(__xludf.DUMMYFUNCTION("GOOGLETRANSLATE(B20227,""en"",""it"")"),"Vediamo la schermata del titolo finale.")</f>
        <v>Vediamo la schermata del titolo finale.</v>
      </c>
    </row>
    <row r="20228">
      <c r="A20228" s="4" t="s">
        <v>25461</v>
      </c>
      <c r="B20228" s="4" t="s">
        <v>25462</v>
      </c>
      <c r="C20228" s="5" t="str">
        <f>IFERROR(__xludf.DUMMYFUNCTION("GOOGLETRANSLATE(B20228,""en"",""it"")"),"Diversi uomini soffiano foglie di fronte a una casa.")</f>
        <v>Diversi uomini soffiano foglie di fronte a una casa.</v>
      </c>
    </row>
    <row r="20229">
      <c r="A20229" s="4" t="s">
        <v>25461</v>
      </c>
      <c r="B20229" s="4" t="s">
        <v>25463</v>
      </c>
      <c r="C20229" s="5" t="str">
        <f>IFERROR(__xludf.DUMMYFUNCTION("GOOGLETRANSLATE(B20229,""en"",""it"")"),"Un uomo sta andando in tutto il cortile per soffiare le foglie.")</f>
        <v>Un uomo sta andando in tutto il cortile per soffiare le foglie.</v>
      </c>
    </row>
    <row r="20230">
      <c r="A20230" s="4" t="s">
        <v>25461</v>
      </c>
      <c r="B20230" s="4" t="s">
        <v>25464</v>
      </c>
      <c r="C20230" s="5" t="str">
        <f>IFERROR(__xludf.DUMMYFUNCTION("GOOGLETRANSLATE(B20230,""en"",""it"")"),"Si schiarisce di fronte alla casa.")</f>
        <v>Si schiarisce di fronte alla casa.</v>
      </c>
    </row>
    <row r="20231">
      <c r="A20231" s="4" t="s">
        <v>25461</v>
      </c>
      <c r="B20231" s="4" t="s">
        <v>25465</v>
      </c>
      <c r="C20231" s="5" t="str">
        <f>IFERROR(__xludf.DUMMYFUNCTION("GOOGLETRANSLATE(B20231,""en"",""it"")"),"Si elimina anche dal capannone.")</f>
        <v>Si elimina anche dal capannone.</v>
      </c>
    </row>
    <row r="20232">
      <c r="A20232" s="4" t="s">
        <v>25461</v>
      </c>
      <c r="B20232" s="4" t="s">
        <v>25466</v>
      </c>
      <c r="C20232" s="5" t="str">
        <f>IFERROR(__xludf.DUMMYFUNCTION("GOOGLETRANSLATE(B20232,""en"",""it"")"),"Un altro uomo viene mostrato vagare nel cortile.")</f>
        <v>Un altro uomo viene mostrato vagare nel cortile.</v>
      </c>
    </row>
    <row r="20233">
      <c r="A20233" s="4" t="s">
        <v>25467</v>
      </c>
      <c r="B20233" s="4" t="s">
        <v>25468</v>
      </c>
      <c r="C20233" s="5" t="str">
        <f>IFERROR(__xludf.DUMMYFUNCTION("GOOGLETRANSLATE(B20233,""en"",""it"")"),"Vediamo uomini su un campo di lacrosse giocare.")</f>
        <v>Vediamo uomini su un campo di lacrosse giocare.</v>
      </c>
    </row>
    <row r="20234">
      <c r="A20234" s="4" t="s">
        <v>25467</v>
      </c>
      <c r="B20234" s="4" t="s">
        <v>25469</v>
      </c>
      <c r="C20234" s="5" t="str">
        <f>IFERROR(__xludf.DUMMYFUNCTION("GOOGLETRANSLATE(B20234,""en"",""it"")"),"Un uomo colpisce la palla e gli uomini corrono sul campo.")</f>
        <v>Un uomo colpisce la palla e gli uomini corrono sul campo.</v>
      </c>
    </row>
    <row r="20235">
      <c r="A20235" s="4" t="s">
        <v>25467</v>
      </c>
      <c r="B20235" s="4" t="s">
        <v>25470</v>
      </c>
      <c r="C20235" s="5" t="str">
        <f>IFERROR(__xludf.DUMMYFUNCTION("GOOGLETRANSLATE(B20235,""en"",""it"")"),"Vediamo un uomo in rossa rossa sullo schermo e torniamo indietro.")</f>
        <v>Vediamo un uomo in rossa rossa sullo schermo e torniamo indietro.</v>
      </c>
    </row>
    <row r="20236">
      <c r="A20236" s="4" t="s">
        <v>25471</v>
      </c>
      <c r="B20236" s="4" t="s">
        <v>25472</v>
      </c>
      <c r="C20236" s="5" t="str">
        <f>IFERROR(__xludf.DUMMYFUNCTION("GOOGLETRANSLATE(B20236,""en"",""it"")"),"La donna è in palestra facendo esercizio fisico alle gambe e addominali.")</f>
        <v>La donna è in palestra facendo esercizio fisico alle gambe e addominali.</v>
      </c>
    </row>
    <row r="20237">
      <c r="A20237" s="4" t="s">
        <v>25471</v>
      </c>
      <c r="B20237" s="4" t="s">
        <v>25473</v>
      </c>
      <c r="C20237" s="5" t="str">
        <f>IFERROR(__xludf.DUMMYFUNCTION("GOOGLETRANSLATE(B20237,""en"",""it"")"),"THW Woman è seduta in una terrazza a parlare con la telecamera.")</f>
        <v>THW Woman è seduta in una terrazza a parlare con la telecamera.</v>
      </c>
    </row>
    <row r="20238">
      <c r="A20238" s="4" t="s">
        <v>25471</v>
      </c>
      <c r="B20238" s="4" t="s">
        <v>25474</v>
      </c>
      <c r="C20238" s="5" t="str">
        <f>IFERROR(__xludf.DUMMYFUNCTION("GOOGLETRANSLATE(B20238,""en"",""it"")"),"La donna cammina in un marciapiede con un cane bianco ed entra in una casa.")</f>
        <v>La donna cammina in un marciapiede con un cane bianco ed entra in una casa.</v>
      </c>
    </row>
    <row r="20239">
      <c r="A20239" s="4" t="s">
        <v>25471</v>
      </c>
      <c r="B20239" s="4" t="s">
        <v>25475</v>
      </c>
      <c r="C20239" s="5" t="str">
        <f>IFERROR(__xludf.DUMMYFUNCTION("GOOGLETRANSLATE(B20239,""en"",""it"")"),"La donna è di nuovo nella terrazza a parlare con la telecamera.")</f>
        <v>La donna è di nuovo nella terrazza a parlare con la telecamera.</v>
      </c>
    </row>
    <row r="20240">
      <c r="A20240" s="4" t="s">
        <v>25476</v>
      </c>
      <c r="B20240" s="6" t="s">
        <v>25477</v>
      </c>
      <c r="C20240" s="5" t="str">
        <f>IFERROR(__xludf.DUMMYFUNCTION("GOOGLETRANSLATE(B20240,""en"",""it"")"),"Una donna anziana è seduta sul divano con una ragazza, mostrandole come infilare il cortile su un gancio a maglia.")</f>
        <v>Una donna anziana è seduta sul divano con una ragazza, mostrandole come infilare il cortile su un gancio a maglia.</v>
      </c>
    </row>
    <row r="20241">
      <c r="A20241" s="4" t="s">
        <v>25476</v>
      </c>
      <c r="B20241" s="4" t="s">
        <v>25478</v>
      </c>
      <c r="C20241" s="5" t="str">
        <f>IFERROR(__xludf.DUMMYFUNCTION("GOOGLETRANSLATE(B20241,""en"",""it"")"),"La ragazza sorride e ride mentre capisce come gestirlo.")</f>
        <v>La ragazza sorride e ride mentre capisce come gestirlo.</v>
      </c>
    </row>
    <row r="20242">
      <c r="A20242" s="4" t="s">
        <v>25479</v>
      </c>
      <c r="B20242" s="4" t="s">
        <v>25480</v>
      </c>
      <c r="C20242" s="5" t="str">
        <f>IFERROR(__xludf.DUMMYFUNCTION("GOOGLETRANSLATE(B20242,""en"",""it"")"),"Un uomo si siede su una sedia da barbiere.")</f>
        <v>Un uomo si siede su una sedia da barbiere.</v>
      </c>
    </row>
    <row r="20243">
      <c r="A20243" s="4" t="s">
        <v>25479</v>
      </c>
      <c r="B20243" s="4" t="s">
        <v>25481</v>
      </c>
      <c r="C20243" s="5" t="str">
        <f>IFERROR(__xludf.DUMMYFUNCTION("GOOGLETRANSLATE(B20243,""en"",""it"")"),"Il barbiere inizia a radersi la testa.")</f>
        <v>Il barbiere inizia a radersi la testa.</v>
      </c>
    </row>
    <row r="20244">
      <c r="A20244" s="4" t="s">
        <v>25479</v>
      </c>
      <c r="B20244" s="4" t="s">
        <v>25482</v>
      </c>
      <c r="C20244" s="5" t="str">
        <f>IFERROR(__xludf.DUMMYFUNCTION("GOOGLETRANSLATE(B20244,""en"",""it"")"),"Si rade le stelle in testa.")</f>
        <v>Si rade le stelle in testa.</v>
      </c>
    </row>
    <row r="20245">
      <c r="A20245" s="4" t="s">
        <v>25479</v>
      </c>
      <c r="B20245" s="4" t="s">
        <v>25483</v>
      </c>
      <c r="C20245" s="5" t="str">
        <f>IFERROR(__xludf.DUMMYFUNCTION("GOOGLETRANSLATE(B20245,""en"",""it"")"),"Il design è in modo complesso.")</f>
        <v>Il design è in modo complesso.</v>
      </c>
    </row>
    <row r="20246">
      <c r="A20246" s="4" t="s">
        <v>25484</v>
      </c>
      <c r="B20246" s="4" t="s">
        <v>25485</v>
      </c>
      <c r="C20246" s="5" t="str">
        <f>IFERROR(__xludf.DUMMYFUNCTION("GOOGLETRANSLATE(B20246,""en"",""it"")"),"Le persone navigano nelle acque mosse dell'oceano mentre un gatto si siede su una roccia.")</f>
        <v>Le persone navigano nelle acque mosse dell'oceano mentre un gatto si siede su una roccia.</v>
      </c>
    </row>
    <row r="20247">
      <c r="A20247" s="4" t="s">
        <v>25484</v>
      </c>
      <c r="B20247" s="6" t="s">
        <v>25486</v>
      </c>
      <c r="C20247" s="5" t="str">
        <f>IFERROR(__xludf.DUMMYFUNCTION("GOOGLETRANSLATE(B20247,""en"",""it"")"),"Una persona naviga su una grande ondata andando a destra, mentre un altro surfista si mette in un'onda per navigare e cade ma si rialza sulla tavola da surf.")</f>
        <v>Una persona naviga su una grande ondata andando a destra, mentre un altro surfista si mette in un'onda per navigare e cade ma si rialza sulla tavola da surf.</v>
      </c>
    </row>
    <row r="20248">
      <c r="A20248" s="4" t="s">
        <v>25484</v>
      </c>
      <c r="B20248" s="4" t="s">
        <v>25487</v>
      </c>
      <c r="C20248" s="5" t="str">
        <f>IFERROR(__xludf.DUMMYFUNCTION("GOOGLETRANSLATE(B20248,""en"",""it"")"),"Un uomo naviga su un'onda che va a sinistra mentre altre persone navigano nell'oceano.")</f>
        <v>Un uomo naviga su un'onda che va a sinistra mentre altre persone navigano nell'oceano.</v>
      </c>
    </row>
    <row r="20249">
      <c r="A20249" s="4" t="s">
        <v>25484</v>
      </c>
      <c r="B20249" s="4" t="s">
        <v>25488</v>
      </c>
      <c r="C20249" s="5" t="str">
        <f>IFERROR(__xludf.DUMMYFUNCTION("GOOGLETRANSLATE(B20249,""en"",""it"")"),"All'improvviso, un uomo appare remare una canoa.")</f>
        <v>All'improvviso, un uomo appare remare una canoa.</v>
      </c>
    </row>
    <row r="20250">
      <c r="A20250" s="4" t="s">
        <v>25489</v>
      </c>
      <c r="B20250" s="4" t="s">
        <v>25490</v>
      </c>
      <c r="C20250" s="5" t="str">
        <f>IFERROR(__xludf.DUMMYFUNCTION("GOOGLETRANSLATE(B20250,""en"",""it"")"),"Un gruppo di uomini è in fila.")</f>
        <v>Un gruppo di uomini è in fila.</v>
      </c>
    </row>
    <row r="20251">
      <c r="A20251" s="4" t="s">
        <v>25489</v>
      </c>
      <c r="B20251" s="4" t="s">
        <v>25491</v>
      </c>
      <c r="C20251" s="5" t="str">
        <f>IFERROR(__xludf.DUMMYFUNCTION("GOOGLETRANSLATE(B20251,""en"",""it"")"),"Stanno lanciando freccette contro gli obiettivi.")</f>
        <v>Stanno lanciando freccette contro gli obiettivi.</v>
      </c>
    </row>
    <row r="20252">
      <c r="A20252" s="4" t="s">
        <v>25489</v>
      </c>
      <c r="B20252" s="4" t="s">
        <v>25492</v>
      </c>
      <c r="C20252" s="5" t="str">
        <f>IFERROR(__xludf.DUMMYFUNCTION("GOOGLETRANSLATE(B20252,""en"",""it"")"),"Le persone conversano mentre cercano di colpire i loro obiettivi.")</f>
        <v>Le persone conversano mentre cercano di colpire i loro obiettivi.</v>
      </c>
    </row>
    <row r="20253">
      <c r="A20253" s="4" t="s">
        <v>25493</v>
      </c>
      <c r="B20253" s="6" t="s">
        <v>25494</v>
      </c>
      <c r="C20253" s="5" t="str">
        <f>IFERROR(__xludf.DUMMYFUNCTION("GOOGLETRANSLATE(B20253,""en"",""it"")"),"Un bambino piccolo viene visto lavarsi vari piatti in un lavandino mentre indossa guanti e li fa scorrere sott'acqua.")</f>
        <v>Un bambino piccolo viene visto lavarsi vari piatti in un lavandino mentre indossa guanti e li fa scorrere sott'acqua.</v>
      </c>
    </row>
    <row r="20254">
      <c r="A20254" s="4" t="s">
        <v>25493</v>
      </c>
      <c r="B20254" s="4" t="s">
        <v>25495</v>
      </c>
      <c r="C20254" s="5" t="str">
        <f>IFERROR(__xludf.DUMMYFUNCTION("GOOGLETRANSLATE(B20254,""en"",""it"")"),"Il ragazzo continua a attaccare una ciotola sotto l'acqua mentre la telecamera si muove attorno ai suoi movimenti.")</f>
        <v>Il ragazzo continua a attaccare una ciotola sotto l'acqua mentre la telecamera si muove attorno ai suoi movimenti.</v>
      </c>
    </row>
    <row r="20255">
      <c r="A20255" s="4" t="s">
        <v>25496</v>
      </c>
      <c r="B20255" s="4" t="s">
        <v>25497</v>
      </c>
      <c r="C20255" s="5" t="str">
        <f>IFERROR(__xludf.DUMMYFUNCTION("GOOGLETRANSLATE(B20255,""en"",""it"")"),"Una ginnasta si vede alzare il braccio in aria e arrampicarsi in cima a una trave di ginnastica.")</f>
        <v>Una ginnasta si vede alzare il braccio in aria e arrampicarsi in cima a una trave di ginnastica.</v>
      </c>
    </row>
    <row r="20256">
      <c r="A20256" s="4" t="s">
        <v>25496</v>
      </c>
      <c r="B20256" s="6" t="s">
        <v>25498</v>
      </c>
      <c r="C20256" s="5" t="str">
        <f>IFERROR(__xludf.DUMMYFUNCTION("GOOGLETRANSLATE(B20256,""en"",""it"")"),"Si gira in giro per eseguire vari trucchi sul raggio e termina saltando giù e sorridendo al pubblico applaudito.")</f>
        <v>Si gira in giro per eseguire vari trucchi sul raggio e termina saltando giù e sorridendo al pubblico applaudito.</v>
      </c>
    </row>
    <row r="20257">
      <c r="A20257" s="4" t="s">
        <v>25499</v>
      </c>
      <c r="B20257" s="4" t="s">
        <v>25500</v>
      </c>
      <c r="C20257" s="5" t="str">
        <f>IFERROR(__xludf.DUMMYFUNCTION("GOOGLETRANSLATE(B20257,""en"",""it"")"),"Una donna che indossa il costume ali di farfalle che gioca alla birra.")</f>
        <v>Una donna che indossa il costume ali di farfalle che gioca alla birra.</v>
      </c>
    </row>
    <row r="20258">
      <c r="A20258" s="4" t="s">
        <v>25499</v>
      </c>
      <c r="B20258" s="4" t="s">
        <v>25501</v>
      </c>
      <c r="C20258" s="5" t="str">
        <f>IFERROR(__xludf.DUMMYFUNCTION("GOOGLETRANSLATE(B20258,""en"",""it"")"),"Una donna indossa un costume da gatto è in piedi dietro il tavolo.")</f>
        <v>Una donna indossa un costume da gatto è in piedi dietro il tavolo.</v>
      </c>
    </row>
    <row r="20259">
      <c r="A20259" s="4" t="s">
        <v>25499</v>
      </c>
      <c r="B20259" s="4" t="s">
        <v>25502</v>
      </c>
      <c r="C20259" s="5" t="str">
        <f>IFERROR(__xludf.DUMMYFUNCTION("GOOGLETRANSLATE(B20259,""en"",""it"")"),"La donna è seduta davanti al tavolo e balla quando la donna fallisce la palla.")</f>
        <v>La donna è seduta davanti al tavolo e balla quando la donna fallisce la palla.</v>
      </c>
    </row>
    <row r="20260">
      <c r="A20260" s="4" t="s">
        <v>25503</v>
      </c>
      <c r="B20260" s="4" t="s">
        <v>25504</v>
      </c>
      <c r="C20260" s="5" t="str">
        <f>IFERROR(__xludf.DUMMYFUNCTION("GOOGLETRANSLATE(B20260,""en"",""it"")"),"Un uomo e una donna si trovano su una strada a parlare di fronte a una finestra.")</f>
        <v>Un uomo e una donna si trovano su una strada a parlare di fronte a una finestra.</v>
      </c>
    </row>
    <row r="20261">
      <c r="A20261" s="4" t="s">
        <v>25503</v>
      </c>
      <c r="B20261" s="4" t="s">
        <v>25505</v>
      </c>
      <c r="C20261" s="5" t="str">
        <f>IFERROR(__xludf.DUMMYFUNCTION("GOOGLETRANSLATE(B20261,""en"",""it"")"),"Una persona passa davanti all'uomo e alla donna.")</f>
        <v>Una persona passa davanti all'uomo e alla donna.</v>
      </c>
    </row>
    <row r="20262">
      <c r="A20262" s="4" t="s">
        <v>25503</v>
      </c>
      <c r="B20262" s="4" t="s">
        <v>25506</v>
      </c>
      <c r="C20262" s="5" t="str">
        <f>IFERROR(__xludf.DUMMYFUNCTION("GOOGLETRANSLATE(B20262,""en"",""it"")"),"La gente passa davanti alla donna e all'uomo.")</f>
        <v>La gente passa davanti alla donna e all'uomo.</v>
      </c>
    </row>
    <row r="20263">
      <c r="A20263" s="4" t="s">
        <v>25507</v>
      </c>
      <c r="B20263" s="4" t="s">
        <v>25508</v>
      </c>
      <c r="C20263" s="5" t="str">
        <f>IFERROR(__xludf.DUMMYFUNCTION("GOOGLETRANSLATE(B20263,""en"",""it"")"),"Vediamo le ginnaste in palestra l'uno sull'altro.")</f>
        <v>Vediamo le ginnaste in palestra l'uno sull'altro.</v>
      </c>
    </row>
    <row r="20264">
      <c r="A20264" s="4" t="s">
        <v>25507</v>
      </c>
      <c r="B20264" s="4" t="s">
        <v>25509</v>
      </c>
      <c r="C20264" s="5" t="str">
        <f>IFERROR(__xludf.DUMMYFUNCTION("GOOGLETRANSLATE(B20264,""en"",""it"")"),"Quindi iniziano una danza aerobica.")</f>
        <v>Quindi iniziano una danza aerobica.</v>
      </c>
    </row>
    <row r="20265">
      <c r="A20265" s="4" t="s">
        <v>25507</v>
      </c>
      <c r="B20265" s="4" t="s">
        <v>25510</v>
      </c>
      <c r="C20265" s="5" t="str">
        <f>IFERROR(__xludf.DUMMYFUNCTION("GOOGLETRANSLATE(B20265,""en"",""it"")"),"Le persone camminano verso i loro passi e si calpestano.")</f>
        <v>Le persone camminano verso i loro passi e si calpestano.</v>
      </c>
    </row>
    <row r="20266">
      <c r="A20266" s="4" t="s">
        <v>25507</v>
      </c>
      <c r="B20266" s="4" t="s">
        <v>25511</v>
      </c>
      <c r="C20266" s="5" t="str">
        <f>IFERROR(__xludf.DUMMYFUNCTION("GOOGLETRANSLATE(B20266,""en"",""it"")"),"La gente sposta i gradini al centro della stanza.")</f>
        <v>La gente sposta i gradini al centro della stanza.</v>
      </c>
    </row>
    <row r="20267">
      <c r="A20267" s="4" t="s">
        <v>25507</v>
      </c>
      <c r="B20267" s="4" t="s">
        <v>25512</v>
      </c>
      <c r="C20267" s="5" t="str">
        <f>IFERROR(__xludf.DUMMYFUNCTION("GOOGLETRANSLATE(B20267,""en"",""it"")"),"Una signora fa una divisione sul pavimento e finiscono.")</f>
        <v>Una signora fa una divisione sul pavimento e finiscono.</v>
      </c>
    </row>
    <row r="20268">
      <c r="A20268" s="4" t="s">
        <v>25507</v>
      </c>
      <c r="B20268" s="4" t="s">
        <v>25513</v>
      </c>
      <c r="C20268" s="5" t="str">
        <f>IFERROR(__xludf.DUMMYFUNCTION("GOOGLETRANSLATE(B20268,""en"",""it"")"),"Il titolo finale appare sullo schermo.")</f>
        <v>Il titolo finale appare sullo schermo.</v>
      </c>
    </row>
    <row r="20269">
      <c r="A20269" s="4" t="s">
        <v>25514</v>
      </c>
      <c r="B20269" s="4" t="s">
        <v>25515</v>
      </c>
      <c r="C20269" s="5" t="str">
        <f>IFERROR(__xludf.DUMMYFUNCTION("GOOGLETRANSLATE(B20269,""en"",""it"")"),"C'è un muro di dipinti quindi la scena svanisce.")</f>
        <v>C'è un muro di dipinti quindi la scena svanisce.</v>
      </c>
    </row>
    <row r="20270">
      <c r="A20270" s="4" t="s">
        <v>25514</v>
      </c>
      <c r="B20270" s="6" t="s">
        <v>25516</v>
      </c>
      <c r="C20270" s="5" t="str">
        <f>IFERROR(__xludf.DUMMYFUNCTION("GOOGLETRANSLATE(B20270,""en"",""it"")"),"Le persone sono in piedi su un balcone per cercare un evento di calcio e lo schermo dice il finale di Wuzler Cup.")</f>
        <v>Le persone sono in piedi su un balcone per cercare un evento di calcio e lo schermo dice il finale di Wuzler Cup.</v>
      </c>
    </row>
    <row r="20271">
      <c r="A20271" s="4" t="s">
        <v>25514</v>
      </c>
      <c r="B20271" s="4" t="s">
        <v>25517</v>
      </c>
      <c r="C20271" s="5" t="str">
        <f>IFERROR(__xludf.DUMMYFUNCTION("GOOGLETRANSLATE(B20271,""en"",""it"")"),"Due file di persone giocano a calcio da tavolo.")</f>
        <v>Due file di persone giocano a calcio da tavolo.</v>
      </c>
    </row>
    <row r="20272">
      <c r="A20272" s="4" t="s">
        <v>25514</v>
      </c>
      <c r="B20272" s="4" t="s">
        <v>25518</v>
      </c>
      <c r="C20272" s="5" t="str">
        <f>IFERROR(__xludf.DUMMYFUNCTION("GOOGLETRANSLATE(B20272,""en"",""it"")"),"La palla saltò giù dal tavolo e una donna la rimetteva in gioco e fu fatto un goal.")</f>
        <v>La palla saltò giù dal tavolo e una donna la rimetteva in gioco e fu fatto un goal.</v>
      </c>
    </row>
    <row r="20273">
      <c r="A20273" s="4" t="s">
        <v>25514</v>
      </c>
      <c r="B20273" s="4" t="s">
        <v>25519</v>
      </c>
      <c r="C20273" s="5" t="str">
        <f>IFERROR(__xludf.DUMMYFUNCTION("GOOGLETRANSLATE(B20273,""en"",""it"")"),"Ci sono cheerleader per questo evento.")</f>
        <v>Ci sono cheerleader per questo evento.</v>
      </c>
    </row>
    <row r="20274">
      <c r="A20274" s="4" t="s">
        <v>25514</v>
      </c>
      <c r="B20274" s="4" t="s">
        <v>25520</v>
      </c>
      <c r="C20274" s="5" t="str">
        <f>IFERROR(__xludf.DUMMYFUNCTION("GOOGLETRANSLATE(B20274,""en"",""it"")"),"La squadra rossa ha vinto e sta mostrando le loro magliette.")</f>
        <v>La squadra rossa ha vinto e sta mostrando le loro magliette.</v>
      </c>
    </row>
    <row r="20275">
      <c r="A20275" s="4" t="s">
        <v>25514</v>
      </c>
      <c r="B20275" s="4" t="s">
        <v>25521</v>
      </c>
      <c r="C20275" s="5" t="str">
        <f>IFERROR(__xludf.DUMMYFUNCTION("GOOGLETRANSLATE(B20275,""en"",""it"")"),"La scena cambia in una segnalata dietro una scrivania.")</f>
        <v>La scena cambia in una segnalata dietro una scrivania.</v>
      </c>
    </row>
    <row r="20276">
      <c r="A20276" s="4" t="s">
        <v>25522</v>
      </c>
      <c r="B20276" s="6" t="s">
        <v>25523</v>
      </c>
      <c r="C20276" s="5" t="str">
        <f>IFERROR(__xludf.DUMMYFUNCTION("GOOGLETRANSLATE(B20276,""en"",""it"")"),"Un gruppo di donne che indossano abiti blu stanno ballando su un palco in sincronizzazione che hanno lasciato cadere a terra e lo schermo svanisce in nero.")</f>
        <v>Un gruppo di donne che indossano abiti blu stanno ballando su un palco in sincronizzazione che hanno lasciato cadere a terra e lo schermo svanisce in nero.</v>
      </c>
    </row>
    <row r="20277">
      <c r="A20277" s="4" t="s">
        <v>25522</v>
      </c>
      <c r="B20277" s="6" t="s">
        <v>25524</v>
      </c>
      <c r="C20277" s="5" t="str">
        <f>IFERROR(__xludf.DUMMYFUNCTION("GOOGLETRANSLATE(B20277,""en"",""it"")"),"Una sola donna appare quindi sul palco con parole bianche in basso a sinistra che dice ""Ballet d'Oriente"", e uno sfondo di effetto speciale e inizia a ballare la pancia, poi altre donne si uniscono a lei.")</f>
        <v>Una sola donna appare quindi sul palco con parole bianche in basso a sinistra che dice "Ballet d'Oriente", e uno sfondo di effetto speciale e inizia a ballare la pancia, poi altre donne si uniscono a lei.</v>
      </c>
    </row>
    <row r="20278">
      <c r="A20278" s="4" t="s">
        <v>25522</v>
      </c>
      <c r="B20278" s="4" t="s">
        <v>25525</v>
      </c>
      <c r="C20278" s="5" t="str">
        <f>IFERROR(__xludf.DUMMYFUNCTION("GOOGLETRANSLATE(B20278,""en"",""it"")"),"Il riflettore si attenua mentre la routine termina e lo schermo si attenua al nero.")</f>
        <v>Il riflettore si attenua mentre la routine termina e lo schermo si attenua al nero.</v>
      </c>
    </row>
    <row r="20279">
      <c r="A20279" s="4" t="s">
        <v>25526</v>
      </c>
      <c r="B20279" s="4" t="s">
        <v>25527</v>
      </c>
      <c r="C20279" s="5" t="str">
        <f>IFERROR(__xludf.DUMMYFUNCTION("GOOGLETRANSLATE(B20279,""en"",""it"")"),"Un uomo e una donna sono seduti dietro una scrivania a parlare.")</f>
        <v>Un uomo e una donna sono seduti dietro una scrivania a parlare.</v>
      </c>
    </row>
    <row r="20280">
      <c r="A20280" s="4" t="s">
        <v>25526</v>
      </c>
      <c r="B20280" s="4" t="s">
        <v>25528</v>
      </c>
      <c r="C20280" s="5" t="str">
        <f>IFERROR(__xludf.DUMMYFUNCTION("GOOGLETRANSLATE(B20280,""en"",""it"")"),"Un medico sta eseguendo un intervento chirurgico in una stanza.")</f>
        <v>Un medico sta eseguendo un intervento chirurgico in una stanza.</v>
      </c>
    </row>
    <row r="20281">
      <c r="A20281" s="4" t="s">
        <v>25526</v>
      </c>
      <c r="B20281" s="4" t="s">
        <v>25529</v>
      </c>
      <c r="C20281" s="5" t="str">
        <f>IFERROR(__xludf.DUMMYFUNCTION("GOOGLETRANSLATE(B20281,""en"",""it"")"),"Una donna con una camicia rossa è in piedi a un bancone a parlare.")</f>
        <v>Una donna con una camicia rossa è in piedi a un bancone a parlare.</v>
      </c>
    </row>
    <row r="20282">
      <c r="A20282" s="4" t="s">
        <v>25526</v>
      </c>
      <c r="B20282" s="4" t="s">
        <v>25530</v>
      </c>
      <c r="C20282" s="5" t="str">
        <f>IFERROR(__xludf.DUMMYFUNCTION("GOOGLETRANSLATE(B20282,""en"",""it"")"),"Una donna si asciuga la bocca con un tovagliolo.")</f>
        <v>Una donna si asciuga la bocca con un tovagliolo.</v>
      </c>
    </row>
    <row r="20283">
      <c r="A20283" s="4" t="s">
        <v>25531</v>
      </c>
      <c r="B20283" s="4" t="s">
        <v>25532</v>
      </c>
      <c r="C20283" s="5" t="str">
        <f>IFERROR(__xludf.DUMMYFUNCTION("GOOGLETRANSLATE(B20283,""en"",""it"")"),"Un'introduzione conduce in diversi colpi di un uomo che cavalca una grande ondata di una tavola da surf da vari angoli.")</f>
        <v>Un'introduzione conduce in diversi colpi di un uomo che cavalca una grande ondata di una tavola da surf da vari angoli.</v>
      </c>
    </row>
    <row r="20284">
      <c r="A20284" s="4" t="s">
        <v>25531</v>
      </c>
      <c r="B20284" s="6" t="s">
        <v>25533</v>
      </c>
      <c r="C20284" s="5" t="str">
        <f>IFERROR(__xludf.DUMMYFUNCTION("GOOGLETRANSLATE(B20284,""en"",""it"")"),"Un uomo viene quindi intervistato dal cameraman e viene mostrato di nuovo a cavallo di grandi onde nell'oceano.")</f>
        <v>Un uomo viene quindi intervistato dal cameraman e viene mostrato di nuovo a cavallo di grandi onde nell'oceano.</v>
      </c>
    </row>
    <row r="20285">
      <c r="A20285" s="4" t="s">
        <v>25531</v>
      </c>
      <c r="B20285" s="4" t="s">
        <v>25534</v>
      </c>
      <c r="C20285" s="5" t="str">
        <f>IFERROR(__xludf.DUMMYFUNCTION("GOOGLETRANSLATE(B20285,""en"",""it"")"),"Un altro uomo viene intervistato dalla telecamera e mostra le sue capacità di surf sulla sua tavola.")</f>
        <v>Un altro uomo viene intervistato dalla telecamera e mostra le sue capacità di surf sulla sua tavola.</v>
      </c>
    </row>
    <row r="20286">
      <c r="A20286" s="4" t="s">
        <v>25535</v>
      </c>
      <c r="B20286" s="4" t="s">
        <v>25536</v>
      </c>
      <c r="C20286" s="5" t="str">
        <f>IFERROR(__xludf.DUMMYFUNCTION("GOOGLETRANSLATE(B20286,""en"",""it"")"),"Un uomo è fuori in un campo da tennis a parlare mentre tiene una racchetta da tennis.")</f>
        <v>Un uomo è fuori in un campo da tennis a parlare mentre tiene una racchetta da tennis.</v>
      </c>
    </row>
    <row r="20287">
      <c r="A20287" s="4" t="s">
        <v>25535</v>
      </c>
      <c r="B20287" s="4" t="s">
        <v>25537</v>
      </c>
      <c r="C20287" s="5" t="str">
        <f>IFERROR(__xludf.DUMMYFUNCTION("GOOGLETRANSLATE(B20287,""en"",""it"")"),"Va in campo e con la racchetta e una palla dalla tasca e la colpisce.")</f>
        <v>Va in campo e con la racchetta e una palla dalla tasca e la colpisce.</v>
      </c>
    </row>
    <row r="20288">
      <c r="A20288" s="4" t="s">
        <v>25535</v>
      </c>
      <c r="B20288" s="6" t="s">
        <v>25538</v>
      </c>
      <c r="C20288" s="5" t="str">
        <f>IFERROR(__xludf.DUMMYFUNCTION("GOOGLETRANSLATE(B20288,""en"",""it"")"),"Fornisce alcune informazioni molto dettagliate per un po ', il tennis sembra essere qualcosa di cui sa molto bene.")</f>
        <v>Fornisce alcune informazioni molto dettagliate per un po ', il tennis sembra essere qualcosa di cui sa molto bene.</v>
      </c>
    </row>
    <row r="20289">
      <c r="A20289" s="4" t="s">
        <v>25535</v>
      </c>
      <c r="B20289" s="4" t="s">
        <v>25539</v>
      </c>
      <c r="C20289" s="5" t="str">
        <f>IFERROR(__xludf.DUMMYFUNCTION("GOOGLETRANSLATE(B20289,""en"",""it"")"),"Mostra come dovresti colpire correttamente la palla e continuare a parlare ancora.")</f>
        <v>Mostra come dovresti colpire correttamente la palla e continuare a parlare ancora.</v>
      </c>
    </row>
    <row r="20290">
      <c r="A20290" s="4" t="s">
        <v>25540</v>
      </c>
      <c r="B20290" s="4" t="s">
        <v>25541</v>
      </c>
      <c r="C20290" s="5" t="str">
        <f>IFERROR(__xludf.DUMMYFUNCTION("GOOGLETRANSLATE(B20290,""en"",""it"")"),"La donna è in un'offeca a parlare con un uomo che sta decorando un albero di Natale.")</f>
        <v>La donna è in un'offeca a parlare con un uomo che sta decorando un albero di Natale.</v>
      </c>
    </row>
    <row r="20291">
      <c r="A20291" s="4" t="s">
        <v>25540</v>
      </c>
      <c r="B20291" s="4" t="s">
        <v>25542</v>
      </c>
      <c r="C20291" s="5" t="str">
        <f>IFERROR(__xludf.DUMMYFUNCTION("GOOGLETRANSLATE(B20291,""en"",""it"")"),"L'uomo parla con quello che era in piedi sull'albero e gli dà una barbie.")</f>
        <v>L'uomo parla con quello che era in piedi sull'albero e gli dà una barbie.</v>
      </c>
    </row>
    <row r="20292">
      <c r="A20292" s="4" t="s">
        <v>25540</v>
      </c>
      <c r="B20292" s="4" t="s">
        <v>25543</v>
      </c>
      <c r="C20292" s="5" t="str">
        <f>IFERROR(__xludf.DUMMYFUNCTION("GOOGLETRANSLATE(B20292,""en"",""it"")"),"L'uomo cammina verso una donna e inizia a parlare nell'angolo della stanza.")</f>
        <v>L'uomo cammina verso una donna e inizia a parlare nell'angolo della stanza.</v>
      </c>
    </row>
    <row r="20293">
      <c r="A20293" s="4" t="s">
        <v>25540</v>
      </c>
      <c r="B20293" s="4" t="s">
        <v>25544</v>
      </c>
      <c r="C20293" s="5" t="str">
        <f>IFERROR(__xludf.DUMMYFUNCTION("GOOGLETRANSLATE(B20293,""en"",""it"")"),"L'uomo tiene una palla accanto all'albero di Natale mettendo le palle.")</f>
        <v>L'uomo tiene una palla accanto all'albero di Natale mettendo le palle.</v>
      </c>
    </row>
    <row r="20294">
      <c r="A20294" s="4" t="s">
        <v>25545</v>
      </c>
      <c r="B20294" s="6" t="s">
        <v>25546</v>
      </c>
      <c r="C20294" s="5" t="str">
        <f>IFERROR(__xludf.DUMMYFUNCTION("GOOGLETRANSLATE(B20294,""en"",""it"")"),"Viene mostrato un uomo che si allena su diversi equipaggiamento di esercizio e regola le impostazioni.")</f>
        <v>Viene mostrato un uomo che si allena su diversi equipaggiamento di esercizio e regola le impostazioni.</v>
      </c>
    </row>
    <row r="20295">
      <c r="A20295" s="4" t="s">
        <v>25545</v>
      </c>
      <c r="B20295" s="4" t="s">
        <v>25547</v>
      </c>
      <c r="C20295" s="5" t="str">
        <f>IFERROR(__xludf.DUMMYFUNCTION("GOOGLETRANSLATE(B20295,""en"",""it"")"),"L'uomo mette in USB e continua a cavalcare sulle macchine.")</f>
        <v>L'uomo mette in USB e continua a cavalcare sulle macchine.</v>
      </c>
    </row>
    <row r="20296">
      <c r="A20296" s="4" t="s">
        <v>25545</v>
      </c>
      <c r="B20296" s="6" t="s">
        <v>25548</v>
      </c>
      <c r="C20296" s="5" t="str">
        <f>IFERROR(__xludf.DUMMYFUNCTION("GOOGLETRANSLATE(B20296,""en"",""it"")"),"Regola più impostazioni e osserva la TV quando si lavora e mostrati i primi piedi e il corpo.")</f>
        <v>Regola più impostazioni e osserva la TV quando si lavora e mostrati i primi piedi e il corpo.</v>
      </c>
    </row>
    <row r="20297">
      <c r="A20297" s="4" t="s">
        <v>25549</v>
      </c>
      <c r="B20297" s="4" t="s">
        <v>25550</v>
      </c>
      <c r="C20297" s="5" t="str">
        <f>IFERROR(__xludf.DUMMYFUNCTION("GOOGLETRANSLATE(B20297,""en"",""it"")"),"Viene visto un uomo che guarda alla telecamera che tiene in mano un rasoio.")</f>
        <v>Viene visto un uomo che guarda alla telecamera che tiene in mano un rasoio.</v>
      </c>
    </row>
    <row r="20298">
      <c r="A20298" s="4" t="s">
        <v>25549</v>
      </c>
      <c r="B20298" s="4" t="s">
        <v>25551</v>
      </c>
      <c r="C20298" s="5" t="str">
        <f>IFERROR(__xludf.DUMMYFUNCTION("GOOGLETRANSLATE(B20298,""en"",""it"")"),"Comincia a radersi il viso mentre si guarda allo specchio.")</f>
        <v>Comincia a radersi il viso mentre si guarda allo specchio.</v>
      </c>
    </row>
    <row r="20299">
      <c r="A20299" s="4" t="s">
        <v>25549</v>
      </c>
      <c r="B20299" s="4" t="s">
        <v>25552</v>
      </c>
      <c r="C20299" s="5" t="str">
        <f>IFERROR(__xludf.DUMMYFUNCTION("GOOGLETRANSLATE(B20299,""en"",""it"")"),"Indica il rasoio e continua a radersi il viso e guardando alla telecamera.")</f>
        <v>Indica il rasoio e continua a radersi il viso e guardando alla telecamera.</v>
      </c>
    </row>
    <row r="20300">
      <c r="A20300" s="4" t="s">
        <v>25553</v>
      </c>
      <c r="B20300" s="4" t="s">
        <v>25554</v>
      </c>
      <c r="C20300" s="5" t="str">
        <f>IFERROR(__xludf.DUMMYFUNCTION("GOOGLETRANSLATE(B20300,""en"",""it"")"),"1 Un ragazzo mostra gli strumenti per tagliare le unghie dei suoi gatti.")</f>
        <v>1 Un ragazzo mostra gli strumenti per tagliare le unghie dei suoi gatti.</v>
      </c>
    </row>
    <row r="20301">
      <c r="A20301" s="4" t="s">
        <v>25553</v>
      </c>
      <c r="B20301" s="4" t="s">
        <v>25555</v>
      </c>
      <c r="C20301" s="5" t="str">
        <f>IFERROR(__xludf.DUMMYFUNCTION("GOOGLETRANSLATE(B20301,""en"",""it"")"),"2 Il ragazzo avvolge il gatto.")</f>
        <v>2 Il ragazzo avvolge il gatto.</v>
      </c>
    </row>
    <row r="20302">
      <c r="A20302" s="4" t="s">
        <v>25553</v>
      </c>
      <c r="B20302" s="4" t="s">
        <v>25556</v>
      </c>
      <c r="C20302" s="5" t="str">
        <f>IFERROR(__xludf.DUMMYFUNCTION("GOOGLETRANSLATE(B20302,""en"",""it"")"),"3 Il ragazzo ha tagliato le unghie dei gatti e il gatto cerca di morderlo alcune volte.")</f>
        <v>3 Il ragazzo ha tagliato le unghie dei gatti e il gatto cerca di morderlo alcune volte.</v>
      </c>
    </row>
    <row r="20303">
      <c r="A20303" s="4" t="s">
        <v>25553</v>
      </c>
      <c r="B20303" s="4" t="s">
        <v>25557</v>
      </c>
      <c r="C20303" s="5" t="str">
        <f>IFERROR(__xludf.DUMMYFUNCTION("GOOGLETRANSLATE(B20303,""en"",""it"")"),"4 Il ragazzo lascia andare il gatto.")</f>
        <v>4 Il ragazzo lascia andare il gatto.</v>
      </c>
    </row>
    <row r="20304">
      <c r="A20304" s="4" t="s">
        <v>25558</v>
      </c>
      <c r="B20304" s="4" t="s">
        <v>25559</v>
      </c>
      <c r="C20304" s="5" t="str">
        <f>IFERROR(__xludf.DUMMYFUNCTION("GOOGLETRANSLATE(B20304,""en"",""it"")"),"Un giovane beve sei bottiglie di birra mentre una persona sta davanti a lui con un cronometro.")</f>
        <v>Un giovane beve sei bottiglie di birra mentre una persona sta davanti a lui con un cronometro.</v>
      </c>
    </row>
    <row r="20305">
      <c r="A20305" s="4" t="s">
        <v>25558</v>
      </c>
      <c r="B20305" s="4" t="s">
        <v>25560</v>
      </c>
      <c r="C20305" s="5" t="str">
        <f>IFERROR(__xludf.DUMMYFUNCTION("GOOGLETRANSLATE(B20305,""en"",""it"")"),"Quindi, il giovane sputa birra sulla persona che cade a terra.")</f>
        <v>Quindi, il giovane sputa birra sulla persona che cade a terra.</v>
      </c>
    </row>
    <row r="20306">
      <c r="A20306" s="4" t="s">
        <v>25558</v>
      </c>
      <c r="B20306" s="4" t="s">
        <v>25561</v>
      </c>
      <c r="C20306" s="5" t="str">
        <f>IFERROR(__xludf.DUMMYFUNCTION("GOOGLETRANSLATE(B20306,""en"",""it"")"),"Dopo, la persona in piedi sabbia si toglie i pantaloni e la maglietta, poi si affollava sull'erba.")</f>
        <v>Dopo, la persona in piedi sabbia si toglie i pantaloni e la maglietta, poi si affollava sull'erba.</v>
      </c>
    </row>
    <row r="20307">
      <c r="A20307" s="4" t="s">
        <v>25562</v>
      </c>
      <c r="B20307" s="4" t="s">
        <v>25563</v>
      </c>
      <c r="C20307" s="5" t="str">
        <f>IFERROR(__xludf.DUMMYFUNCTION("GOOGLETRANSLATE(B20307,""en"",""it"")"),"Viene visto un uomo sdraiato sul pavimento mentre parlava ad alta voce e attraversa le braccia sopra il petto.")</f>
        <v>Viene visto un uomo sdraiato sul pavimento mentre parlava ad alta voce e attraversa le braccia sopra il petto.</v>
      </c>
    </row>
    <row r="20308">
      <c r="A20308" s="4" t="s">
        <v>25562</v>
      </c>
      <c r="B20308" s="4" t="s">
        <v>25564</v>
      </c>
      <c r="C20308" s="5" t="str">
        <f>IFERROR(__xludf.DUMMYFUNCTION("GOOGLETRANSLATE(B20308,""en"",""it"")"),"L'uomo quindi fa diversi scricchiolii in vari modi e termina parlando alla telecamera.")</f>
        <v>L'uomo quindi fa diversi scricchiolii in vari modi e termina parlando alla telecamera.</v>
      </c>
    </row>
    <row r="20309">
      <c r="A20309" s="4" t="s">
        <v>25565</v>
      </c>
      <c r="B20309" s="4" t="s">
        <v>25566</v>
      </c>
      <c r="C20309" s="5" t="str">
        <f>IFERROR(__xludf.DUMMYFUNCTION("GOOGLETRANSLATE(B20309,""en"",""it"")"),"Un tetto è riparato da PVC.")</f>
        <v>Un tetto è riparato da PVC.</v>
      </c>
    </row>
    <row r="20310">
      <c r="A20310" s="4" t="s">
        <v>25565</v>
      </c>
      <c r="B20310" s="4" t="s">
        <v>25567</v>
      </c>
      <c r="C20310" s="5" t="str">
        <f>IFERROR(__xludf.DUMMYFUNCTION("GOOGLETRANSLATE(B20310,""en"",""it"")"),"Il tetto viene pulito e il sigillo viene nuovamente fatto.")</f>
        <v>Il tetto viene pulito e il sigillo viene nuovamente fatto.</v>
      </c>
    </row>
    <row r="20311">
      <c r="A20311" s="4" t="s">
        <v>25568</v>
      </c>
      <c r="B20311" s="4" t="s">
        <v>25569</v>
      </c>
      <c r="C20311" s="5" t="str">
        <f>IFERROR(__xludf.DUMMYFUNCTION("GOOGLETRANSLATE(B20311,""en"",""it"")"),"Il ragazzo tiene aperto le palpebre e i luoghi in una lente a contatto.")</f>
        <v>Il ragazzo tiene aperto le palpebre e i luoghi in una lente a contatto.</v>
      </c>
    </row>
    <row r="20312">
      <c r="A20312" s="4" t="s">
        <v>25568</v>
      </c>
      <c r="B20312" s="4" t="s">
        <v>25570</v>
      </c>
      <c r="C20312" s="5" t="str">
        <f>IFERROR(__xludf.DUMMYFUNCTION("GOOGLETRANSLATE(B20312,""en"",""it"")"),"L'uomo inclina la testa e chiude gli occhi per regolare le lenti a contatto.")</f>
        <v>L'uomo inclina la testa e chiude gli occhi per regolare le lenti a contatto.</v>
      </c>
    </row>
    <row r="20313">
      <c r="A20313" s="4" t="s">
        <v>25568</v>
      </c>
      <c r="B20313" s="4" t="s">
        <v>25571</v>
      </c>
      <c r="C20313" s="5" t="str">
        <f>IFERROR(__xludf.DUMMYFUNCTION("GOOGLETRANSLATE(B20313,""en"",""it"")"),"L'uomo si strofina gli occhi, quindi li apre in largo per mostrare i contatti.")</f>
        <v>L'uomo si strofina gli occhi, quindi li apre in largo per mostrare i contatti.</v>
      </c>
    </row>
    <row r="20314">
      <c r="A20314" s="4" t="s">
        <v>25572</v>
      </c>
      <c r="B20314" s="4" t="s">
        <v>25573</v>
      </c>
      <c r="C20314" s="5" t="str">
        <f>IFERROR(__xludf.DUMMYFUNCTION("GOOGLETRANSLATE(B20314,""en"",""it"")"),"La gente è in palestra facendo esercizio di push up e allungamento.")</f>
        <v>La gente è in palestra facendo esercizio di push up e allungamento.</v>
      </c>
    </row>
    <row r="20315">
      <c r="A20315" s="4" t="s">
        <v>25572</v>
      </c>
      <c r="B20315" s="4" t="s">
        <v>25574</v>
      </c>
      <c r="C20315" s="5" t="str">
        <f>IFERROR(__xludf.DUMMYFUNCTION("GOOGLETRANSLATE(B20315,""en"",""it"")"),"Gli uomini iniziano a sistemare la palestra e portano alcuni tappetini e corde in palestra GE.")</f>
        <v>Gli uomini iniziano a sistemare la palestra e portano alcuni tappetini e corde in palestra GE.</v>
      </c>
    </row>
    <row r="20316">
      <c r="A20316" s="4" t="s">
        <v>25572</v>
      </c>
      <c r="B20316" s="4" t="s">
        <v>25575</v>
      </c>
      <c r="C20316" s="5" t="str">
        <f>IFERROR(__xludf.DUMMYFUNCTION("GOOGLETRANSLATE(B20316,""en"",""it"")"),"Le persone si stanno bilanciando sui Srings in palestra e saltano nel letto elastico in palestra.")</f>
        <v>Le persone si stanno bilanciando sui Srings in palestra e saltano nel letto elastico in palestra.</v>
      </c>
    </row>
    <row r="20317">
      <c r="A20317" s="4" t="s">
        <v>25572</v>
      </c>
      <c r="B20317" s="4" t="s">
        <v>25576</v>
      </c>
      <c r="C20317" s="5" t="str">
        <f>IFERROR(__xludf.DUMMYFUNCTION("GOOGLETRANSLATE(B20317,""en"",""it"")"),"Uomini e donne si stanno bilanciando sulla corda e fanno trucchi facendo salti.")</f>
        <v>Uomini e donne si stanno bilanciando sulla corda e fanno trucchi facendo salti.</v>
      </c>
    </row>
    <row r="20318">
      <c r="A20318" s="4" t="s">
        <v>25577</v>
      </c>
      <c r="B20318" s="4" t="s">
        <v>25578</v>
      </c>
      <c r="C20318" s="5" t="str">
        <f>IFERROR(__xludf.DUMMYFUNCTION("GOOGLETRANSLATE(B20318,""en"",""it"")"),"L'uomo è in piedi con un'armonica mentre suona la chitarra e sta leggendo il foglio musicale.")</f>
        <v>L'uomo è in piedi con un'armonica mentre suona la chitarra e sta leggendo il foglio musicale.</v>
      </c>
    </row>
    <row r="20319">
      <c r="A20319" s="4" t="s">
        <v>25577</v>
      </c>
      <c r="B20319" s="4" t="s">
        <v>25579</v>
      </c>
      <c r="C20319" s="5" t="str">
        <f>IFERROR(__xludf.DUMMYFUNCTION("GOOGLETRANSLATE(B20319,""en"",""it"")"),"L'uomo sta insegnando a suonare l'armonica nella chiave di A e sta parlando e suonando la chitarra.")</f>
        <v>L'uomo sta insegnando a suonare l'armonica nella chiave di A e sta parlando e suonando la chitarra.</v>
      </c>
    </row>
    <row r="20320">
      <c r="A20320" s="4" t="s">
        <v>25580</v>
      </c>
      <c r="B20320" s="4" t="s">
        <v>25581</v>
      </c>
      <c r="C20320" s="5" t="str">
        <f>IFERROR(__xludf.DUMMYFUNCTION("GOOGLETRANSLATE(B20320,""en"",""it"")"),"Vengono mostrate diverse clip di persone che cavalcano in acqua sui kayak.")</f>
        <v>Vengono mostrate diverse clip di persone che cavalcano in acqua sui kayak.</v>
      </c>
    </row>
    <row r="20321">
      <c r="A20321" s="4" t="s">
        <v>25580</v>
      </c>
      <c r="B20321" s="4" t="s">
        <v>25582</v>
      </c>
      <c r="C20321" s="5" t="str">
        <f>IFERROR(__xludf.DUMMYFUNCTION("GOOGLETRANSLATE(B20321,""en"",""it"")"),"Le persone eseguono lanciatura nell'acqua mentre viene mostrato il testo.")</f>
        <v>Le persone eseguono lanciatura nell'acqua mentre viene mostrato il testo.</v>
      </c>
    </row>
    <row r="20322">
      <c r="A20322" s="4" t="s">
        <v>25580</v>
      </c>
      <c r="B20322" s="4" t="s">
        <v>25583</v>
      </c>
      <c r="C20322" s="5" t="str">
        <f>IFERROR(__xludf.DUMMYFUNCTION("GOOGLETRANSLATE(B20322,""en"",""it"")"),"Vengono mostrate altre clip di persone che cavalcano in acqua e fanno capovolgendo i kayak.")</f>
        <v>Vengono mostrate altre clip di persone che cavalcano in acqua e fanno capovolgendo i kayak.</v>
      </c>
    </row>
    <row r="20323">
      <c r="A20323" s="4" t="s">
        <v>25584</v>
      </c>
      <c r="B20323" s="4" t="s">
        <v>25585</v>
      </c>
      <c r="C20323" s="5" t="str">
        <f>IFERROR(__xludf.DUMMYFUNCTION("GOOGLETRANSLATE(B20323,""en"",""it"")"),"Un pompiere viene mostrato che cammina su una corda stretta nella sua attrezzatura molto lentamente.")</f>
        <v>Un pompiere viene mostrato che cammina su una corda stretta nella sua attrezzatura molto lentamente.</v>
      </c>
    </row>
    <row r="20324">
      <c r="A20324" s="4" t="s">
        <v>25584</v>
      </c>
      <c r="B20324" s="4" t="s">
        <v>25586</v>
      </c>
      <c r="C20324" s="5" t="str">
        <f>IFERROR(__xludf.DUMMYFUNCTION("GOOGLETRANSLATE(B20324,""en"",""it"")"),"Si muove lungo la corda verso la fine e torna all'inizio fino a quando non fallisce.")</f>
        <v>Si muove lungo la corda verso la fine e torna all'inizio fino a quando non fallisce.</v>
      </c>
    </row>
    <row r="20325">
      <c r="A20325" s="4" t="s">
        <v>25587</v>
      </c>
      <c r="B20325" s="4" t="s">
        <v>21512</v>
      </c>
      <c r="C20325" s="5" t="str">
        <f>IFERROR(__xludf.DUMMYFUNCTION("GOOGLETRANSLATE(B20325,""en"",""it"")"),"Un uomo si inginocchia su un tappetino blu.")</f>
        <v>Un uomo si inginocchia su un tappetino blu.</v>
      </c>
    </row>
    <row r="20326">
      <c r="A20326" s="4" t="s">
        <v>25587</v>
      </c>
      <c r="B20326" s="4" t="s">
        <v>25588</v>
      </c>
      <c r="C20326" s="5" t="str">
        <f>IFERROR(__xludf.DUMMYFUNCTION("GOOGLETRANSLATE(B20326,""en"",""it"")"),"Un uomo si alza dietro di lui parlando.")</f>
        <v>Un uomo si alza dietro di lui parlando.</v>
      </c>
    </row>
    <row r="20327">
      <c r="A20327" s="4" t="s">
        <v>25587</v>
      </c>
      <c r="B20327" s="4" t="s">
        <v>25589</v>
      </c>
      <c r="C20327" s="5" t="str">
        <f>IFERROR(__xludf.DUMMYFUNCTION("GOOGLETRANSLATE(B20327,""en"",""it"")"),"L'uomo sul tappeto ha una cintura marrone intorno alla vita.")</f>
        <v>L'uomo sul tappeto ha una cintura marrone intorno alla vita.</v>
      </c>
    </row>
    <row r="20328">
      <c r="A20328" s="4" t="s">
        <v>25590</v>
      </c>
      <c r="B20328" s="6" t="s">
        <v>25591</v>
      </c>
      <c r="C20328" s="5" t="str">
        <f>IFERROR(__xludf.DUMMYFUNCTION("GOOGLETRANSLATE(B20328,""en"",""it"")"),"Due persone vengono viste uscire da un edificio e conducono a giocare uncinetto tra loro.")</f>
        <v>Due persone vengono viste uscire da un edificio e conducono a giocare uncinetto tra loro.</v>
      </c>
    </row>
    <row r="20329">
      <c r="A20329" s="4" t="s">
        <v>25590</v>
      </c>
      <c r="B20329" s="6" t="s">
        <v>25592</v>
      </c>
      <c r="C20329" s="5" t="str">
        <f>IFERROR(__xludf.DUMMYFUNCTION("GOOGLETRANSLATE(B20329,""en"",""it"")"),"Gli uomini continuano a colpire la palla intorno al cortile mentre parlano l'uno con l'altro e misurano la palla.")</f>
        <v>Gli uomini continuano a colpire la palla intorno al cortile mentre parlano l'uno con l'altro e misurano la palla.</v>
      </c>
    </row>
    <row r="20330">
      <c r="A20330" s="4" t="s">
        <v>25590</v>
      </c>
      <c r="B20330" s="4" t="s">
        <v>25593</v>
      </c>
      <c r="C20330" s="5" t="str">
        <f>IFERROR(__xludf.DUMMYFUNCTION("GOOGLETRANSLATE(B20330,""en"",""it"")"),"Gli uomini continuano a suonare e uno tiene il braccio e finiscono allontanandosi.")</f>
        <v>Gli uomini continuano a suonare e uno tiene il braccio e finiscono allontanandosi.</v>
      </c>
    </row>
    <row r="20331">
      <c r="A20331" s="4" t="s">
        <v>25594</v>
      </c>
      <c r="B20331" s="4" t="s">
        <v>25595</v>
      </c>
      <c r="C20331" s="5" t="str">
        <f>IFERROR(__xludf.DUMMYFUNCTION("GOOGLETRANSLATE(B20331,""en"",""it"")"),"Un uomo sta soffiando un sussurro davanti a una stanza piena di persone.")</f>
        <v>Un uomo sta soffiando un sussurro davanti a una stanza piena di persone.</v>
      </c>
    </row>
    <row r="20332">
      <c r="A20332" s="4" t="s">
        <v>25594</v>
      </c>
      <c r="B20332" s="4" t="s">
        <v>25596</v>
      </c>
      <c r="C20332" s="5" t="str">
        <f>IFERROR(__xludf.DUMMYFUNCTION("GOOGLETRANSLATE(B20332,""en"",""it"")"),"Stanno giocando Beer Pong con diverse tazze da solista rossa, bevendo tra i giochi.")</f>
        <v>Stanno giocando Beer Pong con diverse tazze da solista rossa, bevendo tra i giochi.</v>
      </c>
    </row>
    <row r="20333">
      <c r="A20333" s="4" t="s">
        <v>25594</v>
      </c>
      <c r="B20333" s="4" t="s">
        <v>25597</v>
      </c>
      <c r="C20333" s="5" t="str">
        <f>IFERROR(__xludf.DUMMYFUNCTION("GOOGLETRANSLATE(B20333,""en"",""it"")"),"Una donna bionda guarda mentre un uomo vince la partita, abbracciando la donna accanto a lui.")</f>
        <v>Una donna bionda guarda mentre un uomo vince la partita, abbracciando la donna accanto a lui.</v>
      </c>
    </row>
    <row r="20334">
      <c r="A20334" s="4" t="s">
        <v>25598</v>
      </c>
      <c r="B20334" s="4" t="s">
        <v>25599</v>
      </c>
      <c r="C20334" s="5" t="str">
        <f>IFERROR(__xludf.DUMMYFUNCTION("GOOGLETRANSLATE(B20334,""en"",""it"")"),"Viene mostrata una partita di polo d'acqua e una persona segna gol.")</f>
        <v>Viene mostrata una partita di polo d'acqua e una persona segna gol.</v>
      </c>
    </row>
    <row r="20335">
      <c r="A20335" s="4" t="s">
        <v>25598</v>
      </c>
      <c r="B20335" s="4" t="s">
        <v>25600</v>
      </c>
      <c r="C20335" s="5" t="str">
        <f>IFERROR(__xludf.DUMMYFUNCTION("GOOGLETRANSLATE(B20335,""en"",""it"")"),"Questo è un video di reclutamento.")</f>
        <v>Questo è un video di reclutamento.</v>
      </c>
    </row>
    <row r="20336">
      <c r="A20336" s="4" t="s">
        <v>25601</v>
      </c>
      <c r="B20336" s="4" t="s">
        <v>25602</v>
      </c>
      <c r="C20336" s="5" t="str">
        <f>IFERROR(__xludf.DUMMYFUNCTION("GOOGLETRANSLATE(B20336,""en"",""it"")"),"Una persona in una maglietta nera taglia le unghie sulle zampe anteriori di un gatto macinato marrone e marrone chiaro.")</f>
        <v>Una persona in una maglietta nera taglia le unghie sulle zampe anteriori di un gatto macinato marrone e marrone chiaro.</v>
      </c>
    </row>
    <row r="20337">
      <c r="A20337" s="4" t="s">
        <v>25601</v>
      </c>
      <c r="B20337" s="6" t="s">
        <v>25603</v>
      </c>
      <c r="C20337" s="5" t="str">
        <f>IFERROR(__xludf.DUMMYFUNCTION("GOOGLETRANSLATE(B20337,""en"",""it"")"),"Un gatto macinato marrone e marrone chiaro è sdraiato su un cuscino bianco quando una persona cammina tenendo un paio di ritagli di unghie a manico rosso.")</f>
        <v>Un gatto macinato marrone e marrone chiaro è sdraiato su un cuscino bianco quando una persona cammina tenendo un paio di ritagli di unghie a manico rosso.</v>
      </c>
    </row>
    <row r="20338">
      <c r="A20338" s="4" t="s">
        <v>25601</v>
      </c>
      <c r="B20338" s="4" t="s">
        <v>25604</v>
      </c>
      <c r="C20338" s="5" t="str">
        <f>IFERROR(__xludf.DUMMYFUNCTION("GOOGLETRANSLATE(B20338,""en"",""it"")"),"La persona taglia le zampe anteriori del gatto mentre il gatto osserva.")</f>
        <v>La persona taglia le zampe anteriori del gatto mentre il gatto osserva.</v>
      </c>
    </row>
    <row r="20339">
      <c r="A20339" s="4" t="s">
        <v>25601</v>
      </c>
      <c r="B20339" s="6" t="s">
        <v>25605</v>
      </c>
      <c r="C20339" s="5" t="str">
        <f>IFERROR(__xludf.DUMMYFUNCTION("GOOGLETRANSLATE(B20339,""en"",""it"")"),"La persona finisce di tagliare le unghie del gatto e gli animali domestici la testa dei gatti e mostra i ritagli vicino alla telecamera prima di allontanarsi.")</f>
        <v>La persona finisce di tagliare le unghie del gatto e gli animali domestici la testa dei gatti e mostra i ritagli vicino alla telecamera prima di allontanarsi.</v>
      </c>
    </row>
    <row r="20340">
      <c r="A20340" s="4" t="s">
        <v>25606</v>
      </c>
      <c r="B20340" s="4" t="s">
        <v>25607</v>
      </c>
      <c r="C20340" s="5" t="str">
        <f>IFERROR(__xludf.DUMMYFUNCTION("GOOGLETRANSLATE(B20340,""en"",""it"")"),"Due ragazzi stanno lottando in una camera da letto.")</f>
        <v>Due ragazzi stanno lottando in una camera da letto.</v>
      </c>
    </row>
    <row r="20341">
      <c r="A20341" s="4" t="s">
        <v>25606</v>
      </c>
      <c r="B20341" s="4" t="s">
        <v>25608</v>
      </c>
      <c r="C20341" s="5" t="str">
        <f>IFERROR(__xludf.DUMMYFUNCTION("GOOGLETRANSLATE(B20341,""en"",""it"")"),"Un ragazzo viene raccolto e gettato sul letto.")</f>
        <v>Un ragazzo viene raccolto e gettato sul letto.</v>
      </c>
    </row>
    <row r="20342">
      <c r="A20342" s="4" t="s">
        <v>25606</v>
      </c>
      <c r="B20342" s="4" t="s">
        <v>25609</v>
      </c>
      <c r="C20342" s="5" t="str">
        <f>IFERROR(__xludf.DUMMYFUNCTION("GOOGLETRANSLATE(B20342,""en"",""it"")"),"Il ragazzo spegne la telecamera.")</f>
        <v>Il ragazzo spegne la telecamera.</v>
      </c>
    </row>
    <row r="20343">
      <c r="A20343" s="4" t="s">
        <v>25610</v>
      </c>
      <c r="B20343" s="4" t="s">
        <v>25611</v>
      </c>
      <c r="C20343" s="5" t="str">
        <f>IFERROR(__xludf.DUMMYFUNCTION("GOOGLETRANSLATE(B20343,""en"",""it"")"),"Un artista penetrante inserisce un bar nel capezzolo di una donna.")</f>
        <v>Un artista penetrante inserisce un bar nel capezzolo di una donna.</v>
      </c>
    </row>
    <row r="20344">
      <c r="A20344" s="4" t="s">
        <v>25610</v>
      </c>
      <c r="B20344" s="4" t="s">
        <v>25612</v>
      </c>
      <c r="C20344" s="5" t="str">
        <f>IFERROR(__xludf.DUMMYFUNCTION("GOOGLETRANSLATE(B20344,""en"",""it"")"),"L'uomo avvita l'hardware fino alla fine del piercing.")</f>
        <v>L'uomo avvita l'hardware fino alla fine del piercing.</v>
      </c>
    </row>
    <row r="20345">
      <c r="A20345" s="4" t="s">
        <v>25610</v>
      </c>
      <c r="B20345" s="4" t="s">
        <v>25613</v>
      </c>
      <c r="C20345" s="5" t="str">
        <f>IFERROR(__xludf.DUMMYFUNCTION("GOOGLETRANSLATE(B20345,""en"",""it"")"),"La donna che indossa un costume si siede e mostra i suoi nuovi piercing.")</f>
        <v>La donna che indossa un costume si siede e mostra i suoi nuovi piercing.</v>
      </c>
    </row>
    <row r="20346">
      <c r="A20346" s="4" t="s">
        <v>25614</v>
      </c>
      <c r="B20346" s="4" t="s">
        <v>25615</v>
      </c>
      <c r="C20346" s="5" t="str">
        <f>IFERROR(__xludf.DUMMYFUNCTION("GOOGLETRANSLATE(B20346,""en"",""it"")"),"Una donna che fuma una sigaretta parla a un'altra di quanto hanno bisogno di fumare.")</f>
        <v>Una donna che fuma una sigaretta parla a un'altra di quanto hanno bisogno di fumare.</v>
      </c>
    </row>
    <row r="20347">
      <c r="A20347" s="4" t="s">
        <v>25614</v>
      </c>
      <c r="B20347" s="6" t="s">
        <v>25616</v>
      </c>
      <c r="C20347" s="5" t="str">
        <f>IFERROR(__xludf.DUMMYFUNCTION("GOOGLETRANSLATE(B20347,""en"",""it"")"),"Continuano a parlare della loro abitudine al fumo e di cosa possono fare per continuare a fumare se vogliono.")</f>
        <v>Continuano a parlare della loro abitudine al fumo e di cosa possono fare per continuare a fumare se vogliono.</v>
      </c>
    </row>
    <row r="20348">
      <c r="A20348" s="4" t="s">
        <v>25617</v>
      </c>
      <c r="B20348" s="4" t="s">
        <v>25618</v>
      </c>
      <c r="C20348" s="5" t="str">
        <f>IFERROR(__xludf.DUMMYFUNCTION("GOOGLETRANSLATE(B20348,""en"",""it"")"),"Un uomo arriva sullo schermo per introdurre un video su di lui che taglia alberi.")</f>
        <v>Un uomo arriva sullo schermo per introdurre un video su di lui che taglia alberi.</v>
      </c>
    </row>
    <row r="20349">
      <c r="A20349" s="4" t="s">
        <v>25617</v>
      </c>
      <c r="B20349" s="4" t="s">
        <v>25619</v>
      </c>
      <c r="C20349" s="5" t="str">
        <f>IFERROR(__xludf.DUMMYFUNCTION("GOOGLETRANSLATE(B20349,""en"",""it"")"),"Raccoglie una sega per il taglio e avvia il motore.")</f>
        <v>Raccoglie una sega per il taglio e avvia il motore.</v>
      </c>
    </row>
    <row r="20350">
      <c r="A20350" s="4" t="s">
        <v>25617</v>
      </c>
      <c r="B20350" s="4" t="s">
        <v>25620</v>
      </c>
      <c r="C20350" s="5" t="str">
        <f>IFERROR(__xludf.DUMMYFUNCTION("GOOGLETRANSLATE(B20350,""en"",""it"")"),"Si arrampica sulla scala e inizia a tagliare l'albero.")</f>
        <v>Si arrampica sulla scala e inizia a tagliare l'albero.</v>
      </c>
    </row>
    <row r="20351">
      <c r="A20351" s="4" t="s">
        <v>25617</v>
      </c>
      <c r="B20351" s="4" t="s">
        <v>25621</v>
      </c>
      <c r="C20351" s="5" t="str">
        <f>IFERROR(__xludf.DUMMYFUNCTION("GOOGLETRANSLATE(B20351,""en"",""it"")"),"Guarda indietro alla telecamera e sorride.")</f>
        <v>Guarda indietro alla telecamera e sorride.</v>
      </c>
    </row>
    <row r="20352">
      <c r="A20352" s="4" t="s">
        <v>25622</v>
      </c>
      <c r="B20352" s="4" t="s">
        <v>25623</v>
      </c>
      <c r="C20352" s="5" t="str">
        <f>IFERROR(__xludf.DUMMYFUNCTION("GOOGLETRANSLATE(B20352,""en"",""it"")"),"Una donna bionda che indossa un vestito ha due colpi fianco a fianco di lei che gioca un violino.")</f>
        <v>Una donna bionda che indossa un vestito ha due colpi fianco a fianco di lei che gioca un violino.</v>
      </c>
    </row>
    <row r="20353">
      <c r="A20353" s="4" t="s">
        <v>25622</v>
      </c>
      <c r="B20353" s="6" t="s">
        <v>25624</v>
      </c>
      <c r="C20353" s="5" t="str">
        <f>IFERROR(__xludf.DUMMYFUNCTION("GOOGLETRANSLATE(B20353,""en"",""it"")"),"Suona due diverse melodie sul violino e finisce insieme allo stesso tempo, sorridendo alla telecamera.")</f>
        <v>Suona due diverse melodie sul violino e finisce insieme allo stesso tempo, sorridendo alla telecamera.</v>
      </c>
    </row>
    <row r="20354">
      <c r="A20354" s="4" t="s">
        <v>25625</v>
      </c>
      <c r="B20354" s="4" t="s">
        <v>25626</v>
      </c>
      <c r="C20354" s="5" t="str">
        <f>IFERROR(__xludf.DUMMYFUNCTION("GOOGLETRANSLATE(B20354,""en"",""it"")"),"Un uomo è in piedi fuori nel buio fumando una sigaretta di fronte a un garage verde.")</f>
        <v>Un uomo è in piedi fuori nel buio fumando una sigaretta di fronte a un garage verde.</v>
      </c>
    </row>
    <row r="20355">
      <c r="A20355" s="4" t="s">
        <v>25625</v>
      </c>
      <c r="B20355" s="4" t="s">
        <v>25627</v>
      </c>
      <c r="C20355" s="5" t="str">
        <f>IFERROR(__xludf.DUMMYFUNCTION("GOOGLETRANSLATE(B20355,""en"",""it"")"),"Dopo, viene mostrata un'immagine di un polmone e mostra come le sigarette influenzano i tuoi organi.")</f>
        <v>Dopo, viene mostrata un'immagine di un polmone e mostra come le sigarette influenzano i tuoi organi.</v>
      </c>
    </row>
    <row r="20356">
      <c r="A20356" s="4" t="s">
        <v>25628</v>
      </c>
      <c r="B20356" s="4" t="s">
        <v>25629</v>
      </c>
      <c r="C20356" s="5" t="str">
        <f>IFERROR(__xludf.DUMMYFUNCTION("GOOGLETRANSLATE(B20356,""en"",""it"")"),"Una donna dimostra come fare Tai Chi fuori sull'erba.")</f>
        <v>Una donna dimostra come fare Tai Chi fuori sull'erba.</v>
      </c>
    </row>
    <row r="20357">
      <c r="A20357" s="4" t="s">
        <v>25628</v>
      </c>
      <c r="B20357" s="4" t="s">
        <v>25630</v>
      </c>
      <c r="C20357" s="5" t="str">
        <f>IFERROR(__xludf.DUMMYFUNCTION("GOOGLETRANSLATE(B20357,""en"",""it"")"),"La stessa donna dimostra il Tai Chi in casa su una fase.")</f>
        <v>La stessa donna dimostra il Tai Chi in casa su una fase.</v>
      </c>
    </row>
    <row r="20358">
      <c r="A20358" s="4" t="s">
        <v>25628</v>
      </c>
      <c r="B20358" s="4" t="s">
        <v>25631</v>
      </c>
      <c r="C20358" s="5" t="str">
        <f>IFERROR(__xludf.DUMMYFUNCTION("GOOGLETRANSLATE(B20358,""en"",""it"")"),"Una seconda donna si unisce alla prima donna ad aiutare a dimostrare.")</f>
        <v>Una seconda donna si unisce alla prima donna ad aiutare a dimostrare.</v>
      </c>
    </row>
    <row r="20359">
      <c r="A20359" s="4" t="s">
        <v>25632</v>
      </c>
      <c r="B20359" s="4" t="s">
        <v>25633</v>
      </c>
      <c r="C20359" s="5" t="str">
        <f>IFERROR(__xludf.DUMMYFUNCTION("GOOGLETRANSLATE(B20359,""en"",""it"")"),"Esistono diverse chitarre acustiche del marchio Seagull sono mostrate in un negozio.")</f>
        <v>Esistono diverse chitarre acustiche del marchio Seagull sono mostrate in un negozio.</v>
      </c>
    </row>
    <row r="20360">
      <c r="A20360" s="4" t="s">
        <v>25632</v>
      </c>
      <c r="B20360" s="6" t="s">
        <v>25634</v>
      </c>
      <c r="C20360" s="5" t="str">
        <f>IFERROR(__xludf.DUMMYFUNCTION("GOOGLETRANSLATE(B20360,""en"",""it"")"),"Un uomo vestito di nero, seduto su uno sgabello suona la chitarra acustica nel negozio in cui vengono esposte le chitarre.")</f>
        <v>Un uomo vestito di nero, seduto su uno sgabello suona la chitarra acustica nel negozio in cui vengono esposte le chitarre.</v>
      </c>
    </row>
    <row r="20361">
      <c r="A20361" s="4" t="s">
        <v>25632</v>
      </c>
      <c r="B20361" s="4" t="s">
        <v>25635</v>
      </c>
      <c r="C20361" s="5" t="str">
        <f>IFERROR(__xludf.DUMMYFUNCTION("GOOGLETRANSLATE(B20361,""en"",""it"")"),"L'uomo continua a suonare la chitarra.")</f>
        <v>L'uomo continua a suonare la chitarra.</v>
      </c>
    </row>
    <row r="20362">
      <c r="A20362" s="4" t="s">
        <v>25636</v>
      </c>
      <c r="B20362" s="4" t="s">
        <v>25637</v>
      </c>
      <c r="C20362" s="5" t="str">
        <f>IFERROR(__xludf.DUMMYFUNCTION("GOOGLETRANSLATE(B20362,""en"",""it"")"),"Diversi uomini stanno attorno a Pinata.")</f>
        <v>Diversi uomini stanno attorno a Pinata.</v>
      </c>
    </row>
    <row r="20363">
      <c r="A20363" s="4" t="s">
        <v>25636</v>
      </c>
      <c r="B20363" s="4" t="s">
        <v>25638</v>
      </c>
      <c r="C20363" s="5" t="str">
        <f>IFERROR(__xludf.DUMMYFUNCTION("GOOGLETRANSLATE(B20363,""en"",""it"")"),"Un uomo gira un uomo bendato intorno.")</f>
        <v>Un uomo gira un uomo bendato intorno.</v>
      </c>
    </row>
    <row r="20364">
      <c r="A20364" s="4" t="s">
        <v>25636</v>
      </c>
      <c r="B20364" s="4" t="s">
        <v>25639</v>
      </c>
      <c r="C20364" s="5" t="str">
        <f>IFERROR(__xludf.DUMMYFUNCTION("GOOGLETRANSLATE(B20364,""en"",""it"")"),"L'uomo con gli occhi bendati fa alcune oscillazioni al Pinata.")</f>
        <v>L'uomo con gli occhi bendati fa alcune oscillazioni al Pinata.</v>
      </c>
    </row>
    <row r="20365">
      <c r="A20365" s="4" t="s">
        <v>25636</v>
      </c>
      <c r="B20365" s="4" t="s">
        <v>25640</v>
      </c>
      <c r="C20365" s="5" t="str">
        <f>IFERROR(__xludf.DUMMYFUNCTION("GOOGLETRANSLATE(B20365,""en"",""it"")"),"Una donna con camicia rossa ride.")</f>
        <v>Una donna con camicia rossa ride.</v>
      </c>
    </row>
    <row r="20366">
      <c r="A20366" s="4" t="s">
        <v>25641</v>
      </c>
      <c r="B20366" s="4" t="s">
        <v>25642</v>
      </c>
      <c r="C20366" s="5" t="str">
        <f>IFERROR(__xludf.DUMMYFUNCTION("GOOGLETRANSLATE(B20366,""en"",""it"")"),"Una donna viene vista sdraiata sul divano con un'altra ragazza seduta sopra di lei.")</f>
        <v>Una donna viene vista sdraiata sul divano con un'altra ragazza seduta sopra di lei.</v>
      </c>
    </row>
    <row r="20367">
      <c r="A20367" s="4" t="s">
        <v>25641</v>
      </c>
      <c r="B20367" s="4" t="s">
        <v>25643</v>
      </c>
      <c r="C20367" s="5" t="str">
        <f>IFERROR(__xludf.DUMMYFUNCTION("GOOGLETRANSLATE(B20367,""en"",""it"")"),"La ragazza viene quindi mostrata perforare il capezzolo della ragazza che si sdraia.")</f>
        <v>La ragazza viene quindi mostrata perforare il capezzolo della ragazza che si sdraia.</v>
      </c>
    </row>
    <row r="20368">
      <c r="A20368" s="4" t="s">
        <v>25641</v>
      </c>
      <c r="B20368" s="4" t="s">
        <v>25644</v>
      </c>
      <c r="C20368" s="5" t="str">
        <f>IFERROR(__xludf.DUMMYFUNCTION("GOOGLETRANSLATE(B20368,""en"",""it"")"),"Finisce il piercing e termina sorridendo alla telecamera.")</f>
        <v>Finisce il piercing e termina sorridendo alla telecamera.</v>
      </c>
    </row>
    <row r="20369">
      <c r="A20369" s="4" t="s">
        <v>25645</v>
      </c>
      <c r="B20369" s="4" t="s">
        <v>25646</v>
      </c>
      <c r="C20369" s="5" t="str">
        <f>IFERROR(__xludf.DUMMYFUNCTION("GOOGLETRANSLATE(B20369,""en"",""it"")"),"Un cowboy sta cavalcando un cavallo in una grande arena e sta oscillando la sua corda.")</f>
        <v>Un cowboy sta cavalcando un cavallo in una grande arena e sta oscillando la sua corda.</v>
      </c>
    </row>
    <row r="20370">
      <c r="A20370" s="4" t="s">
        <v>25645</v>
      </c>
      <c r="B20370" s="6" t="s">
        <v>25647</v>
      </c>
      <c r="C20370" s="5" t="str">
        <f>IFERROR(__xludf.DUMMYFUNCTION("GOOGLETRANSLATE(B20370,""en"",""it"")"),"La vista cambia per mostrare un gruppo di uomini con i loro cavalli e ognuno si aggrapperà alle loro corde e fanno varie cose con loro come legarli e farli oscillare.")</f>
        <v>La vista cambia per mostrare un gruppo di uomini con i loro cavalli e ognuno si aggrapperà alle loro corde e fanno varie cose con loro come legarli e farli oscillare.</v>
      </c>
    </row>
    <row r="20371">
      <c r="A20371" s="4" t="s">
        <v>25645</v>
      </c>
      <c r="B20371" s="6" t="s">
        <v>25648</v>
      </c>
      <c r="C20371" s="5" t="str">
        <f>IFERROR(__xludf.DUMMYFUNCTION("GOOGLETRANSLATE(B20371,""en"",""it"")"),"Il focus passa a un uomo che parla il cui nome è Trevor Brazile e lampeggia da lui che parla e poi alle clip di lui che cavalca il suo cavallo in diverse arene mentre sta anche conquistando un piccolo vitello.")</f>
        <v>Il focus passa a un uomo che parla il cui nome è Trevor Brazile e lampeggia da lui che parla e poi alle clip di lui che cavalca il suo cavallo in diverse arene mentre sta anche conquistando un piccolo vitello.</v>
      </c>
    </row>
    <row r="20372">
      <c r="A20372" s="4" t="s">
        <v>25645</v>
      </c>
      <c r="B20372" s="6" t="s">
        <v>25649</v>
      </c>
      <c r="C20372" s="5" t="str">
        <f>IFERROR(__xludf.DUMMYFUNCTION("GOOGLETRANSLATE(B20372,""en"",""it"")"),"Un altro uomo di nome Stran Smith ora sta parlando e le clip di lui cavalcano il suo cavallo in diverse arene mentre love anche un vitello.")</f>
        <v>Un altro uomo di nome Stran Smith ora sta parlando e le clip di lui cavalcano il suo cavallo in diverse arene mentre love anche un vitello.</v>
      </c>
    </row>
    <row r="20373">
      <c r="A20373" s="4" t="s">
        <v>25645</v>
      </c>
      <c r="B20373" s="6" t="s">
        <v>25650</v>
      </c>
      <c r="C20373" s="5" t="str">
        <f>IFERROR(__xludf.DUMMYFUNCTION("GOOGLETRANSLATE(B20373,""en"",""it"")"),"Le clip di entrambi gli uomini che parlano e le clip di loro cavalcano cavalli e litigano i vitelli giocano e ruotano tra loro due.")</f>
        <v>Le clip di entrambi gli uomini che parlano e le clip di loro cavalcano cavalli e litigano i vitelli giocano e ruotano tra loro due.</v>
      </c>
    </row>
    <row r="20374">
      <c r="A20374" s="4" t="s">
        <v>25645</v>
      </c>
      <c r="B20374" s="6" t="s">
        <v>25651</v>
      </c>
      <c r="C20374" s="5" t="str">
        <f>IFERROR(__xludf.DUMMYFUNCTION("GOOGLETRANSLATE(B20374,""en"",""it"")"),"Il video di Outro inizia e mostra uno stendardo sospeso nell'arena che recita ""Calgary Stampede"", una donna che cavalca un cavallo e tiene in mano una bandiera rossa che dice ""Calgary Stampede"" del 1912-2012 "", e un vitello sta attraversando un campo"&amp;" sporco.")</f>
        <v>Il video di Outro inizia e mostra uno stendardo sospeso nell'arena che recita "Calgary Stampede", una donna che cavalca un cavallo e tiene in mano una bandiera rossa che dice "Calgary Stampede" del 1912-2012 ", e un vitello sta attraversando un campo sporco.</v>
      </c>
    </row>
    <row r="20375">
      <c r="A20375" s="4" t="s">
        <v>25652</v>
      </c>
      <c r="B20375" s="4" t="s">
        <v>25653</v>
      </c>
      <c r="C20375" s="5" t="str">
        <f>IFERROR(__xludf.DUMMYFUNCTION("GOOGLETRANSLATE(B20375,""en"",""it"")"),"Una persona canta davanti a una folla vestita con abiti hip hop.")</f>
        <v>Una persona canta davanti a una folla vestita con abiti hip hop.</v>
      </c>
    </row>
    <row r="20376">
      <c r="A20376" s="4" t="s">
        <v>25652</v>
      </c>
      <c r="B20376" s="6" t="s">
        <v>25654</v>
      </c>
      <c r="C20376" s="5" t="str">
        <f>IFERROR(__xludf.DUMMYFUNCTION("GOOGLETRANSLATE(B20376,""en"",""it"")"),"Un uomo che danza hip hop che fa acrobazie si muove con le mani e le gambe sul pavimento di fronte a una folla.")</f>
        <v>Un uomo che danza hip hop che fa acrobazie si muove con le mani e le gambe sul pavimento di fronte a una folla.</v>
      </c>
    </row>
    <row r="20377">
      <c r="A20377" s="4" t="s">
        <v>25652</v>
      </c>
      <c r="B20377" s="4" t="s">
        <v>25655</v>
      </c>
      <c r="C20377" s="5" t="str">
        <f>IFERROR(__xludf.DUMMYFUNCTION("GOOGLETRANSLATE(B20377,""en"",""it"")"),"La gente scatta foto e filma l'uomo che è dietro l'uomo.")</f>
        <v>La gente scatta foto e filma l'uomo che è dietro l'uomo.</v>
      </c>
    </row>
    <row r="20378">
      <c r="A20378" s="4" t="s">
        <v>25656</v>
      </c>
      <c r="B20378" s="4" t="s">
        <v>25657</v>
      </c>
      <c r="C20378" s="5" t="str">
        <f>IFERROR(__xludf.DUMMYFUNCTION("GOOGLETRANSLATE(B20378,""en"",""it"")"),"La donna è in un grande campo verde che tiene un frisbee giallo e gioca con un cane.")</f>
        <v>La donna è in un grande campo verde che tiene un frisbee giallo e gioca con un cane.</v>
      </c>
    </row>
    <row r="20379">
      <c r="A20379" s="4" t="s">
        <v>25656</v>
      </c>
      <c r="B20379" s="4" t="s">
        <v>25658</v>
      </c>
      <c r="C20379" s="5" t="str">
        <f>IFERROR(__xludf.DUMMYFUNCTION("GOOGLETRANSLATE(B20379,""en"",""it"")"),"Molti acri sono parcheggiati nella strada dietro il campo di ALGE.")</f>
        <v>Molti acri sono parcheggiati nella strada dietro il campo di ALGE.</v>
      </c>
    </row>
    <row r="20380">
      <c r="A20380" s="4" t="s">
        <v>25656</v>
      </c>
      <c r="B20380" s="4" t="s">
        <v>25659</v>
      </c>
      <c r="C20380" s="5" t="str">
        <f>IFERROR(__xludf.DUMMYFUNCTION("GOOGLETRANSLATE(B20380,""en"",""it"")"),"La donna sta gettando il frisbee al cane.")</f>
        <v>La donna sta gettando il frisbee al cane.</v>
      </c>
    </row>
    <row r="20381">
      <c r="A20381" s="4" t="s">
        <v>25660</v>
      </c>
      <c r="B20381" s="6" t="s">
        <v>25661</v>
      </c>
      <c r="C20381" s="5" t="str">
        <f>IFERROR(__xludf.DUMMYFUNCTION("GOOGLETRANSLATE(B20381,""en"",""it"")"),"Viene vista una donna parlare alla telecamera di fronte a una grande barra di allenamento e inizia a stare in piedi sull'attrezzatura mentre parla e usa le mani.")</f>
        <v>Viene vista una donna parlare alla telecamera di fronte a una grande barra di allenamento e inizia a stare in piedi sull'attrezzatura mentre parla e usa le mani.</v>
      </c>
    </row>
    <row r="20382">
      <c r="A20382" s="4" t="s">
        <v>25660</v>
      </c>
      <c r="B20382" s="6" t="s">
        <v>25662</v>
      </c>
      <c r="C20382" s="5" t="str">
        <f>IFERROR(__xludf.DUMMYFUNCTION("GOOGLETRANSLATE(B20382,""en"",""it"")"),"La donna continua a dimostrare come eseguire correttamente gli esercizi mentre si muove le braccia e le gambe e quarto.")</f>
        <v>La donna continua a dimostrare come eseguire correttamente gli esercizi mentre si muove le braccia e le gambe e quarto.</v>
      </c>
    </row>
    <row r="20383">
      <c r="A20383" s="4" t="s">
        <v>25663</v>
      </c>
      <c r="B20383" s="6" t="s">
        <v>25664</v>
      </c>
      <c r="C20383" s="5" t="str">
        <f>IFERROR(__xludf.DUMMYFUNCTION("GOOGLETRANSLATE(B20383,""en"",""it"")"),"Ci sono tre body costruttori che si esercitano e si allenano in una piccola palestra con attrezzature per il sollevamento pesi.")</f>
        <v>Ci sono tre body costruttori che si esercitano e si allenano in una piccola palestra con attrezzature per il sollevamento pesi.</v>
      </c>
    </row>
    <row r="20384">
      <c r="A20384" s="4" t="s">
        <v>25663</v>
      </c>
      <c r="B20384" s="6" t="s">
        <v>25665</v>
      </c>
      <c r="C20384" s="5" t="str">
        <f>IFERROR(__xludf.DUMMYFUNCTION("GOOGLETRANSLATE(B20384,""en"",""it"")"),"Uno dei body costruttori solleva più volte la barra di peso e poi la lascia cadere mentre gli altri due body costruttori lo guardano.")</f>
        <v>Uno dei body costruttori solleva più volte la barra di peso e poi la lascia cadere mentre gli altri due body costruttori lo guardano.</v>
      </c>
    </row>
    <row r="20385">
      <c r="A20385" s="4" t="s">
        <v>25663</v>
      </c>
      <c r="B20385" s="4" t="s">
        <v>25666</v>
      </c>
      <c r="C20385" s="5" t="str">
        <f>IFERROR(__xludf.DUMMYFUNCTION("GOOGLETRANSLATE(B20385,""en"",""it"")"),"Quindi va e si asciuga il sudore con un asciugamano e solleva di nuovo la barra di peso e la lascia cadere.")</f>
        <v>Quindi va e si asciuga il sudore con un asciugamano e solleva di nuovo la barra di peso e la lascia cadere.</v>
      </c>
    </row>
    <row r="20386">
      <c r="A20386" s="4" t="s">
        <v>25663</v>
      </c>
      <c r="B20386" s="4" t="s">
        <v>25667</v>
      </c>
      <c r="C20386" s="5" t="str">
        <f>IFERROR(__xludf.DUMMYFUNCTION("GOOGLETRANSLATE(B20386,""en"",""it"")"),"Quindi indossa una cintura addominale e solleva di nuovo la barra di peso e la lascia cadere.")</f>
        <v>Quindi indossa una cintura addominale e solleva di nuovo la barra di peso e la lascia cadere.</v>
      </c>
    </row>
    <row r="20387">
      <c r="A20387" s="4" t="s">
        <v>25663</v>
      </c>
      <c r="B20387" s="4" t="s">
        <v>25668</v>
      </c>
      <c r="C20387" s="5" t="str">
        <f>IFERROR(__xludf.DUMMYFUNCTION("GOOGLETRANSLATE(B20387,""en"",""it"")"),"Lotta per sollevare la barra di peso, la solleva leggermente e poi la lascia cadere.")</f>
        <v>Lotta per sollevare la barra di peso, la solleva leggermente e poi la lascia cadere.</v>
      </c>
    </row>
    <row r="20388">
      <c r="A20388" s="4" t="s">
        <v>25669</v>
      </c>
      <c r="B20388" s="4" t="s">
        <v>25670</v>
      </c>
      <c r="C20388" s="5" t="str">
        <f>IFERROR(__xludf.DUMMYFUNCTION("GOOGLETRANSLATE(B20388,""en"",""it"")"),"Un uomo che indossa le cuffie si trova dietro un paio di tamburi di grandi dimensioni.")</f>
        <v>Un uomo che indossa le cuffie si trova dietro un paio di tamburi di grandi dimensioni.</v>
      </c>
    </row>
    <row r="20389">
      <c r="A20389" s="4" t="s">
        <v>25669</v>
      </c>
      <c r="B20389" s="4" t="s">
        <v>25671</v>
      </c>
      <c r="C20389" s="5" t="str">
        <f>IFERROR(__xludf.DUMMYFUNCTION("GOOGLETRANSLATE(B20389,""en"",""it"")"),"L'uomo suona la batteria con i palmi delle mani.")</f>
        <v>L'uomo suona la batteria con i palmi delle mani.</v>
      </c>
    </row>
    <row r="20390">
      <c r="A20390" s="4" t="s">
        <v>25669</v>
      </c>
      <c r="B20390" s="4" t="s">
        <v>25672</v>
      </c>
      <c r="C20390" s="5" t="str">
        <f>IFERROR(__xludf.DUMMYFUNCTION("GOOGLETRANSLATE(B20390,""en"",""it"")"),"L'uomo smette di suonare la batteria e si allontana.")</f>
        <v>L'uomo smette di suonare la batteria e si allontana.</v>
      </c>
    </row>
    <row r="20391">
      <c r="A20391" s="4" t="s">
        <v>25673</v>
      </c>
      <c r="B20391" s="4" t="s">
        <v>25674</v>
      </c>
      <c r="C20391" s="5" t="str">
        <f>IFERROR(__xludf.DUMMYFUNCTION("GOOGLETRANSLATE(B20391,""en"",""it"")"),"Un uomo stabilisce una sciarpa e mette alcuni accessori nel mezzo.")</f>
        <v>Un uomo stabilisce una sciarpa e mette alcuni accessori nel mezzo.</v>
      </c>
    </row>
    <row r="20392">
      <c r="A20392" s="4" t="s">
        <v>25673</v>
      </c>
      <c r="B20392" s="4" t="s">
        <v>25675</v>
      </c>
      <c r="C20392" s="5" t="str">
        <f>IFERROR(__xludf.DUMMYFUNCTION("GOOGLETRANSLATE(B20392,""en"",""it"")"),"Lega la fine e la piega in doppi nodi.")</f>
        <v>Lega la fine e la piega in doppi nodi.</v>
      </c>
    </row>
    <row r="20393">
      <c r="A20393" s="4" t="s">
        <v>25673</v>
      </c>
      <c r="B20393" s="4" t="s">
        <v>25676</v>
      </c>
      <c r="C20393" s="5" t="str">
        <f>IFERROR(__xludf.DUMMYFUNCTION("GOOGLETRANSLATE(B20393,""en"",""it"")"),"Lo apre di nuovo e mette qualcos'altro nel mezzo.")</f>
        <v>Lo apre di nuovo e mette qualcos'altro nel mezzo.</v>
      </c>
    </row>
    <row r="20394">
      <c r="A20394" s="4" t="s">
        <v>25673</v>
      </c>
      <c r="B20394" s="4" t="s">
        <v>25677</v>
      </c>
      <c r="C20394" s="5" t="str">
        <f>IFERROR(__xludf.DUMMYFUNCTION("GOOGLETRANSLATE(B20394,""en"",""it"")"),"Quindi lo unisce e si chiude, ha fatto una piccola borsa da una sciarpa.")</f>
        <v>Quindi lo unisce e si chiude, ha fatto una piccola borsa da una sciarpa.</v>
      </c>
    </row>
    <row r="20395">
      <c r="A20395" s="4" t="s">
        <v>25678</v>
      </c>
      <c r="B20395" s="4" t="s">
        <v>25679</v>
      </c>
      <c r="C20395" s="5" t="str">
        <f>IFERROR(__xludf.DUMMYFUNCTION("GOOGLETRANSLATE(B20395,""en"",""it"")"),"Un'introduzione arriva sullo schermo per un video su come giocare a squash.")</f>
        <v>Un'introduzione arriva sullo schermo per un video su come giocare a squash.</v>
      </c>
    </row>
    <row r="20396">
      <c r="A20396" s="4" t="s">
        <v>25678</v>
      </c>
      <c r="B20396" s="4" t="s">
        <v>25680</v>
      </c>
      <c r="C20396" s="5" t="str">
        <f>IFERROR(__xludf.DUMMYFUNCTION("GOOGLETRANSLATE(B20396,""en"",""it"")"),"Due uomini vengono mostrati su una zucca che gioca una partita di zucca.")</f>
        <v>Due uomini vengono mostrati su una zucca che gioca una partita di zucca.</v>
      </c>
    </row>
    <row r="20397">
      <c r="A20397" s="4" t="s">
        <v>25678</v>
      </c>
      <c r="B20397" s="4" t="s">
        <v>25681</v>
      </c>
      <c r="C20397" s="5" t="str">
        <f>IFERROR(__xludf.DUMMYFUNCTION("GOOGLETRANSLATE(B20397,""en"",""it"")"),"Il testo viene visualizzato sullo schermo che mostra le cose di cui avrai bisogno per il gioco.")</f>
        <v>Il testo viene visualizzato sullo schermo che mostra le cose di cui avrai bisogno per il gioco.</v>
      </c>
    </row>
    <row r="20398">
      <c r="A20398" s="4" t="s">
        <v>25678</v>
      </c>
      <c r="B20398" s="4" t="s">
        <v>25682</v>
      </c>
      <c r="C20398" s="5" t="str">
        <f>IFERROR(__xludf.DUMMYFUNCTION("GOOGLETRANSLATE(B20398,""en"",""it"")"),"Un'indicazione mostra sullo schermo che ti consente di conoscere le diverse righe.")</f>
        <v>Un'indicazione mostra sullo schermo che ti consente di conoscere le diverse righe.</v>
      </c>
    </row>
    <row r="20399">
      <c r="A20399" s="4" t="s">
        <v>25678</v>
      </c>
      <c r="B20399" s="4" t="s">
        <v>25683</v>
      </c>
      <c r="C20399" s="5" t="str">
        <f>IFERROR(__xludf.DUMMYFUNCTION("GOOGLETRANSLATE(B20399,""en"",""it"")"),"I suggerimenti per il gioco vengono visualizzati anche sullo schermo.")</f>
        <v>I suggerimenti per il gioco vengono visualizzati anche sullo schermo.</v>
      </c>
    </row>
    <row r="20400">
      <c r="A20400" s="4" t="s">
        <v>25678</v>
      </c>
      <c r="B20400" s="4" t="s">
        <v>25684</v>
      </c>
      <c r="C20400" s="5" t="str">
        <f>IFERROR(__xludf.DUMMYFUNCTION("GOOGLETRANSLATE(B20400,""en"",""it"")"),"Alla fine del video una casella di testo viene visualizzata con un fatto divertente su Squash.")</f>
        <v>Alla fine del video una casella di testo viene visualizzata con un fatto divertente su Squash.</v>
      </c>
    </row>
    <row r="20401">
      <c r="A20401" s="4" t="s">
        <v>25685</v>
      </c>
      <c r="B20401" s="4" t="s">
        <v>25686</v>
      </c>
      <c r="C20401" s="5" t="str">
        <f>IFERROR(__xludf.DUMMYFUNCTION("GOOGLETRANSLATE(B20401,""en"",""it"")"),"Un uomo attraversa un parcheggio che rimbalza con scarpe da rimbalzo.")</f>
        <v>Un uomo attraversa un parcheggio che rimbalza con scarpe da rimbalzo.</v>
      </c>
    </row>
    <row r="20402">
      <c r="A20402" s="4" t="s">
        <v>25685</v>
      </c>
      <c r="B20402" s="4" t="s">
        <v>25687</v>
      </c>
      <c r="C20402" s="5" t="str">
        <f>IFERROR(__xludf.DUMMYFUNCTION("GOOGLETRANSLATE(B20402,""en"",""it"")"),"Ci sono auto nel lotto di riferimento.")</f>
        <v>Ci sono auto nel lotto di riferimento.</v>
      </c>
    </row>
    <row r="20403">
      <c r="A20403" s="4" t="s">
        <v>25688</v>
      </c>
      <c r="B20403" s="4" t="s">
        <v>25689</v>
      </c>
      <c r="C20403" s="5" t="str">
        <f>IFERROR(__xludf.DUMMYFUNCTION("GOOGLETRANSLATE(B20403,""en"",""it"")"),"Diverse persone sono all'aperto che si godono la spiaggia.")</f>
        <v>Diverse persone sono all'aperto che si godono la spiaggia.</v>
      </c>
    </row>
    <row r="20404">
      <c r="A20404" s="4" t="s">
        <v>25688</v>
      </c>
      <c r="B20404" s="4" t="s">
        <v>25690</v>
      </c>
      <c r="C20404" s="5" t="str">
        <f>IFERROR(__xludf.DUMMYFUNCTION("GOOGLETRANSLATE(B20404,""en"",""it"")"),"Nel mezzo della sabbia, tuttavia, ci sono un gruppo di uomini che giocano una partita di pallavolo da spiaggia.")</f>
        <v>Nel mezzo della sabbia, tuttavia, ci sono un gruppo di uomini che giocano una partita di pallavolo da spiaggia.</v>
      </c>
    </row>
    <row r="20405">
      <c r="A20405" s="4" t="s">
        <v>25688</v>
      </c>
      <c r="B20405" s="6" t="s">
        <v>25691</v>
      </c>
      <c r="C20405" s="5" t="str">
        <f>IFERROR(__xludf.DUMMYFUNCTION("GOOGLETRANSLATE(B20405,""en"",""it"")"),"Dopo diversi colpi, un uomo decide di calciare la palla sulla rete e un altro uomo decolla dall'altra parte e lo affronta nella terra.")</f>
        <v>Dopo diversi colpi, un uomo decide di calciare la palla sulla rete e un altro uomo decolla dall'altra parte e lo affronta nella terra.</v>
      </c>
    </row>
    <row r="20406">
      <c r="A20406" s="4" t="s">
        <v>25692</v>
      </c>
      <c r="B20406" s="4" t="s">
        <v>25693</v>
      </c>
      <c r="C20406" s="5" t="str">
        <f>IFERROR(__xludf.DUMMYFUNCTION("GOOGLETRANSLATE(B20406,""en"",""it"")"),"Un allenatore dà istruzioni ai ragazzi in un campo da basket.")</f>
        <v>Un allenatore dà istruzioni ai ragazzi in un campo da basket.</v>
      </c>
    </row>
    <row r="20407">
      <c r="A20407" s="4" t="s">
        <v>25692</v>
      </c>
      <c r="B20407" s="4" t="s">
        <v>25694</v>
      </c>
      <c r="C20407" s="5" t="str">
        <f>IFERROR(__xludf.DUMMYFUNCTION("GOOGLETRANSLATE(B20407,""en"",""it"")"),"Quindi, due giovani dimostrano ai ragazzi come passare e sparare alla palla nel cestino.")</f>
        <v>Quindi, due giovani dimostrano ai ragazzi come passare e sparare alla palla nel cestino.</v>
      </c>
    </row>
    <row r="20408">
      <c r="A20408" s="4" t="s">
        <v>25692</v>
      </c>
      <c r="B20408" s="6" t="s">
        <v>25695</v>
      </c>
      <c r="C20408" s="5" t="str">
        <f>IFERROR(__xludf.DUMMYFUNCTION("GOOGLETRANSLATE(B20408,""en"",""it"")"),"Dopo, il giovane aiuta i ragazzi a lanciare la palla nel cestino, mentre a due corrono la palla per sparare in un cestino.")</f>
        <v>Dopo, il giovane aiuta i ragazzi a lanciare la palla nel cestino, mentre a due corrono la palla per sparare in un cestino.</v>
      </c>
    </row>
    <row r="20409">
      <c r="A20409" s="4" t="s">
        <v>25692</v>
      </c>
      <c r="B20409" s="6" t="s">
        <v>25696</v>
      </c>
      <c r="C20409" s="5" t="str">
        <f>IFERROR(__xludf.DUMMYFUNCTION("GOOGLETRANSLATE(B20409,""en"",""it"")"),"Quindi, i ragazzi praticano la difesa del basket che si alternano mentre corrono dall'altra parte del campo.")</f>
        <v>Quindi, i ragazzi praticano la difesa del basket che si alternano mentre corrono dall'altra parte del campo.</v>
      </c>
    </row>
    <row r="20410">
      <c r="A20410" s="4" t="s">
        <v>25697</v>
      </c>
      <c r="B20410" s="4" t="s">
        <v>25698</v>
      </c>
      <c r="C20410" s="5" t="str">
        <f>IFERROR(__xludf.DUMMYFUNCTION("GOOGLETRANSLATE(B20410,""en"",""it"")"),"Le vecchie clip sono mostrate da un uomo che disegna una foto e due bambini che guardano.")</f>
        <v>Le vecchie clip sono mostrate da un uomo che disegna una foto e due bambini che guardano.</v>
      </c>
    </row>
    <row r="20411">
      <c r="A20411" s="4" t="s">
        <v>25697</v>
      </c>
      <c r="B20411" s="6" t="s">
        <v>25699</v>
      </c>
      <c r="C20411" s="5" t="str">
        <f>IFERROR(__xludf.DUMMYFUNCTION("GOOGLETRANSLATE(B20411,""en"",""it"")"),"I bambini vengono quindi mostrati in diverse clip che eseguono immersioni da una tavola e camminano lungo i lati che risale alla cima.")</f>
        <v>I bambini vengono quindi mostrati in diverse clip che eseguono immersioni da una tavola e camminano lungo i lati che risale alla cima.</v>
      </c>
    </row>
    <row r="20412">
      <c r="A20412" s="4" t="s">
        <v>25700</v>
      </c>
      <c r="B20412" s="6" t="s">
        <v>25701</v>
      </c>
      <c r="C20412" s="5" t="str">
        <f>IFERROR(__xludf.DUMMYFUNCTION("GOOGLETRANSLATE(B20412,""en"",""it"")"),"Viene vista una persona che passa un basket intorno a un campo agli altri e finisce sparando a un cestino.")</f>
        <v>Viene vista una persona che passa un basket intorno a un campo agli altri e finisce sparando a un cestino.</v>
      </c>
    </row>
    <row r="20413">
      <c r="A20413" s="4" t="s">
        <v>25700</v>
      </c>
      <c r="B20413" s="6" t="s">
        <v>25702</v>
      </c>
      <c r="C20413" s="5" t="str">
        <f>IFERROR(__xludf.DUMMYFUNCTION("GOOGLETRANSLATE(B20413,""en"",""it"")"),"Il gruppo continua a passare la palla l'uno all'altro eseguendo esercitazioni mentre l'allenatore istruisce.")</f>
        <v>Il gruppo continua a passare la palla l'uno all'altro eseguendo esercitazioni mentre l'allenatore istruisce.</v>
      </c>
    </row>
    <row r="20414">
      <c r="A20414" s="4" t="s">
        <v>25703</v>
      </c>
      <c r="B20414" s="6" t="s">
        <v>25704</v>
      </c>
      <c r="C20414" s="5" t="str">
        <f>IFERROR(__xludf.DUMMYFUNCTION("GOOGLETRANSLATE(B20414,""en"",""it"")"),"Viene visto un uomo parlare alla telecamera e conduce a una clip di persone che cavalcano una collina innevata sui tubi.")</f>
        <v>Viene visto un uomo parlare alla telecamera e conduce a una clip di persone che cavalcano una collina innevata sui tubi.</v>
      </c>
    </row>
    <row r="20415">
      <c r="A20415" s="4" t="s">
        <v>25703</v>
      </c>
      <c r="B20415" s="4" t="s">
        <v>25705</v>
      </c>
      <c r="C20415" s="5" t="str">
        <f>IFERROR(__xludf.DUMMYFUNCTION("GOOGLETRANSLATE(B20415,""en"",""it"")"),"Più persone vengono viste cavalcare giù per la collina mentre si indicano.")</f>
        <v>Più persone vengono viste cavalcare giù per la collina mentre si indicano.</v>
      </c>
    </row>
    <row r="20416">
      <c r="A20416" s="4" t="s">
        <v>25703</v>
      </c>
      <c r="B20416" s="4" t="s">
        <v>25706</v>
      </c>
      <c r="C20416" s="5" t="str">
        <f>IFERROR(__xludf.DUMMYFUNCTION("GOOGLETRANSLATE(B20416,""en"",""it"")"),"Il gruppo continua a cavalcare giù per la collina mentre si ferma anche a parlare con la telecamera.")</f>
        <v>Il gruppo continua a cavalcare giù per la collina mentre si ferma anche a parlare con la telecamera.</v>
      </c>
    </row>
    <row r="20417">
      <c r="A20417" s="4" t="s">
        <v>25707</v>
      </c>
      <c r="B20417" s="4" t="s">
        <v>25708</v>
      </c>
      <c r="C20417" s="5" t="str">
        <f>IFERROR(__xludf.DUMMYFUNCTION("GOOGLETRANSLATE(B20417,""en"",""it"")"),"Diverse foto in bianco e nero vengono mostrate da persone che suonavano la batteria.")</f>
        <v>Diverse foto in bianco e nero vengono mostrate da persone che suonavano la batteria.</v>
      </c>
    </row>
    <row r="20418">
      <c r="A20418" s="4" t="s">
        <v>25707</v>
      </c>
      <c r="B20418" s="4" t="s">
        <v>25709</v>
      </c>
      <c r="C20418" s="5" t="str">
        <f>IFERROR(__xludf.DUMMYFUNCTION("GOOGLETRANSLATE(B20418,""en"",""it"")"),"Un gruppo di giocatori di batteria si raduna, giocando in una stanza.")</f>
        <v>Un gruppo di giocatori di batteria si raduna, giocando in una stanza.</v>
      </c>
    </row>
    <row r="20419">
      <c r="A20419" s="4" t="s">
        <v>25707</v>
      </c>
      <c r="B20419" s="4" t="s">
        <v>25710</v>
      </c>
      <c r="C20419" s="5" t="str">
        <f>IFERROR(__xludf.DUMMYFUNCTION("GOOGLETRANSLATE(B20419,""en"",""it"")"),"La loro riproduzione è intervallata da immagini di spartiti, quindi ritorna alla loro esibizione.")</f>
        <v>La loro riproduzione è intervallata da immagini di spartiti, quindi ritorna alla loro esibizione.</v>
      </c>
    </row>
    <row r="20420">
      <c r="A20420" s="4" t="s">
        <v>25711</v>
      </c>
      <c r="B20420" s="4" t="s">
        <v>25712</v>
      </c>
      <c r="C20420" s="5" t="str">
        <f>IFERROR(__xludf.DUMMYFUNCTION("GOOGLETRANSLATE(B20420,""en"",""it"")"),"Le ginnaste corrono e poi si sono fatte cartwheel e muovendo mentre attraversa la fine del tappeto.")</f>
        <v>Le ginnaste corrono e poi si sono fatte cartwheel e muovendo mentre attraversa la fine del tappeto.</v>
      </c>
    </row>
    <row r="20421">
      <c r="A20421" s="4" t="s">
        <v>25711</v>
      </c>
      <c r="B20421" s="4" t="s">
        <v>25713</v>
      </c>
      <c r="C20421" s="5" t="str">
        <f>IFERROR(__xludf.DUMMYFUNCTION("GOOGLETRANSLATE(B20421,""en"",""it"")"),"Il giocatore è saltato e il carrello alto.")</f>
        <v>Il giocatore è saltato e il carrello alto.</v>
      </c>
    </row>
    <row r="20422">
      <c r="A20422" s="4" t="s">
        <v>25711</v>
      </c>
      <c r="B20422" s="4" t="s">
        <v>25714</v>
      </c>
      <c r="C20422" s="5" t="str">
        <f>IFERROR(__xludf.DUMMYFUNCTION("GOOGLETRANSLATE(B20422,""en"",""it"")"),"La ginnasta maschile ruota in aria e poi atterrò alla fine del tappeto.")</f>
        <v>La ginnasta maschile ruota in aria e poi atterrò alla fine del tappeto.</v>
      </c>
    </row>
    <row r="20423">
      <c r="A20423" s="4" t="s">
        <v>25715</v>
      </c>
      <c r="B20423" s="4" t="s">
        <v>25716</v>
      </c>
      <c r="C20423" s="5" t="str">
        <f>IFERROR(__xludf.DUMMYFUNCTION("GOOGLETRANSLATE(B20423,""en"",""it"")"),"Vengono mostrati diversi colpi di foreste che conducono a una persona che si prepara e cavalca in un kayak.")</f>
        <v>Vengono mostrati diversi colpi di foreste che conducono a una persona che si prepara e cavalca in un kayak.</v>
      </c>
    </row>
    <row r="20424">
      <c r="A20424" s="4" t="s">
        <v>25715</v>
      </c>
      <c r="B20424" s="6" t="s">
        <v>25717</v>
      </c>
      <c r="C20424" s="5" t="str">
        <f>IFERROR(__xludf.DUMMYFUNCTION("GOOGLETRANSLATE(B20424,""en"",""it"")"),"La persona si rema lungo il fiume ruvido e mostrano altre persone che cavalcano.")</f>
        <v>La persona si rema lungo il fiume ruvido e mostrano altre persone che cavalcano.</v>
      </c>
    </row>
    <row r="20425">
      <c r="A20425" s="4" t="s">
        <v>25715</v>
      </c>
      <c r="B20425" s="4" t="s">
        <v>25718</v>
      </c>
      <c r="C20425" s="5" t="str">
        <f>IFERROR(__xludf.DUMMYFUNCTION("GOOGLETRANSLATE(B20425,""en"",""it"")"),"Si spostano vicino alle acque ruvide lungo il fiume e finiscono sedendosi l'uno all'altro.")</f>
        <v>Si spostano vicino alle acque ruvide lungo il fiume e finiscono sedendosi l'uno all'altro.</v>
      </c>
    </row>
    <row r="20426">
      <c r="A20426" s="4" t="s">
        <v>25719</v>
      </c>
      <c r="B20426" s="4" t="s">
        <v>25720</v>
      </c>
      <c r="C20426" s="5" t="str">
        <f>IFERROR(__xludf.DUMMYFUNCTION("GOOGLETRANSLATE(B20426,""en"",""it"")"),"Una donna è vista all'interno di un bagno.")</f>
        <v>Una donna è vista all'interno di un bagno.</v>
      </c>
    </row>
    <row r="20427">
      <c r="A20427" s="4" t="s">
        <v>25719</v>
      </c>
      <c r="B20427" s="4" t="s">
        <v>25721</v>
      </c>
      <c r="C20427" s="5" t="str">
        <f>IFERROR(__xludf.DUMMYFUNCTION("GOOGLETRANSLATE(B20427,""en"",""it"")"),"Sta usando un essiccatore per asciugare i capelli.")</f>
        <v>Sta usando un essiccatore per asciugare i capelli.</v>
      </c>
    </row>
    <row r="20428">
      <c r="A20428" s="4" t="s">
        <v>25719</v>
      </c>
      <c r="B20428" s="4" t="s">
        <v>25722</v>
      </c>
      <c r="C20428" s="5" t="str">
        <f>IFERROR(__xludf.DUMMYFUNCTION("GOOGLETRANSLATE(B20428,""en"",""it"")"),"Occasionalmente usa un pennello per accelerare il processo.")</f>
        <v>Occasionalmente usa un pennello per accelerare il processo.</v>
      </c>
    </row>
    <row r="20429">
      <c r="A20429" s="4" t="s">
        <v>25723</v>
      </c>
      <c r="B20429" s="6" t="s">
        <v>25724</v>
      </c>
      <c r="C20429" s="5" t="str">
        <f>IFERROR(__xludf.DUMMYFUNCTION("GOOGLETRANSLATE(B20429,""en"",""it"")"),"Un piccolo gruppo di persone viene visto giocare una partita di pallavolo mentre le persone guardano in disparte.")</f>
        <v>Un piccolo gruppo di persone viene visto giocare una partita di pallavolo mentre le persone guardano in disparte.</v>
      </c>
    </row>
    <row r="20430">
      <c r="A20430" s="4" t="s">
        <v>25723</v>
      </c>
      <c r="B20430" s="4" t="s">
        <v>25725</v>
      </c>
      <c r="C20430" s="5" t="str">
        <f>IFERROR(__xludf.DUMMYFUNCTION("GOOGLETRANSLATE(B20430,""en"",""it"")"),"I giocatori colpiscono la palla più volte sopra la rete e inseguono la palla.")</f>
        <v>I giocatori colpiscono la palla più volte sopra la rete e inseguono la palla.</v>
      </c>
    </row>
    <row r="20431">
      <c r="A20431" s="4" t="s">
        <v>25723</v>
      </c>
      <c r="B20431" s="4" t="s">
        <v>25726</v>
      </c>
      <c r="C20431" s="5" t="str">
        <f>IFERROR(__xludf.DUMMYFUNCTION("GOOGLETRANSLATE(B20431,""en"",""it"")"),"Continuano a giocare mentre altri tirano e si alzano a vicenda.")</f>
        <v>Continuano a giocare mentre altri tirano e si alzano a vicenda.</v>
      </c>
    </row>
    <row r="20432">
      <c r="A20432" s="4" t="s">
        <v>25727</v>
      </c>
      <c r="B20432" s="4" t="s">
        <v>25728</v>
      </c>
      <c r="C20432" s="5" t="str">
        <f>IFERROR(__xludf.DUMMYFUNCTION("GOOGLETRANSLATE(B20432,""en"",""it"")"),"Un uomo in un cappello duro cammina attraverso un cortile verso una struttura metallica.")</f>
        <v>Un uomo in un cappello duro cammina attraverso un cortile verso una struttura metallica.</v>
      </c>
    </row>
    <row r="20433">
      <c r="A20433" s="4" t="s">
        <v>25727</v>
      </c>
      <c r="B20433" s="6" t="s">
        <v>25729</v>
      </c>
      <c r="C20433" s="5" t="str">
        <f>IFERROR(__xludf.DUMMYFUNCTION("GOOGLETRANSLATE(B20433,""en"",""it"")"),"Regola una scala e la si sporge contro la struttura, torna indietro per guardare e la regola un altro paio di volte.")</f>
        <v>Regola una scala e la si sporge contro la struttura, torna indietro per guardare e la regola un altro paio di volte.</v>
      </c>
    </row>
    <row r="20434">
      <c r="A20434" s="4" t="s">
        <v>25727</v>
      </c>
      <c r="B20434" s="4" t="s">
        <v>25730</v>
      </c>
      <c r="C20434" s="5" t="str">
        <f>IFERROR(__xludf.DUMMYFUNCTION("GOOGLETRANSLATE(B20434,""en"",""it"")"),"Se soddisfatto, stringe un cinturino e afferra una seconda scala.")</f>
        <v>Se soddisfatto, stringe un cinturino e afferra una seconda scala.</v>
      </c>
    </row>
    <row r="20435">
      <c r="A20435" s="4" t="s">
        <v>25727</v>
      </c>
      <c r="B20435" s="4" t="s">
        <v>25731</v>
      </c>
      <c r="C20435" s="5" t="str">
        <f>IFERROR(__xludf.DUMMYFUNCTION("GOOGLETRANSLATE(B20435,""en"",""it"")"),"Si arrampica, portando questo con lui.")</f>
        <v>Si arrampica, portando questo con lui.</v>
      </c>
    </row>
    <row r="20436">
      <c r="A20436" s="4" t="s">
        <v>25732</v>
      </c>
      <c r="B20436" s="4" t="s">
        <v>25733</v>
      </c>
      <c r="C20436" s="5" t="str">
        <f>IFERROR(__xludf.DUMMYFUNCTION("GOOGLETRANSLATE(B20436,""en"",""it"")"),"BMX in attesa al cancello che il cancello scenda e l'inizio della gara.")</f>
        <v>BMX in attesa al cancello che il cancello scenda e l'inizio della gara.</v>
      </c>
    </row>
    <row r="20437">
      <c r="A20437" s="4" t="s">
        <v>25732</v>
      </c>
      <c r="B20437" s="4" t="s">
        <v>25734</v>
      </c>
      <c r="C20437" s="5" t="str">
        <f>IFERROR(__xludf.DUMMYFUNCTION("GOOGLETRANSLATE(B20437,""en"",""it"")"),"Decollano in pista che passano molto velocemente attraverso esso molto velocemente.")</f>
        <v>Decollano in pista che passano molto velocemente attraverso esso molto velocemente.</v>
      </c>
    </row>
    <row r="20438">
      <c r="A20438" s="4" t="s">
        <v>25732</v>
      </c>
      <c r="B20438" s="6" t="s">
        <v>25735</v>
      </c>
      <c r="C20438" s="5" t="str">
        <f>IFERROR(__xludf.DUMMYFUNCTION("GOOGLETRANSLATE(B20438,""en"",""it"")"),"La Florida ha diverse sedi per BMXing se ti piace farlo e non sai dove andare, hanno 1500 ciclisti autorizzati e 30 squadre sponsorizzate.")</f>
        <v>La Florida ha diverse sedi per BMXing se ti piace farlo e non sai dove andare, hanno 1500 ciclisti autorizzati e 30 squadre sponsorizzate.</v>
      </c>
    </row>
    <row r="20439">
      <c r="A20439" s="4" t="s">
        <v>25732</v>
      </c>
      <c r="B20439" s="4" t="s">
        <v>25736</v>
      </c>
      <c r="C20439" s="5" t="str">
        <f>IFERROR(__xludf.DUMMYFUNCTION("GOOGLETRANSLATE(B20439,""en"",""it"")"),"Hanno anche delle biciclette per i mini ciclisti che vogliono essere come quelli del loro padre.")</f>
        <v>Hanno anche delle biciclette per i mini ciclisti che vogliono essere come quelli del loro padre.</v>
      </c>
    </row>
    <row r="20440">
      <c r="A20440" s="4" t="s">
        <v>25737</v>
      </c>
      <c r="B20440" s="4" t="s">
        <v>25738</v>
      </c>
      <c r="C20440" s="5" t="str">
        <f>IFERROR(__xludf.DUMMYFUNCTION("GOOGLETRANSLATE(B20440,""en"",""it"")"),"Si vedono diverse tonalità di bottiglie di smalto per unghie.")</f>
        <v>Si vedono diverse tonalità di bottiglie di smalto per unghie.</v>
      </c>
    </row>
    <row r="20441">
      <c r="A20441" s="4" t="s">
        <v>25737</v>
      </c>
      <c r="B20441" s="4" t="s">
        <v>25739</v>
      </c>
      <c r="C20441" s="5" t="str">
        <f>IFERROR(__xludf.DUMMYFUNCTION("GOOGLETRANSLATE(B20441,""en"",""it"")"),"Pezzi di cono sono avvolti attorno alle punte delle dita attorno alle unghie.")</f>
        <v>Pezzi di cono sono avvolti attorno alle punte delle dita attorno alle unghie.</v>
      </c>
    </row>
    <row r="20442">
      <c r="A20442" s="4" t="s">
        <v>25737</v>
      </c>
      <c r="B20442" s="4" t="s">
        <v>25740</v>
      </c>
      <c r="C20442" s="5" t="str">
        <f>IFERROR(__xludf.DUMMYFUNCTION("GOOGLETRANSLATE(B20442,""en"",""it"")"),"Diverse tonalità di smalto per unghie vengono applicate a un cuscinetto in schiuma, quindi tamponati sui chiodi del dito.")</f>
        <v>Diverse tonalità di smalto per unghie vengono applicate a un cuscinetto in schiuma, quindi tamponati sui chiodi del dito.</v>
      </c>
    </row>
    <row r="20443">
      <c r="A20443" s="4" t="s">
        <v>25737</v>
      </c>
      <c r="B20443" s="4" t="s">
        <v>25741</v>
      </c>
      <c r="C20443" s="5" t="str">
        <f>IFERROR(__xludf.DUMMYFUNCTION("GOOGLETRANSLATE(B20443,""en"",""it"")"),"Un rivestimento trasparente è applicato sulle unghie.")</f>
        <v>Un rivestimento trasparente è applicato sulle unghie.</v>
      </c>
    </row>
    <row r="20444">
      <c r="A20444" s="4" t="s">
        <v>25737</v>
      </c>
      <c r="B20444" s="4" t="s">
        <v>25742</v>
      </c>
      <c r="C20444" s="5" t="str">
        <f>IFERROR(__xludf.DUMMYFUNCTION("GOOGLETRANSLATE(B20444,""en"",""it"")"),"Il nastro viene rimosso e i bordi vengono puliti con soluzione di rimodellamento dello smalto.")</f>
        <v>Il nastro viene rimosso e i bordi vengono puliti con soluzione di rimodellamento dello smalto.</v>
      </c>
    </row>
    <row r="20445">
      <c r="A20445" s="4" t="s">
        <v>25743</v>
      </c>
      <c r="B20445" s="4" t="s">
        <v>25744</v>
      </c>
      <c r="C20445" s="5" t="str">
        <f>IFERROR(__xludf.DUMMYFUNCTION("GOOGLETRANSLATE(B20445,""en"",""it"")"),"Una donna è seduta in un'auto a piedi nudi, cercando di guidare.")</f>
        <v>Una donna è seduta in un'auto a piedi nudi, cercando di guidare.</v>
      </c>
    </row>
    <row r="20446">
      <c r="A20446" s="4" t="s">
        <v>25743</v>
      </c>
      <c r="B20446" s="4" t="s">
        <v>25745</v>
      </c>
      <c r="C20446" s="5" t="str">
        <f>IFERROR(__xludf.DUMMYFUNCTION("GOOGLETRANSLATE(B20446,""en"",""it"")"),"Accende una sigaretta mentre guida.")</f>
        <v>Accende una sigaretta mentre guida.</v>
      </c>
    </row>
    <row r="20447">
      <c r="A20447" s="4" t="s">
        <v>25746</v>
      </c>
      <c r="B20447" s="6" t="s">
        <v>25747</v>
      </c>
      <c r="C20447" s="5" t="str">
        <f>IFERROR(__xludf.DUMMYFUNCTION("GOOGLETRANSLATE(B20447,""en"",""it"")"),"Un uomo con camicia gialla e collant neri, camminava verso la bici, si piega e svitato la vite.")</f>
        <v>Un uomo con camicia gialla e collant neri, camminava verso la bici, si piega e svitato la vite.</v>
      </c>
    </row>
    <row r="20448">
      <c r="A20448" s="4" t="s">
        <v>25746</v>
      </c>
      <c r="B20448" s="6" t="s">
        <v>25748</v>
      </c>
      <c r="C20448" s="5" t="str">
        <f>IFERROR(__xludf.DUMMYFUNCTION("GOOGLETRANSLATE(B20448,""en"",""it"")"),"L'uomo con camicia gialla tirò fuori i suoi strumenti dalla tasca, tolse la ruota della bici dalla bici, tirando fuori uno strumento giallo, inserirlo tra la gomma e il metallo, rimosse la gomma all'interno dello pneumatico, cercò di trovare il foro, Pres"&amp;"e un panno quadrato, asciugò lo pneumatico, quindi mise l'adesivo, pompò la gomma e lo rimetteva nel pneumatico.")</f>
        <v>L'uomo con camicia gialla tirò fuori i suoi strumenti dalla tasca, tolse la ruota della bici dalla bici, tirando fuori uno strumento giallo, inserirlo tra la gomma e il metallo, rimosse la gomma all'interno dello pneumatico, cercò di trovare il foro, Prese un panno quadrato, asciugò lo pneumatico, quindi mise l'adesivo, pompò la gomma e lo rimetteva nel pneumatico.</v>
      </c>
    </row>
    <row r="20449">
      <c r="A20449" s="4" t="s">
        <v>25746</v>
      </c>
      <c r="B20449" s="4" t="s">
        <v>25749</v>
      </c>
      <c r="C20449" s="5" t="str">
        <f>IFERROR(__xludf.DUMMYFUNCTION("GOOGLETRANSLATE(B20449,""en"",""it"")"),"La persona avvita la ruota di nuovo sulla bici.")</f>
        <v>La persona avvita la ruota di nuovo sulla bici.</v>
      </c>
    </row>
    <row r="20450">
      <c r="A20450" s="4" t="s">
        <v>25750</v>
      </c>
      <c r="B20450" s="4" t="s">
        <v>25751</v>
      </c>
      <c r="C20450" s="5" t="str">
        <f>IFERROR(__xludf.DUMMYFUNCTION("GOOGLETRANSLATE(B20450,""en"",""it"")"),"Una persona tiene gli occhi aperti.")</f>
        <v>Una persona tiene gli occhi aperti.</v>
      </c>
    </row>
    <row r="20451">
      <c r="A20451" s="4" t="s">
        <v>25750</v>
      </c>
      <c r="B20451" s="4" t="s">
        <v>25752</v>
      </c>
      <c r="C20451" s="5" t="str">
        <f>IFERROR(__xludf.DUMMYFUNCTION("GOOGLETRANSLATE(B20451,""en"",""it"")"),"Hanno messo una lente a contatto negli occhi.")</f>
        <v>Hanno messo una lente a contatto negli occhi.</v>
      </c>
    </row>
    <row r="20452">
      <c r="A20452" s="4" t="s">
        <v>25750</v>
      </c>
      <c r="B20452" s="4" t="s">
        <v>25753</v>
      </c>
      <c r="C20452" s="5" t="str">
        <f>IFERROR(__xludf.DUMMYFUNCTION("GOOGLETRANSLATE(B20452,""en"",""it"")"),"Quindi prendono le lenti a contatto dai loro occhi.")</f>
        <v>Quindi prendono le lenti a contatto dai loro occhi.</v>
      </c>
    </row>
    <row r="20453">
      <c r="A20453" s="4" t="s">
        <v>25754</v>
      </c>
      <c r="B20453" s="4" t="s">
        <v>25755</v>
      </c>
      <c r="C20453" s="5" t="str">
        <f>IFERROR(__xludf.DUMMYFUNCTION("GOOGLETRANSLATE(B20453,""en"",""it"")"),"Un bambino piccolo è visto seduto su un allenatore aprendo un regalo.")</f>
        <v>Un bambino piccolo è visto seduto su un allenatore aprendo un regalo.</v>
      </c>
    </row>
    <row r="20454">
      <c r="A20454" s="4" t="s">
        <v>25754</v>
      </c>
      <c r="B20454" s="4" t="s">
        <v>25756</v>
      </c>
      <c r="C20454" s="5" t="str">
        <f>IFERROR(__xludf.DUMMYFUNCTION("GOOGLETRANSLATE(B20454,""en"",""it"")"),"La telecamera si muove intorno a lei mentre apre il presente e sorride alla telecamera.")</f>
        <v>La telecamera si muove intorno a lei mentre apre il presente e sorride alla telecamera.</v>
      </c>
    </row>
    <row r="20455">
      <c r="A20455" s="4" t="s">
        <v>25754</v>
      </c>
      <c r="B20455" s="4" t="s">
        <v>25757</v>
      </c>
      <c r="C20455" s="5" t="str">
        <f>IFERROR(__xludf.DUMMYFUNCTION("GOOGLETRANSLATE(B20455,""en"",""it"")"),"Continua a provare ad aprire la scatola mentre guarda e sorride.")</f>
        <v>Continua a provare ad aprire la scatola mentre guarda e sorride.</v>
      </c>
    </row>
    <row r="20456">
      <c r="A20456" s="4" t="s">
        <v>25758</v>
      </c>
      <c r="B20456" s="4" t="s">
        <v>25759</v>
      </c>
      <c r="C20456" s="5" t="str">
        <f>IFERROR(__xludf.DUMMYFUNCTION("GOOGLETRANSLATE(B20456,""en"",""it"")"),"Una donna e un uomo che indossano dance a colori verdi abbinati sul palco durante un'esibizione.")</f>
        <v>Una donna e un uomo che indossano dance a colori verdi abbinati sul palco durante un'esibizione.</v>
      </c>
    </row>
    <row r="20457">
      <c r="A20457" s="4" t="s">
        <v>25758</v>
      </c>
      <c r="B20457" s="4" t="s">
        <v>25760</v>
      </c>
      <c r="C20457" s="5" t="str">
        <f>IFERROR(__xludf.DUMMYFUNCTION("GOOGLETRANSLATE(B20457,""en"",""it"")"),"L'uomo gira il suo partner durante la danza.")</f>
        <v>L'uomo gira il suo partner durante la danza.</v>
      </c>
    </row>
    <row r="20458">
      <c r="A20458" s="4" t="s">
        <v>25758</v>
      </c>
      <c r="B20458" s="4" t="s">
        <v>25761</v>
      </c>
      <c r="C20458" s="5" t="str">
        <f>IFERROR(__xludf.DUMMYFUNCTION("GOOGLETRANSLATE(B20458,""en"",""it"")"),"I ballerini si alzano i piedi lì mentre ballano.")</f>
        <v>I ballerini si alzano i piedi lì mentre ballano.</v>
      </c>
    </row>
    <row r="20459">
      <c r="A20459" s="4" t="s">
        <v>25762</v>
      </c>
      <c r="B20459" s="4" t="s">
        <v>25763</v>
      </c>
      <c r="C20459" s="5" t="str">
        <f>IFERROR(__xludf.DUMMYFUNCTION("GOOGLETRANSLATE(B20459,""en"",""it"")"),"Un ragazzo parla alla telecamera.")</f>
        <v>Un ragazzo parla alla telecamera.</v>
      </c>
    </row>
    <row r="20460">
      <c r="A20460" s="4" t="s">
        <v>25762</v>
      </c>
      <c r="B20460" s="4" t="s">
        <v>25764</v>
      </c>
      <c r="C20460" s="5" t="str">
        <f>IFERROR(__xludf.DUMMYFUNCTION("GOOGLETRANSLATE(B20460,""en"",""it"")"),"Il ragazzo strofina un lavello di metallo con una spazzola.")</f>
        <v>Il ragazzo strofina un lavello di metallo con una spazzola.</v>
      </c>
    </row>
    <row r="20461">
      <c r="A20461" s="4" t="s">
        <v>25762</v>
      </c>
      <c r="B20461" s="4" t="s">
        <v>25765</v>
      </c>
      <c r="C20461" s="5" t="str">
        <f>IFERROR(__xludf.DUMMYFUNCTION("GOOGLETRANSLATE(B20461,""en"",""it"")"),"Il ragazzo cambia la presa sul pennello.")</f>
        <v>Il ragazzo cambia la presa sul pennello.</v>
      </c>
    </row>
    <row r="20462">
      <c r="A20462" s="4" t="s">
        <v>25766</v>
      </c>
      <c r="B20462" s="4" t="s">
        <v>25767</v>
      </c>
      <c r="C20462" s="5" t="str">
        <f>IFERROR(__xludf.DUMMYFUNCTION("GOOGLETRANSLATE(B20462,""en"",""it"")"),"Tre persone siedono davanti all'oceano.")</f>
        <v>Tre persone siedono davanti all'oceano.</v>
      </c>
    </row>
    <row r="20463">
      <c r="A20463" s="4" t="s">
        <v>25766</v>
      </c>
      <c r="B20463" s="4" t="s">
        <v>25768</v>
      </c>
      <c r="C20463" s="5" t="str">
        <f>IFERROR(__xludf.DUMMYFUNCTION("GOOGLETRANSLATE(B20463,""en"",""it"")"),"Un uomo naviga su una piccola ondata, quindi vola in aria e atterra sulla riva.")</f>
        <v>Un uomo naviga su una piccola ondata, quindi vola in aria e atterra sulla riva.</v>
      </c>
    </row>
    <row r="20464">
      <c r="A20464" s="4" t="s">
        <v>25766</v>
      </c>
      <c r="B20464" s="4" t="s">
        <v>25769</v>
      </c>
      <c r="C20464" s="5" t="str">
        <f>IFERROR(__xludf.DUMMYFUNCTION("GOOGLETRANSLATE(B20464,""en"",""it"")"),"Una persona scatta foto al surfista.")</f>
        <v>Una persona scatta foto al surfista.</v>
      </c>
    </row>
    <row r="20465">
      <c r="A20465" s="4" t="s">
        <v>25766</v>
      </c>
      <c r="B20465" s="6" t="s">
        <v>25770</v>
      </c>
      <c r="C20465" s="5" t="str">
        <f>IFERROR(__xludf.DUMMYFUNCTION("GOOGLETRANSLATE(B20465,""en"",""it"")"),"L'uomo continua a navigare, girare e saltare, dopo aver preso la tavola da surf e cammina sulla spiaggia.")</f>
        <v>L'uomo continua a navigare, girare e saltare, dopo aver preso la tavola da surf e cammina sulla spiaggia.</v>
      </c>
    </row>
    <row r="20466">
      <c r="A20466" s="4" t="s">
        <v>25766</v>
      </c>
      <c r="B20466" s="4" t="s">
        <v>25771</v>
      </c>
      <c r="C20466" s="5" t="str">
        <f>IFERROR(__xludf.DUMMYFUNCTION("GOOGLETRANSLATE(B20466,""en"",""it"")"),"Un surfista si gira in un'onda.")</f>
        <v>Un surfista si gira in un'onda.</v>
      </c>
    </row>
    <row r="20467">
      <c r="A20467" s="4" t="s">
        <v>25772</v>
      </c>
      <c r="B20467" s="4" t="s">
        <v>25773</v>
      </c>
      <c r="C20467" s="5" t="str">
        <f>IFERROR(__xludf.DUMMYFUNCTION("GOOGLETRANSLATE(B20467,""en"",""it"")"),"Un surfista è in piedi nella corrente dell'oceano.")</f>
        <v>Un surfista è in piedi nella corrente dell'oceano.</v>
      </c>
    </row>
    <row r="20468">
      <c r="A20468" s="4" t="s">
        <v>25772</v>
      </c>
      <c r="B20468" s="4" t="s">
        <v>25774</v>
      </c>
      <c r="C20468" s="5" t="str">
        <f>IFERROR(__xludf.DUMMYFUNCTION("GOOGLETRANSLATE(B20468,""en"",""it"")"),"Un paio di altri surfisti si uniscono a lui mentre navigano nelle onde.")</f>
        <v>Un paio di altri surfisti si uniscono a lui mentre navigano nelle onde.</v>
      </c>
    </row>
    <row r="20469">
      <c r="A20469" s="4" t="s">
        <v>25772</v>
      </c>
      <c r="B20469" s="4" t="s">
        <v>25775</v>
      </c>
      <c r="C20469" s="5" t="str">
        <f>IFERROR(__xludf.DUMMYFUNCTION("GOOGLETRANSLATE(B20469,""en"",""it"")"),"Sostengono insieme le onde fino alla riva.")</f>
        <v>Sostengono insieme le onde fino alla riva.</v>
      </c>
    </row>
    <row r="20470">
      <c r="A20470" s="4" t="s">
        <v>25776</v>
      </c>
      <c r="B20470" s="4" t="s">
        <v>25777</v>
      </c>
      <c r="C20470" s="5" t="str">
        <f>IFERROR(__xludf.DUMMYFUNCTION("GOOGLETRANSLATE(B20470,""en"",""it"")"),"Un uomo viene visto seduto sul pavimento e saltare in posizione eretta.")</f>
        <v>Un uomo viene visto seduto sul pavimento e saltare in posizione eretta.</v>
      </c>
    </row>
    <row r="20471">
      <c r="A20471" s="4" t="s">
        <v>25776</v>
      </c>
      <c r="B20471" s="4" t="s">
        <v>25778</v>
      </c>
      <c r="C20471" s="5" t="str">
        <f>IFERROR(__xludf.DUMMYFUNCTION("GOOGLETRANSLATE(B20471,""en"",""it"")"),"Quindi torna in una posizione in ginocchio e salta di nuovo in piedi.")</f>
        <v>Quindi torna in una posizione in ginocchio e salta di nuovo in piedi.</v>
      </c>
    </row>
    <row r="20472">
      <c r="A20472" s="4" t="s">
        <v>25776</v>
      </c>
      <c r="B20472" s="4" t="s">
        <v>25779</v>
      </c>
      <c r="C20472" s="5" t="str">
        <f>IFERROR(__xludf.DUMMYFUNCTION("GOOGLETRANSLATE(B20472,""en"",""it"")"),"Lo stesso uomo lo fa altre due volte.")</f>
        <v>Lo stesso uomo lo fa altre due volte.</v>
      </c>
    </row>
    <row r="20473">
      <c r="A20473" s="4" t="s">
        <v>25780</v>
      </c>
      <c r="B20473" s="4" t="s">
        <v>25781</v>
      </c>
      <c r="C20473" s="5" t="str">
        <f>IFERROR(__xludf.DUMMYFUNCTION("GOOGLETRANSLATE(B20473,""en"",""it"")"),"Viene visualizzato uno schermo introduttivo nero e ha le parole super lavate nel mezzo.")</f>
        <v>Viene visualizzato uno schermo introduttivo nero e ha le parole super lavate nel mezzo.</v>
      </c>
    </row>
    <row r="20474">
      <c r="A20474" s="4" t="s">
        <v>25780</v>
      </c>
      <c r="B20474" s="6" t="s">
        <v>25782</v>
      </c>
      <c r="C20474" s="5" t="str">
        <f>IFERROR(__xludf.DUMMYFUNCTION("GOOGLETRANSLATE(B20474,""en"",""it"")"),"Un'auto rossa e un'auto dietro di essa sono in un autolavaggio ed entrambi vengono lavorati da due serie di persone in ogni auto.")</f>
        <v>Un'auto rossa e un'auto dietro di essa sono in un autolavaggio ed entrambi vengono lavorati da due serie di persone in ogni auto.</v>
      </c>
    </row>
    <row r="20475">
      <c r="A20475" s="4" t="s">
        <v>25780</v>
      </c>
      <c r="B20475" s="6" t="s">
        <v>25783</v>
      </c>
      <c r="C20475" s="5" t="str">
        <f>IFERROR(__xludf.DUMMYFUNCTION("GOOGLETRANSLATE(B20475,""en"",""it"")"),"Ora ci sono 3 auto visibili e gli stessi uomini stanno lavorando per lavare l'auto rossa mentre un altro uomo inizia a lavorare sulla terza auto che si trova sul lato dell'auto rossa e tutte le auto continuano a essere lavate.")</f>
        <v>Ora ci sono 3 auto visibili e gli stessi uomini stanno lavorando per lavare l'auto rossa mentre un altro uomo inizia a lavorare sulla terza auto che si trova sul lato dell'auto rossa e tutte le auto continuano a essere lavate.</v>
      </c>
    </row>
    <row r="20476">
      <c r="A20476" s="4" t="s">
        <v>25780</v>
      </c>
      <c r="B20476" s="4" t="s">
        <v>25784</v>
      </c>
      <c r="C20476" s="5" t="str">
        <f>IFERROR(__xludf.DUMMYFUNCTION("GOOGLETRANSLATE(B20476,""en"",""it"")"),"L'auto rossa è parcheggiata fuori dall'edificio ed è pulita, asciutta e molto lucida.")</f>
        <v>L'auto rossa è parcheggiata fuori dall'edificio ed è pulita, asciutta e molto lucida.</v>
      </c>
    </row>
    <row r="20477">
      <c r="A20477" s="4" t="s">
        <v>25785</v>
      </c>
      <c r="B20477" s="4" t="s">
        <v>25786</v>
      </c>
      <c r="C20477" s="5" t="str">
        <f>IFERROR(__xludf.DUMMYFUNCTION("GOOGLETRANSLATE(B20477,""en"",""it"")"),"Le persone guidano un'auto lungo una strada.")</f>
        <v>Le persone guidano un'auto lungo una strada.</v>
      </c>
    </row>
    <row r="20478">
      <c r="A20478" s="4" t="s">
        <v>25785</v>
      </c>
      <c r="B20478" s="4" t="s">
        <v>25787</v>
      </c>
      <c r="C20478" s="5" t="str">
        <f>IFERROR(__xludf.DUMMYFUNCTION("GOOGLETRANSLATE(B20478,""en"",""it"")"),"Stanno remando su una barca lungo un fiume.")</f>
        <v>Stanno remando su una barca lungo un fiume.</v>
      </c>
    </row>
    <row r="20479">
      <c r="A20479" s="4" t="s">
        <v>25785</v>
      </c>
      <c r="B20479" s="4" t="s">
        <v>25788</v>
      </c>
      <c r="C20479" s="5" t="str">
        <f>IFERROR(__xludf.DUMMYFUNCTION("GOOGLETRANSLATE(B20479,""en"",""it"")"),"Un uomo è in piedi in acqua con in mano un remo.")</f>
        <v>Un uomo è in piedi in acqua con in mano un remo.</v>
      </c>
    </row>
    <row r="20480">
      <c r="A20480" s="4" t="s">
        <v>25789</v>
      </c>
      <c r="B20480" s="6" t="s">
        <v>25790</v>
      </c>
      <c r="C20480" s="5" t="str">
        <f>IFERROR(__xludf.DUMMYFUNCTION("GOOGLETRANSLATE(B20480,""en"",""it"")"),"Uno chef nella divisa di uno chef bianco si trova in una cucina commerciale vuota e dimostra come fare una frittata.")</f>
        <v>Uno chef nella divisa di uno chef bianco si trova in una cucina commerciale vuota e dimostra come fare una frittata.</v>
      </c>
    </row>
    <row r="20481">
      <c r="A20481" s="4" t="s">
        <v>25789</v>
      </c>
      <c r="B20481" s="6" t="s">
        <v>25791</v>
      </c>
      <c r="C20481" s="5" t="str">
        <f>IFERROR(__xludf.DUMMYFUNCTION("GOOGLETRANSLATE(B20481,""en"",""it"")"),"Uno chef si trova in una cucina parla con la telecamera prima di prendere un uovo e versarlo in una mini padella nera.")</f>
        <v>Uno chef si trova in una cucina parla con la telecamera prima di prendere un uovo e versarlo in una mini padella nera.</v>
      </c>
    </row>
    <row r="20482">
      <c r="A20482" s="4" t="s">
        <v>25789</v>
      </c>
      <c r="B20482" s="4" t="s">
        <v>25792</v>
      </c>
      <c r="C20482" s="5" t="str">
        <f>IFERROR(__xludf.DUMMYFUNCTION("GOOGLETRANSLATE(B20482,""en"",""it"")"),"Lo chef manovra l'uovo sopra la stufa con una forchetta che lo spinge delicatamente.")</f>
        <v>Lo chef manovra l'uovo sopra la stufa con una forchetta che lo spinge delicatamente.</v>
      </c>
    </row>
    <row r="20483">
      <c r="A20483" s="4" t="s">
        <v>25789</v>
      </c>
      <c r="B20483" s="6" t="s">
        <v>25793</v>
      </c>
      <c r="C20483" s="5" t="str">
        <f>IFERROR(__xludf.DUMMYFUNCTION("GOOGLETRANSLATE(B20483,""en"",""it"")"),"Lo chef quindi piega l'uovo a metà nella padella e lo piazza su una piastra bianca prima di rivolgersi alla fotocamera e parlare di nuovo.")</f>
        <v>Lo chef quindi piega l'uovo a metà nella padella e lo piazza su una piastra bianca prima di rivolgersi alla fotocamera e parlare di nuovo.</v>
      </c>
    </row>
    <row r="20484">
      <c r="A20484" s="4" t="s">
        <v>25794</v>
      </c>
      <c r="B20484" s="4" t="s">
        <v>25795</v>
      </c>
      <c r="C20484" s="5" t="str">
        <f>IFERROR(__xludf.DUMMYFUNCTION("GOOGLETRANSLATE(B20484,""en"",""it"")"),"Due ragazze ballano e roteggiano di manganelli sul pavimento della palestra.")</f>
        <v>Due ragazze ballano e roteggiano di manganelli sul pavimento della palestra.</v>
      </c>
    </row>
    <row r="20485">
      <c r="A20485" s="4" t="s">
        <v>25794</v>
      </c>
      <c r="B20485" s="4" t="s">
        <v>25796</v>
      </c>
      <c r="C20485" s="5" t="str">
        <f>IFERROR(__xludf.DUMMYFUNCTION("GOOGLETRANSLATE(B20485,""en"",""it"")"),"Una delle ragazze se ne va e l'altra ragazza continua a ballare da sola.")</f>
        <v>Una delle ragazze se ne va e l'altra ragazza continua a ballare da sola.</v>
      </c>
    </row>
    <row r="20486">
      <c r="A20486" s="4" t="s">
        <v>25794</v>
      </c>
      <c r="B20486" s="4" t="s">
        <v>25797</v>
      </c>
      <c r="C20486" s="5" t="str">
        <f>IFERROR(__xludf.DUMMYFUNCTION("GOOGLETRANSLATE(B20486,""en"",""it"")"),"Comincia a lanciare i manganelli in aria.")</f>
        <v>Comincia a lanciare i manganelli in aria.</v>
      </c>
    </row>
    <row r="20487">
      <c r="A20487" s="4" t="s">
        <v>25794</v>
      </c>
      <c r="B20487" s="4" t="s">
        <v>25798</v>
      </c>
      <c r="C20487" s="5" t="str">
        <f>IFERROR(__xludf.DUMMYFUNCTION("GOOGLETRANSLATE(B20487,""en"",""it"")"),"La seconda ragazza si unisce di nuovo a lei e finiscono di ballare.")</f>
        <v>La seconda ragazza si unisce di nuovo a lei e finiscono di ballare.</v>
      </c>
    </row>
    <row r="20488">
      <c r="A20488" s="4" t="s">
        <v>25799</v>
      </c>
      <c r="B20488" s="4" t="s">
        <v>25800</v>
      </c>
      <c r="C20488" s="5" t="str">
        <f>IFERROR(__xludf.DUMMYFUNCTION("GOOGLETRANSLATE(B20488,""en"",""it"")"),"Vediamo bambini e bambini che giocano.")</f>
        <v>Vediamo bambini e bambini che giocano.</v>
      </c>
    </row>
    <row r="20489">
      <c r="A20489" s="4" t="s">
        <v>25799</v>
      </c>
      <c r="B20489" s="4" t="s">
        <v>25801</v>
      </c>
      <c r="C20489" s="5" t="str">
        <f>IFERROR(__xludf.DUMMYFUNCTION("GOOGLETRANSLATE(B20489,""en"",""it"")"),"I bambini camminano su semi in cerchio.")</f>
        <v>I bambini camminano su semi in cerchio.</v>
      </c>
    </row>
    <row r="20490">
      <c r="A20490" s="4" t="s">
        <v>25799</v>
      </c>
      <c r="B20490" s="4" t="s">
        <v>25802</v>
      </c>
      <c r="C20490" s="5" t="str">
        <f>IFERROR(__xludf.DUMMYFUNCTION("GOOGLETRANSLATE(B20490,""en"",""it"")"),"I bambini camminano in fila sulle loro trampoli.")</f>
        <v>I bambini camminano in fila sulle loro trampoli.</v>
      </c>
    </row>
    <row r="20491">
      <c r="A20491" s="4" t="s">
        <v>25799</v>
      </c>
      <c r="B20491" s="4" t="s">
        <v>25803</v>
      </c>
      <c r="C20491" s="5" t="str">
        <f>IFERROR(__xludf.DUMMYFUNCTION("GOOGLETRANSLATE(B20491,""en"",""it"")"),"Un uomo aiuta una ragazza a camminare sulle fessure.")</f>
        <v>Un uomo aiuta una ragazza a camminare sulle fessure.</v>
      </c>
    </row>
    <row r="20492">
      <c r="A20492" s="4" t="s">
        <v>25799</v>
      </c>
      <c r="B20492" s="4" t="s">
        <v>25804</v>
      </c>
      <c r="C20492" s="5" t="str">
        <f>IFERROR(__xludf.DUMMYFUNCTION("GOOGLETRANSLATE(B20492,""en"",""it"")"),"Un bambino su palafitte cade in ginocchio.")</f>
        <v>Un bambino su palafitte cade in ginocchio.</v>
      </c>
    </row>
    <row r="20493">
      <c r="A20493" s="4" t="s">
        <v>25799</v>
      </c>
      <c r="B20493" s="4" t="s">
        <v>25805</v>
      </c>
      <c r="C20493" s="5" t="str">
        <f>IFERROR(__xludf.DUMMYFUNCTION("GOOGLETRANSLATE(B20493,""en"",""it"")"),"I bambini camminano in cerchio sulle loro trampoli.")</f>
        <v>I bambini camminano in cerchio sulle loro trampoli.</v>
      </c>
    </row>
    <row r="20494">
      <c r="A20494" s="4" t="s">
        <v>25799</v>
      </c>
      <c r="B20494" s="4" t="s">
        <v>25806</v>
      </c>
      <c r="C20494" s="5" t="str">
        <f>IFERROR(__xludf.DUMMYFUNCTION("GOOGLETRANSLATE(B20494,""en"",""it"")"),"Vedo uno schermo di chiusura e svanirà in nero.")</f>
        <v>Vedo uno schermo di chiusura e svanirà in nero.</v>
      </c>
    </row>
    <row r="20495">
      <c r="A20495" s="4" t="s">
        <v>25807</v>
      </c>
      <c r="B20495" s="4" t="s">
        <v>25808</v>
      </c>
      <c r="C20495" s="5" t="str">
        <f>IFERROR(__xludf.DUMMYFUNCTION("GOOGLETRANSLATE(B20495,""en"",""it"")"),"Vediamo una partita di hockey indoor.")</f>
        <v>Vediamo una partita di hockey indoor.</v>
      </c>
    </row>
    <row r="20496">
      <c r="A20496" s="4" t="s">
        <v>25807</v>
      </c>
      <c r="B20496" s="4" t="s">
        <v>25809</v>
      </c>
      <c r="C20496" s="5" t="str">
        <f>IFERROR(__xludf.DUMMYFUNCTION("GOOGLETRANSLATE(B20496,""en"",""it"")"),"Il portiere blocca un colpo e una manciata di giocatori combattono sul disco.")</f>
        <v>Il portiere blocca un colpo e una manciata di giocatori combattono sul disco.</v>
      </c>
    </row>
    <row r="20497">
      <c r="A20497" s="4" t="s">
        <v>25807</v>
      </c>
      <c r="B20497" s="4" t="s">
        <v>25810</v>
      </c>
      <c r="C20497" s="5" t="str">
        <f>IFERROR(__xludf.DUMMYFUNCTION("GOOGLETRANSLATE(B20497,""en"",""it"")"),"Il disco colpisce l'arbitro e lo fa cadere.")</f>
        <v>Il disco colpisce l'arbitro e lo fa cadere.</v>
      </c>
    </row>
    <row r="20498">
      <c r="A20498" s="4" t="s">
        <v>25807</v>
      </c>
      <c r="B20498" s="4" t="s">
        <v>25811</v>
      </c>
      <c r="C20498" s="5" t="str">
        <f>IFERROR(__xludf.DUMMYFUNCTION("GOOGLETRANSLATE(B20498,""en"",""it"")"),"Il portiere blocca un tiro.")</f>
        <v>Il portiere blocca un tiro.</v>
      </c>
    </row>
    <row r="20499">
      <c r="A20499" s="4" t="s">
        <v>25812</v>
      </c>
      <c r="B20499" s="4" t="s">
        <v>25813</v>
      </c>
      <c r="C20499" s="5" t="str">
        <f>IFERROR(__xludf.DUMMYFUNCTION("GOOGLETRANSLATE(B20499,""en"",""it"")"),"Diversi bambini siedono lungo una piscina.")</f>
        <v>Diversi bambini siedono lungo una piscina.</v>
      </c>
    </row>
    <row r="20500">
      <c r="A20500" s="4" t="s">
        <v>25812</v>
      </c>
      <c r="B20500" s="4" t="s">
        <v>25814</v>
      </c>
      <c r="C20500" s="5" t="str">
        <f>IFERROR(__xludf.DUMMYFUNCTION("GOOGLETRANSLATE(B20500,""en"",""it"")"),"Indossano tutti pinne.")</f>
        <v>Indossano tutti pinne.</v>
      </c>
    </row>
    <row r="20501">
      <c r="A20501" s="4" t="s">
        <v>25812</v>
      </c>
      <c r="B20501" s="4" t="s">
        <v>25815</v>
      </c>
      <c r="C20501" s="5" t="str">
        <f>IFERROR(__xludf.DUMMYFUNCTION("GOOGLETRANSLATE(B20501,""en"",""it"")"),"Una ragazza è sott'acqua che indossa attrezzatura subacquea.")</f>
        <v>Una ragazza è sott'acqua che indossa attrezzatura subacquea.</v>
      </c>
    </row>
    <row r="20502">
      <c r="A20502" s="4" t="s">
        <v>25812</v>
      </c>
      <c r="B20502" s="4" t="s">
        <v>25816</v>
      </c>
      <c r="C20502" s="5" t="str">
        <f>IFERROR(__xludf.DUMMYFUNCTION("GOOGLETRANSLATE(B20502,""en"",""it"")"),"Diversi bambini si esercitano a indossare attrezzature subacquee.")</f>
        <v>Diversi bambini si esercitano a indossare attrezzature subacquee.</v>
      </c>
    </row>
    <row r="20503">
      <c r="A20503" s="4" t="s">
        <v>25817</v>
      </c>
      <c r="B20503" s="6" t="s">
        <v>25818</v>
      </c>
      <c r="C20503" s="5" t="str">
        <f>IFERROR(__xludf.DUMMYFUNCTION("GOOGLETRANSLATE(B20503,""en"",""it"")"),"Una donna in un ufficio tiene un paio di tagliatori di toelettatura mentre si trova accanto a un cane nero che si trova su un tavolo accanto a lei mentre era legato a un palo di metallo sul tavolo.")</f>
        <v>Una donna in un ufficio tiene un paio di tagliatori di toelettatura mentre si trova accanto a un cane nero che si trova su un tavolo accanto a lei mentre era legato a un palo di metallo sul tavolo.</v>
      </c>
    </row>
    <row r="20504">
      <c r="A20504" s="4" t="s">
        <v>25817</v>
      </c>
      <c r="B20504" s="4" t="s">
        <v>25819</v>
      </c>
      <c r="C20504" s="5" t="str">
        <f>IFERROR(__xludf.DUMMYFUNCTION("GOOGLETRANSLATE(B20504,""en"",""it"")"),"La donna inizia a governare i cani affrontati con i Clippers.")</f>
        <v>La donna inizia a governare i cani affrontati con i Clippers.</v>
      </c>
    </row>
    <row r="20505">
      <c r="A20505" s="4" t="s">
        <v>25817</v>
      </c>
      <c r="B20505" s="4" t="s">
        <v>25820</v>
      </c>
      <c r="C20505" s="5" t="str">
        <f>IFERROR(__xludf.DUMMYFUNCTION("GOOGLETRANSLATE(B20505,""en"",""it"")"),"La donna inizia quindi a governare sotto le gambe anteriori dei cani.")</f>
        <v>La donna inizia quindi a governare sotto le gambe anteriori dei cani.</v>
      </c>
    </row>
    <row r="20506">
      <c r="A20506" s="4" t="s">
        <v>25817</v>
      </c>
      <c r="B20506" s="6" t="s">
        <v>25821</v>
      </c>
      <c r="C20506" s="5" t="str">
        <f>IFERROR(__xludf.DUMMYFUNCTION("GOOGLETRANSLATE(B20506,""en"",""it"")"),"Infine, la donna si sposa le gambe e la coda dei cani prima che popola un cartello pubblicitario blu e bianco.")</f>
        <v>Infine, la donna si sposa le gambe e la coda dei cani prima che popola un cartello pubblicitario blu e bianco.</v>
      </c>
    </row>
    <row r="20507">
      <c r="A20507" s="4" t="s">
        <v>25822</v>
      </c>
      <c r="B20507" s="6" t="s">
        <v>25823</v>
      </c>
      <c r="C20507" s="5" t="str">
        <f>IFERROR(__xludf.DUMMYFUNCTION("GOOGLETRANSLATE(B20507,""en"",""it"")"),"Una ragazza sta legando una piega cieca attorno a un'altra mentre diversi bambini in look e un adulto tiene la ragazza in posizione.")</f>
        <v>Una ragazza sta legando una piega cieca attorno a un'altra mentre diversi bambini in look e un adulto tiene la ragazza in posizione.</v>
      </c>
    </row>
    <row r="20508">
      <c r="A20508" s="4" t="s">
        <v>25822</v>
      </c>
      <c r="B20508" s="4" t="s">
        <v>25824</v>
      </c>
      <c r="C20508" s="5" t="str">
        <f>IFERROR(__xludf.DUMMYFUNCTION("GOOGLETRANSLATE(B20508,""en"",""it"")"),"Alla ragazza viene quindi consegnata una mazza e tenta di aprire una pinata.")</f>
        <v>Alla ragazza viene quindi consegnata una mazza e tenta di aprire una pinata.</v>
      </c>
    </row>
    <row r="20509">
      <c r="A20509" s="4" t="s">
        <v>25822</v>
      </c>
      <c r="B20509" s="4" t="s">
        <v>25825</v>
      </c>
      <c r="C20509" s="5" t="str">
        <f>IFERROR(__xludf.DUMMYFUNCTION("GOOGLETRANSLATE(B20509,""en"",""it"")"),"La ragazza riesce a rompere la Pinata e i bambini si emozionano molto.")</f>
        <v>La ragazza riesce a rompere la Pinata e i bambini si emozionano molto.</v>
      </c>
    </row>
    <row r="20510">
      <c r="A20510" s="4" t="s">
        <v>25826</v>
      </c>
      <c r="B20510" s="4" t="s">
        <v>25827</v>
      </c>
      <c r="C20510" s="5" t="str">
        <f>IFERROR(__xludf.DUMMYFUNCTION("GOOGLETRANSLATE(B20510,""en"",""it"")"),"Una telecamera si panoramica in tutto il cielo e mostra un primo piano di un aquilone.")</f>
        <v>Una telecamera si panoramica in tutto il cielo e mostra un primo piano di un aquilone.</v>
      </c>
    </row>
    <row r="20511">
      <c r="A20511" s="4" t="s">
        <v>25826</v>
      </c>
      <c r="B20511" s="4" t="s">
        <v>25828</v>
      </c>
      <c r="C20511" s="5" t="str">
        <f>IFERROR(__xludf.DUMMYFUNCTION("GOOGLETRANSLATE(B20511,""en"",""it"")"),"Una persona è vista in piedi a terra e fa ritorno all'aquilone.")</f>
        <v>Una persona è vista in piedi a terra e fa ritorno all'aquilone.</v>
      </c>
    </row>
    <row r="20512">
      <c r="A20512" s="4" t="s">
        <v>25826</v>
      </c>
      <c r="B20512" s="4" t="s">
        <v>25829</v>
      </c>
      <c r="C20512" s="5" t="str">
        <f>IFERROR(__xludf.DUMMYFUNCTION("GOOGLETRANSLATE(B20512,""en"",""it"")"),"L'aquilone continua a muoversi in aria mentre una persona continua a pilotarlo.")</f>
        <v>L'aquilone continua a muoversi in aria mentre una persona continua a pilotarlo.</v>
      </c>
    </row>
    <row r="20513">
      <c r="A20513" s="4" t="s">
        <v>25830</v>
      </c>
      <c r="B20513" s="4" t="s">
        <v>25831</v>
      </c>
      <c r="C20513" s="5" t="str">
        <f>IFERROR(__xludf.DUMMYFUNCTION("GOOGLETRANSLATE(B20513,""en"",""it"")"),"Vediamo una gomma per biciclette e un uomo intervista i ciclisti di bici BMX.")</f>
        <v>Vediamo una gomma per biciclette e un uomo intervista i ciclisti di bici BMX.</v>
      </c>
    </row>
    <row r="20514">
      <c r="A20514" s="4" t="s">
        <v>25830</v>
      </c>
      <c r="B20514" s="4" t="s">
        <v>25832</v>
      </c>
      <c r="C20514" s="5" t="str">
        <f>IFERROR(__xludf.DUMMYFUNCTION("GOOGLETRANSLATE(B20514,""en"",""it"")"),"Vediamo i nomi e i paesi dei ciclisti.")</f>
        <v>Vediamo i nomi e i paesi dei ciclisti.</v>
      </c>
    </row>
    <row r="20515">
      <c r="A20515" s="4" t="s">
        <v>25830</v>
      </c>
      <c r="B20515" s="4" t="s">
        <v>25833</v>
      </c>
      <c r="C20515" s="5" t="str">
        <f>IFERROR(__xludf.DUMMYFUNCTION("GOOGLETRANSLATE(B20515,""en"",""it"")"),"Gli uomini aspettano, poi si tolgono cavalcando in pista.")</f>
        <v>Gli uomini aspettano, poi si tolgono cavalcando in pista.</v>
      </c>
    </row>
    <row r="20516">
      <c r="A20516" s="4" t="s">
        <v>25830</v>
      </c>
      <c r="B20516" s="4" t="s">
        <v>25834</v>
      </c>
      <c r="C20516" s="5" t="str">
        <f>IFERROR(__xludf.DUMMYFUNCTION("GOOGLETRANSLATE(B20516,""en"",""it"")"),"Un uomo cade dalla bici e la bici scivola.")</f>
        <v>Un uomo cade dalla bici e la bici scivola.</v>
      </c>
    </row>
    <row r="20517">
      <c r="A20517" s="4" t="s">
        <v>25830</v>
      </c>
      <c r="B20517" s="4" t="s">
        <v>25835</v>
      </c>
      <c r="C20517" s="5" t="str">
        <f>IFERROR(__xludf.DUMMYFUNCTION("GOOGLETRANSLATE(B20517,""en"",""it"")"),"Un altro uomo cade dalla sua bici ed è quasi investito.")</f>
        <v>Un altro uomo cade dalla sua bici ed è quasi investito.</v>
      </c>
    </row>
    <row r="20518">
      <c r="A20518" s="4" t="s">
        <v>25830</v>
      </c>
      <c r="B20518" s="4" t="s">
        <v>25836</v>
      </c>
      <c r="C20518" s="5" t="str">
        <f>IFERROR(__xludf.DUMMYFUNCTION("GOOGLETRANSLATE(B20518,""en"",""it"")"),"L'uomo intervista due uomini dopo la gara e lo schermo diventa verde.")</f>
        <v>L'uomo intervista due uomini dopo la gara e lo schermo diventa verde.</v>
      </c>
    </row>
    <row r="20519">
      <c r="A20519" s="4" t="s">
        <v>25837</v>
      </c>
      <c r="B20519" s="4" t="s">
        <v>25838</v>
      </c>
      <c r="C20519" s="5" t="str">
        <f>IFERROR(__xludf.DUMMYFUNCTION("GOOGLETRANSLATE(B20519,""en"",""it"")"),"Le persone si stanno allenando su biciclette in palestra.")</f>
        <v>Le persone si stanno allenando su biciclette in palestra.</v>
      </c>
    </row>
    <row r="20520">
      <c r="A20520" s="4" t="s">
        <v>25837</v>
      </c>
      <c r="B20520" s="4" t="s">
        <v>25839</v>
      </c>
      <c r="C20520" s="5" t="str">
        <f>IFERROR(__xludf.DUMMYFUNCTION("GOOGLETRANSLATE(B20520,""en"",""it"")"),"Una donna nella parte anteriore si alza e pedali sulla bici.")</f>
        <v>Una donna nella parte anteriore si alza e pedali sulla bici.</v>
      </c>
    </row>
    <row r="20521">
      <c r="A20521" s="4" t="s">
        <v>25837</v>
      </c>
      <c r="B20521" s="4" t="s">
        <v>25840</v>
      </c>
      <c r="C20521" s="5" t="str">
        <f>IFERROR(__xludf.DUMMYFUNCTION("GOOGLETRANSLATE(B20521,""en"",""it"")"),"Viene mostrato un banner sospeso sul muro.")</f>
        <v>Viene mostrato un banner sospeso sul muro.</v>
      </c>
    </row>
    <row r="20522">
      <c r="A20522" s="4" t="s">
        <v>25841</v>
      </c>
      <c r="B20522" s="4" t="s">
        <v>25842</v>
      </c>
      <c r="C20522" s="5" t="str">
        <f>IFERROR(__xludf.DUMMYFUNCTION("GOOGLETRANSLATE(B20522,""en"",""it"")"),"Un uomo in nero è seduto e suona in un piano mentre un uomo in rosso è in piedi vicino alla batteria.")</f>
        <v>Un uomo in nero è seduto e suona in un piano mentre un uomo in rosso è in piedi vicino alla batteria.</v>
      </c>
    </row>
    <row r="20523">
      <c r="A20523" s="4" t="s">
        <v>25841</v>
      </c>
      <c r="B20523" s="4" t="s">
        <v>25843</v>
      </c>
      <c r="C20523" s="5" t="str">
        <f>IFERROR(__xludf.DUMMYFUNCTION("GOOGLETRANSLATE(B20523,""en"",""it"")"),"Mentre l'uomo in nero gioca, l'uomo in rosso sta arrotolando un filo.")</f>
        <v>Mentre l'uomo in nero gioca, l'uomo in rosso sta arrotolando un filo.</v>
      </c>
    </row>
    <row r="20524">
      <c r="A20524" s="4" t="s">
        <v>25841</v>
      </c>
      <c r="B20524" s="4" t="s">
        <v>25844</v>
      </c>
      <c r="C20524" s="5" t="str">
        <f>IFERROR(__xludf.DUMMYFUNCTION("GOOGLETRANSLATE(B20524,""en"",""it"")"),"L'uomo in rosso inizia a bombardare la testa al ritmo della musica per pianoforte.")</f>
        <v>L'uomo in rosso inizia a bombardare la testa al ritmo della musica per pianoforte.</v>
      </c>
    </row>
    <row r="20525">
      <c r="A20525" s="4" t="s">
        <v>25841</v>
      </c>
      <c r="B20525" s="4" t="s">
        <v>25845</v>
      </c>
      <c r="C20525" s="5" t="str">
        <f>IFERROR(__xludf.DUMMYFUNCTION("GOOGLETRANSLATE(B20525,""en"",""it"")"),"L'uomo quindi posiziona il filo.")</f>
        <v>L'uomo quindi posiziona il filo.</v>
      </c>
    </row>
    <row r="20526">
      <c r="A20526" s="4" t="s">
        <v>25846</v>
      </c>
      <c r="B20526" s="4" t="s">
        <v>25847</v>
      </c>
      <c r="C20526" s="5" t="str">
        <f>IFERROR(__xludf.DUMMYFUNCTION("GOOGLETRANSLATE(B20526,""en"",""it"")"),"Viene vista una barca che cavalca lungo l'acqua con persone sedute sui lati e guardando.")</f>
        <v>Viene vista una barca che cavalca lungo l'acqua con persone sedute sui lati e guardando.</v>
      </c>
    </row>
    <row r="20527">
      <c r="A20527" s="4" t="s">
        <v>25846</v>
      </c>
      <c r="B20527" s="6" t="s">
        <v>25848</v>
      </c>
      <c r="C20527" s="5" t="str">
        <f>IFERROR(__xludf.DUMMYFUNCTION("GOOGLETRANSLATE(B20527,""en"",""it"")"),"Un ragazzo viene quindi visto nuotare sott'acqua che conduce a persone che cavalcano la barca e guidano per una città.")</f>
        <v>Un ragazzo viene quindi visto nuotare sott'acqua che conduce a persone che cavalcano la barca e guidano per una città.</v>
      </c>
    </row>
    <row r="20528">
      <c r="A20528" s="4" t="s">
        <v>25846</v>
      </c>
      <c r="B20528" s="4" t="s">
        <v>25849</v>
      </c>
      <c r="C20528" s="5" t="str">
        <f>IFERROR(__xludf.DUMMYFUNCTION("GOOGLETRANSLATE(B20528,""en"",""it"")"),"La telecamera continua a fare il giro della città e della vita notturna.")</f>
        <v>La telecamera continua a fare il giro della città e della vita notturna.</v>
      </c>
    </row>
    <row r="20529">
      <c r="A20529" s="4" t="s">
        <v>25850</v>
      </c>
      <c r="B20529" s="4" t="s">
        <v>25851</v>
      </c>
      <c r="C20529" s="5" t="str">
        <f>IFERROR(__xludf.DUMMYFUNCTION("GOOGLETRANSLATE(B20529,""en"",""it"")"),"La donna sta praticando salti in una squadra di cheerlading.")</f>
        <v>La donna sta praticando salti in una squadra di cheerlading.</v>
      </c>
    </row>
    <row r="20530">
      <c r="A20530" s="4" t="s">
        <v>25850</v>
      </c>
      <c r="B20530" s="4" t="s">
        <v>25852</v>
      </c>
      <c r="C20530" s="5" t="str">
        <f>IFERROR(__xludf.DUMMYFUNCTION("GOOGLETRANSLATE(B20530,""en"",""it"")"),"La donna si sdraia in un letto e un uomo la sta aiutando.")</f>
        <v>La donna si sdraia in un letto e un uomo la sta aiutando.</v>
      </c>
    </row>
    <row r="20531">
      <c r="A20531" s="4" t="s">
        <v>25853</v>
      </c>
      <c r="B20531" s="6" t="s">
        <v>25854</v>
      </c>
      <c r="C20531" s="5" t="str">
        <f>IFERROR(__xludf.DUMMYFUNCTION("GOOGLETRANSLATE(B20531,""en"",""it"")"),"Ci sono due persone vestite con camicie rosse e pantaloncini blu che giocano a ping pong in un grande stadio con molti spettatori che li guardano.")</f>
        <v>Ci sono due persone vestite con camicie rosse e pantaloncini blu che giocano a ping pong in un grande stadio con molti spettatori che li guardano.</v>
      </c>
    </row>
    <row r="20532">
      <c r="A20532" s="4" t="s">
        <v>25853</v>
      </c>
      <c r="B20532" s="4" t="s">
        <v>25855</v>
      </c>
      <c r="C20532" s="5" t="str">
        <f>IFERROR(__xludf.DUMMYFUNCTION("GOOGLETRANSLATE(B20532,""en"",""it"")"),"I giocatori giocano un lungo giro di ping pong mentre continuano a mantenere una grande manifestazione.")</f>
        <v>I giocatori giocano un lungo giro di ping pong mentre continuano a mantenere una grande manifestazione.</v>
      </c>
    </row>
    <row r="20533">
      <c r="A20533" s="4" t="s">
        <v>25853</v>
      </c>
      <c r="B20533" s="6" t="s">
        <v>25856</v>
      </c>
      <c r="C20533" s="5" t="str">
        <f>IFERROR(__xludf.DUMMYFUNCTION("GOOGLETRANSLATE(B20533,""en"",""it"")"),"Il giocatore sulle feccia destra la palla attraverso il tavolo da ping pong mentre restituisce la palla al suo avversario.")</f>
        <v>Il giocatore sulle feccia destra la palla attraverso il tavolo da ping pong mentre restituisce la palla al suo avversario.</v>
      </c>
    </row>
    <row r="20534">
      <c r="A20534" s="4" t="s">
        <v>25853</v>
      </c>
      <c r="B20534" s="4" t="s">
        <v>25857</v>
      </c>
      <c r="C20534" s="5" t="str">
        <f>IFERROR(__xludf.DUMMYFUNCTION("GOOGLETRANSLATE(B20534,""en"",""it"")"),"L'avversario riesce a restituire la palla senza perderla.")</f>
        <v>L'avversario riesce a restituire la palla senza perderla.</v>
      </c>
    </row>
    <row r="20535">
      <c r="A20535" s="4" t="s">
        <v>25853</v>
      </c>
      <c r="B20535" s="6" t="s">
        <v>25858</v>
      </c>
      <c r="C20535" s="5" t="str">
        <f>IFERROR(__xludf.DUMMYFUNCTION("GOOGLETRANSLATE(B20535,""en"",""it"")"),"Continuano a giocare una grande manifestazione mentre uno dei giocatori salta letteralmente sul tavolo da ping pong per restituire la palla.")</f>
        <v>Continuano a giocare una grande manifestazione mentre uno dei giocatori salta letteralmente sul tavolo da ping pong per restituire la palla.</v>
      </c>
    </row>
    <row r="20536">
      <c r="A20536" s="4" t="s">
        <v>25853</v>
      </c>
      <c r="B20536" s="4" t="s">
        <v>25859</v>
      </c>
      <c r="C20536" s="5" t="str">
        <f>IFERROR(__xludf.DUMMYFUNCTION("GOOGLETRANSLATE(B20536,""en"",""it"")"),"L'altro giocatore cade a terra cercando di colpire la palla al suo avversario.")</f>
        <v>L'altro giocatore cade a terra cercando di colpire la palla al suo avversario.</v>
      </c>
    </row>
    <row r="20537">
      <c r="A20537" s="4" t="s">
        <v>25860</v>
      </c>
      <c r="B20537" s="4" t="s">
        <v>25861</v>
      </c>
      <c r="C20537" s="5" t="str">
        <f>IFERROR(__xludf.DUMMYFUNCTION("GOOGLETRANSLATE(B20537,""en"",""it"")"),"Un uomo si trova su un tugopio nei boschi innevati.")</f>
        <v>Un uomo si trova su un tugopio nei boschi innevati.</v>
      </c>
    </row>
    <row r="20538">
      <c r="A20538" s="4" t="s">
        <v>25860</v>
      </c>
      <c r="B20538" s="4" t="s">
        <v>25862</v>
      </c>
      <c r="C20538" s="5" t="str">
        <f>IFERROR(__xludf.DUMMYFUNCTION("GOOGLETRANSLATE(B20538,""en"",""it"")"),"Rimbalza in aria, fuori dalla corda e torna.")</f>
        <v>Rimbalza in aria, fuori dalla corda e torna.</v>
      </c>
    </row>
    <row r="20539">
      <c r="A20539" s="4" t="s">
        <v>25860</v>
      </c>
      <c r="B20539" s="4" t="s">
        <v>25863</v>
      </c>
      <c r="C20539" s="5" t="str">
        <f>IFERROR(__xludf.DUMMYFUNCTION("GOOGLETRANSLATE(B20539,""en"",""it"")"),"Continua questa azione durante il video.")</f>
        <v>Continua questa azione durante il video.</v>
      </c>
    </row>
    <row r="20540">
      <c r="A20540" s="4" t="s">
        <v>25864</v>
      </c>
      <c r="B20540" s="4" t="s">
        <v>25865</v>
      </c>
      <c r="C20540" s="5" t="str">
        <f>IFERROR(__xludf.DUMMYFUNCTION("GOOGLETRANSLATE(B20540,""en"",""it"")"),"Un ragazzo adolescente corre sulla spiaggia.")</f>
        <v>Un ragazzo adolescente corre sulla spiaggia.</v>
      </c>
    </row>
    <row r="20541">
      <c r="A20541" s="4" t="s">
        <v>25864</v>
      </c>
      <c r="B20541" s="4" t="s">
        <v>25866</v>
      </c>
      <c r="C20541" s="5" t="str">
        <f>IFERROR(__xludf.DUMMYFUNCTION("GOOGLETRANSLATE(B20541,""en"",""it"")"),"Un cane lo sta inseguendo, cercando di catturare il suo frisbee.")</f>
        <v>Un cane lo sta inseguendo, cercando di catturare il suo frisbee.</v>
      </c>
    </row>
    <row r="20542">
      <c r="A20542" s="4" t="s">
        <v>25864</v>
      </c>
      <c r="B20542" s="4" t="s">
        <v>25867</v>
      </c>
      <c r="C20542" s="5" t="str">
        <f>IFERROR(__xludf.DUMMYFUNCTION("GOOGLETRANSLATE(B20542,""en"",""it"")"),"Lancia il frisbee e il cane salta in aria per catturarlo.")</f>
        <v>Lancia il frisbee e il cane salta in aria per catturarlo.</v>
      </c>
    </row>
    <row r="20543">
      <c r="A20543" s="4" t="s">
        <v>25868</v>
      </c>
      <c r="B20543" s="4" t="s">
        <v>25869</v>
      </c>
      <c r="C20543" s="5" t="str">
        <f>IFERROR(__xludf.DUMMYFUNCTION("GOOGLETRANSLATE(B20543,""en"",""it"")"),"Vediamo un uomo che conduce un'orchestra.")</f>
        <v>Vediamo un uomo che conduce un'orchestra.</v>
      </c>
    </row>
    <row r="20544">
      <c r="A20544" s="4" t="s">
        <v>25868</v>
      </c>
      <c r="B20544" s="4" t="s">
        <v>25870</v>
      </c>
      <c r="C20544" s="5" t="str">
        <f>IFERROR(__xludf.DUMMYFUNCTION("GOOGLETRANSLATE(B20544,""en"",""it"")"),"Vediamo una signora in un abito blu gioca di fronte agli altri giocatori.")</f>
        <v>Vediamo una signora in un abito blu gioca di fronte agli altri giocatori.</v>
      </c>
    </row>
    <row r="20545">
      <c r="A20545" s="4" t="s">
        <v>25868</v>
      </c>
      <c r="B20545" s="4" t="s">
        <v>25871</v>
      </c>
      <c r="C20545" s="5" t="str">
        <f>IFERROR(__xludf.DUMMYFUNCTION("GOOGLETRANSLATE(B20545,""en"",""it"")"),"Vediamo la signora da dietro e vediamo gli altri giocatori.")</f>
        <v>Vediamo la signora da dietro e vediamo gli altri giocatori.</v>
      </c>
    </row>
    <row r="20546">
      <c r="A20546" s="4" t="s">
        <v>25868</v>
      </c>
      <c r="B20546" s="4" t="s">
        <v>25872</v>
      </c>
      <c r="C20546" s="5" t="str">
        <f>IFERROR(__xludf.DUMMYFUNCTION("GOOGLETRANSLATE(B20546,""en"",""it"")"),"Vediamo un colpo dell'intera orchestra.")</f>
        <v>Vediamo un colpo dell'intera orchestra.</v>
      </c>
    </row>
    <row r="20547">
      <c r="A20547" s="4" t="s">
        <v>25868</v>
      </c>
      <c r="B20547" s="4" t="s">
        <v>25873</v>
      </c>
      <c r="C20547" s="5" t="str">
        <f>IFERROR(__xludf.DUMMYFUNCTION("GOOGLETRANSLATE(B20547,""en"",""it"")"),"Vediamo i giocatori del Basoon giocare.")</f>
        <v>Vediamo i giocatori del Basoon giocare.</v>
      </c>
    </row>
    <row r="20548">
      <c r="A20548" s="4" t="s">
        <v>25868</v>
      </c>
      <c r="B20548" s="4" t="s">
        <v>25874</v>
      </c>
      <c r="C20548" s="5" t="str">
        <f>IFERROR(__xludf.DUMMYFUNCTION("GOOGLETRANSLATE(B20548,""en"",""it"")"),"Svaniamo in nero e il video finisce.")</f>
        <v>Svaniamo in nero e il video finisce.</v>
      </c>
    </row>
    <row r="20549">
      <c r="A20549" s="4" t="s">
        <v>25875</v>
      </c>
      <c r="B20549" s="6" t="s">
        <v>25876</v>
      </c>
      <c r="C20549" s="5" t="str">
        <f>IFERROR(__xludf.DUMMYFUNCTION("GOOGLETRANSLATE(B20549,""en"",""it"")"),"Un'immagine di un cane mostrato in una vasca e conduce in mani con strumenti e un cane che vaga intorno a una vasca.")</f>
        <v>Un'immagine di un cane mostrato in una vasca e conduce in mani con strumenti e un cane che vaga intorno a una vasca.</v>
      </c>
    </row>
    <row r="20550">
      <c r="A20550" s="4" t="s">
        <v>25875</v>
      </c>
      <c r="B20550" s="4" t="s">
        <v>25877</v>
      </c>
      <c r="C20550" s="5" t="str">
        <f>IFERROR(__xludf.DUMMYFUNCTION("GOOGLETRANSLATE(B20550,""en"",""it"")"),"La persona mette il dentifricio su un pennello e spazzola indietro i denti del cane e quarto.")</f>
        <v>La persona mette il dentifricio su un pennello e spazzola indietro i denti del cane e quarto.</v>
      </c>
    </row>
    <row r="20551">
      <c r="A20551" s="4" t="s">
        <v>25875</v>
      </c>
      <c r="B20551" s="4" t="s">
        <v>25878</v>
      </c>
      <c r="C20551" s="5" t="str">
        <f>IFERROR(__xludf.DUMMYFUNCTION("GOOGLETRANSLATE(B20551,""en"",""it"")"),"Alla fine mette il gel nella bocca del cane e il cane viene visto seduto su un letto che saluta la telecamera.")</f>
        <v>Alla fine mette il gel nella bocca del cane e il cane viene visto seduto su un letto che saluta la telecamera.</v>
      </c>
    </row>
    <row r="20552">
      <c r="A20552" s="4" t="s">
        <v>25879</v>
      </c>
      <c r="B20552" s="6" t="s">
        <v>25880</v>
      </c>
      <c r="C20552" s="5" t="str">
        <f>IFERROR(__xludf.DUMMYFUNCTION("GOOGLETRANSLATE(B20552,""en"",""it"")"),"Due donne sono viste esibirsi su un palco con uno suonando un flauto e l'altra suonare il piano.")</f>
        <v>Due donne sono viste esibirsi su un palco con uno suonando un flauto e l'altra suonare il piano.</v>
      </c>
    </row>
    <row r="20553">
      <c r="A20553" s="4" t="s">
        <v>25879</v>
      </c>
      <c r="B20553" s="6" t="s">
        <v>25881</v>
      </c>
      <c r="C20553" s="5" t="str">
        <f>IFERROR(__xludf.DUMMYFUNCTION("GOOGLETRANSLATE(B20553,""en"",""it"")"),"Le donne suonano una canzone mentre la telecamera si ingrandisce sul giocatore di flauto e si inchinano e lasciano alla fine.")</f>
        <v>Le donne suonano una canzone mentre la telecamera si ingrandisce sul giocatore di flauto e si inchinano e lasciano alla fine.</v>
      </c>
    </row>
    <row r="20554">
      <c r="A20554" s="4" t="s">
        <v>25882</v>
      </c>
      <c r="B20554" s="6" t="s">
        <v>25883</v>
      </c>
      <c r="C20554" s="5" t="str">
        <f>IFERROR(__xludf.DUMMYFUNCTION("GOOGLETRANSLATE(B20554,""en"",""it"")"),"Un uomo pulisce una finestra usando uno spremuto morbido con detergente mentre spiega, quindi l'uomo prende un tergicristallo per pulire il detergente sulla finestra.")</f>
        <v>Un uomo pulisce una finestra usando uno spremuto morbido con detergente mentre spiega, quindi l'uomo prende un tergicristallo per pulire il detergente sulla finestra.</v>
      </c>
    </row>
    <row r="20555">
      <c r="A20555" s="4" t="s">
        <v>25882</v>
      </c>
      <c r="B20555" s="4" t="s">
        <v>25884</v>
      </c>
      <c r="C20555" s="5" t="str">
        <f>IFERROR(__xludf.DUMMYFUNCTION("GOOGLETRANSLATE(B20555,""en"",""it"")"),"Quindi, l'uomo applica più detergente con il morbido spremuto, quindi pulito con il ripido tergicristallo.")</f>
        <v>Quindi, l'uomo applica più detergente con il morbido spremuto, quindi pulito con il ripido tergicristallo.</v>
      </c>
    </row>
    <row r="20556">
      <c r="A20556" s="4" t="s">
        <v>25882</v>
      </c>
      <c r="B20556" s="6" t="s">
        <v>25885</v>
      </c>
      <c r="C20556" s="5" t="str">
        <f>IFERROR(__xludf.DUMMYFUNCTION("GOOGLETRANSLATE(B20556,""en"",""it"")"),"Dopo, l'uomo lavato di nuovo la finestra usando lo spremere morbido e la pulizia in acciaio mentre spiega la procedura.")</f>
        <v>Dopo, l'uomo lavato di nuovo la finestra usando lo spremere morbido e la pulizia in acciaio mentre spiega la procedura.</v>
      </c>
    </row>
    <row r="20557">
      <c r="A20557" s="4" t="s">
        <v>25886</v>
      </c>
      <c r="B20557" s="4" t="s">
        <v>25887</v>
      </c>
      <c r="C20557" s="5" t="str">
        <f>IFERROR(__xludf.DUMMYFUNCTION("GOOGLETRANSLATE(B20557,""en"",""it"")"),"I motociclisti sono in bicicletta sulla rampa, mentre sulla linea di partenza il gruppo di motociclisti è posizionato.")</f>
        <v>I motociclisti sono in bicicletta sulla rampa, mentre sulla linea di partenza il gruppo di motociclisti è posizionato.</v>
      </c>
    </row>
    <row r="20558">
      <c r="A20558" s="4" t="s">
        <v>25886</v>
      </c>
      <c r="B20558" s="4" t="s">
        <v>25888</v>
      </c>
      <c r="C20558" s="5" t="str">
        <f>IFERROR(__xludf.DUMMYFUNCTION("GOOGLETRANSLATE(B20558,""en"",""it"")"),"La piccola recinzione è stata abbattuta che i motociclisti sono andati in bicicletta per le grandi rampe.")</f>
        <v>La piccola recinzione è stata abbattuta che i motociclisti sono andati in bicicletta per le grandi rampe.</v>
      </c>
    </row>
    <row r="20559">
      <c r="A20559" s="4" t="s">
        <v>25886</v>
      </c>
      <c r="B20559" s="4" t="s">
        <v>25889</v>
      </c>
      <c r="C20559" s="5" t="str">
        <f>IFERROR(__xludf.DUMMYFUNCTION("GOOGLETRANSLATE(B20559,""en"",""it"")"),"Gli spettatori sono sul lato delle tracce.")</f>
        <v>Gli spettatori sono sul lato delle tracce.</v>
      </c>
    </row>
    <row r="20560">
      <c r="A20560" s="4" t="s">
        <v>25890</v>
      </c>
      <c r="B20560" s="4" t="s">
        <v>25891</v>
      </c>
      <c r="C20560" s="5" t="str">
        <f>IFERROR(__xludf.DUMMYFUNCTION("GOOGLETRANSLATE(B20560,""en"",""it"")"),"Un uomo tiene un ferro che passa sopra un dipinto.")</f>
        <v>Un uomo tiene un ferro che passa sopra un dipinto.</v>
      </c>
    </row>
    <row r="20561">
      <c r="A20561" s="4" t="s">
        <v>25890</v>
      </c>
      <c r="B20561" s="4" t="s">
        <v>25892</v>
      </c>
      <c r="C20561" s="5" t="str">
        <f>IFERROR(__xludf.DUMMYFUNCTION("GOOGLETRANSLATE(B20561,""en"",""it"")"),"Un uomo snowboard giù da una collina con in mano un bastone.")</f>
        <v>Un uomo snowboard giù da una collina con in mano un bastone.</v>
      </c>
    </row>
    <row r="20562">
      <c r="A20562" s="4" t="s">
        <v>25890</v>
      </c>
      <c r="B20562" s="4" t="s">
        <v>25893</v>
      </c>
      <c r="C20562" s="5" t="str">
        <f>IFERROR(__xludf.DUMMYFUNCTION("GOOGLETRANSLATE(B20562,""en"",""it"")"),"La neve che vola nell'aria atterra sulla faccia dell'uomo, quindi l'uomo continua lo snowboard.")</f>
        <v>La neve che vola nell'aria atterra sulla faccia dell'uomo, quindi l'uomo continua lo snowboard.</v>
      </c>
    </row>
    <row r="20563">
      <c r="A20563" s="4" t="s">
        <v>25890</v>
      </c>
      <c r="B20563" s="4" t="s">
        <v>25894</v>
      </c>
      <c r="C20563" s="5" t="str">
        <f>IFERROR(__xludf.DUMMYFUNCTION("GOOGLETRANSLATE(B20563,""en"",""it"")"),"Dopo, l'uomo arriva alla stazione di sci.")</f>
        <v>Dopo, l'uomo arriva alla stazione di sci.</v>
      </c>
    </row>
    <row r="20564">
      <c r="A20564" s="4" t="s">
        <v>25895</v>
      </c>
      <c r="B20564" s="4" t="s">
        <v>25896</v>
      </c>
      <c r="C20564" s="5" t="str">
        <f>IFERROR(__xludf.DUMMYFUNCTION("GOOGLETRANSLATE(B20564,""en"",""it"")"),"Un uomo viene visto piegarsi davanti a una serie pesante di pesi.")</f>
        <v>Un uomo viene visto piegarsi davanti a una serie pesante di pesi.</v>
      </c>
    </row>
    <row r="20565">
      <c r="A20565" s="4" t="s">
        <v>25895</v>
      </c>
      <c r="B20565" s="4" t="s">
        <v>25897</v>
      </c>
      <c r="C20565" s="5" t="str">
        <f>IFERROR(__xludf.DUMMYFUNCTION("GOOGLETRANSLATE(B20565,""en"",""it"")"),"L'uomo quindi si piega e solleva i pesi sopra la testa.")</f>
        <v>L'uomo quindi si piega e solleva i pesi sopra la testa.</v>
      </c>
    </row>
    <row r="20566">
      <c r="A20566" s="4" t="s">
        <v>25895</v>
      </c>
      <c r="B20566" s="4" t="s">
        <v>25898</v>
      </c>
      <c r="C20566" s="5" t="str">
        <f>IFERROR(__xludf.DUMMYFUNCTION("GOOGLETRANSLATE(B20566,""en"",""it"")"),"Continua a trattenere i pesi e li butta giù alla fine mentre si allontana.")</f>
        <v>Continua a trattenere i pesi e li butta giù alla fine mentre si allontana.</v>
      </c>
    </row>
    <row r="20567">
      <c r="A20567" s="4" t="s">
        <v>25899</v>
      </c>
      <c r="B20567" s="4" t="s">
        <v>25900</v>
      </c>
      <c r="C20567" s="5" t="str">
        <f>IFERROR(__xludf.DUMMYFUNCTION("GOOGLETRANSLATE(B20567,""en"",""it"")"),"Una donna si prepara per un tiro, lanciando le braccia su un campo sportivo.")</f>
        <v>Una donna si prepara per un tiro, lanciando le braccia su un campo sportivo.</v>
      </c>
    </row>
    <row r="20568">
      <c r="A20568" s="4" t="s">
        <v>25899</v>
      </c>
      <c r="B20568" s="4" t="s">
        <v>25901</v>
      </c>
      <c r="C20568" s="5" t="str">
        <f>IFERROR(__xludf.DUMMYFUNCTION("GOOGLETRANSLATE(B20568,""en"",""it"")"),"L'atleta si rivolge alle spalle di quanto gira il suo corpo lanciando un tiro messo.")</f>
        <v>L'atleta si rivolge alle spalle di quanto gira il suo corpo lanciando un tiro messo.</v>
      </c>
    </row>
    <row r="20569">
      <c r="A20569" s="4" t="s">
        <v>25902</v>
      </c>
      <c r="B20569" s="4" t="s">
        <v>25903</v>
      </c>
      <c r="C20569" s="5" t="str">
        <f>IFERROR(__xludf.DUMMYFUNCTION("GOOGLETRANSLATE(B20569,""en"",""it"")"),"Diversi giovani a bordo di una piccola barca alimentata in una giornata molto bella e soleggiata.")</f>
        <v>Diversi giovani a bordo di una piccola barca alimentata in una giornata molto bella e soleggiata.</v>
      </c>
    </row>
    <row r="20570">
      <c r="A20570" s="4" t="s">
        <v>25902</v>
      </c>
      <c r="B20570" s="4" t="s">
        <v>25904</v>
      </c>
      <c r="C20570" s="5" t="str">
        <f>IFERROR(__xludf.DUMMYFUNCTION("GOOGLETRANSLATE(B20570,""en"",""it"")"),"Terno lentamente la barca per andare a sci d'acqua.")</f>
        <v>Terno lentamente la barca per andare a sci d'acqua.</v>
      </c>
    </row>
    <row r="20571">
      <c r="A20571" s="4" t="s">
        <v>25902</v>
      </c>
      <c r="B20571" s="4" t="s">
        <v>25905</v>
      </c>
      <c r="C20571" s="5" t="str">
        <f>IFERROR(__xludf.DUMMYFUNCTION("GOOGLETRANSLATE(B20571,""en"",""it"")"),"La barca lascia il molo e sono spenti.")</f>
        <v>La barca lascia il molo e sono spenti.</v>
      </c>
    </row>
    <row r="20572">
      <c r="A20572" s="4" t="s">
        <v>25902</v>
      </c>
      <c r="B20572" s="4" t="s">
        <v>25906</v>
      </c>
      <c r="C20572" s="5" t="str">
        <f>IFERROR(__xludf.DUMMYFUNCTION("GOOGLETRANSLATE(B20572,""en"",""it"")"),"Dopo aver raccolto velocità sulla barca alimentata, i loro amici saltano e si divertono.")</f>
        <v>Dopo aver raccolto velocità sulla barca alimentata, i loro amici saltano e si divertono.</v>
      </c>
    </row>
    <row r="20573">
      <c r="A20573" s="4" t="s">
        <v>25902</v>
      </c>
      <c r="B20573" s="4" t="s">
        <v>25907</v>
      </c>
      <c r="C20573" s="5" t="str">
        <f>IFERROR(__xludf.DUMMYFUNCTION("GOOGLETRANSLATE(B20573,""en"",""it"")"),"Una linea di corda viene gettata fuori per far loro afferrare e inizia.")</f>
        <v>Una linea di corda viene gettata fuori per far loro afferrare e inizia.</v>
      </c>
    </row>
    <row r="20574">
      <c r="A20574" s="4" t="s">
        <v>25902</v>
      </c>
      <c r="B20574" s="4" t="s">
        <v>25908</v>
      </c>
      <c r="C20574" s="5" t="str">
        <f>IFERROR(__xludf.DUMMYFUNCTION("GOOGLETRANSLATE(B20574,""en"",""it"")"),"Raccolgono la velocità e una giovane donna sta sciare sull'acqua a un ritmo molto rapido.")</f>
        <v>Raccolgono la velocità e una giovane donna sta sciare sull'acqua a un ritmo molto rapido.</v>
      </c>
    </row>
    <row r="20575">
      <c r="A20575" s="4" t="s">
        <v>25902</v>
      </c>
      <c r="B20575" s="4" t="s">
        <v>25909</v>
      </c>
      <c r="C20575" s="5" t="str">
        <f>IFERROR(__xludf.DUMMYFUNCTION("GOOGLETRANSLATE(B20575,""en"",""it"")"),"Va avanti e indietro e lato all'altro al rallentatore.")</f>
        <v>Va avanti e indietro e lato all'altro al rallentatore.</v>
      </c>
    </row>
    <row r="20576">
      <c r="A20576" s="4" t="s">
        <v>25902</v>
      </c>
      <c r="B20576" s="4" t="s">
        <v>25910</v>
      </c>
      <c r="C20576" s="5" t="str">
        <f>IFERROR(__xludf.DUMMYFUNCTION("GOOGLETRANSLATE(B20576,""en"",""it"")"),"Gli amici guardano indietro per vedere come sta.")</f>
        <v>Gli amici guardano indietro per vedere come sta.</v>
      </c>
    </row>
    <row r="20577">
      <c r="A20577" s="4" t="s">
        <v>25902</v>
      </c>
      <c r="B20577" s="4" t="s">
        <v>25911</v>
      </c>
      <c r="C20577" s="5" t="str">
        <f>IFERROR(__xludf.DUMMYFUNCTION("GOOGLETRANSLATE(B20577,""en"",""it"")"),"Un giovane viene mostrato sciare sull'acqua e sta facendo un ottimo lavoro.")</f>
        <v>Un giovane viene mostrato sciare sull'acqua e sta facendo un ottimo lavoro.</v>
      </c>
    </row>
    <row r="20578">
      <c r="A20578" s="4" t="s">
        <v>25902</v>
      </c>
      <c r="B20578" s="4" t="s">
        <v>25912</v>
      </c>
      <c r="C20578" s="5" t="str">
        <f>IFERROR(__xludf.DUMMYFUNCTION("GOOGLETRANSLATE(B20578,""en"",""it"")"),"Dopo aver finito, lascia andare la linea e continua a sciare in acqua, solo per ricadere.")</f>
        <v>Dopo aver finito, lascia andare la linea e continua a sciare in acqua, solo per ricadere.</v>
      </c>
    </row>
    <row r="20579">
      <c r="A20579" s="4" t="s">
        <v>25913</v>
      </c>
      <c r="B20579" s="4" t="s">
        <v>25914</v>
      </c>
      <c r="C20579" s="5" t="str">
        <f>IFERROR(__xludf.DUMMYFUNCTION("GOOGLETRANSLATE(B20579,""en"",""it"")"),"Un paio di donne sono mostrate in una palestra.")</f>
        <v>Un paio di donne sono mostrate in una palestra.</v>
      </c>
    </row>
    <row r="20580">
      <c r="A20580" s="4" t="s">
        <v>25913</v>
      </c>
      <c r="B20580" s="4" t="s">
        <v>25915</v>
      </c>
      <c r="C20580" s="5" t="str">
        <f>IFERROR(__xludf.DUMMYFUNCTION("GOOGLETRANSLATE(B20580,""en"",""it"")"),"Una donna parla alla telecamera mentre un'altra mostra le mosse di danza.")</f>
        <v>Una donna parla alla telecamera mentre un'altra mostra le mosse di danza.</v>
      </c>
    </row>
    <row r="20581">
      <c r="A20581" s="4" t="s">
        <v>25913</v>
      </c>
      <c r="B20581" s="4" t="s">
        <v>25916</v>
      </c>
      <c r="C20581" s="5" t="str">
        <f>IFERROR(__xludf.DUMMYFUNCTION("GOOGLETRANSLATE(B20581,""en"",""it"")"),"Dimostra diverse mosse e posizioni di balletto.")</f>
        <v>Dimostra diverse mosse e posizioni di balletto.</v>
      </c>
    </row>
    <row r="20582">
      <c r="A20582" s="4" t="s">
        <v>25917</v>
      </c>
      <c r="B20582" s="4" t="s">
        <v>25918</v>
      </c>
      <c r="C20582" s="5" t="str">
        <f>IFERROR(__xludf.DUMMYFUNCTION("GOOGLETRANSLATE(B20582,""en"",""it"")"),"Le persone stanno rafting lungo un fiume mosso.")</f>
        <v>Le persone stanno rafting lungo un fiume mosso.</v>
      </c>
    </row>
    <row r="20583">
      <c r="A20583" s="4" t="s">
        <v>25917</v>
      </c>
      <c r="B20583" s="4" t="s">
        <v>25919</v>
      </c>
      <c r="C20583" s="5" t="str">
        <f>IFERROR(__xludf.DUMMYFUNCTION("GOOGLETRANSLATE(B20583,""en"",""it"")"),"Una zattera blu scende in una cascata alta.")</f>
        <v>Una zattera blu scende in una cascata alta.</v>
      </c>
    </row>
    <row r="20584">
      <c r="A20584" s="4" t="s">
        <v>25917</v>
      </c>
      <c r="B20584" s="4" t="s">
        <v>1599</v>
      </c>
      <c r="C20584" s="5" t="str">
        <f>IFERROR(__xludf.DUMMYFUNCTION("GOOGLETRANSLATE(B20584,""en"",""it"")"),"Le parole sono mostrate sullo schermo.")</f>
        <v>Le parole sono mostrate sullo schermo.</v>
      </c>
    </row>
    <row r="20585">
      <c r="A20585" s="4" t="s">
        <v>25920</v>
      </c>
      <c r="B20585" s="4" t="s">
        <v>25921</v>
      </c>
      <c r="C20585" s="5" t="str">
        <f>IFERROR(__xludf.DUMMYFUNCTION("GOOGLETRANSLATE(B20585,""en"",""it"")"),"Due uomini tengono un flauto mentre uno soffia e l'altro muove le mani.")</f>
        <v>Due uomini tengono un flauto mentre uno soffia e l'altro muove le mani.</v>
      </c>
    </row>
    <row r="20586">
      <c r="A20586" s="4" t="s">
        <v>25920</v>
      </c>
      <c r="B20586" s="4" t="s">
        <v>25922</v>
      </c>
      <c r="C20586" s="5" t="str">
        <f>IFERROR(__xludf.DUMMYFUNCTION("GOOGLETRANSLATE(B20586,""en"",""it"")"),"Un'orchestra si mostra dietro gli uomini mentre continuano a suonare sullo stesso strumento.")</f>
        <v>Un'orchestra si mostra dietro gli uomini mentre continuano a suonare sullo stesso strumento.</v>
      </c>
    </row>
    <row r="20587">
      <c r="A20587" s="4" t="s">
        <v>25920</v>
      </c>
      <c r="B20587" s="4" t="s">
        <v>25923</v>
      </c>
      <c r="C20587" s="5" t="str">
        <f>IFERROR(__xludf.DUMMYFUNCTION("GOOGLETRANSLATE(B20587,""en"",""it"")"),"Gli uomini continuano a suonare fino a quando la canzone non sarà finita e si inchinano mentre la band applaude.")</f>
        <v>Gli uomini continuano a suonare fino a quando la canzone non sarà finita e si inchinano mentre la band applaude.</v>
      </c>
    </row>
    <row r="20588">
      <c r="A20588" s="4" t="s">
        <v>25924</v>
      </c>
      <c r="B20588" s="4" t="s">
        <v>25925</v>
      </c>
      <c r="C20588" s="5" t="str">
        <f>IFERROR(__xludf.DUMMYFUNCTION("GOOGLETRANSLATE(B20588,""en"",""it"")"),"Vediamo la schermata del titolo su uno sfondo rosso.")</f>
        <v>Vediamo la schermata del titolo su uno sfondo rosso.</v>
      </c>
    </row>
    <row r="20589">
      <c r="A20589" s="4" t="s">
        <v>25924</v>
      </c>
      <c r="B20589" s="4" t="s">
        <v>25926</v>
      </c>
      <c r="C20589" s="5" t="str">
        <f>IFERROR(__xludf.DUMMYFUNCTION("GOOGLETRANSLATE(B20589,""en"",""it"")"),"Vediamo donne che giocano a lacrosse.")</f>
        <v>Vediamo donne che giocano a lacrosse.</v>
      </c>
    </row>
    <row r="20590">
      <c r="A20590" s="4" t="s">
        <v>25924</v>
      </c>
      <c r="B20590" s="4" t="s">
        <v>25927</v>
      </c>
      <c r="C20590" s="5" t="str">
        <f>IFERROR(__xludf.DUMMYFUNCTION("GOOGLETRANSLATE(B20590,""en"",""it"")"),"Vediamo i giocatori attraverso la rete di un obiettivo.")</f>
        <v>Vediamo i giocatori attraverso la rete di un obiettivo.</v>
      </c>
    </row>
    <row r="20591">
      <c r="A20591" s="4" t="s">
        <v>25924</v>
      </c>
      <c r="B20591" s="4" t="s">
        <v>25928</v>
      </c>
      <c r="C20591" s="5" t="str">
        <f>IFERROR(__xludf.DUMMYFUNCTION("GOOGLETRANSLATE(B20591,""en"",""it"")"),"Vediamo una signora in rosa parlare con la telecamera.")</f>
        <v>Vediamo una signora in rosa parlare con la telecamera.</v>
      </c>
    </row>
    <row r="20592">
      <c r="A20592" s="4" t="s">
        <v>25924</v>
      </c>
      <c r="B20592" s="4" t="s">
        <v>25929</v>
      </c>
      <c r="C20592" s="5" t="str">
        <f>IFERROR(__xludf.DUMMYFUNCTION("GOOGLETRANSLATE(B20592,""en"",""it"")"),"Vediamo quindi una signora in una camicia blu che parla.")</f>
        <v>Vediamo quindi una signora in una camicia blu che parla.</v>
      </c>
    </row>
    <row r="20593">
      <c r="A20593" s="4" t="s">
        <v>25924</v>
      </c>
      <c r="B20593" s="4" t="s">
        <v>25930</v>
      </c>
      <c r="C20593" s="5" t="str">
        <f>IFERROR(__xludf.DUMMYFUNCTION("GOOGLETRANSLATE(B20593,""en"",""it"")"),"Una signora in uno zaino parla con la telecamera.")</f>
        <v>Una signora in uno zaino parla con la telecamera.</v>
      </c>
    </row>
    <row r="20594">
      <c r="A20594" s="4" t="s">
        <v>25924</v>
      </c>
      <c r="B20594" s="4" t="s">
        <v>25931</v>
      </c>
      <c r="C20594" s="5" t="str">
        <f>IFERROR(__xludf.DUMMYFUNCTION("GOOGLETRANSLATE(B20594,""en"",""it"")"),"Vediamo quindi lo schermo finale e il nero.")</f>
        <v>Vediamo quindi lo schermo finale e il nero.</v>
      </c>
    </row>
    <row r="20595">
      <c r="A20595" s="4" t="s">
        <v>25932</v>
      </c>
      <c r="B20595" s="4" t="s">
        <v>25933</v>
      </c>
      <c r="C20595" s="5" t="str">
        <f>IFERROR(__xludf.DUMMYFUNCTION("GOOGLETRANSLATE(B20595,""en"",""it"")"),"Un logo ""Monkeysee com"" appare sullo schermo con lo slogan ""Vedi come lo fanno gli esperti.")</f>
        <v>Un logo "Monkeysee com" appare sullo schermo con lo slogan "Vedi come lo fanno gli esperti.</v>
      </c>
    </row>
    <row r="20596">
      <c r="A20596" s="4" t="s">
        <v>25932</v>
      </c>
      <c r="B20596" s="6" t="s">
        <v>25934</v>
      </c>
      <c r="C20596" s="5" t="str">
        <f>IFERROR(__xludf.DUMMYFUNCTION("GOOGLETRANSLATE(B20596,""en"",""it"")"),"""Un giovane si trova in primo piano parlando mentre una cheerleader femminile sta dietro di lui che esegue routine.")</f>
        <v>"Un giovane si trova in primo piano parlando mentre una cheerleader femminile sta dietro di lui che esegue routine.</v>
      </c>
    </row>
    <row r="20597">
      <c r="A20597" s="4" t="s">
        <v>25932</v>
      </c>
      <c r="B20597" s="4" t="s">
        <v>25935</v>
      </c>
      <c r="C20597" s="5" t="str">
        <f>IFERROR(__xludf.DUMMYFUNCTION("GOOGLETRANSLATE(B20597,""en"",""it"")"),"La schermata del copyright e del logo appare su uno schermo nero.")</f>
        <v>La schermata del copyright e del logo appare su uno schermo nero.</v>
      </c>
    </row>
    <row r="20598">
      <c r="A20598" s="4" t="s">
        <v>25936</v>
      </c>
      <c r="B20598" s="4" t="s">
        <v>25937</v>
      </c>
      <c r="C20598" s="5" t="str">
        <f>IFERROR(__xludf.DUMMYFUNCTION("GOOGLETRANSLATE(B20598,""en"",""it"")"),"Un assistente del negozio regge il cerchio di hula e mostra come afferrarlo.")</f>
        <v>Un assistente del negozio regge il cerchio di hula e mostra come afferrarlo.</v>
      </c>
    </row>
    <row r="20599">
      <c r="A20599" s="4" t="s">
        <v>25936</v>
      </c>
      <c r="B20599" s="4" t="s">
        <v>25938</v>
      </c>
      <c r="C20599" s="5" t="str">
        <f>IFERROR(__xludf.DUMMYFUNCTION("GOOGLETRANSLATE(B20599,""en"",""it"")"),"La donna lascia cadere il cerchio e lascia che giri attorno al suo corpo a terra.")</f>
        <v>La donna lascia cadere il cerchio e lascia che giri attorno al suo corpo a terra.</v>
      </c>
    </row>
    <row r="20600">
      <c r="A20600" s="4" t="s">
        <v>25936</v>
      </c>
      <c r="B20600" s="4" t="s">
        <v>25939</v>
      </c>
      <c r="C20600" s="5" t="str">
        <f>IFERROR(__xludf.DUMMYFUNCTION("GOOGLETRANSLATE(B20600,""en"",""it"")"),"La donna lascia cadere il cerchio di hula e lascia che giri attorno al suo corpo, poi lo prende.")</f>
        <v>La donna lascia cadere il cerchio di hula e lascia che giri attorno al suo corpo, poi lo prende.</v>
      </c>
    </row>
    <row r="20601">
      <c r="A20601" s="4" t="s">
        <v>25936</v>
      </c>
      <c r="B20601" s="4" t="s">
        <v>25940</v>
      </c>
      <c r="C20601" s="5" t="str">
        <f>IFERROR(__xludf.DUMMYFUNCTION("GOOGLETRANSLATE(B20601,""en"",""it"")"),"La donna pratica oscillando il telaio tra due gambe.")</f>
        <v>La donna pratica oscillando il telaio tra due gambe.</v>
      </c>
    </row>
    <row r="20602">
      <c r="A20602" s="4" t="s">
        <v>25936</v>
      </c>
      <c r="B20602" s="4" t="s">
        <v>25941</v>
      </c>
      <c r="C20602" s="5" t="str">
        <f>IFERROR(__xludf.DUMMYFUNCTION("GOOGLETRANSLATE(B20602,""en"",""it"")"),"La donna cattura il cerchio di hula rotante mentre le cade tra le gambe.")</f>
        <v>La donna cattura il cerchio di hula rotante mentre le cade tra le gambe.</v>
      </c>
    </row>
    <row r="20603">
      <c r="A20603" s="4" t="s">
        <v>25936</v>
      </c>
      <c r="B20603" s="4" t="s">
        <v>25942</v>
      </c>
      <c r="C20603" s="5" t="str">
        <f>IFERROR(__xludf.DUMMYFUNCTION("GOOGLETRANSLATE(B20603,""en"",""it"")"),"La donna gira il cerchio verso l'alto intorno al suo corpo.")</f>
        <v>La donna gira il cerchio verso l'alto intorno al suo corpo.</v>
      </c>
    </row>
    <row r="20604">
      <c r="A20604" s="4" t="s">
        <v>25943</v>
      </c>
      <c r="B20604" s="4" t="s">
        <v>25944</v>
      </c>
      <c r="C20604" s="5" t="str">
        <f>IFERROR(__xludf.DUMMYFUNCTION("GOOGLETRANSLATE(B20604,""en"",""it"")"),"Un ragazzo sta pulendo una gomma per auto.")</f>
        <v>Un ragazzo sta pulendo una gomma per auto.</v>
      </c>
    </row>
    <row r="20605">
      <c r="A20605" s="4" t="s">
        <v>25943</v>
      </c>
      <c r="B20605" s="4" t="s">
        <v>25945</v>
      </c>
      <c r="C20605" s="5" t="str">
        <f>IFERROR(__xludf.DUMMYFUNCTION("GOOGLETRANSLATE(B20605,""en"",""it"")"),"Una femmina cammina dal lato del conducente strofinando leggermente un panno nero sul giuntura al ragazzo.")</f>
        <v>Una femmina cammina dal lato del conducente strofinando leggermente un panno nero sul giuntura al ragazzo.</v>
      </c>
    </row>
    <row r="20606">
      <c r="A20606" s="4" t="s">
        <v>25943</v>
      </c>
      <c r="B20606" s="4" t="s">
        <v>25946</v>
      </c>
      <c r="C20606" s="5" t="str">
        <f>IFERROR(__xludf.DUMMYFUNCTION("GOOGLETRANSLATE(B20606,""en"",""it"")"),"La femmina lancia il panno nero su un'auto direttamente sopra lo pneumatico che l'uomo sta pulendo.")</f>
        <v>La femmina lancia il panno nero su un'auto direttamente sopra lo pneumatico che l'uomo sta pulendo.</v>
      </c>
    </row>
    <row r="20607">
      <c r="A20607" s="4" t="s">
        <v>25943</v>
      </c>
      <c r="B20607" s="4" t="s">
        <v>25947</v>
      </c>
      <c r="C20607" s="5" t="str">
        <f>IFERROR(__xludf.DUMMYFUNCTION("GOOGLETRANSLATE(B20607,""en"",""it"")"),"L'uomo raccoglie il panno nero, lascia cadere il tappeto sul marciapiede e lo usa per pulire il pneumatico.")</f>
        <v>L'uomo raccoglie il panno nero, lascia cadere il tappeto sul marciapiede e lo usa per pulire il pneumatico.</v>
      </c>
    </row>
    <row r="20608">
      <c r="A20608" s="4" t="s">
        <v>25948</v>
      </c>
      <c r="B20608" s="4" t="s">
        <v>25949</v>
      </c>
      <c r="C20608" s="5" t="str">
        <f>IFERROR(__xludf.DUMMYFUNCTION("GOOGLETRANSLATE(B20608,""en"",""it"")"),"Una persona sta preparando un inchino al nastro.")</f>
        <v>Una persona sta preparando un inchino al nastro.</v>
      </c>
    </row>
    <row r="20609">
      <c r="A20609" s="4" t="s">
        <v>25948</v>
      </c>
      <c r="B20609" s="4" t="s">
        <v>25950</v>
      </c>
      <c r="C20609" s="5" t="str">
        <f>IFERROR(__xludf.DUMMYFUNCTION("GOOGLETRANSLATE(B20609,""en"",""it"")"),"Legano il nastro su un pacchetto avvolto.")</f>
        <v>Legano il nastro su un pacchetto avvolto.</v>
      </c>
    </row>
    <row r="20610">
      <c r="A20610" s="4" t="s">
        <v>25948</v>
      </c>
      <c r="B20610" s="4" t="s">
        <v>25951</v>
      </c>
      <c r="C20610" s="5" t="str">
        <f>IFERROR(__xludf.DUMMYFUNCTION("GOOGLETRANSLATE(B20610,""en"",""it"")"),"Raccontano l'arco che hanno fatto sul pacchetto.")</f>
        <v>Raccontano l'arco che hanno fatto sul pacchetto.</v>
      </c>
    </row>
    <row r="20611">
      <c r="A20611" s="4" t="s">
        <v>25952</v>
      </c>
      <c r="B20611" s="4" t="s">
        <v>25953</v>
      </c>
      <c r="C20611" s="5" t="str">
        <f>IFERROR(__xludf.DUMMYFUNCTION("GOOGLETRANSLATE(B20611,""en"",""it"")"),"Viene visualizzato uno schermo nero e le parole bianche leggono ""Nevena &amp; Goran Rodry-Go! El Mambo del tra"".")</f>
        <v>Viene visualizzato uno schermo nero e le parole bianche leggono "Nevena &amp; Goran Rodry-Go! El Mambo del tra".</v>
      </c>
    </row>
    <row r="20612">
      <c r="A20612" s="4" t="s">
        <v>25952</v>
      </c>
      <c r="B20612" s="6" t="s">
        <v>25954</v>
      </c>
      <c r="C20612" s="5" t="str">
        <f>IFERROR(__xludf.DUMMYFUNCTION("GOOGLETRANSLATE(B20612,""en"",""it"")"),"Un uomo e una donna appaiono all'aperto su un ponte di mattoni in cemento e iniziano a ballare una routine all'unisono che include movimenti del braccio, gradini, giri e varie altre mosse di danza.")</f>
        <v>Un uomo e una donna appaiono all'aperto su un ponte di mattoni in cemento e iniziano a ballare una routine all'unisono che include movimenti del braccio, gradini, giri e varie altre mosse di danza.</v>
      </c>
    </row>
    <row r="20613">
      <c r="A20613" s="4" t="s">
        <v>25952</v>
      </c>
      <c r="B20613" s="6" t="s">
        <v>25955</v>
      </c>
      <c r="C20613" s="5" t="str">
        <f>IFERROR(__xludf.DUMMYFUNCTION("GOOGLETRANSLATE(B20613,""en"",""it"")"),"Smettono di ballare e la donna si avvicina alla telecamera e ci canta mentre l'uomo dietro le sue balli.")</f>
        <v>Smettono di ballare e la donna si avvicina alla telecamera e ci canta mentre l'uomo dietro le sue balli.</v>
      </c>
    </row>
    <row r="20614">
      <c r="A20614" s="4" t="s">
        <v>25952</v>
      </c>
      <c r="B20614" s="4" t="s">
        <v>25956</v>
      </c>
      <c r="C20614" s="5" t="str">
        <f>IFERROR(__xludf.DUMMYFUNCTION("GOOGLETRANSLATE(B20614,""en"",""it"")"),"Smette di cantare ed entrambi ridono e si allontanano.")</f>
        <v>Smette di cantare ed entrambi ridono e si allontanano.</v>
      </c>
    </row>
    <row r="20615">
      <c r="A20615" s="4" t="s">
        <v>25957</v>
      </c>
      <c r="B20615" s="6" t="s">
        <v>25958</v>
      </c>
      <c r="C20615" s="5" t="str">
        <f>IFERROR(__xludf.DUMMYFUNCTION("GOOGLETRANSLATE(B20615,""en"",""it"")"),"Una telecamera registra un negozio con due persone in piedi all'interno, portando infine a un gruppo di persone in piedi da banchine.")</f>
        <v>Una telecamera registra un negozio con due persone in piedi all'interno, portando infine a un gruppo di persone in piedi da banchine.</v>
      </c>
    </row>
    <row r="20616">
      <c r="A20616" s="4" t="s">
        <v>25957</v>
      </c>
      <c r="B20616" s="6" t="s">
        <v>25959</v>
      </c>
      <c r="C20616" s="5" t="str">
        <f>IFERROR(__xludf.DUMMYFUNCTION("GOOGLETRANSLATE(B20616,""en"",""it"")"),"Un uomo cammina giù per i moli mentre un altro tiene un secchio e la telecamera si piove a una donna che parla.")</f>
        <v>Un uomo cammina giù per i moli mentre un altro tiene un secchio e la telecamera si piove a una donna che parla.</v>
      </c>
    </row>
    <row r="20617">
      <c r="A20617" s="4" t="s">
        <v>25957</v>
      </c>
      <c r="B20617" s="4" t="s">
        <v>25960</v>
      </c>
      <c r="C20617" s="5" t="str">
        <f>IFERROR(__xludf.DUMMYFUNCTION("GOOGLETRANSLATE(B20617,""en"",""it"")"),"La donna indossa un giubbotto e occhiali e scende in una barca.")</f>
        <v>La donna indossa un giubbotto e occhiali e scende in una barca.</v>
      </c>
    </row>
    <row r="20618">
      <c r="A20618" s="4" t="s">
        <v>25957</v>
      </c>
      <c r="B20618" s="4" t="s">
        <v>25961</v>
      </c>
      <c r="C20618" s="5" t="str">
        <f>IFERROR(__xludf.DUMMYFUNCTION("GOOGLETRANSLATE(B20618,""en"",""it"")"),"Parla con la telecamera mentre si regola gli occhiali e viene condotta in acqua indossando un serbatoio.")</f>
        <v>Parla con la telecamera mentre si regola gli occhiali e viene condotta in acqua indossando un serbatoio.</v>
      </c>
    </row>
    <row r="20619">
      <c r="A20619" s="4" t="s">
        <v>25957</v>
      </c>
      <c r="B20619" s="4" t="s">
        <v>25962</v>
      </c>
      <c r="C20619" s="5" t="str">
        <f>IFERROR(__xludf.DUMMYFUNCTION("GOOGLETRANSLATE(B20619,""en"",""it"")"),"Salta in acqua con l'uomo e risale alla barca parlando con la telecamera.")</f>
        <v>Salta in acqua con l'uomo e risale alla barca parlando con la telecamera.</v>
      </c>
    </row>
    <row r="20620">
      <c r="A20620" s="4" t="s">
        <v>25963</v>
      </c>
      <c r="B20620" s="4" t="s">
        <v>25964</v>
      </c>
      <c r="C20620" s="5" t="str">
        <f>IFERROR(__xludf.DUMMYFUNCTION("GOOGLETRANSLATE(B20620,""en"",""it"")"),"Una donna è in cucina a parlare di come preparare Lemonde.")</f>
        <v>Una donna è in cucina a parlare di come preparare Lemonde.</v>
      </c>
    </row>
    <row r="20621">
      <c r="A20621" s="4" t="s">
        <v>25963</v>
      </c>
      <c r="B20621" s="4" t="s">
        <v>25965</v>
      </c>
      <c r="C20621" s="5" t="str">
        <f>IFERROR(__xludf.DUMMYFUNCTION("GOOGLETRANSLATE(B20621,""en"",""it"")"),"Presenta vari ingredienti che devi avere.")</f>
        <v>Presenta vari ingredienti che devi avere.</v>
      </c>
    </row>
    <row r="20622">
      <c r="A20622" s="4" t="s">
        <v>25963</v>
      </c>
      <c r="B20622" s="4" t="s">
        <v>25966</v>
      </c>
      <c r="C20622" s="5" t="str">
        <f>IFERROR(__xludf.DUMMYFUNCTION("GOOGLETRANSLATE(B20622,""en"",""it"")"),"Si fonde tutti i succhi in una smerigliatrice per fare una miscela.")</f>
        <v>Si fonde tutti i succhi in una smerigliatrice per fare una miscela.</v>
      </c>
    </row>
    <row r="20623">
      <c r="A20623" s="4" t="s">
        <v>25963</v>
      </c>
      <c r="B20623" s="4" t="s">
        <v>25967</v>
      </c>
      <c r="C20623" s="5" t="str">
        <f>IFERROR(__xludf.DUMMYFUNCTION("GOOGLETRANSLATE(B20623,""en"",""it"")"),"Quindi versa il composto in un bicchiere e beve il succo.")</f>
        <v>Quindi versa il composto in un bicchiere e beve il succo.</v>
      </c>
    </row>
    <row r="20624">
      <c r="A20624" s="4" t="s">
        <v>25968</v>
      </c>
      <c r="B20624" s="6" t="s">
        <v>25969</v>
      </c>
      <c r="C20624" s="5" t="str">
        <f>IFERROR(__xludf.DUMMYFUNCTION("GOOGLETRANSLATE(B20624,""en"",""it"")"),"Vengono mostrati diversi scatti di un pubblico che il tifo e si verificano molte clip di impressionanti eventi sportivi.")</f>
        <v>Vengono mostrati diversi scatti di un pubblico che il tifo e si verificano molte clip di impressionanti eventi sportivi.</v>
      </c>
    </row>
    <row r="20625">
      <c r="A20625" s="4" t="s">
        <v>25968</v>
      </c>
      <c r="B20625" s="6" t="s">
        <v>25970</v>
      </c>
      <c r="C20625" s="5" t="str">
        <f>IFERROR(__xludf.DUMMYFUNCTION("GOOGLETRANSLATE(B20625,""en"",""it"")"),"La gente ha colpito la pallavolo e il quarto l'uno all'altro mostrando anche clip delle persone che festeggiano con i loro compagni di squadra.")</f>
        <v>La gente ha colpito la pallavolo e il quarto l'uno all'altro mostrando anche clip delle persone che festeggiano con i loro compagni di squadra.</v>
      </c>
    </row>
    <row r="20626">
      <c r="A20626" s="4" t="s">
        <v>25971</v>
      </c>
      <c r="B20626" s="4" t="s">
        <v>25972</v>
      </c>
      <c r="C20626" s="5" t="str">
        <f>IFERROR(__xludf.DUMMYFUNCTION("GOOGLETRANSLATE(B20626,""en"",""it"")"),"Una persona è il vento surfing su un lago.")</f>
        <v>Una persona è il vento surfing su un lago.</v>
      </c>
    </row>
    <row r="20627">
      <c r="A20627" s="4" t="s">
        <v>25971</v>
      </c>
      <c r="B20627" s="4" t="s">
        <v>25973</v>
      </c>
      <c r="C20627" s="5" t="str">
        <f>IFERROR(__xludf.DUMMYFUNCTION("GOOGLETRANSLATE(B20627,""en"",""it"")"),"Altri windsurfers passano dietro di lui.")</f>
        <v>Altri windsurfers passano dietro di lui.</v>
      </c>
    </row>
    <row r="20628">
      <c r="A20628" s="4" t="s">
        <v>25974</v>
      </c>
      <c r="B20628" s="4" t="s">
        <v>25975</v>
      </c>
      <c r="C20628" s="5" t="str">
        <f>IFERROR(__xludf.DUMMYFUNCTION("GOOGLETRANSLATE(B20628,""en"",""it"")"),"Una ragazza fa un tutorial su come mettere in valigia una borsa.")</f>
        <v>Una ragazza fa un tutorial su come mettere in valigia una borsa.</v>
      </c>
    </row>
    <row r="20629">
      <c r="A20629" s="4" t="s">
        <v>25974</v>
      </c>
      <c r="B20629" s="4" t="s">
        <v>25976</v>
      </c>
      <c r="C20629" s="5" t="str">
        <f>IFERROR(__xludf.DUMMYFUNCTION("GOOGLETRANSLATE(B20629,""en"",""it"")"),"Quindi dà consigli sulla ballerina, specialmente su come trattare i piedi bene.")</f>
        <v>Quindi dà consigli sulla ballerina, specialmente su come trattare i piedi bene.</v>
      </c>
    </row>
    <row r="20630">
      <c r="A20630" s="4" t="s">
        <v>25977</v>
      </c>
      <c r="B20630" s="4" t="s">
        <v>25978</v>
      </c>
      <c r="C20630" s="5" t="str">
        <f>IFERROR(__xludf.DUMMYFUNCTION("GOOGLETRANSLATE(B20630,""en"",""it"")"),"Un uomo anziano è in acqua in piedi su un jet ski.")</f>
        <v>Un uomo anziano è in acqua in piedi su un jet ski.</v>
      </c>
    </row>
    <row r="20631">
      <c r="A20631" s="4" t="s">
        <v>25977</v>
      </c>
      <c r="B20631" s="4" t="s">
        <v>25979</v>
      </c>
      <c r="C20631" s="5" t="str">
        <f>IFERROR(__xludf.DUMMYFUNCTION("GOOGLETRANSLATE(B20631,""en"",""it"")"),"L'uomo inizia a gettare sci.")</f>
        <v>L'uomo inizia a gettare sci.</v>
      </c>
    </row>
    <row r="20632">
      <c r="A20632" s="4" t="s">
        <v>25977</v>
      </c>
      <c r="B20632" s="4" t="s">
        <v>25980</v>
      </c>
      <c r="C20632" s="5" t="str">
        <f>IFERROR(__xludf.DUMMYFUNCTION("GOOGLETRANSLATE(B20632,""en"",""it"")"),"L'uomo si toglie la mano dalla maniglia.")</f>
        <v>L'uomo si toglie la mano dalla maniglia.</v>
      </c>
    </row>
    <row r="20633">
      <c r="A20633" s="4" t="s">
        <v>25977</v>
      </c>
      <c r="B20633" s="4" t="s">
        <v>25981</v>
      </c>
      <c r="C20633" s="5" t="str">
        <f>IFERROR(__xludf.DUMMYFUNCTION("GOOGLETRANSLATE(B20633,""en"",""it"")"),"L'uomo mette entrambe le mani sul manico e gli sci di jet.")</f>
        <v>L'uomo mette entrambe le mani sul manico e gli sci di jet.</v>
      </c>
    </row>
    <row r="20634">
      <c r="A20634" s="4" t="s">
        <v>25982</v>
      </c>
      <c r="B20634" s="4" t="s">
        <v>25983</v>
      </c>
      <c r="C20634" s="5" t="str">
        <f>IFERROR(__xludf.DUMMYFUNCTION("GOOGLETRANSLATE(B20634,""en"",""it"")"),"Un uomo che cammina molto lentamente verso una donna mentre cammina lentamente verso di lui.")</f>
        <v>Un uomo che cammina molto lentamente verso una donna mentre cammina lentamente verso di lui.</v>
      </c>
    </row>
    <row r="20635">
      <c r="A20635" s="4" t="s">
        <v>25982</v>
      </c>
      <c r="B20635" s="6" t="s">
        <v>25984</v>
      </c>
      <c r="C20635" s="5" t="str">
        <f>IFERROR(__xludf.DUMMYFUNCTION("GOOGLETRANSLATE(B20635,""en"",""it"")"),"Si incontrano e iniziano la loro danza, è molto intenso e molto ben fatto, funzionano molto bene insieme, quando hanno finito si inchinano e si inchinano a vicenda mentre il pubblico ti applauisce.")</f>
        <v>Si incontrano e iniziano la loro danza, è molto intenso e molto ben fatto, funzionano molto bene insieme, quando hanno finito si inchinano e si inchinano a vicenda mentre il pubblico ti applauisce.</v>
      </c>
    </row>
    <row r="20636">
      <c r="A20636" s="4" t="s">
        <v>25982</v>
      </c>
      <c r="B20636" s="6" t="s">
        <v>25985</v>
      </c>
      <c r="C20636" s="5" t="str">
        <f>IFERROR(__xludf.DUMMYFUNCTION("GOOGLETRANSLATE(B20636,""en"",""it"")"),"Quindi uno dei giudici si alza e parla con loro, facendoli sorridere ed essere più estatici.")</f>
        <v>Quindi uno dei giudici si alza e parla con loro, facendoli sorridere ed essere più estatici.</v>
      </c>
    </row>
    <row r="20637">
      <c r="A20637" s="4" t="s">
        <v>25982</v>
      </c>
      <c r="B20637" s="6" t="s">
        <v>25986</v>
      </c>
      <c r="C20637" s="5" t="str">
        <f>IFERROR(__xludf.DUMMYFUNCTION("GOOGLETRANSLATE(B20637,""en"",""it"")"),"Un'altra giudice femminile li critica e la ballerina donna corre e li abbraccia, quindi il giudice finale dice loro cosa pensa della loro esibizione.")</f>
        <v>Un'altra giudice femminile li critica e la ballerina donna corre e li abbraccia, quindi il giudice finale dice loro cosa pensa della loro esibizione.</v>
      </c>
    </row>
    <row r="20638">
      <c r="A20638" s="4" t="s">
        <v>25987</v>
      </c>
      <c r="B20638" s="4" t="s">
        <v>25988</v>
      </c>
      <c r="C20638" s="5" t="str">
        <f>IFERROR(__xludf.DUMMYFUNCTION("GOOGLETRANSLATE(B20638,""en"",""it"")"),"Una donna con una camicia verde si trova in una cucina.")</f>
        <v>Una donna con una camicia verde si trova in una cucina.</v>
      </c>
    </row>
    <row r="20639">
      <c r="A20639" s="4" t="s">
        <v>25987</v>
      </c>
      <c r="B20639" s="4" t="s">
        <v>25989</v>
      </c>
      <c r="C20639" s="5" t="str">
        <f>IFERROR(__xludf.DUMMYFUNCTION("GOOGLETRANSLATE(B20639,""en"",""it"")"),"Si trova di fronte a diversi ingredienti.")</f>
        <v>Si trova di fronte a diversi ingredienti.</v>
      </c>
    </row>
    <row r="20640">
      <c r="A20640" s="4" t="s">
        <v>25987</v>
      </c>
      <c r="B20640" s="4" t="s">
        <v>25990</v>
      </c>
      <c r="C20640" s="5" t="str">
        <f>IFERROR(__xludf.DUMMYFUNCTION("GOOGLETRANSLATE(B20640,""en"",""it"")"),"Taglia un limone a metà.")</f>
        <v>Taglia un limone a metà.</v>
      </c>
    </row>
    <row r="20641">
      <c r="A20641" s="4" t="s">
        <v>25987</v>
      </c>
      <c r="B20641" s="4" t="s">
        <v>25991</v>
      </c>
      <c r="C20641" s="5" t="str">
        <f>IFERROR(__xludf.DUMMYFUNCTION("GOOGLETRANSLATE(B20641,""en"",""it"")"),"Ride molto durante il video.")</f>
        <v>Ride molto durante il video.</v>
      </c>
    </row>
    <row r="20642">
      <c r="A20642" s="4" t="s">
        <v>25992</v>
      </c>
      <c r="B20642" s="6" t="s">
        <v>25993</v>
      </c>
      <c r="C20642" s="5" t="str">
        <f>IFERROR(__xludf.DUMMYFUNCTION("GOOGLETRANSLATE(B20642,""en"",""it"")"),"Un gruppo di persone in berretti da nuoto sta giocando a pallavolo in una piscina all'aperto, circondato da uno spruzzo di curiosi e un tabellone digitale verticale.")</f>
        <v>Un gruppo di persone in berretti da nuoto sta giocando a pallavolo in una piscina all'aperto, circondato da uno spruzzo di curiosi e un tabellone digitale verticale.</v>
      </c>
    </row>
    <row r="20643">
      <c r="A20643" s="4" t="s">
        <v>25992</v>
      </c>
      <c r="B20643" s="6" t="s">
        <v>25994</v>
      </c>
      <c r="C20643" s="5" t="str">
        <f>IFERROR(__xludf.DUMMYFUNCTION("GOOGLETRANSLATE(B20643,""en"",""it"")"),"Una palla gialla vola sul lato destro della piscina e le persone in piscina nuotano e la spostano sul lato sinistro della piscina, mentre un uomo in tutti i binari bianchi li fa da un lato della piscina su un bordo di cemento rialzato.")</f>
        <v>Una palla gialla vola sul lato destro della piscina e le persone in piscina nuotano e la spostano sul lato sinistro della piscina, mentre un uomo in tutti i binari bianchi li fa da un lato della piscina su un bordo di cemento rialzato.</v>
      </c>
    </row>
    <row r="20644">
      <c r="A20644" s="4" t="s">
        <v>25992</v>
      </c>
      <c r="B20644" s="4" t="s">
        <v>25995</v>
      </c>
      <c r="C20644" s="5" t="str">
        <f>IFERROR(__xludf.DUMMYFUNCTION("GOOGLETRANSLATE(B20644,""en"",""it"")"),"Una persona nella parte anteriore aumenta la palla gialla contro un goal blu e oltre un blocco dei goal in piscina.")</f>
        <v>Una persona nella parte anteriore aumenta la palla gialla contro un goal blu e oltre un blocco dei goal in piscina.</v>
      </c>
    </row>
    <row r="20645">
      <c r="A20645" s="4" t="s">
        <v>25992</v>
      </c>
      <c r="B20645" s="6" t="s">
        <v>25996</v>
      </c>
      <c r="C20645" s="5" t="str">
        <f>IFERROR(__xludf.DUMMYFUNCTION("GOOGLETRANSLATE(B20645,""en"",""it"")"),"Una persona all'estrema sinistra della piscina lancia la palla nel lato destro della piscina dove tutti i giocatori nuotano per seguirla.")</f>
        <v>Una persona all'estrema sinistra della piscina lancia la palla nel lato destro della piscina dove tutti i giocatori nuotano per seguirla.</v>
      </c>
    </row>
    <row r="20646">
      <c r="A20646" s="4" t="s">
        <v>25997</v>
      </c>
      <c r="B20646" s="4" t="s">
        <v>25998</v>
      </c>
      <c r="C20646" s="5" t="str">
        <f>IFERROR(__xludf.DUMMYFUNCTION("GOOGLETRANSLATE(B20646,""en"",""it"")"),"Un ragazzo viene visto guardare in lontananza e una ragazza.")</f>
        <v>Un ragazzo viene visto guardare in lontananza e una ragazza.</v>
      </c>
    </row>
    <row r="20647">
      <c r="A20647" s="4" t="s">
        <v>25997</v>
      </c>
      <c r="B20647" s="4" t="s">
        <v>25999</v>
      </c>
      <c r="C20647" s="5" t="str">
        <f>IFERROR(__xludf.DUMMYFUNCTION("GOOGLETRANSLATE(B20647,""en"",""it"")"),"Le persone vengono viste camminare dentro seguito da clip di persone schermate.")</f>
        <v>Le persone vengono viste camminare dentro seguito da clip di persone schermate.</v>
      </c>
    </row>
    <row r="20648">
      <c r="A20648" s="4" t="s">
        <v>25997</v>
      </c>
      <c r="B20648" s="4" t="s">
        <v>26000</v>
      </c>
      <c r="C20648" s="5" t="str">
        <f>IFERROR(__xludf.DUMMYFUNCTION("GOOGLETRANSLATE(B20648,""en"",""it"")"),"Vengono mostrati più colpi di persone che praticano e una ragazza che si imbattono in un uomo più anziano.")</f>
        <v>Vengono mostrati più colpi di persone che praticano e una ragazza che si imbattono in un uomo più anziano.</v>
      </c>
    </row>
    <row r="20649">
      <c r="A20649" s="4" t="s">
        <v>26001</v>
      </c>
      <c r="B20649" s="4" t="s">
        <v>26002</v>
      </c>
      <c r="C20649" s="5" t="str">
        <f>IFERROR(__xludf.DUMMYFUNCTION("GOOGLETRANSLATE(B20649,""en"",""it"")"),"Un gruppo di bambini è in giro con un tavolo da picnic.")</f>
        <v>Un gruppo di bambini è in giro con un tavolo da picnic.</v>
      </c>
    </row>
    <row r="20650">
      <c r="A20650" s="4" t="s">
        <v>26001</v>
      </c>
      <c r="B20650" s="4" t="s">
        <v>26003</v>
      </c>
      <c r="C20650" s="5" t="str">
        <f>IFERROR(__xludf.DUMMYFUNCTION("GOOGLETRANSLATE(B20650,""en"",""it"")"),"Una ragazza sbuccia le patate.")</f>
        <v>Una ragazza sbuccia le patate.</v>
      </c>
    </row>
    <row r="20651">
      <c r="A20651" s="4" t="s">
        <v>26001</v>
      </c>
      <c r="B20651" s="4" t="s">
        <v>26004</v>
      </c>
      <c r="C20651" s="5" t="str">
        <f>IFERROR(__xludf.DUMMYFUNCTION("GOOGLETRANSLATE(B20651,""en"",""it"")"),"Un ragazzo taglia le patate.")</f>
        <v>Un ragazzo taglia le patate.</v>
      </c>
    </row>
    <row r="20652">
      <c r="A20652" s="4" t="s">
        <v>26005</v>
      </c>
      <c r="B20652" s="4" t="s">
        <v>26006</v>
      </c>
      <c r="C20652" s="5" t="str">
        <f>IFERROR(__xludf.DUMMYFUNCTION("GOOGLETRANSLATE(B20652,""en"",""it"")"),"Una ginnasta maschile si trova in un'arena piena di persone e afferra due bar per iniziare la sua routine.")</f>
        <v>Una ginnasta maschile si trova in un'arena piena di persone e afferra due bar per iniziare la sua routine.</v>
      </c>
    </row>
    <row r="20653">
      <c r="A20653" s="4" t="s">
        <v>26005</v>
      </c>
      <c r="B20653" s="6" t="s">
        <v>26007</v>
      </c>
      <c r="C20653" s="5" t="str">
        <f>IFERROR(__xludf.DUMMYFUNCTION("GOOGLETRANSLATE(B20653,""en"",""it"")"),"Dopo essere stato sui bar, fa diversi capovolgimenti e giri prima di atterrare la sua esibizione e lasciare il tappeto.")</f>
        <v>Dopo essere stato sui bar, fa diversi capovolgimenti e giri prima di atterrare la sua esibizione e lasciare il tappeto.</v>
      </c>
    </row>
    <row r="20654">
      <c r="A20654" s="4" t="s">
        <v>26008</v>
      </c>
      <c r="B20654" s="4" t="s">
        <v>26009</v>
      </c>
      <c r="C20654" s="5" t="str">
        <f>IFERROR(__xludf.DUMMYFUNCTION("GOOGLETRANSLATE(B20654,""en"",""it"")"),"Un primo piano di un cane viene visto con una persona che tiene un rasoio.")</f>
        <v>Un primo piano di un cane viene visto con una persona che tiene un rasoio.</v>
      </c>
    </row>
    <row r="20655">
      <c r="A20655" s="4" t="s">
        <v>26008</v>
      </c>
      <c r="B20655" s="4" t="s">
        <v>26010</v>
      </c>
      <c r="C20655" s="5" t="str">
        <f>IFERROR(__xludf.DUMMYFUNCTION("GOOGLETRANSLATE(B20655,""en"",""it"")"),"La persona quindi solleva la faccia dei cani e inizia a tagliare gli occhi.")</f>
        <v>La persona quindi solleva la faccia dei cani e inizia a tagliare gli occhi.</v>
      </c>
    </row>
    <row r="20656">
      <c r="A20656" s="4" t="s">
        <v>26008</v>
      </c>
      <c r="B20656" s="4" t="s">
        <v>26011</v>
      </c>
      <c r="C20656" s="5" t="str">
        <f>IFERROR(__xludf.DUMMYFUNCTION("GOOGLETRANSLATE(B20656,""en"",""it"")"),"La persona continua a radersi e termina pettinando la sua faccia.")</f>
        <v>La persona continua a radersi e termina pettinando la sua faccia.</v>
      </c>
    </row>
    <row r="20657">
      <c r="A20657" s="4" t="s">
        <v>26012</v>
      </c>
      <c r="B20657" s="6" t="s">
        <v>26013</v>
      </c>
      <c r="C20657" s="5" t="str">
        <f>IFERROR(__xludf.DUMMYFUNCTION("GOOGLETRANSLATE(B20657,""en"",""it"")"),"Viene vista una donna parlare alla telecamera e conduce a una donna che corre e intervistando altri corridori.")</f>
        <v>Viene vista una donna parlare alla telecamera e conduce a una donna che corre e intervistando altri corridori.</v>
      </c>
    </row>
    <row r="20658">
      <c r="A20658" s="4" t="s">
        <v>26012</v>
      </c>
      <c r="B20658" s="4" t="s">
        <v>26014</v>
      </c>
      <c r="C20658" s="5" t="str">
        <f>IFERROR(__xludf.DUMMYFUNCTION("GOOGLETRANSLATE(B20658,""en"",""it"")"),"Intervista due gemelli durante la corsa e le notizie mostrano altri corridori della zona.")</f>
        <v>Intervista due gemelli durante la corsa e le notizie mostrano altri corridori della zona.</v>
      </c>
    </row>
    <row r="20659">
      <c r="A20659" s="4" t="s">
        <v>26015</v>
      </c>
      <c r="B20659" s="6" t="s">
        <v>26016</v>
      </c>
      <c r="C20659" s="5" t="str">
        <f>IFERROR(__xludf.DUMMYFUNCTION("GOOGLETRANSLATE(B20659,""en"",""it"")"),"Un grande uomo viene visto piegarsi in ginocchio muovendosi le braccia e si guardano in lontananza.")</f>
        <v>Un grande uomo viene visto piegarsi in ginocchio muovendosi le braccia e si guardano in lontananza.</v>
      </c>
    </row>
    <row r="20660">
      <c r="A20660" s="4" t="s">
        <v>26015</v>
      </c>
      <c r="B20660" s="6" t="s">
        <v>26017</v>
      </c>
      <c r="C20660" s="5" t="str">
        <f>IFERROR(__xludf.DUMMYFUNCTION("GOOGLETRANSLATE(B20660,""en"",""it"")"),"L'uomo continua a muoversi tutto sul tappeto eseguendo varie mosse di arti marziali e tornando indietro e quarto alla telecamera.")</f>
        <v>L'uomo continua a muoversi tutto sul tappeto eseguendo varie mosse di arti marziali e tornando indietro e quarto alla telecamera.</v>
      </c>
    </row>
    <row r="20661">
      <c r="A20661" s="4" t="s">
        <v>26018</v>
      </c>
      <c r="B20661" s="4" t="s">
        <v>26019</v>
      </c>
      <c r="C20661" s="5" t="str">
        <f>IFERROR(__xludf.DUMMYFUNCTION("GOOGLETRANSLATE(B20661,""en"",""it"")"),"Le persone stanno scivolando giù da un pendio nevoso con pneumatici gonfiati.")</f>
        <v>Le persone stanno scivolando giù da un pendio nevoso con pneumatici gonfiati.</v>
      </c>
    </row>
    <row r="20662">
      <c r="A20662" s="4" t="s">
        <v>26018</v>
      </c>
      <c r="B20662" s="4" t="s">
        <v>26020</v>
      </c>
      <c r="C20662" s="5" t="str">
        <f>IFERROR(__xludf.DUMMYFUNCTION("GOOGLETRANSLATE(B20662,""en"",""it"")"),"Un bambino sta nella gomma e salta per la gioia.")</f>
        <v>Un bambino sta nella gomma e salta per la gioia.</v>
      </c>
    </row>
    <row r="20663">
      <c r="A20663" s="4" t="s">
        <v>26018</v>
      </c>
      <c r="B20663" s="4" t="s">
        <v>26021</v>
      </c>
      <c r="C20663" s="5" t="str">
        <f>IFERROR(__xludf.DUMMYFUNCTION("GOOGLETRANSLATE(B20663,""en"",""it"")"),"Un adulto si alza e tira entrambi i pneumatici.")</f>
        <v>Un adulto si alza e tira entrambi i pneumatici.</v>
      </c>
    </row>
    <row r="20664">
      <c r="A20664" s="4" t="s">
        <v>26022</v>
      </c>
      <c r="B20664" s="6" t="s">
        <v>26023</v>
      </c>
      <c r="C20664" s="5" t="str">
        <f>IFERROR(__xludf.DUMMYFUNCTION("GOOGLETRANSLATE(B20664,""en"",""it"")"),"Un uomo vestito con un abito mimetico si trova in un grande campo erboso con altre persone e sta tirando su una corda che riescono a malapena a vedere.")</f>
        <v>Un uomo vestito con un abito mimetico si trova in un grande campo erboso con altre persone e sta tirando su una corda che riescono a malapena a vedere.</v>
      </c>
    </row>
    <row r="20665">
      <c r="A20665" s="4" t="s">
        <v>26022</v>
      </c>
      <c r="B20665" s="4" t="s">
        <v>26024</v>
      </c>
      <c r="C20665" s="5" t="str">
        <f>IFERROR(__xludf.DUMMYFUNCTION("GOOGLETRANSLATE(B20665,""en"",""it"")"),"Ci sono molte altre persone che si muovono sul campo facendo le proprie cose.")</f>
        <v>Ci sono molte altre persone che si muovono sul campo facendo le proprie cose.</v>
      </c>
    </row>
    <row r="20666">
      <c r="A20666" s="4" t="s">
        <v>26022</v>
      </c>
      <c r="B20666" s="6" t="s">
        <v>26025</v>
      </c>
      <c r="C20666" s="5" t="str">
        <f>IFERROR(__xludf.DUMMYFUNCTION("GOOGLETRANSLATE(B20666,""en"",""it"")"),"Gli angoli della fotocamera stanno cambiando e quando otteniamo un primo piano dell'uomo possiamo finalmente vedere la corda che sta tirando.")</f>
        <v>Gli angoli della fotocamera stanno cambiando e quando otteniamo un primo piano dell'uomo possiamo finalmente vedere la corda che sta tirando.</v>
      </c>
    </row>
    <row r="20667">
      <c r="A20667" s="4" t="s">
        <v>26026</v>
      </c>
      <c r="B20667" s="4" t="s">
        <v>26027</v>
      </c>
      <c r="C20667" s="5" t="str">
        <f>IFERROR(__xludf.DUMMYFUNCTION("GOOGLETRANSLATE(B20667,""en"",""it"")"),"Una donna sta bagnando due cuccioli di colore bianco in una vasca arancione piena d'acqua.")</f>
        <v>Una donna sta bagnando due cuccioli di colore bianco in una vasca arancione piena d'acqua.</v>
      </c>
    </row>
    <row r="20668">
      <c r="A20668" s="4" t="s">
        <v>26026</v>
      </c>
      <c r="B20668" s="4" t="s">
        <v>26028</v>
      </c>
      <c r="C20668" s="5" t="str">
        <f>IFERROR(__xludf.DUMMYFUNCTION("GOOGLETRANSLATE(B20668,""en"",""it"")"),"È unita da un uomo che indossa un orologio da polso, che aiuta la donna a fare il bagno ai due cuccioli.")</f>
        <v>È unita da un uomo che indossa un orologio da polso, che aiuta la donna a fare il bagno ai due cuccioli.</v>
      </c>
    </row>
    <row r="20669">
      <c r="A20669" s="4" t="s">
        <v>26026</v>
      </c>
      <c r="B20669" s="4" t="s">
        <v>26029</v>
      </c>
      <c r="C20669" s="5" t="str">
        <f>IFERROR(__xludf.DUMMYFUNCTION("GOOGLETRANSLATE(B20669,""en"",""it"")"),"Uno dei cuccioli cerca di uscire dalla vasca e l'uomo lo tiene e lo riporta.")</f>
        <v>Uno dei cuccioli cerca di uscire dalla vasca e l'uomo lo tiene e lo riporta.</v>
      </c>
    </row>
    <row r="20670">
      <c r="A20670" s="4" t="s">
        <v>26026</v>
      </c>
      <c r="B20670" s="4" t="s">
        <v>26030</v>
      </c>
      <c r="C20670" s="5" t="str">
        <f>IFERROR(__xludf.DUMMYFUNCTION("GOOGLETRANSLATE(B20670,""en"",""it"")"),"La donna continua a lavare i cuccioli.")</f>
        <v>La donna continua a lavare i cuccioli.</v>
      </c>
    </row>
    <row r="20671">
      <c r="A20671" s="4" t="s">
        <v>26031</v>
      </c>
      <c r="B20671" s="4" t="s">
        <v>26032</v>
      </c>
      <c r="C20671" s="5" t="str">
        <f>IFERROR(__xludf.DUMMYFUNCTION("GOOGLETRANSLATE(B20671,""en"",""it"")"),"Un uomo con camicia nera puzza il tavolo con un panno bianco.")</f>
        <v>Un uomo con camicia nera puzza il tavolo con un panno bianco.</v>
      </c>
    </row>
    <row r="20672">
      <c r="A20672" s="4" t="s">
        <v>26031</v>
      </c>
      <c r="B20672" s="4" t="s">
        <v>26033</v>
      </c>
      <c r="C20672" s="5" t="str">
        <f>IFERROR(__xludf.DUMMYFUNCTION("GOOGLETRANSLATE(B20672,""en"",""it"")"),"Le luci bianche si riflettono sul tavolo.")</f>
        <v>Le luci bianche si riflettono sul tavolo.</v>
      </c>
    </row>
    <row r="20673">
      <c r="A20673" s="4" t="s">
        <v>26031</v>
      </c>
      <c r="B20673" s="4" t="s">
        <v>26034</v>
      </c>
      <c r="C20673" s="5" t="str">
        <f>IFERROR(__xludf.DUMMYFUNCTION("GOOGLETRANSLATE(B20673,""en"",""it"")"),"L'uomo puzza il bordo del tavolo con straccio bianco.")</f>
        <v>L'uomo puzza il bordo del tavolo con straccio bianco.</v>
      </c>
    </row>
    <row r="20674">
      <c r="A20674" s="4" t="s">
        <v>26035</v>
      </c>
      <c r="B20674" s="6" t="s">
        <v>26036</v>
      </c>
      <c r="C20674" s="5" t="str">
        <f>IFERROR(__xludf.DUMMYFUNCTION("GOOGLETRANSLATE(B20674,""en"",""it"")"),"Una donna sta facendo un tutorial su come pulire un lavello da cucina con bicarbonato di sodio, spazzolino da denti e straccio di stoffa.")</f>
        <v>Una donna sta facendo un tutorial su come pulire un lavello da cucina con bicarbonato di sodio, spazzolino da denti e straccio di stoffa.</v>
      </c>
    </row>
    <row r="20675">
      <c r="A20675" s="4" t="s">
        <v>26035</v>
      </c>
      <c r="B20675" s="4" t="s">
        <v>26037</v>
      </c>
      <c r="C20675" s="5" t="str">
        <f>IFERROR(__xludf.DUMMYFUNCTION("GOOGLETRANSLATE(B20675,""en"",""it"")"),"Per prima cosa prende un po 'di bicarbonato di sodio sullo straccio e lo strofina sul lavandino.")</f>
        <v>Per prima cosa prende un po 'di bicarbonato di sodio sullo straccio e lo strofina sul lavandino.</v>
      </c>
    </row>
    <row r="20676">
      <c r="A20676" s="4" t="s">
        <v>26035</v>
      </c>
      <c r="B20676" s="4" t="s">
        <v>26038</v>
      </c>
      <c r="C20676" s="5" t="str">
        <f>IFERROR(__xludf.DUMMYFUNCTION("GOOGLETRANSLATE(B20676,""en"",""it"")"),"Quindi prende lo spazzolino da denti e lo immerge nel bicarbonato di sodio.")</f>
        <v>Quindi prende lo spazzolino da denti e lo immerge nel bicarbonato di sodio.</v>
      </c>
    </row>
    <row r="20677">
      <c r="A20677" s="4" t="s">
        <v>26035</v>
      </c>
      <c r="B20677" s="4" t="s">
        <v>26039</v>
      </c>
      <c r="C20677" s="5" t="str">
        <f>IFERROR(__xludf.DUMMYFUNCTION("GOOGLETRANSLATE(B20677,""en"",""it"")"),"Spazzola lo spazzolino da denti sui bordi del lavandino per pulirlo.")</f>
        <v>Spazzola lo spazzolino da denti sui bordi del lavandino per pulirlo.</v>
      </c>
    </row>
    <row r="20678">
      <c r="A20678" s="4" t="s">
        <v>26035</v>
      </c>
      <c r="B20678" s="4" t="s">
        <v>26040</v>
      </c>
      <c r="C20678" s="5" t="str">
        <f>IFERROR(__xludf.DUMMYFUNCTION("GOOGLETRANSLATE(B20678,""en"",""it"")"),"Si accende sul rubinetto e lava il bicarbonato di sodio dal lavandino.")</f>
        <v>Si accende sul rubinetto e lava il bicarbonato di sodio dal lavandino.</v>
      </c>
    </row>
    <row r="20679">
      <c r="A20679" s="4" t="s">
        <v>26035</v>
      </c>
      <c r="B20679" s="4" t="s">
        <v>26041</v>
      </c>
      <c r="C20679" s="5" t="str">
        <f>IFERROR(__xludf.DUMMYFUNCTION("GOOGLETRANSLATE(B20679,""en"",""it"")"),"Quindi prende un po 'di aceto sul panno di lavaggio e si asciuga il lavandino con esso.")</f>
        <v>Quindi prende un po 'di aceto sul panno di lavaggio e si asciuga il lavandino con esso.</v>
      </c>
    </row>
    <row r="20680">
      <c r="A20680" s="4" t="s">
        <v>26042</v>
      </c>
      <c r="B20680" s="4" t="s">
        <v>26043</v>
      </c>
      <c r="C20680" s="5" t="str">
        <f>IFERROR(__xludf.DUMMYFUNCTION("GOOGLETRANSLATE(B20680,""en"",""it"")"),"Girlwearnig Un corpo viola è in un palo di equilibrio e fa un salto in cima.")</f>
        <v>Girlwearnig Un corpo viola è in un palo di equilibrio e fa un salto in cima.</v>
      </c>
    </row>
    <row r="20681">
      <c r="A20681" s="4" t="s">
        <v>26042</v>
      </c>
      <c r="B20681" s="4" t="s">
        <v>26044</v>
      </c>
      <c r="C20681" s="5" t="str">
        <f>IFERROR(__xludf.DUMMYFUNCTION("GOOGLETRANSLATE(B20681,""en"",""it"")"),"La ragazza sta facendo ginnastica in cima al raggio di equilibrio.")</f>
        <v>La ragazza sta facendo ginnastica in cima al raggio di equilibrio.</v>
      </c>
    </row>
    <row r="20682">
      <c r="A20682" s="4" t="s">
        <v>26042</v>
      </c>
      <c r="B20682" s="4" t="s">
        <v>26045</v>
      </c>
      <c r="C20682" s="5" t="str">
        <f>IFERROR(__xludf.DUMMYFUNCTION("GOOGLETRANSLATE(B20682,""en"",""it"")"),"Le persone in tribunali intorno al campo stanno guardando il bambino fare ginnastica.")</f>
        <v>Le persone in tribunali intorno al campo stanno guardando il bambino fare ginnastica.</v>
      </c>
    </row>
    <row r="20683">
      <c r="A20683" s="4" t="s">
        <v>26042</v>
      </c>
      <c r="B20683" s="4" t="s">
        <v>26046</v>
      </c>
      <c r="C20683" s="5" t="str">
        <f>IFERROR(__xludf.DUMMYFUNCTION("GOOGLETRANSLATE(B20683,""en"",""it"")"),"La ragazza fa una grande capriola e atterra sul pavimento.")</f>
        <v>La ragazza fa una grande capriola e atterra sul pavimento.</v>
      </c>
    </row>
    <row r="20684">
      <c r="A20684" s="4" t="s">
        <v>26047</v>
      </c>
      <c r="B20684" s="4" t="s">
        <v>26048</v>
      </c>
      <c r="C20684" s="5" t="str">
        <f>IFERROR(__xludf.DUMMYFUNCTION("GOOGLETRANSLATE(B20684,""en"",""it"")"),"Un uomo con le braccia tatuate tampona l'orecchio della giovane donna con un tampone dell'orecchio.")</f>
        <v>Un uomo con le braccia tatuate tampona l'orecchio della giovane donna con un tampone dell'orecchio.</v>
      </c>
    </row>
    <row r="20685">
      <c r="A20685" s="4" t="s">
        <v>26047</v>
      </c>
      <c r="B20685" s="4" t="s">
        <v>26049</v>
      </c>
      <c r="C20685" s="5" t="str">
        <f>IFERROR(__xludf.DUMMYFUNCTION("GOOGLETRANSLATE(B20685,""en"",""it"")"),"La signora si alza e si guarda allo specchio.")</f>
        <v>La signora si alza e si guarda allo specchio.</v>
      </c>
    </row>
    <row r="20686">
      <c r="A20686" s="4" t="s">
        <v>26047</v>
      </c>
      <c r="B20686" s="4" t="s">
        <v>26050</v>
      </c>
      <c r="C20686" s="5" t="str">
        <f>IFERROR(__xludf.DUMMYFUNCTION("GOOGLETRANSLATE(B20686,""en"",""it"")"),"Si sdraia su una sedia medica nera e l'uomo trafigge i traghi dell'orecchio con strumenti medici.")</f>
        <v>Si sdraia su una sedia medica nera e l'uomo trafigge i traghi dell'orecchio con strumenti medici.</v>
      </c>
    </row>
    <row r="20687">
      <c r="A20687" s="4" t="s">
        <v>26047</v>
      </c>
      <c r="B20687" s="4" t="s">
        <v>26051</v>
      </c>
      <c r="C20687" s="5" t="str">
        <f>IFERROR(__xludf.DUMMYFUNCTION("GOOGLETRANSLATE(B20687,""en"",""it"")"),"La signora si guarda e il suo nuovo piercing allo specchio, sorride e dà due pollici in su.")</f>
        <v>La signora si guarda e il suo nuovo piercing allo specchio, sorride e dà due pollici in su.</v>
      </c>
    </row>
    <row r="20688">
      <c r="A20688" s="4" t="s">
        <v>26047</v>
      </c>
      <c r="B20688" s="6" t="s">
        <v>26052</v>
      </c>
      <c r="C20688" s="5" t="str">
        <f>IFERROR(__xludf.DUMMYFUNCTION("GOOGLETRANSLATE(B20688,""en"",""it"")"),"Le parole ""Se vuoi sapere qualcos'altro sul perforare il solo commento o inviami un messaggio :) Nuovi video di bellezza insieme a una collezione di trucco saranno presto alzati sullo schermo.")</f>
        <v>Le parole "Se vuoi sapere qualcos'altro sul perforare il solo commento o inviami un messaggio :) Nuovi video di bellezza insieme a una collezione di trucco saranno presto alzati sullo schermo.</v>
      </c>
    </row>
    <row r="20689">
      <c r="A20689" s="4" t="s">
        <v>26053</v>
      </c>
      <c r="B20689" s="4" t="s">
        <v>26054</v>
      </c>
      <c r="C20689" s="5" t="str">
        <f>IFERROR(__xludf.DUMMYFUNCTION("GOOGLETRANSLATE(B20689,""en"",""it"")"),"Una ginnasta si avvicina a un raggio, preparandosi.")</f>
        <v>Una ginnasta si avvicina a un raggio, preparandosi.</v>
      </c>
    </row>
    <row r="20690">
      <c r="A20690" s="4" t="s">
        <v>26053</v>
      </c>
      <c r="B20690" s="4" t="s">
        <v>26055</v>
      </c>
      <c r="C20690" s="5" t="str">
        <f>IFERROR(__xludf.DUMMYFUNCTION("GOOGLETRANSLATE(B20690,""en"",""it"")"),"Monta il raggio, quindi fa diversi atti attorno ad esso, tra cui rotazione e capovolgimento.")</f>
        <v>Monta il raggio, quindi fa diversi atti attorno ad esso, tra cui rotazione e capovolgimento.</v>
      </c>
    </row>
    <row r="20691">
      <c r="A20691" s="4" t="s">
        <v>26053</v>
      </c>
      <c r="B20691" s="4" t="s">
        <v>26056</v>
      </c>
      <c r="C20691" s="5" t="str">
        <f>IFERROR(__xludf.DUMMYFUNCTION("GOOGLETRANSLATE(B20691,""en"",""it"")"),"Smonta e se ne va.")</f>
        <v>Smonta e se ne va.</v>
      </c>
    </row>
    <row r="20692">
      <c r="A20692" s="4" t="s">
        <v>26057</v>
      </c>
      <c r="B20692" s="6" t="s">
        <v>26058</v>
      </c>
      <c r="C20692" s="5" t="str">
        <f>IFERROR(__xludf.DUMMYFUNCTION("GOOGLETRANSLATE(B20692,""en"",""it"")"),"Una fotocamera cattura una rete davanti al cielo e mostra due persone che preparano le corde per il salto di bungee.")</f>
        <v>Una fotocamera cattura una rete davanti al cielo e mostra due persone che preparano le corde per il salto di bungee.</v>
      </c>
    </row>
    <row r="20693">
      <c r="A20693" s="4" t="s">
        <v>26057</v>
      </c>
      <c r="B20693" s="4" t="s">
        <v>26059</v>
      </c>
      <c r="C20693" s="5" t="str">
        <f>IFERROR(__xludf.DUMMYFUNCTION("GOOGLETRANSLATE(B20693,""en"",""it"")"),"L'uomo della telecamera salta giù dalla sporgenza e mostra i suoi piedi mentre gira in giro.")</f>
        <v>L'uomo della telecamera salta giù dalla sporgenza e mostra i suoi piedi mentre gira in giro.</v>
      </c>
    </row>
    <row r="20694">
      <c r="A20694" s="4" t="s">
        <v>26057</v>
      </c>
      <c r="B20694" s="6" t="s">
        <v>26060</v>
      </c>
      <c r="C20694" s="5" t="str">
        <f>IFERROR(__xludf.DUMMYFUNCTION("GOOGLETRANSLATE(B20694,""en"",""it"")"),"Un'altra fotocamera ha catturato il suo salto dal fondo e conduce a diverse persone in attesa in fondo e allontanandosi.")</f>
        <v>Un'altra fotocamera ha catturato il suo salto dal fondo e conduce a diverse persone in attesa in fondo e allontanandosi.</v>
      </c>
    </row>
    <row r="20695">
      <c r="A20695" s="4" t="s">
        <v>26061</v>
      </c>
      <c r="B20695" s="4" t="s">
        <v>26062</v>
      </c>
      <c r="C20695" s="5" t="str">
        <f>IFERROR(__xludf.DUMMYFUNCTION("GOOGLETRANSLATE(B20695,""en"",""it"")"),"Un ragazzo con una giacca blu si avvicina a un tubo di neve per ciambelle.")</f>
        <v>Un ragazzo con una giacca blu si avvicina a un tubo di neve per ciambelle.</v>
      </c>
    </row>
    <row r="20696">
      <c r="A20696" s="4" t="s">
        <v>26061</v>
      </c>
      <c r="B20696" s="4" t="s">
        <v>26063</v>
      </c>
      <c r="C20696" s="5" t="str">
        <f>IFERROR(__xludf.DUMMYFUNCTION("GOOGLETRANSLATE(B20696,""en"",""it"")"),"Due bambini piccoli lo guardano.")</f>
        <v>Due bambini piccoli lo guardano.</v>
      </c>
    </row>
    <row r="20697">
      <c r="A20697" s="4" t="s">
        <v>26061</v>
      </c>
      <c r="B20697" s="4" t="s">
        <v>26064</v>
      </c>
      <c r="C20697" s="5" t="str">
        <f>IFERROR(__xludf.DUMMYFUNCTION("GOOGLETRANSLATE(B20697,""en"",""it"")"),"L'intero gruppo scende dalla neve.")</f>
        <v>L'intero gruppo scende dalla neve.</v>
      </c>
    </row>
    <row r="20698">
      <c r="A20698" s="4" t="s">
        <v>26065</v>
      </c>
      <c r="B20698" s="4" t="s">
        <v>26066</v>
      </c>
      <c r="C20698" s="5" t="str">
        <f>IFERROR(__xludf.DUMMYFUNCTION("GOOGLETRANSLATE(B20698,""en"",""it"")"),"L'uomo indossa una muta sul retro che fa windsurf in un lago.")</f>
        <v>L'uomo indossa una muta sul retro che fa windsurf in un lago.</v>
      </c>
    </row>
    <row r="20699">
      <c r="A20699" s="4" t="s">
        <v>26065</v>
      </c>
      <c r="B20699" s="4" t="s">
        <v>26067</v>
      </c>
      <c r="C20699" s="5" t="str">
        <f>IFERROR(__xludf.DUMMYFUNCTION("GOOGLETRANSLATE(B20699,""en"",""it"")"),"L'uomo sta sussurrando in un lago facendo trucchi.")</f>
        <v>L'uomo sta sussurrando in un lago facendo trucchi.</v>
      </c>
    </row>
    <row r="20700">
      <c r="A20700" s="4" t="s">
        <v>26065</v>
      </c>
      <c r="B20700" s="4" t="s">
        <v>26068</v>
      </c>
      <c r="C20700" s="5" t="str">
        <f>IFERROR(__xludf.DUMMYFUNCTION("GOOGLETRANSLATE(B20700,""en"",""it"")"),"L'uomo windsurf saluta la telecamera.")</f>
        <v>L'uomo windsurf saluta la telecamera.</v>
      </c>
    </row>
    <row r="20701">
      <c r="A20701" s="4" t="s">
        <v>26069</v>
      </c>
      <c r="B20701" s="4" t="s">
        <v>26070</v>
      </c>
      <c r="C20701" s="5" t="str">
        <f>IFERROR(__xludf.DUMMYFUNCTION("GOOGLETRANSLATE(B20701,""en"",""it"")"),"Una coppia viene vista eseguire una routine di tango tra loro in una piccola stanza.")</f>
        <v>Una coppia viene vista eseguire una routine di tango tra loro in una piccola stanza.</v>
      </c>
    </row>
    <row r="20702">
      <c r="A20702" s="4" t="s">
        <v>26069</v>
      </c>
      <c r="B20702" s="6" t="s">
        <v>26071</v>
      </c>
      <c r="C20702" s="5" t="str">
        <f>IFERROR(__xludf.DUMMYFUNCTION("GOOGLETRANSLATE(B20702,""en"",""it"")"),"Le persone continuano a girare e ballare in giro per la stanza e termina con loro fermandosi e rivolte verso la telecamera.")</f>
        <v>Le persone continuano a girare e ballare in giro per la stanza e termina con loro fermandosi e rivolte verso la telecamera.</v>
      </c>
    </row>
    <row r="20703">
      <c r="A20703" s="4" t="s">
        <v>26072</v>
      </c>
      <c r="B20703" s="4" t="s">
        <v>26073</v>
      </c>
      <c r="C20703" s="5" t="str">
        <f>IFERROR(__xludf.DUMMYFUNCTION("GOOGLETRANSLATE(B20703,""en"",""it"")"),"Un gruppo si trova a un tavolo da caffè e gode di caffè e pasticcini.")</f>
        <v>Un gruppo si trova a un tavolo da caffè e gode di caffè e pasticcini.</v>
      </c>
    </row>
    <row r="20704">
      <c r="A20704" s="4" t="s">
        <v>26072</v>
      </c>
      <c r="B20704" s="4" t="s">
        <v>26074</v>
      </c>
      <c r="C20704" s="5" t="str">
        <f>IFERROR(__xludf.DUMMYFUNCTION("GOOGLETRANSLATE(B20704,""en"",""it"")"),"Le donne passano i condimenti tra loro.")</f>
        <v>Le donne passano i condimenti tra loro.</v>
      </c>
    </row>
    <row r="20705">
      <c r="A20705" s="4" t="s">
        <v>26072</v>
      </c>
      <c r="B20705" s="4" t="s">
        <v>26075</v>
      </c>
      <c r="C20705" s="5" t="str">
        <f>IFERROR(__xludf.DUMMYFUNCTION("GOOGLETRANSLATE(B20705,""en"",""it"")"),"Un piccolo gruppo si trova su un balcone e parla.")</f>
        <v>Un piccolo gruppo si trova su un balcone e parla.</v>
      </c>
    </row>
    <row r="20706">
      <c r="A20706" s="4" t="s">
        <v>26076</v>
      </c>
      <c r="B20706" s="4" t="s">
        <v>26077</v>
      </c>
      <c r="C20706" s="5" t="str">
        <f>IFERROR(__xludf.DUMMYFUNCTION("GOOGLETRANSLATE(B20706,""en"",""it"")"),"Un uomo si inginocchia a terra.")</f>
        <v>Un uomo si inginocchia a terra.</v>
      </c>
    </row>
    <row r="20707">
      <c r="A20707" s="4" t="s">
        <v>26076</v>
      </c>
      <c r="B20707" s="4" t="s">
        <v>26078</v>
      </c>
      <c r="C20707" s="5" t="str">
        <f>IFERROR(__xludf.DUMMYFUNCTION("GOOGLETRANSLATE(B20707,""en"",""it"")"),"Sta tirando un cavo attaccato al muro.")</f>
        <v>Sta tirando un cavo attaccato al muro.</v>
      </c>
    </row>
    <row r="20708">
      <c r="A20708" s="4" t="s">
        <v>26076</v>
      </c>
      <c r="B20708" s="4" t="s">
        <v>26079</v>
      </c>
      <c r="C20708" s="5" t="str">
        <f>IFERROR(__xludf.DUMMYFUNCTION("GOOGLETRANSLATE(B20708,""en"",""it"")"),"Continua a tirare il cavo e ad allenarsi.")</f>
        <v>Continua a tirare il cavo e ad allenarsi.</v>
      </c>
    </row>
    <row r="20709">
      <c r="A20709" s="4" t="s">
        <v>26080</v>
      </c>
      <c r="B20709" s="4" t="s">
        <v>26081</v>
      </c>
      <c r="C20709" s="5" t="str">
        <f>IFERROR(__xludf.DUMMYFUNCTION("GOOGLETRANSLATE(B20709,""en"",""it"")"),"Un uomo si avvicina a una siepe che trasportava una grande coppia di ribaltatori di siepe.")</f>
        <v>Un uomo si avvicina a una siepe che trasportava una grande coppia di ribaltatori di siepe.</v>
      </c>
    </row>
    <row r="20710">
      <c r="A20710" s="4" t="s">
        <v>26080</v>
      </c>
      <c r="B20710" s="4" t="s">
        <v>26082</v>
      </c>
      <c r="C20710" s="5" t="str">
        <f>IFERROR(__xludf.DUMMYFUNCTION("GOOGLETRANSLATE(B20710,""en"",""it"")"),"Mostra come tagliare le siepi ordinatamente, scendendo un po 'alla volta.")</f>
        <v>Mostra come tagliare le siepi ordinatamente, scendendo un po 'alla volta.</v>
      </c>
    </row>
    <row r="20711">
      <c r="A20711" s="4" t="s">
        <v>26080</v>
      </c>
      <c r="B20711" s="4" t="s">
        <v>26083</v>
      </c>
      <c r="C20711" s="5" t="str">
        <f>IFERROR(__xludf.DUMMYFUNCTION("GOOGLETRANSLATE(B20711,""en"",""it"")"),"Si ferma, parlando con la telecamera mentre va.")</f>
        <v>Si ferma, parlando con la telecamera mentre va.</v>
      </c>
    </row>
    <row r="20712">
      <c r="A20712" s="4" t="s">
        <v>26084</v>
      </c>
      <c r="B20712" s="4" t="s">
        <v>26085</v>
      </c>
      <c r="C20712" s="5" t="str">
        <f>IFERROR(__xludf.DUMMYFUNCTION("GOOGLETRANSLATE(B20712,""en"",""it"")"),"Vediamo una bambina che tiene il guinzaglio per un grosso cane.")</f>
        <v>Vediamo una bambina che tiene il guinzaglio per un grosso cane.</v>
      </c>
    </row>
    <row r="20713">
      <c r="A20713" s="4" t="s">
        <v>26084</v>
      </c>
      <c r="B20713" s="4" t="s">
        <v>26086</v>
      </c>
      <c r="C20713" s="5" t="str">
        <f>IFERROR(__xludf.DUMMYFUNCTION("GOOGLETRANSLATE(B20713,""en"",""it"")"),"La bambina cade e lascia cadere il guinzaglio.")</f>
        <v>La bambina cade e lascia cadere il guinzaglio.</v>
      </c>
    </row>
    <row r="20714">
      <c r="A20714" s="4" t="s">
        <v>26084</v>
      </c>
      <c r="B20714" s="4" t="s">
        <v>26087</v>
      </c>
      <c r="C20714" s="5" t="str">
        <f>IFERROR(__xludf.DUMMYFUNCTION("GOOGLETRANSLATE(B20714,""en"",""it"")"),"La bambina quindi segue il cane per ottenere il guinzaglio.")</f>
        <v>La bambina quindi segue il cane per ottenere il guinzaglio.</v>
      </c>
    </row>
    <row r="20715">
      <c r="A20715" s="4" t="s">
        <v>26084</v>
      </c>
      <c r="B20715" s="4" t="s">
        <v>26088</v>
      </c>
      <c r="C20715" s="5" t="str">
        <f>IFERROR(__xludf.DUMMYFUNCTION("GOOGLETRANSLATE(B20715,""en"",""it"")"),"Prende il guinzaglio e cammina il cane.")</f>
        <v>Prende il guinzaglio e cammina il cane.</v>
      </c>
    </row>
    <row r="20716">
      <c r="A20716" s="4" t="s">
        <v>26089</v>
      </c>
      <c r="B20716" s="4" t="s">
        <v>26090</v>
      </c>
      <c r="C20716" s="5" t="str">
        <f>IFERROR(__xludf.DUMMYFUNCTION("GOOGLETRANSLATE(B20716,""en"",""it"")"),"Una donna è vista in piedi davanti a Pinata e oscilla una mazza.")</f>
        <v>Una donna è vista in piedi davanti a Pinata e oscilla una mazza.</v>
      </c>
    </row>
    <row r="20717">
      <c r="A20717" s="4" t="s">
        <v>26089</v>
      </c>
      <c r="B20717" s="4" t="s">
        <v>26091</v>
      </c>
      <c r="C20717" s="5" t="str">
        <f>IFERROR(__xludf.DUMMYFUNCTION("GOOGLETRANSLATE(B20717,""en"",""it"")"),"Le persone guardano sul lato mentre la donna continua a colpire l'oggetto.")</f>
        <v>Le persone guardano sul lato mentre la donna continua a colpire l'oggetto.</v>
      </c>
    </row>
    <row r="20718">
      <c r="A20718" s="4" t="s">
        <v>26089</v>
      </c>
      <c r="B20718" s="4" t="s">
        <v>26092</v>
      </c>
      <c r="C20718" s="5" t="str">
        <f>IFERROR(__xludf.DUMMYFUNCTION("GOOGLETRANSLATE(B20718,""en"",""it"")"),"La donna oscilla ancora e ancora e un uomo viene in un telaio per calciarlo.")</f>
        <v>La donna oscilla ancora e ancora e un uomo viene in un telaio per calciarlo.</v>
      </c>
    </row>
    <row r="20719">
      <c r="A20719" s="4" t="s">
        <v>26093</v>
      </c>
      <c r="B20719" s="4" t="s">
        <v>26094</v>
      </c>
      <c r="C20719" s="5" t="str">
        <f>IFERROR(__xludf.DUMMYFUNCTION("GOOGLETRANSLATE(B20719,""en"",""it"")"),"Un gruppo di bambini è in piedi fuori da un edificio.")</f>
        <v>Un gruppo di bambini è in piedi fuori da un edificio.</v>
      </c>
    </row>
    <row r="20720">
      <c r="A20720" s="4" t="s">
        <v>26093</v>
      </c>
      <c r="B20720" s="4" t="s">
        <v>26095</v>
      </c>
      <c r="C20720" s="5" t="str">
        <f>IFERROR(__xludf.DUMMYFUNCTION("GOOGLETRANSLATE(B20720,""en"",""it"")"),"Gli adulti li supervisionano come un ufficiale cammina.")</f>
        <v>Gli adulti li supervisionano come un ufficiale cammina.</v>
      </c>
    </row>
    <row r="20721">
      <c r="A20721" s="4" t="s">
        <v>26093</v>
      </c>
      <c r="B20721" s="4" t="s">
        <v>26096</v>
      </c>
      <c r="C20721" s="5" t="str">
        <f>IFERROR(__xludf.DUMMYFUNCTION("GOOGLETRANSLATE(B20721,""en"",""it"")"),"I bambini eseguono vari esercizi guidati dagli adulti.")</f>
        <v>I bambini eseguono vari esercizi guidati dagli adulti.</v>
      </c>
    </row>
    <row r="20722">
      <c r="A20722" s="4" t="s">
        <v>26097</v>
      </c>
      <c r="B20722" s="4" t="s">
        <v>26098</v>
      </c>
      <c r="C20722" s="5" t="str">
        <f>IFERROR(__xludf.DUMMYFUNCTION("GOOGLETRANSLATE(B20722,""en"",""it"")"),"Nel 2009, un uomo viene mostrato seduto a un tavolo.")</f>
        <v>Nel 2009, un uomo viene mostrato seduto a un tavolo.</v>
      </c>
    </row>
    <row r="20723">
      <c r="A20723" s="4" t="s">
        <v>26097</v>
      </c>
      <c r="B20723" s="4" t="s">
        <v>26099</v>
      </c>
      <c r="C20723" s="5" t="str">
        <f>IFERROR(__xludf.DUMMYFUNCTION("GOOGLETRANSLATE(B20723,""en"",""it"")"),"Ha due cubi di Rubik davanti a lui.")</f>
        <v>Ha due cubi di Rubik davanti a lui.</v>
      </c>
    </row>
    <row r="20724">
      <c r="A20724" s="4" t="s">
        <v>26097</v>
      </c>
      <c r="B20724" s="4" t="s">
        <v>26100</v>
      </c>
      <c r="C20724" s="5" t="str">
        <f>IFERROR(__xludf.DUMMYFUNCTION("GOOGLETRANSLATE(B20724,""en"",""it"")"),"Mentre un timer corre, risolve il puzzle usando solo una mano.")</f>
        <v>Mentre un timer corre, risolve il puzzle usando solo una mano.</v>
      </c>
    </row>
    <row r="20725">
      <c r="A20725" s="4" t="s">
        <v>26097</v>
      </c>
      <c r="B20725" s="4" t="s">
        <v>26101</v>
      </c>
      <c r="C20725" s="5" t="str">
        <f>IFERROR(__xludf.DUMMYFUNCTION("GOOGLETRANSLATE(B20725,""en"",""it"")"),"Salta in vittoria dopo soli 17 secondi.")</f>
        <v>Salta in vittoria dopo soli 17 secondi.</v>
      </c>
    </row>
    <row r="20726">
      <c r="A20726" s="4" t="s">
        <v>26102</v>
      </c>
      <c r="B20726" s="6" t="s">
        <v>26103</v>
      </c>
      <c r="C20726" s="5" t="str">
        <f>IFERROR(__xludf.DUMMYFUNCTION("GOOGLETRANSLATE(B20726,""en"",""it"")"),"La persona si arrampica sulle scale mentre le onde li colpiscono, i surfisti navigano sulle onde forti.")</f>
        <v>La persona si arrampica sulle scale mentre le onde li colpiscono, i surfisti navigano sulle onde forti.</v>
      </c>
    </row>
    <row r="20727">
      <c r="A20727" s="4" t="s">
        <v>26102</v>
      </c>
      <c r="B20727" s="4" t="s">
        <v>26104</v>
      </c>
      <c r="C20727" s="5" t="str">
        <f>IFERROR(__xludf.DUMMYFUNCTION("GOOGLETRANSLATE(B20727,""en"",""it"")"),"Due persone che trasportano le loro tavole da surf si arrampicano sulle scale.")</f>
        <v>Due persone che trasportano le loro tavole da surf si arrampicano sulle scale.</v>
      </c>
    </row>
    <row r="20728">
      <c r="A20728" s="4" t="s">
        <v>26102</v>
      </c>
      <c r="B20728" s="4" t="s">
        <v>26105</v>
      </c>
      <c r="C20728" s="5" t="str">
        <f>IFERROR(__xludf.DUMMYFUNCTION("GOOGLETRANSLATE(B20728,""en"",""it"")"),"Le persone dietro Fence stanno guardando i surfisti come la corsa prima che la grande ondata li colpisse.")</f>
        <v>Le persone dietro Fence stanno guardando i surfisti come la corsa prima che la grande ondata li colpisse.</v>
      </c>
    </row>
    <row r="20729">
      <c r="A20729" s="4" t="s">
        <v>26106</v>
      </c>
      <c r="B20729" s="4" t="s">
        <v>26107</v>
      </c>
      <c r="C20729" s="5" t="str">
        <f>IFERROR(__xludf.DUMMYFUNCTION("GOOGLETRANSLATE(B20729,""en"",""it"")"),"Un ragazzino che indossa occhiali salta in una piscina.")</f>
        <v>Un ragazzino che indossa occhiali salta in una piscina.</v>
      </c>
    </row>
    <row r="20730">
      <c r="A20730" s="4" t="s">
        <v>26106</v>
      </c>
      <c r="B20730" s="4" t="s">
        <v>26108</v>
      </c>
      <c r="C20730" s="5" t="str">
        <f>IFERROR(__xludf.DUMMYFUNCTION("GOOGLETRANSLATE(B20730,""en"",""it"")"),"Si tuffa verso il basso e raccoglie qualcosa dal fondo della piscina.")</f>
        <v>Si tuffa verso il basso e raccoglie qualcosa dal fondo della piscina.</v>
      </c>
    </row>
    <row r="20731">
      <c r="A20731" s="4" t="s">
        <v>26106</v>
      </c>
      <c r="B20731" s="4" t="s">
        <v>26109</v>
      </c>
      <c r="C20731" s="5" t="str">
        <f>IFERROR(__xludf.DUMMYFUNCTION("GOOGLETRANSLATE(B20731,""en"",""it"")"),"Torna di nuovo in cima e sopra l'acqua.")</f>
        <v>Torna di nuovo in cima e sopra l'acqua.</v>
      </c>
    </row>
    <row r="20732">
      <c r="A20732" s="4" t="s">
        <v>26110</v>
      </c>
      <c r="B20732" s="4" t="s">
        <v>26111</v>
      </c>
      <c r="C20732" s="5" t="str">
        <f>IFERROR(__xludf.DUMMYFUNCTION("GOOGLETRANSLATE(B20732,""en"",""it"")"),"Una linea di persone raccoglie una corda.")</f>
        <v>Una linea di persone raccoglie una corda.</v>
      </c>
    </row>
    <row r="20733">
      <c r="A20733" s="4" t="s">
        <v>26110</v>
      </c>
      <c r="B20733" s="4" t="s">
        <v>26112</v>
      </c>
      <c r="C20733" s="5" t="str">
        <f>IFERROR(__xludf.DUMMYFUNCTION("GOOGLETRANSLATE(B20733,""en"",""it"")"),"Iniziano a giocare a tiro alla fune.")</f>
        <v>Iniziano a giocare a tiro alla fune.</v>
      </c>
    </row>
    <row r="20734">
      <c r="A20734" s="4" t="s">
        <v>26110</v>
      </c>
      <c r="B20734" s="4" t="s">
        <v>26113</v>
      </c>
      <c r="C20734" s="5" t="str">
        <f>IFERROR(__xludf.DUMMYFUNCTION("GOOGLETRANSLATE(B20734,""en"",""it"")"),"Una parte cade e la folla applaude.")</f>
        <v>Una parte cade e la folla applaude.</v>
      </c>
    </row>
    <row r="20735">
      <c r="A20735" s="4" t="s">
        <v>26114</v>
      </c>
      <c r="B20735" s="4" t="s">
        <v>26115</v>
      </c>
      <c r="C20735" s="5" t="str">
        <f>IFERROR(__xludf.DUMMYFUNCTION("GOOGLETRANSLATE(B20735,""en"",""it"")"),"Appare uno schermo nero con le parole, ""borsa da toelettatura ticas"" insieme al loro URL.")</f>
        <v>Appare uno schermo nero con le parole, "borsa da toelettatura ticas" insieme al loro URL.</v>
      </c>
    </row>
    <row r="20736">
      <c r="A20736" s="4" t="s">
        <v>26114</v>
      </c>
      <c r="B20736" s="4" t="s">
        <v>26116</v>
      </c>
      <c r="C20736" s="5" t="str">
        <f>IFERROR(__xludf.DUMMYFUNCTION("GOOGLETRANSLATE(B20736,""en"",""it"")"),"Un cane viene quindi mostrato appeso a un palo d'argento con due cinghie su di lui.")</f>
        <v>Un cane viene quindi mostrato appeso a un palo d'argento con due cinghie su di lui.</v>
      </c>
    </row>
    <row r="20737">
      <c r="A20737" s="4" t="s">
        <v>26114</v>
      </c>
      <c r="B20737" s="4" t="s">
        <v>26117</v>
      </c>
      <c r="C20737" s="5" t="str">
        <f>IFERROR(__xludf.DUMMYFUNCTION("GOOGLETRANSLATE(B20737,""en"",""it"")"),"Un essere umano inizia quindi a afferrare le zampe dei cani mentre il cagnolino cerca di morderla.")</f>
        <v>Un essere umano inizia quindi a afferrare le zampe dei cani mentre il cagnolino cerca di morderla.</v>
      </c>
    </row>
    <row r="20738">
      <c r="A20738" s="4" t="s">
        <v>26114</v>
      </c>
      <c r="B20738" s="4" t="s">
        <v>26118</v>
      </c>
      <c r="C20738" s="5" t="str">
        <f>IFERROR(__xludf.DUMMYFUNCTION("GOOGLETRANSLATE(B20738,""en"",""it"")"),"La toelettatura continua e poi il cane viene infine rimesso a terra.")</f>
        <v>La toelettatura continua e poi il cane viene infine rimesso a terra.</v>
      </c>
    </row>
    <row r="20739">
      <c r="A20739" s="4" t="s">
        <v>26119</v>
      </c>
      <c r="B20739" s="4" t="s">
        <v>26120</v>
      </c>
      <c r="C20739" s="5" t="str">
        <f>IFERROR(__xludf.DUMMYFUNCTION("GOOGLETRANSLATE(B20739,""en"",""it"")"),"Un uomo si accovaccia in una grande sala aperta a parlare.")</f>
        <v>Un uomo si accovaccia in una grande sala aperta a parlare.</v>
      </c>
    </row>
    <row r="20740">
      <c r="A20740" s="4" t="s">
        <v>26119</v>
      </c>
      <c r="B20740" s="4" t="s">
        <v>26121</v>
      </c>
      <c r="C20740" s="5" t="str">
        <f>IFERROR(__xludf.DUMMYFUNCTION("GOOGLETRANSLATE(B20740,""en"",""it"")"),"L'uomo dimostra come fare una mossa di danza.")</f>
        <v>L'uomo dimostra come fare una mossa di danza.</v>
      </c>
    </row>
    <row r="20741">
      <c r="A20741" s="4" t="s">
        <v>26119</v>
      </c>
      <c r="B20741" s="4" t="s">
        <v>26122</v>
      </c>
      <c r="C20741" s="5" t="str">
        <f>IFERROR(__xludf.DUMMYFUNCTION("GOOGLETRANSLATE(B20741,""en"",""it"")"),"Quindi fa la mossa più volte e salta in piedi.")</f>
        <v>Quindi fa la mossa più volte e salta in piedi.</v>
      </c>
    </row>
    <row r="20742">
      <c r="A20742" s="4" t="s">
        <v>26123</v>
      </c>
      <c r="B20742" s="4" t="s">
        <v>26124</v>
      </c>
      <c r="C20742" s="5" t="str">
        <f>IFERROR(__xludf.DUMMYFUNCTION("GOOGLETRANSLATE(B20742,""en"",""it"")"),"Le persone stanno giocando a badminton su un campo.")</f>
        <v>Le persone stanno giocando a badminton su un campo.</v>
      </c>
    </row>
    <row r="20743">
      <c r="A20743" s="4" t="s">
        <v>26123</v>
      </c>
      <c r="B20743" s="4" t="s">
        <v>26125</v>
      </c>
      <c r="C20743" s="5" t="str">
        <f>IFERROR(__xludf.DUMMYFUNCTION("GOOGLETRANSLATE(B20743,""en"",""it"")"),"Le persone sono sedute dietro di loro a guardare la partita.")</f>
        <v>Le persone sono sedute dietro di loro a guardare la partita.</v>
      </c>
    </row>
    <row r="20744">
      <c r="A20744" s="4" t="s">
        <v>26123</v>
      </c>
      <c r="B20744" s="4" t="s">
        <v>26126</v>
      </c>
      <c r="C20744" s="5" t="str">
        <f>IFERROR(__xludf.DUMMYFUNCTION("GOOGLETRANSLATE(B20744,""en"",""it"")"),"Una ragazza con una camicia rosa prende la palla.")</f>
        <v>Una ragazza con una camicia rosa prende la palla.</v>
      </c>
    </row>
    <row r="20745">
      <c r="A20745" s="4" t="s">
        <v>26127</v>
      </c>
      <c r="B20745" s="4" t="s">
        <v>26128</v>
      </c>
      <c r="C20745" s="5" t="str">
        <f>IFERROR(__xludf.DUMMYFUNCTION("GOOGLETRANSLATE(B20745,""en"",""it"")"),"Un uomo si prepara su un molo per andare a sci d'acqua.")</f>
        <v>Un uomo si prepara su un molo per andare a sci d'acqua.</v>
      </c>
    </row>
    <row r="20746">
      <c r="A20746" s="4" t="s">
        <v>26127</v>
      </c>
      <c r="B20746" s="4" t="s">
        <v>26129</v>
      </c>
      <c r="C20746" s="5" t="str">
        <f>IFERROR(__xludf.DUMMYFUNCTION("GOOGLETRANSLATE(B20746,""en"",""it"")"),"Si lancia in acqua mentre la barca spazza via.")</f>
        <v>Si lancia in acqua mentre la barca spazza via.</v>
      </c>
    </row>
    <row r="20747">
      <c r="A20747" s="4" t="s">
        <v>26127</v>
      </c>
      <c r="B20747" s="4" t="s">
        <v>26130</v>
      </c>
      <c r="C20747" s="5" t="str">
        <f>IFERROR(__xludf.DUMMYFUNCTION("GOOGLETRANSLATE(B20747,""en"",""it"")"),"L'uomo si tiene sulla corda mentre scivola attraverso l'acqua, sembrando molto fiducioso e abile.")</f>
        <v>L'uomo si tiene sulla corda mentre scivola attraverso l'acqua, sembrando molto fiducioso e abile.</v>
      </c>
    </row>
    <row r="20748">
      <c r="A20748" s="4" t="s">
        <v>26127</v>
      </c>
      <c r="B20748" s="4" t="s">
        <v>26131</v>
      </c>
      <c r="C20748" s="5" t="str">
        <f>IFERROR(__xludf.DUMMYFUNCTION("GOOGLETRANSLATE(B20748,""en"",""it"")"),"La barca è legata al molo e l'uomo è finito per la giornata.")</f>
        <v>La barca è legata al molo e l'uomo è finito per la giornata.</v>
      </c>
    </row>
    <row r="20749">
      <c r="A20749" s="4" t="s">
        <v>26132</v>
      </c>
      <c r="B20749" s="4" t="s">
        <v>26133</v>
      </c>
      <c r="C20749" s="5" t="str">
        <f>IFERROR(__xludf.DUMMYFUNCTION("GOOGLETRANSLATE(B20749,""en"",""it"")"),"Un uomo punta e raccoglie un lattina spray pressurizzato per visualizzarlo.")</f>
        <v>Un uomo punta e raccoglie un lattina spray pressurizzato per visualizzarlo.</v>
      </c>
    </row>
    <row r="20750">
      <c r="A20750" s="4" t="s">
        <v>26132</v>
      </c>
      <c r="B20750" s="4" t="s">
        <v>26134</v>
      </c>
      <c r="C20750" s="5" t="str">
        <f>IFERROR(__xludf.DUMMYFUNCTION("GOOGLETRANSLATE(B20750,""en"",""it"")"),"L'uomo quindi raccoglie un rotolo di asciugamani di carta.")</f>
        <v>L'uomo quindi raccoglie un rotolo di asciugamani di carta.</v>
      </c>
    </row>
    <row r="20751">
      <c r="A20751" s="4" t="s">
        <v>26132</v>
      </c>
      <c r="B20751" s="4" t="s">
        <v>26135</v>
      </c>
      <c r="C20751" s="5" t="str">
        <f>IFERROR(__xludf.DUMMYFUNCTION("GOOGLETRANSLATE(B20751,""en"",""it"")"),"L'uomo scuote la lattina spray pressurizzata.")</f>
        <v>L'uomo scuote la lattina spray pressurizzata.</v>
      </c>
    </row>
    <row r="20752">
      <c r="A20752" s="4" t="s">
        <v>26132</v>
      </c>
      <c r="B20752" s="4" t="s">
        <v>26136</v>
      </c>
      <c r="C20752" s="5" t="str">
        <f>IFERROR(__xludf.DUMMYFUNCTION("GOOGLETRANSLATE(B20752,""en"",""it"")"),"L'uomo spruzza la finestra in cui si trova la macchia e si asciuga l'area con un tovagliolo di carta.")</f>
        <v>L'uomo spruzza la finestra in cui si trova la macchia e si asciuga l'area con un tovagliolo di carta.</v>
      </c>
    </row>
    <row r="20753">
      <c r="A20753" s="4" t="s">
        <v>26132</v>
      </c>
      <c r="B20753" s="4" t="s">
        <v>26137</v>
      </c>
      <c r="C20753" s="5" t="str">
        <f>IFERROR(__xludf.DUMMYFUNCTION("GOOGLETRANSLATE(B20753,""en"",""it"")"),"Spruzza il detergente in vetro al centro della finestra in più punti e li asciuga.")</f>
        <v>Spruzza il detergente in vetro al centro della finestra in più punti e li asciuga.</v>
      </c>
    </row>
    <row r="20754">
      <c r="A20754" s="4" t="s">
        <v>26138</v>
      </c>
      <c r="B20754" s="4" t="s">
        <v>26139</v>
      </c>
      <c r="C20754" s="5" t="str">
        <f>IFERROR(__xludf.DUMMYFUNCTION("GOOGLETRANSLATE(B20754,""en"",""it"")"),"Una ragazza e un cane sono sul set swing.")</f>
        <v>Una ragazza e un cane sono sul set swing.</v>
      </c>
    </row>
    <row r="20755">
      <c r="A20755" s="4" t="s">
        <v>26138</v>
      </c>
      <c r="B20755" s="4" t="s">
        <v>26140</v>
      </c>
      <c r="C20755" s="5" t="str">
        <f>IFERROR(__xludf.DUMMYFUNCTION("GOOGLETRANSLATE(B20755,""en"",""it"")"),"Si oscillano su e giù.")</f>
        <v>Si oscillano su e giù.</v>
      </c>
    </row>
    <row r="20756">
      <c r="A20756" s="4" t="s">
        <v>26138</v>
      </c>
      <c r="B20756" s="4" t="s">
        <v>26141</v>
      </c>
      <c r="C20756" s="5" t="str">
        <f>IFERROR(__xludf.DUMMYFUNCTION("GOOGLETRANSLATE(B20756,""en"",""it"")"),"Si oscillano su e tornano di nuovo giù.")</f>
        <v>Si oscillano su e tornano di nuovo giù.</v>
      </c>
    </row>
    <row r="20757">
      <c r="A20757" s="4" t="s">
        <v>26142</v>
      </c>
      <c r="B20757" s="4" t="s">
        <v>26143</v>
      </c>
      <c r="C20757" s="5" t="str">
        <f>IFERROR(__xludf.DUMMYFUNCTION("GOOGLETRANSLATE(B20757,""en"",""it"")"),"L'uomo con il casco blu è remellata attraverso la corrente d'acqua.")</f>
        <v>L'uomo con il casco blu è remellata attraverso la corrente d'acqua.</v>
      </c>
    </row>
    <row r="20758">
      <c r="A20758" s="4" t="s">
        <v>26142</v>
      </c>
      <c r="B20758" s="4" t="s">
        <v>26144</v>
      </c>
      <c r="C20758" s="5" t="str">
        <f>IFERROR(__xludf.DUMMYFUNCTION("GOOGLETRANSLATE(B20758,""en"",""it"")"),"Due zattere sono bloccate nell'acqua corrente.")</f>
        <v>Due zattere sono bloccate nell'acqua corrente.</v>
      </c>
    </row>
    <row r="20759">
      <c r="A20759" s="4" t="s">
        <v>26142</v>
      </c>
      <c r="B20759" s="4" t="s">
        <v>26145</v>
      </c>
      <c r="C20759" s="5" t="str">
        <f>IFERROR(__xludf.DUMMYFUNCTION("GOOGLETRANSLATE(B20759,""en"",""it"")"),"Le persone remellano nell'acqua ma sono bloccate in un punto.")</f>
        <v>Le persone remellano nell'acqua ma sono bloccate in un punto.</v>
      </c>
    </row>
    <row r="20760">
      <c r="A20760" s="4" t="s">
        <v>26146</v>
      </c>
      <c r="B20760" s="4" t="s">
        <v>26147</v>
      </c>
      <c r="C20760" s="5" t="str">
        <f>IFERROR(__xludf.DUMMYFUNCTION("GOOGLETRANSLATE(B20760,""en"",""it"")"),"Viene mostrato un uomo che suona un violino di fronte a un videogioco che viene giocato in TV.")</f>
        <v>Viene mostrato un uomo che suona un violino di fronte a un videogioco che viene giocato in TV.</v>
      </c>
    </row>
    <row r="20761">
      <c r="A20761" s="4" t="s">
        <v>26146</v>
      </c>
      <c r="B20761" s="6" t="s">
        <v>26148</v>
      </c>
      <c r="C20761" s="5" t="str">
        <f>IFERROR(__xludf.DUMMYFUNCTION("GOOGLETRANSLATE(B20761,""en"",""it"")"),"L'uomo continua a suonare lo strumento mentre la TV in background mostra un gioco.")</f>
        <v>L'uomo continua a suonare lo strumento mentre la TV in background mostra un gioco.</v>
      </c>
    </row>
    <row r="20762">
      <c r="A20762" s="4" t="s">
        <v>26149</v>
      </c>
      <c r="B20762" s="4" t="s">
        <v>26150</v>
      </c>
      <c r="C20762" s="5" t="str">
        <f>IFERROR(__xludf.DUMMYFUNCTION("GOOGLETRANSLATE(B20762,""en"",""it"")"),"Un folto gruppo di persone si vede in piedi sul fondo di una collina innevata che parlava tra loro.")</f>
        <v>Un folto gruppo di persone si vede in piedi sul fondo di una collina innevata che parlava tra loro.</v>
      </c>
    </row>
    <row r="20763">
      <c r="A20763" s="4" t="s">
        <v>26149</v>
      </c>
      <c r="B20763" s="4" t="s">
        <v>26151</v>
      </c>
      <c r="C20763" s="5" t="str">
        <f>IFERROR(__xludf.DUMMYFUNCTION("GOOGLETRANSLATE(B20763,""en"",""it"")"),"La gente viene quindi vista cavalcare nei tubi e scendere su un sentiero nevoso.")</f>
        <v>La gente viene quindi vista cavalcare nei tubi e scendere su un sentiero nevoso.</v>
      </c>
    </row>
    <row r="20764">
      <c r="A20764" s="4" t="s">
        <v>26149</v>
      </c>
      <c r="B20764" s="6" t="s">
        <v>26152</v>
      </c>
      <c r="C20764" s="5" t="str">
        <f>IFERROR(__xludf.DUMMYFUNCTION("GOOGLETRANSLATE(B20764,""en"",""it"")"),"Vengono mostrati diversi scatti di persone che cavalcano la montagna mentre guardano e sorridono alla telecamera.")</f>
        <v>Vengono mostrati diversi scatti di persone che cavalcano la montagna mentre guardano e sorridono alla telecamera.</v>
      </c>
    </row>
    <row r="20765">
      <c r="A20765" s="4" t="s">
        <v>26153</v>
      </c>
      <c r="B20765" s="4" t="s">
        <v>26154</v>
      </c>
      <c r="C20765" s="5" t="str">
        <f>IFERROR(__xludf.DUMMYFUNCTION("GOOGLETRANSLATE(B20765,""en"",""it"")"),"Un uomo seduto sta usando un affiliatore per affinare un coltello grande.")</f>
        <v>Un uomo seduto sta usando un affiliatore per affinare un coltello grande.</v>
      </c>
    </row>
    <row r="20766">
      <c r="A20766" s="4" t="s">
        <v>26153</v>
      </c>
      <c r="B20766" s="4" t="s">
        <v>26155</v>
      </c>
      <c r="C20766" s="5" t="str">
        <f>IFERROR(__xludf.DUMMYFUNCTION("GOOGLETRANSLATE(B20766,""en"",""it"")"),"Lo raschia lungo la superficie e il ventre del coltello, affilandolo.")</f>
        <v>Lo raschia lungo la superficie e il ventre del coltello, affilandolo.</v>
      </c>
    </row>
    <row r="20767">
      <c r="A20767" s="4" t="s">
        <v>26156</v>
      </c>
      <c r="B20767" s="4" t="s">
        <v>26157</v>
      </c>
      <c r="C20767" s="5" t="str">
        <f>IFERROR(__xludf.DUMMYFUNCTION("GOOGLETRANSLATE(B20767,""en"",""it"")"),"La persona sta cavalcando una singola zattera blu.")</f>
        <v>La persona sta cavalcando una singola zattera blu.</v>
      </c>
    </row>
    <row r="20768">
      <c r="A20768" s="4" t="s">
        <v>26156</v>
      </c>
      <c r="B20768" s="4" t="s">
        <v>26158</v>
      </c>
      <c r="C20768" s="5" t="str">
        <f>IFERROR(__xludf.DUMMYFUNCTION("GOOGLETRANSLATE(B20768,""en"",""it"")"),"L'uomo è remiato attraverso la forte corrente dell'acqua.")</f>
        <v>L'uomo è remiato attraverso la forte corrente dell'acqua.</v>
      </c>
    </row>
    <row r="20769">
      <c r="A20769" s="4" t="s">
        <v>26156</v>
      </c>
      <c r="B20769" s="4" t="s">
        <v>26159</v>
      </c>
      <c r="C20769" s="5" t="str">
        <f>IFERROR(__xludf.DUMMYFUNCTION("GOOGLETRANSLATE(B20769,""en"",""it"")"),"L'uomo cadde nelle piccole cadute.")</f>
        <v>L'uomo cadde nelle piccole cadute.</v>
      </c>
    </row>
    <row r="20770">
      <c r="A20770" s="4" t="s">
        <v>26160</v>
      </c>
      <c r="B20770" s="4" t="s">
        <v>26161</v>
      </c>
      <c r="C20770" s="5" t="str">
        <f>IFERROR(__xludf.DUMMYFUNCTION("GOOGLETRANSLATE(B20770,""en"",""it"")"),"Viene mostrato un video di sci country.")</f>
        <v>Viene mostrato un video di sci country.</v>
      </c>
    </row>
    <row r="20771">
      <c r="A20771" s="4" t="s">
        <v>26160</v>
      </c>
      <c r="B20771" s="4" t="s">
        <v>26162</v>
      </c>
      <c r="C20771" s="5" t="str">
        <f>IFERROR(__xludf.DUMMYFUNCTION("GOOGLETRANSLATE(B20771,""en"",""it"")"),"Il gruppo prepara la sua attrezzatura e poi guarda la sua yurta.")</f>
        <v>Il gruppo prepara la sua attrezzatura e poi guarda la sua yurta.</v>
      </c>
    </row>
    <row r="20772">
      <c r="A20772" s="4" t="s">
        <v>26160</v>
      </c>
      <c r="B20772" s="4" t="s">
        <v>26163</v>
      </c>
      <c r="C20772" s="5" t="str">
        <f>IFERROR(__xludf.DUMMYFUNCTION("GOOGLETRANSLATE(B20772,""en"",""it"")"),"Quindi mostrano video di sci.")</f>
        <v>Quindi mostrano video di sci.</v>
      </c>
    </row>
    <row r="20773">
      <c r="A20773" s="4" t="s">
        <v>26164</v>
      </c>
      <c r="B20773" s="4" t="s">
        <v>26165</v>
      </c>
      <c r="C20773" s="5" t="str">
        <f>IFERROR(__xludf.DUMMYFUNCTION("GOOGLETRANSLATE(B20773,""en"",""it"")"),"Un folto gruppo di persone è visto in giro per una stanza con una donna di fronte a prendere un drink.")</f>
        <v>Un folto gruppo di persone è visto in giro per una stanza con una donna di fronte a prendere un drink.</v>
      </c>
    </row>
    <row r="20774">
      <c r="A20774" s="4" t="s">
        <v>26164</v>
      </c>
      <c r="B20774" s="4" t="s">
        <v>26166</v>
      </c>
      <c r="C20774" s="5" t="str">
        <f>IFERROR(__xludf.DUMMYFUNCTION("GOOGLETRANSLATE(B20774,""en"",""it"")"),"La donna mette giù il drink e inizia a guidare un gruppo di persone che ballano in giro.")</f>
        <v>La donna mette giù il drink e inizia a guidare un gruppo di persone che ballano in giro.</v>
      </c>
    </row>
    <row r="20775">
      <c r="A20775" s="4" t="s">
        <v>26164</v>
      </c>
      <c r="B20775" s="4" t="s">
        <v>26167</v>
      </c>
      <c r="C20775" s="5" t="str">
        <f>IFERROR(__xludf.DUMMYFUNCTION("GOOGLETRANSLATE(B20775,""en"",""it"")"),"Il gruppo continua a ballare mentre la telecamera cattura i loro movimenti.")</f>
        <v>Il gruppo continua a ballare mentre la telecamera cattura i loro movimenti.</v>
      </c>
    </row>
    <row r="20776">
      <c r="A20776" s="4" t="s">
        <v>26168</v>
      </c>
      <c r="B20776" s="4" t="s">
        <v>26169</v>
      </c>
      <c r="C20776" s="5" t="str">
        <f>IFERROR(__xludf.DUMMYFUNCTION("GOOGLETRANSLATE(B20776,""en"",""it"")"),"Una ragazza che indossa una giacca da sci bianca corre lungo il pen")</f>
        <v>Una ragazza che indossa una giacca da sci bianca corre lungo il pen</v>
      </c>
    </row>
    <row r="20777">
      <c r="A20777" s="4" t="s">
        <v>26168</v>
      </c>
      <c r="B20777" s="4" t="s">
        <v>26170</v>
      </c>
      <c r="C20777" s="5" t="str">
        <f>IFERROR(__xludf.DUMMYFUNCTION("GOOGLETRANSLATE(B20777,""en"",""it"")"),"Un assistente ai tubi assiste un gruppo di bambini carichi sui loro tubi interni.")</f>
        <v>Un assistente ai tubi assiste un gruppo di bambini carichi sui loro tubi interni.</v>
      </c>
    </row>
    <row r="20778">
      <c r="A20778" s="4" t="s">
        <v>26168</v>
      </c>
      <c r="B20778" s="4" t="s">
        <v>26171</v>
      </c>
      <c r="C20778" s="5" t="str">
        <f>IFERROR(__xludf.DUMMYFUNCTION("GOOGLETRANSLATE(B20778,""en"",""it"")"),"I bambini scivolano lungo il pendio nei loro tubi interni.")</f>
        <v>I bambini scivolano lungo il pendio nei loro tubi interni.</v>
      </c>
    </row>
    <row r="20779">
      <c r="A20779" s="4" t="s">
        <v>26168</v>
      </c>
      <c r="B20779" s="4" t="s">
        <v>26172</v>
      </c>
      <c r="C20779" s="5" t="str">
        <f>IFERROR(__xludf.DUMMYFUNCTION("GOOGLETRANSLATE(B20779,""en"",""it"")"),"I bambini salgono su per il pendio del tubo e scivolano di nuovo sui loro tubi interni.")</f>
        <v>I bambini salgono su per il pendio del tubo e scivolano di nuovo sui loro tubi interni.</v>
      </c>
    </row>
    <row r="20780">
      <c r="A20780" s="4" t="s">
        <v>26173</v>
      </c>
      <c r="B20780" s="4" t="s">
        <v>26174</v>
      </c>
      <c r="C20780" s="5" t="str">
        <f>IFERROR(__xludf.DUMMYFUNCTION("GOOGLETRANSLATE(B20780,""en"",""it"")"),"Un maschio nero più anziano è in piedi in cucina stirare una maglietta grigio scuro.")</f>
        <v>Un maschio nero più anziano è in piedi in cucina stirare una maglietta grigio scuro.</v>
      </c>
    </row>
    <row r="20781">
      <c r="A20781" s="4" t="s">
        <v>26173</v>
      </c>
      <c r="B20781" s="6" t="s">
        <v>26175</v>
      </c>
      <c r="C20781" s="5" t="str">
        <f>IFERROR(__xludf.DUMMYFUNCTION("GOOGLETRANSLATE(B20781,""en"",""it"")"),"L'uomo poi si ferma la stiratura e guarda la persona che lo sta girando e continua a indossare la camicia.")</f>
        <v>L'uomo poi si ferma la stiratura e guarda la persona che lo sta girando e continua a indossare la camicia.</v>
      </c>
    </row>
    <row r="20782">
      <c r="A20782" s="4" t="s">
        <v>26176</v>
      </c>
      <c r="B20782" s="4" t="s">
        <v>26177</v>
      </c>
      <c r="C20782" s="5" t="str">
        <f>IFERROR(__xludf.DUMMYFUNCTION("GOOGLETRANSLATE(B20782,""en"",""it"")"),"Un uomo è visto con i capelli disordinati e si guarda in lontananza.")</f>
        <v>Un uomo è visto con i capelli disordinati e si guarda in lontananza.</v>
      </c>
    </row>
    <row r="20783">
      <c r="A20783" s="4" t="s">
        <v>26176</v>
      </c>
      <c r="B20783" s="4" t="s">
        <v>26178</v>
      </c>
      <c r="C20783" s="5" t="str">
        <f>IFERROR(__xludf.DUMMYFUNCTION("GOOGLETRANSLATE(B20783,""en"",""it"")"),"Alza una tazza di caffè e si gira verso la telecamera.")</f>
        <v>Alza una tazza di caffè e si gira verso la telecamera.</v>
      </c>
    </row>
    <row r="20784">
      <c r="A20784" s="4" t="s">
        <v>26176</v>
      </c>
      <c r="B20784" s="4" t="s">
        <v>26179</v>
      </c>
      <c r="C20784" s="5" t="str">
        <f>IFERROR(__xludf.DUMMYFUNCTION("GOOGLETRANSLATE(B20784,""en"",""it"")"),"Quindi fa un grande sorriso mentre guarda alla telecamera.")</f>
        <v>Quindi fa un grande sorriso mentre guarda alla telecamera.</v>
      </c>
    </row>
    <row r="20785">
      <c r="A20785" s="4" t="s">
        <v>26180</v>
      </c>
      <c r="B20785" s="4" t="s">
        <v>26181</v>
      </c>
      <c r="C20785" s="5" t="str">
        <f>IFERROR(__xludf.DUMMYFUNCTION("GOOGLETRANSLATE(B20785,""en"",""it"")"),"Una palla gonfiabile rimbalza sull'erba mentre i bambini guardano a giocare.")</f>
        <v>Una palla gonfiabile rimbalza sull'erba mentre i bambini guardano a giocare.</v>
      </c>
    </row>
    <row r="20786">
      <c r="A20786" s="4" t="s">
        <v>26180</v>
      </c>
      <c r="B20786" s="4" t="s">
        <v>26182</v>
      </c>
      <c r="C20786" s="5" t="str">
        <f>IFERROR(__xludf.DUMMYFUNCTION("GOOGLETRANSLATE(B20786,""en"",""it"")"),"Un ragazzo con camicia blu e jeans recupera la palla e corre verso il gruppo.")</f>
        <v>Un ragazzo con camicia blu e jeans recupera la palla e corre verso il gruppo.</v>
      </c>
    </row>
    <row r="20787">
      <c r="A20787" s="4" t="s">
        <v>26183</v>
      </c>
      <c r="B20787" s="6" t="s">
        <v>26184</v>
      </c>
      <c r="C20787" s="5" t="str">
        <f>IFERROR(__xludf.DUMMYFUNCTION("GOOGLETRANSLATE(B20787,""en"",""it"")"),"Quest'uomo viene mostrato con in mano una zucca all'inizio del video, quindi scolpisce la parte superiore e prende i semi e tutto il resto dalla zucca.")</f>
        <v>Quest'uomo viene mostrato con in mano una zucca all'inizio del video, quindi scolpisce la parte superiore e prende i semi e tutto il resto dalla zucca.</v>
      </c>
    </row>
    <row r="20788">
      <c r="A20788" s="4" t="s">
        <v>26183</v>
      </c>
      <c r="B20788" s="4" t="s">
        <v>26185</v>
      </c>
      <c r="C20788" s="5" t="str">
        <f>IFERROR(__xludf.DUMMYFUNCTION("GOOGLETRANSLATE(B20788,""en"",""it"")"),"Qualcuno dà a uno dei cani da neve un pezzo di zucca.")</f>
        <v>Qualcuno dà a uno dei cani da neve un pezzo di zucca.</v>
      </c>
    </row>
    <row r="20789">
      <c r="A20789" s="4" t="s">
        <v>26183</v>
      </c>
      <c r="B20789" s="4" t="s">
        <v>26186</v>
      </c>
      <c r="C20789" s="5" t="str">
        <f>IFERROR(__xludf.DUMMYFUNCTION("GOOGLETRANSLATE(B20789,""en"",""it"")"),"Quindi mette lo stencil sulla zucca e scolpisce un cane da neve nella zucca.")</f>
        <v>Quindi mette lo stencil sulla zucca e scolpisce un cane da neve nella zucca.</v>
      </c>
    </row>
    <row r="20790">
      <c r="A20790" s="4" t="s">
        <v>26187</v>
      </c>
      <c r="B20790" s="4" t="s">
        <v>26188</v>
      </c>
      <c r="C20790" s="5" t="str">
        <f>IFERROR(__xludf.DUMMYFUNCTION("GOOGLETRANSLATE(B20790,""en"",""it"")"),"Un'introduzione arriva sullo schermo per un'azienda di lino raffinata.")</f>
        <v>Un'introduzione arriva sullo schermo per un'azienda di lino raffinata.</v>
      </c>
    </row>
    <row r="20791">
      <c r="A20791" s="4" t="s">
        <v>26187</v>
      </c>
      <c r="B20791" s="4" t="s">
        <v>26189</v>
      </c>
      <c r="C20791" s="5" t="str">
        <f>IFERROR(__xludf.DUMMYFUNCTION("GOOGLETRANSLATE(B20791,""en"",""it"")"),"Una donna spiega che descriverà come piegare i tovaglioli di stoffa.")</f>
        <v>Una donna spiega che descriverà come piegare i tovaglioli di stoffa.</v>
      </c>
    </row>
    <row r="20792">
      <c r="A20792" s="4" t="s">
        <v>26187</v>
      </c>
      <c r="B20792" s="4" t="s">
        <v>26190</v>
      </c>
      <c r="C20792" s="5" t="str">
        <f>IFERROR(__xludf.DUMMYFUNCTION("GOOGLETRANSLATE(B20792,""en"",""it"")"),"Comincia premendo il tovagliolo con un ferro caldo.")</f>
        <v>Comincia premendo il tovagliolo con un ferro caldo.</v>
      </c>
    </row>
    <row r="20793">
      <c r="A20793" s="4" t="s">
        <v>26187</v>
      </c>
      <c r="B20793" s="4" t="s">
        <v>26191</v>
      </c>
      <c r="C20793" s="5" t="str">
        <f>IFERROR(__xludf.DUMMYFUNCTION("GOOGLETRANSLATE(B20793,""en"",""it"")"),"Piega il tovagliolo e continua a premere ancora un po '.")</f>
        <v>Piega il tovagliolo e continua a premere ancora un po '.</v>
      </c>
    </row>
    <row r="20794">
      <c r="A20794" s="4" t="s">
        <v>26187</v>
      </c>
      <c r="B20794" s="4" t="s">
        <v>4959</v>
      </c>
      <c r="C20794" s="5" t="str">
        <f>IFERROR(__xludf.DUMMYFUNCTION("GOOGLETRANSLATE(B20794,""en"",""it"")"),"Il video termina con i crediti di chiusura.")</f>
        <v>Il video termina con i crediti di chiusura.</v>
      </c>
    </row>
    <row r="20795">
      <c r="A20795" s="4" t="s">
        <v>26192</v>
      </c>
      <c r="B20795" s="4" t="s">
        <v>26193</v>
      </c>
      <c r="C20795" s="5" t="str">
        <f>IFERROR(__xludf.DUMMYFUNCTION("GOOGLETRANSLATE(B20795,""en"",""it"")"),"Un ragazzo falcia il prato davanti in un quartiere residenziale suburbano.")</f>
        <v>Un ragazzo falcia il prato davanti in un quartiere residenziale suburbano.</v>
      </c>
    </row>
    <row r="20796">
      <c r="A20796" s="4" t="s">
        <v>26192</v>
      </c>
      <c r="B20796" s="6" t="s">
        <v>26194</v>
      </c>
      <c r="C20796" s="5" t="str">
        <f>IFERROR(__xludf.DUMMYFUNCTION("GOOGLETRANSLATE(B20796,""en"",""it"")"),"Un ragazzo in maglietta e pantaloncini manovra un prato si muove avanti e indietro attraverso una piccola macchia di prato mentre falcia il prato.")</f>
        <v>Un ragazzo in maglietta e pantaloncini manovra un prato si muove avanti e indietro attraverso una piccola macchia di prato mentre falcia il prato.</v>
      </c>
    </row>
    <row r="20797">
      <c r="A20797" s="4" t="s">
        <v>26192</v>
      </c>
      <c r="B20797" s="6" t="s">
        <v>26195</v>
      </c>
      <c r="C20797" s="5" t="str">
        <f>IFERROR(__xludf.DUMMYFUNCTION("GOOGLETRANSLATE(B20797,""en"",""it"")"),"Il ragazzo quindi cammina lungo il tosaerba lungo un tratto di prato più lungo vicino all'angolo di fronte a un segnale di stop.")</f>
        <v>Il ragazzo quindi cammina lungo il tosaerba lungo un tratto di prato più lungo vicino all'angolo di fronte a un segnale di stop.</v>
      </c>
    </row>
    <row r="20798">
      <c r="A20798" s="4" t="s">
        <v>26196</v>
      </c>
      <c r="B20798" s="4" t="s">
        <v>26197</v>
      </c>
      <c r="C20798" s="5" t="str">
        <f>IFERROR(__xludf.DUMMYFUNCTION("GOOGLETRANSLATE(B20798,""en"",""it"")"),"Una grande area esterna aperta è mostrata da una fotocamera in movimento.")</f>
        <v>Una grande area esterna aperta è mostrata da una fotocamera in movimento.</v>
      </c>
    </row>
    <row r="20799">
      <c r="A20799" s="4" t="s">
        <v>26196</v>
      </c>
      <c r="B20799" s="6" t="s">
        <v>26198</v>
      </c>
      <c r="C20799" s="5" t="str">
        <f>IFERROR(__xludf.DUMMYFUNCTION("GOOGLETRANSLATE(B20799,""en"",""it"")"),"Un uomo che indossa un casco viene mostrato in skateboard con una lunga base di piano in legno in varie località all'aperto.")</f>
        <v>Un uomo che indossa un casco viene mostrato in skateboard con una lunga base di piano in legno in varie località all'aperto.</v>
      </c>
    </row>
    <row r="20800">
      <c r="A20800" s="4" t="s">
        <v>26196</v>
      </c>
      <c r="B20800" s="4" t="s">
        <v>26199</v>
      </c>
      <c r="C20800" s="5" t="str">
        <f>IFERROR(__xludf.DUMMYFUNCTION("GOOGLETRANSLATE(B20800,""en"",""it"")"),"Un secondo pilota si unisce al primo pilota sullo skateboard.")</f>
        <v>Un secondo pilota si unisce al primo pilota sullo skateboard.</v>
      </c>
    </row>
    <row r="20801">
      <c r="A20801" s="4" t="s">
        <v>26196</v>
      </c>
      <c r="B20801" s="4" t="s">
        <v>26200</v>
      </c>
      <c r="C20801" s="5" t="str">
        <f>IFERROR(__xludf.DUMMYFUNCTION("GOOGLETRANSLATE(B20801,""en"",""it"")"),"Viene mostrata una clip di un uomo che non indossa un casco e viene mostrato un altro skateboard.")</f>
        <v>Viene mostrata una clip di un uomo che non indossa un casco e viene mostrato un altro skateboard.</v>
      </c>
    </row>
    <row r="20802">
      <c r="A20802" s="4" t="s">
        <v>26196</v>
      </c>
      <c r="B20802" s="4" t="s">
        <v>26201</v>
      </c>
      <c r="C20802" s="5" t="str">
        <f>IFERROR(__xludf.DUMMYFUNCTION("GOOGLETRANSLATE(B20802,""en"",""it"")"),"L'uomo del casco con la tavola come skateboard viene nuovamente mostrato.")</f>
        <v>L'uomo del casco con la tavola come skateboard viene nuovamente mostrato.</v>
      </c>
    </row>
    <row r="20803">
      <c r="A20803" s="4" t="s">
        <v>26196</v>
      </c>
      <c r="B20803" s="4" t="s">
        <v>26202</v>
      </c>
      <c r="C20803" s="5" t="str">
        <f>IFERROR(__xludf.DUMMYFUNCTION("GOOGLETRANSLATE(B20803,""en"",""it"")"),"Vengono mostrate diverse altre persone che cavalcano altri skateboard.")</f>
        <v>Vengono mostrate diverse altre persone che cavalcano altri skateboard.</v>
      </c>
    </row>
    <row r="20804">
      <c r="A20804" s="4" t="s">
        <v>26196</v>
      </c>
      <c r="B20804" s="4" t="s">
        <v>26203</v>
      </c>
      <c r="C20804" s="5" t="str">
        <f>IFERROR(__xludf.DUMMYFUNCTION("GOOGLETRANSLATE(B20804,""en"",""it"")"),"Lo skateboarder originale viene nuovamente mostrato.")</f>
        <v>Lo skateboarder originale viene nuovamente mostrato.</v>
      </c>
    </row>
    <row r="20805">
      <c r="A20805" s="4" t="s">
        <v>26204</v>
      </c>
      <c r="B20805" s="4" t="s">
        <v>26205</v>
      </c>
      <c r="C20805" s="5" t="str">
        <f>IFERROR(__xludf.DUMMYFUNCTION("GOOGLETRANSLATE(B20805,""en"",""it"")"),"Un uomo corre attraverso un marciapiede di cemento con gradini nelle sue scarpe di canguro.")</f>
        <v>Un uomo corre attraverso un marciapiede di cemento con gradini nelle sue scarpe di canguro.</v>
      </c>
    </row>
    <row r="20806">
      <c r="A20806" s="4" t="s">
        <v>26204</v>
      </c>
      <c r="B20806" s="4" t="s">
        <v>26206</v>
      </c>
      <c r="C20806" s="5" t="str">
        <f>IFERROR(__xludf.DUMMYFUNCTION("GOOGLETRANSLATE(B20806,""en"",""it"")"),"Appaiono più persone e anche loro iniziano a saltare attraverso la folla di persone.")</f>
        <v>Appaiono più persone e anche loro iniziano a saltare attraverso la folla di persone.</v>
      </c>
    </row>
    <row r="20807">
      <c r="A20807" s="4" t="s">
        <v>26207</v>
      </c>
      <c r="B20807" s="4" t="s">
        <v>26208</v>
      </c>
      <c r="C20807" s="5" t="str">
        <f>IFERROR(__xludf.DUMMYFUNCTION("GOOGLETRANSLATE(B20807,""en"",""it"")"),"C'è un uomo che dimostra come utilizzare uno strumento di impostazione manuale.")</f>
        <v>C'è un uomo che dimostra come utilizzare uno strumento di impostazione manuale.</v>
      </c>
    </row>
    <row r="20808">
      <c r="A20808" s="4" t="s">
        <v>26207</v>
      </c>
      <c r="B20808" s="4" t="s">
        <v>26209</v>
      </c>
      <c r="C20808" s="5" t="str">
        <f>IFERROR(__xludf.DUMMYFUNCTION("GOOGLETRANSLATE(B20808,""en"",""it"")"),"Sta martellando le unghie in una barra di legno.")</f>
        <v>Sta martellando le unghie in una barra di legno.</v>
      </c>
    </row>
    <row r="20809">
      <c r="A20809" s="4" t="s">
        <v>26207</v>
      </c>
      <c r="B20809" s="4" t="s">
        <v>26210</v>
      </c>
      <c r="C20809" s="5" t="str">
        <f>IFERROR(__xludf.DUMMYFUNCTION("GOOGLETRANSLATE(B20809,""en"",""it"")"),"Usa lo strumento per allineare correttamente le unghie prima di martellarlo.")</f>
        <v>Usa lo strumento per allineare correttamente le unghie prima di martellarlo.</v>
      </c>
    </row>
    <row r="20810">
      <c r="A20810" s="4" t="s">
        <v>26207</v>
      </c>
      <c r="B20810" s="4" t="s">
        <v>26211</v>
      </c>
      <c r="C20810" s="5" t="str">
        <f>IFERROR(__xludf.DUMMYFUNCTION("GOOGLETRANSLATE(B20810,""en"",""it"")"),"Dimostra quindi come sarebbe il processo di martellare senza utilizzare lo strumento di allineamento.")</f>
        <v>Dimostra quindi come sarebbe il processo di martellare senza utilizzare lo strumento di allineamento.</v>
      </c>
    </row>
    <row r="20811">
      <c r="A20811" s="4" t="s">
        <v>26207</v>
      </c>
      <c r="B20811" s="6" t="s">
        <v>26212</v>
      </c>
      <c r="C20811" s="5" t="str">
        <f>IFERROR(__xludf.DUMMYFUNCTION("GOOGLETRANSLATE(B20811,""en"",""it"")"),"Quindi usa lo strumento di allineamento per mostrare la differenza che fa martellare un chiodo in legno quando viene utilizzato lo strumento.")</f>
        <v>Quindi usa lo strumento di allineamento per mostrare la differenza che fa martellare un chiodo in legno quando viene utilizzato lo strumento.</v>
      </c>
    </row>
    <row r="20812">
      <c r="A20812" s="4" t="s">
        <v>26213</v>
      </c>
      <c r="B20812" s="4" t="s">
        <v>26214</v>
      </c>
      <c r="C20812" s="5" t="str">
        <f>IFERROR(__xludf.DUMMYFUNCTION("GOOGLETRANSLATE(B20812,""en"",""it"")"),"Un uomo magro, sta parlando al telefono bowling e abbatte tutte le spille da bowling.")</f>
        <v>Un uomo magro, sta parlando al telefono bowling e abbatte tutte le spille da bowling.</v>
      </c>
    </row>
    <row r="20813">
      <c r="A20813" s="4" t="s">
        <v>26213</v>
      </c>
      <c r="B20813" s="6" t="s">
        <v>26215</v>
      </c>
      <c r="C20813" s="5" t="str">
        <f>IFERROR(__xludf.DUMMYFUNCTION("GOOGLETRANSLATE(B20813,""en"",""it"")"),"Successivamente, deve attraversare diversi ostacoli per abbassare la palla e finisce per farlo comunque.")</f>
        <v>Successivamente, deve attraversare diversi ostacoli per abbassare la palla e finisce per farlo comunque.</v>
      </c>
    </row>
    <row r="20814">
      <c r="A20814" s="4" t="s">
        <v>26213</v>
      </c>
      <c r="B20814" s="6" t="s">
        <v>26216</v>
      </c>
      <c r="C20814" s="5" t="str">
        <f>IFERROR(__xludf.DUMMYFUNCTION("GOOGLETRANSLATE(B20814,""en"",""it"")"),"Alcuni di loro includono, bowling con spille nella corsia, in piedi da dietro una tabella e persino facendolo con gli occhi coperti.")</f>
        <v>Alcuni di loro includono, bowling con spille nella corsia, in piedi da dietro una tabella e persino facendolo con gli occhi coperti.</v>
      </c>
    </row>
    <row r="20815">
      <c r="A20815" s="4" t="s">
        <v>26217</v>
      </c>
      <c r="B20815" s="4" t="s">
        <v>26218</v>
      </c>
      <c r="C20815" s="5" t="str">
        <f>IFERROR(__xludf.DUMMYFUNCTION("GOOGLETRANSLATE(B20815,""en"",""it"")"),"Un gruppo di quattro ragazzi è a un tavolo.")</f>
        <v>Un gruppo di quattro ragazzi è a un tavolo.</v>
      </c>
    </row>
    <row r="20816">
      <c r="A20816" s="4" t="s">
        <v>26217</v>
      </c>
      <c r="B20816" s="4" t="s">
        <v>26219</v>
      </c>
      <c r="C20816" s="5" t="str">
        <f>IFERROR(__xludf.DUMMYFUNCTION("GOOGLETRANSLATE(B20816,""en"",""it"")"),"Come conta un timer, un ragazzo sta cercando di risolvere un cubo di Rubik.")</f>
        <v>Come conta un timer, un ragazzo sta cercando di risolvere un cubo di Rubik.</v>
      </c>
    </row>
    <row r="20817">
      <c r="A20817" s="4" t="s">
        <v>26217</v>
      </c>
      <c r="B20817" s="4" t="s">
        <v>26220</v>
      </c>
      <c r="C20817" s="5" t="str">
        <f>IFERROR(__xludf.DUMMYFUNCTION("GOOGLETRANSLATE(B20817,""en"",""it"")"),"Risolve il cubo e stringe le mani con gli altri ragazzi.")</f>
        <v>Risolve il cubo e stringe le mani con gli altri ragazzi.</v>
      </c>
    </row>
    <row r="20818">
      <c r="A20818" s="4" t="s">
        <v>26221</v>
      </c>
      <c r="B20818" s="4" t="s">
        <v>26222</v>
      </c>
      <c r="C20818" s="5" t="str">
        <f>IFERROR(__xludf.DUMMYFUNCTION("GOOGLETRANSLATE(B20818,""en"",""it"")"),"Un gruppo balla sotto i riflettori che indossa abiti e cappelli tradizionali.")</f>
        <v>Un gruppo balla sotto i riflettori che indossa abiti e cappelli tradizionali.</v>
      </c>
    </row>
    <row r="20819">
      <c r="A20819" s="4" t="s">
        <v>26221</v>
      </c>
      <c r="B20819" s="4" t="s">
        <v>26223</v>
      </c>
      <c r="C20819" s="5" t="str">
        <f>IFERROR(__xludf.DUMMYFUNCTION("GOOGLETRANSLATE(B20819,""en"",""it"")"),"Gli uomini fingono di tirare le corde immaginarie.")</f>
        <v>Gli uomini fingono di tirare le corde immaginarie.</v>
      </c>
    </row>
    <row r="20820">
      <c r="A20820" s="4" t="s">
        <v>26221</v>
      </c>
      <c r="B20820" s="4" t="s">
        <v>26224</v>
      </c>
      <c r="C20820" s="5" t="str">
        <f>IFERROR(__xludf.DUMMYFUNCTION("GOOGLETRANSLATE(B20820,""en"",""it"")"),"Gli uomini si accovacciano uno dopo l'altro e spinsero i fianchi.")</f>
        <v>Gli uomini si accovacciano uno dopo l'altro e spinsero i fianchi.</v>
      </c>
    </row>
    <row r="20821">
      <c r="A20821" s="4" t="s">
        <v>26221</v>
      </c>
      <c r="B20821" s="4" t="s">
        <v>26225</v>
      </c>
      <c r="C20821" s="5" t="str">
        <f>IFERROR(__xludf.DUMMYFUNCTION("GOOGLETRANSLATE(B20821,""en"",""it"")"),"Gli uomini si trovano indietro in un cerchio parziale e danza.")</f>
        <v>Gli uomini si trovano indietro in un cerchio parziale e danza.</v>
      </c>
    </row>
    <row r="20822">
      <c r="A20822" s="4" t="s">
        <v>26221</v>
      </c>
      <c r="B20822" s="4" t="s">
        <v>26226</v>
      </c>
      <c r="C20822" s="5" t="str">
        <f>IFERROR(__xludf.DUMMYFUNCTION("GOOGLETRANSLATE(B20822,""en"",""it"")"),"Gli uomini trattengono le braccia come una dea indù.")</f>
        <v>Gli uomini trattengono le braccia come una dea indù.</v>
      </c>
    </row>
    <row r="20823">
      <c r="A20823" s="4" t="s">
        <v>26227</v>
      </c>
      <c r="B20823" s="4" t="s">
        <v>26228</v>
      </c>
      <c r="C20823" s="5" t="str">
        <f>IFERROR(__xludf.DUMMYFUNCTION("GOOGLETRANSLATE(B20823,""en"",""it"")"),"Si vede una vista di un profondo canyon con un ascensore sopra di esso.")</f>
        <v>Si vede una vista di un profondo canyon con un ascensore sopra di esso.</v>
      </c>
    </row>
    <row r="20824">
      <c r="A20824" s="4" t="s">
        <v>26227</v>
      </c>
      <c r="B20824" s="4" t="s">
        <v>26229</v>
      </c>
      <c r="C20824" s="5" t="str">
        <f>IFERROR(__xludf.DUMMYFUNCTION("GOOGLETRANSLATE(B20824,""en"",""it"")"),"Un uomo è vestito con attrezzatura da bungee da un altro uomo.")</f>
        <v>Un uomo è vestito con attrezzatura da bungee da un altro uomo.</v>
      </c>
    </row>
    <row r="20825">
      <c r="A20825" s="4" t="s">
        <v>26227</v>
      </c>
      <c r="B20825" s="4" t="s">
        <v>26230</v>
      </c>
      <c r="C20825" s="5" t="str">
        <f>IFERROR(__xludf.DUMMYFUNCTION("GOOGLETRANSLATE(B20825,""en"",""it"")"),"Salta fuori, poi oscilla avanti e indietro sulle acque sottili.")</f>
        <v>Salta fuori, poi oscilla avanti e indietro sulle acque sottili.</v>
      </c>
    </row>
    <row r="20826">
      <c r="A20826" s="4" t="s">
        <v>26231</v>
      </c>
      <c r="B20826" s="4" t="s">
        <v>26232</v>
      </c>
      <c r="C20826" s="5" t="str">
        <f>IFERROR(__xludf.DUMMYFUNCTION("GOOGLETRANSLATE(B20826,""en"",""it"")"),"L'uomo è in un kichen che tiene una padella sulla stufa e prepara una frittata.")</f>
        <v>L'uomo è in un kichen che tiene una padella sulla stufa e prepara una frittata.</v>
      </c>
    </row>
    <row r="20827">
      <c r="A20827" s="4" t="s">
        <v>26231</v>
      </c>
      <c r="B20827" s="4" t="s">
        <v>26233</v>
      </c>
      <c r="C20827" s="5" t="str">
        <f>IFERROR(__xludf.DUMMYFUNCTION("GOOGLETRANSLATE(B20827,""en"",""it"")"),"L'uomo tiene in mano un sacchetto e tiene la padella, prendi un po 'di formaggio che si bagna e piega la frittata.")</f>
        <v>L'uomo tiene in mano un sacchetto e tiene la padella, prendi un po 'di formaggio che si bagna e piega la frittata.</v>
      </c>
    </row>
    <row r="20828">
      <c r="A20828" s="4" t="s">
        <v>26234</v>
      </c>
      <c r="B20828" s="6" t="s">
        <v>26235</v>
      </c>
      <c r="C20828" s="5" t="str">
        <f>IFERROR(__xludf.DUMMYFUNCTION("GOOGLETRANSLATE(B20828,""en"",""it"")"),"Un gruppo di persone viene visto in piedi intorno a prua e frecce, quindi la fotocamera giù per una lunga fila di persone che sparano in fiocchi.")</f>
        <v>Un gruppo di persone viene visto in piedi intorno a prua e frecce, quindi la fotocamera giù per una lunga fila di persone che sparano in fiocchi.</v>
      </c>
    </row>
    <row r="20829">
      <c r="A20829" s="4" t="s">
        <v>26234</v>
      </c>
      <c r="B20829" s="6" t="s">
        <v>26236</v>
      </c>
      <c r="C20829" s="5" t="str">
        <f>IFERROR(__xludf.DUMMYFUNCTION("GOOGLETRANSLATE(B20829,""en"",""it"")"),"Viene quindi visto un uomo parlare alla telecamera seguiti da diversi scatti di persone a caso che sparano le frecce su un bersaglio.")</f>
        <v>Viene quindi visto un uomo parlare alla telecamera seguiti da diversi scatti di persone a caso che sparano le frecce su un bersaglio.</v>
      </c>
    </row>
    <row r="20830">
      <c r="A20830" s="4" t="s">
        <v>26234</v>
      </c>
      <c r="B20830" s="4" t="s">
        <v>26237</v>
      </c>
      <c r="C20830" s="5" t="str">
        <f>IFERROR(__xludf.DUMMYFUNCTION("GOOGLETRANSLATE(B20830,""en"",""it"")"),"Molte persone guardano a margine e sono seguite da più colpi di persone che sparano.")</f>
        <v>Molte persone guardano a margine e sono seguite da più colpi di persone che sparano.</v>
      </c>
    </row>
    <row r="20831">
      <c r="A20831" s="4" t="s">
        <v>26238</v>
      </c>
      <c r="B20831" s="4" t="s">
        <v>26239</v>
      </c>
      <c r="C20831" s="5" t="str">
        <f>IFERROR(__xludf.DUMMYFUNCTION("GOOGLETRANSLATE(B20831,""en"",""it"")"),"Una ciotola rossa contiene un cucchiaio e un pesce di tonno in pezzi.")</f>
        <v>Una ciotola rossa contiene un cucchiaio e un pesce di tonno in pezzi.</v>
      </c>
    </row>
    <row r="20832">
      <c r="A20832" s="4" t="s">
        <v>26238</v>
      </c>
      <c r="B20832" s="4" t="s">
        <v>26240</v>
      </c>
      <c r="C20832" s="5" t="str">
        <f>IFERROR(__xludf.DUMMYFUNCTION("GOOGLETRANSLATE(B20832,""en"",""it"")"),"Qualcuno versa la maionese nel tonno e il condimento.")</f>
        <v>Qualcuno versa la maionese nel tonno e il condimento.</v>
      </c>
    </row>
    <row r="20833">
      <c r="A20833" s="4" t="s">
        <v>26238</v>
      </c>
      <c r="B20833" s="4" t="s">
        <v>26241</v>
      </c>
      <c r="C20833" s="5" t="str">
        <f>IFERROR(__xludf.DUMMYFUNCTION("GOOGLETRANSLATE(B20833,""en"",""it"")"),"La sostanza viene mescolata insieme, quindi distribuita sul pane per preparare un panino.")</f>
        <v>La sostanza viene mescolata insieme, quindi distribuita sul pane per preparare un panino.</v>
      </c>
    </row>
    <row r="20834">
      <c r="A20834" s="4" t="s">
        <v>26242</v>
      </c>
      <c r="B20834" s="4" t="s">
        <v>26243</v>
      </c>
      <c r="C20834" s="5" t="str">
        <f>IFERROR(__xludf.DUMMYFUNCTION("GOOGLETRANSLATE(B20834,""en"",""it"")"),"Un uomo sta arrampicando su un muro accanto a una roccia.")</f>
        <v>Un uomo sta arrampicando su un muro accanto a una roccia.</v>
      </c>
    </row>
    <row r="20835">
      <c r="A20835" s="4" t="s">
        <v>26242</v>
      </c>
      <c r="B20835" s="4" t="s">
        <v>26244</v>
      </c>
      <c r="C20835" s="5" t="str">
        <f>IFERROR(__xludf.DUMMYFUNCTION("GOOGLETRANSLATE(B20835,""en"",""it"")"),"Arriva in cima e si libera per cadere in fondo.")</f>
        <v>Arriva in cima e si libera per cadere in fondo.</v>
      </c>
    </row>
    <row r="20836">
      <c r="A20836" s="4" t="s">
        <v>26245</v>
      </c>
      <c r="B20836" s="4" t="s">
        <v>26246</v>
      </c>
      <c r="C20836" s="5" t="str">
        <f>IFERROR(__xludf.DUMMYFUNCTION("GOOGLETRANSLATE(B20836,""en"",""it"")"),"Una telecamera si panoramica intorno a una zona del lago e conduce a una persona che si arrampica su un kayak.")</f>
        <v>Una telecamera si panoramica intorno a una zona del lago e conduce a una persona che si arrampica su un kayak.</v>
      </c>
    </row>
    <row r="20837">
      <c r="A20837" s="4" t="s">
        <v>26245</v>
      </c>
      <c r="B20837" s="4" t="s">
        <v>26247</v>
      </c>
      <c r="C20837" s="5" t="str">
        <f>IFERROR(__xludf.DUMMYFUNCTION("GOOGLETRANSLATE(B20837,""en"",""it"")"),"La persona inizia quindi a remare lungo l'acqua mentre si muove sotto i ponti.")</f>
        <v>La persona inizia quindi a remare lungo l'acqua mentre si muove sotto i ponti.</v>
      </c>
    </row>
    <row r="20838">
      <c r="A20838" s="4" t="s">
        <v>26245</v>
      </c>
      <c r="B20838" s="4" t="s">
        <v>26248</v>
      </c>
      <c r="C20838" s="5" t="str">
        <f>IFERROR(__xludf.DUMMYFUNCTION("GOOGLETRANSLATE(B20838,""en"",""it"")"),"La persona continua a remare lungo l'acqua e alza la fotocamera.")</f>
        <v>La persona continua a remare lungo l'acqua e alza la fotocamera.</v>
      </c>
    </row>
    <row r="20839">
      <c r="A20839" s="4" t="s">
        <v>26249</v>
      </c>
      <c r="B20839" s="4" t="s">
        <v>26250</v>
      </c>
      <c r="C20839" s="5" t="str">
        <f>IFERROR(__xludf.DUMMYFUNCTION("GOOGLETRANSLATE(B20839,""en"",""it"")"),"La donna sta posando per una macchina fotografica in una stanza bianca.")</f>
        <v>La donna sta posando per una macchina fotografica in una stanza bianca.</v>
      </c>
    </row>
    <row r="20840">
      <c r="A20840" s="4" t="s">
        <v>26249</v>
      </c>
      <c r="B20840" s="4" t="s">
        <v>26251</v>
      </c>
      <c r="C20840" s="5" t="str">
        <f>IFERROR(__xludf.DUMMYFUNCTION("GOOGLETRANSLATE(B20840,""en"",""it"")"),"L'uomo è in piedi dietro il WMOAN tagliando i capelli con una forbice e la modella si pone.")</f>
        <v>L'uomo è in piedi dietro il WMOAN tagliando i capelli con una forbice e la modella si pone.</v>
      </c>
    </row>
    <row r="20841">
      <c r="A20841" s="4" t="s">
        <v>26252</v>
      </c>
      <c r="B20841" s="4" t="s">
        <v>26253</v>
      </c>
      <c r="C20841" s="5" t="str">
        <f>IFERROR(__xludf.DUMMYFUNCTION("GOOGLETRANSLATE(B20841,""en"",""it"")"),"Una donna in un vestito da ballo sta ballando muovendo il suo corpo in modo molto strategico.")</f>
        <v>Una donna in un vestito da ballo sta ballando muovendo il suo corpo in modo molto strategico.</v>
      </c>
    </row>
    <row r="20842">
      <c r="A20842" s="4" t="s">
        <v>26252</v>
      </c>
      <c r="B20842" s="4" t="s">
        <v>26254</v>
      </c>
      <c r="C20842" s="5" t="str">
        <f>IFERROR(__xludf.DUMMYFUNCTION("GOOGLETRANSLATE(B20842,""en"",""it"")"),"Si muove le mani in aria mentre muove i fianchi molto rapidamente.")</f>
        <v>Si muove le mani in aria mentre muove i fianchi molto rapidamente.</v>
      </c>
    </row>
    <row r="20843">
      <c r="A20843" s="4" t="s">
        <v>26252</v>
      </c>
      <c r="B20843" s="4" t="s">
        <v>26255</v>
      </c>
      <c r="C20843" s="5" t="str">
        <f>IFERROR(__xludf.DUMMYFUNCTION("GOOGLETRANSLATE(B20843,""en"",""it"")"),"Parla del suo amore per la danza del ventre e le cose.")</f>
        <v>Parla del suo amore per la danza del ventre e le cose.</v>
      </c>
    </row>
    <row r="20844">
      <c r="A20844" s="4" t="s">
        <v>26252</v>
      </c>
      <c r="B20844" s="4" t="s">
        <v>26256</v>
      </c>
      <c r="C20844" s="5" t="str">
        <f>IFERROR(__xludf.DUMMYFUNCTION("GOOGLETRANSLATE(B20844,""en"",""it"")"),"Poi la vedi un diverso vestito viola che balla che balla fuori.")</f>
        <v>Poi la vedi un diverso vestito viola che balla che balla fuori.</v>
      </c>
    </row>
    <row r="20845">
      <c r="A20845" s="4" t="s">
        <v>26257</v>
      </c>
      <c r="B20845" s="4" t="s">
        <v>26258</v>
      </c>
      <c r="C20845" s="5" t="str">
        <f>IFERROR(__xludf.DUMMYFUNCTION("GOOGLETRANSLATE(B20845,""en"",""it"")"),"Un uomo stava sbucciando una patata usando una pelapatrice verde.")</f>
        <v>Un uomo stava sbucciando una patata usando una pelapatrice verde.</v>
      </c>
    </row>
    <row r="20846">
      <c r="A20846" s="4" t="s">
        <v>26257</v>
      </c>
      <c r="B20846" s="4" t="s">
        <v>26259</v>
      </c>
      <c r="C20846" s="5" t="str">
        <f>IFERROR(__xludf.DUMMYFUNCTION("GOOGLETRANSLATE(B20846,""en"",""it"")"),"Si staccò la parte centrale ancora una volta.")</f>
        <v>Si staccò la parte centrale ancora una volta.</v>
      </c>
    </row>
    <row r="20847">
      <c r="A20847" s="4" t="s">
        <v>26257</v>
      </c>
      <c r="B20847" s="4" t="s">
        <v>26260</v>
      </c>
      <c r="C20847" s="5" t="str">
        <f>IFERROR(__xludf.DUMMYFUNCTION("GOOGLETRANSLATE(B20847,""en"",""it"")"),"Gettato nel contenitore.")</f>
        <v>Gettato nel contenitore.</v>
      </c>
    </row>
    <row r="20848">
      <c r="A20848" s="4" t="s">
        <v>26261</v>
      </c>
      <c r="B20848" s="4" t="s">
        <v>26262</v>
      </c>
      <c r="C20848" s="5" t="str">
        <f>IFERROR(__xludf.DUMMYFUNCTION("GOOGLETRANSLATE(B20848,""en"",""it"")"),"Viene vista una persona che solleva un bastone seguito da diverse clip di persone che lanciano un giavellotto.")</f>
        <v>Viene vista una persona che solleva un bastone seguito da diverse clip di persone che lanciano un giavellotto.</v>
      </c>
    </row>
    <row r="20849">
      <c r="A20849" s="4" t="s">
        <v>26261</v>
      </c>
      <c r="B20849" s="6" t="s">
        <v>26263</v>
      </c>
      <c r="C20849" s="5" t="str">
        <f>IFERROR(__xludf.DUMMYFUNCTION("GOOGLETRANSLATE(B20849,""en"",""it"")"),"Vengono mostrati più colpi di atleti che lanciano le grandi distanze del giavellotto mentre urlano ogni volta dopo il loro tiro.")</f>
        <v>Vengono mostrati più colpi di atleti che lanciano le grandi distanze del giavellotto mentre urlano ogni volta dopo il loro tiro.</v>
      </c>
    </row>
    <row r="20850">
      <c r="A20850" s="4" t="s">
        <v>26264</v>
      </c>
      <c r="B20850" s="4" t="s">
        <v>26265</v>
      </c>
      <c r="C20850" s="5" t="str">
        <f>IFERROR(__xludf.DUMMYFUNCTION("GOOGLETRANSLATE(B20850,""en"",""it"")"),"Un uomo è seduto su una sedia.")</f>
        <v>Un uomo è seduto su una sedia.</v>
      </c>
    </row>
    <row r="20851">
      <c r="A20851" s="4" t="s">
        <v>26264</v>
      </c>
      <c r="B20851" s="4" t="s">
        <v>26266</v>
      </c>
      <c r="C20851" s="5" t="str">
        <f>IFERROR(__xludf.DUMMYFUNCTION("GOOGLETRANSLATE(B20851,""en"",""it"")"),"Si sta facendo un tatuaggio sul braccio.")</f>
        <v>Si sta facendo un tatuaggio sul braccio.</v>
      </c>
    </row>
    <row r="20852">
      <c r="A20852" s="4" t="s">
        <v>26264</v>
      </c>
      <c r="B20852" s="4" t="s">
        <v>26267</v>
      </c>
      <c r="C20852" s="5" t="str">
        <f>IFERROR(__xludf.DUMMYFUNCTION("GOOGLETRANSLATE(B20852,""en"",""it"")"),"Un uomo lo guarda fare il tatuaggio.")</f>
        <v>Un uomo lo guarda fare il tatuaggio.</v>
      </c>
    </row>
    <row r="20853">
      <c r="A20853" s="4" t="s">
        <v>26264</v>
      </c>
      <c r="B20853" s="4" t="s">
        <v>26268</v>
      </c>
      <c r="C20853" s="5" t="str">
        <f>IFERROR(__xludf.DUMMYFUNCTION("GOOGLETRANSLATE(B20853,""en"",""it"")"),"Ottiene i suoi tatuaggi con Saran Wrap.")</f>
        <v>Ottiene i suoi tatuaggi con Saran Wrap.</v>
      </c>
    </row>
    <row r="20854">
      <c r="A20854" s="4" t="s">
        <v>26269</v>
      </c>
      <c r="B20854" s="4" t="s">
        <v>26270</v>
      </c>
      <c r="C20854" s="5" t="str">
        <f>IFERROR(__xludf.DUMMYFUNCTION("GOOGLETRANSLATE(B20854,""en"",""it"")"),"Una telecamera si allontana da una strada e mostra i piedi di una persona che si muovono.")</f>
        <v>Una telecamera si allontana da una strada e mostra i piedi di una persona che si muovono.</v>
      </c>
    </row>
    <row r="20855">
      <c r="A20855" s="4" t="s">
        <v>26269</v>
      </c>
      <c r="B20855" s="4" t="s">
        <v>26271</v>
      </c>
      <c r="C20855" s="5" t="str">
        <f>IFERROR(__xludf.DUMMYFUNCTION("GOOGLETRANSLATE(B20855,""en"",""it"")"),"Vengono mostrati diversi scatti di persone che si legano le scarpe, prendono un pulsante e controllano un orologio.")</f>
        <v>Vengono mostrati diversi scatti di persone che si legano le scarpe, prendono un pulsante e controllano un orologio.</v>
      </c>
    </row>
    <row r="20856">
      <c r="A20856" s="4" t="s">
        <v>26269</v>
      </c>
      <c r="B20856" s="4" t="s">
        <v>26272</v>
      </c>
      <c r="C20856" s="5" t="str">
        <f>IFERROR(__xludf.DUMMYFUNCTION("GOOGLETRANSLATE(B20856,""en"",""it"")"),"Le persone vengono quindi viste correre lungo la strada una alla volta seguita da molti altri seguenti.")</f>
        <v>Le persone vengono quindi viste correre lungo la strada una alla volta seguita da molti altri seguenti.</v>
      </c>
    </row>
    <row r="20857">
      <c r="A20857" s="4" t="s">
        <v>26273</v>
      </c>
      <c r="B20857" s="6" t="s">
        <v>26274</v>
      </c>
      <c r="C20857" s="5" t="str">
        <f>IFERROR(__xludf.DUMMYFUNCTION("GOOGLETRANSLATE(B20857,""en"",""it"")"),"Vengono mostrati diversi scatti di un casinò che include primi piani di tavoli da poker e persone sedute a un tavolo che gioca.")</f>
        <v>Vengono mostrati diversi scatti di un casinò che include primi piani di tavoli da poker e persone sedute a un tavolo che gioca.</v>
      </c>
    </row>
    <row r="20858">
      <c r="A20858" s="4" t="s">
        <v>26273</v>
      </c>
      <c r="B20858" s="6" t="s">
        <v>26275</v>
      </c>
      <c r="C20858" s="5" t="str">
        <f>IFERROR(__xludf.DUMMYFUNCTION("GOOGLETRANSLATE(B20858,""en"",""it"")"),"Vengono mostrati molti scatti del rivenditore che si affrettano le carte mentre le girano e il pubblico reagisce.")</f>
        <v>Vengono mostrati molti scatti del rivenditore che si affrettano le carte mentre le girano e il pubblico reagisce.</v>
      </c>
    </row>
    <row r="20859">
      <c r="A20859" s="4" t="s">
        <v>26276</v>
      </c>
      <c r="B20859" s="4" t="s">
        <v>26277</v>
      </c>
      <c r="C20859" s="5" t="str">
        <f>IFERROR(__xludf.DUMMYFUNCTION("GOOGLETRANSLATE(B20859,""en"",""it"")"),"Una persona sta snowboard su una montagna.")</f>
        <v>Una persona sta snowboard su una montagna.</v>
      </c>
    </row>
    <row r="20860">
      <c r="A20860" s="4" t="s">
        <v>26276</v>
      </c>
      <c r="B20860" s="4" t="s">
        <v>26278</v>
      </c>
      <c r="C20860" s="5" t="str">
        <f>IFERROR(__xludf.DUMMYFUNCTION("GOOGLETRANSLATE(B20860,""en"",""it"")"),"C'è un montaggio di strade che conducono a una montagna e un seggiolino.")</f>
        <v>C'è un montaggio di strade che conducono a una montagna e un seggiolino.</v>
      </c>
    </row>
    <row r="20861">
      <c r="A20861" s="4" t="s">
        <v>26276</v>
      </c>
      <c r="B20861" s="4" t="s">
        <v>26279</v>
      </c>
      <c r="C20861" s="5" t="str">
        <f>IFERROR(__xludf.DUMMYFUNCTION("GOOGLETRANSLATE(B20861,""en"",""it"")"),"Le persone saltano su rampe e mezzo pipe.")</f>
        <v>Le persone saltano su rampe e mezzo pipe.</v>
      </c>
    </row>
    <row r="20862">
      <c r="A20862" s="4" t="s">
        <v>26280</v>
      </c>
      <c r="B20862" s="4" t="s">
        <v>26281</v>
      </c>
      <c r="C20862" s="5" t="str">
        <f>IFERROR(__xludf.DUMMYFUNCTION("GOOGLETRANSLATE(B20862,""en"",""it"")"),"Un'introduzione al testo conduce in un lottatore che sbatte un altro lottatore su un anello.")</f>
        <v>Un'introduzione al testo conduce in un lottatore che sbatte un altro lottatore su un anello.</v>
      </c>
    </row>
    <row r="20863">
      <c r="A20863" s="4" t="s">
        <v>26280</v>
      </c>
      <c r="B20863" s="4" t="s">
        <v>26282</v>
      </c>
      <c r="C20863" s="5" t="str">
        <f>IFERROR(__xludf.DUMMYFUNCTION("GOOGLETRANSLATE(B20863,""en"",""it"")"),"Il video continua con più scatti dell'uomo che blocca i lottatori.")</f>
        <v>Il video continua con più scatti dell'uomo che blocca i lottatori.</v>
      </c>
    </row>
    <row r="20864">
      <c r="A20864" s="4" t="s">
        <v>26280</v>
      </c>
      <c r="B20864" s="4" t="s">
        <v>26283</v>
      </c>
      <c r="C20864" s="5" t="str">
        <f>IFERROR(__xludf.DUMMYFUNCTION("GOOGLETRANSLATE(B20864,""en"",""it"")"),"Vengono mostrati diversi altri scatti e termina con un'opzione di iscrizione.")</f>
        <v>Vengono mostrati diversi altri scatti e termina con un'opzione di iscrizione.</v>
      </c>
    </row>
    <row r="20865">
      <c r="A20865" s="4" t="s">
        <v>26284</v>
      </c>
      <c r="B20865" s="4" t="s">
        <v>26285</v>
      </c>
      <c r="C20865" s="5" t="str">
        <f>IFERROR(__xludf.DUMMYFUNCTION("GOOGLETRANSLATE(B20865,""en"",""it"")"),"L'uomo con camicia marrone sta parlando con la telecamera.")</f>
        <v>L'uomo con camicia marrone sta parlando con la telecamera.</v>
      </c>
    </row>
    <row r="20866">
      <c r="A20866" s="4" t="s">
        <v>26284</v>
      </c>
      <c r="B20866" s="4" t="s">
        <v>26286</v>
      </c>
      <c r="C20866" s="5" t="str">
        <f>IFERROR(__xludf.DUMMYFUNCTION("GOOGLETRANSLATE(B20866,""en"",""it"")"),"L'uomo ha messo uno strumento sul tappeto con un palo lungo.")</f>
        <v>L'uomo ha messo uno strumento sul tappeto con un palo lungo.</v>
      </c>
    </row>
    <row r="20867">
      <c r="A20867" s="4" t="s">
        <v>26284</v>
      </c>
      <c r="B20867" s="4" t="s">
        <v>26287</v>
      </c>
      <c r="C20867" s="5" t="str">
        <f>IFERROR(__xludf.DUMMYFUNCTION("GOOGLETRANSLATE(B20867,""en"",""it"")"),"L'uomo usò la barella per appiattire il tappeto sul pavimento.")</f>
        <v>L'uomo usò la barella per appiattire il tappeto sul pavimento.</v>
      </c>
    </row>
    <row r="20868">
      <c r="A20868" s="4" t="s">
        <v>26288</v>
      </c>
      <c r="B20868" s="4" t="s">
        <v>26289</v>
      </c>
      <c r="C20868" s="5" t="str">
        <f>IFERROR(__xludf.DUMMYFUNCTION("GOOGLETRANSLATE(B20868,""en"",""it"")"),"Vediamo un negozio, mappe e persone su un autobus.")</f>
        <v>Vediamo un negozio, mappe e persone su un autobus.</v>
      </c>
    </row>
    <row r="20869">
      <c r="A20869" s="4" t="s">
        <v>26288</v>
      </c>
      <c r="B20869" s="4" t="s">
        <v>26290</v>
      </c>
      <c r="C20869" s="5" t="str">
        <f>IFERROR(__xludf.DUMMYFUNCTION("GOOGLETRANSLATE(B20869,""en"",""it"")"),"Vediamo persone in spiaggia.")</f>
        <v>Vediamo persone in spiaggia.</v>
      </c>
    </row>
    <row r="20870">
      <c r="A20870" s="4" t="s">
        <v>26288</v>
      </c>
      <c r="B20870" s="4" t="s">
        <v>26291</v>
      </c>
      <c r="C20870" s="5" t="str">
        <f>IFERROR(__xludf.DUMMYFUNCTION("GOOGLETRANSLATE(B20870,""en"",""it"")"),"Vediamo persone nel lago e nelle zattere.")</f>
        <v>Vediamo persone nel lago e nelle zattere.</v>
      </c>
    </row>
    <row r="20871">
      <c r="A20871" s="4" t="s">
        <v>26288</v>
      </c>
      <c r="B20871" s="4" t="s">
        <v>26292</v>
      </c>
      <c r="C20871" s="5" t="str">
        <f>IFERROR(__xludf.DUMMYFUNCTION("GOOGLETRANSLATE(B20871,""en"",""it"")"),"Vediamo un cane sulla zattera.")</f>
        <v>Vediamo un cane sulla zattera.</v>
      </c>
    </row>
    <row r="20872">
      <c r="A20872" s="4" t="s">
        <v>26288</v>
      </c>
      <c r="B20872" s="4" t="s">
        <v>26293</v>
      </c>
      <c r="C20872" s="5" t="str">
        <f>IFERROR(__xludf.DUMMYFUNCTION("GOOGLETRANSLATE(B20872,""en"",""it"")"),"Vediamo una persona che pagava una zattera.")</f>
        <v>Vediamo una persona che pagava una zattera.</v>
      </c>
    </row>
    <row r="20873">
      <c r="A20873" s="4" t="s">
        <v>26288</v>
      </c>
      <c r="B20873" s="4" t="s">
        <v>26294</v>
      </c>
      <c r="C20873" s="5" t="str">
        <f>IFERROR(__xludf.DUMMYFUNCTION("GOOGLETRANSLATE(B20873,""en"",""it"")"),"Vediamo un cane che nuota nel fiume.")</f>
        <v>Vediamo un cane che nuota nel fiume.</v>
      </c>
    </row>
    <row r="20874">
      <c r="A20874" s="4" t="s">
        <v>26288</v>
      </c>
      <c r="B20874" s="4" t="s">
        <v>26295</v>
      </c>
      <c r="C20874" s="5" t="str">
        <f>IFERROR(__xludf.DUMMYFUNCTION("GOOGLETRANSLATE(B20874,""en"",""it"")"),"Vediamo lo schermo finale in blu.")</f>
        <v>Vediamo lo schermo finale in blu.</v>
      </c>
    </row>
    <row r="20875">
      <c r="A20875" s="4" t="s">
        <v>26296</v>
      </c>
      <c r="B20875" s="4" t="s">
        <v>26297</v>
      </c>
      <c r="C20875" s="5" t="str">
        <f>IFERROR(__xludf.DUMMYFUNCTION("GOOGLETRANSLATE(B20875,""en"",""it"")"),"Un uomo sta pattinando su una pista di hockey e va a fare un obiettivo.")</f>
        <v>Un uomo sta pattinando su una pista di hockey e va a fare un obiettivo.</v>
      </c>
    </row>
    <row r="20876">
      <c r="A20876" s="4" t="s">
        <v>26296</v>
      </c>
      <c r="B20876" s="4" t="s">
        <v>26298</v>
      </c>
      <c r="C20876" s="5" t="str">
        <f>IFERROR(__xludf.DUMMYFUNCTION("GOOGLETRANSLATE(B20876,""en"",""it"")"),"Spara e fa un punto e la folla applausi.")</f>
        <v>Spara e fa un punto e la folla applausi.</v>
      </c>
    </row>
    <row r="20877">
      <c r="A20877" s="4" t="s">
        <v>26296</v>
      </c>
      <c r="B20877" s="4" t="s">
        <v>26299</v>
      </c>
      <c r="C20877" s="5" t="str">
        <f>IFERROR(__xludf.DUMMYFUNCTION("GOOGLETRANSLATE(B20877,""en"",""it"")"),"Fa un altro punto e la folla applaude.")</f>
        <v>Fa un altro punto e la folla applaude.</v>
      </c>
    </row>
    <row r="20878">
      <c r="A20878" s="4" t="s">
        <v>26296</v>
      </c>
      <c r="B20878" s="4" t="s">
        <v>26300</v>
      </c>
      <c r="C20878" s="5" t="str">
        <f>IFERROR(__xludf.DUMMYFUNCTION("GOOGLETRANSLATE(B20878,""en"",""it"")"),"Una squadra di maglie gialle si precipita sul ghiaccio per congratularsi con lui.")</f>
        <v>Una squadra di maglie gialle si precipita sul ghiaccio per congratularsi con lui.</v>
      </c>
    </row>
    <row r="20879">
      <c r="A20879" s="4" t="s">
        <v>26296</v>
      </c>
      <c r="B20879" s="4" t="s">
        <v>26301</v>
      </c>
      <c r="C20879" s="5" t="str">
        <f>IFERROR(__xludf.DUMMYFUNCTION("GOOGLETRANSLATE(B20879,""en"",""it"")"),"Sono in fila in campo mentre un uomo in abito a allontanarli.")</f>
        <v>Sono in fila in campo mentre un uomo in abito a allontanarli.</v>
      </c>
    </row>
    <row r="20880">
      <c r="A20880" s="4" t="s">
        <v>26296</v>
      </c>
      <c r="B20880" s="4" t="s">
        <v>26302</v>
      </c>
      <c r="C20880" s="5" t="str">
        <f>IFERROR(__xludf.DUMMYFUNCTION("GOOGLETRANSLATE(B20880,""en"",""it"")"),"L'uomo in abito si ferma e parla con un altro uomo.")</f>
        <v>L'uomo in abito si ferma e parla con un altro uomo.</v>
      </c>
    </row>
    <row r="20881">
      <c r="A20881" s="4" t="s">
        <v>26296</v>
      </c>
      <c r="B20881" s="4" t="s">
        <v>26303</v>
      </c>
      <c r="C20881" s="5" t="str">
        <f>IFERROR(__xludf.DUMMYFUNCTION("GOOGLETRANSLATE(B20881,""en"",""it"")"),"Accenda e torna indietro verso i giocatori.")</f>
        <v>Accenda e torna indietro verso i giocatori.</v>
      </c>
    </row>
    <row r="20882">
      <c r="A20882" s="4" t="s">
        <v>26296</v>
      </c>
      <c r="B20882" s="4" t="s">
        <v>26304</v>
      </c>
      <c r="C20882" s="5" t="str">
        <f>IFERROR(__xludf.DUMMYFUNCTION("GOOGLETRANSLATE(B20882,""en"",""it"")"),"Il team Esser che pattina verso la gente.")</f>
        <v>Il team Esser che pattina verso la gente.</v>
      </c>
    </row>
    <row r="20883">
      <c r="A20883" s="4" t="s">
        <v>26296</v>
      </c>
      <c r="B20883" s="4" t="s">
        <v>26305</v>
      </c>
      <c r="C20883" s="5" t="str">
        <f>IFERROR(__xludf.DUMMYFUNCTION("GOOGLETRANSLATE(B20883,""en"",""it"")"),"Pattinano sul ghiaccio e un uomo si trova sugli spalti e regge un trofeo.")</f>
        <v>Pattinano sul ghiaccio e un uomo si trova sugli spalti e regge un trofeo.</v>
      </c>
    </row>
    <row r="20884">
      <c r="A20884" s="4" t="s">
        <v>26306</v>
      </c>
      <c r="B20884" s="4" t="s">
        <v>26307</v>
      </c>
      <c r="C20884" s="5" t="str">
        <f>IFERROR(__xludf.DUMMYFUNCTION("GOOGLETRANSLATE(B20884,""en"",""it"")"),"Un folto gruppo di persone balla in coppia su una pista da ballo.")</f>
        <v>Un folto gruppo di persone balla in coppia su una pista da ballo.</v>
      </c>
    </row>
    <row r="20885">
      <c r="A20885" s="4" t="s">
        <v>26306</v>
      </c>
      <c r="B20885" s="4" t="s">
        <v>26308</v>
      </c>
      <c r="C20885" s="5" t="str">
        <f>IFERROR(__xludf.DUMMYFUNCTION("GOOGLETRANSLATE(B20885,""en"",""it"")"),"Le persone guardano dai tavoli intorno alla pista da ballo.")</f>
        <v>Le persone guardano dai tavoli intorno alla pista da ballo.</v>
      </c>
    </row>
    <row r="20886">
      <c r="A20886" s="4" t="s">
        <v>26306</v>
      </c>
      <c r="B20886" s="4" t="s">
        <v>26309</v>
      </c>
      <c r="C20886" s="5" t="str">
        <f>IFERROR(__xludf.DUMMYFUNCTION("GOOGLETRANSLATE(B20886,""en"",""it"")"),"Un uomo con un microfono si trova sulla pista da ballo.")</f>
        <v>Un uomo con un microfono si trova sulla pista da ballo.</v>
      </c>
    </row>
    <row r="20887">
      <c r="A20887" s="4" t="s">
        <v>26310</v>
      </c>
      <c r="B20887" s="4" t="s">
        <v>26311</v>
      </c>
      <c r="C20887" s="5" t="str">
        <f>IFERROR(__xludf.DUMMYFUNCTION("GOOGLETRANSLATE(B20887,""en"",""it"")"),"Si vede un uomo che indossa un cappello indossare guanti e avviare una macchina in erba alta.")</f>
        <v>Si vede un uomo che indossa un cappello indossare guanti e avviare una macchina in erba alta.</v>
      </c>
    </row>
    <row r="20888">
      <c r="A20888" s="4" t="s">
        <v>26310</v>
      </c>
      <c r="B20888" s="4" t="s">
        <v>26312</v>
      </c>
      <c r="C20888" s="5" t="str">
        <f>IFERROR(__xludf.DUMMYFUNCTION("GOOGLETRANSLATE(B20888,""en"",""it"")"),"L'uomo quindi sposta la macchina lungo l'erba per tagliarla.")</f>
        <v>L'uomo quindi sposta la macchina lungo l'erba per tagliarla.</v>
      </c>
    </row>
    <row r="20889">
      <c r="A20889" s="4" t="s">
        <v>26310</v>
      </c>
      <c r="B20889" s="4" t="s">
        <v>26313</v>
      </c>
      <c r="C20889" s="5" t="str">
        <f>IFERROR(__xludf.DUMMYFUNCTION("GOOGLETRANSLATE(B20889,""en"",""it"")"),"Fa una pausa per un momento per parlare alla telecamera e alza le mani.")</f>
        <v>Fa una pausa per un momento per parlare alla telecamera e alza le mani.</v>
      </c>
    </row>
    <row r="20890">
      <c r="A20890" s="4" t="s">
        <v>26314</v>
      </c>
      <c r="B20890" s="4" t="s">
        <v>26315</v>
      </c>
      <c r="C20890" s="5" t="str">
        <f>IFERROR(__xludf.DUMMYFUNCTION("GOOGLETRANSLATE(B20890,""en"",""it"")"),"Un bastone viene tenuto da terra.")</f>
        <v>Un bastone viene tenuto da terra.</v>
      </c>
    </row>
    <row r="20891">
      <c r="A20891" s="4" t="s">
        <v>26314</v>
      </c>
      <c r="B20891" s="4" t="s">
        <v>26316</v>
      </c>
      <c r="C20891" s="5" t="str">
        <f>IFERROR(__xludf.DUMMYFUNCTION("GOOGLETRANSLATE(B20891,""en"",""it"")"),"Un uomo usa la mazza di croquette per colpire una palla, quindi la ripristina a terra.")</f>
        <v>Un uomo usa la mazza di croquette per colpire una palla, quindi la ripristina a terra.</v>
      </c>
    </row>
    <row r="20892">
      <c r="A20892" s="4" t="s">
        <v>26317</v>
      </c>
      <c r="B20892" s="4" t="s">
        <v>26318</v>
      </c>
      <c r="C20892" s="5" t="str">
        <f>IFERROR(__xludf.DUMMYFUNCTION("GOOGLETRANSLATE(B20892,""en"",""it"")"),"Una donna è seduta sul pavimento, parlando di un aspirapolvere.")</f>
        <v>Una donna è seduta sul pavimento, parlando di un aspirapolvere.</v>
      </c>
    </row>
    <row r="20893">
      <c r="A20893" s="4" t="s">
        <v>26317</v>
      </c>
      <c r="B20893" s="4" t="s">
        <v>26319</v>
      </c>
      <c r="C20893" s="5" t="str">
        <f>IFERROR(__xludf.DUMMYFUNCTION("GOOGLETRANSLATE(B20893,""en"",""it"")"),"Dimostra come applicare la polvere sul tappeto e aspirarlo.")</f>
        <v>Dimostra come applicare la polvere sul tappeto e aspirarlo.</v>
      </c>
    </row>
    <row r="20894">
      <c r="A20894" s="4" t="s">
        <v>26317</v>
      </c>
      <c r="B20894" s="4" t="s">
        <v>26320</v>
      </c>
      <c r="C20894" s="5" t="str">
        <f>IFERROR(__xludf.DUMMYFUNCTION("GOOGLETRANSLATE(B20894,""en"",""it"")"),"Quindi mostra come pulire il vuoto e la meccanica della macchina.")</f>
        <v>Quindi mostra come pulire il vuoto e la meccanica della macchina.</v>
      </c>
    </row>
    <row r="20895">
      <c r="A20895" s="4" t="s">
        <v>26321</v>
      </c>
      <c r="B20895" s="4" t="s">
        <v>26322</v>
      </c>
      <c r="C20895" s="5" t="str">
        <f>IFERROR(__xludf.DUMMYFUNCTION("GOOGLETRANSLATE(B20895,""en"",""it"")"),"Un gruppo di persone è in una casa.")</f>
        <v>Un gruppo di persone è in una casa.</v>
      </c>
    </row>
    <row r="20896">
      <c r="A20896" s="4" t="s">
        <v>26321</v>
      </c>
      <c r="B20896" s="4" t="s">
        <v>26323</v>
      </c>
      <c r="C20896" s="5" t="str">
        <f>IFERROR(__xludf.DUMMYFUNCTION("GOOGLETRANSLATE(B20896,""en"",""it"")"),"Un uomo sta moppando il pavimento con un scoppio.")</f>
        <v>Un uomo sta moppando il pavimento con un scoppio.</v>
      </c>
    </row>
    <row r="20897">
      <c r="A20897" s="4" t="s">
        <v>26321</v>
      </c>
      <c r="B20897" s="4" t="s">
        <v>26324</v>
      </c>
      <c r="C20897" s="5" t="str">
        <f>IFERROR(__xludf.DUMMYFUNCTION("GOOGLETRANSLATE(B20897,""en"",""it"")"),"Un altro ragazzo tenta di attraversare il punto in cui sta puzzando.")</f>
        <v>Un altro ragazzo tenta di attraversare il punto in cui sta puzzando.</v>
      </c>
    </row>
    <row r="20898">
      <c r="A20898" s="4" t="s">
        <v>26321</v>
      </c>
      <c r="B20898" s="4" t="s">
        <v>26325</v>
      </c>
      <c r="C20898" s="5" t="str">
        <f>IFERROR(__xludf.DUMMYFUNCTION("GOOGLETRANSLATE(B20898,""en"",""it"")"),"L'uomo prende un drink di birra e si lamenta con la macchina fotografica.")</f>
        <v>L'uomo prende un drink di birra e si lamenta con la macchina fotografica.</v>
      </c>
    </row>
    <row r="20899">
      <c r="A20899" s="4" t="s">
        <v>26321</v>
      </c>
      <c r="B20899" s="4" t="s">
        <v>26326</v>
      </c>
      <c r="C20899" s="5" t="str">
        <f>IFERROR(__xludf.DUMMYFUNCTION("GOOGLETRANSLATE(B20899,""en"",""it"")"),"Si muove attraverso la stanza tra la gente.")</f>
        <v>Si muove attraverso la stanza tra la gente.</v>
      </c>
    </row>
    <row r="20900">
      <c r="A20900" s="4" t="s">
        <v>26321</v>
      </c>
      <c r="B20900" s="4" t="s">
        <v>26327</v>
      </c>
      <c r="C20900" s="5" t="str">
        <f>IFERROR(__xludf.DUMMYFUNCTION("GOOGLETRANSLATE(B20900,""en"",""it"")"),"Smette di pulire e parla alla telecamera.")</f>
        <v>Smette di pulire e parla alla telecamera.</v>
      </c>
    </row>
    <row r="20901">
      <c r="A20901" s="4" t="s">
        <v>26328</v>
      </c>
      <c r="B20901" s="4" t="s">
        <v>26329</v>
      </c>
      <c r="C20901" s="5" t="str">
        <f>IFERROR(__xludf.DUMMYFUNCTION("GOOGLETRANSLATE(B20901,""en"",""it"")"),"Un globo si sta girando con la scrittura di fronte.")</f>
        <v>Un globo si sta girando con la scrittura di fronte.</v>
      </c>
    </row>
    <row r="20902">
      <c r="A20902" s="4" t="s">
        <v>26328</v>
      </c>
      <c r="B20902" s="4" t="s">
        <v>26330</v>
      </c>
      <c r="C20902" s="5" t="str">
        <f>IFERROR(__xludf.DUMMYFUNCTION("GOOGLETRANSLATE(B20902,""en"",""it"")"),"Un uomo lancia una palla da bowling in vari spille.")</f>
        <v>Un uomo lancia una palla da bowling in vari spille.</v>
      </c>
    </row>
    <row r="20903">
      <c r="A20903" s="4" t="s">
        <v>26328</v>
      </c>
      <c r="B20903" s="4" t="s">
        <v>26331</v>
      </c>
      <c r="C20903" s="5" t="str">
        <f>IFERROR(__xludf.DUMMYFUNCTION("GOOGLETRANSLATE(B20903,""en"",""it"")"),"Lo rimbalza dal trampolino e abbatte le spille.")</f>
        <v>Lo rimbalza dal trampolino e abbatte le spille.</v>
      </c>
    </row>
    <row r="20904">
      <c r="A20904" s="4" t="s">
        <v>26328</v>
      </c>
      <c r="B20904" s="4" t="s">
        <v>26332</v>
      </c>
      <c r="C20904" s="5" t="str">
        <f>IFERROR(__xludf.DUMMYFUNCTION("GOOGLETRANSLATE(B20904,""en"",""it"")"),"I lancia una palla da bowling da un ponte.")</f>
        <v>I lancia una palla da bowling da un ponte.</v>
      </c>
    </row>
    <row r="20905">
      <c r="A20905" s="4" t="s">
        <v>26328</v>
      </c>
      <c r="B20905" s="4" t="s">
        <v>26333</v>
      </c>
      <c r="C20905" s="5" t="str">
        <f>IFERROR(__xludf.DUMMYFUNCTION("GOOGLETRANSLATE(B20905,""en"",""it"")"),"Una donna getta la palla ai perni.")</f>
        <v>Una donna getta la palla ai perni.</v>
      </c>
    </row>
    <row r="20906">
      <c r="A20906" s="4" t="s">
        <v>26328</v>
      </c>
      <c r="B20906" s="4" t="s">
        <v>26334</v>
      </c>
      <c r="C20906" s="5" t="str">
        <f>IFERROR(__xludf.DUMMYFUNCTION("GOOGLETRANSLATE(B20906,""en"",""it"")"),"Un uomo cattura la palla da bowling e la lancia sui perni.")</f>
        <v>Un uomo cattura la palla da bowling e la lancia sui perni.</v>
      </c>
    </row>
    <row r="20907">
      <c r="A20907" s="4" t="s">
        <v>26328</v>
      </c>
      <c r="B20907" s="4" t="s">
        <v>26335</v>
      </c>
      <c r="C20907" s="5" t="str">
        <f>IFERROR(__xludf.DUMMYFUNCTION("GOOGLETRANSLATE(B20907,""en"",""it"")"),"Un uomo lo rimbalza su un'auto e colpisce i perni.")</f>
        <v>Un uomo lo rimbalza su un'auto e colpisce i perni.</v>
      </c>
    </row>
    <row r="20908">
      <c r="A20908" s="4" t="s">
        <v>26328</v>
      </c>
      <c r="B20908" s="4" t="s">
        <v>26336</v>
      </c>
      <c r="C20908" s="5" t="str">
        <f>IFERROR(__xludf.DUMMYFUNCTION("GOOGLETRANSLATE(B20908,""en"",""it"")"),"Viene mostrato un altro trucco del trampolino.")</f>
        <v>Viene mostrato un altro trucco del trampolino.</v>
      </c>
    </row>
    <row r="20909">
      <c r="A20909" s="4" t="s">
        <v>26328</v>
      </c>
      <c r="B20909" s="4" t="s">
        <v>26337</v>
      </c>
      <c r="C20909" s="5" t="str">
        <f>IFERROR(__xludf.DUMMYFUNCTION("GOOGLETRANSLATE(B20909,""en"",""it"")"),"Un uomo getta una palla da bowling giù per una scivolata e una persona la prende in fondo.")</f>
        <v>Un uomo getta una palla da bowling giù per una scivolata e una persona la prende in fondo.</v>
      </c>
    </row>
    <row r="20910">
      <c r="A20910" s="4" t="s">
        <v>26328</v>
      </c>
      <c r="B20910" s="4" t="s">
        <v>26338</v>
      </c>
      <c r="C20910" s="5" t="str">
        <f>IFERROR(__xludf.DUMMYFUNCTION("GOOGLETRANSLATE(B20910,""en"",""it"")"),"Un uomo lancia una palla da bowling su una collina e rotola indietro e colpisce i perni.")</f>
        <v>Un uomo lancia una palla da bowling su una collina e rotola indietro e colpisce i perni.</v>
      </c>
    </row>
    <row r="20911">
      <c r="A20911" s="4" t="s">
        <v>26328</v>
      </c>
      <c r="B20911" s="4" t="s">
        <v>26339</v>
      </c>
      <c r="C20911" s="5" t="str">
        <f>IFERROR(__xludf.DUMMYFUNCTION("GOOGLETRANSLATE(B20911,""en"",""it"")"),"Due uomini rimbalzano le palline dalle trampolini per colpire i perni.")</f>
        <v>Due uomini rimbalzano le palline dalle trampolini per colpire i perni.</v>
      </c>
    </row>
    <row r="20912">
      <c r="A20912" s="4" t="s">
        <v>26328</v>
      </c>
      <c r="B20912" s="4" t="s">
        <v>26340</v>
      </c>
      <c r="C20912" s="5" t="str">
        <f>IFERROR(__xludf.DUMMYFUNCTION("GOOGLETRANSLATE(B20912,""en"",""it"")"),"Un'auto a telecomando spinge la palla da bowling a colpire i perni.")</f>
        <v>Un'auto a telecomando spinge la palla da bowling a colpire i perni.</v>
      </c>
    </row>
    <row r="20913">
      <c r="A20913" s="4" t="s">
        <v>26328</v>
      </c>
      <c r="B20913" s="4" t="s">
        <v>26341</v>
      </c>
      <c r="C20913" s="5" t="str">
        <f>IFERROR(__xludf.DUMMYFUNCTION("GOOGLETRANSLATE(B20913,""en"",""it"")"),"Due uomini alti cinque dopo aver abbattuto i perni.")</f>
        <v>Due uomini alti cinque dopo aver abbattuto i perni.</v>
      </c>
    </row>
    <row r="20914">
      <c r="A20914" s="4" t="s">
        <v>26328</v>
      </c>
      <c r="B20914" s="4" t="s">
        <v>26342</v>
      </c>
      <c r="C20914" s="5" t="str">
        <f>IFERROR(__xludf.DUMMYFUNCTION("GOOGLETRANSLATE(B20914,""en"",""it"")"),"Un uomo in piedi sopra un edificio lancia una palla e colpisce i perni.")</f>
        <v>Un uomo in piedi sopra un edificio lancia una palla e colpisce i perni.</v>
      </c>
    </row>
    <row r="20915">
      <c r="A20915" s="4" t="s">
        <v>26343</v>
      </c>
      <c r="B20915" s="4" t="s">
        <v>26344</v>
      </c>
      <c r="C20915" s="5" t="str">
        <f>IFERROR(__xludf.DUMMYFUNCTION("GOOGLETRANSLATE(B20915,""en"",""it"")"),"Due ballerini ballano al centro del pavimento dove non ci sono molte persone che guardano.")</f>
        <v>Due ballerini ballano al centro del pavimento dove non ci sono molte persone che guardano.</v>
      </c>
    </row>
    <row r="20916">
      <c r="A20916" s="4" t="s">
        <v>26343</v>
      </c>
      <c r="B20916" s="6" t="s">
        <v>26345</v>
      </c>
      <c r="C20916" s="5" t="str">
        <f>IFERROR(__xludf.DUMMYFUNCTION("GOOGLETRANSLATE(B20916,""en"",""it"")"),"Indossano entrambi decorazioni nere e stanno trasformando i manganelli in molti modi diversi e la musica sta suonando.")</f>
        <v>Indossano entrambi decorazioni nere e stanno trasformando i manganelli in molti modi diversi e la musica sta suonando.</v>
      </c>
    </row>
    <row r="20917">
      <c r="A20917" s="4" t="s">
        <v>26343</v>
      </c>
      <c r="B20917" s="4" t="s">
        <v>26346</v>
      </c>
      <c r="C20917" s="5" t="str">
        <f>IFERROR(__xludf.DUMMYFUNCTION("GOOGLETRANSLATE(B20917,""en"",""it"")"),"Molte persone sono incoraggianti, alcune sono in piedi e altre sono sedute.")</f>
        <v>Molte persone sono incoraggianti, alcune sono in piedi e altre sono sedute.</v>
      </c>
    </row>
    <row r="20918">
      <c r="A20918" s="4" t="s">
        <v>26347</v>
      </c>
      <c r="B20918" s="4" t="s">
        <v>26348</v>
      </c>
      <c r="C20918" s="5" t="str">
        <f>IFERROR(__xludf.DUMMYFUNCTION("GOOGLETRANSLATE(B20918,""en"",""it"")"),"Due ragazzi e due ragazze competono Beer Pong mentre altre persone guardano.")</f>
        <v>Due ragazzi e due ragazze competono Beer Pong mentre altre persone guardano.</v>
      </c>
    </row>
    <row r="20919">
      <c r="A20919" s="4" t="s">
        <v>26347</v>
      </c>
      <c r="B20919" s="4" t="s">
        <v>26349</v>
      </c>
      <c r="C20919" s="5" t="str">
        <f>IFERROR(__xludf.DUMMYFUNCTION("GOOGLETRANSLATE(B20919,""en"",""it"")"),"Quasi tutte le palle lanciate accanto ai ragazzi atterrano nelle tazze, manca solo una palla.")</f>
        <v>Quasi tutte le palle lanciate accanto ai ragazzi atterrano nelle tazze, manca solo una palla.</v>
      </c>
    </row>
    <row r="20920">
      <c r="A20920" s="4" t="s">
        <v>26347</v>
      </c>
      <c r="B20920" s="4" t="s">
        <v>26350</v>
      </c>
      <c r="C20920" s="5" t="str">
        <f>IFERROR(__xludf.DUMMYFUNCTION("GOOGLETRANSLATE(B20920,""en"",""it"")"),"Le ragazze si parlano mentre guardano i ragazzi.")</f>
        <v>Le ragazze si parlano mentre guardano i ragazzi.</v>
      </c>
    </row>
    <row r="20921">
      <c r="A20921" s="4" t="s">
        <v>26351</v>
      </c>
      <c r="B20921" s="4" t="s">
        <v>26352</v>
      </c>
      <c r="C20921" s="5" t="str">
        <f>IFERROR(__xludf.DUMMYFUNCTION("GOOGLETRANSLATE(B20921,""en"",""it"")"),"Un ragazzo sta mettendo una stoffa sulle caviglie di una donna.")</f>
        <v>Un ragazzo sta mettendo una stoffa sulle caviglie di una donna.</v>
      </c>
    </row>
    <row r="20922">
      <c r="A20922" s="4" t="s">
        <v>26351</v>
      </c>
      <c r="B20922" s="4" t="s">
        <v>26353</v>
      </c>
      <c r="C20922" s="5" t="str">
        <f>IFERROR(__xludf.DUMMYFUNCTION("GOOGLETRANSLATE(B20922,""en"",""it"")"),"Il ragazzo posiziona la signora al limite.")</f>
        <v>Il ragazzo posiziona la signora al limite.</v>
      </c>
    </row>
    <row r="20923">
      <c r="A20923" s="4" t="s">
        <v>26351</v>
      </c>
      <c r="B20923" s="4" t="s">
        <v>26354</v>
      </c>
      <c r="C20923" s="5" t="str">
        <f>IFERROR(__xludf.DUMMYFUNCTION("GOOGLETRANSLATE(B20923,""en"",""it"")"),"La signora Bungee salta quando il ragazzo si rimuove la mano.")</f>
        <v>La signora Bungee salta quando il ragazzo si rimuove la mano.</v>
      </c>
    </row>
    <row r="20924">
      <c r="A20924" s="4" t="s">
        <v>26355</v>
      </c>
      <c r="B20924" s="4" t="s">
        <v>26356</v>
      </c>
      <c r="C20924" s="5" t="str">
        <f>IFERROR(__xludf.DUMMYFUNCTION("GOOGLETRANSLATE(B20924,""en"",""it"")"),"Una donna sta spazzando davanti a un fienile.")</f>
        <v>Una donna sta spazzando davanti a un fienile.</v>
      </c>
    </row>
    <row r="20925">
      <c r="A20925" s="4" t="s">
        <v>26355</v>
      </c>
      <c r="B20925" s="4" t="s">
        <v>26357</v>
      </c>
      <c r="C20925" s="5" t="str">
        <f>IFERROR(__xludf.DUMMYFUNCTION("GOOGLETRANSLATE(B20925,""en"",""it"")"),"I polli sono a terra dietro di lei.")</f>
        <v>I polli sono a terra dietro di lei.</v>
      </c>
    </row>
    <row r="20926">
      <c r="A20926" s="4" t="s">
        <v>26355</v>
      </c>
      <c r="B20926" s="4" t="s">
        <v>26358</v>
      </c>
      <c r="C20926" s="5" t="str">
        <f>IFERROR(__xludf.DUMMYFUNCTION("GOOGLETRANSLATE(B20926,""en"",""it"")"),"Sta spalando lo sporco in una carriola delle ruote.")</f>
        <v>Sta spalando lo sporco in una carriola delle ruote.</v>
      </c>
    </row>
    <row r="20927">
      <c r="A20927" s="4" t="s">
        <v>26355</v>
      </c>
      <c r="B20927" s="4" t="s">
        <v>26359</v>
      </c>
      <c r="C20927" s="5" t="str">
        <f>IFERROR(__xludf.DUMMYFUNCTION("GOOGLETRANSLATE(B20927,""en"",""it"")"),"Gli uomini stanno spazzando di fronte al fienile.")</f>
        <v>Gli uomini stanno spazzando di fronte al fienile.</v>
      </c>
    </row>
    <row r="20928">
      <c r="A20928" s="4" t="s">
        <v>26355</v>
      </c>
      <c r="B20928" s="4" t="s">
        <v>26360</v>
      </c>
      <c r="C20928" s="5" t="str">
        <f>IFERROR(__xludf.DUMMYFUNCTION("GOOGLETRANSLATE(B20928,""en"",""it"")"),"Una donna sta spazzolando un cavallo con un pennello.")</f>
        <v>Una donna sta spazzolando un cavallo con un pennello.</v>
      </c>
    </row>
    <row r="20929">
      <c r="A20929" s="4" t="s">
        <v>26361</v>
      </c>
      <c r="B20929" s="4" t="s">
        <v>26362</v>
      </c>
      <c r="C20929" s="5" t="str">
        <f>IFERROR(__xludf.DUMMYFUNCTION("GOOGLETRANSLATE(B20929,""en"",""it"")"),"Una serie di coltelli si appoggiano sopra i coni a spillo.")</f>
        <v>Una serie di coltelli si appoggiano sopra i coni a spillo.</v>
      </c>
    </row>
    <row r="20930">
      <c r="A20930" s="4" t="s">
        <v>26361</v>
      </c>
      <c r="B20930" s="4" t="s">
        <v>26363</v>
      </c>
      <c r="C20930" s="5" t="str">
        <f>IFERROR(__xludf.DUMMYFUNCTION("GOOGLETRANSLATE(B20930,""en"",""it"")"),"Un coltello tascabile viene prelevato dalla scatola di legno e tenuto con un morsetto.")</f>
        <v>Un coltello tascabile viene prelevato dalla scatola di legno e tenuto con un morsetto.</v>
      </c>
    </row>
    <row r="20931">
      <c r="A20931" s="4" t="s">
        <v>26361</v>
      </c>
      <c r="B20931" s="4" t="s">
        <v>26364</v>
      </c>
      <c r="C20931" s="5" t="str">
        <f>IFERROR(__xludf.DUMMYFUNCTION("GOOGLETRANSLATE(B20931,""en"",""it"")"),"L'uomo usa le pietre affinate sulla lama del coltello.")</f>
        <v>L'uomo usa le pietre affinate sulla lama del coltello.</v>
      </c>
    </row>
    <row r="20932">
      <c r="A20932" s="4" t="s">
        <v>26361</v>
      </c>
      <c r="B20932" s="4" t="s">
        <v>26365</v>
      </c>
      <c r="C20932" s="5" t="str">
        <f>IFERROR(__xludf.DUMMYFUNCTION("GOOGLETRANSLATE(B20932,""en"",""it"")"),"L'uomo taglia i pezzi di carta per mostrare la nitidezza dei coltelli.")</f>
        <v>L'uomo taglia i pezzi di carta per mostrare la nitidezza dei coltelli.</v>
      </c>
    </row>
    <row r="20933">
      <c r="A20933" s="4" t="s">
        <v>26361</v>
      </c>
      <c r="B20933" s="4" t="s">
        <v>26366</v>
      </c>
      <c r="C20933" s="5" t="str">
        <f>IFERROR(__xludf.DUMMYFUNCTION("GOOGLETRANSLATE(B20933,""en"",""it"")"),"Si vede un colpo ancora di una buca per il fuoco aperto.")</f>
        <v>Si vede un colpo ancora di una buca per il fuoco aperto.</v>
      </c>
    </row>
    <row r="20934">
      <c r="A20934" s="4" t="s">
        <v>26367</v>
      </c>
      <c r="B20934" s="4" t="s">
        <v>26368</v>
      </c>
      <c r="C20934" s="5" t="str">
        <f>IFERROR(__xludf.DUMMYFUNCTION("GOOGLETRANSLATE(B20934,""en"",""it"")"),"Un gruppo di ragazzi si allineano in un campo da baseball, quindi corre per inseguire la palla.")</f>
        <v>Un gruppo di ragazzi si allineano in un campo da baseball, quindi corre per inseguire la palla.</v>
      </c>
    </row>
    <row r="20935">
      <c r="A20935" s="4" t="s">
        <v>26367</v>
      </c>
      <c r="B20935" s="4" t="s">
        <v>26369</v>
      </c>
      <c r="C20935" s="5" t="str">
        <f>IFERROR(__xludf.DUMMYFUNCTION("GOOGLETRANSLATE(B20935,""en"",""it"")"),"Una donna rota una palla sul campo.")</f>
        <v>Una donna rota una palla sul campo.</v>
      </c>
    </row>
    <row r="20936">
      <c r="A20936" s="4" t="s">
        <v>26367</v>
      </c>
      <c r="B20936" s="4" t="s">
        <v>26370</v>
      </c>
      <c r="C20936" s="5" t="str">
        <f>IFERROR(__xludf.DUMMYFUNCTION("GOOGLETRANSLATE(B20936,""en"",""it"")"),"La palla viene restituita in campo da qualcuno a bordo campo.")</f>
        <v>La palla viene restituita in campo da qualcuno a bordo campo.</v>
      </c>
    </row>
    <row r="20937">
      <c r="A20937" s="4" t="s">
        <v>26367</v>
      </c>
      <c r="B20937" s="4" t="s">
        <v>26371</v>
      </c>
      <c r="C20937" s="5" t="str">
        <f>IFERROR(__xludf.DUMMYFUNCTION("GOOGLETRANSLATE(B20937,""en"",""it"")"),"Un ragazzo corre intorno alle basi sul campo.")</f>
        <v>Un ragazzo corre intorno alle basi sul campo.</v>
      </c>
    </row>
    <row r="20938">
      <c r="A20938" s="4" t="s">
        <v>26367</v>
      </c>
      <c r="B20938" s="4" t="s">
        <v>26372</v>
      </c>
      <c r="C20938" s="5" t="str">
        <f>IFERROR(__xludf.DUMMYFUNCTION("GOOGLETRANSLATE(B20938,""en"",""it"")"),"Il gruppo di ragazzi punta e segnala ad altri giocatori sul campo.")</f>
        <v>Il gruppo di ragazzi punta e segnala ad altri giocatori sul campo.</v>
      </c>
    </row>
    <row r="20939">
      <c r="A20939" s="4" t="s">
        <v>26367</v>
      </c>
      <c r="B20939" s="4" t="s">
        <v>26373</v>
      </c>
      <c r="C20939" s="5" t="str">
        <f>IFERROR(__xludf.DUMMYFUNCTION("GOOGLETRANSLATE(B20939,""en"",""it"")"),"Un ragazzo calcia la palla e gli altri giocatori corrono intorno alle basi.")</f>
        <v>Un ragazzo calcia la palla e gli altri giocatori corrono intorno alle basi.</v>
      </c>
    </row>
    <row r="20940">
      <c r="A20940" s="4" t="s">
        <v>26374</v>
      </c>
      <c r="B20940" s="4" t="s">
        <v>26375</v>
      </c>
      <c r="C20940" s="5" t="str">
        <f>IFERROR(__xludf.DUMMYFUNCTION("GOOGLETRANSLATE(B20940,""en"",""it"")"),"C'è una vasta palestra interna in cui si tiene un evento ginnastico.")</f>
        <v>C'è una vasta palestra interna in cui si tiene un evento ginnastico.</v>
      </c>
    </row>
    <row r="20941">
      <c r="A20941" s="4" t="s">
        <v>26374</v>
      </c>
      <c r="B20941" s="4" t="s">
        <v>26376</v>
      </c>
      <c r="C20941" s="5" t="str">
        <f>IFERROR(__xludf.DUMMYFUNCTION("GOOGLETRANSLATE(B20941,""en"",""it"")"),"C'è una ginnasta da ragazza che si esibisce sui bar.")</f>
        <v>C'è una ginnasta da ragazza che si esibisce sui bar.</v>
      </c>
    </row>
    <row r="20942">
      <c r="A20942" s="4" t="s">
        <v>26374</v>
      </c>
      <c r="B20942" s="4" t="s">
        <v>26377</v>
      </c>
      <c r="C20942" s="5" t="str">
        <f>IFERROR(__xludf.DUMMYFUNCTION("GOOGLETRANSLATE(B20942,""en"",""it"")"),"Ci sono spettatori che la guardano mentre oscilla rapidamente.")</f>
        <v>Ci sono spettatori che la guardano mentre oscilla rapidamente.</v>
      </c>
    </row>
    <row r="20943">
      <c r="A20943" s="4" t="s">
        <v>26374</v>
      </c>
      <c r="B20943" s="4" t="s">
        <v>26378</v>
      </c>
      <c r="C20943" s="5" t="str">
        <f>IFERROR(__xludf.DUMMYFUNCTION("GOOGLETRANSLATE(B20943,""en"",""it"")"),"Scende dai bar e si congratula dal suo allenatore.")</f>
        <v>Scende dai bar e si congratula dal suo allenatore.</v>
      </c>
    </row>
    <row r="20944">
      <c r="A20944" s="4" t="s">
        <v>26374</v>
      </c>
      <c r="B20944" s="4" t="s">
        <v>26379</v>
      </c>
      <c r="C20944" s="5" t="str">
        <f>IFERROR(__xludf.DUMMYFUNCTION("GOOGLETRANSLATE(B20944,""en"",""it"")"),"I premi vengono quindi assegnati ai vincitori della competizione.")</f>
        <v>I premi vengono quindi assegnati ai vincitori della competizione.</v>
      </c>
    </row>
    <row r="20945">
      <c r="A20945" s="4" t="s">
        <v>26374</v>
      </c>
      <c r="B20945" s="4" t="s">
        <v>26380</v>
      </c>
      <c r="C20945" s="5" t="str">
        <f>IFERROR(__xludf.DUMMYFUNCTION("GOOGLETRANSLATE(B20945,""en"",""it"")"),"I vincitori sono sul palco per ricevere le loro medaglie di vittoria.")</f>
        <v>I vincitori sono sul palco per ricevere le loro medaglie di vittoria.</v>
      </c>
    </row>
    <row r="20946">
      <c r="A20946" s="4" t="s">
        <v>26374</v>
      </c>
      <c r="B20946" s="4" t="s">
        <v>26381</v>
      </c>
      <c r="C20946" s="5" t="str">
        <f>IFERROR(__xludf.DUMMYFUNCTION("GOOGLETRANSLATE(B20946,""en"",""it"")"),"Il tabellone dei punteggi mostra i nomi di tutti i vincitori.")</f>
        <v>Il tabellone dei punteggi mostra i nomi di tutti i vincitori.</v>
      </c>
    </row>
    <row r="20947">
      <c r="A20947" s="4" t="s">
        <v>26382</v>
      </c>
      <c r="B20947" s="4" t="s">
        <v>26383</v>
      </c>
      <c r="C20947" s="5" t="str">
        <f>IFERROR(__xludf.DUMMYFUNCTION("GOOGLETRANSLATE(B20947,""en"",""it"")"),"Vengono mostrate diverse battaglie di wrestling con molti lottatori diversi.")</f>
        <v>Vengono mostrate diverse battaglie di wrestling con molti lottatori diversi.</v>
      </c>
    </row>
    <row r="20948">
      <c r="A20948" s="4" t="s">
        <v>26382</v>
      </c>
      <c r="B20948" s="6" t="s">
        <v>26384</v>
      </c>
      <c r="C20948" s="5" t="str">
        <f>IFERROR(__xludf.DUMMYFUNCTION("GOOGLETRANSLATE(B20948,""en"",""it"")"),"Un uomo viene sollevato sulle spalle di un altro uomo e viene quindi gettato su un tavolo, che si rompe a metà con la forza del suo peso.")</f>
        <v>Un uomo viene sollevato sulle spalle di un altro uomo e viene quindi gettato su un tavolo, che si rompe a metà con la forza del suo peso.</v>
      </c>
    </row>
    <row r="20949">
      <c r="A20949" s="4" t="s">
        <v>26382</v>
      </c>
      <c r="B20949" s="6" t="s">
        <v>26385</v>
      </c>
      <c r="C20949" s="5" t="str">
        <f>IFERROR(__xludf.DUMMYFUNCTION("GOOGLETRANSLATE(B20949,""en"",""it"")"),"Molti altri lottatori vengono lanciati violentemente su pavimenti ad anello e superfici piatte e tavoli, con un uomo dai capelli scuri e lunghi che appare più volte durante la clip urlando in modo animato.")</f>
        <v>Molti altri lottatori vengono lanciati violentemente su pavimenti ad anello e superfici piatte e tavoli, con un uomo dai capelli scuri e lunghi che appare più volte durante la clip urlando in modo animato.</v>
      </c>
    </row>
    <row r="20950">
      <c r="A20950" s="4" t="s">
        <v>26382</v>
      </c>
      <c r="B20950" s="4" t="s">
        <v>26386</v>
      </c>
      <c r="C20950" s="5" t="str">
        <f>IFERROR(__xludf.DUMMYFUNCTION("GOOGLETRANSLATE(B20950,""en"",""it"")"),"Un uomo dai capelli rossi parla con una fotocamera vicino alla fine della clip.")</f>
        <v>Un uomo dai capelli rossi parla con una fotocamera vicino alla fine della clip.</v>
      </c>
    </row>
    <row r="20951">
      <c r="A20951" s="4" t="s">
        <v>26387</v>
      </c>
      <c r="B20951" s="4" t="s">
        <v>26388</v>
      </c>
      <c r="C20951" s="5" t="str">
        <f>IFERROR(__xludf.DUMMYFUNCTION("GOOGLETRANSLATE(B20951,""en"",""it"")"),"Due uomini parlano sul marciapiede.")</f>
        <v>Due uomini parlano sul marciapiede.</v>
      </c>
    </row>
    <row r="20952">
      <c r="A20952" s="4" t="s">
        <v>26387</v>
      </c>
      <c r="B20952" s="4" t="s">
        <v>26389</v>
      </c>
      <c r="C20952" s="5" t="str">
        <f>IFERROR(__xludf.DUMMYFUNCTION("GOOGLETRANSLATE(B20952,""en"",""it"")"),"Un lifting arancione passa dietro di loro.")</f>
        <v>Un lifting arancione passa dietro di loro.</v>
      </c>
    </row>
    <row r="20953">
      <c r="A20953" s="4" t="s">
        <v>26387</v>
      </c>
      <c r="B20953" s="4" t="s">
        <v>26390</v>
      </c>
      <c r="C20953" s="5" t="str">
        <f>IFERROR(__xludf.DUMMYFUNCTION("GOOGLETRANSLATE(B20953,""en"",""it"")"),"Uno degli uomini sta spazzolando i capelli degli altri uomini.")</f>
        <v>Uno degli uomini sta spazzolando i capelli degli altri uomini.</v>
      </c>
    </row>
    <row r="20954">
      <c r="A20954" s="4" t="s">
        <v>26387</v>
      </c>
      <c r="B20954" s="4" t="s">
        <v>26391</v>
      </c>
      <c r="C20954" s="5" t="str">
        <f>IFERROR(__xludf.DUMMYFUNCTION("GOOGLETRANSLATE(B20954,""en"",""it"")"),"L'uomo con la camicia rossa suona con i capelli.")</f>
        <v>L'uomo con la camicia rossa suona con i capelli.</v>
      </c>
    </row>
    <row r="20955">
      <c r="A20955" s="4" t="s">
        <v>26392</v>
      </c>
      <c r="B20955" s="4" t="s">
        <v>26393</v>
      </c>
      <c r="C20955" s="5" t="str">
        <f>IFERROR(__xludf.DUMMYFUNCTION("GOOGLETRANSLATE(B20955,""en"",""it"")"),"Un uomo in piedi davanti ai fiori arancioni parla.")</f>
        <v>Un uomo in piedi davanti ai fiori arancioni parla.</v>
      </c>
    </row>
    <row r="20956">
      <c r="A20956" s="4" t="s">
        <v>26392</v>
      </c>
      <c r="B20956" s="4" t="s">
        <v>26394</v>
      </c>
      <c r="C20956" s="5" t="str">
        <f>IFERROR(__xludf.DUMMYFUNCTION("GOOGLETRANSLATE(B20956,""en"",""it"")"),"Un piccolo cane è sdraiato a terra.")</f>
        <v>Un piccolo cane è sdraiato a terra.</v>
      </c>
    </row>
    <row r="20957">
      <c r="A20957" s="4" t="s">
        <v>26392</v>
      </c>
      <c r="B20957" s="4" t="s">
        <v>26395</v>
      </c>
      <c r="C20957" s="5" t="str">
        <f>IFERROR(__xludf.DUMMYFUNCTION("GOOGLETRANSLATE(B20957,""en"",""it"")"),"Viene mostrato un soffione doccia.")</f>
        <v>Viene mostrato un soffione doccia.</v>
      </c>
    </row>
    <row r="20958">
      <c r="A20958" s="4" t="s">
        <v>26392</v>
      </c>
      <c r="B20958" s="4" t="s">
        <v>26396</v>
      </c>
      <c r="C20958" s="5" t="str">
        <f>IFERROR(__xludf.DUMMYFUNCTION("GOOGLETRANSLATE(B20958,""en"",""it"")"),"Una donna è seduta su un letto con il cane.")</f>
        <v>Una donna è seduta su un letto con il cane.</v>
      </c>
    </row>
    <row r="20959">
      <c r="A20959" s="4" t="s">
        <v>26392</v>
      </c>
      <c r="B20959" s="4" t="s">
        <v>26397</v>
      </c>
      <c r="C20959" s="5" t="str">
        <f>IFERROR(__xludf.DUMMYFUNCTION("GOOGLETRANSLATE(B20959,""en"",""it"")"),"Lei e il cane sono sotto la doccia.")</f>
        <v>Lei e il cane sono sotto la doccia.</v>
      </c>
    </row>
    <row r="20960">
      <c r="A20960" s="4" t="s">
        <v>26392</v>
      </c>
      <c r="B20960" s="4" t="s">
        <v>26398</v>
      </c>
      <c r="C20960" s="5" t="str">
        <f>IFERROR(__xludf.DUMMYFUNCTION("GOOGLETRANSLATE(B20960,""en"",""it"")"),"Sta spruzzando il cane con acqua.")</f>
        <v>Sta spruzzando il cane con acqua.</v>
      </c>
    </row>
    <row r="20961">
      <c r="A20961" s="4" t="s">
        <v>26392</v>
      </c>
      <c r="B20961" s="4" t="s">
        <v>26399</v>
      </c>
      <c r="C20961" s="5" t="str">
        <f>IFERROR(__xludf.DUMMYFUNCTION("GOOGLETRANSLATE(B20961,""en"",""it"")"),"Una bottiglia è stata sostenuta per essere mostrata.")</f>
        <v>Una bottiglia è stata sostenuta per essere mostrata.</v>
      </c>
    </row>
    <row r="20962">
      <c r="A20962" s="4" t="s">
        <v>26392</v>
      </c>
      <c r="B20962" s="4" t="s">
        <v>26400</v>
      </c>
      <c r="C20962" s="5" t="str">
        <f>IFERROR(__xludf.DUMMYFUNCTION("GOOGLETRANSLATE(B20962,""en"",""it"")"),"Si asciuga il cane con un asciugamano bianco.")</f>
        <v>Si asciuga il cane con un asciugamano bianco.</v>
      </c>
    </row>
    <row r="20963">
      <c r="A20963" s="4" t="s">
        <v>26392</v>
      </c>
      <c r="B20963" s="4" t="s">
        <v>26401</v>
      </c>
      <c r="C20963" s="5" t="str">
        <f>IFERROR(__xludf.DUMMYFUNCTION("GOOGLETRANSLATE(B20963,""en"",""it"")"),"Un robot balla sullo schermo.")</f>
        <v>Un robot balla sullo schermo.</v>
      </c>
    </row>
    <row r="20964">
      <c r="A20964" s="4" t="s">
        <v>26402</v>
      </c>
      <c r="B20964" s="4" t="s">
        <v>26403</v>
      </c>
      <c r="C20964" s="5" t="str">
        <f>IFERROR(__xludf.DUMMYFUNCTION("GOOGLETRANSLATE(B20964,""en"",""it"")"),"Viene mostrato un prato ammucchiato da neve.")</f>
        <v>Viene mostrato un prato ammucchiato da neve.</v>
      </c>
    </row>
    <row r="20965">
      <c r="A20965" s="4" t="s">
        <v>26402</v>
      </c>
      <c r="B20965" s="4" t="s">
        <v>26404</v>
      </c>
      <c r="C20965" s="5" t="str">
        <f>IFERROR(__xludf.DUMMYFUNCTION("GOOGLETRANSLATE(B20965,""en"",""it"")"),"Un uomo su un trattore sta tirando un bambino su un tubo sopra i tumuli di neve ancora e ancora.")</f>
        <v>Un uomo su un trattore sta tirando un bambino su un tubo sopra i tumuli di neve ancora e ancora.</v>
      </c>
    </row>
    <row r="20966">
      <c r="A20966" s="4" t="s">
        <v>26402</v>
      </c>
      <c r="B20966" s="4" t="s">
        <v>26405</v>
      </c>
      <c r="C20966" s="5" t="str">
        <f>IFERROR(__xludf.DUMMYFUNCTION("GOOGLETRANSLATE(B20966,""en"",""it"")"),"Termina con il ragazzo da vicino e un altro cereale che mangia dalla cima di una scala.")</f>
        <v>Termina con il ragazzo da vicino e un altro cereale che mangia dalla cima di una scala.</v>
      </c>
    </row>
    <row r="20967">
      <c r="A20967" s="4" t="s">
        <v>26406</v>
      </c>
      <c r="B20967" s="6" t="s">
        <v>26407</v>
      </c>
      <c r="C20967" s="5" t="str">
        <f>IFERROR(__xludf.DUMMYFUNCTION("GOOGLETRANSLATE(B20967,""en"",""it"")"),"Un rappresentante della rete GCN sta parlando e dimostrando come utilizzare gli strumenti per correggere le ruote per bici.")</f>
        <v>Un rappresentante della rete GCN sta parlando e dimostrando come utilizzare gli strumenti per correggere le ruote per bici.</v>
      </c>
    </row>
    <row r="20968">
      <c r="A20968" s="4" t="s">
        <v>26406</v>
      </c>
      <c r="B20968" s="4" t="s">
        <v>26408</v>
      </c>
      <c r="C20968" s="5" t="str">
        <f>IFERROR(__xludf.DUMMYFUNCTION("GOOGLETRANSLATE(B20968,""en"",""it"")"),"Si trova vicino a una bici blu elevata con diversi strumenti esposti su un muro dietro di lui.")</f>
        <v>Si trova vicino a una bici blu elevata con diversi strumenti esposti su un muro dietro di lui.</v>
      </c>
    </row>
    <row r="20969">
      <c r="A20969" s="4" t="s">
        <v>26406</v>
      </c>
      <c r="B20969" s="4" t="s">
        <v>26409</v>
      </c>
      <c r="C20969" s="5" t="str">
        <f>IFERROR(__xludf.DUMMYFUNCTION("GOOGLETRANSLATE(B20969,""en"",""it"")"),"Sta usando una chiave Allen per sfruttare la gomma per biciclette.")</f>
        <v>Sta usando una chiave Allen per sfruttare la gomma per biciclette.</v>
      </c>
    </row>
    <row r="20970">
      <c r="A20970" s="4" t="s">
        <v>26406</v>
      </c>
      <c r="B20970" s="4" t="s">
        <v>26410</v>
      </c>
      <c r="C20970" s="5" t="str">
        <f>IFERROR(__xludf.DUMMYFUNCTION("GOOGLETRANSLATE(B20970,""en"",""it"")"),"Ruota il pneumatico per bici e quindi utilizza la chiave Allen per regolare le viti.")</f>
        <v>Ruota il pneumatico per bici e quindi utilizza la chiave Allen per regolare le viti.</v>
      </c>
    </row>
    <row r="20971">
      <c r="A20971" s="4" t="s">
        <v>26406</v>
      </c>
      <c r="B20971" s="4" t="s">
        <v>26411</v>
      </c>
      <c r="C20971" s="5" t="str">
        <f>IFERROR(__xludf.DUMMYFUNCTION("GOOGLETRANSLATE(B20971,""en"",""it"")"),"Quindi reimposta i pistoni della ruota per riallinearli.")</f>
        <v>Quindi reimposta i pistoni della ruota per riallinearli.</v>
      </c>
    </row>
    <row r="20972">
      <c r="A20972" s="4" t="s">
        <v>26406</v>
      </c>
      <c r="B20972" s="4" t="s">
        <v>26412</v>
      </c>
      <c r="C20972" s="5" t="str">
        <f>IFERROR(__xludf.DUMMYFUNCTION("GOOGLETRANSLATE(B20972,""en"",""it"")"),"Quindi si inserisce con precisione nell'attacco nella ruota.")</f>
        <v>Quindi si inserisce con precisione nell'attacco nella ruota.</v>
      </c>
    </row>
    <row r="20973">
      <c r="A20973" s="4" t="s">
        <v>26413</v>
      </c>
      <c r="B20973" s="6" t="s">
        <v>26414</v>
      </c>
      <c r="C20973" s="5" t="str">
        <f>IFERROR(__xludf.DUMMYFUNCTION("GOOGLETRANSLATE(B20973,""en"",""it"")"),"Una persona usa un aspirapolvere il tappeto pulito i detriti in una stanza che lo spazza avanti e indietro.")</f>
        <v>Una persona usa un aspirapolvere il tappeto pulito i detriti in una stanza che lo spazza avanti e indietro.</v>
      </c>
    </row>
    <row r="20974">
      <c r="A20974" s="4" t="s">
        <v>26413</v>
      </c>
      <c r="B20974" s="4" t="s">
        <v>26415</v>
      </c>
      <c r="C20974" s="5" t="str">
        <f>IFERROR(__xludf.DUMMYFUNCTION("GOOGLETRANSLATE(B20974,""en"",""it"")"),"L'aspirapolvere viene spostato il secchio per raggiungere una nuova area di tappeto.")</f>
        <v>L'aspirapolvere viene spostato il secchio per raggiungere una nuova area di tappeto.</v>
      </c>
    </row>
    <row r="20975">
      <c r="A20975" s="4" t="s">
        <v>26413</v>
      </c>
      <c r="B20975" s="4" t="s">
        <v>26416</v>
      </c>
      <c r="C20975" s="5" t="str">
        <f>IFERROR(__xludf.DUMMYFUNCTION("GOOGLETRANSLATE(B20975,""en"",""it"")"),"La persona aspira l'area del tappeto attorno al divano.")</f>
        <v>La persona aspira l'area del tappeto attorno al divano.</v>
      </c>
    </row>
    <row r="20976">
      <c r="A20976" s="4" t="s">
        <v>26413</v>
      </c>
      <c r="B20976" s="4" t="s">
        <v>26417</v>
      </c>
      <c r="C20976" s="5" t="str">
        <f>IFERROR(__xludf.DUMMYFUNCTION("GOOGLETRANSLATE(B20976,""en"",""it"")"),"La persona solleva la testa del vuoto ed esamina le ruote sottostanti.")</f>
        <v>La persona solleva la testa del vuoto ed esamina le ruote sottostanti.</v>
      </c>
    </row>
    <row r="20977">
      <c r="A20977" s="4" t="s">
        <v>26418</v>
      </c>
      <c r="B20977" s="4" t="s">
        <v>26419</v>
      </c>
      <c r="C20977" s="5" t="str">
        <f>IFERROR(__xludf.DUMMYFUNCTION("GOOGLETRANSLATE(B20977,""en"",""it"")"),"Una donna bionda corre e fa ripetutamente un salto in alto.")</f>
        <v>Una donna bionda corre e fa ripetutamente un salto in alto.</v>
      </c>
    </row>
    <row r="20978">
      <c r="A20978" s="4" t="s">
        <v>26418</v>
      </c>
      <c r="B20978" s="4" t="s">
        <v>26420</v>
      </c>
      <c r="C20978" s="5" t="str">
        <f>IFERROR(__xludf.DUMMYFUNCTION("GOOGLETRANSLATE(B20978,""en"",""it"")"),"Una donna in bianco sullo sfondo fa un salto in alto.")</f>
        <v>Una donna in bianco sullo sfondo fa un salto in alto.</v>
      </c>
    </row>
    <row r="20979">
      <c r="A20979" s="4" t="s">
        <v>26418</v>
      </c>
      <c r="B20979" s="4" t="s">
        <v>26421</v>
      </c>
      <c r="C20979" s="5" t="str">
        <f>IFERROR(__xludf.DUMMYFUNCTION("GOOGLETRANSLATE(B20979,""en"",""it"")"),"Una signora nera cammina oltre la telecamera.")</f>
        <v>Una signora nera cammina oltre la telecamera.</v>
      </c>
    </row>
    <row r="20980">
      <c r="A20980" s="4" t="s">
        <v>26418</v>
      </c>
      <c r="B20980" s="4" t="s">
        <v>26422</v>
      </c>
      <c r="C20980" s="5" t="str">
        <f>IFERROR(__xludf.DUMMYFUNCTION("GOOGLETRANSLATE(B20980,""en"",""it"")"),"La signora nera appare di nuovo e regola qualcosa a terra.")</f>
        <v>La signora nera appare di nuovo e regola qualcosa a terra.</v>
      </c>
    </row>
    <row r="20981">
      <c r="A20981" s="4" t="s">
        <v>26418</v>
      </c>
      <c r="B20981" s="4" t="s">
        <v>26423</v>
      </c>
      <c r="C20981" s="5" t="str">
        <f>IFERROR(__xludf.DUMMYFUNCTION("GOOGLETRANSLATE(B20981,""en"",""it"")"),"Un uomo solleva una bandiera rossa.")</f>
        <v>Un uomo solleva una bandiera rossa.</v>
      </c>
    </row>
    <row r="20982">
      <c r="A20982" s="4" t="s">
        <v>26424</v>
      </c>
      <c r="B20982" s="6" t="s">
        <v>26425</v>
      </c>
      <c r="C20982" s="5" t="str">
        <f>IFERROR(__xludf.DUMMYFUNCTION("GOOGLETRANSLATE(B20982,""en"",""it"")"),"Una ragazza nella sua uniforme da ballo è in piedi con sua madre che parla in attesa del suo turno che si alza, quando è il suo turno che lei e il suo partner camminano sul palco.")</f>
        <v>Una ragazza nella sua uniforme da ballo è in piedi con sua madre che parla in attesa del suo turno che si alza, quando è il suo turno che lei e il suo partner camminano sul palco.</v>
      </c>
    </row>
    <row r="20983">
      <c r="A20983" s="4" t="s">
        <v>26424</v>
      </c>
      <c r="B20983" s="4" t="s">
        <v>26426</v>
      </c>
      <c r="C20983" s="5" t="str">
        <f>IFERROR(__xludf.DUMMYFUNCTION("GOOGLETRANSLATE(B20983,""en"",""it"")"),"Cominciano a fare la loro routine con i loro manganelli.")</f>
        <v>Cominciano a fare la loro routine con i loro manganelli.</v>
      </c>
    </row>
    <row r="20984">
      <c r="A20984" s="4" t="s">
        <v>26424</v>
      </c>
      <c r="B20984" s="6" t="s">
        <v>26427</v>
      </c>
      <c r="C20984" s="5" t="str">
        <f>IFERROR(__xludf.DUMMYFUNCTION("GOOGLETRANSLATE(B20984,""en"",""it"")"),"Lavorano bene insieme e una delle ragazze fa un giro mentre l'altra ragazza la tiene, continuano con il resto della loro routine.")</f>
        <v>Lavorano bene insieme e una delle ragazze fa un giro mentre l'altra ragazza la tiene, continuano con il resto della loro routine.</v>
      </c>
    </row>
    <row r="20985">
      <c r="A20985" s="4" t="s">
        <v>26424</v>
      </c>
      <c r="B20985" s="6" t="s">
        <v>26428</v>
      </c>
      <c r="C20985" s="5" t="str">
        <f>IFERROR(__xludf.DUMMYFUNCTION("GOOGLETRANSLATE(B20985,""en"",""it"")"),"Terminano la loro routine, uno di loro si inginocchia e l'altro dietro di lei e si alzano e scendono dal palco.")</f>
        <v>Terminano la loro routine, uno di loro si inginocchia e l'altro dietro di lei e si alzano e scendono dal palco.</v>
      </c>
    </row>
    <row r="20986">
      <c r="A20986" s="4" t="s">
        <v>26429</v>
      </c>
      <c r="B20986" s="4" t="s">
        <v>26430</v>
      </c>
      <c r="C20986" s="5" t="str">
        <f>IFERROR(__xludf.DUMMYFUNCTION("GOOGLETRANSLATE(B20986,""en"",""it"")"),"Una ragazza in costume blu e scintillante è in piedi su un campo mentre tiene due mangonamenti.")</f>
        <v>Una ragazza in costume blu e scintillante è in piedi su un campo mentre tiene due mangonamenti.</v>
      </c>
    </row>
    <row r="20987">
      <c r="A20987" s="4" t="s">
        <v>26429</v>
      </c>
      <c r="B20987" s="4" t="s">
        <v>26431</v>
      </c>
      <c r="C20987" s="5" t="str">
        <f>IFERROR(__xludf.DUMMYFUNCTION("GOOGLETRANSLATE(B20987,""en"",""it"")"),"La ragazza inizia la sua routine di testimone e inizia la sua routine e fa roteare i manganelli e il suo corpo.")</f>
        <v>La ragazza inizia la sua routine di testimone e inizia la sua routine e fa roteare i manganelli e il suo corpo.</v>
      </c>
    </row>
    <row r="20988">
      <c r="A20988" s="4" t="s">
        <v>26429</v>
      </c>
      <c r="B20988" s="4" t="s">
        <v>26432</v>
      </c>
      <c r="C20988" s="5" t="str">
        <f>IFERROR(__xludf.DUMMYFUNCTION("GOOGLETRANSLATE(B20988,""en"",""it"")"),"I giudici a un tavolo la guardano tutto il tempo mentre scrivono anche su un pezzo di carta.")</f>
        <v>I giudici a un tavolo la guardano tutto il tempo mentre scrivono anche su un pezzo di carta.</v>
      </c>
    </row>
    <row r="20989">
      <c r="A20989" s="4" t="s">
        <v>26429</v>
      </c>
      <c r="B20989" s="4" t="s">
        <v>26433</v>
      </c>
      <c r="C20989" s="5" t="str">
        <f>IFERROR(__xludf.DUMMYFUNCTION("GOOGLETRANSLATE(B20989,""en"",""it"")"),"La ragazza lascia cadere il testimone, lo raccoglie e poi continua con la sua routine.")</f>
        <v>La ragazza lascia cadere il testimone, lo raccoglie e poi continua con la sua routine.</v>
      </c>
    </row>
    <row r="20990">
      <c r="A20990" s="4" t="s">
        <v>26434</v>
      </c>
      <c r="B20990" s="4" t="s">
        <v>26435</v>
      </c>
      <c r="C20990" s="5" t="str">
        <f>IFERROR(__xludf.DUMMYFUNCTION("GOOGLETRANSLATE(B20990,""en"",""it"")"),"Un uomo si immerge in acque profonde con un qualche tipo di macchina come se stesse cercando qualcosa.")</f>
        <v>Un uomo si immerge in acque profonde con un qualche tipo di macchina come se stesse cercando qualcosa.</v>
      </c>
    </row>
    <row r="20991">
      <c r="A20991" s="4" t="s">
        <v>26434</v>
      </c>
      <c r="B20991" s="4" t="s">
        <v>26436</v>
      </c>
      <c r="C20991" s="5" t="str">
        <f>IFERROR(__xludf.DUMMYFUNCTION("GOOGLETRANSLATE(B20991,""en"",""it"")"),"In mezzo, inizia a giocare con un piccolo pesce prima di continuare alla sua ricerca.")</f>
        <v>In mezzo, inizia a giocare con un piccolo pesce prima di continuare alla sua ricerca.</v>
      </c>
    </row>
    <row r="20992">
      <c r="A20992" s="4" t="s">
        <v>26434</v>
      </c>
      <c r="B20992" s="4" t="s">
        <v>26437</v>
      </c>
      <c r="C20992" s="5" t="str">
        <f>IFERROR(__xludf.DUMMYFUNCTION("GOOGLETRANSLATE(B20992,""en"",""it"")"),"L'uomo continua a viaggiare attraverso l'acqua a un ritmo lento, ma non sta trovando nulla.")</f>
        <v>L'uomo continua a viaggiare attraverso l'acqua a un ritmo lento, ma non sta trovando nulla.</v>
      </c>
    </row>
    <row r="20993">
      <c r="A20993" s="4" t="s">
        <v>26438</v>
      </c>
      <c r="B20993" s="4" t="s">
        <v>26439</v>
      </c>
      <c r="C20993" s="5" t="str">
        <f>IFERROR(__xludf.DUMMYFUNCTION("GOOGLETRANSLATE(B20993,""en"",""it"")"),"Due ballerini si impegnano in una danza da ballo davanti a una band dal vivo e un pubblico televisivo completo.")</f>
        <v>Due ballerini si impegnano in una danza da ballo davanti a una band dal vivo e un pubblico televisivo completo.</v>
      </c>
    </row>
    <row r="20994">
      <c r="A20994" s="4" t="s">
        <v>26438</v>
      </c>
      <c r="B20994" s="6" t="s">
        <v>26440</v>
      </c>
      <c r="C20994" s="5" t="str">
        <f>IFERROR(__xludf.DUMMYFUNCTION("GOOGLETRANSLATE(B20994,""en"",""it"")"),"Una donna in un vestito da ballo si avvicina a un uomo in una danza da ballo, quando i due si incontrano iniziano a ballare sul pavimento usando un elaborato footwork durante la danza.")</f>
        <v>Una donna in un vestito da ballo si avvicina a un uomo in una danza da ballo, quando i due si incontrano iniziano a ballare sul pavimento usando un elaborato footwork durante la danza.</v>
      </c>
    </row>
    <row r="20995">
      <c r="A20995" s="4" t="s">
        <v>26438</v>
      </c>
      <c r="B20995" s="6" t="s">
        <v>26441</v>
      </c>
      <c r="C20995" s="5" t="str">
        <f>IFERROR(__xludf.DUMMYFUNCTION("GOOGLETRANSLATE(B20995,""en"",""it"")"),"Un numero di telefono che invita le persone a chiamare e votare per loro appare sullo schermo insieme al logo di rete.")</f>
        <v>Un numero di telefono che invita le persone a chiamare e votare per loro appare sullo schermo insieme al logo di rete.</v>
      </c>
    </row>
    <row r="20996">
      <c r="A20996" s="4" t="s">
        <v>26438</v>
      </c>
      <c r="B20996" s="6" t="s">
        <v>26442</v>
      </c>
      <c r="C20996" s="5" t="str">
        <f>IFERROR(__xludf.DUMMYFUNCTION("GOOGLETRANSLATE(B20996,""en"",""it"")"),"I due continuano a ballare esponendo scivoli, pickup, un ultimo bacio e scivoli sulla pista da ballo mentre le persone nel pubblico allettano.")</f>
        <v>I due continuano a ballare esponendo scivoli, pickup, un ultimo bacio e scivoli sulla pista da ballo mentre le persone nel pubblico allettano.</v>
      </c>
    </row>
    <row r="20997">
      <c r="A20997" s="4" t="s">
        <v>26443</v>
      </c>
      <c r="B20997" s="4" t="s">
        <v>26444</v>
      </c>
      <c r="C20997" s="5" t="str">
        <f>IFERROR(__xludf.DUMMYFUNCTION("GOOGLETRANSLATE(B20997,""en"",""it"")"),"Un uomo e una donna si trovano l'uno accanto all'altro mentre l'uomo parla.")</f>
        <v>Un uomo e una donna si trovano l'uno accanto all'altro mentre l'uomo parla.</v>
      </c>
    </row>
    <row r="20998">
      <c r="A20998" s="4" t="s">
        <v>26443</v>
      </c>
      <c r="B20998" s="4" t="s">
        <v>26445</v>
      </c>
      <c r="C20998" s="5" t="str">
        <f>IFERROR(__xludf.DUMMYFUNCTION("GOOGLETRANSLATE(B20998,""en"",""it"")"),"La donna allunga la mano e solleva una barra.")</f>
        <v>La donna allunga la mano e solleva una barra.</v>
      </c>
    </row>
    <row r="20999">
      <c r="A20999" s="4" t="s">
        <v>26443</v>
      </c>
      <c r="B20999" s="4" t="s">
        <v>26446</v>
      </c>
      <c r="C20999" s="5" t="str">
        <f>IFERROR(__xludf.DUMMYFUNCTION("GOOGLETRANSLATE(B20999,""en"",""it"")"),"Fa piccoli ascensori contro le cosce.")</f>
        <v>Fa piccoli ascensori contro le cosce.</v>
      </c>
    </row>
    <row r="21000">
      <c r="A21000" s="4" t="s">
        <v>26443</v>
      </c>
      <c r="B21000" s="4" t="s">
        <v>26447</v>
      </c>
      <c r="C21000" s="5" t="str">
        <f>IFERROR(__xludf.DUMMYFUNCTION("GOOGLETRANSLATE(B21000,""en"",""it"")"),"Continua i piccoli ascensori e aggiunge una varianza di grandi sollevamenti.")</f>
        <v>Continua i piccoli ascensori e aggiunge una varianza di grandi sollevamenti.</v>
      </c>
    </row>
    <row r="21001">
      <c r="A21001" s="4" t="s">
        <v>26443</v>
      </c>
      <c r="B21001" s="4" t="s">
        <v>26448</v>
      </c>
      <c r="C21001" s="5" t="str">
        <f>IFERROR(__xludf.DUMMYFUNCTION("GOOGLETRANSLATE(B21001,""en"",""it"")"),"Solleva la barra sopra la testa e lo porta nella sua area della coscia per continuare i piccoli ascensori.")</f>
        <v>Solleva la barra sopra la testa e lo porta nella sua area della coscia per continuare i piccoli ascensori.</v>
      </c>
    </row>
    <row r="21002">
      <c r="A21002" s="4" t="s">
        <v>26443</v>
      </c>
      <c r="B21002" s="4" t="s">
        <v>26449</v>
      </c>
      <c r="C21002" s="5" t="str">
        <f>IFERROR(__xludf.DUMMYFUNCTION("GOOGLETRANSLATE(B21002,""en"",""it"")"),"Porta il bar sulla testa e la lascia cadere a terra.")</f>
        <v>Porta il bar sulla testa e la lascia cadere a terra.</v>
      </c>
    </row>
    <row r="21003">
      <c r="A21003" s="4" t="s">
        <v>26450</v>
      </c>
      <c r="B21003" s="4" t="s">
        <v>26451</v>
      </c>
      <c r="C21003" s="5" t="str">
        <f>IFERROR(__xludf.DUMMYFUNCTION("GOOGLETRANSLATE(B21003,""en"",""it"")"),"Un bambino piccolo viene visto oscillare contro una pinata con un folto gruppo di bambini dietro di loro.")</f>
        <v>Un bambino piccolo viene visto oscillare contro una pinata con un folto gruppo di bambini dietro di loro.</v>
      </c>
    </row>
    <row r="21004">
      <c r="A21004" s="4" t="s">
        <v>26450</v>
      </c>
      <c r="B21004" s="4" t="s">
        <v>26452</v>
      </c>
      <c r="C21004" s="5" t="str">
        <f>IFERROR(__xludf.DUMMYFUNCTION("GOOGLETRANSLATE(B21004,""en"",""it"")"),"Più bambini si alzano per fare un'altalena alla Pinata mentre i genitori camminano intorno ai bambini.")</f>
        <v>Più bambini si alzano per fare un'altalena alla Pinata mentre i genitori camminano intorno ai bambini.</v>
      </c>
    </row>
    <row r="21005">
      <c r="A21005" s="4" t="s">
        <v>26450</v>
      </c>
      <c r="B21005" s="4" t="s">
        <v>26453</v>
      </c>
      <c r="C21005" s="5" t="str">
        <f>IFERROR(__xludf.DUMMYFUNCTION("GOOGLETRANSLATE(B21005,""en"",""it"")"),"Un'ultima ragazza tenta di rompere la Pinata alla fine.")</f>
        <v>Un'ultima ragazza tenta di rompere la Pinata alla fine.</v>
      </c>
    </row>
    <row r="21006">
      <c r="A21006" s="4" t="s">
        <v>26454</v>
      </c>
      <c r="B21006" s="4" t="s">
        <v>26455</v>
      </c>
      <c r="C21006" s="5" t="str">
        <f>IFERROR(__xludf.DUMMYFUNCTION("GOOGLETRANSLATE(B21006,""en"",""it"")"),"Le persone nel traffico in una città sembrano irritate quando un poliziotto dirige il traffico.")</f>
        <v>Le persone nel traffico in una città sembrano irritate quando un poliziotto dirige il traffico.</v>
      </c>
    </row>
    <row r="21007">
      <c r="A21007" s="4" t="s">
        <v>26454</v>
      </c>
      <c r="B21007" s="4" t="s">
        <v>26456</v>
      </c>
      <c r="C21007" s="5" t="str">
        <f>IFERROR(__xludf.DUMMYFUNCTION("GOOGLETRANSLATE(B21007,""en"",""it"")"),"Un uomo si attacca qualcosa nelle orecchie.")</f>
        <v>Un uomo si attacca qualcosa nelle orecchie.</v>
      </c>
    </row>
    <row r="21008">
      <c r="A21008" s="4" t="s">
        <v>26454</v>
      </c>
      <c r="B21008" s="4" t="s">
        <v>26457</v>
      </c>
      <c r="C21008" s="5" t="str">
        <f>IFERROR(__xludf.DUMMYFUNCTION("GOOGLETRANSLATE(B21008,""en"",""it"")"),"Un uomo con una camicia verde prende in giro un poliziotto e la gente ride e applaude.")</f>
        <v>Un uomo con una camicia verde prende in giro un poliziotto e la gente ride e applaude.</v>
      </c>
    </row>
    <row r="21009">
      <c r="A21009" s="4" t="s">
        <v>26454</v>
      </c>
      <c r="B21009" s="4" t="s">
        <v>26458</v>
      </c>
      <c r="C21009" s="5" t="str">
        <f>IFERROR(__xludf.DUMMYFUNCTION("GOOGLETRANSLATE(B21009,""en"",""it"")"),"Il poliziotto dà all'uomo un pepsi.")</f>
        <v>Il poliziotto dà all'uomo un pepsi.</v>
      </c>
    </row>
    <row r="21010">
      <c r="A21010" s="4" t="s">
        <v>26454</v>
      </c>
      <c r="B21010" s="4" t="s">
        <v>26459</v>
      </c>
      <c r="C21010" s="5" t="str">
        <f>IFERROR(__xludf.DUMMYFUNCTION("GOOGLETRANSLATE(B21010,""en"",""it"")"),"Vediamo l'uomo sul campo di cricket lanciare una palla.")</f>
        <v>Vediamo l'uomo sul campo di cricket lanciare una palla.</v>
      </c>
    </row>
    <row r="21011">
      <c r="A21011" s="4" t="s">
        <v>26454</v>
      </c>
      <c r="B21011" s="4" t="s">
        <v>26460</v>
      </c>
      <c r="C21011" s="5" t="str">
        <f>IFERROR(__xludf.DUMMYFUNCTION("GOOGLETRANSLATE(B21011,""en"",""it"")"),"L'uomo beve il pepsi e vediamo lo schermo di chiusura.")</f>
        <v>L'uomo beve il pepsi e vediamo lo schermo di chiusura.</v>
      </c>
    </row>
    <row r="21012">
      <c r="A21012" s="4" t="s">
        <v>26461</v>
      </c>
      <c r="B21012" s="4" t="s">
        <v>26462</v>
      </c>
      <c r="C21012" s="5" t="str">
        <f>IFERROR(__xludf.DUMMYFUNCTION("GOOGLETRANSLATE(B21012,""en"",""it"")"),"Un pubblico applaude in coppia appare sul palco.")</f>
        <v>Un pubblico applaude in coppia appare sul palco.</v>
      </c>
    </row>
    <row r="21013">
      <c r="A21013" s="4" t="s">
        <v>26461</v>
      </c>
      <c r="B21013" s="4" t="s">
        <v>26463</v>
      </c>
      <c r="C21013" s="5" t="str">
        <f>IFERROR(__xludf.DUMMYFUNCTION("GOOGLETRANSLATE(B21013,""en"",""it"")"),"Ballano con grazia, girando e roteavano.")</f>
        <v>Ballano con grazia, girando e roteavano.</v>
      </c>
    </row>
    <row r="21014">
      <c r="A21014" s="4" t="s">
        <v>26461</v>
      </c>
      <c r="B21014" s="4" t="s">
        <v>26464</v>
      </c>
      <c r="C21014" s="5" t="str">
        <f>IFERROR(__xludf.DUMMYFUNCTION("GOOGLETRANSLATE(B21014,""en"",""it"")"),"La coppia si inchinò mentre finiscono la loro routine.")</f>
        <v>La coppia si inchinò mentre finiscono la loro routine.</v>
      </c>
    </row>
    <row r="21015">
      <c r="A21015" s="4" t="s">
        <v>26465</v>
      </c>
      <c r="B21015" s="4" t="s">
        <v>26466</v>
      </c>
      <c r="C21015" s="5" t="str">
        <f>IFERROR(__xludf.DUMMYFUNCTION("GOOGLETRANSLATE(B21015,""en"",""it"")"),"Un uomo che indossa occhiali si vede parlare alla telecamera in un negozio di tatuaggi.")</f>
        <v>Un uomo che indossa occhiali si vede parlare alla telecamera in un negozio di tatuaggi.</v>
      </c>
    </row>
    <row r="21016">
      <c r="A21016" s="4" t="s">
        <v>26465</v>
      </c>
      <c r="B21016" s="4" t="s">
        <v>26467</v>
      </c>
      <c r="C21016" s="5" t="str">
        <f>IFERROR(__xludf.DUMMYFUNCTION("GOOGLETRANSLATE(B21016,""en"",""it"")"),"L'uomo è sdraiato su un tavolo e saluta la fotocamera.")</f>
        <v>L'uomo è sdraiato su un tavolo e saluta la fotocamera.</v>
      </c>
    </row>
    <row r="21017">
      <c r="A21017" s="4" t="s">
        <v>26465</v>
      </c>
      <c r="B21017" s="4" t="s">
        <v>26468</v>
      </c>
      <c r="C21017" s="5" t="str">
        <f>IFERROR(__xludf.DUMMYFUNCTION("GOOGLETRANSLATE(B21017,""en"",""it"")"),"Mostra il suo profilo e un uomo inizia a tatuare la gamba.")</f>
        <v>Mostra il suo profilo e un uomo inizia a tatuare la gamba.</v>
      </c>
    </row>
    <row r="21018">
      <c r="A21018" s="4" t="s">
        <v>26469</v>
      </c>
      <c r="B21018" s="4" t="s">
        <v>26470</v>
      </c>
      <c r="C21018" s="5" t="str">
        <f>IFERROR(__xludf.DUMMYFUNCTION("GOOGLETRANSLATE(B21018,""en"",""it"")"),"Una ragazza è vista seduta davanti alla telecamera che scorreva un pennello lungo i capelli lunghi.")</f>
        <v>Una ragazza è vista seduta davanti alla telecamera che scorreva un pennello lungo i capelli lunghi.</v>
      </c>
    </row>
    <row r="21019">
      <c r="A21019" s="4" t="s">
        <v>26469</v>
      </c>
      <c r="B21019" s="4" t="s">
        <v>26471</v>
      </c>
      <c r="C21019" s="5" t="str">
        <f>IFERROR(__xludf.DUMMYFUNCTION("GOOGLETRANSLATE(B21019,""en"",""it"")"),"Improvvisamente salta e urla verso la telecamera mentre sorride e abbassa la spazzola.")</f>
        <v>Improvvisamente salta e urla verso la telecamera mentre sorride e abbassa la spazzola.</v>
      </c>
    </row>
    <row r="21020">
      <c r="A21020" s="4" t="s">
        <v>26472</v>
      </c>
      <c r="B21020" s="4" t="s">
        <v>26473</v>
      </c>
      <c r="C21020" s="5" t="str">
        <f>IFERROR(__xludf.DUMMYFUNCTION("GOOGLETRANSLATE(B21020,""en"",""it"")"),"Una città successiva viene visualizzata su uno schermo.")</f>
        <v>Una città successiva viene visualizzata su uno schermo.</v>
      </c>
    </row>
    <row r="21021">
      <c r="A21021" s="4" t="s">
        <v>26472</v>
      </c>
      <c r="B21021" s="4" t="s">
        <v>26474</v>
      </c>
      <c r="C21021" s="5" t="str">
        <f>IFERROR(__xludf.DUMMYFUNCTION("GOOGLETRANSLATE(B21021,""en"",""it"")"),"I giornalisti parlano in un televisore in cui altre persone lavorano.")</f>
        <v>I giornalisti parlano in un televisore in cui altre persone lavorano.</v>
      </c>
    </row>
    <row r="21022">
      <c r="A21022" s="4" t="s">
        <v>26472</v>
      </c>
      <c r="B21022" s="4" t="s">
        <v>26475</v>
      </c>
      <c r="C21022" s="5" t="str">
        <f>IFERROR(__xludf.DUMMYFUNCTION("GOOGLETRANSLATE(B21022,""en"",""it"")"),"Un uomo che indossa una camicia bianca si pulisce il viso mentre guarda uno specchio.")</f>
        <v>Un uomo che indossa una camicia bianca si pulisce il viso mentre guarda uno specchio.</v>
      </c>
    </row>
    <row r="21023">
      <c r="A21023" s="4" t="s">
        <v>26476</v>
      </c>
      <c r="B21023" s="4" t="s">
        <v>26477</v>
      </c>
      <c r="C21023" s="5" t="str">
        <f>IFERROR(__xludf.DUMMYFUNCTION("GOOGLETRANSLATE(B21023,""en"",""it"")"),"Un motociclista seduto su una bici gira il motore.")</f>
        <v>Un motociclista seduto su una bici gira il motore.</v>
      </c>
    </row>
    <row r="21024">
      <c r="A21024" s="4" t="s">
        <v>26476</v>
      </c>
      <c r="B21024" s="4" t="s">
        <v>26478</v>
      </c>
      <c r="C21024" s="5" t="str">
        <f>IFERROR(__xludf.DUMMYFUNCTION("GOOGLETRANSLATE(B21024,""en"",""it"")"),"Un altro motociclista viene mostrato seduto su una bici, facendo un gesto con entrambe le braccia.")</f>
        <v>Un altro motociclista viene mostrato seduto su una bici, facendo un gesto con entrambe le braccia.</v>
      </c>
    </row>
    <row r="21025">
      <c r="A21025" s="4" t="s">
        <v>26476</v>
      </c>
      <c r="B21025" s="6" t="s">
        <v>26479</v>
      </c>
      <c r="C21025" s="5" t="str">
        <f>IFERROR(__xludf.DUMMYFUNCTION("GOOGLETRANSLATE(B21025,""en"",""it"")"),"Vengono mostrate scene di vari motociclisti che falliscono salti acrobatici, con occasionali reazioni della folla e colpi di conseguenza.")</f>
        <v>Vengono mostrate scene di vari motociclisti che falliscono salti acrobatici, con occasionali reazioni della folla e colpi di conseguenza.</v>
      </c>
    </row>
    <row r="21026">
      <c r="A21026" s="4" t="s">
        <v>26480</v>
      </c>
      <c r="B21026" s="4" t="s">
        <v>1251</v>
      </c>
      <c r="C21026" s="5" t="str">
        <f>IFERROR(__xludf.DUMMYFUNCTION("GOOGLETRANSLATE(B21026,""en"",""it"")"),"Vengono visualizzati i crediti della clip.")</f>
        <v>Vengono visualizzati i crediti della clip.</v>
      </c>
    </row>
    <row r="21027">
      <c r="A21027" s="4" t="s">
        <v>26480</v>
      </c>
      <c r="B21027" s="4" t="s">
        <v>26481</v>
      </c>
      <c r="C21027" s="5" t="str">
        <f>IFERROR(__xludf.DUMMYFUNCTION("GOOGLETRANSLATE(B21027,""en"",""it"")"),"Una signora sta sollevando un disco di metallo in una mano.")</f>
        <v>Una signora sta sollevando un disco di metallo in una mano.</v>
      </c>
    </row>
    <row r="21028">
      <c r="A21028" s="4" t="s">
        <v>26480</v>
      </c>
      <c r="B21028" s="4" t="s">
        <v>26482</v>
      </c>
      <c r="C21028" s="5" t="str">
        <f>IFERROR(__xludf.DUMMYFUNCTION("GOOGLETRANSLATE(B21028,""en"",""it"")"),"La signora gira con il disco e rilascia il disco.")</f>
        <v>La signora gira con il disco e rilascia il disco.</v>
      </c>
    </row>
    <row r="21029">
      <c r="A21029" s="4" t="s">
        <v>26480</v>
      </c>
      <c r="B21029" s="4" t="s">
        <v>26483</v>
      </c>
      <c r="C21029" s="5" t="str">
        <f>IFERROR(__xludf.DUMMYFUNCTION("GOOGLETRANSLATE(B21029,""en"",""it"")"),"La signora mette un asciugamano intorno alla schiena.")</f>
        <v>La signora mette un asciugamano intorno alla schiena.</v>
      </c>
    </row>
    <row r="21030">
      <c r="A21030" s="4" t="s">
        <v>26484</v>
      </c>
      <c r="B21030" s="6" t="s">
        <v>26485</v>
      </c>
      <c r="C21030" s="5" t="str">
        <f>IFERROR(__xludf.DUMMYFUNCTION("GOOGLETRANSLATE(B21030,""en"",""it"")"),"Tra le clip di un uomo su un catamarano che si muove nell'oceano, compaiono schermi neri e momenti diversi con parole diverse che descrivono ogni movimento che il catamarano fa.")</f>
        <v>Tra le clip di un uomo su un catamarano che si muove nell'oceano, compaiono schermi neri e momenti diversi con parole diverse che descrivono ogni movimento che il catamarano fa.</v>
      </c>
    </row>
    <row r="21031">
      <c r="A21031" s="4" t="s">
        <v>26484</v>
      </c>
      <c r="B21031" s="6" t="s">
        <v>26486</v>
      </c>
      <c r="C21031" s="5" t="str">
        <f>IFERROR(__xludf.DUMMYFUNCTION("GOOGLETRANSLATE(B21031,""en"",""it"")"),"L'uomo è ora in piedi sulla barca e sta tirando le corde che si muovono sulla barca e poi viene mostrato ancora una volta mentre la barca si muove.")</f>
        <v>L'uomo è ora in piedi sulla barca e sta tirando le corde che si muovono sulla barca e poi viene mostrato ancora una volta mentre la barca si muove.</v>
      </c>
    </row>
    <row r="21032">
      <c r="A21032" s="4" t="s">
        <v>26484</v>
      </c>
      <c r="B21032" s="6" t="s">
        <v>26487</v>
      </c>
      <c r="C21032" s="5" t="str">
        <f>IFERROR(__xludf.DUMMYFUNCTION("GOOGLETRANSLATE(B21032,""en"",""it"")"),"L'outro appare ed è uno schermo bianco con una foto della barca e le parole ""Multihull Central"".")</f>
        <v>L'outro appare ed è uno schermo bianco con una foto della barca e le parole "Multihull Central".</v>
      </c>
    </row>
    <row r="21033">
      <c r="A21033" s="4" t="s">
        <v>26488</v>
      </c>
      <c r="B21033" s="4" t="s">
        <v>26489</v>
      </c>
      <c r="C21033" s="5" t="str">
        <f>IFERROR(__xludf.DUMMYFUNCTION("GOOGLETRANSLATE(B21033,""en"",""it"")"),"Una donna piega gli asciugamani su una tavola da stiro a casa.")</f>
        <v>Una donna piega gli asciugamani su una tavola da stiro a casa.</v>
      </c>
    </row>
    <row r="21034">
      <c r="A21034" s="4" t="s">
        <v>26488</v>
      </c>
      <c r="B21034" s="4" t="s">
        <v>26490</v>
      </c>
      <c r="C21034" s="5" t="str">
        <f>IFERROR(__xludf.DUMMYFUNCTION("GOOGLETRANSLATE(B21034,""en"",""it"")"),"Sono visti diversi articoli di abbigliamento come camicie, calze e cravatte.")</f>
        <v>Sono visti diversi articoli di abbigliamento come camicie, calze e cravatte.</v>
      </c>
    </row>
    <row r="21035">
      <c r="A21035" s="4" t="s">
        <v>26488</v>
      </c>
      <c r="B21035" s="4" t="s">
        <v>26491</v>
      </c>
      <c r="C21035" s="5" t="str">
        <f>IFERROR(__xludf.DUMMYFUNCTION("GOOGLETRANSLATE(B21035,""en"",""it"")"),"La donna aggiunge un tag a un capo di abbigliamento e lo sta facendo in posizione.")</f>
        <v>La donna aggiunge un tag a un capo di abbigliamento e lo sta facendo in posizione.</v>
      </c>
    </row>
    <row r="21036">
      <c r="A21036" s="4" t="s">
        <v>26488</v>
      </c>
      <c r="B21036" s="4" t="s">
        <v>26492</v>
      </c>
      <c r="C21036" s="5" t="str">
        <f>IFERROR(__xludf.DUMMYFUNCTION("GOOGLETRANSLATE(B21036,""en"",""it"")"),"Il tag viene mostrato da vicino.")</f>
        <v>Il tag viene mostrato da vicino.</v>
      </c>
    </row>
    <row r="21037">
      <c r="A21037" s="4" t="s">
        <v>26493</v>
      </c>
      <c r="B21037" s="4" t="s">
        <v>26494</v>
      </c>
      <c r="C21037" s="5" t="str">
        <f>IFERROR(__xludf.DUMMYFUNCTION("GOOGLETRANSLATE(B21037,""en"",""it"")"),"C'è un uomo vestito con una camicia blu e pantaloncini blu che sparano a freccette in una stanza che ha pareti beige.")</f>
        <v>C'è un uomo vestito con una camicia blu e pantaloncini blu che sparano a freccette in una stanza che ha pareti beige.</v>
      </c>
    </row>
    <row r="21038">
      <c r="A21038" s="4" t="s">
        <v>26493</v>
      </c>
      <c r="B21038" s="4" t="s">
        <v>26495</v>
      </c>
      <c r="C21038" s="5" t="str">
        <f>IFERROR(__xludf.DUMMYFUNCTION("GOOGLETRANSLATE(B21038,""en"",""it"")"),"Ha due freccette nelle mani che punta e spara a un bersaglio.")</f>
        <v>Ha due freccette nelle mani che punta e spara a un bersaglio.</v>
      </c>
    </row>
    <row r="21039">
      <c r="A21039" s="4" t="s">
        <v>26496</v>
      </c>
      <c r="B21039" s="4" t="s">
        <v>26497</v>
      </c>
      <c r="C21039" s="5" t="str">
        <f>IFERROR(__xludf.DUMMYFUNCTION("GOOGLETRANSLATE(B21039,""en"",""it"")"),"Una donna con una camicia nera sta parlando di fronte a un albero di Natale.")</f>
        <v>Una donna con una camicia nera sta parlando di fronte a un albero di Natale.</v>
      </c>
    </row>
    <row r="21040">
      <c r="A21040" s="4" t="s">
        <v>26496</v>
      </c>
      <c r="B21040" s="4" t="s">
        <v>26498</v>
      </c>
      <c r="C21040" s="5" t="str">
        <f>IFERROR(__xludf.DUMMYFUNCTION("GOOGLETRANSLATE(B21040,""en"",""it"")"),"Comincia a mettere decorazioni sull'albero di Natale.")</f>
        <v>Comincia a mettere decorazioni sull'albero di Natale.</v>
      </c>
    </row>
    <row r="21041">
      <c r="A21041" s="4" t="s">
        <v>26496</v>
      </c>
      <c r="B21041" s="4" t="s">
        <v>26499</v>
      </c>
      <c r="C21041" s="5" t="str">
        <f>IFERROR(__xludf.DUMMYFUNCTION("GOOGLETRANSLATE(B21041,""en"",""it"")"),"Mette un fiocco dorato sulla cima dell'albero.")</f>
        <v>Mette un fiocco dorato sulla cima dell'albero.</v>
      </c>
    </row>
    <row r="21042">
      <c r="A21042" s="4" t="s">
        <v>26496</v>
      </c>
      <c r="B21042" s="4" t="s">
        <v>26500</v>
      </c>
      <c r="C21042" s="5" t="str">
        <f>IFERROR(__xludf.DUMMYFUNCTION("GOOGLETRANSLATE(B21042,""en"",""it"")"),"Tre donne parlano di fronte all'albero.")</f>
        <v>Tre donne parlano di fronte all'albero.</v>
      </c>
    </row>
    <row r="21043">
      <c r="A21043" s="4" t="s">
        <v>26501</v>
      </c>
      <c r="B21043" s="4" t="s">
        <v>26502</v>
      </c>
      <c r="C21043" s="5" t="str">
        <f>IFERROR(__xludf.DUMMYFUNCTION("GOOGLETRANSLATE(B21043,""en"",""it"")"),"Diverse persone si trovano fuori dalle auto.")</f>
        <v>Diverse persone si trovano fuori dalle auto.</v>
      </c>
    </row>
    <row r="21044">
      <c r="A21044" s="4" t="s">
        <v>26501</v>
      </c>
      <c r="B21044" s="4" t="s">
        <v>26503</v>
      </c>
      <c r="C21044" s="5" t="str">
        <f>IFERROR(__xludf.DUMMYFUNCTION("GOOGLETRANSLATE(B21044,""en"",""it"")"),"Si mettono in un fiume sui tubi.")</f>
        <v>Si mettono in un fiume sui tubi.</v>
      </c>
    </row>
    <row r="21045">
      <c r="A21045" s="4" t="s">
        <v>26501</v>
      </c>
      <c r="B21045" s="4" t="s">
        <v>26504</v>
      </c>
      <c r="C21045" s="5" t="str">
        <f>IFERROR(__xludf.DUMMYFUNCTION("GOOGLETRANSLATE(B21045,""en"",""it"")"),"Fluttuano vicino a un grande ponte.")</f>
        <v>Fluttuano vicino a un grande ponte.</v>
      </c>
    </row>
    <row r="21046">
      <c r="A21046" s="4" t="s">
        <v>26501</v>
      </c>
      <c r="B21046" s="4" t="s">
        <v>26505</v>
      </c>
      <c r="C21046" s="5" t="str">
        <f>IFERROR(__xludf.DUMMYFUNCTION("GOOGLETRANSLATE(B21046,""en"",""it"")"),"L'acqua diventa un po 'instabile.")</f>
        <v>L'acqua diventa un po 'instabile.</v>
      </c>
    </row>
    <row r="21047">
      <c r="A21047" s="4" t="s">
        <v>26506</v>
      </c>
      <c r="B21047" s="4" t="s">
        <v>26507</v>
      </c>
      <c r="C21047" s="5" t="str">
        <f>IFERROR(__xludf.DUMMYFUNCTION("GOOGLETRANSLATE(B21047,""en"",""it"")"),"Un uomo atletico è visto in piedi pronto e corre lungo una lunga pista in una buca di sabbia.")</f>
        <v>Un uomo atletico è visto in piedi pronto e corre lungo una lunga pista in una buca di sabbia.</v>
      </c>
    </row>
    <row r="21048">
      <c r="A21048" s="4" t="s">
        <v>26506</v>
      </c>
      <c r="B21048" s="6" t="s">
        <v>26508</v>
      </c>
      <c r="C21048" s="5" t="str">
        <f>IFERROR(__xludf.DUMMYFUNCTION("GOOGLETRANSLATE(B21048,""en"",""it"")"),"L'uomo si allontana mentre guarda al pubblico seguito da un altro uomo che corre nella fossa.")</f>
        <v>L'uomo si allontana mentre guarda al pubblico seguito da un altro uomo che corre nella fossa.</v>
      </c>
    </row>
    <row r="21049">
      <c r="A21049" s="4" t="s">
        <v>26506</v>
      </c>
      <c r="B21049" s="4" t="s">
        <v>26509</v>
      </c>
      <c r="C21049" s="5" t="str">
        <f>IFERROR(__xludf.DUMMYFUNCTION("GOOGLETRANSLATE(B21049,""en"",""it"")"),"Diversi altri uomini si alternano che la loro corsa è stata nuovamente mostrata.")</f>
        <v>Diversi altri uomini si alternano che la loro corsa è stata nuovamente mostrata.</v>
      </c>
    </row>
    <row r="21050">
      <c r="A21050" s="4" t="s">
        <v>26510</v>
      </c>
      <c r="B21050" s="4" t="s">
        <v>26511</v>
      </c>
      <c r="C21050" s="5" t="str">
        <f>IFERROR(__xludf.DUMMYFUNCTION("GOOGLETRANSLATE(B21050,""en"",""it"")"),"Una macchina fotografica ha visto mostrare l'esterno di una casa seguita da una ragazza seduta in una vasca.")</f>
        <v>Una macchina fotografica ha visto mostrare l'esterno di una casa seguita da una ragazza seduta in una vasca.</v>
      </c>
    </row>
    <row r="21051">
      <c r="A21051" s="4" t="s">
        <v>26510</v>
      </c>
      <c r="B21051" s="4" t="s">
        <v>26512</v>
      </c>
      <c r="C21051" s="5" t="str">
        <f>IFERROR(__xludf.DUMMYFUNCTION("GOOGLETRANSLATE(B21051,""en"",""it"")"),"Guarda allo specchio e ha un'amica che le consegna una tazza da solista.")</f>
        <v>Guarda allo specchio e ha un'amica che le consegna una tazza da solista.</v>
      </c>
    </row>
    <row r="21052">
      <c r="A21052" s="4" t="s">
        <v>26510</v>
      </c>
      <c r="B21052" s="4" t="s">
        <v>26513</v>
      </c>
      <c r="C21052" s="5" t="str">
        <f>IFERROR(__xludf.DUMMYFUNCTION("GOOGLETRANSLATE(B21052,""en"",""it"")"),"Corre in tutta la casa fuori e mostra un primo piano di bocca.")</f>
        <v>Corre in tutta la casa fuori e mostra un primo piano di bocca.</v>
      </c>
    </row>
    <row r="21053">
      <c r="A21053" s="4" t="s">
        <v>26514</v>
      </c>
      <c r="B21053" s="4" t="s">
        <v>26515</v>
      </c>
      <c r="C21053" s="5" t="str">
        <f>IFERROR(__xludf.DUMMYFUNCTION("GOOGLETRANSLATE(B21053,""en"",""it"")"),"Una giovane donna spiega come truccarsi sul coperchio degli occhi usando un pennello.")</f>
        <v>Una giovane donna spiega come truccarsi sul coperchio degli occhi usando un pennello.</v>
      </c>
    </row>
    <row r="21054">
      <c r="A21054" s="4" t="s">
        <v>26514</v>
      </c>
      <c r="B21054" s="4" t="s">
        <v>26516</v>
      </c>
      <c r="C21054" s="5" t="str">
        <f>IFERROR(__xludf.DUMMYFUNCTION("GOOGLETRANSLATE(B21054,""en"",""it"")"),"La giovane donna usa un eyeliner per dipingere il bordo del coperchio superiore.")</f>
        <v>La giovane donna usa un eyeliner per dipingere il bordo del coperchio superiore.</v>
      </c>
    </row>
    <row r="21055">
      <c r="A21055" s="4" t="s">
        <v>26514</v>
      </c>
      <c r="B21055" s="4" t="s">
        <v>26517</v>
      </c>
      <c r="C21055" s="5" t="str">
        <f>IFERROR(__xludf.DUMMYFUNCTION("GOOGLETRANSLATE(B21055,""en"",""it"")"),"Quindi, mette il mascara alle ciglia e dipinge il coperchio inferiore.")</f>
        <v>Quindi, mette il mascara alle ciglia e dipinge il coperchio inferiore.</v>
      </c>
    </row>
    <row r="21056">
      <c r="A21056" s="4" t="s">
        <v>26514</v>
      </c>
      <c r="B21056" s="4" t="s">
        <v>26518</v>
      </c>
      <c r="C21056" s="5" t="str">
        <f>IFERROR(__xludf.DUMMYFUNCTION("GOOGLETRANSLATE(B21056,""en"",""it"")"),"Dopo, si sfiorava la guancia e mise il rossetto sulle labbra.")</f>
        <v>Dopo, si sfiorava la guancia e mise il rossetto sulle labbra.</v>
      </c>
    </row>
    <row r="21057">
      <c r="A21057" s="4" t="s">
        <v>26519</v>
      </c>
      <c r="B21057" s="4" t="s">
        <v>26520</v>
      </c>
      <c r="C21057" s="5" t="str">
        <f>IFERROR(__xludf.DUMMYFUNCTION("GOOGLETRANSLATE(B21057,""en"",""it"")"),"Una grande fascia musicale si vede in piedi nel mezzo di una grande folla.")</f>
        <v>Una grande fascia musicale si vede in piedi nel mezzo di una grande folla.</v>
      </c>
    </row>
    <row r="21058">
      <c r="A21058" s="4" t="s">
        <v>26519</v>
      </c>
      <c r="B21058" s="4" t="s">
        <v>26521</v>
      </c>
      <c r="C21058" s="5" t="str">
        <f>IFERROR(__xludf.DUMMYFUNCTION("GOOGLETRANSLATE(B21058,""en"",""it"")"),"La band inizia quindi suonando l'uno con l'altro nel cerchio.")</f>
        <v>La band inizia quindi suonando l'uno con l'altro nel cerchio.</v>
      </c>
    </row>
    <row r="21059">
      <c r="A21059" s="4" t="s">
        <v>26519</v>
      </c>
      <c r="B21059" s="4" t="s">
        <v>26522</v>
      </c>
      <c r="C21059" s="5" t="str">
        <f>IFERROR(__xludf.DUMMYFUNCTION("GOOGLETRANSLATE(B21059,""en"",""it"")"),"Le persone continuano a giocare tra loro mentre le persone guardano dai lati.")</f>
        <v>Le persone continuano a giocare tra loro mentre le persone guardano dai lati.</v>
      </c>
    </row>
    <row r="21060">
      <c r="A21060" s="4" t="s">
        <v>26523</v>
      </c>
      <c r="B21060" s="4" t="s">
        <v>26524</v>
      </c>
      <c r="C21060" s="5" t="str">
        <f>IFERROR(__xludf.DUMMYFUNCTION("GOOGLETRANSLATE(B21060,""en"",""it"")"),"Viene vista una donna parlare alla telecamera mentre un gruppo di persone siede in tubi intorno a lei.")</f>
        <v>Viene vista una donna parlare alla telecamera mentre un gruppo di persone siede in tubi intorno a lei.</v>
      </c>
    </row>
    <row r="21061">
      <c r="A21061" s="4" t="s">
        <v>26523</v>
      </c>
      <c r="B21061" s="4" t="s">
        <v>26525</v>
      </c>
      <c r="C21061" s="5" t="str">
        <f>IFERROR(__xludf.DUMMYFUNCTION("GOOGLETRANSLATE(B21061,""en"",""it"")"),"Le altre persone sorridono e salutano alla telecamera mentre mostrano gli altri tubi.")</f>
        <v>Le altre persone sorridono e salutano alla telecamera mentre mostrano gli altri tubi.</v>
      </c>
    </row>
    <row r="21062">
      <c r="A21062" s="4" t="s">
        <v>26523</v>
      </c>
      <c r="B21062" s="4" t="s">
        <v>26526</v>
      </c>
      <c r="C21062" s="5" t="str">
        <f>IFERROR(__xludf.DUMMYFUNCTION("GOOGLETRANSLATE(B21062,""en"",""it"")"),"Le persone continuano a cavalcare l'acqua mentre la telecamera si muove intorno ai loro movimenti.")</f>
        <v>Le persone continuano a cavalcare l'acqua mentre la telecamera si muove intorno ai loro movimenti.</v>
      </c>
    </row>
    <row r="21063">
      <c r="A21063" s="4" t="s">
        <v>26527</v>
      </c>
      <c r="B21063" s="4" t="s">
        <v>26528</v>
      </c>
      <c r="C21063" s="5" t="str">
        <f>IFERROR(__xludf.DUMMYFUNCTION("GOOGLETRANSLATE(B21063,""en"",""it"")"),"Quest'uomo sta passando per le strade estremamente velocemente.")</f>
        <v>Quest'uomo sta passando per le strade estremamente velocemente.</v>
      </c>
    </row>
    <row r="21064">
      <c r="A21064" s="4" t="s">
        <v>26527</v>
      </c>
      <c r="B21064" s="4" t="s">
        <v>26529</v>
      </c>
      <c r="C21064" s="5" t="str">
        <f>IFERROR(__xludf.DUMMYFUNCTION("GOOGLETRANSLATE(B21064,""en"",""it"")"),"Salta su una zona chiusa e continua a pattinare che ha passato le persone nelle strade.")</f>
        <v>Salta su una zona chiusa e continua a pattinare che ha passato le persone nelle strade.</v>
      </c>
    </row>
    <row r="21065">
      <c r="A21065" s="4" t="s">
        <v>26527</v>
      </c>
      <c r="B21065" s="6" t="s">
        <v>26530</v>
      </c>
      <c r="C21065" s="5" t="str">
        <f>IFERROR(__xludf.DUMMYFUNCTION("GOOGLETRANSLATE(B21065,""en"",""it"")"),"Sta pattinando per le strade di Parigi insieme a un altro pattinatore, pattinando ancora oltre le persone e scendendo nella metropolitana.")</f>
        <v>Sta pattinando per le strade di Parigi insieme a un altro pattinatore, pattinando ancora oltre le persone e scendendo nella metropolitana.</v>
      </c>
    </row>
    <row r="21066">
      <c r="A21066" s="4" t="s">
        <v>26527</v>
      </c>
      <c r="B21066" s="6" t="s">
        <v>26531</v>
      </c>
      <c r="C21066" s="5" t="str">
        <f>IFERROR(__xludf.DUMMYFUNCTION("GOOGLETRANSLATE(B21066,""en"",""it"")"),"Si aggrappa sul retro della motocicletta di qualcuno e la usa per catturare la velocità e poi continua di nuovo fuori dalla metropolitana sui marciapiedi.")</f>
        <v>Si aggrappa sul retro della motocicletta di qualcuno e la usa per catturare la velocità e poi continua di nuovo fuori dalla metropolitana sui marciapiedi.</v>
      </c>
    </row>
    <row r="21067">
      <c r="A21067" s="4" t="s">
        <v>26532</v>
      </c>
      <c r="B21067" s="4" t="s">
        <v>26533</v>
      </c>
      <c r="C21067" s="5" t="str">
        <f>IFERROR(__xludf.DUMMYFUNCTION("GOOGLETRANSLATE(B21067,""en"",""it"")"),"Una corda arancione è legata a un albero e penzola nel vento.")</f>
        <v>Una corda arancione è legata a un albero e penzola nel vento.</v>
      </c>
    </row>
    <row r="21068">
      <c r="A21068" s="4" t="s">
        <v>26532</v>
      </c>
      <c r="B21068" s="4" t="s">
        <v>26534</v>
      </c>
      <c r="C21068" s="5" t="str">
        <f>IFERROR(__xludf.DUMMYFUNCTION("GOOGLETRANSLATE(B21068,""en"",""it"")"),"Un uomo si fa avanti sulla corda e inizia a attraversarla.")</f>
        <v>Un uomo si fa avanti sulla corda e inizia a attraversarla.</v>
      </c>
    </row>
    <row r="21069">
      <c r="A21069" s="4" t="s">
        <v>26532</v>
      </c>
      <c r="B21069" s="4" t="s">
        <v>26535</v>
      </c>
      <c r="C21069" s="5" t="str">
        <f>IFERROR(__xludf.DUMMYFUNCTION("GOOGLETRANSLATE(B21069,""en"",""it"")"),"L'uomo salta giù dalla corda e inizia dall'inizio per attraversarla.")</f>
        <v>L'uomo salta giù dalla corda e inizia dall'inizio per attraversarla.</v>
      </c>
    </row>
    <row r="21070">
      <c r="A21070" s="4" t="s">
        <v>26532</v>
      </c>
      <c r="B21070" s="4" t="s">
        <v>26536</v>
      </c>
      <c r="C21070" s="5" t="str">
        <f>IFERROR(__xludf.DUMMYFUNCTION("GOOGLETRANSLATE(B21070,""en"",""it"")"),"L'uomo salta di nuovo e torna sulla corda e salta via.")</f>
        <v>L'uomo salta di nuovo e torna sulla corda e salta via.</v>
      </c>
    </row>
    <row r="21071">
      <c r="A21071" s="4" t="s">
        <v>26532</v>
      </c>
      <c r="B21071" s="4" t="s">
        <v>26537</v>
      </c>
      <c r="C21071" s="5" t="str">
        <f>IFERROR(__xludf.DUMMYFUNCTION("GOOGLETRANSLATE(B21071,""en"",""it"")"),"L'uomo stringe la corda.")</f>
        <v>L'uomo stringe la corda.</v>
      </c>
    </row>
    <row r="21072">
      <c r="A21072" s="4" t="s">
        <v>26532</v>
      </c>
      <c r="B21072" s="4" t="s">
        <v>26538</v>
      </c>
      <c r="C21072" s="5" t="str">
        <f>IFERROR(__xludf.DUMMYFUNCTION("GOOGLETRANSLATE(B21072,""en"",""it"")"),"La fotocamera mostra il terreno.")</f>
        <v>La fotocamera mostra il terreno.</v>
      </c>
    </row>
    <row r="21073">
      <c r="A21073" s="4" t="s">
        <v>26539</v>
      </c>
      <c r="B21073" s="4" t="s">
        <v>26540</v>
      </c>
      <c r="C21073" s="5" t="str">
        <f>IFERROR(__xludf.DUMMYFUNCTION("GOOGLETRANSLATE(B21073,""en"",""it"")"),"Piove fuori mentre un uomo è su un tosaerba che falciava il prato.")</f>
        <v>Piove fuori mentre un uomo è su un tosaerba che falciava il prato.</v>
      </c>
    </row>
    <row r="21074">
      <c r="A21074" s="4" t="s">
        <v>26539</v>
      </c>
      <c r="B21074" s="4" t="s">
        <v>26541</v>
      </c>
      <c r="C21074" s="5" t="str">
        <f>IFERROR(__xludf.DUMMYFUNCTION("GOOGLETRANSLATE(B21074,""en"",""it"")"),"La fotocamera si concentra sull'acqua che gocciola.")</f>
        <v>La fotocamera si concentra sull'acqua che gocciola.</v>
      </c>
    </row>
    <row r="21075">
      <c r="A21075" s="4" t="s">
        <v>26539</v>
      </c>
      <c r="B21075" s="4" t="s">
        <v>26542</v>
      </c>
      <c r="C21075" s="5" t="str">
        <f>IFERROR(__xludf.DUMMYFUNCTION("GOOGLETRANSLATE(B21075,""en"",""it"")"),"L'uomo si riorganizza sul tosaerba.")</f>
        <v>L'uomo si riorganizza sul tosaerba.</v>
      </c>
    </row>
    <row r="21076">
      <c r="A21076" s="4" t="s">
        <v>26539</v>
      </c>
      <c r="B21076" s="4" t="s">
        <v>26543</v>
      </c>
      <c r="C21076" s="5" t="str">
        <f>IFERROR(__xludf.DUMMYFUNCTION("GOOGLETRANSLATE(B21076,""en"",""it"")"),"Continua a falciare il prato.")</f>
        <v>Continua a falciare il prato.</v>
      </c>
    </row>
    <row r="21077">
      <c r="A21077" s="4" t="s">
        <v>26539</v>
      </c>
      <c r="B21077" s="4" t="s">
        <v>26544</v>
      </c>
      <c r="C21077" s="5" t="str">
        <f>IFERROR(__xludf.DUMMYFUNCTION("GOOGLETRANSLATE(B21077,""en"",""it"")"),"La fotocamera si concentra di nuovo sull'acqua corrente.")</f>
        <v>La fotocamera si concentra di nuovo sull'acqua corrente.</v>
      </c>
    </row>
    <row r="21078">
      <c r="A21078" s="4" t="s">
        <v>26539</v>
      </c>
      <c r="B21078" s="4" t="s">
        <v>4389</v>
      </c>
      <c r="C21078" s="5" t="str">
        <f>IFERROR(__xludf.DUMMYFUNCTION("GOOGLETRANSLATE(B21078,""en"",""it"")"),"Torna all'uomo falciando.")</f>
        <v>Torna all'uomo falciando.</v>
      </c>
    </row>
    <row r="21079">
      <c r="A21079" s="4" t="s">
        <v>26539</v>
      </c>
      <c r="B21079" s="4" t="s">
        <v>26545</v>
      </c>
      <c r="C21079" s="5" t="str">
        <f>IFERROR(__xludf.DUMMYFUNCTION("GOOGLETRANSLATE(B21079,""en"",""it"")"),"Quindi passa di nuovo sull'acqua corrente.")</f>
        <v>Quindi passa di nuovo sull'acqua corrente.</v>
      </c>
    </row>
    <row r="21080">
      <c r="A21080" s="4" t="s">
        <v>26546</v>
      </c>
      <c r="B21080" s="4" t="s">
        <v>26547</v>
      </c>
      <c r="C21080" s="5" t="str">
        <f>IFERROR(__xludf.DUMMYFUNCTION("GOOGLETRANSLATE(B21080,""en"",""it"")"),"Vediamo una donna che colpisce una pinata.")</f>
        <v>Vediamo una donna che colpisce una pinata.</v>
      </c>
    </row>
    <row r="21081">
      <c r="A21081" s="4" t="s">
        <v>26546</v>
      </c>
      <c r="B21081" s="4" t="s">
        <v>26548</v>
      </c>
      <c r="C21081" s="5" t="str">
        <f>IFERROR(__xludf.DUMMYFUNCTION("GOOGLETRANSLATE(B21081,""en"",""it"")"),"La signora fa una pausa per allineare il suo tiro.")</f>
        <v>La signora fa una pausa per allineare il suo tiro.</v>
      </c>
    </row>
    <row r="21082">
      <c r="A21082" s="4" t="s">
        <v>26546</v>
      </c>
      <c r="B21082" s="4" t="s">
        <v>26549</v>
      </c>
      <c r="C21082" s="5" t="str">
        <f>IFERROR(__xludf.DUMMYFUNCTION("GOOGLETRANSLATE(B21082,""en"",""it"")"),"La signora tiene la Pinata mentre la colpisce.")</f>
        <v>La signora tiene la Pinata mentre la colpisce.</v>
      </c>
    </row>
    <row r="21083">
      <c r="A21083" s="4" t="s">
        <v>26546</v>
      </c>
      <c r="B21083" s="4" t="s">
        <v>26550</v>
      </c>
      <c r="C21083" s="5" t="str">
        <f>IFERROR(__xludf.DUMMYFUNCTION("GOOGLETRANSLATE(B21083,""en"",""it"")"),"Un uomo prende il pipistrello dalle mani delle donne.")</f>
        <v>Un uomo prende il pipistrello dalle mani delle donne.</v>
      </c>
    </row>
    <row r="21084">
      <c r="A21084" s="4" t="s">
        <v>26551</v>
      </c>
      <c r="B21084" s="4" t="s">
        <v>26552</v>
      </c>
      <c r="C21084" s="5" t="str">
        <f>IFERROR(__xludf.DUMMYFUNCTION("GOOGLETRANSLATE(B21084,""en"",""it"")"),"Un uomo in un cappotto da laboratorio utilizza una scopa swiffer.")</f>
        <v>Un uomo in un cappotto da laboratorio utilizza una scopa swiffer.</v>
      </c>
    </row>
    <row r="21085">
      <c r="A21085" s="4" t="s">
        <v>26551</v>
      </c>
      <c r="B21085" s="4" t="s">
        <v>26553</v>
      </c>
      <c r="C21085" s="5" t="str">
        <f>IFERROR(__xludf.DUMMYFUNCTION("GOOGLETRANSLATE(B21085,""en"",""it"")"),"Lo rastrella attraverso un pavimento con una soluzione di pulizia.")</f>
        <v>Lo rastrella attraverso un pavimento con una soluzione di pulizia.</v>
      </c>
    </row>
    <row r="21086">
      <c r="A21086" s="4" t="s">
        <v>26551</v>
      </c>
      <c r="B21086" s="4" t="s">
        <v>26554</v>
      </c>
      <c r="C21086" s="5" t="str">
        <f>IFERROR(__xludf.DUMMYFUNCTION("GOOGLETRANSLATE(B21086,""en"",""it"")"),"Il pavimento brilla mentre si pulite sotto i suoi piedi.")</f>
        <v>Il pavimento brilla mentre si pulite sotto i suoi piedi.</v>
      </c>
    </row>
    <row r="21087">
      <c r="A21087" s="4" t="s">
        <v>26555</v>
      </c>
      <c r="B21087" s="6" t="s">
        <v>26556</v>
      </c>
      <c r="C21087" s="5" t="str">
        <f>IFERROR(__xludf.DUMMYFUNCTION("GOOGLETRANSLATE(B21087,""en"",""it"")"),"Un uomo si trova con una bicicletta su un rack e mostra le sue diverse parti e caratteristiche tra cui le ruote.")</f>
        <v>Un uomo si trova con una bicicletta su un rack e mostra le sue diverse parti e caratteristiche tra cui le ruote.</v>
      </c>
    </row>
    <row r="21088">
      <c r="A21088" s="4" t="s">
        <v>26555</v>
      </c>
      <c r="B21088" s="4" t="s">
        <v>26557</v>
      </c>
      <c r="C21088" s="5" t="str">
        <f>IFERROR(__xludf.DUMMYFUNCTION("GOOGLETRANSLATE(B21088,""en"",""it"")"),"L'uomo gira la manovella e la ruota gira sulla bici.")</f>
        <v>L'uomo gira la manovella e la ruota gira sulla bici.</v>
      </c>
    </row>
    <row r="21089">
      <c r="A21089" s="4" t="s">
        <v>26555</v>
      </c>
      <c r="B21089" s="4" t="s">
        <v>26558</v>
      </c>
      <c r="C21089" s="5" t="str">
        <f>IFERROR(__xludf.DUMMYFUNCTION("GOOGLETRANSLATE(B21089,""en"",""it"")"),"L'uomo gira a mano la ruota anteriore.")</f>
        <v>L'uomo gira a mano la ruota anteriore.</v>
      </c>
    </row>
    <row r="21090">
      <c r="A21090" s="4" t="s">
        <v>26555</v>
      </c>
      <c r="B21090" s="4" t="s">
        <v>26559</v>
      </c>
      <c r="C21090" s="5" t="str">
        <f>IFERROR(__xludf.DUMMYFUNCTION("GOOGLETRANSLATE(B21090,""en"",""it"")"),"L'uomo stringe una vite con il suo strumento manuale.")</f>
        <v>L'uomo stringe una vite con il suo strumento manuale.</v>
      </c>
    </row>
    <row r="21091">
      <c r="A21091" s="4" t="s">
        <v>26560</v>
      </c>
      <c r="B21091" s="4" t="s">
        <v>26561</v>
      </c>
      <c r="C21091" s="5" t="str">
        <f>IFERROR(__xludf.DUMMYFUNCTION("GOOGLETRANSLATE(B21091,""en"",""it"")"),"Un basket è focalizzato in quanto si trova su un'erba.")</f>
        <v>Un basket è focalizzato in quanto si trova su un'erba.</v>
      </c>
    </row>
    <row r="21092">
      <c r="A21092" s="4" t="s">
        <v>26560</v>
      </c>
      <c r="B21092" s="6" t="s">
        <v>26562</v>
      </c>
      <c r="C21092" s="5" t="str">
        <f>IFERROR(__xludf.DUMMYFUNCTION("GOOGLETRANSLATE(B21092,""en"",""it"")"),"Quindi si zoom e una bambina è in piedi all'inizio di un hopscotch scritto in gesso, e un uomo è in piedi alla fine e lancia un pezzo di gesso a modo suo, si rompe, salta per raccoglierlo, lei sceglie Sull'altro pezzo e lo restituisce al contenitore del g"&amp;"esso di lato.")</f>
        <v>Quindi si zoom e una bambina è in piedi all'inizio di un hopscotch scritto in gesso, e un uomo è in piedi alla fine e lancia un pezzo di gesso a modo suo, si rompe, salta per raccoglierlo, lei sceglie Sull'altro pezzo e lo restituisce al contenitore del gesso di lato.</v>
      </c>
    </row>
    <row r="21093">
      <c r="A21093" s="4" t="s">
        <v>26560</v>
      </c>
      <c r="B21093" s="6" t="s">
        <v>26563</v>
      </c>
      <c r="C21093" s="5" t="str">
        <f>IFERROR(__xludf.DUMMYFUNCTION("GOOGLETRANSLATE(B21093,""en"",""it"")"),"La ragazza ritorna all'inizio del hopscotch e si svolge, e vanno avanti e indietro e giocano a turno saltando su e giù per il hopscotch.")</f>
        <v>La ragazza ritorna all'inizio del hopscotch e si svolge, e vanno avanti e indietro e giocano a turno saltando su e giù per il hopscotch.</v>
      </c>
    </row>
    <row r="21094">
      <c r="A21094" s="4" t="s">
        <v>26564</v>
      </c>
      <c r="B21094" s="6" t="s">
        <v>26565</v>
      </c>
      <c r="C21094" s="5" t="str">
        <f>IFERROR(__xludf.DUMMYFUNCTION("GOOGLETRANSLATE(B21094,""en"",""it"")"),"In spiaggia, vengono allestite diverse reti di pallavolo in diversi colori, mentre le persone sono in piedi o seduti sul lato fuori dalle reti.")</f>
        <v>In spiaggia, vengono allestite diverse reti di pallavolo in diversi colori, mentre le persone sono in piedi o seduti sul lato fuori dalle reti.</v>
      </c>
    </row>
    <row r="21095">
      <c r="A21095" s="4" t="s">
        <v>26564</v>
      </c>
      <c r="B21095" s="6" t="s">
        <v>26566</v>
      </c>
      <c r="C21095" s="5" t="str">
        <f>IFERROR(__xludf.DUMMYFUNCTION("GOOGLETRANSLATE(B21095,""en"",""it"")"),"Diverse squadre, con una combinazione di maschi e femmine, hanno giocato le pallacini della spiaggia nelle reti assegnate loro.")</f>
        <v>Diverse squadre, con una combinazione di maschi e femmine, hanno giocato le pallacini della spiaggia nelle reti assegnate loro.</v>
      </c>
    </row>
    <row r="21096">
      <c r="A21096" s="4" t="s">
        <v>26567</v>
      </c>
      <c r="B21096" s="4" t="s">
        <v>26568</v>
      </c>
      <c r="C21096" s="5" t="str">
        <f>IFERROR(__xludf.DUMMYFUNCTION("GOOGLETRANSLATE(B21096,""en"",""it"")"),"Le persone si stanno allenando in bici da esercizio.")</f>
        <v>Le persone si stanno allenando in bici da esercizio.</v>
      </c>
    </row>
    <row r="21097">
      <c r="A21097" s="4" t="s">
        <v>26567</v>
      </c>
      <c r="B21097" s="4" t="s">
        <v>26569</v>
      </c>
      <c r="C21097" s="5" t="str">
        <f>IFERROR(__xludf.DUMMYFUNCTION("GOOGLETRANSLATE(B21097,""en"",""it"")"),"Un uomo con una camicia blu è in piedi davanti a loro che corre in giro.")</f>
        <v>Un uomo con una camicia blu è in piedi davanti a loro che corre in giro.</v>
      </c>
    </row>
    <row r="21098">
      <c r="A21098" s="4" t="s">
        <v>26570</v>
      </c>
      <c r="B21098" s="4" t="s">
        <v>26571</v>
      </c>
      <c r="C21098" s="5" t="str">
        <f>IFERROR(__xludf.DUMMYFUNCTION("GOOGLETRANSLATE(B21098,""en"",""it"")"),"Un giornalista parla in un televisore, quindi un giornalista parla in un parco, quindi viene mostrata una mappa di Londra.")</f>
        <v>Un giornalista parla in un televisore, quindi un giornalista parla in un parco, quindi viene mostrata una mappa di Londra.</v>
      </c>
    </row>
    <row r="21099">
      <c r="A21099" s="4" t="s">
        <v>26570</v>
      </c>
      <c r="B21099" s="4" t="s">
        <v>26572</v>
      </c>
      <c r="C21099" s="5" t="str">
        <f>IFERROR(__xludf.DUMMYFUNCTION("GOOGLETRANSLATE(B21099,""en"",""it"")"),"Un uomo mostra una borsa con una sigaretta e poi è uno spettacolo vicino ai documenti.")</f>
        <v>Un uomo mostra una borsa con una sigaretta e poi è uno spettacolo vicino ai documenti.</v>
      </c>
    </row>
    <row r="21100">
      <c r="A21100" s="4" t="s">
        <v>26570</v>
      </c>
      <c r="B21100" s="4" t="s">
        <v>26573</v>
      </c>
      <c r="C21100" s="5" t="str">
        <f>IFERROR(__xludf.DUMMYFUNCTION("GOOGLETRANSLATE(B21100,""en"",""it"")"),"Dopo, l'uomo è in un cortile che spiega al giornalista.")</f>
        <v>Dopo, l'uomo è in un cortile che spiega al giornalista.</v>
      </c>
    </row>
    <row r="21101">
      <c r="A21101" s="4" t="s">
        <v>26570</v>
      </c>
      <c r="B21101" s="4" t="s">
        <v>26574</v>
      </c>
      <c r="C21101" s="5" t="str">
        <f>IFERROR(__xludf.DUMMYFUNCTION("GOOGLETRANSLATE(B21101,""en"",""it"")"),"Le persone sono in un parco che cammina, una persona con un animale domestico e una madre con un bambino.")</f>
        <v>Le persone sono in un parco che cammina, una persona con un animale domestico e una madre con un bambino.</v>
      </c>
    </row>
    <row r="21102">
      <c r="A21102" s="4" t="s">
        <v>26570</v>
      </c>
      <c r="B21102" s="4" t="s">
        <v>26575</v>
      </c>
      <c r="C21102" s="5" t="str">
        <f>IFERROR(__xludf.DUMMYFUNCTION("GOOGLETRANSLATE(B21102,""en"",""it"")"),"Un uomo e una donna parlano con il giornalista.")</f>
        <v>Un uomo e una donna parlano con il giornalista.</v>
      </c>
    </row>
    <row r="21103">
      <c r="A21103" s="4" t="s">
        <v>26576</v>
      </c>
      <c r="B21103" s="4" t="s">
        <v>26577</v>
      </c>
      <c r="C21103" s="5" t="str">
        <f>IFERROR(__xludf.DUMMYFUNCTION("GOOGLETRANSLATE(B21103,""en"",""it"")"),"Gli individui giocano a croquet, con la fotocamera che mostra solo le gambe inferiori e le palline e le mazze.")</f>
        <v>Gli individui giocano a croquet, con la fotocamera che mostra solo le gambe inferiori e le palline e le mazze.</v>
      </c>
    </row>
    <row r="21104">
      <c r="A21104" s="4" t="s">
        <v>26576</v>
      </c>
      <c r="B21104" s="4" t="s">
        <v>26578</v>
      </c>
      <c r="C21104" s="5" t="str">
        <f>IFERROR(__xludf.DUMMYFUNCTION("GOOGLETRANSLATE(B21104,""en"",""it"")"),"Un gruppo di persone in costumi di strega si trova insieme mentre si parla.")</f>
        <v>Un gruppo di persone in costumi di strega si trova insieme mentre si parla.</v>
      </c>
    </row>
    <row r="21105">
      <c r="A21105" s="4" t="s">
        <v>26576</v>
      </c>
      <c r="B21105" s="4" t="s">
        <v>26579</v>
      </c>
      <c r="C21105" s="5" t="str">
        <f>IFERROR(__xludf.DUMMYFUNCTION("GOOGLETRANSLATE(B21105,""en"",""it"")"),"Vengono mostrati più piccoli video di persone che giocano a croquet.")</f>
        <v>Vengono mostrati più piccoli video di persone che giocano a croquet.</v>
      </c>
    </row>
    <row r="21106">
      <c r="A21106" s="4" t="s">
        <v>26576</v>
      </c>
      <c r="B21106" s="4" t="s">
        <v>26580</v>
      </c>
      <c r="C21106" s="5" t="str">
        <f>IFERROR(__xludf.DUMMYFUNCTION("GOOGLETRANSLATE(B21106,""en"",""it"")"),"Il gruppo di persone in costumi di strega viene nuovamente mostrato.")</f>
        <v>Il gruppo di persone in costumi di strega viene nuovamente mostrato.</v>
      </c>
    </row>
    <row r="21107">
      <c r="A21107" s="4" t="s">
        <v>26576</v>
      </c>
      <c r="B21107" s="4" t="s">
        <v>26581</v>
      </c>
      <c r="C21107" s="5" t="str">
        <f>IFERROR(__xludf.DUMMYFUNCTION("GOOGLETRANSLATE(B21107,""en"",""it"")"),"Vengono mostrate una serie di squadre di croquet, con alcune di loro che indossano costumi.")</f>
        <v>Vengono mostrate una serie di squadre di croquet, con alcune di loro che indossano costumi.</v>
      </c>
    </row>
    <row r="21108">
      <c r="A21108" s="4" t="s">
        <v>26576</v>
      </c>
      <c r="B21108" s="4" t="s">
        <v>26582</v>
      </c>
      <c r="C21108" s="5" t="str">
        <f>IFERROR(__xludf.DUMMYFUNCTION("GOOGLETRANSLATE(B21108,""en"",""it"")"),"Il gruppo di persone in costumi di strega è mostrato ancora una volta.")</f>
        <v>Il gruppo di persone in costumi di strega è mostrato ancora una volta.</v>
      </c>
    </row>
    <row r="21109">
      <c r="A21109" s="4" t="s">
        <v>26576</v>
      </c>
      <c r="B21109" s="4" t="s">
        <v>26583</v>
      </c>
      <c r="C21109" s="5" t="str">
        <f>IFERROR(__xludf.DUMMYFUNCTION("GOOGLETRANSLATE(B21109,""en"",""it"")"),"Sono mostrati ancora più piccoli video di persone che giocano a croquet.")</f>
        <v>Sono mostrati ancora più piccoli video di persone che giocano a croquet.</v>
      </c>
    </row>
    <row r="21110">
      <c r="A21110" s="4" t="s">
        <v>26576</v>
      </c>
      <c r="B21110" s="4" t="s">
        <v>26584</v>
      </c>
      <c r="C21110" s="5" t="str">
        <f>IFERROR(__xludf.DUMMYFUNCTION("GOOGLETRANSLATE(B21110,""en"",""it"")"),"E viene mostrato la schermata del titolo finale.")</f>
        <v>E viene mostrato la schermata del titolo finale.</v>
      </c>
    </row>
    <row r="21111">
      <c r="A21111" s="4" t="s">
        <v>26585</v>
      </c>
      <c r="B21111" s="4" t="s">
        <v>22735</v>
      </c>
      <c r="C21111" s="5" t="str">
        <f>IFERROR(__xludf.DUMMYFUNCTION("GOOGLETRANSLATE(B21111,""en"",""it"")"),"Un uomo è in piedi dietro un bar.")</f>
        <v>Un uomo è in piedi dietro un bar.</v>
      </c>
    </row>
    <row r="21112">
      <c r="A21112" s="4" t="s">
        <v>26585</v>
      </c>
      <c r="B21112" s="4" t="s">
        <v>26586</v>
      </c>
      <c r="C21112" s="5" t="str">
        <f>IFERROR(__xludf.DUMMYFUNCTION("GOOGLETRANSLATE(B21112,""en"",""it"")"),"Comincia a tagliare la frutta e metterlo nel bicchiere.")</f>
        <v>Comincia a tagliare la frutta e metterlo nel bicchiere.</v>
      </c>
    </row>
    <row r="21113">
      <c r="A21113" s="4" t="s">
        <v>26585</v>
      </c>
      <c r="B21113" s="4" t="s">
        <v>26587</v>
      </c>
      <c r="C21113" s="5" t="str">
        <f>IFERROR(__xludf.DUMMYFUNCTION("GOOGLETRANSLATE(B21113,""en"",""it"")"),"Comincia a schiacciare il frutto con un bastone.")</f>
        <v>Comincia a schiacciare il frutto con un bastone.</v>
      </c>
    </row>
    <row r="21114">
      <c r="A21114" s="4" t="s">
        <v>26585</v>
      </c>
      <c r="B21114" s="4" t="s">
        <v>26588</v>
      </c>
      <c r="C21114" s="5" t="str">
        <f>IFERROR(__xludf.DUMMYFUNCTION("GOOGLETRANSLATE(B21114,""en"",""it"")"),"Aggiunge ghiaccio al bicchiere e versa alcol.")</f>
        <v>Aggiunge ghiaccio al bicchiere e versa alcol.</v>
      </c>
    </row>
    <row r="21115">
      <c r="A21115" s="4" t="s">
        <v>26585</v>
      </c>
      <c r="B21115" s="4" t="s">
        <v>26589</v>
      </c>
      <c r="C21115" s="5" t="str">
        <f>IFERROR(__xludf.DUMMYFUNCTION("GOOGLETRANSLATE(B21115,""en"",""it"")"),"Scuova la bevanda e la versa in un bicchiere alto.")</f>
        <v>Scuova la bevanda e la versa in un bicchiere alto.</v>
      </c>
    </row>
    <row r="21116">
      <c r="A21116" s="4" t="s">
        <v>26585</v>
      </c>
      <c r="B21116" s="4" t="s">
        <v>26590</v>
      </c>
      <c r="C21116" s="5" t="str">
        <f>IFERROR(__xludf.DUMMYFUNCTION("GOOGLETRANSLATE(B21116,""en"",""it"")"),"Aggiunge un po 'di liquido e lo mescola con una cannuccia.")</f>
        <v>Aggiunge un po 'di liquido e lo mescola con una cannuccia.</v>
      </c>
    </row>
    <row r="21117">
      <c r="A21117" s="4" t="s">
        <v>26591</v>
      </c>
      <c r="B21117" s="4" t="s">
        <v>1251</v>
      </c>
      <c r="C21117" s="5" t="str">
        <f>IFERROR(__xludf.DUMMYFUNCTION("GOOGLETRANSLATE(B21117,""en"",""it"")"),"Vengono visualizzati i crediti della clip.")</f>
        <v>Vengono visualizzati i crediti della clip.</v>
      </c>
    </row>
    <row r="21118">
      <c r="A21118" s="4" t="s">
        <v>26591</v>
      </c>
      <c r="B21118" s="4" t="s">
        <v>26592</v>
      </c>
      <c r="C21118" s="5" t="str">
        <f>IFERROR(__xludf.DUMMYFUNCTION("GOOGLETRANSLATE(B21118,""en"",""it"")"),"Un uomo taglia il cespuglio sul prato con un cutter elettrico.")</f>
        <v>Un uomo taglia il cespuglio sul prato con un cutter elettrico.</v>
      </c>
    </row>
    <row r="21119">
      <c r="A21119" s="4" t="s">
        <v>26591</v>
      </c>
      <c r="B21119" s="4" t="s">
        <v>573</v>
      </c>
      <c r="C21119" s="5" t="str">
        <f>IFERROR(__xludf.DUMMYFUNCTION("GOOGLETRANSLATE(B21119,""en"",""it"")"),"Vengono visualizzati i crediti del video.")</f>
        <v>Vengono visualizzati i crediti del video.</v>
      </c>
    </row>
    <row r="21120">
      <c r="A21120" s="4" t="s">
        <v>26593</v>
      </c>
      <c r="B21120" s="4" t="s">
        <v>26594</v>
      </c>
      <c r="C21120" s="5" t="str">
        <f>IFERROR(__xludf.DUMMYFUNCTION("GOOGLETRANSLATE(B21120,""en"",""it"")"),"Una persona accende un pulsante di un dispositivo con una lunga strada accanto a una scatola di legno.")</f>
        <v>Una persona accende un pulsante di un dispositivo con una lunga strada accanto a una scatola di legno.</v>
      </c>
    </row>
    <row r="21121">
      <c r="A21121" s="4" t="s">
        <v>26593</v>
      </c>
      <c r="B21121" s="4" t="s">
        <v>26595</v>
      </c>
      <c r="C21121" s="5" t="str">
        <f>IFERROR(__xludf.DUMMYFUNCTION("GOOGLETRANSLATE(B21121,""en"",""it"")"),"Quindi, l'uomo mise l'asta in un buco e uscì le scintille, dopo che la fine dell'uomo faceva scintille.")</f>
        <v>Quindi, l'uomo mise l'asta in un buco e uscì le scintille, dopo che la fine dell'uomo faceva scintille.</v>
      </c>
    </row>
    <row r="21122">
      <c r="A21122" s="4" t="s">
        <v>26596</v>
      </c>
      <c r="B21122" s="4" t="s">
        <v>26597</v>
      </c>
      <c r="C21122" s="5" t="str">
        <f>IFERROR(__xludf.DUMMYFUNCTION("GOOGLETRANSLATE(B21122,""en"",""it"")"),"Una persona viene vista cavalcare su un cavallo in una fossa che insegue un vitello.")</f>
        <v>Una persona viene vista cavalcare su un cavallo in una fossa che insegue un vitello.</v>
      </c>
    </row>
    <row r="21123">
      <c r="A21123" s="4" t="s">
        <v>26596</v>
      </c>
      <c r="B21123" s="4" t="s">
        <v>26598</v>
      </c>
      <c r="C21123" s="5" t="str">
        <f>IFERROR(__xludf.DUMMYFUNCTION("GOOGLETRANSLATE(B21123,""en"",""it"")"),"L'uomo torna il polpaccio e salta giù dal cavallo per legarlo, poi torna al cavallo.")</f>
        <v>L'uomo torna il polpaccio e salta giù dal cavallo per legarlo, poi torna al cavallo.</v>
      </c>
    </row>
    <row r="21124">
      <c r="A21124" s="4" t="s">
        <v>26599</v>
      </c>
      <c r="B21124" s="4" t="s">
        <v>26600</v>
      </c>
      <c r="C21124" s="5" t="str">
        <f>IFERROR(__xludf.DUMMYFUNCTION("GOOGLETRANSLATE(B21124,""en"",""it"")"),"Un uomo è visto nell'oceano su una tavola da surf.")</f>
        <v>Un uomo è visto nell'oceano su una tavola da surf.</v>
      </c>
    </row>
    <row r="21125">
      <c r="A21125" s="4" t="s">
        <v>26599</v>
      </c>
      <c r="B21125" s="4" t="s">
        <v>26601</v>
      </c>
      <c r="C21125" s="5" t="str">
        <f>IFERROR(__xludf.DUMMYFUNCTION("GOOGLETRANSLATE(B21125,""en"",""it"")"),"L'uomo scivola verso un'onda in arrivo.")</f>
        <v>L'uomo scivola verso un'onda in arrivo.</v>
      </c>
    </row>
    <row r="21126">
      <c r="A21126" s="4" t="s">
        <v>26599</v>
      </c>
      <c r="B21126" s="4" t="s">
        <v>26602</v>
      </c>
      <c r="C21126" s="5" t="str">
        <f>IFERROR(__xludf.DUMMYFUNCTION("GOOGLETRANSLATE(B21126,""en"",""it"")"),"L'uomo quindi salta sopra l'onda.")</f>
        <v>L'uomo quindi salta sopra l'onda.</v>
      </c>
    </row>
    <row r="21127">
      <c r="A21127" s="4" t="s">
        <v>26599</v>
      </c>
      <c r="B21127" s="4" t="s">
        <v>26603</v>
      </c>
      <c r="C21127" s="5" t="str">
        <f>IFERROR(__xludf.DUMMYFUNCTION("GOOGLETRANSLATE(B21127,""en"",""it"")"),"L'uomo quindi cavalca l'interno di una nuova ondata.")</f>
        <v>L'uomo quindi cavalca l'interno di una nuova ondata.</v>
      </c>
    </row>
    <row r="21128">
      <c r="A21128" s="4" t="s">
        <v>26604</v>
      </c>
      <c r="B21128" s="6" t="s">
        <v>26605</v>
      </c>
      <c r="C21128" s="5" t="str">
        <f>IFERROR(__xludf.DUMMYFUNCTION("GOOGLETRANSLATE(B21128,""en"",""it"")"),"Una bellissima giovane donna che tiene in mano un violino inizia a morire avanti e indietro contro le corde con l'arco per suonare una canzone che ha praticato.")</f>
        <v>Una bellissima giovane donna che tiene in mano un violino inizia a morire avanti e indietro contro le corde con l'arco per suonare una canzone che ha praticato.</v>
      </c>
    </row>
    <row r="21129">
      <c r="A21129" s="4" t="s">
        <v>26604</v>
      </c>
      <c r="B21129" s="6" t="s">
        <v>26606</v>
      </c>
      <c r="C21129" s="5" t="str">
        <f>IFERROR(__xludf.DUMMYFUNCTION("GOOGLETRANSLATE(B21129,""en"",""it"")"),"La donna ben vestita in nero con maniche bianche continua a giocare e sorridere a intermittenza mentre tiene eloquentemente accordi e note diversi nell'angolo della stanza accanto a un piano che balla avanti e indietro mentre suona.")</f>
        <v>La donna ben vestita in nero con maniche bianche continua a giocare e sorridere a intermittenza mentre tiene eloquentemente accordi e note diversi nell'angolo della stanza accanto a un piano che balla avanti e indietro mentre suona.</v>
      </c>
    </row>
    <row r="21130">
      <c r="A21130" s="4" t="s">
        <v>26604</v>
      </c>
      <c r="B21130" s="6" t="s">
        <v>26607</v>
      </c>
      <c r="C21130" s="5" t="str">
        <f>IFERROR(__xludf.DUMMYFUNCTION("GOOGLETRANSLATE(B21130,""en"",""it"")"),"La donna smette di suonare e sorride ancora una volta prima di uscire dalla telecamera che mette il violino e termina la canzone.")</f>
        <v>La donna smette di suonare e sorride ancora una volta prima di uscire dalla telecamera che mette il violino e termina la canzone.</v>
      </c>
    </row>
    <row r="21131">
      <c r="A21131" s="4" t="s">
        <v>26608</v>
      </c>
      <c r="B21131" s="4" t="s">
        <v>26609</v>
      </c>
      <c r="C21131" s="5" t="str">
        <f>IFERROR(__xludf.DUMMYFUNCTION("GOOGLETRANSLATE(B21131,""en"",""it"")"),"Una persona va a navigare da un'altra barca in acqua.")</f>
        <v>Una persona va a navigare da un'altra barca in acqua.</v>
      </c>
    </row>
    <row r="21132">
      <c r="A21132" s="4" t="s">
        <v>26608</v>
      </c>
      <c r="B21132" s="4" t="s">
        <v>26610</v>
      </c>
      <c r="C21132" s="5" t="str">
        <f>IFERROR(__xludf.DUMMYFUNCTION("GOOGLETRANSLATE(B21132,""en"",""it"")"),"Vengono mostrate diverse scene di persone che navigano sulle barche.")</f>
        <v>Vengono mostrate diverse scene di persone che navigano sulle barche.</v>
      </c>
    </row>
    <row r="21133">
      <c r="A21133" s="4" t="s">
        <v>26608</v>
      </c>
      <c r="B21133" s="4" t="s">
        <v>26611</v>
      </c>
      <c r="C21133" s="5" t="str">
        <f>IFERROR(__xludf.DUMMYFUNCTION("GOOGLETRANSLATE(B21133,""en"",""it"")"),"Un uomo è in piedi e parla con la telecamera.")</f>
        <v>Un uomo è in piedi e parla con la telecamera.</v>
      </c>
    </row>
    <row r="21134">
      <c r="A21134" s="4" t="s">
        <v>26612</v>
      </c>
      <c r="B21134" s="4" t="s">
        <v>26613</v>
      </c>
      <c r="C21134" s="5" t="str">
        <f>IFERROR(__xludf.DUMMYFUNCTION("GOOGLETRANSLATE(B21134,""en"",""it"")"),"Un uomo si trova su palafitte di metallo e tira un grande bordo dritto sopra un soffitto per appiattire l'intonaco.")</f>
        <v>Un uomo si trova su palafitte di metallo e tira un grande bordo dritto sopra un soffitto per appiattire l'intonaco.</v>
      </c>
    </row>
    <row r="21135">
      <c r="A21135" s="4" t="s">
        <v>26612</v>
      </c>
      <c r="B21135" s="4" t="s">
        <v>26614</v>
      </c>
      <c r="C21135" s="5" t="str">
        <f>IFERROR(__xludf.DUMMYFUNCTION("GOOGLETRANSLATE(B21135,""en"",""it"")"),"L'uomo raggiunge il lato più vicino e poi si gira per continuare.")</f>
        <v>L'uomo raggiunge il lato più vicino e poi si gira per continuare.</v>
      </c>
    </row>
    <row r="21136">
      <c r="A21136" s="4" t="s">
        <v>26612</v>
      </c>
      <c r="B21136" s="4" t="s">
        <v>26615</v>
      </c>
      <c r="C21136" s="5" t="str">
        <f>IFERROR(__xludf.DUMMYFUNCTION("GOOGLETRANSLATE(B21136,""en"",""it"")"),"L'uomo raggiunge il lato più lontano della stanza e si gira per continuare.")</f>
        <v>L'uomo raggiunge il lato più lontano della stanza e si gira per continuare.</v>
      </c>
    </row>
    <row r="21137">
      <c r="A21137" s="4" t="s">
        <v>26612</v>
      </c>
      <c r="B21137" s="4" t="s">
        <v>26616</v>
      </c>
      <c r="C21137" s="5" t="str">
        <f>IFERROR(__xludf.DUMMYFUNCTION("GOOGLETRANSLATE(B21137,""en"",""it"")"),"L'uomo termina e abbassa lo strumento di bordo dritto sorridente.")</f>
        <v>L'uomo termina e abbassa lo strumento di bordo dritto sorridente.</v>
      </c>
    </row>
    <row r="21138">
      <c r="A21138" s="4" t="s">
        <v>26617</v>
      </c>
      <c r="B21138" s="4" t="s">
        <v>26618</v>
      </c>
      <c r="C21138" s="5" t="str">
        <f>IFERROR(__xludf.DUMMYFUNCTION("GOOGLETRANSLATE(B21138,""en"",""it"")"),"Vediamo mezza torta in una forma con una persona che indica le cose.")</f>
        <v>Vediamo mezza torta in una forma con una persona che indica le cose.</v>
      </c>
    </row>
    <row r="21139">
      <c r="A21139" s="4" t="s">
        <v>26617</v>
      </c>
      <c r="B21139" s="4" t="s">
        <v>26619</v>
      </c>
      <c r="C21139" s="5" t="str">
        <f>IFERROR(__xludf.DUMMYFUNCTION("GOOGLETRANSLATE(B21139,""en"",""it"")"),"Vediamo che la persona gira la torta con il cartone sopra di essa.")</f>
        <v>Vediamo che la persona gira la torta con il cartone sopra di essa.</v>
      </c>
    </row>
    <row r="21140">
      <c r="A21140" s="4" t="s">
        <v>26617</v>
      </c>
      <c r="B21140" s="4" t="s">
        <v>26620</v>
      </c>
      <c r="C21140" s="5" t="str">
        <f>IFERROR(__xludf.DUMMYFUNCTION("GOOGLETRANSLATE(B21140,""en"",""it"")"),"Una persona raschia la carta cerata sopra la torta.")</f>
        <v>Una persona raschia la carta cerata sopra la torta.</v>
      </c>
    </row>
    <row r="21141">
      <c r="A21141" s="4" t="s">
        <v>26617</v>
      </c>
      <c r="B21141" s="4" t="s">
        <v>26621</v>
      </c>
      <c r="C21141" s="5" t="str">
        <f>IFERROR(__xludf.DUMMYFUNCTION("GOOGLETRANSLATE(B21141,""en"",""it"")"),"Vediamo un intero globo coperto di cioccolato.")</f>
        <v>Vediamo un intero globo coperto di cioccolato.</v>
      </c>
    </row>
    <row r="21142">
      <c r="A21142" s="4" t="s">
        <v>26622</v>
      </c>
      <c r="B21142" s="4" t="s">
        <v>26623</v>
      </c>
      <c r="C21142" s="5" t="str">
        <f>IFERROR(__xludf.DUMMYFUNCTION("GOOGLETRANSLATE(B21142,""en"",""it"")"),"L'uomo scatta il ghiaccio dal suo parabrezza.")</f>
        <v>L'uomo scatta il ghiaccio dal suo parabrezza.</v>
      </c>
    </row>
    <row r="21143">
      <c r="A21143" s="4" t="s">
        <v>26622</v>
      </c>
      <c r="B21143" s="4" t="s">
        <v>26624</v>
      </c>
      <c r="C21143" s="5" t="str">
        <f>IFERROR(__xludf.DUMMYFUNCTION("GOOGLETRANSLATE(B21143,""en"",""it"")"),"L'uomo in nero mette un pezzo di cartone sul parabrezza.")</f>
        <v>L'uomo in nero mette un pezzo di cartone sul parabrezza.</v>
      </c>
    </row>
    <row r="21144">
      <c r="A21144" s="4" t="s">
        <v>26622</v>
      </c>
      <c r="B21144" s="4" t="s">
        <v>26625</v>
      </c>
      <c r="C21144" s="5" t="str">
        <f>IFERROR(__xludf.DUMMYFUNCTION("GOOGLETRANSLATE(B21144,""en"",""it"")"),"L'uomo versa la miscela di acqua calda sul suo parabrezza freddo.")</f>
        <v>L'uomo versa la miscela di acqua calda sul suo parabrezza freddo.</v>
      </c>
    </row>
    <row r="21145">
      <c r="A21145" s="4" t="s">
        <v>26626</v>
      </c>
      <c r="B21145" s="4" t="s">
        <v>26627</v>
      </c>
      <c r="C21145" s="5" t="str">
        <f>IFERROR(__xludf.DUMMYFUNCTION("GOOGLETRANSLATE(B21145,""en"",""it"")"),"Due donne sono viste sedute in un parco con una dietro l'altra.")</f>
        <v>Due donne sono viste sedute in un parco con una dietro l'altra.</v>
      </c>
    </row>
    <row r="21146">
      <c r="A21146" s="4" t="s">
        <v>26626</v>
      </c>
      <c r="B21146" s="4" t="s">
        <v>26628</v>
      </c>
      <c r="C21146" s="5" t="str">
        <f>IFERROR(__xludf.DUMMYFUNCTION("GOOGLETRANSLATE(B21146,""en"",""it"")"),"Una ragazza inizia a intrecciare i capelli di un'altra mentre era seduta dietro.")</f>
        <v>Una ragazza inizia a intrecciare i capelli di un'altra mentre era seduta dietro.</v>
      </c>
    </row>
    <row r="21147">
      <c r="A21147" s="4" t="s">
        <v>26626</v>
      </c>
      <c r="B21147" s="4" t="s">
        <v>26629</v>
      </c>
      <c r="C21147" s="5" t="str">
        <f>IFERROR(__xludf.DUMMYFUNCTION("GOOGLETRANSLATE(B21147,""en"",""it"")"),"La ragazza finisce i capelli mentre l'altra guarda indietro alla fotocamera.")</f>
        <v>La ragazza finisce i capelli mentre l'altra guarda indietro alla fotocamera.</v>
      </c>
    </row>
    <row r="21148">
      <c r="A21148" s="4" t="s">
        <v>26630</v>
      </c>
      <c r="B21148" s="4" t="s">
        <v>26631</v>
      </c>
      <c r="C21148" s="5" t="str">
        <f>IFERROR(__xludf.DUMMYFUNCTION("GOOGLETRANSLATE(B21148,""en"",""it"")"),"Gli atleti gettano un giavellotto attraverso il campo durante una competizione in uno stadio.")</f>
        <v>Gli atleti gettano un giavellotto attraverso il campo durante una competizione in uno stadio.</v>
      </c>
    </row>
    <row r="21149">
      <c r="A21149" s="4" t="s">
        <v>26630</v>
      </c>
      <c r="B21149" s="4" t="s">
        <v>26632</v>
      </c>
      <c r="C21149" s="5" t="str">
        <f>IFERROR(__xludf.DUMMYFUNCTION("GOOGLETRANSLATE(B21149,""en"",""it"")"),"L'atleta non è contento del suo tiro e schiaffeggia le gambe frustrate.")</f>
        <v>L'atleta non è contento del suo tiro e schiaffeggia le gambe frustrate.</v>
      </c>
    </row>
    <row r="21150">
      <c r="A21150" s="4" t="s">
        <v>26630</v>
      </c>
      <c r="B21150" s="6" t="s">
        <v>26633</v>
      </c>
      <c r="C21150" s="5" t="str">
        <f>IFERROR(__xludf.DUMMYFUNCTION("GOOGLETRANSLATE(B21150,""en"",""it"")"),"L'atleta è moderatamente contento del suo tiro e applaude le mani che si allontanano e annuisce.")</f>
        <v>L'atleta è moderatamente contento del suo tiro e applaude le mani che si allontanano e annuisce.</v>
      </c>
    </row>
    <row r="21151">
      <c r="A21151" s="4" t="s">
        <v>26630</v>
      </c>
      <c r="B21151" s="4" t="s">
        <v>26634</v>
      </c>
      <c r="C21151" s="5" t="str">
        <f>IFERROR(__xludf.DUMMYFUNCTION("GOOGLETRANSLATE(B21151,""en"",""it"")"),"Si vede un tabellone con i risultati della competizione.")</f>
        <v>Si vede un tabellone con i risultati della competizione.</v>
      </c>
    </row>
    <row r="21152">
      <c r="A21152" s="4" t="s">
        <v>26635</v>
      </c>
      <c r="B21152" s="4" t="s">
        <v>26636</v>
      </c>
      <c r="C21152" s="5" t="str">
        <f>IFERROR(__xludf.DUMMYFUNCTION("GOOGLETRANSLATE(B21152,""en"",""it"")"),"Una persona sta usando un MOP per scoprire il pavimento.")</f>
        <v>Una persona sta usando un MOP per scoprire il pavimento.</v>
      </c>
    </row>
    <row r="21153">
      <c r="A21153" s="4" t="s">
        <v>26635</v>
      </c>
      <c r="B21153" s="4" t="s">
        <v>26637</v>
      </c>
      <c r="C21153" s="5" t="str">
        <f>IFERROR(__xludf.DUMMYFUNCTION("GOOGLETRANSLATE(B21153,""en"",""it"")"),"Un piccolo cane sta inseguendo la scopa.")</f>
        <v>Un piccolo cane sta inseguendo la scopa.</v>
      </c>
    </row>
    <row r="21154">
      <c r="A21154" s="4" t="s">
        <v>26635</v>
      </c>
      <c r="B21154" s="4" t="s">
        <v>26638</v>
      </c>
      <c r="C21154" s="5" t="str">
        <f>IFERROR(__xludf.DUMMYFUNCTION("GOOGLETRANSLATE(B21154,""en"",""it"")"),"Continuano a pulire con il cane al mop.")</f>
        <v>Continuano a pulire con il cane al mop.</v>
      </c>
    </row>
    <row r="21155">
      <c r="A21155" s="4" t="s">
        <v>26639</v>
      </c>
      <c r="B21155" s="4" t="s">
        <v>26640</v>
      </c>
      <c r="C21155" s="5" t="str">
        <f>IFERROR(__xludf.DUMMYFUNCTION("GOOGLETRANSLATE(B21155,""en"",""it"")"),"Un orso giocattolo che indossa una tuta rossa e bianca versa una tazza di caffè in una tazza di caffè gialla.")</f>
        <v>Un orso giocattolo che indossa una tuta rossa e bianca versa una tazza di caffè in una tazza di caffè gialla.</v>
      </c>
    </row>
    <row r="21156">
      <c r="A21156" s="4" t="s">
        <v>26639</v>
      </c>
      <c r="B21156" s="4" t="s">
        <v>26641</v>
      </c>
      <c r="C21156" s="5" t="str">
        <f>IFERROR(__xludf.DUMMYFUNCTION("GOOGLETRANSLATE(B21156,""en"",""it"")"),"L'uomo della telecamera si ingrandisce sull'orso giocattolo dalla vista laterale alla vista frontale.")</f>
        <v>L'uomo della telecamera si ingrandisce sull'orso giocattolo dalla vista laterale alla vista frontale.</v>
      </c>
    </row>
    <row r="21157">
      <c r="A21157" s="4" t="s">
        <v>26639</v>
      </c>
      <c r="B21157" s="4" t="s">
        <v>26642</v>
      </c>
      <c r="C21157" s="5" t="str">
        <f>IFERROR(__xludf.DUMMYFUNCTION("GOOGLETRANSLATE(B21157,""en"",""it"")"),"L'uomo della telecamera si lancia e si sposta su una vista laterale dell'orso giocattolo e si zoom.")</f>
        <v>L'uomo della telecamera si lancia e si sposta su una vista laterale dell'orso giocattolo e si zoom.</v>
      </c>
    </row>
    <row r="21158">
      <c r="A21158" s="4" t="s">
        <v>26643</v>
      </c>
      <c r="B21158" s="4" t="s">
        <v>26644</v>
      </c>
      <c r="C21158" s="5" t="str">
        <f>IFERROR(__xludf.DUMMYFUNCTION("GOOGLETRANSLATE(B21158,""en"",""it"")"),"C'è una ragazza che indossa una camicia di applausi marrone che fa una dimostrazione su come dipingere le unghie.")</f>
        <v>C'è una ragazza che indossa una camicia di applausi marrone che fa una dimostrazione su come dipingere le unghie.</v>
      </c>
    </row>
    <row r="21159">
      <c r="A21159" s="4" t="s">
        <v>26643</v>
      </c>
      <c r="B21159" s="4" t="s">
        <v>26645</v>
      </c>
      <c r="C21159" s="5" t="str">
        <f>IFERROR(__xludf.DUMMYFUNCTION("GOOGLETRANSLATE(B21159,""en"",""it"")"),"Mostra una bottiglia di smalto magenta che ha già usato sulle unghie.")</f>
        <v>Mostra una bottiglia di smalto magenta che ha già usato sulle unghie.</v>
      </c>
    </row>
    <row r="21160">
      <c r="A21160" s="4" t="s">
        <v>26643</v>
      </c>
      <c r="B21160" s="6" t="s">
        <v>26646</v>
      </c>
      <c r="C21160" s="5" t="str">
        <f>IFERROR(__xludf.DUMMYFUNCTION("GOOGLETRANSLATE(B21160,""en"",""it"")"),"Quindi prende una striscia di strass che mette meticolosamente e in collabora sulle unghie dipinte.")</f>
        <v>Quindi prende una striscia di strass che mette meticolosamente e in collabora sulle unghie dipinte.</v>
      </c>
    </row>
    <row r="21161">
      <c r="A21161" s="4" t="s">
        <v>26643</v>
      </c>
      <c r="B21161" s="6" t="s">
        <v>26647</v>
      </c>
      <c r="C21161" s="5" t="str">
        <f>IFERROR(__xludf.DUMMYFUNCTION("GOOGLETRANSLATE(B21161,""en"",""it"")"),"Quindi ricopre le unghie e i strass con uno strato di smalto neutro per fissare i strass.")</f>
        <v>Quindi ricopre le unghie e i strass con uno strato di smalto neutro per fissare i strass.</v>
      </c>
    </row>
    <row r="21162">
      <c r="A21162" s="4" t="s">
        <v>26643</v>
      </c>
      <c r="B21162" s="4" t="s">
        <v>26648</v>
      </c>
      <c r="C21162" s="5" t="str">
        <f>IFERROR(__xludf.DUMMYFUNCTION("GOOGLETRANSLATE(B21162,""en"",""it"")"),"Parla nella telecamera mentre due ragazzi si fermano dietro di lei cercando di partecipare al video tutorial.")</f>
        <v>Parla nella telecamera mentre due ragazzi si fermano dietro di lei cercando di partecipare al video tutorial.</v>
      </c>
    </row>
    <row r="21163">
      <c r="A21163" s="4" t="s">
        <v>26649</v>
      </c>
      <c r="B21163" s="4" t="s">
        <v>1487</v>
      </c>
      <c r="C21163" s="5" t="str">
        <f>IFERROR(__xludf.DUMMYFUNCTION("GOOGLETRANSLATE(B21163,""en"",""it"")"),"Vediamo una schermata del titolo di apertura.")</f>
        <v>Vediamo una schermata del titolo di apertura.</v>
      </c>
    </row>
    <row r="21164">
      <c r="A21164" s="4" t="s">
        <v>26649</v>
      </c>
      <c r="B21164" s="4" t="s">
        <v>26650</v>
      </c>
      <c r="C21164" s="5" t="str">
        <f>IFERROR(__xludf.DUMMYFUNCTION("GOOGLETRANSLATE(B21164,""en"",""it"")"),"Vediamo un uomo in una camicia arancione e girare per lanciare il martello oltre 80 km.")</f>
        <v>Vediamo un uomo in una camicia arancione e girare per lanciare il martello oltre 80 km.</v>
      </c>
    </row>
    <row r="21165">
      <c r="A21165" s="4" t="s">
        <v>26649</v>
      </c>
      <c r="B21165" s="4" t="s">
        <v>26651</v>
      </c>
      <c r="C21165" s="5" t="str">
        <f>IFERROR(__xludf.DUMMYFUNCTION("GOOGLETRANSLATE(B21165,""en"",""it"")"),"Successivamente vediamo un uomo in una camicia blu lanciare 73 km.")</f>
        <v>Successivamente vediamo un uomo in una camicia blu lanciare 73 km.</v>
      </c>
    </row>
    <row r="21166">
      <c r="A21166" s="4" t="s">
        <v>26649</v>
      </c>
      <c r="B21166" s="4" t="s">
        <v>26652</v>
      </c>
      <c r="C21166" s="5" t="str">
        <f>IFERROR(__xludf.DUMMYFUNCTION("GOOGLETRANSLATE(B21166,""en"",""it"")"),"Vediamo un uomo in una camicia bianca lanciare 75 km.")</f>
        <v>Vediamo un uomo in una camicia bianca lanciare 75 km.</v>
      </c>
    </row>
    <row r="21167">
      <c r="A21167" s="4" t="s">
        <v>26649</v>
      </c>
      <c r="B21167" s="4" t="s">
        <v>26653</v>
      </c>
      <c r="C21167" s="5" t="str">
        <f>IFERROR(__xludf.DUMMYFUNCTION("GOOGLETRANSLATE(B21167,""en"",""it"")"),"L'uomo in arancione va di nuovo e lancia 81 km.")</f>
        <v>L'uomo in arancione va di nuovo e lancia 81 km.</v>
      </c>
    </row>
    <row r="21168">
      <c r="A21168" s="4" t="s">
        <v>26654</v>
      </c>
      <c r="B21168" s="4" t="s">
        <v>26655</v>
      </c>
      <c r="C21168" s="5" t="str">
        <f>IFERROR(__xludf.DUMMYFUNCTION("GOOGLETRANSLATE(B21168,""en"",""it"")"),"Una ragazza che fa un tutorial per il trucco.")</f>
        <v>Una ragazza che fa un tutorial per il trucco.</v>
      </c>
    </row>
    <row r="21169">
      <c r="A21169" s="4" t="s">
        <v>26654</v>
      </c>
      <c r="B21169" s="4" t="s">
        <v>26656</v>
      </c>
      <c r="C21169" s="5" t="str">
        <f>IFERROR(__xludf.DUMMYFUNCTION("GOOGLETRANSLATE(B21169,""en"",""it"")"),"Comincia con l'ombretto.")</f>
        <v>Comincia con l'ombretto.</v>
      </c>
    </row>
    <row r="21170">
      <c r="A21170" s="4" t="s">
        <v>26654</v>
      </c>
      <c r="B21170" s="4" t="s">
        <v>26657</v>
      </c>
      <c r="C21170" s="5" t="str">
        <f>IFERROR(__xludf.DUMMYFUNCTION("GOOGLETRANSLATE(B21170,""en"",""it"")"),"Si distrae un po 'e inizia a parlare con qualcun altro nella stanza.")</f>
        <v>Si distrae un po 'e inizia a parlare con qualcun altro nella stanza.</v>
      </c>
    </row>
    <row r="21171">
      <c r="A21171" s="4" t="s">
        <v>26654</v>
      </c>
      <c r="B21171" s="4" t="s">
        <v>26658</v>
      </c>
      <c r="C21171" s="5" t="str">
        <f>IFERROR(__xludf.DUMMYFUNCTION("GOOGLETRANSLATE(B21171,""en"",""it"")"),"Quindi finisce l'altro occhio e ride un po '.")</f>
        <v>Quindi finisce l'altro occhio e ride un po '.</v>
      </c>
    </row>
    <row r="21172">
      <c r="A21172" s="4" t="s">
        <v>26659</v>
      </c>
      <c r="B21172" s="4" t="s">
        <v>26660</v>
      </c>
      <c r="C21172" s="5" t="str">
        <f>IFERROR(__xludf.DUMMYFUNCTION("GOOGLETRANSLATE(B21172,""en"",""it"")"),"Una persona viene vista sdraiata su un lungo filo e si fa strada fino alla fine.")</f>
        <v>Una persona viene vista sdraiata su un lungo filo e si fa strada fino alla fine.</v>
      </c>
    </row>
    <row r="21173">
      <c r="A21173" s="4" t="s">
        <v>26659</v>
      </c>
      <c r="B21173" s="4" t="s">
        <v>26661</v>
      </c>
      <c r="C21173" s="5" t="str">
        <f>IFERROR(__xludf.DUMMYFUNCTION("GOOGLETRANSLATE(B21173,""en"",""it"")"),"Tenta di sfogliare di nuovo la corda ma fallisce e si fa male.")</f>
        <v>Tenta di sfogliare di nuovo la corda ma fallisce e si fa male.</v>
      </c>
    </row>
    <row r="21174">
      <c r="A21174" s="4" t="s">
        <v>26659</v>
      </c>
      <c r="B21174" s="4" t="s">
        <v>26662</v>
      </c>
      <c r="C21174" s="5" t="str">
        <f>IFERROR(__xludf.DUMMYFUNCTION("GOOGLETRANSLATE(B21174,""en"",""it"")"),"Diversi altri uomini vengono visti guardare dai lati quando si scivolano di nuovo.")</f>
        <v>Diversi altri uomini vengono visti guardare dai lati quando si scivolano di nuovo.</v>
      </c>
    </row>
    <row r="21175">
      <c r="A21175" s="4" t="s">
        <v>26659</v>
      </c>
      <c r="B21175" s="6" t="s">
        <v>26663</v>
      </c>
      <c r="C21175" s="5" t="str">
        <f>IFERROR(__xludf.DUMMYFUNCTION("GOOGLETRANSLATE(B21175,""en"",""it"")"),"Un altro uomo viene visto fare un capovolgimento su una roccia e vengono mostrati più colpi che camminano e saltano sulla corda.")</f>
        <v>Un altro uomo viene visto fare un capovolgimento su una roccia e vengono mostrati più colpi che camminano e saltano sulla corda.</v>
      </c>
    </row>
    <row r="21176">
      <c r="A21176" s="4" t="s">
        <v>26664</v>
      </c>
      <c r="B21176" s="4" t="s">
        <v>26665</v>
      </c>
      <c r="C21176" s="5" t="str">
        <f>IFERROR(__xludf.DUMMYFUNCTION("GOOGLETRANSLATE(B21176,""en"",""it"")"),"Diversi uomini e donne sono fuori su una scimmia adulta in argento che si arrampicano.")</f>
        <v>Diversi uomini e donne sono fuori su una scimmia adulta in argento che si arrampicano.</v>
      </c>
    </row>
    <row r="21177">
      <c r="A21177" s="4" t="s">
        <v>26664</v>
      </c>
      <c r="B21177" s="4" t="s">
        <v>26666</v>
      </c>
      <c r="C21177" s="5" t="str">
        <f>IFERROR(__xludf.DUMMYFUNCTION("GOOGLETRANSLATE(B21177,""en"",""it"")"),"Dopo aver finito tutti, le persone scendono e sono tornate per fare un altro set sulle barre delle scimmie.")</f>
        <v>Dopo aver finito tutti, le persone scendono e sono tornate per fare un altro set sulle barre delle scimmie.</v>
      </c>
    </row>
    <row r="21178">
      <c r="A21178" s="4" t="s">
        <v>26664</v>
      </c>
      <c r="B21178" s="6" t="s">
        <v>26667</v>
      </c>
      <c r="C21178" s="5" t="str">
        <f>IFERROR(__xludf.DUMMYFUNCTION("GOOGLETRANSLATE(B21178,""en"",""it"")"),"In lontananza, più persone provengono dal sentiero e un ragazzo viene mostrato che attraversa le barre prima che vengano mostrati un gruppo di immagini di loro che svolgono diverse attività.")</f>
        <v>In lontananza, più persone provengono dal sentiero e un ragazzo viene mostrato che attraversa le barre prima che vengano mostrati un gruppo di immagini di loro che svolgono diverse attività.</v>
      </c>
    </row>
    <row r="21179">
      <c r="A21179" s="4" t="s">
        <v>26668</v>
      </c>
      <c r="B21179" s="4" t="s">
        <v>26669</v>
      </c>
      <c r="C21179" s="5" t="str">
        <f>IFERROR(__xludf.DUMMYFUNCTION("GOOGLETRANSLATE(B21179,""en"",""it"")"),"Una persona mette una lente a contatto nell'occhio destro.")</f>
        <v>Una persona mette una lente a contatto nell'occhio destro.</v>
      </c>
    </row>
    <row r="21180">
      <c r="A21180" s="4" t="s">
        <v>26668</v>
      </c>
      <c r="B21180" s="4" t="s">
        <v>26670</v>
      </c>
      <c r="C21180" s="5" t="str">
        <f>IFERROR(__xludf.DUMMYFUNCTION("GOOGLETRANSLATE(B21180,""en"",""it"")"),"Quindi, la persona mette una lente a contatto nell'occhio sinistro.")</f>
        <v>Quindi, la persona mette una lente a contatto nell'occhio sinistro.</v>
      </c>
    </row>
    <row r="21181">
      <c r="A21181" s="4" t="s">
        <v>26671</v>
      </c>
      <c r="B21181" s="4" t="s">
        <v>26672</v>
      </c>
      <c r="C21181" s="5" t="str">
        <f>IFERROR(__xludf.DUMMYFUNCTION("GOOGLETRANSLATE(B21181,""en"",""it"")"),"Un uomo è in piedi di fronte a un altro uomo mentre qualcuno regola il tavolo tra di loro.")</f>
        <v>Un uomo è in piedi di fronte a un altro uomo mentre qualcuno regola il tavolo tra di loro.</v>
      </c>
    </row>
    <row r="21182">
      <c r="A21182" s="4" t="s">
        <v>26671</v>
      </c>
      <c r="B21182" s="4" t="s">
        <v>26673</v>
      </c>
      <c r="C21182" s="5" t="str">
        <f>IFERROR(__xludf.DUMMYFUNCTION("GOOGLETRANSLATE(B21182,""en"",""it"")"),"Gli uomini chiudono le braccia e iniziano a armare il lotta.")</f>
        <v>Gli uomini chiudono le braccia e iniziano a armare il lotta.</v>
      </c>
    </row>
    <row r="21183">
      <c r="A21183" s="4" t="s">
        <v>26671</v>
      </c>
      <c r="B21183" s="4" t="s">
        <v>26674</v>
      </c>
      <c r="C21183" s="5" t="str">
        <f>IFERROR(__xludf.DUMMYFUNCTION("GOOGLETRANSLATE(B21183,""en"",""it"")"),"Spingono e tirano forte, cercando di vincere.")</f>
        <v>Spingono e tirano forte, cercando di vincere.</v>
      </c>
    </row>
    <row r="21184">
      <c r="A21184" s="4" t="s">
        <v>26671</v>
      </c>
      <c r="B21184" s="4" t="s">
        <v>26675</v>
      </c>
      <c r="C21184" s="5" t="str">
        <f>IFERROR(__xludf.DUMMYFUNCTION("GOOGLETRANSLATE(B21184,""en"",""it"")"),"All'improvviso iniziano a pugni a vicenda, scoppiando in un combattimento.")</f>
        <v>All'improvviso iniziano a pugni a vicenda, scoppiando in un combattimento.</v>
      </c>
    </row>
    <row r="21185">
      <c r="A21185" s="4" t="s">
        <v>26671</v>
      </c>
      <c r="B21185" s="4" t="s">
        <v>26676</v>
      </c>
      <c r="C21185" s="5" t="str">
        <f>IFERROR(__xludf.DUMMYFUNCTION("GOOGLETRANSLATE(B21185,""en"",""it"")"),"Uno inizia a cadere dopo un pugno.")</f>
        <v>Uno inizia a cadere dopo un pugno.</v>
      </c>
    </row>
    <row r="21186">
      <c r="A21186" s="4" t="s">
        <v>26677</v>
      </c>
      <c r="B21186" s="4" t="s">
        <v>26678</v>
      </c>
      <c r="C21186" s="5" t="str">
        <f>IFERROR(__xludf.DUMMYFUNCTION("GOOGLETRANSLATE(B21186,""en"",""it"")"),"Viene visualizzata una schermata introduttiva bianca e le lettere rosse in una lingua straniera appaiono lampeggianti sullo schermo.")</f>
        <v>Viene visualizzata una schermata introduttiva bianca e le lettere rosse in una lingua straniera appaiono lampeggianti sullo schermo.</v>
      </c>
    </row>
    <row r="21187">
      <c r="A21187" s="4" t="s">
        <v>26677</v>
      </c>
      <c r="B21187" s="6" t="s">
        <v>26679</v>
      </c>
      <c r="C21187" s="5" t="str">
        <f>IFERROR(__xludf.DUMMYFUNCTION("GOOGLETRANSLATE(B21187,""en"",""it"")"),"Una ciotola bianca riempita con acqua e 3 patate appaiono in una ciotola e i cubetti di ghiaccio sono in un'altra ciotola bianca.")</f>
        <v>Una ciotola bianca riempita con acqua e 3 patate appaiono in una ciotola e i cubetti di ghiaccio sono in un'altra ciotola bianca.</v>
      </c>
    </row>
    <row r="21188">
      <c r="A21188" s="4" t="s">
        <v>26677</v>
      </c>
      <c r="B21188" s="6" t="s">
        <v>26680</v>
      </c>
      <c r="C21188" s="5" t="str">
        <f>IFERROR(__xludf.DUMMYFUNCTION("GOOGLETRANSLATE(B21188,""en"",""it"")"),"Una mano quindi afferra la patata superiore, la ciotola di cubetti di ghiaccio e versa i cubetti in una ciotola bianca più grande che ha già acqua.")</f>
        <v>Una mano quindi afferra la patata superiore, la ciotola di cubetti di ghiaccio e versa i cubetti in una ciotola bianca più grande che ha già acqua.</v>
      </c>
    </row>
    <row r="21189">
      <c r="A21189" s="4" t="s">
        <v>26677</v>
      </c>
      <c r="B21189" s="6" t="s">
        <v>26681</v>
      </c>
      <c r="C21189" s="5" t="str">
        <f>IFERROR(__xludf.DUMMYFUNCTION("GOOGLETRANSLATE(B21189,""en"",""it"")"),"Le due mani ora lasciano cadere la patata nella ciotola più grande con i cubetti di ghiaccio e l'acqua e le dita iniziano a staccare tutta la pelle sotto l'acqua e quando tutte le bucce sono sparite la patata viene posizionata su un piatto bianco pulito.")</f>
        <v>Le due mani ora lasciano cadere la patata nella ciotola più grande con i cubetti di ghiaccio e l'acqua e le dita iniziano a staccare tutta la pelle sotto l'acqua e quando tutte le bucce sono sparite la patata viene posizionata su un piatto bianco pulito.</v>
      </c>
    </row>
    <row r="21190">
      <c r="A21190" s="4" t="s">
        <v>26677</v>
      </c>
      <c r="B21190" s="4" t="s">
        <v>26682</v>
      </c>
      <c r="C21190" s="5" t="str">
        <f>IFERROR(__xludf.DUMMYFUNCTION("GOOGLETRANSLATE(B21190,""en"",""it"")"),"Appare lo schermo Outro White e compaiono più lettere rosse straniere.")</f>
        <v>Appare lo schermo Outro White e compaiono più lettere rosse straniere.</v>
      </c>
    </row>
    <row r="21191">
      <c r="A21191" s="4" t="s">
        <v>26683</v>
      </c>
      <c r="B21191" s="4" t="s">
        <v>26684</v>
      </c>
      <c r="C21191" s="5" t="str">
        <f>IFERROR(__xludf.DUMMYFUNCTION("GOOGLETRANSLATE(B21191,""en"",""it"")"),"Vediamo il titolo che ci presenta a Jesse.")</f>
        <v>Vediamo il titolo che ci presenta a Jesse.</v>
      </c>
    </row>
    <row r="21192">
      <c r="A21192" s="4" t="s">
        <v>26683</v>
      </c>
      <c r="B21192" s="4" t="s">
        <v>26685</v>
      </c>
      <c r="C21192" s="5" t="str">
        <f>IFERROR(__xludf.DUMMYFUNCTION("GOOGLETRANSLATE(B21192,""en"",""it"")"),"Jesse il cane corre e cattura Frisbee.")</f>
        <v>Jesse il cane corre e cattura Frisbee.</v>
      </c>
    </row>
    <row r="21193">
      <c r="A21193" s="4" t="s">
        <v>26683</v>
      </c>
      <c r="B21193" s="4" t="s">
        <v>26686</v>
      </c>
      <c r="C21193" s="5" t="str">
        <f>IFERROR(__xludf.DUMMYFUNCTION("GOOGLETRANSLATE(B21193,""en"",""it"")"),"Vediamo Jesse da vicino nella fotocamera.")</f>
        <v>Vediamo Jesse da vicino nella fotocamera.</v>
      </c>
    </row>
    <row r="21194">
      <c r="A21194" s="4" t="s">
        <v>26683</v>
      </c>
      <c r="B21194" s="4" t="s">
        <v>26687</v>
      </c>
      <c r="C21194" s="5" t="str">
        <f>IFERROR(__xludf.DUMMYFUNCTION("GOOGLETRANSLATE(B21194,""en"",""it"")"),"Jesse corre in giro catturando il frisbee che la signora lancia.")</f>
        <v>Jesse corre in giro catturando il frisbee che la signora lancia.</v>
      </c>
    </row>
    <row r="21195">
      <c r="A21195" s="4" t="s">
        <v>26683</v>
      </c>
      <c r="B21195" s="4" t="s">
        <v>26688</v>
      </c>
      <c r="C21195" s="5" t="str">
        <f>IFERROR(__xludf.DUMMYFUNCTION("GOOGLETRANSLATE(B21195,""en"",""it"")"),"Vediamo cinque tiri ancora di Jesse che salta in aria.")</f>
        <v>Vediamo cinque tiri ancora di Jesse che salta in aria.</v>
      </c>
    </row>
    <row r="21196">
      <c r="A21196" s="4" t="s">
        <v>26683</v>
      </c>
      <c r="B21196" s="4" t="s">
        <v>26689</v>
      </c>
      <c r="C21196" s="5" t="str">
        <f>IFERROR(__xludf.DUMMYFUNCTION("GOOGLETRANSLATE(B21196,""en"",""it"")"),"Jesse continua a correre con il suo frisbee.")</f>
        <v>Jesse continua a correre con il suo frisbee.</v>
      </c>
    </row>
    <row r="21197">
      <c r="A21197" s="4" t="s">
        <v>26683</v>
      </c>
      <c r="B21197" s="4" t="s">
        <v>26690</v>
      </c>
      <c r="C21197" s="5" t="str">
        <f>IFERROR(__xludf.DUMMYFUNCTION("GOOGLETRANSLATE(B21197,""en"",""it"")"),"Vediamo i crediti finali su uno schermo nero.")</f>
        <v>Vediamo i crediti finali su uno schermo nero.</v>
      </c>
    </row>
    <row r="21198">
      <c r="A21198" s="4" t="s">
        <v>26691</v>
      </c>
      <c r="B21198" s="4" t="s">
        <v>26692</v>
      </c>
      <c r="C21198" s="5" t="str">
        <f>IFERROR(__xludf.DUMMYFUNCTION("GOOGLETRANSLATE(B21198,""en"",""it"")"),"Una donna viene mostrata si prepara a sollevare un bilanciere in aria.")</f>
        <v>Una donna viene mostrata si prepara a sollevare un bilanciere in aria.</v>
      </c>
    </row>
    <row r="21199">
      <c r="A21199" s="4" t="s">
        <v>26691</v>
      </c>
      <c r="B21199" s="4" t="s">
        <v>26693</v>
      </c>
      <c r="C21199" s="5" t="str">
        <f>IFERROR(__xludf.DUMMYFUNCTION("GOOGLETRANSLATE(B21199,""en"",""it"")"),"Lo solleva in aria e sopra la sua testa.")</f>
        <v>Lo solleva in aria e sopra la sua testa.</v>
      </c>
    </row>
    <row r="21200">
      <c r="A21200" s="4" t="s">
        <v>26691</v>
      </c>
      <c r="B21200" s="4" t="s">
        <v>26694</v>
      </c>
      <c r="C21200" s="5" t="str">
        <f>IFERROR(__xludf.DUMMYFUNCTION("GOOGLETRANSLATE(B21200,""en"",""it"")"),"Lascia cadere il bilanciere a terra.")</f>
        <v>Lascia cadere il bilanciere a terra.</v>
      </c>
    </row>
    <row r="21201">
      <c r="A21201" s="4" t="s">
        <v>26691</v>
      </c>
      <c r="B21201" s="4" t="s">
        <v>26695</v>
      </c>
      <c r="C21201" s="5" t="str">
        <f>IFERROR(__xludf.DUMMYFUNCTION("GOOGLETRANSLATE(B21201,""en"",""it"")"),"Si inchina per la folla e li fa un bacio.")</f>
        <v>Si inchina per la folla e li fa un bacio.</v>
      </c>
    </row>
    <row r="21202">
      <c r="A21202" s="4" t="s">
        <v>26691</v>
      </c>
      <c r="B21202" s="4" t="s">
        <v>26696</v>
      </c>
      <c r="C21202" s="5" t="str">
        <f>IFERROR(__xludf.DUMMYFUNCTION("GOOGLETRANSLATE(B21202,""en"",""it"")"),"Quindi esce dal palco.")</f>
        <v>Quindi esce dal palco.</v>
      </c>
    </row>
    <row r="21203">
      <c r="A21203" s="4" t="s">
        <v>26697</v>
      </c>
      <c r="B21203" s="6" t="s">
        <v>26698</v>
      </c>
      <c r="C21203" s="5" t="str">
        <f>IFERROR(__xludf.DUMMYFUNCTION("GOOGLETRANSLATE(B21203,""en"",""it"")"),"Un uomo con un cappello a maglia nero parla alla telecamera mentre si trova davanti a un tavolo con oggetti e davanti a un camion giallo con una stella nera sulla porta.")</f>
        <v>Un uomo con un cappello a maglia nero parla alla telecamera mentre si trova davanti a un tavolo con oggetti e davanti a un camion giallo con una stella nera sulla porta.</v>
      </c>
    </row>
    <row r="21204">
      <c r="A21204" s="4" t="s">
        <v>26697</v>
      </c>
      <c r="B21204" s="6" t="s">
        <v>26699</v>
      </c>
      <c r="C21204" s="5" t="str">
        <f>IFERROR(__xludf.DUMMYFUNCTION("GOOGLETRANSLATE(B21204,""en"",""it"")"),"L'uomo raccoglie un pacchetto arancione dal tavolo e successivamente un pacchetto giallo più piccolo e un dispositivo arancione, tutto mentre parla.")</f>
        <v>L'uomo raccoglie un pacchetto arancione dal tavolo e successivamente un pacchetto giallo più piccolo e un dispositivo arancione, tutto mentre parla.</v>
      </c>
    </row>
    <row r="21205">
      <c r="A21205" s="4" t="s">
        <v>26697</v>
      </c>
      <c r="B21205" s="6" t="s">
        <v>26700</v>
      </c>
      <c r="C21205" s="5" t="str">
        <f>IFERROR(__xludf.DUMMYFUNCTION("GOOGLETRANSLATE(B21205,""en"",""it"")"),"L'uomo quindi posiziona il pacchetto giallo e il dispositivo arancione sul tavolo uno accanto all'altro su un tavolo di metallo.")</f>
        <v>L'uomo quindi posiziona il pacchetto giallo e il dispositivo arancione sul tavolo uno accanto all'altro su un tavolo di metallo.</v>
      </c>
    </row>
    <row r="21206">
      <c r="A21206" s="4" t="s">
        <v>26697</v>
      </c>
      <c r="B21206" s="6" t="s">
        <v>26701</v>
      </c>
      <c r="C21206" s="5" t="str">
        <f>IFERROR(__xludf.DUMMYFUNCTION("GOOGLETRANSLATE(B21206,""en"",""it"")"),"L'uomo quindi prende una piastra di metallo, lo mette a testa in giù e inizia un fuoco su di esso usando i materiali nel pacchetto, prima di tornare per parlare di nuovo con la fotocamera.")</f>
        <v>L'uomo quindi prende una piastra di metallo, lo mette a testa in giù e inizia un fuoco su di esso usando i materiali nel pacchetto, prima di tornare per parlare di nuovo con la fotocamera.</v>
      </c>
    </row>
    <row r="21207">
      <c r="A21207" s="4" t="s">
        <v>26702</v>
      </c>
      <c r="B21207" s="4" t="s">
        <v>26703</v>
      </c>
      <c r="C21207" s="5" t="str">
        <f>IFERROR(__xludf.DUMMYFUNCTION("GOOGLETRANSLATE(B21207,""en"",""it"")"),"Una persona raccoglie un pennello e lattina di vernice su un prato esterno.")</f>
        <v>Una persona raccoglie un pennello e lattina di vernice su un prato esterno.</v>
      </c>
    </row>
    <row r="21208">
      <c r="A21208" s="4" t="s">
        <v>26702</v>
      </c>
      <c r="B21208" s="4" t="s">
        <v>26704</v>
      </c>
      <c r="C21208" s="5" t="str">
        <f>IFERROR(__xludf.DUMMYFUNCTION("GOOGLETRANSLATE(B21208,""en"",""it"")"),"La persona dipinge un cappotto varie assi che si appoggiano a una parete esterna di casa.")</f>
        <v>La persona dipinge un cappotto varie assi che si appoggiano a una parete esterna di casa.</v>
      </c>
    </row>
    <row r="21209">
      <c r="A21209" s="4" t="s">
        <v>26705</v>
      </c>
      <c r="B21209" s="4" t="s">
        <v>26706</v>
      </c>
      <c r="C21209" s="5" t="str">
        <f>IFERROR(__xludf.DUMMYFUNCTION("GOOGLETRANSLATE(B21209,""en"",""it"")"),"Viene mostrata una grande caduta d'acqua.")</f>
        <v>Viene mostrata una grande caduta d'acqua.</v>
      </c>
    </row>
    <row r="21210">
      <c r="A21210" s="4" t="s">
        <v>26705</v>
      </c>
      <c r="B21210" s="4" t="s">
        <v>26707</v>
      </c>
      <c r="C21210" s="5" t="str">
        <f>IFERROR(__xludf.DUMMYFUNCTION("GOOGLETRANSLATE(B21210,""en"",""it"")"),"Una persona va oltre la caduta d'acqua in un kayak verde.")</f>
        <v>Una persona va oltre la caduta d'acqua in un kayak verde.</v>
      </c>
    </row>
    <row r="21211">
      <c r="A21211" s="4" t="s">
        <v>26705</v>
      </c>
      <c r="B21211" s="4" t="s">
        <v>26708</v>
      </c>
      <c r="C21211" s="5" t="str">
        <f>IFERROR(__xludf.DUMMYFUNCTION("GOOGLETRANSLATE(B21211,""en"",""it"")"),"Le persone sono in piedi sulle rocce sopra l'acqua a guardare.")</f>
        <v>Le persone sono in piedi sulle rocce sopra l'acqua a guardare.</v>
      </c>
    </row>
    <row r="21212">
      <c r="A21212" s="4" t="s">
        <v>26709</v>
      </c>
      <c r="B21212" s="4" t="s">
        <v>26710</v>
      </c>
      <c r="C21212" s="5" t="str">
        <f>IFERROR(__xludf.DUMMYFUNCTION("GOOGLETRANSLATE(B21212,""en"",""it"")"),"Una persona sta mettendo il cibo in una ciotola.")</f>
        <v>Una persona sta mettendo il cibo in una ciotola.</v>
      </c>
    </row>
    <row r="21213">
      <c r="A21213" s="4" t="s">
        <v>26709</v>
      </c>
      <c r="B21213" s="4" t="s">
        <v>26711</v>
      </c>
      <c r="C21213" s="5" t="str">
        <f>IFERROR(__xludf.DUMMYFUNCTION("GOOGLETRANSLATE(B21213,""en"",""it"")"),"Si rompono un dado e lo mettono nella ciotola.")</f>
        <v>Si rompono un dado e lo mettono nella ciotola.</v>
      </c>
    </row>
    <row r="21214">
      <c r="A21214" s="4" t="s">
        <v>26709</v>
      </c>
      <c r="B21214" s="4" t="s">
        <v>26712</v>
      </c>
      <c r="C21214" s="5" t="str">
        <f>IFERROR(__xludf.DUMMYFUNCTION("GOOGLETRANSLATE(B21214,""en"",""it"")"),"Rompono un altro dado sopra un vassoio nero.")</f>
        <v>Rompono un altro dado sopra un vassoio nero.</v>
      </c>
    </row>
    <row r="21215">
      <c r="A21215" s="4" t="s">
        <v>26713</v>
      </c>
      <c r="B21215" s="6" t="s">
        <v>26714</v>
      </c>
      <c r="C21215" s="5" t="str">
        <f>IFERROR(__xludf.DUMMYFUNCTION("GOOGLETRANSLATE(B21215,""en"",""it"")"),"La donna si inginocchia sul pavimento a parlare con la fotocamera con una scivolata di curva e la apre nel soggiorno.")</f>
        <v>La donna si inginocchia sul pavimento a parlare con la fotocamera con una scivolata di curva e la apre nel soggiorno.</v>
      </c>
    </row>
    <row r="21216">
      <c r="A21216" s="4" t="s">
        <v>26713</v>
      </c>
      <c r="B21216" s="4" t="s">
        <v>26715</v>
      </c>
      <c r="C21216" s="5" t="str">
        <f>IFERROR(__xludf.DUMMYFUNCTION("GOOGLETRANSLATE(B21216,""en"",""it"")"),"Il cane sta camminando dietro la donna.")</f>
        <v>Il cane sta camminando dietro la donna.</v>
      </c>
    </row>
    <row r="21217">
      <c r="A21217" s="4" t="s">
        <v>26713</v>
      </c>
      <c r="B21217" s="4" t="s">
        <v>26716</v>
      </c>
      <c r="C21217" s="5" t="str">
        <f>IFERROR(__xludf.DUMMYFUNCTION("GOOGLETRANSLATE(B21217,""en"",""it"")"),"Il bambino sta camminando verso la donna e si arrampica sulla diapositiva.")</f>
        <v>Il bambino sta camminando verso la donna e si arrampica sulla diapositiva.</v>
      </c>
    </row>
    <row r="21218">
      <c r="A21218" s="4" t="s">
        <v>26717</v>
      </c>
      <c r="B21218" s="6" t="s">
        <v>26718</v>
      </c>
      <c r="C21218" s="5" t="str">
        <f>IFERROR(__xludf.DUMMYFUNCTION("GOOGLETRANSLATE(B21218,""en"",""it"")"),"Tre ragazze sono viste in piedi dietro un bancone che parla alla telecamera con uno che diffonde burro intorno a una padella.")</f>
        <v>Tre ragazze sono viste in piedi dietro un bancone che parla alla telecamera con uno che diffonde burro intorno a una padella.</v>
      </c>
    </row>
    <row r="21219">
      <c r="A21219" s="4" t="s">
        <v>26717</v>
      </c>
      <c r="B21219" s="6" t="s">
        <v>26719</v>
      </c>
      <c r="C21219" s="5" t="str">
        <f>IFERROR(__xludf.DUMMYFUNCTION("GOOGLETRANSLATE(B21219,""en"",""it"")"),"Un altro mescola gli ingredienti in una ciotola con l'aiuto di un'altra ragazza e le ragazze leccano il cucchiaio usato in seguito.")</f>
        <v>Un altro mescola gli ingredienti in una ciotola con l'aiuto di un'altra ragazza e le ragazze leccano il cucchiaio usato in seguito.</v>
      </c>
    </row>
    <row r="21220">
      <c r="A21220" s="4" t="s">
        <v>26717</v>
      </c>
      <c r="B21220" s="4" t="s">
        <v>26720</v>
      </c>
      <c r="C21220" s="5" t="str">
        <f>IFERROR(__xludf.DUMMYFUNCTION("GOOGLETRANSLATE(B21220,""en"",""it"")"),"Versano il composto in una padella, lo mettono nel forno, quindi prendono presto un po 'di tempo dopo.")</f>
        <v>Versano il composto in una padella, lo mettono nel forno, quindi prendono presto un po 'di tempo dopo.</v>
      </c>
    </row>
    <row r="21221">
      <c r="A21221" s="4" t="s">
        <v>26717</v>
      </c>
      <c r="B21221" s="6" t="s">
        <v>26721</v>
      </c>
      <c r="C21221" s="5" t="str">
        <f>IFERROR(__xludf.DUMMYFUNCTION("GOOGLETRANSLATE(B21221,""en"",""it"")"),"La glassa viene quindi vista su tutta la torta e la ragazza la diffuse e serve pezzi su un piatto, seguito da loro che mangiavano in un soggiorno.")</f>
        <v>La glassa viene quindi vista su tutta la torta e la ragazza la diffuse e serve pezzi su un piatto, seguito da loro che mangiavano in un soggiorno.</v>
      </c>
    </row>
    <row r="21222">
      <c r="A21222" s="4" t="s">
        <v>26722</v>
      </c>
      <c r="B21222" s="4" t="s">
        <v>26723</v>
      </c>
      <c r="C21222" s="5" t="str">
        <f>IFERROR(__xludf.DUMMYFUNCTION("GOOGLETRANSLATE(B21222,""en"",""it"")"),"Viene mostrata una grande macchina da esercizio.")</f>
        <v>Viene mostrata una grande macchina da esercizio.</v>
      </c>
    </row>
    <row r="21223">
      <c r="A21223" s="4" t="s">
        <v>26722</v>
      </c>
      <c r="B21223" s="4" t="s">
        <v>26724</v>
      </c>
      <c r="C21223" s="5" t="str">
        <f>IFERROR(__xludf.DUMMYFUNCTION("GOOGLETRANSLATE(B21223,""en"",""it"")"),"Un uomo si siede e inizia ad allenarti sulla macchina per l'esercizio.")</f>
        <v>Un uomo si siede e inizia ad allenarti sulla macchina per l'esercizio.</v>
      </c>
    </row>
    <row r="21224">
      <c r="A21224" s="4" t="s">
        <v>26725</v>
      </c>
      <c r="B21224" s="6" t="s">
        <v>26726</v>
      </c>
      <c r="C21224" s="5" t="str">
        <f>IFERROR(__xludf.DUMMYFUNCTION("GOOGLETRANSLATE(B21224,""en"",""it"")"),"Si vede un'auto seduta all'interno di un autolavaggio su una telecamera di sicurezza con stracci che si muovono su e giù per il veicolo.")</f>
        <v>Si vede un'auto seduta all'interno di un autolavaggio su una telecamera di sicurezza con stracci che si muovono su e giù per il veicolo.</v>
      </c>
    </row>
    <row r="21225">
      <c r="A21225" s="4" t="s">
        <v>26725</v>
      </c>
      <c r="B21225" s="6" t="s">
        <v>26727</v>
      </c>
      <c r="C21225" s="5" t="str">
        <f>IFERROR(__xludf.DUMMYFUNCTION("GOOGLETRANSLATE(B21225,""en"",""it"")"),"Un uomo apre quindi la sua porta che è seguita dalla macchina che toglie la porta e l'auto che guida.")</f>
        <v>Un uomo apre quindi la sua porta che è seguita dalla macchina che toglie la porta e l'auto che guida.</v>
      </c>
    </row>
    <row r="21226">
      <c r="A21226" s="4" t="s">
        <v>26728</v>
      </c>
      <c r="B21226" s="4" t="s">
        <v>26729</v>
      </c>
      <c r="C21226" s="5" t="str">
        <f>IFERROR(__xludf.DUMMYFUNCTION("GOOGLETRANSLATE(B21226,""en"",""it"")"),"Le persone stanno guidando giocando auto per paraurti.")</f>
        <v>Le persone stanno guidando giocando auto per paraurti.</v>
      </c>
    </row>
    <row r="21227">
      <c r="A21227" s="4" t="s">
        <v>26728</v>
      </c>
      <c r="B21227" s="4" t="s">
        <v>26730</v>
      </c>
      <c r="C21227" s="5" t="str">
        <f>IFERROR(__xludf.DUMMYFUNCTION("GOOGLETRANSLATE(B21227,""en"",""it"")"),"Un uomo deve aiutare a sbloccare le macchine.")</f>
        <v>Un uomo deve aiutare a sbloccare le macchine.</v>
      </c>
    </row>
    <row r="21228">
      <c r="A21228" s="4" t="s">
        <v>26731</v>
      </c>
      <c r="B21228" s="4" t="s">
        <v>26732</v>
      </c>
      <c r="C21228" s="5" t="str">
        <f>IFERROR(__xludf.DUMMYFUNCTION("GOOGLETRANSLATE(B21228,""en"",""it"")"),"Due persone cucinano in padelle sul forno.")</f>
        <v>Due persone cucinano in padelle sul forno.</v>
      </c>
    </row>
    <row r="21229">
      <c r="A21229" s="4" t="s">
        <v>26731</v>
      </c>
      <c r="B21229" s="4" t="s">
        <v>26733</v>
      </c>
      <c r="C21229" s="5" t="str">
        <f>IFERROR(__xludf.DUMMYFUNCTION("GOOGLETRANSLATE(B21229,""en"",""it"")"),"Due piatti di cibo sono sul bancone.")</f>
        <v>Due piatti di cibo sono sul bancone.</v>
      </c>
    </row>
    <row r="21230">
      <c r="A21230" s="4" t="s">
        <v>26731</v>
      </c>
      <c r="B21230" s="4" t="s">
        <v>13650</v>
      </c>
      <c r="C21230" s="5" t="str">
        <f>IFERROR(__xludf.DUMMYFUNCTION("GOOGLETRANSLATE(B21230,""en"",""it"")"),"Le parole arrivano sullo schermo.")</f>
        <v>Le parole arrivano sullo schermo.</v>
      </c>
    </row>
    <row r="21231">
      <c r="A21231" s="4" t="s">
        <v>26734</v>
      </c>
      <c r="B21231" s="4" t="s">
        <v>26735</v>
      </c>
      <c r="C21231" s="5" t="str">
        <f>IFERROR(__xludf.DUMMYFUNCTION("GOOGLETRANSLATE(B21231,""en"",""it"")"),"Un uomo viene visto per la prima volta parlare alla telecamera con domande di testo che gli vengono poste.")</f>
        <v>Un uomo viene visto per la prima volta parlare alla telecamera con domande di testo che gli vengono poste.</v>
      </c>
    </row>
    <row r="21232">
      <c r="A21232" s="4" t="s">
        <v>26734</v>
      </c>
      <c r="B21232" s="4" t="s">
        <v>26736</v>
      </c>
      <c r="C21232" s="5" t="str">
        <f>IFERROR(__xludf.DUMMYFUNCTION("GOOGLETRANSLATE(B21232,""en"",""it"")"),"Viene quindi visto mettere una pulizia sui denti e prendere un po 'di cibo.")</f>
        <v>Viene quindi visto mettere una pulizia sui denti e prendere un po 'di cibo.</v>
      </c>
    </row>
    <row r="21233">
      <c r="A21233" s="4" t="s">
        <v>26734</v>
      </c>
      <c r="B21233" s="4" t="s">
        <v>26737</v>
      </c>
      <c r="C21233" s="5" t="str">
        <f>IFERROR(__xludf.DUMMYFUNCTION("GOOGLETRANSLATE(B21233,""en"",""it"")"),"Continua a parlare alla telecamera mentre occasionalmente mangia cibo.")</f>
        <v>Continua a parlare alla telecamera mentre occasionalmente mangia cibo.</v>
      </c>
    </row>
    <row r="21234">
      <c r="A21234" s="4" t="s">
        <v>26738</v>
      </c>
      <c r="B21234" s="4" t="s">
        <v>26739</v>
      </c>
      <c r="C21234" s="5" t="str">
        <f>IFERROR(__xludf.DUMMYFUNCTION("GOOGLETRANSLATE(B21234,""en"",""it"")"),"C'è un uomo con una camicia rossa e un cappello marrone che soffia foglie dal suo vialetto con un soffiatore a foglia.")</f>
        <v>C'è un uomo con una camicia rossa e un cappello marrone che soffia foglie dal suo vialetto con un soffiatore a foglia.</v>
      </c>
    </row>
    <row r="21235">
      <c r="A21235" s="4" t="s">
        <v>26738</v>
      </c>
      <c r="B21235" s="4" t="s">
        <v>26740</v>
      </c>
      <c r="C21235" s="5" t="str">
        <f>IFERROR(__xludf.DUMMYFUNCTION("GOOGLETRANSLATE(B21235,""en"",""it"")"),"Comincia facendo esplodere le foglie da vicino al prato davanti.")</f>
        <v>Comincia facendo esplodere le foglie da vicino al prato davanti.</v>
      </c>
    </row>
    <row r="21236">
      <c r="A21236" s="4" t="s">
        <v>26738</v>
      </c>
      <c r="B21236" s="4" t="s">
        <v>26741</v>
      </c>
      <c r="C21236" s="5" t="str">
        <f>IFERROR(__xludf.DUMMYFUNCTION("GOOGLETRANSLATE(B21236,""en"",""it"")"),"Quindi si sposta verso dove è parcheggiato il suo furgone bianco.")</f>
        <v>Quindi si sposta verso dove è parcheggiato il suo furgone bianco.</v>
      </c>
    </row>
    <row r="21237">
      <c r="A21237" s="4" t="s">
        <v>26738</v>
      </c>
      <c r="B21237" s="4" t="s">
        <v>26742</v>
      </c>
      <c r="C21237" s="5" t="str">
        <f>IFERROR(__xludf.DUMMYFUNCTION("GOOGLETRANSLATE(B21237,""en"",""it"")"),"Cammina per tutto il vialetto e soffia le foglie, assicurandosi che copra l'intero vialetto.")</f>
        <v>Cammina per tutto il vialetto e soffia le foglie, assicurandosi che copra l'intero vialetto.</v>
      </c>
    </row>
    <row r="21238">
      <c r="A21238" s="4" t="s">
        <v>26738</v>
      </c>
      <c r="B21238" s="6" t="s">
        <v>26743</v>
      </c>
      <c r="C21238" s="5" t="str">
        <f>IFERROR(__xludf.DUMMYFUNCTION("GOOGLETRANSLATE(B21238,""en"",""it"")"),"Quindi va verso l'angolo del garage e fa esplodere una grande pila di foglie che si trova lì in un mucchio.")</f>
        <v>Quindi va verso l'angolo del garage e fa esplodere una grande pila di foglie che si trova lì in un mucchio.</v>
      </c>
    </row>
    <row r="21239">
      <c r="A21239" s="4" t="s">
        <v>26744</v>
      </c>
      <c r="B21239" s="4" t="s">
        <v>26745</v>
      </c>
      <c r="C21239" s="5" t="str">
        <f>IFERROR(__xludf.DUMMYFUNCTION("GOOGLETRANSLATE(B21239,""en"",""it"")"),"Un atleta di pista cammina lungo il sentiero.")</f>
        <v>Un atleta di pista cammina lungo il sentiero.</v>
      </c>
    </row>
    <row r="21240">
      <c r="A21240" s="4" t="s">
        <v>26744</v>
      </c>
      <c r="B21240" s="4" t="s">
        <v>26746</v>
      </c>
      <c r="C21240" s="5" t="str">
        <f>IFERROR(__xludf.DUMMYFUNCTION("GOOGLETRANSLATE(B21240,""en"",""it"")"),"Una partecipante femminile si prepara a correre.")</f>
        <v>Una partecipante femminile si prepara a correre.</v>
      </c>
    </row>
    <row r="21241">
      <c r="A21241" s="4" t="s">
        <v>26744</v>
      </c>
      <c r="B21241" s="4" t="s">
        <v>26747</v>
      </c>
      <c r="C21241" s="5" t="str">
        <f>IFERROR(__xludf.DUMMYFUNCTION("GOOGLETRANSLATE(B21241,""en"",""it"")"),"Corre con un giavellotto alle spalle, lanciandolo il più lontano possibile.")</f>
        <v>Corre con un giavellotto alle spalle, lanciandolo il più lontano possibile.</v>
      </c>
    </row>
    <row r="21242">
      <c r="A21242" s="4" t="s">
        <v>26744</v>
      </c>
      <c r="B21242" s="4" t="s">
        <v>26748</v>
      </c>
      <c r="C21242" s="5" t="str">
        <f>IFERROR(__xludf.DUMMYFUNCTION("GOOGLETRANSLATE(B21242,""en"",""it"")"),"Quindi scappa dal punto in pista.")</f>
        <v>Quindi scappa dal punto in pista.</v>
      </c>
    </row>
    <row r="21243">
      <c r="A21243" s="4" t="s">
        <v>26749</v>
      </c>
      <c r="B21243" s="6" t="s">
        <v>26750</v>
      </c>
      <c r="C21243" s="5" t="str">
        <f>IFERROR(__xludf.DUMMYFUNCTION("GOOGLETRANSLATE(B21243,""en"",""it"")"),"Diverse persone navigano con pagaie in acqua oceanica che navigano onde ruvide mentre gli spettatori guardano da barche e kayak.")</f>
        <v>Diverse persone navigano con pagaie in acqua oceanica che navigano onde ruvide mentre gli spettatori guardano da barche e kayak.</v>
      </c>
    </row>
    <row r="21244">
      <c r="A21244" s="4" t="s">
        <v>26749</v>
      </c>
      <c r="B21244" s="6" t="s">
        <v>26751</v>
      </c>
      <c r="C21244" s="5" t="str">
        <f>IFERROR(__xludf.DUMMYFUNCTION("GOOGLETRANSLATE(B21244,""en"",""it"")"),"Un uomo è remare su una tavola da surf in un corpo d'acqua, quando inizia a navigare sulle onde oceaniche usando la pagaia per navigare e guidare la tavola da surf.")</f>
        <v>Un uomo è remare su una tavola da surf in un corpo d'acqua, quando inizia a navigare sulle onde oceaniche usando la pagaia per navigare e guidare la tavola da surf.</v>
      </c>
    </row>
    <row r="21245">
      <c r="A21245" s="4" t="s">
        <v>26749</v>
      </c>
      <c r="B21245" s="6" t="s">
        <v>26752</v>
      </c>
      <c r="C21245" s="5" t="str">
        <f>IFERROR(__xludf.DUMMYFUNCTION("GOOGLETRANSLATE(B21245,""en"",""it"")"),"Un altro uomo viene mostrato in un abito rosso che esegue la stessa impresa con la pagaia insieme a un altro uomo con una camicia verde.")</f>
        <v>Un altro uomo viene mostrato in un abito rosso che esegue la stessa impresa con la pagaia insieme a un altro uomo con una camicia verde.</v>
      </c>
    </row>
    <row r="21246">
      <c r="A21246" s="4" t="s">
        <v>26749</v>
      </c>
      <c r="B21246" s="6" t="s">
        <v>26753</v>
      </c>
      <c r="C21246" s="5" t="str">
        <f>IFERROR(__xludf.DUMMYFUNCTION("GOOGLETRANSLATE(B21246,""en"",""it"")"),"Un altro uomo in è paddle surfboarding in un chiaro tipo di acqua blu prima che la scena passi di nuovo a altre persone più persone che navigano in onde grandi e ruvide con tavola da surf e pagaie.")</f>
        <v>Un altro uomo in è paddle surfboarding in un chiaro tipo di acqua blu prima che la scena passi di nuovo a altre persone più persone che navigano in onde grandi e ruvide con tavola da surf e pagaie.</v>
      </c>
    </row>
    <row r="21247">
      <c r="A21247" s="4" t="s">
        <v>26754</v>
      </c>
      <c r="B21247" s="6" t="s">
        <v>26755</v>
      </c>
      <c r="C21247" s="5" t="str">
        <f>IFERROR(__xludf.DUMMYFUNCTION("GOOGLETRANSLATE(B21247,""en"",""it"")"),"Un folto gruppo di persone è seduto mentre due uomini tirano fuori un tavolo e un uomo e una donna lo stanno.")</f>
        <v>Un folto gruppo di persone è seduto mentre due uomini tirano fuori un tavolo e un uomo e una donna lo stanno.</v>
      </c>
    </row>
    <row r="21248">
      <c r="A21248" s="4" t="s">
        <v>26754</v>
      </c>
      <c r="B21248" s="6" t="s">
        <v>26756</v>
      </c>
      <c r="C21248" s="5" t="str">
        <f>IFERROR(__xludf.DUMMYFUNCTION("GOOGLETRANSLATE(B21248,""en"",""it"")"),"L'uomo e la donna parlano alla folla ed eseguono una routine di tango mentre si trova sul tavolo per tutto il tempo.")</f>
        <v>L'uomo e la donna parlano alla folla ed eseguono una routine di tango mentre si trova sul tavolo per tutto il tempo.</v>
      </c>
    </row>
    <row r="21249">
      <c r="A21249" s="4" t="s">
        <v>26754</v>
      </c>
      <c r="B21249" s="4" t="s">
        <v>26757</v>
      </c>
      <c r="C21249" s="5" t="str">
        <f>IFERROR(__xludf.DUMMYFUNCTION("GOOGLETRANSLATE(B21249,""en"",""it"")"),"Le persone scendono dal tavolo e si inchinano al pubblico che applaudono e la fotocamera si faceva in giro.")</f>
        <v>Le persone scendono dal tavolo e si inchinano al pubblico che applaudono e la fotocamera si faceva in giro.</v>
      </c>
    </row>
    <row r="21250">
      <c r="A21250" s="4" t="s">
        <v>26758</v>
      </c>
      <c r="B21250" s="4" t="s">
        <v>26759</v>
      </c>
      <c r="C21250" s="5" t="str">
        <f>IFERROR(__xludf.DUMMYFUNCTION("GOOGLETRANSLATE(B21250,""en"",""it"")"),"Vari testo mostrati conducono in diverse clip di persone che oscillano su barre irregolari.")</f>
        <v>Vari testo mostrati conducono in diverse clip di persone che oscillano su barre irregolari.</v>
      </c>
    </row>
    <row r="21251">
      <c r="A21251" s="4" t="s">
        <v>26758</v>
      </c>
      <c r="B21251" s="4" t="s">
        <v>26760</v>
      </c>
      <c r="C21251" s="5" t="str">
        <f>IFERROR(__xludf.DUMMYFUNCTION("GOOGLETRANSLATE(B21251,""en"",""it"")"),"Sempre più ginnaste vengono mostrate saltando da una trave e su barre irregolari.")</f>
        <v>Sempre più ginnaste vengono mostrate saltando da una trave e su barre irregolari.</v>
      </c>
    </row>
    <row r="21252">
      <c r="A21252" s="4" t="s">
        <v>26758</v>
      </c>
      <c r="B21252" s="4" t="s">
        <v>26761</v>
      </c>
      <c r="C21252" s="5" t="str">
        <f>IFERROR(__xludf.DUMMYFUNCTION("GOOGLETRANSLATE(B21252,""en"",""it"")"),"Diverse donne sono mostrate indietro con questi trucchi.")</f>
        <v>Diverse donne sono mostrate indietro con questi trucchi.</v>
      </c>
    </row>
    <row r="21253">
      <c r="A21253" s="4" t="s">
        <v>26762</v>
      </c>
      <c r="B21253" s="6" t="s">
        <v>26763</v>
      </c>
      <c r="C21253" s="5" t="str">
        <f>IFERROR(__xludf.DUMMYFUNCTION("GOOGLETRANSLATE(B21253,""en"",""it"")"),"Una ballerina femminile si trova da sola in una stanza in studio che indossa un body viola con una gonna attaccata.")</f>
        <v>Una ballerina femminile si trova da sola in una stanza in studio che indossa un body viola con una gonna attaccata.</v>
      </c>
    </row>
    <row r="21254">
      <c r="A21254" s="4" t="s">
        <v>26762</v>
      </c>
      <c r="B21254" s="6" t="s">
        <v>26764</v>
      </c>
      <c r="C21254" s="5" t="str">
        <f>IFERROR(__xludf.DUMMYFUNCTION("GOOGLETRANSLATE(B21254,""en"",""it"")"),"Comincia a ballare con grazia in tutta la stanza facendo una serie di turni e calci mentre sulla punta delle dita dei piedi.")</f>
        <v>Comincia a ballare con grazia in tutta la stanza facendo una serie di turni e calci mentre sulla punta delle dita dei piedi.</v>
      </c>
    </row>
    <row r="21255">
      <c r="A21255" s="4" t="s">
        <v>26762</v>
      </c>
      <c r="B21255" s="4" t="s">
        <v>26765</v>
      </c>
      <c r="C21255" s="5" t="str">
        <f>IFERROR(__xludf.DUMMYFUNCTION("GOOGLETRANSLATE(B21255,""en"",""it"")"),"Alla fine, inizia a fare una serie di piccoli passi all'indietro e finisce nella posizione in cui ha iniziato.")</f>
        <v>Alla fine, inizia a fare una serie di piccoli passi all'indietro e finisce nella posizione in cui ha iniziato.</v>
      </c>
    </row>
    <row r="21256">
      <c r="A21256" s="4" t="s">
        <v>26766</v>
      </c>
      <c r="B21256" s="4" t="s">
        <v>26767</v>
      </c>
      <c r="C21256" s="5" t="str">
        <f>IFERROR(__xludf.DUMMYFUNCTION("GOOGLETRANSLATE(B21256,""en"",""it"")"),"Un uomo sul lato della strada che batteva su un vero tamburo.")</f>
        <v>Un uomo sul lato della strada che batteva su un vero tamburo.</v>
      </c>
    </row>
    <row r="21257">
      <c r="A21257" s="4" t="s">
        <v>26766</v>
      </c>
      <c r="B21257" s="4" t="s">
        <v>26768</v>
      </c>
      <c r="C21257" s="5" t="str">
        <f>IFERROR(__xludf.DUMMYFUNCTION("GOOGLETRANSLATE(B21257,""en"",""it"")"),"Le persone stanno in piedi ad aspettare un guardalo.")</f>
        <v>Le persone stanno in piedi ad aspettare un guardalo.</v>
      </c>
    </row>
    <row r="21258">
      <c r="A21258" s="4" t="s">
        <v>26766</v>
      </c>
      <c r="B21258" s="4" t="s">
        <v>26769</v>
      </c>
      <c r="C21258" s="5" t="str">
        <f>IFERROR(__xludf.DUMMYFUNCTION("GOOGLETRANSLATE(B21258,""en"",""it"")"),"Le auto stanno passando e continua a tamburo come se fosse normale.")</f>
        <v>Le auto stanno passando e continua a tamburo come se fosse normale.</v>
      </c>
    </row>
    <row r="21259">
      <c r="A21259" s="4" t="s">
        <v>26766</v>
      </c>
      <c r="B21259" s="4" t="s">
        <v>26770</v>
      </c>
      <c r="C21259" s="5" t="str">
        <f>IFERROR(__xludf.DUMMYFUNCTION("GOOGLETRANSLATE(B21259,""en"",""it"")"),"Si estende usando i piatti e tutto il resto.")</f>
        <v>Si estende usando i piatti e tutto il resto.</v>
      </c>
    </row>
    <row r="21260">
      <c r="A21260" s="4" t="s">
        <v>26771</v>
      </c>
      <c r="B21260" s="4" t="s">
        <v>26772</v>
      </c>
      <c r="C21260" s="5" t="str">
        <f>IFERROR(__xludf.DUMMYFUNCTION("GOOGLETRANSLATE(B21260,""en"",""it"")"),"Una donna sta accumulando i capelli di un manichino.")</f>
        <v>Una donna sta accumulando i capelli di un manichino.</v>
      </c>
    </row>
    <row r="21261">
      <c r="A21261" s="4" t="s">
        <v>26771</v>
      </c>
      <c r="B21261" s="4" t="s">
        <v>26773</v>
      </c>
      <c r="C21261" s="5" t="str">
        <f>IFERROR(__xludf.DUMMYFUNCTION("GOOGLETRANSLATE(B21261,""en"",""it"")"),"Rotola i capelli nei bigodini sopra la testa del manichino.")</f>
        <v>Rotola i capelli nei bigodini sopra la testa del manichino.</v>
      </c>
    </row>
    <row r="21262">
      <c r="A21262" s="4" t="s">
        <v>26771</v>
      </c>
      <c r="B21262" s="4" t="s">
        <v>26774</v>
      </c>
      <c r="C21262" s="5" t="str">
        <f>IFERROR(__xludf.DUMMYFUNCTION("GOOGLETRANSLATE(B21262,""en"",""it"")"),"Lei toglie i bigodini dai capelli e lo studia.")</f>
        <v>Lei toglie i bigodini dai capelli e lo studia.</v>
      </c>
    </row>
    <row r="21263">
      <c r="A21263" s="4" t="s">
        <v>26775</v>
      </c>
      <c r="B21263" s="4" t="s">
        <v>26776</v>
      </c>
      <c r="C21263" s="5" t="str">
        <f>IFERROR(__xludf.DUMMYFUNCTION("GOOGLETRANSLATE(B21263,""en"",""it"")"),"Le strisce di film sembrano rotolare sullo schermo.")</f>
        <v>Le strisce di film sembrano rotolare sullo schermo.</v>
      </c>
    </row>
    <row r="21264">
      <c r="A21264" s="4" t="s">
        <v>26775</v>
      </c>
      <c r="B21264" s="4" t="s">
        <v>26777</v>
      </c>
      <c r="C21264" s="5" t="str">
        <f>IFERROR(__xludf.DUMMYFUNCTION("GOOGLETRANSLATE(B21264,""en"",""it"")"),"Un uomo sta usando un palo di telescopi al fianco di un edificio.")</f>
        <v>Un uomo sta usando un palo di telescopi al fianco di un edificio.</v>
      </c>
    </row>
    <row r="21265">
      <c r="A21265" s="4" t="s">
        <v>26775</v>
      </c>
      <c r="B21265" s="4" t="s">
        <v>26778</v>
      </c>
      <c r="C21265" s="5" t="str">
        <f>IFERROR(__xludf.DUMMYFUNCTION("GOOGLETRANSLATE(B21265,""en"",""it"")"),"Lo allunga verso l'alto, quindi pulisce il lato dell'edificio con esso.")</f>
        <v>Lo allunga verso l'alto, quindi pulisce il lato dell'edificio con esso.</v>
      </c>
    </row>
    <row r="21266">
      <c r="A21266" s="4" t="s">
        <v>26775</v>
      </c>
      <c r="B21266" s="4" t="s">
        <v>26779</v>
      </c>
      <c r="C21266" s="5" t="str">
        <f>IFERROR(__xludf.DUMMYFUNCTION("GOOGLETRANSLATE(B21266,""en"",""it"")"),"Lo usa per pulire le finestre che sono più alte.")</f>
        <v>Lo usa per pulire le finestre che sono più alte.</v>
      </c>
    </row>
    <row r="21267">
      <c r="A21267" s="4" t="s">
        <v>26780</v>
      </c>
      <c r="B21267" s="4" t="s">
        <v>26781</v>
      </c>
      <c r="C21267" s="5" t="str">
        <f>IFERROR(__xludf.DUMMYFUNCTION("GOOGLETRANSLATE(B21267,""en"",""it"")"),"L'uomo in giacca rossa sta sciare sul pendio.")</f>
        <v>L'uomo in giacca rossa sta sciare sul pendio.</v>
      </c>
    </row>
    <row r="21268">
      <c r="A21268" s="4" t="s">
        <v>26780</v>
      </c>
      <c r="B21268" s="4" t="s">
        <v>26782</v>
      </c>
      <c r="C21268" s="5" t="str">
        <f>IFERROR(__xludf.DUMMYFUNCTION("GOOGLETRANSLATE(B21268,""en"",""it"")"),"L'uomo dentro sta sciare lungo il pendio è che le ginocchia si piegano.")</f>
        <v>L'uomo dentro sta sciare lungo il pendio è che le ginocchia si piegano.</v>
      </c>
    </row>
    <row r="21269">
      <c r="A21269" s="4" t="s">
        <v>26780</v>
      </c>
      <c r="B21269" s="4" t="s">
        <v>26783</v>
      </c>
      <c r="C21269" s="5" t="str">
        <f>IFERROR(__xludf.DUMMYFUNCTION("GOOGLETRANSLATE(B21269,""en"",""it"")"),"L'uomo sta sciare giù per la montagna.")</f>
        <v>L'uomo sta sciare giù per la montagna.</v>
      </c>
    </row>
    <row r="21270">
      <c r="A21270" s="4" t="s">
        <v>26784</v>
      </c>
      <c r="B21270" s="4" t="s">
        <v>26785</v>
      </c>
      <c r="C21270" s="5" t="str">
        <f>IFERROR(__xludf.DUMMYFUNCTION("GOOGLETRANSLATE(B21270,""en"",""it"")"),"Vediamo una persona seduta davanti a una scarpa che tiene una lattina con il pennello.")</f>
        <v>Vediamo una persona seduta davanti a una scarpa che tiene una lattina con il pennello.</v>
      </c>
    </row>
    <row r="21271">
      <c r="A21271" s="4" t="s">
        <v>26784</v>
      </c>
      <c r="B21271" s="4" t="s">
        <v>26786</v>
      </c>
      <c r="C21271" s="5" t="str">
        <f>IFERROR(__xludf.DUMMYFUNCTION("GOOGLETRANSLATE(B21271,""en"",""it"")"),"L'uomo toglie la parte superiore e spruzza le scarpe.")</f>
        <v>L'uomo toglie la parte superiore e spruzza le scarpe.</v>
      </c>
    </row>
    <row r="21272">
      <c r="A21272" s="4" t="s">
        <v>26784</v>
      </c>
      <c r="B21272" s="4" t="s">
        <v>26787</v>
      </c>
      <c r="C21272" s="5" t="str">
        <f>IFERROR(__xludf.DUMMYFUNCTION("GOOGLETRANSLATE(B21272,""en"",""it"")"),"L'uomo usa il pennello sulla scarpa per strofinare la scarpa.")</f>
        <v>L'uomo usa il pennello sulla scarpa per strofinare la scarpa.</v>
      </c>
    </row>
    <row r="21273">
      <c r="A21273" s="4" t="s">
        <v>26784</v>
      </c>
      <c r="B21273" s="4" t="s">
        <v>26788</v>
      </c>
      <c r="C21273" s="5" t="str">
        <f>IFERROR(__xludf.DUMMYFUNCTION("GOOGLETRANSLATE(B21273,""en"",""it"")"),"L'uomo mette la parte superiore sulla lattina.")</f>
        <v>L'uomo mette la parte superiore sulla lattina.</v>
      </c>
    </row>
    <row r="21274">
      <c r="A21274" s="4" t="s">
        <v>26784</v>
      </c>
      <c r="B21274" s="4" t="s">
        <v>26789</v>
      </c>
      <c r="C21274" s="5" t="str">
        <f>IFERROR(__xludf.DUMMYFUNCTION("GOOGLETRANSLATE(B21274,""en"",""it"")"),"L'uomo si alza e afferra la fotocamera.")</f>
        <v>L'uomo si alza e afferra la fotocamera.</v>
      </c>
    </row>
    <row r="21275">
      <c r="A21275" s="4" t="s">
        <v>26790</v>
      </c>
      <c r="B21275" s="4" t="s">
        <v>26791</v>
      </c>
      <c r="C21275" s="5" t="str">
        <f>IFERROR(__xludf.DUMMYFUNCTION("GOOGLETRANSLATE(B21275,""en"",""it"")"),"Le persone volano aquiloni sull'erba.")</f>
        <v>Le persone volano aquiloni sull'erba.</v>
      </c>
    </row>
    <row r="21276">
      <c r="A21276" s="4" t="s">
        <v>26790</v>
      </c>
      <c r="B21276" s="4" t="s">
        <v>26792</v>
      </c>
      <c r="C21276" s="5" t="str">
        <f>IFERROR(__xludf.DUMMYFUNCTION("GOOGLETRANSLATE(B21276,""en"",""it"")"),"Gli aquiloni sono mostrati nel cielo.")</f>
        <v>Gli aquiloni sono mostrati nel cielo.</v>
      </c>
    </row>
    <row r="21277">
      <c r="A21277" s="4" t="s">
        <v>26790</v>
      </c>
      <c r="B21277" s="4" t="s">
        <v>26793</v>
      </c>
      <c r="C21277" s="5" t="str">
        <f>IFERROR(__xludf.DUMMYFUNCTION("GOOGLETRANSLATE(B21277,""en"",""it"")"),"Una donna tiene in mano un ombrello viola.")</f>
        <v>Una donna tiene in mano un ombrello viola.</v>
      </c>
    </row>
    <row r="21278">
      <c r="A21278" s="4" t="s">
        <v>26790</v>
      </c>
      <c r="B21278" s="4" t="s">
        <v>26794</v>
      </c>
      <c r="C21278" s="5" t="str">
        <f>IFERROR(__xludf.DUMMYFUNCTION("GOOGLETRANSLATE(B21278,""en"",""it"")"),"Le persone camminano in un parco.")</f>
        <v>Le persone camminano in un parco.</v>
      </c>
    </row>
    <row r="21279">
      <c r="A21279" s="4" t="s">
        <v>26795</v>
      </c>
      <c r="B21279" s="4" t="s">
        <v>26796</v>
      </c>
      <c r="C21279" s="5" t="str">
        <f>IFERROR(__xludf.DUMMYFUNCTION("GOOGLETRANSLATE(B21279,""en"",""it"")"),"Un piatto bianco è seduto su un tavolo bianco in una cucina.")</f>
        <v>Un piatto bianco è seduto su un tavolo bianco in una cucina.</v>
      </c>
    </row>
    <row r="21280">
      <c r="A21280" s="4" t="s">
        <v>26795</v>
      </c>
      <c r="B21280" s="4" t="s">
        <v>26797</v>
      </c>
      <c r="C21280" s="5" t="str">
        <f>IFERROR(__xludf.DUMMYFUNCTION("GOOGLETRANSLATE(B21280,""en"",""it"")"),"Un bambino mette le fette di tacchino su due pezzi di pane bianco, quindi aggiunge una fetta di formaggio.")</f>
        <v>Un bambino mette le fette di tacchino su due pezzi di pane bianco, quindi aggiunge una fetta di formaggio.</v>
      </c>
    </row>
    <row r="21281">
      <c r="A21281" s="4" t="s">
        <v>26795</v>
      </c>
      <c r="B21281" s="4" t="s">
        <v>26798</v>
      </c>
      <c r="C21281" s="5" t="str">
        <f>IFERROR(__xludf.DUMMYFUNCTION("GOOGLETRANSLATE(B21281,""en"",""it"")"),"Alla fine aggiunge uno strato di frusta miracolosa.")</f>
        <v>Alla fine aggiunge uno strato di frusta miracolosa.</v>
      </c>
    </row>
    <row r="21282">
      <c r="A21282" s="4" t="s">
        <v>26795</v>
      </c>
      <c r="B21282" s="4" t="s">
        <v>26799</v>
      </c>
      <c r="C21282" s="5" t="str">
        <f>IFERROR(__xludf.DUMMYFUNCTION("GOOGLETRANSLATE(B21282,""en"",""it"")"),"Si sporge in avanti, prendendo un grosso morso del panino.")</f>
        <v>Si sporge in avanti, prendendo un grosso morso del panino.</v>
      </c>
    </row>
    <row r="21283">
      <c r="A21283" s="4" t="s">
        <v>26800</v>
      </c>
      <c r="B21283" s="4" t="s">
        <v>26801</v>
      </c>
      <c r="C21283" s="5" t="str">
        <f>IFERROR(__xludf.DUMMYFUNCTION("GOOGLETRANSLATE(B21283,""en"",""it"")"),"Due donne sono in campo con corde di salto.")</f>
        <v>Due donne sono in campo con corde di salto.</v>
      </c>
    </row>
    <row r="21284">
      <c r="A21284" s="4" t="s">
        <v>26800</v>
      </c>
      <c r="B21284" s="4" t="s">
        <v>26802</v>
      </c>
      <c r="C21284" s="5" t="str">
        <f>IFERROR(__xludf.DUMMYFUNCTION("GOOGLETRANSLATE(B21284,""en"",""it"")"),"Fanno diverse acrobazie mentre saltano le corde.")</f>
        <v>Fanno diverse acrobazie mentre saltano le corde.</v>
      </c>
    </row>
    <row r="21285">
      <c r="A21285" s="4" t="s">
        <v>26800</v>
      </c>
      <c r="B21285" s="4" t="s">
        <v>26803</v>
      </c>
      <c r="C21285" s="5" t="str">
        <f>IFERROR(__xludf.DUMMYFUNCTION("GOOGLETRANSLATE(B21285,""en"",""it"")"),"Si lanciano in avanti, all'indietro e lateralmente all'unisono.")</f>
        <v>Si lanciano in avanti, all'indietro e lateralmente all'unisono.</v>
      </c>
    </row>
    <row r="21286">
      <c r="A21286" s="4" t="s">
        <v>26804</v>
      </c>
      <c r="B21286" s="6" t="s">
        <v>26805</v>
      </c>
      <c r="C21286" s="5" t="str">
        <f>IFERROR(__xludf.DUMMYFUNCTION("GOOGLETRANSLATE(B21286,""en"",""it"")"),"Una ginnasta viene vista seduta davanti a una trave e inizia a eseguire una routine con un'altra persona attaccata alla sua metà inferiore.")</f>
        <v>Una ginnasta viene vista seduta davanti a una trave e inizia a eseguire una routine con un'altra persona attaccata alla sua metà inferiore.</v>
      </c>
    </row>
    <row r="21287">
      <c r="A21287" s="4" t="s">
        <v>26804</v>
      </c>
      <c r="B21287" s="4" t="s">
        <v>26806</v>
      </c>
      <c r="C21287" s="5" t="str">
        <f>IFERROR(__xludf.DUMMYFUNCTION("GOOGLETRANSLATE(B21287,""en"",""it"")"),"I due presenti sono una ginnasta su un bar e finiscono con loro che saltano via con le braccia.")</f>
        <v>I due presenti sono una ginnasta su un bar e finiscono con loro che saltano via con le braccia.</v>
      </c>
    </row>
    <row r="21288">
      <c r="A21288" s="4" t="s">
        <v>26807</v>
      </c>
      <c r="B21288" s="4" t="s">
        <v>26808</v>
      </c>
      <c r="C21288" s="5" t="str">
        <f>IFERROR(__xludf.DUMMYFUNCTION("GOOGLETRANSLATE(B21288,""en"",""it"")"),"Uno stilista maschio parla mentre leviga i capelli di una donna.")</f>
        <v>Uno stilista maschio parla mentre leviga i capelli di una donna.</v>
      </c>
    </row>
    <row r="21289">
      <c r="A21289" s="4" t="s">
        <v>26807</v>
      </c>
      <c r="B21289" s="4" t="s">
        <v>26809</v>
      </c>
      <c r="C21289" s="5" t="str">
        <f>IFERROR(__xludf.DUMMYFUNCTION("GOOGLETRANSLATE(B21289,""en"",""it"")"),"Quindi dimostra come tagliarsi e modellare i suoi capelli, tagliandoli mentre va.")</f>
        <v>Quindi dimostra come tagliarsi e modellare i suoi capelli, tagliandoli mentre va.</v>
      </c>
    </row>
    <row r="21290">
      <c r="A21290" s="4" t="s">
        <v>26807</v>
      </c>
      <c r="B21290" s="4" t="s">
        <v>26810</v>
      </c>
      <c r="C21290" s="5" t="str">
        <f>IFERROR(__xludf.DUMMYFUNCTION("GOOGLETRANSLATE(B21290,""en"",""it"")"),"Quando ha finito, le soffia i capelli e gli dà il suo stile finale.")</f>
        <v>Quando ha finito, le soffia i capelli e gli dà il suo stile finale.</v>
      </c>
    </row>
    <row r="21291">
      <c r="A21291" s="4" t="s">
        <v>26811</v>
      </c>
      <c r="B21291" s="4" t="s">
        <v>26812</v>
      </c>
      <c r="C21291" s="5" t="str">
        <f>IFERROR(__xludf.DUMMYFUNCTION("GOOGLETRANSLATE(B21291,""en"",""it"")"),"Vediamo il dito davanti alla fotocamera.")</f>
        <v>Vediamo il dito davanti alla fotocamera.</v>
      </c>
    </row>
    <row r="21292">
      <c r="A21292" s="4" t="s">
        <v>26811</v>
      </c>
      <c r="B21292" s="4" t="s">
        <v>26813</v>
      </c>
      <c r="C21292" s="5" t="str">
        <f>IFERROR(__xludf.DUMMYFUNCTION("GOOGLETRANSLATE(B21292,""en"",""it"")"),"Un uomo in verde cammina verso un campo da zucca.")</f>
        <v>Un uomo in verde cammina verso un campo da zucca.</v>
      </c>
    </row>
    <row r="21293">
      <c r="A21293" s="4" t="s">
        <v>26811</v>
      </c>
      <c r="B21293" s="4" t="s">
        <v>26814</v>
      </c>
      <c r="C21293" s="5" t="str">
        <f>IFERROR(__xludf.DUMMYFUNCTION("GOOGLETRANSLATE(B21293,""en"",""it"")"),"La luce si spegne e la stanza è scura.")</f>
        <v>La luce si spegne e la stanza è scura.</v>
      </c>
    </row>
    <row r="21294">
      <c r="A21294" s="4" t="s">
        <v>26811</v>
      </c>
      <c r="B21294" s="4" t="s">
        <v>26815</v>
      </c>
      <c r="C21294" s="5" t="str">
        <f>IFERROR(__xludf.DUMMYFUNCTION("GOOGLETRANSLATE(B21294,""en"",""it"")"),"L'uomo in verde cammina verso il centro del campo e colpisce la palla avanti e indietro.")</f>
        <v>L'uomo in verde cammina verso il centro del campo e colpisce la palla avanti e indietro.</v>
      </c>
    </row>
    <row r="21295">
      <c r="A21295" s="4" t="s">
        <v>26811</v>
      </c>
      <c r="B21295" s="4" t="s">
        <v>26816</v>
      </c>
      <c r="C21295" s="5" t="str">
        <f>IFERROR(__xludf.DUMMYFUNCTION("GOOGLETRANSLATE(B21295,""en"",""it"")"),"L'uomo finisce e cammina verso la telecamera.")</f>
        <v>L'uomo finisce e cammina verso la telecamera.</v>
      </c>
    </row>
    <row r="21296">
      <c r="A21296" s="4" t="s">
        <v>26817</v>
      </c>
      <c r="B21296" s="4" t="s">
        <v>26818</v>
      </c>
      <c r="C21296" s="5" t="str">
        <f>IFERROR(__xludf.DUMMYFUNCTION("GOOGLETRANSLATE(B21296,""en"",""it"")"),"Un bambino è visto seduto sul pavimento afferrare il gelato con le sue mani.")</f>
        <v>Un bambino è visto seduto sul pavimento afferrare il gelato con le sue mani.</v>
      </c>
    </row>
    <row r="21297">
      <c r="A21297" s="4" t="s">
        <v>26817</v>
      </c>
      <c r="B21297" s="4" t="s">
        <v>26819</v>
      </c>
      <c r="C21297" s="5" t="str">
        <f>IFERROR(__xludf.DUMMYFUNCTION("GOOGLETRANSLATE(B21297,""en"",""it"")"),"Il bambino quindi afferra un cucchiaio e continua a usare le mani per mangiare.")</f>
        <v>Il bambino quindi afferra un cucchiaio e continua a usare le mani per mangiare.</v>
      </c>
    </row>
    <row r="21298">
      <c r="A21298" s="4" t="s">
        <v>26820</v>
      </c>
      <c r="B21298" s="4" t="s">
        <v>26821</v>
      </c>
      <c r="C21298" s="5" t="str">
        <f>IFERROR(__xludf.DUMMYFUNCTION("GOOGLETRANSLATE(B21298,""en"",""it"")"),"Viene vista una donna parlare alla telecamera e conduce a buttare un barattolo di miele.")</f>
        <v>Viene vista una donna parlare alla telecamera e conduce a buttare un barattolo di miele.</v>
      </c>
    </row>
    <row r="21299">
      <c r="A21299" s="4" t="s">
        <v>26820</v>
      </c>
      <c r="B21299" s="4" t="s">
        <v>26822</v>
      </c>
      <c r="C21299" s="5" t="str">
        <f>IFERROR(__xludf.DUMMYFUNCTION("GOOGLETRANSLATE(B21299,""en"",""it"")"),"Continua a parlare e conduce nel suo miele di sfregamento sul viso.")</f>
        <v>Continua a parlare e conduce nel suo miele di sfregamento sul viso.</v>
      </c>
    </row>
    <row r="21300">
      <c r="A21300" s="4" t="s">
        <v>26820</v>
      </c>
      <c r="B21300" s="4" t="s">
        <v>26823</v>
      </c>
      <c r="C21300" s="5" t="str">
        <f>IFERROR(__xludf.DUMMYFUNCTION("GOOGLETRANSLATE(B21300,""en"",""it"")"),"Si asciuga dalla maschera e continua a parlare mentre sorride alla telecamera.")</f>
        <v>Si asciuga dalla maschera e continua a parlare mentre sorride alla telecamera.</v>
      </c>
    </row>
    <row r="21301">
      <c r="A21301" s="4" t="s">
        <v>26824</v>
      </c>
      <c r="B21301" s="4" t="s">
        <v>26825</v>
      </c>
      <c r="C21301" s="5" t="str">
        <f>IFERROR(__xludf.DUMMYFUNCTION("GOOGLETRANSLATE(B21301,""en"",""it"")"),"Viene mostrata una vista di un uomo che rimuove una pagaia da una recinzione.")</f>
        <v>Viene mostrata una vista di un uomo che rimuove una pagaia da una recinzione.</v>
      </c>
    </row>
    <row r="21302">
      <c r="A21302" s="4" t="s">
        <v>26824</v>
      </c>
      <c r="B21302" s="4" t="s">
        <v>26826</v>
      </c>
      <c r="C21302" s="5" t="str">
        <f>IFERROR(__xludf.DUMMYFUNCTION("GOOGLETRANSLATE(B21302,""en"",""it"")"),"Vediamo il suo viso mentre parla, prima che lui kayak lungo un ruscello molto sottile in acque aperte.")</f>
        <v>Vediamo il suo viso mentre parla, prima che lui kayak lungo un ruscello molto sottile in acque aperte.</v>
      </c>
    </row>
    <row r="21303">
      <c r="A21303" s="4" t="s">
        <v>26824</v>
      </c>
      <c r="B21303" s="4" t="s">
        <v>26827</v>
      </c>
      <c r="C21303" s="5" t="str">
        <f>IFERROR(__xludf.DUMMYFUNCTION("GOOGLETRANSLATE(B21303,""en"",""it"")"),"Usa il suo telefono quando arriva un'altra persona, poi video che sparano lungo il passaggio.")</f>
        <v>Usa il suo telefono quando arriva un'altra persona, poi video che sparano lungo il passaggio.</v>
      </c>
    </row>
    <row r="21304">
      <c r="A21304" s="4" t="s">
        <v>26828</v>
      </c>
      <c r="B21304" s="4" t="s">
        <v>26829</v>
      </c>
      <c r="C21304" s="5" t="str">
        <f>IFERROR(__xludf.DUMMYFUNCTION("GOOGLETRANSLATE(B21304,""en"",""it"")"),"Le persone stanno andando in bici da spin in palestra.")</f>
        <v>Le persone stanno andando in bici da spin in palestra.</v>
      </c>
    </row>
    <row r="21305">
      <c r="A21305" s="4" t="s">
        <v>26828</v>
      </c>
      <c r="B21305" s="4" t="s">
        <v>26830</v>
      </c>
      <c r="C21305" s="5" t="str">
        <f>IFERROR(__xludf.DUMMYFUNCTION("GOOGLETRANSLATE(B21305,""en"",""it"")"),"Due donne si stanno allenando sulle bici da esercizio.")</f>
        <v>Due donne si stanno allenando sulle bici da esercizio.</v>
      </c>
    </row>
    <row r="21306">
      <c r="A21306" s="4" t="s">
        <v>26828</v>
      </c>
      <c r="B21306" s="4" t="s">
        <v>26831</v>
      </c>
      <c r="C21306" s="5" t="str">
        <f>IFERROR(__xludf.DUMMYFUNCTION("GOOGLETRANSLATE(B21306,""en"",""it"")"),"Le parole gialle vengono sullo schermo.")</f>
        <v>Le parole gialle vengono sullo schermo.</v>
      </c>
    </row>
    <row r="21307">
      <c r="A21307" s="4" t="s">
        <v>26832</v>
      </c>
      <c r="B21307" s="6" t="s">
        <v>26833</v>
      </c>
      <c r="C21307" s="5" t="str">
        <f>IFERROR(__xludf.DUMMYFUNCTION("GOOGLETRANSLATE(B21307,""en"",""it"")"),"Viene mostrato un conto alla rovescia del testo che conduce a clip di lottatori di sumo che eseguono tiri impressionanti.")</f>
        <v>Viene mostrato un conto alla rovescia del testo che conduce a clip di lottatori di sumo che eseguono tiri impressionanti.</v>
      </c>
    </row>
    <row r="21308">
      <c r="A21308" s="4" t="s">
        <v>26832</v>
      </c>
      <c r="B21308" s="6" t="s">
        <v>26834</v>
      </c>
      <c r="C21308" s="5" t="str">
        <f>IFERROR(__xludf.DUMMYFUNCTION("GOOGLETRANSLATE(B21308,""en"",""it"")"),"Il video continua il conto alla rovescia quando vengono mostrati più scatti di lottatori di sumo che si combattono e le persone che guardano sul lato.")</f>
        <v>Il video continua il conto alla rovescia quando vengono mostrati più scatti di lottatori di sumo che si combattono e le persone che guardano sul lato.</v>
      </c>
    </row>
    <row r="21309">
      <c r="A21309" s="4" t="s">
        <v>26835</v>
      </c>
      <c r="B21309" s="4" t="s">
        <v>26836</v>
      </c>
      <c r="C21309" s="5" t="str">
        <f>IFERROR(__xludf.DUMMYFUNCTION("GOOGLETRANSLATE(B21309,""en"",""it"")"),"Una persona in un negozio di mobili parla di mobili popolari realizzati in legno di recupero.")</f>
        <v>Una persona in un negozio di mobili parla di mobili popolari realizzati in legno di recupero.</v>
      </c>
    </row>
    <row r="21310">
      <c r="A21310" s="4" t="s">
        <v>26835</v>
      </c>
      <c r="B21310" s="4" t="s">
        <v>26837</v>
      </c>
      <c r="C21310" s="5" t="str">
        <f>IFERROR(__xludf.DUMMYFUNCTION("GOOGLETRANSLATE(B21310,""en"",""it"")"),"Mostra il tipo di mobili rustico, contemporaneo e tradizionale che si trova nel suo negozio.")</f>
        <v>Mostra il tipo di mobili rustico, contemporaneo e tradizionale che si trova nel suo negozio.</v>
      </c>
    </row>
    <row r="21311">
      <c r="A21311" s="4" t="s">
        <v>26835</v>
      </c>
      <c r="B21311" s="4" t="s">
        <v>26838</v>
      </c>
      <c r="C21311" s="5" t="str">
        <f>IFERROR(__xludf.DUMMYFUNCTION("GOOGLETRANSLATE(B21311,""en"",""it"")"),"Mostra il legno recuperato di alta qualità e i diversi mobili fatti.")</f>
        <v>Mostra il legno recuperato di alta qualità e i diversi mobili fatti.</v>
      </c>
    </row>
    <row r="21312">
      <c r="A21312" s="4" t="s">
        <v>26839</v>
      </c>
      <c r="B21312" s="4" t="s">
        <v>26840</v>
      </c>
      <c r="C21312" s="5" t="str">
        <f>IFERROR(__xludf.DUMMYFUNCTION("GOOGLETRANSLATE(B21312,""en"",""it"")"),"Vediamo un titolo nell'angolo in alto a sinistra.")</f>
        <v>Vediamo un titolo nell'angolo in alto a sinistra.</v>
      </c>
    </row>
    <row r="21313">
      <c r="A21313" s="4" t="s">
        <v>26839</v>
      </c>
      <c r="B21313" s="4" t="s">
        <v>539</v>
      </c>
      <c r="C21313" s="5" t="str">
        <f>IFERROR(__xludf.DUMMYFUNCTION("GOOGLETRANSLATE(B21313,""en"",""it"")"),"Un uomo sta parlando con la telecamera.")</f>
        <v>Un uomo sta parlando con la telecamera.</v>
      </c>
    </row>
    <row r="21314">
      <c r="A21314" s="4" t="s">
        <v>26839</v>
      </c>
      <c r="B21314" s="4" t="s">
        <v>26841</v>
      </c>
      <c r="C21314" s="5" t="str">
        <f>IFERROR(__xludf.DUMMYFUNCTION("GOOGLETRANSLATE(B21314,""en"",""it"")"),"L'uomo perfora gli armadietti e si asciuga e li dipinge.")</f>
        <v>L'uomo perfora gli armadietti e si asciuga e li dipinge.</v>
      </c>
    </row>
    <row r="21315">
      <c r="A21315" s="4" t="s">
        <v>26839</v>
      </c>
      <c r="B21315" s="4" t="s">
        <v>26842</v>
      </c>
      <c r="C21315" s="5" t="str">
        <f>IFERROR(__xludf.DUMMYFUNCTION("GOOGLETRANSLATE(B21315,""en"",""it"")"),"Gli armadietti asciugano e l'uomo li asciuga.")</f>
        <v>Gli armadietti asciugano e l'uomo li asciuga.</v>
      </c>
    </row>
    <row r="21316">
      <c r="A21316" s="4" t="s">
        <v>26839</v>
      </c>
      <c r="B21316" s="4" t="s">
        <v>26843</v>
      </c>
      <c r="C21316" s="5" t="str">
        <f>IFERROR(__xludf.DUMMYFUNCTION("GOOGLETRANSLATE(B21316,""en"",""it"")"),"Vediamo una persona che applica un prodotto sopra la vernice.")</f>
        <v>Vediamo una persona che applica un prodotto sopra la vernice.</v>
      </c>
    </row>
    <row r="21317">
      <c r="A21317" s="4" t="s">
        <v>26839</v>
      </c>
      <c r="B21317" s="4" t="s">
        <v>26844</v>
      </c>
      <c r="C21317" s="5" t="str">
        <f>IFERROR(__xludf.DUMMYFUNCTION("GOOGLETRANSLATE(B21317,""en"",""it"")"),"Vediamo le facce del gabinetto rimesse sugli armadietti.")</f>
        <v>Vediamo le facce del gabinetto rimesse sugli armadietti.</v>
      </c>
    </row>
    <row r="21318">
      <c r="A21318" s="4" t="s">
        <v>26839</v>
      </c>
      <c r="B21318" s="4" t="s">
        <v>26690</v>
      </c>
      <c r="C21318" s="5" t="str">
        <f>IFERROR(__xludf.DUMMYFUNCTION("GOOGLETRANSLATE(B21318,""en"",""it"")"),"Vediamo i crediti finali su uno schermo nero.")</f>
        <v>Vediamo i crediti finali su uno schermo nero.</v>
      </c>
    </row>
    <row r="21319">
      <c r="A21319" s="4" t="s">
        <v>26845</v>
      </c>
      <c r="B21319" s="4" t="s">
        <v>26846</v>
      </c>
      <c r="C21319" s="5" t="str">
        <f>IFERROR(__xludf.DUMMYFUNCTION("GOOGLETRANSLATE(B21319,""en"",""it"")"),"La compagnia Nomad Bike di Santa Cruz sta dimostrando come installare una bici.")</f>
        <v>La compagnia Nomad Bike di Santa Cruz sta dimostrando come installare una bici.</v>
      </c>
    </row>
    <row r="21320">
      <c r="A21320" s="4" t="s">
        <v>26845</v>
      </c>
      <c r="B21320" s="4" t="s">
        <v>26847</v>
      </c>
      <c r="C21320" s="5" t="str">
        <f>IFERROR(__xludf.DUMMYFUNCTION("GOOGLETRANSLATE(B21320,""en"",""it"")"),"Il rappresentante dell'azienda sta mettendo insieme le parti di bici per pezzo.")</f>
        <v>Il rappresentante dell'azienda sta mettendo insieme le parti di bici per pezzo.</v>
      </c>
    </row>
    <row r="21321">
      <c r="A21321" s="4" t="s">
        <v>26845</v>
      </c>
      <c r="B21321" s="4" t="s">
        <v>26848</v>
      </c>
      <c r="C21321" s="5" t="str">
        <f>IFERROR(__xludf.DUMMYFUNCTION("GOOGLETRANSLATE(B21321,""en"",""it"")"),"Comincia con il corpo principale e poi va a attaccare le ruote, la maniglia e i pedali.")</f>
        <v>Comincia con il corpo principale e poi va a attaccare le ruote, la maniglia e i pedali.</v>
      </c>
    </row>
    <row r="21322">
      <c r="A21322" s="4" t="s">
        <v>26845</v>
      </c>
      <c r="B21322" s="4" t="s">
        <v>26849</v>
      </c>
      <c r="C21322" s="5" t="str">
        <f>IFERROR(__xludf.DUMMYFUNCTION("GOOGLETRANSLATE(B21322,""en"",""it"")"),"Quindi va avanti e attacca le gomme di gomma.")</f>
        <v>Quindi va avanti e attacca le gomme di gomma.</v>
      </c>
    </row>
    <row r="21323">
      <c r="A21323" s="4" t="s">
        <v>26845</v>
      </c>
      <c r="B21323" s="4" t="s">
        <v>26850</v>
      </c>
      <c r="C21323" s="5" t="str">
        <f>IFERROR(__xludf.DUMMYFUNCTION("GOOGLETRANSLATE(B21323,""en"",""it"")"),"Successivamente fissa le maniglie della bici con top in gomma nera.")</f>
        <v>Successivamente fissa le maniglie della bici con top in gomma nera.</v>
      </c>
    </row>
    <row r="21324">
      <c r="A21324" s="4" t="s">
        <v>26845</v>
      </c>
      <c r="B21324" s="4" t="s">
        <v>26851</v>
      </c>
      <c r="C21324" s="5" t="str">
        <f>IFERROR(__xludf.DUMMYFUNCTION("GOOGLETRANSLATE(B21324,""en"",""it"")"),"Alla fine rafforza tutte le parti e assicura che la bici sia pronta per l'uso.")</f>
        <v>Alla fine rafforza tutte le parti e assicura che la bici sia pronta per l'uso.</v>
      </c>
    </row>
    <row r="21325">
      <c r="A21325" s="4" t="s">
        <v>26845</v>
      </c>
      <c r="B21325" s="4" t="s">
        <v>26852</v>
      </c>
      <c r="C21325" s="5" t="str">
        <f>IFERROR(__xludf.DUMMYFUNCTION("GOOGLETRANSLATE(B21325,""en"",""it"")"),"Quando ha finito, si mette in bici e la cavalca.")</f>
        <v>Quando ha finito, si mette in bici e la cavalca.</v>
      </c>
    </row>
    <row r="21326">
      <c r="A21326" s="4" t="s">
        <v>26853</v>
      </c>
      <c r="B21326" s="4" t="s">
        <v>26854</v>
      </c>
      <c r="C21326" s="5" t="str">
        <f>IFERROR(__xludf.DUMMYFUNCTION("GOOGLETRANSLATE(B21326,""en"",""it"")"),"Una persona è vista seduta davanti a una scrivania con una chitarra tra le mani.")</f>
        <v>Una persona è vista seduta davanti a una scrivania con una chitarra tra le mani.</v>
      </c>
    </row>
    <row r="21327">
      <c r="A21327" s="4" t="s">
        <v>26853</v>
      </c>
      <c r="B21327" s="4" t="s">
        <v>26855</v>
      </c>
      <c r="C21327" s="5" t="str">
        <f>IFERROR(__xludf.DUMMYFUNCTION("GOOGLETRANSLATE(B21327,""en"",""it"")"),"L'uomo inizia quindi a suonare lo strumento muovendo le mani su e giù.")</f>
        <v>L'uomo inizia quindi a suonare lo strumento muovendo le mani su e giù.</v>
      </c>
    </row>
    <row r="21328">
      <c r="A21328" s="4" t="s">
        <v>26853</v>
      </c>
      <c r="B21328" s="4" t="s">
        <v>26856</v>
      </c>
      <c r="C21328" s="5" t="str">
        <f>IFERROR(__xludf.DUMMYFUNCTION("GOOGLETRANSLATE(B21328,""en"",""it"")"),"La persona continua a suonare alla chitarra e guardando in lontananza.")</f>
        <v>La persona continua a suonare alla chitarra e guardando in lontananza.</v>
      </c>
    </row>
    <row r="21329">
      <c r="A21329" s="4" t="s">
        <v>26857</v>
      </c>
      <c r="B21329" s="6" t="s">
        <v>26858</v>
      </c>
      <c r="C21329" s="5" t="str">
        <f>IFERROR(__xludf.DUMMYFUNCTION("GOOGLETRANSLATE(B21329,""en"",""it"")"),"Una persona viene vista cavalcare lungo una collina innevata seguita da un uomo che lavora su una macchina e tira fuori la carta.")</f>
        <v>Una persona viene vista cavalcare lungo una collina innevata seguita da un uomo che lavora su una macchina e tira fuori la carta.</v>
      </c>
    </row>
    <row r="21330">
      <c r="A21330" s="4" t="s">
        <v>26857</v>
      </c>
      <c r="B21330" s="4" t="s">
        <v>26859</v>
      </c>
      <c r="C21330" s="5" t="str">
        <f>IFERROR(__xludf.DUMMYFUNCTION("GOOGLETRANSLATE(B21330,""en"",""it"")"),"La fotocamera ingrandisce la macchina e l'uomo prende uno sci e corre sullo sci sopra la macchina.")</f>
        <v>La fotocamera ingrandisce la macchina e l'uomo prende uno sci e corre sullo sci sopra la macchina.</v>
      </c>
    </row>
    <row r="21331">
      <c r="A21331" s="4" t="s">
        <v>26857</v>
      </c>
      <c r="B21331" s="4" t="s">
        <v>26860</v>
      </c>
      <c r="C21331" s="5" t="str">
        <f>IFERROR(__xludf.DUMMYFUNCTION("GOOGLETRANSLATE(B21331,""en"",""it"")"),"Mostra lo sci mentre continua a usarli sulla macchina e mostra come appaiono.")</f>
        <v>Mostra lo sci mentre continua a usarli sulla macchina e mostra come appaiono.</v>
      </c>
    </row>
    <row r="21332">
      <c r="A21332" s="4" t="s">
        <v>26861</v>
      </c>
      <c r="B21332" s="4" t="s">
        <v>26862</v>
      </c>
      <c r="C21332" s="5" t="str">
        <f>IFERROR(__xludf.DUMMYFUNCTION("GOOGLETRANSLATE(B21332,""en"",""it"")"),"Il video si apre con un segmento introduttivo per una gara BMX.")</f>
        <v>Il video si apre con un segmento introduttivo per una gara BMX.</v>
      </c>
    </row>
    <row r="21333">
      <c r="A21333" s="4" t="s">
        <v>26861</v>
      </c>
      <c r="B21333" s="4" t="s">
        <v>26863</v>
      </c>
      <c r="C21333" s="5" t="str">
        <f>IFERROR(__xludf.DUMMYFUNCTION("GOOGLETRANSLATE(B21333,""en"",""it"")"),"I corridori sono mostrati al cancello che si preparano per la gara.")</f>
        <v>I corridori sono mostrati al cancello che si preparano per la gara.</v>
      </c>
    </row>
    <row r="21334">
      <c r="A21334" s="4" t="s">
        <v>26861</v>
      </c>
      <c r="B21334" s="4" t="s">
        <v>26864</v>
      </c>
      <c r="C21334" s="5" t="str">
        <f>IFERROR(__xludf.DUMMYFUNCTION("GOOGLETRANSLATE(B21334,""en"",""it"")"),"Diversi corridori vengono introdotti con i loro nomi mostrati sullo schermo.")</f>
        <v>Diversi corridori vengono introdotti con i loro nomi mostrati sullo schermo.</v>
      </c>
    </row>
    <row r="21335">
      <c r="A21335" s="4" t="s">
        <v>26861</v>
      </c>
      <c r="B21335" s="4" t="s">
        <v>26865</v>
      </c>
      <c r="C21335" s="5" t="str">
        <f>IFERROR(__xludf.DUMMYFUNCTION("GOOGLETRANSLATE(B21335,""en"",""it"")"),"La gara inizia e i piloti corrono in pista.")</f>
        <v>La gara inizia e i piloti corrono in pista.</v>
      </c>
    </row>
    <row r="21336">
      <c r="A21336" s="4" t="s">
        <v>26866</v>
      </c>
      <c r="B21336" s="6" t="s">
        <v>26867</v>
      </c>
      <c r="C21336" s="5" t="str">
        <f>IFERROR(__xludf.DUMMYFUNCTION("GOOGLETRANSLATE(B21336,""en"",""it"")"),"Il video inizia con l'evento annuale BMX Biking in cui vengono raccolti diversi partecipanti per iniziare il loro evento competitivo.")</f>
        <v>Il video inizia con l'evento annuale BMX Biking in cui vengono raccolti diversi partecipanti per iniziare il loro evento competitivo.</v>
      </c>
    </row>
    <row r="21337">
      <c r="A21337" s="4" t="s">
        <v>26866</v>
      </c>
      <c r="B21337" s="4" t="s">
        <v>26868</v>
      </c>
      <c r="C21337" s="5" t="str">
        <f>IFERROR(__xludf.DUMMYFUNCTION("GOOGLETRANSLATE(B21337,""en"",""it"")"),"Diversi motociclisti iniziano a andare in bicicletta sulle loro bici su pendii curvi nell'arena dell'aria aperta.")</f>
        <v>Diversi motociclisti iniziano a andare in bicicletta sulle loro bici su pendii curvi nell'arena dell'aria aperta.</v>
      </c>
    </row>
    <row r="21338">
      <c r="A21338" s="4" t="s">
        <v>26866</v>
      </c>
      <c r="B21338" s="4" t="s">
        <v>26869</v>
      </c>
      <c r="C21338" s="5" t="str">
        <f>IFERROR(__xludf.DUMMYFUNCTION("GOOGLETRANSLATE(B21338,""en"",""it"")"),"I motociclisti vanno su pendii accidentati e collinari nei loro ingranaggi e caschi.")</f>
        <v>I motociclisti vanno su pendii accidentati e collinari nei loro ingranaggi e caschi.</v>
      </c>
    </row>
    <row r="21339">
      <c r="A21339" s="4" t="s">
        <v>26866</v>
      </c>
      <c r="B21339" s="4" t="s">
        <v>26870</v>
      </c>
      <c r="C21339" s="5" t="str">
        <f>IFERROR(__xludf.DUMMYFUNCTION("GOOGLETRANSLATE(B21339,""en"",""it"")"),"Ci sono diversi motociclisti che iniziano una gara dalla cima del pendio in bicicletta.")</f>
        <v>Ci sono diversi motociclisti che iniziano una gara dalla cima del pendio in bicicletta.</v>
      </c>
    </row>
    <row r="21340">
      <c r="A21340" s="4" t="s">
        <v>26866</v>
      </c>
      <c r="B21340" s="6" t="s">
        <v>26871</v>
      </c>
      <c r="C21340" s="5" t="str">
        <f>IFERROR(__xludf.DUMMYFUNCTION("GOOGLETRANSLATE(B21340,""en"",""it"")"),"Mostrano le loro acrobazie e le loro abilità mentre accelerano il percorso ad ostacoli dell'arena in bicicletta.")</f>
        <v>Mostrano le loro acrobazie e le loro abilità mentre accelerano il percorso ad ostacoli dell'arena in bicicletta.</v>
      </c>
    </row>
    <row r="21341">
      <c r="A21341" s="4" t="s">
        <v>26872</v>
      </c>
      <c r="B21341" s="6" t="s">
        <v>26873</v>
      </c>
      <c r="C21341" s="5" t="str">
        <f>IFERROR(__xludf.DUMMYFUNCTION("GOOGLETRANSLATE(B21341,""en"",""it"")"),"Vengono mostrati due video fianco a fianco di un uomo al rallentatore che gioca a frisbee e che fa trucchi con un cane.")</f>
        <v>Vengono mostrati due video fianco a fianco di un uomo al rallentatore che gioca a frisbee e che fa trucchi con un cane.</v>
      </c>
    </row>
    <row r="21342">
      <c r="A21342" s="4" t="s">
        <v>26872</v>
      </c>
      <c r="B21342" s="6" t="s">
        <v>26874</v>
      </c>
      <c r="C21342" s="5" t="str">
        <f>IFERROR(__xludf.DUMMYFUNCTION("GOOGLETRANSLATE(B21342,""en"",""it"")"),"Lo stesso uomo viene mostrato di nuovo eseguendo vari trucchi con il suo cane che vengono mostrati in tempo reale e il rallentatore.")</f>
        <v>Lo stesso uomo viene mostrato di nuovo eseguendo vari trucchi con il suo cane che vengono mostrati in tempo reale e il rallentatore.</v>
      </c>
    </row>
    <row r="21343">
      <c r="A21343" s="4" t="s">
        <v>26875</v>
      </c>
      <c r="B21343" s="4" t="s">
        <v>26876</v>
      </c>
      <c r="C21343" s="5" t="str">
        <f>IFERROR(__xludf.DUMMYFUNCTION("GOOGLETRANSLATE(B21343,""en"",""it"")"),"Le persone sono in una barca mentre una persona è attaccata alla parte posteriore e ad acqua.")</f>
        <v>Le persone sono in una barca mentre una persona è attaccata alla parte posteriore e ad acqua.</v>
      </c>
    </row>
    <row r="21344">
      <c r="A21344" s="4" t="s">
        <v>26875</v>
      </c>
      <c r="B21344" s="6" t="s">
        <v>26877</v>
      </c>
      <c r="C21344" s="5" t="str">
        <f>IFERROR(__xludf.DUMMYFUNCTION("GOOGLETRANSLATE(B21344,""en"",""it"")"),"Mentre una grande spruzzata di acqua vola nelle parole bianche dell'aria appare al centro dello schermo che dice ""Wipeout Bay of Plenty"".")</f>
        <v>Mentre una grande spruzzata di acqua vola nelle parole bianche dell'aria appare al centro dello schermo che dice "Wipeout Bay of Plenty".</v>
      </c>
    </row>
    <row r="21345">
      <c r="A21345" s="4" t="s">
        <v>26875</v>
      </c>
      <c r="B21345" s="6" t="s">
        <v>26878</v>
      </c>
      <c r="C21345" s="5" t="str">
        <f>IFERROR(__xludf.DUMMYFUNCTION("GOOGLETRANSLATE(B21345,""en"",""it"")"),"La persona è mostrata da diversi angoli di waterboarding e quindi cade duramente nell'acqua più volte.")</f>
        <v>La persona è mostrata da diversi angoli di waterboarding e quindi cade duramente nell'acqua più volte.</v>
      </c>
    </row>
    <row r="21346">
      <c r="A21346" s="4" t="s">
        <v>26879</v>
      </c>
      <c r="B21346" s="4" t="s">
        <v>26880</v>
      </c>
      <c r="C21346" s="5" t="str">
        <f>IFERROR(__xludf.DUMMYFUNCTION("GOOGLETRANSLATE(B21346,""en"",""it"")"),"Una ragazza viene vista a lavarsi i capelli e spruzzare il prodotto tra i capelli.")</f>
        <v>Una ragazza viene vista a lavarsi i capelli e spruzzare il prodotto tra i capelli.</v>
      </c>
    </row>
    <row r="21347">
      <c r="A21347" s="4" t="s">
        <v>26879</v>
      </c>
      <c r="B21347" s="4" t="s">
        <v>26881</v>
      </c>
      <c r="C21347" s="5" t="str">
        <f>IFERROR(__xludf.DUMMYFUNCTION("GOOGLETRANSLATE(B21347,""en"",""it"")"),"Si prende i capelli in alcune parti e inizia a intrecciare i capelli.")</f>
        <v>Si prende i capelli in alcune parti e inizia a intrecciare i capelli.</v>
      </c>
    </row>
    <row r="21348">
      <c r="A21348" s="4" t="s">
        <v>26879</v>
      </c>
      <c r="B21348" s="4" t="s">
        <v>26882</v>
      </c>
      <c r="C21348" s="5" t="str">
        <f>IFERROR(__xludf.DUMMYFUNCTION("GOOGLETRANSLATE(B21348,""en"",""it"")"),"Finisce intrecciati i capelli e termina con una foto della treccia.")</f>
        <v>Finisce intrecciati i capelli e termina con una foto della treccia.</v>
      </c>
    </row>
    <row r="21349">
      <c r="A21349" s="4" t="s">
        <v>26883</v>
      </c>
      <c r="B21349" s="4" t="s">
        <v>26884</v>
      </c>
      <c r="C21349" s="5" t="str">
        <f>IFERROR(__xludf.DUMMYFUNCTION("GOOGLETRANSLATE(B21349,""en"",""it"")"),"Un falò è circondato da pietre.")</f>
        <v>Un falò è circondato da pietre.</v>
      </c>
    </row>
    <row r="21350">
      <c r="A21350" s="4" t="s">
        <v>26883</v>
      </c>
      <c r="B21350" s="4" t="s">
        <v>26885</v>
      </c>
      <c r="C21350" s="5" t="str">
        <f>IFERROR(__xludf.DUMMYFUNCTION("GOOGLETRANSLATE(B21350,""en"",""it"")"),"Una persona aggiunge foglie dorate al fuoco.")</f>
        <v>Una persona aggiunge foglie dorate al fuoco.</v>
      </c>
    </row>
    <row r="21351">
      <c r="A21351" s="4" t="s">
        <v>26883</v>
      </c>
      <c r="B21351" s="4" t="s">
        <v>26886</v>
      </c>
      <c r="C21351" s="5" t="str">
        <f>IFERROR(__xludf.DUMMYFUNCTION("GOOGLETRANSLATE(B21351,""en"",""it"")"),"Una persona usa un bastone per spostare le foglie all'interno del fuoco.")</f>
        <v>Una persona usa un bastone per spostare le foglie all'interno del fuoco.</v>
      </c>
    </row>
    <row r="21352">
      <c r="A21352" s="4" t="s">
        <v>26883</v>
      </c>
      <c r="B21352" s="4" t="s">
        <v>26887</v>
      </c>
      <c r="C21352" s="5" t="str">
        <f>IFERROR(__xludf.DUMMYFUNCTION("GOOGLETRANSLATE(B21352,""en"",""it"")"),"Una persona si allontana all'indietro dal fuoco.")</f>
        <v>Una persona si allontana all'indietro dal fuoco.</v>
      </c>
    </row>
    <row r="21353">
      <c r="A21353" s="4" t="s">
        <v>26883</v>
      </c>
      <c r="B21353" s="4" t="s">
        <v>26888</v>
      </c>
      <c r="C21353" s="5" t="str">
        <f>IFERROR(__xludf.DUMMYFUNCTION("GOOGLETRANSLATE(B21353,""en"",""it"")"),"Una persona si sposta in avanti verso il fuoco.")</f>
        <v>Una persona si sposta in avanti verso il fuoco.</v>
      </c>
    </row>
    <row r="21354">
      <c r="A21354" s="4" t="s">
        <v>26889</v>
      </c>
      <c r="B21354" s="4" t="s">
        <v>26890</v>
      </c>
      <c r="C21354" s="5" t="str">
        <f>IFERROR(__xludf.DUMMYFUNCTION("GOOGLETRANSLATE(B21354,""en"",""it"")"),"Due persone stanno combattendo a terra.")</f>
        <v>Due persone stanno combattendo a terra.</v>
      </c>
    </row>
    <row r="21355">
      <c r="A21355" s="4" t="s">
        <v>26889</v>
      </c>
      <c r="B21355" s="4" t="s">
        <v>26891</v>
      </c>
      <c r="C21355" s="5" t="str">
        <f>IFERROR(__xludf.DUMMYFUNCTION("GOOGLETRANSLATE(B21355,""en"",""it"")"),"Le persone sono sedute intorno a loro a guardare.")</f>
        <v>Le persone sono sedute intorno a loro a guardare.</v>
      </c>
    </row>
    <row r="21356">
      <c r="A21356" s="4" t="s">
        <v>26889</v>
      </c>
      <c r="B21356" s="4" t="s">
        <v>26892</v>
      </c>
      <c r="C21356" s="5" t="str">
        <f>IFERROR(__xludf.DUMMYFUNCTION("GOOGLETRANSLATE(B21356,""en"",""it"")"),"Le persone sono sedute su sedie suonando la batteria.")</f>
        <v>Le persone sono sedute su sedie suonando la batteria.</v>
      </c>
    </row>
    <row r="21357">
      <c r="A21357" s="4" t="s">
        <v>26893</v>
      </c>
      <c r="B21357" s="4" t="s">
        <v>26894</v>
      </c>
      <c r="C21357" s="5" t="str">
        <f>IFERROR(__xludf.DUMMYFUNCTION("GOOGLETRANSLATE(B21357,""en"",""it"")"),"Una persona va a vento su una tavola verde lime in un corpo d'acqua.")</f>
        <v>Una persona va a vento su una tavola verde lime in un corpo d'acqua.</v>
      </c>
    </row>
    <row r="21358">
      <c r="A21358" s="4" t="s">
        <v>26893</v>
      </c>
      <c r="B21358" s="4" t="s">
        <v>26895</v>
      </c>
      <c r="C21358" s="5" t="str">
        <f>IFERROR(__xludf.DUMMYFUNCTION("GOOGLETRANSLATE(B21358,""en"",""it"")"),"La persona fa alcuni giri.")</f>
        <v>La persona fa alcuni giri.</v>
      </c>
    </row>
    <row r="21359">
      <c r="A21359" s="4" t="s">
        <v>26896</v>
      </c>
      <c r="B21359" s="4" t="s">
        <v>26897</v>
      </c>
      <c r="C21359" s="5" t="str">
        <f>IFERROR(__xludf.DUMMYFUNCTION("GOOGLETRANSLATE(B21359,""en"",""it"")"),"Un grande uomo sta facendo dietro le spalle del collo.")</f>
        <v>Un grande uomo sta facendo dietro le spalle del collo.</v>
      </c>
    </row>
    <row r="21360">
      <c r="A21360" s="4" t="s">
        <v>26896</v>
      </c>
      <c r="B21360" s="4" t="s">
        <v>26898</v>
      </c>
      <c r="C21360" s="5" t="str">
        <f>IFERROR(__xludf.DUMMYFUNCTION("GOOGLETRANSLATE(B21360,""en"",""it"")"),"Tiene il respiro facendoli e poi si alza e inizia a camminare.")</f>
        <v>Tiene il respiro facendoli e poi si alza e inizia a camminare.</v>
      </c>
    </row>
    <row r="21361">
      <c r="A21361" s="4" t="s">
        <v>26896</v>
      </c>
      <c r="B21361" s="4" t="s">
        <v>26899</v>
      </c>
      <c r="C21361" s="5" t="str">
        <f>IFERROR(__xludf.DUMMYFUNCTION("GOOGLETRANSLATE(B21361,""en"",""it"")"),"Torna in panchina e fa di nuovo qualche altro pf la spalla.")</f>
        <v>Torna in panchina e fa di nuovo qualche altro pf la spalla.</v>
      </c>
    </row>
    <row r="21362">
      <c r="A21362" s="4" t="s">
        <v>26896</v>
      </c>
      <c r="B21362" s="4" t="s">
        <v>26900</v>
      </c>
      <c r="C21362" s="5" t="str">
        <f>IFERROR(__xludf.DUMMYFUNCTION("GOOGLETRANSLATE(B21362,""en"",""it"")"),"Quindi, esce e si esercita a girare e lanciare.")</f>
        <v>Quindi, esce e si esercita a girare e lanciare.</v>
      </c>
    </row>
    <row r="21363">
      <c r="A21363" s="4" t="s">
        <v>26901</v>
      </c>
      <c r="B21363" s="4" t="s">
        <v>26902</v>
      </c>
      <c r="C21363" s="5" t="str">
        <f>IFERROR(__xludf.DUMMYFUNCTION("GOOGLETRANSLATE(B21363,""en"",""it"")"),"Un ragazzo è in piedi fuori in cima alla pesca del ghiaccio da un piccolo buco nel ghiaccio.")</f>
        <v>Un ragazzo è in piedi fuori in cima alla pesca del ghiaccio da un piccolo buco nel ghiaccio.</v>
      </c>
    </row>
    <row r="21364">
      <c r="A21364" s="4" t="s">
        <v>26901</v>
      </c>
      <c r="B21364" s="4" t="s">
        <v>26903</v>
      </c>
      <c r="C21364" s="5" t="str">
        <f>IFERROR(__xludf.DUMMYFUNCTION("GOOGLETRANSLATE(B21364,""en"",""it"")"),"Il ragazzo fa fatica a far uscire il pesce e qualcuno viene e lo porta fuori per lui.")</f>
        <v>Il ragazzo fa fatica a far uscire il pesce e qualcuno viene e lo porta fuori per lui.</v>
      </c>
    </row>
    <row r="21365">
      <c r="A21365" s="4" t="s">
        <v>26901</v>
      </c>
      <c r="B21365" s="4" t="s">
        <v>26904</v>
      </c>
      <c r="C21365" s="5" t="str">
        <f>IFERROR(__xludf.DUMMYFUNCTION("GOOGLETRANSLATE(B21365,""en"",""it"")"),"Ora ci sono quattro uomini visibili e tutti iniziano a pescare dallo stagno di ghiaccio.")</f>
        <v>Ora ci sono quattro uomini visibili e tutti iniziano a pescare dallo stagno di ghiaccio.</v>
      </c>
    </row>
    <row r="21366">
      <c r="A21366" s="4" t="s">
        <v>26901</v>
      </c>
      <c r="B21366" s="4" t="s">
        <v>26905</v>
      </c>
      <c r="C21366" s="5" t="str">
        <f>IFERROR(__xludf.DUMMYFUNCTION("GOOGLETRANSLATE(B21366,""en"",""it"")"),"Alla fine, un uomo afferra una sedia e inizia a pescare e togliersi il pesce dalla linea.")</f>
        <v>Alla fine, un uomo afferra una sedia e inizia a pescare e togliersi il pesce dalla linea.</v>
      </c>
    </row>
    <row r="21367">
      <c r="A21367" s="4" t="s">
        <v>26906</v>
      </c>
      <c r="B21367" s="6" t="s">
        <v>26907</v>
      </c>
      <c r="C21367" s="5" t="str">
        <f>IFERROR(__xludf.DUMMYFUNCTION("GOOGLETRANSLATE(B21367,""en"",""it"")"),"Un'introduzione conduce in un gruppo di cheerleader che eseguono diverse mosse come una squadra e ragazze intervistate alla telecamera.")</f>
        <v>Un'introduzione conduce in un gruppo di cheerleader che eseguono diverse mosse come una squadra e ragazze intervistate alla telecamera.</v>
      </c>
    </row>
    <row r="21368">
      <c r="A21368" s="4" t="s">
        <v>26906</v>
      </c>
      <c r="B21368" s="6" t="s">
        <v>26908</v>
      </c>
      <c r="C21368" s="5" t="str">
        <f>IFERROR(__xludf.DUMMYFUNCTION("GOOGLETRANSLATE(B21368,""en"",""it"")"),"Eseguono una routine mostrata da diversi video e immagini e continuano a mostrare vari trucchi nel backstage e sul palco.")</f>
        <v>Eseguono una routine mostrata da diversi video e immagini e continuano a mostrare vari trucchi nel backstage e sul palco.</v>
      </c>
    </row>
    <row r="21369">
      <c r="A21369" s="4" t="s">
        <v>26906</v>
      </c>
      <c r="B21369" s="6" t="s">
        <v>26909</v>
      </c>
      <c r="C21369" s="5" t="str">
        <f>IFERROR(__xludf.DUMMYFUNCTION("GOOGLETRANSLATE(B21369,""en"",""it"")"),"Le ragazze si parlano tra loro sul palcoscenico con il loro allenatore e molte persone interagiscono con loro tra il pubblico.")</f>
        <v>Le ragazze si parlano tra loro sul palcoscenico con il loro allenatore e molte persone interagiscono con loro tra il pubblico.</v>
      </c>
    </row>
    <row r="21370">
      <c r="A21370" s="4" t="s">
        <v>26910</v>
      </c>
      <c r="B21370" s="4" t="s">
        <v>26911</v>
      </c>
      <c r="C21370" s="5" t="str">
        <f>IFERROR(__xludf.DUMMYFUNCTION("GOOGLETRANSLATE(B21370,""en"",""it"")"),"Una persona viene vista andare in giro sulle lame a rulli e eseguire una macinatura su un bar.")</f>
        <v>Una persona viene vista andare in giro sulle lame a rulli e eseguire una macinatura su un bar.</v>
      </c>
    </row>
    <row r="21371">
      <c r="A21371" s="4" t="s">
        <v>26910</v>
      </c>
      <c r="B21371" s="6" t="s">
        <v>26912</v>
      </c>
      <c r="C21371" s="5" t="str">
        <f>IFERROR(__xludf.DUMMYFUNCTION("GOOGLETRANSLATE(B21371,""en"",""it"")"),"Vengono mostrate diverse altre clip della persona che esegue macinature con lame a rulli e altri lanci e trucchi.")</f>
        <v>Vengono mostrate diverse altre clip della persona che esegue macinature con lame a rulli e altri lanci e trucchi.</v>
      </c>
    </row>
    <row r="21372">
      <c r="A21372" s="4" t="s">
        <v>26913</v>
      </c>
      <c r="B21372" s="4" t="s">
        <v>26914</v>
      </c>
      <c r="C21372" s="5" t="str">
        <f>IFERROR(__xludf.DUMMYFUNCTION("GOOGLETRANSLATE(B21372,""en"",""it"")"),"La donna tiene in mano un asciugacapelli e moreva di capelli da bambino.")</f>
        <v>La donna tiene in mano un asciugacapelli e moreva di capelli da bambino.</v>
      </c>
    </row>
    <row r="21373">
      <c r="A21373" s="4" t="s">
        <v>26913</v>
      </c>
      <c r="B21373" s="4" t="s">
        <v>26915</v>
      </c>
      <c r="C21373" s="5" t="str">
        <f>IFERROR(__xludf.DUMMYFUNCTION("GOOGLETRANSLATE(B21373,""en"",""it"")"),"Little Kid nella parte posteriore è in piedi e ride.")</f>
        <v>Little Kid nella parte posteriore è in piedi e ride.</v>
      </c>
    </row>
    <row r="21374">
      <c r="A21374" s="4" t="s">
        <v>26916</v>
      </c>
      <c r="B21374" s="4" t="s">
        <v>26917</v>
      </c>
      <c r="C21374" s="5" t="str">
        <f>IFERROR(__xludf.DUMMYFUNCTION("GOOGLETRANSLATE(B21374,""en"",""it"")"),"L'uomo è in piedi in una stanza aprendo le tende.")</f>
        <v>L'uomo è in piedi in una stanza aprendo le tende.</v>
      </c>
    </row>
    <row r="21375">
      <c r="A21375" s="4" t="s">
        <v>26916</v>
      </c>
      <c r="B21375" s="4" t="s">
        <v>26918</v>
      </c>
      <c r="C21375" s="5" t="str">
        <f>IFERROR(__xludf.DUMMYFUNCTION("GOOGLETRANSLATE(B21375,""en"",""it"")"),"Gli uomini pattinano sui marciapiedi per strada con molte persone in giro.")</f>
        <v>Gli uomini pattinano sui marciapiedi per strada con molte persone in giro.</v>
      </c>
    </row>
    <row r="21376">
      <c r="A21376" s="4" t="s">
        <v>26919</v>
      </c>
      <c r="B21376" s="4" t="s">
        <v>26920</v>
      </c>
      <c r="C21376" s="5" t="str">
        <f>IFERROR(__xludf.DUMMYFUNCTION("GOOGLETRANSLATE(B21376,""en"",""it"")"),"Un bambino piccolo viene visto usare un'ellittica mentre guardi un video per computer di fronte a lei.")</f>
        <v>Un bambino piccolo viene visto usare un'ellittica mentre guardi un video per computer di fronte a lei.</v>
      </c>
    </row>
    <row r="21377">
      <c r="A21377" s="4" t="s">
        <v>26919</v>
      </c>
      <c r="B21377" s="6" t="s">
        <v>26921</v>
      </c>
      <c r="C21377" s="5" t="str">
        <f>IFERROR(__xludf.DUMMYFUNCTION("GOOGLETRANSLATE(B21377,""en"",""it"")"),"La ragazza controlla le mosse sul video usando la macchina mentre la fotocamera ingrandisce dentro e fuori l'area.")</f>
        <v>La ragazza controlla le mosse sul video usando la macchina mentre la fotocamera ingrandisce dentro e fuori l'area.</v>
      </c>
    </row>
    <row r="21378">
      <c r="A21378" s="4" t="s">
        <v>26922</v>
      </c>
      <c r="B21378" s="4" t="s">
        <v>26923</v>
      </c>
      <c r="C21378" s="5" t="str">
        <f>IFERROR(__xludf.DUMMYFUNCTION("GOOGLETRANSLATE(B21378,""en"",""it"")"),"Le persone si esauriscono su un palco.")</f>
        <v>Le persone si esauriscono su un palco.</v>
      </c>
    </row>
    <row r="21379">
      <c r="A21379" s="4" t="s">
        <v>26922</v>
      </c>
      <c r="B21379" s="4" t="s">
        <v>26924</v>
      </c>
      <c r="C21379" s="5" t="str">
        <f>IFERROR(__xludf.DUMMYFUNCTION("GOOGLETRANSLATE(B21379,""en"",""it"")"),"Cominciano a ballare e allenarsi sul palco.")</f>
        <v>Cominciano a ballare e allenarsi sul palco.</v>
      </c>
    </row>
    <row r="21380">
      <c r="A21380" s="4" t="s">
        <v>26922</v>
      </c>
      <c r="B21380" s="4" t="s">
        <v>26925</v>
      </c>
      <c r="C21380" s="5" t="str">
        <f>IFERROR(__xludf.DUMMYFUNCTION("GOOGLETRANSLATE(B21380,""en"",""it"")"),"Un pubblico li sta guardando esibirsi.")</f>
        <v>Un pubblico li sta guardando esibirsi.</v>
      </c>
    </row>
    <row r="21381">
      <c r="A21381" s="4" t="s">
        <v>26926</v>
      </c>
      <c r="B21381" s="4" t="s">
        <v>26927</v>
      </c>
      <c r="C21381" s="5" t="str">
        <f>IFERROR(__xludf.DUMMYFUNCTION("GOOGLETRANSLATE(B21381,""en"",""it"")"),"Un uomo che indossa un maglione viola dimostra come usare le cesoie da giardino.")</f>
        <v>Un uomo che indossa un maglione viola dimostra come usare le cesoie da giardino.</v>
      </c>
    </row>
    <row r="21382">
      <c r="A21382" s="4" t="s">
        <v>26926</v>
      </c>
      <c r="B21382" s="4" t="s">
        <v>26928</v>
      </c>
      <c r="C21382" s="5" t="str">
        <f>IFERROR(__xludf.DUMMYFUNCTION("GOOGLETRANSLATE(B21382,""en"",""it"")"),"Sta tagliando le siepi e i cespugli nel cortile.")</f>
        <v>Sta tagliando le siepi e i cespugli nel cortile.</v>
      </c>
    </row>
    <row r="21383">
      <c r="A21383" s="4" t="s">
        <v>26926</v>
      </c>
      <c r="B21383" s="4" t="s">
        <v>26929</v>
      </c>
      <c r="C21383" s="5" t="str">
        <f>IFERROR(__xludf.DUMMYFUNCTION("GOOGLETRANSLATE(B21383,""en"",""it"")"),"Mostra come le cesoie possono essere utilizzate in modo efficace in luoghi difficili da raggiungere.")</f>
        <v>Mostra come le cesoie possono essere utilizzate in modo efficace in luoghi difficili da raggiungere.</v>
      </c>
    </row>
    <row r="21384">
      <c r="A21384" s="4" t="s">
        <v>26930</v>
      </c>
      <c r="B21384" s="4" t="s">
        <v>26931</v>
      </c>
      <c r="C21384" s="5" t="str">
        <f>IFERROR(__xludf.DUMMYFUNCTION("GOOGLETRANSLATE(B21384,""en"",""it"")"),"Un rotolo di tegole viene mostrato sdraiato su un tetto.")</f>
        <v>Un rotolo di tegole viene mostrato sdraiato su un tetto.</v>
      </c>
    </row>
    <row r="21385">
      <c r="A21385" s="4" t="s">
        <v>26930</v>
      </c>
      <c r="B21385" s="4" t="s">
        <v>26932</v>
      </c>
      <c r="C21385" s="5" t="str">
        <f>IFERROR(__xludf.DUMMYFUNCTION("GOOGLETRANSLATE(B21385,""en"",""it"")"),"Un uomo regge un foglio delle tegole.")</f>
        <v>Un uomo regge un foglio delle tegole.</v>
      </c>
    </row>
    <row r="21386">
      <c r="A21386" s="4" t="s">
        <v>26930</v>
      </c>
      <c r="B21386" s="4" t="s">
        <v>26933</v>
      </c>
      <c r="C21386" s="5" t="str">
        <f>IFERROR(__xludf.DUMMYFUNCTION("GOOGLETRANSLATE(B21386,""en"",""it"")"),"Usa le pinze per rimuovere le tegole danneggiate prima di sostituirle con nuove.")</f>
        <v>Usa le pinze per rimuovere le tegole danneggiate prima di sostituirle con nuove.</v>
      </c>
    </row>
    <row r="21387">
      <c r="A21387" s="4" t="s">
        <v>26934</v>
      </c>
      <c r="B21387" s="4" t="s">
        <v>26935</v>
      </c>
      <c r="C21387" s="5" t="str">
        <f>IFERROR(__xludf.DUMMYFUNCTION("GOOGLETRANSLATE(B21387,""en"",""it"")"),"Tre uomini stanno applicando un gesso al soffitto di una stanza incompiuta mentre un altro uomo guarda.")</f>
        <v>Tre uomini stanno applicando un gesso al soffitto di una stanza incompiuta mentre un altro uomo guarda.</v>
      </c>
    </row>
    <row r="21388">
      <c r="A21388" s="4" t="s">
        <v>26934</v>
      </c>
      <c r="B21388" s="4" t="s">
        <v>26936</v>
      </c>
      <c r="C21388" s="5" t="str">
        <f>IFERROR(__xludf.DUMMYFUNCTION("GOOGLETRANSLATE(B21388,""en"",""it"")"),"Uno degli uomini sale una scala per raggiungere il soffitto.")</f>
        <v>Uno degli uomini sale una scala per raggiungere il soffitto.</v>
      </c>
    </row>
    <row r="21389">
      <c r="A21389" s="4" t="s">
        <v>26934</v>
      </c>
      <c r="B21389" s="4" t="s">
        <v>26937</v>
      </c>
      <c r="C21389" s="5" t="str">
        <f>IFERROR(__xludf.DUMMYFUNCTION("GOOGLETRANSLATE(B21389,""en"",""it"")"),"Un uomo si esibisce a breve danza.")</f>
        <v>Un uomo si esibisce a breve danza.</v>
      </c>
    </row>
    <row r="21390">
      <c r="A21390" s="4" t="s">
        <v>26934</v>
      </c>
      <c r="B21390" s="6" t="s">
        <v>26938</v>
      </c>
      <c r="C21390" s="5" t="str">
        <f>IFERROR(__xludf.DUMMYFUNCTION("GOOGLETRANSLATE(B21390,""en"",""it"")"),"La fotocamera si muove per rivelare che l'uomo che balla e un altro degli uomini sta usando passioni per raggiungere il soffitto.")</f>
        <v>La fotocamera si muove per rivelare che l'uomo che balla e un altro degli uomini sta usando passioni per raggiungere il soffitto.</v>
      </c>
    </row>
    <row r="21391">
      <c r="A21391" s="4" t="s">
        <v>26939</v>
      </c>
      <c r="B21391" s="4" t="s">
        <v>26940</v>
      </c>
      <c r="C21391" s="5" t="str">
        <f>IFERROR(__xludf.DUMMYFUNCTION("GOOGLETRANSLATE(B21391,""en"",""it"")"),"Vediamo una schermata del titolo per il video.")</f>
        <v>Vediamo una schermata del titolo per il video.</v>
      </c>
    </row>
    <row r="21392">
      <c r="A21392" s="4" t="s">
        <v>26939</v>
      </c>
      <c r="B21392" s="4" t="s">
        <v>26941</v>
      </c>
      <c r="C21392" s="5" t="str">
        <f>IFERROR(__xludf.DUMMYFUNCTION("GOOGLETRANSLATE(B21392,""en"",""it"")"),"Vediamo quindi ragazzini giocare a calcio in un paio di palestre.")</f>
        <v>Vediamo quindi ragazzini giocare a calcio in un paio di palestre.</v>
      </c>
    </row>
    <row r="21393">
      <c r="A21393" s="4" t="s">
        <v>26939</v>
      </c>
      <c r="B21393" s="4" t="s">
        <v>26942</v>
      </c>
      <c r="C21393" s="5" t="str">
        <f>IFERROR(__xludf.DUMMYFUNCTION("GOOGLETRANSLATE(B21393,""en"",""it"")"),"Guardiamo il ragazzo con la maglietta bianca segnare un goal.")</f>
        <v>Guardiamo il ragazzo con la maglietta bianca segnare un goal.</v>
      </c>
    </row>
    <row r="21394">
      <c r="A21394" s="4" t="s">
        <v>26939</v>
      </c>
      <c r="B21394" s="4" t="s">
        <v>26943</v>
      </c>
      <c r="C21394" s="5" t="str">
        <f>IFERROR(__xludf.DUMMYFUNCTION("GOOGLETRANSLATE(B21394,""en"",""it"")"),"Vediamo un ragazzo calciare un goal e il portiere arriva per fermare la palla ma manca.")</f>
        <v>Vediamo un ragazzo calciare un goal e il portiere arriva per fermare la palla ma manca.</v>
      </c>
    </row>
    <row r="21395">
      <c r="A21395" s="4" t="s">
        <v>26939</v>
      </c>
      <c r="B21395" s="4" t="s">
        <v>26944</v>
      </c>
      <c r="C21395" s="5" t="str">
        <f>IFERROR(__xludf.DUMMYFUNCTION("GOOGLETRANSLATE(B21395,""en"",""it"")"),"Vediamo che il ragazzo in bianco segnare un goal e i suoi compagni di squadra lo abbracciano.")</f>
        <v>Vediamo che il ragazzo in bianco segnare un goal e i suoi compagni di squadra lo abbracciano.</v>
      </c>
    </row>
    <row r="21396">
      <c r="A21396" s="4" t="s">
        <v>26939</v>
      </c>
      <c r="B21396" s="4" t="s">
        <v>26945</v>
      </c>
      <c r="C21396" s="5" t="str">
        <f>IFERROR(__xludf.DUMMYFUNCTION("GOOGLETRANSLATE(B21396,""en"",""it"")"),"3:10 I punteggi numero 10 di White Ream e un compagno di squadra gli danno un cinque.")</f>
        <v>3:10 I punteggi numero 10 di White Ream e un compagno di squadra gli danno un cinque.</v>
      </c>
    </row>
    <row r="21397">
      <c r="A21397" s="4" t="s">
        <v>26946</v>
      </c>
      <c r="B21397" s="4" t="s">
        <v>26947</v>
      </c>
      <c r="C21397" s="5" t="str">
        <f>IFERROR(__xludf.DUMMYFUNCTION("GOOGLETRANSLATE(B21397,""en"",""it"")"),"Viene mostrata una donna, giocando con i capelli.")</f>
        <v>Viene mostrata una donna, giocando con i capelli.</v>
      </c>
    </row>
    <row r="21398">
      <c r="A21398" s="4" t="s">
        <v>26946</v>
      </c>
      <c r="B21398" s="4" t="s">
        <v>26948</v>
      </c>
      <c r="C21398" s="5" t="str">
        <f>IFERROR(__xludf.DUMMYFUNCTION("GOOGLETRANSLATE(B21398,""en"",""it"")"),"Appare un artista del salone e i suoi strumenti sono mostrati su un tavolo.")</f>
        <v>Appare un artista del salone e i suoi strumenti sono mostrati su un tavolo.</v>
      </c>
    </row>
    <row r="21399">
      <c r="A21399" s="4" t="s">
        <v>26946</v>
      </c>
      <c r="B21399" s="6" t="s">
        <v>26949</v>
      </c>
      <c r="C21399" s="5" t="str">
        <f>IFERROR(__xludf.DUMMYFUNCTION("GOOGLETRANSLATE(B21399,""en"",""it"")"),"La donna si asciuga i capelli prima di posare, e viene mostrata passo dopo passo creando riccioli tra i capelli con i suoi strumenti.")</f>
        <v>La donna si asciuga i capelli prima di posare, e viene mostrata passo dopo passo creando riccioli tra i capelli con i suoi strumenti.</v>
      </c>
    </row>
    <row r="21400">
      <c r="A21400" s="4" t="s">
        <v>26946</v>
      </c>
      <c r="B21400" s="4" t="s">
        <v>26950</v>
      </c>
      <c r="C21400" s="5" t="str">
        <f>IFERROR(__xludf.DUMMYFUNCTION("GOOGLETRANSLATE(B21400,""en"",""it"")"),"Si regola e si sfiora i capelli, quindi mostra il risultato finale.")</f>
        <v>Si regola e si sfiora i capelli, quindi mostra il risultato finale.</v>
      </c>
    </row>
    <row r="21401">
      <c r="A21401" s="4" t="s">
        <v>26951</v>
      </c>
      <c r="B21401" s="4" t="s">
        <v>26952</v>
      </c>
      <c r="C21401" s="5" t="str">
        <f>IFERROR(__xludf.DUMMYFUNCTION("GOOGLETRANSLATE(B21401,""en"",""it"")"),"Un uomo sta usando un soffiatore di foglie per soffiare le foglie dall'erba.")</f>
        <v>Un uomo sta usando un soffiatore di foglie per soffiare le foglie dall'erba.</v>
      </c>
    </row>
    <row r="21402">
      <c r="A21402" s="4" t="s">
        <v>26951</v>
      </c>
      <c r="B21402" s="4" t="s">
        <v>26953</v>
      </c>
      <c r="C21402" s="5" t="str">
        <f>IFERROR(__xludf.DUMMYFUNCTION("GOOGLETRANSLATE(B21402,""en"",""it"")"),"Un'auto passa sulla strada a una velocità decente.")</f>
        <v>Un'auto passa sulla strada a una velocità decente.</v>
      </c>
    </row>
    <row r="21403">
      <c r="A21403" s="4" t="s">
        <v>26951</v>
      </c>
      <c r="B21403" s="4" t="s">
        <v>26954</v>
      </c>
      <c r="C21403" s="5" t="str">
        <f>IFERROR(__xludf.DUMMYFUNCTION("GOOGLETRANSLATE(B21403,""en"",""it"")"),"Continua a soffiare le foglie senza intoppi.")</f>
        <v>Continua a soffiare le foglie senza intoppi.</v>
      </c>
    </row>
    <row r="21404">
      <c r="A21404" s="4" t="s">
        <v>26951</v>
      </c>
      <c r="B21404" s="4" t="s">
        <v>26955</v>
      </c>
      <c r="C21404" s="5" t="str">
        <f>IFERROR(__xludf.DUMMYFUNCTION("GOOGLETRANSLATE(B21404,""en"",""it"")"),"Le foglie cadono tutte sulla strada rendendo l'erba molto migliore.")</f>
        <v>Le foglie cadono tutte sulla strada rendendo l'erba molto migliore.</v>
      </c>
    </row>
    <row r="21405">
      <c r="A21405" s="4" t="s">
        <v>26956</v>
      </c>
      <c r="B21405" s="4" t="s">
        <v>26957</v>
      </c>
      <c r="C21405" s="5" t="str">
        <f>IFERROR(__xludf.DUMMYFUNCTION("GOOGLETRANSLATE(B21405,""en"",""it"")"),"Diverse persone vengono viste andare in giro sulla tavola da surf con aquiloni in cima.")</f>
        <v>Diverse persone vengono viste andare in giro sulla tavola da surf con aquiloni in cima.</v>
      </c>
    </row>
    <row r="21406">
      <c r="A21406" s="4" t="s">
        <v>26956</v>
      </c>
      <c r="B21406" s="4" t="s">
        <v>26958</v>
      </c>
      <c r="C21406" s="5" t="str">
        <f>IFERROR(__xludf.DUMMYFUNCTION("GOOGLETRANSLATE(B21406,""en"",""it"")"),"Continuano a correre in giro e un bambino piccolo è visto da vicino.")</f>
        <v>Continuano a correre in giro e un bambino piccolo è visto da vicino.</v>
      </c>
    </row>
    <row r="21407">
      <c r="A21407" s="4" t="s">
        <v>26956</v>
      </c>
      <c r="B21407" s="4" t="s">
        <v>26959</v>
      </c>
      <c r="C21407" s="5" t="str">
        <f>IFERROR(__xludf.DUMMYFUNCTION("GOOGLETRANSLATE(B21407,""en"",""it"")"),"Vengono mostrati più colpi di loro che cavalcano l'uno verso l'altro e cavalcano lungo l'acqua.")</f>
        <v>Vengono mostrati più colpi di loro che cavalcano l'uno verso l'altro e cavalcano lungo l'acqua.</v>
      </c>
    </row>
    <row r="21408">
      <c r="A21408" s="4" t="s">
        <v>26960</v>
      </c>
      <c r="B21408" s="4" t="s">
        <v>26961</v>
      </c>
      <c r="C21408" s="5" t="str">
        <f>IFERROR(__xludf.DUMMYFUNCTION("GOOGLETRANSLATE(B21408,""en"",""it"")"),"Una persona viene vista prepararsi mentre parla alla telecamera e porta a lui facendo push up.")</f>
        <v>Una persona viene vista prepararsi mentre parla alla telecamera e porta a lui facendo push up.</v>
      </c>
    </row>
    <row r="21409">
      <c r="A21409" s="4" t="s">
        <v>26960</v>
      </c>
      <c r="B21409" s="6" t="s">
        <v>26962</v>
      </c>
      <c r="C21409" s="5" t="str">
        <f>IFERROR(__xludf.DUMMYFUNCTION("GOOGLETRANSLATE(B21409,""en"",""it"")"),"L'uomo cammina lungo un corridoio con una donna che viene introdotta e conduce nei due suonando Ping Pong.")</f>
        <v>L'uomo cammina lungo un corridoio con una donna che viene introdotta e conduce nei due suonando Ping Pong.</v>
      </c>
    </row>
    <row r="21410">
      <c r="A21410" s="4" t="s">
        <v>26960</v>
      </c>
      <c r="B21410" s="6" t="s">
        <v>26963</v>
      </c>
      <c r="C21410" s="5" t="str">
        <f>IFERROR(__xludf.DUMMYFUNCTION("GOOGLETRANSLATE(B21410,""en"",""it"")"),"I due continuano a giocare e conducono nell'uomo che solleva un basket e la donna scioccata.")</f>
        <v>I due continuano a giocare e conducono nell'uomo che solleva un basket e la donna scioccata.</v>
      </c>
    </row>
    <row r="21411">
      <c r="A21411" s="4" t="s">
        <v>26964</v>
      </c>
      <c r="B21411" s="6" t="s">
        <v>26965</v>
      </c>
      <c r="C21411" s="5" t="str">
        <f>IFERROR(__xludf.DUMMYFUNCTION("GOOGLETRANSLATE(B21411,""en"",""it"")"),"Fuori in un secchio c'è un po 'di legno e qualcuno esce e inizia a farcila sopra.")</f>
        <v>Fuori in un secchio c'è un po 'di legno e qualcuno esce e inizia a farcila sopra.</v>
      </c>
    </row>
    <row r="21412">
      <c r="A21412" s="4" t="s">
        <v>26964</v>
      </c>
      <c r="B21412" s="4" t="s">
        <v>26966</v>
      </c>
      <c r="C21412" s="5" t="str">
        <f>IFERROR(__xludf.DUMMYFUNCTION("GOOGLETRANSLATE(B21412,""en"",""it"")"),"Ci sta soffiando con una sorta di aggeggio per il fuoco che sembra uno strumento di giardinaggio.")</f>
        <v>Ci sta soffiando con una sorta di aggeggio per il fuoco che sembra uno strumento di giardinaggio.</v>
      </c>
    </row>
    <row r="21413">
      <c r="A21413" s="4" t="s">
        <v>26964</v>
      </c>
      <c r="B21413" s="4" t="s">
        <v>26967</v>
      </c>
      <c r="C21413" s="5" t="str">
        <f>IFERROR(__xludf.DUMMYFUNCTION("GOOGLETRANSLATE(B21413,""en"",""it"")"),"Sta bene e il bosco sta bruciando velocemente.")</f>
        <v>Sta bene e il bosco sta bruciando velocemente.</v>
      </c>
    </row>
    <row r="21414">
      <c r="A21414" s="4" t="s">
        <v>26964</v>
      </c>
      <c r="B21414" s="4" t="s">
        <v>26968</v>
      </c>
      <c r="C21414" s="5" t="str">
        <f>IFERROR(__xludf.DUMMYFUNCTION("GOOGLETRANSLATE(B21414,""en"",""it"")"),"Il fuoco muore un po 'ma sta ancora bruciando.")</f>
        <v>Il fuoco muore un po 'ma sta ancora bruciando.</v>
      </c>
    </row>
    <row r="21415">
      <c r="A21415" s="4" t="s">
        <v>26969</v>
      </c>
      <c r="B21415" s="6" t="s">
        <v>26970</v>
      </c>
      <c r="C21415" s="5" t="str">
        <f>IFERROR(__xludf.DUMMYFUNCTION("GOOGLETRANSLATE(B21415,""en"",""it"")"),"Una donna dimostra come creare un'acconciatura intrecciata usando una giovane donna come modella per lo stile in un tutorial sulle mani.")</f>
        <v>Una donna dimostra come creare un'acconciatura intrecciata usando una giovane donna come modella per lo stile in un tutorial sulle mani.</v>
      </c>
    </row>
    <row r="21416">
      <c r="A21416" s="4" t="s">
        <v>26969</v>
      </c>
      <c r="B21416" s="6" t="s">
        <v>26971</v>
      </c>
      <c r="C21416" s="5" t="str">
        <f>IFERROR(__xludf.DUMMYFUNCTION("GOOGLETRANSLATE(B21416,""en"",""it"")"),"Il parrucchiere inizia separando i capelli in quattro sezioni con un pettine prima di intrecciare ogni sezione e tagliare una forcina alle estremità di ogni treccia.")</f>
        <v>Il parrucchiere inizia separando i capelli in quattro sezioni con un pettine prima di intrecciare ogni sezione e tagliare una forcina alle estremità di ogni treccia.</v>
      </c>
    </row>
    <row r="21417">
      <c r="A21417" s="4" t="s">
        <v>26969</v>
      </c>
      <c r="B21417" s="4" t="s">
        <v>26972</v>
      </c>
      <c r="C21417" s="5" t="str">
        <f>IFERROR(__xludf.DUMMYFUNCTION("GOOGLETRANSLATE(B21417,""en"",""it"")"),"La donna quindi tira ogni treccia attraverso la parte anteriore dei capelli dell'attaccatura.")</f>
        <v>La donna quindi tira ogni treccia attraverso la parte anteriore dei capelli dell'attaccatura.</v>
      </c>
    </row>
    <row r="21418">
      <c r="A21418" s="4" t="s">
        <v>26969</v>
      </c>
      <c r="B21418" s="6" t="s">
        <v>26973</v>
      </c>
      <c r="C21418" s="5" t="str">
        <f>IFERROR(__xludf.DUMMYFUNCTION("GOOGLETRANSLATE(B21418,""en"",""it"")"),"Il modello mette in mostra lo sguardo mentre si è seduta sulla sedia e la telecamera cattura la sua acconciatura da diverse angolazioni prima e l'immagine di tre donne su un divano con un palloncino di elio a via volante.")</f>
        <v>Il modello mette in mostra lo sguardo mentre si è seduta sulla sedia e la telecamera cattura la sua acconciatura da diverse angolazioni prima e l'immagine di tre donne su un divano con un palloncino di elio a via volante.</v>
      </c>
    </row>
    <row r="21419">
      <c r="A21419" s="4" t="s">
        <v>26974</v>
      </c>
      <c r="B21419" s="4" t="s">
        <v>26975</v>
      </c>
      <c r="C21419" s="5" t="str">
        <f>IFERROR(__xludf.DUMMYFUNCTION("GOOGLETRANSLATE(B21419,""en"",""it"")"),"Una donna indossa una veste bianca e una cintura nera.")</f>
        <v>Una donna indossa una veste bianca e una cintura nera.</v>
      </c>
    </row>
    <row r="21420">
      <c r="A21420" s="4" t="s">
        <v>26974</v>
      </c>
      <c r="B21420" s="4" t="s">
        <v>26976</v>
      </c>
      <c r="C21420" s="5" t="str">
        <f>IFERROR(__xludf.DUMMYFUNCTION("GOOGLETRANSLATE(B21420,""en"",""it"")"),"Fa mosse di karate nella sua stanza.")</f>
        <v>Fa mosse di karate nella sua stanza.</v>
      </c>
    </row>
    <row r="21421">
      <c r="A21421" s="4" t="s">
        <v>26974</v>
      </c>
      <c r="B21421" s="4" t="s">
        <v>26977</v>
      </c>
      <c r="C21421" s="5" t="str">
        <f>IFERROR(__xludf.DUMMYFUNCTION("GOOGLETRANSLATE(B21421,""en"",""it"")"),"Si alza le gambe più volte.")</f>
        <v>Si alza le gambe più volte.</v>
      </c>
    </row>
    <row r="21422">
      <c r="A21422" s="4" t="s">
        <v>26974</v>
      </c>
      <c r="B21422" s="4" t="s">
        <v>26978</v>
      </c>
      <c r="C21422" s="5" t="str">
        <f>IFERROR(__xludf.DUMMYFUNCTION("GOOGLETRANSLATE(B21422,""en"",""it"")"),"Finisce e si alza con le braccia al suo fianco e si inchina.")</f>
        <v>Finisce e si alza con le braccia al suo fianco e si inchina.</v>
      </c>
    </row>
    <row r="21423">
      <c r="A21423" s="4" t="s">
        <v>26979</v>
      </c>
      <c r="B21423" s="4" t="s">
        <v>26980</v>
      </c>
      <c r="C21423" s="5" t="str">
        <f>IFERROR(__xludf.DUMMYFUNCTION("GOOGLETRANSLATE(B21423,""en"",""it"")"),"Un uomo in un cappotto da laboratorio bianco viene visto parlare con la telecamera e mostrare vari strumenti in un laboratorio.")</f>
        <v>Un uomo in un cappotto da laboratorio bianco viene visto parlare con la telecamera e mostrare vari strumenti in un laboratorio.</v>
      </c>
    </row>
    <row r="21424">
      <c r="A21424" s="4" t="s">
        <v>26979</v>
      </c>
      <c r="B21424" s="4" t="s">
        <v>26981</v>
      </c>
      <c r="C21424" s="5" t="str">
        <f>IFERROR(__xludf.DUMMYFUNCTION("GOOGLETRANSLATE(B21424,""en"",""it"")"),"L'asciugamano è visto seduto in un lavandino e l'uomo mostra gli strumenti di lavaggio delle mani adeguati.")</f>
        <v>L'asciugamano è visto seduto in un lavandino e l'uomo mostra gli strumenti di lavaggio delle mani adeguati.</v>
      </c>
    </row>
    <row r="21425">
      <c r="A21425" s="4" t="s">
        <v>26979</v>
      </c>
      <c r="B21425" s="4" t="s">
        <v>26982</v>
      </c>
      <c r="C21425" s="5" t="str">
        <f>IFERROR(__xludf.DUMMYFUNCTION("GOOGLETRANSLATE(B21425,""en"",""it"")"),"Mette le mani sotto il lavandino con il sapone e si lava accuratamente la mano.")</f>
        <v>Mette le mani sotto il lavandino con il sapone e si lava accuratamente la mano.</v>
      </c>
    </row>
    <row r="21426">
      <c r="A21426" s="4" t="s">
        <v>26979</v>
      </c>
      <c r="B21426" s="4" t="s">
        <v>26983</v>
      </c>
      <c r="C21426" s="5" t="str">
        <f>IFERROR(__xludf.DUMMYFUNCTION("GOOGLETRANSLATE(B21426,""en"",""it"")"),"Si asciuga le mani e continua a parlare con la telecamera come questo è importante.")</f>
        <v>Si asciuga le mani e continua a parlare con la telecamera come questo è importante.</v>
      </c>
    </row>
    <row r="21427">
      <c r="A21427" s="4" t="s">
        <v>26984</v>
      </c>
      <c r="B21427" s="4" t="s">
        <v>26985</v>
      </c>
      <c r="C21427" s="5" t="str">
        <f>IFERROR(__xludf.DUMMYFUNCTION("GOOGLETRANSLATE(B21427,""en"",""it"")"),"Vediamo infermieri dare colpi ai bambini.")</f>
        <v>Vediamo infermieri dare colpi ai bambini.</v>
      </c>
    </row>
    <row r="21428">
      <c r="A21428" s="4" t="s">
        <v>26984</v>
      </c>
      <c r="B21428" s="4" t="s">
        <v>26986</v>
      </c>
      <c r="C21428" s="5" t="str">
        <f>IFERROR(__xludf.DUMMYFUNCTION("GOOGLETRANSLATE(B21428,""en"",""it"")"),"Vediamo un laboratorio con uno scienziato.")</f>
        <v>Vediamo un laboratorio con uno scienziato.</v>
      </c>
    </row>
    <row r="21429">
      <c r="A21429" s="4" t="s">
        <v>26984</v>
      </c>
      <c r="B21429" s="4" t="s">
        <v>26987</v>
      </c>
      <c r="C21429" s="5" t="str">
        <f>IFERROR(__xludf.DUMMYFUNCTION("GOOGLETRANSLATE(B21429,""en"",""it"")"),"Vediamo una persona in una risonanza magnetica e vediamo un medico che guarda i risultati.")</f>
        <v>Vediamo una persona in una risonanza magnetica e vediamo un medico che guarda i risultati.</v>
      </c>
    </row>
    <row r="21430">
      <c r="A21430" s="4" t="s">
        <v>26984</v>
      </c>
      <c r="B21430" s="4" t="s">
        <v>26988</v>
      </c>
      <c r="C21430" s="5" t="str">
        <f>IFERROR(__xludf.DUMMYFUNCTION("GOOGLETRANSLATE(B21430,""en"",""it"")"),"Il caffè viene versato in una tazza bianca.")</f>
        <v>Il caffè viene versato in una tazza bianca.</v>
      </c>
    </row>
    <row r="21431">
      <c r="A21431" s="4" t="s">
        <v>26984</v>
      </c>
      <c r="B21431" s="4" t="s">
        <v>26989</v>
      </c>
      <c r="C21431" s="5" t="str">
        <f>IFERROR(__xludf.DUMMYFUNCTION("GOOGLETRANSLATE(B21431,""en"",""it"")"),"I chicchi di caffè si riversano l'un l'altro.")</f>
        <v>I chicchi di caffè si riversano l'un l'altro.</v>
      </c>
    </row>
    <row r="21432">
      <c r="A21432" s="4" t="s">
        <v>26984</v>
      </c>
      <c r="B21432" s="4" t="s">
        <v>26990</v>
      </c>
      <c r="C21432" s="5" t="str">
        <f>IFERROR(__xludf.DUMMYFUNCTION("GOOGLETRANSLATE(B21432,""en"",""it"")"),"Vediamo persone che preparano caffè in una caffetteria.")</f>
        <v>Vediamo persone che preparano caffè in una caffetteria.</v>
      </c>
    </row>
    <row r="21433">
      <c r="A21433" s="4" t="s">
        <v>26991</v>
      </c>
      <c r="B21433" s="4" t="s">
        <v>21372</v>
      </c>
      <c r="C21433" s="5" t="str">
        <f>IFERROR(__xludf.DUMMYFUNCTION("GOOGLETRANSLATE(B21433,""en"",""it"")"),"Una donna con una camicia nera sta parlando con la telecamera.")</f>
        <v>Una donna con una camicia nera sta parlando con la telecamera.</v>
      </c>
    </row>
    <row r="21434">
      <c r="A21434" s="4" t="s">
        <v>26991</v>
      </c>
      <c r="B21434" s="6" t="s">
        <v>26992</v>
      </c>
      <c r="C21434" s="5" t="str">
        <f>IFERROR(__xludf.DUMMYFUNCTION("GOOGLETRANSLATE(B21434,""en"",""it"")"),"La scena passa in un gruppo di giovani che portano pezzi di legno in un'area aperta all'aperto.")</f>
        <v>La scena passa in un gruppo di giovani che portano pezzi di legno in un'area aperta all'aperto.</v>
      </c>
    </row>
    <row r="21435">
      <c r="A21435" s="4" t="s">
        <v>26991</v>
      </c>
      <c r="B21435" s="4" t="s">
        <v>26993</v>
      </c>
      <c r="C21435" s="5" t="str">
        <f>IFERROR(__xludf.DUMMYFUNCTION("GOOGLETRANSLATE(B21435,""en"",""it"")"),"Cominciano a tentare di tagliare il legno, ma all'inizio hanno difficoltà a far uscire l'ascia.")</f>
        <v>Cominciano a tentare di tagliare il legno, ma all'inizio hanno difficoltà a far uscire l'ascia.</v>
      </c>
    </row>
    <row r="21436">
      <c r="A21436" s="4" t="s">
        <v>26991</v>
      </c>
      <c r="B21436" s="4" t="s">
        <v>26994</v>
      </c>
      <c r="C21436" s="5" t="str">
        <f>IFERROR(__xludf.DUMMYFUNCTION("GOOGLETRANSLATE(B21436,""en"",""it"")"),"Una donna finalmente fa uscire l'ascia e iniziano a tagliare il legno.")</f>
        <v>Una donna finalmente fa uscire l'ascia e iniziano a tagliare il legno.</v>
      </c>
    </row>
    <row r="21437">
      <c r="A21437" s="4" t="s">
        <v>26991</v>
      </c>
      <c r="B21437" s="6" t="s">
        <v>26995</v>
      </c>
      <c r="C21437" s="5" t="str">
        <f>IFERROR(__xludf.DUMMYFUNCTION("GOOGLETRANSLATE(B21437,""en"",""it"")"),"La telecamera si muove agli spettatori mentre una donna in una bandanna taglia il legno e prende un inchino.")</f>
        <v>La telecamera si muove agli spettatori mentre una donna in una bandanna taglia il legno e prende un inchino.</v>
      </c>
    </row>
    <row r="21438">
      <c r="A21438" s="4" t="s">
        <v>26991</v>
      </c>
      <c r="B21438" s="4" t="s">
        <v>26996</v>
      </c>
      <c r="C21438" s="5" t="str">
        <f>IFERROR(__xludf.DUMMYFUNCTION("GOOGLETRANSLATE(B21438,""en"",""it"")"),"La scena torna alla donna che era all'inizio del video.")</f>
        <v>La scena torna alla donna che era all'inizio del video.</v>
      </c>
    </row>
    <row r="21439">
      <c r="A21439" s="4" t="s">
        <v>26991</v>
      </c>
      <c r="B21439" s="4" t="s">
        <v>26997</v>
      </c>
      <c r="C21439" s="5" t="str">
        <f>IFERROR(__xludf.DUMMYFUNCTION("GOOGLETRANSLATE(B21439,""en"",""it"")"),"Il video termina con le donne intorno al legno sorpreso quando qualcosa cade.")</f>
        <v>Il video termina con le donne intorno al legno sorpreso quando qualcosa cade.</v>
      </c>
    </row>
    <row r="21440">
      <c r="A21440" s="4" t="s">
        <v>26998</v>
      </c>
      <c r="B21440" s="4" t="s">
        <v>26999</v>
      </c>
      <c r="C21440" s="5" t="str">
        <f>IFERROR(__xludf.DUMMYFUNCTION("GOOGLETRANSLATE(B21440,""en"",""it"")"),"Una persona mette gli occhiali di sicurezza e cammina attraverso un cancello in un cortile.")</f>
        <v>Una persona mette gli occhiali di sicurezza e cammina attraverso un cancello in un cortile.</v>
      </c>
    </row>
    <row r="21441">
      <c r="A21441" s="4" t="s">
        <v>26998</v>
      </c>
      <c r="B21441" s="4" t="s">
        <v>27000</v>
      </c>
      <c r="C21441" s="5" t="str">
        <f>IFERROR(__xludf.DUMMYFUNCTION("GOOGLETRANSLATE(B21441,""en"",""it"")"),"La persona soffia le foglie da un vialetto usando un soffiatore elettrico.")</f>
        <v>La persona soffia le foglie da un vialetto usando un soffiatore elettrico.</v>
      </c>
    </row>
    <row r="21442">
      <c r="A21442" s="4" t="s">
        <v>26998</v>
      </c>
      <c r="B21442" s="4" t="s">
        <v>27001</v>
      </c>
      <c r="C21442" s="5" t="str">
        <f>IFERROR(__xludf.DUMMYFUNCTION("GOOGLETRANSLATE(B21442,""en"",""it"")"),"La persona soffia le foglie da un'area erbosa usando il soffiatore.")</f>
        <v>La persona soffia le foglie da un'area erbosa usando il soffiatore.</v>
      </c>
    </row>
    <row r="21443">
      <c r="A21443" s="4" t="s">
        <v>26998</v>
      </c>
      <c r="B21443" s="4" t="s">
        <v>27002</v>
      </c>
      <c r="C21443" s="5" t="str">
        <f>IFERROR(__xludf.DUMMYFUNCTION("GOOGLETRANSLATE(B21443,""en"",""it"")"),"Il soffiatore è visto vicino con diversi allegati e impostazioni presenti.")</f>
        <v>Il soffiatore è visto vicino con diversi allegati e impostazioni presenti.</v>
      </c>
    </row>
    <row r="21444">
      <c r="A21444" s="4" t="s">
        <v>27003</v>
      </c>
      <c r="B21444" s="4" t="s">
        <v>27004</v>
      </c>
      <c r="C21444" s="5" t="str">
        <f>IFERROR(__xludf.DUMMYFUNCTION("GOOGLETRANSLATE(B21444,""en"",""it"")"),"Un uomo si avvicina a un quadrato disegnato sulla spiaggia e gira il corpo avanti e indietro.")</f>
        <v>Un uomo si avvicina a un quadrato disegnato sulla spiaggia e gira il corpo avanti e indietro.</v>
      </c>
    </row>
    <row r="21445">
      <c r="A21445" s="4" t="s">
        <v>27003</v>
      </c>
      <c r="B21445" s="4" t="s">
        <v>27005</v>
      </c>
      <c r="C21445" s="5" t="str">
        <f>IFERROR(__xludf.DUMMYFUNCTION("GOOGLETRANSLATE(B21445,""en"",""it"")"),"Quindi, l'uomo si avvicina al triangolo e fa i movimenti delle mani, dopo che l'uomo ha unito le mani.")</f>
        <v>Quindi, l'uomo si avvicina al triangolo e fa i movimenti delle mani, dopo che l'uomo ha unito le mani.</v>
      </c>
    </row>
    <row r="21446">
      <c r="A21446" s="4" t="s">
        <v>27006</v>
      </c>
      <c r="B21446" s="4" t="s">
        <v>27007</v>
      </c>
      <c r="C21446" s="5" t="str">
        <f>IFERROR(__xludf.DUMMYFUNCTION("GOOGLETRANSLATE(B21446,""en"",""it"")"),"Un uomo che indossa un grembiule sta ridendo sopra un tavolo.")</f>
        <v>Un uomo che indossa un grembiule sta ridendo sopra un tavolo.</v>
      </c>
    </row>
    <row r="21447">
      <c r="A21447" s="4" t="s">
        <v>27006</v>
      </c>
      <c r="B21447" s="4" t="s">
        <v>27008</v>
      </c>
      <c r="C21447" s="5" t="str">
        <f>IFERROR(__xludf.DUMMYFUNCTION("GOOGLETRANSLATE(B21447,""en"",""it"")"),"Viene mostrato con una ciotola capiente e diverse uova crollate.")</f>
        <v>Viene mostrato con una ciotola capiente e diverse uova crollate.</v>
      </c>
    </row>
    <row r="21448">
      <c r="A21448" s="4" t="s">
        <v>27006</v>
      </c>
      <c r="B21448" s="4" t="s">
        <v>27009</v>
      </c>
      <c r="C21448" s="5" t="str">
        <f>IFERROR(__xludf.DUMMYFUNCTION("GOOGLETRANSLATE(B21448,""en"",""it"")"),"Parla a un gruppo di persone su cosa fare con le uova.")</f>
        <v>Parla a un gruppo di persone su cosa fare con le uova.</v>
      </c>
    </row>
    <row r="21449">
      <c r="A21449" s="4" t="s">
        <v>27006</v>
      </c>
      <c r="B21449" s="4" t="s">
        <v>27010</v>
      </c>
      <c r="C21449" s="5" t="str">
        <f>IFERROR(__xludf.DUMMYFUNCTION("GOOGLETRANSLATE(B21449,""en"",""it"")"),"Crea una frittata, poi la piazza.")</f>
        <v>Crea una frittata, poi la piazza.</v>
      </c>
    </row>
    <row r="21450">
      <c r="A21450" s="4" t="s">
        <v>27011</v>
      </c>
      <c r="B21450" s="4" t="s">
        <v>27012</v>
      </c>
      <c r="C21450" s="5" t="str">
        <f>IFERROR(__xludf.DUMMYFUNCTION("GOOGLETRANSLATE(B21450,""en"",""it"")"),"Un gruppo di uomini sta giocando a pallavolo sulla spiaggia, 3 su un lato e 2 dall'altra parte.")</f>
        <v>Un gruppo di uomini sta giocando a pallavolo sulla spiaggia, 3 su un lato e 2 dall'altra parte.</v>
      </c>
    </row>
    <row r="21451">
      <c r="A21451" s="4" t="s">
        <v>27011</v>
      </c>
      <c r="B21451" s="4" t="s">
        <v>27013</v>
      </c>
      <c r="C21451" s="5" t="str">
        <f>IFERROR(__xludf.DUMMYFUNCTION("GOOGLETRANSLATE(B21451,""en"",""it"")"),"Una squadra tenta di servire e si schianta in rete.")</f>
        <v>Una squadra tenta di servire e si schianta in rete.</v>
      </c>
    </row>
    <row r="21452">
      <c r="A21452" s="4" t="s">
        <v>27011</v>
      </c>
      <c r="B21452" s="6" t="s">
        <v>27014</v>
      </c>
      <c r="C21452" s="5" t="str">
        <f>IFERROR(__xludf.DUMMYFUNCTION("GOOGLETRANSLATE(B21452,""en"",""it"")"),"L'altra squadra (shorthanding) invia il proprio servizio, un semplice LOB, ma la squadra avversaria elimina il loro ritorno dai limiti.")</f>
        <v>L'altra squadra (shorthanding) invia il proprio servizio, un semplice LOB, ma la squadra avversaria elimina il loro ritorno dai limiti.</v>
      </c>
    </row>
    <row r="21453">
      <c r="A21453" s="4" t="s">
        <v>27015</v>
      </c>
      <c r="B21453" s="4" t="s">
        <v>27016</v>
      </c>
      <c r="C21453" s="5" t="str">
        <f>IFERROR(__xludf.DUMMYFUNCTION("GOOGLETRANSLATE(B21453,""en"",""it"")"),"La gente cavalca le auto a paraurti in un carnevale.")</f>
        <v>La gente cavalca le auto a paraurti in un carnevale.</v>
      </c>
    </row>
    <row r="21454">
      <c r="A21454" s="4" t="s">
        <v>27015</v>
      </c>
      <c r="B21454" s="4" t="s">
        <v>27017</v>
      </c>
      <c r="C21454" s="5" t="str">
        <f>IFERROR(__xludf.DUMMYFUNCTION("GOOGLETRANSLATE(B21454,""en"",""it"")"),"Un vecchio cavalca una piccola auto a paraurti.")</f>
        <v>Un vecchio cavalca una piccola auto a paraurti.</v>
      </c>
    </row>
    <row r="21455">
      <c r="A21455" s="4" t="s">
        <v>27015</v>
      </c>
      <c r="B21455" s="4" t="s">
        <v>27018</v>
      </c>
      <c r="C21455" s="5" t="str">
        <f>IFERROR(__xludf.DUMMYFUNCTION("GOOGLETRANSLATE(B21455,""en"",""it"")"),"Diverse persone rimangono bloccate con altre auto paraurti.")</f>
        <v>Diverse persone rimangono bloccate con altre auto paraurti.</v>
      </c>
    </row>
    <row r="21456">
      <c r="A21456" s="4" t="s">
        <v>27015</v>
      </c>
      <c r="B21456" s="4" t="s">
        <v>27019</v>
      </c>
      <c r="C21456" s="5" t="str">
        <f>IFERROR(__xludf.DUMMYFUNCTION("GOOGLETRANSLATE(B21456,""en"",""it"")"),"Ci sono molte persone nel carnevale.")</f>
        <v>Ci sono molte persone nel carnevale.</v>
      </c>
    </row>
    <row r="21457">
      <c r="A21457" s="4" t="s">
        <v>27020</v>
      </c>
      <c r="B21457" s="4" t="s">
        <v>27021</v>
      </c>
      <c r="C21457" s="5" t="str">
        <f>IFERROR(__xludf.DUMMYFUNCTION("GOOGLETRANSLATE(B21457,""en"",""it"")"),"Una ragazza e un uomo stanno praticando la boxe in palestra.")</f>
        <v>Una ragazza e un uomo stanno praticando la boxe in palestra.</v>
      </c>
    </row>
    <row r="21458">
      <c r="A21458" s="4" t="s">
        <v>27020</v>
      </c>
      <c r="B21458" s="4" t="s">
        <v>27022</v>
      </c>
      <c r="C21458" s="5" t="str">
        <f>IFERROR(__xludf.DUMMYFUNCTION("GOOGLETRANSLATE(B21458,""en"",""it"")"),"C'è un sacco da punzonatrice che oscilla sullo sfondo.")</f>
        <v>C'è un sacco da punzonatrice che oscilla sullo sfondo.</v>
      </c>
    </row>
    <row r="21459">
      <c r="A21459" s="4" t="s">
        <v>27020</v>
      </c>
      <c r="B21459" s="4" t="s">
        <v>27023</v>
      </c>
      <c r="C21459" s="5" t="str">
        <f>IFERROR(__xludf.DUMMYFUNCTION("GOOGLETRANSLATE(B21459,""en"",""it"")"),"La ragazza e l'uomo si muovono intorno al pavimento oscillando l'uno contro l'altro.")</f>
        <v>La ragazza e l'uomo si muovono intorno al pavimento oscillando l'uno contro l'altro.</v>
      </c>
    </row>
    <row r="21460">
      <c r="A21460" s="4" t="s">
        <v>27024</v>
      </c>
      <c r="B21460" s="4" t="s">
        <v>27025</v>
      </c>
      <c r="C21460" s="5" t="str">
        <f>IFERROR(__xludf.DUMMYFUNCTION("GOOGLETRANSLATE(B21460,""en"",""it"")"),"I bambini praticano la ginnastica in una stanza.")</f>
        <v>I bambini praticano la ginnastica in una stanza.</v>
      </c>
    </row>
    <row r="21461">
      <c r="A21461" s="4" t="s">
        <v>27024</v>
      </c>
      <c r="B21461" s="4" t="s">
        <v>27026</v>
      </c>
      <c r="C21461" s="5" t="str">
        <f>IFERROR(__xludf.DUMMYFUNCTION("GOOGLETRANSLATE(B21461,""en"",""it"")"),"Una donna aiuta un bambino a fare un giro.")</f>
        <v>Una donna aiuta un bambino a fare un giro.</v>
      </c>
    </row>
    <row r="21462">
      <c r="A21462" s="4" t="s">
        <v>27024</v>
      </c>
      <c r="B21462" s="4" t="s">
        <v>27027</v>
      </c>
      <c r="C21462" s="5" t="str">
        <f>IFERROR(__xludf.DUMMYFUNCTION("GOOGLETRANSLATE(B21462,""en"",""it"")"),"Alcuni bambini danno il via a un muro.")</f>
        <v>Alcuni bambini danno il via a un muro.</v>
      </c>
    </row>
    <row r="21463">
      <c r="A21463" s="4" t="s">
        <v>27024</v>
      </c>
      <c r="B21463" s="4" t="s">
        <v>27028</v>
      </c>
      <c r="C21463" s="5" t="str">
        <f>IFERROR(__xludf.DUMMYFUNCTION("GOOGLETRANSLATE(B21463,""en"",""it"")"),"Alcuni altri bambini fanno più lanci.")</f>
        <v>Alcuni altri bambini fanno più lanci.</v>
      </c>
    </row>
    <row r="21464">
      <c r="A21464" s="4" t="s">
        <v>27029</v>
      </c>
      <c r="B21464" s="4" t="s">
        <v>27030</v>
      </c>
      <c r="C21464" s="5" t="str">
        <f>IFERROR(__xludf.DUMMYFUNCTION("GOOGLETRANSLATE(B21464,""en"",""it"")"),"Un uomo che indossa un cappello sta parlando su un palco.")</f>
        <v>Un uomo che indossa un cappello sta parlando su un palco.</v>
      </c>
    </row>
    <row r="21465">
      <c r="A21465" s="4" t="s">
        <v>27029</v>
      </c>
      <c r="B21465" s="4" t="s">
        <v>27031</v>
      </c>
      <c r="C21465" s="5" t="str">
        <f>IFERROR(__xludf.DUMMYFUNCTION("GOOGLETRANSLATE(B21465,""en"",""it"")"),"Una donna entra e lei inizia a ballare.")</f>
        <v>Una donna entra e lei inizia a ballare.</v>
      </c>
    </row>
    <row r="21466">
      <c r="A21466" s="4" t="s">
        <v>27029</v>
      </c>
      <c r="B21466" s="4" t="s">
        <v>27032</v>
      </c>
      <c r="C21466" s="5" t="str">
        <f>IFERROR(__xludf.DUMMYFUNCTION("GOOGLETRANSLATE(B21466,""en"",""it"")"),"La donna accende un cerchio di hula sul fuoco, ballando con il cerchio.")</f>
        <v>La donna accende un cerchio di hula sul fuoco, ballando con il cerchio.</v>
      </c>
    </row>
    <row r="21467">
      <c r="A21467" s="4" t="s">
        <v>27033</v>
      </c>
      <c r="B21467" s="4" t="s">
        <v>27034</v>
      </c>
      <c r="C21467" s="5" t="str">
        <f>IFERROR(__xludf.DUMMYFUNCTION("GOOGLETRANSLATE(B21467,""en"",""it"")"),"Un ragazzo mette insieme un cubo Rubix e lo lascia eccitare.")</f>
        <v>Un ragazzo mette insieme un cubo Rubix e lo lascia eccitare.</v>
      </c>
    </row>
    <row r="21468">
      <c r="A21468" s="4" t="s">
        <v>27033</v>
      </c>
      <c r="B21468" s="4" t="s">
        <v>27035</v>
      </c>
      <c r="C21468" s="5" t="str">
        <f>IFERROR(__xludf.DUMMYFUNCTION("GOOGLETRANSLATE(B21468,""en"",""it"")"),"Salta e batte le mani insieme così felici.")</f>
        <v>Salta e batte le mani insieme così felici.</v>
      </c>
    </row>
    <row r="21469">
      <c r="A21469" s="4" t="s">
        <v>27033</v>
      </c>
      <c r="B21469" s="4" t="s">
        <v>27036</v>
      </c>
      <c r="C21469" s="5" t="str">
        <f>IFERROR(__xludf.DUMMYFUNCTION("GOOGLETRANSLATE(B21469,""en"",""it"")"),"Un altro ragazzo lo sta facendo solo con i suoi piedi.")</f>
        <v>Un altro ragazzo lo sta facendo solo con i suoi piedi.</v>
      </c>
    </row>
    <row r="21470">
      <c r="A21470" s="4" t="s">
        <v>27033</v>
      </c>
      <c r="B21470" s="4" t="s">
        <v>27037</v>
      </c>
      <c r="C21470" s="5" t="str">
        <f>IFERROR(__xludf.DUMMYFUNCTION("GOOGLETRANSLATE(B21470,""en"",""it"")"),"È una competizione, il pubblico sta guardando mentre le persone in competizione vengono programmate.")</f>
        <v>È una competizione, il pubblico sta guardando mentre le persone in competizione vengono programmate.</v>
      </c>
    </row>
    <row r="21471">
      <c r="A21471" s="4" t="s">
        <v>27038</v>
      </c>
      <c r="B21471" s="6" t="s">
        <v>27039</v>
      </c>
      <c r="C21471" s="5" t="str">
        <f>IFERROR(__xludf.DUMMYFUNCTION("GOOGLETRANSLATE(B21471,""en"",""it"")"),"Gli schermi iniziano ad apparire con parole bianche su di loro che descrivono eventi che stanno per aver luogo.")</f>
        <v>Gli schermi iniziano ad apparire con parole bianche su di loro che descrivono eventi che stanno per aver luogo.</v>
      </c>
    </row>
    <row r="21472">
      <c r="A21472" s="4" t="s">
        <v>27038</v>
      </c>
      <c r="B21472" s="4" t="s">
        <v>27040</v>
      </c>
      <c r="C21472" s="5" t="str">
        <f>IFERROR(__xludf.DUMMYFUNCTION("GOOGLETRANSLATE(B21472,""en"",""it"")"),"Un'immagine fissa viene quindi mostrata prima che un ragazzo tenta di fare diversi salti a volta.")</f>
        <v>Un'immagine fissa viene quindi mostrata prima che un ragazzo tenta di fare diversi salti a volta.</v>
      </c>
    </row>
    <row r="21473">
      <c r="A21473" s="4" t="s">
        <v>27038</v>
      </c>
      <c r="B21473" s="4" t="s">
        <v>27041</v>
      </c>
      <c r="C21473" s="5" t="str">
        <f>IFERROR(__xludf.DUMMYFUNCTION("GOOGLETRANSLATE(B21473,""en"",""it"")"),"Appare un altro schermo nero e una persona diversa cerca di fare il salto, ma anche lui colpisce il palo.")</f>
        <v>Appare un altro schermo nero e una persona diversa cerca di fare il salto, ma anche lui colpisce il palo.</v>
      </c>
    </row>
    <row r="21474">
      <c r="A21474" s="4" t="s">
        <v>27038</v>
      </c>
      <c r="B21474" s="4" t="s">
        <v>27042</v>
      </c>
      <c r="C21474" s="5" t="str">
        <f>IFERROR(__xludf.DUMMYFUNCTION("GOOGLETRANSLATE(B21474,""en"",""it"")"),"Una volta che ha finito, un uomo diverso tenta di farlo, ma non ha nemmeno successo.")</f>
        <v>Una volta che ha finito, un uomo diverso tenta di farlo, ma non ha nemmeno successo.</v>
      </c>
    </row>
    <row r="21475">
      <c r="A21475" s="4" t="s">
        <v>27043</v>
      </c>
      <c r="B21475" s="4" t="s">
        <v>27044</v>
      </c>
      <c r="C21475" s="5" t="str">
        <f>IFERROR(__xludf.DUMMYFUNCTION("GOOGLETRANSLATE(B21475,""en"",""it"")"),"Una donna sta parlando con la telecamera mentre si trova su uno sfondo bianco.")</f>
        <v>Una donna sta parlando con la telecamera mentre si trova su uno sfondo bianco.</v>
      </c>
    </row>
    <row r="21476">
      <c r="A21476" s="4" t="s">
        <v>27043</v>
      </c>
      <c r="B21476" s="4" t="s">
        <v>27045</v>
      </c>
      <c r="C21476" s="5" t="str">
        <f>IFERROR(__xludf.DUMMYFUNCTION("GOOGLETRANSLATE(B21476,""en"",""it"")"),"Alza un cerchio di hula mentre parla.")</f>
        <v>Alza un cerchio di hula mentre parla.</v>
      </c>
    </row>
    <row r="21477">
      <c r="A21477" s="4" t="s">
        <v>27043</v>
      </c>
      <c r="B21477" s="6" t="s">
        <v>27046</v>
      </c>
      <c r="C21477" s="5" t="str">
        <f>IFERROR(__xludf.DUMMYFUNCTION("GOOGLETRANSLATE(B21477,""en"",""it"")"),"Quindi mostra come utilizzare il cerchio di hula mentre fa esercizi e pose yoga, a volte inserendo parti del suo corpo nel cerchio.")</f>
        <v>Quindi mostra come utilizzare il cerchio di hula mentre fa esercizi e pose yoga, a volte inserendo parti del suo corpo nel cerchio.</v>
      </c>
    </row>
    <row r="21478">
      <c r="A21478" s="4" t="s">
        <v>27047</v>
      </c>
      <c r="B21478" s="4" t="s">
        <v>27048</v>
      </c>
      <c r="C21478" s="5" t="str">
        <f>IFERROR(__xludf.DUMMYFUNCTION("GOOGLETRANSLATE(B21478,""en"",""it"")"),"Le persone camminano oltre la telecamera.")</f>
        <v>Le persone camminano oltre la telecamera.</v>
      </c>
    </row>
    <row r="21479">
      <c r="A21479" s="4" t="s">
        <v>27047</v>
      </c>
      <c r="B21479" s="6" t="s">
        <v>27049</v>
      </c>
      <c r="C21479" s="5" t="str">
        <f>IFERROR(__xludf.DUMMYFUNCTION("GOOGLETRANSLATE(B21479,""en"",""it"")"),"La telecamera si ingrandisce per mostrare alle persone che nuotano in piscina e alcuni giocano a pallavolo in piscina.")</f>
        <v>La telecamera si ingrandisce per mostrare alle persone che nuotano in piscina e alcuni giocano a pallavolo in piscina.</v>
      </c>
    </row>
    <row r="21480">
      <c r="A21480" s="4" t="s">
        <v>27047</v>
      </c>
      <c r="B21480" s="4" t="s">
        <v>27050</v>
      </c>
      <c r="C21480" s="5" t="str">
        <f>IFERROR(__xludf.DUMMYFUNCTION("GOOGLETRANSLATE(B21480,""en"",""it"")"),"Una persona esce dalla piscina e si allontana.")</f>
        <v>Una persona esce dalla piscina e si allontana.</v>
      </c>
    </row>
    <row r="21481">
      <c r="A21481" s="4" t="s">
        <v>27047</v>
      </c>
      <c r="B21481" s="4" t="s">
        <v>27051</v>
      </c>
      <c r="C21481" s="5" t="str">
        <f>IFERROR(__xludf.DUMMYFUNCTION("GOOGLETRANSLATE(B21481,""en"",""it"")"),"Una persona lancia la palla sulla faccia di qualcuno.")</f>
        <v>Una persona lancia la palla sulla faccia di qualcuno.</v>
      </c>
    </row>
    <row r="21482">
      <c r="A21482" s="4" t="s">
        <v>27047</v>
      </c>
      <c r="B21482" s="4" t="s">
        <v>27052</v>
      </c>
      <c r="C21482" s="5" t="str">
        <f>IFERROR(__xludf.DUMMYFUNCTION("GOOGLETRANSLATE(B21482,""en"",""it"")"),"Le persone lanciano le palle così lontano che escono dalla piscina.")</f>
        <v>Le persone lanciano le palle così lontano che escono dalla piscina.</v>
      </c>
    </row>
    <row r="21483">
      <c r="A21483" s="4" t="s">
        <v>27053</v>
      </c>
      <c r="B21483" s="4" t="s">
        <v>27054</v>
      </c>
      <c r="C21483" s="5" t="str">
        <f>IFERROR(__xludf.DUMMYFUNCTION("GOOGLETRANSLATE(B21483,""en"",""it"")"),"Un'introduzione inizia intitolata come tagliare l'erba.")</f>
        <v>Un'introduzione inizia intitolata come tagliare l'erba.</v>
      </c>
    </row>
    <row r="21484">
      <c r="A21484" s="4" t="s">
        <v>27053</v>
      </c>
      <c r="B21484" s="4" t="s">
        <v>27055</v>
      </c>
      <c r="C21484" s="5" t="str">
        <f>IFERROR(__xludf.DUMMYFUNCTION("GOOGLETRANSLATE(B21484,""en"",""it"")"),"Un uomo esce indossando un abbigliamento divertente e si mostra alla telecamera con un tosaerba.")</f>
        <v>Un uomo esce indossando un abbigliamento divertente e si mostra alla telecamera con un tosaerba.</v>
      </c>
    </row>
    <row r="21485">
      <c r="A21485" s="4" t="s">
        <v>27053</v>
      </c>
      <c r="B21485" s="4" t="s">
        <v>27056</v>
      </c>
      <c r="C21485" s="5" t="str">
        <f>IFERROR(__xludf.DUMMYFUNCTION("GOOGLETRANSLATE(B21485,""en"",""it"")"),"L'uomo quindi cammina e soffia le foglie ancora indossando il vestito divertente.")</f>
        <v>L'uomo quindi cammina e soffia le foglie ancora indossando il vestito divertente.</v>
      </c>
    </row>
    <row r="21486">
      <c r="A21486" s="4" t="s">
        <v>27057</v>
      </c>
      <c r="B21486" s="6" t="s">
        <v>27058</v>
      </c>
      <c r="C21486" s="5" t="str">
        <f>IFERROR(__xludf.DUMMYFUNCTION("GOOGLETRANSLATE(B21486,""en"",""it"")"),"Una donna in uniforme di karate bianca fa una dimostrazione di una routine sul tappeto per i giudici durante l'evento.")</f>
        <v>Una donna in uniforme di karate bianca fa una dimostrazione di una routine sul tappeto per i giudici durante l'evento.</v>
      </c>
    </row>
    <row r="21487">
      <c r="A21487" s="4" t="s">
        <v>27057</v>
      </c>
      <c r="B21487" s="4" t="s">
        <v>27059</v>
      </c>
      <c r="C21487" s="5" t="str">
        <f>IFERROR(__xludf.DUMMYFUNCTION("GOOGLETRANSLATE(B21487,""en"",""it"")"),"La donna si inchina e cammina dal tappeto.")</f>
        <v>La donna si inchina e cammina dal tappeto.</v>
      </c>
    </row>
    <row r="21488">
      <c r="A21488" s="4" t="s">
        <v>27057</v>
      </c>
      <c r="B21488" s="4" t="s">
        <v>27060</v>
      </c>
      <c r="C21488" s="5" t="str">
        <f>IFERROR(__xludf.DUMMYFUNCTION("GOOGLETRANSLATE(B21488,""en"",""it"")"),"Una donna in uniforme nera stringe le mani con i giudici.")</f>
        <v>Una donna in uniforme nera stringe le mani con i giudici.</v>
      </c>
    </row>
    <row r="21489">
      <c r="A21489" s="4" t="s">
        <v>27057</v>
      </c>
      <c r="B21489" s="4" t="s">
        <v>27061</v>
      </c>
      <c r="C21489" s="5" t="str">
        <f>IFERROR(__xludf.DUMMYFUNCTION("GOOGLETRANSLATE(B21489,""en"",""it"")"),"Una donna in uniforme bianca si avvicina e saluta i giudici che scuotono le mani.")</f>
        <v>Una donna in uniforme bianca si avvicina e saluta i giudici che scuotono le mani.</v>
      </c>
    </row>
    <row r="21490">
      <c r="A21490" s="4" t="s">
        <v>27062</v>
      </c>
      <c r="B21490" s="6" t="s">
        <v>27063</v>
      </c>
      <c r="C21490" s="5" t="str">
        <f>IFERROR(__xludf.DUMMYFUNCTION("GOOGLETRANSLATE(B21490,""en"",""it"")"),"Ci sono persone che volano aquiloni collettivamente in un enorme parcheggio in cui sono parcheggiate diverse auto e mini furgoni.")</f>
        <v>Ci sono persone che volano aquiloni collettivamente in un enorme parcheggio in cui sono parcheggiate diverse auto e mini furgoni.</v>
      </c>
    </row>
    <row r="21491">
      <c r="A21491" s="4" t="s">
        <v>27062</v>
      </c>
      <c r="B21491" s="6" t="s">
        <v>27064</v>
      </c>
      <c r="C21491" s="5" t="str">
        <f>IFERROR(__xludf.DUMMYFUNCTION("GOOGLETRANSLATE(B21491,""en"",""it"")"),"C'è un uomo in una camicia a strisce blu in piedi con un altro uomo con una camicia marrone, entrambi preparati a far volare il loro aquilone arancione.")</f>
        <v>C'è un uomo in una camicia a strisce blu in piedi con un altro uomo con una camicia marrone, entrambi preparati a far volare il loro aquilone arancione.</v>
      </c>
    </row>
    <row r="21492">
      <c r="A21492" s="4" t="s">
        <v>27062</v>
      </c>
      <c r="B21492" s="4" t="s">
        <v>27065</v>
      </c>
      <c r="C21492" s="5" t="str">
        <f>IFERROR(__xludf.DUMMYFUNCTION("GOOGLETRANSLATE(B21492,""en"",""it"")"),"Tirano fuori le corde dalla bobina e iniziano a far volare l'aquilone.")</f>
        <v>Tirano fuori le corde dalla bobina e iniziano a far volare l'aquilone.</v>
      </c>
    </row>
    <row r="21493">
      <c r="A21493" s="4" t="s">
        <v>27066</v>
      </c>
      <c r="B21493" s="4" t="s">
        <v>27067</v>
      </c>
      <c r="C21493" s="5" t="str">
        <f>IFERROR(__xludf.DUMMYFUNCTION("GOOGLETRANSLATE(B21493,""en"",""it"")"),"Due ragazzi sono scarpe da lucidatura con pennelli.")</f>
        <v>Due ragazzi sono scarpe da lucidatura con pennelli.</v>
      </c>
    </row>
    <row r="21494">
      <c r="A21494" s="4" t="s">
        <v>27066</v>
      </c>
      <c r="B21494" s="4" t="s">
        <v>27068</v>
      </c>
      <c r="C21494" s="5" t="str">
        <f>IFERROR(__xludf.DUMMYFUNCTION("GOOGLETRANSLATE(B21494,""en"",""it"")"),"Quindi, un ragazzo prende una scarpa per giocare.")</f>
        <v>Quindi, un ragazzo prende una scarpa per giocare.</v>
      </c>
    </row>
    <row r="21495">
      <c r="A21495" s="4" t="s">
        <v>27066</v>
      </c>
      <c r="B21495" s="4" t="s">
        <v>27069</v>
      </c>
      <c r="C21495" s="5" t="str">
        <f>IFERROR(__xludf.DUMMYFUNCTION("GOOGLETRANSLATE(B21495,""en"",""it"")"),"Un ragazzino mise una gamba in una grande scarpa e smalto con un pennello.")</f>
        <v>Un ragazzino mise una gamba in una grande scarpa e smalto con un pennello.</v>
      </c>
    </row>
    <row r="21496">
      <c r="A21496" s="4" t="s">
        <v>27066</v>
      </c>
      <c r="B21496" s="4" t="s">
        <v>27070</v>
      </c>
      <c r="C21496" s="5" t="str">
        <f>IFERROR(__xludf.DUMMYFUNCTION("GOOGLETRANSLATE(B21496,""en"",""it"")"),"Quindi, l'altro ragazzo mise una mano nella scarpa per lucidarla.")</f>
        <v>Quindi, l'altro ragazzo mise una mano nella scarpa per lucidarla.</v>
      </c>
    </row>
    <row r="21497">
      <c r="A21497" s="4" t="s">
        <v>27071</v>
      </c>
      <c r="B21497" s="4" t="s">
        <v>27072</v>
      </c>
      <c r="C21497" s="5" t="str">
        <f>IFERROR(__xludf.DUMMYFUNCTION("GOOGLETRANSLATE(B21497,""en"",""it"")"),"Due uomini sono su un campo da barball indoor.")</f>
        <v>Due uomini sono su un campo da barball indoor.</v>
      </c>
    </row>
    <row r="21498">
      <c r="A21498" s="4" t="s">
        <v>27071</v>
      </c>
      <c r="B21498" s="4" t="s">
        <v>2779</v>
      </c>
      <c r="C21498" s="5" t="str">
        <f>IFERROR(__xludf.DUMMYFUNCTION("GOOGLETRANSLATE(B21498,""en"",""it"")"),"Hanno colpito la palla avanti e indietro contro il muro.")</f>
        <v>Hanno colpito la palla avanti e indietro contro il muro.</v>
      </c>
    </row>
    <row r="21499">
      <c r="A21499" s="4" t="s">
        <v>27071</v>
      </c>
      <c r="B21499" s="4" t="s">
        <v>27073</v>
      </c>
      <c r="C21499" s="5" t="str">
        <f>IFERROR(__xludf.DUMMYFUNCTION("GOOGLETRANSLATE(B21499,""en"",""it"")"),"Prendono la palla e continuano a gareggiare.")</f>
        <v>Prendono la palla e continuano a gareggiare.</v>
      </c>
    </row>
    <row r="21500">
      <c r="A21500" s="4" t="s">
        <v>27074</v>
      </c>
      <c r="B21500" s="4" t="s">
        <v>27075</v>
      </c>
      <c r="C21500" s="5" t="str">
        <f>IFERROR(__xludf.DUMMYFUNCTION("GOOGLETRANSLATE(B21500,""en"",""it"")"),"L'uomo che indossa pantaloncini neri corre in pista e fa un lancio di giavellotto.")</f>
        <v>L'uomo che indossa pantaloncini neri corre in pista e fa un lancio di giavellotto.</v>
      </c>
    </row>
    <row r="21501">
      <c r="A21501" s="4" t="s">
        <v>27074</v>
      </c>
      <c r="B21501" s="4" t="s">
        <v>27076</v>
      </c>
      <c r="C21501" s="5" t="str">
        <f>IFERROR(__xludf.DUMMYFUNCTION("GOOGLETRANSLATE(B21501,""en"",""it"")"),"Gli uomini sono seduti su un lato della pista da gara.")</f>
        <v>Gli uomini sono seduti su un lato della pista da gara.</v>
      </c>
    </row>
    <row r="21502">
      <c r="A21502" s="4" t="s">
        <v>27074</v>
      </c>
      <c r="B21502" s="4" t="s">
        <v>27077</v>
      </c>
      <c r="C21502" s="5" t="str">
        <f>IFERROR(__xludf.DUMMYFUNCTION("GOOGLETRANSLATE(B21502,""en"",""it"")"),"L'uomo è in piedi in un diamante polveroso dietro la rete verde.")</f>
        <v>L'uomo è in piedi in un diamante polveroso dietro la rete verde.</v>
      </c>
    </row>
    <row r="21503">
      <c r="A21503" s="4" t="s">
        <v>27074</v>
      </c>
      <c r="B21503" s="4" t="s">
        <v>27078</v>
      </c>
      <c r="C21503" s="5" t="str">
        <f>IFERROR(__xludf.DUMMYFUNCTION("GOOGLETRANSLATE(B21503,""en"",""it"")"),"Gli uomini sono in piedi accanto a una rete verde a guardare il giavello.")</f>
        <v>Gli uomini sono in piedi accanto a una rete verde a guardare il giavello.</v>
      </c>
    </row>
    <row r="21504">
      <c r="A21504" s="4" t="s">
        <v>27074</v>
      </c>
      <c r="B21504" s="4" t="s">
        <v>27079</v>
      </c>
      <c r="C21504" s="5" t="str">
        <f>IFERROR(__xludf.DUMMYFUNCTION("GOOGLETRANSLATE(B21504,""en"",""it"")"),"Gli arbitri che indossano camicie verdi sono in piedi sul campo.")</f>
        <v>Gli arbitri che indossano camicie verdi sono in piedi sul campo.</v>
      </c>
    </row>
    <row r="21505">
      <c r="A21505" s="4" t="s">
        <v>27080</v>
      </c>
      <c r="B21505" s="4" t="s">
        <v>27081</v>
      </c>
      <c r="C21505" s="5" t="str">
        <f>IFERROR(__xludf.DUMMYFUNCTION("GOOGLETRANSLATE(B21505,""en"",""it"")"),"La donna è in cucina a parlare con la telecamera e mostra come preparare i biscotti.")</f>
        <v>La donna è in cucina a parlare con la telecamera e mostra come preparare i biscotti.</v>
      </c>
    </row>
    <row r="21506">
      <c r="A21506" s="4" t="s">
        <v>27080</v>
      </c>
      <c r="B21506" s="6" t="s">
        <v>27082</v>
      </c>
      <c r="C21506" s="5" t="str">
        <f>IFERROR(__xludf.DUMMYFUNCTION("GOOGLETRANSLATE(B21506,""en"",""it"")"),"La donna sta mescolando gli ingredienti ni un aiuto in cucina e fa palline e li mette in padella e sul forno.")</f>
        <v>La donna sta mescolando gli ingredienti ni un aiuto in cucina e fa palline e li mette in padella e sul forno.</v>
      </c>
    </row>
    <row r="21507">
      <c r="A21507" s="4" t="s">
        <v>27083</v>
      </c>
      <c r="B21507" s="4" t="s">
        <v>27084</v>
      </c>
      <c r="C21507" s="5" t="str">
        <f>IFERROR(__xludf.DUMMYFUNCTION("GOOGLETRANSLATE(B21507,""en"",""it"")"),"Una donna viene vista guardare in lontananza mentre fuma una sigaretta.")</f>
        <v>Una donna viene vista guardare in lontananza mentre fuma una sigaretta.</v>
      </c>
    </row>
    <row r="21508">
      <c r="A21508" s="4" t="s">
        <v>27083</v>
      </c>
      <c r="B21508" s="4" t="s">
        <v>27085</v>
      </c>
      <c r="C21508" s="5" t="str">
        <f>IFERROR(__xludf.DUMMYFUNCTION("GOOGLETRANSLATE(B21508,""en"",""it"")"),"Parla a qualcuno fuori dal telaio mentre prende i sbuffi dalla sua sigaretta.")</f>
        <v>Parla a qualcuno fuori dal telaio mentre prende i sbuffi dalla sua sigaretta.</v>
      </c>
    </row>
    <row r="21509">
      <c r="A21509" s="4" t="s">
        <v>27083</v>
      </c>
      <c r="B21509" s="4" t="s">
        <v>27086</v>
      </c>
      <c r="C21509" s="5" t="str">
        <f>IFERROR(__xludf.DUMMYFUNCTION("GOOGLETRANSLATE(B21509,""en"",""it"")"),"Continua a fumare mentre la telecamera cattura i suoi movimenti.")</f>
        <v>Continua a fumare mentre la telecamera cattura i suoi movimenti.</v>
      </c>
    </row>
    <row r="21510">
      <c r="A21510" s="4" t="s">
        <v>27087</v>
      </c>
      <c r="B21510" s="6" t="s">
        <v>27088</v>
      </c>
      <c r="C21510" s="5" t="str">
        <f>IFERROR(__xludf.DUMMYFUNCTION("GOOGLETRANSLATE(B21510,""en"",""it"")"),"Una donna viene vista girare due cerchi intorno alle mani mentre guarda indietro alla telecamera e parla.")</f>
        <v>Una donna viene vista girare due cerchi intorno alle mani mentre guarda indietro alla telecamera e parla.</v>
      </c>
    </row>
    <row r="21511">
      <c r="A21511" s="4" t="s">
        <v>27087</v>
      </c>
      <c r="B21511" s="4" t="s">
        <v>27089</v>
      </c>
      <c r="C21511" s="5" t="str">
        <f>IFERROR(__xludf.DUMMYFUNCTION("GOOGLETRANSLATE(B21511,""en"",""it"")"),"Continua a girare intorno ai cerchi mentre si fermano in mezzo a tenerli e parlare.")</f>
        <v>Continua a girare intorno ai cerchi mentre si fermano in mezzo a tenerli e parlare.</v>
      </c>
    </row>
    <row r="21512">
      <c r="A21512" s="4" t="s">
        <v>27090</v>
      </c>
      <c r="B21512" s="4" t="s">
        <v>27091</v>
      </c>
      <c r="C21512" s="5" t="str">
        <f>IFERROR(__xludf.DUMMYFUNCTION("GOOGLETRANSLATE(B21512,""en"",""it"")"),"Un gruppo di spettatori è raccolto in palestra.")</f>
        <v>Un gruppo di spettatori è raccolto in palestra.</v>
      </c>
    </row>
    <row r="21513">
      <c r="A21513" s="4" t="s">
        <v>27090</v>
      </c>
      <c r="B21513" s="4" t="s">
        <v>27092</v>
      </c>
      <c r="C21513" s="5" t="str">
        <f>IFERROR(__xludf.DUMMYFUNCTION("GOOGLETRANSLATE(B21513,""en"",""it"")"),"Un uomo e i suoi compagni di squadra stanno spingendo un disco.")</f>
        <v>Un uomo e i suoi compagni di squadra stanno spingendo un disco.</v>
      </c>
    </row>
    <row r="21514">
      <c r="A21514" s="4" t="s">
        <v>27090</v>
      </c>
      <c r="B21514" s="4" t="s">
        <v>27093</v>
      </c>
      <c r="C21514" s="5" t="str">
        <f>IFERROR(__xludf.DUMMYFUNCTION("GOOGLETRANSLATE(B21514,""en"",""it"")"),"Sono impegnati in una partita di arricciatura sul ghiaccio.")</f>
        <v>Sono impegnati in una partita di arricciatura sul ghiaccio.</v>
      </c>
    </row>
    <row r="21515">
      <c r="A21515" s="4" t="s">
        <v>27094</v>
      </c>
      <c r="B21515" s="6" t="s">
        <v>27095</v>
      </c>
      <c r="C21515" s="5" t="str">
        <f>IFERROR(__xludf.DUMMYFUNCTION("GOOGLETRANSLATE(B21515,""en"",""it"")"),"La telecamera si ingrandisce su diversi giocatori e conduce in un piccolo gruppo di persone che giocano il calcio l'uno contro l'altro.")</f>
        <v>La telecamera si ingrandisce su diversi giocatori e conduce in un piccolo gruppo di persone che giocano il calcio l'uno contro l'altro.</v>
      </c>
    </row>
    <row r="21516">
      <c r="A21516" s="4" t="s">
        <v>27094</v>
      </c>
      <c r="B21516" s="6" t="s">
        <v>27096</v>
      </c>
      <c r="C21516" s="5" t="str">
        <f>IFERROR(__xludf.DUMMYFUNCTION("GOOGLETRANSLATE(B21516,""en"",""it"")"),"Gli allenatori e i membri del pubblico reagiscono mentre guardano il gioco e i giocatori continuano a calciare la palla su e giù per il campo.")</f>
        <v>Gli allenatori e i membri del pubblico reagiscono mentre guardano il gioco e i giocatori continuano a calciare la palla su e giù per il campo.</v>
      </c>
    </row>
    <row r="21517">
      <c r="A21517" s="4" t="s">
        <v>27097</v>
      </c>
      <c r="B21517" s="4" t="s">
        <v>27098</v>
      </c>
      <c r="C21517" s="5" t="str">
        <f>IFERROR(__xludf.DUMMYFUNCTION("GOOGLETRANSLATE(B21517,""en"",""it"")"),"Un piccolo gruppo di persone è visto in piedi su ogni lato di una corda che alza le mani.")</f>
        <v>Un piccolo gruppo di persone è visto in piedi su ogni lato di una corda che alza le mani.</v>
      </c>
    </row>
    <row r="21518">
      <c r="A21518" s="4" t="s">
        <v>27097</v>
      </c>
      <c r="B21518" s="4" t="s">
        <v>27099</v>
      </c>
      <c r="C21518" s="5" t="str">
        <f>IFERROR(__xludf.DUMMYFUNCTION("GOOGLETRANSLATE(B21518,""en"",""it"")"),"Gli uomini poi afferrano la corda e si scontrano l'uno contro l'altro.")</f>
        <v>Gli uomini poi afferrano la corda e si scontrano l'uno contro l'altro.</v>
      </c>
    </row>
    <row r="21519">
      <c r="A21519" s="4" t="s">
        <v>27097</v>
      </c>
      <c r="B21519" s="4" t="s">
        <v>27100</v>
      </c>
      <c r="C21519" s="5" t="str">
        <f>IFERROR(__xludf.DUMMYFUNCTION("GOOGLETRANSLATE(B21519,""en"",""it"")"),"Gli uomini guardano sul lato mentre una squadra vince.")</f>
        <v>Gli uomini guardano sul lato mentre una squadra vince.</v>
      </c>
    </row>
    <row r="21520">
      <c r="A21520" s="4" t="s">
        <v>27101</v>
      </c>
      <c r="B21520" s="4" t="s">
        <v>27102</v>
      </c>
      <c r="C21520" s="5" t="str">
        <f>IFERROR(__xludf.DUMMYFUNCTION("GOOGLETRANSLATE(B21520,""en"",""it"")"),"Un folto gruppo di persone si vede in piedi intorno a una palestra interna dietro l'altra.")</f>
        <v>Un folto gruppo di persone si vede in piedi intorno a una palestra interna dietro l'altra.</v>
      </c>
    </row>
    <row r="21521">
      <c r="A21521" s="4" t="s">
        <v>27101</v>
      </c>
      <c r="B21521" s="4" t="s">
        <v>27103</v>
      </c>
      <c r="C21521" s="5" t="str">
        <f>IFERROR(__xludf.DUMMYFUNCTION("GOOGLETRANSLATE(B21521,""en"",""it"")"),"Il gruppo inizia quindi a ballare l'uno con l'altro eseguendo le stesse mosse.")</f>
        <v>Il gruppo inizia quindi a ballare l'uno con l'altro eseguendo le stesse mosse.</v>
      </c>
    </row>
    <row r="21522">
      <c r="A21522" s="4" t="s">
        <v>27101</v>
      </c>
      <c r="B21522" s="4" t="s">
        <v>27104</v>
      </c>
      <c r="C21522" s="5" t="str">
        <f>IFERROR(__xludf.DUMMYFUNCTION("GOOGLETRANSLATE(B21522,""en"",""it"")"),"Le persone continuano a ballare per la stanza mentre la telecamera registra i loro movimenti.")</f>
        <v>Le persone continuano a ballare per la stanza mentre la telecamera registra i loro movimenti.</v>
      </c>
    </row>
    <row r="21523">
      <c r="A21523" s="4" t="s">
        <v>27105</v>
      </c>
      <c r="B21523" s="4" t="s">
        <v>539</v>
      </c>
      <c r="C21523" s="5" t="str">
        <f>IFERROR(__xludf.DUMMYFUNCTION("GOOGLETRANSLATE(B21523,""en"",""it"")"),"Un uomo sta parlando con la telecamera.")</f>
        <v>Un uomo sta parlando con la telecamera.</v>
      </c>
    </row>
    <row r="21524">
      <c r="A21524" s="4" t="s">
        <v>27105</v>
      </c>
      <c r="B21524" s="4" t="s">
        <v>27106</v>
      </c>
      <c r="C21524" s="5" t="str">
        <f>IFERROR(__xludf.DUMMYFUNCTION("GOOGLETRANSLATE(B21524,""en"",""it"")"),"Vengono intervistati diversi membri del team di partite di pallavolo.")</f>
        <v>Vengono intervistati diversi membri del team di partite di pallavolo.</v>
      </c>
    </row>
    <row r="21525">
      <c r="A21525" s="4" t="s">
        <v>27105</v>
      </c>
      <c r="B21525" s="4" t="s">
        <v>27107</v>
      </c>
      <c r="C21525" s="5" t="str">
        <f>IFERROR(__xludf.DUMMYFUNCTION("GOOGLETRANSLATE(B21525,""en"",""it"")"),"Vengono mostrati giocando sulla spiaggia, calciando la palla.")</f>
        <v>Vengono mostrati giocando sulla spiaggia, calciando la palla.</v>
      </c>
    </row>
    <row r="21526">
      <c r="A21526" s="4" t="s">
        <v>27108</v>
      </c>
      <c r="B21526" s="4" t="s">
        <v>27109</v>
      </c>
      <c r="C21526" s="5" t="str">
        <f>IFERROR(__xludf.DUMMYFUNCTION("GOOGLETRANSLATE(B21526,""en"",""it"")"),"Un uomo compete risolvendo un cubo di puzzle.")</f>
        <v>Un uomo compete risolvendo un cubo di puzzle.</v>
      </c>
    </row>
    <row r="21527">
      <c r="A21527" s="4" t="s">
        <v>27108</v>
      </c>
      <c r="B21527" s="4" t="s">
        <v>27110</v>
      </c>
      <c r="C21527" s="5" t="str">
        <f>IFERROR(__xludf.DUMMYFUNCTION("GOOGLETRANSLATE(B21527,""en"",""it"")"),"Una persona passa dietro l'uomo.")</f>
        <v>Una persona passa dietro l'uomo.</v>
      </c>
    </row>
    <row r="21528">
      <c r="A21528" s="4" t="s">
        <v>27108</v>
      </c>
      <c r="B21528" s="4" t="s">
        <v>27111</v>
      </c>
      <c r="C21528" s="5" t="str">
        <f>IFERROR(__xludf.DUMMYFUNCTION("GOOGLETRANSLATE(B21528,""en"",""it"")"),"Una mano estende un foglio di fronte al giocatore.")</f>
        <v>Una mano estende un foglio di fronte al giocatore.</v>
      </c>
    </row>
    <row r="21529">
      <c r="A21529" s="4" t="s">
        <v>27108</v>
      </c>
      <c r="B21529" s="4" t="s">
        <v>27112</v>
      </c>
      <c r="C21529" s="5" t="str">
        <f>IFERROR(__xludf.DUMMYFUNCTION("GOOGLETRANSLATE(B21529,""en"",""it"")"),"Dopo aver finito, l'uomo si mette sugli occhiali.")</f>
        <v>Dopo aver finito, l'uomo si mette sugli occhiali.</v>
      </c>
    </row>
    <row r="21530">
      <c r="A21530" s="4" t="s">
        <v>27113</v>
      </c>
      <c r="B21530" s="4" t="s">
        <v>6958</v>
      </c>
      <c r="C21530" s="5" t="str">
        <f>IFERROR(__xludf.DUMMYFUNCTION("GOOGLETRANSLATE(B21530,""en"",""it"")"),"Vediamo uno schermo di apertura bianco.")</f>
        <v>Vediamo uno schermo di apertura bianco.</v>
      </c>
    </row>
    <row r="21531">
      <c r="A21531" s="4" t="s">
        <v>27113</v>
      </c>
      <c r="B21531" s="4" t="s">
        <v>27114</v>
      </c>
      <c r="C21531" s="5" t="str">
        <f>IFERROR(__xludf.DUMMYFUNCTION("GOOGLETRANSLATE(B21531,""en"",""it"")"),"Vediamo due uomini seduti e poi scuotere la testa.")</f>
        <v>Vediamo due uomini seduti e poi scuotere la testa.</v>
      </c>
    </row>
    <row r="21532">
      <c r="A21532" s="4" t="s">
        <v>27113</v>
      </c>
      <c r="B21532" s="4" t="s">
        <v>27115</v>
      </c>
      <c r="C21532" s="5" t="str">
        <f>IFERROR(__xludf.DUMMYFUNCTION("GOOGLETRANSLATE(B21532,""en"",""it"")"),"Vediamo strumenti e suggerimenti per il croquet.")</f>
        <v>Vediamo strumenti e suggerimenti per il croquet.</v>
      </c>
    </row>
    <row r="21533">
      <c r="A21533" s="4" t="s">
        <v>27113</v>
      </c>
      <c r="B21533" s="4" t="s">
        <v>27116</v>
      </c>
      <c r="C21533" s="5" t="str">
        <f>IFERROR(__xludf.DUMMYFUNCTION("GOOGLETRANSLATE(B21533,""en"",""it"")"),"I due uomini discutono del gioco.")</f>
        <v>I due uomini discutono del gioco.</v>
      </c>
    </row>
    <row r="21534">
      <c r="A21534" s="4" t="s">
        <v>27113</v>
      </c>
      <c r="B21534" s="4" t="s">
        <v>27117</v>
      </c>
      <c r="C21534" s="5" t="str">
        <f>IFERROR(__xludf.DUMMYFUNCTION("GOOGLETRANSLATE(B21534,""en"",""it"")"),"Vediamo gli uomini che giocano a croquet.")</f>
        <v>Vediamo gli uomini che giocano a croquet.</v>
      </c>
    </row>
    <row r="21535">
      <c r="A21535" s="4" t="s">
        <v>27113</v>
      </c>
      <c r="B21535" s="4" t="s">
        <v>27118</v>
      </c>
      <c r="C21535" s="5" t="str">
        <f>IFERROR(__xludf.DUMMYFUNCTION("GOOGLETRANSLATE(B21535,""en"",""it"")"),"Vediamo un diagramma sullo schermo.")</f>
        <v>Vediamo un diagramma sullo schermo.</v>
      </c>
    </row>
    <row r="21536">
      <c r="A21536" s="4" t="s">
        <v>27113</v>
      </c>
      <c r="B21536" s="4" t="s">
        <v>27119</v>
      </c>
      <c r="C21536" s="5" t="str">
        <f>IFERROR(__xludf.DUMMYFUNCTION("GOOGLETRANSLATE(B21536,""en"",""it"")"),"L'uomo ha il piede su una palla rossa.")</f>
        <v>L'uomo ha il piede su una palla rossa.</v>
      </c>
    </row>
    <row r="21537">
      <c r="A21537" s="4" t="s">
        <v>27113</v>
      </c>
      <c r="B21537" s="4" t="s">
        <v>27120</v>
      </c>
      <c r="C21537" s="5" t="str">
        <f>IFERROR(__xludf.DUMMYFUNCTION("GOOGLETRANSLATE(B21537,""en"",""it"")"),"Vediamo un uomo ridere e ballare mentre un altro è arrabbiato.")</f>
        <v>Vediamo un uomo ridere e ballare mentre un altro è arrabbiato.</v>
      </c>
    </row>
    <row r="21538">
      <c r="A21538" s="4" t="s">
        <v>27113</v>
      </c>
      <c r="B21538" s="4" t="s">
        <v>777</v>
      </c>
      <c r="C21538" s="5" t="str">
        <f>IFERROR(__xludf.DUMMYFUNCTION("GOOGLETRANSLATE(B21538,""en"",""it"")"),"Vediamo la schermata del titolo finale.")</f>
        <v>Vediamo la schermata del titolo finale.</v>
      </c>
    </row>
    <row r="21539">
      <c r="A21539" s="4" t="s">
        <v>27121</v>
      </c>
      <c r="B21539" s="4" t="s">
        <v>27122</v>
      </c>
      <c r="C21539" s="5" t="str">
        <f>IFERROR(__xludf.DUMMYFUNCTION("GOOGLETRANSLATE(B21539,""en"",""it"")"),"Un uomo viene visto seduto in un kayak mentre parla alla telecamera e tiene una pagaia.")</f>
        <v>Un uomo viene visto seduto in un kayak mentre parla alla telecamera e tiene una pagaia.</v>
      </c>
    </row>
    <row r="21540">
      <c r="A21540" s="4" t="s">
        <v>27121</v>
      </c>
      <c r="B21540" s="4" t="s">
        <v>27123</v>
      </c>
      <c r="C21540" s="5" t="str">
        <f>IFERROR(__xludf.DUMMYFUNCTION("GOOGLETRANSLATE(B21540,""en"",""it"")"),"L'uomo si muove quindi sul kayak mentre dimostra come muoversi correttamente.")</f>
        <v>L'uomo si muove quindi sul kayak mentre dimostra come muoversi correttamente.</v>
      </c>
    </row>
    <row r="21541">
      <c r="A21541" s="4" t="s">
        <v>27121</v>
      </c>
      <c r="B21541" s="4" t="s">
        <v>27124</v>
      </c>
      <c r="C21541" s="5" t="str">
        <f>IFERROR(__xludf.DUMMYFUNCTION("GOOGLETRANSLATE(B21541,""en"",""it"")"),"Continua a girare mentre guarda la telecamera.")</f>
        <v>Continua a girare mentre guarda la telecamera.</v>
      </c>
    </row>
    <row r="21542">
      <c r="A21542" s="4" t="s">
        <v>27125</v>
      </c>
      <c r="B21542" s="4" t="s">
        <v>27126</v>
      </c>
      <c r="C21542" s="5" t="str">
        <f>IFERROR(__xludf.DUMMYFUNCTION("GOOGLETRANSLATE(B21542,""en"",""it"")"),"Un uomo con gli occhiali da sole è in piedi fuori da un edificio.")</f>
        <v>Un uomo con gli occhiali da sole è in piedi fuori da un edificio.</v>
      </c>
    </row>
    <row r="21543">
      <c r="A21543" s="4" t="s">
        <v>27125</v>
      </c>
      <c r="B21543" s="6" t="s">
        <v>27127</v>
      </c>
      <c r="C21543" s="5" t="str">
        <f>IFERROR(__xludf.DUMMYFUNCTION("GOOGLETRANSLATE(B21543,""en"",""it"")"),"Viene quindi visto all'interno di un ascensore, comportandosi in modo strano mentre colpisce l'aria con persone diverse che cavalcano.")</f>
        <v>Viene quindi visto all'interno di un ascensore, comportandosi in modo strano mentre colpisce l'aria con persone diverse che cavalcano.</v>
      </c>
    </row>
    <row r="21544">
      <c r="A21544" s="4" t="s">
        <v>27125</v>
      </c>
      <c r="B21544" s="4" t="s">
        <v>27128</v>
      </c>
      <c r="C21544" s="5" t="str">
        <f>IFERROR(__xludf.DUMMYFUNCTION("GOOGLETRANSLATE(B21544,""en"",""it"")"),"Sta cercando intenzionalmente di spaventarli e preoccuparli.")</f>
        <v>Sta cercando intenzionalmente di spaventarli e preoccuparli.</v>
      </c>
    </row>
    <row r="21545">
      <c r="A21545" s="4" t="s">
        <v>27129</v>
      </c>
      <c r="B21545" s="4" t="s">
        <v>27130</v>
      </c>
      <c r="C21545" s="5" t="str">
        <f>IFERROR(__xludf.DUMMYFUNCTION("GOOGLETRANSLATE(B21545,""en"",""it"")"),"Vengono mostrate quattro ragazze che guardano nella telecamera.")</f>
        <v>Vengono mostrate quattro ragazze che guardano nella telecamera.</v>
      </c>
    </row>
    <row r="21546">
      <c r="A21546" s="4" t="s">
        <v>27129</v>
      </c>
      <c r="B21546" s="4" t="s">
        <v>27131</v>
      </c>
      <c r="C21546" s="5" t="str">
        <f>IFERROR(__xludf.DUMMYFUNCTION("GOOGLETRANSLATE(B21546,""en"",""it"")"),"Una ragazza davanti inizia a sventolare una bottiglia di collutorio.")</f>
        <v>Una ragazza davanti inizia a sventolare una bottiglia di collutorio.</v>
      </c>
    </row>
    <row r="21547">
      <c r="A21547" s="4" t="s">
        <v>27129</v>
      </c>
      <c r="B21547" s="4" t="s">
        <v>27132</v>
      </c>
      <c r="C21547" s="5" t="str">
        <f>IFERROR(__xludf.DUMMYFUNCTION("GOOGLETRANSLATE(B21547,""en"",""it"")"),"La ragazza quindi prende una tazza del collutorio e lo beve.")</f>
        <v>La ragazza quindi prende una tazza del collutorio e lo beve.</v>
      </c>
    </row>
    <row r="21548">
      <c r="A21548" s="4" t="s">
        <v>27129</v>
      </c>
      <c r="B21548" s="4" t="s">
        <v>27133</v>
      </c>
      <c r="C21548" s="5" t="str">
        <f>IFERROR(__xludf.DUMMYFUNCTION("GOOGLETRANSLATE(B21548,""en"",""it"")"),"La tazza di collutorio viene passata fino a quando tutte le ragazze bevono da esso.")</f>
        <v>La tazza di collutorio viene passata fino a quando tutte le ragazze bevono da esso.</v>
      </c>
    </row>
    <row r="21549">
      <c r="A21549" s="4" t="s">
        <v>27134</v>
      </c>
      <c r="B21549" s="4" t="s">
        <v>27135</v>
      </c>
      <c r="C21549" s="5" t="str">
        <f>IFERROR(__xludf.DUMMYFUNCTION("GOOGLETRANSLATE(B21549,""en"",""it"")"),"Diverse persone iniziano a camminare in una stanza indossando scarpe di canguro e rimbalzando.")</f>
        <v>Diverse persone iniziano a camminare in una stanza indossando scarpe di canguro e rimbalzando.</v>
      </c>
    </row>
    <row r="21550">
      <c r="A21550" s="4" t="s">
        <v>27134</v>
      </c>
      <c r="B21550" s="6" t="s">
        <v>27136</v>
      </c>
      <c r="C21550" s="5" t="str">
        <f>IFERROR(__xludf.DUMMYFUNCTION("GOOGLETRANSLATE(B21550,""en"",""it"")"),"Sul lato sinistro della stanza, c'è una barra su due pali alti circa un metro e mezzo che ogni persona a turno salta.")</f>
        <v>Sul lato sinistro della stanza, c'è una barra su due pali alti circa un metro e mezzo che ogni persona a turno salta.</v>
      </c>
    </row>
    <row r="21551">
      <c r="A21551" s="4" t="s">
        <v>27137</v>
      </c>
      <c r="B21551" s="4" t="s">
        <v>27138</v>
      </c>
      <c r="C21551" s="5" t="str">
        <f>IFERROR(__xludf.DUMMYFUNCTION("GOOGLETRANSLATE(B21551,""en"",""it"")"),"Gli sciatori cavalcano un lifting da sci.")</f>
        <v>Gli sciatori cavalcano un lifting da sci.</v>
      </c>
    </row>
    <row r="21552">
      <c r="A21552" s="4" t="s">
        <v>27137</v>
      </c>
      <c r="B21552" s="4" t="s">
        <v>27139</v>
      </c>
      <c r="C21552" s="5" t="str">
        <f>IFERROR(__xludf.DUMMYFUNCTION("GOOGLETRANSLATE(B21552,""en"",""it"")"),"Un uomo con sci gialli lungo un pendio.")</f>
        <v>Un uomo con sci gialli lungo un pendio.</v>
      </c>
    </row>
    <row r="21553">
      <c r="A21553" s="4" t="s">
        <v>27137</v>
      </c>
      <c r="B21553" s="4" t="s">
        <v>27140</v>
      </c>
      <c r="C21553" s="5" t="str">
        <f>IFERROR(__xludf.DUMMYFUNCTION("GOOGLETRANSLATE(B21553,""en"",""it"")"),"Diversi trucchi sono fatti dagli sciatori.")</f>
        <v>Diversi trucchi sono fatti dagli sciatori.</v>
      </c>
    </row>
    <row r="21554">
      <c r="A21554" s="4" t="s">
        <v>27137</v>
      </c>
      <c r="B21554" s="4" t="s">
        <v>27141</v>
      </c>
      <c r="C21554" s="5" t="str">
        <f>IFERROR(__xludf.DUMMYFUNCTION("GOOGLETRANSLATE(B21554,""en"",""it"")"),"Saltano su diverse rampe.")</f>
        <v>Saltano su diverse rampe.</v>
      </c>
    </row>
    <row r="21555">
      <c r="A21555" s="4" t="s">
        <v>27142</v>
      </c>
      <c r="B21555" s="6" t="s">
        <v>27143</v>
      </c>
      <c r="C21555" s="5" t="str">
        <f>IFERROR(__xludf.DUMMYFUNCTION("GOOGLETRANSLATE(B21555,""en"",""it"")"),"La lituana Zinaida Sendriute getta il discus 64 metri per condurre per il suo terzo tiro, agitando la telecamera mentre se ne va.")</f>
        <v>La lituana Zinaida Sendriute getta il discus 64 metri per condurre per il suo terzo tiro, agitando la telecamera mentre se ne va.</v>
      </c>
    </row>
    <row r="21556">
      <c r="A21556" s="4" t="s">
        <v>27142</v>
      </c>
      <c r="B21556" s="4" t="s">
        <v>27144</v>
      </c>
      <c r="C21556" s="5" t="str">
        <f>IFERROR(__xludf.DUMMYFUNCTION("GOOGLETRANSLATE(B21556,""en"",""it"")"),"Il cubano Yarelis Barrios è il prossimo e scatena un potente lancio di 67 metri con un urlo fragoroso.")</f>
        <v>Il cubano Yarelis Barrios è il prossimo e scatena un potente lancio di 67 metri con un urlo fragoroso.</v>
      </c>
    </row>
    <row r="21557">
      <c r="A21557" s="4" t="s">
        <v>27142</v>
      </c>
      <c r="B21557" s="6" t="s">
        <v>27145</v>
      </c>
      <c r="C21557" s="5" t="str">
        <f>IFERROR(__xludf.DUMMYFUNCTION("GOOGLETRANSLATE(B21557,""en"",""it"")"),"La croata Sandra Perkovic ha distanziato entrambi i precedenti lanciatori con un lancio di 69 metri per rivendicare il vantaggio.")</f>
        <v>La croata Sandra Perkovic ha distanziato entrambi i precedenti lanciatori con un lancio di 69 metri per rivendicare il vantaggio.</v>
      </c>
    </row>
    <row r="21558">
      <c r="A21558" s="4" t="s">
        <v>27146</v>
      </c>
      <c r="B21558" s="4" t="s">
        <v>27147</v>
      </c>
      <c r="C21558" s="5" t="str">
        <f>IFERROR(__xludf.DUMMYFUNCTION("GOOGLETRANSLATE(B21558,""en"",""it"")"),"Un uomo atletico viene visto salire in un cerchio e gettare un oggetto in lontananza.")</f>
        <v>Un uomo atletico viene visto salire in un cerchio e gettare un oggetto in lontananza.</v>
      </c>
    </row>
    <row r="21559">
      <c r="A21559" s="4" t="s">
        <v>27146</v>
      </c>
      <c r="B21559" s="4" t="s">
        <v>27148</v>
      </c>
      <c r="C21559" s="5" t="str">
        <f>IFERROR(__xludf.DUMMYFUNCTION("GOOGLETRANSLATE(B21559,""en"",""it"")"),"Il suo tiro viene mostrato di nuovo mentre altri misurano il suo tiro sul lato.")</f>
        <v>Il suo tiro viene mostrato di nuovo mentre altri misurano il suo tiro sul lato.</v>
      </c>
    </row>
    <row r="21560">
      <c r="A21560" s="4" t="s">
        <v>27146</v>
      </c>
      <c r="B21560" s="4" t="s">
        <v>27149</v>
      </c>
      <c r="C21560" s="5" t="str">
        <f>IFERROR(__xludf.DUMMYFUNCTION("GOOGLETRANSLATE(B21560,""en"",""it"")"),"L'uomo afferra una bandiera e cammina per l'arena.")</f>
        <v>L'uomo afferra una bandiera e cammina per l'arena.</v>
      </c>
    </row>
    <row r="21561">
      <c r="A21561" s="4" t="s">
        <v>27150</v>
      </c>
      <c r="B21561" s="4" t="s">
        <v>27151</v>
      </c>
      <c r="C21561" s="5" t="str">
        <f>IFERROR(__xludf.DUMMYFUNCTION("GOOGLETRANSLATE(B21561,""en"",""it"")"),"Un grande schermo viene mostrato da una band che suona sul palco.")</f>
        <v>Un grande schermo viene mostrato da una band che suona sul palco.</v>
      </c>
    </row>
    <row r="21562">
      <c r="A21562" s="4" t="s">
        <v>27150</v>
      </c>
      <c r="B21562" s="4" t="s">
        <v>27152</v>
      </c>
      <c r="C21562" s="5" t="str">
        <f>IFERROR(__xludf.DUMMYFUNCTION("GOOGLETRANSLATE(B21562,""en"",""it"")"),"Un uomo che indossa un costume di Topolino e suona la batteria.")</f>
        <v>Un uomo che indossa un costume di Topolino e suona la batteria.</v>
      </c>
    </row>
    <row r="21563">
      <c r="A21563" s="4" t="s">
        <v>27150</v>
      </c>
      <c r="B21563" s="4" t="s">
        <v>27153</v>
      </c>
      <c r="C21563" s="5" t="str">
        <f>IFERROR(__xludf.DUMMYFUNCTION("GOOGLETRANSLATE(B21563,""en"",""it"")"),"L'uomo continua a suonare la batteria e termina con la chiusura della tenda.")</f>
        <v>L'uomo continua a suonare la batteria e termina con la chiusura della tenda.</v>
      </c>
    </row>
    <row r="21564">
      <c r="A21564" s="4" t="s">
        <v>27154</v>
      </c>
      <c r="B21564" s="4" t="s">
        <v>27155</v>
      </c>
      <c r="C21564" s="5" t="str">
        <f>IFERROR(__xludf.DUMMYFUNCTION("GOOGLETRANSLATE(B21564,""en"",""it"")"),"Vediamo una zucca intagliata e uno schermo del titolo.")</f>
        <v>Vediamo una zucca intagliata e uno schermo del titolo.</v>
      </c>
    </row>
    <row r="21565">
      <c r="A21565" s="4" t="s">
        <v>27154</v>
      </c>
      <c r="B21565" s="4" t="s">
        <v>27156</v>
      </c>
      <c r="C21565" s="5" t="str">
        <f>IFERROR(__xludf.DUMMYFUNCTION("GOOGLETRANSLATE(B21565,""en"",""it"")"),"Un uomo disegna una faccia su una zucca.")</f>
        <v>Un uomo disegna una faccia su una zucca.</v>
      </c>
    </row>
    <row r="21566">
      <c r="A21566" s="4" t="s">
        <v>27154</v>
      </c>
      <c r="B21566" s="4" t="s">
        <v>27157</v>
      </c>
      <c r="C21566" s="5" t="str">
        <f>IFERROR(__xludf.DUMMYFUNCTION("GOOGLETRANSLATE(B21566,""en"",""it"")"),"Un uomo quindi scolpisce una zucca in un vecchio ringhiante.")</f>
        <v>Un uomo quindi scolpisce una zucca in un vecchio ringhiante.</v>
      </c>
    </row>
    <row r="21567">
      <c r="A21567" s="4" t="s">
        <v>27154</v>
      </c>
      <c r="B21567" s="4" t="s">
        <v>27158</v>
      </c>
      <c r="C21567" s="5" t="str">
        <f>IFERROR(__xludf.DUMMYFUNCTION("GOOGLETRANSLATE(B21567,""en"",""it"")"),"L'uomo prende un'immagine della zucca con un telefono.")</f>
        <v>L'uomo prende un'immagine della zucca con un telefono.</v>
      </c>
    </row>
    <row r="21568">
      <c r="A21568" s="4" t="s">
        <v>27154</v>
      </c>
      <c r="B21568" s="4" t="s">
        <v>27159</v>
      </c>
      <c r="C21568" s="5" t="str">
        <f>IFERROR(__xludf.DUMMYFUNCTION("GOOGLETRANSLATE(B21568,""en"",""it"")"),"L'uomo inclina la zucca nella luce.")</f>
        <v>L'uomo inclina la zucca nella luce.</v>
      </c>
    </row>
    <row r="21569">
      <c r="A21569" s="4" t="s">
        <v>27154</v>
      </c>
      <c r="B21569" s="4" t="s">
        <v>27160</v>
      </c>
      <c r="C21569" s="5" t="str">
        <f>IFERROR(__xludf.DUMMYFUNCTION("GOOGLETRANSLATE(B21569,""en"",""it"")"),"Vediamo ancora colpi della zucca intagliata.")</f>
        <v>Vediamo ancora colpi della zucca intagliata.</v>
      </c>
    </row>
    <row r="21570">
      <c r="A21570" s="4" t="s">
        <v>27154</v>
      </c>
      <c r="B21570" s="4" t="s">
        <v>27161</v>
      </c>
      <c r="C21570" s="5" t="str">
        <f>IFERROR(__xludf.DUMMYFUNCTION("GOOGLETRANSLATE(B21570,""en"",""it"")"),"Vediamo la schermata finale con un sito Web.")</f>
        <v>Vediamo la schermata finale con un sito Web.</v>
      </c>
    </row>
    <row r="21571">
      <c r="A21571" s="4" t="s">
        <v>27162</v>
      </c>
      <c r="B21571" s="6" t="s">
        <v>27163</v>
      </c>
      <c r="C21571" s="5" t="str">
        <f>IFERROR(__xludf.DUMMYFUNCTION("GOOGLETRANSLATE(B21571,""en"",""it"")"),"Un uomo viene visto in piedi su una scala e lavora su un tetto mentre la telecamera cattura i suoi movimenti.")</f>
        <v>Un uomo viene visto in piedi su una scala e lavora su un tetto mentre la telecamera cattura i suoi movimenti.</v>
      </c>
    </row>
    <row r="21572">
      <c r="A21572" s="4" t="s">
        <v>27162</v>
      </c>
      <c r="B21572" s="4" t="s">
        <v>27164</v>
      </c>
      <c r="C21572" s="5" t="str">
        <f>IFERROR(__xludf.DUMMYFUNCTION("GOOGLETRANSLATE(B21572,""en"",""it"")"),"L'uomo quindi spruzza il tetto e si sposta indietro e quarto.")</f>
        <v>L'uomo quindi spruzza il tetto e si sposta indietro e quarto.</v>
      </c>
    </row>
    <row r="21573">
      <c r="A21573" s="4" t="s">
        <v>27165</v>
      </c>
      <c r="B21573" s="4" t="s">
        <v>27166</v>
      </c>
      <c r="C21573" s="5" t="str">
        <f>IFERROR(__xludf.DUMMYFUNCTION("GOOGLETRANSLATE(B21573,""en"",""it"")"),"Un ragazzo è seduto di fronte a un tamburo.")</f>
        <v>Un ragazzo è seduto di fronte a un tamburo.</v>
      </c>
    </row>
    <row r="21574">
      <c r="A21574" s="4" t="s">
        <v>27165</v>
      </c>
      <c r="B21574" s="4" t="s">
        <v>27167</v>
      </c>
      <c r="C21574" s="5" t="str">
        <f>IFERROR(__xludf.DUMMYFUNCTION("GOOGLETRANSLATE(B21574,""en"",""it"")"),"Sta rapidamente suonando i tamburi di fronte a lui.")</f>
        <v>Sta rapidamente suonando i tamburi di fronte a lui.</v>
      </c>
    </row>
    <row r="21575">
      <c r="A21575" s="4" t="s">
        <v>27165</v>
      </c>
      <c r="B21575" s="4" t="s">
        <v>27168</v>
      </c>
      <c r="C21575" s="5" t="str">
        <f>IFERROR(__xludf.DUMMYFUNCTION("GOOGLETRANSLATE(B21575,""en"",""it"")"),"Colpisce anche i piatti più volte.")</f>
        <v>Colpisce anche i piatti più volte.</v>
      </c>
    </row>
    <row r="21576">
      <c r="A21576" s="4" t="s">
        <v>27169</v>
      </c>
      <c r="B21576" s="4" t="s">
        <v>27170</v>
      </c>
      <c r="C21576" s="5" t="str">
        <f>IFERROR(__xludf.DUMMYFUNCTION("GOOGLETRANSLATE(B21576,""en"",""it"")"),"Vediamo una signora in un costume da ballo.")</f>
        <v>Vediamo una signora in un costume da ballo.</v>
      </c>
    </row>
    <row r="21577">
      <c r="A21577" s="4" t="s">
        <v>27169</v>
      </c>
      <c r="B21577" s="4" t="s">
        <v>27171</v>
      </c>
      <c r="C21577" s="5" t="str">
        <f>IFERROR(__xludf.DUMMYFUNCTION("GOOGLETRANSLATE(B21577,""en"",""it"")"),"Indica i fianchi e la vita.")</f>
        <v>Indica i fianchi e la vita.</v>
      </c>
    </row>
    <row r="21578">
      <c r="A21578" s="4" t="s">
        <v>27169</v>
      </c>
      <c r="B21578" s="4" t="s">
        <v>27172</v>
      </c>
      <c r="C21578" s="5" t="str">
        <f>IFERROR(__xludf.DUMMYFUNCTION("GOOGLETRANSLATE(B21578,""en"",""it"")"),"Comincia a ballare lentamente.")</f>
        <v>Comincia a ballare lentamente.</v>
      </c>
    </row>
    <row r="21579">
      <c r="A21579" s="4" t="s">
        <v>27169</v>
      </c>
      <c r="B21579" s="4" t="s">
        <v>27173</v>
      </c>
      <c r="C21579" s="5" t="str">
        <f>IFERROR(__xludf.DUMMYFUNCTION("GOOGLETRANSLATE(B21579,""en"",""it"")"),"Prende velocità e gira le mani.")</f>
        <v>Prende velocità e gira le mani.</v>
      </c>
    </row>
    <row r="21580">
      <c r="A21580" s="4" t="s">
        <v>27169</v>
      </c>
      <c r="B21580" s="4" t="s">
        <v>27174</v>
      </c>
      <c r="C21580" s="5" t="str">
        <f>IFERROR(__xludf.DUMMYFUNCTION("GOOGLETRANSLATE(B21580,""en"",""it"")"),"Va più lenta e poi si ritrova veloce.")</f>
        <v>Va più lenta e poi si ritrova veloce.</v>
      </c>
    </row>
    <row r="21581">
      <c r="A21581" s="4" t="s">
        <v>27169</v>
      </c>
      <c r="B21581" s="4" t="s">
        <v>27175</v>
      </c>
      <c r="C21581" s="5" t="str">
        <f>IFERROR(__xludf.DUMMYFUNCTION("GOOGLETRANSLATE(B21581,""en"",""it"")"),"La signora finisce la sua danza, si ferma e si inchina.")</f>
        <v>La signora finisce la sua danza, si ferma e si inchina.</v>
      </c>
    </row>
    <row r="21582">
      <c r="A21582" s="4" t="s">
        <v>27176</v>
      </c>
      <c r="B21582" s="4" t="s">
        <v>27177</v>
      </c>
      <c r="C21582" s="5" t="str">
        <f>IFERROR(__xludf.DUMMYFUNCTION("GOOGLETRANSLATE(B21582,""en"",""it"")"),"Un uomo è in piedi accanto a una scrivania che parla con alcuni allenatori di qualcosa.")</f>
        <v>Un uomo è in piedi accanto a una scrivania che parla con alcuni allenatori di qualcosa.</v>
      </c>
    </row>
    <row r="21583">
      <c r="A21583" s="4" t="s">
        <v>27176</v>
      </c>
      <c r="B21583" s="4" t="s">
        <v>27178</v>
      </c>
      <c r="C21583" s="5" t="str">
        <f>IFERROR(__xludf.DUMMYFUNCTION("GOOGLETRANSLATE(B21583,""en"",""it"")"),"Comincia a camminare all'indietro e si prepara per iniziare a correre.")</f>
        <v>Comincia a camminare all'indietro e si prepara per iniziare a correre.</v>
      </c>
    </row>
    <row r="21584">
      <c r="A21584" s="4" t="s">
        <v>27176</v>
      </c>
      <c r="B21584" s="4" t="s">
        <v>27179</v>
      </c>
      <c r="C21584" s="5" t="str">
        <f>IFERROR(__xludf.DUMMYFUNCTION("GOOGLETRANSLATE(B21584,""en"",""it"")"),"Comincia a correre e aumenta la velocità abbastanza rapidamente.")</f>
        <v>Comincia a correre e aumenta la velocità abbastanza rapidamente.</v>
      </c>
    </row>
    <row r="21585">
      <c r="A21585" s="4" t="s">
        <v>27176</v>
      </c>
      <c r="B21585" s="4" t="s">
        <v>27180</v>
      </c>
      <c r="C21585" s="5" t="str">
        <f>IFERROR(__xludf.DUMMYFUNCTION("GOOGLETRANSLATE(B21585,""en"",""it"")"),"Atterra nella sabbia e quando ha finito e l'uomo viene dietro di lui per appianare la sabbia.")</f>
        <v>Atterra nella sabbia e quando ha finito e l'uomo viene dietro di lui per appianare la sabbia.</v>
      </c>
    </row>
    <row r="21586">
      <c r="A21586" s="4" t="s">
        <v>27181</v>
      </c>
      <c r="B21586" s="4" t="s">
        <v>27182</v>
      </c>
      <c r="C21586" s="5" t="str">
        <f>IFERROR(__xludf.DUMMYFUNCTION("GOOGLETRANSLATE(B21586,""en"",""it"")"),"Una telecamera mostra un bambino che cammina su un parco giochi con un cane che vaga nella parte posteriore.")</f>
        <v>Una telecamera mostra un bambino che cammina su un parco giochi con un cane che vaga nella parte posteriore.</v>
      </c>
    </row>
    <row r="21587">
      <c r="A21587" s="4" t="s">
        <v>27181</v>
      </c>
      <c r="B21587" s="4" t="s">
        <v>27183</v>
      </c>
      <c r="C21587" s="5" t="str">
        <f>IFERROR(__xludf.DUMMYFUNCTION("GOOGLETRANSLATE(B21587,""en"",""it"")"),"Il bambino si arrampica su un set di scale e scivola giù per una scivolata.")</f>
        <v>Il bambino si arrampica su un set di scale e scivola giù per una scivolata.</v>
      </c>
    </row>
    <row r="21588">
      <c r="A21588" s="4" t="s">
        <v>27184</v>
      </c>
      <c r="B21588" s="4" t="s">
        <v>27185</v>
      </c>
      <c r="C21588" s="5" t="str">
        <f>IFERROR(__xludf.DUMMYFUNCTION("GOOGLETRANSLATE(B21588,""en"",""it"")"),"Un giovane viene visto remare una canoa lungo un fiume.")</f>
        <v>Un giovane viene visto remare una canoa lungo un fiume.</v>
      </c>
    </row>
    <row r="21589">
      <c r="A21589" s="4" t="s">
        <v>27184</v>
      </c>
      <c r="B21589" s="4" t="s">
        <v>27186</v>
      </c>
      <c r="C21589" s="5" t="str">
        <f>IFERROR(__xludf.DUMMYFUNCTION("GOOGLETRANSLATE(B21589,""en"",""it"")"),"Parla con la telecamera mentre si avvicina.")</f>
        <v>Parla con la telecamera mentre si avvicina.</v>
      </c>
    </row>
    <row r="21590">
      <c r="A21590" s="4" t="s">
        <v>27184</v>
      </c>
      <c r="B21590" s="4" t="s">
        <v>27187</v>
      </c>
      <c r="C21590" s="5" t="str">
        <f>IFERROR(__xludf.DUMMYFUNCTION("GOOGLETRANSLATE(B21590,""en"",""it"")"),"Esce, continuando a parlare di canoa.")</f>
        <v>Esce, continuando a parlare di canoa.</v>
      </c>
    </row>
    <row r="21591">
      <c r="A21591" s="4" t="s">
        <v>27188</v>
      </c>
      <c r="B21591" s="4" t="s">
        <v>27189</v>
      </c>
      <c r="C21591" s="5" t="str">
        <f>IFERROR(__xludf.DUMMYFUNCTION("GOOGLETRANSLATE(B21591,""en"",""it"")"),"Una donna viene vista muovere un hula hoop davanti alla telecamera.")</f>
        <v>Una donna viene vista muovere un hula hoop davanti alla telecamera.</v>
      </c>
    </row>
    <row r="21592">
      <c r="A21592" s="4" t="s">
        <v>27188</v>
      </c>
      <c r="B21592" s="4" t="s">
        <v>27190</v>
      </c>
      <c r="C21592" s="5" t="str">
        <f>IFERROR(__xludf.DUMMYFUNCTION("GOOGLETRANSLATE(B21592,""en"",""it"")"),"La ragazza parla quindi alla telecamera e conduce nella sua rotazione di un cerchio di hula intorno.")</f>
        <v>La ragazza parla quindi alla telecamera e conduce nella sua rotazione di un cerchio di hula intorno.</v>
      </c>
    </row>
    <row r="21593">
      <c r="A21593" s="4" t="s">
        <v>27188</v>
      </c>
      <c r="B21593" s="6" t="s">
        <v>27191</v>
      </c>
      <c r="C21593" s="5" t="str">
        <f>IFERROR(__xludf.DUMMYFUNCTION("GOOGLETRANSLATE(B21593,""en"",""it"")"),"La donna continua a parlare con la telecamera mentre gira il cerchio e dimostra come eseguire mosse adeguate.")</f>
        <v>La donna continua a parlare con la telecamera mentre gira il cerchio e dimostra come eseguire mosse adeguate.</v>
      </c>
    </row>
    <row r="21594">
      <c r="A21594" s="4" t="s">
        <v>27192</v>
      </c>
      <c r="B21594" s="4" t="s">
        <v>27193</v>
      </c>
      <c r="C21594" s="5" t="str">
        <f>IFERROR(__xludf.DUMMYFUNCTION("GOOGLETRANSLATE(B21594,""en"",""it"")"),"Diversi uomini sono stati drogati nell'ingranaggio di lacrosse correndo su un campo.")</f>
        <v>Diversi uomini sono stati drogati nell'ingranaggio di lacrosse correndo su un campo.</v>
      </c>
    </row>
    <row r="21595">
      <c r="A21595" s="4" t="s">
        <v>27192</v>
      </c>
      <c r="B21595" s="6" t="s">
        <v>27194</v>
      </c>
      <c r="C21595" s="5" t="str">
        <f>IFERROR(__xludf.DUMMYFUNCTION("GOOGLETRANSLATE(B21595,""en"",""it"")"),"Le squadre avversarie sono mostrate in diverse clip, combattendo e colpendo la palla nei gol dell'altro.")</f>
        <v>Le squadre avversarie sono mostrate in diverse clip, combattendo e colpendo la palla nei gol dell'altro.</v>
      </c>
    </row>
    <row r="21596">
      <c r="A21596" s="4" t="s">
        <v>27195</v>
      </c>
      <c r="B21596" s="4" t="s">
        <v>27196</v>
      </c>
      <c r="C21596" s="5" t="str">
        <f>IFERROR(__xludf.DUMMYFUNCTION("GOOGLETRANSLATE(B21596,""en"",""it"")"),"Vengono mostrate diverse clip di persone che sollevano pesi pesanti e saltano su una pista.")</f>
        <v>Vengono mostrate diverse clip di persone che sollevano pesi pesanti e saltano su una pista.</v>
      </c>
    </row>
    <row r="21597">
      <c r="A21597" s="4" t="s">
        <v>27195</v>
      </c>
      <c r="B21597" s="6" t="s">
        <v>27197</v>
      </c>
      <c r="C21597" s="5" t="str">
        <f>IFERROR(__xludf.DUMMYFUNCTION("GOOGLETRANSLATE(B21597,""en"",""it"")"),"Le persone vengono viste saltare su pali, accovacciarsi di pesi e eseguire vari altri esercizi.")</f>
        <v>Le persone vengono viste saltare su pali, accovacciarsi di pesi e eseguire vari altri esercizi.</v>
      </c>
    </row>
    <row r="21598">
      <c r="A21598" s="4" t="s">
        <v>27195</v>
      </c>
      <c r="B21598" s="4" t="s">
        <v>27198</v>
      </c>
      <c r="C21598" s="5" t="str">
        <f>IFERROR(__xludf.DUMMYFUNCTION("GOOGLETRANSLATE(B21598,""en"",""it"")"),"Alla fine vengono viste più persone saltare su un palo.")</f>
        <v>Alla fine vengono viste più persone saltare su un palo.</v>
      </c>
    </row>
    <row r="21599">
      <c r="A21599" s="4" t="s">
        <v>27199</v>
      </c>
      <c r="B21599" s="4" t="s">
        <v>27200</v>
      </c>
      <c r="C21599" s="5" t="str">
        <f>IFERROR(__xludf.DUMMYFUNCTION("GOOGLETRANSLATE(B21599,""en"",""it"")"),"Diversi uomini di diversi luoghi sono fuori su un grande campo giocando a cricket.")</f>
        <v>Diversi uomini di diversi luoghi sono fuori su un grande campo giocando a cricket.</v>
      </c>
    </row>
    <row r="21600">
      <c r="A21600" s="4" t="s">
        <v>27199</v>
      </c>
      <c r="B21600" s="6" t="s">
        <v>27201</v>
      </c>
      <c r="C21600" s="5" t="str">
        <f>IFERROR(__xludf.DUMMYFUNCTION("GOOGLETRANSLATE(B21600,""en"",""it"")"),"Gli uomini vengono al centro del campo e stanno attorno a un piccolo rettangolo e iniziano a colpire la palla estremamente lontana.")</f>
        <v>Gli uomini vengono al centro del campo e stanno attorno a un piccolo rettangolo e iniziano a colpire la palla estremamente lontana.</v>
      </c>
    </row>
    <row r="21601">
      <c r="A21601" s="4" t="s">
        <v>27199</v>
      </c>
      <c r="B21601" s="6" t="s">
        <v>27202</v>
      </c>
      <c r="C21601" s="5" t="str">
        <f>IFERROR(__xludf.DUMMYFUNCTION("GOOGLETRANSLATE(B21601,""en"",""it"")"),"Mentre la palla va in campo esterno, i compagni di squadra iniziano a saltare su e giù e tifano per la loro squadra.")</f>
        <v>Mentre la palla va in campo esterno, i compagni di squadra iniziano a saltare su e giù e tifano per la loro squadra.</v>
      </c>
    </row>
    <row r="21602">
      <c r="A21602" s="4" t="s">
        <v>27199</v>
      </c>
      <c r="B21602" s="4" t="s">
        <v>27203</v>
      </c>
      <c r="C21602" s="5" t="str">
        <f>IFERROR(__xludf.DUMMYFUNCTION("GOOGLETRANSLATE(B21602,""en"",""it"")"),"Infine, un uomo viene mostrato che regge un grande premio d'argento.")</f>
        <v>Infine, un uomo viene mostrato che regge un grande premio d'argento.</v>
      </c>
    </row>
    <row r="21603">
      <c r="A21603" s="4" t="s">
        <v>27204</v>
      </c>
      <c r="B21603" s="4" t="s">
        <v>27205</v>
      </c>
      <c r="C21603" s="5" t="str">
        <f>IFERROR(__xludf.DUMMYFUNCTION("GOOGLETRANSLATE(B21603,""en"",""it"")"),"Un uomo sta sparando a un basket in un cerchio.")</f>
        <v>Un uomo sta sparando a un basket in un cerchio.</v>
      </c>
    </row>
    <row r="21604">
      <c r="A21604" s="4" t="s">
        <v>27204</v>
      </c>
      <c r="B21604" s="4" t="s">
        <v>27206</v>
      </c>
      <c r="C21604" s="5" t="str">
        <f>IFERROR(__xludf.DUMMYFUNCTION("GOOGLETRANSLATE(B21604,""en"",""it"")"),"Un altro uomo inizia a sparare a un basket nel cerchio.")</f>
        <v>Un altro uomo inizia a sparare a un basket nel cerchio.</v>
      </c>
    </row>
    <row r="21605">
      <c r="A21605" s="4" t="s">
        <v>27204</v>
      </c>
      <c r="B21605" s="4" t="s">
        <v>27207</v>
      </c>
      <c r="C21605" s="5" t="str">
        <f>IFERROR(__xludf.DUMMYFUNCTION("GOOGLETRANSLATE(B21605,""en"",""it"")"),"Il primo uomo guarda il secondo uomo.")</f>
        <v>Il primo uomo guarda il secondo uomo.</v>
      </c>
    </row>
    <row r="21606">
      <c r="A21606" s="4" t="s">
        <v>27208</v>
      </c>
      <c r="B21606" s="4" t="s">
        <v>27209</v>
      </c>
      <c r="C21606" s="5" t="str">
        <f>IFERROR(__xludf.DUMMYFUNCTION("GOOGLETRANSLATE(B21606,""en"",""it"")"),"Vediamo bambini che giocano a Dodge Ball in un parco di trampolini.")</f>
        <v>Vediamo bambini che giocano a Dodge Ball in un parco di trampolini.</v>
      </c>
    </row>
    <row r="21607">
      <c r="A21607" s="4" t="s">
        <v>27208</v>
      </c>
      <c r="B21607" s="4" t="s">
        <v>27210</v>
      </c>
      <c r="C21607" s="5" t="str">
        <f>IFERROR(__xludf.DUMMYFUNCTION("GOOGLETRANSLATE(B21607,""en"",""it"")"),"Vediamo un ragazzo colpire con la palla e gettarla indietro.")</f>
        <v>Vediamo un ragazzo colpire con la palla e gettarla indietro.</v>
      </c>
    </row>
    <row r="21608">
      <c r="A21608" s="4" t="s">
        <v>27208</v>
      </c>
      <c r="B21608" s="4" t="s">
        <v>27211</v>
      </c>
      <c r="C21608" s="5" t="str">
        <f>IFERROR(__xludf.DUMMYFUNCTION("GOOGLETRANSLATE(B21608,""en"",""it"")"),"Vediamo un ragazzo in verde lanciare la palla forte.")</f>
        <v>Vediamo un ragazzo in verde lanciare la palla forte.</v>
      </c>
    </row>
    <row r="21609">
      <c r="A21609" s="4" t="s">
        <v>27208</v>
      </c>
      <c r="B21609" s="4" t="s">
        <v>27212</v>
      </c>
      <c r="C21609" s="5" t="str">
        <f>IFERROR(__xludf.DUMMYFUNCTION("GOOGLETRANSLATE(B21609,""en"",""it"")"),"Il ragazzo con camicia a strisce si unisce al gioco e il ragazzo in rosso è fuori.")</f>
        <v>Il ragazzo con camicia a strisce si unisce al gioco e il ragazzo in rosso è fuori.</v>
      </c>
    </row>
    <row r="21610">
      <c r="A21610" s="4" t="s">
        <v>27208</v>
      </c>
      <c r="B21610" s="4" t="s">
        <v>27213</v>
      </c>
      <c r="C21610" s="5" t="str">
        <f>IFERROR(__xludf.DUMMYFUNCTION("GOOGLETRANSLATE(B21610,""en"",""it"")"),"Una ragazza cammina oltre la telecamera agitando la mano.")</f>
        <v>Una ragazza cammina oltre la telecamera agitando la mano.</v>
      </c>
    </row>
    <row r="21611">
      <c r="A21611" s="4" t="s">
        <v>27208</v>
      </c>
      <c r="B21611" s="4" t="s">
        <v>27214</v>
      </c>
      <c r="C21611" s="5" t="str">
        <f>IFERROR(__xludf.DUMMYFUNCTION("GOOGLETRANSLATE(B21611,""en"",""it"")"),"Un ragazzo con una camicia gialla cammina verso la telecamera.")</f>
        <v>Un ragazzo con una camicia gialla cammina verso la telecamera.</v>
      </c>
    </row>
    <row r="21612">
      <c r="A21612" s="4" t="s">
        <v>27215</v>
      </c>
      <c r="B21612" s="4" t="s">
        <v>27216</v>
      </c>
      <c r="C21612" s="5" t="str">
        <f>IFERROR(__xludf.DUMMYFUNCTION("GOOGLETRANSLATE(B21612,""en"",""it"")"),"Vengono mostrati vecchi video di incontri.")</f>
        <v>Vengono mostrati vecchi video di incontri.</v>
      </c>
    </row>
    <row r="21613">
      <c r="A21613" s="4" t="s">
        <v>27215</v>
      </c>
      <c r="B21613" s="4" t="s">
        <v>27217</v>
      </c>
      <c r="C21613" s="5" t="str">
        <f>IFERROR(__xludf.DUMMYFUNCTION("GOOGLETRANSLATE(B21613,""en"",""it"")"),"Un uomo viene mostrato più volte mentre lancia un disco.")</f>
        <v>Un uomo viene mostrato più volte mentre lancia un disco.</v>
      </c>
    </row>
    <row r="21614">
      <c r="A21614" s="4" t="s">
        <v>27215</v>
      </c>
      <c r="B21614" s="4" t="s">
        <v>27218</v>
      </c>
      <c r="C21614" s="5" t="str">
        <f>IFERROR(__xludf.DUMMYFUNCTION("GOOGLETRANSLATE(B21614,""en"",""it"")"),"Si gira in cerchio, quindi lancia il disco il più possibile.")</f>
        <v>Si gira in cerchio, quindi lancia il disco il più possibile.</v>
      </c>
    </row>
    <row r="21615">
      <c r="A21615" s="4" t="s">
        <v>27219</v>
      </c>
      <c r="B21615" s="4" t="s">
        <v>27220</v>
      </c>
      <c r="C21615" s="5" t="str">
        <f>IFERROR(__xludf.DUMMYFUNCTION("GOOGLETRANSLATE(B21615,""en"",""it"")"),"Le ginnaste eseguono routine di caduta con giri e giri su un tappetino all'interno di una palestra.")</f>
        <v>Le ginnaste eseguono routine di caduta con giri e giri su un tappetino all'interno di una palestra.</v>
      </c>
    </row>
    <row r="21616">
      <c r="A21616" s="4" t="s">
        <v>27219</v>
      </c>
      <c r="B21616" s="4" t="s">
        <v>27221</v>
      </c>
      <c r="C21616" s="5" t="str">
        <f>IFERROR(__xludf.DUMMYFUNCTION("GOOGLETRANSLATE(B21616,""en"",""it"")"),"Gli uomini oscillano sugli anelli a portata di mano come parte della sua routine di caduta.")</f>
        <v>Gli uomini oscillano sugli anelli a portata di mano come parte della sua routine di caduta.</v>
      </c>
    </row>
    <row r="21617">
      <c r="A21617" s="4" t="s">
        <v>27219</v>
      </c>
      <c r="B21617" s="4" t="s">
        <v>27222</v>
      </c>
      <c r="C21617" s="5" t="str">
        <f>IFERROR(__xludf.DUMMYFUNCTION("GOOGLETRANSLATE(B21617,""en"",""it"")"),"L'uomo cade a terra mentre oscilla sugli anelli.")</f>
        <v>L'uomo cade a terra mentre oscilla sugli anelli.</v>
      </c>
    </row>
    <row r="21618">
      <c r="A21618" s="4" t="s">
        <v>27219</v>
      </c>
      <c r="B21618" s="4" t="s">
        <v>27223</v>
      </c>
      <c r="C21618" s="5" t="str">
        <f>IFERROR(__xludf.DUMMYFUNCTION("GOOGLETRANSLATE(B21618,""en"",""it"")"),"La ginnasta gioca un po 'battendo l'orecchio e aspettando che un'altra persona schiarisca il tappetino.")</f>
        <v>La ginnasta gioca un po 'battendo l'orecchio e aspettando che un'altra persona schiarisca il tappetino.</v>
      </c>
    </row>
    <row r="21619">
      <c r="A21619" s="4" t="s">
        <v>27224</v>
      </c>
      <c r="B21619" s="4" t="s">
        <v>27225</v>
      </c>
      <c r="C21619" s="5" t="str">
        <f>IFERROR(__xludf.DUMMYFUNCTION("GOOGLETRANSLATE(B21619,""en"",""it"")"),"Un ragazzino è in una sala garage.")</f>
        <v>Un ragazzino è in una sala garage.</v>
      </c>
    </row>
    <row r="21620">
      <c r="A21620" s="4" t="s">
        <v>27224</v>
      </c>
      <c r="B21620" s="4" t="s">
        <v>27226</v>
      </c>
      <c r="C21620" s="5" t="str">
        <f>IFERROR(__xludf.DUMMYFUNCTION("GOOGLETRANSLATE(B21620,""en"",""it"")"),"Sta suonando un grande tamburo mentre indossa cuffie.")</f>
        <v>Sta suonando un grande tamburo mentre indossa cuffie.</v>
      </c>
    </row>
    <row r="21621">
      <c r="A21621" s="4" t="s">
        <v>27224</v>
      </c>
      <c r="B21621" s="4" t="s">
        <v>27227</v>
      </c>
      <c r="C21621" s="5" t="str">
        <f>IFERROR(__xludf.DUMMYFUNCTION("GOOGLETRANSLATE(B21621,""en"",""it"")"),"Colpisce i piatti e i tamburi con i bastoncini.")</f>
        <v>Colpisce i piatti e i tamburi con i bastoncini.</v>
      </c>
    </row>
    <row r="21622">
      <c r="A21622" s="4" t="s">
        <v>27228</v>
      </c>
      <c r="B21622" s="4" t="s">
        <v>27229</v>
      </c>
      <c r="C21622" s="5" t="str">
        <f>IFERROR(__xludf.DUMMYFUNCTION("GOOGLETRANSLATE(B21622,""en"",""it"")"),"Un'introduzione conduce in diversi colpi di skateboarder che cavalcano sui binari in una grande città.")</f>
        <v>Un'introduzione conduce in diversi colpi di skateboarder che cavalcano sui binari in una grande città.</v>
      </c>
    </row>
    <row r="21623">
      <c r="A21623" s="4" t="s">
        <v>27228</v>
      </c>
      <c r="B21623" s="4" t="s">
        <v>27230</v>
      </c>
      <c r="C21623" s="5" t="str">
        <f>IFERROR(__xludf.DUMMYFUNCTION("GOOGLETRANSLATE(B21623,""en"",""it"")"),"La telecamera segue da vicino questi bordi mentre eseguono trucchi su per le scale e sopra le panchine.")</f>
        <v>La telecamera segue da vicino questi bordi mentre eseguono trucchi su per le scale e sopra le panchine.</v>
      </c>
    </row>
    <row r="21624">
      <c r="A21624" s="4" t="s">
        <v>27228</v>
      </c>
      <c r="B21624" s="6" t="s">
        <v>27231</v>
      </c>
      <c r="C21624" s="5" t="str">
        <f>IFERROR(__xludf.DUMMYFUNCTION("GOOGLETRANSLATE(B21624,""en"",""it"")"),"Gli uomini continuano a pattinare e finiscono con una donna della polizia che sorride e dà un pollice alla telecamera.")</f>
        <v>Gli uomini continuano a pattinare e finiscono con una donna della polizia che sorride e dà un pollice alla telecamera.</v>
      </c>
    </row>
    <row r="21625">
      <c r="A21625" s="4" t="s">
        <v>27232</v>
      </c>
      <c r="B21625" s="4" t="s">
        <v>27233</v>
      </c>
      <c r="C21625" s="5" t="str">
        <f>IFERROR(__xludf.DUMMYFUNCTION("GOOGLETRANSLATE(B21625,""en"",""it"")"),"Viene mostrato un grafico di produzione insieme a un collegamento per più supporti.")</f>
        <v>Viene mostrato un grafico di produzione insieme a un collegamento per più supporti.</v>
      </c>
    </row>
    <row r="21626">
      <c r="A21626" s="4" t="s">
        <v>27232</v>
      </c>
      <c r="B21626" s="4" t="s">
        <v>27234</v>
      </c>
      <c r="C21626" s="5" t="str">
        <f>IFERROR(__xludf.DUMMYFUNCTION("GOOGLETRANSLATE(B21626,""en"",""it"")"),"Questo svanisce in un uomo che inizia a suonare il sassofono nel suo salotto fino a un microfono.")</f>
        <v>Questo svanisce in un uomo che inizia a suonare il sassofono nel suo salotto fino a un microfono.</v>
      </c>
    </row>
    <row r="21627">
      <c r="A21627" s="4" t="s">
        <v>27232</v>
      </c>
      <c r="B21627" s="4" t="s">
        <v>27235</v>
      </c>
      <c r="C21627" s="5" t="str">
        <f>IFERROR(__xludf.DUMMYFUNCTION("GOOGLETRANSLATE(B21627,""en"",""it"")"),"L'uomo ora indossa occhiali da sole mentre suona, scrutando la musica.")</f>
        <v>L'uomo ora indossa occhiali da sole mentre suona, scrutando la musica.</v>
      </c>
    </row>
    <row r="21628">
      <c r="A21628" s="4" t="s">
        <v>27232</v>
      </c>
      <c r="B21628" s="4" t="s">
        <v>27236</v>
      </c>
      <c r="C21628" s="5" t="str">
        <f>IFERROR(__xludf.DUMMYFUNCTION("GOOGLETRANSLATE(B21628,""en"",""it"")"),"L'uomo viene mostrato senza gli occhiali da sole.")</f>
        <v>L'uomo viene mostrato senza gli occhiali da sole.</v>
      </c>
    </row>
    <row r="21629">
      <c r="A21629" s="4" t="s">
        <v>27232</v>
      </c>
      <c r="B21629" s="4" t="s">
        <v>27237</v>
      </c>
      <c r="C21629" s="5" t="str">
        <f>IFERROR(__xludf.DUMMYFUNCTION("GOOGLETRANSLATE(B21629,""en"",""it"")"),"Un'altra finestra che mostra l'esecutore è mostrata nell'angolo del video.")</f>
        <v>Un'altra finestra che mostra l'esecutore è mostrata nell'angolo del video.</v>
      </c>
    </row>
    <row r="21630">
      <c r="A21630" s="4" t="s">
        <v>27238</v>
      </c>
      <c r="B21630" s="4" t="s">
        <v>27239</v>
      </c>
      <c r="C21630" s="5" t="str">
        <f>IFERROR(__xludf.DUMMYFUNCTION("GOOGLETRANSLATE(B21630,""en"",""it"")"),"Un gruppo di giovani è seduto ai tavoli in una competizione di Cube Rubiks.")</f>
        <v>Un gruppo di giovani è seduto ai tavoli in una competizione di Cube Rubiks.</v>
      </c>
    </row>
    <row r="21631">
      <c r="A21631" s="4" t="s">
        <v>27238</v>
      </c>
      <c r="B21631" s="6" t="s">
        <v>27240</v>
      </c>
      <c r="C21631" s="5" t="str">
        <f>IFERROR(__xludf.DUMMYFUNCTION("GOOGLETRANSLATE(B21631,""en"",""it"")"),"Un ufficiale rimuove uno scivolamento di carta da un cubo di Rubiks seduto di fronte a un giovane alla fine di un tavolo dopo il quale il concorrente risolve il cubo e celebra le mani sul tavolo.")</f>
        <v>Un ufficiale rimuove uno scivolamento di carta da un cubo di Rubiks seduto di fronte a un giovane alla fine di un tavolo dopo il quale il concorrente risolve il cubo e celebra le mani sul tavolo.</v>
      </c>
    </row>
    <row r="21632">
      <c r="A21632" s="4" t="s">
        <v>27238</v>
      </c>
      <c r="B21632" s="4" t="s">
        <v>27241</v>
      </c>
      <c r="C21632" s="5" t="str">
        <f>IFERROR(__xludf.DUMMYFUNCTION("GOOGLETRANSLATE(B21632,""en"",""it"")"),"Un ufficiale solleva una tazza per rivelare un cubo di Rubiks che lo stesso uomo risolve quindi.")</f>
        <v>Un ufficiale solleva una tazza per rivelare un cubo di Rubiks che lo stesso uomo risolve quindi.</v>
      </c>
    </row>
    <row r="21633">
      <c r="A21633" s="4" t="s">
        <v>27238</v>
      </c>
      <c r="B21633" s="6" t="s">
        <v>27242</v>
      </c>
      <c r="C21633" s="5" t="str">
        <f>IFERROR(__xludf.DUMMYFUNCTION("GOOGLETRANSLATE(B21633,""en"",""it"")"),"Un giovane che indossa una camicia beige risolve un cubo e gli preme le mani sul viso prima di alzarsi.")</f>
        <v>Un giovane che indossa una camicia beige risolve un cubo e gli preme le mani sul viso prima di alzarsi.</v>
      </c>
    </row>
    <row r="21634">
      <c r="A21634" s="4" t="s">
        <v>27238</v>
      </c>
      <c r="B21634" s="6" t="s">
        <v>27243</v>
      </c>
      <c r="C21634" s="5" t="str">
        <f>IFERROR(__xludf.DUMMYFUNCTION("GOOGLETRANSLATE(B21634,""en"",""it"")"),"Un ufficiale rimuove un pezzo di carta da un cubo mentre il giovane nella felpa nera risolve un altro cubo.")</f>
        <v>Un ufficiale rimuove un pezzo di carta da un cubo mentre il giovane nella felpa nera risolve un altro cubo.</v>
      </c>
    </row>
    <row r="21635">
      <c r="A21635" s="4" t="s">
        <v>27238</v>
      </c>
      <c r="B21635" s="4" t="s">
        <v>27244</v>
      </c>
      <c r="C21635" s="5" t="str">
        <f>IFERROR(__xludf.DUMMYFUNCTION("GOOGLETRANSLATE(B21635,""en"",""it"")"),"Il giovane risolve altri due cubi di fronte a un ufficiale prima di trasferirsi per alzarsi.")</f>
        <v>Il giovane risolve altri due cubi di fronte a un ufficiale prima di trasferirsi per alzarsi.</v>
      </c>
    </row>
    <row r="21636">
      <c r="A21636" s="4" t="s">
        <v>27245</v>
      </c>
      <c r="B21636" s="4" t="s">
        <v>27246</v>
      </c>
      <c r="C21636" s="5" t="str">
        <f>IFERROR(__xludf.DUMMYFUNCTION("GOOGLETRANSLATE(B21636,""en"",""it"")"),"Una grande arena a sfera di verniciatura è mostrata con un gruppo di persone che si trovano di lato.")</f>
        <v>Una grande arena a sfera di verniciatura è mostrata con un gruppo di persone che si trovano di lato.</v>
      </c>
    </row>
    <row r="21637">
      <c r="A21637" s="4" t="s">
        <v>27245</v>
      </c>
      <c r="B21637" s="4" t="s">
        <v>27247</v>
      </c>
      <c r="C21637" s="5" t="str">
        <f>IFERROR(__xludf.DUMMYFUNCTION("GOOGLETRANSLATE(B21637,""en"",""it"")"),"Le persone iniziano quindi a correre intorno al percorso sparando pistole l'una contro l'altra.")</f>
        <v>Le persone iniziano quindi a correre intorno al percorso sparando pistole l'una contro l'altra.</v>
      </c>
    </row>
    <row r="21638">
      <c r="A21638" s="4" t="s">
        <v>27245</v>
      </c>
      <c r="B21638" s="4" t="s">
        <v>27248</v>
      </c>
      <c r="C21638" s="5" t="str">
        <f>IFERROR(__xludf.DUMMYFUNCTION("GOOGLETRANSLATE(B21638,""en"",""it"")"),"Le persone continuano a correre e smettono la fine per parlarsi.")</f>
        <v>Le persone continuano a correre e smettono la fine per parlarsi.</v>
      </c>
    </row>
    <row r="21639">
      <c r="A21639" s="4" t="s">
        <v>27249</v>
      </c>
      <c r="B21639" s="4" t="s">
        <v>27250</v>
      </c>
      <c r="C21639" s="5" t="str">
        <f>IFERROR(__xludf.DUMMYFUNCTION("GOOGLETRANSLATE(B21639,""en"",""it"")"),"Alcuni bambini in classe stanno per iniziare il wrestling del braccio, mettono in atto le braccia per iniziare.")</f>
        <v>Alcuni bambini in classe stanno per iniziare il wrestling del braccio, mettono in atto le braccia per iniziare.</v>
      </c>
    </row>
    <row r="21640">
      <c r="A21640" s="4" t="s">
        <v>27249</v>
      </c>
      <c r="B21640" s="4" t="s">
        <v>27251</v>
      </c>
      <c r="C21640" s="5" t="str">
        <f>IFERROR(__xludf.DUMMYFUNCTION("GOOGLETRANSLATE(B21640,""en"",""it"")"),"L'altro bambino sul lato si sente su uno dei muscoli dei lottatori.")</f>
        <v>L'altro bambino sul lato si sente su uno dei muscoli dei lottatori.</v>
      </c>
    </row>
    <row r="21641">
      <c r="A21641" s="4" t="s">
        <v>27249</v>
      </c>
      <c r="B21641" s="4" t="s">
        <v>27252</v>
      </c>
      <c r="C21641" s="5" t="str">
        <f>IFERROR(__xludf.DUMMYFUNCTION("GOOGLETRANSLATE(B21641,""en"",""it"")"),"Sta scrivendo le cose mantenendo il punteggio e cosa no.")</f>
        <v>Sta scrivendo le cose mantenendo il punteggio e cosa no.</v>
      </c>
    </row>
    <row r="21642">
      <c r="A21642" s="4" t="s">
        <v>27249</v>
      </c>
      <c r="B21642" s="4" t="s">
        <v>27253</v>
      </c>
      <c r="C21642" s="5" t="str">
        <f>IFERROR(__xludf.DUMMYFUNCTION("GOOGLETRANSLATE(B21642,""en"",""it"")"),"La lotta del braccio femminile vince portando giù il braccio degli altri ragazzi.")</f>
        <v>La lotta del braccio femminile vince portando giù il braccio degli altri ragazzi.</v>
      </c>
    </row>
    <row r="21643">
      <c r="A21643" s="4" t="s">
        <v>27254</v>
      </c>
      <c r="B21643" s="6" t="s">
        <v>27255</v>
      </c>
      <c r="C21643" s="5" t="str">
        <f>IFERROR(__xludf.DUMMYFUNCTION("GOOGLETRANSLATE(B21643,""en"",""it"")"),"Un uomo taglia un muro di fogliame all'aperto, mentre indossa pantaloncini e un paio di cuffie che cancellano il rumore con uno strumento motorizzato a taglio dell'albero.")</f>
        <v>Un uomo taglia un muro di fogliame all'aperto, mentre indossa pantaloncini e un paio di cuffie che cancellano il rumore con uno strumento motorizzato a taglio dell'albero.</v>
      </c>
    </row>
    <row r="21644">
      <c r="A21644" s="4" t="s">
        <v>27254</v>
      </c>
      <c r="B21644" s="6" t="s">
        <v>27256</v>
      </c>
      <c r="C21644" s="5" t="str">
        <f>IFERROR(__xludf.DUMMYFUNCTION("GOOGLETRANSLATE(B21644,""en"",""it"")"),"L'uomo si prende una pausa e poi si arrampica su una scala e usa lo strumento con un braccio esteso per tagliare la parte superiore del muro dalla parte superiore della scala.")</f>
        <v>L'uomo si prende una pausa e poi si arrampica su una scala e usa lo strumento con un braccio esteso per tagliare la parte superiore del muro dalla parte superiore della scala.</v>
      </c>
    </row>
    <row r="21645">
      <c r="A21645" s="4" t="s">
        <v>27254</v>
      </c>
      <c r="B21645" s="4" t="s">
        <v>27257</v>
      </c>
      <c r="C21645" s="5" t="str">
        <f>IFERROR(__xludf.DUMMYFUNCTION("GOOGLETRANSLATE(B21645,""en"",""it"")"),"L'uomo quindi muove la scala lungo la lunghezza del muro per continuare a tagliare il fogliame.")</f>
        <v>L'uomo quindi muove la scala lungo la lunghezza del muro per continuare a tagliare il fogliame.</v>
      </c>
    </row>
    <row r="21646">
      <c r="A21646" s="4" t="s">
        <v>27258</v>
      </c>
      <c r="B21646" s="6" t="s">
        <v>27259</v>
      </c>
      <c r="C21646" s="5" t="str">
        <f>IFERROR(__xludf.DUMMYFUNCTION("GOOGLETRANSLATE(B21646,""en"",""it"")"),"Viene visto un uomo parlare con la telecamera con una pallavolo e conduce a colpi di lui che colpisce la palla.")</f>
        <v>Viene visto un uomo parlare con la telecamera con una pallavolo e conduce a colpi di lui che colpisce la palla.</v>
      </c>
    </row>
    <row r="21647">
      <c r="A21647" s="4" t="s">
        <v>27258</v>
      </c>
      <c r="B21647" s="4" t="s">
        <v>27260</v>
      </c>
      <c r="C21647" s="5" t="str">
        <f>IFERROR(__xludf.DUMMYFUNCTION("GOOGLETRANSLATE(B21647,""en"",""it"")"),"Continua a parlare con la telecamera mentre tiene la palla e si guarda in lontananza.")</f>
        <v>Continua a parlare con la telecamera mentre tiene la palla e si guarda in lontananza.</v>
      </c>
    </row>
    <row r="21648">
      <c r="A21648" s="4" t="s">
        <v>27261</v>
      </c>
      <c r="B21648" s="4" t="s">
        <v>27262</v>
      </c>
      <c r="C21648" s="5" t="str">
        <f>IFERROR(__xludf.DUMMYFUNCTION("GOOGLETRANSLATE(B21648,""en"",""it"")"),"Una persona viene mostrata sugli sci che cavalca dietro una barca sull'acqua che esegue vari trucchi.")</f>
        <v>Una persona viene mostrata sugli sci che cavalca dietro una barca sull'acqua che esegue vari trucchi.</v>
      </c>
    </row>
    <row r="21649">
      <c r="A21649" s="4" t="s">
        <v>27261</v>
      </c>
      <c r="B21649" s="4" t="s">
        <v>27263</v>
      </c>
      <c r="C21649" s="5" t="str">
        <f>IFERROR(__xludf.DUMMYFUNCTION("GOOGLETRANSLATE(B21649,""en"",""it"")"),"L'uomo continua a fare diversi trucchi sugli sci e la barca si muove molto più velocemente.")</f>
        <v>L'uomo continua a fare diversi trucchi sugli sci e la barca si muove molto più velocemente.</v>
      </c>
    </row>
    <row r="21650">
      <c r="A21650" s="4" t="s">
        <v>27264</v>
      </c>
      <c r="B21650" s="4" t="s">
        <v>27265</v>
      </c>
      <c r="C21650" s="5" t="str">
        <f>IFERROR(__xludf.DUMMYFUNCTION("GOOGLETRANSLATE(B21650,""en"",""it"")"),"Una persona viene vista andare in giro su un tosaerba che taglia l'erba in un grande campo.")</f>
        <v>Una persona viene vista andare in giro su un tosaerba che taglia l'erba in un grande campo.</v>
      </c>
    </row>
    <row r="21651">
      <c r="A21651" s="4" t="s">
        <v>27264</v>
      </c>
      <c r="B21651" s="4" t="s">
        <v>27266</v>
      </c>
      <c r="C21651" s="5" t="str">
        <f>IFERROR(__xludf.DUMMYFUNCTION("GOOGLETRANSLATE(B21651,""en"",""it"")"),"Il ragazzo si avvicina alla telecamera mentre si guida e taglia l'erba.")</f>
        <v>Il ragazzo si avvicina alla telecamera mentre si guida e taglia l'erba.</v>
      </c>
    </row>
    <row r="21652">
      <c r="A21652" s="4" t="s">
        <v>27267</v>
      </c>
      <c r="B21652" s="4" t="s">
        <v>27268</v>
      </c>
      <c r="C21652" s="5" t="str">
        <f>IFERROR(__xludf.DUMMYFUNCTION("GOOGLETRANSLATE(B21652,""en"",""it"")"),"Vengono mostrate due danze da ballo eseguendo una routine in un grande auditorium.")</f>
        <v>Vengono mostrate due danze da ballo eseguendo una routine in un grande auditorium.</v>
      </c>
    </row>
    <row r="21653">
      <c r="A21653" s="4" t="s">
        <v>27267</v>
      </c>
      <c r="B21653" s="4" t="s">
        <v>27269</v>
      </c>
      <c r="C21653" s="5" t="str">
        <f>IFERROR(__xludf.DUMMYFUNCTION("GOOGLETRANSLATE(B21653,""en"",""it"")"),"La coppia gira più volte mentre il pubblico li rallegra ad alta voce.")</f>
        <v>La coppia gira più volte mentre il pubblico li rallegra ad alta voce.</v>
      </c>
    </row>
    <row r="21654">
      <c r="A21654" s="4" t="s">
        <v>27267</v>
      </c>
      <c r="B21654" s="6" t="s">
        <v>27270</v>
      </c>
      <c r="C21654" s="5" t="str">
        <f>IFERROR(__xludf.DUMMYFUNCTION("GOOGLETRANSLATE(B21654,""en"",""it"")"),"Continuano a eseguire la loro routine di danza e diverse persone in look usando telefoni e telecamere.")</f>
        <v>Continuano a eseguire la loro routine di danza e diverse persone in look usando telefoni e telecamere.</v>
      </c>
    </row>
    <row r="21655">
      <c r="A21655" s="4" t="s">
        <v>27267</v>
      </c>
      <c r="B21655" s="4" t="s">
        <v>27271</v>
      </c>
      <c r="C21655" s="5" t="str">
        <f>IFERROR(__xludf.DUMMYFUNCTION("GOOGLETRANSLATE(B21655,""en"",""it"")"),"La coppia fa un ultimo giro e alla fine fa un inchino.")</f>
        <v>La coppia fa un ultimo giro e alla fine fa un inchino.</v>
      </c>
    </row>
    <row r="21656">
      <c r="A21656" s="4" t="s">
        <v>27272</v>
      </c>
      <c r="B21656" s="4" t="s">
        <v>27273</v>
      </c>
      <c r="C21656" s="5" t="str">
        <f>IFERROR(__xludf.DUMMYFUNCTION("GOOGLETRANSLATE(B21656,""en"",""it"")"),"Un uomo viene mostrato falciare il prato con un tosaerba a spinta.")</f>
        <v>Un uomo viene mostrato falciare il prato con un tosaerba a spinta.</v>
      </c>
    </row>
    <row r="21657">
      <c r="A21657" s="4" t="s">
        <v>27272</v>
      </c>
      <c r="B21657" s="4" t="s">
        <v>27274</v>
      </c>
      <c r="C21657" s="5" t="str">
        <f>IFERROR(__xludf.DUMMYFUNCTION("GOOGLETRANSLATE(B21657,""en"",""it"")"),"Si gira e va avanti e indietro, lasciando segni sul prato.")</f>
        <v>Si gira e va avanti e indietro, lasciando segni sul prato.</v>
      </c>
    </row>
    <row r="21658">
      <c r="A21658" s="4" t="s">
        <v>27272</v>
      </c>
      <c r="B21658" s="4" t="s">
        <v>27275</v>
      </c>
      <c r="C21658" s="5" t="str">
        <f>IFERROR(__xludf.DUMMYFUNCTION("GOOGLETRANSLATE(B21658,""en"",""it"")"),"Un uomo parla nell'angolo dello schermo del processo.")</f>
        <v>Un uomo parla nell'angolo dello schermo del processo.</v>
      </c>
    </row>
    <row r="21659">
      <c r="A21659" s="4" t="s">
        <v>27276</v>
      </c>
      <c r="B21659" s="4" t="s">
        <v>27277</v>
      </c>
      <c r="C21659" s="5" t="str">
        <f>IFERROR(__xludf.DUMMYFUNCTION("GOOGLETRANSLATE(B21659,""en"",""it"")"),"Un logo olimpico è visto con i 5 anelli.")</f>
        <v>Un logo olimpico è visto con i 5 anelli.</v>
      </c>
    </row>
    <row r="21660">
      <c r="A21660" s="4" t="s">
        <v>27276</v>
      </c>
      <c r="B21660" s="4" t="s">
        <v>27278</v>
      </c>
      <c r="C21660" s="5" t="str">
        <f>IFERROR(__xludf.DUMMYFUNCTION("GOOGLETRANSLATE(B21660,""en"",""it"")"),"Un ragazzo che indossa una camicia a strisce in palestra solleva una barra di peso sopra la testa.")</f>
        <v>Un ragazzo che indossa una camicia a strisce in palestra solleva una barra di peso sopra la testa.</v>
      </c>
    </row>
    <row r="21661">
      <c r="A21661" s="4" t="s">
        <v>27276</v>
      </c>
      <c r="B21661" s="4" t="s">
        <v>27279</v>
      </c>
      <c r="C21661" s="5" t="str">
        <f>IFERROR(__xludf.DUMMYFUNCTION("GOOGLETRANSLATE(B21661,""en"",""it"")"),"Un giovane con pantaloncini blu solleva una barra di peso sopra la testa in una palestra affollata.")</f>
        <v>Un giovane con pantaloncini blu solleva una barra di peso sopra la testa in una palestra affollata.</v>
      </c>
    </row>
    <row r="21662">
      <c r="A21662" s="4" t="s">
        <v>27276</v>
      </c>
      <c r="B21662" s="4" t="s">
        <v>27280</v>
      </c>
      <c r="C21662" s="5" t="str">
        <f>IFERROR(__xludf.DUMMYFUNCTION("GOOGLETRANSLATE(B21662,""en"",""it"")"),"Gli atleti professionisti nelle competizioni sollevano grandi barre pesantemente ponderate per giudicare.")</f>
        <v>Gli atleti professionisti nelle competizioni sollevano grandi barre pesantemente ponderate per giudicare.</v>
      </c>
    </row>
    <row r="21663">
      <c r="A21663" s="4" t="s">
        <v>27281</v>
      </c>
      <c r="B21663" s="4" t="s">
        <v>27282</v>
      </c>
      <c r="C21663" s="5" t="str">
        <f>IFERROR(__xludf.DUMMYFUNCTION("GOOGLETRANSLATE(B21663,""en"",""it"")"),"Un uomo è in palestra da solo e inizia a parlare con la telecamera.")</f>
        <v>Un uomo è in palestra da solo e inizia a parlare con la telecamera.</v>
      </c>
    </row>
    <row r="21664">
      <c r="A21664" s="4" t="s">
        <v>27281</v>
      </c>
      <c r="B21664" s="4" t="s">
        <v>27283</v>
      </c>
      <c r="C21664" s="5" t="str">
        <f>IFERROR(__xludf.DUMMYFUNCTION("GOOGLETRANSLATE(B21664,""en"",""it"")"),"Quindi alza il pugno e inizia la boxe ombra mentre si muove nella stanza.")</f>
        <v>Quindi alza il pugno e inizia la boxe ombra mentre si muove nella stanza.</v>
      </c>
    </row>
    <row r="21665">
      <c r="A21665" s="4" t="s">
        <v>27281</v>
      </c>
      <c r="B21665" s="4" t="s">
        <v>27284</v>
      </c>
      <c r="C21665" s="5" t="str">
        <f>IFERROR(__xludf.DUMMYFUNCTION("GOOGLETRANSLATE(B21665,""en"",""it"")"),"Successivamente, aggiunge i suoi piedi e inizia a calciare l'aria e si gira come se qualcuno lo sta colpendo.")</f>
        <v>Successivamente, aggiunge i suoi piedi e inizia a calciare l'aria e si gira come se qualcuno lo sta colpendo.</v>
      </c>
    </row>
    <row r="21666">
      <c r="A21666" s="4" t="s">
        <v>27281</v>
      </c>
      <c r="B21666" s="4" t="s">
        <v>27285</v>
      </c>
      <c r="C21666" s="5" t="str">
        <f>IFERROR(__xludf.DUMMYFUNCTION("GOOGLETRANSLATE(B21666,""en"",""it"")"),"Alla fine, torna leggermente sullo schermo senza fiato per terminare il video.")</f>
        <v>Alla fine, torna leggermente sullo schermo senza fiato per terminare il video.</v>
      </c>
    </row>
    <row r="21667">
      <c r="A21667" s="4" t="s">
        <v>27286</v>
      </c>
      <c r="B21667" s="6" t="s">
        <v>27287</v>
      </c>
      <c r="C21667" s="5" t="str">
        <f>IFERROR(__xludf.DUMMYFUNCTION("GOOGLETRANSLATE(B21667,""en"",""it"")"),"Un piccolo gruppo di persone viene visto seduto in auto paraurti e iniziano a guidare l'uno contro l'altro.")</f>
        <v>Un piccolo gruppo di persone viene visto seduto in auto paraurti e iniziano a guidare l'uno contro l'altro.</v>
      </c>
    </row>
    <row r="21668">
      <c r="A21668" s="4" t="s">
        <v>27286</v>
      </c>
      <c r="B21668" s="6" t="s">
        <v>27288</v>
      </c>
      <c r="C21668" s="5" t="str">
        <f>IFERROR(__xludf.DUMMYFUNCTION("GOOGLETRANSLATE(B21668,""en"",""it"")"),"La telecamera segue una donna che non riesce a spostare la macchina e gli altri sul lato le istruiscono su come guidare mentre gli altri si schiantano contro di lei.")</f>
        <v>La telecamera segue una donna che non riesce a spostare la macchina e gli altri sul lato le istruiscono su come guidare mentre gli altri si schiantano contro di lei.</v>
      </c>
    </row>
    <row r="21669">
      <c r="A21669" s="4" t="s">
        <v>27289</v>
      </c>
      <c r="B21669" s="6" t="s">
        <v>27290</v>
      </c>
      <c r="C21669" s="5" t="str">
        <f>IFERROR(__xludf.DUMMYFUNCTION("GOOGLETRANSLATE(B21669,""en"",""it"")"),"Viene visto un uomo parlare alla telecamera di fronte a una grande piscina mentre usa le mani con entusiasmo.")</f>
        <v>Viene visto un uomo parlare alla telecamera di fronte a una grande piscina mentre usa le mani con entusiasmo.</v>
      </c>
    </row>
    <row r="21670">
      <c r="A21670" s="4" t="s">
        <v>27289</v>
      </c>
      <c r="B21670" s="6" t="s">
        <v>27291</v>
      </c>
      <c r="C21670" s="5" t="str">
        <f>IFERROR(__xludf.DUMMYFUNCTION("GOOGLETRANSLATE(B21670,""en"",""it"")"),"L'uomo continua a parlare mentre usa le mani e le padelle per l'uomo che nuota in piscina e torna a parlare.")</f>
        <v>L'uomo continua a parlare mentre usa le mani e le padelle per l'uomo che nuota in piscina e torna a parlare.</v>
      </c>
    </row>
    <row r="21671">
      <c r="A21671" s="4" t="s">
        <v>27292</v>
      </c>
      <c r="B21671" s="4" t="s">
        <v>27293</v>
      </c>
      <c r="C21671" s="5" t="str">
        <f>IFERROR(__xludf.DUMMYFUNCTION("GOOGLETRANSLATE(B21671,""en"",""it"")"),"Vediamo un'arena dalle porte fuori.")</f>
        <v>Vediamo un'arena dalle porte fuori.</v>
      </c>
    </row>
    <row r="21672">
      <c r="A21672" s="4" t="s">
        <v>27292</v>
      </c>
      <c r="B21672" s="4" t="s">
        <v>27294</v>
      </c>
      <c r="C21672" s="5" t="str">
        <f>IFERROR(__xludf.DUMMYFUNCTION("GOOGLETRANSLATE(B21672,""en"",""it"")"),"Vediamo persone sul trampolino che eseguono lanci nell'arena.")</f>
        <v>Vediamo persone sul trampolino che eseguono lanci nell'arena.</v>
      </c>
    </row>
    <row r="21673">
      <c r="A21673" s="4" t="s">
        <v>27292</v>
      </c>
      <c r="B21673" s="4" t="s">
        <v>27295</v>
      </c>
      <c r="C21673" s="5" t="str">
        <f>IFERROR(__xludf.DUMMYFUNCTION("GOOGLETRANSLATE(B21673,""en"",""it"")"),"Vediamo una persona quasi cadere dopo aver lanciato.")</f>
        <v>Vediamo una persona quasi cadere dopo aver lanciato.</v>
      </c>
    </row>
    <row r="21674">
      <c r="A21674" s="4" t="s">
        <v>27292</v>
      </c>
      <c r="B21674" s="4" t="s">
        <v>27296</v>
      </c>
      <c r="C21674" s="5" t="str">
        <f>IFERROR(__xludf.DUMMYFUNCTION("GOOGLETRANSLATE(B21674,""en"",""it"")"),"La persona atterra e quasi cade.")</f>
        <v>La persona atterra e quasi cade.</v>
      </c>
    </row>
    <row r="21675">
      <c r="A21675" s="4" t="s">
        <v>27292</v>
      </c>
      <c r="B21675" s="4" t="s">
        <v>27297</v>
      </c>
      <c r="C21675" s="5" t="str">
        <f>IFERROR(__xludf.DUMMYFUNCTION("GOOGLETRANSLATE(B21675,""en"",""it"")"),"Una persona gira più volte lungo una striscia a terra.")</f>
        <v>Una persona gira più volte lungo una striscia a terra.</v>
      </c>
    </row>
    <row r="21676">
      <c r="A21676" s="4" t="s">
        <v>27292</v>
      </c>
      <c r="B21676" s="4" t="s">
        <v>27298</v>
      </c>
      <c r="C21676" s="5" t="str">
        <f>IFERROR(__xludf.DUMMYFUNCTION("GOOGLETRANSLATE(B21676,""en"",""it"")"),"Vediamo un uomo saltare e atterrare sul trampolino al rallentatore.")</f>
        <v>Vediamo un uomo saltare e atterrare sul trampolino al rallentatore.</v>
      </c>
    </row>
    <row r="21677">
      <c r="A21677" s="4" t="s">
        <v>27292</v>
      </c>
      <c r="B21677" s="4" t="s">
        <v>11124</v>
      </c>
      <c r="C21677" s="5" t="str">
        <f>IFERROR(__xludf.DUMMYFUNCTION("GOOGLETRANSLATE(B21677,""en"",""it"")"),"Vediamo gli schermi del titolo finale.")</f>
        <v>Vediamo gli schermi del titolo finale.</v>
      </c>
    </row>
    <row r="21678">
      <c r="A21678" s="4" t="s">
        <v>27299</v>
      </c>
      <c r="B21678" s="4" t="s">
        <v>27300</v>
      </c>
      <c r="C21678" s="5" t="str">
        <f>IFERROR(__xludf.DUMMYFUNCTION("GOOGLETRANSLATE(B21678,""en"",""it"")"),"Vediamo una schermata di apertura animata.")</f>
        <v>Vediamo una schermata di apertura animata.</v>
      </c>
    </row>
    <row r="21679">
      <c r="A21679" s="4" t="s">
        <v>27299</v>
      </c>
      <c r="B21679" s="4" t="s">
        <v>27301</v>
      </c>
      <c r="C21679" s="5" t="str">
        <f>IFERROR(__xludf.DUMMYFUNCTION("GOOGLETRANSLATE(B21679,""en"",""it"")"),"Un uomo sta guidando, quindi esce dalla sua macchina.")</f>
        <v>Un uomo sta guidando, quindi esce dalla sua macchina.</v>
      </c>
    </row>
    <row r="21680">
      <c r="A21680" s="4" t="s">
        <v>27299</v>
      </c>
      <c r="B21680" s="4" t="s">
        <v>27302</v>
      </c>
      <c r="C21680" s="5" t="str">
        <f>IFERROR(__xludf.DUMMYFUNCTION("GOOGLETRANSLATE(B21680,""en"",""it"")"),"Vediamo un uomo che si trasforma in una piazza e uno skate park.")</f>
        <v>Vediamo un uomo che si trasforma in una piazza e uno skate park.</v>
      </c>
    </row>
    <row r="21681">
      <c r="A21681" s="4" t="s">
        <v>27299</v>
      </c>
      <c r="B21681" s="4" t="s">
        <v>27303</v>
      </c>
      <c r="C21681" s="5" t="str">
        <f>IFERROR(__xludf.DUMMYFUNCTION("GOOGLETRANSLATE(B21681,""en"",""it"")"),"Vediamo i piedi dell'uomo tra le lame e poi il viso di un uomo.")</f>
        <v>Vediamo i piedi dell'uomo tra le lame e poi il viso di un uomo.</v>
      </c>
    </row>
    <row r="21682">
      <c r="A21682" s="4" t="s">
        <v>27299</v>
      </c>
      <c r="B21682" s="4" t="s">
        <v>27304</v>
      </c>
      <c r="C21682" s="5" t="str">
        <f>IFERROR(__xludf.DUMMYFUNCTION("GOOGLETRANSLATE(B21682,""en"",""it"")"),"Vediamo l'uomo in piedi su un marciapiede elevato, quindi pattinare sulla ringhiera.")</f>
        <v>Vediamo l'uomo in piedi su un marciapiede elevato, quindi pattinare sulla ringhiera.</v>
      </c>
    </row>
    <row r="21683">
      <c r="A21683" s="4" t="s">
        <v>27299</v>
      </c>
      <c r="B21683" s="4" t="s">
        <v>27305</v>
      </c>
      <c r="C21683" s="5" t="str">
        <f>IFERROR(__xludf.DUMMYFUNCTION("GOOGLETRANSLATE(B21683,""en"",""it"")"),"Vediamo l'uomo pattinare attraverso una panchina, quindi indossare gli occhiali da sole.")</f>
        <v>Vediamo l'uomo pattinare attraverso una panchina, quindi indossare gli occhiali da sole.</v>
      </c>
    </row>
    <row r="21684">
      <c r="A21684" s="4" t="s">
        <v>27299</v>
      </c>
      <c r="B21684" s="4" t="s">
        <v>27306</v>
      </c>
      <c r="C21684" s="5" t="str">
        <f>IFERROR(__xludf.DUMMYFUNCTION("GOOGLETRANSLATE(B21684,""en"",""it"")"),"Vediamo l'uomo girare e fare clic su un pulsante e un'auto fa esplodere.")</f>
        <v>Vediamo l'uomo girare e fare clic su un pulsante e un'auto fa esplodere.</v>
      </c>
    </row>
    <row r="21685">
      <c r="A21685" s="4" t="s">
        <v>27299</v>
      </c>
      <c r="B21685" s="4" t="s">
        <v>5107</v>
      </c>
      <c r="C21685" s="5" t="str">
        <f>IFERROR(__xludf.DUMMYFUNCTION("GOOGLETRANSLATE(B21685,""en"",""it"")"),"Vediamo quindi la schermata del titolo finale.")</f>
        <v>Vediamo quindi la schermata del titolo finale.</v>
      </c>
    </row>
    <row r="21686">
      <c r="A21686" s="4" t="s">
        <v>27307</v>
      </c>
      <c r="B21686" s="4" t="s">
        <v>27308</v>
      </c>
      <c r="C21686" s="5" t="str">
        <f>IFERROR(__xludf.DUMMYFUNCTION("GOOGLETRANSLATE(B21686,""en"",""it"")"),"Un uomo serve una palla da tennis attraverso il campo.")</f>
        <v>Un uomo serve una palla da tennis attraverso il campo.</v>
      </c>
    </row>
    <row r="21687">
      <c r="A21687" s="4" t="s">
        <v>27307</v>
      </c>
      <c r="B21687" s="4" t="s">
        <v>27309</v>
      </c>
      <c r="C21687" s="5" t="str">
        <f>IFERROR(__xludf.DUMMYFUNCTION("GOOGLETRANSLATE(B21687,""en"",""it"")"),"L'uomo si gira per parlare con la telecamera.")</f>
        <v>L'uomo si gira per parlare con la telecamera.</v>
      </c>
    </row>
    <row r="21688">
      <c r="A21688" s="4" t="s">
        <v>27310</v>
      </c>
      <c r="B21688" s="6" t="s">
        <v>27311</v>
      </c>
      <c r="C21688" s="5" t="str">
        <f>IFERROR(__xludf.DUMMYFUNCTION("GOOGLETRANSLATE(B21688,""en"",""it"")"),"Un lottatore, in piedi in cima a una scala, con un altro uomo sulla scala con lui, ma di fronte a lui, salta giù dalla scala dall'alto e porta con sé l'altra persona.")</f>
        <v>Un lottatore, in piedi in cima a una scala, con un altro uomo sulla scala con lui, ma di fronte a lui, salta giù dalla scala dall'alto e porta con sé l'altra persona.</v>
      </c>
    </row>
    <row r="21689">
      <c r="A21689" s="4" t="s">
        <v>27310</v>
      </c>
      <c r="B21689" s="6" t="s">
        <v>27312</v>
      </c>
      <c r="C21689" s="5" t="str">
        <f>IFERROR(__xludf.DUMMYFUNCTION("GOOGLETRANSLATE(B21689,""en"",""it"")"),"Un uomo in un costume da wrestling si trova in cima a una scala nel mezzo di un anello con un arbitro e persone tra il pubblico.")</f>
        <v>Un uomo in un costume da wrestling si trova in cima a una scala nel mezzo di un anello con un arbitro e persone tra il pubblico.</v>
      </c>
    </row>
    <row r="21690">
      <c r="A21690" s="4" t="s">
        <v>27310</v>
      </c>
      <c r="B21690" s="6" t="s">
        <v>27313</v>
      </c>
      <c r="C21690" s="5" t="str">
        <f>IFERROR(__xludf.DUMMYFUNCTION("GOOGLETRANSLATE(B21690,""en"",""it"")"),"L'uomo salta giù dalla scala mentre le persone del pubblico applaudono anche per lui e l'altro uomo cade.")</f>
        <v>L'uomo salta giù dalla scala mentre le persone del pubblico applaudono anche per lui e l'altro uomo cade.</v>
      </c>
    </row>
    <row r="21691">
      <c r="A21691" s="4" t="s">
        <v>27314</v>
      </c>
      <c r="B21691" s="4" t="s">
        <v>27315</v>
      </c>
      <c r="C21691" s="5" t="str">
        <f>IFERROR(__xludf.DUMMYFUNCTION("GOOGLETRANSLATE(B21691,""en"",""it"")"),"La gente naviga in un fiume roccioso su singoli barche gonfiabili.")</f>
        <v>La gente naviga in un fiume roccioso su singoli barche gonfiabili.</v>
      </c>
    </row>
    <row r="21692">
      <c r="A21692" s="4" t="s">
        <v>27314</v>
      </c>
      <c r="B21692" s="4" t="s">
        <v>27316</v>
      </c>
      <c r="C21692" s="5" t="str">
        <f>IFERROR(__xludf.DUMMYFUNCTION("GOOGLETRANSLATE(B21692,""en"",""it"")"),"Le barche passano con difficoltà tra le rocce.")</f>
        <v>Le barche passano con difficoltà tra le rocce.</v>
      </c>
    </row>
    <row r="21693">
      <c r="A21693" s="4" t="s">
        <v>27314</v>
      </c>
      <c r="B21693" s="4" t="s">
        <v>27317</v>
      </c>
      <c r="C21693" s="5" t="str">
        <f>IFERROR(__xludf.DUMMYFUNCTION("GOOGLETRANSLATE(B21693,""en"",""it"")"),"Quindi, le persone entrano in acque più travagliate.")</f>
        <v>Quindi, le persone entrano in acque più travagliate.</v>
      </c>
    </row>
    <row r="21694">
      <c r="A21694" s="4" t="s">
        <v>27318</v>
      </c>
      <c r="B21694" s="4" t="s">
        <v>27319</v>
      </c>
      <c r="C21694" s="5" t="str">
        <f>IFERROR(__xludf.DUMMYFUNCTION("GOOGLETRANSLATE(B21694,""en"",""it"")"),"I bambini sono in piedi nell'apertura di un cartone animato.")</f>
        <v>I bambini sono in piedi nell'apertura di un cartone animato.</v>
      </c>
    </row>
    <row r="21695">
      <c r="A21695" s="4" t="s">
        <v>27318</v>
      </c>
      <c r="B21695" s="4" t="s">
        <v>27320</v>
      </c>
      <c r="C21695" s="5" t="str">
        <f>IFERROR(__xludf.DUMMYFUNCTION("GOOGLETRANSLATE(B21695,""en"",""it"")"),"La donna sta parlando di fronte a un micropone di fronte a un grande pubblico.")</f>
        <v>La donna sta parlando di fronte a un micropone di fronte a un grande pubblico.</v>
      </c>
    </row>
    <row r="21696">
      <c r="A21696" s="4" t="s">
        <v>27318</v>
      </c>
      <c r="B21696" s="4" t="s">
        <v>27321</v>
      </c>
      <c r="C21696" s="5" t="str">
        <f>IFERROR(__xludf.DUMMYFUNCTION("GOOGLETRANSLATE(B21696,""en"",""it"")"),"I mmen sono nel mezzo di un'arena in un grande stadio che combatte tra di loro.")</f>
        <v>I mmen sono nel mezzo di un'arena in un grande stadio che combatte tra di loro.</v>
      </c>
    </row>
    <row r="21697">
      <c r="A21697" s="4" t="s">
        <v>27322</v>
      </c>
      <c r="B21697" s="4" t="s">
        <v>27323</v>
      </c>
      <c r="C21697" s="5" t="str">
        <f>IFERROR(__xludf.DUMMYFUNCTION("GOOGLETRANSLATE(B21697,""en"",""it"")"),"Un uomo cammina sul palco per unirsi a una band.")</f>
        <v>Un uomo cammina sul palco per unirsi a una band.</v>
      </c>
    </row>
    <row r="21698">
      <c r="A21698" s="4" t="s">
        <v>27322</v>
      </c>
      <c r="B21698" s="4" t="s">
        <v>27324</v>
      </c>
      <c r="C21698" s="5" t="str">
        <f>IFERROR(__xludf.DUMMYFUNCTION("GOOGLETRANSLATE(B21698,""en"",""it"")"),"Un uomo suona davanti a una band con un'armonica.")</f>
        <v>Un uomo suona davanti a una band con un'armonica.</v>
      </c>
    </row>
    <row r="21699">
      <c r="A21699" s="4" t="s">
        <v>27322</v>
      </c>
      <c r="B21699" s="4" t="s">
        <v>27325</v>
      </c>
      <c r="C21699" s="5" t="str">
        <f>IFERROR(__xludf.DUMMYFUNCTION("GOOGLETRANSLATE(B21699,""en"",""it"")"),"Il tastierista suona un assolo vivace durante la canzone.")</f>
        <v>Il tastierista suona un assolo vivace durante la canzone.</v>
      </c>
    </row>
    <row r="21700">
      <c r="A21700" s="4" t="s">
        <v>27322</v>
      </c>
      <c r="B21700" s="4" t="s">
        <v>27326</v>
      </c>
      <c r="C21700" s="5" t="str">
        <f>IFERROR(__xludf.DUMMYFUNCTION("GOOGLETRANSLATE(B21700,""en"",""it"")"),"L'uomo si congratula e dà un alto cinque al tastierista alla fine della canzone.")</f>
        <v>L'uomo si congratula e dà un alto cinque al tastierista alla fine della canzone.</v>
      </c>
    </row>
    <row r="21701">
      <c r="A21701" s="4" t="s">
        <v>27327</v>
      </c>
      <c r="B21701" s="4" t="s">
        <v>27328</v>
      </c>
      <c r="C21701" s="5" t="str">
        <f>IFERROR(__xludf.DUMMYFUNCTION("GOOGLETRANSLATE(B21701,""en"",""it"")"),"Un uomo in Kakis Tan e una camicia abbottonata spazza un pavimento con una scopa larga.")</f>
        <v>Un uomo in Kakis Tan e una camicia abbottonata spazza un pavimento con una scopa larga.</v>
      </c>
    </row>
    <row r="21702">
      <c r="A21702" s="4" t="s">
        <v>27327</v>
      </c>
      <c r="B21702" s="6" t="s">
        <v>27329</v>
      </c>
      <c r="C21702" s="5" t="str">
        <f>IFERROR(__xludf.DUMMYFUNCTION("GOOGLETRANSLATE(B21702,""en"",""it"")"),"Un uomo cammina e spazza un pavimento che cammina a sinistra della stanza che spinge l'ampia scopa davanti a lui.")</f>
        <v>Un uomo cammina e spazza un pavimento che cammina a sinistra della stanza che spinge l'ampia scopa davanti a lui.</v>
      </c>
    </row>
    <row r="21703">
      <c r="A21703" s="4" t="s">
        <v>27327</v>
      </c>
      <c r="B21703" s="4" t="s">
        <v>27330</v>
      </c>
      <c r="C21703" s="5" t="str">
        <f>IFERROR(__xludf.DUMMYFUNCTION("GOOGLETRANSLATE(B21703,""en"",""it"")"),"L'uomo quindi cammina verso il lato destro della stanza con lo stesso ampio scopa.")</f>
        <v>L'uomo quindi cammina verso il lato destro della stanza con lo stesso ampio scopa.</v>
      </c>
    </row>
    <row r="21704">
      <c r="A21704" s="4" t="s">
        <v>27327</v>
      </c>
      <c r="B21704" s="6" t="s">
        <v>27331</v>
      </c>
      <c r="C21704" s="5" t="str">
        <f>IFERROR(__xludf.DUMMYFUNCTION("GOOGLETRANSLATE(B21704,""en"",""it"")"),"L'uomo finisce quindi spazzando, lascia la scopa nell'angolo della stanza e si trova contro il muro di fronte a una finestra.")</f>
        <v>L'uomo finisce quindi spazzando, lascia la scopa nell'angolo della stanza e si trova contro il muro di fronte a una finestra.</v>
      </c>
    </row>
    <row r="21705">
      <c r="A21705" s="4" t="s">
        <v>27332</v>
      </c>
      <c r="B21705" s="6" t="s">
        <v>27333</v>
      </c>
      <c r="C21705" s="5" t="str">
        <f>IFERROR(__xludf.DUMMYFUNCTION("GOOGLETRANSLATE(B21705,""en"",""it"")"),"Un bambino piccolo viene visto in piedi pronto a tenere un palo e poi corre lungo una lunga pista e lancia il palo.")</f>
        <v>Un bambino piccolo viene visto in piedi pronto a tenere un palo e poi corre lungo una lunga pista e lancia il palo.</v>
      </c>
    </row>
    <row r="21706">
      <c r="A21706" s="4" t="s">
        <v>27332</v>
      </c>
      <c r="B21706" s="6" t="s">
        <v>27334</v>
      </c>
      <c r="C21706" s="5" t="str">
        <f>IFERROR(__xludf.DUMMYFUNCTION("GOOGLETRANSLATE(B21706,""en"",""it"")"),"Cammina per la pista quando un'altra persona viene vista correre giù e gettare il bastone.")</f>
        <v>Cammina per la pista quando un'altra persona viene vista correre giù e gettare il bastone.</v>
      </c>
    </row>
    <row r="21707">
      <c r="A21707" s="4" t="s">
        <v>27332</v>
      </c>
      <c r="B21707" s="4" t="s">
        <v>27335</v>
      </c>
      <c r="C21707" s="5" t="str">
        <f>IFERROR(__xludf.DUMMYFUNCTION("GOOGLETRANSLATE(B21707,""en"",""it"")"),"Alla fine un ultimo ragazzo si avvicina alla pista per gettare il giavellotto e poi torna agli altri.")</f>
        <v>Alla fine un ultimo ragazzo si avvicina alla pista per gettare il giavellotto e poi torna agli altri.</v>
      </c>
    </row>
    <row r="21708">
      <c r="A21708" s="4" t="s">
        <v>27336</v>
      </c>
      <c r="B21708" s="4" t="s">
        <v>27337</v>
      </c>
      <c r="C21708" s="5" t="str">
        <f>IFERROR(__xludf.DUMMYFUNCTION("GOOGLETRANSLATE(B21708,""en"",""it"")"),"Un'introduzione con testo viene mostrata sullo schermo seguito da due personaggi dei cartoni animati.")</f>
        <v>Un'introduzione con testo viene mostrata sullo schermo seguito da due personaggi dei cartoni animati.</v>
      </c>
    </row>
    <row r="21709">
      <c r="A21709" s="4" t="s">
        <v>27336</v>
      </c>
      <c r="B21709" s="4" t="s">
        <v>27338</v>
      </c>
      <c r="C21709" s="5" t="str">
        <f>IFERROR(__xludf.DUMMYFUNCTION("GOOGLETRANSLATE(B21709,""en"",""it"")"),"I personaggi si parlano e portano a loro giocando a un gioco.")</f>
        <v>I personaggi si parlano e portano a loro giocando a un gioco.</v>
      </c>
    </row>
    <row r="21710">
      <c r="A21710" s="4" t="s">
        <v>27336</v>
      </c>
      <c r="B21710" s="4" t="s">
        <v>27339</v>
      </c>
      <c r="C21710" s="5" t="str">
        <f>IFERROR(__xludf.DUMMYFUNCTION("GOOGLETRANSLATE(B21710,""en"",""it"")"),"Un personaggio perde il gioco e poi scompare.")</f>
        <v>Un personaggio perde il gioco e poi scompare.</v>
      </c>
    </row>
    <row r="21711">
      <c r="A21711" s="4" t="s">
        <v>27340</v>
      </c>
      <c r="B21711" s="4" t="s">
        <v>27341</v>
      </c>
      <c r="C21711" s="5" t="str">
        <f>IFERROR(__xludf.DUMMYFUNCTION("GOOGLETRANSLATE(B21711,""en"",""it"")"),"Vediamo un giovane parlare in uno studio di notizie.")</f>
        <v>Vediamo un giovane parlare in uno studio di notizie.</v>
      </c>
    </row>
    <row r="21712">
      <c r="A21712" s="4" t="s">
        <v>27340</v>
      </c>
      <c r="B21712" s="4" t="s">
        <v>27342</v>
      </c>
      <c r="C21712" s="5" t="str">
        <f>IFERROR(__xludf.DUMMYFUNCTION("GOOGLETRANSLATE(B21712,""en"",""it"")"),"Vediamo un uomo che cavalca una bici fissa e vediamo una foto dell'uomo che tiene una torta.")</f>
        <v>Vediamo un uomo che cavalca una bici fissa e vediamo una foto dell'uomo che tiene una torta.</v>
      </c>
    </row>
    <row r="21713">
      <c r="A21713" s="4" t="s">
        <v>27340</v>
      </c>
      <c r="B21713" s="4" t="s">
        <v>27343</v>
      </c>
      <c r="C21713" s="5" t="str">
        <f>IFERROR(__xludf.DUMMYFUNCTION("GOOGLETRANSLATE(B21713,""en"",""it"")"),"Vediamo l'uomo intervistato tagliato con scene dell'uomo che si allena.")</f>
        <v>Vediamo l'uomo intervistato tagliato con scene dell'uomo che si allena.</v>
      </c>
    </row>
    <row r="21714">
      <c r="A21714" s="4" t="s">
        <v>27340</v>
      </c>
      <c r="B21714" s="6" t="s">
        <v>27344</v>
      </c>
      <c r="C21714" s="5" t="str">
        <f>IFERROR(__xludf.DUMMYFUNCTION("GOOGLETRANSLATE(B21714,""en"",""it"")"),"Vediamo l'uomo nell'immagine che tiene di nuovo la torta e vediamo l'uomo nella camicia che non si adatta più ed è troppo grande.")</f>
        <v>Vediamo l'uomo nell'immagine che tiene di nuovo la torta e vediamo l'uomo nella camicia che non si adatta più ed è troppo grande.</v>
      </c>
    </row>
    <row r="21715">
      <c r="A21715" s="4" t="s">
        <v>27340</v>
      </c>
      <c r="B21715" s="4" t="s">
        <v>27345</v>
      </c>
      <c r="C21715" s="5" t="str">
        <f>IFERROR(__xludf.DUMMYFUNCTION("GOOGLETRANSLATE(B21715,""en"",""it"")"),"Vediamo l'uomo allenarsi di nuovo.")</f>
        <v>Vediamo l'uomo allenarsi di nuovo.</v>
      </c>
    </row>
    <row r="21716">
      <c r="A21716" s="4" t="s">
        <v>27340</v>
      </c>
      <c r="B21716" s="4" t="s">
        <v>27346</v>
      </c>
      <c r="C21716" s="5" t="str">
        <f>IFERROR(__xludf.DUMMYFUNCTION("GOOGLETRANSLATE(B21716,""en"",""it"")"),"Vediamo tre giornalisti in studio.")</f>
        <v>Vediamo tre giornalisti in studio.</v>
      </c>
    </row>
    <row r="21717">
      <c r="A21717" s="4" t="s">
        <v>27347</v>
      </c>
      <c r="B21717" s="6" t="s">
        <v>27348</v>
      </c>
      <c r="C21717" s="5" t="str">
        <f>IFERROR(__xludf.DUMMYFUNCTION("GOOGLETRANSLATE(B21717,""en"",""it"")"),"Un istruttore di Pilates su Skates spiega come allacciarsi le protezioni del rischio e mostra che hai bisogno di ginocchieri per proteggere le ginocchia.")</f>
        <v>Un istruttore di Pilates su Skates spiega come allacciarsi le protezioni del rischio e mostra che hai bisogno di ginocchieri per proteggere le ginocchia.</v>
      </c>
    </row>
    <row r="21718">
      <c r="A21718" s="4" t="s">
        <v>27347</v>
      </c>
      <c r="B21718" s="6" t="s">
        <v>27349</v>
      </c>
      <c r="C21718" s="5" t="str">
        <f>IFERROR(__xludf.DUMMYFUNCTION("GOOGLETRANSLATE(B21718,""en"",""it"")"),"La signora spiega quindi il movimento dei pattini e come usare le pause che si trovano nella parte posteriore dei pattini.")</f>
        <v>La signora spiega quindi il movimento dei pattini e come usare le pause che si trovano nella parte posteriore dei pattini.</v>
      </c>
    </row>
    <row r="21719">
      <c r="A21719" s="4" t="s">
        <v>27347</v>
      </c>
      <c r="B21719" s="4" t="s">
        <v>27350</v>
      </c>
      <c r="C21719" s="5" t="str">
        <f>IFERROR(__xludf.DUMMYFUNCTION("GOOGLETRANSLATE(B21719,""en"",""it"")"),"Finalmente la signora ti mostra il modo giusto per pattinare per divertirti.")</f>
        <v>Finalmente la signora ti mostra il modo giusto per pattinare per divertirti.</v>
      </c>
    </row>
    <row r="21720">
      <c r="A21720" s="4" t="s">
        <v>27351</v>
      </c>
      <c r="B21720" s="4" t="s">
        <v>27352</v>
      </c>
      <c r="C21720" s="5" t="str">
        <f>IFERROR(__xludf.DUMMYFUNCTION("GOOGLETRANSLATE(B21720,""en"",""it"")"),"I bambini sono seduti in macchine per paraurti.")</f>
        <v>I bambini sono seduti in macchine per paraurti.</v>
      </c>
    </row>
    <row r="21721">
      <c r="A21721" s="4" t="s">
        <v>27351</v>
      </c>
      <c r="B21721" s="4" t="s">
        <v>27353</v>
      </c>
      <c r="C21721" s="5" t="str">
        <f>IFERROR(__xludf.DUMMYFUNCTION("GOOGLETRANSLATE(B21721,""en"",""it"")"),"Cominciano a schiantarsi l'uno contro l'altro.")</f>
        <v>Cominciano a schiantarsi l'uno contro l'altro.</v>
      </c>
    </row>
    <row r="21722">
      <c r="A21722" s="4" t="s">
        <v>27351</v>
      </c>
      <c r="B21722" s="4" t="s">
        <v>27354</v>
      </c>
      <c r="C21722" s="5" t="str">
        <f>IFERROR(__xludf.DUMMYFUNCTION("GOOGLETRANSLATE(B21722,""en"",""it"")"),"Si fermano e iniziano a uscire dalle loro auto.")</f>
        <v>Si fermano e iniziano a uscire dalle loro auto.</v>
      </c>
    </row>
    <row r="21723">
      <c r="A21723" s="4" t="s">
        <v>27355</v>
      </c>
      <c r="B21723" s="4" t="s">
        <v>27356</v>
      </c>
      <c r="C21723" s="5" t="str">
        <f>IFERROR(__xludf.DUMMYFUNCTION("GOOGLETRANSLATE(B21723,""en"",""it"")"),"Un giovane forte si trova in un grande campo verde aperto preparando a lanciare un tiro.")</f>
        <v>Un giovane forte si trova in un grande campo verde aperto preparando a lanciare un tiro.</v>
      </c>
    </row>
    <row r="21724">
      <c r="A21724" s="4" t="s">
        <v>27355</v>
      </c>
      <c r="B21724" s="6" t="s">
        <v>27357</v>
      </c>
      <c r="C21724" s="5" t="str">
        <f>IFERROR(__xludf.DUMMYFUNCTION("GOOGLETRANSLATE(B21724,""en"",""it"")"),"Una volta lanciata la palla, un uomo si esaurisce per segnare la distanza e cammina verso la tenda e si toglie il nastro dal polso.")</f>
        <v>Una volta lanciata la palla, un uomo si esaurisce per segnare la distanza e cammina verso la tenda e si toglie il nastro dal polso.</v>
      </c>
    </row>
    <row r="21725">
      <c r="A21725" s="4" t="s">
        <v>27355</v>
      </c>
      <c r="B21725" s="6" t="s">
        <v>27358</v>
      </c>
      <c r="C21725" s="5" t="str">
        <f>IFERROR(__xludf.DUMMYFUNCTION("GOOGLETRANSLATE(B21725,""en"",""it"")"),"Un altro uomo leggermente più corto e più grande si avvicina al cerchio e fa la stessa cosa seguita da un'altra persona.")</f>
        <v>Un altro uomo leggermente più corto e più grande si avvicina al cerchio e fa la stessa cosa seguita da un'altra persona.</v>
      </c>
    </row>
    <row r="21726">
      <c r="A21726" s="4" t="s">
        <v>27355</v>
      </c>
      <c r="B21726" s="4" t="s">
        <v>27359</v>
      </c>
      <c r="C21726" s="5" t="str">
        <f>IFERROR(__xludf.DUMMYFUNCTION("GOOGLETRANSLATE(B21726,""en"",""it"")"),"Tutti e tre gli uomini sono finiti e lì mostrati.")</f>
        <v>Tutti e tre gli uomini sono finiti e lì mostrati.</v>
      </c>
    </row>
    <row r="21727">
      <c r="A21727" s="4" t="s">
        <v>27360</v>
      </c>
      <c r="B21727" s="4" t="s">
        <v>27361</v>
      </c>
      <c r="C21727" s="5" t="str">
        <f>IFERROR(__xludf.DUMMYFUNCTION("GOOGLETRANSLATE(B21727,""en"",""it"")"),"Tre uomini discutono dell'argomento di giocare a polo d'acqua con kayak.")</f>
        <v>Tre uomini discutono dell'argomento di giocare a polo d'acqua con kayak.</v>
      </c>
    </row>
    <row r="21728">
      <c r="A21728" s="4" t="s">
        <v>27360</v>
      </c>
      <c r="B21728" s="4" t="s">
        <v>27362</v>
      </c>
      <c r="C21728" s="5" t="str">
        <f>IFERROR(__xludf.DUMMYFUNCTION("GOOGLETRANSLATE(B21728,""en"",""it"")"),"La scena cambia per mostrare un'esibizione di polo d'acqua con kayak.")</f>
        <v>La scena cambia per mostrare un'esibizione di polo d'acqua con kayak.</v>
      </c>
    </row>
    <row r="21729">
      <c r="A21729" s="4" t="s">
        <v>27360</v>
      </c>
      <c r="B21729" s="6" t="s">
        <v>27363</v>
      </c>
      <c r="C21729" s="5" t="str">
        <f>IFERROR(__xludf.DUMMYFUNCTION("GOOGLETRANSLATE(B21729,""en"",""it"")"),"Due barche si schiantano mentre due uomini cercano di remare per la palla, gli uomini commentano sulla scena, i giocatori sembrano gravemente feriti.")</f>
        <v>Due barche si schiantano mentre due uomini cercano di remare per la palla, gli uomini commentano sulla scena, i giocatori sembrano gravemente feriti.</v>
      </c>
    </row>
    <row r="21730">
      <c r="A21730" s="4" t="s">
        <v>27360</v>
      </c>
      <c r="B21730" s="6" t="s">
        <v>27364</v>
      </c>
      <c r="C21730" s="5" t="str">
        <f>IFERROR(__xludf.DUMMYFUNCTION("GOOGLETRANSLATE(B21730,""en"",""it"")"),"Il display torna agli uomini che parlano della polo d'acqua, sono molto incuriositi e scioccati.")</f>
        <v>Il display torna agli uomini che parlano della polo d'acqua, sono molto incuriositi e scioccati.</v>
      </c>
    </row>
    <row r="21731">
      <c r="A21731" s="4" t="s">
        <v>27360</v>
      </c>
      <c r="B21731" s="4" t="s">
        <v>27365</v>
      </c>
      <c r="C21731" s="5" t="str">
        <f>IFERROR(__xludf.DUMMYFUNCTION("GOOGLETRANSLATE(B21731,""en"",""it"")"),"La scena torna all'incidente con la polo d'acqua, il banner dello spettacolo conclude il video.")</f>
        <v>La scena torna all'incidente con la polo d'acqua, il banner dello spettacolo conclude il video.</v>
      </c>
    </row>
    <row r="21732">
      <c r="A21732" s="4" t="s">
        <v>27366</v>
      </c>
      <c r="B21732" s="4" t="s">
        <v>27367</v>
      </c>
      <c r="C21732" s="5" t="str">
        <f>IFERROR(__xludf.DUMMYFUNCTION("GOOGLETRANSLATE(B21732,""en"",""it"")"),"Una donna suona la batteria e canta sul palco.")</f>
        <v>Una donna suona la batteria e canta sul palco.</v>
      </c>
    </row>
    <row r="21733">
      <c r="A21733" s="4" t="s">
        <v>27366</v>
      </c>
      <c r="B21733" s="4" t="s">
        <v>27368</v>
      </c>
      <c r="C21733" s="5" t="str">
        <f>IFERROR(__xludf.DUMMYFUNCTION("GOOGLETRANSLATE(B21733,""en"",""it"")"),"La fotocamera si tira indietro sulla scena.")</f>
        <v>La fotocamera si tira indietro sulla scena.</v>
      </c>
    </row>
    <row r="21734">
      <c r="A21734" s="4" t="s">
        <v>27366</v>
      </c>
      <c r="B21734" s="4" t="s">
        <v>27369</v>
      </c>
      <c r="C21734" s="5" t="str">
        <f>IFERROR(__xludf.DUMMYFUNCTION("GOOGLETRANSLATE(B21734,""en"",""it"")"),"La donna finisce e si alza.")</f>
        <v>La donna finisce e si alza.</v>
      </c>
    </row>
    <row r="21735">
      <c r="A21735" s="4" t="s">
        <v>27370</v>
      </c>
      <c r="B21735" s="4" t="s">
        <v>27371</v>
      </c>
      <c r="C21735" s="5" t="str">
        <f>IFERROR(__xludf.DUMMYFUNCTION("GOOGLETRANSLATE(B21735,""en"",""it"")"),"Vediamo una schermata del titolo verde.")</f>
        <v>Vediamo una schermata del titolo verde.</v>
      </c>
    </row>
    <row r="21736">
      <c r="A21736" s="4" t="s">
        <v>27370</v>
      </c>
      <c r="B21736" s="4" t="s">
        <v>27372</v>
      </c>
      <c r="C21736" s="5" t="str">
        <f>IFERROR(__xludf.DUMMYFUNCTION("GOOGLETRANSLATE(B21736,""en"",""it"")"),"Una signora in un bagno parla alla telecamera.")</f>
        <v>Una signora in un bagno parla alla telecamera.</v>
      </c>
    </row>
    <row r="21737">
      <c r="A21737" s="4" t="s">
        <v>27370</v>
      </c>
      <c r="B21737" s="6" t="s">
        <v>27373</v>
      </c>
      <c r="C21737" s="5" t="str">
        <f>IFERROR(__xludf.DUMMYFUNCTION("GOOGLETRANSLATE(B21737,""en"",""it"")"),"La vediamo versare bicarbonato di sodio e aceto sul suo scarico del lavandino e parla e muove le mani mentre la soluzione si schizza.")</f>
        <v>La vediamo versare bicarbonato di sodio e aceto sul suo scarico del lavandino e parla e muove le mani mentre la soluzione si schizza.</v>
      </c>
    </row>
    <row r="21738">
      <c r="A21738" s="4" t="s">
        <v>27370</v>
      </c>
      <c r="B21738" s="4" t="s">
        <v>27374</v>
      </c>
      <c r="C21738" s="5" t="str">
        <f>IFERROR(__xludf.DUMMYFUNCTION("GOOGLETRANSLATE(B21738,""en"",""it"")"),"La signora accese l'acqua per risciacquare la soluzione nello scarico.")</f>
        <v>La signora accese l'acqua per risciacquare la soluzione nello scarico.</v>
      </c>
    </row>
    <row r="21739">
      <c r="A21739" s="4" t="s">
        <v>27375</v>
      </c>
      <c r="B21739" s="6" t="s">
        <v>27376</v>
      </c>
      <c r="C21739" s="5" t="str">
        <f>IFERROR(__xludf.DUMMYFUNCTION("GOOGLETRANSLATE(B21739,""en"",""it"")"),"Una pubblicità di pulizia delle finestre dimostra tutti i materiali e le tecniche necessarie per pulire una finestra della casa.")</f>
        <v>Una pubblicità di pulizia delle finestre dimostra tutti i materiali e le tecniche necessarie per pulire una finestra della casa.</v>
      </c>
    </row>
    <row r="21740">
      <c r="A21740" s="4" t="s">
        <v>27375</v>
      </c>
      <c r="B21740" s="6" t="s">
        <v>27377</v>
      </c>
      <c r="C21740" s="5" t="str">
        <f>IFERROR(__xludf.DUMMYFUNCTION("GOOGLETRANSLATE(B21740,""en"",""it"")"),"La pubblicità inizia con un primo piano in una casa a due piani e l'interno della casa tra cui una linea di grandi finestre.")</f>
        <v>La pubblicità inizia con un primo piano in una casa a due piani e l'interno della casa tra cui una linea di grandi finestre.</v>
      </c>
    </row>
    <row r="21741">
      <c r="A21741" s="4" t="s">
        <v>27375</v>
      </c>
      <c r="B21741" s="6" t="s">
        <v>27378</v>
      </c>
      <c r="C21741" s="5" t="str">
        <f>IFERROR(__xludf.DUMMYFUNCTION("GOOGLETRANSLATE(B21741,""en"",""it"")"),"Le immagini di una persona che puliscono una finestra, un sapone, un secchio e una spugna vengono mostrate insieme a una lavagna con ingredienti necessari per pulire una finestra.")</f>
        <v>Le immagini di una persona che puliscono una finestra, un sapone, un secchio e una spugna vengono mostrate insieme a una lavagna con ingredienti necessari per pulire una finestra.</v>
      </c>
    </row>
    <row r="21742">
      <c r="A21742" s="4" t="s">
        <v>27375</v>
      </c>
      <c r="B21742" s="6" t="s">
        <v>27379</v>
      </c>
      <c r="C21742" s="5" t="str">
        <f>IFERROR(__xludf.DUMMYFUNCTION("GOOGLETRANSLATE(B21742,""en"",""it"")"),"Una persona pulisce una finestra usando tutti gli strumenti, tra cui la rimozione di schermi per pulirli e rimuovere gli adesivi su finestre.")</f>
        <v>Una persona pulisce una finestra usando tutti gli strumenti, tra cui la rimozione di schermi per pulirli e rimuovere gli adesivi su finestre.</v>
      </c>
    </row>
    <row r="21743">
      <c r="A21743" s="4" t="s">
        <v>27380</v>
      </c>
      <c r="B21743" s="4" t="s">
        <v>27381</v>
      </c>
      <c r="C21743" s="5" t="str">
        <f>IFERROR(__xludf.DUMMYFUNCTION("GOOGLETRANSLATE(B21743,""en"",""it"")"),"Un uomo parla mentre si trova in cucina.")</f>
        <v>Un uomo parla mentre si trova in cucina.</v>
      </c>
    </row>
    <row r="21744">
      <c r="A21744" s="4" t="s">
        <v>27380</v>
      </c>
      <c r="B21744" s="6" t="s">
        <v>27382</v>
      </c>
      <c r="C21744" s="5" t="str">
        <f>IFERROR(__xludf.DUMMYFUNCTION("GOOGLETRANSLATE(B21744,""en"",""it"")"),"L'uomo bolle il latte e aggiunge una vaniglia fresca e versa la soluzione in una ciotola con altri ingredienti.")</f>
        <v>L'uomo bolle il latte e aggiunge una vaniglia fresca e versa la soluzione in una ciotola con altri ingredienti.</v>
      </c>
    </row>
    <row r="21745">
      <c r="A21745" s="4" t="s">
        <v>27380</v>
      </c>
      <c r="B21745" s="4" t="s">
        <v>27383</v>
      </c>
      <c r="C21745" s="5" t="str">
        <f>IFERROR(__xludf.DUMMYFUNCTION("GOOGLETRANSLATE(B21745,""en"",""it"")"),"L'uomo cucina la crema pasticcera e si versa in una ciotola e si congela per preparare il gelato.")</f>
        <v>L'uomo cucina la crema pasticcera e si versa in una ciotola e si congela per preparare il gelato.</v>
      </c>
    </row>
    <row r="21746">
      <c r="A21746" s="4" t="s">
        <v>27380</v>
      </c>
      <c r="B21746" s="4" t="s">
        <v>27384</v>
      </c>
      <c r="C21746" s="5" t="str">
        <f>IFERROR(__xludf.DUMMYFUNCTION("GOOGLETRANSLATE(B21746,""en"",""it"")"),"L'uomo taglia e cucina lo sfregamento di zucchero sulla stufa.")</f>
        <v>L'uomo taglia e cucina lo sfregamento di zucchero sulla stufa.</v>
      </c>
    </row>
    <row r="21747">
      <c r="A21747" s="4" t="s">
        <v>27380</v>
      </c>
      <c r="B21747" s="4" t="s">
        <v>27385</v>
      </c>
      <c r="C21747" s="5" t="str">
        <f>IFERROR(__xludf.DUMMYFUNCTION("GOOGLETRANSLATE(B21747,""en"",""it"")"),"Mangia il gelato sopra il rubarb cotto.")</f>
        <v>Mangia il gelato sopra il rubarb cotto.</v>
      </c>
    </row>
    <row r="21748">
      <c r="A21748" s="4" t="s">
        <v>27380</v>
      </c>
      <c r="B21748" s="4" t="s">
        <v>27386</v>
      </c>
      <c r="C21748" s="5" t="str">
        <f>IFERROR(__xludf.DUMMYFUNCTION("GOOGLETRANSLATE(B21748,""en"",""it"")"),"Vediamo un colpo di Londra e svanirà.")</f>
        <v>Vediamo un colpo di Londra e svanirà.</v>
      </c>
    </row>
    <row r="21749">
      <c r="A21749" s="4" t="s">
        <v>27387</v>
      </c>
      <c r="B21749" s="4" t="s">
        <v>27388</v>
      </c>
      <c r="C21749" s="5" t="str">
        <f>IFERROR(__xludf.DUMMYFUNCTION("GOOGLETRANSLATE(B21749,""en"",""it"")"),"Vengono mostrate diverse clip di varie persone che scherzano tra loro.")</f>
        <v>Vengono mostrate diverse clip di varie persone che scherzano tra loro.</v>
      </c>
    </row>
    <row r="21750">
      <c r="A21750" s="4" t="s">
        <v>27387</v>
      </c>
      <c r="B21750" s="4" t="s">
        <v>27389</v>
      </c>
      <c r="C21750" s="5" t="str">
        <f>IFERROR(__xludf.DUMMYFUNCTION("GOOGLETRANSLATE(B21750,""en"",""it"")"),"Le persone continuano a tornare indietro e quarto mentre la telecamera si ingrandisce sulle persone che giocano.")</f>
        <v>Le persone continuano a tornare indietro e quarto mentre la telecamera si ingrandisce sulle persone che giocano.</v>
      </c>
    </row>
    <row r="21751">
      <c r="A21751" s="4" t="s">
        <v>27390</v>
      </c>
      <c r="B21751" s="6" t="s">
        <v>27391</v>
      </c>
      <c r="C21751" s="5" t="str">
        <f>IFERROR(__xludf.DUMMYFUNCTION("GOOGLETRANSLATE(B21751,""en"",""it"")"),"Una persona si trova nel cesto di gru su un tetto di un fienile, mentre un uomo si trova sul camion con una corda.")</f>
        <v>Una persona si trova nel cesto di gru su un tetto di un fienile, mentre un uomo si trova sul camion con una corda.</v>
      </c>
    </row>
    <row r="21752">
      <c r="A21752" s="4" t="s">
        <v>27390</v>
      </c>
      <c r="B21752" s="4" t="s">
        <v>27392</v>
      </c>
      <c r="C21752" s="5" t="str">
        <f>IFERROR(__xludf.DUMMYFUNCTION("GOOGLETRANSLATE(B21752,""en"",""it"")"),"Il fumo si avvicina a un tavolo.")</f>
        <v>Il fumo si avvicina a un tavolo.</v>
      </c>
    </row>
    <row r="21753">
      <c r="A21753" s="4" t="s">
        <v>27390</v>
      </c>
      <c r="B21753" s="6" t="s">
        <v>27393</v>
      </c>
      <c r="C21753" s="5" t="str">
        <f>IFERROR(__xludf.DUMMYFUNCTION("GOOGLETRANSLATE(B21753,""en"",""it"")"),"Le persone stanno sul fienile che guardano, anche due donne e due bambini sono sul fienile.")</f>
        <v>Le persone stanno sul fienile che guardano, anche due donne e due bambini sono sul fienile.</v>
      </c>
    </row>
    <row r="21754">
      <c r="A21754" s="4" t="s">
        <v>27394</v>
      </c>
      <c r="B21754" s="6" t="s">
        <v>27395</v>
      </c>
      <c r="C21754" s="5" t="str">
        <f>IFERROR(__xludf.DUMMYFUNCTION("GOOGLETRANSLATE(B21754,""en"",""it"")"),"Vengono mostrati vari colpi di montagne innevate che passano tra i colpi di persone che sciano e snowboard lungo la montagna.")</f>
        <v>Vengono mostrati vari colpi di montagne innevate che passano tra i colpi di persone che sciano e snowboard lungo la montagna.</v>
      </c>
    </row>
    <row r="21755">
      <c r="A21755" s="4" t="s">
        <v>27394</v>
      </c>
      <c r="B21755" s="6" t="s">
        <v>27396</v>
      </c>
      <c r="C21755" s="5" t="str">
        <f>IFERROR(__xludf.DUMMYFUNCTION("GOOGLETRANSLATE(B21755,""en"",""it"")"),"Le persone sono viste eseguire vari lanci e trucchi lungo la montagna mentre la telecamera li cattura da molti angoli e dalla montagna.")</f>
        <v>Le persone sono viste eseguire vari lanci e trucchi lungo la montagna mentre la telecamera li cattura da molti angoli e dalla montagna.</v>
      </c>
    </row>
    <row r="21756">
      <c r="A21756" s="4" t="s">
        <v>27397</v>
      </c>
      <c r="B21756" s="4" t="s">
        <v>27398</v>
      </c>
      <c r="C21756" s="5" t="str">
        <f>IFERROR(__xludf.DUMMYFUNCTION("GOOGLETRANSLATE(B21756,""en"",""it"")"),"Entriamo in una stanza e vediamo un ragazzo che mette una camicia su una tavola da stiro.")</f>
        <v>Entriamo in una stanza e vediamo un ragazzo che mette una camicia su una tavola da stiro.</v>
      </c>
    </row>
    <row r="21757">
      <c r="A21757" s="4" t="s">
        <v>27397</v>
      </c>
      <c r="B21757" s="4" t="s">
        <v>27399</v>
      </c>
      <c r="C21757" s="5" t="str">
        <f>IFERROR(__xludf.DUMMYFUNCTION("GOOGLETRANSLATE(B21757,""en"",""it"")"),"Il ragazzo inizia a stirare la canotta con un ferro scollegato.")</f>
        <v>Il ragazzo inizia a stirare la canotta con un ferro scollegato.</v>
      </c>
    </row>
    <row r="21758">
      <c r="A21758" s="4" t="s">
        <v>27397</v>
      </c>
      <c r="B21758" s="4" t="s">
        <v>27400</v>
      </c>
      <c r="C21758" s="5" t="str">
        <f>IFERROR(__xludf.DUMMYFUNCTION("GOOGLETRANSLATE(B21758,""en"",""it"")"),"Il ragazzino fa irruzione con una camicia grigia e si siede il ferro sul tabellone accanto.")</f>
        <v>Il ragazzino fa irruzione con una camicia grigia e si siede il ferro sul tabellone accanto.</v>
      </c>
    </row>
    <row r="21759">
      <c r="A21759" s="4" t="s">
        <v>27397</v>
      </c>
      <c r="B21759" s="4" t="s">
        <v>27401</v>
      </c>
      <c r="C21759" s="5" t="str">
        <f>IFERROR(__xludf.DUMMYFUNCTION("GOOGLETRANSLATE(B21759,""en"",""it"")"),"Il bambino si allontana sorridendo.")</f>
        <v>Il bambino si allontana sorridendo.</v>
      </c>
    </row>
    <row r="21760">
      <c r="A21760" s="4" t="s">
        <v>27397</v>
      </c>
      <c r="B21760" s="4" t="s">
        <v>27402</v>
      </c>
      <c r="C21760" s="5" t="str">
        <f>IFERROR(__xludf.DUMMYFUNCTION("GOOGLETRANSLATE(B21760,""en"",""it"")"),"Il ragazzo mostra due dita e cammina per la stanza con il ferro.")</f>
        <v>Il ragazzo mostra due dita e cammina per la stanza con il ferro.</v>
      </c>
    </row>
    <row r="21761">
      <c r="A21761" s="4" t="s">
        <v>27403</v>
      </c>
      <c r="B21761" s="4" t="s">
        <v>27404</v>
      </c>
      <c r="C21761" s="5" t="str">
        <f>IFERROR(__xludf.DUMMYFUNCTION("GOOGLETRANSLATE(B21761,""en"",""it"")"),"Un uomo con una giacca parla di fronte a casa mentre gli uomini si trovano sul tetto.")</f>
        <v>Un uomo con una giacca parla di fronte a casa mentre gli uomini si trovano sul tetto.</v>
      </c>
    </row>
    <row r="21762">
      <c r="A21762" s="4" t="s">
        <v>27403</v>
      </c>
      <c r="B21762" s="4" t="s">
        <v>27405</v>
      </c>
      <c r="C21762" s="5" t="str">
        <f>IFERROR(__xludf.DUMMYFUNCTION("GOOGLETRANSLATE(B21762,""en"",""it"")"),"Un uomo lancia l'herpes zoster dal tetto sullo sfondo.")</f>
        <v>Un uomo lancia l'herpes zoster dal tetto sullo sfondo.</v>
      </c>
    </row>
    <row r="21763">
      <c r="A21763" s="4" t="s">
        <v>27403</v>
      </c>
      <c r="B21763" s="4" t="s">
        <v>27406</v>
      </c>
      <c r="C21763" s="5" t="str">
        <f>IFERROR(__xludf.DUMMYFUNCTION("GOOGLETRANSLATE(B21763,""en"",""it"")"),"Gli uomini continuano a buttare le tegole dal tetto.")</f>
        <v>Gli uomini continuano a buttare le tegole dal tetto.</v>
      </c>
    </row>
    <row r="21764">
      <c r="A21764" s="4" t="s">
        <v>27403</v>
      </c>
      <c r="B21764" s="4" t="s">
        <v>27407</v>
      </c>
      <c r="C21764" s="5" t="str">
        <f>IFERROR(__xludf.DUMMYFUNCTION("GOOGLETRANSLATE(B21764,""en"",""it"")"),"L'uomo che tiene la telecamera gira e si arrampica sulla scala e si trova sul tetto.")</f>
        <v>L'uomo che tiene la telecamera gira e si arrampica sulla scala e si trova sul tetto.</v>
      </c>
    </row>
    <row r="21765">
      <c r="A21765" s="4" t="s">
        <v>27403</v>
      </c>
      <c r="B21765" s="4" t="s">
        <v>27408</v>
      </c>
      <c r="C21765" s="5" t="str">
        <f>IFERROR(__xludf.DUMMYFUNCTION("GOOGLETRANSLATE(B21765,""en"",""it"")"),"L'uomo gira la telecamera su se stesso e continua a parlare.")</f>
        <v>L'uomo gira la telecamera su se stesso e continua a parlare.</v>
      </c>
    </row>
    <row r="21766">
      <c r="A21766" s="4" t="s">
        <v>27409</v>
      </c>
      <c r="B21766" s="4" t="s">
        <v>27410</v>
      </c>
      <c r="C21766" s="5" t="str">
        <f>IFERROR(__xludf.DUMMYFUNCTION("GOOGLETRANSLATE(B21766,""en"",""it"")"),"Un gruppo di amici è seduto su slitte in cima alla collina.")</f>
        <v>Un gruppo di amici è seduto su slitte in cima alla collina.</v>
      </c>
    </row>
    <row r="21767">
      <c r="A21767" s="4" t="s">
        <v>27409</v>
      </c>
      <c r="B21767" s="4" t="s">
        <v>27411</v>
      </c>
      <c r="C21767" s="5" t="str">
        <f>IFERROR(__xludf.DUMMYFUNCTION("GOOGLETRANSLATE(B21767,""en"",""it"")"),"I due amici vengono spinti giù per la collina e scivolano sul fondo.")</f>
        <v>I due amici vengono spinti giù per la collina e scivolano sul fondo.</v>
      </c>
    </row>
    <row r="21768">
      <c r="A21768" s="4" t="s">
        <v>27409</v>
      </c>
      <c r="B21768" s="4" t="s">
        <v>27412</v>
      </c>
      <c r="C21768" s="5" t="str">
        <f>IFERROR(__xludf.DUMMYFUNCTION("GOOGLETRANSLATE(B21768,""en"",""it"")"),"I due amici vengono fermati da stuoie in gomma sul fondo della collina.")</f>
        <v>I due amici vengono fermati da stuoie in gomma sul fondo della collina.</v>
      </c>
    </row>
    <row r="21769">
      <c r="A21769" s="4" t="s">
        <v>27413</v>
      </c>
      <c r="B21769" s="4" t="s">
        <v>27414</v>
      </c>
      <c r="C21769" s="5" t="str">
        <f>IFERROR(__xludf.DUMMYFUNCTION("GOOGLETRANSLATE(B21769,""en"",""it"")"),"Un aurora boreale è visto su un paesaggio settentrionale.")</f>
        <v>Un aurora boreale è visto su un paesaggio settentrionale.</v>
      </c>
    </row>
    <row r="21770">
      <c r="A21770" s="4" t="s">
        <v>27413</v>
      </c>
      <c r="B21770" s="4" t="s">
        <v>27415</v>
      </c>
      <c r="C21770" s="5" t="str">
        <f>IFERROR(__xludf.DUMMYFUNCTION("GOOGLETRANSLATE(B21770,""en"",""it"")"),"Un uomo spala la neve dal suo portico con una pala di neve.")</f>
        <v>Un uomo spala la neve dal suo portico con una pala di neve.</v>
      </c>
    </row>
    <row r="21771">
      <c r="A21771" s="4" t="s">
        <v>27413</v>
      </c>
      <c r="B21771" s="4" t="s">
        <v>27416</v>
      </c>
      <c r="C21771" s="5" t="str">
        <f>IFERROR(__xludf.DUMMYFUNCTION("GOOGLETRANSLATE(B21771,""en"",""it"")"),"L'uomo spala la neve da una custodia con una pala della neve.")</f>
        <v>L'uomo spala la neve da una custodia con una pala della neve.</v>
      </c>
    </row>
    <row r="21772">
      <c r="A21772" s="4" t="s">
        <v>27413</v>
      </c>
      <c r="B21772" s="4" t="s">
        <v>27417</v>
      </c>
      <c r="C21772" s="5" t="str">
        <f>IFERROR(__xludf.DUMMYFUNCTION("GOOGLETRANSLATE(B21772,""en"",""it"")"),"L'uomo finisce il lavoro e mostra i suoi muscoli.")</f>
        <v>L'uomo finisce il lavoro e mostra i suoi muscoli.</v>
      </c>
    </row>
    <row r="21773">
      <c r="A21773" s="4" t="s">
        <v>27418</v>
      </c>
      <c r="B21773" s="4" t="s">
        <v>27419</v>
      </c>
      <c r="C21773" s="5" t="str">
        <f>IFERROR(__xludf.DUMMYFUNCTION("GOOGLETRANSLATE(B21773,""en"",""it"")"),"Una bambina sta attraversando le barre delle scimmie.")</f>
        <v>Una bambina sta attraversando le barre delle scimmie.</v>
      </c>
    </row>
    <row r="21774">
      <c r="A21774" s="4" t="s">
        <v>27418</v>
      </c>
      <c r="B21774" s="4" t="s">
        <v>27420</v>
      </c>
      <c r="C21774" s="5" t="str">
        <f>IFERROR(__xludf.DUMMYFUNCTION("GOOGLETRANSLATE(B21774,""en"",""it"")"),"Una donna la sta aiutando a stare sotto di lei.")</f>
        <v>Una donna la sta aiutando a stare sotto di lei.</v>
      </c>
    </row>
    <row r="21775">
      <c r="A21775" s="4" t="s">
        <v>27418</v>
      </c>
      <c r="B21775" s="4" t="s">
        <v>27421</v>
      </c>
      <c r="C21775" s="5" t="str">
        <f>IFERROR(__xludf.DUMMYFUNCTION("GOOGLETRANSLATE(B21775,""en"",""it"")"),"La ragazza cade e la donna la sorprende.")</f>
        <v>La ragazza cade e la donna la sorprende.</v>
      </c>
    </row>
    <row r="21776">
      <c r="A21776" s="4" t="s">
        <v>27422</v>
      </c>
      <c r="B21776" s="4" t="s">
        <v>27423</v>
      </c>
      <c r="C21776" s="5" t="str">
        <f>IFERROR(__xludf.DUMMYFUNCTION("GOOGLETRANSLATE(B21776,""en"",""it"")"),"Un atleta viene visto in cerchio e girarsi intorno e intorno.")</f>
        <v>Un atleta viene visto in cerchio e girarsi intorno e intorno.</v>
      </c>
    </row>
    <row r="21777">
      <c r="A21777" s="4" t="s">
        <v>27422</v>
      </c>
      <c r="B21777" s="4" t="s">
        <v>27424</v>
      </c>
      <c r="C21777" s="5" t="str">
        <f>IFERROR(__xludf.DUMMYFUNCTION("GOOGLETRANSLATE(B21777,""en"",""it"")"),"Getta un oggetto in lontananza e viene mostrata di nuovo al rallentatore.")</f>
        <v>Getta un oggetto in lontananza e viene mostrata di nuovo al rallentatore.</v>
      </c>
    </row>
    <row r="21778">
      <c r="A21778" s="4" t="s">
        <v>27422</v>
      </c>
      <c r="B21778" s="4" t="s">
        <v>27425</v>
      </c>
      <c r="C21778" s="5" t="str">
        <f>IFERROR(__xludf.DUMMYFUNCTION("GOOGLETRANSLATE(B21778,""en"",""it"")"),"Torna indietro mentre tifo e altri reggono una bandiera.")</f>
        <v>Torna indietro mentre tifo e altri reggono una bandiera.</v>
      </c>
    </row>
    <row r="21779">
      <c r="A21779" s="4" t="s">
        <v>27426</v>
      </c>
      <c r="B21779" s="6" t="s">
        <v>27427</v>
      </c>
      <c r="C21779" s="5" t="str">
        <f>IFERROR(__xludf.DUMMYFUNCTION("GOOGLETRANSLATE(B21779,""en"",""it"")"),"Due pioli bianchi sono mostrati nel muro con un letto rosso sul lato e qualcuno lo colpisce con un grande blocco di legno.")</f>
        <v>Due pioli bianchi sono mostrati nel muro con un letto rosso sul lato e qualcuno lo colpisce con un grande blocco di legno.</v>
      </c>
    </row>
    <row r="21780">
      <c r="A21780" s="4" t="s">
        <v>27426</v>
      </c>
      <c r="B21780" s="4" t="s">
        <v>27428</v>
      </c>
      <c r="C21780" s="5" t="str">
        <f>IFERROR(__xludf.DUMMYFUNCTION("GOOGLETRANSLATE(B21780,""en"",""it"")"),"Viene mostrato un altro angolo e la persona fa 21 colpi alle palle.")</f>
        <v>Viene mostrato un altro angolo e la persona fa 21 colpi alle palle.</v>
      </c>
    </row>
    <row r="21781">
      <c r="A21781" s="4" t="s">
        <v>27426</v>
      </c>
      <c r="B21781" s="6" t="s">
        <v>27429</v>
      </c>
      <c r="C21781" s="5" t="str">
        <f>IFERROR(__xludf.DUMMYFUNCTION("GOOGLETRANSLATE(B21781,""en"",""it"")"),"Per il 22 ° colpo, un uomo si trova in un grande campo di pioli bianchi e inizia a colpire tutte e tre le palle contemporaneamente in direzioni diverse.")</f>
        <v>Per il 22 ° colpo, un uomo si trova in un grande campo di pioli bianchi e inizia a colpire tutte e tre le palle contemporaneamente in direzioni diverse.</v>
      </c>
    </row>
    <row r="21782">
      <c r="A21782" s="4" t="s">
        <v>27430</v>
      </c>
      <c r="B21782" s="6" t="s">
        <v>27431</v>
      </c>
      <c r="C21782" s="5" t="str">
        <f>IFERROR(__xludf.DUMMYFUNCTION("GOOGLETRANSLATE(B21782,""en"",""it"")"),"Una donna pulisce il tappeto e il pavimento con un vuoto, dopo che il vuoto raccoglie lo sporco dal tappeto.")</f>
        <v>Una donna pulisce il tappeto e il pavimento con un vuoto, dopo che il vuoto raccoglie lo sporco dal tappeto.</v>
      </c>
    </row>
    <row r="21783">
      <c r="A21783" s="4" t="s">
        <v>27430</v>
      </c>
      <c r="B21783" s="6" t="s">
        <v>27432</v>
      </c>
      <c r="C21783" s="5" t="str">
        <f>IFERROR(__xludf.DUMMYFUNCTION("GOOGLETRANSLATE(B21783,""en"",""it"")"),"Quindi, la donna tira fuori il contenitore del vuoto e continua a pulire il pavimento, il muro, il divano e il pavimento.")</f>
        <v>Quindi, la donna tira fuori il contenitore del vuoto e continua a pulire il pavimento, il muro, il divano e il pavimento.</v>
      </c>
    </row>
    <row r="21784">
      <c r="A21784" s="4" t="s">
        <v>27430</v>
      </c>
      <c r="B21784" s="4" t="s">
        <v>27433</v>
      </c>
      <c r="C21784" s="5" t="str">
        <f>IFERROR(__xludf.DUMMYFUNCTION("GOOGLETRANSLATE(B21784,""en"",""it"")"),"Dopo, la donna pulisce le cornici dell'immagine e raccoglie i capelli da un cuscino.")</f>
        <v>Dopo, la donna pulisce le cornici dell'immagine e raccoglie i capelli da un cuscino.</v>
      </c>
    </row>
    <row r="21785">
      <c r="A21785" s="4" t="s">
        <v>27430</v>
      </c>
      <c r="B21785" s="4" t="s">
        <v>27434</v>
      </c>
      <c r="C21785" s="5" t="str">
        <f>IFERROR(__xludf.DUMMYFUNCTION("GOOGLETRANSLATE(B21785,""en"",""it"")"),"Successivamente, la donna riavvolge il filo del contenitore e lascia cadere la spazzatura nella spazzatura.")</f>
        <v>Successivamente, la donna riavvolge il filo del contenitore e lascia cadere la spazzatura nella spazzatura.</v>
      </c>
    </row>
    <row r="21786">
      <c r="A21786" s="4" t="s">
        <v>27435</v>
      </c>
      <c r="B21786" s="6" t="s">
        <v>27436</v>
      </c>
      <c r="C21786" s="5" t="str">
        <f>IFERROR(__xludf.DUMMYFUNCTION("GOOGLETRANSLATE(B21786,""en"",""it"")"),"Un uomo viene visto seduto a diversi tavoli e sbucciando le patate mentre la telecamera si guarda intorno in rapido movimento.")</f>
        <v>Un uomo viene visto seduto a diversi tavoli e sbucciando le patate mentre la telecamera si guarda intorno in rapido movimento.</v>
      </c>
    </row>
    <row r="21787">
      <c r="A21787" s="4" t="s">
        <v>27435</v>
      </c>
      <c r="B21787" s="6" t="s">
        <v>27437</v>
      </c>
      <c r="C21787" s="5" t="str">
        <f>IFERROR(__xludf.DUMMYFUNCTION("GOOGLETRANSLATE(B21787,""en"",""it"")"),"Un'altra persona viene vista sbucciare le patate e l'uomo torna al tavolo per continuare a sbucciare.")</f>
        <v>Un'altra persona viene vista sbucciare le patate e l'uomo torna al tavolo per continuare a sbucciare.</v>
      </c>
    </row>
    <row r="21788">
      <c r="A21788" s="4" t="s">
        <v>27438</v>
      </c>
      <c r="B21788" s="4" t="s">
        <v>27439</v>
      </c>
      <c r="C21788" s="5" t="str">
        <f>IFERROR(__xludf.DUMMYFUNCTION("GOOGLETRANSLATE(B21788,""en"",""it"")"),"Due uomini si filmano in una partita di wrestling del braccio che qualcuno ha chiesto loro di fare.")</f>
        <v>Due uomini si filmano in una partita di wrestling del braccio che qualcuno ha chiesto loro di fare.</v>
      </c>
    </row>
    <row r="21789">
      <c r="A21789" s="4" t="s">
        <v>27438</v>
      </c>
      <c r="B21789" s="6" t="s">
        <v>27440</v>
      </c>
      <c r="C21789" s="5" t="str">
        <f>IFERROR(__xludf.DUMMYFUNCTION("GOOGLETRANSLATE(B21789,""en"",""it"")"),"Due uomini sono seduti in una stanza uno accanto all'altro mentre un uomo legge un laptop, quindi si prendono entrambi la mano dell'altro per motoring ciò che sta per accadere.")</f>
        <v>Due uomini sono seduti in una stanza uno accanto all'altro mentre un uomo legge un laptop, quindi si prendono entrambi la mano dell'altro per motoring ciò che sta per accadere.</v>
      </c>
    </row>
    <row r="21790">
      <c r="A21790" s="4" t="s">
        <v>27438</v>
      </c>
      <c r="B21790" s="4" t="s">
        <v>27441</v>
      </c>
      <c r="C21790" s="5" t="str">
        <f>IFERROR(__xludf.DUMMYFUNCTION("GOOGLETRANSLATE(B21790,""en"",""it"")"),"Un uomo crea la telecamera per filmare la partita.")</f>
        <v>Un uomo crea la telecamera per filmare la partita.</v>
      </c>
    </row>
    <row r="21791">
      <c r="A21791" s="4" t="s">
        <v>27438</v>
      </c>
      <c r="B21791" s="4" t="s">
        <v>27442</v>
      </c>
      <c r="C21791" s="5" t="str">
        <f>IFERROR(__xludf.DUMMYFUNCTION("GOOGLETRANSLATE(B21791,""en"",""it"")"),"Gli uomini si preparano all'angolo di un tavolo, afferrano le mani e poi conto alla rovescia da tre.")</f>
        <v>Gli uomini si preparano all'angolo di un tavolo, afferrano le mani e poi conto alla rovescia da tre.</v>
      </c>
    </row>
    <row r="21792">
      <c r="A21792" s="4" t="s">
        <v>27438</v>
      </c>
      <c r="B21792" s="4" t="s">
        <v>27443</v>
      </c>
      <c r="C21792" s="5" t="str">
        <f>IFERROR(__xludf.DUMMYFUNCTION("GOOGLETRANSLATE(B21792,""en"",""it"")"),"I due uomini il braccio lottano mentre fanno battute e ridono mentre lo fanno.")</f>
        <v>I due uomini il braccio lottano mentre fanno battute e ridono mentre lo fanno.</v>
      </c>
    </row>
    <row r="21793">
      <c r="A21793" s="4" t="s">
        <v>27438</v>
      </c>
      <c r="B21793" s="4" t="s">
        <v>27444</v>
      </c>
      <c r="C21793" s="5" t="str">
        <f>IFERROR(__xludf.DUMMYFUNCTION("GOOGLETRANSLATE(B21793,""en"",""it"")"),"Un uomo si arrende ed entrambi gli uomini parlano e ridono della partita.")</f>
        <v>Un uomo si arrende ed entrambi gli uomini parlano e ridono della partita.</v>
      </c>
    </row>
    <row r="21794">
      <c r="A21794" s="4" t="s">
        <v>27438</v>
      </c>
      <c r="B21794" s="4" t="s">
        <v>27445</v>
      </c>
      <c r="C21794" s="5" t="str">
        <f>IFERROR(__xludf.DUMMYFUNCTION("GOOGLETRANSLATE(B21794,""en"",""it"")"),"Un uomo grugnisce e alza le mani in vittoria.")</f>
        <v>Un uomo grugnisce e alza le mani in vittoria.</v>
      </c>
    </row>
    <row r="21795">
      <c r="A21795" s="4" t="s">
        <v>27446</v>
      </c>
      <c r="B21795" s="4" t="s">
        <v>27447</v>
      </c>
      <c r="C21795" s="5" t="str">
        <f>IFERROR(__xludf.DUMMYFUNCTION("GOOGLETRANSLATE(B21795,""en"",""it"")"),"Una ragazza viene vista muoversi rapidamente attorno a un cavallo che spazzava i fianchi.")</f>
        <v>Una ragazza viene vista muoversi rapidamente attorno a un cavallo che spazzava i fianchi.</v>
      </c>
    </row>
    <row r="21796">
      <c r="A21796" s="4" t="s">
        <v>27446</v>
      </c>
      <c r="B21796" s="4" t="s">
        <v>27448</v>
      </c>
      <c r="C21796" s="5" t="str">
        <f>IFERROR(__xludf.DUMMYFUNCTION("GOOGLETRANSLATE(B21796,""en"",""it"")"),"Spazzola su tutto il cavallo mentre un altro cavallo entra e fuori dalla cornice.")</f>
        <v>Spazzola su tutto il cavallo mentre un altro cavallo entra e fuori dalla cornice.</v>
      </c>
    </row>
    <row r="21797">
      <c r="A21797" s="4" t="s">
        <v>27446</v>
      </c>
      <c r="B21797" s="4" t="s">
        <v>27449</v>
      </c>
      <c r="C21797" s="5" t="str">
        <f>IFERROR(__xludf.DUMMYFUNCTION("GOOGLETRANSLATE(B21797,""en"",""it"")"),"Continua a spazzolare il cavallo mentre la telecamera cattura i suoi movimenti.")</f>
        <v>Continua a spazzolare il cavallo mentre la telecamera cattura i suoi movimenti.</v>
      </c>
    </row>
    <row r="21798">
      <c r="A21798" s="4" t="s">
        <v>27450</v>
      </c>
      <c r="B21798" s="6" t="s">
        <v>27451</v>
      </c>
      <c r="C21798" s="5" t="str">
        <f>IFERROR(__xludf.DUMMYFUNCTION("GOOGLETRANSLATE(B21798,""en"",""it"")"),"Le donne sono in piedi in un campo di legno in una palestra coperta giocando a voleyball mentre il pubblico è a Terace a guardare la partita.")</f>
        <v>Le donne sono in piedi in un campo di legno in una palestra coperta giocando a voleyball mentre il pubblico è a Terace a guardare la partita.</v>
      </c>
    </row>
    <row r="21799">
      <c r="A21799" s="4" t="s">
        <v>27450</v>
      </c>
      <c r="B21799" s="4" t="s">
        <v>27452</v>
      </c>
      <c r="C21799" s="5" t="str">
        <f>IFERROR(__xludf.DUMMYFUNCTION("GOOGLETRANSLATE(B21799,""en"",""it"")"),"La palla colpisce una donna per la squadra rossa e la gente le corre.")</f>
        <v>La palla colpisce una donna per la squadra rossa e la gente le corre.</v>
      </c>
    </row>
    <row r="21800">
      <c r="A21800" s="4" t="s">
        <v>27453</v>
      </c>
      <c r="B21800" s="4" t="s">
        <v>4683</v>
      </c>
      <c r="C21800" s="5" t="str">
        <f>IFERROR(__xludf.DUMMYFUNCTION("GOOGLETRANSLATE(B21800,""en"",""it"")"),"Le persone sono in piedi in una piscina.")</f>
        <v>Le persone sono in piedi in una piscina.</v>
      </c>
    </row>
    <row r="21801">
      <c r="A21801" s="4" t="s">
        <v>27453</v>
      </c>
      <c r="B21801" s="4" t="s">
        <v>27454</v>
      </c>
      <c r="C21801" s="5" t="str">
        <f>IFERROR(__xludf.DUMMYFUNCTION("GOOGLETRANSLATE(B21801,""en"",""it"")"),"Stanno giocando una partita ad acqua.")</f>
        <v>Stanno giocando una partita ad acqua.</v>
      </c>
    </row>
    <row r="21802">
      <c r="A21802" s="4" t="s">
        <v>27453</v>
      </c>
      <c r="B21802" s="4" t="s">
        <v>27455</v>
      </c>
      <c r="C21802" s="5" t="str">
        <f>IFERROR(__xludf.DUMMYFUNCTION("GOOGLETRANSLATE(B21802,""en"",""it"")"),"Una donna lancia la palla in rete ed è catturata dal portiere.")</f>
        <v>Una donna lancia la palla in rete ed è catturata dal portiere.</v>
      </c>
    </row>
    <row r="21803">
      <c r="A21803" s="4" t="s">
        <v>27456</v>
      </c>
      <c r="B21803" s="4" t="s">
        <v>27457</v>
      </c>
      <c r="C21803" s="5" t="str">
        <f>IFERROR(__xludf.DUMMYFUNCTION("GOOGLETRANSLATE(B21803,""en"",""it"")"),"Un uomo è fuori nel bene con un'ascia che tenta di tagliare un albero.")</f>
        <v>Un uomo è fuori nel bene con un'ascia che tenta di tagliare un albero.</v>
      </c>
    </row>
    <row r="21804">
      <c r="A21804" s="4" t="s">
        <v>27456</v>
      </c>
      <c r="B21804" s="4" t="s">
        <v>27458</v>
      </c>
      <c r="C21804" s="5" t="str">
        <f>IFERROR(__xludf.DUMMYFUNCTION("GOOGLETRANSLATE(B21804,""en"",""it"")"),"Alla fine, l'albero scende e l'uomo inizia a colpire l'albero con l'ascia.")</f>
        <v>Alla fine, l'albero scende e l'uomo inizia a colpire l'albero con l'ascia.</v>
      </c>
    </row>
    <row r="21805">
      <c r="A21805" s="4" t="s">
        <v>27459</v>
      </c>
      <c r="B21805" s="4" t="s">
        <v>27460</v>
      </c>
      <c r="C21805" s="5" t="str">
        <f>IFERROR(__xludf.DUMMYFUNCTION("GOOGLETRANSLATE(B21805,""en"",""it"")"),"BMX Biker che scende in pista esercitandosi nella sua corsia da solo.")</f>
        <v>BMX Biker che scende in pista esercitandosi nella sua corsia da solo.</v>
      </c>
    </row>
    <row r="21806">
      <c r="A21806" s="4" t="s">
        <v>27459</v>
      </c>
      <c r="B21806" s="6" t="s">
        <v>27461</v>
      </c>
      <c r="C21806" s="5" t="str">
        <f>IFERROR(__xludf.DUMMYFUNCTION("GOOGLETRANSLATE(B21806,""en"",""it"")"),"Poi c'è anche un altro motociclista, probabilmente stanno correndo, stanno andando molto velocemente lungo la pista girando e colpendo alti dossi che li fanno andare in alto in aria.")</f>
        <v>Poi c'è anche un altro motociclista, probabilmente stanno correndo, stanno andando molto velocemente lungo la pista girando e colpendo alti dossi che li fanno andare in alto in aria.</v>
      </c>
    </row>
    <row r="21807">
      <c r="A21807" s="4" t="s">
        <v>27459</v>
      </c>
      <c r="B21807" s="4" t="s">
        <v>27462</v>
      </c>
      <c r="C21807" s="5" t="str">
        <f>IFERROR(__xludf.DUMMYFUNCTION("GOOGLETRANSLATE(B21807,""en"",""it"")"),"La pista si aprirà di nuovo e iniziano un'altra gara.")</f>
        <v>La pista si aprirà di nuovo e iniziano un'altra gara.</v>
      </c>
    </row>
    <row r="21808">
      <c r="A21808" s="4" t="s">
        <v>27459</v>
      </c>
      <c r="B21808" s="6" t="s">
        <v>27463</v>
      </c>
      <c r="C21808" s="5" t="str">
        <f>IFERROR(__xludf.DUMMYFUNCTION("GOOGLETRANSLATE(B21808,""en"",""it"")"),"Due motociclisti stanno ballando prima di tornare in bici per tornare in pista per un'altra piccola gara.")</f>
        <v>Due motociclisti stanno ballando prima di tornare in bici per tornare in pista per un'altra piccola gara.</v>
      </c>
    </row>
    <row r="21809">
      <c r="A21809" s="4" t="s">
        <v>27464</v>
      </c>
      <c r="B21809" s="4" t="s">
        <v>27465</v>
      </c>
      <c r="C21809" s="5" t="str">
        <f>IFERROR(__xludf.DUMMYFUNCTION("GOOGLETRANSLATE(B21809,""en"",""it"")"),"Un uomo è sotto un camper che cerca di riparare la ruota mentre un uomo si trova all'esterno aiutando.")</f>
        <v>Un uomo è sotto un camper che cerca di riparare la ruota mentre un uomo si trova all'esterno aiutando.</v>
      </c>
    </row>
    <row r="21810">
      <c r="A21810" s="4" t="s">
        <v>27464</v>
      </c>
      <c r="B21810" s="4" t="s">
        <v>27466</v>
      </c>
      <c r="C21810" s="5" t="str">
        <f>IFERROR(__xludf.DUMMYFUNCTION("GOOGLETRANSLATE(B21810,""en"",""it"")"),"La ruota viene quindi tolta e l'altro gruppo di persone si affollano per trovare il problema.")</f>
        <v>La ruota viene quindi tolta e l'altro gruppo di persone si affollano per trovare il problema.</v>
      </c>
    </row>
    <row r="21811">
      <c r="A21811" s="4" t="s">
        <v>27464</v>
      </c>
      <c r="B21811" s="4" t="s">
        <v>27467</v>
      </c>
      <c r="C21811" s="5" t="str">
        <f>IFERROR(__xludf.DUMMYFUNCTION("GOOGLETRANSLATE(B21811,""en"",""it"")"),"Mentre parlano, l'uomo rimane sotto il camper e inizia a sorridere mentre tiene il rig.")</f>
        <v>Mentre parlano, l'uomo rimane sotto il camper e inizia a sorridere mentre tiene il rig.</v>
      </c>
    </row>
    <row r="21812">
      <c r="A21812" s="4" t="s">
        <v>27468</v>
      </c>
      <c r="B21812" s="4" t="s">
        <v>27469</v>
      </c>
      <c r="C21812" s="5" t="str">
        <f>IFERROR(__xludf.DUMMYFUNCTION("GOOGLETRANSLATE(B21812,""en"",""it"")"),"Un uomo serve una palla per giocare a squash con un partner.")</f>
        <v>Un uomo serve una palla per giocare a squash con un partner.</v>
      </c>
    </row>
    <row r="21813">
      <c r="A21813" s="4" t="s">
        <v>27468</v>
      </c>
      <c r="B21813" s="4" t="s">
        <v>27470</v>
      </c>
      <c r="C21813" s="5" t="str">
        <f>IFERROR(__xludf.DUMMYFUNCTION("GOOGLETRANSLATE(B21813,""en"",""it"")"),"Gli uomini colpiscono la palla al muro.")</f>
        <v>Gli uomini colpiscono la palla al muro.</v>
      </c>
    </row>
    <row r="21814">
      <c r="A21814" s="4" t="s">
        <v>27468</v>
      </c>
      <c r="B21814" s="4" t="s">
        <v>27471</v>
      </c>
      <c r="C21814" s="5" t="str">
        <f>IFERROR(__xludf.DUMMYFUNCTION("GOOGLETRANSLATE(B21814,""en"",""it"")"),"L'uomo rimbalza la palla sul pavimento.")</f>
        <v>L'uomo rimbalza la palla sul pavimento.</v>
      </c>
    </row>
    <row r="21815">
      <c r="A21815" s="4" t="s">
        <v>27472</v>
      </c>
      <c r="B21815" s="4" t="s">
        <v>27473</v>
      </c>
      <c r="C21815" s="5" t="str">
        <f>IFERROR(__xludf.DUMMYFUNCTION("GOOGLETRANSLATE(B21815,""en"",""it"")"),"Un uomo che tiene un giavellotto corre lungo una pista.")</f>
        <v>Un uomo che tiene un giavellotto corre lungo una pista.</v>
      </c>
    </row>
    <row r="21816">
      <c r="A21816" s="4" t="s">
        <v>27472</v>
      </c>
      <c r="B21816" s="4" t="s">
        <v>27474</v>
      </c>
      <c r="C21816" s="5" t="str">
        <f>IFERROR(__xludf.DUMMYFUNCTION("GOOGLETRANSLATE(B21816,""en"",""it"")"),"L'uomo lancia il giavellotto.")</f>
        <v>L'uomo lancia il giavellotto.</v>
      </c>
    </row>
    <row r="21817">
      <c r="A21817" s="4" t="s">
        <v>27472</v>
      </c>
      <c r="B21817" s="4" t="s">
        <v>27475</v>
      </c>
      <c r="C21817" s="5" t="str">
        <f>IFERROR(__xludf.DUMMYFUNCTION("GOOGLETRANSLATE(B21817,""en"",""it"")"),"L'uomo cade a terra.")</f>
        <v>L'uomo cade a terra.</v>
      </c>
    </row>
    <row r="21818">
      <c r="A21818" s="4" t="s">
        <v>27472</v>
      </c>
      <c r="B21818" s="4" t="s">
        <v>27476</v>
      </c>
      <c r="C21818" s="5" t="str">
        <f>IFERROR(__xludf.DUMMYFUNCTION("GOOGLETRANSLATE(B21818,""en"",""it"")"),"Vediamo il giavellotto volare nell'aria.")</f>
        <v>Vediamo il giavellotto volare nell'aria.</v>
      </c>
    </row>
    <row r="21819">
      <c r="A21819" s="4" t="s">
        <v>27472</v>
      </c>
      <c r="B21819" s="4" t="s">
        <v>27477</v>
      </c>
      <c r="C21819" s="5" t="str">
        <f>IFERROR(__xludf.DUMMYFUNCTION("GOOGLETRANSLATE(B21819,""en"",""it"")"),"Vediamo le persone correre per misurare la distanza del giavellotto.")</f>
        <v>Vediamo le persone correre per misurare la distanza del giavellotto.</v>
      </c>
    </row>
    <row r="21820">
      <c r="A21820" s="4" t="s">
        <v>27472</v>
      </c>
      <c r="B21820" s="4" t="s">
        <v>27478</v>
      </c>
      <c r="C21820" s="5" t="str">
        <f>IFERROR(__xludf.DUMMYFUNCTION("GOOGLETRANSLATE(B21820,""en"",""it"")"),"L'uomo pompa le braccia e vediamo persone felici tra la folla.")</f>
        <v>L'uomo pompa le braccia e vediamo persone felici tra la folla.</v>
      </c>
    </row>
    <row r="21821">
      <c r="A21821" s="4" t="s">
        <v>27472</v>
      </c>
      <c r="B21821" s="4" t="s">
        <v>27479</v>
      </c>
      <c r="C21821" s="5" t="str">
        <f>IFERROR(__xludf.DUMMYFUNCTION("GOOGLETRANSLATE(B21821,""en"",""it"")"),"Vediamo quindi una risposta del lancio dell'uomo.")</f>
        <v>Vediamo quindi una risposta del lancio dell'uomo.</v>
      </c>
    </row>
    <row r="21822">
      <c r="A21822" s="4" t="s">
        <v>27480</v>
      </c>
      <c r="B21822" s="4" t="s">
        <v>27481</v>
      </c>
      <c r="C21822" s="5" t="str">
        <f>IFERROR(__xludf.DUMMYFUNCTION("GOOGLETRANSLATE(B21822,""en"",""it"")"),"Un gruppo di Twirlers di Baton è la loro routine per una competizione imminente.")</f>
        <v>Un gruppo di Twirlers di Baton è la loro routine per una competizione imminente.</v>
      </c>
    </row>
    <row r="21823">
      <c r="A21823" s="4" t="s">
        <v>27480</v>
      </c>
      <c r="B21823" s="4" t="s">
        <v>27482</v>
      </c>
      <c r="C21823" s="5" t="str">
        <f>IFERROR(__xludf.DUMMYFUNCTION("GOOGLETRANSLATE(B21823,""en"",""it"")"),"L'annunciatore delle notizie sta commentando gli eventi.")</f>
        <v>L'annunciatore delle notizie sta commentando gli eventi.</v>
      </c>
    </row>
    <row r="21824">
      <c r="A21824" s="4" t="s">
        <v>27480</v>
      </c>
      <c r="B21824" s="4" t="s">
        <v>27483</v>
      </c>
      <c r="C21824" s="5" t="str">
        <f>IFERROR(__xludf.DUMMYFUNCTION("GOOGLETRANSLATE(B21824,""en"",""it"")"),"L'allenatore viene quindi intervistato affermando su cosa stanno lavorando le ragazze.")</f>
        <v>L'allenatore viene quindi intervistato affermando su cosa stanno lavorando le ragazze.</v>
      </c>
    </row>
    <row r="21825">
      <c r="A21825" s="4" t="s">
        <v>27480</v>
      </c>
      <c r="B21825" s="4" t="s">
        <v>27484</v>
      </c>
      <c r="C21825" s="5" t="str">
        <f>IFERROR(__xludf.DUMMYFUNCTION("GOOGLETRANSLATE(B21825,""en"",""it"")"),"Multiple Twirler vengono intervistati per il loro punto di vista sul perché stanno lavorando così duramente.")</f>
        <v>Multiple Twirler vengono intervistati per il loro punto di vista sul perché stanno lavorando così duramente.</v>
      </c>
    </row>
    <row r="21826">
      <c r="A21826" s="4" t="s">
        <v>27480</v>
      </c>
      <c r="B21826" s="4" t="s">
        <v>27485</v>
      </c>
      <c r="C21826" s="5" t="str">
        <f>IFERROR(__xludf.DUMMYFUNCTION("GOOGLETRANSLATE(B21826,""en"",""it"")"),"L'allenatore afferma ciò che ama del processo e ciò che è più importante.")</f>
        <v>L'allenatore afferma ciò che ama del processo e ciò che è più importante.</v>
      </c>
    </row>
    <row r="21827">
      <c r="A21827" s="4" t="s">
        <v>27480</v>
      </c>
      <c r="B21827" s="4" t="s">
        <v>27486</v>
      </c>
      <c r="C21827" s="5" t="str">
        <f>IFERROR(__xludf.DUMMYFUNCTION("GOOGLETRANSLATE(B21827,""en"",""it"")"),"Il commentatore annuncia dove la competizione sarà di aiuto e afferma il suo nome.")</f>
        <v>Il commentatore annuncia dove la competizione sarà di aiuto e afferma il suo nome.</v>
      </c>
    </row>
    <row r="21828">
      <c r="A21828" s="4" t="s">
        <v>27487</v>
      </c>
      <c r="B21828" s="4" t="s">
        <v>27488</v>
      </c>
      <c r="C21828" s="5" t="str">
        <f>IFERROR(__xludf.DUMMYFUNCTION("GOOGLETRANSLATE(B21828,""en"",""it"")"),"Tre persone camminano su un ponte su una laguna.")</f>
        <v>Tre persone camminano su un ponte su una laguna.</v>
      </c>
    </row>
    <row r="21829">
      <c r="A21829" s="4" t="s">
        <v>27487</v>
      </c>
      <c r="B21829" s="4" t="s">
        <v>27489</v>
      </c>
      <c r="C21829" s="5" t="str">
        <f>IFERROR(__xludf.DUMMYFUNCTION("GOOGLETRANSLATE(B21829,""en"",""it"")"),"Vediamo un uomo su una barca e una signora che indossa attrezzatura subacquea.")</f>
        <v>Vediamo un uomo su una barca e una signora che indossa attrezzatura subacquea.</v>
      </c>
    </row>
    <row r="21830">
      <c r="A21830" s="4" t="s">
        <v>27487</v>
      </c>
      <c r="B21830" s="4" t="s">
        <v>27490</v>
      </c>
      <c r="C21830" s="5" t="str">
        <f>IFERROR(__xludf.DUMMYFUNCTION("GOOGLETRANSLATE(B21830,""en"",""it"")"),"L'uomo e la donna sono sott'acqua guardando la vita marittima.")</f>
        <v>L'uomo e la donna sono sott'acqua guardando la vita marittima.</v>
      </c>
    </row>
    <row r="21831">
      <c r="A21831" s="4" t="s">
        <v>27487</v>
      </c>
      <c r="B21831" s="4" t="s">
        <v>27491</v>
      </c>
      <c r="C21831" s="5" t="str">
        <f>IFERROR(__xludf.DUMMYFUNCTION("GOOGLETRANSLATE(B21831,""en"",""it"")"),"Vediamo un uomo che tiene un animale sottomarino che consegna a una signora.")</f>
        <v>Vediamo un uomo che tiene un animale sottomarino che consegna a una signora.</v>
      </c>
    </row>
    <row r="21832">
      <c r="A21832" s="4" t="s">
        <v>27487</v>
      </c>
      <c r="B21832" s="4" t="s">
        <v>27492</v>
      </c>
      <c r="C21832" s="5" t="str">
        <f>IFERROR(__xludf.DUMMYFUNCTION("GOOGLETRANSLATE(B21832,""en"",""it"")"),"Vediamo un uomo e una signora in un patio tropicale parlare e ridere.")</f>
        <v>Vediamo un uomo e una signora in un patio tropicale parlare e ridere.</v>
      </c>
    </row>
    <row r="21833">
      <c r="A21833" s="4" t="s">
        <v>27493</v>
      </c>
      <c r="B21833" s="4" t="s">
        <v>27494</v>
      </c>
      <c r="C21833" s="5" t="str">
        <f>IFERROR(__xludf.DUMMYFUNCTION("GOOGLETRANSLATE(B21833,""en"",""it"")"),"Una donna viene vista piegarsi in avanti mentre era seduta su un letto e tiene in mano un pennello.")</f>
        <v>Una donna viene vista piegarsi in avanti mentre era seduta su un letto e tiene in mano un pennello.</v>
      </c>
    </row>
    <row r="21834">
      <c r="A21834" s="4" t="s">
        <v>27493</v>
      </c>
      <c r="B21834" s="4" t="s">
        <v>27495</v>
      </c>
      <c r="C21834" s="5" t="str">
        <f>IFERROR(__xludf.DUMMYFUNCTION("GOOGLETRANSLATE(B21834,""en"",""it"")"),"Quindi corre il pennello tra i capelli ancora e ancora.")</f>
        <v>Quindi corre il pennello tra i capelli ancora e ancora.</v>
      </c>
    </row>
    <row r="21835">
      <c r="A21835" s="4" t="s">
        <v>27493</v>
      </c>
      <c r="B21835" s="4" t="s">
        <v>27496</v>
      </c>
      <c r="C21835" s="5" t="str">
        <f>IFERROR(__xludf.DUMMYFUNCTION("GOOGLETRANSLATE(B21835,""en"",""it"")"),"Continua a scorrere il pennello tra i capelli e finisce sorridendo alla telecamera.")</f>
        <v>Continua a scorrere il pennello tra i capelli e finisce sorridendo alla telecamera.</v>
      </c>
    </row>
    <row r="21836">
      <c r="A21836" s="4" t="s">
        <v>27497</v>
      </c>
      <c r="B21836" s="4" t="s">
        <v>1487</v>
      </c>
      <c r="C21836" s="5" t="str">
        <f>IFERROR(__xludf.DUMMYFUNCTION("GOOGLETRANSLATE(B21836,""en"",""it"")"),"Vediamo una schermata del titolo di apertura.")</f>
        <v>Vediamo una schermata del titolo di apertura.</v>
      </c>
    </row>
    <row r="21837">
      <c r="A21837" s="4" t="s">
        <v>27497</v>
      </c>
      <c r="B21837" s="4" t="s">
        <v>27498</v>
      </c>
      <c r="C21837" s="5" t="str">
        <f>IFERROR(__xludf.DUMMYFUNCTION("GOOGLETRANSLATE(B21837,""en"",""it"")"),"Vediamo una signora in un cappotto da chef in una cucina a parlare.")</f>
        <v>Vediamo una signora in un cappotto da chef in una cucina a parlare.</v>
      </c>
    </row>
    <row r="21838">
      <c r="A21838" s="4" t="s">
        <v>27497</v>
      </c>
      <c r="B21838" s="4" t="s">
        <v>27499</v>
      </c>
      <c r="C21838" s="5" t="str">
        <f>IFERROR(__xludf.DUMMYFUNCTION("GOOGLETRANSLATE(B21838,""en"",""it"")"),"Una signora affina un coltello su una canna.")</f>
        <v>Una signora affina un coltello su una canna.</v>
      </c>
    </row>
    <row r="21839">
      <c r="A21839" s="4" t="s">
        <v>27497</v>
      </c>
      <c r="B21839" s="4" t="s">
        <v>27500</v>
      </c>
      <c r="C21839" s="5" t="str">
        <f>IFERROR(__xludf.DUMMYFUNCTION("GOOGLETRANSLATE(B21839,""en"",""it"")"),"La signora mette l'acqua su un blocco affilato nero.")</f>
        <v>La signora mette l'acqua su un blocco affilato nero.</v>
      </c>
    </row>
    <row r="21840">
      <c r="A21840" s="4" t="s">
        <v>27497</v>
      </c>
      <c r="B21840" s="4" t="s">
        <v>27501</v>
      </c>
      <c r="C21840" s="5" t="str">
        <f>IFERROR(__xludf.DUMMYFUNCTION("GOOGLETRANSLATE(B21840,""en"",""it"")"),"La signora quindi affila il coltello.")</f>
        <v>La signora quindi affila il coltello.</v>
      </c>
    </row>
    <row r="21841">
      <c r="A21841" s="4" t="s">
        <v>27497</v>
      </c>
      <c r="B21841" s="4" t="s">
        <v>27502</v>
      </c>
      <c r="C21841" s="5" t="str">
        <f>IFERROR(__xludf.DUMMYFUNCTION("GOOGLETRANSLATE(B21841,""en"",""it"")"),"Quindi torna sull'asta.")</f>
        <v>Quindi torna sull'asta.</v>
      </c>
    </row>
    <row r="21842">
      <c r="A21842" s="4" t="s">
        <v>27497</v>
      </c>
      <c r="B21842" s="4" t="s">
        <v>27503</v>
      </c>
      <c r="C21842" s="5" t="str">
        <f>IFERROR(__xludf.DUMMYFUNCTION("GOOGLETRANSLATE(B21842,""en"",""it"")"),"Quindi torna al blocco nero.")</f>
        <v>Quindi torna al blocco nero.</v>
      </c>
    </row>
    <row r="21843">
      <c r="A21843" s="4" t="s">
        <v>27497</v>
      </c>
      <c r="B21843" s="4" t="s">
        <v>27504</v>
      </c>
      <c r="C21843" s="5" t="str">
        <f>IFERROR(__xludf.DUMMYFUNCTION("GOOGLETRANSLATE(B21843,""en"",""it"")"),"Vediamo una schermata del titolo di chiusura.")</f>
        <v>Vediamo una schermata del titolo di chiusura.</v>
      </c>
    </row>
    <row r="21844">
      <c r="A21844" s="4" t="s">
        <v>27505</v>
      </c>
      <c r="B21844" s="4" t="s">
        <v>27506</v>
      </c>
      <c r="C21844" s="5" t="str">
        <f>IFERROR(__xludf.DUMMYFUNCTION("GOOGLETRANSLATE(B21844,""en"",""it"")"),"Un bambino è in piedi su uno sgabello che riempie una tazza con acqua nel lavandino.")</f>
        <v>Un bambino è in piedi su uno sgabello che riempie una tazza con acqua nel lavandino.</v>
      </c>
    </row>
    <row r="21845">
      <c r="A21845" s="4" t="s">
        <v>27505</v>
      </c>
      <c r="B21845" s="4" t="s">
        <v>27507</v>
      </c>
      <c r="C21845" s="5" t="str">
        <f>IFERROR(__xludf.DUMMYFUNCTION("GOOGLETRANSLATE(B21845,""en"",""it"")"),"Il bambino mette i guanti viola.")</f>
        <v>Il bambino mette i guanti viola.</v>
      </c>
    </row>
    <row r="21846">
      <c r="A21846" s="4" t="s">
        <v>27505</v>
      </c>
      <c r="B21846" s="4" t="s">
        <v>27508</v>
      </c>
      <c r="C21846" s="5" t="str">
        <f>IFERROR(__xludf.DUMMYFUNCTION("GOOGLETRANSLATE(B21846,""en"",""it"")"),"Si tolgono i guanti e li mettono nel lavandino.")</f>
        <v>Si tolgono i guanti e li mettono nel lavandino.</v>
      </c>
    </row>
    <row r="21847">
      <c r="A21847" s="4" t="s">
        <v>27509</v>
      </c>
      <c r="B21847" s="4" t="s">
        <v>27510</v>
      </c>
      <c r="C21847" s="5" t="str">
        <f>IFERROR(__xludf.DUMMYFUNCTION("GOOGLETRANSLATE(B21847,""en"",""it"")"),"Un uomo si muove le dita dei piedi mentre era seduto in una stanza a piedi nudi.")</f>
        <v>Un uomo si muove le dita dei piedi mentre era seduto in una stanza a piedi nudi.</v>
      </c>
    </row>
    <row r="21848">
      <c r="A21848" s="4" t="s">
        <v>27509</v>
      </c>
      <c r="B21848" s="4" t="s">
        <v>27511</v>
      </c>
      <c r="C21848" s="5" t="str">
        <f>IFERROR(__xludf.DUMMYFUNCTION("GOOGLETRANSLATE(B21848,""en"",""it"")"),"L'uomo si mette le scarpe e lega i lacci.")</f>
        <v>L'uomo si mette le scarpe e lega i lacci.</v>
      </c>
    </row>
    <row r="21849">
      <c r="A21849" s="4" t="s">
        <v>27509</v>
      </c>
      <c r="B21849" s="4" t="s">
        <v>27512</v>
      </c>
      <c r="C21849" s="5" t="str">
        <f>IFERROR(__xludf.DUMMYFUNCTION("GOOGLETRANSLATE(B21849,""en"",""it"")"),"L'uomo balla i piedi intorno mentre era seduto.")</f>
        <v>L'uomo balla i piedi intorno mentre era seduto.</v>
      </c>
    </row>
    <row r="21850">
      <c r="A21850" s="4" t="s">
        <v>27513</v>
      </c>
      <c r="B21850" s="4" t="s">
        <v>27514</v>
      </c>
      <c r="C21850" s="5" t="str">
        <f>IFERROR(__xludf.DUMMYFUNCTION("GOOGLETRANSLATE(B21850,""en"",""it"")"),"Tre uomini presentano un video didattico per Slikhaar Studios.")</f>
        <v>Tre uomini presentano un video didattico per Slikhaar Studios.</v>
      </c>
    </row>
    <row r="21851">
      <c r="A21851" s="4" t="s">
        <v>27513</v>
      </c>
      <c r="B21851" s="4" t="s">
        <v>27515</v>
      </c>
      <c r="C21851" s="5" t="str">
        <f>IFERROR(__xludf.DUMMYFUNCTION("GOOGLETRANSLATE(B21851,""en"",""it"")"),"L'uomo al centro sta dimostrando un'acconciatura sulla persona che indossa la camicia blu.")</f>
        <v>L'uomo al centro sta dimostrando un'acconciatura sulla persona che indossa la camicia blu.</v>
      </c>
    </row>
    <row r="21852">
      <c r="A21852" s="4" t="s">
        <v>27513</v>
      </c>
      <c r="B21852" s="4" t="s">
        <v>27516</v>
      </c>
      <c r="C21852" s="5" t="str">
        <f>IFERROR(__xludf.DUMMYFUNCTION("GOOGLETRANSLATE(B21852,""en"",""it"")"),"L'uomo nella camicia blu si trova sulla sedia accanto al lavandino.")</f>
        <v>L'uomo nella camicia blu si trova sulla sedia accanto al lavandino.</v>
      </c>
    </row>
    <row r="21853">
      <c r="A21853" s="4" t="s">
        <v>27513</v>
      </c>
      <c r="B21853" s="4" t="s">
        <v>27517</v>
      </c>
      <c r="C21853" s="5" t="str">
        <f>IFERROR(__xludf.DUMMYFUNCTION("GOOGLETRANSLATE(B21853,""en"",""it"")"),"L'altro uomo inizia a lavarsi i capelli.")</f>
        <v>L'altro uomo inizia a lavarsi i capelli.</v>
      </c>
    </row>
    <row r="21854">
      <c r="A21854" s="4" t="s">
        <v>27513</v>
      </c>
      <c r="B21854" s="4" t="s">
        <v>27518</v>
      </c>
      <c r="C21854" s="5" t="str">
        <f>IFERROR(__xludf.DUMMYFUNCTION("GOOGLETRANSLATE(B21854,""en"",""it"")"),"Strofina nello shampoo e poi lo lava via.")</f>
        <v>Strofina nello shampoo e poi lo lava via.</v>
      </c>
    </row>
    <row r="21855">
      <c r="A21855" s="4" t="s">
        <v>27513</v>
      </c>
      <c r="B21855" s="4" t="s">
        <v>27519</v>
      </c>
      <c r="C21855" s="5" t="str">
        <f>IFERROR(__xludf.DUMMYFUNCTION("GOOGLETRANSLATE(B21855,""en"",""it"")"),"Quindi lo abbraccia e gli soffia i capelli dopo averlo acceso con il gel.")</f>
        <v>Quindi lo abbraccia e gli soffia i capelli dopo averlo acceso con il gel.</v>
      </c>
    </row>
    <row r="21856">
      <c r="A21856" s="4" t="s">
        <v>27513</v>
      </c>
      <c r="B21856" s="4" t="s">
        <v>27520</v>
      </c>
      <c r="C21856" s="5" t="str">
        <f>IFERROR(__xludf.DUMMYFUNCTION("GOOGLETRANSLATE(B21856,""en"",""it"")"),"Usa un clipper elettrico per governare i laterali e i templi.")</f>
        <v>Usa un clipper elettrico per governare i laterali e i templi.</v>
      </c>
    </row>
    <row r="21857">
      <c r="A21857" s="4" t="s">
        <v>27513</v>
      </c>
      <c r="B21857" s="4" t="s">
        <v>27521</v>
      </c>
      <c r="C21857" s="5" t="str">
        <f>IFERROR(__xludf.DUMMYFUNCTION("GOOGLETRANSLATE(B21857,""en"",""it"")"),"Taglia anche la parte posteriore e i lati della testa con i Clippers.")</f>
        <v>Taglia anche la parte posteriore e i lati della testa con i Clippers.</v>
      </c>
    </row>
    <row r="21858">
      <c r="A21858" s="4" t="s">
        <v>27513</v>
      </c>
      <c r="B21858" s="4" t="s">
        <v>27522</v>
      </c>
      <c r="C21858" s="5" t="str">
        <f>IFERROR(__xludf.DUMMYFUNCTION("GOOGLETRANSLATE(B21858,""en"",""it"")"),"Usa le forbici per tagliare i capelli e dargli un aspetto finito.")</f>
        <v>Usa le forbici per tagliare i capelli e dargli un aspetto finito.</v>
      </c>
    </row>
    <row r="21859">
      <c r="A21859" s="4" t="s">
        <v>27513</v>
      </c>
      <c r="B21859" s="4" t="s">
        <v>27523</v>
      </c>
      <c r="C21859" s="5" t="str">
        <f>IFERROR(__xludf.DUMMYFUNCTION("GOOGLETRANSLATE(B21859,""en"",""it"")"),"Il modello usa un gel per capelli per modellare i suoi capelli dopo il taglio di capelli.")</f>
        <v>Il modello usa un gel per capelli per modellare i suoi capelli dopo il taglio di capelli.</v>
      </c>
    </row>
    <row r="21860">
      <c r="A21860" s="4" t="s">
        <v>27513</v>
      </c>
      <c r="B21860" s="6" t="s">
        <v>27524</v>
      </c>
      <c r="C21860" s="5" t="str">
        <f>IFERROR(__xludf.DUMMYFUNCTION("GOOGLETRANSLATE(B21860,""en"",""it"")"),"L'ospite dello spettacolo spiega quindi come i capelli sono stati tagliati e disegnati e fornisce informazioni sul suo sito Web.")</f>
        <v>L'ospite dello spettacolo spiega quindi come i capelli sono stati tagliati e disegnati e fornisce informazioni sul suo sito Web.</v>
      </c>
    </row>
    <row r="21861">
      <c r="A21861" s="4" t="s">
        <v>27525</v>
      </c>
      <c r="B21861" s="4" t="s">
        <v>27526</v>
      </c>
      <c r="C21861" s="5" t="str">
        <f>IFERROR(__xludf.DUMMYFUNCTION("GOOGLETRANSLATE(B21861,""en"",""it"")"),"Una donna viene mostrata in piedi davanti a un allenatore ellittico, parlando.")</f>
        <v>Una donna viene mostrata in piedi davanti a un allenatore ellittico, parlando.</v>
      </c>
    </row>
    <row r="21862">
      <c r="A21862" s="4" t="s">
        <v>27525</v>
      </c>
      <c r="B21862" s="4" t="s">
        <v>27527</v>
      </c>
      <c r="C21862" s="5" t="str">
        <f>IFERROR(__xludf.DUMMYFUNCTION("GOOGLETRANSLATE(B21862,""en"",""it"")"),"Scivola un opuscolo prima di camminare verso l'allenatore.")</f>
        <v>Scivola un opuscolo prima di camminare verso l'allenatore.</v>
      </c>
    </row>
    <row r="21863">
      <c r="A21863" s="4" t="s">
        <v>27525</v>
      </c>
      <c r="B21863" s="4" t="s">
        <v>27528</v>
      </c>
      <c r="C21863" s="5" t="str">
        <f>IFERROR(__xludf.DUMMYFUNCTION("GOOGLETRANSLATE(B21863,""en"",""it"")"),"Comincia a dimostrare come preparare il trainer per l'uso.")</f>
        <v>Comincia a dimostrare come preparare il trainer per l'uso.</v>
      </c>
    </row>
    <row r="21864">
      <c r="A21864" s="4" t="s">
        <v>27525</v>
      </c>
      <c r="B21864" s="4" t="s">
        <v>27529</v>
      </c>
      <c r="C21864" s="5" t="str">
        <f>IFERROR(__xludf.DUMMYFUNCTION("GOOGLETRANSLATE(B21864,""en"",""it"")"),"Si arrampica sull'allenatore e mostra come viene utilizzato pedalando con i piedi.")</f>
        <v>Si arrampica sull'allenatore e mostra come viene utilizzato pedalando con i piedi.</v>
      </c>
    </row>
    <row r="21865">
      <c r="A21865" s="4" t="s">
        <v>27525</v>
      </c>
      <c r="B21865" s="4" t="s">
        <v>27530</v>
      </c>
      <c r="C21865" s="5" t="str">
        <f>IFERROR(__xludf.DUMMYFUNCTION("GOOGLETRANSLATE(B21865,""en"",""it"")"),"Viene quindi mostrato un primo piano dello schermo.")</f>
        <v>Viene quindi mostrato un primo piano dello schermo.</v>
      </c>
    </row>
    <row r="21866">
      <c r="A21866" s="4" t="s">
        <v>27525</v>
      </c>
      <c r="B21866" s="4" t="s">
        <v>27531</v>
      </c>
      <c r="C21866" s="5" t="str">
        <f>IFERROR(__xludf.DUMMYFUNCTION("GOOGLETRANSLATE(B21866,""en"",""it"")"),"Il trainer è piegato per mostrare la compattazione e la facilità di archiviazione.")</f>
        <v>Il trainer è piegato per mostrare la compattazione e la facilità di archiviazione.</v>
      </c>
    </row>
    <row r="21867">
      <c r="A21867" s="4" t="s">
        <v>27532</v>
      </c>
      <c r="B21867" s="4" t="s">
        <v>27533</v>
      </c>
      <c r="C21867" s="5" t="str">
        <f>IFERROR(__xludf.DUMMYFUNCTION("GOOGLETRANSLATE(B21867,""en"",""it"")"),"Un coniglietto grigio è in piedi su un letto su un asciugamano nero che mangia qualcosa in mano.")</f>
        <v>Un coniglietto grigio è in piedi su un letto su un asciugamano nero che mangia qualcosa in mano.</v>
      </c>
    </row>
    <row r="21868">
      <c r="A21868" s="4" t="s">
        <v>27532</v>
      </c>
      <c r="B21868" s="4" t="s">
        <v>27534</v>
      </c>
      <c r="C21868" s="5" t="str">
        <f>IFERROR(__xludf.DUMMYFUNCTION("GOOGLETRANSLATE(B21868,""en"",""it"")"),"Mentre mangia, il coniglietto inizia a afferrare le orecchie e scuote la testa.")</f>
        <v>Mentre mangia, il coniglietto inizia a afferrare le orecchie e scuote la testa.</v>
      </c>
    </row>
    <row r="21869">
      <c r="A21869" s="4" t="s">
        <v>27532</v>
      </c>
      <c r="B21869" s="4" t="s">
        <v>27535</v>
      </c>
      <c r="C21869" s="5" t="str">
        <f>IFERROR(__xludf.DUMMYFUNCTION("GOOGLETRANSLATE(B21869,""en"",""it"")"),"Lottando di più, il coniglietto si china e continua a mangiare qualcosa prima di guardare fuori.")</f>
        <v>Lottando di più, il coniglietto si china e continua a mangiare qualcosa prima di guardare fuori.</v>
      </c>
    </row>
    <row r="21870">
      <c r="A21870" s="4" t="s">
        <v>27536</v>
      </c>
      <c r="B21870" s="6" t="s">
        <v>27537</v>
      </c>
      <c r="C21870" s="5" t="str">
        <f>IFERROR(__xludf.DUMMYFUNCTION("GOOGLETRANSLATE(B21870,""en"",""it"")"),"Una bambina viene vista seduta davanti a un tavolo di palla da foose, quando una le passa la palla e lei la mette in gioco.")</f>
        <v>Una bambina viene vista seduta davanti a un tavolo di palla da foose, quando una le passa la palla e lei la mette in gioco.</v>
      </c>
    </row>
    <row r="21871">
      <c r="A21871" s="4" t="s">
        <v>27536</v>
      </c>
      <c r="B21871" s="6" t="s">
        <v>27538</v>
      </c>
      <c r="C21871" s="5" t="str">
        <f>IFERROR(__xludf.DUMMYFUNCTION("GOOGLETRANSLATE(B21871,""en"",""it"")"),"L'uomo quindi aiuta la ragazza a giocare sul tavolo spostando i poli tutt'intorno e spingendo la gente.")</f>
        <v>L'uomo quindi aiuta la ragazza a giocare sul tavolo spostando i poli tutt'intorno e spingendo la gente.</v>
      </c>
    </row>
    <row r="21872">
      <c r="A21872" s="4" t="s">
        <v>27539</v>
      </c>
      <c r="B21872" s="4" t="s">
        <v>27540</v>
      </c>
      <c r="C21872" s="5" t="str">
        <f>IFERROR(__xludf.DUMMYFUNCTION("GOOGLETRANSLATE(B21872,""en"",""it"")"),"Gli atleti corrono giù per una pista e gettano un giavellotto sul campo.")</f>
        <v>Gli atleti corrono giù per una pista e gettano un giavellotto sul campo.</v>
      </c>
    </row>
    <row r="21873">
      <c r="A21873" s="4" t="s">
        <v>27539</v>
      </c>
      <c r="B21873" s="4" t="s">
        <v>27541</v>
      </c>
      <c r="C21873" s="5" t="str">
        <f>IFERROR(__xludf.DUMMYFUNCTION("GOOGLETRANSLATE(B21873,""en"",""it"")"),"Un arbitro si esaurisce per controllare la posizione del giavellotto.")</f>
        <v>Un arbitro si esaurisce per controllare la posizione del giavellotto.</v>
      </c>
    </row>
    <row r="21874">
      <c r="A21874" s="4" t="s">
        <v>27539</v>
      </c>
      <c r="B21874" s="4" t="s">
        <v>27542</v>
      </c>
      <c r="C21874" s="5" t="str">
        <f>IFERROR(__xludf.DUMMYFUNCTION("GOOGLETRANSLATE(B21874,""en"",""it"")"),"Una classifica è mostra decine di atleti.")</f>
        <v>Una classifica è mostra decine di atleti.</v>
      </c>
    </row>
    <row r="21875">
      <c r="A21875" s="4" t="s">
        <v>27543</v>
      </c>
      <c r="B21875" s="4" t="s">
        <v>27544</v>
      </c>
      <c r="C21875" s="5" t="str">
        <f>IFERROR(__xludf.DUMMYFUNCTION("GOOGLETRANSLATE(B21875,""en"",""it"")"),"Un giocatore di hockey in campo dribba una palla sul campo tra le gambe.")</f>
        <v>Un giocatore di hockey in campo dribba una palla sul campo tra le gambe.</v>
      </c>
    </row>
    <row r="21876">
      <c r="A21876" s="4" t="s">
        <v>27543</v>
      </c>
      <c r="B21876" s="4" t="s">
        <v>27545</v>
      </c>
      <c r="C21876" s="5" t="str">
        <f>IFERROR(__xludf.DUMMYFUNCTION("GOOGLETRANSLATE(B21876,""en"",""it"")"),"Tha Field Hockey gioca dribbla la palla avanti e indietro davanti a lui.")</f>
        <v>Tha Field Hockey gioca dribbla la palla avanti e indietro davanti a lui.</v>
      </c>
    </row>
    <row r="21877">
      <c r="A21877" s="4" t="s">
        <v>27543</v>
      </c>
      <c r="B21877" s="4" t="s">
        <v>27546</v>
      </c>
      <c r="C21877" s="5" t="str">
        <f>IFERROR(__xludf.DUMMYFUNCTION("GOOGLETRANSLATE(B21877,""en"",""it"")"),"Il giocatore di hockey in campo colpisce mentre si destreggia in aria e si bilancia sul suo bastone.")</f>
        <v>Il giocatore di hockey in campo colpisce mentre si destreggia in aria e si bilancia sul suo bastone.</v>
      </c>
    </row>
    <row r="21878">
      <c r="A21878" s="4" t="s">
        <v>27543</v>
      </c>
      <c r="B21878" s="4" t="s">
        <v>27547</v>
      </c>
      <c r="C21878" s="5" t="str">
        <f>IFERROR(__xludf.DUMMYFUNCTION("GOOGLETRANSLATE(B21878,""en"",""it"")"),"I giocatori dribbano una serie di coni e scattano colpi in porta.")</f>
        <v>I giocatori dribbano una serie di coni e scattano colpi in porta.</v>
      </c>
    </row>
    <row r="21879">
      <c r="A21879" s="4" t="s">
        <v>27548</v>
      </c>
      <c r="B21879" s="4" t="s">
        <v>27549</v>
      </c>
      <c r="C21879" s="5" t="str">
        <f>IFERROR(__xludf.DUMMYFUNCTION("GOOGLETRANSLATE(B21879,""en"",""it"")"),"Le persone guidano un'auto con zattere sul retro.")</f>
        <v>Le persone guidano un'auto con zattere sul retro.</v>
      </c>
    </row>
    <row r="21880">
      <c r="A21880" s="4" t="s">
        <v>27548</v>
      </c>
      <c r="B21880" s="4" t="s">
        <v>27550</v>
      </c>
      <c r="C21880" s="5" t="str">
        <f>IFERROR(__xludf.DUMMYFUNCTION("GOOGLETRANSLATE(B21880,""en"",""it"")"),"Si mettono nelle zattere e stanno rafting lungo un fiume.")</f>
        <v>Si mettono nelle zattere e stanno rafting lungo un fiume.</v>
      </c>
    </row>
    <row r="21881">
      <c r="A21881" s="4" t="s">
        <v>27548</v>
      </c>
      <c r="B21881" s="4" t="s">
        <v>27551</v>
      </c>
      <c r="C21881" s="5" t="str">
        <f>IFERROR(__xludf.DUMMYFUNCTION("GOOGLETRANSLATE(B21881,""en"",""it"")"),"Andano a un banco di hot dog e prendono cibo.")</f>
        <v>Andano a un banco di hot dog e prendono cibo.</v>
      </c>
    </row>
    <row r="21882">
      <c r="A21882" s="4" t="s">
        <v>27548</v>
      </c>
      <c r="B21882" s="4" t="s">
        <v>27552</v>
      </c>
      <c r="C21882" s="5" t="str">
        <f>IFERROR(__xludf.DUMMYFUNCTION("GOOGLETRANSLATE(B21882,""en"",""it"")"),"Continuano il rafting lungo il fiume.")</f>
        <v>Continuano il rafting lungo il fiume.</v>
      </c>
    </row>
    <row r="21883">
      <c r="A21883" s="4" t="s">
        <v>27553</v>
      </c>
      <c r="B21883" s="6" t="s">
        <v>27554</v>
      </c>
      <c r="C21883" s="5" t="str">
        <f>IFERROR(__xludf.DUMMYFUNCTION("GOOGLETRANSLATE(B21883,""en"",""it"")"),"Un uomo si presenta sullo schermo che indossa un'uniforme di arti marziali che mostra alle persone come fare un calcio laterale.")</f>
        <v>Un uomo si presenta sullo schermo che indossa un'uniforme di arti marziali che mostra alle persone come fare un calcio laterale.</v>
      </c>
    </row>
    <row r="21884">
      <c r="A21884" s="4" t="s">
        <v>27553</v>
      </c>
      <c r="B21884" s="4" t="s">
        <v>27555</v>
      </c>
      <c r="C21884" s="5" t="str">
        <f>IFERROR(__xludf.DUMMYFUNCTION("GOOGLETRANSLATE(B21884,""en"",""it"")"),"Orminò da un lato all'altro per mostrare come controllare il tuo equilibrio.")</f>
        <v>Orminò da un lato all'altro per mostrare come controllare il tuo equilibrio.</v>
      </c>
    </row>
    <row r="21885">
      <c r="A21885" s="4" t="s">
        <v>27553</v>
      </c>
      <c r="B21885" s="4" t="s">
        <v>27556</v>
      </c>
      <c r="C21885" s="5" t="str">
        <f>IFERROR(__xludf.DUMMYFUNCTION("GOOGLETRANSLATE(B21885,""en"",""it"")"),"Solleva le ginocchia, una dopo aver alternato da sinistra a destra per mostrare come iniziare il calcio.")</f>
        <v>Solleva le ginocchia, una dopo aver alternato da sinistra a destra per mostrare come iniziare il calcio.</v>
      </c>
    </row>
    <row r="21886">
      <c r="A21886" s="4" t="s">
        <v>27553</v>
      </c>
      <c r="B21886" s="4" t="s">
        <v>27557</v>
      </c>
      <c r="C21886" s="5" t="str">
        <f>IFERROR(__xludf.DUMMYFUNCTION("GOOGLETRANSLATE(B21886,""en"",""it"")"),"Continua a mostrare come finire il calcio laterale con un seguito.")</f>
        <v>Continua a mostrare come finire il calcio laterale con un seguito.</v>
      </c>
    </row>
    <row r="21887">
      <c r="A21887" s="4" t="s">
        <v>27553</v>
      </c>
      <c r="B21887" s="4" t="s">
        <v>27558</v>
      </c>
      <c r="C21887" s="5" t="str">
        <f>IFERROR(__xludf.DUMMYFUNCTION("GOOGLETRANSLATE(B21887,""en"",""it"")"),"Quindi dimostra come fare il calcio da diversi angoli.")</f>
        <v>Quindi dimostra come fare il calcio da diversi angoli.</v>
      </c>
    </row>
    <row r="21888">
      <c r="A21888" s="4" t="s">
        <v>27559</v>
      </c>
      <c r="B21888" s="4" t="s">
        <v>27560</v>
      </c>
      <c r="C21888" s="5" t="str">
        <f>IFERROR(__xludf.DUMMYFUNCTION("GOOGLETRANSLATE(B21888,""en"",""it"")"),"Vediamo uno schermo bianco di apertura.")</f>
        <v>Vediamo uno schermo bianco di apertura.</v>
      </c>
    </row>
    <row r="21889">
      <c r="A21889" s="4" t="s">
        <v>27559</v>
      </c>
      <c r="B21889" s="4" t="s">
        <v>27561</v>
      </c>
      <c r="C21889" s="5" t="str">
        <f>IFERROR(__xludf.DUMMYFUNCTION("GOOGLETRANSLATE(B21889,""en"",""it"")"),"Vediamo quindi un uomo che spinge un freno per biciclette e regolandolo.")</f>
        <v>Vediamo quindi un uomo che spinge un freno per biciclette e regolandolo.</v>
      </c>
    </row>
    <row r="21890">
      <c r="A21890" s="4" t="s">
        <v>27559</v>
      </c>
      <c r="B21890" s="4" t="s">
        <v>27562</v>
      </c>
      <c r="C21890" s="5" t="str">
        <f>IFERROR(__xludf.DUMMYFUNCTION("GOOGLETRANSLATE(B21890,""en"",""it"")"),"L'uomo tira un cavo sulla bici vicino alla gomma.")</f>
        <v>L'uomo tira un cavo sulla bici vicino alla gomma.</v>
      </c>
    </row>
    <row r="21891">
      <c r="A21891" s="4" t="s">
        <v>27559</v>
      </c>
      <c r="B21891" s="4" t="s">
        <v>27563</v>
      </c>
      <c r="C21891" s="5" t="str">
        <f>IFERROR(__xludf.DUMMYFUNCTION("GOOGLETRANSLATE(B21891,""en"",""it"")"),"Gli uomini regolano quindi di nuovo la leva da forno.")</f>
        <v>Gli uomini regolano quindi di nuovo la leva da forno.</v>
      </c>
    </row>
    <row r="21892">
      <c r="A21892" s="4" t="s">
        <v>27559</v>
      </c>
      <c r="B21892" s="4" t="s">
        <v>27564</v>
      </c>
      <c r="C21892" s="5" t="str">
        <f>IFERROR(__xludf.DUMMYFUNCTION("GOOGLETRANSLATE(B21892,""en"",""it"")"),"Vediamo quindi l'uomo parlare con la telecamera.")</f>
        <v>Vediamo quindi l'uomo parlare con la telecamera.</v>
      </c>
    </row>
    <row r="21893">
      <c r="A21893" s="4" t="s">
        <v>27559</v>
      </c>
      <c r="B21893" s="4" t="s">
        <v>777</v>
      </c>
      <c r="C21893" s="5" t="str">
        <f>IFERROR(__xludf.DUMMYFUNCTION("GOOGLETRANSLATE(B21893,""en"",""it"")"),"Vediamo la schermata del titolo finale.")</f>
        <v>Vediamo la schermata del titolo finale.</v>
      </c>
    </row>
    <row r="21894">
      <c r="A21894" s="4" t="s">
        <v>27565</v>
      </c>
      <c r="B21894" s="4" t="s">
        <v>27566</v>
      </c>
      <c r="C21894" s="5" t="str">
        <f>IFERROR(__xludf.DUMMYFUNCTION("GOOGLETRANSLATE(B21894,""en"",""it"")"),"La donna che è seduta su una sedia tiene una tazza nella bocca del cane in modo che la nebbia possa leccare la tazza.")</f>
        <v>La donna che è seduta su una sedia tiene una tazza nella bocca del cane in modo che la nebbia possa leccare la tazza.</v>
      </c>
    </row>
    <row r="21895">
      <c r="A21895" s="4" t="s">
        <v>27565</v>
      </c>
      <c r="B21895" s="4" t="s">
        <v>27567</v>
      </c>
      <c r="C21895" s="5" t="str">
        <f>IFERROR(__xludf.DUMMYFUNCTION("GOOGLETRANSLATE(B21895,""en"",""it"")"),"Black Dog è in un oom vivente che lecca l'acqua da una tazza.")</f>
        <v>Black Dog è in un oom vivente che lecca l'acqua da una tazza.</v>
      </c>
    </row>
    <row r="21896">
      <c r="A21896" s="4" t="s">
        <v>27565</v>
      </c>
      <c r="B21896" s="4" t="s">
        <v>27568</v>
      </c>
      <c r="C21896" s="5" t="str">
        <f>IFERROR(__xludf.DUMMYFUNCTION("GOOGLETRANSLATE(B21896,""en"",""it"")"),"Una donna è in piedi con un cane nero in un tappeto bianco.")</f>
        <v>Una donna è in piedi con un cane nero in un tappeto bianco.</v>
      </c>
    </row>
    <row r="21897">
      <c r="A21897" s="4" t="s">
        <v>27569</v>
      </c>
      <c r="B21897" s="4" t="s">
        <v>27570</v>
      </c>
      <c r="C21897" s="5" t="str">
        <f>IFERROR(__xludf.DUMMYFUNCTION("GOOGLETRANSLATE(B21897,""en"",""it"")"),"Un ragazzo oscilla attraverso le barre delle scimmie in un parco.")</f>
        <v>Un ragazzo oscilla attraverso le barre delle scimmie in un parco.</v>
      </c>
    </row>
    <row r="21898">
      <c r="A21898" s="4" t="s">
        <v>27569</v>
      </c>
      <c r="B21898" s="4" t="s">
        <v>27571</v>
      </c>
      <c r="C21898" s="5" t="str">
        <f>IFERROR(__xludf.DUMMYFUNCTION("GOOGLETRANSLATE(B21898,""en"",""it"")"),"Un uomo sta facendo qualcosa dietro di lui.")</f>
        <v>Un uomo sta facendo qualcosa dietro di lui.</v>
      </c>
    </row>
    <row r="21899">
      <c r="A21899" s="4" t="s">
        <v>27569</v>
      </c>
      <c r="B21899" s="4" t="s">
        <v>27572</v>
      </c>
      <c r="C21899" s="5" t="str">
        <f>IFERROR(__xludf.DUMMYFUNCTION("GOOGLETRANSLATE(B21899,""en"",""it"")"),"Il ragazzo si fa strada fino in fondo.")</f>
        <v>Il ragazzo si fa strada fino in fondo.</v>
      </c>
    </row>
    <row r="21900">
      <c r="A21900" s="4" t="s">
        <v>27573</v>
      </c>
      <c r="B21900" s="4" t="s">
        <v>27574</v>
      </c>
      <c r="C21900" s="5" t="str">
        <f>IFERROR(__xludf.DUMMYFUNCTION("GOOGLETRANSLATE(B21900,""en"",""it"")"),"Un folto gruppo di persone è visto muoversi insieme in una grande palestra.")</f>
        <v>Un folto gruppo di persone è visto muoversi insieme in una grande palestra.</v>
      </c>
    </row>
    <row r="21901">
      <c r="A21901" s="4" t="s">
        <v>27573</v>
      </c>
      <c r="B21901" s="4" t="s">
        <v>27575</v>
      </c>
      <c r="C21901" s="5" t="str">
        <f>IFERROR(__xludf.DUMMYFUNCTION("GOOGLETRANSLATE(B21901,""en"",""it"")"),"La gente si muove su e giù su un raggio che si alza le gambe e si muove.")</f>
        <v>La gente si muove su e giù su un raggio che si alza le gambe e si muove.</v>
      </c>
    </row>
    <row r="21902">
      <c r="A21902" s="4" t="s">
        <v>27573</v>
      </c>
      <c r="B21902" s="4" t="s">
        <v>27576</v>
      </c>
      <c r="C21902" s="5" t="str">
        <f>IFERROR(__xludf.DUMMYFUNCTION("GOOGLETRANSLATE(B21902,""en"",""it"")"),"Le persone continuano a muoversi intorno alla tavola mentre la telecamera cattura i loro movimenti.")</f>
        <v>Le persone continuano a muoversi intorno alla tavola mentre la telecamera cattura i loro movimenti.</v>
      </c>
    </row>
    <row r="21903">
      <c r="A21903" s="4" t="s">
        <v>27577</v>
      </c>
      <c r="B21903" s="6" t="s">
        <v>27578</v>
      </c>
      <c r="C21903" s="5" t="str">
        <f>IFERROR(__xludf.DUMMYFUNCTION("GOOGLETRANSLATE(B21903,""en"",""it"")"),"Ci sono molte persone in una zona di corte aperta e sembrano per lo più persone anziane che praticano una sorta di sport.")</f>
        <v>Ci sono molte persone in una zona di corte aperta e sembrano per lo più persone anziane che praticano una sorta di sport.</v>
      </c>
    </row>
    <row r="21904">
      <c r="A21904" s="4" t="s">
        <v>27577</v>
      </c>
      <c r="B21904" s="6" t="s">
        <v>27579</v>
      </c>
      <c r="C21904" s="5" t="str">
        <f>IFERROR(__xludf.DUMMYFUNCTION("GOOGLETRANSLATE(B21904,""en"",""it"")"),"Un uomo e una donna iniziano a attraversare insieme il campo e si fermano a guardare un uomo con un bastone che colpisce qualcosa attraverso il campo usando il suo bastone.")</f>
        <v>Un uomo e una donna iniziano a attraversare insieme il campo e si fermano a guardare un uomo con un bastone che colpisce qualcosa attraverso il campo usando il suo bastone.</v>
      </c>
    </row>
    <row r="21905">
      <c r="A21905" s="4" t="s">
        <v>27577</v>
      </c>
      <c r="B21905" s="6" t="s">
        <v>27580</v>
      </c>
      <c r="C21905" s="5" t="str">
        <f>IFERROR(__xludf.DUMMYFUNCTION("GOOGLETRANSLATE(B21905,""en"",""it"")"),"Un altro uomo si avvicina quindi al campo per prendere il suo turno mentre l'uomo che ha appena avuto una svolta si allontana.")</f>
        <v>Un altro uomo si avvicina quindi al campo per prendere il suo turno mentre l'uomo che ha appena avuto una svolta si allontana.</v>
      </c>
    </row>
    <row r="21906">
      <c r="A21906" s="4" t="s">
        <v>27581</v>
      </c>
      <c r="B21906" s="4" t="s">
        <v>27582</v>
      </c>
      <c r="C21906" s="5" t="str">
        <f>IFERROR(__xludf.DUMMYFUNCTION("GOOGLETRANSLATE(B21906,""en"",""it"")"),"Un uomo mette gli attrezzi di sicurezza della saldatura.")</f>
        <v>Un uomo mette gli attrezzi di sicurezza della saldatura.</v>
      </c>
    </row>
    <row r="21907">
      <c r="A21907" s="4" t="s">
        <v>27581</v>
      </c>
      <c r="B21907" s="4" t="s">
        <v>27583</v>
      </c>
      <c r="C21907" s="5" t="str">
        <f>IFERROR(__xludf.DUMMYFUNCTION("GOOGLETRANSLATE(B21907,""en"",""it"")"),"L'uomo inizia a saldare qualcosa su un tavolo di metallo.")</f>
        <v>L'uomo inizia a saldare qualcosa su un tavolo di metallo.</v>
      </c>
    </row>
    <row r="21908">
      <c r="A21908" s="4" t="s">
        <v>27581</v>
      </c>
      <c r="B21908" s="4" t="s">
        <v>27584</v>
      </c>
      <c r="C21908" s="5" t="str">
        <f>IFERROR(__xludf.DUMMYFUNCTION("GOOGLETRANSLATE(B21908,""en"",""it"")"),"Smette di saldare, solleva la maschera per il viso e regola le cose sul tavolo.")</f>
        <v>Smette di saldare, solleva la maschera per il viso e regola le cose sul tavolo.</v>
      </c>
    </row>
    <row r="21909">
      <c r="A21909" s="4" t="s">
        <v>27581</v>
      </c>
      <c r="B21909" s="4" t="s">
        <v>27585</v>
      </c>
      <c r="C21909" s="5" t="str">
        <f>IFERROR(__xludf.DUMMYFUNCTION("GOOGLETRANSLATE(B21909,""en"",""it"")"),"Quindi abbassa la maschera per il viso e ricomincia la saldatura.")</f>
        <v>Quindi abbassa la maschera per il viso e ricomincia la saldatura.</v>
      </c>
    </row>
    <row r="21910">
      <c r="A21910" s="4" t="s">
        <v>27581</v>
      </c>
      <c r="B21910" s="4" t="s">
        <v>27586</v>
      </c>
      <c r="C21910" s="5" t="str">
        <f>IFERROR(__xludf.DUMMYFUNCTION("GOOGLETRANSLATE(B21910,""en"",""it"")"),"Si ferma e solleva di nuovo la maschera.")</f>
        <v>Si ferma e solleva di nuovo la maschera.</v>
      </c>
    </row>
    <row r="21911">
      <c r="A21911" s="4" t="s">
        <v>27581</v>
      </c>
      <c r="B21911" s="4" t="s">
        <v>27587</v>
      </c>
      <c r="C21911" s="5" t="str">
        <f>IFERROR(__xludf.DUMMYFUNCTION("GOOGLETRANSLATE(B21911,""en"",""it"")"),"Usa uno strumento per colpire qualcosa sul tavolo prima di levigarlo.")</f>
        <v>Usa uno strumento per colpire qualcosa sul tavolo prima di levigarlo.</v>
      </c>
    </row>
    <row r="21912">
      <c r="A21912" s="4" t="s">
        <v>27581</v>
      </c>
      <c r="B21912" s="4" t="s">
        <v>27588</v>
      </c>
      <c r="C21912" s="5" t="str">
        <f>IFERROR(__xludf.DUMMYFUNCTION("GOOGLETRANSLATE(B21912,""en"",""it"")"),"L'uomo si toglie i guanti mentre cammina verso la telecamera.")</f>
        <v>L'uomo si toglie i guanti mentre cammina verso la telecamera.</v>
      </c>
    </row>
    <row r="21913">
      <c r="A21913" s="4" t="s">
        <v>27581</v>
      </c>
      <c r="B21913" s="4" t="s">
        <v>27589</v>
      </c>
      <c r="C21913" s="5" t="str">
        <f>IFERROR(__xludf.DUMMYFUNCTION("GOOGLETRANSLATE(B21913,""en"",""it"")"),"Porta la telecamera sul tavolo per mostrare il lavoro che ha svolto.")</f>
        <v>Porta la telecamera sul tavolo per mostrare il lavoro che ha svolto.</v>
      </c>
    </row>
    <row r="21914">
      <c r="A21914" s="4" t="s">
        <v>27590</v>
      </c>
      <c r="B21914" s="4" t="s">
        <v>27591</v>
      </c>
      <c r="C21914" s="5" t="str">
        <f>IFERROR(__xludf.DUMMYFUNCTION("GOOGLETRANSLATE(B21914,""en"",""it"")"),"Una donna sta versando ingredienti in un mixer.")</f>
        <v>Una donna sta versando ingredienti in un mixer.</v>
      </c>
    </row>
    <row r="21915">
      <c r="A21915" s="4" t="s">
        <v>27590</v>
      </c>
      <c r="B21915" s="4" t="s">
        <v>27592</v>
      </c>
      <c r="C21915" s="5" t="str">
        <f>IFERROR(__xludf.DUMMYFUNCTION("GOOGLETRANSLATE(B21915,""en"",""it"")"),"Quindi fa l'impasto in palline e le mette su un foglio di biscotti.")</f>
        <v>Quindi fa l'impasto in palline e le mette su un foglio di biscotti.</v>
      </c>
    </row>
    <row r="21916">
      <c r="A21916" s="4" t="s">
        <v>27590</v>
      </c>
      <c r="B21916" s="4" t="s">
        <v>27593</v>
      </c>
      <c r="C21916" s="5" t="str">
        <f>IFERROR(__xludf.DUMMYFUNCTION("GOOGLETRANSLATE(B21916,""en"",""it"")"),"Li mette nel forno.")</f>
        <v>Li mette nel forno.</v>
      </c>
    </row>
    <row r="21917">
      <c r="A21917" s="4" t="s">
        <v>27594</v>
      </c>
      <c r="B21917" s="6" t="s">
        <v>27595</v>
      </c>
      <c r="C21917" s="5" t="str">
        <f>IFERROR(__xludf.DUMMYFUNCTION("GOOGLETRANSLATE(B21917,""en"",""it"")"),"Un uomo è seduto a terra e ha uno spettacolo di skate su un piede e una gamba protesica per l'altro.")</f>
        <v>Un uomo è seduto a terra e ha uno spettacolo di skate su un piede e una gamba protesica per l'altro.</v>
      </c>
    </row>
    <row r="21918">
      <c r="A21918" s="4" t="s">
        <v>27594</v>
      </c>
      <c r="B21918" s="4" t="s">
        <v>27596</v>
      </c>
      <c r="C21918" s="5" t="str">
        <f>IFERROR(__xludf.DUMMYFUNCTION("GOOGLETRANSLATE(B21918,""en"",""it"")"),"L'uomo quindi mette la lama a rulli sulla sua protesi e poi segue l'altro piede.")</f>
        <v>L'uomo quindi mette la lama a rulli sulla sua protesi e poi segue l'altro piede.</v>
      </c>
    </row>
    <row r="21919">
      <c r="A21919" s="4" t="s">
        <v>27594</v>
      </c>
      <c r="B21919" s="4" t="s">
        <v>27597</v>
      </c>
      <c r="C21919" s="5" t="str">
        <f>IFERROR(__xludf.DUMMYFUNCTION("GOOGLETRANSLATE(B21919,""en"",""it"")"),"Una volta che sono entrambi accesi, si avvicina all'erba e qualcuno lo assiste mentre si alza.")</f>
        <v>Una volta che sono entrambi accesi, si avvicina all'erba e qualcuno lo assiste mentre si alza.</v>
      </c>
    </row>
    <row r="21920">
      <c r="A21920" s="4" t="s">
        <v>27594</v>
      </c>
      <c r="B21920" s="6" t="s">
        <v>27598</v>
      </c>
      <c r="C21920" s="5" t="str">
        <f>IFERROR(__xludf.DUMMYFUNCTION("GOOGLETRANSLATE(B21920,""en"",""it"")"),"Dopo essere stabile, si alza e va a rotelle lungo il marciapiede prima di tornare e sedersi sul marciapiede.")</f>
        <v>Dopo essere stabile, si alza e va a rotelle lungo il marciapiede prima di tornare e sedersi sul marciapiede.</v>
      </c>
    </row>
    <row r="21921">
      <c r="A21921" s="4" t="s">
        <v>27599</v>
      </c>
      <c r="B21921" s="6" t="s">
        <v>27600</v>
      </c>
      <c r="C21921" s="5" t="str">
        <f>IFERROR(__xludf.DUMMYFUNCTION("GOOGLETRANSLATE(B21921,""en"",""it"")"),"Diversi articoli sono visti disposti su un tavolo seguito da una persona che presenta ogni articolo alla telecamera.")</f>
        <v>Diversi articoli sono visti disposti su un tavolo seguito da una persona che presenta ogni articolo alla telecamera.</v>
      </c>
    </row>
    <row r="21922">
      <c r="A21922" s="4" t="s">
        <v>27599</v>
      </c>
      <c r="B21922" s="4" t="s">
        <v>27601</v>
      </c>
      <c r="C21922" s="5" t="str">
        <f>IFERROR(__xludf.DUMMYFUNCTION("GOOGLETRANSLATE(B21922,""en"",""it"")"),"La persona immerge un pennello nell'acqua seguita da un detergente e strofina uno straccio attraverso il pennello.")</f>
        <v>La persona immerge un pennello nell'acqua seguita da un detergente e strofina uno straccio attraverso il pennello.</v>
      </c>
    </row>
    <row r="21923">
      <c r="A21923" s="4" t="s">
        <v>27599</v>
      </c>
      <c r="B21923" s="4" t="s">
        <v>27602</v>
      </c>
      <c r="C21923" s="5" t="str">
        <f>IFERROR(__xludf.DUMMYFUNCTION("GOOGLETRANSLATE(B21923,""en"",""it"")"),"La persona strofina le scarpe con il pennello e si asciuga dal lato con uno straccio.")</f>
        <v>La persona strofina le scarpe con il pennello e si asciuga dal lato con uno straccio.</v>
      </c>
    </row>
    <row r="21924">
      <c r="A21924" s="4" t="s">
        <v>27599</v>
      </c>
      <c r="B21924" s="4" t="s">
        <v>27603</v>
      </c>
      <c r="C21924" s="5" t="str">
        <f>IFERROR(__xludf.DUMMYFUNCTION("GOOGLETRANSLATE(B21924,""en"",""it"")"),"Aspetta un certo tempo e strofina di nuovo le scarpe e le presenta.")</f>
        <v>Aspetta un certo tempo e strofina di nuovo le scarpe e le presenta.</v>
      </c>
    </row>
    <row r="21925">
      <c r="A21925" s="4" t="s">
        <v>27604</v>
      </c>
      <c r="B21925" s="4" t="s">
        <v>27605</v>
      </c>
      <c r="C21925" s="5" t="str">
        <f>IFERROR(__xludf.DUMMYFUNCTION("GOOGLETRANSLATE(B21925,""en"",""it"")"),"L'uomo sta camminando in un casinò guardando i Pople e le macchine.")</f>
        <v>L'uomo sta camminando in un casinò guardando i Pople e le macchine.</v>
      </c>
    </row>
    <row r="21926">
      <c r="A21926" s="4" t="s">
        <v>27604</v>
      </c>
      <c r="B21926" s="4" t="s">
        <v>27606</v>
      </c>
      <c r="C21926" s="5" t="str">
        <f>IFERROR(__xludf.DUMMYFUNCTION("GOOGLETRANSLATE(B21926,""en"",""it"")"),"La donna è seduta su un tavolo nero e parla con gli uomini.")</f>
        <v>La donna è seduta su un tavolo nero e parla con gli uomini.</v>
      </c>
    </row>
    <row r="21927">
      <c r="A21927" s="4" t="s">
        <v>27604</v>
      </c>
      <c r="B21927" s="4" t="s">
        <v>27607</v>
      </c>
      <c r="C21927" s="5" t="str">
        <f>IFERROR(__xludf.DUMMYFUNCTION("GOOGLETRANSLATE(B21927,""en"",""it"")"),"La donna sta sorridendo e allunga il braccio dietro la schiena.")</f>
        <v>La donna sta sorridendo e allunga il braccio dietro la schiena.</v>
      </c>
    </row>
    <row r="21928">
      <c r="A21928" s="4" t="s">
        <v>27604</v>
      </c>
      <c r="B21928" s="4" t="s">
        <v>27608</v>
      </c>
      <c r="C21928" s="5" t="str">
        <f>IFERROR(__xludf.DUMMYFUNCTION("GOOGLETRANSLATE(B21928,""en"",""it"")"),"L'uomo si siede in un tavolo e inizia a giocare a Black Jack in un casinò.")</f>
        <v>L'uomo si siede in un tavolo e inizia a giocare a Black Jack in un casinò.</v>
      </c>
    </row>
    <row r="21929">
      <c r="A21929" s="4" t="s">
        <v>27609</v>
      </c>
      <c r="B21929" s="4" t="s">
        <v>27610</v>
      </c>
      <c r="C21929" s="5" t="str">
        <f>IFERROR(__xludf.DUMMYFUNCTION("GOOGLETRANSLATE(B21929,""en"",""it"")"),"Un caposquadra che indossa guanti di colore blu prima di iniziare a saldare il metallo.")</f>
        <v>Un caposquadra che indossa guanti di colore blu prima di iniziare a saldare il metallo.</v>
      </c>
    </row>
    <row r="21930">
      <c r="A21930" s="4" t="s">
        <v>27609</v>
      </c>
      <c r="B21930" s="4" t="s">
        <v>27611</v>
      </c>
      <c r="C21930" s="5" t="str">
        <f>IFERROR(__xludf.DUMMYFUNCTION("GOOGLETRANSLATE(B21930,""en"",""it"")"),"Continua a saldare il metallo con la sua torcia e gli attrezzi protettivi.")</f>
        <v>Continua a saldare il metallo con la sua torcia e gli attrezzi protettivi.</v>
      </c>
    </row>
    <row r="21931">
      <c r="A21931" s="4" t="s">
        <v>27609</v>
      </c>
      <c r="B21931" s="4" t="s">
        <v>27612</v>
      </c>
      <c r="C21931" s="5" t="str">
        <f>IFERROR(__xludf.DUMMYFUNCTION("GOOGLETRANSLATE(B21931,""en"",""it"")"),"Salda il metallo per molto tempo.")</f>
        <v>Salda il metallo per molto tempo.</v>
      </c>
    </row>
    <row r="21932">
      <c r="A21932" s="4" t="s">
        <v>27609</v>
      </c>
      <c r="B21932" s="4" t="s">
        <v>27613</v>
      </c>
      <c r="C21932" s="5" t="str">
        <f>IFERROR(__xludf.DUMMYFUNCTION("GOOGLETRANSLATE(B21932,""en"",""it"")"),"Quindi spegnere la torcia di saldatura e mette via l'attrezzatura.")</f>
        <v>Quindi spegnere la torcia di saldatura e mette via l'attrezzatura.</v>
      </c>
    </row>
    <row r="21933">
      <c r="A21933" s="4" t="s">
        <v>27614</v>
      </c>
      <c r="B21933" s="6" t="s">
        <v>27615</v>
      </c>
      <c r="C21933" s="5" t="str">
        <f>IFERROR(__xludf.DUMMYFUNCTION("GOOGLETRANSLATE(B21933,""en"",""it"")"),"Un giovane in una felpa con cappuccio marrone e pantaloni da carico si trova su una strada in una zona boscosa, istruendo gli spettatori mentre tiene alla fine di uno skateboard.")</f>
        <v>Un giovane in una felpa con cappuccio marrone e pantaloni da carico si trova su una strada in una zona boscosa, istruendo gli spettatori mentre tiene alla fine di uno skateboard.</v>
      </c>
    </row>
    <row r="21934">
      <c r="A21934" s="4" t="s">
        <v>27614</v>
      </c>
      <c r="B21934" s="6" t="s">
        <v>27616</v>
      </c>
      <c r="C21934" s="5" t="str">
        <f>IFERROR(__xludf.DUMMYFUNCTION("GOOGLETRANSLATE(B21934,""en"",""it"")"),"Dopo aver dimostrato una posizione sul tabellone, la raccoglie e torna indietro per diversi metri e mette lo skateboard a terra, piagnucolandolo con un piede all'estremità.")</f>
        <v>Dopo aver dimostrato una posizione sul tabellone, la raccoglie e torna indietro per diversi metri e mette lo skateboard a terra, piagnucolandolo con un piede all'estremità.</v>
      </c>
    </row>
    <row r="21935">
      <c r="A21935" s="4" t="s">
        <v>27614</v>
      </c>
      <c r="B21935" s="4" t="s">
        <v>27617</v>
      </c>
      <c r="C21935" s="5" t="str">
        <f>IFERROR(__xludf.DUMMYFUNCTION("GOOGLETRANSLATE(B21935,""en"",""it"")"),"Lo mette in piano e inizia a pattinare in avanti sul tabellone.")</f>
        <v>Lo mette in piano e inizia a pattinare in avanti sul tabellone.</v>
      </c>
    </row>
    <row r="21936">
      <c r="A21936" s="4" t="s">
        <v>27614</v>
      </c>
      <c r="B21936" s="6" t="s">
        <v>27618</v>
      </c>
      <c r="C21936" s="5" t="str">
        <f>IFERROR(__xludf.DUMMYFUNCTION("GOOGLETRANSLATE(B21936,""en"",""it"")"),"Si gira sul tabellone, facendo una mossa difficile e poi torna a dove ha iniziato a pattinare.")</f>
        <v>Si gira sul tabellone, facendo una mossa difficile e poi torna a dove ha iniziato a pattinare.</v>
      </c>
    </row>
    <row r="21937">
      <c r="A21937" s="4" t="s">
        <v>27614</v>
      </c>
      <c r="B21937" s="6" t="s">
        <v>27619</v>
      </c>
      <c r="C21937" s="5" t="str">
        <f>IFERROR(__xludf.DUMMYFUNCTION("GOOGLETRANSLATE(B21937,""en"",""it"")"),"60 Dopo aver parlato per un po 'più a lungo e gestindo il tabellone, ripete di nuovo la mossa, tornando di nuovo verso il punto da cui ha iniziato.")</f>
        <v>60 Dopo aver parlato per un po 'più a lungo e gestindo il tabellone, ripete di nuovo la mossa, tornando di nuovo verso il punto da cui ha iniziato.</v>
      </c>
    </row>
    <row r="21938">
      <c r="A21938" s="4" t="s">
        <v>27620</v>
      </c>
      <c r="B21938" s="4" t="s">
        <v>27621</v>
      </c>
      <c r="C21938" s="5" t="str">
        <f>IFERROR(__xludf.DUMMYFUNCTION("GOOGLETRANSLATE(B21938,""en"",""it"")"),"Una ragazza sta facendo girare indietro su un tappetino blu.")</f>
        <v>Una ragazza sta facendo girare indietro su un tappetino blu.</v>
      </c>
    </row>
    <row r="21939">
      <c r="A21939" s="4" t="s">
        <v>27620</v>
      </c>
      <c r="B21939" s="4" t="s">
        <v>27622</v>
      </c>
      <c r="C21939" s="5" t="str">
        <f>IFERROR(__xludf.DUMMYFUNCTION("GOOGLETRANSLATE(B21939,""en"",""it"")"),"Una ragazza fa le divisioni in aria.")</f>
        <v>Una ragazza fa le divisioni in aria.</v>
      </c>
    </row>
    <row r="21940">
      <c r="A21940" s="4" t="s">
        <v>27620</v>
      </c>
      <c r="B21940" s="4" t="s">
        <v>27623</v>
      </c>
      <c r="C21940" s="5" t="str">
        <f>IFERROR(__xludf.DUMMYFUNCTION("GOOGLETRANSLATE(B21940,""en"",""it"")"),"Le persone si sdraiano sul tappeto accanto a lei.")</f>
        <v>Le persone si sdraiano sul tappeto accanto a lei.</v>
      </c>
    </row>
    <row r="21941">
      <c r="A21941" s="4" t="s">
        <v>27620</v>
      </c>
      <c r="B21941" s="4" t="s">
        <v>27624</v>
      </c>
      <c r="C21941" s="5" t="str">
        <f>IFERROR(__xludf.DUMMYFUNCTION("GOOGLETRANSLATE(B21941,""en"",""it"")"),"Fa diversi capovolgimenti su un trampolino.")</f>
        <v>Fa diversi capovolgimenti su un trampolino.</v>
      </c>
    </row>
    <row r="21942">
      <c r="A21942" s="4" t="s">
        <v>27625</v>
      </c>
      <c r="B21942" s="4" t="s">
        <v>27626</v>
      </c>
      <c r="C21942" s="5" t="str">
        <f>IFERROR(__xludf.DUMMYFUNCTION("GOOGLETRANSLATE(B21942,""en"",""it"")"),"Vediamo un segno del centro fitness.")</f>
        <v>Vediamo un segno del centro fitness.</v>
      </c>
    </row>
    <row r="21943">
      <c r="A21943" s="4" t="s">
        <v>27625</v>
      </c>
      <c r="B21943" s="4" t="s">
        <v>27627</v>
      </c>
      <c r="C21943" s="5" t="str">
        <f>IFERROR(__xludf.DUMMYFUNCTION("GOOGLETRANSLATE(B21943,""en"",""it"")"),"Vediamo quindi un uomo parlare con la telecamera e sedersi e sdraiarsi su una palla da esercizio.")</f>
        <v>Vediamo quindi un uomo parlare con la telecamera e sedersi e sdraiarsi su una palla da esercizio.</v>
      </c>
    </row>
    <row r="21944">
      <c r="A21944" s="4" t="s">
        <v>27625</v>
      </c>
      <c r="B21944" s="4" t="s">
        <v>27628</v>
      </c>
      <c r="C21944" s="5" t="str">
        <f>IFERROR(__xludf.DUMMYFUNCTION("GOOGLETRANSLATE(B21944,""en"",""it"")"),"L'uomo si esibisce seduto mentre si trova sulla palla e parla.")</f>
        <v>L'uomo si esibisce seduto mentre si trova sulla palla e parla.</v>
      </c>
    </row>
    <row r="21945">
      <c r="A21945" s="4" t="s">
        <v>27625</v>
      </c>
      <c r="B21945" s="4" t="s">
        <v>27629</v>
      </c>
      <c r="C21945" s="5" t="str">
        <f>IFERROR(__xludf.DUMMYFUNCTION("GOOGLETRANSLATE(B21945,""en"",""it"")"),"L'uomo si siede e parla con la telecamera.")</f>
        <v>L'uomo si siede e parla con la telecamera.</v>
      </c>
    </row>
    <row r="21946">
      <c r="A21946" s="4" t="s">
        <v>27625</v>
      </c>
      <c r="B21946" s="4" t="s">
        <v>27630</v>
      </c>
      <c r="C21946" s="5" t="str">
        <f>IFERROR(__xludf.DUMMYFUNCTION("GOOGLETRANSLATE(B21946,""en"",""it"")"),"Lo schermo finale è visto su uno sfondo nero.")</f>
        <v>Lo schermo finale è visto su uno sfondo nero.</v>
      </c>
    </row>
    <row r="21947">
      <c r="A21947" s="4" t="s">
        <v>27631</v>
      </c>
      <c r="B21947" s="4" t="s">
        <v>27632</v>
      </c>
      <c r="C21947" s="5" t="str">
        <f>IFERROR(__xludf.DUMMYFUNCTION("GOOGLETRANSLATE(B21947,""en"",""it"")"),"Gli ingredienti vengono preparati e versati in una grande ciotola.")</f>
        <v>Gli ingredienti vengono preparati e versati in una grande ciotola.</v>
      </c>
    </row>
    <row r="21948">
      <c r="A21948" s="4" t="s">
        <v>27631</v>
      </c>
      <c r="B21948" s="4" t="s">
        <v>27633</v>
      </c>
      <c r="C21948" s="5" t="str">
        <f>IFERROR(__xludf.DUMMYFUNCTION("GOOGLETRANSLATE(B21948,""en"",""it"")"),"Una donna lava una ciotola in un lavello della cucina con una spugna.")</f>
        <v>Una donna lava una ciotola in un lavello della cucina con una spugna.</v>
      </c>
    </row>
    <row r="21949">
      <c r="A21949" s="4" t="s">
        <v>27631</v>
      </c>
      <c r="B21949" s="4" t="s">
        <v>27634</v>
      </c>
      <c r="C21949" s="5" t="str">
        <f>IFERROR(__xludf.DUMMYFUNCTION("GOOGLETRANSLATE(B21949,""en"",""it"")"),"La donna annusa la ciotola per assicurarsi che sia pulita.")</f>
        <v>La donna annusa la ciotola per assicurarsi che sia pulita.</v>
      </c>
    </row>
    <row r="21950">
      <c r="A21950" s="4" t="s">
        <v>27631</v>
      </c>
      <c r="B21950" s="4" t="s">
        <v>27635</v>
      </c>
      <c r="C21950" s="5" t="str">
        <f>IFERROR(__xludf.DUMMYFUNCTION("GOOGLETRANSLATE(B21950,""en"",""it"")"),"La donna mette la ciotola in una lavatrice e mostra il posizionamento adeguato.")</f>
        <v>La donna mette la ciotola in una lavatrice e mostra il posizionamento adeguato.</v>
      </c>
    </row>
    <row r="21951">
      <c r="A21951" s="4" t="s">
        <v>27631</v>
      </c>
      <c r="B21951" s="4" t="s">
        <v>27636</v>
      </c>
      <c r="C21951" s="5" t="str">
        <f>IFERROR(__xludf.DUMMYFUNCTION("GOOGLETRANSLATE(B21951,""en"",""it"")"),"Una donna lava un piatto in un lavello da cucina con una spugna.")</f>
        <v>Una donna lava un piatto in un lavello da cucina con una spugna.</v>
      </c>
    </row>
    <row r="21952">
      <c r="A21952" s="4" t="s">
        <v>27631</v>
      </c>
      <c r="B21952" s="4" t="s">
        <v>27637</v>
      </c>
      <c r="C21952" s="5" t="str">
        <f>IFERROR(__xludf.DUMMYFUNCTION("GOOGLETRANSLATE(B21952,""en"",""it"")"),"La donna odora il piatto per assicurarsi che sia pulito.")</f>
        <v>La donna odora il piatto per assicurarsi che sia pulito.</v>
      </c>
    </row>
    <row r="21953">
      <c r="A21953" s="4" t="s">
        <v>27631</v>
      </c>
      <c r="B21953" s="4" t="s">
        <v>27638</v>
      </c>
      <c r="C21953" s="5" t="str">
        <f>IFERROR(__xludf.DUMMYFUNCTION("GOOGLETRANSLATE(B21953,""en"",""it"")"),"La donna posiziona il piatto in una lavatrice e mostra il posizionamento adeguato.")</f>
        <v>La donna posiziona il piatto in una lavatrice e mostra il posizionamento adeguato.</v>
      </c>
    </row>
    <row r="21954">
      <c r="A21954" s="4" t="s">
        <v>27631</v>
      </c>
      <c r="B21954" s="4" t="s">
        <v>27639</v>
      </c>
      <c r="C21954" s="5" t="str">
        <f>IFERROR(__xludf.DUMMYFUNCTION("GOOGLETRANSLATE(B21954,""en"",""it"")"),"Una donna lava le tazze di vetro in un lavello da cucina con una spugna.")</f>
        <v>Una donna lava le tazze di vetro in un lavello da cucina con una spugna.</v>
      </c>
    </row>
    <row r="21955">
      <c r="A21955" s="4" t="s">
        <v>27631</v>
      </c>
      <c r="B21955" s="4" t="s">
        <v>27640</v>
      </c>
      <c r="C21955" s="5" t="str">
        <f>IFERROR(__xludf.DUMMYFUNCTION("GOOGLETRANSLATE(B21955,""en"",""it"")"),"La donna annusa le tazze di vetro per assicurarsi che siano pulite.")</f>
        <v>La donna annusa le tazze di vetro per assicurarsi che siano pulite.</v>
      </c>
    </row>
    <row r="21956">
      <c r="A21956" s="4" t="s">
        <v>27631</v>
      </c>
      <c r="B21956" s="4" t="s">
        <v>27641</v>
      </c>
      <c r="C21956" s="5" t="str">
        <f>IFERROR(__xludf.DUMMYFUNCTION("GOOGLETRANSLATE(B21956,""en"",""it"")"),"La donna posiziona le tazze di vetro in una lavatrice e mostra il posizionamento adeguato.")</f>
        <v>La donna posiziona le tazze di vetro in una lavatrice e mostra il posizionamento adeguato.</v>
      </c>
    </row>
    <row r="21957">
      <c r="A21957" s="4" t="s">
        <v>27631</v>
      </c>
      <c r="B21957" s="4" t="s">
        <v>27642</v>
      </c>
      <c r="C21957" s="5" t="str">
        <f>IFERROR(__xludf.DUMMYFUNCTION("GOOGLETRANSLATE(B21957,""en"",""it"")"),"I crediti finali sono visti per il film.")</f>
        <v>I crediti finali sono visti per il film.</v>
      </c>
    </row>
    <row r="21958">
      <c r="A21958" s="4" t="s">
        <v>27643</v>
      </c>
      <c r="B21958" s="4" t="s">
        <v>27644</v>
      </c>
      <c r="C21958" s="5" t="str">
        <f>IFERROR(__xludf.DUMMYFUNCTION("GOOGLETRANSLATE(B21958,""en"",""it"")"),"Un'introduzione appare sullo schermo per un video sul galoppo lungo la spiaggia.")</f>
        <v>Un'introduzione appare sullo schermo per un video sul galoppo lungo la spiaggia.</v>
      </c>
    </row>
    <row r="21959">
      <c r="A21959" s="4" t="s">
        <v>27643</v>
      </c>
      <c r="B21959" s="4" t="s">
        <v>27645</v>
      </c>
      <c r="C21959" s="5" t="str">
        <f>IFERROR(__xludf.DUMMYFUNCTION("GOOGLETRANSLATE(B21959,""en"",""it"")"),"Vengono mostrate diverse immagini di persone che cavalcano a cavallo lungo la spiaggia.")</f>
        <v>Vengono mostrate diverse immagini di persone che cavalcano a cavallo lungo la spiaggia.</v>
      </c>
    </row>
    <row r="21960">
      <c r="A21960" s="4" t="s">
        <v>27643</v>
      </c>
      <c r="B21960" s="4" t="s">
        <v>27646</v>
      </c>
      <c r="C21960" s="5" t="str">
        <f>IFERROR(__xludf.DUMMYFUNCTION("GOOGLETRANSLATE(B21960,""en"",""it"")"),"Le immagini si trasformano in un video di diverse persone che vanno lungo le dune di sabbia.")</f>
        <v>Le immagini si trasformano in un video di diverse persone che vanno lungo le dune di sabbia.</v>
      </c>
    </row>
    <row r="21961">
      <c r="A21961" s="4" t="s">
        <v>27643</v>
      </c>
      <c r="B21961" s="4" t="s">
        <v>27647</v>
      </c>
      <c r="C21961" s="5" t="str">
        <f>IFERROR(__xludf.DUMMYFUNCTION("GOOGLETRANSLATE(B21961,""en"",""it"")"),"Il video si alterna quindi tra immagini e video di persone che si godono la corsa in spiaggia.")</f>
        <v>Il video si alterna quindi tra immagini e video di persone che si godono la corsa in spiaggia.</v>
      </c>
    </row>
    <row r="21962">
      <c r="A21962" s="4" t="s">
        <v>27643</v>
      </c>
      <c r="B21962" s="4" t="s">
        <v>27648</v>
      </c>
      <c r="C21962" s="5" t="str">
        <f>IFERROR(__xludf.DUMMYFUNCTION("GOOGLETRANSLATE(B21962,""en"",""it"")"),"Il video termina con il testo visualizzato che mostra ulteriori informazioni sul viaggio.")</f>
        <v>Il video termina con il testo visualizzato che mostra ulteriori informazioni sul viaggio.</v>
      </c>
    </row>
    <row r="21963">
      <c r="A21963" s="4" t="s">
        <v>27649</v>
      </c>
      <c r="B21963" s="6" t="s">
        <v>27650</v>
      </c>
      <c r="C21963" s="5" t="str">
        <f>IFERROR(__xludf.DUMMYFUNCTION("GOOGLETRANSLATE(B21963,""en"",""it"")"),"Una donna dimostra come preparare una bevanda mista in un bar in un bancone davanti a un controsoffitto pieno di alcol.")</f>
        <v>Una donna dimostra come preparare una bevanda mista in un bar in un bancone davanti a un controsoffitto pieno di alcol.</v>
      </c>
    </row>
    <row r="21964">
      <c r="A21964" s="4" t="s">
        <v>27649</v>
      </c>
      <c r="B21964" s="6" t="s">
        <v>27651</v>
      </c>
      <c r="C21964" s="5" t="str">
        <f>IFERROR(__xludf.DUMMYFUNCTION("GOOGLETRANSLATE(B21964,""en"",""it"")"),"La donna inizia parlando con la telecamera e tirando fuori una bottiglia di alcol accanto a un barattolo di muratore preparato con una fetta di limone e menta.")</f>
        <v>La donna inizia parlando con la telecamera e tirando fuori una bottiglia di alcol accanto a un barattolo di muratore preparato con una fetta di limone e menta.</v>
      </c>
    </row>
    <row r="21965">
      <c r="A21965" s="4" t="s">
        <v>27649</v>
      </c>
      <c r="B21965" s="6" t="s">
        <v>27652</v>
      </c>
      <c r="C21965" s="5" t="str">
        <f>IFERROR(__xludf.DUMMYFUNCTION("GOOGLETRANSLATE(B21965,""en"",""it"")"),"La donna versa il ghiaccio nel bicchiere e alcuni colpi di alcol e poi versa la limonata nel bicchiere con un rametto di menta e un cuneo di limone sul bordo.")</f>
        <v>La donna versa il ghiaccio nel bicchiere e alcuni colpi di alcol e poi versa la limonata nel bicchiere con un rametto di menta e un cuneo di limone sul bordo.</v>
      </c>
    </row>
    <row r="21966">
      <c r="A21966" s="4" t="s">
        <v>27649</v>
      </c>
      <c r="B21966" s="4" t="s">
        <v>27653</v>
      </c>
      <c r="C21966" s="5" t="str">
        <f>IFERROR(__xludf.DUMMYFUNCTION("GOOGLETRANSLATE(B21966,""en"",""it"")"),"La donna beve un sorso di bevanda prima che la scena svanisca.")</f>
        <v>La donna beve un sorso di bevanda prima che la scena svanisca.</v>
      </c>
    </row>
    <row r="21967">
      <c r="A21967" s="4" t="s">
        <v>27654</v>
      </c>
      <c r="B21967" s="4" t="s">
        <v>27655</v>
      </c>
      <c r="C21967" s="5" t="str">
        <f>IFERROR(__xludf.DUMMYFUNCTION("GOOGLETRANSLATE(B21967,""en"",""it"")"),"Un uomo è fuori nel suo cortile.")</f>
        <v>Un uomo è fuori nel suo cortile.</v>
      </c>
    </row>
    <row r="21968">
      <c r="A21968" s="4" t="s">
        <v>27654</v>
      </c>
      <c r="B21968" s="4" t="s">
        <v>27656</v>
      </c>
      <c r="C21968" s="5" t="str">
        <f>IFERROR(__xludf.DUMMYFUNCTION("GOOGLETRANSLATE(B21968,""en"",""it"")"),"Sta usando una rondella di pressione per lavare le foglie dal prato.")</f>
        <v>Sta usando una rondella di pressione per lavare le foglie dal prato.</v>
      </c>
    </row>
    <row r="21969">
      <c r="A21969" s="4" t="s">
        <v>27654</v>
      </c>
      <c r="B21969" s="4" t="s">
        <v>27657</v>
      </c>
      <c r="C21969" s="5" t="str">
        <f>IFERROR(__xludf.DUMMYFUNCTION("GOOGLETRANSLATE(B21969,""en"",""it"")"),"Li spruzza su e giù, spingendoli lungo una pendenza.")</f>
        <v>Li spruzza su e giù, spingendoli lungo una pendenza.</v>
      </c>
    </row>
    <row r="21970">
      <c r="A21970" s="4" t="s">
        <v>27658</v>
      </c>
      <c r="B21970" s="4" t="s">
        <v>27659</v>
      </c>
      <c r="C21970" s="5" t="str">
        <f>IFERROR(__xludf.DUMMYFUNCTION("GOOGLETRANSLATE(B21970,""en"",""it"")"),"Un uomo riempie una pentola con acqua e aggiunge sale e olio, quindi fa bollire l'acqua mentre parla.")</f>
        <v>Un uomo riempie una pentola con acqua e aggiunge sale e olio, quindi fa bollire l'acqua mentre parla.</v>
      </c>
    </row>
    <row r="21971">
      <c r="A21971" s="4" t="s">
        <v>27658</v>
      </c>
      <c r="B21971" s="4" t="s">
        <v>27660</v>
      </c>
      <c r="C21971" s="5" t="str">
        <f>IFERROR(__xludf.DUMMYFUNCTION("GOOGLETRANSLATE(B21971,""en"",""it"")"),"Quindi, l'uomo mette gli spaghetti nella pentola di bowling.")</f>
        <v>Quindi, l'uomo mette gli spaghetti nella pentola di bowling.</v>
      </c>
    </row>
    <row r="21972">
      <c r="A21972" s="4" t="s">
        <v>27658</v>
      </c>
      <c r="B21972" s="4" t="s">
        <v>27661</v>
      </c>
      <c r="C21972" s="5" t="str">
        <f>IFERROR(__xludf.DUMMYFUNCTION("GOOGLETRANSLATE(B21972,""en"",""it"")"),"Dopo, l'uomo assaggia gli spaghetti e drenalo.")</f>
        <v>Dopo, l'uomo assaggia gli spaghetti e drenalo.</v>
      </c>
    </row>
    <row r="21973">
      <c r="A21973" s="4" t="s">
        <v>27658</v>
      </c>
      <c r="B21973" s="4" t="s">
        <v>27662</v>
      </c>
      <c r="C21973" s="5" t="str">
        <f>IFERROR(__xludf.DUMMYFUNCTION("GOOGLETRANSLATE(B21973,""en"",""it"")"),"Successivamente, l'uomo aggiunge formaggio grattugiato e olio sugli spaghetti.")</f>
        <v>Successivamente, l'uomo aggiunge formaggio grattugiato e olio sugli spaghetti.</v>
      </c>
    </row>
    <row r="21974">
      <c r="A21974" s="4" t="s">
        <v>27663</v>
      </c>
      <c r="B21974" s="4" t="s">
        <v>27664</v>
      </c>
      <c r="C21974" s="5" t="str">
        <f>IFERROR(__xludf.DUMMYFUNCTION("GOOGLETRANSLATE(B21974,""en"",""it"")"),"Ci sono 3 uomini e 1 donna.")</f>
        <v>Ci sono 3 uomini e 1 donna.</v>
      </c>
    </row>
    <row r="21975">
      <c r="A21975" s="4" t="s">
        <v>27663</v>
      </c>
      <c r="B21975" s="6" t="s">
        <v>27665</v>
      </c>
      <c r="C21975" s="5" t="str">
        <f>IFERROR(__xludf.DUMMYFUNCTION("GOOGLETRANSLATE(B21975,""en"",""it"")"),"Ognuno di loro mostra e ti dice il loro modo di bowling per guadagnare colpi e ottenere punteggi perfetti sul tabellone alto.")</f>
        <v>Ognuno di loro mostra e ti dice il loro modo di bowling per guadagnare colpi e ottenere punteggi perfetti sul tabellone alto.</v>
      </c>
    </row>
    <row r="21976">
      <c r="A21976" s="4" t="s">
        <v>27666</v>
      </c>
      <c r="B21976" s="4" t="s">
        <v>27667</v>
      </c>
      <c r="C21976" s="5" t="str">
        <f>IFERROR(__xludf.DUMMYFUNCTION("GOOGLETRANSLATE(B21976,""en"",""it"")"),"Vediamo il titolo di Kyla Ross sulle barre parallele.")</f>
        <v>Vediamo il titolo di Kyla Ross sulle barre parallele.</v>
      </c>
    </row>
    <row r="21977">
      <c r="A21977" s="4" t="s">
        <v>27666</v>
      </c>
      <c r="B21977" s="4" t="s">
        <v>27668</v>
      </c>
      <c r="C21977" s="5" t="str">
        <f>IFERROR(__xludf.DUMMYFUNCTION("GOOGLETRANSLATE(B21977,""en"",""it"")"),"Le ragazze si sollevano, quindi abbassano le braccia.")</f>
        <v>Le ragazze si sollevano, quindi abbassano le braccia.</v>
      </c>
    </row>
    <row r="21978">
      <c r="A21978" s="4" t="s">
        <v>27666</v>
      </c>
      <c r="B21978" s="4" t="s">
        <v>27669</v>
      </c>
      <c r="C21978" s="5" t="str">
        <f>IFERROR(__xludf.DUMMYFUNCTION("GOOGLETRANSLATE(B21978,""en"",""it"")"),"Kyla salta quindi sulla barra corta.")</f>
        <v>Kyla salta quindi sulla barra corta.</v>
      </c>
    </row>
    <row r="21979">
      <c r="A21979" s="4" t="s">
        <v>27666</v>
      </c>
      <c r="B21979" s="4" t="s">
        <v>27670</v>
      </c>
      <c r="C21979" s="5" t="str">
        <f>IFERROR(__xludf.DUMMYFUNCTION("GOOGLETRANSLATE(B21979,""en"",""it"")"),"Si trasferisce alla barra alta, poi torna a quella corta.")</f>
        <v>Si trasferisce alla barra alta, poi torna a quella corta.</v>
      </c>
    </row>
    <row r="21980">
      <c r="A21980" s="4" t="s">
        <v>27666</v>
      </c>
      <c r="B21980" s="4" t="s">
        <v>27671</v>
      </c>
      <c r="C21980" s="5" t="str">
        <f>IFERROR(__xludf.DUMMYFUNCTION("GOOGLETRANSLATE(B21980,""en"",""it"")"),"Ritorna a quella alta e gira.")</f>
        <v>Ritorna a quella alta e gira.</v>
      </c>
    </row>
    <row r="21981">
      <c r="A21981" s="4" t="s">
        <v>27666</v>
      </c>
      <c r="B21981" s="4" t="s">
        <v>27672</v>
      </c>
      <c r="C21981" s="5" t="str">
        <f>IFERROR(__xludf.DUMMYFUNCTION("GOOGLETRANSLATE(B21981,""en"",""it"")"),"Si avvicina alla barra corta, poi torna all'alto e si lancia.")</f>
        <v>Si avvicina alla barra corta, poi torna all'alto e si lancia.</v>
      </c>
    </row>
    <row r="21982">
      <c r="A21982" s="4" t="s">
        <v>27666</v>
      </c>
      <c r="B21982" s="4" t="s">
        <v>27673</v>
      </c>
      <c r="C21982" s="5" t="str">
        <f>IFERROR(__xludf.DUMMYFUNCTION("GOOGLETRANSLATE(B21982,""en"",""it"")"),"Smonta e abbraccia il suo allenatore.")</f>
        <v>Smonta e abbraccia il suo allenatore.</v>
      </c>
    </row>
    <row r="21983">
      <c r="A21983" s="4" t="s">
        <v>27666</v>
      </c>
      <c r="B21983" s="4" t="s">
        <v>27674</v>
      </c>
      <c r="C21983" s="5" t="str">
        <f>IFERROR(__xludf.DUMMYFUNCTION("GOOGLETRANSLATE(B21983,""en"",""it"")"),"Vediamo il suo punteggio finale su uno schermo nero.")</f>
        <v>Vediamo il suo punteggio finale su uno schermo nero.</v>
      </c>
    </row>
    <row r="21984">
      <c r="A21984" s="4" t="s">
        <v>27675</v>
      </c>
      <c r="B21984" s="4" t="s">
        <v>27676</v>
      </c>
      <c r="C21984" s="5" t="str">
        <f>IFERROR(__xludf.DUMMYFUNCTION("GOOGLETRANSLATE(B21984,""en"",""it"")"),"Una donna in una canotta bianca sta andando in bicicletta in una stanza.")</f>
        <v>Una donna in una canotta bianca sta andando in bicicletta in una stanza.</v>
      </c>
    </row>
    <row r="21985">
      <c r="A21985" s="4" t="s">
        <v>27675</v>
      </c>
      <c r="B21985" s="4" t="s">
        <v>27677</v>
      </c>
      <c r="C21985" s="5" t="str">
        <f>IFERROR(__xludf.DUMMYFUNCTION("GOOGLETRANSLATE(B21985,""en"",""it"")"),"Sta facendo push up su un tappetino nero.")</f>
        <v>Sta facendo push up su un tappetino nero.</v>
      </c>
    </row>
    <row r="21986">
      <c r="A21986" s="4" t="s">
        <v>27675</v>
      </c>
      <c r="B21986" s="4" t="s">
        <v>27678</v>
      </c>
      <c r="C21986" s="5" t="str">
        <f>IFERROR(__xludf.DUMMYFUNCTION("GOOGLETRANSLATE(B21986,""en"",""it"")"),"È tornata a guidare la bici da esercizio.")</f>
        <v>È tornata a guidare la bici da esercizio.</v>
      </c>
    </row>
    <row r="21987">
      <c r="A21987" s="4" t="s">
        <v>27675</v>
      </c>
      <c r="B21987" s="4" t="s">
        <v>27679</v>
      </c>
      <c r="C21987" s="5" t="str">
        <f>IFERROR(__xludf.DUMMYFUNCTION("GOOGLETRANSLATE(B21987,""en"",""it"")"),"Solleva pesi su e giù ai fianchi.")</f>
        <v>Solleva pesi su e giù ai fianchi.</v>
      </c>
    </row>
    <row r="21988">
      <c r="A21988" s="4" t="s">
        <v>27675</v>
      </c>
      <c r="B21988" s="4" t="s">
        <v>27680</v>
      </c>
      <c r="C21988" s="5" t="str">
        <f>IFERROR(__xludf.DUMMYFUNCTION("GOOGLETRANSLATE(B21988,""en"",""it"")"),"Sta andando di nuovo in bici da esercizio.")</f>
        <v>Sta andando di nuovo in bici da esercizio.</v>
      </c>
    </row>
    <row r="21989">
      <c r="A21989" s="4" t="s">
        <v>27681</v>
      </c>
      <c r="B21989" s="4" t="s">
        <v>27682</v>
      </c>
      <c r="C21989" s="5" t="str">
        <f>IFERROR(__xludf.DUMMYFUNCTION("GOOGLETRANSLATE(B21989,""en"",""it"")"),"Un uomo sta dimostrando come cucinare un sandwich Bologna amico nella sua cucina.")</f>
        <v>Un uomo sta dimostrando come cucinare un sandwich Bologna amico nella sua cucina.</v>
      </c>
    </row>
    <row r="21990">
      <c r="A21990" s="4" t="s">
        <v>27681</v>
      </c>
      <c r="B21990" s="4" t="s">
        <v>27683</v>
      </c>
      <c r="C21990" s="5" t="str">
        <f>IFERROR(__xludf.DUMMYFUNCTION("GOOGLETRANSLATE(B21990,""en"",""it"")"),"Prende due fette di pane sandwich e le mette nel tostapane.")</f>
        <v>Prende due fette di pane sandwich e le mette nel tostapane.</v>
      </c>
    </row>
    <row r="21991">
      <c r="A21991" s="4" t="s">
        <v>27681</v>
      </c>
      <c r="B21991" s="4" t="s">
        <v>27684</v>
      </c>
      <c r="C21991" s="5" t="str">
        <f>IFERROR(__xludf.DUMMYFUNCTION("GOOGLETRANSLATE(B21991,""en"",""it"")"),"Quindi prende un po 'di burro e bologna in una padella e la fritta.")</f>
        <v>Quindi prende un po 'di burro e bologna in una padella e la fritta.</v>
      </c>
    </row>
    <row r="21992">
      <c r="A21992" s="4" t="s">
        <v>27681</v>
      </c>
      <c r="B21992" s="4" t="s">
        <v>27685</v>
      </c>
      <c r="C21992" s="5" t="str">
        <f>IFERROR(__xludf.DUMMYFUNCTION("GOOGLETRANSLATE(B21992,""en"",""it"")"),"Ribalta la Bologna per friggerlo su entrambi i lati.")</f>
        <v>Ribalta la Bologna per friggerlo su entrambi i lati.</v>
      </c>
    </row>
    <row r="21993">
      <c r="A21993" s="4" t="s">
        <v>27681</v>
      </c>
      <c r="B21993" s="4" t="s">
        <v>27686</v>
      </c>
      <c r="C21993" s="5" t="str">
        <f>IFERROR(__xludf.DUMMYFUNCTION("GOOGLETRANSLATE(B21993,""en"",""it"")"),"Quindi prende due fette di formaggio americano.")</f>
        <v>Quindi prende due fette di formaggio americano.</v>
      </c>
    </row>
    <row r="21994">
      <c r="A21994" s="4" t="s">
        <v>27681</v>
      </c>
      <c r="B21994" s="4" t="s">
        <v>27687</v>
      </c>
      <c r="C21994" s="5" t="str">
        <f>IFERROR(__xludf.DUMMYFUNCTION("GOOGLETRANSLATE(B21994,""en"",""it"")"),"Toglie la Bologna dalla padella e la mette sul toast insieme alle fette di formaggio.")</f>
        <v>Toglie la Bologna dalla padella e la mette sul toast insieme alle fette di formaggio.</v>
      </c>
    </row>
    <row r="21995">
      <c r="A21995" s="4" t="s">
        <v>27681</v>
      </c>
      <c r="B21995" s="4" t="s">
        <v>27688</v>
      </c>
      <c r="C21995" s="5" t="str">
        <f>IFERROR(__xludf.DUMMYFUNCTION("GOOGLETRANSLATE(B21995,""en"",""it"")"),"Mostra il panino finito con Bologna e formaggio.")</f>
        <v>Mostra il panino finito con Bologna e formaggio.</v>
      </c>
    </row>
    <row r="21996">
      <c r="A21996" s="4" t="s">
        <v>27689</v>
      </c>
      <c r="B21996" s="4" t="s">
        <v>27690</v>
      </c>
      <c r="C21996" s="5" t="str">
        <f>IFERROR(__xludf.DUMMYFUNCTION("GOOGLETRANSLATE(B21996,""en"",""it"")"),"Un uomo è seduto su una macchina di peso e afferra le barre delle maniglie.")</f>
        <v>Un uomo è seduto su una macchina di peso e afferra le barre delle maniglie.</v>
      </c>
    </row>
    <row r="21997">
      <c r="A21997" s="4" t="s">
        <v>27689</v>
      </c>
      <c r="B21997" s="4" t="s">
        <v>27691</v>
      </c>
      <c r="C21997" s="5" t="str">
        <f>IFERROR(__xludf.DUMMYFUNCTION("GOOGLETRANSLATE(B21997,""en"",""it"")"),"Tira indietro il manubrio e quarto mentre il sedile si muove continuamente.")</f>
        <v>Tira indietro il manubrio e quarto mentre il sedile si muove continuamente.</v>
      </c>
    </row>
    <row r="21998">
      <c r="A21998" s="4" t="s">
        <v>27689</v>
      </c>
      <c r="B21998" s="4" t="s">
        <v>27692</v>
      </c>
      <c r="C21998" s="5" t="str">
        <f>IFERROR(__xludf.DUMMYFUNCTION("GOOGLETRANSLATE(B21998,""en"",""it"")"),"Esegue questo set più volte e alla fine fa una pausa per far finire le istruzioni.")</f>
        <v>Esegue questo set più volte e alla fine fa una pausa per far finire le istruzioni.</v>
      </c>
    </row>
    <row r="21999">
      <c r="A21999" s="4" t="s">
        <v>27693</v>
      </c>
      <c r="B21999" s="6" t="s">
        <v>27694</v>
      </c>
      <c r="C21999" s="5" t="str">
        <f>IFERROR(__xludf.DUMMYFUNCTION("GOOGLETRANSLATE(B21999,""en"",""it"")"),"Un uomo calvo con la camicia grigia è in piedi nel parco giochi, camminò verso le barre delle scimmie e iniziò a tirarsi su e giù, camminò verso un palo inferiore e iniziò a tirarsi su mentre le sue gambe sono allungate.")</f>
        <v>Un uomo calvo con la camicia grigia è in piedi nel parco giochi, camminò verso le barre delle scimmie e iniziò a tirarsi su e giù, camminò verso un palo inferiore e iniziò a tirarsi su mentre le sue gambe sono allungate.</v>
      </c>
    </row>
    <row r="22000">
      <c r="A22000" s="4" t="s">
        <v>27693</v>
      </c>
      <c r="B22000" s="6" t="s">
        <v>27695</v>
      </c>
      <c r="C22000" s="5" t="str">
        <f>IFERROR(__xludf.DUMMYFUNCTION("GOOGLETRANSLATE(B22000,""en"",""it"")"),"Tornò alla barra delle scimmie e si tirò su e giù, le gambe si muovono da un lato all'altro, quindi lo tiravano su e giù.")</f>
        <v>Tornò alla barra delle scimmie e si tirò su e giù, le gambe si muovono da un lato all'altro, quindi lo tiravano su e giù.</v>
      </c>
    </row>
    <row r="22001">
      <c r="A22001" s="4" t="s">
        <v>27696</v>
      </c>
      <c r="B22001" s="4" t="s">
        <v>27697</v>
      </c>
      <c r="C22001" s="5" t="str">
        <f>IFERROR(__xludf.DUMMYFUNCTION("GOOGLETRANSLATE(B22001,""en"",""it"")"),"Una donna sta parlando mentre tiene in mano un sassofono.")</f>
        <v>Una donna sta parlando mentre tiene in mano un sassofono.</v>
      </c>
    </row>
    <row r="22002">
      <c r="A22002" s="4" t="s">
        <v>27696</v>
      </c>
      <c r="B22002" s="4" t="s">
        <v>27698</v>
      </c>
      <c r="C22002" s="5" t="str">
        <f>IFERROR(__xludf.DUMMYFUNCTION("GOOGLETRANSLATE(B22002,""en"",""it"")"),"Comincia a suonare il sassofono.")</f>
        <v>Comincia a suonare il sassofono.</v>
      </c>
    </row>
    <row r="22003">
      <c r="A22003" s="4" t="s">
        <v>27699</v>
      </c>
      <c r="B22003" s="4" t="s">
        <v>1251</v>
      </c>
      <c r="C22003" s="5" t="str">
        <f>IFERROR(__xludf.DUMMYFUNCTION("GOOGLETRANSLATE(B22003,""en"",""it"")"),"Vengono visualizzati i crediti della clip.")</f>
        <v>Vengono visualizzati i crediti della clip.</v>
      </c>
    </row>
    <row r="22004">
      <c r="A22004" s="4" t="s">
        <v>27699</v>
      </c>
      <c r="B22004" s="4" t="s">
        <v>27700</v>
      </c>
      <c r="C22004" s="5" t="str">
        <f>IFERROR(__xludf.DUMMYFUNCTION("GOOGLETRANSLATE(B22004,""en"",""it"")"),"Un ragazzo solleva una sfera di metallo sopra la sua testa, gira con una sfera di metallo e rilascia la sfera di metallo.")</f>
        <v>Un ragazzo solleva una sfera di metallo sopra la sua testa, gira con una sfera di metallo e rilascia la sfera di metallo.</v>
      </c>
    </row>
    <row r="22005">
      <c r="A22005" s="4" t="s">
        <v>27699</v>
      </c>
      <c r="B22005" s="4" t="s">
        <v>27701</v>
      </c>
      <c r="C22005" s="5" t="str">
        <f>IFERROR(__xludf.DUMMYFUNCTION("GOOGLETRANSLATE(B22005,""en"",""it"")"),"Un ragazzo applaude dopo aver rilasciato la palla di metallo.")</f>
        <v>Un ragazzo applaude dopo aver rilasciato la palla di metallo.</v>
      </c>
    </row>
    <row r="22006">
      <c r="A22006" s="4" t="s">
        <v>27699</v>
      </c>
      <c r="B22006" s="4" t="s">
        <v>27702</v>
      </c>
      <c r="C22006" s="5" t="str">
        <f>IFERROR(__xludf.DUMMYFUNCTION("GOOGLETRANSLATE(B22006,""en"",""it"")"),"Viene mostrato la scheda di punteggio.")</f>
        <v>Viene mostrato la scheda di punteggio.</v>
      </c>
    </row>
    <row r="22007">
      <c r="A22007" s="4" t="s">
        <v>27703</v>
      </c>
      <c r="B22007" s="4" t="s">
        <v>27704</v>
      </c>
      <c r="C22007" s="5" t="str">
        <f>IFERROR(__xludf.DUMMYFUNCTION("GOOGLETRANSLATE(B22007,""en"",""it"")"),"Un bambino sta cavalcando in macchina bevendo un drink e gioca con il suo telefono.")</f>
        <v>Un bambino sta cavalcando in macchina bevendo un drink e gioca con il suo telefono.</v>
      </c>
    </row>
    <row r="22008">
      <c r="A22008" s="4" t="s">
        <v>27703</v>
      </c>
      <c r="B22008" s="4" t="s">
        <v>27705</v>
      </c>
      <c r="C22008" s="5" t="str">
        <f>IFERROR(__xludf.DUMMYFUNCTION("GOOGLETRANSLATE(B22008,""en"",""it"")"),"Comincia ad avere una conversazione con un uomo più anziano che lo sta registrando in macchina.")</f>
        <v>Comincia ad avere una conversazione con un uomo più anziano che lo sta registrando in macchina.</v>
      </c>
    </row>
    <row r="22009">
      <c r="A22009" s="4" t="s">
        <v>27706</v>
      </c>
      <c r="B22009" s="4" t="s">
        <v>27707</v>
      </c>
      <c r="C22009" s="5" t="str">
        <f>IFERROR(__xludf.DUMMYFUNCTION("GOOGLETRANSLATE(B22009,""en"",""it"")"),"Un uomo si esaurisce su uno stadio professionista e lancia una palla contro una pastella.")</f>
        <v>Un uomo si esaurisce su uno stadio professionista e lancia una palla contro una pastella.</v>
      </c>
    </row>
    <row r="22010">
      <c r="A22010" s="4" t="s">
        <v>27706</v>
      </c>
      <c r="B22010" s="4" t="s">
        <v>27708</v>
      </c>
      <c r="C22010" s="5" t="str">
        <f>IFERROR(__xludf.DUMMYFUNCTION("GOOGLETRANSLATE(B22010,""en"",""it"")"),"Due donne che guardano il gioco allegriamente dopo il battitore colpiscono la palla con la sua tavola.")</f>
        <v>Due donne che guardano il gioco allegriamente dopo il battitore colpiscono la palla con la sua tavola.</v>
      </c>
    </row>
    <row r="22011">
      <c r="A22011" s="4" t="s">
        <v>27706</v>
      </c>
      <c r="B22011" s="4" t="s">
        <v>27709</v>
      </c>
      <c r="C22011" s="5" t="str">
        <f>IFERROR(__xludf.DUMMYFUNCTION("GOOGLETRANSLATE(B22011,""en"",""it"")"),"Una delle donne espone il suo petto nudo alla telecamera, una barra nera è sovrapposta.")</f>
        <v>Una delle donne espone il suo petto nudo alla telecamera, una barra nera è sovrapposta.</v>
      </c>
    </row>
    <row r="22012">
      <c r="A22012" s="4" t="s">
        <v>27706</v>
      </c>
      <c r="B22012" s="4" t="s">
        <v>27710</v>
      </c>
      <c r="C22012" s="5" t="str">
        <f>IFERROR(__xludf.DUMMYFUNCTION("GOOGLETRANSLATE(B22012,""en"",""it"")"),"La fotocamera ritorna all'azione sul campo.")</f>
        <v>La fotocamera ritorna all'azione sul campo.</v>
      </c>
    </row>
    <row r="22013">
      <c r="A22013" s="4" t="s">
        <v>27711</v>
      </c>
      <c r="B22013" s="4" t="s">
        <v>27712</v>
      </c>
      <c r="C22013" s="5" t="str">
        <f>IFERROR(__xludf.DUMMYFUNCTION("GOOGLETRANSLATE(B22013,""en"",""it"")"),"Viene mostrato una rodea di sporcizia, mentre un uomo su un cavallo viene rilasciato da un cancello.")</f>
        <v>Viene mostrato una rodea di sporcizia, mentre un uomo su un cavallo viene rilasciato da un cancello.</v>
      </c>
    </row>
    <row r="22014">
      <c r="A22014" s="4" t="s">
        <v>27711</v>
      </c>
      <c r="B22014" s="4" t="s">
        <v>27713</v>
      </c>
      <c r="C22014" s="5" t="str">
        <f>IFERROR(__xludf.DUMMYFUNCTION("GOOGLETRANSLATE(B22014,""en"",""it"")"),"Stringe un vitello, smontato per legarlo.")</f>
        <v>Stringe un vitello, smontato per legarlo.</v>
      </c>
    </row>
    <row r="22015">
      <c r="A22015" s="4" t="s">
        <v>27711</v>
      </c>
      <c r="B22015" s="4" t="s">
        <v>27714</v>
      </c>
      <c r="C22015" s="5" t="str">
        <f>IFERROR(__xludf.DUMMYFUNCTION("GOOGLETRANSLATE(B22015,""en"",""it"")"),"Un altro uomo cavalca momentaneamente sullo schermo.")</f>
        <v>Un altro uomo cavalca momentaneamente sullo schermo.</v>
      </c>
    </row>
    <row r="22016">
      <c r="A22016" s="4" t="s">
        <v>27715</v>
      </c>
      <c r="B22016" s="4" t="s">
        <v>27716</v>
      </c>
      <c r="C22016" s="5" t="str">
        <f>IFERROR(__xludf.DUMMYFUNCTION("GOOGLETRANSLATE(B22016,""en"",""it"")"),"Un uomo viene visto in piedi in un bagno con una donna e guarda indietro per parlare alla telecamera.")</f>
        <v>Un uomo viene visto in piedi in un bagno con una donna e guarda indietro per parlare alla telecamera.</v>
      </c>
    </row>
    <row r="22017">
      <c r="A22017" s="4" t="s">
        <v>27715</v>
      </c>
      <c r="B22017" s="6" t="s">
        <v>27717</v>
      </c>
      <c r="C22017" s="5" t="str">
        <f>IFERROR(__xludf.DUMMYFUNCTION("GOOGLETRANSLATE(B22017,""en"",""it"")"),"L'uomo quindi si muove in tutto il bagno mentre continua a parlare e la fotocamera ingrandisce.")</f>
        <v>L'uomo quindi si muove in tutto il bagno mentre continua a parlare e la fotocamera ingrandisce.</v>
      </c>
    </row>
    <row r="22018">
      <c r="A22018" s="4" t="s">
        <v>27718</v>
      </c>
      <c r="B22018" s="4" t="s">
        <v>27719</v>
      </c>
      <c r="C22018" s="5" t="str">
        <f>IFERROR(__xludf.DUMMYFUNCTION("GOOGLETRANSLATE(B22018,""en"",""it"")"),"Viene visto un uomo parlare alla telecamera mentre si trova davanti alle attrezzature per l'esercizio.")</f>
        <v>Viene visto un uomo parlare alla telecamera mentre si trova davanti alle attrezzature per l'esercizio.</v>
      </c>
    </row>
    <row r="22019">
      <c r="A22019" s="4" t="s">
        <v>27718</v>
      </c>
      <c r="B22019" s="4" t="s">
        <v>27720</v>
      </c>
      <c r="C22019" s="5" t="str">
        <f>IFERROR(__xludf.DUMMYFUNCTION("GOOGLETRANSLATE(B22019,""en"",""it"")"),"Continua a parlare e conduce a clip dei piedi di una persona che si muove sulla macchina.")</f>
        <v>Continua a parlare e conduce a clip dei piedi di una persona che si muove sulla macchina.</v>
      </c>
    </row>
    <row r="22020">
      <c r="A22020" s="4" t="s">
        <v>27718</v>
      </c>
      <c r="B22020" s="4" t="s">
        <v>27721</v>
      </c>
      <c r="C22020" s="5" t="str">
        <f>IFERROR(__xludf.DUMMYFUNCTION("GOOGLETRANSLATE(B22020,""en"",""it"")"),"L'uomo usa continuamente la macchina mentre indicava il suo corpo e mostra le gambe.")</f>
        <v>L'uomo usa continuamente la macchina mentre indicava il suo corpo e mostra le gambe.</v>
      </c>
    </row>
    <row r="22021">
      <c r="A22021" s="4" t="s">
        <v>27722</v>
      </c>
      <c r="B22021" s="6" t="s">
        <v>27723</v>
      </c>
      <c r="C22021" s="5" t="str">
        <f>IFERROR(__xludf.DUMMYFUNCTION("GOOGLETRANSLATE(B22021,""en"",""it"")"),"Una serie di stivali neri sono mostrati su un tavolino insieme a un olio di bottiglia e uno straccio di fronte a una donna.")</f>
        <v>Una serie di stivali neri sono mostrati su un tavolino insieme a un olio di bottiglia e uno straccio di fronte a una donna.</v>
      </c>
    </row>
    <row r="22022">
      <c r="A22022" s="4" t="s">
        <v>27722</v>
      </c>
      <c r="B22022" s="4" t="s">
        <v>27724</v>
      </c>
      <c r="C22022" s="5" t="str">
        <f>IFERROR(__xludf.DUMMYFUNCTION("GOOGLETRANSLATE(B22022,""en"",""it"")"),"La donna quindi afferra lo straccio e ci mette olio d'oliva e inizia a lucidare gli stivali.")</f>
        <v>La donna quindi afferra lo straccio e ci mette olio d'oliva e inizia a lucidare gli stivali.</v>
      </c>
    </row>
    <row r="22023">
      <c r="A22023" s="4" t="s">
        <v>27722</v>
      </c>
      <c r="B22023" s="4" t="s">
        <v>27725</v>
      </c>
      <c r="C22023" s="5" t="str">
        <f>IFERROR(__xludf.DUMMYFUNCTION("GOOGLETRANSLATE(B22023,""en"",""it"")"),"Quindi fa una pausa con gli stracci e inizia a parlare.")</f>
        <v>Quindi fa una pausa con gli stracci e inizia a parlare.</v>
      </c>
    </row>
    <row r="22024">
      <c r="A22024" s="4" t="s">
        <v>27726</v>
      </c>
      <c r="B22024" s="4" t="s">
        <v>27727</v>
      </c>
      <c r="C22024" s="5" t="str">
        <f>IFERROR(__xludf.DUMMYFUNCTION("GOOGLETRANSLATE(B22024,""en"",""it"")"),"Una persona viene vista entrare nella cornice e inizia a suonare su una serie di tamburi di bongo.")</f>
        <v>Una persona viene vista entrare nella cornice e inizia a suonare su una serie di tamburi di bongo.</v>
      </c>
    </row>
    <row r="22025">
      <c r="A22025" s="4" t="s">
        <v>27726</v>
      </c>
      <c r="B22025" s="6" t="s">
        <v>27728</v>
      </c>
      <c r="C22025" s="5" t="str">
        <f>IFERROR(__xludf.DUMMYFUNCTION("GOOGLETRANSLATE(B22025,""en"",""it"")"),"L'uomo continua a suonare alla batteria mentre la telecamera non si muove e finisce con lui che li colpisce una volta e si allontana.")</f>
        <v>L'uomo continua a suonare alla batteria mentre la telecamera non si muove e finisce con lui che li colpisce una volta e si allontana.</v>
      </c>
    </row>
    <row r="22026">
      <c r="A22026" s="4" t="s">
        <v>27729</v>
      </c>
      <c r="B22026" s="4" t="s">
        <v>27730</v>
      </c>
      <c r="C22026" s="5" t="str">
        <f>IFERROR(__xludf.DUMMYFUNCTION("GOOGLETRANSLATE(B22026,""en"",""it"")"),"Un ragazzo a rullo da ragazzo si lamenta di una rampa e su un'altra rampa.")</f>
        <v>Un ragazzo a rullo da ragazzo si lamenta di una rampa e su un'altra rampa.</v>
      </c>
    </row>
    <row r="22027">
      <c r="A22027" s="4" t="s">
        <v>27729</v>
      </c>
      <c r="B22027" s="4" t="s">
        <v>27731</v>
      </c>
      <c r="C22027" s="5" t="str">
        <f>IFERROR(__xludf.DUMMYFUNCTION("GOOGLETRANSLATE(B22027,""en"",""it"")"),"Il ragazzo si accelera su una rampa e la salta via, atterrando sul cemento.")</f>
        <v>Il ragazzo si accelera su una rampa e la salta via, atterrando sul cemento.</v>
      </c>
    </row>
    <row r="22028">
      <c r="A22028" s="4" t="s">
        <v>27729</v>
      </c>
      <c r="B22028" s="4" t="s">
        <v>27732</v>
      </c>
      <c r="C22028" s="5" t="str">
        <f>IFERROR(__xludf.DUMMYFUNCTION("GOOGLETRANSLATE(B22028,""en"",""it"")"),"Più tardi, il ragazzo rullo si lamenta su un'altra rampa.")</f>
        <v>Più tardi, il ragazzo rullo si lamenta su un'altra rampa.</v>
      </c>
    </row>
    <row r="22029">
      <c r="A22029" s="4" t="s">
        <v>27729</v>
      </c>
      <c r="B22029" s="4" t="s">
        <v>27733</v>
      </c>
      <c r="C22029" s="5" t="str">
        <f>IFERROR(__xludf.DUMMYFUNCTION("GOOGLETRANSLATE(B22029,""en"",""it"")"),"Il ragazzo è visto in un altro vestito, eseguendo giri alla fine della sua lama a rulli.")</f>
        <v>Il ragazzo è visto in un altro vestito, eseguendo giri alla fine della sua lama a rulli.</v>
      </c>
    </row>
    <row r="22030">
      <c r="A22030" s="4" t="s">
        <v>27729</v>
      </c>
      <c r="B22030" s="4" t="s">
        <v>27734</v>
      </c>
      <c r="C22030" s="5" t="str">
        <f>IFERROR(__xludf.DUMMYFUNCTION("GOOGLETRANSLATE(B22030,""en"",""it"")"),"Le lame rulli per ragazzi si agitano in stile cross su alcuni coni arancioni.")</f>
        <v>Le lame rulli per ragazzi si agitano in stile cross su alcuni coni arancioni.</v>
      </c>
    </row>
    <row r="22031">
      <c r="A22031" s="4" t="s">
        <v>27729</v>
      </c>
      <c r="B22031" s="4" t="s">
        <v>27735</v>
      </c>
      <c r="C22031" s="5" t="str">
        <f>IFERROR(__xludf.DUMMYFUNCTION("GOOGLETRANSLATE(B22031,""en"",""it"")"),"Il ragazzo lo fa di nuovo, questa volta intrecciato dentro e fuori dai coni.")</f>
        <v>Il ragazzo lo fa di nuovo, questa volta intrecciato dentro e fuori dai coni.</v>
      </c>
    </row>
    <row r="22032">
      <c r="A22032" s="4" t="s">
        <v>27736</v>
      </c>
      <c r="B22032" s="4" t="s">
        <v>27737</v>
      </c>
      <c r="C22032" s="5" t="str">
        <f>IFERROR(__xludf.DUMMYFUNCTION("GOOGLETRANSLATE(B22032,""en"",""it"")"),"Un uomo sta usando uno strumento di saldatura su una pila di metallo casuale all'interno.")</f>
        <v>Un uomo sta usando uno strumento di saldatura su una pila di metallo casuale all'interno.</v>
      </c>
    </row>
    <row r="22033">
      <c r="A22033" s="4" t="s">
        <v>27736</v>
      </c>
      <c r="B22033" s="4" t="s">
        <v>27738</v>
      </c>
      <c r="C22033" s="5" t="str">
        <f>IFERROR(__xludf.DUMMYFUNCTION("GOOGLETRANSLATE(B22033,""en"",""it"")"),"Un altro uomo sta reggendo uno scudo per proteggersi.")</f>
        <v>Un altro uomo sta reggendo uno scudo per proteggersi.</v>
      </c>
    </row>
    <row r="22034">
      <c r="A22034" s="4" t="s">
        <v>27736</v>
      </c>
      <c r="B22034" s="4" t="s">
        <v>27739</v>
      </c>
      <c r="C22034" s="5" t="str">
        <f>IFERROR(__xludf.DUMMYFUNCTION("GOOGLETRANSLATE(B22034,""en"",""it"")"),"L'uomo regge uno scudo in faccia mentre salda.")</f>
        <v>L'uomo regge uno scudo in faccia mentre salda.</v>
      </c>
    </row>
    <row r="22035">
      <c r="A22035" s="4" t="s">
        <v>27740</v>
      </c>
      <c r="B22035" s="6" t="s">
        <v>27741</v>
      </c>
      <c r="C22035" s="5" t="str">
        <f>IFERROR(__xludf.DUMMYFUNCTION("GOOGLETRANSLATE(B22035,""en"",""it"")"),"Un uomo dimostra come usare uno speciale collare per cani e imbracatura su un cane usando sia un cane giocattolo di peluche che un cane reale.")</f>
        <v>Un uomo dimostra come usare uno speciale collare per cani e imbracatura su un cane usando sia un cane giocattolo di peluche che un cane reale.</v>
      </c>
    </row>
    <row r="22036">
      <c r="A22036" s="4" t="s">
        <v>27740</v>
      </c>
      <c r="B22036" s="6" t="s">
        <v>27742</v>
      </c>
      <c r="C22036" s="5" t="str">
        <f>IFERROR(__xludf.DUMMYFUNCTION("GOOGLETRANSLATE(B22036,""en"",""it"")"),"Un uomo in piedi davanti a una recinzione di legno tiene un cane imbottito con un colletto/imbracatura rossa e tiene il cane mentre parla e dimostra le caratteristiche del cablaggio.")</f>
        <v>Un uomo in piedi davanti a una recinzione di legno tiene un cane imbottito con un colletto/imbracatura rossa e tiene il cane mentre parla e dimostra le caratteristiche del cablaggio.</v>
      </c>
    </row>
    <row r="22037">
      <c r="A22037" s="4" t="s">
        <v>27740</v>
      </c>
      <c r="B22037" s="6" t="s">
        <v>27743</v>
      </c>
      <c r="C22037" s="5" t="str">
        <f>IFERROR(__xludf.DUMMYFUNCTION("GOOGLETRANSLATE(B22037,""en"",""it"")"),"Due mani vengono mostrate con il collare rosso da solo e dimostrando le caratteristiche del cablaggio con grafica fissa per accompagnare la vetrina delle mani.")</f>
        <v>Due mani vengono mostrate con il collare rosso da solo e dimostrando le caratteristiche del cablaggio con grafica fissa per accompagnare la vetrina delle mani.</v>
      </c>
    </row>
    <row r="22038">
      <c r="A22038" s="4" t="s">
        <v>27740</v>
      </c>
      <c r="B22038" s="6" t="s">
        <v>27744</v>
      </c>
      <c r="C22038" s="5" t="str">
        <f>IFERROR(__xludf.DUMMYFUNCTION("GOOGLETRANSLATE(B22038,""en"",""it"")"),"L'uomo si trova, ora, con un vero cane e dimostra come mettere l'imbracatura sul vero cane, poi torna a dimostrare con il cane ripieno prima di finire finalmente con un cocco Nel colpo finale.")</f>
        <v>L'uomo si trova, ora, con un vero cane e dimostra come mettere l'imbracatura sul vero cane, poi torna a dimostrare con il cane ripieno prima di finire finalmente con un cocco Nel colpo finale.</v>
      </c>
    </row>
    <row r="22039">
      <c r="A22039" s="4" t="s">
        <v>27745</v>
      </c>
      <c r="B22039" s="4" t="s">
        <v>27746</v>
      </c>
      <c r="C22039" s="5" t="str">
        <f>IFERROR(__xludf.DUMMYFUNCTION("GOOGLETRANSLATE(B22039,""en"",""it"")"),"Una fotocamera si ingrandisce su un cortile che contiene un Volkswagon e altri vari oggetti.")</f>
        <v>Una fotocamera si ingrandisce su un cortile che contiene un Volkswagon e altri vari oggetti.</v>
      </c>
    </row>
    <row r="22040">
      <c r="A22040" s="4" t="s">
        <v>27745</v>
      </c>
      <c r="B22040" s="4" t="s">
        <v>27747</v>
      </c>
      <c r="C22040" s="5" t="str">
        <f>IFERROR(__xludf.DUMMYFUNCTION("GOOGLETRANSLATE(B22040,""en"",""it"")"),"Un uomo viene mostrato che mette insieme gli sci.")</f>
        <v>Un uomo viene mostrato che mette insieme gli sci.</v>
      </c>
    </row>
    <row r="22041">
      <c r="A22041" s="4" t="s">
        <v>27745</v>
      </c>
      <c r="B22041" s="4" t="s">
        <v>27748</v>
      </c>
      <c r="C22041" s="5" t="str">
        <f>IFERROR(__xludf.DUMMYFUNCTION("GOOGLETRANSLATE(B22041,""en"",""it"")"),"L'uomo finisce gli sci e lascia il cappello sopra gli sci.")</f>
        <v>L'uomo finisce gli sci e lascia il cappello sopra gli sci.</v>
      </c>
    </row>
    <row r="22042">
      <c r="A22042" s="4" t="s">
        <v>27749</v>
      </c>
      <c r="B22042" s="4" t="s">
        <v>27750</v>
      </c>
      <c r="C22042" s="5" t="str">
        <f>IFERROR(__xludf.DUMMYFUNCTION("GOOGLETRANSLATE(B22042,""en"",""it"")"),"Una vista subacquea dell'acqua blu appare all'estremità profonda della piscina.")</f>
        <v>Una vista subacquea dell'acqua blu appare all'estremità profonda della piscina.</v>
      </c>
    </row>
    <row r="22043">
      <c r="A22043" s="4" t="s">
        <v>27749</v>
      </c>
      <c r="B22043" s="4" t="s">
        <v>27751</v>
      </c>
      <c r="C22043" s="5" t="str">
        <f>IFERROR(__xludf.DUMMYFUNCTION("GOOGLETRANSLATE(B22043,""en"",""it"")"),"Al rallentatore qualcuno si sposa nell'acqua.")</f>
        <v>Al rallentatore qualcuno si sposa nell'acqua.</v>
      </c>
    </row>
    <row r="22044">
      <c r="A22044" s="4" t="s">
        <v>27749</v>
      </c>
      <c r="B22044" s="4" t="s">
        <v>27752</v>
      </c>
      <c r="C22044" s="5" t="str">
        <f>IFERROR(__xludf.DUMMYFUNCTION("GOOGLETRANSLATE(B22044,""en"",""it"")"),"Varie clip di uomini sembrano fare diverse immersioni nella piscina e da diverse altezze.")</f>
        <v>Varie clip di uomini sembrano fare diverse immersioni nella piscina e da diverse altezze.</v>
      </c>
    </row>
    <row r="22045">
      <c r="A22045" s="4" t="s">
        <v>27749</v>
      </c>
      <c r="B22045" s="6" t="s">
        <v>27753</v>
      </c>
      <c r="C22045" s="5" t="str">
        <f>IFERROR(__xludf.DUMMYFUNCTION("GOOGLETRANSLATE(B22045,""en"",""it"")"),"Un uomo va prima nei piedi d'acqua, atterra nella parte inferiore della piscina profonda, quindi scende per fare una spinta e poi spara rapidamente.")</f>
        <v>Un uomo va prima nei piedi d'acqua, atterra nella parte inferiore della piscina profonda, quindi scende per fare una spinta e poi spara rapidamente.</v>
      </c>
    </row>
    <row r="22046">
      <c r="A22046" s="4" t="s">
        <v>27749</v>
      </c>
      <c r="B22046" s="6" t="s">
        <v>27754</v>
      </c>
      <c r="C22046" s="5" t="str">
        <f>IFERROR(__xludf.DUMMYFUNCTION("GOOGLETRANSLATE(B22046,""en"",""it"")"),"Un ragazzo salta sul tabellone ma invece di immergersi perde il piede e cade in acqua.")</f>
        <v>Un ragazzo salta sul tabellone ma invece di immergersi perde il piede e cade in acqua.</v>
      </c>
    </row>
    <row r="22047">
      <c r="A22047" s="4" t="s">
        <v>27749</v>
      </c>
      <c r="B22047" s="4" t="s">
        <v>27755</v>
      </c>
      <c r="C22047" s="5" t="str">
        <f>IFERROR(__xludf.DUMMYFUNCTION("GOOGLETRANSLATE(B22047,""en"",""it"")"),"Un ragazzo è in piedi sul muro premendo un pulsante e parla in un citofono, quindi si ferma e ride.")</f>
        <v>Un ragazzo è in piedi sul muro premendo un pulsante e parla in un citofono, quindi si ferma e ride.</v>
      </c>
    </row>
    <row r="22048">
      <c r="A22048" s="4" t="s">
        <v>27756</v>
      </c>
      <c r="B22048" s="4" t="s">
        <v>27757</v>
      </c>
      <c r="C22048" s="5" t="str">
        <f>IFERROR(__xludf.DUMMYFUNCTION("GOOGLETRANSLATE(B22048,""en"",""it"")"),"Un uomo e una donna stanno ballando su un tetto di un edificio in una città.")</f>
        <v>Un uomo e una donna stanno ballando su un tetto di un edificio in una città.</v>
      </c>
    </row>
    <row r="22049">
      <c r="A22049" s="4" t="s">
        <v>27756</v>
      </c>
      <c r="B22049" s="4" t="s">
        <v>27758</v>
      </c>
      <c r="C22049" s="5" t="str">
        <f>IFERROR(__xludf.DUMMYFUNCTION("GOOGLETRANSLATE(B22049,""en"",""it"")"),"Solleva la donna in aria.")</f>
        <v>Solleva la donna in aria.</v>
      </c>
    </row>
    <row r="22050">
      <c r="A22050" s="4" t="s">
        <v>27756</v>
      </c>
      <c r="B22050" s="4" t="s">
        <v>27759</v>
      </c>
      <c r="C22050" s="5" t="str">
        <f>IFERROR(__xludf.DUMMYFUNCTION("GOOGLETRANSLATE(B22050,""en"",""it"")"),"La fotocamera si lancia fino a un edificio alto sullo sfondo.")</f>
        <v>La fotocamera si lancia fino a un edificio alto sullo sfondo.</v>
      </c>
    </row>
    <row r="22051">
      <c r="A22051" s="4" t="s">
        <v>27760</v>
      </c>
      <c r="B22051" s="4" t="s">
        <v>27761</v>
      </c>
      <c r="C22051" s="5" t="str">
        <f>IFERROR(__xludf.DUMMYFUNCTION("GOOGLETRANSLATE(B22051,""en"",""it"")"),"Un'introduzione conduce in una ballerina di pancia che esegue una routine di fronte a uno specchio.")</f>
        <v>Un'introduzione conduce in una ballerina di pancia che esegue una routine di fronte a uno specchio.</v>
      </c>
    </row>
    <row r="22052">
      <c r="A22052" s="4" t="s">
        <v>27760</v>
      </c>
      <c r="B22052" s="6" t="s">
        <v>27762</v>
      </c>
      <c r="C22052" s="5" t="str">
        <f>IFERROR(__xludf.DUMMYFUNCTION("GOOGLETRANSLATE(B22052,""en"",""it"")"),"Continua a ballare mentre si muove intorno al pavimento che si stringe i capelli e afferrando la gonna.")</f>
        <v>Continua a ballare mentre si muove intorno al pavimento che si stringe i capelli e afferrando la gonna.</v>
      </c>
    </row>
    <row r="22053">
      <c r="A22053" s="4" t="s">
        <v>27760</v>
      </c>
      <c r="B22053" s="4" t="s">
        <v>27763</v>
      </c>
      <c r="C22053" s="5" t="str">
        <f>IFERROR(__xludf.DUMMYFUNCTION("GOOGLETRANSLATE(B22053,""en"",""it"")"),"Finisce sedendosi sul pavimento e guardando allo specchio.")</f>
        <v>Finisce sedendosi sul pavimento e guardando allo specchio.</v>
      </c>
    </row>
    <row r="22054">
      <c r="A22054" s="4" t="s">
        <v>27764</v>
      </c>
      <c r="B22054" s="4" t="s">
        <v>27765</v>
      </c>
      <c r="C22054" s="5" t="str">
        <f>IFERROR(__xludf.DUMMYFUNCTION("GOOGLETRANSLATE(B22054,""en"",""it"")"),"Una donna viene vista parlare alla telecamera mentre si tiene su una fisarmonica.")</f>
        <v>Una donna viene vista parlare alla telecamera mentre si tiene su una fisarmonica.</v>
      </c>
    </row>
    <row r="22055">
      <c r="A22055" s="4" t="s">
        <v>27764</v>
      </c>
      <c r="B22055" s="4" t="s">
        <v>27766</v>
      </c>
      <c r="C22055" s="5" t="str">
        <f>IFERROR(__xludf.DUMMYFUNCTION("GOOGLETRANSLATE(B22055,""en"",""it"")"),"Comincia a muovere lentamente lo strumento mentre guarda alla telecamera.")</f>
        <v>Comincia a muovere lentamente lo strumento mentre guarda alla telecamera.</v>
      </c>
    </row>
    <row r="22056">
      <c r="A22056" s="4" t="s">
        <v>27764</v>
      </c>
      <c r="B22056" s="4" t="s">
        <v>27767</v>
      </c>
      <c r="C22056" s="5" t="str">
        <f>IFERROR(__xludf.DUMMYFUNCTION("GOOGLETRANSLATE(B22056,""en"",""it"")"),"Continua a suonare la fisarmonica mentre parla e distoglie lo sguardo.")</f>
        <v>Continua a suonare la fisarmonica mentre parla e distoglie lo sguardo.</v>
      </c>
    </row>
    <row r="22057">
      <c r="A22057" s="4" t="s">
        <v>27768</v>
      </c>
      <c r="B22057" s="4" t="s">
        <v>27769</v>
      </c>
      <c r="C22057" s="5" t="str">
        <f>IFERROR(__xludf.DUMMYFUNCTION("GOOGLETRANSLATE(B22057,""en"",""it"")"),"Un giovane ragazzo è in piedi fuori casa con una palla da tennis e una racchetta.")</f>
        <v>Un giovane ragazzo è in piedi fuori casa con una palla da tennis e una racchetta.</v>
      </c>
    </row>
    <row r="22058">
      <c r="A22058" s="4" t="s">
        <v>27768</v>
      </c>
      <c r="B22058" s="4" t="s">
        <v>27770</v>
      </c>
      <c r="C22058" s="5" t="str">
        <f>IFERROR(__xludf.DUMMYFUNCTION("GOOGLETRANSLATE(B22058,""en"",""it"")"),"Va al campo da tennis e inizia a parlare del gioco del tennis.")</f>
        <v>Va al campo da tennis e inizia a parlare del gioco del tennis.</v>
      </c>
    </row>
    <row r="22059">
      <c r="A22059" s="4" t="s">
        <v>27768</v>
      </c>
      <c r="B22059" s="6" t="s">
        <v>27771</v>
      </c>
      <c r="C22059" s="5" t="str">
        <f>IFERROR(__xludf.DUMMYFUNCTION("GOOGLETRANSLATE(B22059,""en"",""it"")"),"Fa un po 'di tratti per un po', ma poi si prepara a colpire la palla dall'altra parte del campo.")</f>
        <v>Fa un po 'di tratti per un po', ma poi si prepara a colpire la palla dall'altra parte del campo.</v>
      </c>
    </row>
    <row r="22060">
      <c r="A22060" s="4" t="s">
        <v>27768</v>
      </c>
      <c r="B22060" s="4" t="s">
        <v>27772</v>
      </c>
      <c r="C22060" s="5" t="str">
        <f>IFERROR(__xludf.DUMMYFUNCTION("GOOGLETRANSLATE(B22060,""en"",""it"")"),"Ne parla in campo e poi parte per tornare a casa.")</f>
        <v>Ne parla in campo e poi parte per tornare a casa.</v>
      </c>
    </row>
    <row r="22061">
      <c r="A22061" s="4" t="s">
        <v>27773</v>
      </c>
      <c r="B22061" s="4" t="s">
        <v>27774</v>
      </c>
      <c r="C22061" s="5" t="str">
        <f>IFERROR(__xludf.DUMMYFUNCTION("GOOGLETRANSLATE(B22061,""en"",""it"")"),"Una scena di dune di sabbia che conduce a un litorale di spiaggia.")</f>
        <v>Una scena di dune di sabbia che conduce a un litorale di spiaggia.</v>
      </c>
    </row>
    <row r="22062">
      <c r="A22062" s="4" t="s">
        <v>27773</v>
      </c>
      <c r="B22062" s="4" t="s">
        <v>27775</v>
      </c>
      <c r="C22062" s="5" t="str">
        <f>IFERROR(__xludf.DUMMYFUNCTION("GOOGLETRANSLATE(B22062,""en"",""it"")"),"Una ragazza con una camicetta blu cammina e si pone nella sabbia.")</f>
        <v>Una ragazza con una camicetta blu cammina e si pone nella sabbia.</v>
      </c>
    </row>
    <row r="22063">
      <c r="A22063" s="4" t="s">
        <v>27773</v>
      </c>
      <c r="B22063" s="4" t="s">
        <v>27776</v>
      </c>
      <c r="C22063" s="5" t="str">
        <f>IFERROR(__xludf.DUMMYFUNCTION("GOOGLETRANSLATE(B22063,""en"",""it"")"),"Un uomo che indossa un cappello da safari conduce un gruppo di cammelli con ciclisti in un unico file.")</f>
        <v>Un uomo che indossa un cappello da safari conduce un gruppo di cammelli con ciclisti in un unico file.</v>
      </c>
    </row>
    <row r="22064">
      <c r="A22064" s="4" t="s">
        <v>27773</v>
      </c>
      <c r="B22064" s="4" t="s">
        <v>27777</v>
      </c>
      <c r="C22064" s="5" t="str">
        <f>IFERROR(__xludf.DUMMYFUNCTION("GOOGLETRANSLATE(B22064,""en"",""it"")"),"La telecamera posa un primo piano dei cammelli che giacciono nella sabbia con le loro selle.")</f>
        <v>La telecamera posa un primo piano dei cammelli che giacciono nella sabbia con le loro selle.</v>
      </c>
    </row>
    <row r="22065">
      <c r="A22065" s="4" t="s">
        <v>27773</v>
      </c>
      <c r="B22065" s="4" t="s">
        <v>27778</v>
      </c>
      <c r="C22065" s="5" t="str">
        <f>IFERROR(__xludf.DUMMYFUNCTION("GOOGLETRANSLATE(B22065,""en"",""it"")"),"Un pilota cattura la vista delle dune di sabbia che portano all'oceano.")</f>
        <v>Un pilota cattura la vista delle dune di sabbia che portano all'oceano.</v>
      </c>
    </row>
    <row r="22066">
      <c r="A22066" s="4" t="s">
        <v>27773</v>
      </c>
      <c r="B22066" s="4" t="s">
        <v>27779</v>
      </c>
      <c r="C22066" s="5" t="str">
        <f>IFERROR(__xludf.DUMMYFUNCTION("GOOGLETRANSLATE(B22066,""en"",""it"")"),"La roulotte di cammello arriva in un campo sulla spiaggia.")</f>
        <v>La roulotte di cammello arriva in un campo sulla spiaggia.</v>
      </c>
    </row>
    <row r="22067">
      <c r="A22067" s="4" t="s">
        <v>27780</v>
      </c>
      <c r="B22067" s="4" t="s">
        <v>27781</v>
      </c>
      <c r="C22067" s="5" t="str">
        <f>IFERROR(__xludf.DUMMYFUNCTION("GOOGLETRANSLATE(B22067,""en"",""it"")"),"Un ragazzo spruzza la crema da barba nella sua mano da una lattina nel suo bagno.")</f>
        <v>Un ragazzo spruzza la crema da barba nella sua mano da una lattina nel suo bagno.</v>
      </c>
    </row>
    <row r="22068">
      <c r="A22068" s="4" t="s">
        <v>27780</v>
      </c>
      <c r="B22068" s="4" t="s">
        <v>27782</v>
      </c>
      <c r="C22068" s="5" t="str">
        <f>IFERROR(__xludf.DUMMYFUNCTION("GOOGLETRANSLATE(B22068,""en"",""it"")"),"Il ragazzo applica la crema da barba in faccia.")</f>
        <v>Il ragazzo applica la crema da barba in faccia.</v>
      </c>
    </row>
    <row r="22069">
      <c r="A22069" s="4" t="s">
        <v>27780</v>
      </c>
      <c r="B22069" s="4" t="s">
        <v>27783</v>
      </c>
      <c r="C22069" s="5" t="str">
        <f>IFERROR(__xludf.DUMMYFUNCTION("GOOGLETRANSLATE(B22069,""en"",""it"")"),"Un uomo ha una crema da barba sul viso e legge un'etichetta su una lattina pressurizzata e ne discute.")</f>
        <v>Un uomo ha una crema da barba sul viso e legge un'etichetta su una lattina pressurizzata e ne discute.</v>
      </c>
    </row>
    <row r="22070">
      <c r="A22070" s="4" t="s">
        <v>27780</v>
      </c>
      <c r="B22070" s="4" t="s">
        <v>27784</v>
      </c>
      <c r="C22070" s="5" t="str">
        <f>IFERROR(__xludf.DUMMYFUNCTION("GOOGLETRANSLATE(B22070,""en"",""it"")"),"Un uomo si strofina il viso liscio.")</f>
        <v>Un uomo si strofina il viso liscio.</v>
      </c>
    </row>
    <row r="22071">
      <c r="A22071" s="4" t="s">
        <v>27780</v>
      </c>
      <c r="B22071" s="4" t="s">
        <v>27785</v>
      </c>
      <c r="C22071" s="5" t="str">
        <f>IFERROR(__xludf.DUMMYFUNCTION("GOOGLETRANSLATE(B22071,""en"",""it"")"),"L'uomo regge una lattina di olio di metallo.")</f>
        <v>L'uomo regge una lattina di olio di metallo.</v>
      </c>
    </row>
    <row r="22072">
      <c r="A22072" s="4" t="s">
        <v>27780</v>
      </c>
      <c r="B22072" s="4" t="s">
        <v>27786</v>
      </c>
      <c r="C22072" s="5" t="str">
        <f>IFERROR(__xludf.DUMMYFUNCTION("GOOGLETRANSLATE(B22072,""en"",""it"")"),"L'uomo applica un contagocce di medicina con liquido a un rasoio e dimostra come usarlo.")</f>
        <v>L'uomo applica un contagocce di medicina con liquido a un rasoio e dimostra come usarlo.</v>
      </c>
    </row>
    <row r="22073">
      <c r="A22073" s="4" t="s">
        <v>27787</v>
      </c>
      <c r="B22073" s="6" t="s">
        <v>27788</v>
      </c>
      <c r="C22073" s="5" t="str">
        <f>IFERROR(__xludf.DUMMYFUNCTION("GOOGLETRANSLATE(B22073,""en"",""it"")"),"Una persona viene vista mettere le mani in un lavandino pieno di acqua sporca e premere la faccia contro l'acqua.")</f>
        <v>Una persona viene vista mettere le mani in un lavandino pieno di acqua sporca e premere la faccia contro l'acqua.</v>
      </c>
    </row>
    <row r="22074">
      <c r="A22074" s="4" t="s">
        <v>27787</v>
      </c>
      <c r="B22074" s="4" t="s">
        <v>27789</v>
      </c>
      <c r="C22074" s="5" t="str">
        <f>IFERROR(__xludf.DUMMYFUNCTION("GOOGLETRANSLATE(B22074,""en"",""it"")"),"L'uomo continua a asciugare il fango dal viso mentre il fango gocciola nel lavandino.")</f>
        <v>L'uomo continua a asciugare il fango dal viso mentre il fango gocciola nel lavandino.</v>
      </c>
    </row>
    <row r="22075">
      <c r="A22075" s="4" t="s">
        <v>27790</v>
      </c>
      <c r="B22075" s="4" t="s">
        <v>27791</v>
      </c>
      <c r="C22075" s="5" t="str">
        <f>IFERROR(__xludf.DUMMYFUNCTION("GOOGLETRANSLATE(B22075,""en"",""it"")"),"Elmo di Sesame Street presenta come spazzolare i denti insieme al cantante Bruno Mars.")</f>
        <v>Elmo di Sesame Street presenta come spazzolare i denti insieme al cantante Bruno Mars.</v>
      </c>
    </row>
    <row r="22076">
      <c r="A22076" s="4" t="s">
        <v>27790</v>
      </c>
      <c r="B22076" s="6" t="s">
        <v>27792</v>
      </c>
      <c r="C22076" s="5" t="str">
        <f>IFERROR(__xludf.DUMMYFUNCTION("GOOGLETRANSLATE(B22076,""en"",""it"")"),"Elmo tira fuori uno spazzolino da denti e inizia a ballare mentre Bruno Mars sembra lavarsi i denti sullo specchio.")</f>
        <v>Elmo tira fuori uno spazzolino da denti e inizia a ballare mentre Bruno Mars sembra lavarsi i denti sullo specchio.</v>
      </c>
    </row>
    <row r="22077">
      <c r="A22077" s="4" t="s">
        <v>27790</v>
      </c>
      <c r="B22077" s="6" t="s">
        <v>27793</v>
      </c>
      <c r="C22077" s="5" t="str">
        <f>IFERROR(__xludf.DUMMYFUNCTION("GOOGLETRANSLATE(B22077,""en"",""it"")"),"Elmo canta lungo mentre Bruno Mars continua a lavarsi i denti e le luci multicolori sul sfarfallio dello specchio.")</f>
        <v>Elmo canta lungo mentre Bruno Mars continua a lavarsi i denti e le luci multicolori sul sfarfallio dello specchio.</v>
      </c>
    </row>
    <row r="22078">
      <c r="A22078" s="4" t="s">
        <v>27790</v>
      </c>
      <c r="B22078" s="6" t="s">
        <v>27794</v>
      </c>
      <c r="C22078" s="5" t="str">
        <f>IFERROR(__xludf.DUMMYFUNCTION("GOOGLETRANSLATE(B22078,""en"",""it"")"),"Elmo e Bruno Mars continuano a ballare mentre insegnano ai bambini l'importanza di spazzolare i denti.")</f>
        <v>Elmo e Bruno Mars continuano a ballare mentre insegnano ai bambini l'importanza di spazzolare i denti.</v>
      </c>
    </row>
    <row r="22079">
      <c r="A22079" s="4" t="s">
        <v>27795</v>
      </c>
      <c r="B22079" s="6" t="s">
        <v>27796</v>
      </c>
      <c r="C22079" s="5" t="str">
        <f>IFERROR(__xludf.DUMMYFUNCTION("GOOGLETRANSLATE(B22079,""en"",""it"")"),"Un bambino piccolo viene visto in piedi con le mani sui fianchi e tra saltare su un contorno di Scotch Hop.")</f>
        <v>Un bambino piccolo viene visto in piedi con le mani sui fianchi e tra saltare su un contorno di Scotch Hop.</v>
      </c>
    </row>
    <row r="22080">
      <c r="A22080" s="4" t="s">
        <v>27795</v>
      </c>
      <c r="B22080" s="4" t="s">
        <v>27797</v>
      </c>
      <c r="C22080" s="5" t="str">
        <f>IFERROR(__xludf.DUMMYFUNCTION("GOOGLETRANSLATE(B22080,""en"",""it"")"),"Salta fino in fondo e parla alla telecamera alla fine.")</f>
        <v>Salta fino in fondo e parla alla telecamera alla fine.</v>
      </c>
    </row>
    <row r="22081">
      <c r="A22081" s="4" t="s">
        <v>27798</v>
      </c>
      <c r="B22081" s="4" t="s">
        <v>27799</v>
      </c>
      <c r="C22081" s="5" t="str">
        <f>IFERROR(__xludf.DUMMYFUNCTION("GOOGLETRANSLATE(B22081,""en"",""it"")"),"Due squadre sui cavalli cavalcano su un campo.")</f>
        <v>Due squadre sui cavalli cavalcano su un campo.</v>
      </c>
    </row>
    <row r="22082">
      <c r="A22082" s="4" t="s">
        <v>27798</v>
      </c>
      <c r="B22082" s="4" t="s">
        <v>27800</v>
      </c>
      <c r="C22082" s="5" t="str">
        <f>IFERROR(__xludf.DUMMYFUNCTION("GOOGLETRANSLATE(B22082,""en"",""it"")"),"Usando i pipistrelli da cricket colpiscono una palla avanti e indietro.")</f>
        <v>Usando i pipistrelli da cricket colpiscono una palla avanti e indietro.</v>
      </c>
    </row>
    <row r="22083">
      <c r="A22083" s="4" t="s">
        <v>27798</v>
      </c>
      <c r="B22083" s="4" t="s">
        <v>27801</v>
      </c>
      <c r="C22083" s="5" t="str">
        <f>IFERROR(__xludf.DUMMYFUNCTION("GOOGLETRANSLATE(B22083,""en"",""it"")"),"Una squadra finalmente fa un obiettivo.")</f>
        <v>Una squadra finalmente fa un obiettivo.</v>
      </c>
    </row>
    <row r="22084">
      <c r="A22084" s="4" t="s">
        <v>27798</v>
      </c>
      <c r="B22084" s="4" t="s">
        <v>27802</v>
      </c>
      <c r="C22084" s="5" t="str">
        <f>IFERROR(__xludf.DUMMYFUNCTION("GOOGLETRANSLATE(B22084,""en"",""it"")"),"La squadra di punteggio poi va in giro per la vittoria.")</f>
        <v>La squadra di punteggio poi va in giro per la vittoria.</v>
      </c>
    </row>
    <row r="22085">
      <c r="A22085" s="4" t="s">
        <v>27803</v>
      </c>
      <c r="B22085" s="4" t="s">
        <v>27804</v>
      </c>
      <c r="C22085" s="5" t="str">
        <f>IFERROR(__xludf.DUMMYFUNCTION("GOOGLETRANSLATE(B22085,""en"",""it"")"),"Un uomo indica alcuni prodotti per l'utilizzo degli sci.")</f>
        <v>Un uomo indica alcuni prodotti per l'utilizzo degli sci.</v>
      </c>
    </row>
    <row r="22086">
      <c r="A22086" s="4" t="s">
        <v>27803</v>
      </c>
      <c r="B22086" s="4" t="s">
        <v>27805</v>
      </c>
      <c r="C22086" s="5" t="str">
        <f>IFERROR(__xludf.DUMMYFUNCTION("GOOGLETRANSLATE(B22086,""en"",""it"")"),"L'uomo pulisce lo sci con un asciugamano.")</f>
        <v>L'uomo pulisce lo sci con un asciugamano.</v>
      </c>
    </row>
    <row r="22087">
      <c r="A22087" s="4" t="s">
        <v>27803</v>
      </c>
      <c r="B22087" s="6" t="s">
        <v>27806</v>
      </c>
      <c r="C22087" s="5" t="str">
        <f>IFERROR(__xludf.DUMMYFUNCTION("GOOGLETRANSLATE(B22087,""en"",""it"")"),"L'uomo afferra uno dei prodotti e lo strofina dappertutto, lasciando che il prodotto si sieda lì per un po '.")</f>
        <v>L'uomo afferra uno dei prodotti e lo strofina dappertutto, lasciando che il prodotto si sieda lì per un po '.</v>
      </c>
    </row>
    <row r="22088">
      <c r="A22088" s="4" t="s">
        <v>27803</v>
      </c>
      <c r="B22088" s="4" t="s">
        <v>27807</v>
      </c>
      <c r="C22088" s="5" t="str">
        <f>IFERROR(__xludf.DUMMYFUNCTION("GOOGLETRANSLATE(B22088,""en"",""it"")"),"Dopo che è passato un po 'di tempo, l'uomo afferra un altro prodotto e lo strofina su tutto lo sci.")</f>
        <v>Dopo che è passato un po 'di tempo, l'uomo afferra un altro prodotto e lo strofina su tutto lo sci.</v>
      </c>
    </row>
    <row r="22089">
      <c r="A22089" s="4" t="s">
        <v>27808</v>
      </c>
      <c r="B22089" s="4" t="s">
        <v>27809</v>
      </c>
      <c r="C22089" s="5" t="str">
        <f>IFERROR(__xludf.DUMMYFUNCTION("GOOGLETRANSLATE(B22089,""en"",""it"")"),"Una donna mette un'asta in una base.")</f>
        <v>Una donna mette un'asta in una base.</v>
      </c>
    </row>
    <row r="22090">
      <c r="A22090" s="4" t="s">
        <v>27808</v>
      </c>
      <c r="B22090" s="4" t="s">
        <v>27810</v>
      </c>
      <c r="C22090" s="5" t="str">
        <f>IFERROR(__xludf.DUMMYFUNCTION("GOOGLETRANSLATE(B22090,""en"",""it"")"),"Quindi mette una gonna sopra l'asta sul pavimento.")</f>
        <v>Quindi mette una gonna sopra l'asta sul pavimento.</v>
      </c>
    </row>
    <row r="22091">
      <c r="A22091" s="4" t="s">
        <v>27808</v>
      </c>
      <c r="B22091" s="4" t="s">
        <v>27811</v>
      </c>
      <c r="C22091" s="5" t="str">
        <f>IFERROR(__xludf.DUMMYFUNCTION("GOOGLETRANSLATE(B22091,""en"",""it"")"),"Mette un falso albero di Natale sull'asta.")</f>
        <v>Mette un falso albero di Natale sull'asta.</v>
      </c>
    </row>
    <row r="22092">
      <c r="A22092" s="4" t="s">
        <v>27808</v>
      </c>
      <c r="B22092" s="4" t="s">
        <v>27812</v>
      </c>
      <c r="C22092" s="5" t="str">
        <f>IFERROR(__xludf.DUMMYFUNCTION("GOOGLETRANSLATE(B22092,""en"",""it"")"),"Viene mostrato un primo piano della prua dell'albero di Natale.")</f>
        <v>Viene mostrato un primo piano della prua dell'albero di Natale.</v>
      </c>
    </row>
    <row r="22093">
      <c r="A22093" s="4" t="s">
        <v>27808</v>
      </c>
      <c r="B22093" s="4" t="s">
        <v>27813</v>
      </c>
      <c r="C22093" s="5" t="str">
        <f>IFERROR(__xludf.DUMMYFUNCTION("GOOGLETRANSLATE(B22093,""en"",""it"")"),"Risolve l'arco sull'albero.")</f>
        <v>Risolve l'arco sull'albero.</v>
      </c>
    </row>
    <row r="22094">
      <c r="A22094" s="4" t="s">
        <v>27814</v>
      </c>
      <c r="B22094" s="4" t="s">
        <v>27815</v>
      </c>
      <c r="C22094" s="5" t="str">
        <f>IFERROR(__xludf.DUMMYFUNCTION("GOOGLETRANSLATE(B22094,""en"",""it"")"),"Viene mostrata una parete bianca all'interno di una stanza.")</f>
        <v>Viene mostrata una parete bianca all'interno di una stanza.</v>
      </c>
    </row>
    <row r="22095">
      <c r="A22095" s="4" t="s">
        <v>27814</v>
      </c>
      <c r="B22095" s="4" t="s">
        <v>27816</v>
      </c>
      <c r="C22095" s="5" t="str">
        <f>IFERROR(__xludf.DUMMYFUNCTION("GOOGLETRANSLATE(B22095,""en"",""it"")"),"Una mano che tiene una partita illuminata accende una candela.")</f>
        <v>Una mano che tiene una partita illuminata accende una candela.</v>
      </c>
    </row>
    <row r="22096">
      <c r="A22096" s="4" t="s">
        <v>27814</v>
      </c>
      <c r="B22096" s="4" t="s">
        <v>27817</v>
      </c>
      <c r="C22096" s="5" t="str">
        <f>IFERROR(__xludf.DUMMYFUNCTION("GOOGLETRANSLATE(B22096,""en"",""it"")"),"Un uomo mette la candela accanto a un lavandino e inizia a lavare i piatti.")</f>
        <v>Un uomo mette la candela accanto a un lavandino e inizia a lavare i piatti.</v>
      </c>
    </row>
    <row r="22097">
      <c r="A22097" s="4" t="s">
        <v>27818</v>
      </c>
      <c r="B22097" s="4" t="s">
        <v>27819</v>
      </c>
      <c r="C22097" s="5" t="str">
        <f>IFERROR(__xludf.DUMMYFUNCTION("GOOGLETRANSLATE(B22097,""en"",""it"")"),"Viene mostrato un primo piano di persone che spazzano seguite da persone che camminano in un'arena.")</f>
        <v>Viene mostrato un primo piano di persone che spazzano seguite da persone che camminano in un'arena.</v>
      </c>
    </row>
    <row r="22098">
      <c r="A22098" s="4" t="s">
        <v>27818</v>
      </c>
      <c r="B22098" s="4" t="s">
        <v>27820</v>
      </c>
      <c r="C22098" s="5" t="str">
        <f>IFERROR(__xludf.DUMMYFUNCTION("GOOGLETRANSLATE(B22098,""en"",""it"")"),"Due lottatori poi si piegano e camminano un po 'per la fossa, seguiti da lottare l'un l'altro.")</f>
        <v>Due lottatori poi si piegano e camminano un po 'per la fossa, seguiti da lottare l'un l'altro.</v>
      </c>
    </row>
    <row r="22099">
      <c r="A22099" s="4" t="s">
        <v>27818</v>
      </c>
      <c r="B22099" s="4" t="s">
        <v>27821</v>
      </c>
      <c r="C22099" s="5" t="str">
        <f>IFERROR(__xludf.DUMMYFUNCTION("GOOGLETRANSLATE(B22099,""en"",""it"")"),"Un uomo abbassa l'altro e conduce in clip della città.")</f>
        <v>Un uomo abbassa l'altro e conduce in clip della città.</v>
      </c>
    </row>
    <row r="22100">
      <c r="A22100" s="4" t="s">
        <v>27822</v>
      </c>
      <c r="B22100" s="6" t="s">
        <v>27823</v>
      </c>
      <c r="C22100" s="5" t="str">
        <f>IFERROR(__xludf.DUMMYFUNCTION("GOOGLETRANSLATE(B22100,""en"",""it"")"),"Una persona viene vista cavalcare una slitta giù da una collina seguita da diverse persone che si arrampicano su per la collina e scivolano di nuovo giù.")</f>
        <v>Una persona viene vista cavalcare una slitta giù da una collina seguita da diverse persone che si arrampicano su per la collina e scivolano di nuovo giù.</v>
      </c>
    </row>
    <row r="22101">
      <c r="A22101" s="4" t="s">
        <v>27822</v>
      </c>
      <c r="B22101" s="6" t="s">
        <v>27824</v>
      </c>
      <c r="C22101" s="5" t="str">
        <f>IFERROR(__xludf.DUMMYFUNCTION("GOOGLETRANSLATE(B22101,""en"",""it"")"),"Un adulto e un bambino cavalcano mentre la persona tira fuori il bambino dalla slitta seguita da più persone che cavalcano e si alzano di nuovo.")</f>
        <v>Un adulto e un bambino cavalcano mentre la persona tira fuori il bambino dalla slitta seguita da più persone che cavalcano e si alzano di nuovo.</v>
      </c>
    </row>
    <row r="22102">
      <c r="A22102" s="4" t="s">
        <v>27825</v>
      </c>
      <c r="B22102" s="4" t="s">
        <v>27826</v>
      </c>
      <c r="C22102" s="5" t="str">
        <f>IFERROR(__xludf.DUMMYFUNCTION("GOOGLETRANSLATE(B22102,""en"",""it"")"),"Un bambino dipinge le labbra con un rossetto.")</f>
        <v>Un bambino dipinge le labbra con un rossetto.</v>
      </c>
    </row>
    <row r="22103">
      <c r="A22103" s="4" t="s">
        <v>27825</v>
      </c>
      <c r="B22103" s="4" t="s">
        <v>27827</v>
      </c>
      <c r="C22103" s="5" t="str">
        <f>IFERROR(__xludf.DUMMYFUNCTION("GOOGLETRANSLATE(B22103,""en"",""it"")"),"Quindi, il bambino si applica alle palpebre sulla parte anteriore di uno specchio blu.")</f>
        <v>Quindi, il bambino si applica alle palpebre sulla parte anteriore di uno specchio blu.</v>
      </c>
    </row>
    <row r="22104">
      <c r="A22104" s="4" t="s">
        <v>27825</v>
      </c>
      <c r="B22104" s="4" t="s">
        <v>27828</v>
      </c>
      <c r="C22104" s="5" t="str">
        <f>IFERROR(__xludf.DUMMYFUNCTION("GOOGLETRANSLATE(B22104,""en"",""it"")"),"Successivamente, il Toddle si trucca da una tavolozza per continuare ad applicare alle sue palpebre.")</f>
        <v>Successivamente, il Toddle si trucca da una tavolozza per continuare ad applicare alle sue palpebre.</v>
      </c>
    </row>
    <row r="22105">
      <c r="A22105" s="4" t="s">
        <v>27829</v>
      </c>
      <c r="B22105" s="4" t="s">
        <v>27830</v>
      </c>
      <c r="C22105" s="5" t="str">
        <f>IFERROR(__xludf.DUMMYFUNCTION("GOOGLETRANSLATE(B22105,""en"",""it"")"),"Un uomo sta attraversando una linea allentata.")</f>
        <v>Un uomo sta attraversando una linea allentata.</v>
      </c>
    </row>
    <row r="22106">
      <c r="A22106" s="4" t="s">
        <v>27829</v>
      </c>
      <c r="B22106" s="4" t="s">
        <v>27831</v>
      </c>
      <c r="C22106" s="5" t="str">
        <f>IFERROR(__xludf.DUMMYFUNCTION("GOOGLETRANSLATE(B22106,""en"",""it"")"),"Mette qualcosa nel bagagliaio di un'auto.")</f>
        <v>Mette qualcosa nel bagagliaio di un'auto.</v>
      </c>
    </row>
    <row r="22107">
      <c r="A22107" s="4" t="s">
        <v>27829</v>
      </c>
      <c r="B22107" s="4" t="s">
        <v>27832</v>
      </c>
      <c r="C22107" s="5" t="str">
        <f>IFERROR(__xludf.DUMMYFUNCTION("GOOGLETRANSLATE(B22107,""en"",""it"")"),"Attraversa la linea allentata sull'altro lato.")</f>
        <v>Attraversa la linea allentata sull'altro lato.</v>
      </c>
    </row>
    <row r="22108">
      <c r="A22108" s="4" t="s">
        <v>27833</v>
      </c>
      <c r="B22108" s="4" t="s">
        <v>27834</v>
      </c>
      <c r="C22108" s="5" t="str">
        <f>IFERROR(__xludf.DUMMYFUNCTION("GOOGLETRANSLATE(B22108,""en"",""it"")"),"Un primo piano di un tosaerba è visto con le scarpe di una persona che cammina dietro.")</f>
        <v>Un primo piano di un tosaerba è visto con le scarpe di una persona che cammina dietro.</v>
      </c>
    </row>
    <row r="22109">
      <c r="A22109" s="4" t="s">
        <v>27833</v>
      </c>
      <c r="B22109" s="4" t="s">
        <v>27835</v>
      </c>
      <c r="C22109" s="5" t="str">
        <f>IFERROR(__xludf.DUMMYFUNCTION("GOOGLETRANSLATE(B22109,""en"",""it"")"),"Una fotocamera si muove da un foro sporco e mostra un uomo che lo mette in giù accanto a un albero.")</f>
        <v>Una fotocamera si muove da un foro sporco e mostra un uomo che lo mette in giù accanto a un albero.</v>
      </c>
    </row>
    <row r="22110">
      <c r="A22110" s="4" t="s">
        <v>27833</v>
      </c>
      <c r="B22110" s="4" t="s">
        <v>27836</v>
      </c>
      <c r="C22110" s="5" t="str">
        <f>IFERROR(__xludf.DUMMYFUNCTION("GOOGLETRANSLATE(B22110,""en"",""it"")"),"La telecamera si panoramica attorno all'albero e mostra l'uomo che controlla la terra.")</f>
        <v>La telecamera si panoramica attorno all'albero e mostra l'uomo che controlla la terra.</v>
      </c>
    </row>
    <row r="22111">
      <c r="A22111" s="4" t="s">
        <v>27837</v>
      </c>
      <c r="B22111" s="4" t="s">
        <v>27838</v>
      </c>
      <c r="C22111" s="5" t="str">
        <f>IFERROR(__xludf.DUMMYFUNCTION("GOOGLETRANSLATE(B22111,""en"",""it"")"),"Un uomo seduto in un kayak che si spinge attorno ad acqua turbinante usando le sue pagaie per il supporto.")</f>
        <v>Un uomo seduto in un kayak che si spinge attorno ad acqua turbinante usando le sue pagaie per il supporto.</v>
      </c>
    </row>
    <row r="22112">
      <c r="A22112" s="4" t="s">
        <v>27837</v>
      </c>
      <c r="B22112" s="4" t="s">
        <v>27839</v>
      </c>
      <c r="C22112" s="5" t="str">
        <f>IFERROR(__xludf.DUMMYFUNCTION("GOOGLETRANSLATE(B22112,""en"",""it"")"),"L'uomo gira più volte nell'acqua tentando di liberarsi e alla fine lo fa.")</f>
        <v>L'uomo gira più volte nell'acqua tentando di liberarsi e alla fine lo fa.</v>
      </c>
    </row>
    <row r="22113">
      <c r="A22113" s="4" t="s">
        <v>27840</v>
      </c>
      <c r="B22113" s="6" t="s">
        <v>27841</v>
      </c>
      <c r="C22113" s="5" t="str">
        <f>IFERROR(__xludf.DUMMYFUNCTION("GOOGLETRANSLATE(B22113,""en"",""it"")"),"Un uomo sta parlando nella telecamera, mentre un altro uomo con la sciarpa è dietro di lui, poi sono andati nell'edificio e si sono seduti su due divani, una donna è venuta per dare loro acqua.")</f>
        <v>Un uomo sta parlando nella telecamera, mentre un altro uomo con la sciarpa è dietro di lui, poi sono andati nell'edificio e si sono seduti su due divani, una donna è venuta per dare loro acqua.</v>
      </c>
    </row>
    <row r="22114">
      <c r="A22114" s="4" t="s">
        <v>27840</v>
      </c>
      <c r="B22114" s="6" t="s">
        <v>27842</v>
      </c>
      <c r="C22114" s="5" t="str">
        <f>IFERROR(__xludf.DUMMYFUNCTION("GOOGLETRANSLATE(B22114,""en"",""it"")"),"L'uomo in maglione ha controllato il suo telefono e poi prendi due racchette nella borsa, ne consegnò una al ragazzo, il ragazzo in piedi rimbalzava la palla sulla racchetta.")</f>
        <v>L'uomo in maglione ha controllato il suo telefono e poi prendi due racchette nella borsa, ne consegnò una al ragazzo, il ragazzo in piedi rimbalzava la palla sulla racchetta.</v>
      </c>
    </row>
    <row r="22115">
      <c r="A22115" s="4" t="s">
        <v>27840</v>
      </c>
      <c r="B22115" s="4" t="s">
        <v>27843</v>
      </c>
      <c r="C22115" s="5" t="str">
        <f>IFERROR(__xludf.DUMMYFUNCTION("GOOGLETRANSLATE(B22115,""en"",""it"")"),"I due uomini hanno iniziato a giocare a tennis mentre sono seduti.")</f>
        <v>I due uomini hanno iniziato a giocare a tennis mentre sono seduti.</v>
      </c>
    </row>
    <row r="22116">
      <c r="A22116" s="4" t="s">
        <v>27840</v>
      </c>
      <c r="B22116" s="6" t="s">
        <v>27844</v>
      </c>
      <c r="C22116" s="5" t="str">
        <f>IFERROR(__xludf.DUMMYFUNCTION("GOOGLETRANSLATE(B22116,""en"",""it"")"),"Quindi hanno spostato i divani e hanno iniziato a suonare sul muro, quindi giocare nell'area in cui lavoravano.")</f>
        <v>Quindi hanno spostato i divani e hanno iniziato a suonare sul muro, quindi giocare nell'area in cui lavoravano.</v>
      </c>
    </row>
    <row r="22117">
      <c r="A22117" s="4" t="s">
        <v>27840</v>
      </c>
      <c r="B22117" s="6" t="s">
        <v>27845</v>
      </c>
      <c r="C22117" s="5" t="str">
        <f>IFERROR(__xludf.DUMMYFUNCTION("GOOGLETRANSLATE(B22117,""en"",""it"")"),"Un uomo calvo scese sulle scale e andò dai due uomini che giocavano a tennis sul muro.")</f>
        <v>Un uomo calvo scese sulle scale e andò dai due uomini che giocavano a tennis sul muro.</v>
      </c>
    </row>
    <row r="22118">
      <c r="A22118" s="4" t="s">
        <v>27846</v>
      </c>
      <c r="B22118" s="4" t="s">
        <v>27847</v>
      </c>
      <c r="C22118" s="5" t="str">
        <f>IFERROR(__xludf.DUMMYFUNCTION("GOOGLETRANSLATE(B22118,""en"",""it"")"),"Una donna viene vista allenarsi con un uomo e porta a parlare alla telecamera.")</f>
        <v>Una donna viene vista allenarsi con un uomo e porta a parlare alla telecamera.</v>
      </c>
    </row>
    <row r="22119">
      <c r="A22119" s="4" t="s">
        <v>27846</v>
      </c>
      <c r="B22119" s="6" t="s">
        <v>27848</v>
      </c>
      <c r="C22119" s="5" t="str">
        <f>IFERROR(__xludf.DUMMYFUNCTION("GOOGLETRANSLATE(B22119,""en"",""it"")"),"Quindi fa un passo indietro e quarto su una tavola che muove le gambe e continua a parlare con la telecamera.")</f>
        <v>Quindi fa un passo indietro e quarto su una tavola che muove le gambe e continua a parlare con la telecamera.</v>
      </c>
    </row>
    <row r="22120">
      <c r="A22120" s="4" t="s">
        <v>27846</v>
      </c>
      <c r="B22120" s="4" t="s">
        <v>27849</v>
      </c>
      <c r="C22120" s="5" t="str">
        <f>IFERROR(__xludf.DUMMYFUNCTION("GOOGLETRANSLATE(B22120,""en"",""it"")"),"Quindi salta attorno alla telecamera e bit e finisce ancora parlando alla telecamera.")</f>
        <v>Quindi salta attorno alla telecamera e bit e finisce ancora parlando alla telecamera.</v>
      </c>
    </row>
    <row r="22121">
      <c r="A22121" s="4" t="s">
        <v>27850</v>
      </c>
      <c r="B22121" s="4" t="s">
        <v>27851</v>
      </c>
      <c r="C22121" s="5" t="str">
        <f>IFERROR(__xludf.DUMMYFUNCTION("GOOGLETRANSLATE(B22121,""en"",""it"")"),"Una donna che soffia baci alla telecamera, quindi inserendo le sue lenti a contatto.")</f>
        <v>Una donna che soffia baci alla telecamera, quindi inserendo le sue lenti a contatto.</v>
      </c>
    </row>
    <row r="22122">
      <c r="A22122" s="4" t="s">
        <v>27850</v>
      </c>
      <c r="B22122" s="4" t="s">
        <v>27852</v>
      </c>
      <c r="C22122" s="5" t="str">
        <f>IFERROR(__xludf.DUMMYFUNCTION("GOOGLETRANSLATE(B22122,""en"",""it"")"),"Comincia a mettere l'ombretto sulle palpebre e strofinandolo.")</f>
        <v>Comincia a mettere l'ombretto sulle palpebre e strofinandolo.</v>
      </c>
    </row>
    <row r="22123">
      <c r="A22123" s="4" t="s">
        <v>27850</v>
      </c>
      <c r="B22123" s="4" t="s">
        <v>27853</v>
      </c>
      <c r="C22123" s="5" t="str">
        <f>IFERROR(__xludf.DUMMYFUNCTION("GOOGLETRANSLATE(B22123,""en"",""it"")"),"Aggiunge estensioni per ciglia agli occhi.")</f>
        <v>Aggiunge estensioni per ciglia agli occhi.</v>
      </c>
    </row>
    <row r="22124">
      <c r="A22124" s="4" t="s">
        <v>27850</v>
      </c>
      <c r="B22124" s="4" t="s">
        <v>27854</v>
      </c>
      <c r="C22124" s="5" t="str">
        <f>IFERROR(__xludf.DUMMYFUNCTION("GOOGLETRANSLATE(B22124,""en"",""it"")"),"Poi, inizia a contornare tutta la sua faccia da poco, dando una pacca mentre procede.")</f>
        <v>Poi, inizia a contornare tutta la sua faccia da poco, dando una pacca mentre procede.</v>
      </c>
    </row>
    <row r="22125">
      <c r="A22125" s="4" t="s">
        <v>27855</v>
      </c>
      <c r="B22125" s="4" t="s">
        <v>27856</v>
      </c>
      <c r="C22125" s="5" t="str">
        <f>IFERROR(__xludf.DUMMYFUNCTION("GOOGLETRANSLATE(B22125,""en"",""it"")"),"Un gruppo di cheerleader si esibisce facendo una torre, quindi le cheerleader saltano giù.")</f>
        <v>Un gruppo di cheerleader si esibisce facendo una torre, quindi le cheerleader saltano giù.</v>
      </c>
    </row>
    <row r="22126">
      <c r="A22126" s="4" t="s">
        <v>27855</v>
      </c>
      <c r="B22126" s="4" t="s">
        <v>27857</v>
      </c>
      <c r="C22126" s="5" t="str">
        <f>IFERROR(__xludf.DUMMYFUNCTION("GOOGLETRANSLATE(B22126,""en"",""it"")"),"Dopo, le cheerleader saltano, lanciano e fanno le ruote.")</f>
        <v>Dopo, le cheerleader saltano, lanciano e fanno le ruote.</v>
      </c>
    </row>
    <row r="22127">
      <c r="A22127" s="4" t="s">
        <v>27855</v>
      </c>
      <c r="B22127" s="4" t="s">
        <v>27858</v>
      </c>
      <c r="C22127" s="5" t="str">
        <f>IFERROR(__xludf.DUMMYFUNCTION("GOOGLETRANSLATE(B22127,""en"",""it"")"),"Successivamente, le cheerleader formano torri umane e ballano insieme.")</f>
        <v>Successivamente, le cheerleader formano torri umane e ballano insieme.</v>
      </c>
    </row>
    <row r="22128">
      <c r="A22128" s="4" t="s">
        <v>27859</v>
      </c>
      <c r="B22128" s="4" t="s">
        <v>27860</v>
      </c>
      <c r="C22128" s="5" t="str">
        <f>IFERROR(__xludf.DUMMYFUNCTION("GOOGLETRANSLATE(B22128,""en"",""it"")"),"Una donna si sta allenando su una macchina ellittica.")</f>
        <v>Una donna si sta allenando su una macchina ellittica.</v>
      </c>
    </row>
    <row r="22129">
      <c r="A22129" s="4" t="s">
        <v>27859</v>
      </c>
      <c r="B22129" s="4" t="s">
        <v>27861</v>
      </c>
      <c r="C22129" s="5" t="str">
        <f>IFERROR(__xludf.DUMMYFUNCTION("GOOGLETRANSLATE(B22129,""en"",""it"")"),"La donna è seduta su un divano con i tacchi.")</f>
        <v>La donna è seduta su un divano con i tacchi.</v>
      </c>
    </row>
    <row r="22130">
      <c r="A22130" s="4" t="s">
        <v>27859</v>
      </c>
      <c r="B22130" s="4" t="s">
        <v>27862</v>
      </c>
      <c r="C22130" s="5" t="str">
        <f>IFERROR(__xludf.DUMMYFUNCTION("GOOGLETRANSLATE(B22130,""en"",""it"")"),"Continua a allenarsi sulla macchina.")</f>
        <v>Continua a allenarsi sulla macchina.</v>
      </c>
    </row>
    <row r="22131">
      <c r="A22131" s="4" t="s">
        <v>27863</v>
      </c>
      <c r="B22131" s="4" t="s">
        <v>27864</v>
      </c>
      <c r="C22131" s="5" t="str">
        <f>IFERROR(__xludf.DUMMYFUNCTION("GOOGLETRANSLATE(B22131,""en"",""it"")"),"Una ragazza è seduta nella sabbia.")</f>
        <v>Una ragazza è seduta nella sabbia.</v>
      </c>
    </row>
    <row r="22132">
      <c r="A22132" s="4" t="s">
        <v>27863</v>
      </c>
      <c r="B22132" s="4" t="s">
        <v>27865</v>
      </c>
      <c r="C22132" s="5" t="str">
        <f>IFERROR(__xludf.DUMMYFUNCTION("GOOGLETRANSLATE(B22132,""en"",""it"")"),"Sta mettendo la sabbia in un secchio blu di fronte a lei.")</f>
        <v>Sta mettendo la sabbia in un secchio blu di fronte a lei.</v>
      </c>
    </row>
    <row r="22133">
      <c r="A22133" s="4" t="s">
        <v>27863</v>
      </c>
      <c r="B22133" s="4" t="s">
        <v>27866</v>
      </c>
      <c r="C22133" s="5" t="str">
        <f>IFERROR(__xludf.DUMMYFUNCTION("GOOGLETRANSLATE(B22133,""en"",""it"")"),"Due persone camminano lungo la spiaggia di fronte a lei.")</f>
        <v>Due persone camminano lungo la spiaggia di fronte a lei.</v>
      </c>
    </row>
    <row r="22134">
      <c r="A22134" s="4" t="s">
        <v>27867</v>
      </c>
      <c r="B22134" s="4" t="s">
        <v>27868</v>
      </c>
      <c r="C22134" s="5" t="str">
        <f>IFERROR(__xludf.DUMMYFUNCTION("GOOGLETRANSLATE(B22134,""en"",""it"")"),"Un uomo entra in una stanza e mette la mano su una scala mentre parla.")</f>
        <v>Un uomo entra in una stanza e mette la mano su una scala mentre parla.</v>
      </c>
    </row>
    <row r="22135">
      <c r="A22135" s="4" t="s">
        <v>27867</v>
      </c>
      <c r="B22135" s="4" t="s">
        <v>27869</v>
      </c>
      <c r="C22135" s="5" t="str">
        <f>IFERROR(__xludf.DUMMYFUNCTION("GOOGLETRANSLATE(B22135,""en"",""it"")"),"Vediamo un uomo che mette piastrelle arancioni su un pavimento.")</f>
        <v>Vediamo un uomo che mette piastrelle arancioni su un pavimento.</v>
      </c>
    </row>
    <row r="22136">
      <c r="A22136" s="4" t="s">
        <v>27867</v>
      </c>
      <c r="B22136" s="4" t="s">
        <v>27870</v>
      </c>
      <c r="C22136" s="5" t="str">
        <f>IFERROR(__xludf.DUMMYFUNCTION("GOOGLETRANSLATE(B22136,""en"",""it"")"),"Vediamo un uomo che piastrella una doccia.")</f>
        <v>Vediamo un uomo che piastrella una doccia.</v>
      </c>
    </row>
    <row r="22137">
      <c r="A22137" s="4" t="s">
        <v>27867</v>
      </c>
      <c r="B22137" s="4" t="s">
        <v>27871</v>
      </c>
      <c r="C22137" s="5" t="str">
        <f>IFERROR(__xludf.DUMMYFUNCTION("GOOGLETRANSLATE(B22137,""en"",""it"")"),"Vediamo l'uomo mettere di nuovo le piastrelle su un pavimento.")</f>
        <v>Vediamo l'uomo mettere di nuovo le piastrelle su un pavimento.</v>
      </c>
    </row>
    <row r="22138">
      <c r="A22138" s="4" t="s">
        <v>27867</v>
      </c>
      <c r="B22138" s="4" t="s">
        <v>27872</v>
      </c>
      <c r="C22138" s="5" t="str">
        <f>IFERROR(__xludf.DUMMYFUNCTION("GOOGLETRANSLATE(B22138,""en"",""it"")"),"Torniamo all'uomo che parla vicino alla scala e un sito web appare sullo schermo.")</f>
        <v>Torniamo all'uomo che parla vicino alla scala e un sito web appare sullo schermo.</v>
      </c>
    </row>
    <row r="22139">
      <c r="A22139" s="4" t="s">
        <v>27873</v>
      </c>
      <c r="B22139" s="4" t="s">
        <v>27874</v>
      </c>
      <c r="C22139" s="5" t="str">
        <f>IFERROR(__xludf.DUMMYFUNCTION("GOOGLETRANSLATE(B22139,""en"",""it"")"),"Sta parlando un giornalista in giacca e cravatta.")</f>
        <v>Sta parlando un giornalista in giacca e cravatta.</v>
      </c>
    </row>
    <row r="22140">
      <c r="A22140" s="4" t="s">
        <v>27873</v>
      </c>
      <c r="B22140" s="4" t="s">
        <v>27875</v>
      </c>
      <c r="C22140" s="5" t="str">
        <f>IFERROR(__xludf.DUMMYFUNCTION("GOOGLETRANSLATE(B22140,""en"",""it"")"),"Le donne più anziane sono dietro le coperte di cucito.")</f>
        <v>Le donne più anziane sono dietro le coperte di cucito.</v>
      </c>
    </row>
    <row r="22141">
      <c r="A22141" s="4" t="s">
        <v>27876</v>
      </c>
      <c r="B22141" s="6" t="s">
        <v>27877</v>
      </c>
      <c r="C22141" s="5" t="str">
        <f>IFERROR(__xludf.DUMMYFUNCTION("GOOGLETRANSLATE(B22141,""en"",""it"")"),"Alcune persone sono sedute lungo lo stile indiano con il giubbotto di salvataggio guardando un uomo all'interno di un chiacchiere in barca a galleggiante.")</f>
        <v>Alcune persone sono sedute lungo lo stile indiano con il giubbotto di salvataggio guardando un uomo all'interno di un chiacchiere in barca a galleggiante.</v>
      </c>
    </row>
    <row r="22142">
      <c r="A22142" s="4" t="s">
        <v>27876</v>
      </c>
      <c r="B22142" s="4" t="s">
        <v>27878</v>
      </c>
      <c r="C22142" s="5" t="str">
        <f>IFERROR(__xludf.DUMMYFUNCTION("GOOGLETRANSLATE(B22142,""en"",""it"")"),"Ricevono la barca con pagaie e alcuni altri accanto a loro in un kayak.")</f>
        <v>Ricevono la barca con pagaie e alcuni altri accanto a loro in un kayak.</v>
      </c>
    </row>
    <row r="22143">
      <c r="A22143" s="4" t="s">
        <v>27876</v>
      </c>
      <c r="B22143" s="4" t="s">
        <v>27879</v>
      </c>
      <c r="C22143" s="5" t="str">
        <f>IFERROR(__xludf.DUMMYFUNCTION("GOOGLETRANSLATE(B22143,""en"",""it"")"),"Usano la pagaia per cercare di controllare la barca, ma vengono schizzati dall'acqua marrone.")</f>
        <v>Usano la pagaia per cercare di controllare la barca, ma vengono schizzati dall'acqua marrone.</v>
      </c>
    </row>
    <row r="22144">
      <c r="A22144" s="4" t="s">
        <v>27876</v>
      </c>
      <c r="B22144" s="6" t="s">
        <v>27880</v>
      </c>
      <c r="C22144" s="5" t="str">
        <f>IFERROR(__xludf.DUMMYFUNCTION("GOOGLETRANSLATE(B22144,""en"",""it"")"),"Un'altra piccola barca arriva e si imbatte in loro, si pagano fino a quando non stanno per tornare per terra.")</f>
        <v>Un'altra piccola barca arriva e si imbatte in loro, si pagano fino a quando non stanno per tornare per terra.</v>
      </c>
    </row>
    <row r="22145">
      <c r="A22145" s="4" t="s">
        <v>27881</v>
      </c>
      <c r="B22145" s="4" t="s">
        <v>27882</v>
      </c>
      <c r="C22145" s="5" t="str">
        <f>IFERROR(__xludf.DUMMYFUNCTION("GOOGLETRANSLATE(B22145,""en"",""it"")"),"Due biscotti sono mostrati su un piatto.")</f>
        <v>Due biscotti sono mostrati su un piatto.</v>
      </c>
    </row>
    <row r="22146">
      <c r="A22146" s="4" t="s">
        <v>27881</v>
      </c>
      <c r="B22146" s="4" t="s">
        <v>27883</v>
      </c>
      <c r="C22146" s="5" t="str">
        <f>IFERROR(__xludf.DUMMYFUNCTION("GOOGLETRANSLATE(B22146,""en"",""it"")"),"Gli ingredienti vengono mescolati in una ciotola alla volta, aggiungendo uova, zucchero e burro.")</f>
        <v>Gli ingredienti vengono mescolati in una ciotola alla volta, aggiungendo uova, zucchero e burro.</v>
      </c>
    </row>
    <row r="22147">
      <c r="A22147" s="4" t="s">
        <v>27881</v>
      </c>
      <c r="B22147" s="4" t="s">
        <v>27884</v>
      </c>
      <c r="C22147" s="5" t="str">
        <f>IFERROR(__xludf.DUMMYFUNCTION("GOOGLETRANSLATE(B22147,""en"",""it"")"),"I biscotti sono tagliati dall'impasto.")</f>
        <v>I biscotti sono tagliati dall'impasto.</v>
      </c>
    </row>
    <row r="22148">
      <c r="A22148" s="4" t="s">
        <v>27881</v>
      </c>
      <c r="B22148" s="4" t="s">
        <v>27885</v>
      </c>
      <c r="C22148" s="5" t="str">
        <f>IFERROR(__xludf.DUMMYFUNCTION("GOOGLETRANSLATE(B22148,""en"",""it"")"),"Sono quindi cotti e assemblati.")</f>
        <v>Sono quindi cotti e assemblati.</v>
      </c>
    </row>
    <row r="22149">
      <c r="A22149" s="4" t="s">
        <v>27886</v>
      </c>
      <c r="B22149" s="4" t="s">
        <v>27887</v>
      </c>
      <c r="C22149" s="5" t="str">
        <f>IFERROR(__xludf.DUMMYFUNCTION("GOOGLETRANSLATE(B22149,""en"",""it"")"),"Le persone sono vestite giocando a ping pong.")</f>
        <v>Le persone sono vestite giocando a ping pong.</v>
      </c>
    </row>
    <row r="22150">
      <c r="A22150" s="4" t="s">
        <v>27886</v>
      </c>
      <c r="B22150" s="4" t="s">
        <v>27888</v>
      </c>
      <c r="C22150" s="5" t="str">
        <f>IFERROR(__xludf.DUMMYFUNCTION("GOOGLETRANSLATE(B22150,""en"",""it"")"),"Le persone sono in piedi accanto al tavolo a guardare.")</f>
        <v>Le persone sono in piedi accanto al tavolo a guardare.</v>
      </c>
    </row>
    <row r="22151">
      <c r="A22151" s="4" t="s">
        <v>27886</v>
      </c>
      <c r="B22151" s="4" t="s">
        <v>27889</v>
      </c>
      <c r="C22151" s="5" t="str">
        <f>IFERROR(__xludf.DUMMYFUNCTION("GOOGLETRANSLATE(B22151,""en"",""it"")"),"Continuano a giocare e due degli uomini High Five.")</f>
        <v>Continuano a giocare e due degli uomini High Five.</v>
      </c>
    </row>
    <row r="22152">
      <c r="A22152" s="4" t="s">
        <v>27890</v>
      </c>
      <c r="B22152" s="4" t="s">
        <v>27891</v>
      </c>
      <c r="C22152" s="5" t="str">
        <f>IFERROR(__xludf.DUMMYFUNCTION("GOOGLETRANSLATE(B22152,""en"",""it"")"),"Una persona viene vista andare in bicicletta lungo una strada con un cane legato a lui.")</f>
        <v>Una persona viene vista andare in bicicletta lungo una strada con un cane legato a lui.</v>
      </c>
    </row>
    <row r="22153">
      <c r="A22153" s="4" t="s">
        <v>27890</v>
      </c>
      <c r="B22153" s="4" t="s">
        <v>27892</v>
      </c>
      <c r="C22153" s="5" t="str">
        <f>IFERROR(__xludf.DUMMYFUNCTION("GOOGLETRANSLATE(B22153,""en"",""it"")"),"La fotocamera è mostrata in vari angoli l'uomo che cavalca la bici con il cane.")</f>
        <v>La fotocamera è mostrata in vari angoli l'uomo che cavalca la bici con il cane.</v>
      </c>
    </row>
    <row r="22154">
      <c r="A22154" s="4" t="s">
        <v>27890</v>
      </c>
      <c r="B22154" s="4" t="s">
        <v>27893</v>
      </c>
      <c r="C22154" s="5" t="str">
        <f>IFERROR(__xludf.DUMMYFUNCTION("GOOGLETRANSLATE(B22154,""en"",""it"")"),"L'uomo continua a correre con il cane.")</f>
        <v>L'uomo continua a correre con il cane.</v>
      </c>
    </row>
    <row r="22155">
      <c r="A22155" s="4" t="s">
        <v>27894</v>
      </c>
      <c r="B22155" s="4" t="s">
        <v>27895</v>
      </c>
      <c r="C22155" s="5" t="str">
        <f>IFERROR(__xludf.DUMMYFUNCTION("GOOGLETRANSLATE(B22155,""en"",""it"")"),"Un uomo con un fischio tiene il centro della corda.")</f>
        <v>Un uomo con un fischio tiene il centro della corda.</v>
      </c>
    </row>
    <row r="22156">
      <c r="A22156" s="4" t="s">
        <v>27894</v>
      </c>
      <c r="B22156" s="4" t="s">
        <v>27896</v>
      </c>
      <c r="C22156" s="5" t="str">
        <f>IFERROR(__xludf.DUMMYFUNCTION("GOOGLETRANSLATE(B22156,""en"",""it"")"),"Due uomini sono ad ogni estremità della corda che tirano nella propria direzione sul fango.")</f>
        <v>Due uomini sono ad ogni estremità della corda che tirano nella propria direzione sul fango.</v>
      </c>
    </row>
    <row r="22157">
      <c r="A22157" s="4" t="s">
        <v>27894</v>
      </c>
      <c r="B22157" s="4" t="s">
        <v>27897</v>
      </c>
      <c r="C22157" s="5" t="str">
        <f>IFERROR(__xludf.DUMMYFUNCTION("GOOGLETRANSLATE(B22157,""en"",""it"")"),"La corda rossa si sporge verso l'uomo in blu mentre quasi si siede a terra.")</f>
        <v>La corda rossa si sporge verso l'uomo in blu mentre quasi si siede a terra.</v>
      </c>
    </row>
    <row r="22158">
      <c r="A22158" s="4" t="s">
        <v>27894</v>
      </c>
      <c r="B22158" s="4" t="s">
        <v>27898</v>
      </c>
      <c r="C22158" s="5" t="str">
        <f>IFERROR(__xludf.DUMMYFUNCTION("GOOGLETRANSLATE(B22158,""en"",""it"")"),"L'arbitro è sul ginocchio osservando.")</f>
        <v>L'arbitro è sul ginocchio osservando.</v>
      </c>
    </row>
    <row r="22159">
      <c r="A22159" s="4" t="s">
        <v>27894</v>
      </c>
      <c r="B22159" s="4" t="s">
        <v>27899</v>
      </c>
      <c r="C22159" s="5" t="str">
        <f>IFERROR(__xludf.DUMMYFUNCTION("GOOGLETRANSLATE(B22159,""en"",""it"")"),"Il concorrente sta facendo brevi respiri mentre fissa.")</f>
        <v>Il concorrente sta facendo brevi respiri mentre fissa.</v>
      </c>
    </row>
    <row r="22160">
      <c r="A22160" s="4" t="s">
        <v>27894</v>
      </c>
      <c r="B22160" s="4" t="s">
        <v>27900</v>
      </c>
      <c r="C22160" s="5" t="str">
        <f>IFERROR(__xludf.DUMMYFUNCTION("GOOGLETRANSLATE(B22160,""en"",""it"")"),"Un uomo con la barba dà un occhiolino e sorride.")</f>
        <v>Un uomo con la barba dà un occhiolino e sorride.</v>
      </c>
    </row>
    <row r="22161">
      <c r="A22161" s="4" t="s">
        <v>27894</v>
      </c>
      <c r="B22161" s="4" t="s">
        <v>27901</v>
      </c>
      <c r="C22161" s="5" t="str">
        <f>IFERROR(__xludf.DUMMYFUNCTION("GOOGLETRANSLATE(B22161,""en"",""it"")"),"Ogni uomo continua a tirare mentre si appoggiano nel fango.")</f>
        <v>Ogni uomo continua a tirare mentre si appoggiano nel fango.</v>
      </c>
    </row>
    <row r="22162">
      <c r="A22162" s="4" t="s">
        <v>27894</v>
      </c>
      <c r="B22162" s="4" t="s">
        <v>27902</v>
      </c>
      <c r="C22162" s="5" t="str">
        <f>IFERROR(__xludf.DUMMYFUNCTION("GOOGLETRANSLATE(B22162,""en"",""it"")"),"Mostra che sono passati 6 minuti mentre continuano a tirare.")</f>
        <v>Mostra che sono passati 6 minuti mentre continuano a tirare.</v>
      </c>
    </row>
    <row r="22163">
      <c r="A22163" s="4" t="s">
        <v>27894</v>
      </c>
      <c r="B22163" s="4" t="s">
        <v>27903</v>
      </c>
      <c r="C22163" s="5" t="str">
        <f>IFERROR(__xludf.DUMMYFUNCTION("GOOGLETRANSLATE(B22163,""en"",""it"")"),"Mostrano 8 minuti e 30 secondi sono passati.")</f>
        <v>Mostrano 8 minuti e 30 secondi sono passati.</v>
      </c>
    </row>
    <row r="22164">
      <c r="A22164" s="4" t="s">
        <v>27894</v>
      </c>
      <c r="B22164" s="4" t="s">
        <v>27904</v>
      </c>
      <c r="C22164" s="5" t="str">
        <f>IFERROR(__xludf.DUMMYFUNCTION("GOOGLETRANSLATE(B22164,""en"",""it"")"),"L'uomo in rosso si alza e corre all'indietro tirando l'altro uomo attraverso la linea.")</f>
        <v>L'uomo in rosso si alza e corre all'indietro tirando l'altro uomo attraverso la linea.</v>
      </c>
    </row>
    <row r="22165">
      <c r="A22165" s="4" t="s">
        <v>27894</v>
      </c>
      <c r="B22165" s="4" t="s">
        <v>27905</v>
      </c>
      <c r="C22165" s="5" t="str">
        <f>IFERROR(__xludf.DUMMYFUNCTION("GOOGLETRANSLATE(B22165,""en"",""it"")"),"I due uomini si stringono la mano, si abbracciano e si allontanano.")</f>
        <v>I due uomini si stringono la mano, si abbracciano e si allontanano.</v>
      </c>
    </row>
    <row r="22166">
      <c r="A22166" s="4" t="s">
        <v>27894</v>
      </c>
      <c r="B22166" s="4" t="s">
        <v>27906</v>
      </c>
      <c r="C22166" s="5" t="str">
        <f>IFERROR(__xludf.DUMMYFUNCTION("GOOGLETRANSLATE(B22166,""en"",""it"")"),"L'uomo in blu mette le braccia attorno a due uomini e si allontana.")</f>
        <v>L'uomo in blu mette le braccia attorno a due uomini e si allontana.</v>
      </c>
    </row>
    <row r="22167">
      <c r="A22167" s="4" t="s">
        <v>27907</v>
      </c>
      <c r="B22167" s="4" t="s">
        <v>27908</v>
      </c>
      <c r="C22167" s="5" t="str">
        <f>IFERROR(__xludf.DUMMYFUNCTION("GOOGLETRANSLATE(B22167,""en"",""it"")"),"Le persone sono in piedi su una collina di neve.")</f>
        <v>Le persone sono in piedi su una collina di neve.</v>
      </c>
    </row>
    <row r="22168">
      <c r="A22168" s="4" t="s">
        <v>27907</v>
      </c>
      <c r="B22168" s="4" t="s">
        <v>4423</v>
      </c>
      <c r="C22168" s="5" t="str">
        <f>IFERROR(__xludf.DUMMYFUNCTION("GOOGLETRANSLATE(B22168,""en"",""it"")"),"Le persone stanno snowboard lungo una collina di neve.")</f>
        <v>Le persone stanno snowboard lungo una collina di neve.</v>
      </c>
    </row>
    <row r="22169">
      <c r="A22169" s="4" t="s">
        <v>27907</v>
      </c>
      <c r="B22169" s="4" t="s">
        <v>27909</v>
      </c>
      <c r="C22169" s="5" t="str">
        <f>IFERROR(__xludf.DUMMYFUNCTION("GOOGLETRANSLATE(B22169,""en"",""it"")"),"Le persone sciano giù da una collina.")</f>
        <v>Le persone sciano giù da una collina.</v>
      </c>
    </row>
    <row r="22170">
      <c r="A22170" s="4" t="s">
        <v>27907</v>
      </c>
      <c r="B22170" s="4" t="s">
        <v>27910</v>
      </c>
      <c r="C22170" s="5" t="str">
        <f>IFERROR(__xludf.DUMMYFUNCTION("GOOGLETRANSLATE(B22170,""en"",""it"")"),"Gli scioperi si fermano in fondo e parlano.")</f>
        <v>Gli scioperi si fermano in fondo e parlano.</v>
      </c>
    </row>
    <row r="22171">
      <c r="A22171" s="4" t="s">
        <v>27911</v>
      </c>
      <c r="B22171" s="6" t="s">
        <v>27912</v>
      </c>
      <c r="C22171" s="5" t="str">
        <f>IFERROR(__xludf.DUMMYFUNCTION("GOOGLETRANSLATE(B22171,""en"",""it"")"),"Un gruppo di uomini viene tirato su un hot dog gonfiabile che fa una rapida svolta causando loro cadere.")</f>
        <v>Un gruppo di uomini viene tirato su un hot dog gonfiabile che fa una rapida svolta causando loro cadere.</v>
      </c>
    </row>
    <row r="22172">
      <c r="A22172" s="4" t="s">
        <v>27911</v>
      </c>
      <c r="B22172" s="4" t="s">
        <v>27913</v>
      </c>
      <c r="C22172" s="5" t="str">
        <f>IFERROR(__xludf.DUMMYFUNCTION("GOOGLETRANSLATE(B22172,""en"",""it"")"),"Le persone su sci d'acqua e tubi tra le provette hanno incidenti comici mentre vengono trascinate in acqua.")</f>
        <v>Le persone su sci d'acqua e tubi tra le provette hanno incidenti comici mentre vengono trascinate in acqua.</v>
      </c>
    </row>
    <row r="22173">
      <c r="A22173" s="4" t="s">
        <v>27911</v>
      </c>
      <c r="B22173" s="4" t="s">
        <v>27914</v>
      </c>
      <c r="C22173" s="5" t="str">
        <f>IFERROR(__xludf.DUMMYFUNCTION("GOOGLETRANSLATE(B22173,""en"",""it"")"),"Un ragazzo su sci tiene su una corda di rimorchiatore su un molo e viene tirato sopra la caduta in acqua.")</f>
        <v>Un ragazzo su sci tiene su una corda di rimorchiatore su un molo e viene tirato sopra la caduta in acqua.</v>
      </c>
    </row>
    <row r="22174">
      <c r="A22174" s="4" t="s">
        <v>27911</v>
      </c>
      <c r="B22174" s="6" t="s">
        <v>27915</v>
      </c>
      <c r="C22174" s="5" t="str">
        <f>IFERROR(__xludf.DUMMYFUNCTION("GOOGLETRANSLATE(B22174,""en"",""it"")"),"Un grande gruppo su tubi intercetti viene tirato su corde di rimorchiatore nell'acqua, quindi colpiscono una grande onda e gira in aria.")</f>
        <v>Un grande gruppo su tubi intercetti viene tirato su corde di rimorchiatore nell'acqua, quindi colpiscono una grande onda e gira in aria.</v>
      </c>
    </row>
    <row r="22175">
      <c r="A22175" s="4" t="s">
        <v>27911</v>
      </c>
      <c r="B22175" s="4" t="s">
        <v>27916</v>
      </c>
      <c r="C22175" s="5" t="str">
        <f>IFERROR(__xludf.DUMMYFUNCTION("GOOGLETRANSLATE(B22175,""en"",""it"")"),"Un uomo su una barca salta la nave dopo un oggetto con la barca ancora in movimento.")</f>
        <v>Un uomo su una barca salta la nave dopo un oggetto con la barca ancora in movimento.</v>
      </c>
    </row>
    <row r="22176">
      <c r="A22176" s="4" t="s">
        <v>27917</v>
      </c>
      <c r="B22176" s="4" t="s">
        <v>27918</v>
      </c>
      <c r="C22176" s="5" t="str">
        <f>IFERROR(__xludf.DUMMYFUNCTION("GOOGLETRANSLATE(B22176,""en"",""it"")"),"Un uomo si sdraia nell'acqua dell'oceano mentre tiene su un bar.")</f>
        <v>Un uomo si sdraia nell'acqua dell'oceano mentre tiene su un bar.</v>
      </c>
    </row>
    <row r="22177">
      <c r="A22177" s="4" t="s">
        <v>27917</v>
      </c>
      <c r="B22177" s="4" t="s">
        <v>27919</v>
      </c>
      <c r="C22177" s="5" t="str">
        <f>IFERROR(__xludf.DUMMYFUNCTION("GOOGLETRANSLATE(B22177,""en"",""it"")"),"È una droga da una barca piena di persone.")</f>
        <v>È una droga da una barca piena di persone.</v>
      </c>
    </row>
    <row r="22178">
      <c r="A22178" s="4" t="s">
        <v>27917</v>
      </c>
      <c r="B22178" s="4" t="s">
        <v>27920</v>
      </c>
      <c r="C22178" s="5" t="str">
        <f>IFERROR(__xludf.DUMMYFUNCTION("GOOGLETRANSLATE(B22178,""en"",""it"")"),"Si guadagna l'equilibrio e sta rapidamente scivolando dietro la barca.")</f>
        <v>Si guadagna l'equilibrio e sta rapidamente scivolando dietro la barca.</v>
      </c>
    </row>
    <row r="22179">
      <c r="A22179" s="4" t="s">
        <v>27921</v>
      </c>
      <c r="B22179" s="6" t="s">
        <v>27922</v>
      </c>
      <c r="C22179" s="5" t="str">
        <f>IFERROR(__xludf.DUMMYFUNCTION("GOOGLETRANSLATE(B22179,""en"",""it"")"),"Diverse persone vengono catturate decorando un albero di Natale in un soggiorno in un video veloce e velocità.")</f>
        <v>Diverse persone vengono catturate decorando un albero di Natale in un soggiorno in un video veloce e velocità.</v>
      </c>
    </row>
    <row r="22180">
      <c r="A22180" s="4" t="s">
        <v>27921</v>
      </c>
      <c r="B22180" s="4" t="s">
        <v>27923</v>
      </c>
      <c r="C22180" s="5" t="str">
        <f>IFERROR(__xludf.DUMMYFUNCTION("GOOGLETRANSLATE(B22180,""en"",""it"")"),"Un albero di Natale non è decorato in un soggiorno.")</f>
        <v>Un albero di Natale non è decorato in un soggiorno.</v>
      </c>
    </row>
    <row r="22181">
      <c r="A22181" s="4" t="s">
        <v>27921</v>
      </c>
      <c r="B22181" s="4" t="s">
        <v>27924</v>
      </c>
      <c r="C22181" s="5" t="str">
        <f>IFERROR(__xludf.DUMMYFUNCTION("GOOGLETRANSLATE(B22181,""en"",""it"")"),"Due persone decorano l'albero con un cordone leggero.")</f>
        <v>Due persone decorano l'albero con un cordone leggero.</v>
      </c>
    </row>
    <row r="22182">
      <c r="A22182" s="4" t="s">
        <v>27921</v>
      </c>
      <c r="B22182" s="4" t="s">
        <v>27925</v>
      </c>
      <c r="C22182" s="5" t="str">
        <f>IFERROR(__xludf.DUMMYFUNCTION("GOOGLETRANSLATE(B22182,""en"",""it"")"),"Tre persone decorano l'albero con palline blu e argento.")</f>
        <v>Tre persone decorano l'albero con palline blu e argento.</v>
      </c>
    </row>
    <row r="22183">
      <c r="A22183" s="4" t="s">
        <v>27921</v>
      </c>
      <c r="B22183" s="6" t="s">
        <v>27926</v>
      </c>
      <c r="C22183" s="5" t="str">
        <f>IFERROR(__xludf.DUMMYFUNCTION("GOOGLETRANSLATE(B22183,""en"",""it"")"),"Le luci dell'albero sono accese e i regali avvolti vengono posizionati sotto l'albero mentre le persone iniziano a sedersi sotto l'albero e un cane cammina casualmente sull'albero.")</f>
        <v>Le luci dell'albero sono accese e i regali avvolti vengono posizionati sotto l'albero mentre le persone iniziano a sedersi sotto l'albero e un cane cammina casualmente sull'albero.</v>
      </c>
    </row>
    <row r="22184">
      <c r="A22184" s="4" t="s">
        <v>27927</v>
      </c>
      <c r="B22184" s="4" t="s">
        <v>1251</v>
      </c>
      <c r="C22184" s="5" t="str">
        <f>IFERROR(__xludf.DUMMYFUNCTION("GOOGLETRANSLATE(B22184,""en"",""it"")"),"Vengono visualizzati i crediti della clip.")</f>
        <v>Vengono visualizzati i crediti della clip.</v>
      </c>
    </row>
    <row r="22185">
      <c r="A22185" s="4" t="s">
        <v>27927</v>
      </c>
      <c r="B22185" s="4" t="s">
        <v>27928</v>
      </c>
      <c r="C22185" s="5" t="str">
        <f>IFERROR(__xludf.DUMMYFUNCTION("GOOGLETRANSLATE(B22185,""en"",""it"")"),"Un ragazzo è in piedi, gesticolando e istruendo in palestra.")</f>
        <v>Un ragazzo è in piedi, gesticolando e istruendo in palestra.</v>
      </c>
    </row>
    <row r="22186">
      <c r="A22186" s="4" t="s">
        <v>27927</v>
      </c>
      <c r="B22186" s="4" t="s">
        <v>27929</v>
      </c>
      <c r="C22186" s="5" t="str">
        <f>IFERROR(__xludf.DUMMYFUNCTION("GOOGLETRANSLATE(B22186,""en"",""it"")"),"Un uomo dimostra una acrobazia da ginnastica su una piattaforma manuale.")</f>
        <v>Un uomo dimostra una acrobazia da ginnastica su una piattaforma manuale.</v>
      </c>
    </row>
    <row r="22187">
      <c r="A22187" s="4" t="s">
        <v>27927</v>
      </c>
      <c r="B22187" s="4" t="s">
        <v>27930</v>
      </c>
      <c r="C22187" s="5" t="str">
        <f>IFERROR(__xludf.DUMMYFUNCTION("GOOGLETRANSLATE(B22187,""en"",""it"")"),"L'uomo posa con le mani estese in aria.")</f>
        <v>L'uomo posa con le mani estese in aria.</v>
      </c>
    </row>
    <row r="22188">
      <c r="A22188" s="4" t="s">
        <v>27927</v>
      </c>
      <c r="B22188" s="4" t="s">
        <v>573</v>
      </c>
      <c r="C22188" s="5" t="str">
        <f>IFERROR(__xludf.DUMMYFUNCTION("GOOGLETRANSLATE(B22188,""en"",""it"")"),"Vengono visualizzati i crediti del video.")</f>
        <v>Vengono visualizzati i crediti del video.</v>
      </c>
    </row>
    <row r="22189">
      <c r="A22189" s="4" t="s">
        <v>27931</v>
      </c>
      <c r="B22189" s="4" t="s">
        <v>27932</v>
      </c>
      <c r="C22189" s="5" t="str">
        <f>IFERROR(__xludf.DUMMYFUNCTION("GOOGLETRANSLATE(B22189,""en"",""it"")"),"C'è un uomo vestito con un maglione nero che suona il violino in una chiesa.")</f>
        <v>C'è un uomo vestito con un maglione nero che suona il violino in una chiesa.</v>
      </c>
    </row>
    <row r="22190">
      <c r="A22190" s="4" t="s">
        <v>27931</v>
      </c>
      <c r="B22190" s="4" t="s">
        <v>27933</v>
      </c>
      <c r="C22190" s="5" t="str">
        <f>IFERROR(__xludf.DUMMYFUNCTION("GOOGLETRANSLATE(B22190,""en"",""it"")"),"C'è una donna in piedi accanto a lui, vestita anche di nero con in mano un violino.")</f>
        <v>C'è una donna in piedi accanto a lui, vestita anche di nero con in mano un violino.</v>
      </c>
    </row>
    <row r="22191">
      <c r="A22191" s="4" t="s">
        <v>27931</v>
      </c>
      <c r="B22191" s="4" t="s">
        <v>27934</v>
      </c>
      <c r="C22191" s="5" t="str">
        <f>IFERROR(__xludf.DUMMYFUNCTION("GOOGLETRANSLATE(B22191,""en"",""it"")"),"C'è una statua di Gesù Cristo proprio dietro di loro.")</f>
        <v>C'è una statua di Gesù Cristo proprio dietro di loro.</v>
      </c>
    </row>
    <row r="22192">
      <c r="A22192" s="4" t="s">
        <v>27931</v>
      </c>
      <c r="B22192" s="4" t="s">
        <v>27935</v>
      </c>
      <c r="C22192" s="5" t="str">
        <f>IFERROR(__xludf.DUMMYFUNCTION("GOOGLETRANSLATE(B22192,""en"",""it"")"),"Dopo che l'uomo smette di suonare il violino, la donna si unisce e inizia a suonare il violino.")</f>
        <v>Dopo che l'uomo smette di suonare il violino, la donna si unisce e inizia a suonare il violino.</v>
      </c>
    </row>
    <row r="22193">
      <c r="A22193" s="4" t="s">
        <v>27931</v>
      </c>
      <c r="B22193" s="4" t="s">
        <v>27936</v>
      </c>
      <c r="C22193" s="5" t="str">
        <f>IFERROR(__xludf.DUMMYFUNCTION("GOOGLETRANSLATE(B22193,""en"",""it"")"),"Ci sono alcune persone sedute in prima fila, guardando la donna giocare.")</f>
        <v>Ci sono alcune persone sedute in prima fila, guardando la donna giocare.</v>
      </c>
    </row>
    <row r="22194">
      <c r="A22194" s="4" t="s">
        <v>27937</v>
      </c>
      <c r="B22194" s="4" t="s">
        <v>27938</v>
      </c>
      <c r="C22194" s="5" t="str">
        <f>IFERROR(__xludf.DUMMYFUNCTION("GOOGLETRANSLATE(B22194,""en"",""it"")"),"Un gruppo di uomini sugli asini gioca una forma di polo su un campo sporco.")</f>
        <v>Un gruppo di uomini sugli asini gioca una forma di polo su un campo sporco.</v>
      </c>
    </row>
    <row r="22195">
      <c r="A22195" s="4" t="s">
        <v>27937</v>
      </c>
      <c r="B22195" s="4" t="s">
        <v>27939</v>
      </c>
      <c r="C22195" s="5" t="str">
        <f>IFERROR(__xludf.DUMMYFUNCTION("GOOGLETRANSLATE(B22195,""en"",""it"")"),"La telecamera si lancia alle persone che guardano il gioco.")</f>
        <v>La telecamera si lancia alle persone che guardano il gioco.</v>
      </c>
    </row>
    <row r="22196">
      <c r="A22196" s="4" t="s">
        <v>27937</v>
      </c>
      <c r="B22196" s="4" t="s">
        <v>27940</v>
      </c>
      <c r="C22196" s="5" t="str">
        <f>IFERROR(__xludf.DUMMYFUNCTION("GOOGLETRANSLATE(B22196,""en"",""it"")"),"La telecamera ritorna alle persone che cavalcano gli asini.")</f>
        <v>La telecamera ritorna alle persone che cavalcano gli asini.</v>
      </c>
    </row>
    <row r="22197">
      <c r="A22197" s="4" t="s">
        <v>27941</v>
      </c>
      <c r="B22197" s="4" t="s">
        <v>27942</v>
      </c>
      <c r="C22197" s="5" t="str">
        <f>IFERROR(__xludf.DUMMYFUNCTION("GOOGLETRANSLATE(B22197,""en"",""it"")"),"Viene mostrato un primo piano di una tavola di punteggio seguito da un uomo che solleva un set pesante di pesi.")</f>
        <v>Viene mostrato un primo piano di una tavola di punteggio seguito da un uomo che solleva un set pesante di pesi.</v>
      </c>
    </row>
    <row r="22198">
      <c r="A22198" s="4" t="s">
        <v>27941</v>
      </c>
      <c r="B22198" s="4" t="s">
        <v>27943</v>
      </c>
      <c r="C22198" s="5" t="str">
        <f>IFERROR(__xludf.DUMMYFUNCTION("GOOGLETRANSLATE(B22198,""en"",""it"")"),"L'uomo se lo solleva sopra la testa e il suo punteggio è stato mostrato in seguito.")</f>
        <v>L'uomo se lo solleva sopra la testa e il suo punteggio è stato mostrato in seguito.</v>
      </c>
    </row>
    <row r="22199">
      <c r="A22199" s="4" t="s">
        <v>27941</v>
      </c>
      <c r="B22199" s="4" t="s">
        <v>27944</v>
      </c>
      <c r="C22199" s="5" t="str">
        <f>IFERROR(__xludf.DUMMYFUNCTION("GOOGLETRANSLATE(B22199,""en"",""it"")"),"Lo fa diverse volte.")</f>
        <v>Lo fa diverse volte.</v>
      </c>
    </row>
    <row r="22200">
      <c r="A22200" s="4" t="s">
        <v>27945</v>
      </c>
      <c r="B22200" s="4" t="s">
        <v>27946</v>
      </c>
      <c r="C22200" s="5" t="str">
        <f>IFERROR(__xludf.DUMMYFUNCTION("GOOGLETRANSLATE(B22200,""en"",""it"")"),"Diversi cani sono in un parco.")</f>
        <v>Diversi cani sono in un parco.</v>
      </c>
    </row>
    <row r="22201">
      <c r="A22201" s="4" t="s">
        <v>27945</v>
      </c>
      <c r="B22201" s="4" t="s">
        <v>27947</v>
      </c>
      <c r="C22201" s="5" t="str">
        <f>IFERROR(__xludf.DUMMYFUNCTION("GOOGLETRANSLATE(B22201,""en"",""it"")"),"I loro proprietari parlano del.")</f>
        <v>I loro proprietari parlano del.</v>
      </c>
    </row>
    <row r="22202">
      <c r="A22202" s="4" t="s">
        <v>27945</v>
      </c>
      <c r="B22202" s="4" t="s">
        <v>27948</v>
      </c>
      <c r="C22202" s="5" t="str">
        <f>IFERROR(__xludf.DUMMYFUNCTION("GOOGLETRANSLATE(B22202,""en"",""it"")"),"Diversi fornitori sono istituiti in tende.")</f>
        <v>Diversi fornitori sono istituiti in tende.</v>
      </c>
    </row>
    <row r="22203">
      <c r="A22203" s="4" t="s">
        <v>27945</v>
      </c>
      <c r="B22203" s="4" t="s">
        <v>27949</v>
      </c>
      <c r="C22203" s="5" t="str">
        <f>IFERROR(__xludf.DUMMYFUNCTION("GOOGLETRANSLATE(B22203,""en"",""it"")"),"I propri filieri camminano in giro per i cani.")</f>
        <v>I propri filieri camminano in giro per i cani.</v>
      </c>
    </row>
    <row r="22204">
      <c r="A22204" s="4" t="s">
        <v>27950</v>
      </c>
      <c r="B22204" s="4" t="s">
        <v>27951</v>
      </c>
      <c r="C22204" s="5" t="str">
        <f>IFERROR(__xludf.DUMMYFUNCTION("GOOGLETRANSLATE(B22204,""en"",""it"")"),"Un uomo è seduto dietro un laptop.")</f>
        <v>Un uomo è seduto dietro un laptop.</v>
      </c>
    </row>
    <row r="22205">
      <c r="A22205" s="4" t="s">
        <v>27950</v>
      </c>
      <c r="B22205" s="4" t="s">
        <v>27952</v>
      </c>
      <c r="C22205" s="5" t="str">
        <f>IFERROR(__xludf.DUMMYFUNCTION("GOOGLETRANSLATE(B22205,""en"",""it"")"),"Si toglie un contatto dagli occhi.")</f>
        <v>Si toglie un contatto dagli occhi.</v>
      </c>
    </row>
    <row r="22206">
      <c r="A22206" s="4" t="s">
        <v>27950</v>
      </c>
      <c r="B22206" s="4" t="s">
        <v>27953</v>
      </c>
      <c r="C22206" s="5" t="str">
        <f>IFERROR(__xludf.DUMMYFUNCTION("GOOGLETRANSLATE(B22206,""en"",""it"")"),"Si strofina gli occhi prima di rimetterlo dentro.")</f>
        <v>Si strofina gli occhi prima di rimetterlo dentro.</v>
      </c>
    </row>
    <row r="22207">
      <c r="A22207" s="4" t="s">
        <v>27954</v>
      </c>
      <c r="B22207" s="4" t="s">
        <v>27955</v>
      </c>
      <c r="C22207" s="5" t="str">
        <f>IFERROR(__xludf.DUMMYFUNCTION("GOOGLETRANSLATE(B22207,""en"",""it"")"),"Un gruppo di persone sta imparando a rollerblade.")</f>
        <v>Un gruppo di persone sta imparando a rollerblade.</v>
      </c>
    </row>
    <row r="22208">
      <c r="A22208" s="4" t="s">
        <v>27954</v>
      </c>
      <c r="B22208" s="4" t="s">
        <v>27956</v>
      </c>
      <c r="C22208" s="5" t="str">
        <f>IFERROR(__xludf.DUMMYFUNCTION("GOOGLETRANSLATE(B22208,""en"",""it"")"),"Alcune persone vanno in gruppo, ma generalmente sono lente e imbarazzanti.")</f>
        <v>Alcune persone vanno in gruppo, ma generalmente sono lente e imbarazzanti.</v>
      </c>
    </row>
    <row r="22209">
      <c r="A22209" s="4" t="s">
        <v>27957</v>
      </c>
      <c r="B22209" s="4" t="s">
        <v>27958</v>
      </c>
      <c r="C22209" s="5" t="str">
        <f>IFERROR(__xludf.DUMMYFUNCTION("GOOGLETRANSLATE(B22209,""en"",""it"")"),"Una donna viene mostrata a parlare nella sua cucina.")</f>
        <v>Una donna viene mostrata a parlare nella sua cucina.</v>
      </c>
    </row>
    <row r="22210">
      <c r="A22210" s="4" t="s">
        <v>27957</v>
      </c>
      <c r="B22210" s="4" t="s">
        <v>27959</v>
      </c>
      <c r="C22210" s="5" t="str">
        <f>IFERROR(__xludf.DUMMYFUNCTION("GOOGLETRANSLATE(B22210,""en"",""it"")"),"Riempi una ciotola di burro, farina e zucchero e aggiunge uova.")</f>
        <v>Riempi una ciotola di burro, farina e zucchero e aggiunge uova.</v>
      </c>
    </row>
    <row r="22211">
      <c r="A22211" s="4" t="s">
        <v>27957</v>
      </c>
      <c r="B22211" s="4" t="s">
        <v>27960</v>
      </c>
      <c r="C22211" s="5" t="str">
        <f>IFERROR(__xludf.DUMMYFUNCTION("GOOGLETRANSLATE(B22211,""en"",""it"")"),"Crea un impasto e poi fa e produce un lotto di biscotti.")</f>
        <v>Crea un impasto e poi fa e produce un lotto di biscotti.</v>
      </c>
    </row>
    <row r="22212">
      <c r="A22212" s="4" t="s">
        <v>27961</v>
      </c>
      <c r="B22212" s="4" t="s">
        <v>27962</v>
      </c>
      <c r="C22212" s="5" t="str">
        <f>IFERROR(__xludf.DUMMYFUNCTION("GOOGLETRANSLATE(B22212,""en"",""it"")"),"Una ragazza sta attraversando le barre delle scimmie.")</f>
        <v>Una ragazza sta attraversando le barre delle scimmie.</v>
      </c>
    </row>
    <row r="22213">
      <c r="A22213" s="4" t="s">
        <v>27961</v>
      </c>
      <c r="B22213" s="4" t="s">
        <v>27963</v>
      </c>
      <c r="C22213" s="5" t="str">
        <f>IFERROR(__xludf.DUMMYFUNCTION("GOOGLETRANSLATE(B22213,""en"",""it"")"),"Una ragazza con una camicia gialla è in piedi a terra a guardare.")</f>
        <v>Una ragazza con una camicia gialla è in piedi a terra a guardare.</v>
      </c>
    </row>
    <row r="22214">
      <c r="A22214" s="4" t="s">
        <v>27961</v>
      </c>
      <c r="B22214" s="4" t="s">
        <v>27964</v>
      </c>
      <c r="C22214" s="5" t="str">
        <f>IFERROR(__xludf.DUMMYFUNCTION("GOOGLETRANSLATE(B22214,""en"",""it"")"),"Una ragazza su una camicia blu si trova in un parco giochi.")</f>
        <v>Una ragazza su una camicia blu si trova in un parco giochi.</v>
      </c>
    </row>
    <row r="22215">
      <c r="A22215" s="4" t="s">
        <v>27965</v>
      </c>
      <c r="B22215" s="4" t="s">
        <v>27966</v>
      </c>
      <c r="C22215" s="5" t="str">
        <f>IFERROR(__xludf.DUMMYFUNCTION("GOOGLETRANSLATE(B22215,""en"",""it"")"),"Una donna viene vista seduta su una canoa quando un uomo la spinge e si arrampica sulla schiena.")</f>
        <v>Una donna viene vista seduta su una canoa quando un uomo la spinge e si arrampica sulla schiena.</v>
      </c>
    </row>
    <row r="22216">
      <c r="A22216" s="4" t="s">
        <v>27965</v>
      </c>
      <c r="B22216" s="4" t="s">
        <v>27967</v>
      </c>
      <c r="C22216" s="5" t="str">
        <f>IFERROR(__xludf.DUMMYFUNCTION("GOOGLETRANSLATE(B22216,""en"",""it"")"),"L'uomo viene visto andare in giro e guardare l'ambiente circostante mentre l'uomo dietro le pagaie.")</f>
        <v>L'uomo viene visto andare in giro e guardare l'ambiente circostante mentre l'uomo dietro le pagaie.</v>
      </c>
    </row>
    <row r="22217">
      <c r="A22217" s="4" t="s">
        <v>27965</v>
      </c>
      <c r="B22217" s="4" t="s">
        <v>27968</v>
      </c>
      <c r="C22217" s="5" t="str">
        <f>IFERROR(__xludf.DUMMYFUNCTION("GOOGLETRANSLATE(B22217,""en"",""it"")"),"La donna continua a sedersi e guardarle intorno agli alberi e alle attrazioni.")</f>
        <v>La donna continua a sedersi e guardarle intorno agli alberi e alle attrazioni.</v>
      </c>
    </row>
    <row r="22218">
      <c r="A22218" s="4" t="s">
        <v>27969</v>
      </c>
      <c r="B22218" s="4" t="s">
        <v>27970</v>
      </c>
      <c r="C22218" s="5" t="str">
        <f>IFERROR(__xludf.DUMMYFUNCTION("GOOGLETRANSLATE(B22218,""en"",""it"")"),"Un uomo si sta facendo trafiggere l'orecchio da un altro individuo che ha solo le mani nella cornice.")</f>
        <v>Un uomo si sta facendo trafiggere l'orecchio da un altro individuo che ha solo le mani nella cornice.</v>
      </c>
    </row>
    <row r="22219">
      <c r="A22219" s="4" t="s">
        <v>27969</v>
      </c>
      <c r="B22219" s="4" t="s">
        <v>27971</v>
      </c>
      <c r="C22219" s="5" t="str">
        <f>IFERROR(__xludf.DUMMYFUNCTION("GOOGLETRANSLATE(B22219,""en"",""it"")"),"Il secondo individuo spinge un carrello dietro il primo individuo.")</f>
        <v>Il secondo individuo spinge un carrello dietro il primo individuo.</v>
      </c>
    </row>
    <row r="22220">
      <c r="A22220" s="4" t="s">
        <v>27969</v>
      </c>
      <c r="B22220" s="4" t="s">
        <v>27972</v>
      </c>
      <c r="C22220" s="5" t="str">
        <f>IFERROR(__xludf.DUMMYFUNCTION("GOOGLETRANSLATE(B22220,""en"",""it"")"),"La fotocamera si concentra sul primo individuo.")</f>
        <v>La fotocamera si concentra sul primo individuo.</v>
      </c>
    </row>
    <row r="22221">
      <c r="A22221" s="4" t="s">
        <v>27969</v>
      </c>
      <c r="B22221" s="4" t="s">
        <v>27973</v>
      </c>
      <c r="C22221" s="5" t="str">
        <f>IFERROR(__xludf.DUMMYFUNCTION("GOOGLETRANSLATE(B22221,""en"",""it"")"),"Il secondo individuo trafigge l'altro orecchio del primo uomo.")</f>
        <v>Il secondo individuo trafigge l'altro orecchio del primo uomo.</v>
      </c>
    </row>
    <row r="22222">
      <c r="A22222" s="4" t="s">
        <v>27974</v>
      </c>
      <c r="B22222" s="4" t="s">
        <v>1487</v>
      </c>
      <c r="C22222" s="5" t="str">
        <f>IFERROR(__xludf.DUMMYFUNCTION("GOOGLETRANSLATE(B22222,""en"",""it"")"),"Vediamo una schermata del titolo di apertura.")</f>
        <v>Vediamo una schermata del titolo di apertura.</v>
      </c>
    </row>
    <row r="22223">
      <c r="A22223" s="4" t="s">
        <v>27974</v>
      </c>
      <c r="B22223" s="4" t="s">
        <v>27975</v>
      </c>
      <c r="C22223" s="5" t="str">
        <f>IFERROR(__xludf.DUMMYFUNCTION("GOOGLETRANSLATE(B22223,""en"",""it"")"),"Vediamo una signora che lavare i vestiti a mano all'aperto.")</f>
        <v>Vediamo una signora che lavare i vestiti a mano all'aperto.</v>
      </c>
    </row>
    <row r="22224">
      <c r="A22224" s="4" t="s">
        <v>27974</v>
      </c>
      <c r="B22224" s="4" t="s">
        <v>27976</v>
      </c>
      <c r="C22224" s="5" t="str">
        <f>IFERROR(__xludf.DUMMYFUNCTION("GOOGLETRANSLATE(B22224,""en"",""it"")"),"La signora versa acqua sui vestiti da una ciotola.")</f>
        <v>La signora versa acqua sui vestiti da una ciotola.</v>
      </c>
    </row>
    <row r="22225">
      <c r="A22225" s="4" t="s">
        <v>27974</v>
      </c>
      <c r="B22225" s="4" t="s">
        <v>27977</v>
      </c>
      <c r="C22225" s="5" t="str">
        <f>IFERROR(__xludf.DUMMYFUNCTION("GOOGLETRANSLATE(B22225,""en"",""it"")"),"La signora si spinge indietro i capelli.")</f>
        <v>La signora si spinge indietro i capelli.</v>
      </c>
    </row>
    <row r="22226">
      <c r="A22226" s="4" t="s">
        <v>27974</v>
      </c>
      <c r="B22226" s="4" t="s">
        <v>27978</v>
      </c>
      <c r="C22226" s="5" t="str">
        <f>IFERROR(__xludf.DUMMYFUNCTION("GOOGLETRANSLATE(B22226,""en"",""it"")"),"La signora versa più acqua sui vestiti.")</f>
        <v>La signora versa più acqua sui vestiti.</v>
      </c>
    </row>
    <row r="22227">
      <c r="A22227" s="4" t="s">
        <v>27974</v>
      </c>
      <c r="B22227" s="4" t="s">
        <v>2892</v>
      </c>
      <c r="C22227" s="5" t="str">
        <f>IFERROR(__xludf.DUMMYFUNCTION("GOOGLETRANSLATE(B22227,""en"",""it"")"),"Vediamo la schermata del titolo di chiusura.")</f>
        <v>Vediamo la schermata del titolo di chiusura.</v>
      </c>
    </row>
    <row r="22228">
      <c r="A22228" s="4" t="s">
        <v>27979</v>
      </c>
      <c r="B22228" s="4" t="s">
        <v>27980</v>
      </c>
      <c r="C22228" s="5" t="str">
        <f>IFERROR(__xludf.DUMMYFUNCTION("GOOGLETRANSLATE(B22228,""en"",""it"")"),"Un uomo è fuori a raschiare il ghiaccio dai finestrini della sua auto.")</f>
        <v>Un uomo è fuori a raschiare il ghiaccio dai finestrini della sua auto.</v>
      </c>
    </row>
    <row r="22229">
      <c r="A22229" s="4" t="s">
        <v>27979</v>
      </c>
      <c r="B22229" s="4" t="s">
        <v>27981</v>
      </c>
      <c r="C22229" s="5" t="str">
        <f>IFERROR(__xludf.DUMMYFUNCTION("GOOGLETRANSLATE(B22229,""en"",""it"")"),"Una volta che ha finito, mette lo strumento sul retro del sedile e sale in macchina.")</f>
        <v>Una volta che ha finito, mette lo strumento sul retro del sedile e sale in macchina.</v>
      </c>
    </row>
    <row r="22230">
      <c r="A22230" s="4" t="s">
        <v>27982</v>
      </c>
      <c r="B22230" s="4" t="s">
        <v>27983</v>
      </c>
      <c r="C22230" s="5" t="str">
        <f>IFERROR(__xludf.DUMMYFUNCTION("GOOGLETRANSLATE(B22230,""en"",""it"")"),"Viene vista una persona preparare un bere da vicino, seguito da lui che parla con gli altri su una montagna.")</f>
        <v>Viene vista una persona preparare un bere da vicino, seguito da lui che parla con gli altri su una montagna.</v>
      </c>
    </row>
    <row r="22231">
      <c r="A22231" s="4" t="s">
        <v>27982</v>
      </c>
      <c r="B22231" s="4" t="s">
        <v>27984</v>
      </c>
      <c r="C22231" s="5" t="str">
        <f>IFERROR(__xludf.DUMMYFUNCTION("GOOGLETRANSLATE(B22231,""en"",""it"")"),"Vengono mostrati più colpi dell'uomo che beve qualcosa e parla con gli altri.")</f>
        <v>Vengono mostrati più colpi dell'uomo che beve qualcosa e parla con gli altri.</v>
      </c>
    </row>
    <row r="22232">
      <c r="A22232" s="4" t="s">
        <v>27982</v>
      </c>
      <c r="B22232" s="4" t="s">
        <v>27985</v>
      </c>
      <c r="C22232" s="5" t="str">
        <f>IFERROR(__xludf.DUMMYFUNCTION("GOOGLETRANSLATE(B22232,""en"",""it"")"),"L'uomo ha un altro drink e gioca a piscina seguita da una loro foto.")</f>
        <v>L'uomo ha un altro drink e gioca a piscina seguita da una loro foto.</v>
      </c>
    </row>
    <row r="22233">
      <c r="A22233" s="4" t="s">
        <v>27986</v>
      </c>
      <c r="B22233" s="4" t="s">
        <v>27987</v>
      </c>
      <c r="C22233" s="5" t="str">
        <f>IFERROR(__xludf.DUMMYFUNCTION("GOOGLETRANSLATE(B22233,""en"",""it"")"),"Una signora è seduta e suona il piano.")</f>
        <v>Una signora è seduta e suona il piano.</v>
      </c>
    </row>
    <row r="22234">
      <c r="A22234" s="4" t="s">
        <v>27986</v>
      </c>
      <c r="B22234" s="4" t="s">
        <v>27988</v>
      </c>
      <c r="C22234" s="5" t="str">
        <f>IFERROR(__xludf.DUMMYFUNCTION("GOOGLETRANSLATE(B22234,""en"",""it"")"),"Un ragazzo è in piedi e suona un sassofono.")</f>
        <v>Un ragazzo è in piedi e suona un sassofono.</v>
      </c>
    </row>
    <row r="22235">
      <c r="A22235" s="4" t="s">
        <v>27986</v>
      </c>
      <c r="B22235" s="4" t="s">
        <v>27989</v>
      </c>
      <c r="C22235" s="5" t="str">
        <f>IFERROR(__xludf.DUMMYFUNCTION("GOOGLETRANSLATE(B22235,""en"",""it"")"),"La signora e il ragazzo si esibiscono sullo stesso palco, insieme.")</f>
        <v>La signora e il ragazzo si esibiscono sullo stesso palco, insieme.</v>
      </c>
    </row>
    <row r="22236">
      <c r="A22236" s="4" t="s">
        <v>27986</v>
      </c>
      <c r="B22236" s="4" t="s">
        <v>27990</v>
      </c>
      <c r="C22236" s="5" t="str">
        <f>IFERROR(__xludf.DUMMYFUNCTION("GOOGLETRANSLATE(B22236,""en"",""it"")"),"La signora e il ragazzo smettono di giocare.")</f>
        <v>La signora e il ragazzo smettono di giocare.</v>
      </c>
    </row>
    <row r="22237">
      <c r="A22237" s="4" t="s">
        <v>27991</v>
      </c>
      <c r="B22237" s="4" t="s">
        <v>27992</v>
      </c>
      <c r="C22237" s="5" t="str">
        <f>IFERROR(__xludf.DUMMYFUNCTION("GOOGLETRANSLATE(B22237,""en"",""it"")"),"Un uomo e un ragazzino giocano a badminton in un campo indoor.")</f>
        <v>Un uomo e un ragazzino giocano a badminton in un campo indoor.</v>
      </c>
    </row>
    <row r="22238">
      <c r="A22238" s="4" t="s">
        <v>27991</v>
      </c>
      <c r="B22238" s="4" t="s">
        <v>27993</v>
      </c>
      <c r="C22238" s="5" t="str">
        <f>IFERROR(__xludf.DUMMYFUNCTION("GOOGLETRANSLATE(B22238,""en"",""it"")"),"Il bambino serve e restituisce bene la palla.")</f>
        <v>Il bambino serve e restituisce bene la palla.</v>
      </c>
    </row>
    <row r="22239">
      <c r="A22239" s="4" t="s">
        <v>27991</v>
      </c>
      <c r="B22239" s="6" t="s">
        <v>27994</v>
      </c>
      <c r="C22239" s="5" t="str">
        <f>IFERROR(__xludf.DUMMYFUNCTION("GOOGLETRANSLATE(B22239,""en"",""it"")"),"Il ragazzino manca una palla che termina in rete, poi l'uomo recupera la palla e continuano a giocare.")</f>
        <v>Il ragazzino manca una palla che termina in rete, poi l'uomo recupera la palla e continuano a giocare.</v>
      </c>
    </row>
    <row r="22240">
      <c r="A22240" s="4" t="s">
        <v>27995</v>
      </c>
      <c r="B22240" s="4" t="s">
        <v>27996</v>
      </c>
      <c r="C22240" s="5" t="str">
        <f>IFERROR(__xludf.DUMMYFUNCTION("GOOGLETRANSLATE(B22240,""en"",""it"")"),"Due giovani motociclisti si siedono sulle bici e salutano su una scia di sterra.")</f>
        <v>Due giovani motociclisti si siedono sulle bici e salutano su una scia di sterra.</v>
      </c>
    </row>
    <row r="22241">
      <c r="A22241" s="4" t="s">
        <v>27995</v>
      </c>
      <c r="B22241" s="4" t="s">
        <v>27997</v>
      </c>
      <c r="C22241" s="5" t="str">
        <f>IFERROR(__xludf.DUMMYFUNCTION("GOOGLETRANSLATE(B22241,""en"",""it"")"),"I ragazzi vanno le loro bici per salti sui sentieri.")</f>
        <v>I ragazzi vanno le loro bici per salti sui sentieri.</v>
      </c>
    </row>
    <row r="22242">
      <c r="A22242" s="4" t="s">
        <v>27995</v>
      </c>
      <c r="B22242" s="4" t="s">
        <v>27998</v>
      </c>
      <c r="C22242" s="5" t="str">
        <f>IFERROR(__xludf.DUMMYFUNCTION("GOOGLETRANSLATE(B22242,""en"",""it"")"),"Un giovane pilota salta una rampa e stringe il manubrio con i piedi.")</f>
        <v>Un giovane pilota salta una rampa e stringe il manubrio con i piedi.</v>
      </c>
    </row>
    <row r="22243">
      <c r="A22243" s="4" t="s">
        <v>27995</v>
      </c>
      <c r="B22243" s="4" t="s">
        <v>27999</v>
      </c>
      <c r="C22243" s="5" t="str">
        <f>IFERROR(__xludf.DUMMYFUNCTION("GOOGLETRANSLATE(B22243,""en"",""it"")"),"Il ragazzo guarisce i clic e calcia i piedi sul lato della motocicletta a mezz'aria.")</f>
        <v>Il ragazzo guarisce i clic e calcia i piedi sul lato della motocicletta a mezz'aria.</v>
      </c>
    </row>
    <row r="22244">
      <c r="A22244" s="4" t="s">
        <v>28000</v>
      </c>
      <c r="B22244" s="6" t="s">
        <v>28001</v>
      </c>
      <c r="C22244" s="5" t="str">
        <f>IFERROR(__xludf.DUMMYFUNCTION("GOOGLETRANSLATE(B22244,""en"",""it"")"),"Una ragazza con i capelli ricci disordinati è in piedi davanti al lavandino che pulirà un piatto con una spugna blu.")</f>
        <v>Una ragazza con i capelli ricci disordinati è in piedi davanti al lavandino che pulirà un piatto con una spugna blu.</v>
      </c>
    </row>
    <row r="22245">
      <c r="A22245" s="4" t="s">
        <v>28000</v>
      </c>
      <c r="B22245" s="4" t="s">
        <v>28002</v>
      </c>
      <c r="C22245" s="5" t="str">
        <f>IFERROR(__xludf.DUMMYFUNCTION("GOOGLETRANSLATE(B22245,""en"",""it"")"),"Quindi sciacqua la parte superiore del piatto e la consegna a qualcuno in piedi dietro di lei.")</f>
        <v>Quindi sciacqua la parte superiore del piatto e la consegna a qualcuno in piedi dietro di lei.</v>
      </c>
    </row>
    <row r="22246">
      <c r="A22246" s="4" t="s">
        <v>28000</v>
      </c>
      <c r="B22246" s="6" t="s">
        <v>28003</v>
      </c>
      <c r="C22246" s="5" t="str">
        <f>IFERROR(__xludf.DUMMYFUNCTION("GOOGLETRANSLATE(B22246,""en"",""it"")"),"Mentre afferra il piatto successivo, qualcuno arriva e mette un altro piatto nel lavandino mentre continua a scaricare acqua dentro e fuori dal contenitore.")</f>
        <v>Mentre afferra il piatto successivo, qualcuno arriva e mette un altro piatto nel lavandino mentre continua a scaricare acqua dentro e fuori dal contenitore.</v>
      </c>
    </row>
    <row r="22247">
      <c r="A22247" s="4" t="s">
        <v>28004</v>
      </c>
      <c r="B22247" s="4" t="s">
        <v>28005</v>
      </c>
      <c r="C22247" s="5" t="str">
        <f>IFERROR(__xludf.DUMMYFUNCTION("GOOGLETRANSLATE(B22247,""en"",""it"")"),"Un uomo è seduto a suonare un sassofono.")</f>
        <v>Un uomo è seduto a suonare un sassofono.</v>
      </c>
    </row>
    <row r="22248">
      <c r="A22248" s="4" t="s">
        <v>28004</v>
      </c>
      <c r="B22248" s="4" t="s">
        <v>28006</v>
      </c>
      <c r="C22248" s="5" t="str">
        <f>IFERROR(__xludf.DUMMYFUNCTION("GOOGLETRANSLATE(B22248,""en"",""it"")"),"Smette di suonare il sassofono e parla.")</f>
        <v>Smette di suonare il sassofono e parla.</v>
      </c>
    </row>
    <row r="22249">
      <c r="A22249" s="4" t="s">
        <v>28004</v>
      </c>
      <c r="B22249" s="4" t="s">
        <v>28007</v>
      </c>
      <c r="C22249" s="5" t="str">
        <f>IFERROR(__xludf.DUMMYFUNCTION("GOOGLETRANSLATE(B22249,""en"",""it"")"),"Si alza e continua a suonare il sassofono.")</f>
        <v>Si alza e continua a suonare il sassofono.</v>
      </c>
    </row>
    <row r="22250">
      <c r="A22250" s="4" t="s">
        <v>28008</v>
      </c>
      <c r="B22250" s="6" t="s">
        <v>28009</v>
      </c>
      <c r="C22250" s="5" t="str">
        <f>IFERROR(__xludf.DUMMYFUNCTION("GOOGLETRANSLATE(B22250,""en"",""it"")"),"Un'introduzione colorata con molte parole lampeggianti lampeggiano sullo schermo insieme a un logo e uno stendardo con una lingua straniera scritta su di esso.")</f>
        <v>Un'introduzione colorata con molte parole lampeggianti lampeggiano sullo schermo insieme a un logo e uno stendardo con una lingua straniera scritta su di esso.</v>
      </c>
    </row>
    <row r="22251">
      <c r="A22251" s="4" t="s">
        <v>28008</v>
      </c>
      <c r="B22251" s="6" t="s">
        <v>28010</v>
      </c>
      <c r="C22251" s="5" t="str">
        <f>IFERROR(__xludf.DUMMYFUNCTION("GOOGLETRANSLATE(B22251,""en"",""it"")"),"Una donna vestita con un abito arancione e rosso e la sciarpa è in piedi e parla ha in mano la carta bianca.")</f>
        <v>Una donna vestita con un abito arancione e rosso e la sciarpa è in piedi e parla ha in mano la carta bianca.</v>
      </c>
    </row>
    <row r="22252">
      <c r="A22252" s="4" t="s">
        <v>28008</v>
      </c>
      <c r="B22252" s="6" t="s">
        <v>28011</v>
      </c>
      <c r="C22252" s="5" t="str">
        <f>IFERROR(__xludf.DUMMYFUNCTION("GOOGLETRANSLATE(B22252,""en"",""it"")"),"La donna non è più mostrata e ci sono varie immagini che lampeggiano che sembrano riguardare l'autolavaggio di velocità.")</f>
        <v>La donna non è più mostrata e ci sono varie immagini che lampeggiano che sembrano riguardare l'autolavaggio di velocità.</v>
      </c>
    </row>
    <row r="22253">
      <c r="A22253" s="4" t="s">
        <v>28008</v>
      </c>
      <c r="B22253" s="6" t="s">
        <v>28012</v>
      </c>
      <c r="C22253" s="5" t="str">
        <f>IFERROR(__xludf.DUMMYFUNCTION("GOOGLETRANSLATE(B22253,""en"",""it"")"),"Cominciano alcuni brevi video clip e si svolgono tutti presso la compagnia di autolavaggio di velocità dove guidano le auto, vengono mostrati prodotti, un uomo sta lavando un'auto e varie persone parlano insieme o da solo.")</f>
        <v>Cominciano alcuni brevi video clip e si svolgono tutti presso la compagnia di autolavaggio di velocità dove guidano le auto, vengono mostrati prodotti, un uomo sta lavando un'auto e varie persone parlano insieme o da solo.</v>
      </c>
    </row>
    <row r="22254">
      <c r="A22254" s="4" t="s">
        <v>28008</v>
      </c>
      <c r="B22254" s="6" t="s">
        <v>28013</v>
      </c>
      <c r="C22254" s="5" t="str">
        <f>IFERROR(__xludf.DUMMYFUNCTION("GOOGLETRANSLATE(B22254,""en"",""it"")"),"La donna di prima che è vestita con un abito arancione e rosso appare di nuovo e tiene ancora la carta bianca mentre parla.")</f>
        <v>La donna di prima che è vestita con un abito arancione e rosso appare di nuovo e tiene ancora la carta bianca mentre parla.</v>
      </c>
    </row>
    <row r="22255">
      <c r="A22255" s="4" t="s">
        <v>28008</v>
      </c>
      <c r="B22255" s="4" t="s">
        <v>28014</v>
      </c>
      <c r="C22255" s="5" t="str">
        <f>IFERROR(__xludf.DUMMYFUNCTION("GOOGLETRANSLATE(B22255,""en"",""it"")"),"Le parole lampeggianti appaiono dopo che la donna sta parlando e continua fino alla fine.")</f>
        <v>Le parole lampeggianti appaiono dopo che la donna sta parlando e continua fino alla fine.</v>
      </c>
    </row>
    <row r="22256">
      <c r="A22256" s="4" t="s">
        <v>28015</v>
      </c>
      <c r="B22256" s="4" t="s">
        <v>28016</v>
      </c>
      <c r="C22256" s="5" t="str">
        <f>IFERROR(__xludf.DUMMYFUNCTION("GOOGLETRANSLATE(B22256,""en"",""it"")"),"Un molo è mostrato in spiaggia, con persone che camminano accanto a essa.")</f>
        <v>Un molo è mostrato in spiaggia, con persone che camminano accanto a essa.</v>
      </c>
    </row>
    <row r="22257">
      <c r="A22257" s="4" t="s">
        <v>28015</v>
      </c>
      <c r="B22257" s="4" t="s">
        <v>28017</v>
      </c>
      <c r="C22257" s="5" t="str">
        <f>IFERROR(__xludf.DUMMYFUNCTION("GOOGLETRANSLATE(B22257,""en"",""it"")"),"Molte immagini sono mostrate da una donna che lega un paio di pattini.")</f>
        <v>Molte immagini sono mostrate da una donna che lega un paio di pattini.</v>
      </c>
    </row>
    <row r="22258">
      <c r="A22258" s="4" t="s">
        <v>28015</v>
      </c>
      <c r="B22258" s="4" t="s">
        <v>28018</v>
      </c>
      <c r="C22258" s="5" t="str">
        <f>IFERROR(__xludf.DUMMYFUNCTION("GOOGLETRANSLATE(B22258,""en"",""it"")"),"Pattina e vediamo biciclette, persone che li cavalcano, palme e ruote di Ferris.")</f>
        <v>Pattina e vediamo biciclette, persone che li cavalcano, palme e ruote di Ferris.</v>
      </c>
    </row>
    <row r="22259">
      <c r="A22259" s="4" t="s">
        <v>28015</v>
      </c>
      <c r="B22259" s="4" t="s">
        <v>28019</v>
      </c>
      <c r="C22259" s="5" t="str">
        <f>IFERROR(__xludf.DUMMYFUNCTION("GOOGLETRANSLATE(B22259,""en"",""it"")"),"Seguiamo la donna mentre pattina a fianco di tavole da surf e altre persone.")</f>
        <v>Seguiamo la donna mentre pattina a fianco di tavole da surf e altre persone.</v>
      </c>
    </row>
    <row r="22260">
      <c r="A22260" s="4" t="s">
        <v>28020</v>
      </c>
      <c r="B22260" s="4" t="s">
        <v>28021</v>
      </c>
      <c r="C22260" s="5" t="str">
        <f>IFERROR(__xludf.DUMMYFUNCTION("GOOGLETRANSLATE(B22260,""en"",""it"")"),"Un uomo e una donna ballano in un ristorante pieno di persone.")</f>
        <v>Un uomo e una donna ballano in un ristorante pieno di persone.</v>
      </c>
    </row>
    <row r="22261">
      <c r="A22261" s="4" t="s">
        <v>28020</v>
      </c>
      <c r="B22261" s="6" t="s">
        <v>28022</v>
      </c>
      <c r="C22261" s="5" t="str">
        <f>IFERROR(__xludf.DUMMYFUNCTION("GOOGLETRANSLATE(B22261,""en"",""it"")"),"La donna si avvicina a un giovane maschio e si tocca la faccia, poi l'uomo si arrabbia e spinge la donna che finisce sulle sue braccia e continua a ballare.")</f>
        <v>La donna si avvicina a un giovane maschio e si tocca la faccia, poi l'uomo si arrabbia e spinge la donna che finisce sulle sue braccia e continua a ballare.</v>
      </c>
    </row>
    <row r="22262">
      <c r="A22262" s="4" t="s">
        <v>28020</v>
      </c>
      <c r="B22262" s="4" t="s">
        <v>28023</v>
      </c>
      <c r="C22262" s="5" t="str">
        <f>IFERROR(__xludf.DUMMYFUNCTION("GOOGLETRANSLATE(B22262,""en"",""it"")"),"Un fuoco appare sul pavimento.")</f>
        <v>Un fuoco appare sul pavimento.</v>
      </c>
    </row>
    <row r="22263">
      <c r="A22263" s="4" t="s">
        <v>28020</v>
      </c>
      <c r="B22263" s="4" t="s">
        <v>28024</v>
      </c>
      <c r="C22263" s="5" t="str">
        <f>IFERROR(__xludf.DUMMYFUNCTION("GOOGLETRANSLATE(B22263,""en"",""it"")"),"Un uomo mette due bastoncini sul naso mentre una donna guarda con sorpresa.")</f>
        <v>Un uomo mette due bastoncini sul naso mentre una donna guarda con sorpresa.</v>
      </c>
    </row>
    <row r="22264">
      <c r="A22264" s="4" t="s">
        <v>28020</v>
      </c>
      <c r="B22264" s="6" t="s">
        <v>28025</v>
      </c>
      <c r="C22264" s="5" t="str">
        <f>IFERROR(__xludf.DUMMYFUNCTION("GOOGLETRANSLATE(B22264,""en"",""it"")"),"L'uomo aiuta una donna a illuminare una sigaretta, poi si lancia e prende una tovaglia rossa per fare trucchi, l'uomo e la donna continua a ballare fino a quando si baciano mentre il liquido esce dalle bottiglie e appare la luna alla fine.")</f>
        <v>L'uomo aiuta una donna a illuminare una sigaretta, poi si lancia e prende una tovaglia rossa per fare trucchi, l'uomo e la donna continua a ballare fino a quando si baciano mentre il liquido esce dalle bottiglie e appare la luna alla fine.</v>
      </c>
    </row>
    <row r="22265">
      <c r="A22265" s="4" t="s">
        <v>28026</v>
      </c>
      <c r="B22265" s="4" t="s">
        <v>28027</v>
      </c>
      <c r="C22265" s="5" t="str">
        <f>IFERROR(__xludf.DUMMYFUNCTION("GOOGLETRANSLATE(B22265,""en"",""it"")"),"Una bambina si asciuga l'acqua su tutto il viso.")</f>
        <v>Una bambina si asciuga l'acqua su tutto il viso.</v>
      </c>
    </row>
    <row r="22266">
      <c r="A22266" s="4" t="s">
        <v>28026</v>
      </c>
      <c r="B22266" s="4" t="s">
        <v>28028</v>
      </c>
      <c r="C22266" s="5" t="str">
        <f>IFERROR(__xludf.DUMMYFUNCTION("GOOGLETRANSLATE(B22266,""en"",""it"")"),"Guarda la telecamera e sorride mentre continua a lavarsi il viso.")</f>
        <v>Guarda la telecamera e sorride mentre continua a lavarsi il viso.</v>
      </c>
    </row>
    <row r="22267">
      <c r="A22267" s="4" t="s">
        <v>28026</v>
      </c>
      <c r="B22267" s="4" t="s">
        <v>28029</v>
      </c>
      <c r="C22267" s="5" t="str">
        <f>IFERROR(__xludf.DUMMYFUNCTION("GOOGLETRANSLATE(B22267,""en"",""it"")"),"Accende leggermente la lingua alla telecamera.")</f>
        <v>Accende leggermente la lingua alla telecamera.</v>
      </c>
    </row>
    <row r="22268">
      <c r="A22268" s="4" t="s">
        <v>28030</v>
      </c>
      <c r="B22268" s="6" t="s">
        <v>28031</v>
      </c>
      <c r="C22268" s="5" t="str">
        <f>IFERROR(__xludf.DUMMYFUNCTION("GOOGLETRANSLATE(B22268,""en"",""it"")"),"Le persone si stanno divertendo a giocare con le pistole a sfera di verniciatura in modi interessanti, alcune cavalcano le macchine e altri sono a terra sparando palline di verniciatura.")</f>
        <v>Le persone si stanno divertendo a giocare con le pistole a sfera di verniciatura in modi interessanti, alcune cavalcano le macchine e altri sono a terra sparando palline di verniciatura.</v>
      </c>
    </row>
    <row r="22269">
      <c r="A22269" s="4" t="s">
        <v>28030</v>
      </c>
      <c r="B22269" s="4" t="s">
        <v>28032</v>
      </c>
      <c r="C22269" s="5" t="str">
        <f>IFERROR(__xludf.DUMMYFUNCTION("GOOGLETRANSLATE(B22269,""en"",""it"")"),"Ci sono persone in motociclette e in aria in paracadute si divertono.")</f>
        <v>Ci sono persone in motociclette e in aria in paracadute si divertono.</v>
      </c>
    </row>
    <row r="22270">
      <c r="A22270" s="4" t="s">
        <v>28030</v>
      </c>
      <c r="B22270" s="4" t="s">
        <v>28033</v>
      </c>
      <c r="C22270" s="5" t="str">
        <f>IFERROR(__xludf.DUMMYFUNCTION("GOOGLETRANSLATE(B22270,""en"",""it"")"),"Un ragazzo sembra avere un lanciarazzi a palla di vernice e spara a un ragazzo con esso.")</f>
        <v>Un ragazzo sembra avere un lanciarazzi a palla di vernice e spara a un ragazzo con esso.</v>
      </c>
    </row>
    <row r="22271">
      <c r="A22271" s="4" t="s">
        <v>28030</v>
      </c>
      <c r="B22271" s="4" t="s">
        <v>28034</v>
      </c>
      <c r="C22271" s="5" t="str">
        <f>IFERROR(__xludf.DUMMYFUNCTION("GOOGLETRANSLATE(B22271,""en"",""it"")"),"Ci sono anche persone su pattini per motori.")</f>
        <v>Ci sono anche persone su pattini per motori.</v>
      </c>
    </row>
    <row r="22272">
      <c r="A22272" s="4" t="s">
        <v>28030</v>
      </c>
      <c r="B22272" s="6" t="s">
        <v>28035</v>
      </c>
      <c r="C22272" s="5" t="str">
        <f>IFERROR(__xludf.DUMMYFUNCTION("GOOGLETRANSLATE(B22272,""en"",""it"")"),"Mostrano che un gruppo di persone è arrivato in cima a una piccola collina per piantare la bandiera e molti compagni di squadra sono stati sconfitti.")</f>
        <v>Mostrano che un gruppo di persone è arrivato in cima a una piccola collina per piantare la bandiera e molti compagni di squadra sono stati sconfitti.</v>
      </c>
    </row>
    <row r="22273">
      <c r="A22273" s="4" t="s">
        <v>28036</v>
      </c>
      <c r="B22273" s="6" t="s">
        <v>28037</v>
      </c>
      <c r="C22273" s="5" t="str">
        <f>IFERROR(__xludf.DUMMYFUNCTION("GOOGLETRANSLATE(B22273,""en"",""it"")"),"Due ragazze vestite con una camicia rossa e gli spanx neri si piegano per la preparazione per un gioco da pallavolo.")</f>
        <v>Due ragazze vestite con una camicia rossa e gli spanx neri si piegano per la preparazione per un gioco da pallavolo.</v>
      </c>
    </row>
    <row r="22274">
      <c r="A22274" s="4" t="s">
        <v>28036</v>
      </c>
      <c r="B22274" s="4" t="s">
        <v>28038</v>
      </c>
      <c r="C22274" s="5" t="str">
        <f>IFERROR(__xludf.DUMMYFUNCTION("GOOGLETRANSLATE(B22274,""en"",""it"")"),"L'altra squadra è mostrata dall'altra parte della rete e servono la palla.")</f>
        <v>L'altra squadra è mostrata dall'altra parte della rete e servono la palla.</v>
      </c>
    </row>
    <row r="22275">
      <c r="A22275" s="4" t="s">
        <v>28036</v>
      </c>
      <c r="B22275" s="4" t="s">
        <v>28039</v>
      </c>
      <c r="C22275" s="5" t="str">
        <f>IFERROR(__xludf.DUMMYFUNCTION("GOOGLETRANSLATE(B22275,""en"",""it"")"),"Entrambe le ragazze iniziano a giocare, colpisce la palla e la ragazza applaude mentre guadagnano un punto.")</f>
        <v>Entrambe le ragazze iniziano a giocare, colpisce la palla e la ragazza applaude mentre guadagnano un punto.</v>
      </c>
    </row>
    <row r="22276">
      <c r="A22276" s="4" t="s">
        <v>28040</v>
      </c>
      <c r="B22276" s="6" t="s">
        <v>28041</v>
      </c>
      <c r="C22276" s="5" t="str">
        <f>IFERROR(__xludf.DUMMYFUNCTION("GOOGLETRANSLATE(B22276,""en"",""it"")"),"Ci sono molte squadre diverse che remi molto velocemente in un corpo d'acqua molto grande che è all'aperto, circondato da molti alberi e molti edifici.")</f>
        <v>Ci sono molte squadre diverse che remi molto velocemente in un corpo d'acqua molto grande che è all'aperto, circondato da molti alberi e molti edifici.</v>
      </c>
    </row>
    <row r="22277">
      <c r="A22277" s="4" t="s">
        <v>28040</v>
      </c>
      <c r="B22277" s="6" t="s">
        <v>28042</v>
      </c>
      <c r="C22277" s="5" t="str">
        <f>IFERROR(__xludf.DUMMYFUNCTION("GOOGLETRANSLATE(B22277,""en"",""it"")"),"Ora l'attenzione è rivolta alle canoe che ci sono solo una donna e stanno correndo su un'altra proprio come hanno fatto le squadre, ma sono soli e hanno numeri dietro di loro.")</f>
        <v>Ora l'attenzione è rivolta alle canoe che ci sono solo una donna e stanno correndo su un'altra proprio come hanno fatto le squadre, ma sono soli e hanno numeri dietro di loro.</v>
      </c>
    </row>
    <row r="22278">
      <c r="A22278" s="4" t="s">
        <v>28040</v>
      </c>
      <c r="B22278" s="6" t="s">
        <v>28043</v>
      </c>
      <c r="C22278" s="5" t="str">
        <f>IFERROR(__xludf.DUMMYFUNCTION("GOOGLETRANSLATE(B22278,""en"",""it"")"),"Ora stanno mostrando canoe con due uomini che corrono e stanno anche remando molto velocemente, e poi le squadre di 4 uomini iniziano a correre.")</f>
        <v>Ora stanno mostrando canoe con due uomini che corrono e stanno anche remando molto velocemente, e poi le squadre di 4 uomini iniziano a correre.</v>
      </c>
    </row>
    <row r="22279">
      <c r="A22279" s="4" t="s">
        <v>28040</v>
      </c>
      <c r="B22279" s="6" t="s">
        <v>28044</v>
      </c>
      <c r="C22279" s="5" t="str">
        <f>IFERROR(__xludf.DUMMYFUNCTION("GOOGLETRANSLATE(B22279,""en"",""it"")"),"Quando hanno finito di correre, ora vengono mostrati a camminare da un uomo e una donna che mettono medaglie su nastri attorno a uomini e donne che si avvicinano a lui.")</f>
        <v>Quando hanno finito di correre, ora vengono mostrati a camminare da un uomo e una donna che mettono medaglie su nastri attorno a uomini e donne che si avvicinano a lui.</v>
      </c>
    </row>
    <row r="22280">
      <c r="A22280" s="4" t="s">
        <v>28040</v>
      </c>
      <c r="B22280" s="4" t="s">
        <v>28045</v>
      </c>
      <c r="C22280" s="5" t="str">
        <f>IFERROR(__xludf.DUMMYFUNCTION("GOOGLETRANSLATE(B22280,""en"",""it"")"),"Quando le medaglie sono state tutte fornite, l'elenco dei vincitori inizia a visualizzare su schermi diversi.")</f>
        <v>Quando le medaglie sono state tutte fornite, l'elenco dei vincitori inizia a visualizzare su schermi diversi.</v>
      </c>
    </row>
    <row r="22281">
      <c r="A22281" s="4" t="s">
        <v>28046</v>
      </c>
      <c r="B22281" s="4" t="s">
        <v>28047</v>
      </c>
      <c r="C22281" s="5" t="str">
        <f>IFERROR(__xludf.DUMMYFUNCTION("GOOGLETRANSLATE(B22281,""en"",""it"")"),"Due persone sciano giù per un pendio di montagna molto freddo e nevoso durante l'inverno.")</f>
        <v>Due persone sciano giù per un pendio di montagna molto freddo e nevoso durante l'inverno.</v>
      </c>
    </row>
    <row r="22282">
      <c r="A22282" s="4" t="s">
        <v>28046</v>
      </c>
      <c r="B22282" s="4" t="s">
        <v>28048</v>
      </c>
      <c r="C22282" s="5" t="str">
        <f>IFERROR(__xludf.DUMMYFUNCTION("GOOGLETRANSLATE(B22282,""en"",""it"")"),"Andando a sinistra e a destra e iniziando a costruire un po 'più di velocità mentre vanno.")</f>
        <v>Andando a sinistra e a destra e iniziando a costruire un po 'più di velocità mentre vanno.</v>
      </c>
    </row>
    <row r="22283">
      <c r="A22283" s="4" t="s">
        <v>28046</v>
      </c>
      <c r="B22283" s="6" t="s">
        <v>28049</v>
      </c>
      <c r="C22283" s="5" t="str">
        <f>IFERROR(__xludf.DUMMYFUNCTION("GOOGLETRANSLATE(B22283,""en"",""it"")"),"Uno di loro cade e ancora muoversi lungo il pendio finisce per correre in un altro sciatore che lo fa cadere anche.")</f>
        <v>Uno di loro cade e ancora muoversi lungo il pendio finisce per correre in un altro sciatore che lo fa cadere anche.</v>
      </c>
    </row>
    <row r="22284">
      <c r="A22284" s="4" t="s">
        <v>28046</v>
      </c>
      <c r="B22284" s="4" t="s">
        <v>28050</v>
      </c>
      <c r="C22284" s="5" t="str">
        <f>IFERROR(__xludf.DUMMYFUNCTION("GOOGLETRANSLATE(B22284,""en"",""it"")"),"Cercano di afferrare le mani e finalmente si fermano.")</f>
        <v>Cercano di afferrare le mani e finalmente si fermano.</v>
      </c>
    </row>
    <row r="22285">
      <c r="A22285" s="4" t="s">
        <v>28051</v>
      </c>
      <c r="B22285" s="4" t="s">
        <v>28052</v>
      </c>
      <c r="C22285" s="5" t="str">
        <f>IFERROR(__xludf.DUMMYFUNCTION("GOOGLETRANSLATE(B22285,""en"",""it"")"),"Vediamo la scrittura verde su uno schermo del titolo nero.")</f>
        <v>Vediamo la scrittura verde su uno schermo del titolo nero.</v>
      </c>
    </row>
    <row r="22286">
      <c r="A22286" s="4" t="s">
        <v>28051</v>
      </c>
      <c r="B22286" s="6" t="s">
        <v>28053</v>
      </c>
      <c r="C22286" s="5" t="str">
        <f>IFERROR(__xludf.DUMMYFUNCTION("GOOGLETRANSLATE(B22286,""en"",""it"")"),"Una signora in un reggiseno di pizzo in bianco e nero si trova in una stanza nera sotto luci luminose che fumano una sigaretta.")</f>
        <v>Una signora in un reggiseno di pizzo in bianco e nero si trova in una stanza nera sotto luci luminose che fumano una sigaretta.</v>
      </c>
    </row>
    <row r="22287">
      <c r="A22287" s="4" t="s">
        <v>28051</v>
      </c>
      <c r="B22287" s="4" t="s">
        <v>27977</v>
      </c>
      <c r="C22287" s="5" t="str">
        <f>IFERROR(__xludf.DUMMYFUNCTION("GOOGLETRANSLATE(B22287,""en"",""it"")"),"La signora si spinge indietro i capelli.")</f>
        <v>La signora si spinge indietro i capelli.</v>
      </c>
    </row>
    <row r="22288">
      <c r="A22288" s="4" t="s">
        <v>28051</v>
      </c>
      <c r="B22288" s="4" t="s">
        <v>28054</v>
      </c>
      <c r="C22288" s="5" t="str">
        <f>IFERROR(__xludf.DUMMYFUNCTION("GOOGLETRANSLATE(B22288,""en"",""it"")"),"La signora regola la sua posizione sulla sedia e guarda in basso.")</f>
        <v>La signora regola la sua posizione sulla sedia e guarda in basso.</v>
      </c>
    </row>
    <row r="22289">
      <c r="A22289" s="4" t="s">
        <v>28051</v>
      </c>
      <c r="B22289" s="4" t="s">
        <v>5107</v>
      </c>
      <c r="C22289" s="5" t="str">
        <f>IFERROR(__xludf.DUMMYFUNCTION("GOOGLETRANSLATE(B22289,""en"",""it"")"),"Vediamo quindi la schermata del titolo finale.")</f>
        <v>Vediamo quindi la schermata del titolo finale.</v>
      </c>
    </row>
    <row r="22290">
      <c r="A22290" s="4" t="s">
        <v>28055</v>
      </c>
      <c r="B22290" s="4" t="s">
        <v>28056</v>
      </c>
      <c r="C22290" s="5" t="str">
        <f>IFERROR(__xludf.DUMMYFUNCTION("GOOGLETRANSLATE(B22290,""en"",""it"")"),"Una persona che indossa una maschera gioca la fisarmonica.")</f>
        <v>Una persona che indossa una maschera gioca la fisarmonica.</v>
      </c>
    </row>
    <row r="22291">
      <c r="A22291" s="4" t="s">
        <v>28055</v>
      </c>
      <c r="B22291" s="4" t="s">
        <v>28057</v>
      </c>
      <c r="C22291" s="5" t="str">
        <f>IFERROR(__xludf.DUMMYFUNCTION("GOOGLETRANSLATE(B22291,""en"",""it"")"),"Una donna saluta la persona con la telecamera.")</f>
        <v>Una donna saluta la persona con la telecamera.</v>
      </c>
    </row>
    <row r="22292">
      <c r="A22292" s="4" t="s">
        <v>28058</v>
      </c>
      <c r="B22292" s="4" t="s">
        <v>28059</v>
      </c>
      <c r="C22292" s="5" t="str">
        <f>IFERROR(__xludf.DUMMYFUNCTION("GOOGLETRANSLATE(B22292,""en"",""it"")"),"Viene mostrato un primo piano di neve che conduce a un uomo che suona la batteria.")</f>
        <v>Viene mostrato un primo piano di neve che conduce a un uomo che suona la batteria.</v>
      </c>
    </row>
    <row r="22293">
      <c r="A22293" s="4" t="s">
        <v>28058</v>
      </c>
      <c r="B22293" s="4" t="s">
        <v>28060</v>
      </c>
      <c r="C22293" s="5" t="str">
        <f>IFERROR(__xludf.DUMMYFUNCTION("GOOGLETRANSLATE(B22293,""en"",""it"")"),"L'uomo si appoggia a una serie di tamburi nella neve mentre la telecamera si muove intorno.")</f>
        <v>L'uomo si appoggia a una serie di tamburi nella neve mentre la telecamera si muove intorno.</v>
      </c>
    </row>
    <row r="22294">
      <c r="A22294" s="4" t="s">
        <v>28058</v>
      </c>
      <c r="B22294" s="4" t="s">
        <v>28061</v>
      </c>
      <c r="C22294" s="5" t="str">
        <f>IFERROR(__xludf.DUMMYFUNCTION("GOOGLETRANSLATE(B22294,""en"",""it"")"),"L'uomo suona ancora la batteria e si ferma per andarsene e guardare la telecamera.")</f>
        <v>L'uomo suona ancora la batteria e si ferma per andarsene e guardare la telecamera.</v>
      </c>
    </row>
    <row r="22295">
      <c r="A22295" s="4" t="s">
        <v>28062</v>
      </c>
      <c r="B22295" s="4" t="s">
        <v>28063</v>
      </c>
      <c r="C22295" s="5" t="str">
        <f>IFERROR(__xludf.DUMMYFUNCTION("GOOGLETRANSLATE(B22295,""en"",""it"")"),"Un uomo sta dipingendo una stanza.")</f>
        <v>Un uomo sta dipingendo una stanza.</v>
      </c>
    </row>
    <row r="22296">
      <c r="A22296" s="4" t="s">
        <v>28062</v>
      </c>
      <c r="B22296" s="4" t="s">
        <v>28064</v>
      </c>
      <c r="C22296" s="5" t="str">
        <f>IFERROR(__xludf.DUMMYFUNCTION("GOOGLETRANSLATE(B22296,""en"",""it"")"),"Si trova su molte scale per raggiungere le pareti.")</f>
        <v>Si trova su molte scale per raggiungere le pareti.</v>
      </c>
    </row>
    <row r="22297">
      <c r="A22297" s="4" t="s">
        <v>28062</v>
      </c>
      <c r="B22297" s="4" t="s">
        <v>28065</v>
      </c>
      <c r="C22297" s="5" t="str">
        <f>IFERROR(__xludf.DUMMYFUNCTION("GOOGLETRANSLATE(B22297,""en"",""it"")"),"Posa di fronte a un camino.")</f>
        <v>Posa di fronte a un camino.</v>
      </c>
    </row>
    <row r="22298">
      <c r="A22298" s="4" t="s">
        <v>28066</v>
      </c>
      <c r="B22298" s="6" t="s">
        <v>28067</v>
      </c>
      <c r="C22298" s="5" t="str">
        <f>IFERROR(__xludf.DUMMYFUNCTION("GOOGLETRANSLATE(B22298,""en"",""it"")"),"Una telecamera cattura diversi scatti di siti e persone che si trovano fuori bere e festeggiare.")</f>
        <v>Una telecamera cattura diversi scatti di siti e persone che si trovano fuori bere e festeggiare.</v>
      </c>
    </row>
    <row r="22299">
      <c r="A22299" s="4" t="s">
        <v>28066</v>
      </c>
      <c r="B22299" s="4" t="s">
        <v>28068</v>
      </c>
      <c r="C22299" s="5" t="str">
        <f>IFERROR(__xludf.DUMMYFUNCTION("GOOGLETRANSLATE(B22299,""en"",""it"")"),"Un uomo tira fuori un'erba e un drone viene visto volare in lontananza.")</f>
        <v>Un uomo tira fuori un'erba e un drone viene visto volare in lontananza.</v>
      </c>
    </row>
    <row r="22300">
      <c r="A22300" s="4" t="s">
        <v>28066</v>
      </c>
      <c r="B22300" s="6" t="s">
        <v>28069</v>
      </c>
      <c r="C22300" s="5" t="str">
        <f>IFERROR(__xludf.DUMMYFUNCTION("GOOGLETRANSLATE(B22300,""en"",""it"")"),"Le persone tentano di colpire il drone e poi sono viste guidare su un carrello da golf attorno ad altre persone.")</f>
        <v>Le persone tentano di colpire il drone e poi sono viste guidare su un carrello da golf attorno ad altre persone.</v>
      </c>
    </row>
    <row r="22301">
      <c r="A22301" s="4" t="s">
        <v>28066</v>
      </c>
      <c r="B22301" s="6" t="s">
        <v>28070</v>
      </c>
      <c r="C22301" s="5" t="str">
        <f>IFERROR(__xludf.DUMMYFUNCTION("GOOGLETRANSLATE(B22301,""en"",""it"")"),"Un uomo si presenta in un abito da guerriglia e il drone vola per le persone che giocano e vanno in giro.")</f>
        <v>Un uomo si presenta in un abito da guerriglia e il drone vola per le persone che giocano e vanno in giro.</v>
      </c>
    </row>
    <row r="22302">
      <c r="A22302" s="4" t="s">
        <v>28071</v>
      </c>
      <c r="B22302" s="6" t="s">
        <v>28072</v>
      </c>
      <c r="C22302" s="5" t="str">
        <f>IFERROR(__xludf.DUMMYFUNCTION("GOOGLETRANSLATE(B22302,""en"",""it"")"),"Una ragazza in cima bianca e jeans blu sta spazzolando la pelliccia del cavallo su un lato, poi si è mossa dall'altra parte e poi ha spazzolato la gamba.")</f>
        <v>Una ragazza in cima bianca e jeans blu sta spazzolando la pelliccia del cavallo su un lato, poi si è mossa dall'altra parte e poi ha spazzolato la gamba.</v>
      </c>
    </row>
    <row r="22303">
      <c r="A22303" s="4" t="s">
        <v>28071</v>
      </c>
      <c r="B22303" s="6" t="s">
        <v>28073</v>
      </c>
      <c r="C22303" s="5" t="str">
        <f>IFERROR(__xludf.DUMMYFUNCTION("GOOGLETRANSLATE(B22303,""en"",""it"")"),"La signora prese una bottiglia nera e spruzzava il corpo del cavallo, quindi spazzò via lo sporco dalle scarpe del cavallo, quindi mise lucidata sui piedi del cavallo.")</f>
        <v>La signora prese una bottiglia nera e spruzzava il corpo del cavallo, quindi spazzò via lo sporco dalle scarpe del cavallo, quindi mise lucidata sui piedi del cavallo.</v>
      </c>
    </row>
    <row r="22304">
      <c r="A22304" s="4" t="s">
        <v>28074</v>
      </c>
      <c r="B22304" s="4" t="s">
        <v>28075</v>
      </c>
      <c r="C22304" s="5" t="str">
        <f>IFERROR(__xludf.DUMMYFUNCTION("GOOGLETRANSLATE(B22304,""en"",""it"")"),"Un ragazzo organizza una maglietta sul pavimento.")</f>
        <v>Un ragazzo organizza una maglietta sul pavimento.</v>
      </c>
    </row>
    <row r="22305">
      <c r="A22305" s="4" t="s">
        <v>28074</v>
      </c>
      <c r="B22305" s="4" t="s">
        <v>28076</v>
      </c>
      <c r="C22305" s="5" t="str">
        <f>IFERROR(__xludf.DUMMYFUNCTION("GOOGLETRANSLATE(B22305,""en"",""it"")"),"Afferra e ferro e stirone la maglietta.")</f>
        <v>Afferra e ferro e stirone la maglietta.</v>
      </c>
    </row>
    <row r="22306">
      <c r="A22306" s="4" t="s">
        <v>28074</v>
      </c>
      <c r="B22306" s="4" t="s">
        <v>28077</v>
      </c>
      <c r="C22306" s="5" t="str">
        <f>IFERROR(__xludf.DUMMYFUNCTION("GOOGLETRANSLATE(B22306,""en"",""it"")"),"Posiziona il ferro giù e si guarda intorno nella stanza.")</f>
        <v>Posiziona il ferro giù e si guarda intorno nella stanza.</v>
      </c>
    </row>
    <row r="22307">
      <c r="A22307" s="4" t="s">
        <v>28078</v>
      </c>
      <c r="B22307" s="4" t="s">
        <v>28079</v>
      </c>
      <c r="C22307" s="5" t="str">
        <f>IFERROR(__xludf.DUMMYFUNCTION("GOOGLETRANSLATE(B22307,""en"",""it"")"),"Un giovane si trova in una stanza buia che tiene due Maraca e parla alla telecamera.")</f>
        <v>Un giovane si trova in una stanza buia che tiene due Maraca e parla alla telecamera.</v>
      </c>
    </row>
    <row r="22308">
      <c r="A22308" s="4" t="s">
        <v>28078</v>
      </c>
      <c r="B22308" s="4" t="s">
        <v>28080</v>
      </c>
      <c r="C22308" s="5" t="str">
        <f>IFERROR(__xludf.DUMMYFUNCTION("GOOGLETRANSLATE(B22308,""en"",""it"")"),"Un altro uomo cammina rimproverandolo e poi alla fine si toglie le camicie.")</f>
        <v>Un altro uomo cammina rimproverandolo e poi alla fine si toglie le camicie.</v>
      </c>
    </row>
    <row r="22309">
      <c r="A22309" s="4" t="s">
        <v>28078</v>
      </c>
      <c r="B22309" s="4" t="s">
        <v>28081</v>
      </c>
      <c r="C22309" s="5" t="str">
        <f>IFERROR(__xludf.DUMMYFUNCTION("GOOGLETRANSLATE(B22309,""en"",""it"")"),"Camminano in bagno e strofinano la crema da barba su tutte le gambe.")</f>
        <v>Camminano in bagno e strofinano la crema da barba su tutte le gambe.</v>
      </c>
    </row>
    <row r="22310">
      <c r="A22310" s="4" t="s">
        <v>28078</v>
      </c>
      <c r="B22310" s="4" t="s">
        <v>28082</v>
      </c>
      <c r="C22310" s="5" t="str">
        <f>IFERROR(__xludf.DUMMYFUNCTION("GOOGLETRANSLATE(B22310,""en"",""it"")"),"Iniziano a radersi le gambe e sollevano un rasoio che sorride alla telecamera.")</f>
        <v>Iniziano a radersi le gambe e sollevano un rasoio che sorride alla telecamera.</v>
      </c>
    </row>
    <row r="22311">
      <c r="A22311" s="4" t="s">
        <v>28083</v>
      </c>
      <c r="B22311" s="4" t="s">
        <v>28084</v>
      </c>
      <c r="C22311" s="5" t="str">
        <f>IFERROR(__xludf.DUMMYFUNCTION("GOOGLETRANSLATE(B22311,""en"",""it"")"),"Un uomo che esce fuori collega il suo tosaerba e si prepara a falciare.")</f>
        <v>Un uomo che esce fuori collega il suo tosaerba e si prepara a falciare.</v>
      </c>
    </row>
    <row r="22312">
      <c r="A22312" s="4" t="s">
        <v>28083</v>
      </c>
      <c r="B22312" s="4" t="s">
        <v>28085</v>
      </c>
      <c r="C22312" s="5" t="str">
        <f>IFERROR(__xludf.DUMMYFUNCTION("GOOGLETRANSLATE(B22312,""en"",""it"")"),"Comincia a falciare il prato casualmente superando tutta l'erba.")</f>
        <v>Comincia a falciare il prato casualmente superando tutta l'erba.</v>
      </c>
    </row>
    <row r="22313">
      <c r="A22313" s="4" t="s">
        <v>28083</v>
      </c>
      <c r="B22313" s="4" t="s">
        <v>28086</v>
      </c>
      <c r="C22313" s="5" t="str">
        <f>IFERROR(__xludf.DUMMYFUNCTION("GOOGLETRANSLATE(B22313,""en"",""it"")"),"Il suo cane esce e inizia a seguirlo un po 'mentre è più vicino alla casa.")</f>
        <v>Il suo cane esce e inizia a seguirlo un po 'mentre è più vicino alla casa.</v>
      </c>
    </row>
    <row r="22314">
      <c r="A22314" s="4" t="s">
        <v>28083</v>
      </c>
      <c r="B22314" s="6" t="s">
        <v>28087</v>
      </c>
      <c r="C22314" s="5" t="str">
        <f>IFERROR(__xludf.DUMMYFUNCTION("GOOGLETRANSLATE(B22314,""en"",""it"")"),"Il cortile sta lentamente iniziando a sembrare davvero bello, una volta che è completamente finito, il cortile sembra fantastico, bello e liscio.")</f>
        <v>Il cortile sta lentamente iniziando a sembrare davvero bello, una volta che è completamente finito, il cortile sembra fantastico, bello e liscio.</v>
      </c>
    </row>
    <row r="22315">
      <c r="A22315" s="4" t="s">
        <v>28088</v>
      </c>
      <c r="B22315" s="4" t="s">
        <v>28089</v>
      </c>
      <c r="C22315" s="5" t="str">
        <f>IFERROR(__xludf.DUMMYFUNCTION("GOOGLETRANSLATE(B22315,""en"",""it"")"),"Un uomo è in cucina a parlare.")</f>
        <v>Un uomo è in cucina a parlare.</v>
      </c>
    </row>
    <row r="22316">
      <c r="A22316" s="4" t="s">
        <v>28088</v>
      </c>
      <c r="B22316" s="4" t="s">
        <v>28090</v>
      </c>
      <c r="C22316" s="5" t="str">
        <f>IFERROR(__xludf.DUMMYFUNCTION("GOOGLETRANSLATE(B22316,""en"",""it"")"),"Usa un vuoto per pulire il pavimento.")</f>
        <v>Usa un vuoto per pulire il pavimento.</v>
      </c>
    </row>
    <row r="22317">
      <c r="A22317" s="4" t="s">
        <v>28088</v>
      </c>
      <c r="B22317" s="4" t="s">
        <v>28091</v>
      </c>
      <c r="C22317" s="5" t="str">
        <f>IFERROR(__xludf.DUMMYFUNCTION("GOOGLETRANSLATE(B22317,""en"",""it"")"),"Rimuove il filtro dal vuoto.")</f>
        <v>Rimuove il filtro dal vuoto.</v>
      </c>
    </row>
    <row r="22318">
      <c r="A22318" s="4" t="s">
        <v>28088</v>
      </c>
      <c r="B22318" s="4" t="s">
        <v>28092</v>
      </c>
      <c r="C22318" s="5" t="str">
        <f>IFERROR(__xludf.DUMMYFUNCTION("GOOGLETRANSLATE(B22318,""en"",""it"")"),"Parla un po 'di più dopo questo.")</f>
        <v>Parla un po 'di più dopo questo.</v>
      </c>
    </row>
    <row r="22319">
      <c r="A22319" s="4" t="s">
        <v>28093</v>
      </c>
      <c r="B22319" s="4" t="s">
        <v>28094</v>
      </c>
      <c r="C22319" s="5" t="str">
        <f>IFERROR(__xludf.DUMMYFUNCTION("GOOGLETRANSLATE(B22319,""en"",""it"")"),"Un uomo di mezza età parla mentre tiene un mop.")</f>
        <v>Un uomo di mezza età parla mentre tiene un mop.</v>
      </c>
    </row>
    <row r="22320">
      <c r="A22320" s="4" t="s">
        <v>28093</v>
      </c>
      <c r="B22320" s="4" t="s">
        <v>28095</v>
      </c>
      <c r="C22320" s="5" t="str">
        <f>IFERROR(__xludf.DUMMYFUNCTION("GOOGLETRANSLATE(B22320,""en"",""it"")"),"L'uomo lancia un tampone sul pavimento e mette la scopa su di esso raccogliendo il pad.")</f>
        <v>L'uomo lancia un tampone sul pavimento e mette la scopa su di esso raccogliendo il pad.</v>
      </c>
    </row>
    <row r="22321">
      <c r="A22321" s="4" t="s">
        <v>28093</v>
      </c>
      <c r="B22321" s="4" t="s">
        <v>28096</v>
      </c>
      <c r="C22321" s="5" t="str">
        <f>IFERROR(__xludf.DUMMYFUNCTION("GOOGLETRANSLATE(B22321,""en"",""it"")"),"L'uomo gira intorno alla stanza che pulisce il pavimento.")</f>
        <v>L'uomo gira intorno alla stanza che pulisce il pavimento.</v>
      </c>
    </row>
    <row r="22322">
      <c r="A22322" s="4" t="s">
        <v>28093</v>
      </c>
      <c r="B22322" s="4" t="s">
        <v>28097</v>
      </c>
      <c r="C22322" s="5" t="str">
        <f>IFERROR(__xludf.DUMMYFUNCTION("GOOGLETRANSLATE(B22322,""en"",""it"")"),"Lo stesso uomo è in piedi in una cucina.")</f>
        <v>Lo stesso uomo è in piedi in una cucina.</v>
      </c>
    </row>
    <row r="22323">
      <c r="A22323" s="4" t="s">
        <v>28093</v>
      </c>
      <c r="B22323" s="4" t="s">
        <v>28098</v>
      </c>
      <c r="C22323" s="5" t="str">
        <f>IFERROR(__xludf.DUMMYFUNCTION("GOOGLETRANSLATE(B22323,""en"",""it"")"),"L'uomo corre in acqua sul pad del moun e poi lo strappa.")</f>
        <v>L'uomo corre in acqua sul pad del moun e poi lo strappa.</v>
      </c>
    </row>
    <row r="22324">
      <c r="A22324" s="4" t="s">
        <v>28093</v>
      </c>
      <c r="B22324" s="4" t="s">
        <v>28099</v>
      </c>
      <c r="C22324" s="5" t="str">
        <f>IFERROR(__xludf.DUMMYFUNCTION("GOOGLETRANSLATE(B22324,""en"",""it"")"),"L'uomo lancia di nuovo il pad di mov sul pavimento e lo raccoglie con la scopa.")</f>
        <v>L'uomo lancia di nuovo il pad di mov sul pavimento e lo raccoglie con la scopa.</v>
      </c>
    </row>
    <row r="22325">
      <c r="A22325" s="4" t="s">
        <v>28093</v>
      </c>
      <c r="B22325" s="4" t="s">
        <v>28100</v>
      </c>
      <c r="C22325" s="5" t="str">
        <f>IFERROR(__xludf.DUMMYFUNCTION("GOOGLETRANSLATE(B22325,""en"",""it"")"),"L'uomo fa il pavimento che gira intorno ai mobili.")</f>
        <v>L'uomo fa il pavimento che gira intorno ai mobili.</v>
      </c>
    </row>
    <row r="22326">
      <c r="A22326" s="4" t="s">
        <v>28101</v>
      </c>
      <c r="B22326" s="4" t="s">
        <v>28102</v>
      </c>
      <c r="C22326" s="5" t="str">
        <f>IFERROR(__xludf.DUMMYFUNCTION("GOOGLETRANSLATE(B22326,""en"",""it"")"),"Un uomo anziano sta usando un allenatore ellittico all'interno di una palestra.")</f>
        <v>Un uomo anziano sta usando un allenatore ellittico all'interno di una palestra.</v>
      </c>
    </row>
    <row r="22327">
      <c r="A22327" s="4" t="s">
        <v>28101</v>
      </c>
      <c r="B22327" s="4" t="s">
        <v>28103</v>
      </c>
      <c r="C22327" s="5" t="str">
        <f>IFERROR(__xludf.DUMMYFUNCTION("GOOGLETRANSLATE(B22327,""en"",""it"")"),"Poscia e spinge avanti e indietro mentre parla con la persona con la telecamera.")</f>
        <v>Poscia e spinge avanti e indietro mentre parla con la persona con la telecamera.</v>
      </c>
    </row>
    <row r="22328">
      <c r="A22328" s="4" t="s">
        <v>28104</v>
      </c>
      <c r="B22328" s="4" t="s">
        <v>28105</v>
      </c>
      <c r="C22328" s="5" t="str">
        <f>IFERROR(__xludf.DUMMYFUNCTION("GOOGLETRANSLATE(B22328,""en"",""it"")"),"Un gruppo è pigramente fluttuante su intertubi in un fiume.")</f>
        <v>Un gruppo è pigramente fluttuante su intertubi in un fiume.</v>
      </c>
    </row>
    <row r="22329">
      <c r="A22329" s="4" t="s">
        <v>28104</v>
      </c>
      <c r="B22329" s="4" t="s">
        <v>28106</v>
      </c>
      <c r="C22329" s="5" t="str">
        <f>IFERROR(__xludf.DUMMYFUNCTION("GOOGLETRANSLATE(B22329,""en"",""it"")"),"Le persone si tengono per mano in modo da stare insieme.")</f>
        <v>Le persone si tengono per mano in modo da stare insieme.</v>
      </c>
    </row>
    <row r="22330">
      <c r="A22330" s="4" t="s">
        <v>28104</v>
      </c>
      <c r="B22330" s="4" t="s">
        <v>28107</v>
      </c>
      <c r="C22330" s="5" t="str">
        <f>IFERROR(__xludf.DUMMYFUNCTION("GOOGLETRANSLATE(B22330,""en"",""it"")"),"Fluttuano nell'acqua sotto la pioggia, attraverso le rapide.")</f>
        <v>Fluttuano nell'acqua sotto la pioggia, attraverso le rapide.</v>
      </c>
    </row>
    <row r="22331">
      <c r="A22331" s="4" t="s">
        <v>28108</v>
      </c>
      <c r="B22331" s="4" t="s">
        <v>4448</v>
      </c>
      <c r="C22331" s="5" t="str">
        <f>IFERROR(__xludf.DUMMYFUNCTION("GOOGLETRANSLATE(B22331,""en"",""it"")"),"Vediamo la schermata del titolo di apertura.")</f>
        <v>Vediamo la schermata del titolo di apertura.</v>
      </c>
    </row>
    <row r="22332">
      <c r="A22332" s="4" t="s">
        <v>28108</v>
      </c>
      <c r="B22332" s="4" t="s">
        <v>28109</v>
      </c>
      <c r="C22332" s="5" t="str">
        <f>IFERROR(__xludf.DUMMYFUNCTION("GOOGLETRANSLATE(B22332,""en"",""it"")"),"Vediamo l'oceano e un'isola nell'acqua.")</f>
        <v>Vediamo l'oceano e un'isola nell'acqua.</v>
      </c>
    </row>
    <row r="22333">
      <c r="A22333" s="4" t="s">
        <v>28108</v>
      </c>
      <c r="B22333" s="4" t="s">
        <v>28110</v>
      </c>
      <c r="C22333" s="5" t="str">
        <f>IFERROR(__xludf.DUMMYFUNCTION("GOOGLETRANSLATE(B22333,""en"",""it"")"),"Vediamo una persona che keitesurf in acqua.")</f>
        <v>Vediamo una persona che keitesurf in acqua.</v>
      </c>
    </row>
    <row r="22334">
      <c r="A22334" s="4" t="s">
        <v>28108</v>
      </c>
      <c r="B22334" s="4" t="s">
        <v>28111</v>
      </c>
      <c r="C22334" s="5" t="str">
        <f>IFERROR(__xludf.DUMMYFUNCTION("GOOGLETRANSLATE(B22334,""en"",""it"")"),"Vediamo quindi due persone che kitesurf.")</f>
        <v>Vediamo quindi due persone che kitesurf.</v>
      </c>
    </row>
    <row r="22335">
      <c r="A22335" s="4" t="s">
        <v>28108</v>
      </c>
      <c r="B22335" s="4" t="s">
        <v>28112</v>
      </c>
      <c r="C22335" s="5" t="str">
        <f>IFERROR(__xludf.DUMMYFUNCTION("GOOGLETRANSLATE(B22335,""en"",""it"")"),"Torniamo a una sola persona che naviga.")</f>
        <v>Torniamo a una sola persona che naviga.</v>
      </c>
    </row>
    <row r="22336">
      <c r="A22336" s="4" t="s">
        <v>28108</v>
      </c>
      <c r="B22336" s="4" t="s">
        <v>28113</v>
      </c>
      <c r="C22336" s="5" t="str">
        <f>IFERROR(__xludf.DUMMYFUNCTION("GOOGLETRANSLATE(B22336,""en"",""it"")"),"Vediamo l'isola dall'alto.")</f>
        <v>Vediamo l'isola dall'alto.</v>
      </c>
    </row>
    <row r="22337">
      <c r="A22337" s="4" t="s">
        <v>28108</v>
      </c>
      <c r="B22337" s="4" t="s">
        <v>28114</v>
      </c>
      <c r="C22337" s="5" t="str">
        <f>IFERROR(__xludf.DUMMYFUNCTION("GOOGLETRANSLATE(B22337,""en"",""it"")"),"Torniamo al surfista in acqua.")</f>
        <v>Torniamo al surfista in acqua.</v>
      </c>
    </row>
    <row r="22338">
      <c r="A22338" s="4" t="s">
        <v>28108</v>
      </c>
      <c r="B22338" s="4" t="s">
        <v>10150</v>
      </c>
      <c r="C22338" s="5" t="str">
        <f>IFERROR(__xludf.DUMMYFUNCTION("GOOGLETRANSLATE(B22338,""en"",""it"")"),"Vediamo quindi la schermata del titolo di chiusura.")</f>
        <v>Vediamo quindi la schermata del titolo di chiusura.</v>
      </c>
    </row>
    <row r="22339">
      <c r="A22339" s="4" t="s">
        <v>28115</v>
      </c>
      <c r="B22339" s="4" t="s">
        <v>28116</v>
      </c>
      <c r="C22339" s="5" t="str">
        <f>IFERROR(__xludf.DUMMYFUNCTION("GOOGLETRANSLATE(B22339,""en"",""it"")"),"Un uomo tira fuori una casa mentre un cane lo segue.")</f>
        <v>Un uomo tira fuori una casa mentre un cane lo segue.</v>
      </c>
    </row>
    <row r="22340">
      <c r="A22340" s="4" t="s">
        <v>28115</v>
      </c>
      <c r="B22340" s="4" t="s">
        <v>28117</v>
      </c>
      <c r="C22340" s="5" t="str">
        <f>IFERROR(__xludf.DUMMYFUNCTION("GOOGLETRANSLATE(B22340,""en"",""it"")"),"Quindi un bambino esce di casa, alzati al confine con la piscina e cade in acqua.")</f>
        <v>Quindi un bambino esce di casa, alzati al confine con la piscina e cade in acqua.</v>
      </c>
    </row>
    <row r="22341">
      <c r="A22341" s="4" t="s">
        <v>28115</v>
      </c>
      <c r="B22341" s="4" t="s">
        <v>28118</v>
      </c>
      <c r="C22341" s="5" t="str">
        <f>IFERROR(__xludf.DUMMYFUNCTION("GOOGLETRANSLATE(B22341,""en"",""it"")"),"Il bambino galleggia a faccia in su, poi un uomo viene e prendi il bambino.")</f>
        <v>Il bambino galleggia a faccia in su, poi un uomo viene e prendi il bambino.</v>
      </c>
    </row>
    <row r="22342">
      <c r="A22342" s="4" t="s">
        <v>28115</v>
      </c>
      <c r="B22342" s="6" t="s">
        <v>28119</v>
      </c>
      <c r="C22342" s="5" t="str">
        <f>IFERROR(__xludf.DUMMYFUNCTION("GOOGLETRANSLATE(B22342,""en"",""it"")"),"Una donna mette un bambino in piscina e il bambino nuota velocemente per raggiungere il confine della piscina.")</f>
        <v>Una donna mette un bambino in piscina e il bambino nuota velocemente per raggiungere il confine della piscina.</v>
      </c>
    </row>
    <row r="22343">
      <c r="A22343" s="4" t="s">
        <v>28115</v>
      </c>
      <c r="B22343" s="4" t="s">
        <v>28120</v>
      </c>
      <c r="C22343" s="5" t="str">
        <f>IFERROR(__xludf.DUMMYFUNCTION("GOOGLETRANSLATE(B22343,""en"",""it"")"),"Una donna mette il bambino nella piscina che oscilla e galleggia.")</f>
        <v>Una donna mette il bambino nella piscina che oscilla e galleggia.</v>
      </c>
    </row>
    <row r="22344">
      <c r="A22344" s="4" t="s">
        <v>28121</v>
      </c>
      <c r="B22344" s="4" t="s">
        <v>28122</v>
      </c>
      <c r="C22344" s="5" t="str">
        <f>IFERROR(__xludf.DUMMYFUNCTION("GOOGLETRANSLATE(B22344,""en"",""it"")"),"Due donne sono di fronte a una macchina fotografica, la donna con la camicia rossa sta parlando.")</f>
        <v>Due donne sono di fronte a una macchina fotografica, la donna con la camicia rossa sta parlando.</v>
      </c>
    </row>
    <row r="22345">
      <c r="A22345" s="4" t="s">
        <v>28121</v>
      </c>
      <c r="B22345" s="4" t="s">
        <v>28123</v>
      </c>
      <c r="C22345" s="5" t="str">
        <f>IFERROR(__xludf.DUMMYFUNCTION("GOOGLETRANSLATE(B22345,""en"",""it"")"),"Le donne mettono entrambe qualcosa da una tazza lì in bocca.")</f>
        <v>Le donne mettono entrambe qualcosa da una tazza lì in bocca.</v>
      </c>
    </row>
    <row r="22346">
      <c r="A22346" s="4" t="s">
        <v>28121</v>
      </c>
      <c r="B22346" s="4" t="s">
        <v>28124</v>
      </c>
      <c r="C22346" s="5" t="str">
        <f>IFERROR(__xludf.DUMMYFUNCTION("GOOGLETRANSLATE(B22346,""en"",""it"")"),"La donna in rosso inizia a ballare.")</f>
        <v>La donna in rosso inizia a ballare.</v>
      </c>
    </row>
    <row r="22347">
      <c r="A22347" s="4" t="s">
        <v>28121</v>
      </c>
      <c r="B22347" s="4" t="s">
        <v>28125</v>
      </c>
      <c r="C22347" s="5" t="str">
        <f>IFERROR(__xludf.DUMMYFUNCTION("GOOGLETRANSLATE(B22347,""en"",""it"")"),"La donna in nero fa una faccia alla telecamera.")</f>
        <v>La donna in nero fa una faccia alla telecamera.</v>
      </c>
    </row>
    <row r="22348">
      <c r="A22348" s="4" t="s">
        <v>28121</v>
      </c>
      <c r="B22348" s="4" t="s">
        <v>28126</v>
      </c>
      <c r="C22348" s="5" t="str">
        <f>IFERROR(__xludf.DUMMYFUNCTION("GOOGLETRANSLATE(B22348,""en"",""it"")"),"Entrambe le ragazze si piegano un po 'davanti alla telecamera.")</f>
        <v>Entrambe le ragazze si piegano un po 'davanti alla telecamera.</v>
      </c>
    </row>
    <row r="22349">
      <c r="A22349" s="4" t="s">
        <v>28121</v>
      </c>
      <c r="B22349" s="4" t="s">
        <v>28127</v>
      </c>
      <c r="C22349" s="5" t="str">
        <f>IFERROR(__xludf.DUMMYFUNCTION("GOOGLETRANSLATE(B22349,""en"",""it"")"),"La donna in rosso smette di ballare e inizia a ridere e anche la donna in nero fa.")</f>
        <v>La donna in rosso smette di ballare e inizia a ridere e anche la donna in nero fa.</v>
      </c>
    </row>
    <row r="22350">
      <c r="A22350" s="4" t="s">
        <v>28121</v>
      </c>
      <c r="B22350" s="4" t="s">
        <v>28128</v>
      </c>
      <c r="C22350" s="5" t="str">
        <f>IFERROR(__xludf.DUMMYFUNCTION("GOOGLETRANSLATE(B22350,""en"",""it"")"),"Sembra che entrambe le donne deglutiscono o sputino tutto ciò che era in bocca.")</f>
        <v>Sembra che entrambe le donne deglutiscono o sputino tutto ciò che era in bocca.</v>
      </c>
    </row>
    <row r="22351">
      <c r="A22351" s="4" t="s">
        <v>28129</v>
      </c>
      <c r="B22351" s="4" t="s">
        <v>28130</v>
      </c>
      <c r="C22351" s="5" t="str">
        <f>IFERROR(__xludf.DUMMYFUNCTION("GOOGLETRANSLATE(B22351,""en"",""it"")"),"Viene visto un bambino che parla con la telecamera mentre indossa le mits del forno e tiene in mano un bastone.")</f>
        <v>Viene visto un bambino che parla con la telecamera mentre indossa le mits del forno e tiene in mano un bastone.</v>
      </c>
    </row>
    <row r="22352">
      <c r="A22352" s="4" t="s">
        <v>28129</v>
      </c>
      <c r="B22352" s="4" t="s">
        <v>28131</v>
      </c>
      <c r="C22352" s="5" t="str">
        <f>IFERROR(__xludf.DUMMYFUNCTION("GOOGLETRANSLATE(B22352,""en"",""it"")"),"Il ragazzo quindi si apre e una porta del forno e tira fuori un piatto di biscotti.")</f>
        <v>Il ragazzo quindi si apre e una porta del forno e tira fuori un piatto di biscotti.</v>
      </c>
    </row>
    <row r="22353">
      <c r="A22353" s="4" t="s">
        <v>28129</v>
      </c>
      <c r="B22353" s="4" t="s">
        <v>28132</v>
      </c>
      <c r="C22353" s="5" t="str">
        <f>IFERROR(__xludf.DUMMYFUNCTION("GOOGLETRANSLATE(B22353,""en"",""it"")"),"Usa il bastone per spingere indietro il rack e chiude il forno mentre le onde alla fotocamera.")</f>
        <v>Usa il bastone per spingere indietro il rack e chiude il forno mentre le onde alla fotocamera.</v>
      </c>
    </row>
    <row r="22354">
      <c r="A22354" s="4" t="s">
        <v>28133</v>
      </c>
      <c r="B22354" s="4" t="s">
        <v>28134</v>
      </c>
      <c r="C22354" s="5" t="str">
        <f>IFERROR(__xludf.DUMMYFUNCTION("GOOGLETRANSLATE(B22354,""en"",""it"")"),"Un uomo con una camicia gialla ha le mani dietro la testa.")</f>
        <v>Un uomo con una camicia gialla ha le mani dietro la testa.</v>
      </c>
    </row>
    <row r="22355">
      <c r="A22355" s="4" t="s">
        <v>28133</v>
      </c>
      <c r="B22355" s="4" t="s">
        <v>28135</v>
      </c>
      <c r="C22355" s="5" t="str">
        <f>IFERROR(__xludf.DUMMYFUNCTION("GOOGLETRANSLATE(B22355,""en"",""it"")"),"Sta correndo su una pista e lancia un giavellotto.")</f>
        <v>Sta correndo su una pista e lancia un giavellotto.</v>
      </c>
    </row>
    <row r="22356">
      <c r="A22356" s="4" t="s">
        <v>28133</v>
      </c>
      <c r="B22356" s="4" t="s">
        <v>28136</v>
      </c>
      <c r="C22356" s="5" t="str">
        <f>IFERROR(__xludf.DUMMYFUNCTION("GOOGLETRANSLATE(B22356,""en"",""it"")"),"Fa inciampare e cade in avanti.")</f>
        <v>Fa inciampare e cade in avanti.</v>
      </c>
    </row>
    <row r="22357">
      <c r="A22357" s="4" t="s">
        <v>28133</v>
      </c>
      <c r="B22357" s="4" t="s">
        <v>28137</v>
      </c>
      <c r="C22357" s="5" t="str">
        <f>IFERROR(__xludf.DUMMYFUNCTION("GOOGLETRANSLATE(B22357,""en"",""it"")"),"Uno scatto del campo è spettacoli con molte persone che lo camminano.")</f>
        <v>Uno scatto del campo è spettacoli con molte persone che lo camminano.</v>
      </c>
    </row>
    <row r="22358">
      <c r="A22358" s="4" t="s">
        <v>28138</v>
      </c>
      <c r="B22358" s="4" t="s">
        <v>28139</v>
      </c>
      <c r="C22358" s="5" t="str">
        <f>IFERROR(__xludf.DUMMYFUNCTION("GOOGLETRANSLATE(B22358,""en"",""it"")"),"Le ginnaste si allungano e si preparano per una routine.")</f>
        <v>Le ginnaste si allungano e si preparano per una routine.</v>
      </c>
    </row>
    <row r="22359">
      <c r="A22359" s="4" t="s">
        <v>28138</v>
      </c>
      <c r="B22359" s="4" t="s">
        <v>28140</v>
      </c>
      <c r="C22359" s="5" t="str">
        <f>IFERROR(__xludf.DUMMYFUNCTION("GOOGLETRANSLATE(B22359,""en"",""it"")"),"Fanno un sacco di cose con le loro camicie.")</f>
        <v>Fanno un sacco di cose con le loro camicie.</v>
      </c>
    </row>
    <row r="22360">
      <c r="A22360" s="4" t="s">
        <v>28141</v>
      </c>
      <c r="B22360" s="4" t="s">
        <v>28142</v>
      </c>
      <c r="C22360" s="5" t="str">
        <f>IFERROR(__xludf.DUMMYFUNCTION("GOOGLETRANSLATE(B22360,""en"",""it"")"),"Due lottatori sono visti intuizioni su un anello con uno che corre verso l'altro.")</f>
        <v>Due lottatori sono visti intuizioni su un anello con uno che corre verso l'altro.</v>
      </c>
    </row>
    <row r="22361">
      <c r="A22361" s="4" t="s">
        <v>28141</v>
      </c>
      <c r="B22361" s="4" t="s">
        <v>28143</v>
      </c>
      <c r="C22361" s="5" t="str">
        <f>IFERROR(__xludf.DUMMYFUNCTION("GOOGLETRANSLATE(B22361,""en"",""it"")"),"Un wrestler afferra l'altro e lo lancia sulle spalle, quindi un riferimento colpisce il lato per toccare.")</f>
        <v>Un wrestler afferra l'altro e lo lancia sulle spalle, quindi un riferimento colpisce il lato per toccare.</v>
      </c>
    </row>
    <row r="22362">
      <c r="A22362" s="4" t="s">
        <v>28144</v>
      </c>
      <c r="B22362" s="4" t="s">
        <v>28145</v>
      </c>
      <c r="C22362" s="5" t="str">
        <f>IFERROR(__xludf.DUMMYFUNCTION("GOOGLETRANSLATE(B22362,""en"",""it"")"),"Una donna è seduta su un tappetino sul pavimento.")</f>
        <v>Una donna è seduta su un tappetino sul pavimento.</v>
      </c>
    </row>
    <row r="22363">
      <c r="A22363" s="4" t="s">
        <v>28144</v>
      </c>
      <c r="B22363" s="4" t="s">
        <v>28146</v>
      </c>
      <c r="C22363" s="5" t="str">
        <f>IFERROR(__xludf.DUMMYFUNCTION("GOOGLETRANSLATE(B22363,""en"",""it"")"),"Un uomo sta parlando di come usare un bowflex.")</f>
        <v>Un uomo sta parlando di come usare un bowflex.</v>
      </c>
    </row>
    <row r="22364">
      <c r="A22364" s="4" t="s">
        <v>28144</v>
      </c>
      <c r="B22364" s="4" t="s">
        <v>28147</v>
      </c>
      <c r="C22364" s="5" t="str">
        <f>IFERROR(__xludf.DUMMYFUNCTION("GOOGLETRANSLATE(B22364,""en"",""it"")"),"Si sdraia, facendo sede mentre continua a parlare.")</f>
        <v>Si sdraia, facendo sede mentre continua a parlare.</v>
      </c>
    </row>
    <row r="22365">
      <c r="A22365" s="4" t="s">
        <v>28148</v>
      </c>
      <c r="B22365" s="4" t="s">
        <v>28149</v>
      </c>
      <c r="C22365" s="5" t="str">
        <f>IFERROR(__xludf.DUMMYFUNCTION("GOOGLETRANSLATE(B22365,""en"",""it"")"),"Una televisione a schermo piatto è seduto su uno stand che mostra il programma televisivo Raw.")</f>
        <v>Una televisione a schermo piatto è seduto su uno stand che mostra il programma televisivo Raw.</v>
      </c>
    </row>
    <row r="22366">
      <c r="A22366" s="4" t="s">
        <v>28148</v>
      </c>
      <c r="B22366" s="4" t="s">
        <v>28150</v>
      </c>
      <c r="C22366" s="5" t="str">
        <f>IFERROR(__xludf.DUMMYFUNCTION("GOOGLETRANSLATE(B22366,""en"",""it"")"),"Nello show, due uomini stanno lottando ciascuno muovendo a terra.")</f>
        <v>Nello show, due uomini stanno lottando ciascuno muovendo a terra.</v>
      </c>
    </row>
    <row r="22367">
      <c r="A22367" s="4" t="s">
        <v>28148</v>
      </c>
      <c r="B22367" s="4" t="s">
        <v>28151</v>
      </c>
      <c r="C22367" s="5" t="str">
        <f>IFERROR(__xludf.DUMMYFUNCTION("GOOGLETRANSLATE(B22367,""en"",""it"")"),"L'uomo grasso quindi raccoglie il ragazzo magro, lo lascia cadere e gli sta supera.")</f>
        <v>L'uomo grasso quindi raccoglie il ragazzo magro, lo lascia cadere e gli sta supera.</v>
      </c>
    </row>
    <row r="22368">
      <c r="A22368" s="4" t="s">
        <v>28152</v>
      </c>
      <c r="B22368" s="4" t="s">
        <v>28153</v>
      </c>
      <c r="C22368" s="5" t="str">
        <f>IFERROR(__xludf.DUMMYFUNCTION("GOOGLETRANSLATE(B22368,""en"",""it"")"),"Una persona tiene un cane coperto di schiuma e tiene in mano una bottiglia di shampoo in un cortile.")</f>
        <v>Una persona tiene un cane coperto di schiuma e tiene in mano una bottiglia di shampoo in un cortile.</v>
      </c>
    </row>
    <row r="22369">
      <c r="A22369" s="4" t="s">
        <v>28152</v>
      </c>
      <c r="B22369" s="4" t="s">
        <v>28154</v>
      </c>
      <c r="C22369" s="5" t="str">
        <f>IFERROR(__xludf.DUMMYFUNCTION("GOOGLETRANSLATE(B22369,""en"",""it"")"),"Vediamo la persona in piedi accanto al cane e lavarlo con lo shampoo.")</f>
        <v>Vediamo la persona in piedi accanto al cane e lavarlo con lo shampoo.</v>
      </c>
    </row>
    <row r="22370">
      <c r="A22370" s="4" t="s">
        <v>28152</v>
      </c>
      <c r="B22370" s="4" t="s">
        <v>28155</v>
      </c>
      <c r="C22370" s="5" t="str">
        <f>IFERROR(__xludf.DUMMYFUNCTION("GOOGLETRANSLATE(B22370,""en"",""it"")"),"Una persona agita la mano davanti al cane.")</f>
        <v>Una persona agita la mano davanti al cane.</v>
      </c>
    </row>
    <row r="22371">
      <c r="A22371" s="4" t="s">
        <v>28152</v>
      </c>
      <c r="B22371" s="4" t="s">
        <v>28156</v>
      </c>
      <c r="C22371" s="5" t="str">
        <f>IFERROR(__xludf.DUMMYFUNCTION("GOOGLETRANSLATE(B22371,""en"",""it"")"),"La fotocamera piova e vediamo un altro cane sdraiato a terra.")</f>
        <v>La fotocamera piova e vediamo un altro cane sdraiato a terra.</v>
      </c>
    </row>
    <row r="22372">
      <c r="A22372" s="4" t="s">
        <v>28157</v>
      </c>
      <c r="B22372" s="6" t="s">
        <v>28158</v>
      </c>
      <c r="C22372" s="5" t="str">
        <f>IFERROR(__xludf.DUMMYFUNCTION("GOOGLETRANSLATE(B22372,""en"",""it"")"),"Appare uno schermo bianco con una foto di un globo e uno striscione attorno a parole gialle che dicono ""Abada-Capoeira"" e viene seguito con vari schermi bianchi che hanno una scrittura nera su ogni singolo schermo.")</f>
        <v>Appare uno schermo bianco con una foto di un globo e uno striscione attorno a parole gialle che dicono "Abada-Capoeira" e viene seguito con vari schermi bianchi che hanno una scrittura nera su ogni singolo schermo.</v>
      </c>
    </row>
    <row r="22373">
      <c r="A22373" s="4" t="s">
        <v>28157</v>
      </c>
      <c r="B22373" s="6" t="s">
        <v>28159</v>
      </c>
      <c r="C22373" s="5" t="str">
        <f>IFERROR(__xludf.DUMMYFUNCTION("GOOGLETRANSLATE(B22373,""en"",""it"")"),"Le persone che includono bambini e adulti sono raccolte in una stanza e stanno guardando un film proiettato su un grande muro.")</f>
        <v>Le persone che includono bambini e adulti sono raccolte in una stanza e stanno guardando un film proiettato su un grande muro.</v>
      </c>
    </row>
    <row r="22374">
      <c r="A22374" s="4" t="s">
        <v>28157</v>
      </c>
      <c r="B22374" s="6" t="s">
        <v>28160</v>
      </c>
      <c r="C22374" s="5" t="str">
        <f>IFERROR(__xludf.DUMMYFUNCTION("GOOGLETRANSLATE(B22374,""en"",""it"")"),"Ora ci sono persone che sono vestite di bianco e si trovano in una stanza con tappetini blu a terra e varie persone diverse tra cui adulti e bambini stanno danzando in stile Capoeira o separatamente mentre alcune persone suonano strumenti e alcune persone"&amp;" li guardano e basta .")</f>
        <v>Ora ci sono persone che sono vestite di bianco e si trovano in una stanza con tappetini blu a terra e varie persone diverse tra cui adulti e bambini stanno danzando in stile Capoeira o separatamente mentre alcune persone suonano strumenti e alcune persone li guardano e basta .</v>
      </c>
    </row>
    <row r="22375">
      <c r="A22375" s="4" t="s">
        <v>28157</v>
      </c>
      <c r="B22375" s="6" t="s">
        <v>28161</v>
      </c>
      <c r="C22375" s="5" t="str">
        <f>IFERROR(__xludf.DUMMYFUNCTION("GOOGLETRANSLATE(B22375,""en"",""it"")"),"Quando hanno finito di ballare molti bambini si accumulano su e intorno a un uomo adulto e scattano una foto di gruppo.")</f>
        <v>Quando hanno finito di ballare molti bambini si accumulano su e intorno a un uomo adulto e scattano una foto di gruppo.</v>
      </c>
    </row>
    <row r="22376">
      <c r="A22376" s="4" t="s">
        <v>28157</v>
      </c>
      <c r="B22376" s="4" t="s">
        <v>28162</v>
      </c>
      <c r="C22376" s="5" t="str">
        <f>IFERROR(__xludf.DUMMYFUNCTION("GOOGLETRANSLATE(B22376,""en"",""it"")"),"Outro appare ed è il globo, gli schermi bianchi con parole nere su ognuna e poi i loghi.")</f>
        <v>Outro appare ed è il globo, gli schermi bianchi con parole nere su ognuna e poi i loghi.</v>
      </c>
    </row>
    <row r="22377">
      <c r="A22377" s="4" t="s">
        <v>28163</v>
      </c>
      <c r="B22377" s="4" t="s">
        <v>28164</v>
      </c>
      <c r="C22377" s="5" t="str">
        <f>IFERROR(__xludf.DUMMYFUNCTION("GOOGLETRANSLATE(B22377,""en"",""it"")"),"Due sorelle di sorella entrano in cucina, poi un bambino lavare i piatti nel lavandino.")</f>
        <v>Due sorelle di sorella entrano in cucina, poi un bambino lavare i piatti nel lavandino.</v>
      </c>
    </row>
    <row r="22378">
      <c r="A22378" s="4" t="s">
        <v>28163</v>
      </c>
      <c r="B22378" s="4" t="s">
        <v>28165</v>
      </c>
      <c r="C22378" s="5" t="str">
        <f>IFERROR(__xludf.DUMMYFUNCTION("GOOGLETRANSLATE(B22378,""en"",""it"")"),"La madre mette i piatti sul lavandino e apri la lavastoviglie.")</f>
        <v>La madre mette i piatti sul lavandino e apri la lavastoviglie.</v>
      </c>
    </row>
    <row r="22379">
      <c r="A22379" s="4" t="s">
        <v>28163</v>
      </c>
      <c r="B22379" s="6" t="s">
        <v>28166</v>
      </c>
      <c r="C22379" s="5" t="str">
        <f>IFERROR(__xludf.DUMMYFUNCTION("GOOGLETRANSLATE(B22379,""en"",""it"")"),"La sorella del bambino aiuta con la lavastoviglie e quindi si arrampica sul seggiolone e aiuta a lavare i piatti e il bambino carichi la lavastoviglie.")</f>
        <v>La sorella del bambino aiuta con la lavastoviglie e quindi si arrampica sul seggiolone e aiuta a lavare i piatti e il bambino carichi la lavastoviglie.</v>
      </c>
    </row>
    <row r="22380">
      <c r="A22380" s="4" t="s">
        <v>28163</v>
      </c>
      <c r="B22380" s="4" t="s">
        <v>28167</v>
      </c>
      <c r="C22380" s="5" t="str">
        <f>IFERROR(__xludf.DUMMYFUNCTION("GOOGLETRANSLATE(B22380,""en"",""it"")"),"La madre si trova vicino al frigorifero che beve tè e mandati messaggi.")</f>
        <v>La madre si trova vicino al frigorifero che beve tè e mandati messaggi.</v>
      </c>
    </row>
    <row r="22381">
      <c r="A22381" s="4" t="s">
        <v>28163</v>
      </c>
      <c r="B22381" s="4" t="s">
        <v>28168</v>
      </c>
      <c r="C22381" s="5" t="str">
        <f>IFERROR(__xludf.DUMMYFUNCTION("GOOGLETRANSLATE(B22381,""en"",""it"")"),"La sorella Toddler scende dalla sedia e lascia la cucina.")</f>
        <v>La sorella Toddler scende dalla sedia e lascia la cucina.</v>
      </c>
    </row>
    <row r="22382">
      <c r="A22382" s="4" t="s">
        <v>28163</v>
      </c>
      <c r="B22382" s="4" t="s">
        <v>28169</v>
      </c>
      <c r="C22382" s="5" t="str">
        <f>IFERROR(__xludf.DUMMYFUNCTION("GOOGLETRANSLATE(B22382,""en"",""it"")"),"Quindi, il bambino scende dalla sedia, poi si chiude e accende la lavastoviglie.")</f>
        <v>Quindi, il bambino scende dalla sedia, poi si chiude e accende la lavastoviglie.</v>
      </c>
    </row>
    <row r="22383">
      <c r="A22383" s="4" t="s">
        <v>28170</v>
      </c>
      <c r="B22383" s="4" t="s">
        <v>28171</v>
      </c>
      <c r="C22383" s="5" t="str">
        <f>IFERROR(__xludf.DUMMYFUNCTION("GOOGLETRANSLATE(B22383,""en"",""it"")"),"Una corda è infilata tra due alberi.")</f>
        <v>Una corda è infilata tra due alberi.</v>
      </c>
    </row>
    <row r="22384">
      <c r="A22384" s="4" t="s">
        <v>28170</v>
      </c>
      <c r="B22384" s="4" t="s">
        <v>28172</v>
      </c>
      <c r="C22384" s="5" t="str">
        <f>IFERROR(__xludf.DUMMYFUNCTION("GOOGLETRANSLATE(B22384,""en"",""it"")"),"Un uomo cammina sulla corda.")</f>
        <v>Un uomo cammina sulla corda.</v>
      </c>
    </row>
    <row r="22385">
      <c r="A22385" s="4" t="s">
        <v>28170</v>
      </c>
      <c r="B22385" s="4" t="s">
        <v>28173</v>
      </c>
      <c r="C22385" s="5" t="str">
        <f>IFERROR(__xludf.DUMMYFUNCTION("GOOGLETRANSLATE(B22385,""en"",""it"")"),"Cade più volte dalla corda.")</f>
        <v>Cade più volte dalla corda.</v>
      </c>
    </row>
    <row r="22386">
      <c r="A22386" s="4" t="s">
        <v>28170</v>
      </c>
      <c r="B22386" s="4" t="s">
        <v>28174</v>
      </c>
      <c r="C22386" s="5" t="str">
        <f>IFERROR(__xludf.DUMMYFUNCTION("GOOGLETRANSLATE(B22386,""en"",""it"")"),"Alla fine è in grado di bilanciare e camminare avanti e indietro.")</f>
        <v>Alla fine è in grado di bilanciare e camminare avanti e indietro.</v>
      </c>
    </row>
    <row r="22387">
      <c r="A22387" s="4" t="s">
        <v>28175</v>
      </c>
      <c r="B22387" s="4" t="s">
        <v>28176</v>
      </c>
      <c r="C22387" s="5" t="str">
        <f>IFERROR(__xludf.DUMMYFUNCTION("GOOGLETRANSLATE(B22387,""en"",""it"")"),"Un ragazzino lancia freccette su una tavola.")</f>
        <v>Un ragazzino lancia freccette su una tavola.</v>
      </c>
    </row>
    <row r="22388">
      <c r="A22388" s="4" t="s">
        <v>28175</v>
      </c>
      <c r="B22388" s="4" t="s">
        <v>28177</v>
      </c>
      <c r="C22388" s="5" t="str">
        <f>IFERROR(__xludf.DUMMYFUNCTION("GOOGLETRANSLATE(B22388,""en"",""it"")"),"Si avvicina al bersaglio, guardando dove colpiscono le freccette.")</f>
        <v>Si avvicina al bersaglio, guardando dove colpiscono le freccette.</v>
      </c>
    </row>
    <row r="22389">
      <c r="A22389" s="4" t="s">
        <v>28178</v>
      </c>
      <c r="B22389" s="6" t="s">
        <v>28179</v>
      </c>
      <c r="C22389" s="5" t="str">
        <f>IFERROR(__xludf.DUMMYFUNCTION("GOOGLETRANSLATE(B22389,""en"",""it"")"),"Una ragazza è in piedi in una stanza eliminando diverse frecce dal suo branco e usa la sua freccia per liberarle.")</f>
        <v>Una ragazza è in piedi in una stanza eliminando diverse frecce dal suo branco e usa la sua freccia per liberarle.</v>
      </c>
    </row>
    <row r="22390">
      <c r="A22390" s="4" t="s">
        <v>28178</v>
      </c>
      <c r="B22390" s="4" t="s">
        <v>28180</v>
      </c>
      <c r="C22390" s="5" t="str">
        <f>IFERROR(__xludf.DUMMYFUNCTION("GOOGLETRANSLATE(B22390,""en"",""it"")"),"Quindi si muove in palestra, fa un respiro profondo e continua.")</f>
        <v>Quindi si muove in palestra, fa un respiro profondo e continua.</v>
      </c>
    </row>
    <row r="22391">
      <c r="A22391" s="4" t="s">
        <v>28178</v>
      </c>
      <c r="B22391" s="6" t="s">
        <v>28181</v>
      </c>
      <c r="C22391" s="5" t="str">
        <f>IFERROR(__xludf.DUMMYFUNCTION("GOOGLETRANSLATE(B22391,""en"",""it"")"),"Dopo essersi trasferita di nuovo, due tappeti vengono mostrati appesi al muro e continua a mirare al suo bersaglio fino a quando tutti i suoi archi non sono spariti.")</f>
        <v>Dopo essersi trasferita di nuovo, due tappeti vengono mostrati appesi al muro e continua a mirare al suo bersaglio fino a quando tutti i suoi archi non sono spariti.</v>
      </c>
    </row>
    <row r="22392">
      <c r="A22392" s="4" t="s">
        <v>28182</v>
      </c>
      <c r="B22392" s="4" t="s">
        <v>28183</v>
      </c>
      <c r="C22392" s="5" t="str">
        <f>IFERROR(__xludf.DUMMYFUNCTION("GOOGLETRANSLATE(B22392,""en"",""it"")"),"Una ragazza cammina su un tappetino, inchinandosi davanti ai giudici.")</f>
        <v>Una ragazza cammina su un tappetino, inchinandosi davanti ai giudici.</v>
      </c>
    </row>
    <row r="22393">
      <c r="A22393" s="4" t="s">
        <v>28182</v>
      </c>
      <c r="B22393" s="4" t="s">
        <v>28184</v>
      </c>
      <c r="C22393" s="5" t="str">
        <f>IFERROR(__xludf.DUMMYFUNCTION("GOOGLETRANSLATE(B22393,""en"",""it"")"),"Esegue diverse mosse di arti marziali usando un grande bastone di legno.")</f>
        <v>Esegue diverse mosse di arti marziali usando un grande bastone di legno.</v>
      </c>
    </row>
    <row r="22394">
      <c r="A22394" s="4" t="s">
        <v>28182</v>
      </c>
      <c r="B22394" s="4" t="s">
        <v>28185</v>
      </c>
      <c r="C22394" s="5" t="str">
        <f>IFERROR(__xludf.DUMMYFUNCTION("GOOGLETRANSLATE(B22394,""en"",""it"")"),"Quando ha finito, un uomo soffia un fischio.")</f>
        <v>Quando ha finito, un uomo soffia un fischio.</v>
      </c>
    </row>
    <row r="22395">
      <c r="A22395" s="4" t="s">
        <v>28186</v>
      </c>
      <c r="B22395" s="6" t="s">
        <v>28187</v>
      </c>
      <c r="C22395" s="5" t="str">
        <f>IFERROR(__xludf.DUMMYFUNCTION("GOOGLETRANSLATE(B22395,""en"",""it"")"),"Viene mostrato una donna a parlare con la telecamera con un vuoto e seguita dal suo aspirapolvere al pavimento a un ritmo veloce.")</f>
        <v>Viene mostrato una donna a parlare con la telecamera con un vuoto e seguita dal suo aspirapolvere al pavimento a un ritmo veloce.</v>
      </c>
    </row>
    <row r="22396">
      <c r="A22396" s="4" t="s">
        <v>28186</v>
      </c>
      <c r="B22396" s="6" t="s">
        <v>28188</v>
      </c>
      <c r="C22396" s="5" t="str">
        <f>IFERROR(__xludf.DUMMYFUNCTION("GOOGLETRANSLATE(B22396,""en"",""it"")"),"Si aspira in tutta l'area mentre parla ancora con la telecamera e alla fine passa a un primo piano del vuoto.")</f>
        <v>Si aspira in tutta l'area mentre parla ancora con la telecamera e alla fine passa a un primo piano del vuoto.</v>
      </c>
    </row>
    <row r="22397">
      <c r="A22397" s="4" t="s">
        <v>28189</v>
      </c>
      <c r="B22397" s="4" t="s">
        <v>28190</v>
      </c>
      <c r="C22397" s="5" t="str">
        <f>IFERROR(__xludf.DUMMYFUNCTION("GOOGLETRANSLATE(B22397,""en"",""it"")"),"Ci sono alcuni uomini che giocano a freccette in un seminterrato in cui sono appese due assi per dardi sul muro.")</f>
        <v>Ci sono alcuni uomini che giocano a freccette in un seminterrato in cui sono appese due assi per dardi sul muro.</v>
      </c>
    </row>
    <row r="22398">
      <c r="A22398" s="4" t="s">
        <v>28189</v>
      </c>
      <c r="B22398" s="6" t="s">
        <v>28191</v>
      </c>
      <c r="C22398" s="5" t="str">
        <f>IFERROR(__xludf.DUMMYFUNCTION("GOOGLETRANSLATE(B22398,""en"",""it"")"),"Uno degli uomini che indossa una camicia verde punta la tavola da dardo con un dardo per colpire l'occhio del toro su una tavola.")</f>
        <v>Uno degli uomini che indossa una camicia verde punta la tavola da dardo con un dardo per colpire l'occhio del toro su una tavola.</v>
      </c>
    </row>
    <row r="22399">
      <c r="A22399" s="4" t="s">
        <v>28189</v>
      </c>
      <c r="B22399" s="4" t="s">
        <v>28192</v>
      </c>
      <c r="C22399" s="5" t="str">
        <f>IFERROR(__xludf.DUMMYFUNCTION("GOOGLETRANSLATE(B22399,""en"",""it"")"),"Un altro uomo colpisce anche il dardo sull'altra tavola Dart.")</f>
        <v>Un altro uomo colpisce anche il dardo sull'altra tavola Dart.</v>
      </c>
    </row>
    <row r="22400">
      <c r="A22400" s="4" t="s">
        <v>28189</v>
      </c>
      <c r="B22400" s="4" t="s">
        <v>28193</v>
      </c>
      <c r="C22400" s="5" t="str">
        <f>IFERROR(__xludf.DUMMYFUNCTION("GOOGLETRANSLATE(B22400,""en"",""it"")"),"L'uomo in verde spara a un altro dardo e poi va a rimuoverlo dalla tavola da dardo.")</f>
        <v>L'uomo in verde spara a un altro dardo e poi va a rimuoverlo dalla tavola da dardo.</v>
      </c>
    </row>
    <row r="22401">
      <c r="A22401" s="4" t="s">
        <v>28194</v>
      </c>
      <c r="B22401" s="4" t="s">
        <v>28195</v>
      </c>
      <c r="C22401" s="5" t="str">
        <f>IFERROR(__xludf.DUMMYFUNCTION("GOOGLETRANSLATE(B22401,""en"",""it"")"),"Un gruppo di persone sono riuniti all'interno di una stanza.")</f>
        <v>Un gruppo di persone sono riuniti all'interno di una stanza.</v>
      </c>
    </row>
    <row r="22402">
      <c r="A22402" s="4" t="s">
        <v>28194</v>
      </c>
      <c r="B22402" s="4" t="s">
        <v>28196</v>
      </c>
      <c r="C22402" s="5" t="str">
        <f>IFERROR(__xludf.DUMMYFUNCTION("GOOGLETRANSLATE(B22402,""en"",""it"")"),"Stanno camminando indietro e avanti insieme.")</f>
        <v>Stanno camminando indietro e avanti insieme.</v>
      </c>
    </row>
    <row r="22403">
      <c r="A22403" s="4" t="s">
        <v>28194</v>
      </c>
      <c r="B22403" s="4" t="s">
        <v>28197</v>
      </c>
      <c r="C22403" s="5" t="str">
        <f>IFERROR(__xludf.DUMMYFUNCTION("GOOGLETRANSLATE(B22403,""en"",""it"")"),"Stanno ballando come una forma di aerobica.")</f>
        <v>Stanno ballando come una forma di aerobica.</v>
      </c>
    </row>
    <row r="22404">
      <c r="A22404" s="4" t="s">
        <v>28198</v>
      </c>
      <c r="B22404" s="6" t="s">
        <v>28199</v>
      </c>
      <c r="C22404" s="5" t="str">
        <f>IFERROR(__xludf.DUMMYFUNCTION("GOOGLETRANSLATE(B22404,""en"",""it"")"),"Vengono mostrati diversi colpi di persone che conducono i cavalli e si lega un cavallo a palo e bagna un rasoio.")</f>
        <v>Vengono mostrati diversi colpi di persone che conducono i cavalli e si lega un cavallo a palo e bagna un rasoio.</v>
      </c>
    </row>
    <row r="22405">
      <c r="A22405" s="4" t="s">
        <v>28198</v>
      </c>
      <c r="B22405" s="6" t="s">
        <v>28200</v>
      </c>
      <c r="C22405" s="5" t="str">
        <f>IFERROR(__xludf.DUMMYFUNCTION("GOOGLETRANSLATE(B22405,""en"",""it"")"),"La donna quindi taglia la criniera dei cavalli e strofina il cappotto dei cavalli mentre la telecamera si muove intorno.")</f>
        <v>La donna quindi taglia la criniera dei cavalli e strofina il cappotto dei cavalli mentre la telecamera si muove intorno.</v>
      </c>
    </row>
    <row r="22406">
      <c r="A22406" s="4" t="s">
        <v>28198</v>
      </c>
      <c r="B22406" s="4" t="s">
        <v>28201</v>
      </c>
      <c r="C22406" s="5" t="str">
        <f>IFERROR(__xludf.DUMMYFUNCTION("GOOGLETRANSLATE(B22406,""en"",""it"")"),"La donna distingue il cavallo e termina parlando alla telecamera.")</f>
        <v>La donna distingue il cavallo e termina parlando alla telecamera.</v>
      </c>
    </row>
    <row r="22407">
      <c r="A22407" s="4" t="s">
        <v>28202</v>
      </c>
      <c r="B22407" s="6" t="s">
        <v>28203</v>
      </c>
      <c r="C22407" s="5" t="str">
        <f>IFERROR(__xludf.DUMMYFUNCTION("GOOGLETRANSLATE(B22407,""en"",""it"")"),"Un piccolo beccuccio di acqua è mostrato all'aperto tra la foresta e le rocce e sta creando piccole onde.")</f>
        <v>Un piccolo beccuccio di acqua è mostrato all'aperto tra la foresta e le rocce e sta creando piccole onde.</v>
      </c>
    </row>
    <row r="22408">
      <c r="A22408" s="4" t="s">
        <v>28202</v>
      </c>
      <c r="B22408" s="4" t="s">
        <v>28204</v>
      </c>
      <c r="C22408" s="5" t="str">
        <f>IFERROR(__xludf.DUMMYFUNCTION("GOOGLETRANSLATE(B22408,""en"",""it"")"),"All'improvviso una persona scende dal kayak d'acqua.")</f>
        <v>All'improvviso una persona scende dal kayak d'acqua.</v>
      </c>
    </row>
    <row r="22409">
      <c r="A22409" s="4" t="s">
        <v>28202</v>
      </c>
      <c r="B22409" s="6" t="s">
        <v>28205</v>
      </c>
      <c r="C22409" s="5" t="str">
        <f>IFERROR(__xludf.DUMMYFUNCTION("GOOGLETRANSLATE(B22409,""en"",""it"")"),"Una volta arrivato in fondo, il kayaker si gira e le onde continuano a scorrere il lavaggio contro le rocce.")</f>
        <v>Una volta arrivato in fondo, il kayaker si gira e le onde continuano a scorrere il lavaggio contro le rocce.</v>
      </c>
    </row>
    <row r="22410">
      <c r="A22410" s="4" t="s">
        <v>28206</v>
      </c>
      <c r="B22410" s="4" t="s">
        <v>28207</v>
      </c>
      <c r="C22410" s="5" t="str">
        <f>IFERROR(__xludf.DUMMYFUNCTION("GOOGLETRANSLATE(B22410,""en"",""it"")"),"Un set di calcio da tavolo è visto senza giocatori costruiti con blocchi di tipo LEGO.")</f>
        <v>Un set di calcio da tavolo è visto senza giocatori costruiti con blocchi di tipo LEGO.</v>
      </c>
    </row>
    <row r="22411">
      <c r="A22411" s="4" t="s">
        <v>28206</v>
      </c>
      <c r="B22411" s="4" t="s">
        <v>28208</v>
      </c>
      <c r="C22411" s="5" t="str">
        <f>IFERROR(__xludf.DUMMYFUNCTION("GOOGLETRANSLATE(B22411,""en"",""it"")"),"Una palla viene erogata da un recinto.")</f>
        <v>Una palla viene erogata da un recinto.</v>
      </c>
    </row>
    <row r="22412">
      <c r="A22412" s="4" t="s">
        <v>28206</v>
      </c>
      <c r="B22412" s="4" t="s">
        <v>28209</v>
      </c>
      <c r="C22412" s="5" t="str">
        <f>IFERROR(__xludf.DUMMYFUNCTION("GOOGLETRANSLATE(B22412,""en"",""it"")"),"Due ragazzi giocano una partita di calcio da tavolo.")</f>
        <v>Due ragazzi giocano una partita di calcio da tavolo.</v>
      </c>
    </row>
    <row r="22413">
      <c r="A22413" s="4" t="s">
        <v>28206</v>
      </c>
      <c r="B22413" s="4" t="s">
        <v>28210</v>
      </c>
      <c r="C22413" s="5" t="str">
        <f>IFERROR(__xludf.DUMMYFUNCTION("GOOGLETRANSLATE(B22413,""en"",""it"")"),"Un ragazzo segna un goal e la palla viene recuperata dalla slot.")</f>
        <v>Un ragazzo segna un goal e la palla viene recuperata dalla slot.</v>
      </c>
    </row>
    <row r="22414">
      <c r="A22414" s="4" t="s">
        <v>28206</v>
      </c>
      <c r="B22414" s="4" t="s">
        <v>28211</v>
      </c>
      <c r="C22414" s="5" t="str">
        <f>IFERROR(__xludf.DUMMYFUNCTION("GOOGLETRANSLATE(B22414,""en"",""it"")"),"Una palla cade giù da uno scivolo quadrato.")</f>
        <v>Una palla cade giù da uno scivolo quadrato.</v>
      </c>
    </row>
    <row r="22415">
      <c r="A22415" s="4" t="s">
        <v>28212</v>
      </c>
      <c r="B22415" s="4" t="s">
        <v>28213</v>
      </c>
      <c r="C22415" s="5" t="str">
        <f>IFERROR(__xludf.DUMMYFUNCTION("GOOGLETRANSLATE(B22415,""en"",""it"")"),"Una donna in rosso si sta esercitando per saltare nella sabbia, corre un po 'e salta di nuovo nella sabbia.")</f>
        <v>Una donna in rosso si sta esercitando per saltare nella sabbia, corre un po 'e salta di nuovo nella sabbia.</v>
      </c>
    </row>
    <row r="22416">
      <c r="A22416" s="4" t="s">
        <v>28212</v>
      </c>
      <c r="B22416" s="4" t="s">
        <v>28214</v>
      </c>
      <c r="C22416" s="5" t="str">
        <f>IFERROR(__xludf.DUMMYFUNCTION("GOOGLETRANSLATE(B22416,""en"",""it"")"),"Quindi inizia a provare da più indietro, scattando e saltando nella sabbia.")</f>
        <v>Quindi inizia a provare da più indietro, scattando e saltando nella sabbia.</v>
      </c>
    </row>
    <row r="22417">
      <c r="A22417" s="4" t="s">
        <v>28212</v>
      </c>
      <c r="B22417" s="4" t="s">
        <v>28215</v>
      </c>
      <c r="C22417" s="5" t="str">
        <f>IFERROR(__xludf.DUMMYFUNCTION("GOOGLETRANSLATE(B22417,""en"",""it"")"),"Comincia a saltare su piccoli stand e poi un altro uomo si unisce per esercitarsi con lei.")</f>
        <v>Comincia a saltare su piccoli stand e poi un altro uomo si unisce per esercitarsi con lei.</v>
      </c>
    </row>
    <row r="22418">
      <c r="A22418" s="4" t="s">
        <v>28212</v>
      </c>
      <c r="B22418" s="4" t="s">
        <v>28216</v>
      </c>
      <c r="C22418" s="5" t="str">
        <f>IFERROR(__xludf.DUMMYFUNCTION("GOOGLETRANSLATE(B22418,""en"",""it"")"),"Quindi, inizia una gara reale e tutti corrono.")</f>
        <v>Quindi, inizia una gara reale e tutti corrono.</v>
      </c>
    </row>
    <row r="22419">
      <c r="A22419" s="4" t="s">
        <v>28217</v>
      </c>
      <c r="B22419" s="4" t="s">
        <v>27016</v>
      </c>
      <c r="C22419" s="5" t="str">
        <f>IFERROR(__xludf.DUMMYFUNCTION("GOOGLETRANSLATE(B22419,""en"",""it"")"),"La gente cavalca le auto a paraurti in un carnevale.")</f>
        <v>La gente cavalca le auto a paraurti in un carnevale.</v>
      </c>
    </row>
    <row r="22420">
      <c r="A22420" s="4" t="s">
        <v>28217</v>
      </c>
      <c r="B22420" s="4" t="s">
        <v>28218</v>
      </c>
      <c r="C22420" s="5" t="str">
        <f>IFERROR(__xludf.DUMMYFUNCTION("GOOGLETRANSLATE(B22420,""en"",""it"")"),"Un adolescente che indossa una tazza rossa viene colpito da altre macchine.")</f>
        <v>Un adolescente che indossa una tazza rossa viene colpito da altre macchine.</v>
      </c>
    </row>
    <row r="22421">
      <c r="A22421" s="4" t="s">
        <v>28217</v>
      </c>
      <c r="B22421" s="4" t="s">
        <v>28219</v>
      </c>
      <c r="C22421" s="5" t="str">
        <f>IFERROR(__xludf.DUMMYFUNCTION("GOOGLETRANSLATE(B22421,""en"",""it"")"),"Le persone girano e poi continuano a cavalcare e urtare.")</f>
        <v>Le persone girano e poi continuano a cavalcare e urtare.</v>
      </c>
    </row>
    <row r="22422">
      <c r="A22422" s="4" t="s">
        <v>28217</v>
      </c>
      <c r="B22422" s="4" t="s">
        <v>28220</v>
      </c>
      <c r="C22422" s="5" t="str">
        <f>IFERROR(__xludf.DUMMYFUNCTION("GOOGLETRANSLATE(B22422,""en"",""it"")"),"Quindi, le persone girano senza colpire e poi continuano a guidare e urtare le auto.")</f>
        <v>Quindi, le persone girano senza colpire e poi continuano a guidare e urtare le auto.</v>
      </c>
    </row>
    <row r="22423">
      <c r="A22423" s="4" t="s">
        <v>28217</v>
      </c>
      <c r="B22423" s="4" t="s">
        <v>28221</v>
      </c>
      <c r="C22423" s="5" t="str">
        <f>IFERROR(__xludf.DUMMYFUNCTION("GOOGLETRANSLATE(B22423,""en"",""it"")"),"Un ragazzo che indossa una camicia bianca gira e viene colpito da diverse macchine.")</f>
        <v>Un ragazzo che indossa una camicia bianca gira e viene colpito da diverse macchine.</v>
      </c>
    </row>
    <row r="22424">
      <c r="A22424" s="4" t="s">
        <v>28222</v>
      </c>
      <c r="B22424" s="4" t="s">
        <v>22365</v>
      </c>
      <c r="C22424" s="5" t="str">
        <f>IFERROR(__xludf.DUMMYFUNCTION("GOOGLETRANSLATE(B22424,""en"",""it"")"),"Un'introduzione arriva sullo schermo per un video su come sciare.")</f>
        <v>Un'introduzione arriva sullo schermo per un video su come sciare.</v>
      </c>
    </row>
    <row r="22425">
      <c r="A22425" s="4" t="s">
        <v>28222</v>
      </c>
      <c r="B22425" s="6" t="s">
        <v>28223</v>
      </c>
      <c r="C22425" s="5" t="str">
        <f>IFERROR(__xludf.DUMMYFUNCTION("GOOGLETRANSLATE(B22425,""en"",""it"")"),"Un uomo presenta i video con gli argomenti che coprirà e l'attrezzatura che sarà necessaria per sciare.")</f>
        <v>Un uomo presenta i video con gli argomenti che coprirà e l'attrezzatura che sarà necessaria per sciare.</v>
      </c>
    </row>
    <row r="22426">
      <c r="A22426" s="4" t="s">
        <v>28222</v>
      </c>
      <c r="B22426" s="6" t="s">
        <v>28224</v>
      </c>
      <c r="C22426" s="5" t="str">
        <f>IFERROR(__xludf.DUMMYFUNCTION("GOOGLETRANSLATE(B22426,""en"",""it"")"),"Nel corso del video, diverse persone vengono mostrate che dimostrano alcuni concetti chiave della lezione di sci.")</f>
        <v>Nel corso del video, diverse persone vengono mostrate che dimostrano alcuni concetti chiave della lezione di sci.</v>
      </c>
    </row>
    <row r="22427">
      <c r="A22427" s="4" t="s">
        <v>28222</v>
      </c>
      <c r="B22427" s="4" t="s">
        <v>28225</v>
      </c>
      <c r="C22427" s="5" t="str">
        <f>IFERROR(__xludf.DUMMYFUNCTION("GOOGLETRANSLATE(B22427,""en"",""it"")"),"Il video termina con i crediti di chiusura per il segmento.")</f>
        <v>Il video termina con i crediti di chiusura per il segmento.</v>
      </c>
    </row>
    <row r="22428">
      <c r="A22428" s="4" t="s">
        <v>28226</v>
      </c>
      <c r="B22428" s="4" t="s">
        <v>28227</v>
      </c>
      <c r="C22428" s="5" t="str">
        <f>IFERROR(__xludf.DUMMYFUNCTION("GOOGLETRANSLATE(B22428,""en"",""it"")"),"Una donna viene vista tenere una posa su un palco e conduce a un altro uomo che cammina sul palco.")</f>
        <v>Una donna viene vista tenere una posa su un palco e conduce a un altro uomo che cammina sul palco.</v>
      </c>
    </row>
    <row r="22429">
      <c r="A22429" s="4" t="s">
        <v>28226</v>
      </c>
      <c r="B22429" s="6" t="s">
        <v>28228</v>
      </c>
      <c r="C22429" s="5" t="str">
        <f>IFERROR(__xludf.DUMMYFUNCTION("GOOGLETRANSLATE(B22429,""en"",""it"")"),"L'uomo e la donna quindi eseguono una routine di danza insieme sul palco mentre si guardano.")</f>
        <v>L'uomo e la donna quindi eseguono una routine di danza insieme sul palco mentre si guardano.</v>
      </c>
    </row>
    <row r="22430">
      <c r="A22430" s="4" t="s">
        <v>28226</v>
      </c>
      <c r="B22430" s="4" t="s">
        <v>28229</v>
      </c>
      <c r="C22430" s="5" t="str">
        <f>IFERROR(__xludf.DUMMYFUNCTION("GOOGLETRANSLATE(B22430,""en"",""it"")"),"I due continuano a ballare e finiscono con un arco e il pubblico che applaude.")</f>
        <v>I due continuano a ballare e finiscono con un arco e il pubblico che applaude.</v>
      </c>
    </row>
    <row r="22431">
      <c r="A22431" s="4" t="s">
        <v>28230</v>
      </c>
      <c r="B22431" s="4" t="s">
        <v>28231</v>
      </c>
      <c r="C22431" s="5" t="str">
        <f>IFERROR(__xludf.DUMMYFUNCTION("GOOGLETRANSLATE(B22431,""en"",""it"")"),"Si vede un primo piano di una tavola da darda che porta a far parte delle freccette.")</f>
        <v>Si vede un primo piano di una tavola da darda che porta a far parte delle freccette.</v>
      </c>
    </row>
    <row r="22432">
      <c r="A22432" s="4" t="s">
        <v>28230</v>
      </c>
      <c r="B22432" s="4" t="s">
        <v>28232</v>
      </c>
      <c r="C22432" s="5" t="str">
        <f>IFERROR(__xludf.DUMMYFUNCTION("GOOGLETRANSLATE(B22432,""en"",""it"")"),"La mano di una persona toglie le freccette e più freccette vengono mostrate colpendo la tavola.")</f>
        <v>La mano di una persona toglie le freccette e più freccette vengono mostrate colpendo la tavola.</v>
      </c>
    </row>
    <row r="22433">
      <c r="A22433" s="4" t="s">
        <v>28230</v>
      </c>
      <c r="B22433" s="4" t="s">
        <v>28233</v>
      </c>
      <c r="C22433" s="5" t="str">
        <f>IFERROR(__xludf.DUMMYFUNCTION("GOOGLETRANSLATE(B22433,""en"",""it"")"),"Questo accade più volte mentre la fotocamera cattura i suoi movimenti.")</f>
        <v>Questo accade più volte mentre la fotocamera cattura i suoi movimenti.</v>
      </c>
    </row>
    <row r="22434">
      <c r="A22434" s="4" t="s">
        <v>28234</v>
      </c>
      <c r="B22434" s="4" t="s">
        <v>28235</v>
      </c>
      <c r="C22434" s="5" t="str">
        <f>IFERROR(__xludf.DUMMYFUNCTION("GOOGLETRANSLATE(B22434,""en"",""it"")"),"Ci sono due uomini che giocano a palla foos con due giovani ragazzi in un soggiorno.")</f>
        <v>Ci sono due uomini che giocano a palla foos con due giovani ragazzi in un soggiorno.</v>
      </c>
    </row>
    <row r="22435">
      <c r="A22435" s="4" t="s">
        <v>28234</v>
      </c>
      <c r="B22435" s="4" t="s">
        <v>28236</v>
      </c>
      <c r="C22435" s="5" t="str">
        <f>IFERROR(__xludf.DUMMYFUNCTION("GOOGLETRANSLATE(B22435,""en"",""it"")"),"C'è un grande albero di Natale decorato dietro di loro.")</f>
        <v>C'è un grande albero di Natale decorato dietro di loro.</v>
      </c>
    </row>
    <row r="22436">
      <c r="A22436" s="4" t="s">
        <v>28234</v>
      </c>
      <c r="B22436" s="4" t="s">
        <v>28237</v>
      </c>
      <c r="C22436" s="5" t="str">
        <f>IFERROR(__xludf.DUMMYFUNCTION("GOOGLETRANSLATE(B22436,""en"",""it"")"),"C'è una donna seduta nel soggiorno con una bambina.")</f>
        <v>C'è una donna seduta nel soggiorno con una bambina.</v>
      </c>
    </row>
    <row r="22437">
      <c r="A22437" s="4" t="s">
        <v>28234</v>
      </c>
      <c r="B22437" s="4" t="s">
        <v>28238</v>
      </c>
      <c r="C22437" s="5" t="str">
        <f>IFERROR(__xludf.DUMMYFUNCTION("GOOGLETRANSLATE(B22437,""en"",""it"")"),"I ragazzi giocano a palla foos con gli uomini.")</f>
        <v>I ragazzi giocano a palla foos con gli uomini.</v>
      </c>
    </row>
    <row r="22438">
      <c r="A22438" s="4" t="s">
        <v>28234</v>
      </c>
      <c r="B22438" s="4" t="s">
        <v>28239</v>
      </c>
      <c r="C22438" s="5" t="str">
        <f>IFERROR(__xludf.DUMMYFUNCTION("GOOGLETRANSLATE(B22438,""en"",""it"")"),"Ridono e si divertono mentre continuano a giocare.")</f>
        <v>Ridono e si divertono mentre continuano a giocare.</v>
      </c>
    </row>
    <row r="22439">
      <c r="A22439" s="4" t="s">
        <v>28240</v>
      </c>
      <c r="B22439" s="4" t="s">
        <v>28241</v>
      </c>
      <c r="C22439" s="5" t="str">
        <f>IFERROR(__xludf.DUMMYFUNCTION("GOOGLETRANSLATE(B22439,""en"",""it"")"),"Una grande arena si vede con una persona che corre e punta alla telecamera.")</f>
        <v>Una grande arena si vede con una persona che corre e punta alla telecamera.</v>
      </c>
    </row>
    <row r="22440">
      <c r="A22440" s="4" t="s">
        <v>28240</v>
      </c>
      <c r="B22440" s="4" t="s">
        <v>28242</v>
      </c>
      <c r="C22440" s="5" t="str">
        <f>IFERROR(__xludf.DUMMYFUNCTION("GOOGLETRANSLATE(B22440,""en"",""it"")"),"Vengono mostrati diversi colpi dell'atleta che gioca a calcio e porta a lui in piedi.")</f>
        <v>Vengono mostrati diversi colpi dell'atleta che gioca a calcio e porta a lui in piedi.</v>
      </c>
    </row>
    <row r="22441">
      <c r="A22441" s="4" t="s">
        <v>28240</v>
      </c>
      <c r="B22441" s="4" t="s">
        <v>28243</v>
      </c>
      <c r="C22441" s="5" t="str">
        <f>IFERROR(__xludf.DUMMYFUNCTION("GOOGLETRANSLATE(B22441,""en"",""it"")"),"L'uomo quindi corre lungo il campo e salta in lungo in una fossa di sabbia e il suo salto viene di nuovo mostrato.")</f>
        <v>L'uomo quindi corre lungo il campo e salta in lungo in una fossa di sabbia e il suo salto viene di nuovo mostrato.</v>
      </c>
    </row>
    <row r="22442">
      <c r="A22442" s="4" t="s">
        <v>28244</v>
      </c>
      <c r="B22442" s="6" t="s">
        <v>28245</v>
      </c>
      <c r="C22442" s="5" t="str">
        <f>IFERROR(__xludf.DUMMYFUNCTION("GOOGLETRANSLATE(B22442,""en"",""it"")"),"Viene visto un uomo che tiene in mano un coltello affilato mentre la telecamera si ingrandisce e l'uomo punta a due scatole.")</f>
        <v>Viene visto un uomo che tiene in mano un coltello affilato mentre la telecamera si ingrandisce e l'uomo punta a due scatole.</v>
      </c>
    </row>
    <row r="22443">
      <c r="A22443" s="4" t="s">
        <v>28244</v>
      </c>
      <c r="B22443" s="4" t="s">
        <v>28246</v>
      </c>
      <c r="C22443" s="5" t="str">
        <f>IFERROR(__xludf.DUMMYFUNCTION("GOOGLETRANSLATE(B22443,""en"",""it"")"),"Quindi scivola il coltello lungo le scatole e mostra il coltello affilato alla telecamera.")</f>
        <v>Quindi scivola il coltello lungo le scatole e mostra il coltello affilato alla telecamera.</v>
      </c>
    </row>
    <row r="22444">
      <c r="A22444" s="4" t="s">
        <v>28244</v>
      </c>
      <c r="B22444" s="4" t="s">
        <v>28247</v>
      </c>
      <c r="C22444" s="5" t="str">
        <f>IFERROR(__xludf.DUMMYFUNCTION("GOOGLETRANSLATE(B22444,""en"",""it"")"),"Termina tenendo il coltello e sorridendo alla telecamera.")</f>
        <v>Termina tenendo il coltello e sorridendo alla telecamera.</v>
      </c>
    </row>
    <row r="22445">
      <c r="A22445" s="4" t="s">
        <v>28248</v>
      </c>
      <c r="B22445" s="4" t="s">
        <v>28249</v>
      </c>
      <c r="C22445" s="5" t="str">
        <f>IFERROR(__xludf.DUMMYFUNCTION("GOOGLETRANSLATE(B22445,""en"",""it"")"),"Un uomo viene visto guardare in lontananza e porta a lui parlando alla telecamera.")</f>
        <v>Un uomo viene visto guardare in lontananza e porta a lui parlando alla telecamera.</v>
      </c>
    </row>
    <row r="22446">
      <c r="A22446" s="4" t="s">
        <v>28248</v>
      </c>
      <c r="B22446" s="4" t="s">
        <v>28250</v>
      </c>
      <c r="C22446" s="5" t="str">
        <f>IFERROR(__xludf.DUMMYFUNCTION("GOOGLETRANSLATE(B22446,""en"",""it"")"),"L'uomo continua a parlare con la telecamera e poi cammina dietro una serie di tamburi.")</f>
        <v>L'uomo continua a parlare con la telecamera e poi cammina dietro una serie di tamburi.</v>
      </c>
    </row>
    <row r="22447">
      <c r="A22447" s="4" t="s">
        <v>28248</v>
      </c>
      <c r="B22447" s="4" t="s">
        <v>28251</v>
      </c>
      <c r="C22447" s="5" t="str">
        <f>IFERROR(__xludf.DUMMYFUNCTION("GOOGLETRANSLATE(B22447,""en"",""it"")"),"L'uomo suona continuamente i tamburi e termina parlando alla telecamera.")</f>
        <v>L'uomo suona continuamente i tamburi e termina parlando alla telecamera.</v>
      </c>
    </row>
    <row r="22448">
      <c r="A22448" s="4" t="s">
        <v>28252</v>
      </c>
      <c r="B22448" s="4" t="s">
        <v>28253</v>
      </c>
      <c r="C22448" s="5" t="str">
        <f>IFERROR(__xludf.DUMMYFUNCTION("GOOGLETRANSLATE(B22448,""en"",""it"")"),"Una ragazza viene mostrata oscillazione e quarta su una swingset e sorride alla telecamera.")</f>
        <v>Una ragazza viene mostrata oscillazione e quarta su una swingset e sorride alla telecamera.</v>
      </c>
    </row>
    <row r="22449">
      <c r="A22449" s="4" t="s">
        <v>28252</v>
      </c>
      <c r="B22449" s="4" t="s">
        <v>28254</v>
      </c>
      <c r="C22449" s="5" t="str">
        <f>IFERROR(__xludf.DUMMYFUNCTION("GOOGLETRANSLATE(B22449,""en"",""it"")"),"Continua a tornare indietro e quarto mentre la telecamera la cattura urla alla telecamera.")</f>
        <v>Continua a tornare indietro e quarto mentre la telecamera la cattura urla alla telecamera.</v>
      </c>
    </row>
    <row r="22450">
      <c r="A22450" s="4" t="s">
        <v>28255</v>
      </c>
      <c r="B22450" s="4" t="s">
        <v>28256</v>
      </c>
      <c r="C22450" s="5" t="str">
        <f>IFERROR(__xludf.DUMMYFUNCTION("GOOGLETRANSLATE(B22450,""en"",""it"")"),"Una persona si taglia e macinata aglio e trita il prezzemolo.")</f>
        <v>Una persona si taglia e macinata aglio e trita il prezzemolo.</v>
      </c>
    </row>
    <row r="22451">
      <c r="A22451" s="4" t="s">
        <v>28255</v>
      </c>
      <c r="B22451" s="4" t="s">
        <v>28257</v>
      </c>
      <c r="C22451" s="5" t="str">
        <f>IFERROR(__xludf.DUMMYFUNCTION("GOOGLETRANSLATE(B22451,""en"",""it"")"),"Quindi, la persona aggiunge l'aglio nell'olio caldo in una padella.")</f>
        <v>Quindi, la persona aggiunge l'aglio nell'olio caldo in una padella.</v>
      </c>
    </row>
    <row r="22452">
      <c r="A22452" s="4" t="s">
        <v>28255</v>
      </c>
      <c r="B22452" s="6" t="s">
        <v>28258</v>
      </c>
      <c r="C22452" s="5" t="str">
        <f>IFERROR(__xludf.DUMMYFUNCTION("GOOGLETRANSLATE(B22452,""en"",""it"")"),"La persona cucina e scola la pasta, quindi mette la pasta nella pentola e aggiunge il brodo di pollo, l'aglio cotto, il prezzemolo, il sale, il pepe e il formaggio in cima.")</f>
        <v>La persona cucina e scola la pasta, quindi mette la pasta nella pentola e aggiunge il brodo di pollo, l'aglio cotto, il prezzemolo, il sale, il pepe e il formaggio in cima.</v>
      </c>
    </row>
    <row r="22453">
      <c r="A22453" s="4" t="s">
        <v>28255</v>
      </c>
      <c r="B22453" s="4" t="s">
        <v>28259</v>
      </c>
      <c r="C22453" s="5" t="str">
        <f>IFERROR(__xludf.DUMMYFUNCTION("GOOGLETRANSLATE(B22453,""en"",""it"")"),"Successivamente, la persona produce pollo fritto, quindi serve la pasta con il pollo.")</f>
        <v>Successivamente, la persona produce pollo fritto, quindi serve la pasta con il pollo.</v>
      </c>
    </row>
    <row r="22454">
      <c r="A22454" s="4" t="s">
        <v>28260</v>
      </c>
      <c r="B22454" s="4" t="s">
        <v>28261</v>
      </c>
      <c r="C22454" s="5" t="str">
        <f>IFERROR(__xludf.DUMMYFUNCTION("GOOGLETRANSLATE(B22454,""en"",""it"")"),"Le persone diverse amano prendere una tazza di tè insieme.")</f>
        <v>Le persone diverse amano prendere una tazza di tè insieme.</v>
      </c>
    </row>
    <row r="22455">
      <c r="A22455" s="4" t="s">
        <v>28260</v>
      </c>
      <c r="B22455" s="4" t="s">
        <v>28262</v>
      </c>
      <c r="C22455" s="5" t="str">
        <f>IFERROR(__xludf.DUMMYFUNCTION("GOOGLETRANSLATE(B22455,""en"",""it"")"),"Una donna fonde il sospensione di una padella unta aggiunge un burro giallo a una ciotola.")</f>
        <v>Una donna fonde il sospensione di una padella unta aggiunge un burro giallo a una ciotola.</v>
      </c>
    </row>
    <row r="22456">
      <c r="A22456" s="4" t="s">
        <v>28260</v>
      </c>
      <c r="B22456" s="4" t="s">
        <v>28263</v>
      </c>
      <c r="C22456" s="5" t="str">
        <f>IFERROR(__xludf.DUMMYFUNCTION("GOOGLETRANSLATE(B22456,""en"",""it"")"),"La farina viene aggiunta alla ciotola e tutto è miscelato insieme.")</f>
        <v>La farina viene aggiunta alla ciotola e tutto è miscelato insieme.</v>
      </c>
    </row>
    <row r="22457">
      <c r="A22457" s="4" t="s">
        <v>28260</v>
      </c>
      <c r="B22457" s="4" t="s">
        <v>28264</v>
      </c>
      <c r="C22457" s="5" t="str">
        <f>IFERROR(__xludf.DUMMYFUNCTION("GOOGLETRANSLATE(B22457,""en"",""it"")"),"Le uova vengono aggiunte al composto e si fondono con un frullatore.")</f>
        <v>Le uova vengono aggiunte al composto e si fondono con un frullatore.</v>
      </c>
    </row>
    <row r="22458">
      <c r="A22458" s="4" t="s">
        <v>28260</v>
      </c>
      <c r="B22458" s="4" t="s">
        <v>28265</v>
      </c>
      <c r="C22458" s="5" t="str">
        <f>IFERROR(__xludf.DUMMYFUNCTION("GOOGLETRANSLATE(B22458,""en"",""it"")"),"La donna aggiunge estratti liquidi e farina in polvere aggiuntiva al piatto.")</f>
        <v>La donna aggiunge estratti liquidi e farina in polvere aggiuntiva al piatto.</v>
      </c>
    </row>
    <row r="22459">
      <c r="A22459" s="4" t="s">
        <v>28260</v>
      </c>
      <c r="B22459" s="4" t="s">
        <v>28266</v>
      </c>
      <c r="C22459" s="5" t="str">
        <f>IFERROR(__xludf.DUMMYFUNCTION("GOOGLETRANSLATE(B22459,""en"",""it"")"),"La donna aggiunge frutta a cubetti alla miscela e lo mescola con una spatola.")</f>
        <v>La donna aggiunge frutta a cubetti alla miscela e lo mescola con una spatola.</v>
      </c>
    </row>
    <row r="22460">
      <c r="A22460" s="4" t="s">
        <v>28260</v>
      </c>
      <c r="B22460" s="4" t="s">
        <v>28267</v>
      </c>
      <c r="C22460" s="5" t="str">
        <f>IFERROR(__xludf.DUMMYFUNCTION("GOOGLETRANSLATE(B22460,""en"",""it"")"),"L'ospite versa gli ingredienti in una padella, quindi li cucina in un forno.")</f>
        <v>L'ospite versa gli ingredienti in una padella, quindi li cucina in un forno.</v>
      </c>
    </row>
    <row r="22461">
      <c r="A22461" s="4" t="s">
        <v>28260</v>
      </c>
      <c r="B22461" s="4" t="s">
        <v>28268</v>
      </c>
      <c r="C22461" s="5" t="str">
        <f>IFERROR(__xludf.DUMMYFUNCTION("GOOGLETRANSLATE(B22461,""en"",""it"")"),"Le donne si godono un boccone del piatto insieme.")</f>
        <v>Le donne si godono un boccone del piatto insieme.</v>
      </c>
    </row>
    <row r="22462">
      <c r="A22462" s="4" t="s">
        <v>28260</v>
      </c>
      <c r="B22462" s="4" t="s">
        <v>28269</v>
      </c>
      <c r="C22462" s="5" t="str">
        <f>IFERROR(__xludf.DUMMYFUNCTION("GOOGLETRANSLATE(B22462,""en"",""it"")"),"L'ospite versa una tazza di tè per divertirsi.")</f>
        <v>L'ospite versa una tazza di tè per divertirsi.</v>
      </c>
    </row>
    <row r="22463">
      <c r="A22463" s="4" t="s">
        <v>28270</v>
      </c>
      <c r="B22463" s="4" t="s">
        <v>28271</v>
      </c>
      <c r="C22463" s="5" t="str">
        <f>IFERROR(__xludf.DUMMYFUNCTION("GOOGLETRANSLATE(B22463,""en"",""it"")"),"Una donna si strofina molto bene la mano.")</f>
        <v>Una donna si strofina molto bene la mano.</v>
      </c>
    </row>
    <row r="22464">
      <c r="A22464" s="4" t="s">
        <v>28270</v>
      </c>
      <c r="B22464" s="4" t="s">
        <v>28272</v>
      </c>
      <c r="C22464" s="5" t="str">
        <f>IFERROR(__xludf.DUMMYFUNCTION("GOOGLETRANSLATE(B22464,""en"",""it"")"),"Quindi, la donna sciacqua le mani con l'acqua.")</f>
        <v>Quindi, la donna sciacqua le mani con l'acqua.</v>
      </c>
    </row>
    <row r="22465">
      <c r="A22465" s="4" t="s">
        <v>28273</v>
      </c>
      <c r="B22465" s="4" t="s">
        <v>28274</v>
      </c>
      <c r="C22465" s="5" t="str">
        <f>IFERROR(__xludf.DUMMYFUNCTION("GOOGLETRANSLATE(B22465,""en"",""it"")"),"Le persone giocano a hockey su una pista di ghiaccio.")</f>
        <v>Le persone giocano a hockey su una pista di ghiaccio.</v>
      </c>
    </row>
    <row r="22466">
      <c r="A22466" s="4" t="s">
        <v>28273</v>
      </c>
      <c r="B22466" s="4" t="s">
        <v>28275</v>
      </c>
      <c r="C22466" s="5" t="str">
        <f>IFERROR(__xludf.DUMMYFUNCTION("GOOGLETRANSLATE(B22466,""en"",""it"")"),"Un arbitro pattina alla gente.")</f>
        <v>Un arbitro pattina alla gente.</v>
      </c>
    </row>
    <row r="22467">
      <c r="A22467" s="4" t="s">
        <v>28273</v>
      </c>
      <c r="B22467" s="4" t="s">
        <v>28276</v>
      </c>
      <c r="C22467" s="5" t="str">
        <f>IFERROR(__xludf.DUMMYFUNCTION("GOOGLETRANSLATE(B22467,""en"",""it"")"),"Continuano a giocare all'hockey.")</f>
        <v>Continuano a giocare all'hockey.</v>
      </c>
    </row>
    <row r="22468">
      <c r="A22468" s="4" t="s">
        <v>28277</v>
      </c>
      <c r="B22468" s="4" t="s">
        <v>28278</v>
      </c>
      <c r="C22468" s="5" t="str">
        <f>IFERROR(__xludf.DUMMYFUNCTION("GOOGLETRANSLATE(B22468,""en"",""it"")"),"Due ragazzi sono fuori nel cortile che giocano a palla.")</f>
        <v>Due ragazzi sono fuori nel cortile che giocano a palla.</v>
      </c>
    </row>
    <row r="22469">
      <c r="A22469" s="4" t="s">
        <v>28277</v>
      </c>
      <c r="B22469" s="4" t="s">
        <v>28279</v>
      </c>
      <c r="C22469" s="5" t="str">
        <f>IFERROR(__xludf.DUMMYFUNCTION("GOOGLETRANSLATE(B22469,""en"",""it"")"),"Uno si trova di fronte alla rete e passa all'altro con bastoncini di lacrosse.")</f>
        <v>Uno si trova di fronte alla rete e passa all'altro con bastoncini di lacrosse.</v>
      </c>
    </row>
    <row r="22470">
      <c r="A22470" s="4" t="s">
        <v>28277</v>
      </c>
      <c r="B22470" s="4" t="s">
        <v>28280</v>
      </c>
      <c r="C22470" s="5" t="str">
        <f>IFERROR(__xludf.DUMMYFUNCTION("GOOGLETRANSLATE(B22470,""en"",""it"")"),"I ragazzi continuano a passare il bagno a palla e il quarto.")</f>
        <v>I ragazzi continuano a passare il bagno a palla e il quarto.</v>
      </c>
    </row>
    <row r="22471">
      <c r="A22471" s="4" t="s">
        <v>28277</v>
      </c>
      <c r="B22471" s="4" t="s">
        <v>28281</v>
      </c>
      <c r="C22471" s="5" t="str">
        <f>IFERROR(__xludf.DUMMYFUNCTION("GOOGLETRANSLATE(B22471,""en"",""it"")"),"Un ragazzo lancia la palla nella strada mentre l'altro corre dopo di essa.")</f>
        <v>Un ragazzo lancia la palla nella strada mentre l'altro corre dopo di essa.</v>
      </c>
    </row>
    <row r="22472">
      <c r="A22472" s="4" t="s">
        <v>28277</v>
      </c>
      <c r="B22472" s="4" t="s">
        <v>28282</v>
      </c>
      <c r="C22472" s="5" t="str">
        <f>IFERROR(__xludf.DUMMYFUNCTION("GOOGLETRANSLATE(B22472,""en"",""it"")"),"Un altro ragazzo arriva con una parrucca e i ragazzi iniziano a lottare a vicenda.")</f>
        <v>Un altro ragazzo arriva con una parrucca e i ragazzi iniziano a lottare a vicenda.</v>
      </c>
    </row>
    <row r="22473">
      <c r="A22473" s="4" t="s">
        <v>28277</v>
      </c>
      <c r="B22473" s="4" t="s">
        <v>28283</v>
      </c>
      <c r="C22473" s="5" t="str">
        <f>IFERROR(__xludf.DUMMYFUNCTION("GOOGLETRANSLATE(B22473,""en"",""it"")"),"I ragazzi fingono quindi di battere il ragazzo con la parrucca.")</f>
        <v>I ragazzi fingono quindi di battere il ragazzo con la parrucca.</v>
      </c>
    </row>
    <row r="22474">
      <c r="A22474" s="4" t="s">
        <v>28277</v>
      </c>
      <c r="B22474" s="4" t="s">
        <v>28284</v>
      </c>
      <c r="C22474" s="5" t="str">
        <f>IFERROR(__xludf.DUMMYFUNCTION("GOOGLETRANSLATE(B22474,""en"",""it"")"),"Tutti i ragazzi continuano a lottare a vicenda mentre afferrano gli oggetti e scappano.")</f>
        <v>Tutti i ragazzi continuano a lottare a vicenda mentre afferrano gli oggetti e scappano.</v>
      </c>
    </row>
    <row r="22475">
      <c r="A22475" s="4" t="s">
        <v>28285</v>
      </c>
      <c r="B22475" s="4" t="s">
        <v>28286</v>
      </c>
      <c r="C22475" s="5" t="str">
        <f>IFERROR(__xludf.DUMMYFUNCTION("GOOGLETRANSLATE(B22475,""en"",""it"")"),"Le persone stanno andando in bicicletta attorno a un percorso sporco.")</f>
        <v>Le persone stanno andando in bicicletta attorno a un percorso sporco.</v>
      </c>
    </row>
    <row r="22476">
      <c r="A22476" s="4" t="s">
        <v>28285</v>
      </c>
      <c r="B22476" s="4" t="s">
        <v>28287</v>
      </c>
      <c r="C22476" s="5" t="str">
        <f>IFERROR(__xludf.DUMMYFUNCTION("GOOGLETRANSLATE(B22476,""en"",""it"")"),"Esaminano una collina più volte.")</f>
        <v>Esaminano una collina più volte.</v>
      </c>
    </row>
    <row r="22477">
      <c r="A22477" s="4" t="s">
        <v>28285</v>
      </c>
      <c r="B22477" s="4" t="s">
        <v>28288</v>
      </c>
      <c r="C22477" s="5" t="str">
        <f>IFERROR(__xludf.DUMMYFUNCTION("GOOGLETRANSLATE(B22477,""en"",""it"")"),"Il ragazzo indossa un casco.")</f>
        <v>Il ragazzo indossa un casco.</v>
      </c>
    </row>
    <row r="22478">
      <c r="A22478" s="4" t="s">
        <v>28289</v>
      </c>
      <c r="B22478" s="4" t="s">
        <v>28290</v>
      </c>
      <c r="C22478" s="5" t="str">
        <f>IFERROR(__xludf.DUMMYFUNCTION("GOOGLETRANSLATE(B22478,""en"",""it"")"),"Una persona sta saldando un piccolo oggetto metallico quadrato.")</f>
        <v>Una persona sta saldando un piccolo oggetto metallico quadrato.</v>
      </c>
    </row>
    <row r="22479">
      <c r="A22479" s="4" t="s">
        <v>28289</v>
      </c>
      <c r="B22479" s="4" t="s">
        <v>28291</v>
      </c>
      <c r="C22479" s="5" t="str">
        <f>IFERROR(__xludf.DUMMYFUNCTION("GOOGLETRANSLATE(B22479,""en"",""it"")"),"Una fiamma esce da un tubo e una leggera scintilla formano la saldatura.")</f>
        <v>Una fiamma esce da un tubo e una leggera scintilla formano la saldatura.</v>
      </c>
    </row>
    <row r="22480">
      <c r="A22480" s="4" t="s">
        <v>28289</v>
      </c>
      <c r="B22480" s="4" t="s">
        <v>28292</v>
      </c>
      <c r="C22480" s="5" t="str">
        <f>IFERROR(__xludf.DUMMYFUNCTION("GOOGLETRANSLATE(B22480,""en"",""it"")"),"Due uomini saldano per unirsi a grandi cilindri.")</f>
        <v>Due uomini saldano per unirsi a grandi cilindri.</v>
      </c>
    </row>
    <row r="22481">
      <c r="A22481" s="4" t="s">
        <v>28293</v>
      </c>
      <c r="B22481" s="4" t="s">
        <v>28294</v>
      </c>
      <c r="C22481" s="5" t="str">
        <f>IFERROR(__xludf.DUMMYFUNCTION("GOOGLETRANSLATE(B22481,""en"",""it"")"),"Un uomo rimuove la neve su un'auto usando uno spazzaneve.")</f>
        <v>Un uomo rimuove la neve su un'auto usando uno spazzaneve.</v>
      </c>
    </row>
    <row r="22482">
      <c r="A22482" s="4" t="s">
        <v>28293</v>
      </c>
      <c r="B22482" s="6" t="s">
        <v>28295</v>
      </c>
      <c r="C22482" s="5" t="str">
        <f>IFERROR(__xludf.DUMMYFUNCTION("GOOGLETRANSLATE(B22482,""en"",""it"")"),"Quindi, l'uomo scrive sulla neve che copre il finestrino di un'auto e una donna che indossa abiti invernali sorride.")</f>
        <v>Quindi, l'uomo scrive sulla neve che copre il finestrino di un'auto e una donna che indossa abiti invernali sorride.</v>
      </c>
    </row>
    <row r="22483">
      <c r="A22483" s="4" t="s">
        <v>28293</v>
      </c>
      <c r="B22483" s="4" t="s">
        <v>28296</v>
      </c>
      <c r="C22483" s="5" t="str">
        <f>IFERROR(__xludf.DUMMYFUNCTION("GOOGLETRANSLATE(B22483,""en"",""it"")"),"Quindi, l'uomo continua a rimuovere la neve sulla sua auto.")</f>
        <v>Quindi, l'uomo continua a rimuovere la neve sulla sua auto.</v>
      </c>
    </row>
    <row r="22484">
      <c r="A22484" s="4" t="s">
        <v>28297</v>
      </c>
      <c r="B22484" s="4" t="s">
        <v>28298</v>
      </c>
      <c r="C22484" s="5" t="str">
        <f>IFERROR(__xludf.DUMMYFUNCTION("GOOGLETRANSLATE(B22484,""en"",""it"")"),"Un uomo in costume da bagno e sua moglie galleggiano giù da un fiume su Intertubi.")</f>
        <v>Un uomo in costume da bagno e sua moglie galleggiano giù da un fiume su Intertubi.</v>
      </c>
    </row>
    <row r="22485">
      <c r="A22485" s="4" t="s">
        <v>28297</v>
      </c>
      <c r="B22485" s="4" t="s">
        <v>28299</v>
      </c>
      <c r="C22485" s="5" t="str">
        <f>IFERROR(__xludf.DUMMYFUNCTION("GOOGLETRANSLATE(B22485,""en"",""it"")"),"L'uomo cade dal suo intertubo e si avvicina al bordo delle acque.")</f>
        <v>L'uomo cade dal suo intertubo e si avvicina al bordo delle acque.</v>
      </c>
    </row>
    <row r="22486">
      <c r="A22486" s="4" t="s">
        <v>28297</v>
      </c>
      <c r="B22486" s="4" t="s">
        <v>28300</v>
      </c>
      <c r="C22486" s="5" t="str">
        <f>IFERROR(__xludf.DUMMYFUNCTION("GOOGLETRANSLATE(B22486,""en"",""it"")"),"L'uomo, ora indossa un giubbotto di salvataggio, con sua moglie galleggia lungo un fiume nel mezzo di un grande gruppo.")</f>
        <v>L'uomo, ora indossa un giubbotto di salvataggio, con sua moglie galleggia lungo un fiume nel mezzo di un grande gruppo.</v>
      </c>
    </row>
    <row r="22487">
      <c r="A22487" s="4" t="s">
        <v>28297</v>
      </c>
      <c r="B22487" s="6" t="s">
        <v>28301</v>
      </c>
      <c r="C22487" s="5" t="str">
        <f>IFERROR(__xludf.DUMMYFUNCTION("GOOGLETRANSLATE(B22487,""en"",""it"")"),"Un gruppo da dietro galleggia accanto all'uomo e alla donna mentre rallentano vicino al lato del fiume.")</f>
        <v>Un gruppo da dietro galleggia accanto all'uomo e alla donna mentre rallentano vicino al lato del fiume.</v>
      </c>
    </row>
    <row r="22488">
      <c r="A22488" s="4" t="s">
        <v>28302</v>
      </c>
      <c r="B22488" s="4" t="s">
        <v>28303</v>
      </c>
      <c r="C22488" s="5" t="str">
        <f>IFERROR(__xludf.DUMMYFUNCTION("GOOGLETRANSLATE(B22488,""en"",""it"")"),"Una donna taglia le estremità da una patata dolce su un tagliere con un coltello.")</f>
        <v>Una donna taglia le estremità da una patata dolce su un tagliere con un coltello.</v>
      </c>
    </row>
    <row r="22489">
      <c r="A22489" s="4" t="s">
        <v>28302</v>
      </c>
      <c r="B22489" s="4" t="s">
        <v>28304</v>
      </c>
      <c r="C22489" s="5" t="str">
        <f>IFERROR(__xludf.DUMMYFUNCTION("GOOGLETRANSLATE(B22489,""en"",""it"")"),"La donna usa uno strumento di peeling per pelle una patata dolce sul tagliere.")</f>
        <v>La donna usa uno strumento di peeling per pelle una patata dolce sul tagliere.</v>
      </c>
    </row>
    <row r="22490">
      <c r="A22490" s="4" t="s">
        <v>28305</v>
      </c>
      <c r="B22490" s="4" t="s">
        <v>28306</v>
      </c>
      <c r="C22490" s="5" t="str">
        <f>IFERROR(__xludf.DUMMYFUNCTION("GOOGLETRANSLATE(B22490,""en"",""it"")"),"Vediamo un uomo e una donna che balla insieme.")</f>
        <v>Vediamo un uomo e una donna che balla insieme.</v>
      </c>
    </row>
    <row r="22491">
      <c r="A22491" s="4" t="s">
        <v>28305</v>
      </c>
      <c r="B22491" s="4" t="s">
        <v>28307</v>
      </c>
      <c r="C22491" s="5" t="str">
        <f>IFERROR(__xludf.DUMMYFUNCTION("GOOGLETRANSLATE(B22491,""en"",""it"")"),"L'uomo gira la donna avanti e indietro.")</f>
        <v>L'uomo gira la donna avanti e indietro.</v>
      </c>
    </row>
    <row r="22492">
      <c r="A22492" s="4" t="s">
        <v>28305</v>
      </c>
      <c r="B22492" s="4" t="s">
        <v>28308</v>
      </c>
      <c r="C22492" s="5" t="str">
        <f>IFERROR(__xludf.DUMMYFUNCTION("GOOGLETRANSLATE(B22492,""en"",""it"")"),"Lo schermo gira una tonalità verde.")</f>
        <v>Lo schermo gira una tonalità verde.</v>
      </c>
    </row>
    <row r="22493">
      <c r="A22493" s="4" t="s">
        <v>28305</v>
      </c>
      <c r="B22493" s="4" t="s">
        <v>28309</v>
      </c>
      <c r="C22493" s="5" t="str">
        <f>IFERROR(__xludf.DUMMYFUNCTION("GOOGLETRANSLATE(B22493,""en"",""it"")"),"La signora si toglie i capelli da una coda di cavallo.")</f>
        <v>La signora si toglie i capelli da una coda di cavallo.</v>
      </c>
    </row>
    <row r="22494">
      <c r="A22494" s="4" t="s">
        <v>28305</v>
      </c>
      <c r="B22494" s="4" t="s">
        <v>28310</v>
      </c>
      <c r="C22494" s="5" t="str">
        <f>IFERROR(__xludf.DUMMYFUNCTION("GOOGLETRANSLATE(B22494,""en"",""it"")"),"Lo schermo gira una tonalità blu.")</f>
        <v>Lo schermo gira una tonalità blu.</v>
      </c>
    </row>
    <row r="22495">
      <c r="A22495" s="4" t="s">
        <v>28305</v>
      </c>
      <c r="B22495" s="4" t="s">
        <v>28311</v>
      </c>
      <c r="C22495" s="5" t="str">
        <f>IFERROR(__xludf.DUMMYFUNCTION("GOOGLETRANSLATE(B22495,""en"",""it"")"),"Una persona entra nella stanza poi se ne va.")</f>
        <v>Una persona entra nella stanza poi se ne va.</v>
      </c>
    </row>
    <row r="22496">
      <c r="A22496" s="4" t="s">
        <v>28305</v>
      </c>
      <c r="B22496" s="4" t="s">
        <v>28312</v>
      </c>
      <c r="C22496" s="5" t="str">
        <f>IFERROR(__xludf.DUMMYFUNCTION("GOOGLETRANSLATE(B22496,""en"",""it"")"),"Le persone ricominciano a girare.")</f>
        <v>Le persone ricominciano a girare.</v>
      </c>
    </row>
    <row r="22497">
      <c r="A22497" s="4" t="s">
        <v>28305</v>
      </c>
      <c r="B22497" s="4" t="s">
        <v>28313</v>
      </c>
      <c r="C22497" s="5" t="str">
        <f>IFERROR(__xludf.DUMMYFUNCTION("GOOGLETRANSLATE(B22497,""en"",""it"")"),"La persona ritorna e si sposta a sinistra.")</f>
        <v>La persona ritorna e si sposta a sinistra.</v>
      </c>
    </row>
    <row r="22498">
      <c r="A22498" s="4" t="s">
        <v>28305</v>
      </c>
      <c r="B22498" s="4" t="s">
        <v>28314</v>
      </c>
      <c r="C22498" s="5" t="str">
        <f>IFERROR(__xludf.DUMMYFUNCTION("GOOGLETRANSLATE(B22498,""en"",""it"")"),"Il colore diventa di nuovo normale.")</f>
        <v>Il colore diventa di nuovo normale.</v>
      </c>
    </row>
    <row r="22499">
      <c r="A22499" s="4" t="s">
        <v>28305</v>
      </c>
      <c r="B22499" s="4" t="s">
        <v>28315</v>
      </c>
      <c r="C22499" s="5" t="str">
        <f>IFERROR(__xludf.DUMMYFUNCTION("GOOGLETRANSLATE(B22499,""en"",""it"")"),"L'uomo si ferma e la donna è arrabbiata.")</f>
        <v>L'uomo si ferma e la donna è arrabbiata.</v>
      </c>
    </row>
    <row r="22500">
      <c r="A22500" s="4" t="s">
        <v>28316</v>
      </c>
      <c r="B22500" s="6" t="s">
        <v>28317</v>
      </c>
      <c r="C22500" s="5" t="str">
        <f>IFERROR(__xludf.DUMMYFUNCTION("GOOGLETRANSLATE(B22500,""en"",""it"")"),"Un'introduzione appare su uno schermo scuro con effetti speciali rossi e bianchi e le parole ""Milwaukee Open"" e ""Best Plays"" si presentano su schermi separati.")</f>
        <v>Un'introduzione appare su uno schermo scuro con effetti speciali rossi e bianchi e le parole "Milwaukee Open" e "Best Plays" si presentano su schermi separati.</v>
      </c>
    </row>
    <row r="22501">
      <c r="A22501" s="4" t="s">
        <v>28316</v>
      </c>
      <c r="B22501" s="6" t="s">
        <v>28318</v>
      </c>
      <c r="C22501" s="5" t="str">
        <f>IFERROR(__xludf.DUMMYFUNCTION("GOOGLETRANSLATE(B22501,""en"",""it"")"),"Clip di varie persone, sia uomini che donne sono all'aperto in spiaggia, indossano abbigliamento da spiaggia mentre giocano a pallavolo di sabbia durante le diverse partite mentre molti spettatori li guardano e li tirano su difendi.")</f>
        <v>Clip di varie persone, sia uomini che donne sono all'aperto in spiaggia, indossano abbigliamento da spiaggia mentre giocano a pallavolo di sabbia durante le diverse partite mentre molti spettatori li guardano e li tirano su difendi.</v>
      </c>
    </row>
    <row r="22502">
      <c r="A22502" s="4" t="s">
        <v>28316</v>
      </c>
      <c r="B22502" s="6" t="s">
        <v>28319</v>
      </c>
      <c r="C22502" s="5" t="str">
        <f>IFERROR(__xludf.DUMMYFUNCTION("GOOGLETRANSLATE(B22502,""en"",""it"")"),"Le clip finiscono e lo outro appare e assomigliano all'intro e termina con le parole ""migliori giochi"" e ""Milwaukee Open"" su due diversi schermi.")</f>
        <v>Le clip finiscono e lo outro appare e assomigliano all'intro e termina con le parole "migliori giochi" e "Milwaukee Open" su due diversi schermi.</v>
      </c>
    </row>
    <row r="22503">
      <c r="A22503" s="4" t="s">
        <v>28320</v>
      </c>
      <c r="B22503" s="4" t="s">
        <v>20552</v>
      </c>
      <c r="C22503" s="5" t="str">
        <f>IFERROR(__xludf.DUMMYFUNCTION("GOOGLETRANSLATE(B22503,""en"",""it"")"),"Due persone giocano a tennis su un campo.")</f>
        <v>Due persone giocano a tennis su un campo.</v>
      </c>
    </row>
    <row r="22504">
      <c r="A22504" s="4" t="s">
        <v>28320</v>
      </c>
      <c r="B22504" s="4" t="s">
        <v>28321</v>
      </c>
      <c r="C22504" s="5" t="str">
        <f>IFERROR(__xludf.DUMMYFUNCTION("GOOGLETRANSLATE(B22504,""en"",""it"")"),"Una persona in una camicia gialla si trova fuori a guardare.")</f>
        <v>Una persona in una camicia gialla si trova fuori a guardare.</v>
      </c>
    </row>
    <row r="22505">
      <c r="A22505" s="4" t="s">
        <v>28320</v>
      </c>
      <c r="B22505" s="4" t="s">
        <v>28322</v>
      </c>
      <c r="C22505" s="5" t="str">
        <f>IFERROR(__xludf.DUMMYFUNCTION("GOOGLETRANSLATE(B22505,""en"",""it"")"),"Una donna apre la porta e esce.")</f>
        <v>Una donna apre la porta e esce.</v>
      </c>
    </row>
    <row r="22506">
      <c r="A22506" s="4" t="s">
        <v>28323</v>
      </c>
      <c r="B22506" s="6" t="s">
        <v>28324</v>
      </c>
      <c r="C22506" s="5" t="str">
        <f>IFERROR(__xludf.DUMMYFUNCTION("GOOGLETRANSLATE(B22506,""en"",""it"")"),"Un folto gruppo di persone viene visto eseguire una routine insieme in una lezione di esercizio mentre si muove su e giù su una trave.")</f>
        <v>Un folto gruppo di persone viene visto eseguire una routine insieme in una lezione di esercizio mentre si muove su e giù su una trave.</v>
      </c>
    </row>
    <row r="22507">
      <c r="A22507" s="4" t="s">
        <v>28323</v>
      </c>
      <c r="B22507" s="6" t="s">
        <v>28325</v>
      </c>
      <c r="C22507" s="5" t="str">
        <f>IFERROR(__xludf.DUMMYFUNCTION("GOOGLETRANSLATE(B22507,""en"",""it"")"),"Le persone continuano a muoversi l'una verso l'altra mentre muovevano le braccia su e giù sul raggio e finiscono tenendosi l'uno sull'altro e camminando per la stanza.")</f>
        <v>Le persone continuano a muoversi l'una verso l'altra mentre muovevano le braccia su e giù sul raggio e finiscono tenendosi l'uno sull'altro e camminando per la stanza.</v>
      </c>
    </row>
    <row r="22508">
      <c r="A22508" s="4" t="s">
        <v>28326</v>
      </c>
      <c r="B22508" s="4" t="s">
        <v>28327</v>
      </c>
      <c r="C22508" s="5" t="str">
        <f>IFERROR(__xludf.DUMMYFUNCTION("GOOGLETRANSLATE(B22508,""en"",""it"")"),"La gente gioca a Black Jack attorno a un tavolo.")</f>
        <v>La gente gioca a Black Jack attorno a un tavolo.</v>
      </c>
    </row>
    <row r="22509">
      <c r="A22509" s="4" t="s">
        <v>28326</v>
      </c>
      <c r="B22509" s="4" t="s">
        <v>28328</v>
      </c>
      <c r="C22509" s="5" t="str">
        <f>IFERROR(__xludf.DUMMYFUNCTION("GOOGLETRANSLATE(B22509,""en"",""it"")"),"Il rivenditore è trattare le carte e i token alle donne.")</f>
        <v>Il rivenditore è trattare le carte e i token alle donne.</v>
      </c>
    </row>
    <row r="22510">
      <c r="A22510" s="4" t="s">
        <v>28326</v>
      </c>
      <c r="B22510" s="4" t="s">
        <v>28329</v>
      </c>
      <c r="C22510" s="5" t="str">
        <f>IFERROR(__xludf.DUMMYFUNCTION("GOOGLETRANSLATE(B22510,""en"",""it"")"),"L'uomo si trova da un tavolo e cammina in una stanza.")</f>
        <v>L'uomo si trova da un tavolo e cammina in una stanza.</v>
      </c>
    </row>
    <row r="22511">
      <c r="A22511" s="4" t="s">
        <v>28330</v>
      </c>
      <c r="B22511" s="4" t="s">
        <v>28331</v>
      </c>
      <c r="C22511" s="5" t="str">
        <f>IFERROR(__xludf.DUMMYFUNCTION("GOOGLETRANSLATE(B22511,""en"",""it"")"),"Una persona viene vista rastrellare un cortile e fa una pausa per mettere la mano in tasca.")</f>
        <v>Una persona viene vista rastrellare un cortile e fa una pausa per mettere la mano in tasca.</v>
      </c>
    </row>
    <row r="22512">
      <c r="A22512" s="4" t="s">
        <v>28330</v>
      </c>
      <c r="B22512" s="4" t="s">
        <v>28332</v>
      </c>
      <c r="C22512" s="5" t="str">
        <f>IFERROR(__xludf.DUMMYFUNCTION("GOOGLETRANSLATE(B22512,""en"",""it"")"),"Un altro uomo viene camminando con un ventilatore a foglie che spinge le foglie intorno.")</f>
        <v>Un altro uomo viene camminando con un ventilatore a foglie che spinge le foglie intorno.</v>
      </c>
    </row>
    <row r="22513">
      <c r="A22513" s="4" t="s">
        <v>28330</v>
      </c>
      <c r="B22513" s="4" t="s">
        <v>28333</v>
      </c>
      <c r="C22513" s="5" t="str">
        <f>IFERROR(__xludf.DUMMYFUNCTION("GOOGLETRANSLATE(B22513,""en"",""it"")"),"L'uomo rastrella più foglie e l'uomo del soffiatore di foglie risale.")</f>
        <v>L'uomo rastrella più foglie e l'uomo del soffiatore di foglie risale.</v>
      </c>
    </row>
    <row r="22514">
      <c r="A22514" s="4" t="s">
        <v>28334</v>
      </c>
      <c r="B22514" s="4" t="s">
        <v>28335</v>
      </c>
      <c r="C22514" s="5" t="str">
        <f>IFERROR(__xludf.DUMMYFUNCTION("GOOGLETRANSLATE(B22514,""en"",""it"")"),"Vediamo il fondo del mare subacqueo.")</f>
        <v>Vediamo il fondo del mare subacqueo.</v>
      </c>
    </row>
    <row r="22515">
      <c r="A22515" s="4" t="s">
        <v>28334</v>
      </c>
      <c r="B22515" s="4" t="s">
        <v>28336</v>
      </c>
      <c r="C22515" s="5" t="str">
        <f>IFERROR(__xludf.DUMMYFUNCTION("GOOGLETRANSLATE(B22515,""en"",""it"")"),"Due persone nuotano davanti alla telecamera.")</f>
        <v>Due persone nuotano davanti alla telecamera.</v>
      </c>
    </row>
    <row r="22516">
      <c r="A22516" s="4" t="s">
        <v>28334</v>
      </c>
      <c r="B22516" s="4" t="s">
        <v>28337</v>
      </c>
      <c r="C22516" s="5" t="str">
        <f>IFERROR(__xludf.DUMMYFUNCTION("GOOGLETRANSLATE(B22516,""en"",""it"")"),"Vediamo un uomo che tiene una macchina fotografica.")</f>
        <v>Vediamo un uomo che tiene una macchina fotografica.</v>
      </c>
    </row>
    <row r="22517">
      <c r="A22517" s="4" t="s">
        <v>28334</v>
      </c>
      <c r="B22517" s="4" t="s">
        <v>28338</v>
      </c>
      <c r="C22517" s="5" t="str">
        <f>IFERROR(__xludf.DUMMYFUNCTION("GOOGLETRANSLATE(B22517,""en"",""it"")"),"Vediamo una pinna entrare nella fotocamera.")</f>
        <v>Vediamo una pinna entrare nella fotocamera.</v>
      </c>
    </row>
    <row r="22518">
      <c r="A22518" s="4" t="s">
        <v>28334</v>
      </c>
      <c r="B22518" s="4" t="s">
        <v>28339</v>
      </c>
      <c r="C22518" s="5" t="str">
        <f>IFERROR(__xludf.DUMMYFUNCTION("GOOGLETRANSLATE(B22518,""en"",""it"")"),"La fotocamera gira selvaggiamente.")</f>
        <v>La fotocamera gira selvaggiamente.</v>
      </c>
    </row>
    <row r="22519">
      <c r="A22519" s="4" t="s">
        <v>28334</v>
      </c>
      <c r="B22519" s="4" t="s">
        <v>28340</v>
      </c>
      <c r="C22519" s="5" t="str">
        <f>IFERROR(__xludf.DUMMYFUNCTION("GOOGLETRANSLATE(B22519,""en"",""it"")"),"Le bolle si alzano da un tubo.")</f>
        <v>Le bolle si alzano da un tubo.</v>
      </c>
    </row>
    <row r="22520">
      <c r="A22520" s="4" t="s">
        <v>28334</v>
      </c>
      <c r="B22520" s="4" t="s">
        <v>28341</v>
      </c>
      <c r="C22520" s="5" t="str">
        <f>IFERROR(__xludf.DUMMYFUNCTION("GOOGLETRANSLATE(B22520,""en"",""it"")"),"Un uomo consegna un'altra persona il bocchino.")</f>
        <v>Un uomo consegna un'altra persona il bocchino.</v>
      </c>
    </row>
    <row r="22521">
      <c r="A22521" s="4" t="s">
        <v>28342</v>
      </c>
      <c r="B22521" s="4" t="s">
        <v>28343</v>
      </c>
      <c r="C22521" s="5" t="str">
        <f>IFERROR(__xludf.DUMMYFUNCTION("GOOGLETRANSLATE(B22521,""en"",""it"")"),"Due persone sono viste camminare per un cortile di fronte a una tavola.")</f>
        <v>Due persone sono viste camminare per un cortile di fronte a una tavola.</v>
      </c>
    </row>
    <row r="22522">
      <c r="A22522" s="4" t="s">
        <v>28342</v>
      </c>
      <c r="B22522" s="4" t="s">
        <v>28344</v>
      </c>
      <c r="C22522" s="5" t="str">
        <f>IFERROR(__xludf.DUMMYFUNCTION("GOOGLETRANSLATE(B22522,""en"",""it"")"),"Un altro uomo entra e il gruppo viene visto preparando una recinzione.")</f>
        <v>Un altro uomo entra e il gruppo viene visto preparando una recinzione.</v>
      </c>
    </row>
    <row r="22523">
      <c r="A22523" s="4" t="s">
        <v>28342</v>
      </c>
      <c r="B22523" s="4" t="s">
        <v>28345</v>
      </c>
      <c r="C22523" s="5" t="str">
        <f>IFERROR(__xludf.DUMMYFUNCTION("GOOGLETRANSLATE(B22523,""en"",""it"")"),"Gli uomini continuano a mettere le assi sul recinto e finiscono presentandolo alla telecamera.")</f>
        <v>Gli uomini continuano a mettere le assi sul recinto e finiscono presentandolo alla telecamera.</v>
      </c>
    </row>
    <row r="22524">
      <c r="A22524" s="4" t="s">
        <v>28346</v>
      </c>
      <c r="B22524" s="4" t="s">
        <v>28347</v>
      </c>
      <c r="C22524" s="5" t="str">
        <f>IFERROR(__xludf.DUMMYFUNCTION("GOOGLETRANSLATE(B22524,""en"",""it"")"),"Un uomo è seduto dietro un tavolo che completa un cubo di Rubik.")</f>
        <v>Un uomo è seduto dietro un tavolo che completa un cubo di Rubik.</v>
      </c>
    </row>
    <row r="22525">
      <c r="A22525" s="4" t="s">
        <v>28346</v>
      </c>
      <c r="B22525" s="4" t="s">
        <v>28348</v>
      </c>
      <c r="C22525" s="5" t="str">
        <f>IFERROR(__xludf.DUMMYFUNCTION("GOOGLETRANSLATE(B22525,""en"",""it"")"),"Una persona in una camicia blu è in piedi accanto al tavolo tenendo un orologio stop.")</f>
        <v>Una persona in una camicia blu è in piedi accanto al tavolo tenendo un orologio stop.</v>
      </c>
    </row>
    <row r="22526">
      <c r="A22526" s="4" t="s">
        <v>28346</v>
      </c>
      <c r="B22526" s="4" t="s">
        <v>28349</v>
      </c>
      <c r="C22526" s="5" t="str">
        <f>IFERROR(__xludf.DUMMYFUNCTION("GOOGLETRANSLATE(B22526,""en"",""it"")"),"L'uomo completa il cubo di Rubik e lo mette giù.")</f>
        <v>L'uomo completa il cubo di Rubik e lo mette giù.</v>
      </c>
    </row>
    <row r="22527">
      <c r="A22527" s="4" t="s">
        <v>28346</v>
      </c>
      <c r="B22527" s="4" t="s">
        <v>28350</v>
      </c>
      <c r="C22527" s="5" t="str">
        <f>IFERROR(__xludf.DUMMYFUNCTION("GOOGLETRANSLATE(B22527,""en"",""it"")"),"Abbraccia una persona che si avvicina a lui.")</f>
        <v>Abbraccia una persona che si avvicina a lui.</v>
      </c>
    </row>
    <row r="22528">
      <c r="A22528" s="4" t="s">
        <v>28351</v>
      </c>
      <c r="B22528" s="4" t="s">
        <v>28352</v>
      </c>
      <c r="C22528" s="5" t="str">
        <f>IFERROR(__xludf.DUMMYFUNCTION("GOOGLETRANSLATE(B22528,""en"",""it"")"),"Due uomini sono all'aperto su un marciapiede, giocando a tamburi a mani nude.")</f>
        <v>Due uomini sono all'aperto su un marciapiede, giocando a tamburi a mani nude.</v>
      </c>
    </row>
    <row r="22529">
      <c r="A22529" s="4" t="s">
        <v>28351</v>
      </c>
      <c r="B22529" s="6" t="s">
        <v>28353</v>
      </c>
      <c r="C22529" s="5" t="str">
        <f>IFERROR(__xludf.DUMMYFUNCTION("GOOGLETRANSLATE(B22529,""en"",""it"")"),"Una grande folla attraversa il marciapiede mentre completano lo spettacolo e l'uomo a sinistra è in posizione verticale.")</f>
        <v>Una grande folla attraversa il marciapiede mentre completano lo spettacolo e l'uomo a sinistra è in posizione verticale.</v>
      </c>
    </row>
    <row r="22530">
      <c r="A22530" s="4" t="s">
        <v>28354</v>
      </c>
      <c r="B22530" s="4" t="s">
        <v>28355</v>
      </c>
      <c r="C22530" s="5" t="str">
        <f>IFERROR(__xludf.DUMMYFUNCTION("GOOGLETRANSLATE(B22530,""en"",""it"")"),"Un gruppo di persone si schiera contro un muro di fronte a una serie di palle all'inizio di una partita in palestra.")</f>
        <v>Un gruppo di persone si schiera contro un muro di fronte a una serie di palle all'inizio di una partita in palestra.</v>
      </c>
    </row>
    <row r="22531">
      <c r="A22531" s="4" t="s">
        <v>28354</v>
      </c>
      <c r="B22531" s="4" t="s">
        <v>28356</v>
      </c>
      <c r="C22531" s="5" t="str">
        <f>IFERROR(__xludf.DUMMYFUNCTION("GOOGLETRANSLATE(B22531,""en"",""it"")"),"Il gruppo funziona per recuperare le palle.")</f>
        <v>Il gruppo funziona per recuperare le palle.</v>
      </c>
    </row>
    <row r="22532">
      <c r="A22532" s="4" t="s">
        <v>28354</v>
      </c>
      <c r="B22532" s="4" t="s">
        <v>28357</v>
      </c>
      <c r="C22532" s="5" t="str">
        <f>IFERROR(__xludf.DUMMYFUNCTION("GOOGLETRANSLATE(B22532,""en"",""it"")"),"Il gruppo fa girare le palle avanti e indietro con una squadra avversaria in una partita di Dodge Ball.")</f>
        <v>Il gruppo fa girare le palle avanti e indietro con una squadra avversaria in una partita di Dodge Ball.</v>
      </c>
    </row>
    <row r="22533">
      <c r="A22533" s="4" t="s">
        <v>28354</v>
      </c>
      <c r="B22533" s="4" t="s">
        <v>28358</v>
      </c>
      <c r="C22533" s="5" t="str">
        <f>IFERROR(__xludf.DUMMYFUNCTION("GOOGLETRANSLATE(B22533,""en"",""it"")"),"Un uomo viene colpito più volte mentre corre in avanti sul campo e recupera le palle.")</f>
        <v>Un uomo viene colpito più volte mentre corre in avanti sul campo e recupera le palle.</v>
      </c>
    </row>
    <row r="22534">
      <c r="A22534" s="4" t="s">
        <v>28359</v>
      </c>
      <c r="B22534" s="4" t="s">
        <v>28360</v>
      </c>
      <c r="C22534" s="5" t="str">
        <f>IFERROR(__xludf.DUMMYFUNCTION("GOOGLETRANSLATE(B22534,""en"",""it"")"),"Vediamo uomini su un palco che camminano su una linea allentata mentre altri due uomini filmano l'evento.")</f>
        <v>Vediamo uomini su un palco che camminano su una linea allentata mentre altri due uomini filmano l'evento.</v>
      </c>
    </row>
    <row r="22535">
      <c r="A22535" s="4" t="s">
        <v>28359</v>
      </c>
      <c r="B22535" s="4" t="s">
        <v>28361</v>
      </c>
      <c r="C22535" s="5" t="str">
        <f>IFERROR(__xludf.DUMMYFUNCTION("GOOGLETRANSLATE(B22535,""en"",""it"")"),"Cambiano e un uomo diverso, quindi cammina la slackline che sfugge dalla linea di slack.")</f>
        <v>Cambiano e un uomo diverso, quindi cammina la slackline che sfugge dalla linea di slack.</v>
      </c>
    </row>
    <row r="22536">
      <c r="A22536" s="4" t="s">
        <v>28359</v>
      </c>
      <c r="B22536" s="4" t="s">
        <v>28362</v>
      </c>
      <c r="C22536" s="5" t="str">
        <f>IFERROR(__xludf.DUMMYFUNCTION("GOOGLETRANSLATE(B22536,""en"",""it"")"),"Gli uomini cambiano di nuovo e il primo uomo è sulla riga.")</f>
        <v>Gli uomini cambiano di nuovo e il primo uomo è sulla riga.</v>
      </c>
    </row>
    <row r="22537">
      <c r="A22537" s="4" t="s">
        <v>28359</v>
      </c>
      <c r="B22537" s="4" t="s">
        <v>28363</v>
      </c>
      <c r="C22537" s="5" t="str">
        <f>IFERROR(__xludf.DUMMYFUNCTION("GOOGLETRANSLATE(B22537,""en"",""it"")"),"L'uomo cade dalla riga sul sedere.")</f>
        <v>L'uomo cade dalla riga sul sedere.</v>
      </c>
    </row>
    <row r="22538">
      <c r="A22538" s="4" t="s">
        <v>28359</v>
      </c>
      <c r="B22538" s="4" t="s">
        <v>28364</v>
      </c>
      <c r="C22538" s="5" t="str">
        <f>IFERROR(__xludf.DUMMYFUNCTION("GOOGLETRANSLATE(B22538,""en"",""it"")"),"Il secondo uomo rimbalza e si sposta.")</f>
        <v>Il secondo uomo rimbalza e si sposta.</v>
      </c>
    </row>
    <row r="22539">
      <c r="A22539" s="4" t="s">
        <v>28359</v>
      </c>
      <c r="B22539" s="4" t="s">
        <v>28365</v>
      </c>
      <c r="C22539" s="5" t="str">
        <f>IFERROR(__xludf.DUMMYFUNCTION("GOOGLETRANSLATE(B22539,""en"",""it"")"),"Il primo uomo rimbalza e si sposta.")</f>
        <v>Il primo uomo rimbalza e si sposta.</v>
      </c>
    </row>
    <row r="22540">
      <c r="A22540" s="4" t="s">
        <v>28359</v>
      </c>
      <c r="B22540" s="4" t="s">
        <v>28366</v>
      </c>
      <c r="C22540" s="5" t="str">
        <f>IFERROR(__xludf.DUMMYFUNCTION("GOOGLETRANSLATE(B22540,""en"",""it"")"),"Gli uomini battono e prendono la slackline dal palco.")</f>
        <v>Gli uomini battono e prendono la slackline dal palco.</v>
      </c>
    </row>
    <row r="22541">
      <c r="A22541" s="4" t="s">
        <v>28367</v>
      </c>
      <c r="B22541" s="6" t="s">
        <v>28368</v>
      </c>
      <c r="C22541" s="5" t="str">
        <f>IFERROR(__xludf.DUMMYFUNCTION("GOOGLETRANSLATE(B22541,""en"",""it"")"),"Viene mostrato un primo piano di orologio seguito da una persona che prepara e versa caffè e dall'esterno di un edificio.")</f>
        <v>Viene mostrato un primo piano di orologio seguito da una persona che prepara e versa caffè e dall'esterno di un edificio.</v>
      </c>
    </row>
    <row r="22542">
      <c r="A22542" s="4" t="s">
        <v>28367</v>
      </c>
      <c r="B22542" s="4" t="s">
        <v>28369</v>
      </c>
      <c r="C22542" s="5" t="str">
        <f>IFERROR(__xludf.DUMMYFUNCTION("GOOGLETRANSLATE(B22542,""en"",""it"")"),"Una donna si mette le chiavi, scrive su una tavola e conduce alla sua toelettatura e accarezza i cani.")</f>
        <v>Una donna si mette le chiavi, scrive su una tavola e conduce alla sua toelettatura e accarezza i cani.</v>
      </c>
    </row>
    <row r="22543">
      <c r="A22543" s="4" t="s">
        <v>28367</v>
      </c>
      <c r="B22543" s="6" t="s">
        <v>28370</v>
      </c>
      <c r="C22543" s="5" t="str">
        <f>IFERROR(__xludf.DUMMYFUNCTION("GOOGLETRANSLATE(B22543,""en"",""it"")"),"Vengono mostrate diverse clip della donna che cura gli animali da varie viste e gli animali mostrati in seguito.")</f>
        <v>Vengono mostrate diverse clip della donna che cura gli animali da varie viste e gli animali mostrati in seguito.</v>
      </c>
    </row>
    <row r="22544">
      <c r="A22544" s="4" t="s">
        <v>28371</v>
      </c>
      <c r="B22544" s="6" t="s">
        <v>28372</v>
      </c>
      <c r="C22544" s="5" t="str">
        <f>IFERROR(__xludf.DUMMYFUNCTION("GOOGLETRANSLATE(B22544,""en"",""it"")"),"Si vede una ragazza che indossa gli occhiali che parla alla telecamera che le porta a toglierli e tenerli alla sua macchina fotografica.")</f>
        <v>Si vede una ragazza che indossa gli occhiali che parla alla telecamera che le porta a toglierli e tenerli alla sua macchina fotografica.</v>
      </c>
    </row>
    <row r="22545">
      <c r="A22545" s="4" t="s">
        <v>28371</v>
      </c>
      <c r="B22545" s="4" t="s">
        <v>28373</v>
      </c>
      <c r="C22545" s="5" t="str">
        <f>IFERROR(__xludf.DUMMYFUNCTION("GOOGLETRANSLATE(B22545,""en"",""it"")"),"Quindi toglie vari oggetti e tiene gli occhi aperti per mettere le lenti a contatto per entrambi gli occhi.")</f>
        <v>Quindi toglie vari oggetti e tiene gli occhi aperti per mettere le lenti a contatto per entrambi gli occhi.</v>
      </c>
    </row>
    <row r="22546">
      <c r="A22546" s="4" t="s">
        <v>28374</v>
      </c>
      <c r="B22546" s="4" t="s">
        <v>1487</v>
      </c>
      <c r="C22546" s="5" t="str">
        <f>IFERROR(__xludf.DUMMYFUNCTION("GOOGLETRANSLATE(B22546,""en"",""it"")"),"Vediamo una schermata del titolo di apertura.")</f>
        <v>Vediamo una schermata del titolo di apertura.</v>
      </c>
    </row>
    <row r="22547">
      <c r="A22547" s="4" t="s">
        <v>28374</v>
      </c>
      <c r="B22547" s="4" t="s">
        <v>28375</v>
      </c>
      <c r="C22547" s="5" t="str">
        <f>IFERROR(__xludf.DUMMYFUNCTION("GOOGLETRANSLATE(B22547,""en"",""it"")"),"Vediamo un uomo che cammina in alto sopra una catena montuosa.")</f>
        <v>Vediamo un uomo che cammina in alto sopra una catena montuosa.</v>
      </c>
    </row>
    <row r="22548">
      <c r="A22548" s="4" t="s">
        <v>28374</v>
      </c>
      <c r="B22548" s="4" t="s">
        <v>28376</v>
      </c>
      <c r="C22548" s="5" t="str">
        <f>IFERROR(__xludf.DUMMYFUNCTION("GOOGLETRANSLATE(B22548,""en"",""it"")"),"Vediamo un'immagine in foto nell'angolo in alto a sinistra.")</f>
        <v>Vediamo un'immagine in foto nell'angolo in alto a sinistra.</v>
      </c>
    </row>
    <row r="22549">
      <c r="A22549" s="4" t="s">
        <v>28374</v>
      </c>
      <c r="B22549" s="4" t="s">
        <v>28377</v>
      </c>
      <c r="C22549" s="5" t="str">
        <f>IFERROR(__xludf.DUMMYFUNCTION("GOOGLETRANSLATE(B22549,""en"",""it"")"),"Vediamo l'uomo che tiene un bastone da selfie.")</f>
        <v>Vediamo l'uomo che tiene un bastone da selfie.</v>
      </c>
    </row>
    <row r="22550">
      <c r="A22550" s="4" t="s">
        <v>28374</v>
      </c>
      <c r="B22550" s="4" t="s">
        <v>28378</v>
      </c>
      <c r="C22550" s="5" t="str">
        <f>IFERROR(__xludf.DUMMYFUNCTION("GOOGLETRANSLATE(B22550,""en"",""it"")"),"L'uomo raggiunge l'altro lato e si gira.")</f>
        <v>L'uomo raggiunge l'altro lato e si gira.</v>
      </c>
    </row>
    <row r="22551">
      <c r="A22551" s="4" t="s">
        <v>28374</v>
      </c>
      <c r="B22551" s="4" t="s">
        <v>28379</v>
      </c>
      <c r="C22551" s="5" t="str">
        <f>IFERROR(__xludf.DUMMYFUNCTION("GOOGLETRANSLATE(B22551,""en"",""it"")"),"La schermata del titolo finale.")</f>
        <v>La schermata del titolo finale.</v>
      </c>
    </row>
    <row r="22552">
      <c r="A22552" s="4" t="s">
        <v>28380</v>
      </c>
      <c r="B22552" s="6" t="s">
        <v>28381</v>
      </c>
      <c r="C22552" s="5" t="str">
        <f>IFERROR(__xludf.DUMMYFUNCTION("GOOGLETRANSLATE(B22552,""en"",""it"")"),"Vengono mostrati diversi scatti di una celebrità che cammina sul tappeto rosso, nonché una donna che ospita un segmento di notizie e le immagini mostrate accanto a lei.")</f>
        <v>Vengono mostrati diversi scatti di una celebrità che cammina sul tappeto rosso, nonché una donna che ospita un segmento di notizie e le immagini mostrate accanto a lei.</v>
      </c>
    </row>
    <row r="22553">
      <c r="A22553" s="4" t="s">
        <v>28380</v>
      </c>
      <c r="B22553" s="6" t="s">
        <v>28382</v>
      </c>
      <c r="C22553" s="5" t="str">
        <f>IFERROR(__xludf.DUMMYFUNCTION("GOOGLETRANSLATE(B22553,""en"",""it"")"),"Vengono mostrate altre foto, così come lo sci e lo snowboard delle celebrità e termina con uomini che scortano la celebrità in un edificio e altre foto mentre la donna parla.")</f>
        <v>Vengono mostrate altre foto, così come lo sci e lo snowboard delle celebrità e termina con uomini che scortano la celebrità in un edificio e altre foto mentre la donna parla.</v>
      </c>
    </row>
    <row r="22554">
      <c r="A22554" s="4" t="s">
        <v>28383</v>
      </c>
      <c r="B22554" s="6" t="s">
        <v>28384</v>
      </c>
      <c r="C22554" s="5" t="str">
        <f>IFERROR(__xludf.DUMMYFUNCTION("GOOGLETRANSLATE(B22554,""en"",""it"")"),"Una grande fascia musicale si vede in piedi insieme davanti a un grande edificio con altri in piedi.")</f>
        <v>Una grande fascia musicale si vede in piedi insieme davanti a un grande edificio con altri in piedi.</v>
      </c>
    </row>
    <row r="22555">
      <c r="A22555" s="4" t="s">
        <v>28383</v>
      </c>
      <c r="B22555" s="4" t="s">
        <v>28385</v>
      </c>
      <c r="C22555" s="5" t="str">
        <f>IFERROR(__xludf.DUMMYFUNCTION("GOOGLETRANSLATE(B22555,""en"",""it"")"),"Vengono mostrati più scatti del gruppo in piedi l'uno attorno all'altro mentre la telecamera si muove intorno.")</f>
        <v>Vengono mostrati più scatti del gruppo in piedi l'uno attorno all'altro mentre la telecamera si muove intorno.</v>
      </c>
    </row>
    <row r="22556">
      <c r="A22556" s="4" t="s">
        <v>28386</v>
      </c>
      <c r="B22556" s="6" t="s">
        <v>28387</v>
      </c>
      <c r="C22556" s="5" t="str">
        <f>IFERROR(__xludf.DUMMYFUNCTION("GOOGLETRANSLATE(B22556,""en"",""it"")"),"Un'introduzione conduce in due donne davanti alla telecamera, una in piedi e parlando, e l'altra seduta e guardando.")</f>
        <v>Un'introduzione conduce in due donne davanti alla telecamera, una in piedi e parlando, e l'altra seduta e guardando.</v>
      </c>
    </row>
    <row r="22557">
      <c r="A22557" s="4" t="s">
        <v>28386</v>
      </c>
      <c r="B22557" s="4" t="s">
        <v>28388</v>
      </c>
      <c r="C22557" s="5" t="str">
        <f>IFERROR(__xludf.DUMMYFUNCTION("GOOGLETRANSLATE(B22557,""en"",""it"")"),"La donna in piedi solleva un pennello e inizia a spazzolare i capelli della donna.")</f>
        <v>La donna in piedi solleva un pennello e inizia a spazzolare i capelli della donna.</v>
      </c>
    </row>
    <row r="22558">
      <c r="A22558" s="4" t="s">
        <v>28386</v>
      </c>
      <c r="B22558" s="4" t="s">
        <v>28389</v>
      </c>
      <c r="C22558" s="5" t="str">
        <f>IFERROR(__xludf.DUMMYFUNCTION("GOOGLETRANSLATE(B22558,""en"",""it"")"),"Finisce di spazzolare i capelli della donna e guarda indietro alla telecamera sorridente.")</f>
        <v>Finisce di spazzolare i capelli della donna e guarda indietro alla telecamera sorridente.</v>
      </c>
    </row>
    <row r="22559">
      <c r="A22559" s="4" t="s">
        <v>28390</v>
      </c>
      <c r="B22559" s="4" t="s">
        <v>28391</v>
      </c>
      <c r="C22559" s="5" t="str">
        <f>IFERROR(__xludf.DUMMYFUNCTION("GOOGLETRANSLATE(B22559,""en"",""it"")"),"Una donna aiuta un ragazzino a calciare una palla durante una partita di kickball.")</f>
        <v>Una donna aiuta un ragazzino a calciare una palla durante una partita di kickball.</v>
      </c>
    </row>
    <row r="22560">
      <c r="A22560" s="4" t="s">
        <v>28390</v>
      </c>
      <c r="B22560" s="4" t="s">
        <v>28392</v>
      </c>
      <c r="C22560" s="5" t="str">
        <f>IFERROR(__xludf.DUMMYFUNCTION("GOOGLETRANSLATE(B22560,""en"",""it"")"),"Ogni volta che la palla raggiunge la base, un altro bambino ha una svolta per calciare.")</f>
        <v>Ogni volta che la palla raggiunge la base, un altro bambino ha una svolta per calciare.</v>
      </c>
    </row>
    <row r="22561">
      <c r="A22561" s="4" t="s">
        <v>28393</v>
      </c>
      <c r="B22561" s="4" t="s">
        <v>28394</v>
      </c>
      <c r="C22561" s="5" t="str">
        <f>IFERROR(__xludf.DUMMYFUNCTION("GOOGLETRANSLATE(B22561,""en"",""it"")"),"Un uomo corre con un palo e un salto alto, quindi la gente salta più volte.")</f>
        <v>Un uomo corre con un palo e un salto alto, quindi la gente salta più volte.</v>
      </c>
    </row>
    <row r="22562">
      <c r="A22562" s="4" t="s">
        <v>28393</v>
      </c>
      <c r="B22562" s="4" t="s">
        <v>28395</v>
      </c>
      <c r="C22562" s="5" t="str">
        <f>IFERROR(__xludf.DUMMYFUNCTION("GOOGLETRANSLATE(B22562,""en"",""it"")"),"Due uomini sono boxe, poi le persone si radunano, gli uomini paracadute e un uomo si tuffano in acqua.")</f>
        <v>Due uomini sono boxe, poi le persone si radunano, gli uomini paracadute e un uomo si tuffano in acqua.</v>
      </c>
    </row>
    <row r="22563">
      <c r="A22563" s="4" t="s">
        <v>28393</v>
      </c>
      <c r="B22563" s="4" t="s">
        <v>28396</v>
      </c>
      <c r="C22563" s="5" t="str">
        <f>IFERROR(__xludf.DUMMYFUNCTION("GOOGLETRANSLATE(B22563,""en"",""it"")"),"Le persone vestite con abiti militari, quindi stanno facendo altre attività.")</f>
        <v>Le persone vestite con abiti militari, quindi stanno facendo altre attività.</v>
      </c>
    </row>
    <row r="22564">
      <c r="A22564" s="4" t="s">
        <v>28393</v>
      </c>
      <c r="B22564" s="4" t="s">
        <v>28397</v>
      </c>
      <c r="C22564" s="5" t="str">
        <f>IFERROR(__xludf.DUMMYFUNCTION("GOOGLETRANSLATE(B22564,""en"",""it"")"),"Le persone praticano la volta, l'arrampicata e altre attività.")</f>
        <v>Le persone praticano la volta, l'arrampicata e altre attività.</v>
      </c>
    </row>
    <row r="22565">
      <c r="A22565" s="4" t="s">
        <v>28398</v>
      </c>
      <c r="B22565" s="4" t="s">
        <v>28399</v>
      </c>
      <c r="C22565" s="5" t="str">
        <f>IFERROR(__xludf.DUMMYFUNCTION("GOOGLETRANSLATE(B22565,""en"",""it"")"),"Due uomini corrono su una pista mentre una grande folla di spettatori e premi orologio.")</f>
        <v>Due uomini corrono su una pista mentre una grande folla di spettatori e premi orologio.</v>
      </c>
    </row>
    <row r="22566">
      <c r="A22566" s="4" t="s">
        <v>28398</v>
      </c>
      <c r="B22566" s="4" t="s">
        <v>28400</v>
      </c>
      <c r="C22566" s="5" t="str">
        <f>IFERROR(__xludf.DUMMYFUNCTION("GOOGLETRANSLATE(B22566,""en"",""it"")"),"Un uomo nell'erba sullo sfondo corre con gli uomini per un momento.")</f>
        <v>Un uomo nell'erba sullo sfondo corre con gli uomini per un momento.</v>
      </c>
    </row>
    <row r="22567">
      <c r="A22567" s="4" t="s">
        <v>28398</v>
      </c>
      <c r="B22567" s="4" t="s">
        <v>28401</v>
      </c>
      <c r="C22567" s="5" t="str">
        <f>IFERROR(__xludf.DUMMYFUNCTION("GOOGLETRANSLATE(B22567,""en"",""it"")"),"L'uomo sulla corsia interna della pista inizia a funzionare molto velocemente e poi salta in una buca di sabbia.")</f>
        <v>L'uomo sulla corsia interna della pista inizia a funzionare molto velocemente e poi salta in una buca di sabbia.</v>
      </c>
    </row>
    <row r="22568">
      <c r="A22568" s="4" t="s">
        <v>28398</v>
      </c>
      <c r="B22568" s="4" t="s">
        <v>28402</v>
      </c>
      <c r="C22568" s="5" t="str">
        <f>IFERROR(__xludf.DUMMYFUNCTION("GOOGLETRANSLATE(B22568,""en"",""it"")"),"L'altro uomo corre oltre la buca della sabbia.")</f>
        <v>L'altro uomo corre oltre la buca della sabbia.</v>
      </c>
    </row>
    <row r="22569">
      <c r="A22569" s="4" t="s">
        <v>28398</v>
      </c>
      <c r="B22569" s="4" t="s">
        <v>28403</v>
      </c>
      <c r="C22569" s="5" t="str">
        <f>IFERROR(__xludf.DUMMYFUNCTION("GOOGLETRANSLATE(B22569,""en"",""it"")"),"L'uomo che saltò fuori dalla fossa di sabbia e cammina di lato.")</f>
        <v>L'uomo che saltò fuori dalla fossa di sabbia e cammina di lato.</v>
      </c>
    </row>
    <row r="22570">
      <c r="A22570" s="4" t="s">
        <v>28404</v>
      </c>
      <c r="B22570" s="4" t="s">
        <v>28405</v>
      </c>
      <c r="C22570" s="5" t="str">
        <f>IFERROR(__xludf.DUMMYFUNCTION("GOOGLETRANSLATE(B22570,""en"",""it"")"),"All'interno di una recinzione, gli uomini sono seduti su cavalli in attesa.")</f>
        <v>All'interno di una recinzione, gli uomini sono seduti su cavalli in attesa.</v>
      </c>
    </row>
    <row r="22571">
      <c r="A22571" s="4" t="s">
        <v>28404</v>
      </c>
      <c r="B22571" s="4" t="s">
        <v>28406</v>
      </c>
      <c r="C22571" s="5" t="str">
        <f>IFERROR(__xludf.DUMMYFUNCTION("GOOGLETRANSLATE(B22571,""en"",""it"")"),"Uno degli uomini inizia a inseguire un toro a cavallo.")</f>
        <v>Uno degli uomini inizia a inseguire un toro a cavallo.</v>
      </c>
    </row>
    <row r="22572">
      <c r="A22572" s="4" t="s">
        <v>28404</v>
      </c>
      <c r="B22572" s="4" t="s">
        <v>28407</v>
      </c>
      <c r="C22572" s="5" t="str">
        <f>IFERROR(__xludf.DUMMYFUNCTION("GOOGLETRANSLATE(B22572,""en"",""it"")"),"Si allontana dal suo cavallo e abbassa il toro e inizia a tornare a cavallo.")</f>
        <v>Si allontana dal suo cavallo e abbassa il toro e inizia a tornare a cavallo.</v>
      </c>
    </row>
    <row r="22573">
      <c r="A22573" s="4" t="s">
        <v>28404</v>
      </c>
      <c r="B22573" s="4" t="s">
        <v>28408</v>
      </c>
      <c r="C22573" s="5" t="str">
        <f>IFERROR(__xludf.DUMMYFUNCTION("GOOGLETRANSLATE(B22573,""en"",""it"")"),"Torna sul cavallo mentre il toro si sdraia a terra sconfitto.")</f>
        <v>Torna sul cavallo mentre il toro si sdraia a terra sconfitto.</v>
      </c>
    </row>
    <row r="22574">
      <c r="A22574" s="4" t="s">
        <v>28409</v>
      </c>
      <c r="B22574" s="4" t="s">
        <v>28410</v>
      </c>
      <c r="C22574" s="5" t="str">
        <f>IFERROR(__xludf.DUMMYFUNCTION("GOOGLETRANSLATE(B22574,""en"",""it"")"),"Gli uomini discutono di un progetto seduto al tavolo.")</f>
        <v>Gli uomini discutono di un progetto seduto al tavolo.</v>
      </c>
    </row>
    <row r="22575">
      <c r="A22575" s="4" t="s">
        <v>28409</v>
      </c>
      <c r="B22575" s="4" t="s">
        <v>28411</v>
      </c>
      <c r="C22575" s="5" t="str">
        <f>IFERROR(__xludf.DUMMYFUNCTION("GOOGLETRANSLATE(B22575,""en"",""it"")"),"Due uomini si siedono a un tavolo insieme e leggono da un documento.")</f>
        <v>Due uomini si siedono a un tavolo insieme e leggono da un documento.</v>
      </c>
    </row>
    <row r="22576">
      <c r="A22576" s="4" t="s">
        <v>28409</v>
      </c>
      <c r="B22576" s="4" t="s">
        <v>28412</v>
      </c>
      <c r="C22576" s="5" t="str">
        <f>IFERROR(__xludf.DUMMYFUNCTION("GOOGLETRANSLATE(B22576,""en"",""it"")"),"I due uomini giocano una partita di forbici di carta rocciosa.")</f>
        <v>I due uomini giocano una partita di forbici di carta rocciosa.</v>
      </c>
    </row>
    <row r="22577">
      <c r="A22577" s="4" t="s">
        <v>28413</v>
      </c>
      <c r="B22577" s="4" t="s">
        <v>28414</v>
      </c>
      <c r="C22577" s="5" t="str">
        <f>IFERROR(__xludf.DUMMYFUNCTION("GOOGLETRANSLATE(B22577,""en"",""it"")"),"C'è una bambina che lava i piatti e i cucchiai nel lavello della cucina.")</f>
        <v>C'è una bambina che lava i piatti e i cucchiai nel lavello della cucina.</v>
      </c>
    </row>
    <row r="22578">
      <c r="A22578" s="4" t="s">
        <v>28413</v>
      </c>
      <c r="B22578" s="6" t="s">
        <v>28415</v>
      </c>
      <c r="C22578" s="5" t="str">
        <f>IFERROR(__xludf.DUMMYFUNCTION("GOOGLETRANSLATE(B22578,""en"",""it"")"),"Usa uno scrub a piatto blu e un sacco di sapone per piatti e lava il vetro e i cucchiai mantenendo il rubinetto.")</f>
        <v>Usa uno scrub a piatto blu e un sacco di sapone per piatti e lava il vetro e i cucchiai mantenendo il rubinetto.</v>
      </c>
    </row>
    <row r="22579">
      <c r="A22579" s="4" t="s">
        <v>28413</v>
      </c>
      <c r="B22579" s="4" t="s">
        <v>28416</v>
      </c>
      <c r="C22579" s="5" t="str">
        <f>IFERROR(__xludf.DUMMYFUNCTION("GOOGLETRANSLATE(B22579,""en"",""it"")"),"Ha le mani coperte di schiuma di sapone mentre lava i cucchiai e i coltelli sotto il rubinetto.")</f>
        <v>Ha le mani coperte di schiuma di sapone mentre lava i cucchiai e i coltelli sotto il rubinetto.</v>
      </c>
    </row>
    <row r="22580">
      <c r="A22580" s="4" t="s">
        <v>28413</v>
      </c>
      <c r="B22580" s="4" t="s">
        <v>28417</v>
      </c>
      <c r="C22580" s="5" t="str">
        <f>IFERROR(__xludf.DUMMYFUNCTION("GOOGLETRANSLATE(B22580,""en"",""it"")"),"Quindi lava accuratamente un cutter e un cucchiaio con acqua e sapone.")</f>
        <v>Quindi lava accuratamente un cutter e un cucchiaio con acqua e sapone.</v>
      </c>
    </row>
    <row r="22581">
      <c r="A22581" s="4" t="s">
        <v>28418</v>
      </c>
      <c r="B22581" s="4" t="s">
        <v>28419</v>
      </c>
      <c r="C22581" s="5" t="str">
        <f>IFERROR(__xludf.DUMMYFUNCTION("GOOGLETRANSLATE(B22581,""en"",""it"")"),"Un uomo sta giocando a un gioco di shuffleboard.")</f>
        <v>Un uomo sta giocando a un gioco di shuffleboard.</v>
      </c>
    </row>
    <row r="22582">
      <c r="A22582" s="4" t="s">
        <v>28418</v>
      </c>
      <c r="B22582" s="4" t="s">
        <v>28420</v>
      </c>
      <c r="C22582" s="5" t="str">
        <f>IFERROR(__xludf.DUMMYFUNCTION("GOOGLETRANSLATE(B22582,""en"",""it"")"),"Un uomo cade sullo shuffleboard.")</f>
        <v>Un uomo cade sullo shuffleboard.</v>
      </c>
    </row>
    <row r="22583">
      <c r="A22583" s="4" t="s">
        <v>28418</v>
      </c>
      <c r="B22583" s="4" t="s">
        <v>28421</v>
      </c>
      <c r="C22583" s="5" t="str">
        <f>IFERROR(__xludf.DUMMYFUNCTION("GOOGLETRANSLATE(B22583,""en"",""it"")"),"Un disco viene lasciato cadere a terra.")</f>
        <v>Un disco viene lasciato cadere a terra.</v>
      </c>
    </row>
    <row r="22584">
      <c r="A22584" s="4" t="s">
        <v>28422</v>
      </c>
      <c r="B22584" s="4" t="s">
        <v>28423</v>
      </c>
      <c r="C22584" s="5" t="str">
        <f>IFERROR(__xludf.DUMMYFUNCTION("GOOGLETRANSLATE(B22584,""en"",""it"")"),"Una ragazza parla sul marciapiede, poi cammina verso un hopscotch.")</f>
        <v>Una ragazza parla sul marciapiede, poi cammina verso un hopscotch.</v>
      </c>
    </row>
    <row r="22585">
      <c r="A22585" s="4" t="s">
        <v>28422</v>
      </c>
      <c r="B22585" s="4" t="s">
        <v>28424</v>
      </c>
      <c r="C22585" s="5" t="str">
        <f>IFERROR(__xludf.DUMMYFUNCTION("GOOGLETRANSLATE(B22585,""en"",""it"")"),"La ragazza si trova sul hopscotch, poi salta Hopscotch mentre parla.")</f>
        <v>La ragazza si trova sul hopscotch, poi salta Hopscotch mentre parla.</v>
      </c>
    </row>
    <row r="22586">
      <c r="A22586" s="4" t="s">
        <v>28425</v>
      </c>
      <c r="B22586" s="4" t="s">
        <v>28426</v>
      </c>
      <c r="C22586" s="5" t="str">
        <f>IFERROR(__xludf.DUMMYFUNCTION("GOOGLETRANSLATE(B22586,""en"",""it"")"),"Un uomo dà consigli sull'allenamento fisico all'aperto.")</f>
        <v>Un uomo dà consigli sull'allenamento fisico all'aperto.</v>
      </c>
    </row>
    <row r="22587">
      <c r="A22587" s="4" t="s">
        <v>28425</v>
      </c>
      <c r="B22587" s="4" t="s">
        <v>28427</v>
      </c>
      <c r="C22587" s="5" t="str">
        <f>IFERROR(__xludf.DUMMYFUNCTION("GOOGLETRANSLATE(B22587,""en"",""it"")"),"Dimostra sulle barre delle scimmie che va avanti e indietro con la forza della parte superiore del corpo.")</f>
        <v>Dimostra sulle barre delle scimmie che va avanti e indietro con la forza della parte superiore del corpo.</v>
      </c>
    </row>
    <row r="22588">
      <c r="A22588" s="4" t="s">
        <v>28428</v>
      </c>
      <c r="B22588" s="4" t="s">
        <v>28429</v>
      </c>
      <c r="C22588" s="5" t="str">
        <f>IFERROR(__xludf.DUMMYFUNCTION("GOOGLETRANSLATE(B22588,""en"",""it"")"),"Viene fornito un rapporto di notizie sull'idoneità fisica.")</f>
        <v>Viene fornito un rapporto di notizie sull'idoneità fisica.</v>
      </c>
    </row>
    <row r="22589">
      <c r="A22589" s="4" t="s">
        <v>28428</v>
      </c>
      <c r="B22589" s="4" t="s">
        <v>28430</v>
      </c>
      <c r="C22589" s="5" t="str">
        <f>IFERROR(__xludf.DUMMYFUNCTION("GOOGLETRANSLATE(B22589,""en"",""it"")"),"Alcune persone discutono dei benefici dell'hulahoop e poi fanno una dimostrazione.")</f>
        <v>Alcune persone discutono dei benefici dell'hulahoop e poi fanno una dimostrazione.</v>
      </c>
    </row>
    <row r="22590">
      <c r="A22590" s="4" t="s">
        <v>28431</v>
      </c>
      <c r="B22590" s="4" t="s">
        <v>28432</v>
      </c>
      <c r="C22590" s="5" t="str">
        <f>IFERROR(__xludf.DUMMYFUNCTION("GOOGLETRANSLATE(B22590,""en"",""it"")"),"Una donna viene vista tenendo un drink sul palco parlare in un microfono e il pubblico.")</f>
        <v>Una donna viene vista tenendo un drink sul palco parlare in un microfono e il pubblico.</v>
      </c>
    </row>
    <row r="22591">
      <c r="A22591" s="4" t="s">
        <v>28431</v>
      </c>
      <c r="B22591" s="6" t="s">
        <v>28433</v>
      </c>
      <c r="C22591" s="5" t="str">
        <f>IFERROR(__xludf.DUMMYFUNCTION("GOOGLETRANSLATE(B22591,""en"",""it"")"),"La donna continua a parlare e guardandosi intorno al pubblico mentre prendeva sorseggi del suo drink e lo mette giù.")</f>
        <v>La donna continua a parlare e guardandosi intorno al pubblico mentre prendeva sorseggi del suo drink e lo mette giù.</v>
      </c>
    </row>
    <row r="22592">
      <c r="A22592" s="4" t="s">
        <v>28431</v>
      </c>
      <c r="B22592" s="4" t="s">
        <v>28434</v>
      </c>
      <c r="C22592" s="5" t="str">
        <f>IFERROR(__xludf.DUMMYFUNCTION("GOOGLETRANSLATE(B22592,""en"",""it"")"),"Alla fine raccoglie una chitarra e prende una foto dalla parte anteriore e si allontana.")</f>
        <v>Alla fine raccoglie una chitarra e prende una foto dalla parte anteriore e si allontana.</v>
      </c>
    </row>
    <row r="22593">
      <c r="A22593" s="4" t="s">
        <v>28435</v>
      </c>
      <c r="B22593" s="6" t="s">
        <v>28436</v>
      </c>
      <c r="C22593" s="5" t="str">
        <f>IFERROR(__xludf.DUMMYFUNCTION("GOOGLETRANSLATE(B22593,""en"",""it"")"),"Un folto gruppo di persone si vede in piedi dietro gli altri con gli altri che guardano sui lati e porta nel gruppo che corre lungo una strada.")</f>
        <v>Un folto gruppo di persone si vede in piedi dietro gli altri con gli altri che guardano sui lati e porta nel gruppo che corre lungo una strada.</v>
      </c>
    </row>
    <row r="22594">
      <c r="A22594" s="4" t="s">
        <v>28435</v>
      </c>
      <c r="B22594" s="6" t="s">
        <v>28437</v>
      </c>
      <c r="C22594" s="5" t="str">
        <f>IFERROR(__xludf.DUMMYFUNCTION("GOOGLETRANSLATE(B22594,""en"",""it"")"),"Il folto gruppo di bambini continua a correre lungo la strada l'uno dell'altro mentre le persone continuano a guardare sui lati.")</f>
        <v>Il folto gruppo di bambini continua a correre lungo la strada l'uno dell'altro mentre le persone continuano a guardare sui lati.</v>
      </c>
    </row>
    <row r="22595">
      <c r="A22595" s="4" t="s">
        <v>28438</v>
      </c>
      <c r="B22595" s="4" t="s">
        <v>28439</v>
      </c>
      <c r="C22595" s="5" t="str">
        <f>IFERROR(__xludf.DUMMYFUNCTION("GOOGLETRANSLATE(B22595,""en"",""it"")"),"Un uomo è visto seduto di fronte a una donna che inizia suonando un piano.")</f>
        <v>Un uomo è visto seduto di fronte a una donna che inizia suonando un piano.</v>
      </c>
    </row>
    <row r="22596">
      <c r="A22596" s="4" t="s">
        <v>28438</v>
      </c>
      <c r="B22596" s="4" t="s">
        <v>28440</v>
      </c>
      <c r="C22596" s="5" t="str">
        <f>IFERROR(__xludf.DUMMYFUNCTION("GOOGLETRANSLATE(B22596,""en"",""it"")"),"Un altro uomo è visto seduto accanto a lei interpretare una fisarmonica.")</f>
        <v>Un altro uomo è visto seduto accanto a lei interpretare una fisarmonica.</v>
      </c>
    </row>
    <row r="22597">
      <c r="A22597" s="4" t="s">
        <v>28438</v>
      </c>
      <c r="B22597" s="6" t="s">
        <v>28441</v>
      </c>
      <c r="C22597" s="5" t="str">
        <f>IFERROR(__xludf.DUMMYFUNCTION("GOOGLETRANSLATE(B22597,""en"",""it"")"),"L'uomo e la donna giocano insieme sorridendo, annuendo e finiscono fermandosi e l'uomo applaude.")</f>
        <v>L'uomo e la donna giocano insieme sorridendo, annuendo e finiscono fermandosi e l'uomo applaude.</v>
      </c>
    </row>
    <row r="22598">
      <c r="A22598" s="4" t="s">
        <v>28442</v>
      </c>
      <c r="B22598" s="4" t="s">
        <v>28443</v>
      </c>
      <c r="C22598" s="5" t="str">
        <f>IFERROR(__xludf.DUMMYFUNCTION("GOOGLETRANSLATE(B22598,""en"",""it"")"),"Un uomo è seduto dietro tre tamburi.")</f>
        <v>Un uomo è seduto dietro tre tamburi.</v>
      </c>
    </row>
    <row r="22599">
      <c r="A22599" s="4" t="s">
        <v>28442</v>
      </c>
      <c r="B22599" s="4" t="s">
        <v>28444</v>
      </c>
      <c r="C22599" s="5" t="str">
        <f>IFERROR(__xludf.DUMMYFUNCTION("GOOGLETRANSLATE(B22599,""en"",""it"")"),"Comincia a suonare la batteria di fronte a lui.")</f>
        <v>Comincia a suonare la batteria di fronte a lui.</v>
      </c>
    </row>
    <row r="22600">
      <c r="A22600" s="4" t="s">
        <v>28442</v>
      </c>
      <c r="B22600" s="4" t="s">
        <v>28445</v>
      </c>
      <c r="C22600" s="5" t="str">
        <f>IFERROR(__xludf.DUMMYFUNCTION("GOOGLETRANSLATE(B22600,""en"",""it"")"),"Termina suonare e le immagini sono mostrate sullo schermo.")</f>
        <v>Termina suonare e le immagini sono mostrate sullo schermo.</v>
      </c>
    </row>
    <row r="22601">
      <c r="A22601" s="4" t="s">
        <v>28446</v>
      </c>
      <c r="B22601" s="6" t="s">
        <v>28447</v>
      </c>
      <c r="C22601" s="5" t="str">
        <f>IFERROR(__xludf.DUMMYFUNCTION("GOOGLETRANSLATE(B22601,""en"",""it"")"),"Un folto gruppo di persone si vede in piedi in una grande palestra che gioca una pallina Dodge l'una con l'altra.")</f>
        <v>Un folto gruppo di persone si vede in piedi in una grande palestra che gioca una pallina Dodge l'una con l'altra.</v>
      </c>
    </row>
    <row r="22602">
      <c r="A22602" s="4" t="s">
        <v>28446</v>
      </c>
      <c r="B22602" s="6" t="s">
        <v>28448</v>
      </c>
      <c r="C22602" s="5" t="str">
        <f>IFERROR(__xludf.DUMMYFUNCTION("GOOGLETRANSLATE(B22602,""en"",""it"")"),"Un uomo esegue un'impressionante lancio che porta a un uomo che parla alla telecamera e mostra più scatti di un impressionante gioco di dodgeball.")</f>
        <v>Un uomo esegue un'impressionante lancio che porta a un uomo che parla alla telecamera e mostra più scatti di un impressionante gioco di dodgeball.</v>
      </c>
    </row>
    <row r="22603">
      <c r="A22603" s="4" t="s">
        <v>28449</v>
      </c>
      <c r="B22603" s="4" t="s">
        <v>28450</v>
      </c>
      <c r="C22603" s="5" t="str">
        <f>IFERROR(__xludf.DUMMYFUNCTION("GOOGLETRANSLATE(B22603,""en"",""it"")"),"Un atleta maschio gli mette in polvere sulle mani.")</f>
        <v>Un atleta maschio gli mette in polvere sulle mani.</v>
      </c>
    </row>
    <row r="22604">
      <c r="A22604" s="4" t="s">
        <v>28449</v>
      </c>
      <c r="B22604" s="4" t="s">
        <v>28451</v>
      </c>
      <c r="C22604" s="5" t="str">
        <f>IFERROR(__xludf.DUMMYFUNCTION("GOOGLETRANSLATE(B22604,""en"",""it"")"),"Monta un raggio alto in palestra.")</f>
        <v>Monta un raggio alto in palestra.</v>
      </c>
    </row>
    <row r="22605">
      <c r="A22605" s="4" t="s">
        <v>28449</v>
      </c>
      <c r="B22605" s="4" t="s">
        <v>28452</v>
      </c>
      <c r="C22605" s="5" t="str">
        <f>IFERROR(__xludf.DUMMYFUNCTION("GOOGLETRANSLATE(B22605,""en"",""it"")"),"Gira e gira più volte prima di smontare.")</f>
        <v>Gira e gira più volte prima di smontare.</v>
      </c>
    </row>
    <row r="22606">
      <c r="A22606" s="4" t="s">
        <v>28453</v>
      </c>
      <c r="B22606" s="6" t="s">
        <v>28454</v>
      </c>
      <c r="C22606" s="5" t="str">
        <f>IFERROR(__xludf.DUMMYFUNCTION("GOOGLETRANSLATE(B22606,""en"",""it"")"),"Un colpo di persone viene mostrato da diversi angoli e conduce a vari colpi di persone che cavalcano gli sci e fanno trucchi.")</f>
        <v>Un colpo di persone viene mostrato da diversi angoli e conduce a vari colpi di persone che cavalcano gli sci e fanno trucchi.</v>
      </c>
    </row>
    <row r="22607">
      <c r="A22607" s="4" t="s">
        <v>28453</v>
      </c>
      <c r="B22607" s="4" t="s">
        <v>28455</v>
      </c>
      <c r="C22607" s="5" t="str">
        <f>IFERROR(__xludf.DUMMYFUNCTION("GOOGLETRANSLATE(B22607,""en"",""it"")"),"Più da vicino di sciatori d'acqua viene mostrato mentre la barca si muove intorno alla zona.")</f>
        <v>Più da vicino di sciatori d'acqua viene mostrato mentre la barca si muove intorno alla zona.</v>
      </c>
    </row>
    <row r="22608">
      <c r="A22608" s="4" t="s">
        <v>28456</v>
      </c>
      <c r="B22608" s="4" t="s">
        <v>28457</v>
      </c>
      <c r="C22608" s="5" t="str">
        <f>IFERROR(__xludf.DUMMYFUNCTION("GOOGLETRANSLATE(B22608,""en"",""it"")"),"Un uomo sta correndo giù per una traccia.")</f>
        <v>Un uomo sta correndo giù per una traccia.</v>
      </c>
    </row>
    <row r="22609">
      <c r="A22609" s="4" t="s">
        <v>28456</v>
      </c>
      <c r="B22609" s="4" t="s">
        <v>28458</v>
      </c>
      <c r="C22609" s="5" t="str">
        <f>IFERROR(__xludf.DUMMYFUNCTION("GOOGLETRANSLATE(B22609,""en"",""it"")"),"Salta su un tappetino blu.")</f>
        <v>Salta su un tappetino blu.</v>
      </c>
    </row>
    <row r="22610">
      <c r="A22610" s="4" t="s">
        <v>28456</v>
      </c>
      <c r="B22610" s="4" t="s">
        <v>28459</v>
      </c>
      <c r="C22610" s="5" t="str">
        <f>IFERROR(__xludf.DUMMYFUNCTION("GOOGLETRANSLATE(B22610,""en"",""it"")"),"Salta su una barra alta e atterra sul tappeto blu.")</f>
        <v>Salta su una barra alta e atterra sul tappeto blu.</v>
      </c>
    </row>
    <row r="22611">
      <c r="A22611" s="4" t="s">
        <v>28460</v>
      </c>
      <c r="B22611" s="4" t="s">
        <v>28461</v>
      </c>
      <c r="C22611" s="5" t="str">
        <f>IFERROR(__xludf.DUMMYFUNCTION("GOOGLETRANSLATE(B22611,""en"",""it"")"),"Una donna si lava e si asciuga i capelli.")</f>
        <v>Una donna si lava e si asciuga i capelli.</v>
      </c>
    </row>
    <row r="22612">
      <c r="A22612" s="4" t="s">
        <v>28460</v>
      </c>
      <c r="B22612" s="4" t="s">
        <v>28462</v>
      </c>
      <c r="C22612" s="5" t="str">
        <f>IFERROR(__xludf.DUMMYFUNCTION("GOOGLETRANSLATE(B22612,""en"",""it"")"),"La donna mette giù l'asciugacapelli e si lava di nuovo i capelli.")</f>
        <v>La donna mette giù l'asciugacapelli e si lava di nuovo i capelli.</v>
      </c>
    </row>
    <row r="22613">
      <c r="A22613" s="4" t="s">
        <v>28463</v>
      </c>
      <c r="B22613" s="4" t="s">
        <v>28464</v>
      </c>
      <c r="C22613" s="5" t="str">
        <f>IFERROR(__xludf.DUMMYFUNCTION("GOOGLETRANSLATE(B22613,""en"",""it"")"),"Un bambino sorride alla telecamera.")</f>
        <v>Un bambino sorride alla telecamera.</v>
      </c>
    </row>
    <row r="22614">
      <c r="A22614" s="4" t="s">
        <v>28463</v>
      </c>
      <c r="B22614" s="4" t="s">
        <v>28465</v>
      </c>
      <c r="C22614" s="5" t="str">
        <f>IFERROR(__xludf.DUMMYFUNCTION("GOOGLETRANSLATE(B22614,""en"",""it"")"),"Il bambino pratica l'hockey sul campo con ostacoli sul terreno.")</f>
        <v>Il bambino pratica l'hockey sul campo con ostacoli sul terreno.</v>
      </c>
    </row>
    <row r="22615">
      <c r="A22615" s="4" t="s">
        <v>28463</v>
      </c>
      <c r="B22615" s="4" t="s">
        <v>28466</v>
      </c>
      <c r="C22615" s="5" t="str">
        <f>IFERROR(__xludf.DUMMYFUNCTION("GOOGLETRANSLATE(B22615,""en"",""it"")"),"Il bambino si allontana dalla telecamera.")</f>
        <v>Il bambino si allontana dalla telecamera.</v>
      </c>
    </row>
    <row r="22616">
      <c r="A22616" s="4" t="s">
        <v>28467</v>
      </c>
      <c r="B22616" s="4" t="s">
        <v>28468</v>
      </c>
      <c r="C22616" s="5" t="str">
        <f>IFERROR(__xludf.DUMMYFUNCTION("GOOGLETRANSLATE(B22616,""en"",""it"")"),"Vediamo due uomini in uno studio televisivo parlare.")</f>
        <v>Vediamo due uomini in uno studio televisivo parlare.</v>
      </c>
    </row>
    <row r="22617">
      <c r="A22617" s="4" t="s">
        <v>28467</v>
      </c>
      <c r="B22617" s="4" t="s">
        <v>28469</v>
      </c>
      <c r="C22617" s="5" t="str">
        <f>IFERROR(__xludf.DUMMYFUNCTION("GOOGLETRANSLATE(B22617,""en"",""it"")"),"Vediamo persone che giocano una partita di calcio indoor.")</f>
        <v>Vediamo persone che giocano una partita di calcio indoor.</v>
      </c>
    </row>
    <row r="22618">
      <c r="A22618" s="4" t="s">
        <v>28467</v>
      </c>
      <c r="B22618" s="4" t="s">
        <v>28470</v>
      </c>
      <c r="C22618" s="5" t="str">
        <f>IFERROR(__xludf.DUMMYFUNCTION("GOOGLETRANSLATE(B22618,""en"",""it"")"),"Un uomo in nero corre con le braccia in aria.")</f>
        <v>Un uomo in nero corre con le braccia in aria.</v>
      </c>
    </row>
    <row r="22619">
      <c r="A22619" s="4" t="s">
        <v>28467</v>
      </c>
      <c r="B22619" s="4" t="s">
        <v>28471</v>
      </c>
      <c r="C22619" s="5" t="str">
        <f>IFERROR(__xludf.DUMMYFUNCTION("GOOGLETRANSLATE(B22619,""en"",""it"")"),"Un uomo in giallo scivola a terra.")</f>
        <v>Un uomo in giallo scivola a terra.</v>
      </c>
    </row>
    <row r="22620">
      <c r="A22620" s="4" t="s">
        <v>28467</v>
      </c>
      <c r="B22620" s="4" t="s">
        <v>28472</v>
      </c>
      <c r="C22620" s="5" t="str">
        <f>IFERROR(__xludf.DUMMYFUNCTION("GOOGLETRANSLATE(B22620,""en"",""it"")"),"Il 10 in giallo lancia un capriccio.")</f>
        <v>Il 10 in giallo lancia un capriccio.</v>
      </c>
    </row>
    <row r="22621">
      <c r="A22621" s="4" t="s">
        <v>28467</v>
      </c>
      <c r="B22621" s="4" t="s">
        <v>28473</v>
      </c>
      <c r="C22621" s="5" t="str">
        <f>IFERROR(__xludf.DUMMYFUNCTION("GOOGLETRANSLATE(B22621,""en"",""it"")"),"La squadra gialla si abbraccia tutti.")</f>
        <v>La squadra gialla si abbraccia tutti.</v>
      </c>
    </row>
    <row r="22622">
      <c r="A22622" s="4" t="s">
        <v>28467</v>
      </c>
      <c r="B22622" s="4" t="s">
        <v>28474</v>
      </c>
      <c r="C22622" s="5" t="str">
        <f>IFERROR(__xludf.DUMMYFUNCTION("GOOGLETRANSLATE(B22622,""en"",""it"")"),"Torniamo agli uomini in studio.")</f>
        <v>Torniamo agli uomini in studio.</v>
      </c>
    </row>
    <row r="22623">
      <c r="A22623" s="4" t="s">
        <v>28475</v>
      </c>
      <c r="B22623" s="4" t="s">
        <v>28476</v>
      </c>
      <c r="C22623" s="5" t="str">
        <f>IFERROR(__xludf.DUMMYFUNCTION("GOOGLETRANSLATE(B22623,""en"",""it"")"),"Un uomo è fuori con due cani al guinzaglio.")</f>
        <v>Un uomo è fuori con due cani al guinzaglio.</v>
      </c>
    </row>
    <row r="22624">
      <c r="A22624" s="4" t="s">
        <v>28475</v>
      </c>
      <c r="B22624" s="4" t="s">
        <v>28477</v>
      </c>
      <c r="C22624" s="5" t="str">
        <f>IFERROR(__xludf.DUMMYFUNCTION("GOOGLETRANSLATE(B22624,""en"",""it"")"),"Mette in scena uno spettacolo con i cani allenati.")</f>
        <v>Mette in scena uno spettacolo con i cani allenati.</v>
      </c>
    </row>
    <row r="22625">
      <c r="A22625" s="4" t="s">
        <v>28475</v>
      </c>
      <c r="B22625" s="4" t="s">
        <v>28478</v>
      </c>
      <c r="C22625" s="5" t="str">
        <f>IFERROR(__xludf.DUMMYFUNCTION("GOOGLETRANSLATE(B22625,""en"",""it"")"),"Lancia frisbees e la piccola folla applaude per i cani performanti.")</f>
        <v>Lancia frisbees e la piccola folla applaude per i cani performanti.</v>
      </c>
    </row>
    <row r="22626">
      <c r="A22626" s="4" t="s">
        <v>28479</v>
      </c>
      <c r="B22626" s="4" t="s">
        <v>28480</v>
      </c>
      <c r="C22626" s="5" t="str">
        <f>IFERROR(__xludf.DUMMYFUNCTION("GOOGLETRANSLATE(B22626,""en"",""it"")"),"Un uomo si trova su un tetto di una casa e mette il tetto.")</f>
        <v>Un uomo si trova su un tetto di una casa e mette il tetto.</v>
      </c>
    </row>
    <row r="22627">
      <c r="A22627" s="4" t="s">
        <v>28479</v>
      </c>
      <c r="B22627" s="4" t="s">
        <v>28481</v>
      </c>
      <c r="C22627" s="5" t="str">
        <f>IFERROR(__xludf.DUMMYFUNCTION("GOOGLETRANSLATE(B22627,""en"",""it"")"),"Quindi, l'uomo tiene la maniglia di uno strumento con una mano.")</f>
        <v>Quindi, l'uomo tiene la maniglia di uno strumento con una mano.</v>
      </c>
    </row>
    <row r="22628">
      <c r="A22628" s="4" t="s">
        <v>28479</v>
      </c>
      <c r="B22628" s="4" t="s">
        <v>28482</v>
      </c>
      <c r="C22628" s="5" t="str">
        <f>IFERROR(__xludf.DUMMYFUNCTION("GOOGLETRANSLATE(B22628,""en"",""it"")"),"L'uomo tiene la maniglia con due mani, quindi continua a tenere lo strumento con una mano.")</f>
        <v>L'uomo tiene la maniglia con due mani, quindi continua a tenere lo strumento con una mano.</v>
      </c>
    </row>
    <row r="22629">
      <c r="A22629" s="4" t="s">
        <v>28483</v>
      </c>
      <c r="B22629" s="4" t="s">
        <v>28484</v>
      </c>
      <c r="C22629" s="5" t="str">
        <f>IFERROR(__xludf.DUMMYFUNCTION("GOOGLETRANSLATE(B22629,""en"",""it"")"),"Le mani di una persona sono viste nel tentativo di risolvere un cubo Rubix mentre viene mostrata la fine di una tabella.")</f>
        <v>Le mani di una persona sono viste nel tentativo di risolvere un cubo Rubix mentre viene mostrata la fine di una tabella.</v>
      </c>
    </row>
    <row r="22630">
      <c r="A22630" s="4" t="s">
        <v>28483</v>
      </c>
      <c r="B22630" s="4" t="s">
        <v>28485</v>
      </c>
      <c r="C22630" s="5" t="str">
        <f>IFERROR(__xludf.DUMMYFUNCTION("GOOGLETRANSLATE(B22630,""en"",""it"")"),"La persona continua fino a quando non finiscono il cubo e poi mostra il suo tempo sullo schermo.")</f>
        <v>La persona continua fino a quando non finiscono il cubo e poi mostra il suo tempo sullo schermo.</v>
      </c>
    </row>
    <row r="22631">
      <c r="A22631" s="4" t="s">
        <v>28486</v>
      </c>
      <c r="B22631" s="6" t="s">
        <v>28487</v>
      </c>
      <c r="C22631" s="5" t="str">
        <f>IFERROR(__xludf.DUMMYFUNCTION("GOOGLETRANSLATE(B22631,""en"",""it"")"),"Un gruppo di ragazze è vestita di tutus rosa, in piedi su un palco e facendo la loro routine ballerina.")</f>
        <v>Un gruppo di ragazze è vestita di tutus rosa, in piedi su un palco e facendo la loro routine ballerina.</v>
      </c>
    </row>
    <row r="22632">
      <c r="A22632" s="4" t="s">
        <v>28486</v>
      </c>
      <c r="B22632" s="6" t="s">
        <v>28488</v>
      </c>
      <c r="C22632" s="5" t="str">
        <f>IFERROR(__xludf.DUMMYFUNCTION("GOOGLETRANSLATE(B22632,""en"",""it"")"),"Una delle ragazze va fuori di sincronizzazione dal resto e inizia a muovere i piedi mentre sta facendo la sua routine e tutto ciò che l'altra ragazza è in piedi in piedi e muovendo solo le braccia.")</f>
        <v>Una delle ragazze va fuori di sincronizzazione dal resto e inizia a muovere i piedi mentre sta facendo la sua routine e tutto ciò che l'altra ragazza è in piedi in piedi e muovendo solo le braccia.</v>
      </c>
    </row>
    <row r="22633">
      <c r="A22633" s="4" t="s">
        <v>28486</v>
      </c>
      <c r="B22633" s="6" t="s">
        <v>28489</v>
      </c>
      <c r="C22633" s="5" t="str">
        <f>IFERROR(__xludf.DUMMYFUNCTION("GOOGLETRANSLATE(B22633,""en"",""it"")"),"Le ragazze stanno iniziando a cantare mentre continuano a ballare e la stessa ragazza che stava facendo le sue cose per sincronizzazione continua a fare la propria danza diversa dalla maggior parte delle ragazze.")</f>
        <v>Le ragazze stanno iniziando a cantare mentre continuano a ballare e la stessa ragazza che stava facendo le sue cose per sincronizzazione continua a fare la propria danza diversa dalla maggior parte delle ragazze.</v>
      </c>
    </row>
    <row r="22634">
      <c r="A22634" s="4" t="s">
        <v>28486</v>
      </c>
      <c r="B22634" s="4" t="s">
        <v>28490</v>
      </c>
      <c r="C22634" s="5" t="str">
        <f>IFERROR(__xludf.DUMMYFUNCTION("GOOGLETRANSLATE(B22634,""en"",""it"")"),"La danza finisce e alcune ragazze fanno un rango e poi scendono dal palco.")</f>
        <v>La danza finisce e alcune ragazze fanno un rango e poi scendono dal palco.</v>
      </c>
    </row>
    <row r="22635">
      <c r="A22635" s="4" t="s">
        <v>28491</v>
      </c>
      <c r="B22635" s="4" t="s">
        <v>28492</v>
      </c>
      <c r="C22635" s="5" t="str">
        <f>IFERROR(__xludf.DUMMYFUNCTION("GOOGLETRANSLATE(B22635,""en"",""it"")"),"Un uomo in una maschera cinematografica è seduto da una rampa di scale.")</f>
        <v>Un uomo in una maschera cinematografica è seduto da una rampa di scale.</v>
      </c>
    </row>
    <row r="22636">
      <c r="A22636" s="4" t="s">
        <v>28491</v>
      </c>
      <c r="B22636" s="4" t="s">
        <v>28493</v>
      </c>
      <c r="C22636" s="5" t="str">
        <f>IFERROR(__xludf.DUMMYFUNCTION("GOOGLETRANSLATE(B22636,""en"",""it"")"),"Suona un fisarm per le persone che passano.")</f>
        <v>Suona un fisarm per le persone che passano.</v>
      </c>
    </row>
    <row r="22637">
      <c r="A22637" s="4" t="s">
        <v>28491</v>
      </c>
      <c r="B22637" s="4" t="s">
        <v>28494</v>
      </c>
      <c r="C22637" s="5" t="str">
        <f>IFERROR(__xludf.DUMMYFUNCTION("GOOGLETRANSLATE(B22637,""en"",""it"")"),"Alcuni si fermano per ascoltare, quindi continuano a strada.")</f>
        <v>Alcuni si fermano per ascoltare, quindi continuano a strada.</v>
      </c>
    </row>
    <row r="22638">
      <c r="A22638" s="4" t="s">
        <v>28495</v>
      </c>
      <c r="B22638" s="6" t="s">
        <v>28496</v>
      </c>
      <c r="C22638" s="5" t="str">
        <f>IFERROR(__xludf.DUMMYFUNCTION("GOOGLETRANSLATE(B22638,""en"",""it"")"),"Una donna dimostra, su un bambino giocattolo, come avvolgere un bambino e lavare il viso di un bambino usando batuffoli di cotone e asciugamani bagnati.")</f>
        <v>Una donna dimostra, su un bambino giocattolo, come avvolgere un bambino e lavare il viso di un bambino usando batuffoli di cotone e asciugamani bagnati.</v>
      </c>
    </row>
    <row r="22639">
      <c r="A22639" s="4" t="s">
        <v>28495</v>
      </c>
      <c r="B22639" s="4" t="s">
        <v>28497</v>
      </c>
      <c r="C22639" s="5" t="str">
        <f>IFERROR(__xludf.DUMMYFUNCTION("GOOGLETRANSLATE(B22639,""en"",""it"")"),"Una donna si trova di fronte a un bambino giocattolo e parla con la telecamera.")</f>
        <v>Una donna si trova di fronte a un bambino giocattolo e parla con la telecamera.</v>
      </c>
    </row>
    <row r="22640">
      <c r="A22640" s="4" t="s">
        <v>28495</v>
      </c>
      <c r="B22640" s="6" t="s">
        <v>28498</v>
      </c>
      <c r="C22640" s="5" t="str">
        <f>IFERROR(__xludf.DUMMYFUNCTION("GOOGLETRANSLATE(B22640,""en"",""it"")"),"La donna rampari il bambino in una coperta bianca e poi inizia ad applicare batuffoli imbevuti di acqua, da un contenitore pieno di acqua vicino, agli occhi del bambino, al naso e al viso.")</f>
        <v>La donna rampari il bambino in una coperta bianca e poi inizia ad applicare batuffoli imbevuti di acqua, da un contenitore pieno di acqua vicino, agli occhi del bambino, al naso e al viso.</v>
      </c>
    </row>
    <row r="22641">
      <c r="A22641" s="4" t="s">
        <v>28495</v>
      </c>
      <c r="B22641" s="4" t="s">
        <v>28499</v>
      </c>
      <c r="C22641" s="5" t="str">
        <f>IFERROR(__xludf.DUMMYFUNCTION("GOOGLETRANSLATE(B22641,""en"",""it"")"),"La donna finisce e parla di nuovo con la telecamera.")</f>
        <v>La donna finisce e parla di nuovo con la telecamera.</v>
      </c>
    </row>
    <row r="22642">
      <c r="A22642" s="4" t="s">
        <v>28500</v>
      </c>
      <c r="B22642" s="4" t="s">
        <v>28501</v>
      </c>
      <c r="C22642" s="5" t="str">
        <f>IFERROR(__xludf.DUMMYFUNCTION("GOOGLETRANSLATE(B22642,""en"",""it"")"),"Una donna viene vista parlare con la telecamera e inizia a unboxing di un oggetto.")</f>
        <v>Una donna viene vista parlare con la telecamera e inizia a unboxing di un oggetto.</v>
      </c>
    </row>
    <row r="22643">
      <c r="A22643" s="4" t="s">
        <v>28500</v>
      </c>
      <c r="B22643" s="6" t="s">
        <v>28502</v>
      </c>
      <c r="C22643" s="5" t="str">
        <f>IFERROR(__xludf.DUMMYFUNCTION("GOOGLETRANSLATE(B22643,""en"",""it"")"),"Tira fuori i pannelli, oltre a mettere gli occhiali da sole e presenta una padella di oggetti alla telecamera.")</f>
        <v>Tira fuori i pannelli, oltre a mettere gli occhiali da sole e presenta una padella di oggetti alla telecamera.</v>
      </c>
    </row>
    <row r="22644">
      <c r="A22644" s="4" t="s">
        <v>28500</v>
      </c>
      <c r="B22644" s="4" t="s">
        <v>28503</v>
      </c>
      <c r="C22644" s="5" t="str">
        <f>IFERROR(__xludf.DUMMYFUNCTION("GOOGLETRANSLATE(B22644,""en"",""it"")"),"Continua a parlare con la telecamera e tira fuori gli oggetti per presentare biscotti al forno.")</f>
        <v>Continua a parlare con la telecamera e tira fuori gli oggetti per presentare biscotti al forno.</v>
      </c>
    </row>
    <row r="22645">
      <c r="A22645" s="4" t="s">
        <v>28500</v>
      </c>
      <c r="B22645" s="4" t="s">
        <v>28504</v>
      </c>
      <c r="C22645" s="5" t="str">
        <f>IFERROR(__xludf.DUMMYFUNCTION("GOOGLETRANSLATE(B22645,""en"",""it"")"),"I biscotti sono di nuovo visti su un vassoio e li spezza per vedere.")</f>
        <v>I biscotti sono di nuovo visti su un vassoio e li spezza per vedere.</v>
      </c>
    </row>
    <row r="22646">
      <c r="A22646" s="4" t="s">
        <v>28505</v>
      </c>
      <c r="B22646" s="4" t="s">
        <v>28506</v>
      </c>
      <c r="C22646" s="5" t="str">
        <f>IFERROR(__xludf.DUMMYFUNCTION("GOOGLETRANSLATE(B22646,""en"",""it"")"),"Un bambino si piega di immergere un pennello in un secchio blu.")</f>
        <v>Un bambino si piega di immergere un pennello in un secchio blu.</v>
      </c>
    </row>
    <row r="22647">
      <c r="A22647" s="4" t="s">
        <v>28505</v>
      </c>
      <c r="B22647" s="4" t="s">
        <v>28507</v>
      </c>
      <c r="C22647" s="5" t="str">
        <f>IFERROR(__xludf.DUMMYFUNCTION("GOOGLETRANSLATE(B22647,""en"",""it"")"),"Dipinge la recinzione di fronte a lui.")</f>
        <v>Dipinge la recinzione di fronte a lui.</v>
      </c>
    </row>
    <row r="22648">
      <c r="A22648" s="4" t="s">
        <v>28505</v>
      </c>
      <c r="B22648" s="4" t="s">
        <v>28508</v>
      </c>
      <c r="C22648" s="5" t="str">
        <f>IFERROR(__xludf.DUMMYFUNCTION("GOOGLETRANSLATE(B22648,""en"",""it"")"),"Cammina verso la telecamera.")</f>
        <v>Cammina verso la telecamera.</v>
      </c>
    </row>
    <row r="22649">
      <c r="A22649" s="4" t="s">
        <v>28509</v>
      </c>
      <c r="B22649" s="6" t="s">
        <v>28510</v>
      </c>
      <c r="C22649" s="5" t="str">
        <f>IFERROR(__xludf.DUMMYFUNCTION("GOOGLETRANSLATE(B22649,""en"",""it"")"),"Due ragazze vengono viste muoversi rapidamente nella stanza mentre cambiano luoghi e guardano in una macchina fotografica.")</f>
        <v>Due ragazze vengono viste muoversi rapidamente nella stanza mentre cambiano luoghi e guardano in una macchina fotografica.</v>
      </c>
    </row>
    <row r="22650">
      <c r="A22650" s="4" t="s">
        <v>28509</v>
      </c>
      <c r="B22650" s="6" t="s">
        <v>28511</v>
      </c>
      <c r="C22650" s="5" t="str">
        <f>IFERROR(__xludf.DUMMYFUNCTION("GOOGLETRANSLATE(B22650,""en"",""it"")"),"La ragazza più giovane ride della telecamera mentre si trucca e l'altra si muove velocemente.")</f>
        <v>La ragazza più giovane ride della telecamera mentre si trucca e l'altra si muove velocemente.</v>
      </c>
    </row>
    <row r="22651">
      <c r="A22651" s="4" t="s">
        <v>28512</v>
      </c>
      <c r="B22651" s="6" t="s">
        <v>28513</v>
      </c>
      <c r="C22651" s="5" t="str">
        <f>IFERROR(__xludf.DUMMYFUNCTION("GOOGLETRANSLATE(B22651,""en"",""it"")"),"Una ragazza viene vista parlare con la telecamera mentre si è seduta a un tavolo e porta a reggere un caso di contatti.")</f>
        <v>Una ragazza viene vista parlare con la telecamera mentre si è seduta a un tavolo e porta a reggere un caso di contatti.</v>
      </c>
    </row>
    <row r="22652">
      <c r="A22652" s="4" t="s">
        <v>28512</v>
      </c>
      <c r="B22652" s="6" t="s">
        <v>28514</v>
      </c>
      <c r="C22652" s="5" t="str">
        <f>IFERROR(__xludf.DUMMYFUNCTION("GOOGLETRANSLATE(B22652,""en"",""it"")"),"La ragazza quindi tiene gli occhi aperti e tira fuori il contatto, seguito da lei immergendolo in liquido e rimettendolo mentre parla ancora.")</f>
        <v>La ragazza quindi tiene gli occhi aperti e tira fuori il contatto, seguito da lei immergendolo in liquido e rimettendolo mentre parla ancora.</v>
      </c>
    </row>
    <row r="22653">
      <c r="A22653" s="4" t="s">
        <v>28515</v>
      </c>
      <c r="B22653" s="4" t="s">
        <v>28516</v>
      </c>
      <c r="C22653" s="5" t="str">
        <f>IFERROR(__xludf.DUMMYFUNCTION("GOOGLETRANSLATE(B22653,""en"",""it"")"),"Una donna sta pattinando attraverso una strada con la gente che attraversa di lei.")</f>
        <v>Una donna sta pattinando attraverso una strada con la gente che attraversa di lei.</v>
      </c>
    </row>
    <row r="22654">
      <c r="A22654" s="4" t="s">
        <v>28515</v>
      </c>
      <c r="B22654" s="4" t="s">
        <v>28517</v>
      </c>
      <c r="C22654" s="5" t="str">
        <f>IFERROR(__xludf.DUMMYFUNCTION("GOOGLETRANSLATE(B22654,""en"",""it"")"),"Torna da solo dall'altra parte della strada.")</f>
        <v>Torna da solo dall'altra parte della strada.</v>
      </c>
    </row>
    <row r="22655">
      <c r="A22655" s="4" t="s">
        <v>28515</v>
      </c>
      <c r="B22655" s="4" t="s">
        <v>28518</v>
      </c>
      <c r="C22655" s="5" t="str">
        <f>IFERROR(__xludf.DUMMYFUNCTION("GOOGLETRANSLATE(B22655,""en"",""it"")"),"Una donna in un maglione grigio parla con la telecamera sul marciapiede.")</f>
        <v>Una donna in un maglione grigio parla con la telecamera sul marciapiede.</v>
      </c>
    </row>
    <row r="22656">
      <c r="A22656" s="4" t="s">
        <v>28515</v>
      </c>
      <c r="B22656" s="4" t="s">
        <v>28519</v>
      </c>
      <c r="C22656" s="5" t="str">
        <f>IFERROR(__xludf.DUMMYFUNCTION("GOOGLETRANSLATE(B22656,""en"",""it"")"),"Un uomo con un cappello nero parla alla telecamera di fronte a un edificio blu.")</f>
        <v>Un uomo con un cappello nero parla alla telecamera di fronte a un edificio blu.</v>
      </c>
    </row>
    <row r="22657">
      <c r="A22657" s="4" t="s">
        <v>28515</v>
      </c>
      <c r="B22657" s="4" t="s">
        <v>28520</v>
      </c>
      <c r="C22657" s="5" t="str">
        <f>IFERROR(__xludf.DUMMYFUNCTION("GOOGLETRANSLATE(B22657,""en"",""it"")"),"Un uomo con una camicia nera è seduto e parla.")</f>
        <v>Un uomo con una camicia nera è seduto e parla.</v>
      </c>
    </row>
    <row r="22658">
      <c r="A22658" s="4" t="s">
        <v>28515</v>
      </c>
      <c r="B22658" s="4" t="s">
        <v>28521</v>
      </c>
      <c r="C22658" s="5" t="str">
        <f>IFERROR(__xludf.DUMMYFUNCTION("GOOGLETRANSLATE(B22658,""en"",""it"")"),"Torna all'uomo con un cappello nero che parla.")</f>
        <v>Torna all'uomo con un cappello nero che parla.</v>
      </c>
    </row>
    <row r="22659">
      <c r="A22659" s="4" t="s">
        <v>28515</v>
      </c>
      <c r="B22659" s="4" t="s">
        <v>28522</v>
      </c>
      <c r="C22659" s="5" t="str">
        <f>IFERROR(__xludf.DUMMYFUNCTION("GOOGLETRANSLATE(B22659,""en"",""it"")"),"Torna all'uomo con la camicia nera che parla.")</f>
        <v>Torna all'uomo con la camicia nera che parla.</v>
      </c>
    </row>
    <row r="22660">
      <c r="A22660" s="4" t="s">
        <v>28515</v>
      </c>
      <c r="B22660" s="4" t="s">
        <v>28523</v>
      </c>
      <c r="C22660" s="5" t="str">
        <f>IFERROR(__xludf.DUMMYFUNCTION("GOOGLETRANSLATE(B22660,""en"",""it"")"),"La ragazza è piegata sulle lame a rulli tirando fuori qualcosa da una panchina.")</f>
        <v>La ragazza è piegata sulle lame a rulli tirando fuori qualcosa da una panchina.</v>
      </c>
    </row>
    <row r="22661">
      <c r="A22661" s="4" t="s">
        <v>28515</v>
      </c>
      <c r="B22661" s="4" t="s">
        <v>28524</v>
      </c>
      <c r="C22661" s="5" t="str">
        <f>IFERROR(__xludf.DUMMYFUNCTION("GOOGLETRANSLATE(B22661,""en"",""it"")"),"Fa trucchi in panchina.")</f>
        <v>Fa trucchi in panchina.</v>
      </c>
    </row>
    <row r="22662">
      <c r="A22662" s="4" t="s">
        <v>28515</v>
      </c>
      <c r="B22662" s="4" t="s">
        <v>28525</v>
      </c>
      <c r="C22662" s="5" t="str">
        <f>IFERROR(__xludf.DUMMYFUNCTION("GOOGLETRANSLATE(B22662,""en"",""it"")"),"Una donna con un cappello marrone sta parlando.")</f>
        <v>Una donna con un cappello marrone sta parlando.</v>
      </c>
    </row>
    <row r="22663">
      <c r="A22663" s="4" t="s">
        <v>28515</v>
      </c>
      <c r="B22663" s="4" t="s">
        <v>28526</v>
      </c>
      <c r="C22663" s="5" t="str">
        <f>IFERROR(__xludf.DUMMYFUNCTION("GOOGLETRANSLATE(B22663,""en"",""it"")"),"Un uomo con un mohawk parla.")</f>
        <v>Un uomo con un mohawk parla.</v>
      </c>
    </row>
    <row r="22664">
      <c r="A22664" s="4" t="s">
        <v>28515</v>
      </c>
      <c r="B22664" s="4" t="s">
        <v>28527</v>
      </c>
      <c r="C22664" s="5" t="str">
        <f>IFERROR(__xludf.DUMMYFUNCTION("GOOGLETRANSLATE(B22664,""en"",""it"")"),"La ragazza fa più trucchi sulle sue lame a rulli.")</f>
        <v>La ragazza fa più trucchi sulle sue lame a rulli.</v>
      </c>
    </row>
    <row r="22665">
      <c r="A22665" s="4" t="s">
        <v>28515</v>
      </c>
      <c r="B22665" s="4" t="s">
        <v>18302</v>
      </c>
      <c r="C22665" s="5" t="str">
        <f>IFERROR(__xludf.DUMMYFUNCTION("GOOGLETRANSLATE(B22665,""en"",""it"")"),"Una donna con una camicia rosa sta parlando.")</f>
        <v>Una donna con una camicia rosa sta parlando.</v>
      </c>
    </row>
    <row r="22666">
      <c r="A22666" s="4" t="s">
        <v>28515</v>
      </c>
      <c r="B22666" s="4" t="s">
        <v>28528</v>
      </c>
      <c r="C22666" s="5" t="str">
        <f>IFERROR(__xludf.DUMMYFUNCTION("GOOGLETRANSLATE(B22666,""en"",""it"")"),"Tre bambini sono seduti su una panchina in pattini a rulli a parlare.")</f>
        <v>Tre bambini sono seduti su una panchina in pattini a rulli a parlare.</v>
      </c>
    </row>
    <row r="22667">
      <c r="A22667" s="4" t="s">
        <v>28515</v>
      </c>
      <c r="B22667" s="4" t="s">
        <v>28529</v>
      </c>
      <c r="C22667" s="5" t="str">
        <f>IFERROR(__xludf.DUMMYFUNCTION("GOOGLETRANSLATE(B22667,""en"",""it"")"),"La ragazza sulle pale a rulli fa un altro trucco.")</f>
        <v>La ragazza sulle pale a rulli fa un altro trucco.</v>
      </c>
    </row>
    <row r="22668">
      <c r="A22668" s="4" t="s">
        <v>28515</v>
      </c>
      <c r="B22668" s="4" t="s">
        <v>28530</v>
      </c>
      <c r="C22668" s="5" t="str">
        <f>IFERROR(__xludf.DUMMYFUNCTION("GOOGLETRANSLATE(B22668,""en"",""it"")"),"Una donna anziana sta parlando con la telecamera.")</f>
        <v>Una donna anziana sta parlando con la telecamera.</v>
      </c>
    </row>
    <row r="22669">
      <c r="A22669" s="4" t="s">
        <v>28531</v>
      </c>
      <c r="B22669" s="4" t="s">
        <v>28532</v>
      </c>
      <c r="C22669" s="5" t="str">
        <f>IFERROR(__xludf.DUMMYFUNCTION("GOOGLETRANSLATE(B22669,""en"",""it"")"),"Un ragazzo sta disegnando con il gesso di cemento mentre si occupa dei problemi della vita familiare e della scuola.")</f>
        <v>Un ragazzo sta disegnando con il gesso di cemento mentre si occupa dei problemi della vita familiare e della scuola.</v>
      </c>
    </row>
    <row r="22670">
      <c r="A22670" s="4" t="s">
        <v>28531</v>
      </c>
      <c r="B22670" s="6" t="s">
        <v>28533</v>
      </c>
      <c r="C22670" s="5" t="str">
        <f>IFERROR(__xludf.DUMMYFUNCTION("GOOGLETRANSLATE(B22670,""en"",""it"")"),"Finisce di disegnare scatole di hopscotch sul cemento mentre inizia a saltare sui quadrati e inizia a ballare solo per ricordare il bullismo a scuola.")</f>
        <v>Finisce di disegnare scatole di hopscotch sul cemento mentre inizia a saltare sui quadrati e inizia a ballare solo per ricordare il bullismo a scuola.</v>
      </c>
    </row>
    <row r="22671">
      <c r="A22671" s="4" t="s">
        <v>28531</v>
      </c>
      <c r="B22671" s="4" t="s">
        <v>28534</v>
      </c>
      <c r="C22671" s="5" t="str">
        <f>IFERROR(__xludf.DUMMYFUNCTION("GOOGLETRANSLATE(B22671,""en"",""it"")"),"Il giovane è visto ora rompere ballando e attraversare una routine.")</f>
        <v>Il giovane è visto ora rompere ballando e attraversare una routine.</v>
      </c>
    </row>
    <row r="22672">
      <c r="A22672" s="4" t="s">
        <v>28531</v>
      </c>
      <c r="B22672" s="6" t="s">
        <v>28535</v>
      </c>
      <c r="C22672" s="5" t="str">
        <f>IFERROR(__xludf.DUMMYFUNCTION("GOOGLETRANSLATE(B22672,""en"",""it"")"),"A casa con la sua famiglia travagliata sta mangiando e sognando ad occhi aperti di ballare mentre la scena gli torna a ballare.")</f>
        <v>A casa con la sua famiglia travagliata sta mangiando e sognando ad occhi aperti di ballare mentre la scena gli torna a ballare.</v>
      </c>
    </row>
    <row r="22673">
      <c r="A22673" s="4" t="s">
        <v>28531</v>
      </c>
      <c r="B22673" s="4" t="s">
        <v>28536</v>
      </c>
      <c r="C22673" s="5" t="str">
        <f>IFERROR(__xludf.DUMMYFUNCTION("GOOGLETRANSLATE(B22673,""en"",""it"")"),"Smette di ballare per guardare i quadrati di hopscotch che ora sono sbiaditi e indossati.")</f>
        <v>Smette di ballare per guardare i quadrati di hopscotch che ora sono sbiaditi e indossati.</v>
      </c>
    </row>
    <row r="22674">
      <c r="A22674" s="4" t="s">
        <v>28531</v>
      </c>
      <c r="B22674" s="6" t="s">
        <v>28537</v>
      </c>
      <c r="C22674" s="5" t="str">
        <f>IFERROR(__xludf.DUMMYFUNCTION("GOOGLETRANSLATE(B22674,""en"",""it"")"),"In classe mentre l'insegnante sta camminando attraverso le file di scrivanie, nota che il giovane dorme alla sua scrivania mentre usa un sovrano per attingerlo alla testa per svegliarlo.")</f>
        <v>In classe mentre l'insegnante sta camminando attraverso le file di scrivanie, nota che il giovane dorme alla sua scrivania mentre usa un sovrano per attingerlo alla testa per svegliarlo.</v>
      </c>
    </row>
    <row r="22675">
      <c r="A22675" s="4" t="s">
        <v>28531</v>
      </c>
      <c r="B22675" s="6" t="s">
        <v>28538</v>
      </c>
      <c r="C22675" s="5" t="str">
        <f>IFERROR(__xludf.DUMMYFUNCTION("GOOGLETRANSLATE(B22675,""en"",""it"")"),"Il ragazzo nota una nota alla sua scrivania che ha una foto dei quadrati di Hopscotch che dice ""insegnami"" seguito da una faccina sorridente.")</f>
        <v>Il ragazzo nota una nota alla sua scrivania che ha una foto dei quadrati di Hopscotch che dice "insegnami" seguito da una faccina sorridente.</v>
      </c>
    </row>
    <row r="22676">
      <c r="A22676" s="4" t="s">
        <v>28531</v>
      </c>
      <c r="B22676" s="4" t="s">
        <v>28539</v>
      </c>
      <c r="C22676" s="5" t="str">
        <f>IFERROR(__xludf.DUMMYFUNCTION("GOOGLETRANSLATE(B22676,""en"",""it"")"),"Vengono mostrati i crediti mentre il cemento e i segni di gesso dei quadrati di Hopscotch.")</f>
        <v>Vengono mostrati i crediti mentre il cemento e i segni di gesso dei quadrati di Hopscotch.</v>
      </c>
    </row>
    <row r="22677">
      <c r="A22677" s="4" t="s">
        <v>28540</v>
      </c>
      <c r="B22677" s="4" t="s">
        <v>8286</v>
      </c>
      <c r="C22677" s="5" t="str">
        <f>IFERROR(__xludf.DUMMYFUNCTION("GOOGLETRANSLATE(B22677,""en"",""it"")"),"Una donna è in piedi dietro un tavolo.")</f>
        <v>Una donna è in piedi dietro un tavolo.</v>
      </c>
    </row>
    <row r="22678">
      <c r="A22678" s="4" t="s">
        <v>28540</v>
      </c>
      <c r="B22678" s="4" t="s">
        <v>28541</v>
      </c>
      <c r="C22678" s="5" t="str">
        <f>IFERROR(__xludf.DUMMYFUNCTION("GOOGLETRANSLATE(B22678,""en"",""it"")"),"Apre un bidone bianco e ci versa acqua e sapone.")</f>
        <v>Apre un bidone bianco e ci versa acqua e sapone.</v>
      </c>
    </row>
    <row r="22679">
      <c r="A22679" s="4" t="s">
        <v>28540</v>
      </c>
      <c r="B22679" s="4" t="s">
        <v>28542</v>
      </c>
      <c r="C22679" s="5" t="str">
        <f>IFERROR(__xludf.DUMMYFUNCTION("GOOGLETRANSLATE(B22679,""en"",""it"")"),"Quindi lo chiude e gira la cima.")</f>
        <v>Quindi lo chiude e gira la cima.</v>
      </c>
    </row>
    <row r="22680">
      <c r="A22680" s="4" t="s">
        <v>28540</v>
      </c>
      <c r="B22680" s="4" t="s">
        <v>28543</v>
      </c>
      <c r="C22680" s="5" t="str">
        <f>IFERROR(__xludf.DUMMYFUNCTION("GOOGLETRANSLATE(B22680,""en"",""it"")"),"Appende i vestiti da una griglia di legno per asciugare.")</f>
        <v>Appende i vestiti da una griglia di legno per asciugare.</v>
      </c>
    </row>
    <row r="22681">
      <c r="A22681" s="4" t="s">
        <v>28544</v>
      </c>
      <c r="B22681" s="4" t="s">
        <v>28545</v>
      </c>
      <c r="C22681" s="5" t="str">
        <f>IFERROR(__xludf.DUMMYFUNCTION("GOOGLETRANSLATE(B22681,""en"",""it"")"),"Ci sono diversi lavoratori in cima a un tetto che lavora per riparare il tetto.")</f>
        <v>Ci sono diversi lavoratori in cima a un tetto che lavora per riparare il tetto.</v>
      </c>
    </row>
    <row r="22682">
      <c r="A22682" s="4" t="s">
        <v>28544</v>
      </c>
      <c r="B22682" s="4" t="s">
        <v>28546</v>
      </c>
      <c r="C22682" s="5" t="str">
        <f>IFERROR(__xludf.DUMMYFUNCTION("GOOGLETRANSLATE(B22682,""en"",""it"")"),"Stanno rimuovendo le vecchie tegole con l'aiuto di un jack del tetto.")</f>
        <v>Stanno rimuovendo le vecchie tegole con l'aiuto di un jack del tetto.</v>
      </c>
    </row>
    <row r="22683">
      <c r="A22683" s="4" t="s">
        <v>28544</v>
      </c>
      <c r="B22683" s="4" t="s">
        <v>28547</v>
      </c>
      <c r="C22683" s="5" t="str">
        <f>IFERROR(__xludf.DUMMYFUNCTION("GOOGLETRANSLATE(B22683,""en"",""it"")"),"Continuano a rimuovere le tegole mentre si trovano in cima al tetto.")</f>
        <v>Continuano a rimuovere le tegole mentre si trovano in cima al tetto.</v>
      </c>
    </row>
    <row r="22684">
      <c r="A22684" s="4" t="s">
        <v>28548</v>
      </c>
      <c r="B22684" s="4" t="s">
        <v>28549</v>
      </c>
      <c r="C22684" s="5" t="str">
        <f>IFERROR(__xludf.DUMMYFUNCTION("GOOGLETRANSLATE(B22684,""en"",""it"")"),"Un uomo si avvicina a un set di barre parallele.")</f>
        <v>Un uomo si avvicina a un set di barre parallele.</v>
      </c>
    </row>
    <row r="22685">
      <c r="A22685" s="4" t="s">
        <v>28548</v>
      </c>
      <c r="B22685" s="4" t="s">
        <v>28550</v>
      </c>
      <c r="C22685" s="5" t="str">
        <f>IFERROR(__xludf.DUMMYFUNCTION("GOOGLETRANSLATE(B22685,""en"",""it"")"),"L'uomo esegue acrobazie sui bar in una sede professionale.")</f>
        <v>L'uomo esegue acrobazie sui bar in una sede professionale.</v>
      </c>
    </row>
    <row r="22686">
      <c r="A22686" s="4" t="s">
        <v>28548</v>
      </c>
      <c r="B22686" s="4" t="s">
        <v>28551</v>
      </c>
      <c r="C22686" s="5" t="str">
        <f>IFERROR(__xludf.DUMMYFUNCTION("GOOGLETRANSLATE(B22686,""en"",""it"")"),"L'uomo salta con successo dei bar e atterra in piedi.")</f>
        <v>L'uomo salta con successo dei bar e atterra in piedi.</v>
      </c>
    </row>
    <row r="22687">
      <c r="A22687" s="4" t="s">
        <v>28552</v>
      </c>
      <c r="B22687" s="4" t="s">
        <v>28553</v>
      </c>
      <c r="C22687" s="5" t="str">
        <f>IFERROR(__xludf.DUMMYFUNCTION("GOOGLETRANSLATE(B22687,""en"",""it"")"),"L'uomo con camicia bianca sta strimpellando il tamburo di bongo.")</f>
        <v>L'uomo con camicia bianca sta strimpellando il tamburo di bongo.</v>
      </c>
    </row>
    <row r="22688">
      <c r="A22688" s="4" t="s">
        <v>28552</v>
      </c>
      <c r="B22688" s="4" t="s">
        <v>28554</v>
      </c>
      <c r="C22688" s="5" t="str">
        <f>IFERROR(__xludf.DUMMYFUNCTION("GOOGLETRANSLATE(B22688,""en"",""it"")"),"Al bancone l'uomo è seduto dietro il bancone.")</f>
        <v>Al bancone l'uomo è seduto dietro il bancone.</v>
      </c>
    </row>
    <row r="22689">
      <c r="A22689" s="4" t="s">
        <v>28552</v>
      </c>
      <c r="B22689" s="4" t="s">
        <v>28555</v>
      </c>
      <c r="C22689" s="5" t="str">
        <f>IFERROR(__xludf.DUMMYFUNCTION("GOOGLETRANSLATE(B22689,""en"",""it"")"),"L'uomo che gioca a Bongo ha colpito un tamburo poi il successivo, poi ha battuto la batteria velocemente.")</f>
        <v>L'uomo che gioca a Bongo ha colpito un tamburo poi il successivo, poi ha battuto la batteria velocemente.</v>
      </c>
    </row>
    <row r="22690">
      <c r="A22690" s="4" t="s">
        <v>28556</v>
      </c>
      <c r="B22690" s="6" t="s">
        <v>28557</v>
      </c>
      <c r="C22690" s="5" t="str">
        <f>IFERROR(__xludf.DUMMYFUNCTION("GOOGLETRANSLATE(B22690,""en"",""it"")"),"Un uomo sta posizionando una macchina fotografica e poi entra in una stanza attraverso una parete di vetro con tre pareti.")</f>
        <v>Un uomo sta posizionando una macchina fotografica e poi entra in una stanza attraverso una parete di vetro con tre pareti.</v>
      </c>
    </row>
    <row r="22691">
      <c r="A22691" s="4" t="s">
        <v>28556</v>
      </c>
      <c r="B22691" s="6" t="s">
        <v>28558</v>
      </c>
      <c r="C22691" s="5" t="str">
        <f>IFERROR(__xludf.DUMMYFUNCTION("GOOGLETRANSLATE(B22691,""en"",""it"")"),"Quando entra nella stanza, un altro uomo appare con una racchetta in mano e iniziano a colpire la palla contro il muro.")</f>
        <v>Quando entra nella stanza, un altro uomo appare con una racchetta in mano e iniziano a colpire la palla contro il muro.</v>
      </c>
    </row>
    <row r="22692">
      <c r="A22692" s="4" t="s">
        <v>28556</v>
      </c>
      <c r="B22692" s="6" t="s">
        <v>28559</v>
      </c>
      <c r="C22692" s="5" t="str">
        <f>IFERROR(__xludf.DUMMYFUNCTION("GOOGLETRANSLATE(B22692,""en"",""it"")"),"I due vanno avanti e indietro colpendo la palla e alla fine si fermano quando nessuno degli uomini è in grado di arrivare alla palla.")</f>
        <v>I due vanno avanti e indietro colpendo la palla e alla fine si fermano quando nessuno degli uomini è in grado di arrivare alla palla.</v>
      </c>
    </row>
    <row r="22693">
      <c r="A22693" s="4" t="s">
        <v>28560</v>
      </c>
      <c r="B22693" s="4" t="s">
        <v>28561</v>
      </c>
      <c r="C22693" s="5" t="str">
        <f>IFERROR(__xludf.DUMMYFUNCTION("GOOGLETRANSLATE(B22693,""en"",""it"")"),"La gente è seduta in uno studio a parlare tra loro.")</f>
        <v>La gente è seduta in uno studio a parlare tra loro.</v>
      </c>
    </row>
    <row r="22694">
      <c r="A22694" s="4" t="s">
        <v>28560</v>
      </c>
      <c r="B22694" s="6" t="s">
        <v>28562</v>
      </c>
      <c r="C22694" s="5" t="str">
        <f>IFERROR(__xludf.DUMMYFUNCTION("GOOGLETRANSLATE(B22694,""en"",""it"")"),"L'uomo è in spiaggia a fare trucchi con un bambino e la gente in studio sta parlando del video.")</f>
        <v>L'uomo è in spiaggia a fare trucchi con un bambino e la gente in studio sta parlando del video.</v>
      </c>
    </row>
    <row r="22695">
      <c r="A22695" s="4" t="s">
        <v>28560</v>
      </c>
      <c r="B22695" s="4" t="s">
        <v>28563</v>
      </c>
      <c r="C22695" s="5" t="str">
        <f>IFERROR(__xludf.DUMMYFUNCTION("GOOGLETRANSLATE(B22695,""en"",""it"")"),"La pagina di una cheerleader è mostrata sullo schermo e il video della ragazza in spiaggia che fa trucchi.")</f>
        <v>La pagina di una cheerleader è mostrata sullo schermo e il video della ragazza in spiaggia che fa trucchi.</v>
      </c>
    </row>
    <row r="22696">
      <c r="A22696" s="4" t="s">
        <v>28560</v>
      </c>
      <c r="B22696" s="6" t="s">
        <v>28564</v>
      </c>
      <c r="C22696" s="5" t="str">
        <f>IFERROR(__xludf.DUMMYFUNCTION("GOOGLETRANSLATE(B22696,""en"",""it"")"),"L'uomo è in un soggiorno con una bambina e sta facendo trucchi con lei e sulla spiaggia, quindi un video dell'uomo e della ragazza che parlano con una macchina fotografica viene mostrato mentre le persone nello Stuio continuano a parlare e mostrano i loro"&amp;" video.")</f>
        <v>L'uomo è in un soggiorno con una bambina e sta facendo trucchi con lei e sulla spiaggia, quindi un video dell'uomo e della ragazza che parlano con una macchina fotografica viene mostrato mentre le persone nello Stuio continuano a parlare e mostrano i loro video.</v>
      </c>
    </row>
    <row r="22697">
      <c r="A22697" s="4" t="s">
        <v>28565</v>
      </c>
      <c r="B22697" s="4" t="s">
        <v>28566</v>
      </c>
      <c r="C22697" s="5" t="str">
        <f>IFERROR(__xludf.DUMMYFUNCTION("GOOGLETRANSLATE(B22697,""en"",""it"")"),"Le persone vengono mostrate interagendo in una sala da ballo.")</f>
        <v>Le persone vengono mostrate interagendo in una sala da ballo.</v>
      </c>
    </row>
    <row r="22698">
      <c r="A22698" s="4" t="s">
        <v>28565</v>
      </c>
      <c r="B22698" s="4" t="s">
        <v>28567</v>
      </c>
      <c r="C22698" s="5" t="str">
        <f>IFERROR(__xludf.DUMMYFUNCTION("GOOGLETRANSLATE(B22698,""en"",""it"")"),"Una donna fuma ed espira il fumo nero.")</f>
        <v>Una donna fuma ed espira il fumo nero.</v>
      </c>
    </row>
    <row r="22699">
      <c r="A22699" s="4" t="s">
        <v>28565</v>
      </c>
      <c r="B22699" s="4" t="s">
        <v>28568</v>
      </c>
      <c r="C22699" s="5" t="str">
        <f>IFERROR(__xludf.DUMMYFUNCTION("GOOGLETRANSLATE(B22699,""en"",""it"")"),"Un uomo si avvicina a un tavolo e ci pone cibo.")</f>
        <v>Un uomo si avvicina a un tavolo e ci pone cibo.</v>
      </c>
    </row>
    <row r="22700">
      <c r="A22700" s="4" t="s">
        <v>28565</v>
      </c>
      <c r="B22700" s="4" t="s">
        <v>28569</v>
      </c>
      <c r="C22700" s="5" t="str">
        <f>IFERROR(__xludf.DUMMYFUNCTION("GOOGLETRANSLATE(B22700,""en"",""it"")"),"Due bambini mangiano sotto il tavolo.")</f>
        <v>Due bambini mangiano sotto il tavolo.</v>
      </c>
    </row>
    <row r="22701">
      <c r="A22701" s="4" t="s">
        <v>28565</v>
      </c>
      <c r="B22701" s="4" t="s">
        <v>28570</v>
      </c>
      <c r="C22701" s="5" t="str">
        <f>IFERROR(__xludf.DUMMYFUNCTION("GOOGLETRANSLATE(B22701,""en"",""it"")"),"Due individui che ballano insieme baci.")</f>
        <v>Due individui che ballano insieme baci.</v>
      </c>
    </row>
    <row r="22702">
      <c r="A22702" s="4" t="s">
        <v>28565</v>
      </c>
      <c r="B22702" s="4" t="s">
        <v>28571</v>
      </c>
      <c r="C22702" s="5" t="str">
        <f>IFERROR(__xludf.DUMMYFUNCTION("GOOGLETRANSLATE(B22702,""en"",""it"")"),"La donna fuma e il fumo nero scompare.")</f>
        <v>La donna fuma e il fumo nero scompare.</v>
      </c>
    </row>
    <row r="22703">
      <c r="A22703" s="4" t="s">
        <v>28572</v>
      </c>
      <c r="B22703" s="4" t="s">
        <v>28573</v>
      </c>
      <c r="C22703" s="5" t="str">
        <f>IFERROR(__xludf.DUMMYFUNCTION("GOOGLETRANSLATE(B22703,""en"",""it"")"),"Viene mostrato un primo piano di una bevanda al caffè seguito da un uomo che beve fuori dalla tazza.")</f>
        <v>Viene mostrato un primo piano di una bevanda al caffè seguito da un uomo che beve fuori dalla tazza.</v>
      </c>
    </row>
    <row r="22704">
      <c r="A22704" s="4" t="s">
        <v>28572</v>
      </c>
      <c r="B22704" s="4" t="s">
        <v>28574</v>
      </c>
      <c r="C22704" s="5" t="str">
        <f>IFERROR(__xludf.DUMMYFUNCTION("GOOGLETRANSLATE(B22704,""en"",""it"")"),"La telecamera si muove a più persone con bevande in mano.")</f>
        <v>La telecamera si muove a più persone con bevande in mano.</v>
      </c>
    </row>
    <row r="22705">
      <c r="A22705" s="4" t="s">
        <v>28572</v>
      </c>
      <c r="B22705" s="4" t="s">
        <v>28575</v>
      </c>
      <c r="C22705" s="5" t="str">
        <f>IFERROR(__xludf.DUMMYFUNCTION("GOOGLETRANSLATE(B22705,""en"",""it"")"),"Un Mas si guarda in grembo con la bevanda ancora di fronte a lui.")</f>
        <v>Un Mas si guarda in grembo con la bevanda ancora di fronte a lui.</v>
      </c>
    </row>
    <row r="22706">
      <c r="A22706" s="4" t="s">
        <v>28576</v>
      </c>
      <c r="B22706" s="6" t="s">
        <v>28577</v>
      </c>
      <c r="C22706" s="5" t="str">
        <f>IFERROR(__xludf.DUMMYFUNCTION("GOOGLETRANSLATE(B22706,""en"",""it"")"),"Un grande campo verde viene mostrato mentre due squadre iniziano a correre verso una palla colpendolo con un bastone che ha una rete alla fine.")</f>
        <v>Un grande campo verde viene mostrato mentre due squadre iniziano a correre verso una palla colpendolo con un bastone che ha una rete alla fine.</v>
      </c>
    </row>
    <row r="22707">
      <c r="A22707" s="4" t="s">
        <v>28576</v>
      </c>
      <c r="B22707" s="6" t="s">
        <v>28578</v>
      </c>
      <c r="C22707" s="5" t="str">
        <f>IFERROR(__xludf.DUMMYFUNCTION("GOOGLETRANSLATE(B22707,""en"",""it"")"),"Man mano che il gioco avanza, un giocatore si imbatte in altre due persone e alla fine si infila le spalle.")</f>
        <v>Man mano che il gioco avanza, un giocatore si imbatte in altre due persone e alla fine si infila le spalle.</v>
      </c>
    </row>
    <row r="22708">
      <c r="A22708" s="4" t="s">
        <v>28576</v>
      </c>
      <c r="B22708" s="4" t="s">
        <v>28579</v>
      </c>
      <c r="C22708" s="5" t="str">
        <f>IFERROR(__xludf.DUMMYFUNCTION("GOOGLETRANSLATE(B22708,""en"",""it"")"),"Si sdraia a terra e vengono mostrati diversi replay dell'incidente.")</f>
        <v>Si sdraia a terra e vengono mostrati diversi replay dell'incidente.</v>
      </c>
    </row>
    <row r="22709">
      <c r="A22709" s="4" t="s">
        <v>28576</v>
      </c>
      <c r="B22709" s="6" t="s">
        <v>28580</v>
      </c>
      <c r="C22709" s="5" t="str">
        <f>IFERROR(__xludf.DUMMYFUNCTION("GOOGLETRANSLATE(B22709,""en"",""it"")"),"Successivamente, vengono mostrate diverse immagini di altre squadre che camminano e si preparano ad iniziare che giocano in varie località.")</f>
        <v>Successivamente, vengono mostrate diverse immagini di altre squadre che camminano e si preparano ad iniziare che giocano in varie località.</v>
      </c>
    </row>
    <row r="22710">
      <c r="A22710" s="4" t="s">
        <v>28581</v>
      </c>
      <c r="B22710" s="4" t="s">
        <v>28582</v>
      </c>
      <c r="C22710" s="5" t="str">
        <f>IFERROR(__xludf.DUMMYFUNCTION("GOOGLETRANSLATE(B22710,""en"",""it"")"),"La fotocamera si ingrandisce su una mucca per bambini con varie pagine del titolo mostrate sullo schermo.")</f>
        <v>La fotocamera si ingrandisce su una mucca per bambini con varie pagine del titolo mostrate sullo schermo.</v>
      </c>
    </row>
    <row r="22711">
      <c r="A22711" s="4" t="s">
        <v>28581</v>
      </c>
      <c r="B22711" s="4" t="s">
        <v>28583</v>
      </c>
      <c r="C22711" s="5" t="str">
        <f>IFERROR(__xludf.DUMMYFUNCTION("GOOGLETRANSLATE(B22711,""en"",""it"")"),"Un gruppo di uomini corrono attorno a un vitello mentre altri lo trattengono.")</f>
        <v>Un gruppo di uomini corrono attorno a un vitello mentre altri lo trattengono.</v>
      </c>
    </row>
    <row r="22712">
      <c r="A22712" s="4" t="s">
        <v>28581</v>
      </c>
      <c r="B22712" s="4" t="s">
        <v>28584</v>
      </c>
      <c r="C22712" s="5" t="str">
        <f>IFERROR(__xludf.DUMMYFUNCTION("GOOGLETRANSLATE(B22712,""en"",""it"")"),"Un uomo ubriaco tenta di interagire con un toro e viene lanciato in aria.")</f>
        <v>Un uomo ubriaco tenta di interagire con un toro e viene lanciato in aria.</v>
      </c>
    </row>
    <row r="22713">
      <c r="A22713" s="4" t="s">
        <v>28581</v>
      </c>
      <c r="B22713" s="4" t="s">
        <v>28585</v>
      </c>
      <c r="C22713" s="5" t="str">
        <f>IFERROR(__xludf.DUMMYFUNCTION("GOOGLETRANSLATE(B22713,""en"",""it"")"),"Diversi uomini lo trascinano fuori mentre un turista tenta di attirare il toro.")</f>
        <v>Diversi uomini lo trascinano fuori mentre un turista tenta di attirare il toro.</v>
      </c>
    </row>
    <row r="22714">
      <c r="A22714" s="4" t="s">
        <v>28581</v>
      </c>
      <c r="B22714" s="6" t="s">
        <v>28586</v>
      </c>
      <c r="C22714" s="5" t="str">
        <f>IFERROR(__xludf.DUMMYFUNCTION("GOOGLETRANSLATE(B22714,""en"",""it"")"),"Il toro lo afferra quasi, ma il ragazzo arriva sul recinto e getta la coperta rossa sul toro.")</f>
        <v>Il toro lo afferra quasi, ma il ragazzo arriva sul recinto e getta la coperta rossa sul toro.</v>
      </c>
    </row>
    <row r="22715">
      <c r="A22715" s="4" t="s">
        <v>28587</v>
      </c>
      <c r="B22715" s="6" t="s">
        <v>28588</v>
      </c>
      <c r="C22715" s="5" t="str">
        <f>IFERROR(__xludf.DUMMYFUNCTION("GOOGLETRANSLATE(B22715,""en"",""it"")"),"Una donna in pantaloni da pista e le sue figlie lavano un piccolo cane con sapone e secchio in un patio.")</f>
        <v>Una donna in pantaloni da pista e le sue figlie lavano un piccolo cane con sapone e secchio in un patio.</v>
      </c>
    </row>
    <row r="22716">
      <c r="A22716" s="4" t="s">
        <v>28587</v>
      </c>
      <c r="B22716" s="4" t="s">
        <v>28589</v>
      </c>
      <c r="C22716" s="5" t="str">
        <f>IFERROR(__xludf.DUMMYFUNCTION("GOOGLETRANSLATE(B22716,""en"",""it"")"),"Una donna usa una tazza per versare acqua sul cane per rimuovere il sapone.")</f>
        <v>Una donna usa una tazza per versare acqua sul cane per rimuovere il sapone.</v>
      </c>
    </row>
    <row r="22717">
      <c r="A22717" s="4" t="s">
        <v>28590</v>
      </c>
      <c r="B22717" s="6" t="s">
        <v>28591</v>
      </c>
      <c r="C22717" s="5" t="str">
        <f>IFERROR(__xludf.DUMMYFUNCTION("GOOGLETRANSLATE(B22717,""en"",""it"")"),"Viene mostrato un campo con circa dieci uomini in piedi nel mezzo e un uomo decolla correndo e lancia una palla contro un uomo con in mano una pagaia.")</f>
        <v>Viene mostrato un campo con circa dieci uomini in piedi nel mezzo e un uomo decolla correndo e lancia una palla contro un uomo con in mano una pagaia.</v>
      </c>
    </row>
    <row r="22718">
      <c r="A22718" s="4" t="s">
        <v>28590</v>
      </c>
      <c r="B22718" s="4" t="s">
        <v>28592</v>
      </c>
      <c r="C22718" s="5" t="str">
        <f>IFERROR(__xludf.DUMMYFUNCTION("GOOGLETRANSLATE(B22718,""en"",""it"")"),"Vengono mostrati più giochi e le stesse azioni esatte vengono ripetute in varie squadre.")</f>
        <v>Vengono mostrati più giochi e le stesse azioni esatte vengono ripetute in varie squadre.</v>
      </c>
    </row>
    <row r="22719">
      <c r="A22719" s="4" t="s">
        <v>28590</v>
      </c>
      <c r="B22719" s="6" t="s">
        <v>28593</v>
      </c>
      <c r="C22719" s="5" t="str">
        <f>IFERROR(__xludf.DUMMYFUNCTION("GOOGLETRANSLATE(B22719,""en"",""it"")"),"Viene quindi mostrato un uomo con i capelli neri corti e i suoi compagni di squadra iniziano a congratularmi con lui e più squadre vengono mostrate a giocare.")</f>
        <v>Viene quindi mostrato un uomo con i capelli neri corti e i suoi compagni di squadra iniziano a congratularmi con lui e più squadre vengono mostrate a giocare.</v>
      </c>
    </row>
    <row r="22720">
      <c r="A22720" s="4" t="s">
        <v>28594</v>
      </c>
      <c r="B22720" s="4" t="s">
        <v>28595</v>
      </c>
      <c r="C22720" s="5" t="str">
        <f>IFERROR(__xludf.DUMMYFUNCTION("GOOGLETRANSLATE(B22720,""en"",""it"")"),"L'uomo tiene un martello che fissa il tetto di un garage.")</f>
        <v>L'uomo tiene un martello che fissa il tetto di un garage.</v>
      </c>
    </row>
    <row r="22721">
      <c r="A22721" s="4" t="s">
        <v>28594</v>
      </c>
      <c r="B22721" s="4" t="s">
        <v>28596</v>
      </c>
      <c r="C22721" s="5" t="str">
        <f>IFERROR(__xludf.DUMMYFUNCTION("GOOGLETRANSLATE(B22721,""en"",""it"")"),"L'uomo è in piedi sul tetto aggiungendo un mix nero.")</f>
        <v>L'uomo è in piedi sul tetto aggiungendo un mix nero.</v>
      </c>
    </row>
    <row r="22722">
      <c r="A22722" s="4" t="s">
        <v>28597</v>
      </c>
      <c r="B22722" s="4" t="s">
        <v>28598</v>
      </c>
      <c r="C22722" s="5" t="str">
        <f>IFERROR(__xludf.DUMMYFUNCTION("GOOGLETRANSLATE(B22722,""en"",""it"")"),"L'uomo è seduto su un tavolo mangiando un panino in un rstaurant che parla con un altro uomo.")</f>
        <v>L'uomo è seduto su un tavolo mangiando un panino in un rstaurant che parla con un altro uomo.</v>
      </c>
    </row>
    <row r="22723">
      <c r="A22723" s="4" t="s">
        <v>28597</v>
      </c>
      <c r="B22723" s="4" t="s">
        <v>28599</v>
      </c>
      <c r="C22723" s="5" t="str">
        <f>IFERROR(__xludf.DUMMYFUNCTION("GOOGLETRANSLATE(B22723,""en"",""it"")"),"L'uomo sta guardando l'uomo mentre mangia e parla con lui.")</f>
        <v>L'uomo sta guardando l'uomo mentre mangia e parla con lui.</v>
      </c>
    </row>
    <row r="22724">
      <c r="A22724" s="4" t="s">
        <v>28597</v>
      </c>
      <c r="B22724" s="4" t="s">
        <v>28600</v>
      </c>
      <c r="C22724" s="5" t="str">
        <f>IFERROR(__xludf.DUMMYFUNCTION("GOOGLETRANSLATE(B22724,""en"",""it"")"),"Entrambi gli uomini si alzano e suonano le forbici di carta rocciosa e l'uomo colpisce l'uomo sabbia che cade a terra.")</f>
        <v>Entrambi gli uomini si alzano e suonano le forbici di carta rocciosa e l'uomo colpisce l'uomo sabbia che cade a terra.</v>
      </c>
    </row>
    <row r="22725">
      <c r="A22725" s="4" t="s">
        <v>28597</v>
      </c>
      <c r="B22725" s="4" t="s">
        <v>28601</v>
      </c>
      <c r="C22725" s="5" t="str">
        <f>IFERROR(__xludf.DUMMYFUNCTION("GOOGLETRANSLATE(B22725,""en"",""it"")"),"L'uomo è seduto sulla sedia e parla con l'uomo sul pavimento e gli lancia il panino.")</f>
        <v>L'uomo è seduto sulla sedia e parla con l'uomo sul pavimento e gli lancia il panino.</v>
      </c>
    </row>
    <row r="22726">
      <c r="A22726" s="4" t="s">
        <v>28597</v>
      </c>
      <c r="B22726" s="6" t="s">
        <v>28602</v>
      </c>
      <c r="C22726" s="5" t="str">
        <f>IFERROR(__xludf.DUMMYFUNCTION("GOOGLETRANSLATE(B22726,""en"",""it"")"),"L'uomo cammina verso una scrivania e si siede davanti all'acqua potabile del computer TE e l'altro uomo è sdraiato sul pavimento cercando di parlare.")</f>
        <v>L'uomo cammina verso una scrivania e si siede davanti all'acqua potabile del computer TE e l'altro uomo è sdraiato sul pavimento cercando di parlare.</v>
      </c>
    </row>
    <row r="22727">
      <c r="A22727" s="4" t="s">
        <v>28597</v>
      </c>
      <c r="B22727" s="4" t="s">
        <v>28603</v>
      </c>
      <c r="C22727" s="5" t="str">
        <f>IFERROR(__xludf.DUMMYFUNCTION("GOOGLETRANSLATE(B22727,""en"",""it"")"),"Anoher Man che si trova di fronte a parlare con l'uomo alla scrivania.")</f>
        <v>Anoher Man che si trova di fronte a parlare con l'uomo alla scrivania.</v>
      </c>
    </row>
    <row r="22728">
      <c r="A22728" s="4" t="s">
        <v>28597</v>
      </c>
      <c r="B22728" s="4" t="s">
        <v>28604</v>
      </c>
      <c r="C22728" s="5" t="str">
        <f>IFERROR(__xludf.DUMMYFUNCTION("GOOGLETRANSLATE(B22728,""en"",""it"")"),"L'uomo si alza e parla con l'uomo sul pavimento e lo colpisce di nuovo e l'uomo sputava il sangue.")</f>
        <v>L'uomo si alza e parla con l'uomo sul pavimento e lo colpisce di nuovo e l'uomo sputava il sangue.</v>
      </c>
    </row>
    <row r="22729">
      <c r="A22729" s="4" t="s">
        <v>28605</v>
      </c>
      <c r="B22729" s="4" t="s">
        <v>28606</v>
      </c>
      <c r="C22729" s="5" t="str">
        <f>IFERROR(__xludf.DUMMYFUNCTION("GOOGLETRANSLATE(B22729,""en"",""it"")"),"Un uomo nel suo lavoro di lavaggio ha un modo davvero unico di fare i suoi piatti a una velocità molto veloce.")</f>
        <v>Un uomo nel suo lavoro di lavaggio ha un modo davvero unico di fare i suoi piatti a una velocità molto veloce.</v>
      </c>
    </row>
    <row r="22730">
      <c r="A22730" s="4" t="s">
        <v>28605</v>
      </c>
      <c r="B22730" s="4" t="s">
        <v>28607</v>
      </c>
      <c r="C22730" s="5" t="str">
        <f>IFERROR(__xludf.DUMMYFUNCTION("GOOGLETRANSLATE(B22730,""en"",""it"")"),"Lancia tutte le piastre una per una molto veloce.")</f>
        <v>Lancia tutte le piastre una per una molto veloce.</v>
      </c>
    </row>
    <row r="22731">
      <c r="A22731" s="4" t="s">
        <v>28605</v>
      </c>
      <c r="B22731" s="6" t="s">
        <v>28608</v>
      </c>
      <c r="C22731" s="5" t="str">
        <f>IFERROR(__xludf.DUMMYFUNCTION("GOOGLETRANSLATE(B22731,""en"",""it"")"),"Tutti atterrano nel lavandino uno sopra l'altro dopo averli asciugati, alcuni di loro cadono un po '.")</f>
        <v>Tutti atterrano nel lavandino uno sopra l'altro dopo averli asciugati, alcuni di loro cadono un po '.</v>
      </c>
    </row>
    <row r="22732">
      <c r="A22732" s="4" t="s">
        <v>28605</v>
      </c>
      <c r="B22732" s="4" t="s">
        <v>28609</v>
      </c>
      <c r="C22732" s="5" t="str">
        <f>IFERROR(__xludf.DUMMYFUNCTION("GOOGLETRANSLATE(B22732,""en"",""it"")"),"Li spinge tutti in acqua.")</f>
        <v>Li spinge tutti in acqua.</v>
      </c>
    </row>
    <row r="22733">
      <c r="A22733" s="4" t="s">
        <v>28610</v>
      </c>
      <c r="B22733" s="4" t="s">
        <v>4448</v>
      </c>
      <c r="C22733" s="5" t="str">
        <f>IFERROR(__xludf.DUMMYFUNCTION("GOOGLETRANSLATE(B22733,""en"",""it"")"),"Vediamo la schermata del titolo di apertura.")</f>
        <v>Vediamo la schermata del titolo di apertura.</v>
      </c>
    </row>
    <row r="22734">
      <c r="A22734" s="4" t="s">
        <v>28610</v>
      </c>
      <c r="B22734" s="4" t="s">
        <v>28611</v>
      </c>
      <c r="C22734" s="5" t="str">
        <f>IFERROR(__xludf.DUMMYFUNCTION("GOOGLETRANSLATE(B22734,""en"",""it"")"),"Le persone stanno mettendo le loro forniture e cavalcano in zattere lungo un fiume.")</f>
        <v>Le persone stanno mettendo le loro forniture e cavalcano in zattere lungo un fiume.</v>
      </c>
    </row>
    <row r="22735">
      <c r="A22735" s="4" t="s">
        <v>28610</v>
      </c>
      <c r="B22735" s="4" t="s">
        <v>28612</v>
      </c>
      <c r="C22735" s="5" t="str">
        <f>IFERROR(__xludf.DUMMYFUNCTION("GOOGLETRANSLATE(B22735,""en"",""it"")"),"Vediamo il nome della posizione e gli scatti del resort dei ristoranti, dei bagni e altro ancora.")</f>
        <v>Vediamo il nome della posizione e gli scatti del resort dei ristoranti, dei bagni e altro ancora.</v>
      </c>
    </row>
    <row r="22736">
      <c r="A22736" s="4" t="s">
        <v>28610</v>
      </c>
      <c r="B22736" s="6" t="s">
        <v>28613</v>
      </c>
      <c r="C22736" s="5" t="str">
        <f>IFERROR(__xludf.DUMMYFUNCTION("GOOGLETRANSLATE(B22736,""en"",""it"")"),"Vediamo le persone ballare e giocare a giochi all'aperto e in una stanza in gruppo con palloncini e ballare.")</f>
        <v>Vediamo le persone ballare e giocare a giochi all'aperto e in una stanza in gruppo con palloncini e ballare.</v>
      </c>
    </row>
    <row r="22737">
      <c r="A22737" s="4" t="s">
        <v>28610</v>
      </c>
      <c r="B22737" s="4" t="s">
        <v>28614</v>
      </c>
      <c r="C22737" s="5" t="str">
        <f>IFERROR(__xludf.DUMMYFUNCTION("GOOGLETRANSLATE(B22737,""en"",""it"")"),"Vediamo le persone che si rivendicano nella giungla.")</f>
        <v>Vediamo le persone che si rivendicano nella giungla.</v>
      </c>
    </row>
    <row r="22738">
      <c r="A22738" s="4" t="s">
        <v>28615</v>
      </c>
      <c r="B22738" s="4" t="s">
        <v>28616</v>
      </c>
      <c r="C22738" s="5" t="str">
        <f>IFERROR(__xludf.DUMMYFUNCTION("GOOGLETRANSLATE(B22738,""en"",""it"")"),"Un uomo con una giacca d'argento sta fissando uno scatto sulla gomma della sua bicicletta.")</f>
        <v>Un uomo con una giacca d'argento sta fissando uno scatto sulla gomma della sua bicicletta.</v>
      </c>
    </row>
    <row r="22739">
      <c r="A22739" s="4" t="s">
        <v>28615</v>
      </c>
      <c r="B22739" s="4" t="s">
        <v>28617</v>
      </c>
      <c r="C22739" s="5" t="str">
        <f>IFERROR(__xludf.DUMMYFUNCTION("GOOGLETRANSLATE(B22739,""en"",""it"")"),"Gira la ruota del pneumatico.")</f>
        <v>Gira la ruota del pneumatico.</v>
      </c>
    </row>
    <row r="22740">
      <c r="A22740" s="4" t="s">
        <v>28615</v>
      </c>
      <c r="B22740" s="4" t="s">
        <v>28618</v>
      </c>
      <c r="C22740" s="5" t="str">
        <f>IFERROR(__xludf.DUMMYFUNCTION("GOOGLETRANSLATE(B22740,""en"",""it"")"),"Toglie la gomma dalla bici e la sta contro l'edificio.")</f>
        <v>Toglie la gomma dalla bici e la sta contro l'edificio.</v>
      </c>
    </row>
    <row r="22741">
      <c r="A22741" s="4" t="s">
        <v>28615</v>
      </c>
      <c r="B22741" s="4" t="s">
        <v>28619</v>
      </c>
      <c r="C22741" s="5" t="str">
        <f>IFERROR(__xludf.DUMMYFUNCTION("GOOGLETRANSLATE(B22741,""en"",""it"")"),"Usa uno strumento per correggere il pneumatico.")</f>
        <v>Usa uno strumento per correggere il pneumatico.</v>
      </c>
    </row>
    <row r="22742">
      <c r="A22742" s="4" t="s">
        <v>28615</v>
      </c>
      <c r="B22742" s="4" t="s">
        <v>28620</v>
      </c>
      <c r="C22742" s="5" t="str">
        <f>IFERROR(__xludf.DUMMYFUNCTION("GOOGLETRANSLATE(B22742,""en"",""it"")"),"Mette la gomma sulla bici e la gira.")</f>
        <v>Mette la gomma sulla bici e la gira.</v>
      </c>
    </row>
    <row r="22743">
      <c r="A22743" s="4" t="s">
        <v>28621</v>
      </c>
      <c r="B22743" s="4" t="s">
        <v>28622</v>
      </c>
      <c r="C22743" s="5" t="str">
        <f>IFERROR(__xludf.DUMMYFUNCTION("GOOGLETRANSLATE(B22743,""en"",""it"")"),"Una persona viene vista correre su un campo e sparare a un basket.")</f>
        <v>Una persona viene vista correre su un campo e sparare a un basket.</v>
      </c>
    </row>
    <row r="22744">
      <c r="A22744" s="4" t="s">
        <v>28621</v>
      </c>
      <c r="B22744" s="4" t="s">
        <v>28623</v>
      </c>
      <c r="C22744" s="5" t="str">
        <f>IFERROR(__xludf.DUMMYFUNCTION("GOOGLETRANSLATE(B22744,""en"",""it"")"),"L'uomo è mostrato in diverse clip che si esauriscono e segnando un cestino.")</f>
        <v>L'uomo è mostrato in diverse clip che si esauriscono e segnando un cestino.</v>
      </c>
    </row>
    <row r="22745">
      <c r="A22745" s="4" t="s">
        <v>28621</v>
      </c>
      <c r="B22745" s="4" t="s">
        <v>28624</v>
      </c>
      <c r="C22745" s="5" t="str">
        <f>IFERROR(__xludf.DUMMYFUNCTION("GOOGLETRANSLATE(B22745,""en"",""it"")"),"L'uomo continua a sparare a cerchi più e più volte.")</f>
        <v>L'uomo continua a sparare a cerchi più e più volte.</v>
      </c>
    </row>
    <row r="22746">
      <c r="A22746" s="4" t="s">
        <v>28625</v>
      </c>
      <c r="B22746" s="4" t="s">
        <v>28626</v>
      </c>
      <c r="C22746" s="5" t="str">
        <f>IFERROR(__xludf.DUMMYFUNCTION("GOOGLETRANSLATE(B22746,""en"",""it"")"),"Un ragazzo si siede al bancone della cucina e regola la fotocamera.")</f>
        <v>Un ragazzo si siede al bancone della cucina e regola la fotocamera.</v>
      </c>
    </row>
    <row r="22747">
      <c r="A22747" s="4" t="s">
        <v>28625</v>
      </c>
      <c r="B22747" s="4" t="s">
        <v>28627</v>
      </c>
      <c r="C22747" s="5" t="str">
        <f>IFERROR(__xludf.DUMMYFUNCTION("GOOGLETRANSLATE(B22747,""en"",""it"")"),"Il suo amico sposta la telecamera in modo che siano più visibili.")</f>
        <v>Il suo amico sposta la telecamera in modo che siano più visibili.</v>
      </c>
    </row>
    <row r="22748">
      <c r="A22748" s="4" t="s">
        <v>28625</v>
      </c>
      <c r="B22748" s="4" t="s">
        <v>28628</v>
      </c>
      <c r="C22748" s="5" t="str">
        <f>IFERROR(__xludf.DUMMYFUNCTION("GOOGLETRANSLATE(B22748,""en"",""it"")"),"I due ragazzi quindi il braccio di lotta e il ragazzo sinistro vincono entrambe le volte.")</f>
        <v>I due ragazzi quindi il braccio di lotta e il ragazzo sinistro vincono entrambe le volte.</v>
      </c>
    </row>
    <row r="22749">
      <c r="A22749" s="4" t="s">
        <v>28625</v>
      </c>
      <c r="B22749" s="4" t="s">
        <v>28629</v>
      </c>
      <c r="C22749" s="5" t="str">
        <f>IFERROR(__xludf.DUMMYFUNCTION("GOOGLETRANSLATE(B22749,""en"",""it"")"),"Il ragazzo destro si allontana e il ragazzo sinistro cerca la telecamera.")</f>
        <v>Il ragazzo destro si allontana e il ragazzo sinistro cerca la telecamera.</v>
      </c>
    </row>
    <row r="22750">
      <c r="A22750" s="4" t="s">
        <v>28630</v>
      </c>
      <c r="B22750" s="4" t="s">
        <v>28631</v>
      </c>
      <c r="C22750" s="5" t="str">
        <f>IFERROR(__xludf.DUMMYFUNCTION("GOOGLETRANSLATE(B22750,""en"",""it"")"),"Due donne sono viste correre in una stanza e conducono a parlare alla telecamera.")</f>
        <v>Due donne sono viste correre in una stanza e conducono a parlare alla telecamera.</v>
      </c>
    </row>
    <row r="22751">
      <c r="A22751" s="4" t="s">
        <v>28630</v>
      </c>
      <c r="B22751" s="4" t="s">
        <v>28632</v>
      </c>
      <c r="C22751" s="5" t="str">
        <f>IFERROR(__xludf.DUMMYFUNCTION("GOOGLETRANSLATE(B22751,""en"",""it"")"),"La gente colpisce una palla da tennis intorno alla stanza mentre balla e tira l'uno con l'altro.")</f>
        <v>La gente colpisce una palla da tennis intorno alla stanza mentre balla e tira l'uno con l'altro.</v>
      </c>
    </row>
    <row r="22752">
      <c r="A22752" s="4" t="s">
        <v>28630</v>
      </c>
      <c r="B22752" s="4" t="s">
        <v>28633</v>
      </c>
      <c r="C22752" s="5" t="str">
        <f>IFERROR(__xludf.DUMMYFUNCTION("GOOGLETRANSLATE(B22752,""en"",""it"")"),"La gente continua a colpire la palla mentre gioca l'uno con l'altro.")</f>
        <v>La gente continua a colpire la palla mentre gioca l'uno con l'altro.</v>
      </c>
    </row>
    <row r="22753">
      <c r="A22753" s="4" t="s">
        <v>28634</v>
      </c>
      <c r="B22753" s="4" t="s">
        <v>28635</v>
      </c>
      <c r="C22753" s="5" t="str">
        <f>IFERROR(__xludf.DUMMYFUNCTION("GOOGLETRANSLATE(B22753,""en"",""it"")"),"Un uomo in abbigliamento da saldatura salda un pezzo di metallo su un altro pezzo di metallo sulla fotocamera.")</f>
        <v>Un uomo in abbigliamento da saldatura salda un pezzo di metallo su un altro pezzo di metallo sulla fotocamera.</v>
      </c>
    </row>
    <row r="22754">
      <c r="A22754" s="4" t="s">
        <v>28634</v>
      </c>
      <c r="B22754" s="6" t="s">
        <v>28636</v>
      </c>
      <c r="C22754" s="5" t="str">
        <f>IFERROR(__xludf.DUMMYFUNCTION("GOOGLETRANSLATE(B22754,""en"",""it"")"),"Un uomo che indossa abiti protettivi e un cappello da saldatura in metallo si trova davanti a un pezzo di metallo che manca una lunga striscia sul viso.")</f>
        <v>Un uomo che indossa abiti protettivi e un cappello da saldatura in metallo si trova davanti a un pezzo di metallo che manca una lunga striscia sul viso.</v>
      </c>
    </row>
    <row r="22755">
      <c r="A22755" s="4" t="s">
        <v>28634</v>
      </c>
      <c r="B22755" s="4" t="s">
        <v>28637</v>
      </c>
      <c r="C22755" s="5" t="str">
        <f>IFERROR(__xludf.DUMMYFUNCTION("GOOGLETRANSLATE(B22755,""en"",""it"")"),"L'uomo inizia a saldare creando grandi scintille di luce bianca.")</f>
        <v>L'uomo inizia a saldare creando grandi scintille di luce bianca.</v>
      </c>
    </row>
    <row r="22756">
      <c r="A22756" s="4" t="s">
        <v>28634</v>
      </c>
      <c r="B22756" s="6" t="s">
        <v>28638</v>
      </c>
      <c r="C22756" s="5" t="str">
        <f>IFERROR(__xludf.DUMMYFUNCTION("GOOGLETRANSLATE(B22756,""en"",""it"")"),"Quando la saldatura del prodotto finito rivela che una striscia è stata saldata sul punto precedente e il saldatore lo mette alla prova con uno strumento duro.")</f>
        <v>Quando la saldatura del prodotto finito rivela che una striscia è stata saldata sul punto precedente e il saldatore lo mette alla prova con uno strumento duro.</v>
      </c>
    </row>
    <row r="22757">
      <c r="A22757" s="4" t="s">
        <v>28639</v>
      </c>
      <c r="B22757" s="4" t="s">
        <v>28640</v>
      </c>
      <c r="C22757" s="5" t="str">
        <f>IFERROR(__xludf.DUMMYFUNCTION("GOOGLETRANSLATE(B22757,""en"",""it"")"),"Una donna cavalca una bici fuori.")</f>
        <v>Una donna cavalca una bici fuori.</v>
      </c>
    </row>
    <row r="22758">
      <c r="A22758" s="4" t="s">
        <v>28639</v>
      </c>
      <c r="B22758" s="4" t="s">
        <v>28641</v>
      </c>
      <c r="C22758" s="5" t="str">
        <f>IFERROR(__xludf.DUMMYFUNCTION("GOOGLETRANSLATE(B22758,""en"",""it"")"),"Viene quindi mostrato suonare un violino.")</f>
        <v>Viene quindi mostrato suonare un violino.</v>
      </c>
    </row>
    <row r="22759">
      <c r="A22759" s="4" t="s">
        <v>28639</v>
      </c>
      <c r="B22759" s="4" t="s">
        <v>28642</v>
      </c>
      <c r="C22759" s="5" t="str">
        <f>IFERROR(__xludf.DUMMYFUNCTION("GOOGLETRANSLATE(B22759,""en"",""it"")"),"Poi le lama a rulli fuori.")</f>
        <v>Poi le lama a rulli fuori.</v>
      </c>
    </row>
    <row r="22760">
      <c r="A22760" s="4" t="s">
        <v>28639</v>
      </c>
      <c r="B22760" s="4" t="s">
        <v>28643</v>
      </c>
      <c r="C22760" s="5" t="str">
        <f>IFERROR(__xludf.DUMMYFUNCTION("GOOGLETRANSLATE(B22760,""en"",""it"")"),"E poi lei fa push up su un tetto.")</f>
        <v>E poi lei fa push up su un tetto.</v>
      </c>
    </row>
    <row r="22761">
      <c r="A22761" s="4" t="s">
        <v>28644</v>
      </c>
      <c r="B22761" s="4" t="s">
        <v>28645</v>
      </c>
      <c r="C22761" s="5" t="str">
        <f>IFERROR(__xludf.DUMMYFUNCTION("GOOGLETRANSLATE(B22761,""en"",""it"")"),"Una persona salta e atterra sulla sabbia.")</f>
        <v>Una persona salta e atterra sulla sabbia.</v>
      </c>
    </row>
    <row r="22762">
      <c r="A22762" s="4" t="s">
        <v>28644</v>
      </c>
      <c r="B22762" s="6" t="s">
        <v>28646</v>
      </c>
      <c r="C22762" s="5" t="str">
        <f>IFERROR(__xludf.DUMMYFUNCTION("GOOGLETRANSLATE(B22762,""en"",""it"")"),"Un uomo corre veloce e salta in alto per atterrare sulla sabbia, quindi stare e va a saltare, mentre le persone camminano nello stadio.")</f>
        <v>Un uomo corre veloce e salta in alto per atterrare sulla sabbia, quindi stare e va a saltare, mentre le persone camminano nello stadio.</v>
      </c>
    </row>
    <row r="22763">
      <c r="A22763" s="4" t="s">
        <v>28644</v>
      </c>
      <c r="B22763" s="4" t="s">
        <v>28647</v>
      </c>
      <c r="C22763" s="5" t="str">
        <f>IFERROR(__xludf.DUMMYFUNCTION("GOOGLETRANSLATE(B22763,""en"",""it"")"),"Un uomo parla seduto in una stanza elegante.")</f>
        <v>Un uomo parla seduto in una stanza elegante.</v>
      </c>
    </row>
    <row r="22764">
      <c r="A22764" s="4" t="s">
        <v>28644</v>
      </c>
      <c r="B22764" s="4" t="s">
        <v>28648</v>
      </c>
      <c r="C22764" s="5" t="str">
        <f>IFERROR(__xludf.DUMMYFUNCTION("GOOGLETRANSLATE(B22764,""en"",""it"")"),"Un uomo passa davanti alla folla, poi salta e si piega sul pavimento per festeggiare.")</f>
        <v>Un uomo passa davanti alla folla, poi salta e si piega sul pavimento per festeggiare.</v>
      </c>
    </row>
    <row r="22765">
      <c r="A22765" s="4" t="s">
        <v>28644</v>
      </c>
      <c r="B22765" s="4" t="s">
        <v>28649</v>
      </c>
      <c r="C22765" s="5" t="str">
        <f>IFERROR(__xludf.DUMMYFUNCTION("GOOGLETRANSLATE(B22765,""en"",""it"")"),"Tre atleti si trovano sul podio, poi un uomo corre e salta per atterrare sulla sabbia.")</f>
        <v>Tre atleti si trovano sul podio, poi un uomo corre e salta per atterrare sulla sabbia.</v>
      </c>
    </row>
    <row r="22766">
      <c r="A22766" s="4" t="s">
        <v>28650</v>
      </c>
      <c r="B22766" s="4" t="s">
        <v>28651</v>
      </c>
      <c r="C22766" s="5" t="str">
        <f>IFERROR(__xludf.DUMMYFUNCTION("GOOGLETRANSLATE(B22766,""en"",""it"")"),"Le persone sono sedute sulla sabbia su una spiaggia.")</f>
        <v>Le persone sono sedute sulla sabbia su una spiaggia.</v>
      </c>
    </row>
    <row r="22767">
      <c r="A22767" s="4" t="s">
        <v>28650</v>
      </c>
      <c r="B22767" s="4" t="s">
        <v>28652</v>
      </c>
      <c r="C22767" s="5" t="str">
        <f>IFERROR(__xludf.DUMMYFUNCTION("GOOGLETRANSLATE(B22767,""en"",""it"")"),"Le persone navigano su grandi onde nell'acqua.")</f>
        <v>Le persone navigano su grandi onde nell'acqua.</v>
      </c>
    </row>
    <row r="22768">
      <c r="A22768" s="4" t="s">
        <v>28650</v>
      </c>
      <c r="B22768" s="4" t="s">
        <v>28653</v>
      </c>
      <c r="C22768" s="5" t="str">
        <f>IFERROR(__xludf.DUMMYFUNCTION("GOOGLETRANSLATE(B22768,""en"",""it"")"),"Un ragazzo stende un asciugamano sulla sabbia della spiaggia.")</f>
        <v>Un ragazzo stende un asciugamano sulla sabbia della spiaggia.</v>
      </c>
    </row>
    <row r="22769">
      <c r="A22769" s="4" t="s">
        <v>28650</v>
      </c>
      <c r="B22769" s="4" t="s">
        <v>28654</v>
      </c>
      <c r="C22769" s="5" t="str">
        <f>IFERROR(__xludf.DUMMYFUNCTION("GOOGLETRANSLATE(B22769,""en"",""it"")"),"Le persone continuano a navigare sulle grandi ondate dell'acqua.")</f>
        <v>Le persone continuano a navigare sulle grandi ondate dell'acqua.</v>
      </c>
    </row>
    <row r="22770">
      <c r="A22770" s="4" t="s">
        <v>28655</v>
      </c>
      <c r="B22770" s="6" t="s">
        <v>28656</v>
      </c>
      <c r="C22770" s="5" t="str">
        <f>IFERROR(__xludf.DUMMYFUNCTION("GOOGLETRANSLATE(B22770,""en"",""it"")"),"Un uomo che indossa una camicia nera tiene una palla da ginnastica sopra un altro uomo che indossa una camicia azzurra si esibisce su una panchina inclinata.")</f>
        <v>Un uomo che indossa una camicia nera tiene una palla da ginnastica sopra un altro uomo che indossa una camicia azzurra si esibisce su una panchina inclinata.</v>
      </c>
    </row>
    <row r="22771">
      <c r="A22771" s="4" t="s">
        <v>28655</v>
      </c>
      <c r="B22771" s="6" t="s">
        <v>28657</v>
      </c>
      <c r="C22771" s="5" t="str">
        <f>IFERROR(__xludf.DUMMYFUNCTION("GOOGLETRANSLATE(B22771,""en"",""it"")"),"L'uomo che indossa la camicia nera lascia cadere la palla sul pavimento e si accovaccia e si alza l'uomo che esegue i sit-up.")</f>
        <v>L'uomo che indossa la camicia nera lascia cadere la palla sul pavimento e si accovaccia e si alza l'uomo che esegue i sit-up.</v>
      </c>
    </row>
    <row r="22772">
      <c r="A22772" s="4" t="s">
        <v>28658</v>
      </c>
      <c r="B22772" s="4" t="s">
        <v>28659</v>
      </c>
      <c r="C22772" s="5" t="str">
        <f>IFERROR(__xludf.DUMMYFUNCTION("GOOGLETRANSLATE(B22772,""en"",""it"")"),"Un uomo è seduto su una roccia da un fiume che scorre rapido.")</f>
        <v>Un uomo è seduto su una roccia da un fiume che scorre rapido.</v>
      </c>
    </row>
    <row r="22773">
      <c r="A22773" s="4" t="s">
        <v>28658</v>
      </c>
      <c r="B22773" s="4" t="s">
        <v>28660</v>
      </c>
      <c r="C22773" s="5" t="str">
        <f>IFERROR(__xludf.DUMMYFUNCTION("GOOGLETRANSLATE(B22773,""en"",""it"")"),"Un altro uomo lo naviga in una zattera cercando di tenere il passo con la forte corrente e le onde.")</f>
        <v>Un altro uomo lo naviga in una zattera cercando di tenere il passo con la forte corrente e le onde.</v>
      </c>
    </row>
    <row r="22774">
      <c r="A22774" s="4" t="s">
        <v>28658</v>
      </c>
      <c r="B22774" s="4" t="s">
        <v>28661</v>
      </c>
      <c r="C22774" s="5" t="str">
        <f>IFERROR(__xludf.DUMMYFUNCTION("GOOGLETRANSLATE(B22774,""en"",""it"")"),"Ci sono molte altre persone sedute sulle rocce che guardano la trave che passano.")</f>
        <v>Ci sono molte altre persone sedute sulle rocce che guardano la trave che passano.</v>
      </c>
    </row>
    <row r="22775">
      <c r="A22775" s="4" t="s">
        <v>28658</v>
      </c>
      <c r="B22775" s="4" t="s">
        <v>28662</v>
      </c>
      <c r="C22775" s="5" t="str">
        <f>IFERROR(__xludf.DUMMYFUNCTION("GOOGLETRANSLATE(B22775,""en"",""it"")"),"Sono seduti sulle rocce con i loro giubbotti di salvataggio oltre a loro.")</f>
        <v>Sono seduti sulle rocce con i loro giubbotti di salvataggio oltre a loro.</v>
      </c>
    </row>
    <row r="22776">
      <c r="A22776" s="4" t="s">
        <v>28663</v>
      </c>
      <c r="B22776" s="4" t="s">
        <v>28664</v>
      </c>
      <c r="C22776" s="5" t="str">
        <f>IFERROR(__xludf.DUMMYFUNCTION("GOOGLETRANSLATE(B22776,""en"",""it"")"),"Una telecamera si panoramica con biscotti al cioccolato e latte e conduce a una donna che parla.")</f>
        <v>Una telecamera si panoramica con biscotti al cioccolato e latte e conduce a una donna che parla.</v>
      </c>
    </row>
    <row r="22777">
      <c r="A22777" s="4" t="s">
        <v>28663</v>
      </c>
      <c r="B22777" s="6" t="s">
        <v>28665</v>
      </c>
      <c r="C22777" s="5" t="str">
        <f>IFERROR(__xludf.DUMMYFUNCTION("GOOGLETRANSLATE(B22777,""en"",""it"")"),"La donna mescola vari ingredienti insieme in una ciotola e conduce a mettere i ciuffi di pasta su una padella.")</f>
        <v>La donna mescola vari ingredienti insieme in una ciotola e conduce a mettere i ciuffi di pasta su una padella.</v>
      </c>
    </row>
    <row r="22778">
      <c r="A22778" s="4" t="s">
        <v>28663</v>
      </c>
      <c r="B22778" s="4" t="s">
        <v>28666</v>
      </c>
      <c r="C22778" s="5" t="str">
        <f>IFERROR(__xludf.DUMMYFUNCTION("GOOGLETRANSLATE(B22778,""en"",""it"")"),"Mette la padella nel forno, quindi la tira fuori per sfoggiare i suoi biscotti in nave al cioccolato.")</f>
        <v>Mette la padella nel forno, quindi la tira fuori per sfoggiare i suoi biscotti in nave al cioccolato.</v>
      </c>
    </row>
    <row r="22779">
      <c r="A22779" s="4" t="s">
        <v>28667</v>
      </c>
      <c r="B22779" s="4" t="s">
        <v>28668</v>
      </c>
      <c r="C22779" s="5" t="str">
        <f>IFERROR(__xludf.DUMMYFUNCTION("GOOGLETRANSLATE(B22779,""en"",""it"")"),"Una donna è vista in piedi davanti alla telecamera che si tiene sul fuoco.")</f>
        <v>Una donna è vista in piedi davanti alla telecamera che si tiene sul fuoco.</v>
      </c>
    </row>
    <row r="22780">
      <c r="A22780" s="4" t="s">
        <v>28667</v>
      </c>
      <c r="B22780" s="6" t="s">
        <v>28669</v>
      </c>
      <c r="C22780" s="5" t="str">
        <f>IFERROR(__xludf.DUMMYFUNCTION("GOOGLETRANSLATE(B22780,""en"",""it"")"),"Un'altra donna si avvicina alla prima e i due iniziano a eseguire una routine di fuoco tra loro.")</f>
        <v>Un'altra donna si avvicina alla prima e i due iniziano a eseguire una routine di fuoco tra loro.</v>
      </c>
    </row>
    <row r="22781">
      <c r="A22781" s="4" t="s">
        <v>28667</v>
      </c>
      <c r="B22781" s="6" t="s">
        <v>28670</v>
      </c>
      <c r="C22781" s="5" t="str">
        <f>IFERROR(__xludf.DUMMYFUNCTION("GOOGLETRANSLATE(B22781,""en"",""it"")"),"Un uomo consegna gli oggetti alla luce e la donna continua a ballare e girare con il fuoco.")</f>
        <v>Un uomo consegna gli oggetti alla luce e la donna continua a ballare e girare con il fuoco.</v>
      </c>
    </row>
    <row r="22782">
      <c r="A22782" s="4" t="s">
        <v>28671</v>
      </c>
      <c r="B22782" s="4" t="s">
        <v>28672</v>
      </c>
      <c r="C22782" s="5" t="str">
        <f>IFERROR(__xludf.DUMMYFUNCTION("GOOGLETRANSLATE(B22782,""en"",""it"")"),"Un uomo e una donna sono in piedi al bancone con un ananas.")</f>
        <v>Un uomo e una donna sono in piedi al bancone con un ananas.</v>
      </c>
    </row>
    <row r="22783">
      <c r="A22783" s="4" t="s">
        <v>28671</v>
      </c>
      <c r="B22783" s="4" t="s">
        <v>28673</v>
      </c>
      <c r="C22783" s="5" t="str">
        <f>IFERROR(__xludf.DUMMYFUNCTION("GOOGLETRANSLATE(B22783,""en"",""it"")"),"L'uomo strappò la parte superiore dell'ananas.")</f>
        <v>L'uomo strappò la parte superiore dell'ananas.</v>
      </c>
    </row>
    <row r="22784">
      <c r="A22784" s="4" t="s">
        <v>28671</v>
      </c>
      <c r="B22784" s="4" t="s">
        <v>28674</v>
      </c>
      <c r="C22784" s="5" t="str">
        <f>IFERROR(__xludf.DUMMYFUNCTION("GOOGLETRANSLATE(B22784,""en"",""it"")"),"L'uomo ha tagliato la parte superiore dall'ananas.")</f>
        <v>L'uomo ha tagliato la parte superiore dall'ananas.</v>
      </c>
    </row>
    <row r="22785">
      <c r="A22785" s="4" t="s">
        <v>28671</v>
      </c>
      <c r="B22785" s="4" t="s">
        <v>28675</v>
      </c>
      <c r="C22785" s="5" t="str">
        <f>IFERROR(__xludf.DUMMYFUNCTION("GOOGLETRANSLATE(B22785,""en"",""it"")"),"L'uomo ha tagliato l'ananas a metà.")</f>
        <v>L'uomo ha tagliato l'ananas a metà.</v>
      </c>
    </row>
    <row r="22786">
      <c r="A22786" s="4" t="s">
        <v>28671</v>
      </c>
      <c r="B22786" s="4" t="s">
        <v>28676</v>
      </c>
      <c r="C22786" s="5" t="str">
        <f>IFERROR(__xludf.DUMMYFUNCTION("GOOGLETRANSLATE(B22786,""en"",""it"")"),"L'uomo taglia la pelle dall'ananas.")</f>
        <v>L'uomo taglia la pelle dall'ananas.</v>
      </c>
    </row>
    <row r="22787">
      <c r="A22787" s="4" t="s">
        <v>28677</v>
      </c>
      <c r="B22787" s="6" t="s">
        <v>28678</v>
      </c>
      <c r="C22787" s="5" t="str">
        <f>IFERROR(__xludf.DUMMYFUNCTION("GOOGLETRANSLATE(B22787,""en"",""it"")"),"Una persona viene vista arrampicarsi sul retro di un kayak con un altro uomo e remare da solo l'acqua.")</f>
        <v>Una persona viene vista arrampicarsi sul retro di un kayak con un altro uomo e remare da solo l'acqua.</v>
      </c>
    </row>
    <row r="22788">
      <c r="A22788" s="4" t="s">
        <v>28677</v>
      </c>
      <c r="B22788" s="6" t="s">
        <v>28679</v>
      </c>
      <c r="C22788" s="5" t="str">
        <f>IFERROR(__xludf.DUMMYFUNCTION("GOOGLETRANSLATE(B22788,""en"",""it"")"),"La telecamera si panoramica intorno alla zona e zoom è indietro e quarto lungo l'acqua e le padelle fino alle persone sulla spiaggia.")</f>
        <v>La telecamera si panoramica intorno alla zona e zoom è indietro e quarto lungo l'acqua e le padelle fino alle persone sulla spiaggia.</v>
      </c>
    </row>
    <row r="22789">
      <c r="A22789" s="4" t="s">
        <v>28680</v>
      </c>
      <c r="B22789" s="4" t="s">
        <v>28681</v>
      </c>
      <c r="C22789" s="5" t="str">
        <f>IFERROR(__xludf.DUMMYFUNCTION("GOOGLETRANSLATE(B22789,""en"",""it"")"),"Viene mostrato un parcheggio e un uomo su pale a rulli decolla lungo la collina.")</f>
        <v>Viene mostrato un parcheggio e un uomo su pale a rulli decolla lungo la collina.</v>
      </c>
    </row>
    <row r="22790">
      <c r="A22790" s="4" t="s">
        <v>28680</v>
      </c>
      <c r="B22790" s="4" t="s">
        <v>28682</v>
      </c>
      <c r="C22790" s="5" t="str">
        <f>IFERROR(__xludf.DUMMYFUNCTION("GOOGLETRANSLATE(B22790,""en"",""it"")"),"Gira in curve affilate sui suoi pattini.")</f>
        <v>Gira in curve affilate sui suoi pattini.</v>
      </c>
    </row>
    <row r="22791">
      <c r="A22791" s="4" t="s">
        <v>28680</v>
      </c>
      <c r="B22791" s="4" t="s">
        <v>28683</v>
      </c>
      <c r="C22791" s="5" t="str">
        <f>IFERROR(__xludf.DUMMYFUNCTION("GOOGLETRANSLATE(B22791,""en"",""it"")"),"Prende diverse strade di campagna e boscose prima di rotolare in un parcheggio.")</f>
        <v>Prende diverse strade di campagna e boscose prima di rotolare in un parcheggio.</v>
      </c>
    </row>
    <row r="22792">
      <c r="A22792" s="4" t="s">
        <v>28684</v>
      </c>
      <c r="B22792" s="6" t="s">
        <v>28685</v>
      </c>
      <c r="C22792" s="5" t="str">
        <f>IFERROR(__xludf.DUMMYFUNCTION("GOOGLETRANSLATE(B22792,""en"",""it"")"),"Una ragazza dimostra diverse mosse di ginnastica e bicchieri in un soggiorno e su un prato verde con una linea di case residenziali come sfondo.")</f>
        <v>Una ragazza dimostra diverse mosse di ginnastica e bicchieri in un soggiorno e su un prato verde con una linea di case residenziali come sfondo.</v>
      </c>
    </row>
    <row r="22793">
      <c r="A22793" s="4" t="s">
        <v>28684</v>
      </c>
      <c r="B22793" s="4" t="s">
        <v>28686</v>
      </c>
      <c r="C22793" s="5" t="str">
        <f>IFERROR(__xludf.DUMMYFUNCTION("GOOGLETRANSLATE(B22793,""en"",""it"")"),"Una ragazza dimostra una mossa per la capriola nel soggiorno di fronte a due divani.")</f>
        <v>Una ragazza dimostra una mossa per la capriola nel soggiorno di fronte a due divani.</v>
      </c>
    </row>
    <row r="22794">
      <c r="A22794" s="4" t="s">
        <v>28684</v>
      </c>
      <c r="B22794" s="6" t="s">
        <v>28687</v>
      </c>
      <c r="C22794" s="5" t="str">
        <f>IFERROR(__xludf.DUMMYFUNCTION("GOOGLETRANSLATE(B22794,""en"",""it"")"),"La ragazza dimostra quindi mosse ginnastiche più avanzate in un campo di erba con case in un quartiere residenziale come sfondo.")</f>
        <v>La ragazza dimostra quindi mosse ginnastiche più avanzate in un campo di erba con case in un quartiere residenziale come sfondo.</v>
      </c>
    </row>
    <row r="22795">
      <c r="A22795" s="4" t="s">
        <v>28688</v>
      </c>
      <c r="B22795" s="6" t="s">
        <v>28689</v>
      </c>
      <c r="C22795" s="5" t="str">
        <f>IFERROR(__xludf.DUMMYFUNCTION("GOOGLETRANSLATE(B22795,""en"",""it"")"),"Un piccolo gruppo di persone viene visto nuotare in una piscina e conduce in varie clip di bambini che imparano a nuotare.")</f>
        <v>Un piccolo gruppo di persone viene visto nuotare in una piscina e conduce in varie clip di bambini che imparano a nuotare.</v>
      </c>
    </row>
    <row r="22796">
      <c r="A22796" s="4" t="s">
        <v>28688</v>
      </c>
      <c r="B22796" s="4" t="s">
        <v>28690</v>
      </c>
      <c r="C22796" s="5" t="str">
        <f>IFERROR(__xludf.DUMMYFUNCTION("GOOGLETRANSLATE(B22796,""en"",""it"")"),"Un uomo li aiuta a praticare in acqua e saltare da una tavola da immersione.")</f>
        <v>Un uomo li aiuta a praticare in acqua e saltare da una tavola da immersione.</v>
      </c>
    </row>
    <row r="22797">
      <c r="A22797" s="4" t="s">
        <v>28688</v>
      </c>
      <c r="B22797" s="6" t="s">
        <v>28691</v>
      </c>
      <c r="C22797" s="5" t="str">
        <f>IFERROR(__xludf.DUMMYFUNCTION("GOOGLETRANSLATE(B22797,""en"",""it"")"),"Vengono mostrati più colpi di bambini che nuotano e conducono a una ragazza che afferra gli oggetti sott'acqua e nuotano con un altro.")</f>
        <v>Vengono mostrati più colpi di bambini che nuotano e conducono a una ragazza che afferra gli oggetti sott'acqua e nuotano con un altro.</v>
      </c>
    </row>
    <row r="22798">
      <c r="A22798" s="4" t="s">
        <v>28692</v>
      </c>
      <c r="B22798" s="4" t="s">
        <v>28693</v>
      </c>
      <c r="C22798" s="5" t="str">
        <f>IFERROR(__xludf.DUMMYFUNCTION("GOOGLETRANSLATE(B22798,""en"",""it"")"),"Il ragazzo serve lo shuttlecock ma ha colpito la rete.")</f>
        <v>Il ragazzo serve lo shuttlecock ma ha colpito la rete.</v>
      </c>
    </row>
    <row r="22799">
      <c r="A22799" s="4" t="s">
        <v>28692</v>
      </c>
      <c r="B22799" s="4" t="s">
        <v>28694</v>
      </c>
      <c r="C22799" s="5" t="str">
        <f>IFERROR(__xludf.DUMMYFUNCTION("GOOGLETRANSLATE(B22799,""en"",""it"")"),"L'uomo più anziano serve la palla e il bambino l'ha mancato.")</f>
        <v>L'uomo più anziano serve la palla e il bambino l'ha mancato.</v>
      </c>
    </row>
    <row r="22800">
      <c r="A22800" s="4" t="s">
        <v>28692</v>
      </c>
      <c r="B22800" s="4" t="s">
        <v>28695</v>
      </c>
      <c r="C22800" s="5" t="str">
        <f>IFERROR(__xludf.DUMMYFUNCTION("GOOGLETRANSLATE(B22800,""en"",""it"")"),"Una donna più anziana con la camicia grigia serve la palla e la ragazza in rosso la colpisce.")</f>
        <v>Una donna più anziana con la camicia grigia serve la palla e la ragazza in rosso la colpisce.</v>
      </c>
    </row>
    <row r="22801">
      <c r="A22801" s="4" t="s">
        <v>28696</v>
      </c>
      <c r="B22801" s="4" t="s">
        <v>28697</v>
      </c>
      <c r="C22801" s="5" t="str">
        <f>IFERROR(__xludf.DUMMYFUNCTION("GOOGLETRANSLATE(B22801,""en"",""it"")"),"Un uomo sta skateboard, salta su livelli più alti.")</f>
        <v>Un uomo sta skateboard, salta su livelli più alti.</v>
      </c>
    </row>
    <row r="22802">
      <c r="A22802" s="4" t="s">
        <v>28696</v>
      </c>
      <c r="B22802" s="4" t="s">
        <v>28698</v>
      </c>
      <c r="C22802" s="5" t="str">
        <f>IFERROR(__xludf.DUMMYFUNCTION("GOOGLETRANSLATE(B22802,""en"",""it"")"),"Prende a calci per costruire un po 'di velocità e fa qualche trucco interessante.")</f>
        <v>Prende a calci per costruire un po 'di velocità e fa qualche trucco interessante.</v>
      </c>
    </row>
    <row r="22803">
      <c r="A22803" s="4" t="s">
        <v>28696</v>
      </c>
      <c r="B22803" s="4" t="s">
        <v>28699</v>
      </c>
      <c r="C22803" s="5" t="str">
        <f>IFERROR(__xludf.DUMMYFUNCTION("GOOGLETRANSLATE(B22803,""en"",""it"")"),"Si allontana e poi salta indietro sul tabellone e fa più trucchi tutt'intorno.")</f>
        <v>Si allontana e poi salta indietro sul tabellone e fa più trucchi tutt'intorno.</v>
      </c>
    </row>
    <row r="22804">
      <c r="A22804" s="4" t="s">
        <v>28696</v>
      </c>
      <c r="B22804" s="4" t="s">
        <v>28700</v>
      </c>
      <c r="C22804" s="5" t="str">
        <f>IFERROR(__xludf.DUMMYFUNCTION("GOOGLETRANSLATE(B22804,""en"",""it"")"),"Salta su un binario e poi torna giù e si siede sul tabellone e le onde.")</f>
        <v>Salta su un binario e poi torna giù e si siede sul tabellone e le onde.</v>
      </c>
    </row>
    <row r="22805">
      <c r="A22805" s="4" t="s">
        <v>28701</v>
      </c>
      <c r="B22805" s="4" t="s">
        <v>28702</v>
      </c>
      <c r="C22805" s="5" t="str">
        <f>IFERROR(__xludf.DUMMYFUNCTION("GOOGLETRANSLATE(B22805,""en"",""it"")"),"Un giocatore di baseball viene visto in piedi su una macchia di terra con un altro dietro di lui.")</f>
        <v>Un giocatore di baseball viene visto in piedi su una macchia di terra con un altro dietro di lui.</v>
      </c>
    </row>
    <row r="22806">
      <c r="A22806" s="4" t="s">
        <v>28701</v>
      </c>
      <c r="B22806" s="4" t="s">
        <v>28703</v>
      </c>
      <c r="C22806" s="5" t="str">
        <f>IFERROR(__xludf.DUMMYFUNCTION("GOOGLETRANSLATE(B22806,""en"",""it"")"),"L'uomo inizia quindi a colpire una palla.")</f>
        <v>L'uomo inizia quindi a colpire una palla.</v>
      </c>
    </row>
    <row r="22807">
      <c r="A22807" s="4" t="s">
        <v>28701</v>
      </c>
      <c r="B22807" s="4" t="s">
        <v>28704</v>
      </c>
      <c r="C22807" s="5" t="str">
        <f>IFERROR(__xludf.DUMMYFUNCTION("GOOGLETRANSLATE(B22807,""en"",""it"")"),"L'uomo colpisce la palla al rallentatore.")</f>
        <v>L'uomo colpisce la palla al rallentatore.</v>
      </c>
    </row>
    <row r="22808">
      <c r="A22808" s="4" t="s">
        <v>28705</v>
      </c>
      <c r="B22808" s="4" t="s">
        <v>28706</v>
      </c>
      <c r="C22808" s="5" t="str">
        <f>IFERROR(__xludf.DUMMYFUNCTION("GOOGLETRANSLATE(B22808,""en"",""it"")"),"Una persona produce spaghetti da zero usando farina, uova, un frullatore e una pressa di pasta.")</f>
        <v>Una persona produce spaghetti da zero usando farina, uova, un frullatore e una pressa di pasta.</v>
      </c>
    </row>
    <row r="22809">
      <c r="A22809" s="4" t="s">
        <v>28705</v>
      </c>
      <c r="B22809" s="4" t="s">
        <v>28707</v>
      </c>
      <c r="C22809" s="5" t="str">
        <f>IFERROR(__xludf.DUMMYFUNCTION("GOOGLETRANSLATE(B22809,""en"",""it"")"),"Una mano mescola la farina in una ciotola, aggiunge uova e mescola entrambi gli ingredienti con un miscelatore.")</f>
        <v>Una mano mescola la farina in una ciotola, aggiunge uova e mescola entrambi gli ingredienti con un miscelatore.</v>
      </c>
    </row>
    <row r="22810">
      <c r="A22810" s="4" t="s">
        <v>28705</v>
      </c>
      <c r="B22810" s="6" t="s">
        <v>28708</v>
      </c>
      <c r="C22810" s="5" t="str">
        <f>IFERROR(__xludf.DUMMYFUNCTION("GOOGLETRANSLATE(B22810,""en"",""it"")"),"Le mani quindi prendono la sfera di pasta risultante e la impasto, la copre in un involucro di Saran e lo taglia a pezzi prima di arrotolarla piatta con un mattarello.")</f>
        <v>Le mani quindi prendono la sfera di pasta risultante e la impasto, la copre in un involucro di Saran e lo taglia a pezzi prima di arrotolarla piatta con un mattarello.</v>
      </c>
    </row>
    <row r="22811">
      <c r="A22811" s="4" t="s">
        <v>28705</v>
      </c>
      <c r="B22811" s="6" t="s">
        <v>28709</v>
      </c>
      <c r="C22811" s="5" t="str">
        <f>IFERROR(__xludf.DUMMYFUNCTION("GOOGLETRANSLATE(B22811,""en"",""it"")"),"La persona prende quindi l'impasto appiattito e lo mette in un presser, lo spolvera con farina e la mette in un contenitore e quindi in una stampa di spaghetti che produce molti fili di spaghetti.")</f>
        <v>La persona prende quindi l'impasto appiattito e lo mette in un presser, lo spolvera con farina e la mette in un contenitore e quindi in una stampa di spaghetti che produce molti fili di spaghetti.</v>
      </c>
    </row>
    <row r="22812">
      <c r="A22812" s="4" t="s">
        <v>28710</v>
      </c>
      <c r="B22812" s="4" t="s">
        <v>28711</v>
      </c>
      <c r="C22812" s="5" t="str">
        <f>IFERROR(__xludf.DUMMYFUNCTION("GOOGLETRANSLATE(B22812,""en"",""it"")"),"Un uomo e una donna sono in piedi fuori nella neve a parlare.")</f>
        <v>Un uomo e una donna sono in piedi fuori nella neve a parlare.</v>
      </c>
    </row>
    <row r="22813">
      <c r="A22813" s="4" t="s">
        <v>28710</v>
      </c>
      <c r="B22813" s="4" t="s">
        <v>28712</v>
      </c>
      <c r="C22813" s="5" t="str">
        <f>IFERROR(__xludf.DUMMYFUNCTION("GOOGLETRANSLATE(B22813,""en"",""it"")"),"L'uomo sta pulendo la neve dalla macchina.")</f>
        <v>L'uomo sta pulendo la neve dalla macchina.</v>
      </c>
    </row>
    <row r="22814">
      <c r="A22814" s="4" t="s">
        <v>28710</v>
      </c>
      <c r="B22814" s="4" t="s">
        <v>28713</v>
      </c>
      <c r="C22814" s="5" t="str">
        <f>IFERROR(__xludf.DUMMYFUNCTION("GOOGLETRANSLATE(B22814,""en"",""it"")"),"La ragazza indossa una pelliccia e parla con la telecamera.")</f>
        <v>La ragazza indossa una pelliccia e parla con la telecamera.</v>
      </c>
    </row>
    <row r="22815">
      <c r="A22815" s="4" t="s">
        <v>28710</v>
      </c>
      <c r="B22815" s="4" t="s">
        <v>28714</v>
      </c>
      <c r="C22815" s="5" t="str">
        <f>IFERROR(__xludf.DUMMYFUNCTION("GOOGLETRANSLATE(B22815,""en"",""it"")"),"L'uomo continua a spazzolare la neve dalla macchina.")</f>
        <v>L'uomo continua a spazzolare la neve dalla macchina.</v>
      </c>
    </row>
    <row r="22816">
      <c r="A22816" s="4" t="s">
        <v>28710</v>
      </c>
      <c r="B22816" s="4" t="s">
        <v>28715</v>
      </c>
      <c r="C22816" s="5" t="str">
        <f>IFERROR(__xludf.DUMMYFUNCTION("GOOGLETRANSLATE(B22816,""en"",""it"")"),"Sono seduti all'interno dell'auto a parlare.")</f>
        <v>Sono seduti all'interno dell'auto a parlare.</v>
      </c>
    </row>
    <row r="22817">
      <c r="A22817" s="4" t="s">
        <v>28716</v>
      </c>
      <c r="B22817" s="4" t="s">
        <v>28717</v>
      </c>
      <c r="C22817" s="5" t="str">
        <f>IFERROR(__xludf.DUMMYFUNCTION("GOOGLETRANSLATE(B22817,""en"",""it"")"),"C'è una sceneggiatura mostrata sulla paura di cantare sul palco.")</f>
        <v>C'è una sceneggiatura mostrata sulla paura di cantare sul palco.</v>
      </c>
    </row>
    <row r="22818">
      <c r="A22818" s="4" t="s">
        <v>28716</v>
      </c>
      <c r="B22818" s="4" t="s">
        <v>28718</v>
      </c>
      <c r="C22818" s="5" t="str">
        <f>IFERROR(__xludf.DUMMYFUNCTION("GOOGLETRANSLATE(B22818,""en"",""it"")"),"Una donna con una camicia verde canta mentre si fa i piatti nel lavandino della cucina.")</f>
        <v>Una donna con una camicia verde canta mentre si fa i piatti nel lavandino della cucina.</v>
      </c>
    </row>
    <row r="22819">
      <c r="A22819" s="4" t="s">
        <v>28716</v>
      </c>
      <c r="B22819" s="6" t="s">
        <v>28719</v>
      </c>
      <c r="C22819" s="5" t="str">
        <f>IFERROR(__xludf.DUMMYFUNCTION("GOOGLETRANSLATE(B22819,""en"",""it"")"),"Continua a lavare i cucchiai e le forche con uno scrub blu e un sapone mentre canta in tono e tono in alto.")</f>
        <v>Continua a lavare i cucchiai e le forche con uno scrub blu e un sapone mentre canta in tono e tono in alto.</v>
      </c>
    </row>
    <row r="22820">
      <c r="A22820" s="4" t="s">
        <v>28716</v>
      </c>
      <c r="B22820" s="4" t="s">
        <v>28720</v>
      </c>
      <c r="C22820" s="5" t="str">
        <f>IFERROR(__xludf.DUMMYFUNCTION("GOOGLETRANSLATE(B22820,""en"",""it"")"),"Continua a lavare un grosso coltello e poi posiziona gli utensili bagnati su una griglia di asciugatura.")</f>
        <v>Continua a lavare un grosso coltello e poi posiziona gli utensili bagnati su una griglia di asciugatura.</v>
      </c>
    </row>
    <row r="22821">
      <c r="A22821" s="4" t="s">
        <v>28716</v>
      </c>
      <c r="B22821" s="4" t="s">
        <v>28721</v>
      </c>
      <c r="C22821" s="5" t="str">
        <f>IFERROR(__xludf.DUMMYFUNCTION("GOOGLETRANSLATE(B22821,""en"",""it"")"),"Lava alcuni occhiali e li strofina accuratamente con la stessa spugna.")</f>
        <v>Lava alcuni occhiali e li strofina accuratamente con la stessa spugna.</v>
      </c>
    </row>
    <row r="22822">
      <c r="A22822" s="4" t="s">
        <v>28716</v>
      </c>
      <c r="B22822" s="4" t="s">
        <v>28722</v>
      </c>
      <c r="C22822" s="5" t="str">
        <f>IFERROR(__xludf.DUMMYFUNCTION("GOOGLETRANSLATE(B22822,""en"",""it"")"),"Quindi posiziona il vetro sulla griglia di asciugatura.")</f>
        <v>Quindi posiziona il vetro sulla griglia di asciugatura.</v>
      </c>
    </row>
    <row r="22823">
      <c r="A22823" s="4" t="s">
        <v>28723</v>
      </c>
      <c r="B22823" s="4" t="s">
        <v>28724</v>
      </c>
      <c r="C22823" s="5" t="str">
        <f>IFERROR(__xludf.DUMMYFUNCTION("GOOGLETRANSLATE(B22823,""en"",""it"")"),"Un uomo rapnte insieme a una canzone.")</f>
        <v>Un uomo rapnte insieme a una canzone.</v>
      </c>
    </row>
    <row r="22824">
      <c r="A22824" s="4" t="s">
        <v>28723</v>
      </c>
      <c r="B22824" s="4" t="s">
        <v>28725</v>
      </c>
      <c r="C22824" s="5" t="str">
        <f>IFERROR(__xludf.DUMMYFUNCTION("GOOGLETRANSLATE(B22824,""en"",""it"")"),"Anche il ragazzo si fa un tatuaggio.")</f>
        <v>Anche il ragazzo si fa un tatuaggio.</v>
      </c>
    </row>
    <row r="22825">
      <c r="A22825" s="4" t="s">
        <v>28726</v>
      </c>
      <c r="B22825" s="4" t="s">
        <v>28727</v>
      </c>
      <c r="C22825" s="5" t="str">
        <f>IFERROR(__xludf.DUMMYFUNCTION("GOOGLETRANSLATE(B22825,""en"",""it"")"),"Un folto gruppo di persone è visto giocare una partita di calcio su una grande spiaggia sabbiosa.")</f>
        <v>Un folto gruppo di persone è visto giocare una partita di calcio su una grande spiaggia sabbiosa.</v>
      </c>
    </row>
    <row r="22826">
      <c r="A22826" s="4" t="s">
        <v>28726</v>
      </c>
      <c r="B22826" s="4" t="s">
        <v>28728</v>
      </c>
      <c r="C22826" s="5" t="str">
        <f>IFERROR(__xludf.DUMMYFUNCTION("GOOGLETRANSLATE(B22826,""en"",""it"")"),"Molte persone guardano a margine mentre i bambini passano indietro e quarto l'uno all'altro.")</f>
        <v>Molte persone guardano a margine mentre i bambini passano indietro e quarto l'uno all'altro.</v>
      </c>
    </row>
    <row r="22827">
      <c r="A22827" s="4" t="s">
        <v>28726</v>
      </c>
      <c r="B22827" s="6" t="s">
        <v>28729</v>
      </c>
      <c r="C22827" s="5" t="str">
        <f>IFERROR(__xludf.DUMMYFUNCTION("GOOGLETRANSLATE(B22827,""en"",""it"")"),"Il gioco continua mentre i bambini si muovono su e giù per il campo e tentano diversi gol che finiscono per perdere.")</f>
        <v>Il gioco continua mentre i bambini si muovono su e giù per il campo e tentano diversi gol che finiscono per perdere.</v>
      </c>
    </row>
    <row r="22828">
      <c r="A22828" s="4" t="s">
        <v>28730</v>
      </c>
      <c r="B22828" s="4" t="s">
        <v>28731</v>
      </c>
      <c r="C22828" s="5" t="str">
        <f>IFERROR(__xludf.DUMMYFUNCTION("GOOGLETRANSLATE(B22828,""en"",""it"")"),"Una giovane ragazza bionda salta fuori.")</f>
        <v>Una giovane ragazza bionda salta fuori.</v>
      </c>
    </row>
    <row r="22829">
      <c r="A22829" s="4" t="s">
        <v>28730</v>
      </c>
      <c r="B22829" s="4" t="s">
        <v>28732</v>
      </c>
      <c r="C22829" s="5" t="str">
        <f>IFERROR(__xludf.DUMMYFUNCTION("GOOGLETRANSLATE(B22829,""en"",""it"")"),"Tiene una corda per saltare e gira la corda di salto di fronte a lei.")</f>
        <v>Tiene una corda per saltare e gira la corda di salto di fronte a lei.</v>
      </c>
    </row>
    <row r="22830">
      <c r="A22830" s="4" t="s">
        <v>28730</v>
      </c>
      <c r="B22830" s="4" t="s">
        <v>28733</v>
      </c>
      <c r="C22830" s="5" t="str">
        <f>IFERROR(__xludf.DUMMYFUNCTION("GOOGLETRANSLATE(B22830,""en"",""it"")"),"Si esibisce di nuovo la stessa cosa.")</f>
        <v>Si esibisce di nuovo la stessa cosa.</v>
      </c>
    </row>
    <row r="22831">
      <c r="A22831" s="4" t="s">
        <v>28730</v>
      </c>
      <c r="B22831" s="4" t="s">
        <v>28734</v>
      </c>
      <c r="C22831" s="5" t="str">
        <f>IFERROR(__xludf.DUMMYFUNCTION("GOOGLETRANSLATE(B22831,""en"",""it"")"),"Gira ancora una volta la corda di salto e la prende con i piedi.")</f>
        <v>Gira ancora una volta la corda di salto e la prende con i piedi.</v>
      </c>
    </row>
    <row r="22832">
      <c r="A22832" s="4" t="s">
        <v>28730</v>
      </c>
      <c r="B22832" s="4" t="s">
        <v>28735</v>
      </c>
      <c r="C22832" s="5" t="str">
        <f>IFERROR(__xludf.DUMMYFUNCTION("GOOGLETRANSLATE(B22832,""en"",""it"")"),"Lo fa ancora una volta.")</f>
        <v>Lo fa ancora una volta.</v>
      </c>
    </row>
    <row r="22833">
      <c r="A22833" s="4" t="s">
        <v>28730</v>
      </c>
      <c r="B22833" s="4" t="s">
        <v>28736</v>
      </c>
      <c r="C22833" s="5" t="str">
        <f>IFERROR(__xludf.DUMMYFUNCTION("GOOGLETRANSLATE(B22833,""en"",""it"")"),"Gira la corda del salto e completa un salto completo.")</f>
        <v>Gira la corda del salto e completa un salto completo.</v>
      </c>
    </row>
    <row r="22834">
      <c r="A22834" s="4" t="s">
        <v>28730</v>
      </c>
      <c r="B22834" s="4" t="s">
        <v>28737</v>
      </c>
      <c r="C22834" s="5" t="str">
        <f>IFERROR(__xludf.DUMMYFUNCTION("GOOGLETRANSLATE(B22834,""en"",""it"")"),"Lei va e lo fa di nuovo.")</f>
        <v>Lei va e lo fa di nuovo.</v>
      </c>
    </row>
    <row r="22835">
      <c r="A22835" s="4" t="s">
        <v>28730</v>
      </c>
      <c r="B22835" s="4" t="s">
        <v>28738</v>
      </c>
      <c r="C22835" s="5" t="str">
        <f>IFERROR(__xludf.DUMMYFUNCTION("GOOGLETRANSLATE(B22835,""en"",""it"")"),"Salta le corde più volte.")</f>
        <v>Salta le corde più volte.</v>
      </c>
    </row>
    <row r="22836">
      <c r="A22836" s="4" t="s">
        <v>28730</v>
      </c>
      <c r="B22836" s="4" t="s">
        <v>28739</v>
      </c>
      <c r="C22836" s="5" t="str">
        <f>IFERROR(__xludf.DUMMYFUNCTION("GOOGLETRANSLATE(B22836,""en"",""it"")"),"Lo fa di nuovo, salta più e più volte.")</f>
        <v>Lo fa di nuovo, salta più e più volte.</v>
      </c>
    </row>
    <row r="22837">
      <c r="A22837" s="4" t="s">
        <v>28730</v>
      </c>
      <c r="B22837" s="4" t="s">
        <v>28740</v>
      </c>
      <c r="C22837" s="5" t="str">
        <f>IFERROR(__xludf.DUMMYFUNCTION("GOOGLETRANSLATE(B22837,""en"",""it"")"),"Parla alla telecamera.")</f>
        <v>Parla alla telecamera.</v>
      </c>
    </row>
    <row r="22838">
      <c r="A22838" s="4" t="s">
        <v>28741</v>
      </c>
      <c r="B22838" s="4" t="s">
        <v>28742</v>
      </c>
      <c r="C22838" s="5" t="str">
        <f>IFERROR(__xludf.DUMMYFUNCTION("GOOGLETRANSLATE(B22838,""en"",""it"")"),"Una majorette maschile nera inizia a camminare attraverso la linea di batteria con il suo testimone.")</f>
        <v>Una majorette maschile nera inizia a camminare attraverso la linea di batteria con il suo testimone.</v>
      </c>
    </row>
    <row r="22839">
      <c r="A22839" s="4" t="s">
        <v>28741</v>
      </c>
      <c r="B22839" s="6" t="s">
        <v>28743</v>
      </c>
      <c r="C22839" s="5" t="str">
        <f>IFERROR(__xludf.DUMMYFUNCTION("GOOGLETRANSLATE(B22839,""en"",""it"")"),"Mentre si dirige verso la parte anteriore della band, Bgeins per far roteare il testimone e muoversi attraverso il campo e si toglie i pantaloni.")</f>
        <v>Mentre si dirige verso la parte anteriore della band, Bgeins per far roteare il testimone e muoversi attraverso il campo e si toglie i pantaloni.</v>
      </c>
    </row>
    <row r="22840">
      <c r="A22840" s="4" t="s">
        <v>28741</v>
      </c>
      <c r="B22840" s="6" t="s">
        <v>28744</v>
      </c>
      <c r="C22840" s="5" t="str">
        <f>IFERROR(__xludf.DUMMYFUNCTION("GOOGLETRANSLATE(B22840,""en"",""it"")"),"Sotto i suoi pantaloni c'è un paio di pantaloncini scintillanti e continua a ballare, facendo giri, trucchi, calci, divisioni e scoppiando mentre la band suona.")</f>
        <v>Sotto i suoi pantaloni c'è un paio di pantaloncini scintillanti e continua a ballare, facendo giri, trucchi, calci, divisioni e scoppiando mentre la band suona.</v>
      </c>
    </row>
    <row r="22841">
      <c r="A22841" s="4" t="s">
        <v>28745</v>
      </c>
      <c r="B22841" s="4" t="s">
        <v>28746</v>
      </c>
      <c r="C22841" s="5" t="str">
        <f>IFERROR(__xludf.DUMMYFUNCTION("GOOGLETRANSLATE(B22841,""en"",""it"")"),"Una donna vestita con una canotta rosa e collant grigi dimostrano girare in una palestra di fitness.")</f>
        <v>Una donna vestita con una canotta rosa e collant grigi dimostrano girare in una palestra di fitness.</v>
      </c>
    </row>
    <row r="22842">
      <c r="A22842" s="4" t="s">
        <v>28745</v>
      </c>
      <c r="B22842" s="4" t="s">
        <v>28747</v>
      </c>
      <c r="C22842" s="5" t="str">
        <f>IFERROR(__xludf.DUMMYFUNCTION("GOOGLETRANSLATE(B22842,""en"",""it"")"),"Mostra i vari esercizi usando la bicicletta.")</f>
        <v>Mostra i vari esercizi usando la bicicletta.</v>
      </c>
    </row>
    <row r="22843">
      <c r="A22843" s="4" t="s">
        <v>28745</v>
      </c>
      <c r="B22843" s="4" t="s">
        <v>28748</v>
      </c>
      <c r="C22843" s="5" t="str">
        <f>IFERROR(__xludf.DUMMYFUNCTION("GOOGLETRANSLATE(B22843,""en"",""it"")"),"Mostra anche scricchiolio e allunga allo stomaco mentre si sdraia sul pavimento.")</f>
        <v>Mostra anche scricchiolio e allunga allo stomaco mentre si sdraia sul pavimento.</v>
      </c>
    </row>
    <row r="22844">
      <c r="A22844" s="4" t="s">
        <v>28745</v>
      </c>
      <c r="B22844" s="4" t="s">
        <v>28749</v>
      </c>
      <c r="C22844" s="5" t="str">
        <f>IFERROR(__xludf.DUMMYFUNCTION("GOOGLETRANSLATE(B22844,""en"",""it"")"),"Motiva la sua squadra a continuare a andare in bicicletta mentre li incoraggia ad andare più veloce.")</f>
        <v>Motiva la sua squadra a continuare a andare in bicicletta mentre li incoraggia ad andare più veloce.</v>
      </c>
    </row>
    <row r="22845">
      <c r="A22845" s="4" t="s">
        <v>28750</v>
      </c>
      <c r="B22845" s="6" t="s">
        <v>28751</v>
      </c>
      <c r="C22845" s="5" t="str">
        <f>IFERROR(__xludf.DUMMYFUNCTION("GOOGLETRANSLATE(B22845,""en"",""it"")"),"Un uomo e una donna si presentano alla telecamera e iniziano a parlarsi mentre l'uomo è seduto dietro un set di bongo a quattro set e le donne sono dall'altra parte con una bottiglia d'acqua.")</f>
        <v>Un uomo e una donna si presentano alla telecamera e iniziano a parlarsi mentre l'uomo è seduto dietro un set di bongo a quattro set e le donne sono dall'altra parte con una bottiglia d'acqua.</v>
      </c>
    </row>
    <row r="22846">
      <c r="A22846" s="4" t="s">
        <v>28750</v>
      </c>
      <c r="B22846" s="6" t="s">
        <v>28752</v>
      </c>
      <c r="C22846" s="5" t="str">
        <f>IFERROR(__xludf.DUMMYFUNCTION("GOOGLETRANSLATE(B22846,""en"",""it"")"),"Mentre la conversazione ne deriva, un'altra donna si avvicina alla donna e toglie la sua bottiglia d'acqua.")</f>
        <v>Mentre la conversazione ne deriva, un'altra donna si avvicina alla donna e toglie la sua bottiglia d'acqua.</v>
      </c>
    </row>
    <row r="22847">
      <c r="A22847" s="4" t="s">
        <v>28750</v>
      </c>
      <c r="B22847" s="4" t="s">
        <v>28753</v>
      </c>
      <c r="C22847" s="5" t="str">
        <f>IFERROR(__xludf.DUMMYFUNCTION("GOOGLETRANSLATE(B22847,""en"",""it"")"),"Successivamente l'uomo inizia a suonare i bongos e la donna inizia a ballare.")</f>
        <v>Successivamente l'uomo inizia a suonare i bongos e la donna inizia a ballare.</v>
      </c>
    </row>
    <row r="22848">
      <c r="A22848" s="4" t="s">
        <v>28750</v>
      </c>
      <c r="B22848" s="4" t="s">
        <v>28754</v>
      </c>
      <c r="C22848" s="5" t="str">
        <f>IFERROR(__xludf.DUMMYFUNCTION("GOOGLETRANSLATE(B22848,""en"",""it"")"),"Mentre la donna balla su un uomo su una bici passa e inizia a osservare ciò che sta succedendo.")</f>
        <v>Mentre la donna balla su un uomo su una bici passa e inizia a osservare ciò che sta succedendo.</v>
      </c>
    </row>
    <row r="22849">
      <c r="A22849" s="4" t="s">
        <v>28750</v>
      </c>
      <c r="B22849" s="6" t="s">
        <v>28755</v>
      </c>
      <c r="C22849" s="5" t="str">
        <f>IFERROR(__xludf.DUMMYFUNCTION("GOOGLETRANSLATE(B22849,""en"",""it"")"),"Alla fine mentre la donna smette di ballare e inizia a battere le mani e l'uomo che suona i Bongos smette di giocare e fa un battito di applauso.")</f>
        <v>Alla fine mentre la donna smette di ballare e inizia a battere le mani e l'uomo che suona i Bongos smette di giocare e fa un battito di applauso.</v>
      </c>
    </row>
    <row r="22850">
      <c r="A22850" s="4" t="s">
        <v>28756</v>
      </c>
      <c r="B22850" s="4" t="s">
        <v>28757</v>
      </c>
      <c r="C22850" s="5" t="str">
        <f>IFERROR(__xludf.DUMMYFUNCTION("GOOGLETRANSLATE(B22850,""en"",""it"")"),"Vediamo un uomo che esibisce Capoiera in una piazza.")</f>
        <v>Vediamo un uomo che esibisce Capoiera in una piazza.</v>
      </c>
    </row>
    <row r="22851">
      <c r="A22851" s="4" t="s">
        <v>28756</v>
      </c>
      <c r="B22851" s="4" t="s">
        <v>28758</v>
      </c>
      <c r="C22851" s="5" t="str">
        <f>IFERROR(__xludf.DUMMYFUNCTION("GOOGLETRANSLATE(B22851,""en"",""it"")"),"L'uomo è raggiunto da un secondo uomo e la pratica insieme.")</f>
        <v>L'uomo è raggiunto da un secondo uomo e la pratica insieme.</v>
      </c>
    </row>
    <row r="22852">
      <c r="A22852" s="4" t="s">
        <v>28756</v>
      </c>
      <c r="B22852" s="4" t="s">
        <v>28759</v>
      </c>
      <c r="C22852" s="5" t="str">
        <f>IFERROR(__xludf.DUMMYFUNCTION("GOOGLETRANSLATE(B22852,""en"",""it"")"),"Il primo uomo se ne va e un altro uomo salta dentro.")</f>
        <v>Il primo uomo se ne va e un altro uomo salta dentro.</v>
      </c>
    </row>
    <row r="22853">
      <c r="A22853" s="4" t="s">
        <v>28756</v>
      </c>
      <c r="B22853" s="4" t="s">
        <v>28760</v>
      </c>
      <c r="C22853" s="5" t="str">
        <f>IFERROR(__xludf.DUMMYFUNCTION("GOOGLETRANSLATE(B22853,""en"",""it"")"),"I due uomini finiscono e si stringono la mano e abbracciano.")</f>
        <v>I due uomini finiscono e si stringono la mano e abbracciano.</v>
      </c>
    </row>
    <row r="22854">
      <c r="A22854" s="4" t="s">
        <v>28756</v>
      </c>
      <c r="B22854" s="4" t="s">
        <v>28761</v>
      </c>
      <c r="C22854" s="5" t="str">
        <f>IFERROR(__xludf.DUMMYFUNCTION("GOOGLETRANSLATE(B22854,""en"",""it"")"),"Entrambi gli uomini tornano fuori dal ring e un nuovo uomo entra.")</f>
        <v>Entrambi gli uomini tornano fuori dal ring e un nuovo uomo entra.</v>
      </c>
    </row>
    <row r="22855">
      <c r="A22855" s="4" t="s">
        <v>28762</v>
      </c>
      <c r="B22855" s="4" t="s">
        <v>28763</v>
      </c>
      <c r="C22855" s="5" t="str">
        <f>IFERROR(__xludf.DUMMYFUNCTION("GOOGLETRANSLATE(B22855,""en"",""it"")"),"Un ragazzo spinge un aspirapolvere nella cucina di una casa.")</f>
        <v>Un ragazzo spinge un aspirapolvere nella cucina di una casa.</v>
      </c>
    </row>
    <row r="22856">
      <c r="A22856" s="4" t="s">
        <v>28762</v>
      </c>
      <c r="B22856" s="4" t="s">
        <v>28764</v>
      </c>
      <c r="C22856" s="5" t="str">
        <f>IFERROR(__xludf.DUMMYFUNCTION("GOOGLETRANSLATE(B22856,""en"",""it"")"),"La madre punta sotto i mobili con la mano, quindi il piede che dirige il ragazzo.")</f>
        <v>La madre punta sotto i mobili con la mano, quindi il piede che dirige il ragazzo.</v>
      </c>
    </row>
    <row r="22857">
      <c r="A22857" s="4" t="s">
        <v>28762</v>
      </c>
      <c r="B22857" s="4" t="s">
        <v>28765</v>
      </c>
      <c r="C22857" s="5" t="str">
        <f>IFERROR(__xludf.DUMMYFUNCTION("GOOGLETRANSLATE(B22857,""en"",""it"")"),"Il ragazzo spinge l'aspirapolvere nel corridoio e aspira la zona.")</f>
        <v>Il ragazzo spinge l'aspirapolvere nel corridoio e aspira la zona.</v>
      </c>
    </row>
    <row r="22858">
      <c r="A22858" s="4" t="s">
        <v>28766</v>
      </c>
      <c r="B22858" s="4" t="s">
        <v>28767</v>
      </c>
      <c r="C22858" s="5" t="str">
        <f>IFERROR(__xludf.DUMMYFUNCTION("GOOGLETRANSLATE(B22858,""en"",""it"")"),"Un uomo spiega e mostra come eseguire il turno di surf di neve.")</f>
        <v>Un uomo spiega e mostra come eseguire il turno di surf di neve.</v>
      </c>
    </row>
    <row r="22859">
      <c r="A22859" s="4" t="s">
        <v>28766</v>
      </c>
      <c r="B22859" s="4" t="s">
        <v>28768</v>
      </c>
      <c r="C22859" s="5" t="str">
        <f>IFERROR(__xludf.DUMMYFUNCTION("GOOGLETRANSLATE(B22859,""en"",""it"")"),"Quindi, l'uomo esegue Toeside usando uno skateboard di neve.")</f>
        <v>Quindi, l'uomo esegue Toeside usando uno skateboard di neve.</v>
      </c>
    </row>
    <row r="22860">
      <c r="A22860" s="4" t="s">
        <v>28766</v>
      </c>
      <c r="B22860" s="4" t="s">
        <v>28769</v>
      </c>
      <c r="C22860" s="5" t="str">
        <f>IFERROR(__xludf.DUMMYFUNCTION("GOOGLETRANSLATE(B22860,""en"",""it"")"),"L'uomo continua a spiegare ed esegue un turno.")</f>
        <v>L'uomo continua a spiegare ed esegue un turno.</v>
      </c>
    </row>
    <row r="22861">
      <c r="A22861" s="4" t="s">
        <v>28766</v>
      </c>
      <c r="B22861" s="4" t="s">
        <v>28770</v>
      </c>
      <c r="C22861" s="5" t="str">
        <f>IFERROR(__xludf.DUMMYFUNCTION("GOOGLETRANSLATE(B22861,""en"",""it"")"),"Uno sci di un bambino sulla neve.")</f>
        <v>Uno sci di un bambino sulla neve.</v>
      </c>
    </row>
    <row r="22862">
      <c r="A22862" s="4" t="s">
        <v>28771</v>
      </c>
      <c r="B22862" s="4" t="s">
        <v>28772</v>
      </c>
      <c r="C22862" s="5" t="str">
        <f>IFERROR(__xludf.DUMMYFUNCTION("GOOGLETRANSLATE(B22862,""en"",""it"")"),"Una donna è in piedi e parla in cucina.")</f>
        <v>Una donna è in piedi e parla in cucina.</v>
      </c>
    </row>
    <row r="22863">
      <c r="A22863" s="4" t="s">
        <v>28771</v>
      </c>
      <c r="B22863" s="4" t="s">
        <v>28773</v>
      </c>
      <c r="C22863" s="5" t="str">
        <f>IFERROR(__xludf.DUMMYFUNCTION("GOOGLETRANSLATE(B22863,""en"",""it"")"),"Sta usando un piccolo aspirapolvere.")</f>
        <v>Sta usando un piccolo aspirapolvere.</v>
      </c>
    </row>
    <row r="22864">
      <c r="A22864" s="4" t="s">
        <v>28771</v>
      </c>
      <c r="B22864" s="4" t="s">
        <v>28774</v>
      </c>
      <c r="C22864" s="5" t="str">
        <f>IFERROR(__xludf.DUMMYFUNCTION("GOOGLETRANSLATE(B22864,""en"",""it"")"),"Dimostra come usare il vuoto mentre parla.")</f>
        <v>Dimostra come usare il vuoto mentre parla.</v>
      </c>
    </row>
    <row r="22865">
      <c r="A22865" s="4" t="s">
        <v>28775</v>
      </c>
      <c r="B22865" s="6" t="s">
        <v>28776</v>
      </c>
      <c r="C22865" s="5" t="str">
        <f>IFERROR(__xludf.DUMMYFUNCTION("GOOGLETRANSLATE(B22865,""en"",""it"")"),"La donna è in cucina a parlare e affettare il formaggio cheddar a pezzi spessi, tagliando il pane, quindi mette il burro in una padella e la pagnotta del pane sulla padella con il formaggio in cima in modo che il formaggio possa essere sciolto nella padel"&amp;"la, la donna dice questo è sbagliato.")</f>
        <v>La donna è in cucina a parlare e affettare il formaggio cheddar a pezzi spessi, tagliando il pane, quindi mette il burro in una padella e la pagnotta del pane sulla padella con il formaggio in cima in modo che il formaggio possa essere sciolto nella padella, la donna dice questo è sbagliato.</v>
      </c>
    </row>
    <row r="22866">
      <c r="A22866" s="4" t="s">
        <v>28775</v>
      </c>
      <c r="B22866" s="6" t="s">
        <v>28777</v>
      </c>
      <c r="C22866" s="5" t="str">
        <f>IFERROR(__xludf.DUMMYFUNCTION("GOOGLETRANSLATE(B22866,""en"",""it"")"),"La donna mostra una padella pulita, metti il ​​burro sul pane e grattugia il formaggio, quindi mettilo come un panino e nella padella con un coperchio fino a quando il pane è gustoso.")</f>
        <v>La donna mostra una padella pulita, metti il ​​burro sul pane e grattugia il formaggio, quindi mettilo come un panino e nella padella con un coperchio fino a quando il pane è gustoso.</v>
      </c>
    </row>
    <row r="22867">
      <c r="A22867" s="4" t="s">
        <v>28775</v>
      </c>
      <c r="B22867" s="4" t="s">
        <v>28778</v>
      </c>
      <c r="C22867" s="5" t="str">
        <f>IFERROR(__xludf.DUMMYFUNCTION("GOOGLETRANSLATE(B22867,""en"",""it"")"),"La donna serve il pane in un piatto blu e fetta in due.")</f>
        <v>La donna serve il pane in un piatto blu e fetta in due.</v>
      </c>
    </row>
    <row r="22868">
      <c r="A22868" s="4" t="s">
        <v>28779</v>
      </c>
      <c r="B22868" s="4" t="s">
        <v>28780</v>
      </c>
      <c r="C22868" s="5" t="str">
        <f>IFERROR(__xludf.DUMMYFUNCTION("GOOGLETRANSLATE(B22868,""en"",""it"")"),"Un uomo viene visto in piedi davanti a un fuoco che tiene su un'ascia e inizia a tagliare un pezzo di legno.")</f>
        <v>Un uomo viene visto in piedi davanti a un fuoco che tiene su un'ascia e inizia a tagliare un pezzo di legno.</v>
      </c>
    </row>
    <row r="22869">
      <c r="A22869" s="4" t="s">
        <v>28779</v>
      </c>
      <c r="B22869" s="6" t="s">
        <v>28781</v>
      </c>
      <c r="C22869" s="5" t="str">
        <f>IFERROR(__xludf.DUMMYFUNCTION("GOOGLETRANSLATE(B22869,""en"",""it"")"),"Un altro uomo regge i pezzi di legno mentre l'uomo continua a tagliare il legno e l'altro uomo che muove il legno.")</f>
        <v>Un altro uomo regge i pezzi di legno mentre l'uomo continua a tagliare il legno e l'altro uomo che muove il legno.</v>
      </c>
    </row>
    <row r="22870">
      <c r="A22870" s="4" t="s">
        <v>28782</v>
      </c>
      <c r="B22870" s="4" t="s">
        <v>28783</v>
      </c>
      <c r="C22870" s="5" t="str">
        <f>IFERROR(__xludf.DUMMYFUNCTION("GOOGLETRANSLATE(B22870,""en"",""it"")"),"Una persona in bianco corre verso la prima base giocando a kickball.")</f>
        <v>Una persona in bianco corre verso la prima base giocando a kickball.</v>
      </c>
    </row>
    <row r="22871">
      <c r="A22871" s="4" t="s">
        <v>28782</v>
      </c>
      <c r="B22871" s="4" t="s">
        <v>28784</v>
      </c>
      <c r="C22871" s="5" t="str">
        <f>IFERROR(__xludf.DUMMYFUNCTION("GOOGLETRANSLATE(B22871,""en"",""it"")"),"L'uomo è taggato da una donna che indossa il rosso.")</f>
        <v>L'uomo è taggato da una donna che indossa il rosso.</v>
      </c>
    </row>
    <row r="22872">
      <c r="A22872" s="4" t="s">
        <v>28785</v>
      </c>
      <c r="B22872" s="4" t="s">
        <v>28786</v>
      </c>
      <c r="C22872" s="5" t="str">
        <f>IFERROR(__xludf.DUMMYFUNCTION("GOOGLETRANSLATE(B22872,""en"",""it"")"),"Vediamo uno schermo di apertura e un uomo beve da una tazza.")</f>
        <v>Vediamo uno schermo di apertura e un uomo beve da una tazza.</v>
      </c>
    </row>
    <row r="22873">
      <c r="A22873" s="4" t="s">
        <v>28785</v>
      </c>
      <c r="B22873" s="4" t="s">
        <v>28787</v>
      </c>
      <c r="C22873" s="5" t="str">
        <f>IFERROR(__xludf.DUMMYFUNCTION("GOOGLETRANSLATE(B22873,""en"",""it"")"),"L'uomo dipinge le unghie di una donna in una sala da pranzo.")</f>
        <v>L'uomo dipinge le unghie di una donna in una sala da pranzo.</v>
      </c>
    </row>
    <row r="22874">
      <c r="A22874" s="4" t="s">
        <v>28785</v>
      </c>
      <c r="B22874" s="4" t="s">
        <v>28788</v>
      </c>
      <c r="C22874" s="5" t="str">
        <f>IFERROR(__xludf.DUMMYFUNCTION("GOOGLETRANSLATE(B22874,""en"",""it"")"),"La signora ci mostra le unghie del dito.")</f>
        <v>La signora ci mostra le unghie del dito.</v>
      </c>
    </row>
    <row r="22875">
      <c r="A22875" s="4" t="s">
        <v>28785</v>
      </c>
      <c r="B22875" s="4" t="s">
        <v>28789</v>
      </c>
      <c r="C22875" s="5" t="str">
        <f>IFERROR(__xludf.DUMMYFUNCTION("GOOGLETRANSLATE(B22875,""en"",""it"")"),"L'uomo beve dalla sua tazza.")</f>
        <v>L'uomo beve dalla sua tazza.</v>
      </c>
    </row>
    <row r="22876">
      <c r="A22876" s="4" t="s">
        <v>28785</v>
      </c>
      <c r="B22876" s="4" t="s">
        <v>28790</v>
      </c>
      <c r="C22876" s="5" t="str">
        <f>IFERROR(__xludf.DUMMYFUNCTION("GOOGLETRANSLATE(B22876,""en"",""it"")"),"L'uomo si appoggia indietro e ride.")</f>
        <v>L'uomo si appoggia indietro e ride.</v>
      </c>
    </row>
    <row r="22877">
      <c r="A22877" s="4" t="s">
        <v>28785</v>
      </c>
      <c r="B22877" s="4" t="s">
        <v>28791</v>
      </c>
      <c r="C22877" s="5" t="str">
        <f>IFERROR(__xludf.DUMMYFUNCTION("GOOGLETRANSLATE(B22877,""en"",""it"")"),"Vediamo una schermata di credito finale.")</f>
        <v>Vediamo una schermata di credito finale.</v>
      </c>
    </row>
    <row r="22878">
      <c r="A22878" s="4" t="s">
        <v>28792</v>
      </c>
      <c r="B22878" s="4" t="s">
        <v>28793</v>
      </c>
      <c r="C22878" s="5" t="str">
        <f>IFERROR(__xludf.DUMMYFUNCTION("GOOGLETRANSLATE(B22878,""en"",""it"")"),"Viene visto un uomo atletico che tiene in discussione e inizia a girare al rallentatore.")</f>
        <v>Viene visto un uomo atletico che tiene in discussione e inizia a girare al rallentatore.</v>
      </c>
    </row>
    <row r="22879">
      <c r="A22879" s="4" t="s">
        <v>28792</v>
      </c>
      <c r="B22879" s="6" t="s">
        <v>28794</v>
      </c>
      <c r="C22879" s="5" t="str">
        <f>IFERROR(__xludf.DUMMYFUNCTION("GOOGLETRANSLATE(B22879,""en"",""it"")"),"L'uomo quindi getta l'oggetto in lontananza e lenta cammina indietro mentre si muove al rallentatore.")</f>
        <v>L'uomo quindi getta l'oggetto in lontananza e lenta cammina indietro mentre si muove al rallentatore.</v>
      </c>
    </row>
    <row r="22880">
      <c r="A22880" s="4" t="s">
        <v>28795</v>
      </c>
      <c r="B22880" s="4" t="s">
        <v>28796</v>
      </c>
      <c r="C22880" s="5" t="str">
        <f>IFERROR(__xludf.DUMMYFUNCTION("GOOGLETRANSLATE(B22880,""en"",""it"")"),"Un tosaerba è legato a una corda bianca.")</f>
        <v>Un tosaerba è legato a una corda bianca.</v>
      </c>
    </row>
    <row r="22881">
      <c r="A22881" s="4" t="s">
        <v>28795</v>
      </c>
      <c r="B22881" s="4" t="s">
        <v>28797</v>
      </c>
      <c r="C22881" s="5" t="str">
        <f>IFERROR(__xludf.DUMMYFUNCTION("GOOGLETRANSLATE(B22881,""en"",""it"")"),"È acceso e inizia ad andare in cerchio attorno alla corda falciando il prato.")</f>
        <v>È acceso e inizia ad andare in cerchio attorno alla corda falciando il prato.</v>
      </c>
    </row>
    <row r="22882">
      <c r="A22882" s="4" t="s">
        <v>28798</v>
      </c>
      <c r="B22882" s="6" t="s">
        <v>28799</v>
      </c>
      <c r="C22882" s="5" t="str">
        <f>IFERROR(__xludf.DUMMYFUNCTION("GOOGLETRANSLATE(B22882,""en"",""it"")"),"Un colpo di un parco giochi viene mostrato con vari bambini che giocano nel parco giochi e cavalcano in una scivolata.")</f>
        <v>Un colpo di un parco giochi viene mostrato con vari bambini che giocano nel parco giochi e cavalcano in una scivolata.</v>
      </c>
    </row>
    <row r="22883">
      <c r="A22883" s="4" t="s">
        <v>28798</v>
      </c>
      <c r="B22883" s="6" t="s">
        <v>28800</v>
      </c>
      <c r="C22883" s="5" t="str">
        <f>IFERROR(__xludf.DUMMYFUNCTION("GOOGLETRANSLATE(B22883,""en"",""it"")"),"Vengono mostrati più colpi di bambini che oscillano e appesi verso il basso e si muovono un volante e si arrampicano in cima.")</f>
        <v>Vengono mostrati più colpi di bambini che oscillano e appesi verso il basso e si muovono un volante e si arrampicano in cima.</v>
      </c>
    </row>
    <row r="22884">
      <c r="A22884" s="4" t="s">
        <v>28801</v>
      </c>
      <c r="B22884" s="4" t="s">
        <v>28802</v>
      </c>
      <c r="C22884" s="5" t="str">
        <f>IFERROR(__xludf.DUMMYFUNCTION("GOOGLETRANSLATE(B22884,""en"",""it"")"),"Una squadra di nuotatori è rannicchiata.")</f>
        <v>Una squadra di nuotatori è rannicchiata.</v>
      </c>
    </row>
    <row r="22885">
      <c r="A22885" s="4" t="s">
        <v>28801</v>
      </c>
      <c r="B22885" s="4" t="s">
        <v>28803</v>
      </c>
      <c r="C22885" s="5" t="str">
        <f>IFERROR(__xludf.DUMMYFUNCTION("GOOGLETRANSLATE(B22885,""en"",""it"")"),"La squadra entra in piscina.")</f>
        <v>La squadra entra in piscina.</v>
      </c>
    </row>
    <row r="22886">
      <c r="A22886" s="4" t="s">
        <v>28801</v>
      </c>
      <c r="B22886" s="4" t="s">
        <v>28804</v>
      </c>
      <c r="C22886" s="5" t="str">
        <f>IFERROR(__xludf.DUMMYFUNCTION("GOOGLETRANSLATE(B22886,""en"",""it"")"),"Due squadre giocano l'una contro l'altra.")</f>
        <v>Due squadre giocano l'una contro l'altra.</v>
      </c>
    </row>
    <row r="22887">
      <c r="A22887" s="4" t="s">
        <v>28801</v>
      </c>
      <c r="B22887" s="4" t="s">
        <v>28805</v>
      </c>
      <c r="C22887" s="5" t="str">
        <f>IFERROR(__xludf.DUMMYFUNCTION("GOOGLETRANSLATE(B22887,""en"",""it"")"),"Una folla guarda dagli spalti.")</f>
        <v>Una folla guarda dagli spalti.</v>
      </c>
    </row>
    <row r="22888">
      <c r="A22888" s="4" t="s">
        <v>28806</v>
      </c>
      <c r="B22888" s="4" t="s">
        <v>28807</v>
      </c>
      <c r="C22888" s="5" t="str">
        <f>IFERROR(__xludf.DUMMYFUNCTION("GOOGLETRANSLATE(B22888,""en"",""it"")"),"Vediamo un tabellone in una partita.")</f>
        <v>Vediamo un tabellone in una partita.</v>
      </c>
    </row>
    <row r="22889">
      <c r="A22889" s="4" t="s">
        <v>28806</v>
      </c>
      <c r="B22889" s="4" t="s">
        <v>28808</v>
      </c>
      <c r="C22889" s="5" t="str">
        <f>IFERROR(__xludf.DUMMYFUNCTION("GOOGLETRANSLATE(B22889,""en"",""it"")"),"Le ragazze corrono in campo e stringono la mano con l'altra squadra.")</f>
        <v>Le ragazze corrono in campo e stringono la mano con l'altra squadra.</v>
      </c>
    </row>
    <row r="22890">
      <c r="A22890" s="4" t="s">
        <v>28806</v>
      </c>
      <c r="B22890" s="4" t="s">
        <v>28809</v>
      </c>
      <c r="C22890" s="5" t="str">
        <f>IFERROR(__xludf.DUMMYFUNCTION("GOOGLETRANSLATE(B22890,""en"",""it"")"),"Vediamo ragazze che giocano a pallavolo in casa.")</f>
        <v>Vediamo ragazze che giocano a pallavolo in casa.</v>
      </c>
    </row>
    <row r="22891">
      <c r="A22891" s="4" t="s">
        <v>28806</v>
      </c>
      <c r="B22891" s="4" t="s">
        <v>28810</v>
      </c>
      <c r="C22891" s="5" t="str">
        <f>IFERROR(__xludf.DUMMYFUNCTION("GOOGLETRANSLATE(B22891,""en"",""it"")"),"Le ragazze a sinistra fanno un tiro e la squadra si abbraccia.")</f>
        <v>Le ragazze a sinistra fanno un tiro e la squadra si abbraccia.</v>
      </c>
    </row>
    <row r="22892">
      <c r="A22892" s="4" t="s">
        <v>28806</v>
      </c>
      <c r="B22892" s="4" t="s">
        <v>28811</v>
      </c>
      <c r="C22892" s="5" t="str">
        <f>IFERROR(__xludf.DUMMYFUNCTION("GOOGLETRANSLATE(B22892,""en"",""it"")"),"Vediamo il tabellone e le persone a margine che parlano.")</f>
        <v>Vediamo il tabellone e le persone a margine che parlano.</v>
      </c>
    </row>
    <row r="22893">
      <c r="A22893" s="4" t="s">
        <v>28806</v>
      </c>
      <c r="B22893" s="4" t="s">
        <v>28812</v>
      </c>
      <c r="C22893" s="5" t="str">
        <f>IFERROR(__xludf.DUMMYFUNCTION("GOOGLETRANSLATE(B22893,""en"",""it"")"),"Vediamo un colpo al rallentatore e le ragazze abbracciano.")</f>
        <v>Vediamo un colpo al rallentatore e le ragazze abbracciano.</v>
      </c>
    </row>
    <row r="22894">
      <c r="A22894" s="4" t="s">
        <v>28806</v>
      </c>
      <c r="B22894" s="4" t="s">
        <v>28813</v>
      </c>
      <c r="C22894" s="5" t="str">
        <f>IFERROR(__xludf.DUMMYFUNCTION("GOOGLETRANSLATE(B22894,""en"",""it"")"),"Il gioco è finito e le ragazze si stringono la mano.")</f>
        <v>Il gioco è finito e le ragazze si stringono la mano.</v>
      </c>
    </row>
    <row r="22895">
      <c r="A22895" s="4" t="s">
        <v>28814</v>
      </c>
      <c r="B22895" s="4" t="s">
        <v>28815</v>
      </c>
      <c r="C22895" s="5" t="str">
        <f>IFERROR(__xludf.DUMMYFUNCTION("GOOGLETRANSLATE(B22895,""en"",""it"")"),"Due uomini sono in piscina mettendo in giro gli attrezzi.")</f>
        <v>Due uomini sono in piscina mettendo in giro gli attrezzi.</v>
      </c>
    </row>
    <row r="22896">
      <c r="A22896" s="4" t="s">
        <v>28814</v>
      </c>
      <c r="B22896" s="4" t="s">
        <v>28816</v>
      </c>
      <c r="C22896" s="5" t="str">
        <f>IFERROR(__xludf.DUMMYFUNCTION("GOOGLETRANSLATE(B22896,""en"",""it"")"),"L'uomo in rosso gli mette la pausa in bocca, quindi galleggia all'indietro sulla schiena.")</f>
        <v>L'uomo in rosso gli mette la pausa in bocca, quindi galleggia all'indietro sulla schiena.</v>
      </c>
    </row>
    <row r="22897">
      <c r="A22897" s="4" t="s">
        <v>28814</v>
      </c>
      <c r="B22897" s="4" t="s">
        <v>28817</v>
      </c>
      <c r="C22897" s="5" t="str">
        <f>IFERROR(__xludf.DUMMYFUNCTION("GOOGLETRANSLATE(B22897,""en"",""it"")"),"Vediamo l'uomo in rosso e blu mettere una soluzione sui loro occhiali prima di provarli.")</f>
        <v>Vediamo l'uomo in rosso e blu mettere una soluzione sui loro occhiali prima di provarli.</v>
      </c>
    </row>
    <row r="22898">
      <c r="A22898" s="4" t="s">
        <v>28814</v>
      </c>
      <c r="B22898" s="4" t="s">
        <v>28818</v>
      </c>
      <c r="C22898" s="5" t="str">
        <f>IFERROR(__xludf.DUMMYFUNCTION("GOOGLETRANSLATE(B22898,""en"",""it"")"),"L'uomo in rosso gli mette il tubo in bocca, quindi la pausa prima di andare sott'acqua.")</f>
        <v>L'uomo in rosso gli mette il tubo in bocca, quindi la pausa prima di andare sott'acqua.</v>
      </c>
    </row>
    <row r="22899">
      <c r="A22899" s="4" t="s">
        <v>28814</v>
      </c>
      <c r="B22899" s="4" t="s">
        <v>28819</v>
      </c>
      <c r="C22899" s="5" t="str">
        <f>IFERROR(__xludf.DUMMYFUNCTION("GOOGLETRANSLATE(B22899,""en"",""it"")"),"Vediamo quindi un segno capovolto fluttuare nell'acqua.")</f>
        <v>Vediamo quindi un segno capovolto fluttuare nell'acqua.</v>
      </c>
    </row>
    <row r="22900">
      <c r="A22900" s="4" t="s">
        <v>28820</v>
      </c>
      <c r="B22900" s="4" t="s">
        <v>28821</v>
      </c>
      <c r="C22900" s="5" t="str">
        <f>IFERROR(__xludf.DUMMYFUNCTION("GOOGLETRANSLATE(B22900,""en"",""it"")"),"Una bambina è seduta accanto a tutti i suoi giocattoli che mangiano un gelato in modo molto disordinato.")</f>
        <v>Una bambina è seduta accanto a tutti i suoi giocattoli che mangiano un gelato in modo molto disordinato.</v>
      </c>
    </row>
    <row r="22901">
      <c r="A22901" s="4" t="s">
        <v>28820</v>
      </c>
      <c r="B22901" s="4" t="s">
        <v>28822</v>
      </c>
      <c r="C22901" s="5" t="str">
        <f>IFERROR(__xludf.DUMMYFUNCTION("GOOGLETRANSLATE(B22901,""en"",""it"")"),"Sua madre le toglie il gelato e lei inizia a piangere.")</f>
        <v>Sua madre le toglie il gelato e lei inizia a piangere.</v>
      </c>
    </row>
    <row r="22902">
      <c r="A22902" s="4" t="s">
        <v>28820</v>
      </c>
      <c r="B22902" s="4" t="s">
        <v>28823</v>
      </c>
      <c r="C22902" s="5" t="str">
        <f>IFERROR(__xludf.DUMMYFUNCTION("GOOGLETRANSLATE(B22902,""en"",""it"")"),"Sua madre le regala il gelato ed è di nuovo felice, tornando a mangiarlo.")</f>
        <v>Sua madre le regala il gelato ed è di nuovo felice, tornando a mangiarlo.</v>
      </c>
    </row>
    <row r="22903">
      <c r="A22903" s="4" t="s">
        <v>28820</v>
      </c>
      <c r="B22903" s="4" t="s">
        <v>28824</v>
      </c>
      <c r="C22903" s="5" t="str">
        <f>IFERROR(__xludf.DUMMYFUNCTION("GOOGLETRANSLATE(B22903,""en"",""it"")"),"Gioca con i suoi giocattoli con le sue dita appiccicose di gelato e il suo gelato nell'altra parte.")</f>
        <v>Gioca con i suoi giocattoli con le sue dita appiccicose di gelato e il suo gelato nell'altra parte.</v>
      </c>
    </row>
    <row r="22904">
      <c r="A22904" s="4" t="s">
        <v>28825</v>
      </c>
      <c r="B22904" s="4" t="s">
        <v>28826</v>
      </c>
      <c r="C22904" s="5" t="str">
        <f>IFERROR(__xludf.DUMMYFUNCTION("GOOGLETRANSLATE(B22904,""en"",""it"")"),"Vediamo una pausa uomo ballare in una piazza dell'ufficio.")</f>
        <v>Vediamo una pausa uomo ballare in una piazza dell'ufficio.</v>
      </c>
    </row>
    <row r="22905">
      <c r="A22905" s="4" t="s">
        <v>28825</v>
      </c>
      <c r="B22905" s="4" t="s">
        <v>28827</v>
      </c>
      <c r="C22905" s="5" t="str">
        <f>IFERROR(__xludf.DUMMYFUNCTION("GOOGLETRANSLATE(B22905,""en"",""it"")"),"Cambiamo e vediamo uomini diversi che si rompono danzando in piazze di ufficio e lobby.")</f>
        <v>Cambiamo e vediamo uomini diversi che si rompono danzando in piazze di ufficio e lobby.</v>
      </c>
    </row>
    <row r="22906">
      <c r="A22906" s="4" t="s">
        <v>28825</v>
      </c>
      <c r="B22906" s="4" t="s">
        <v>28828</v>
      </c>
      <c r="C22906" s="5" t="str">
        <f>IFERROR(__xludf.DUMMYFUNCTION("GOOGLETRANSLATE(B22906,""en"",""it"")"),"Vediamo l'uomo fare una verticale.")</f>
        <v>Vediamo l'uomo fare una verticale.</v>
      </c>
    </row>
    <row r="22907">
      <c r="A22907" s="4" t="s">
        <v>28825</v>
      </c>
      <c r="B22907" s="4" t="s">
        <v>28829</v>
      </c>
      <c r="C22907" s="5" t="str">
        <f>IFERROR(__xludf.DUMMYFUNCTION("GOOGLETRANSLATE(B22907,""en"",""it"")"),"Vediamo un uomo decollare e gettare la giacca sulla telecamera.")</f>
        <v>Vediamo un uomo decollare e gettare la giacca sulla telecamera.</v>
      </c>
    </row>
    <row r="22908">
      <c r="A22908" s="4" t="s">
        <v>28825</v>
      </c>
      <c r="B22908" s="4" t="s">
        <v>28830</v>
      </c>
      <c r="C22908" s="5" t="str">
        <f>IFERROR(__xludf.DUMMYFUNCTION("GOOGLETRANSLATE(B22908,""en"",""it"")"),"Vediamo lo schermo di chiusura nera.")</f>
        <v>Vediamo lo schermo di chiusura nera.</v>
      </c>
    </row>
    <row r="22909">
      <c r="A22909" s="4" t="s">
        <v>28831</v>
      </c>
      <c r="B22909" s="4" t="s">
        <v>28832</v>
      </c>
      <c r="C22909" s="5" t="str">
        <f>IFERROR(__xludf.DUMMYFUNCTION("GOOGLETRANSLATE(B22909,""en"",""it"")"),"Un uomo che indossa un cappello da baseball nero e una camicia nera suona una chitarra acustica.")</f>
        <v>Un uomo che indossa un cappello da baseball nero e una camicia nera suona una chitarra acustica.</v>
      </c>
    </row>
    <row r="22910">
      <c r="A22910" s="4" t="s">
        <v>28831</v>
      </c>
      <c r="B22910" s="4" t="s">
        <v>28833</v>
      </c>
      <c r="C22910" s="5" t="str">
        <f>IFERROR(__xludf.DUMMYFUNCTION("GOOGLETRANSLATE(B22910,""en"",""it"")"),"Sta suonando la canzone dei Beatles ieri alla sua chitarra.")</f>
        <v>Sta suonando la canzone dei Beatles ieri alla sua chitarra.</v>
      </c>
    </row>
    <row r="22911">
      <c r="A22911" s="4" t="s">
        <v>28831</v>
      </c>
      <c r="B22911" s="4" t="s">
        <v>28834</v>
      </c>
      <c r="C22911" s="5" t="str">
        <f>IFERROR(__xludf.DUMMYFUNCTION("GOOGLETRANSLATE(B22911,""en"",""it"")"),"Suona fino a quando l'intera canzone è finita e poi si ferma e sorride alla telecamera.")</f>
        <v>Suona fino a quando l'intera canzone è finita e poi si ferma e sorride alla telecamera.</v>
      </c>
    </row>
    <row r="22912">
      <c r="A22912" s="4" t="s">
        <v>28835</v>
      </c>
      <c r="B22912" s="4" t="s">
        <v>28836</v>
      </c>
      <c r="C22912" s="5" t="str">
        <f>IFERROR(__xludf.DUMMYFUNCTION("GOOGLETRANSLATE(B22912,""en"",""it"")"),"Un gruppo di persone trasporta una barca in testa.")</f>
        <v>Un gruppo di persone trasporta una barca in testa.</v>
      </c>
    </row>
    <row r="22913">
      <c r="A22913" s="4" t="s">
        <v>28835</v>
      </c>
      <c r="B22913" s="4" t="s">
        <v>28837</v>
      </c>
      <c r="C22913" s="5" t="str">
        <f>IFERROR(__xludf.DUMMYFUNCTION("GOOGLETRANSLATE(B22913,""en"",""it"")"),"La gente salta all'indietro sul fiume e galleggia sulla schiena.")</f>
        <v>La gente salta all'indietro sul fiume e galleggia sulla schiena.</v>
      </c>
    </row>
    <row r="22914">
      <c r="A22914" s="4" t="s">
        <v>28835</v>
      </c>
      <c r="B22914" s="4" t="s">
        <v>28838</v>
      </c>
      <c r="C22914" s="5" t="str">
        <f>IFERROR(__xludf.DUMMYFUNCTION("GOOGLETRANSLATE(B22914,""en"",""it"")"),"Quindi, le persone in una zattera di barca lungo le acque mosse di un fiume mentre pagavano.")</f>
        <v>Quindi, le persone in una zattera di barca lungo le acque mosse di un fiume mentre pagavano.</v>
      </c>
    </row>
    <row r="22915">
      <c r="A22915" s="4" t="s">
        <v>28835</v>
      </c>
      <c r="B22915" s="6" t="s">
        <v>28839</v>
      </c>
      <c r="C22915" s="5" t="str">
        <f>IFERROR(__xludf.DUMMYFUNCTION("GOOGLETRANSLATE(B22915,""en"",""it"")"),"Le persone in due barche si incontrano e iniziano a buttarsi in acqua usando i remi, quindi alcune travi saltano in acqua.")</f>
        <v>Le persone in due barche si incontrano e iniziano a buttarsi in acqua usando i remi, quindi alcune travi saltano in acqua.</v>
      </c>
    </row>
    <row r="22916">
      <c r="A22916" s="4" t="s">
        <v>28835</v>
      </c>
      <c r="B22916" s="4" t="s">
        <v>28840</v>
      </c>
      <c r="C22916" s="5" t="str">
        <f>IFERROR(__xludf.DUMMYFUNCTION("GOOGLETRANSLATE(B22916,""en"",""it"")"),"Le persone saltano da un balcone sulle rocce all'acqua mentre altre persone continuano a rafting.")</f>
        <v>Le persone saltano da un balcone sulle rocce all'acqua mentre altre persone continuano a rafting.</v>
      </c>
    </row>
    <row r="22917">
      <c r="A22917" s="4" t="s">
        <v>28841</v>
      </c>
      <c r="B22917" s="4" t="s">
        <v>28842</v>
      </c>
      <c r="C22917" s="5" t="str">
        <f>IFERROR(__xludf.DUMMYFUNCTION("GOOGLETRANSLATE(B22917,""en"",""it"")"),"Una bambina è in piedi dietro un uomo in un bagno che si trova in un lavandino.")</f>
        <v>Una bambina è in piedi dietro un uomo in un bagno che si trova in un lavandino.</v>
      </c>
    </row>
    <row r="22918">
      <c r="A22918" s="4" t="s">
        <v>28841</v>
      </c>
      <c r="B22918" s="6" t="s">
        <v>28843</v>
      </c>
      <c r="C22918" s="5" t="str">
        <f>IFERROR(__xludf.DUMMYFUNCTION("GOOGLETRANSLATE(B22918,""en"",""it"")"),"L'uomo si gira, afferra l'asciugamano e inizia ad asciugarsi mentre la ragazza è ancora in piedi a terra, quindi rimette l'asciugamano quando ha finito.")</f>
        <v>L'uomo si gira, afferra l'asciugamano e inizia ad asciugarsi mentre la ragazza è ancora in piedi a terra, quindi rimette l'asciugamano quando ha finito.</v>
      </c>
    </row>
    <row r="22919">
      <c r="A22919" s="4" t="s">
        <v>28841</v>
      </c>
      <c r="B22919" s="6" t="s">
        <v>28844</v>
      </c>
      <c r="C22919" s="5" t="str">
        <f>IFERROR(__xludf.DUMMYFUNCTION("GOOGLETRANSLATE(B22919,""en"",""it"")"),"L'uomo quindi raccoglie la bambina e inizia a lavarsi il viso e mentre la bambina si lava i denti mentre si sta pulindo il viso.")</f>
        <v>L'uomo quindi raccoglie la bambina e inizia a lavarsi il viso e mentre la bambina si lava i denti mentre si sta pulindo il viso.</v>
      </c>
    </row>
    <row r="22920">
      <c r="A22920" s="4" t="s">
        <v>28845</v>
      </c>
      <c r="B22920" s="4" t="s">
        <v>28846</v>
      </c>
      <c r="C22920" s="5" t="str">
        <f>IFERROR(__xludf.DUMMYFUNCTION("GOOGLETRANSLATE(B22920,""en"",""it"")"),"Un uomo sta parlando di fronte a due grandi finestre.")</f>
        <v>Un uomo sta parlando di fronte a due grandi finestre.</v>
      </c>
    </row>
    <row r="22921">
      <c r="A22921" s="4" t="s">
        <v>28845</v>
      </c>
      <c r="B22921" s="4" t="s">
        <v>28847</v>
      </c>
      <c r="C22921" s="5" t="str">
        <f>IFERROR(__xludf.DUMMYFUNCTION("GOOGLETRANSLATE(B22921,""en"",""it"")"),"Due uomini si inginocchiano a terra.")</f>
        <v>Due uomini si inginocchiano a terra.</v>
      </c>
    </row>
    <row r="22922">
      <c r="A22922" s="4" t="s">
        <v>28845</v>
      </c>
      <c r="B22922" s="4" t="s">
        <v>28848</v>
      </c>
      <c r="C22922" s="5" t="str">
        <f>IFERROR(__xludf.DUMMYFUNCTION("GOOGLETRANSLATE(B22922,""en"",""it"")"),"L'uomo è tornato a parlare davanti alle finestre.")</f>
        <v>L'uomo è tornato a parlare davanti alle finestre.</v>
      </c>
    </row>
    <row r="22923">
      <c r="A22923" s="4" t="s">
        <v>28845</v>
      </c>
      <c r="B22923" s="4" t="s">
        <v>28849</v>
      </c>
      <c r="C22923" s="5" t="str">
        <f>IFERROR(__xludf.DUMMYFUNCTION("GOOGLETRANSLATE(B22923,""en"",""it"")"),"Due uomini sono seduti su un treno a parlare.")</f>
        <v>Due uomini sono seduti su un treno a parlare.</v>
      </c>
    </row>
    <row r="22924">
      <c r="A22924" s="4" t="s">
        <v>28845</v>
      </c>
      <c r="B22924" s="4" t="s">
        <v>28850</v>
      </c>
      <c r="C22924" s="5" t="str">
        <f>IFERROR(__xludf.DUMMYFUNCTION("GOOGLETRANSLATE(B22924,""en"",""it"")"),"Un uomo in un cappotto nero sta camminando per la strada.")</f>
        <v>Un uomo in un cappotto nero sta camminando per la strada.</v>
      </c>
    </row>
    <row r="22925">
      <c r="A22925" s="4" t="s">
        <v>28845</v>
      </c>
      <c r="B22925" s="4" t="s">
        <v>28851</v>
      </c>
      <c r="C22925" s="5" t="str">
        <f>IFERROR(__xludf.DUMMYFUNCTION("GOOGLETRANSLATE(B22925,""en"",""it"")"),"Ha in mano un libro bianco in mano e scrive su di esso.")</f>
        <v>Ha in mano un libro bianco in mano e scrive su di esso.</v>
      </c>
    </row>
    <row r="22926">
      <c r="A22926" s="4" t="s">
        <v>28845</v>
      </c>
      <c r="B22926" s="4" t="s">
        <v>28852</v>
      </c>
      <c r="C22926" s="5" t="str">
        <f>IFERROR(__xludf.DUMMYFUNCTION("GOOGLETRANSLATE(B22926,""en"",""it"")"),"Sta quindi alzando alcune scale su un ponte con altre persone.")</f>
        <v>Sta quindi alzando alcune scale su un ponte con altre persone.</v>
      </c>
    </row>
    <row r="22927">
      <c r="A22927" s="4" t="s">
        <v>28845</v>
      </c>
      <c r="B22927" s="4" t="s">
        <v>28853</v>
      </c>
      <c r="C22927" s="5" t="str">
        <f>IFERROR(__xludf.DUMMYFUNCTION("GOOGLETRANSLATE(B22927,""en"",""it"")"),"Si sta sfruttando in cima al ponte.")</f>
        <v>Si sta sfruttando in cima al ponte.</v>
      </c>
    </row>
    <row r="22928">
      <c r="A22928" s="4" t="s">
        <v>28845</v>
      </c>
      <c r="B22928" s="4" t="s">
        <v>28854</v>
      </c>
      <c r="C22928" s="5" t="str">
        <f>IFERROR(__xludf.DUMMYFUNCTION("GOOGLETRANSLATE(B22928,""en"",""it"")"),"Salta giù dal ponte e Bungee salta.")</f>
        <v>Salta giù dal ponte e Bungee salta.</v>
      </c>
    </row>
    <row r="22929">
      <c r="A22929" s="4" t="s">
        <v>28845</v>
      </c>
      <c r="B22929" s="4" t="s">
        <v>28855</v>
      </c>
      <c r="C22929" s="5" t="str">
        <f>IFERROR(__xludf.DUMMYFUNCTION("GOOGLETRANSLATE(B22929,""en"",""it"")"),"Un uomo in un giubbotto arancione lo mette nella barca.")</f>
        <v>Un uomo in un giubbotto arancione lo mette nella barca.</v>
      </c>
    </row>
    <row r="22930">
      <c r="A22930" s="4" t="s">
        <v>28845</v>
      </c>
      <c r="B22930" s="6" t="s">
        <v>28856</v>
      </c>
      <c r="C22930" s="5" t="str">
        <f>IFERROR(__xludf.DUMMYFUNCTION("GOOGLETRANSLATE(B22930,""en"",""it"")"),"Un uomo che tiene una macchina fotografica è in piedi sul marciapiede e guarda un altro viaggio e cade e corre per aiutarlo.")</f>
        <v>Un uomo che tiene una macchina fotografica è in piedi sul marciapiede e guarda un altro viaggio e cade e corre per aiutarlo.</v>
      </c>
    </row>
    <row r="22931">
      <c r="A22931" s="4" t="s">
        <v>28857</v>
      </c>
      <c r="B22931" s="4" t="s">
        <v>28858</v>
      </c>
      <c r="C22931" s="5" t="str">
        <f>IFERROR(__xludf.DUMMYFUNCTION("GOOGLETRANSLATE(B22931,""en"",""it"")"),"Un uomo viene mostrato nell'acqua, indossa un casco, con in mano una pagaia e seduto in un kayak.")</f>
        <v>Un uomo viene mostrato nell'acqua, indossa un casco, con in mano una pagaia e seduto in un kayak.</v>
      </c>
    </row>
    <row r="22932">
      <c r="A22932" s="4" t="s">
        <v>28857</v>
      </c>
      <c r="B22932" s="4" t="s">
        <v>28859</v>
      </c>
      <c r="C22932" s="5" t="str">
        <f>IFERROR(__xludf.DUMMYFUNCTION("GOOGLETRANSLATE(B22932,""en"",""it"")"),"Sta parlando con la telecamera di come usare il kayak.")</f>
        <v>Sta parlando con la telecamera di come usare il kayak.</v>
      </c>
    </row>
    <row r="22933">
      <c r="A22933" s="4" t="s">
        <v>28857</v>
      </c>
      <c r="B22933" s="4" t="s">
        <v>28860</v>
      </c>
      <c r="C22933" s="5" t="str">
        <f>IFERROR(__xludf.DUMMYFUNCTION("GOOGLETRANSLATE(B22933,""en"",""it"")"),"Mostra diversi movimenti dondolanti e remunosi e capovolge il kayak una volta alla fine.")</f>
        <v>Mostra diversi movimenti dondolanti e remunosi e capovolge il kayak una volta alla fine.</v>
      </c>
    </row>
    <row r="22934">
      <c r="A22934" s="4" t="s">
        <v>28861</v>
      </c>
      <c r="B22934" s="4" t="s">
        <v>28862</v>
      </c>
      <c r="C22934" s="5" t="str">
        <f>IFERROR(__xludf.DUMMYFUNCTION("GOOGLETRANSLATE(B22934,""en"",""it"")"),"Un gruppo sta giocando a calcio su un campo.")</f>
        <v>Un gruppo sta giocando a calcio su un campo.</v>
      </c>
    </row>
    <row r="22935">
      <c r="A22935" s="4" t="s">
        <v>28861</v>
      </c>
      <c r="B22935" s="4" t="s">
        <v>28863</v>
      </c>
      <c r="C22935" s="5" t="str">
        <f>IFERROR(__xludf.DUMMYFUNCTION("GOOGLETRANSLATE(B22935,""en"",""it"")"),"Le ragazze inseguono la palla, colpendola con bastoncini, cercando di portarla in porta.")</f>
        <v>Le ragazze inseguono la palla, colpendola con bastoncini, cercando di portarla in porta.</v>
      </c>
    </row>
    <row r="22936">
      <c r="A22936" s="4" t="s">
        <v>28864</v>
      </c>
      <c r="B22936" s="6" t="s">
        <v>28865</v>
      </c>
      <c r="C22936" s="5" t="str">
        <f>IFERROR(__xludf.DUMMYFUNCTION("GOOGLETRANSLATE(B22936,""en"",""it"")"),"Un uomo pulisce un punto nel lavello della cucina con una spugna e una bottiglia di Clorox Cleaner, in uno spot in bianco e nero.")</f>
        <v>Un uomo pulisce un punto nel lavello della cucina con una spugna e una bottiglia di Clorox Cleaner, in uno spot in bianco e nero.</v>
      </c>
    </row>
    <row r="22937">
      <c r="A22937" s="4" t="s">
        <v>28864</v>
      </c>
      <c r="B22937" s="4" t="s">
        <v>28866</v>
      </c>
      <c r="C22937" s="5" t="str">
        <f>IFERROR(__xludf.DUMMYFUNCTION("GOOGLETRANSLATE(B22937,""en"",""it"")"),"Un colpo di una città suburbana è mostrato con un primo piano del nome della città su un cartello della città.")</f>
        <v>Un colpo di una città suburbana è mostrato con un primo piano del nome della città su un cartello della città.</v>
      </c>
    </row>
    <row r="22938">
      <c r="A22938" s="4" t="s">
        <v>28864</v>
      </c>
      <c r="B22938" s="4" t="s">
        <v>28867</v>
      </c>
      <c r="C22938" s="5" t="str">
        <f>IFERROR(__xludf.DUMMYFUNCTION("GOOGLETRANSLATE(B22938,""en"",""it"")"),"Un uomo in un grembiule si trova di fronte a un lavello della cucina che mette via i piatti in uno scarico.")</f>
        <v>Un uomo in un grembiule si trova di fronte a un lavello della cucina che mette via i piatti in uno scarico.</v>
      </c>
    </row>
    <row r="22939">
      <c r="A22939" s="4" t="s">
        <v>28864</v>
      </c>
      <c r="B22939" s="6" t="s">
        <v>28868</v>
      </c>
      <c r="C22939" s="5" t="str">
        <f>IFERROR(__xludf.DUMMYFUNCTION("GOOGLETRANSLATE(B22939,""en"",""it"")"),"L'uomo pulisce un punto nel lavandino con una bottiglia di clorox e una spugna, prima che appaia un modello di marketing con lettere e primo piano della bottiglia di Clorox.")</f>
        <v>L'uomo pulisce un punto nel lavandino con una bottiglia di clorox e una spugna, prima che appaia un modello di marketing con lettere e primo piano della bottiglia di Clorox.</v>
      </c>
    </row>
    <row r="22940">
      <c r="A22940" s="4" t="s">
        <v>28869</v>
      </c>
      <c r="B22940" s="6" t="s">
        <v>28870</v>
      </c>
      <c r="C22940" s="5" t="str">
        <f>IFERROR(__xludf.DUMMYFUNCTION("GOOGLETRANSLATE(B22940,""en"",""it"")"),"Una donna tiene la ruota dello yacht che naviga nell'oceano e un delfino nuota vicino allo yacht.")</f>
        <v>Una donna tiene la ruota dello yacht che naviga nell'oceano e un delfino nuota vicino allo yacht.</v>
      </c>
    </row>
    <row r="22941">
      <c r="A22941" s="4" t="s">
        <v>28869</v>
      </c>
      <c r="B22941" s="4" t="s">
        <v>28871</v>
      </c>
      <c r="C22941" s="5" t="str">
        <f>IFERROR(__xludf.DUMMYFUNCTION("GOOGLETRANSLATE(B22941,""en"",""it"")"),"Quindi, un giovane parla e da tempo ti mostra il tramonto.")</f>
        <v>Quindi, un giovane parla e da tempo ti mostra il tramonto.</v>
      </c>
    </row>
    <row r="22942">
      <c r="A22942" s="4" t="s">
        <v>28869</v>
      </c>
      <c r="B22942" s="4" t="s">
        <v>28872</v>
      </c>
      <c r="C22942" s="5" t="str">
        <f>IFERROR(__xludf.DUMMYFUNCTION("GOOGLETRANSLATE(B22942,""en"",""it"")"),"Quattro persone iniziano a ballare nello yacht e un ragazzo balla contro la vela.")</f>
        <v>Quattro persone iniziano a ballare nello yacht e un ragazzo balla contro la vela.</v>
      </c>
    </row>
    <row r="22943">
      <c r="A22943" s="4" t="s">
        <v>28869</v>
      </c>
      <c r="B22943" s="4" t="s">
        <v>28873</v>
      </c>
      <c r="C22943" s="5" t="str">
        <f>IFERROR(__xludf.DUMMYFUNCTION("GOOGLETRANSLATE(B22943,""en"",""it"")"),"Le quattro persone tiene un pesce grosso con entrambe le mani mentre lo yacht continua a navigare.")</f>
        <v>Le quattro persone tiene un pesce grosso con entrambe le mani mentre lo yacht continua a navigare.</v>
      </c>
    </row>
    <row r="22944">
      <c r="A22944" s="4" t="s">
        <v>28874</v>
      </c>
      <c r="B22944" s="4" t="s">
        <v>28875</v>
      </c>
      <c r="C22944" s="5" t="str">
        <f>IFERROR(__xludf.DUMMYFUNCTION("GOOGLETRANSLATE(B22944,""en"",""it"")"),"Una donna vestita in modo molto comodamente sta facendo un esercizio su un ginocchio.")</f>
        <v>Una donna vestita in modo molto comodamente sta facendo un esercizio su un ginocchio.</v>
      </c>
    </row>
    <row r="22945">
      <c r="A22945" s="4" t="s">
        <v>28874</v>
      </c>
      <c r="B22945" s="4" t="s">
        <v>28876</v>
      </c>
      <c r="C22945" s="5" t="str">
        <f>IFERROR(__xludf.DUMMYFUNCTION("GOOGLETRANSLATE(B22945,""en"",""it"")"),"Mette il braccio in aria e fissa in lontananza tenendolo in posizione.")</f>
        <v>Mette il braccio in aria e fissa in lontananza tenendolo in posizione.</v>
      </c>
    </row>
    <row r="22946">
      <c r="A22946" s="4" t="s">
        <v>28874</v>
      </c>
      <c r="B22946" s="4" t="s">
        <v>28877</v>
      </c>
      <c r="C22946" s="5" t="str">
        <f>IFERROR(__xludf.DUMMYFUNCTION("GOOGLETRANSLATE(B22946,""en"",""it"")"),"Dopo averlo tenuto sul posto per alcuni minuti, mette il braccio e poi si rivolge in avanti.")</f>
        <v>Dopo averlo tenuto sul posto per alcuni minuti, mette il braccio e poi si rivolge in avanti.</v>
      </c>
    </row>
    <row r="22947">
      <c r="A22947" s="4" t="s">
        <v>28874</v>
      </c>
      <c r="B22947" s="4" t="s">
        <v>28878</v>
      </c>
      <c r="C22947" s="5" t="str">
        <f>IFERROR(__xludf.DUMMYFUNCTION("GOOGLETRANSLATE(B22947,""en"",""it"")"),"Continua a rimanere in quella posizione.")</f>
        <v>Continua a rimanere in quella posizione.</v>
      </c>
    </row>
    <row r="22948">
      <c r="A22948" s="4" t="s">
        <v>28879</v>
      </c>
      <c r="B22948" s="4" t="s">
        <v>28880</v>
      </c>
      <c r="C22948" s="5" t="str">
        <f>IFERROR(__xludf.DUMMYFUNCTION("GOOGLETRANSLATE(B22948,""en"",""it"")"),"Si vede una visione in prima persona di un uomo che cavalca un tosaerba da slittamento.")</f>
        <v>Si vede una visione in prima persona di un uomo che cavalca un tosaerba da slittamento.</v>
      </c>
    </row>
    <row r="22949">
      <c r="A22949" s="4" t="s">
        <v>28879</v>
      </c>
      <c r="B22949" s="4" t="s">
        <v>28881</v>
      </c>
      <c r="C22949" s="5" t="str">
        <f>IFERROR(__xludf.DUMMYFUNCTION("GOOGLETRANSLATE(B22949,""en"",""it"")"),"Accenda rapidamente, falciando il prato.")</f>
        <v>Accenda rapidamente, falciando il prato.</v>
      </c>
    </row>
    <row r="22950">
      <c r="A22950" s="4" t="s">
        <v>28879</v>
      </c>
      <c r="B22950" s="4" t="s">
        <v>28882</v>
      </c>
      <c r="C22950" s="5" t="str">
        <f>IFERROR(__xludf.DUMMYFUNCTION("GOOGLETRANSLATE(B22950,""en"",""it"")"),"Continua fino a quando l'intero cortile è falciata.")</f>
        <v>Continua fino a quando l'intero cortile è falciata.</v>
      </c>
    </row>
    <row r="22951">
      <c r="A22951" s="4" t="s">
        <v>28883</v>
      </c>
      <c r="B22951" s="4" t="s">
        <v>28884</v>
      </c>
      <c r="C22951" s="5" t="str">
        <f>IFERROR(__xludf.DUMMYFUNCTION("GOOGLETRANSLATE(B22951,""en"",""it"")"),"Una ragazza si esibisce su un raggio di equilibrio.")</f>
        <v>Una ragazza si esibisce su un raggio di equilibrio.</v>
      </c>
    </row>
    <row r="22952">
      <c r="A22952" s="4" t="s">
        <v>28883</v>
      </c>
      <c r="B22952" s="4" t="s">
        <v>28885</v>
      </c>
      <c r="C22952" s="5" t="str">
        <f>IFERROR(__xludf.DUMMYFUNCTION("GOOGLETRANSLATE(B22952,""en"",""it"")"),"La ragazza si alza ed esegue due lanci.")</f>
        <v>La ragazza si alza ed esegue due lanci.</v>
      </c>
    </row>
    <row r="22953">
      <c r="A22953" s="4" t="s">
        <v>28883</v>
      </c>
      <c r="B22953" s="4" t="s">
        <v>28886</v>
      </c>
      <c r="C22953" s="5" t="str">
        <f>IFERROR(__xludf.DUMMYFUNCTION("GOOGLETRANSLATE(B22953,""en"",""it"")"),"La ragazza salta in aria due volte.")</f>
        <v>La ragazza salta in aria due volte.</v>
      </c>
    </row>
    <row r="22954">
      <c r="A22954" s="4" t="s">
        <v>28883</v>
      </c>
      <c r="B22954" s="4" t="s">
        <v>28887</v>
      </c>
      <c r="C22954" s="5" t="str">
        <f>IFERROR(__xludf.DUMMYFUNCTION("GOOGLETRANSLATE(B22954,""en"",""it"")"),"La ragazza si siede, poi si torna in piedi.")</f>
        <v>La ragazza si siede, poi si torna in piedi.</v>
      </c>
    </row>
    <row r="22955">
      <c r="A22955" s="4" t="s">
        <v>28883</v>
      </c>
      <c r="B22955" s="4" t="s">
        <v>28888</v>
      </c>
      <c r="C22955" s="5" t="str">
        <f>IFERROR(__xludf.DUMMYFUNCTION("GOOGLETRANSLATE(B22955,""en"",""it"")"),"La ragazza si lancia due volte attraverso il raggio e smonta il raggio.")</f>
        <v>La ragazza si lancia due volte attraverso il raggio e smonta il raggio.</v>
      </c>
    </row>
    <row r="22956">
      <c r="A22956" s="4" t="s">
        <v>28883</v>
      </c>
      <c r="B22956" s="4" t="s">
        <v>28889</v>
      </c>
      <c r="C22956" s="5" t="str">
        <f>IFERROR(__xludf.DUMMYFUNCTION("GOOGLETRANSLATE(B22956,""en"",""it"")"),"La ragazza alza le braccia e si gira in alte cinque e abbraccia una signora in piedi nelle vicinanze.")</f>
        <v>La ragazza alza le braccia e si gira in alte cinque e abbraccia una signora in piedi nelle vicinanze.</v>
      </c>
    </row>
    <row r="22957">
      <c r="A22957" s="4" t="s">
        <v>28890</v>
      </c>
      <c r="B22957" s="4" t="s">
        <v>28891</v>
      </c>
      <c r="C22957" s="5" t="str">
        <f>IFERROR(__xludf.DUMMYFUNCTION("GOOGLETRANSLATE(B22957,""en"",""it"")"),"Un piccolo gruppo di bambini viene visto in giro in auto paraurti che si schiantano l'uno dall'altro.")</f>
        <v>Un piccolo gruppo di bambini viene visto in giro in auto paraurti che si schiantano l'uno dall'altro.</v>
      </c>
    </row>
    <row r="22958">
      <c r="A22958" s="4" t="s">
        <v>28890</v>
      </c>
      <c r="B22958" s="4" t="s">
        <v>28892</v>
      </c>
      <c r="C22958" s="5" t="str">
        <f>IFERROR(__xludf.DUMMYFUNCTION("GOOGLETRANSLATE(B22958,""en"",""it"")"),"I bambini si muovono in giro per il gioco colpendo l'uno nell'altro.")</f>
        <v>I bambini si muovono in giro per il gioco colpendo l'uno nell'altro.</v>
      </c>
    </row>
    <row r="22959">
      <c r="A22959" s="4" t="s">
        <v>28890</v>
      </c>
      <c r="B22959" s="4" t="s">
        <v>28893</v>
      </c>
      <c r="C22959" s="5" t="str">
        <f>IFERROR(__xludf.DUMMYFUNCTION("GOOGLETRANSLATE(B22959,""en"",""it"")"),"Il gioco continua con i bambini che giocano e si schiantano l'uno contro l'altro.")</f>
        <v>Il gioco continua con i bambini che giocano e si schiantano l'uno contro l'altro.</v>
      </c>
    </row>
    <row r="22960">
      <c r="A22960" s="4" t="s">
        <v>28894</v>
      </c>
      <c r="B22960" s="4" t="s">
        <v>28895</v>
      </c>
      <c r="C22960" s="5" t="str">
        <f>IFERROR(__xludf.DUMMYFUNCTION("GOOGLETRANSLATE(B22960,""en"",""it"")"),"Un giovane asciuga un coperchio di pentola mentre balla.")</f>
        <v>Un giovane asciuga un coperchio di pentola mentre balla.</v>
      </c>
    </row>
    <row r="22961">
      <c r="A22961" s="4" t="s">
        <v>28894</v>
      </c>
      <c r="B22961" s="4" t="s">
        <v>28896</v>
      </c>
      <c r="C22961" s="5" t="str">
        <f>IFERROR(__xludf.DUMMYFUNCTION("GOOGLETRANSLATE(B22961,""en"",""it"")"),"Inoltre, un adolescente lava una tazza di acciaio e ballo.")</f>
        <v>Inoltre, un adolescente lava una tazza di acciaio e ballo.</v>
      </c>
    </row>
    <row r="22962">
      <c r="A22962" s="4" t="s">
        <v>28894</v>
      </c>
      <c r="B22962" s="4" t="s">
        <v>28897</v>
      </c>
      <c r="C22962" s="5" t="str">
        <f>IFERROR(__xludf.DUMMYFUNCTION("GOOGLETRANSLATE(B22962,""en"",""it"")"),"Una donna entra e poi lascia la cucina.")</f>
        <v>Una donna entra e poi lascia la cucina.</v>
      </c>
    </row>
    <row r="22963">
      <c r="A22963" s="4" t="s">
        <v>28898</v>
      </c>
      <c r="B22963" s="4" t="s">
        <v>28899</v>
      </c>
      <c r="C22963" s="5" t="str">
        <f>IFERROR(__xludf.DUMMYFUNCTION("GOOGLETRANSLATE(B22963,""en"",""it"")"),"Un giovane si siede su una fioriera di fronte a un edificio in mattoni.")</f>
        <v>Un giovane si siede su una fioriera di fronte a un edificio in mattoni.</v>
      </c>
    </row>
    <row r="22964">
      <c r="A22964" s="4" t="s">
        <v>28898</v>
      </c>
      <c r="B22964" s="4" t="s">
        <v>28900</v>
      </c>
      <c r="C22964" s="5" t="str">
        <f>IFERROR(__xludf.DUMMYFUNCTION("GOOGLETRANSLATE(B22964,""en"",""it"")"),"Un grafico è visto con i cartoni animati.")</f>
        <v>Un grafico è visto con i cartoni animati.</v>
      </c>
    </row>
    <row r="22965">
      <c r="A22965" s="4" t="s">
        <v>28898</v>
      </c>
      <c r="B22965" s="6" t="s">
        <v>28901</v>
      </c>
      <c r="C22965" s="5" t="str">
        <f>IFERROR(__xludf.DUMMYFUNCTION("GOOGLETRANSLATE(B22965,""en"",""it"")"),"Il giovane si siede su una fioriera con uno skateboard in grembo il giovane gira la sua tavola e fa trucchi per lo skateboard che cavalcano l'asfalto.")</f>
        <v>Il giovane si siede su una fioriera con uno skateboard in grembo il giovane gira la sua tavola e fa trucchi per lo skateboard che cavalcano l'asfalto.</v>
      </c>
    </row>
    <row r="22966">
      <c r="A22966" s="4" t="s">
        <v>28898</v>
      </c>
      <c r="B22966" s="4" t="s">
        <v>28902</v>
      </c>
      <c r="C22966" s="5" t="str">
        <f>IFERROR(__xludf.DUMMYFUNCTION("GOOGLETRANSLATE(B22966,""en"",""it"")"),"Il giovane fa trucchi per un cono di sicurezza arancione.")</f>
        <v>Il giovane fa trucchi per un cono di sicurezza arancione.</v>
      </c>
    </row>
    <row r="22967">
      <c r="A22967" s="4" t="s">
        <v>28898</v>
      </c>
      <c r="B22967" s="4" t="s">
        <v>28903</v>
      </c>
      <c r="C22967" s="5" t="str">
        <f>IFERROR(__xludf.DUMMYFUNCTION("GOOGLETRANSLATE(B22967,""en"",""it"")"),"Lo skateboarder si alza dalla sporgenza e si alza sullo skateboard.")</f>
        <v>Lo skateboarder si alza dalla sporgenza e si alza sullo skateboard.</v>
      </c>
    </row>
    <row r="22968">
      <c r="A22968" s="4" t="s">
        <v>28904</v>
      </c>
      <c r="B22968" s="4" t="s">
        <v>28905</v>
      </c>
      <c r="C22968" s="5" t="str">
        <f>IFERROR(__xludf.DUMMYFUNCTION("GOOGLETRANSLATE(B22968,""en"",""it"")"),"Viene visto un uomo parlare alla telecamera mentre si trova su una spiaggia accanto a una pala.")</f>
        <v>Viene visto un uomo parlare alla telecamera mentre si trova su una spiaggia accanto a una pala.</v>
      </c>
    </row>
    <row r="22969">
      <c r="A22969" s="4" t="s">
        <v>28904</v>
      </c>
      <c r="B22969" s="4" t="s">
        <v>28906</v>
      </c>
      <c r="C22969" s="5" t="str">
        <f>IFERROR(__xludf.DUMMYFUNCTION("GOOGLETRANSLATE(B22969,""en"",""it"")"),"L'uomo inizia quindi a spalare un mucchio di sporco e camminare verso l'acqua per riempire i secchi.")</f>
        <v>L'uomo inizia quindi a spalare un mucchio di sporco e camminare verso l'acqua per riempire i secchi.</v>
      </c>
    </row>
    <row r="22970">
      <c r="A22970" s="4" t="s">
        <v>28904</v>
      </c>
      <c r="B22970" s="4" t="s">
        <v>28907</v>
      </c>
      <c r="C22970" s="5" t="str">
        <f>IFERROR(__xludf.DUMMYFUNCTION("GOOGLETRANSLATE(B22970,""en"",""it"")"),"L'uomo impila i secchi e inizia a metterlo la sabbia e scolpendola in un castello.")</f>
        <v>L'uomo impila i secchi e inizia a metterlo la sabbia e scolpendola in un castello.</v>
      </c>
    </row>
    <row r="22971">
      <c r="A22971" s="4" t="s">
        <v>28904</v>
      </c>
      <c r="B22971" s="4" t="s">
        <v>28908</v>
      </c>
      <c r="C22971" s="5" t="str">
        <f>IFERROR(__xludf.DUMMYFUNCTION("GOOGLETRANSLATE(B22971,""en"",""it"")"),"Si allontana alla fine e mostra il castello che ha realizzato.")</f>
        <v>Si allontana alla fine e mostra il castello che ha realizzato.</v>
      </c>
    </row>
    <row r="22972">
      <c r="A22972" s="4" t="s">
        <v>28909</v>
      </c>
      <c r="B22972" s="6" t="s">
        <v>28910</v>
      </c>
      <c r="C22972" s="5" t="str">
        <f>IFERROR(__xludf.DUMMYFUNCTION("GOOGLETRANSLATE(B22972,""en"",""it"")"),"Un'introduzione conduce in diversi colpi di persone che cavalcano uno skateboard in varie aree e finiscono in un campo di mais.")</f>
        <v>Un'introduzione conduce in diversi colpi di persone che cavalcano uno skateboard in varie aree e finiscono in un campo di mais.</v>
      </c>
    </row>
    <row r="22973">
      <c r="A22973" s="4" t="s">
        <v>28909</v>
      </c>
      <c r="B22973" s="4" t="s">
        <v>28911</v>
      </c>
      <c r="C22973" s="5" t="str">
        <f>IFERROR(__xludf.DUMMYFUNCTION("GOOGLETRANSLATE(B22973,""en"",""it"")"),"Finiscono in una casa e nuotano in piscina facendo trucchi sulle loro tavole sott'acqua.")</f>
        <v>Finiscono in una casa e nuotano in piscina facendo trucchi sulle loro tavole sott'acqua.</v>
      </c>
    </row>
    <row r="22974">
      <c r="A22974" s="4" t="s">
        <v>28909</v>
      </c>
      <c r="B22974" s="6" t="s">
        <v>28912</v>
      </c>
      <c r="C22974" s="5" t="str">
        <f>IFERROR(__xludf.DUMMYFUNCTION("GOOGLETRANSLATE(B22974,""en"",""it"")"),"Vengono quindi visti cavalcare di nuovo lungo una strada alla fine e un boarder si sfrutta lo sporco nella telecamera.")</f>
        <v>Vengono quindi visti cavalcare di nuovo lungo una strada alla fine e un boarder si sfrutta lo sporco nella telecamera.</v>
      </c>
    </row>
    <row r="22975">
      <c r="A22975" s="4" t="s">
        <v>28913</v>
      </c>
      <c r="B22975" s="4" t="s">
        <v>28914</v>
      </c>
      <c r="C22975" s="5" t="str">
        <f>IFERROR(__xludf.DUMMYFUNCTION("GOOGLETRANSLATE(B22975,""en"",""it"")"),"Un bambino è spinto su un set di oscillazioni di un parco giochi all'aperto in un parco.")</f>
        <v>Un bambino è spinto su un set di oscillazioni di un parco giochi all'aperto in un parco.</v>
      </c>
    </row>
    <row r="22976">
      <c r="A22976" s="4" t="s">
        <v>28913</v>
      </c>
      <c r="B22976" s="4" t="s">
        <v>28915</v>
      </c>
      <c r="C22976" s="5" t="str">
        <f>IFERROR(__xludf.DUMMYFUNCTION("GOOGLETRANSLATE(B22976,""en"",""it"")"),"Il bambino allunga la mano.")</f>
        <v>Il bambino allunga la mano.</v>
      </c>
    </row>
    <row r="22977">
      <c r="A22977" s="4" t="s">
        <v>28916</v>
      </c>
      <c r="B22977" s="4" t="s">
        <v>28917</v>
      </c>
      <c r="C22977" s="5" t="str">
        <f>IFERROR(__xludf.DUMMYFUNCTION("GOOGLETRANSLATE(B22977,""en"",""it"")"),"Tre persone sono viste in piedi su un prato che inizia a eseguire mosse di arti marziali.")</f>
        <v>Tre persone sono viste in piedi su un prato che inizia a eseguire mosse di arti marziali.</v>
      </c>
    </row>
    <row r="22978">
      <c r="A22978" s="4" t="s">
        <v>28916</v>
      </c>
      <c r="B22978" s="4" t="s">
        <v>28918</v>
      </c>
      <c r="C22978" s="5" t="str">
        <f>IFERROR(__xludf.DUMMYFUNCTION("GOOGLETRANSLATE(B22978,""en"",""it"")"),"Il gruppo si muove allo stesso tempo mentre distoglie lo sguardo dalla telecamera.")</f>
        <v>Il gruppo si muove allo stesso tempo mentre distoglie lo sguardo dalla telecamera.</v>
      </c>
    </row>
    <row r="22979">
      <c r="A22979" s="4" t="s">
        <v>28916</v>
      </c>
      <c r="B22979" s="4" t="s">
        <v>28919</v>
      </c>
      <c r="C22979" s="5" t="str">
        <f>IFERROR(__xludf.DUMMYFUNCTION("GOOGLETRANSLATE(B22979,""en"",""it"")"),"Continuano a muovere le braccia e le gambe insieme e finiscono tenendo la posa.")</f>
        <v>Continuano a muovere le braccia e le gambe insieme e finiscono tenendo la posa.</v>
      </c>
    </row>
    <row r="22980">
      <c r="A22980" s="4" t="s">
        <v>28920</v>
      </c>
      <c r="B22980" s="4" t="s">
        <v>28921</v>
      </c>
      <c r="C22980" s="5" t="str">
        <f>IFERROR(__xludf.DUMMYFUNCTION("GOOGLETRANSLATE(B22980,""en"",""it"")"),"La gente sta slittando su una collina innevata su un tubo interno.")</f>
        <v>La gente sta slittando su una collina innevata su un tubo interno.</v>
      </c>
    </row>
    <row r="22981">
      <c r="A22981" s="4" t="s">
        <v>28920</v>
      </c>
      <c r="B22981" s="4" t="s">
        <v>28922</v>
      </c>
      <c r="C22981" s="5" t="str">
        <f>IFERROR(__xludf.DUMMYFUNCTION("GOOGLETRANSLATE(B22981,""en"",""it"")"),"Si fermano sul fondo della collina.")</f>
        <v>Si fermano sul fondo della collina.</v>
      </c>
    </row>
    <row r="22982">
      <c r="A22982" s="4" t="s">
        <v>28920</v>
      </c>
      <c r="B22982" s="4" t="s">
        <v>28923</v>
      </c>
      <c r="C22982" s="5" t="str">
        <f>IFERROR(__xludf.DUMMYFUNCTION("GOOGLETRANSLATE(B22982,""en"",""it"")"),"Diversi tubi sono su una corda che sale su una collina.")</f>
        <v>Diversi tubi sono su una corda che sale su una collina.</v>
      </c>
    </row>
    <row r="22983">
      <c r="A22983" s="4" t="s">
        <v>28920</v>
      </c>
      <c r="B22983" s="4" t="s">
        <v>28924</v>
      </c>
      <c r="C22983" s="5" t="str">
        <f>IFERROR(__xludf.DUMMYFUNCTION("GOOGLETRANSLATE(B22983,""en"",""it"")"),"Le persone stanno di nuovo slittando su una collina su un tubo interno.")</f>
        <v>Le persone stanno di nuovo slittando su una collina su un tubo interno.</v>
      </c>
    </row>
    <row r="22984">
      <c r="A22984" s="4" t="s">
        <v>28925</v>
      </c>
      <c r="B22984" s="4" t="s">
        <v>28926</v>
      </c>
      <c r="C22984" s="5" t="str">
        <f>IFERROR(__xludf.DUMMYFUNCTION("GOOGLETRANSLATE(B22984,""en"",""it"")"),"I bambini siedono in motociclette e i genitori sono accanto a loro.")</f>
        <v>I bambini siedono in motociclette e i genitori sono accanto a loro.</v>
      </c>
    </row>
    <row r="22985">
      <c r="A22985" s="4" t="s">
        <v>28925</v>
      </c>
      <c r="B22985" s="4" t="s">
        <v>28927</v>
      </c>
      <c r="C22985" s="5" t="str">
        <f>IFERROR(__xludf.DUMMYFUNCTION("GOOGLETRANSLATE(B22985,""en"",""it"")"),"Un uomo porta un bambino, una donna applaude e un uomo scatta foto.")</f>
        <v>Un uomo porta un bambino, una donna applaude e un uomo scatta foto.</v>
      </c>
    </row>
    <row r="22986">
      <c r="A22986" s="4" t="s">
        <v>28925</v>
      </c>
      <c r="B22986" s="4" t="s">
        <v>28928</v>
      </c>
      <c r="C22986" s="5" t="str">
        <f>IFERROR(__xludf.DUMMYFUNCTION("GOOGLETRANSLATE(B22986,""en"",""it"")"),"Un bambino si trova sul fieno e afferra la gamba di una donna.")</f>
        <v>Un bambino si trova sul fieno e afferra la gamba di una donna.</v>
      </c>
    </row>
    <row r="22987">
      <c r="A22987" s="4" t="s">
        <v>28925</v>
      </c>
      <c r="B22987" s="4" t="s">
        <v>28929</v>
      </c>
      <c r="C22987" s="5" t="str">
        <f>IFERROR(__xludf.DUMMYFUNCTION("GOOGLETRANSLATE(B22987,""en"",""it"")"),"Quindi, gli uomini spingono le motociclette con i bambini mentre un uomo prende appunti.")</f>
        <v>Quindi, gli uomini spingono le motociclette con i bambini mentre un uomo prende appunti.</v>
      </c>
    </row>
    <row r="22988">
      <c r="A22988" s="4" t="s">
        <v>28925</v>
      </c>
      <c r="B22988" s="4" t="s">
        <v>28930</v>
      </c>
      <c r="C22988" s="5" t="str">
        <f>IFERROR(__xludf.DUMMYFUNCTION("GOOGLETRANSLATE(B22988,""en"",""it"")"),"Quindi, i bambini si allineano sulla linea di partenza e poi corrono.")</f>
        <v>Quindi, i bambini si allineano sulla linea di partenza e poi corrono.</v>
      </c>
    </row>
    <row r="22989">
      <c r="A22989" s="4" t="s">
        <v>28931</v>
      </c>
      <c r="B22989" s="4" t="s">
        <v>28932</v>
      </c>
      <c r="C22989" s="5" t="str">
        <f>IFERROR(__xludf.DUMMYFUNCTION("GOOGLETRANSLATE(B22989,""en"",""it"")"),"Un uomo è seduto su un divano, suonando un'armonica.")</f>
        <v>Un uomo è seduto su un divano, suonando un'armonica.</v>
      </c>
    </row>
    <row r="22990">
      <c r="A22990" s="4" t="s">
        <v>28931</v>
      </c>
      <c r="B22990" s="4" t="s">
        <v>28933</v>
      </c>
      <c r="C22990" s="5" t="str">
        <f>IFERROR(__xludf.DUMMYFUNCTION("GOOGLETRANSLATE(B22990,""en"",""it"")"),"Lo abbassa dalla sua bocca quando ha finito.")</f>
        <v>Lo abbassa dalla sua bocca quando ha finito.</v>
      </c>
    </row>
    <row r="22991">
      <c r="A22991" s="4" t="s">
        <v>28934</v>
      </c>
      <c r="B22991" s="4" t="s">
        <v>25231</v>
      </c>
      <c r="C22991" s="5" t="str">
        <f>IFERROR(__xludf.DUMMYFUNCTION("GOOGLETRANSLATE(B22991,""en"",""it"")"),"Un uomo con una camicia nera sta parlando.")</f>
        <v>Un uomo con una camicia nera sta parlando.</v>
      </c>
    </row>
    <row r="22992">
      <c r="A22992" s="4" t="s">
        <v>28934</v>
      </c>
      <c r="B22992" s="4" t="s">
        <v>28935</v>
      </c>
      <c r="C22992" s="5" t="str">
        <f>IFERROR(__xludf.DUMMYFUNCTION("GOOGLETRANSLATE(B22992,""en"",""it"")"),"Diverse persone si inginocchiano su un tappetino rosso facendo tratti.")</f>
        <v>Diverse persone si inginocchiano su un tappetino rosso facendo tratti.</v>
      </c>
    </row>
    <row r="22993">
      <c r="A22993" s="4" t="s">
        <v>28936</v>
      </c>
      <c r="B22993" s="4" t="s">
        <v>28937</v>
      </c>
      <c r="C22993" s="5" t="str">
        <f>IFERROR(__xludf.DUMMYFUNCTION("GOOGLETRANSLATE(B22993,""en"",""it"")"),"Una ragazza si inginocchia su un cuscinetto, le braccia in aria.")</f>
        <v>Una ragazza si inginocchia su un cuscinetto, le braccia in aria.</v>
      </c>
    </row>
    <row r="22994">
      <c r="A22994" s="4" t="s">
        <v>28936</v>
      </c>
      <c r="B22994" s="4" t="s">
        <v>28938</v>
      </c>
      <c r="C22994" s="5" t="str">
        <f>IFERROR(__xludf.DUMMYFUNCTION("GOOGLETRANSLATE(B22994,""en"",""it"")"),"Si appoggia indietro, lasciando che le braccia tocchi il muro.")</f>
        <v>Si appoggia indietro, lasciando che le braccia tocchi il muro.</v>
      </c>
    </row>
    <row r="22995">
      <c r="A22995" s="4" t="s">
        <v>28936</v>
      </c>
      <c r="B22995" s="4" t="s">
        <v>28939</v>
      </c>
      <c r="C22995" s="5" t="str">
        <f>IFERROR(__xludf.DUMMYFUNCTION("GOOGLETRANSLATE(B22995,""en"",""it"")"),"Ripete l'azione ancora una volta.")</f>
        <v>Ripete l'azione ancora una volta.</v>
      </c>
    </row>
    <row r="22996">
      <c r="A22996" s="4" t="s">
        <v>28940</v>
      </c>
      <c r="B22996" s="4" t="s">
        <v>28941</v>
      </c>
      <c r="C22996" s="5" t="str">
        <f>IFERROR(__xludf.DUMMYFUNCTION("GOOGLETRANSLATE(B22996,""en"",""it"")"),"Una persona viene vista in ginocchio sopra un tetto e tiene oggetti in posizione per martellare.")</f>
        <v>Una persona viene vista in ginocchio sopra un tetto e tiene oggetti in posizione per martellare.</v>
      </c>
    </row>
    <row r="22997">
      <c r="A22997" s="4" t="s">
        <v>28940</v>
      </c>
      <c r="B22997" s="6" t="s">
        <v>28942</v>
      </c>
      <c r="C22997" s="5" t="str">
        <f>IFERROR(__xludf.DUMMYFUNCTION("GOOGLETRANSLATE(B22997,""en"",""it"")"),"L'uomo pone quindi più piastrelle mentre martella i lati e presenta le piastrelle alla fotocamera.")</f>
        <v>L'uomo pone quindi più piastrelle mentre martella i lati e presenta le piastrelle alla fotocamera.</v>
      </c>
    </row>
    <row r="22998">
      <c r="A22998" s="4" t="s">
        <v>28943</v>
      </c>
      <c r="B22998" s="6" t="s">
        <v>28944</v>
      </c>
      <c r="C22998" s="5" t="str">
        <f>IFERROR(__xludf.DUMMYFUNCTION("GOOGLETRANSLATE(B22998,""en"",""it"")"),"Una donna vestita con abiti da allenamento e una giacca cammina per un corridoio e si ferma per parlare di cosa dietro la porta.")</f>
        <v>Una donna vestita con abiti da allenamento e una giacca cammina per un corridoio e si ferma per parlare di cosa dietro la porta.</v>
      </c>
    </row>
    <row r="22999">
      <c r="A22999" s="4" t="s">
        <v>28943</v>
      </c>
      <c r="B22999" s="6" t="s">
        <v>28945</v>
      </c>
      <c r="C22999" s="5" t="str">
        <f>IFERROR(__xludf.DUMMYFUNCTION("GOOGLETRANSLATE(B22999,""en"",""it"")"),"Una volta apre la porta, la telecamera piova molte macchine da allenamento e la donna inizia a parlare con il direttore del programma.")</f>
        <v>Una volta apre la porta, la telecamera piova molte macchine da allenamento e la donna inizia a parlare con il direttore del programma.</v>
      </c>
    </row>
    <row r="23000">
      <c r="A23000" s="4" t="s">
        <v>28943</v>
      </c>
      <c r="B23000" s="6" t="s">
        <v>28946</v>
      </c>
      <c r="C23000" s="5" t="str">
        <f>IFERROR(__xludf.DUMMYFUNCTION("GOOGLETRANSLATE(B23000,""en"",""it"")"),"Dopo aver finito di parlare, la giovane donna inizia ad allenarti con il resto della classe mentre l'allenatore cammina assicurandosi che si allenino correttamente.")</f>
        <v>Dopo aver finito di parlare, la giovane donna inizia ad allenarti con il resto della classe mentre l'allenatore cammina assicurandosi che si allenino correttamente.</v>
      </c>
    </row>
    <row r="23001">
      <c r="A23001" s="4" t="s">
        <v>28943</v>
      </c>
      <c r="B23001" s="6" t="s">
        <v>28947</v>
      </c>
      <c r="C23001" s="5" t="str">
        <f>IFERROR(__xludf.DUMMYFUNCTION("GOOGLETRANSLATE(B23001,""en"",""it"")"),"Infine, l'allenamento è finito e tutti iniziano a un cinque e la donna ricomincia a parlare di nuovo.")</f>
        <v>Infine, l'allenamento è finito e tutti iniziano a un cinque e la donna ricomincia a parlare di nuovo.</v>
      </c>
    </row>
    <row r="23002">
      <c r="A23002" s="4" t="s">
        <v>28948</v>
      </c>
      <c r="B23002" s="4" t="s">
        <v>28949</v>
      </c>
      <c r="C23002" s="5" t="str">
        <f>IFERROR(__xludf.DUMMYFUNCTION("GOOGLETRANSLATE(B23002,""en"",""it"")"),"Una telecamera si muove attorno a un gruppo di persone in piedi l'una intorno all'altra con una che gira in cerchio.")</f>
        <v>Una telecamera si muove attorno a un gruppo di persone in piedi l'una intorno all'altra con una che gira in cerchio.</v>
      </c>
    </row>
    <row r="23003">
      <c r="A23003" s="4" t="s">
        <v>28948</v>
      </c>
      <c r="B23003" s="4" t="s">
        <v>28950</v>
      </c>
      <c r="C23003" s="5" t="str">
        <f>IFERROR(__xludf.DUMMYFUNCTION("GOOGLETRANSLATE(B23003,""en"",""it"")"),"Un uomo che spinge la ragazza rotante intorno e intorno e ingrandisce una pinata.")</f>
        <v>Un uomo che spinge la ragazza rotante intorno e intorno e ingrandisce una pinata.</v>
      </c>
    </row>
    <row r="23004">
      <c r="A23004" s="4" t="s">
        <v>28948</v>
      </c>
      <c r="B23004" s="4" t="s">
        <v>28951</v>
      </c>
      <c r="C23004" s="5" t="str">
        <f>IFERROR(__xludf.DUMMYFUNCTION("GOOGLETRANSLATE(B23004,""en"",""it"")"),"La ragazza oscilla al Pinata bendata e un uomo salta giù per afferrare un pezzo di caramelle cadute.")</f>
        <v>La ragazza oscilla al Pinata bendata e un uomo salta giù per afferrare un pezzo di caramelle cadute.</v>
      </c>
    </row>
    <row r="23005">
      <c r="A23005" s="4" t="s">
        <v>28948</v>
      </c>
      <c r="B23005" s="4" t="s">
        <v>28952</v>
      </c>
      <c r="C23005" s="5" t="str">
        <f>IFERROR(__xludf.DUMMYFUNCTION("GOOGLETRANSLATE(B23005,""en"",""it"")"),"La ragazza si spezza la Pinata e diverse persone corrono per afferrare le caramelle.")</f>
        <v>La ragazza si spezza la Pinata e diverse persone corrono per afferrare le caramelle.</v>
      </c>
    </row>
    <row r="23006">
      <c r="A23006" s="4" t="s">
        <v>28953</v>
      </c>
      <c r="B23006" s="4" t="s">
        <v>28954</v>
      </c>
      <c r="C23006" s="5" t="str">
        <f>IFERROR(__xludf.DUMMYFUNCTION("GOOGLETRANSLATE(B23006,""en"",""it"")"),"Una donna sta dipingendo un'immagine su una tela.")</f>
        <v>Una donna sta dipingendo un'immagine su una tela.</v>
      </c>
    </row>
    <row r="23007">
      <c r="A23007" s="4" t="s">
        <v>28953</v>
      </c>
      <c r="B23007" s="4" t="s">
        <v>28955</v>
      </c>
      <c r="C23007" s="5" t="str">
        <f>IFERROR(__xludf.DUMMYFUNCTION("GOOGLETRANSLATE(B23007,""en"",""it"")"),"Ha una vernice arancione e gialla su una tavola di fronte a lei.")</f>
        <v>Ha una vernice arancione e gialla su una tavola di fronte a lei.</v>
      </c>
    </row>
    <row r="23008">
      <c r="A23008" s="4" t="s">
        <v>28953</v>
      </c>
      <c r="B23008" s="4" t="s">
        <v>28956</v>
      </c>
      <c r="C23008" s="5" t="str">
        <f>IFERROR(__xludf.DUMMYFUNCTION("GOOGLETRANSLATE(B23008,""en"",""it"")"),"Dipinge due fiori sulla tela.")</f>
        <v>Dipinge due fiori sulla tela.</v>
      </c>
    </row>
    <row r="23009">
      <c r="A23009" s="4" t="s">
        <v>28957</v>
      </c>
      <c r="B23009" s="4" t="s">
        <v>28958</v>
      </c>
      <c r="C23009" s="5" t="str">
        <f>IFERROR(__xludf.DUMMYFUNCTION("GOOGLETRANSLATE(B23009,""en"",""it"")"),"Un uomo e una donna stanno parlando con una macchina fotografica in esercizi.")</f>
        <v>Un uomo e una donna stanno parlando con una macchina fotografica in esercizi.</v>
      </c>
    </row>
    <row r="23010">
      <c r="A23010" s="4" t="s">
        <v>28957</v>
      </c>
      <c r="B23010" s="4" t="s">
        <v>28959</v>
      </c>
      <c r="C23010" s="5" t="str">
        <f>IFERROR(__xludf.DUMMYFUNCTION("GOOGLETRANSLATE(B23010,""en"",""it"")"),"La ragazza parla di attrezzature e di come usarlo.")</f>
        <v>La ragazza parla di attrezzature e di come usarlo.</v>
      </c>
    </row>
    <row r="23011">
      <c r="A23011" s="4" t="s">
        <v>28957</v>
      </c>
      <c r="B23011" s="4" t="s">
        <v>28960</v>
      </c>
      <c r="C23011" s="5" t="str">
        <f>IFERROR(__xludf.DUMMYFUNCTION("GOOGLETRANSLATE(B23011,""en"",""it"")"),"Prepara l'attrezzatura e aiuta l'uomo a eseguire l'esercizio.")</f>
        <v>Prepara l'attrezzatura e aiuta l'uomo a eseguire l'esercizio.</v>
      </c>
    </row>
    <row r="23012">
      <c r="A23012" s="4" t="s">
        <v>28961</v>
      </c>
      <c r="B23012" s="4" t="s">
        <v>28962</v>
      </c>
      <c r="C23012" s="5" t="str">
        <f>IFERROR(__xludf.DUMMYFUNCTION("GOOGLETRANSLATE(B23012,""en"",""it"")"),"Persone in piedi sul lato della strada sugli skateboard e con auto parcheggiate da un lato.")</f>
        <v>Persone in piedi sul lato della strada sugli skateboard e con auto parcheggiate da un lato.</v>
      </c>
    </row>
    <row r="23013">
      <c r="A23013" s="4" t="s">
        <v>28961</v>
      </c>
      <c r="B23013" s="4" t="s">
        <v>28963</v>
      </c>
      <c r="C23013" s="5" t="str">
        <f>IFERROR(__xludf.DUMMYFUNCTION("GOOGLETRANSLATE(B23013,""en"",""it"")"),"I ragazzi stanno facendo trucchi per cavalcare gli skateboard nell'asfalto bagnato che scende da una collina.")</f>
        <v>I ragazzi stanno facendo trucchi per cavalcare gli skateboard nell'asfalto bagnato che scende da una collina.</v>
      </c>
    </row>
    <row r="23014">
      <c r="A23014" s="4" t="s">
        <v>28961</v>
      </c>
      <c r="B23014" s="6" t="s">
        <v>28964</v>
      </c>
      <c r="C23014" s="5" t="str">
        <f>IFERROR(__xludf.DUMMYFUNCTION("GOOGLETRANSLATE(B23014,""en"",""it"")"),"I ragazzi sono raccolti sotto una tenda sul marciapiede e fanno trucchi nello skateboard che mostrano l'asfalto di Wey e l'erba bagnata.")</f>
        <v>I ragazzi sono raccolti sotto una tenda sul marciapiede e fanno trucchi nello skateboard che mostrano l'asfalto di Wey e l'erba bagnata.</v>
      </c>
    </row>
    <row r="23015">
      <c r="A23015" s="4" t="s">
        <v>28965</v>
      </c>
      <c r="B23015" s="4" t="s">
        <v>28966</v>
      </c>
      <c r="C23015" s="5" t="str">
        <f>IFERROR(__xludf.DUMMYFUNCTION("GOOGLETRANSLATE(B23015,""en"",""it"")"),"Viene mostrata una fotocamera con una didascalia e conduce a diverse persone che saltano da un ponte.")</f>
        <v>Viene mostrata una fotocamera con una didascalia e conduce a diverse persone che saltano da un ponte.</v>
      </c>
    </row>
    <row r="23016">
      <c r="A23016" s="4" t="s">
        <v>28965</v>
      </c>
      <c r="B23016" s="6" t="s">
        <v>28967</v>
      </c>
      <c r="C23016" s="5" t="str">
        <f>IFERROR(__xludf.DUMMYFUNCTION("GOOGLETRANSLATE(B23016,""en"",""it"")"),"Un altro colpo di persone che cavalcano un fiume sui tubi è mostrato seguito da grandi gruppi di persone sui banchi di sabbia.")</f>
        <v>Un altro colpo di persone che cavalcano un fiume sui tubi è mostrato seguito da grandi gruppi di persone sui banchi di sabbia.</v>
      </c>
    </row>
    <row r="23017">
      <c r="A23017" s="4" t="s">
        <v>28965</v>
      </c>
      <c r="B23017" s="6" t="s">
        <v>28968</v>
      </c>
      <c r="C23017" s="5" t="str">
        <f>IFERROR(__xludf.DUMMYFUNCTION("GOOGLETRANSLATE(B23017,""en"",""it"")"),"Il cameraman afferra un altro tubo e salta in acqua mentre ancora fluttua e cattura un palloncino scoppiato.")</f>
        <v>Il cameraman afferra un altro tubo e salta in acqua mentre ancora fluttua e cattura un palloncino scoppiato.</v>
      </c>
    </row>
    <row r="23018">
      <c r="A23018" s="4" t="s">
        <v>28969</v>
      </c>
      <c r="B23018" s="4" t="s">
        <v>28970</v>
      </c>
      <c r="C23018" s="5" t="str">
        <f>IFERROR(__xludf.DUMMYFUNCTION("GOOGLETRANSLATE(B23018,""en"",""it"")"),"L'uomo è seduto su Akayak che tiene una fila e mostra il modo di remare Corect.")</f>
        <v>L'uomo è seduto su Akayak che tiene una fila e mostra il modo di remare Corect.</v>
      </c>
    </row>
    <row r="23019">
      <c r="A23019" s="4" t="s">
        <v>28969</v>
      </c>
      <c r="B23019" s="4" t="s">
        <v>28971</v>
      </c>
      <c r="C23019" s="5" t="str">
        <f>IFERROR(__xludf.DUMMYFUNCTION("GOOGLETRANSLATE(B23019,""en"",""it"")"),"Le persone sono in un kayak sul lago.")</f>
        <v>Le persone sono in un kayak sul lago.</v>
      </c>
    </row>
    <row r="23020">
      <c r="A23020" s="4" t="s">
        <v>28969</v>
      </c>
      <c r="B23020" s="4" t="s">
        <v>28972</v>
      </c>
      <c r="C23020" s="5" t="str">
        <f>IFERROR(__xludf.DUMMYFUNCTION("GOOGLETRANSLATE(B23020,""en"",""it"")"),"Le persone sono in kayak rapids.")</f>
        <v>Le persone sono in kayak rapids.</v>
      </c>
    </row>
    <row r="23021">
      <c r="A23021" s="4" t="s">
        <v>28969</v>
      </c>
      <c r="B23021" s="4" t="s">
        <v>28973</v>
      </c>
      <c r="C23021" s="5" t="str">
        <f>IFERROR(__xludf.DUMMYFUNCTION("GOOGLETRANSLATE(B23021,""en"",""it"")"),"Gli uomini nuotano sul lago vicino al kayak e camminano nel lago con kayak.")</f>
        <v>Gli uomini nuotano sul lago vicino al kayak e camminano nel lago con kayak.</v>
      </c>
    </row>
    <row r="23022">
      <c r="A23022" s="4" t="s">
        <v>28974</v>
      </c>
      <c r="B23022" s="4" t="s">
        <v>28975</v>
      </c>
      <c r="C23022" s="5" t="str">
        <f>IFERROR(__xludf.DUMMYFUNCTION("GOOGLETRANSLATE(B23022,""en"",""it"")"),"Una donna viene mostrata allenarsi su un ellittico e sorridere in lontananza.")</f>
        <v>Una donna viene mostrata allenarsi su un ellittico e sorridere in lontananza.</v>
      </c>
    </row>
    <row r="23023">
      <c r="A23023" s="4" t="s">
        <v>28974</v>
      </c>
      <c r="B23023" s="4" t="s">
        <v>28976</v>
      </c>
      <c r="C23023" s="5" t="str">
        <f>IFERROR(__xludf.DUMMYFUNCTION("GOOGLETRANSLATE(B23023,""en"",""it"")"),"Il video mostra diversi vantaggi che la macchina può fare mentre la donna continua a funzionare.")</f>
        <v>Il video mostra diversi vantaggi che la macchina può fare mentre la donna continua a funzionare.</v>
      </c>
    </row>
    <row r="23024">
      <c r="A23024" s="4" t="s">
        <v>28974</v>
      </c>
      <c r="B23024" s="4" t="s">
        <v>28977</v>
      </c>
      <c r="C23024" s="5" t="str">
        <f>IFERROR(__xludf.DUMMYFUNCTION("GOOGLETRANSLATE(B23024,""en"",""it"")"),"Alla fine si lancia di nuovo sulla macchina e continua a allenarti sulla macchina.")</f>
        <v>Alla fine si lancia di nuovo sulla macchina e continua a allenarti sulla macchina.</v>
      </c>
    </row>
    <row r="23025">
      <c r="A23025" s="4" t="s">
        <v>28978</v>
      </c>
      <c r="B23025" s="4" t="s">
        <v>28979</v>
      </c>
      <c r="C23025" s="5" t="str">
        <f>IFERROR(__xludf.DUMMYFUNCTION("GOOGLETRANSLATE(B23025,""en"",""it"")"),"Vediamo una signora che cammina dalle scale.")</f>
        <v>Vediamo una signora che cammina dalle scale.</v>
      </c>
    </row>
    <row r="23026">
      <c r="A23026" s="4" t="s">
        <v>28978</v>
      </c>
      <c r="B23026" s="4" t="s">
        <v>28980</v>
      </c>
      <c r="C23026" s="5" t="str">
        <f>IFERROR(__xludf.DUMMYFUNCTION("GOOGLETRANSLATE(B23026,""en"",""it"")"),"Entra in una stanza con i bambini, si toglie il cappotto e inizia a ballare.")</f>
        <v>Entra in una stanza con i bambini, si toglie il cappotto e inizia a ballare.</v>
      </c>
    </row>
    <row r="23027">
      <c r="A23027" s="4" t="s">
        <v>28978</v>
      </c>
      <c r="B23027" s="4" t="s">
        <v>28981</v>
      </c>
      <c r="C23027" s="5" t="str">
        <f>IFERROR(__xludf.DUMMYFUNCTION("GOOGLETRANSLATE(B23027,""en"",""it"")"),"Un uomo entra e la signora e l'uomo eseguono una danza elegante mentre i bambini guardano.")</f>
        <v>Un uomo entra e la signora e l'uomo eseguono una danza elegante mentre i bambini guardano.</v>
      </c>
    </row>
    <row r="23028">
      <c r="A23028" s="4" t="s">
        <v>28978</v>
      </c>
      <c r="B23028" s="4" t="s">
        <v>28982</v>
      </c>
      <c r="C23028" s="5" t="str">
        <f>IFERROR(__xludf.DUMMYFUNCTION("GOOGLETRANSLATE(B23028,""en"",""it"")"),"L'uomo getta il cappotto attraverso la stanza.")</f>
        <v>L'uomo getta il cappotto attraverso la stanza.</v>
      </c>
    </row>
    <row r="23029">
      <c r="A23029" s="4" t="s">
        <v>28978</v>
      </c>
      <c r="B23029" s="4" t="s">
        <v>28983</v>
      </c>
      <c r="C23029" s="5" t="str">
        <f>IFERROR(__xludf.DUMMYFUNCTION("GOOGLETRANSLATE(B23029,""en"",""it"")"),"La signora abbraccia l'uomo da dietro.")</f>
        <v>La signora abbraccia l'uomo da dietro.</v>
      </c>
    </row>
    <row r="23030">
      <c r="A23030" s="4" t="s">
        <v>28978</v>
      </c>
      <c r="B23030" s="4" t="s">
        <v>28984</v>
      </c>
      <c r="C23030" s="5" t="str">
        <f>IFERROR(__xludf.DUMMYFUNCTION("GOOGLETRANSLATE(B23030,""en"",""it"")"),"La signora cerca di andarsene e l'uomo la afferra e la tira indietro.")</f>
        <v>La signora cerca di andarsene e l'uomo la afferra e la tira indietro.</v>
      </c>
    </row>
    <row r="23031">
      <c r="A23031" s="4" t="s">
        <v>28978</v>
      </c>
      <c r="B23031" s="4" t="s">
        <v>28985</v>
      </c>
      <c r="C23031" s="5" t="str">
        <f>IFERROR(__xludf.DUMMYFUNCTION("GOOGLETRANSLATE(B23031,""en"",""it"")"),"Finiscono e l'uomo scuote le mani dei bambini.")</f>
        <v>Finiscono e l'uomo scuote le mani dei bambini.</v>
      </c>
    </row>
    <row r="23032">
      <c r="A23032" s="4" t="s">
        <v>28978</v>
      </c>
      <c r="B23032" s="4" t="s">
        <v>28986</v>
      </c>
      <c r="C23032" s="5" t="str">
        <f>IFERROR(__xludf.DUMMYFUNCTION("GOOGLETRANSLATE(B23032,""en"",""it"")"),"La signora si mette il cappotto mentre una ragazza le parla e lascia la stanza.")</f>
        <v>La signora si mette il cappotto mentre una ragazza le parla e lascia la stanza.</v>
      </c>
    </row>
    <row r="23033">
      <c r="A23033" s="4" t="s">
        <v>28987</v>
      </c>
      <c r="B23033" s="6" t="s">
        <v>28988</v>
      </c>
      <c r="C23033" s="5" t="str">
        <f>IFERROR(__xludf.DUMMYFUNCTION("GOOGLETRANSLATE(B23033,""en"",""it"")"),"Viene visto un uomo parlare alla telecamera e conduce in lui con in mano un pezzo di carta e due oggetti.")</f>
        <v>Viene visto un uomo parlare alla telecamera e conduce in lui con in mano un pezzo di carta e due oggetti.</v>
      </c>
    </row>
    <row r="23034">
      <c r="A23034" s="4" t="s">
        <v>28987</v>
      </c>
      <c r="B23034" s="4" t="s">
        <v>28989</v>
      </c>
      <c r="C23034" s="5" t="str">
        <f>IFERROR(__xludf.DUMMYFUNCTION("GOOGLETRANSLATE(B23034,""en"",""it"")"),"Mette gli oggetti su una tavola e affila un coltello lungo l'oggetto.")</f>
        <v>Mette gli oggetti su una tavola e affila un coltello lungo l'oggetto.</v>
      </c>
    </row>
    <row r="23035">
      <c r="A23035" s="4" t="s">
        <v>28987</v>
      </c>
      <c r="B23035" s="4" t="s">
        <v>28990</v>
      </c>
      <c r="C23035" s="5" t="str">
        <f>IFERROR(__xludf.DUMMYFUNCTION("GOOGLETRANSLATE(B23035,""en"",""it"")"),"Continua a parlare con la fotocamera mentre affitta la lama e indica l'oggetto.")</f>
        <v>Continua a parlare con la fotocamera mentre affitta la lama e indica l'oggetto.</v>
      </c>
    </row>
    <row r="23036">
      <c r="A23036" s="4" t="s">
        <v>28991</v>
      </c>
      <c r="B23036" s="6" t="s">
        <v>28992</v>
      </c>
      <c r="C23036" s="5" t="str">
        <f>IFERROR(__xludf.DUMMYFUNCTION("GOOGLETRANSLATE(B23036,""en"",""it"")"),"Un bambino tiene un bastone di lacrosse, quindi prende una palla con il bastoncino di lacrosse e lancia sul pavimento.")</f>
        <v>Un bambino tiene un bastone di lacrosse, quindi prende una palla con il bastoncino di lacrosse e lancia sul pavimento.</v>
      </c>
    </row>
    <row r="23037">
      <c r="A23037" s="4" t="s">
        <v>28991</v>
      </c>
      <c r="B23037" s="4" t="s">
        <v>28993</v>
      </c>
      <c r="C23037" s="5" t="str">
        <f>IFERROR(__xludf.DUMMYFUNCTION("GOOGLETRANSLATE(B23037,""en"",""it"")"),"Quindi, il bambino cerca di catturare un'altra palla, ma rotola sotto una sedia.")</f>
        <v>Quindi, il bambino cerca di catturare un'altra palla, ma rotola sotto una sedia.</v>
      </c>
    </row>
    <row r="23038">
      <c r="A23038" s="4" t="s">
        <v>28991</v>
      </c>
      <c r="B23038" s="4" t="s">
        <v>28994</v>
      </c>
      <c r="C23038" s="5" t="str">
        <f>IFERROR(__xludf.DUMMYFUNCTION("GOOGLETRANSLATE(B23038,""en"",""it"")"),"Successivamente, il bambino cattura una palla e lancia il pavimento e la palla rimbalza.")</f>
        <v>Successivamente, il bambino cattura una palla e lancia il pavimento e la palla rimbalza.</v>
      </c>
    </row>
    <row r="23039">
      <c r="A23039" s="4" t="s">
        <v>28991</v>
      </c>
      <c r="B23039" s="6" t="s">
        <v>28995</v>
      </c>
      <c r="C23039" s="5" t="str">
        <f>IFERROR(__xludf.DUMMYFUNCTION("GOOGLETRANSLATE(B23039,""en"",""it"")"),"Dopo, il bambino cattura la palla rimbalzante e getta il cortile, quindi il bambino scendeva un passo.")</f>
        <v>Dopo, il bambino cattura la palla rimbalzante e getta il cortile, quindi il bambino scendeva un passo.</v>
      </c>
    </row>
    <row r="23040">
      <c r="A23040" s="4" t="s">
        <v>28996</v>
      </c>
      <c r="B23040" s="4" t="s">
        <v>28997</v>
      </c>
      <c r="C23040" s="5" t="str">
        <f>IFERROR(__xludf.DUMMYFUNCTION("GOOGLETRANSLATE(B23040,""en"",""it"")"),"Vediamo una signora che sbucciano piccole patate.")</f>
        <v>Vediamo una signora che sbucciano piccole patate.</v>
      </c>
    </row>
    <row r="23041">
      <c r="A23041" s="4" t="s">
        <v>28996</v>
      </c>
      <c r="B23041" s="4" t="s">
        <v>28998</v>
      </c>
      <c r="C23041" s="5" t="str">
        <f>IFERROR(__xludf.DUMMYFUNCTION("GOOGLETRANSLATE(B23041,""en"",""it"")"),"La signora sbuccia la sua seconda patata.")</f>
        <v>La signora sbuccia la sua seconda patata.</v>
      </c>
    </row>
    <row r="23042">
      <c r="A23042" s="4" t="s">
        <v>28996</v>
      </c>
      <c r="B23042" s="4" t="s">
        <v>28999</v>
      </c>
      <c r="C23042" s="5" t="str">
        <f>IFERROR(__xludf.DUMMYFUNCTION("GOOGLETRANSLATE(B23042,""en"",""it"")"),"La signora passa alle sue terze patate.")</f>
        <v>La signora passa alle sue terze patate.</v>
      </c>
    </row>
    <row r="23043">
      <c r="A23043" s="4" t="s">
        <v>28996</v>
      </c>
      <c r="B23043" s="4" t="s">
        <v>29000</v>
      </c>
      <c r="C23043" s="5" t="str">
        <f>IFERROR(__xludf.DUMMYFUNCTION("GOOGLETRANSLATE(B23043,""en"",""it"")"),"Zettiamo e vediamo la faccia delle donne.")</f>
        <v>Zettiamo e vediamo la faccia delle donne.</v>
      </c>
    </row>
    <row r="23044">
      <c r="A23044" s="4" t="s">
        <v>28996</v>
      </c>
      <c r="B23044" s="4" t="s">
        <v>29001</v>
      </c>
      <c r="C23044" s="5" t="str">
        <f>IFERROR(__xludf.DUMMYFUNCTION("GOOGLETRANSLATE(B23044,""en"",""it"")"),"La signora sbuccia la sua quarta e quinta patata.")</f>
        <v>La signora sbuccia la sua quarta e quinta patata.</v>
      </c>
    </row>
    <row r="23045">
      <c r="A23045" s="4" t="s">
        <v>29002</v>
      </c>
      <c r="B23045" s="4" t="s">
        <v>29003</v>
      </c>
      <c r="C23045" s="5" t="str">
        <f>IFERROR(__xludf.DUMMYFUNCTION("GOOGLETRANSLATE(B23045,""en"",""it"")"),"Due persone giocano a Badminton mentre qualcuno li registra con una videocamera.")</f>
        <v>Due persone giocano a Badminton mentre qualcuno li registra con una videocamera.</v>
      </c>
    </row>
    <row r="23046">
      <c r="A23046" s="4" t="s">
        <v>29002</v>
      </c>
      <c r="B23046" s="4" t="s">
        <v>29004</v>
      </c>
      <c r="C23046" s="5" t="str">
        <f>IFERROR(__xludf.DUMMYFUNCTION("GOOGLETRANSLATE(B23046,""en"",""it"")"),"Un ragazzo si fa male mentre le altre persone lo guardano ridere di lui.")</f>
        <v>Un ragazzo si fa male mentre le altre persone lo guardano ridere di lui.</v>
      </c>
    </row>
    <row r="23047">
      <c r="A23047" s="4" t="s">
        <v>29002</v>
      </c>
      <c r="B23047" s="6" t="s">
        <v>29005</v>
      </c>
      <c r="C23047" s="5" t="str">
        <f>IFERROR(__xludf.DUMMYFUNCTION("GOOGLETRANSLATE(B23047,""en"",""it"")"),"Le persone che stavano giocando a badminton vanno oltre e parlano con altre persone che sono sedute sulle sedie da giardino.")</f>
        <v>Le persone che stavano giocando a badminton vanno oltre e parlano con altre persone che sono sedute sulle sedie da giardino.</v>
      </c>
    </row>
    <row r="23048">
      <c r="A23048" s="4" t="s">
        <v>29002</v>
      </c>
      <c r="B23048" s="4" t="s">
        <v>29006</v>
      </c>
      <c r="C23048" s="5" t="str">
        <f>IFERROR(__xludf.DUMMYFUNCTION("GOOGLETRANSLATE(B23048,""en"",""it"")"),"Il ragazzo entra in casa mentre la gente continua a ridere.")</f>
        <v>Il ragazzo entra in casa mentre la gente continua a ridere.</v>
      </c>
    </row>
    <row r="23049">
      <c r="A23049" s="4" t="s">
        <v>29007</v>
      </c>
      <c r="B23049" s="4" t="s">
        <v>29008</v>
      </c>
      <c r="C23049" s="5" t="str">
        <f>IFERROR(__xludf.DUMMYFUNCTION("GOOGLETRANSLATE(B23049,""en"",""it"")"),"Vediamo una scena di apertura con un'immagine.")</f>
        <v>Vediamo una scena di apertura con un'immagine.</v>
      </c>
    </row>
    <row r="23050">
      <c r="A23050" s="4" t="s">
        <v>29007</v>
      </c>
      <c r="B23050" s="4" t="s">
        <v>29009</v>
      </c>
      <c r="C23050" s="5" t="str">
        <f>IFERROR(__xludf.DUMMYFUNCTION("GOOGLETRANSLATE(B23050,""en"",""it"")"),"Vediamo quindi un lago con anatre e rocce.")</f>
        <v>Vediamo quindi un lago con anatre e rocce.</v>
      </c>
    </row>
    <row r="23051">
      <c r="A23051" s="4" t="s">
        <v>29007</v>
      </c>
      <c r="B23051" s="4" t="s">
        <v>29010</v>
      </c>
      <c r="C23051" s="5" t="str">
        <f>IFERROR(__xludf.DUMMYFUNCTION("GOOGLETRANSLATE(B23051,""en"",""it"")"),"Le persone pagano nel lago in canoa.")</f>
        <v>Le persone pagano nel lago in canoa.</v>
      </c>
    </row>
    <row r="23052">
      <c r="A23052" s="4" t="s">
        <v>29007</v>
      </c>
      <c r="B23052" s="4" t="s">
        <v>29011</v>
      </c>
      <c r="C23052" s="5" t="str">
        <f>IFERROR(__xludf.DUMMYFUNCTION("GOOGLETRANSLATE(B23052,""en"",""it"")"),"Vediamo un ponte e la gente passa sotto il ponte.")</f>
        <v>Vediamo un ponte e la gente passa sotto il ponte.</v>
      </c>
    </row>
    <row r="23053">
      <c r="A23053" s="4" t="s">
        <v>29007</v>
      </c>
      <c r="B23053" s="4" t="s">
        <v>29012</v>
      </c>
      <c r="C23053" s="5" t="str">
        <f>IFERROR(__xludf.DUMMYFUNCTION("GOOGLETRANSLATE(B23053,""en"",""it"")"),"Vediamo l'erba alta soffiare nella brezza mentre i diportisti passano.")</f>
        <v>Vediamo l'erba alta soffiare nella brezza mentre i diportisti passano.</v>
      </c>
    </row>
    <row r="23054">
      <c r="A23054" s="4" t="s">
        <v>29007</v>
      </c>
      <c r="B23054" s="4" t="s">
        <v>29013</v>
      </c>
      <c r="C23054" s="5" t="str">
        <f>IFERROR(__xludf.DUMMYFUNCTION("GOOGLETRANSLATE(B23054,""en"",""it"")"),"I diportni arriva a riva.")</f>
        <v>I diportni arriva a riva.</v>
      </c>
    </row>
    <row r="23055">
      <c r="A23055" s="4" t="s">
        <v>29007</v>
      </c>
      <c r="B23055" s="4" t="s">
        <v>10150</v>
      </c>
      <c r="C23055" s="5" t="str">
        <f>IFERROR(__xludf.DUMMYFUNCTION("GOOGLETRANSLATE(B23055,""en"",""it"")"),"Vediamo quindi la schermata del titolo di chiusura.")</f>
        <v>Vediamo quindi la schermata del titolo di chiusura.</v>
      </c>
    </row>
    <row r="23056">
      <c r="A23056" s="4" t="s">
        <v>29014</v>
      </c>
      <c r="B23056" s="4" t="s">
        <v>29015</v>
      </c>
      <c r="C23056" s="5" t="str">
        <f>IFERROR(__xludf.DUMMYFUNCTION("GOOGLETRANSLATE(B23056,""en"",""it"")"),"Vengono visualizzati un tabellone e uno schermo video di grandi dimensioni.")</f>
        <v>Vengono visualizzati un tabellone e uno schermo video di grandi dimensioni.</v>
      </c>
    </row>
    <row r="23057">
      <c r="A23057" s="4" t="s">
        <v>29014</v>
      </c>
      <c r="B23057" s="4" t="s">
        <v>29016</v>
      </c>
      <c r="C23057" s="5" t="str">
        <f>IFERROR(__xludf.DUMMYFUNCTION("GOOGLETRANSLATE(B23057,""en"",""it"")"),"I motociclisti lanciano una rampa molto alta su una pista da bici da sporcizia.")</f>
        <v>I motociclisti lanciano una rampa molto alta su una pista da bici da sporcizia.</v>
      </c>
    </row>
    <row r="23058">
      <c r="A23058" s="4" t="s">
        <v>29014</v>
      </c>
      <c r="B23058" s="4" t="s">
        <v>29017</v>
      </c>
      <c r="C23058" s="5" t="str">
        <f>IFERROR(__xludf.DUMMYFUNCTION("GOOGLETRANSLATE(B23058,""en"",""it"")"),"I motociclisti corrono attorno alla pista accidentata.")</f>
        <v>I motociclisti corrono attorno alla pista accidentata.</v>
      </c>
    </row>
    <row r="23059">
      <c r="A23059" s="4" t="s">
        <v>29018</v>
      </c>
      <c r="B23059" s="4" t="s">
        <v>29019</v>
      </c>
      <c r="C23059" s="5" t="str">
        <f>IFERROR(__xludf.DUMMYFUNCTION("GOOGLETRANSLATE(B23059,""en"",""it"")"),"Un primo piano dei piedi di una persona si vede cavalcando lungo il fiume in un tubo.")</f>
        <v>Un primo piano dei piedi di una persona si vede cavalcando lungo il fiume in un tubo.</v>
      </c>
    </row>
    <row r="23060">
      <c r="A23060" s="4" t="s">
        <v>29018</v>
      </c>
      <c r="B23060" s="4" t="s">
        <v>29020</v>
      </c>
      <c r="C23060" s="5" t="str">
        <f>IFERROR(__xludf.DUMMYFUNCTION("GOOGLETRANSLATE(B23060,""en"",""it"")"),"Diverse altre persone vengono viste cavalcare nei tubi lungo il fiume mentre altri guardano sul lato.")</f>
        <v>Diverse altre persone vengono viste cavalcare nei tubi lungo il fiume mentre altri guardano sul lato.</v>
      </c>
    </row>
    <row r="23061">
      <c r="A23061" s="4" t="s">
        <v>29018</v>
      </c>
      <c r="B23061" s="4" t="s">
        <v>29021</v>
      </c>
      <c r="C23061" s="5" t="str">
        <f>IFERROR(__xludf.DUMMYFUNCTION("GOOGLETRANSLATE(B23061,""en"",""it"")"),"La persona continua a cavalcare il fiume oltre gli altri.")</f>
        <v>La persona continua a cavalcare il fiume oltre gli altri.</v>
      </c>
    </row>
    <row r="23062">
      <c r="A23062" s="4" t="s">
        <v>29022</v>
      </c>
      <c r="B23062" s="4" t="s">
        <v>29023</v>
      </c>
      <c r="C23062" s="5" t="str">
        <f>IFERROR(__xludf.DUMMYFUNCTION("GOOGLETRANSLATE(B23062,""en"",""it"")"),"Un uomo è visto in piedi dietro un bambino piccolo che è bendato.")</f>
        <v>Un uomo è visto in piedi dietro un bambino piccolo che è bendato.</v>
      </c>
    </row>
    <row r="23063">
      <c r="A23063" s="4" t="s">
        <v>29022</v>
      </c>
      <c r="B23063" s="4" t="s">
        <v>29024</v>
      </c>
      <c r="C23063" s="5" t="str">
        <f>IFERROR(__xludf.DUMMYFUNCTION("GOOGLETRANSLATE(B23063,""en"",""it"")"),"Vengono quindi mostrate diverse clip di persone che oscillano a Pinatas e falliscono miseramente.")</f>
        <v>Vengono quindi mostrate diverse clip di persone che oscillano a Pinatas e falliscono miseramente.</v>
      </c>
    </row>
    <row r="23064">
      <c r="A23064" s="4" t="s">
        <v>29022</v>
      </c>
      <c r="B23064" s="6" t="s">
        <v>29025</v>
      </c>
      <c r="C23064" s="5" t="str">
        <f>IFERROR(__xludf.DUMMYFUNCTION("GOOGLETRANSLATE(B23064,""en"",""it"")"),"Vengono mostrate altre clip di persone che oscillano a Pinatas e finiscono con loro che colpiscono altre persone.")</f>
        <v>Vengono mostrate altre clip di persone che oscillano a Pinatas e finiscono con loro che colpiscono altre persone.</v>
      </c>
    </row>
    <row r="23065">
      <c r="A23065" s="4" t="s">
        <v>29026</v>
      </c>
      <c r="B23065" s="4" t="s">
        <v>29027</v>
      </c>
      <c r="C23065" s="5" t="str">
        <f>IFERROR(__xludf.DUMMYFUNCTION("GOOGLETRANSLATE(B23065,""en"",""it"")"),"Il sole splendente è nel cielo e mostra una montagna innevata e molti pini coperti di neve.")</f>
        <v>Il sole splendente è nel cielo e mostra una montagna innevata e molti pini coperti di neve.</v>
      </c>
    </row>
    <row r="23066">
      <c r="A23066" s="4" t="s">
        <v>29026</v>
      </c>
      <c r="B23066" s="4" t="s">
        <v>29028</v>
      </c>
      <c r="C23066" s="5" t="str">
        <f>IFERROR(__xludf.DUMMYFUNCTION("GOOGLETRANSLATE(B23066,""en"",""it"")"),"Uno snowboarder sta camminando sulla neve con due poli.")</f>
        <v>Uno snowboarder sta camminando sulla neve con due poli.</v>
      </c>
    </row>
    <row r="23067">
      <c r="A23067" s="4" t="s">
        <v>29026</v>
      </c>
      <c r="B23067" s="6" t="s">
        <v>29029</v>
      </c>
      <c r="C23067" s="5" t="str">
        <f>IFERROR(__xludf.DUMMYFUNCTION("GOOGLETRANSLATE(B23067,""en"",""it"")"),"I cubicoli sono appesi ai fili e uno snowboarder sta andando lungo il pendio innevato con altri snowboarder in piedi dietro.")</f>
        <v>I cubicoli sono appesi ai fili e uno snowboarder sta andando lungo il pendio innevato con altri snowboarder in piedi dietro.</v>
      </c>
    </row>
    <row r="23068">
      <c r="A23068" s="4" t="s">
        <v>29026</v>
      </c>
      <c r="B23068" s="4" t="s">
        <v>29030</v>
      </c>
      <c r="C23068" s="5" t="str">
        <f>IFERROR(__xludf.DUMMYFUNCTION("GOOGLETRANSLATE(B23068,""en"",""it"")"),"Gli uomini camminano in un pendio innevato con in mano i pali e altri snowboarder stanno scivolando dietro.")</f>
        <v>Gli uomini camminano in un pendio innevato con in mano i pali e altri snowboarder stanno scivolando dietro.</v>
      </c>
    </row>
    <row r="23069">
      <c r="A23069" s="4" t="s">
        <v>29026</v>
      </c>
      <c r="B23069" s="6" t="s">
        <v>29031</v>
      </c>
      <c r="C23069" s="5" t="str">
        <f>IFERROR(__xludf.DUMMYFUNCTION("GOOGLETRANSLATE(B23069,""en"",""it"")"),"Le donne sono su una sedia sospesa e sotto i bambini scendono in pendenza a snowboard e giocano in un castello di neve.")</f>
        <v>Le donne sono su una sedia sospesa e sotto i bambini scendono in pendenza a snowboard e giocano in un castello di neve.</v>
      </c>
    </row>
    <row r="23070">
      <c r="A23070" s="4" t="s">
        <v>29026</v>
      </c>
      <c r="B23070" s="4" t="s">
        <v>29032</v>
      </c>
      <c r="C23070" s="5" t="str">
        <f>IFERROR(__xludf.DUMMYFUNCTION("GOOGLETRANSLATE(B23070,""en"",""it"")"),"La gente sta camminando su Snowy Mountain e Snowboarding.")</f>
        <v>La gente sta camminando su Snowy Mountain e Snowboarding.</v>
      </c>
    </row>
    <row r="23071">
      <c r="A23071" s="4" t="s">
        <v>29026</v>
      </c>
      <c r="B23071" s="4" t="s">
        <v>29033</v>
      </c>
      <c r="C23071" s="5" t="str">
        <f>IFERROR(__xludf.DUMMYFUNCTION("GOOGLETRANSLATE(B23071,""en"",""it"")"),"Wmoan entra in una grotta con un uomo e serve vino e una coppia di anziani sta tostando.")</f>
        <v>Wmoan entra in una grotta con un uomo e serve vino e una coppia di anziani sta tostando.</v>
      </c>
    </row>
    <row r="23072">
      <c r="A23072" s="4" t="s">
        <v>29026</v>
      </c>
      <c r="B23072" s="6" t="s">
        <v>29034</v>
      </c>
      <c r="C23072" s="5" t="str">
        <f>IFERROR(__xludf.DUMMYFUNCTION("GOOGLETRANSLATE(B23072,""en"",""it"")"),"Molte persone stanno aspettando e seduti sui loro sacchi con gli snowboard su un lato, la gente scende dalla montagna mentre passano i giorni.")</f>
        <v>Molte persone stanno aspettando e seduti sui loro sacchi con gli snowboard su un lato, la gente scende dalla montagna mentre passano i giorni.</v>
      </c>
    </row>
    <row r="23073">
      <c r="A23073" s="4" t="s">
        <v>29035</v>
      </c>
      <c r="B23073" s="4" t="s">
        <v>29036</v>
      </c>
      <c r="C23073" s="5" t="str">
        <f>IFERROR(__xludf.DUMMYFUNCTION("GOOGLETRANSLATE(B23073,""en"",""it"")"),"Diversi uomini professionisti stanno mettendo la cera su tutti i tipi di sci.")</f>
        <v>Diversi uomini professionisti stanno mettendo la cera su tutti i tipi di sci.</v>
      </c>
    </row>
    <row r="23074">
      <c r="A23074" s="4" t="s">
        <v>29035</v>
      </c>
      <c r="B23074" s="4" t="s">
        <v>29037</v>
      </c>
      <c r="C23074" s="5" t="str">
        <f>IFERROR(__xludf.DUMMYFUNCTION("GOOGLETRANSLATE(B23074,""en"",""it"")"),"Mentre continuano a posizionare la cera, usano gli strumenti per macinare e levigare gli sci.")</f>
        <v>Mentre continuano a posizionare la cera, usano gli strumenti per macinare e levigare gli sci.</v>
      </c>
    </row>
    <row r="23075">
      <c r="A23075" s="4" t="s">
        <v>29035</v>
      </c>
      <c r="B23075" s="4" t="s">
        <v>29038</v>
      </c>
      <c r="C23075" s="5" t="str">
        <f>IFERROR(__xludf.DUMMYFUNCTION("GOOGLETRANSLATE(B23075,""en"",""it"")"),"Infine, l'uso di panni da parte degli operai si liscia e brilla gli sci.")</f>
        <v>Infine, l'uso di panni da parte degli operai si liscia e brilla gli sci.</v>
      </c>
    </row>
    <row r="23076">
      <c r="A23076" s="4" t="s">
        <v>29039</v>
      </c>
      <c r="B23076" s="4" t="s">
        <v>29040</v>
      </c>
      <c r="C23076" s="5" t="str">
        <f>IFERROR(__xludf.DUMMYFUNCTION("GOOGLETRANSLATE(B23076,""en"",""it"")"),"Una processione militare porta una bara e attraversa una cerimonia funebre.")</f>
        <v>Una processione militare porta una bara e attraversa una cerimonia funebre.</v>
      </c>
    </row>
    <row r="23077">
      <c r="A23077" s="4" t="s">
        <v>29039</v>
      </c>
      <c r="B23077" s="4" t="s">
        <v>29041</v>
      </c>
      <c r="C23077" s="5" t="str">
        <f>IFERROR(__xludf.DUMMYFUNCTION("GOOGLETRANSLATE(B23077,""en"",""it"")"),"Un'ancora di notizie parla in una redazione.")</f>
        <v>Un'ancora di notizie parla in una redazione.</v>
      </c>
    </row>
    <row r="23078">
      <c r="A23078" s="4" t="s">
        <v>29039</v>
      </c>
      <c r="B23078" s="4" t="s">
        <v>29042</v>
      </c>
      <c r="C23078" s="5" t="str">
        <f>IFERROR(__xludf.DUMMYFUNCTION("GOOGLETRANSLATE(B23078,""en"",""it"")"),"Una bara ed è trasportato da un carro insieme al militare.")</f>
        <v>Una bara ed è trasportato da un carro insieme al militare.</v>
      </c>
    </row>
    <row r="23079">
      <c r="A23079" s="4" t="s">
        <v>29039</v>
      </c>
      <c r="B23079" s="4" t="s">
        <v>29043</v>
      </c>
      <c r="C23079" s="5" t="str">
        <f>IFERROR(__xludf.DUMMYFUNCTION("GOOGLETRANSLATE(B23079,""en"",""it"")"),"Un militare presenta una bandiera a un ospite.")</f>
        <v>Un militare presenta una bandiera a un ospite.</v>
      </c>
    </row>
    <row r="23080">
      <c r="A23080" s="4" t="s">
        <v>29039</v>
      </c>
      <c r="B23080" s="4" t="s">
        <v>29044</v>
      </c>
      <c r="C23080" s="5" t="str">
        <f>IFERROR(__xludf.DUMMYFUNCTION("GOOGLETRANSLATE(B23080,""en"",""it"")"),"Un uomo con una gamba protesica e una donna cavalca cavalli con allenatori con un allenatore a fianco.")</f>
        <v>Un uomo con una gamba protesica e una donna cavalca cavalli con allenatori con un allenatore a fianco.</v>
      </c>
    </row>
    <row r="23081">
      <c r="A23081" s="4" t="s">
        <v>29039</v>
      </c>
      <c r="B23081" s="4" t="s">
        <v>29045</v>
      </c>
      <c r="C23081" s="5" t="str">
        <f>IFERROR(__xludf.DUMMYFUNCTION("GOOGLETRANSLATE(B23081,""en"",""it"")"),"Un giornalista cavalca con un uomo nella maglia da calcio lungo un marciapiede.")</f>
        <v>Un giornalista cavalca con un uomo nella maglia da calcio lungo un marciapiede.</v>
      </c>
    </row>
    <row r="23082">
      <c r="A23082" s="4" t="s">
        <v>29039</v>
      </c>
      <c r="B23082" s="4" t="s">
        <v>29046</v>
      </c>
      <c r="C23082" s="5" t="str">
        <f>IFERROR(__xludf.DUMMYFUNCTION("GOOGLETRANSLATE(B23082,""en"",""it"")"),"Un addestratore di cavalli parla vicino a un'area boscosa.")</f>
        <v>Un addestratore di cavalli parla vicino a un'area boscosa.</v>
      </c>
    </row>
    <row r="23083">
      <c r="A23083" s="4" t="s">
        <v>29039</v>
      </c>
      <c r="B23083" s="4" t="s">
        <v>29047</v>
      </c>
      <c r="C23083" s="5" t="str">
        <f>IFERROR(__xludf.DUMMYFUNCTION("GOOGLETRANSLATE(B23083,""en"",""it"")"),"L'uomo in una maglia si ferma sul cavallo mentre si avvicina alla processione funebre.")</f>
        <v>L'uomo in una maglia si ferma sul cavallo mentre si avvicina alla processione funebre.</v>
      </c>
    </row>
    <row r="23084">
      <c r="A23084" s="4" t="s">
        <v>29048</v>
      </c>
      <c r="B23084" s="4" t="s">
        <v>29049</v>
      </c>
      <c r="C23084" s="5" t="str">
        <f>IFERROR(__xludf.DUMMYFUNCTION("GOOGLETRANSLATE(B23084,""en"",""it"")"),"C'è un uomo che parla sul microfono per annunciare chi sta arrivando.")</f>
        <v>C'è un uomo che parla sul microfono per annunciare chi sta arrivando.</v>
      </c>
    </row>
    <row r="23085">
      <c r="A23085" s="4" t="s">
        <v>29048</v>
      </c>
      <c r="B23085" s="4" t="s">
        <v>29050</v>
      </c>
      <c r="C23085" s="5" t="str">
        <f>IFERROR(__xludf.DUMMYFUNCTION("GOOGLETRANSLATE(B23085,""en"",""it"")"),"Successivamente molte persone diverse salgono sul palco per ballare.")</f>
        <v>Successivamente molte persone diverse salgono sul palco per ballare.</v>
      </c>
    </row>
    <row r="23086">
      <c r="A23086" s="4" t="s">
        <v>29051</v>
      </c>
      <c r="B23086" s="4" t="s">
        <v>29052</v>
      </c>
      <c r="C23086" s="5" t="str">
        <f>IFERROR(__xludf.DUMMYFUNCTION("GOOGLETRANSLATE(B23086,""en"",""it"")"),"Diverse clip mostrate da una persona che cavalcavano le strade della città sulle lame a rulli.")</f>
        <v>Diverse clip mostrate da una persona che cavalcavano le strade della città sulle lame a rulli.</v>
      </c>
    </row>
    <row r="23087">
      <c r="A23087" s="4" t="s">
        <v>29051</v>
      </c>
      <c r="B23087" s="4" t="s">
        <v>29053</v>
      </c>
      <c r="C23087" s="5" t="str">
        <f>IFERROR(__xludf.DUMMYFUNCTION("GOOGLETRANSLATE(B23087,""en"",""it"")"),"La persona continua a guidare per le strade e quindi il testo appare attraverso lo schermo.")</f>
        <v>La persona continua a guidare per le strade e quindi il testo appare attraverso lo schermo.</v>
      </c>
    </row>
    <row r="23088">
      <c r="A23088" s="4" t="s">
        <v>29054</v>
      </c>
      <c r="B23088" s="6" t="s">
        <v>29055</v>
      </c>
      <c r="C23088" s="5" t="str">
        <f>IFERROR(__xludf.DUMMYFUNCTION("GOOGLETRANSLATE(B23088,""en"",""it"")"),"Una ragazza viene mostrata su un grande pavimento in palestra che fa capovolgendo e trucchi con un testimone e diversi giudici che la guardano.")</f>
        <v>Una ragazza viene mostrata su un grande pavimento in palestra che fa capovolgendo e trucchi con un testimone e diversi giudici che la guardano.</v>
      </c>
    </row>
    <row r="23089">
      <c r="A23089" s="4" t="s">
        <v>29054</v>
      </c>
      <c r="B23089" s="4" t="s">
        <v>29056</v>
      </c>
      <c r="C23089" s="5" t="str">
        <f>IFERROR(__xludf.DUMMYFUNCTION("GOOGLETRANSLATE(B23089,""en"",""it"")"),"Continua a muoversi lungo il pavimento mentre lungo la ragazza si esercita dietro di lei.")</f>
        <v>Continua a muoversi lungo il pavimento mentre lungo la ragazza si esercita dietro di lei.</v>
      </c>
    </row>
    <row r="23090">
      <c r="A23090" s="4" t="s">
        <v>29054</v>
      </c>
      <c r="B23090" s="4" t="s">
        <v>29057</v>
      </c>
      <c r="C23090" s="5" t="str">
        <f>IFERROR(__xludf.DUMMYFUNCTION("GOOGLETRANSLATE(B23090,""en"",""it"")"),"Finisce la sua routine e si trova di fronte ai giudici e sente i suoi risultati.")</f>
        <v>Finisce la sua routine e si trova di fronte ai giudici e sente i suoi risultati.</v>
      </c>
    </row>
    <row r="23091">
      <c r="A23091" s="4" t="s">
        <v>29058</v>
      </c>
      <c r="B23091" s="4" t="s">
        <v>29059</v>
      </c>
      <c r="C23091" s="5" t="str">
        <f>IFERROR(__xludf.DUMMYFUNCTION("GOOGLETRANSLATE(B23091,""en"",""it"")"),"Un surfista che indossa un abito bagnato decolla e cavalca un'onda nell'oceano.")</f>
        <v>Un surfista che indossa un abito bagnato decolla e cavalca un'onda nell'oceano.</v>
      </c>
    </row>
    <row r="23092">
      <c r="A23092" s="4" t="s">
        <v>29058</v>
      </c>
      <c r="B23092" s="4" t="s">
        <v>29060</v>
      </c>
      <c r="C23092" s="5" t="str">
        <f>IFERROR(__xludf.DUMMYFUNCTION("GOOGLETRANSLATE(B23092,""en"",""it"")"),"Due surfisti sono accolti da un sigillo nell'oceano che salta sulla sua tavola e gioca con loro.")</f>
        <v>Due surfisti sono accolti da un sigillo nell'oceano che salta sulla sua tavola e gioca con loro.</v>
      </c>
    </row>
    <row r="23093">
      <c r="A23093" s="4" t="s">
        <v>29058</v>
      </c>
      <c r="B23093" s="4" t="s">
        <v>29061</v>
      </c>
      <c r="C23093" s="5" t="str">
        <f>IFERROR(__xludf.DUMMYFUNCTION("GOOGLETRANSLATE(B23093,""en"",""it"")"),"Il surfista che indossa un abito bagnato decolla su un'onda lasciando il sigillo alle spalle.")</f>
        <v>Il surfista che indossa un abito bagnato decolla su un'onda lasciando il sigillo alle spalle.</v>
      </c>
    </row>
    <row r="23094">
      <c r="A23094" s="4" t="s">
        <v>29062</v>
      </c>
      <c r="B23094" s="4" t="s">
        <v>29063</v>
      </c>
      <c r="C23094" s="5" t="str">
        <f>IFERROR(__xludf.DUMMYFUNCTION("GOOGLETRANSLATE(B23094,""en"",""it"")"),"Un uomo è in una stanza, indica e parla di piastrelle.")</f>
        <v>Un uomo è in una stanza, indica e parla di piastrelle.</v>
      </c>
    </row>
    <row r="23095">
      <c r="A23095" s="4" t="s">
        <v>29062</v>
      </c>
      <c r="B23095" s="4" t="s">
        <v>29064</v>
      </c>
      <c r="C23095" s="5" t="str">
        <f>IFERROR(__xludf.DUMMYFUNCTION("GOOGLETRANSLATE(B23095,""en"",""it"")"),"Sta posizionando le piastrelle nel muro una alla volta.")</f>
        <v>Sta posizionando le piastrelle nel muro una alla volta.</v>
      </c>
    </row>
    <row r="23096">
      <c r="A23096" s="4" t="s">
        <v>29062</v>
      </c>
      <c r="B23096" s="4" t="s">
        <v>29065</v>
      </c>
      <c r="C23096" s="5" t="str">
        <f>IFERROR(__xludf.DUMMYFUNCTION("GOOGLETRANSLATE(B23096,""en"",""it"")"),"L'uomo completa la costruzione, quindi spegne la fotocamera.")</f>
        <v>L'uomo completa la costruzione, quindi spegne la fotocamera.</v>
      </c>
    </row>
    <row r="23097">
      <c r="A23097" s="4" t="s">
        <v>29066</v>
      </c>
      <c r="B23097" s="4" t="s">
        <v>29067</v>
      </c>
      <c r="C23097" s="5" t="str">
        <f>IFERROR(__xludf.DUMMYFUNCTION("GOOGLETRANSLATE(B23097,""en"",""it"")"),"Viene mostrata una pagina con un video strutturato per apparire simile a YouTube.")</f>
        <v>Viene mostrata una pagina con un video strutturato per apparire simile a YouTube.</v>
      </c>
    </row>
    <row r="23098">
      <c r="A23098" s="4" t="s">
        <v>29066</v>
      </c>
      <c r="B23098" s="4" t="s">
        <v>29068</v>
      </c>
      <c r="C23098" s="5" t="str">
        <f>IFERROR(__xludf.DUMMYFUNCTION("GOOGLETRANSLATE(B23098,""en"",""it"")"),"Una donna seduta parla con la telecamera, intervallata da scene di individui mostrati saldatura.")</f>
        <v>Una donna seduta parla con la telecamera, intervallata da scene di individui mostrati saldatura.</v>
      </c>
    </row>
    <row r="23099">
      <c r="A23099" s="4" t="s">
        <v>29066</v>
      </c>
      <c r="B23099" s="4" t="s">
        <v>17268</v>
      </c>
      <c r="C23099" s="5" t="str">
        <f>IFERROR(__xludf.DUMMYFUNCTION("GOOGLETRANSLATE(B23099,""en"",""it"")"),"Un uomo parla alla telecamera.")</f>
        <v>Un uomo parla alla telecamera.</v>
      </c>
    </row>
    <row r="23100">
      <c r="A23100" s="4" t="s">
        <v>29066</v>
      </c>
      <c r="B23100" s="4" t="s">
        <v>29069</v>
      </c>
      <c r="C23100" s="5" t="str">
        <f>IFERROR(__xludf.DUMMYFUNCTION("GOOGLETRANSLATE(B23100,""en"",""it"")"),"La pagina di sosia di YouTube con un video viene nuovamente visualizzata.")</f>
        <v>La pagina di sosia di YouTube con un video viene nuovamente visualizzata.</v>
      </c>
    </row>
    <row r="23101">
      <c r="A23101" s="4" t="s">
        <v>29070</v>
      </c>
      <c r="B23101" s="4" t="s">
        <v>29071</v>
      </c>
      <c r="C23101" s="5" t="str">
        <f>IFERROR(__xludf.DUMMYFUNCTION("GOOGLETRANSLATE(B23101,""en"",""it"")"),"Un incantatore di notizie del Medio Oriente sta parlando di un recente evento in un'altra lingua.")</f>
        <v>Un incantatore di notizie del Medio Oriente sta parlando di un recente evento in un'altra lingua.</v>
      </c>
    </row>
    <row r="23102">
      <c r="A23102" s="4" t="s">
        <v>29070</v>
      </c>
      <c r="B23102" s="4" t="s">
        <v>29072</v>
      </c>
      <c r="C23102" s="5" t="str">
        <f>IFERROR(__xludf.DUMMYFUNCTION("GOOGLETRANSLATE(B23102,""en"",""it"")"),"La scena passa a mostrare un gruppo di persone in un evento di qualche tipo.")</f>
        <v>La scena passa a mostrare un gruppo di persone in un evento di qualche tipo.</v>
      </c>
    </row>
    <row r="23103">
      <c r="A23103" s="4" t="s">
        <v>29070</v>
      </c>
      <c r="B23103" s="4" t="s">
        <v>29073</v>
      </c>
      <c r="C23103" s="5" t="str">
        <f>IFERROR(__xludf.DUMMYFUNCTION("GOOGLETRANSLATE(B23103,""en"",""it"")"),"Le persone all'evento vengono mostrate scarpe da lucidatura.")</f>
        <v>Le persone all'evento vengono mostrate scarpe da lucidatura.</v>
      </c>
    </row>
    <row r="23104">
      <c r="A23104" s="4" t="s">
        <v>29070</v>
      </c>
      <c r="B23104" s="4" t="s">
        <v>29074</v>
      </c>
      <c r="C23104" s="5" t="str">
        <f>IFERROR(__xludf.DUMMYFUNCTION("GOOGLETRANSLATE(B23104,""en"",""it"")"),"Un uomo con una maglietta rossa viene intervistato mentre mostra altri all'evento sullo schermo diviso.")</f>
        <v>Un uomo con una maglietta rossa viene intervistato mentre mostra altri all'evento sullo schermo diviso.</v>
      </c>
    </row>
    <row r="23105">
      <c r="A23105" s="4" t="s">
        <v>29070</v>
      </c>
      <c r="B23105" s="4" t="s">
        <v>29075</v>
      </c>
      <c r="C23105" s="5" t="str">
        <f>IFERROR(__xludf.DUMMYFUNCTION("GOOGLETRANSLATE(B23105,""en"",""it"")"),"La scena torna al solo evento con il Newscaster che parla del filmato.")</f>
        <v>La scena torna al solo evento con il Newscaster che parla del filmato.</v>
      </c>
    </row>
    <row r="23106">
      <c r="A23106" s="4" t="s">
        <v>29076</v>
      </c>
      <c r="B23106" s="4" t="s">
        <v>29077</v>
      </c>
      <c r="C23106" s="5" t="str">
        <f>IFERROR(__xludf.DUMMYFUNCTION("GOOGLETRANSLATE(B23106,""en"",""it"")"),"La donna è in piedi accanto a un cavallo che tiene un pennello che pettina i capelli del cavallo.")</f>
        <v>La donna è in piedi accanto a un cavallo che tiene un pennello che pettina i capelli del cavallo.</v>
      </c>
    </row>
    <row r="23107">
      <c r="A23107" s="4" t="s">
        <v>29076</v>
      </c>
      <c r="B23107" s="4" t="s">
        <v>29078</v>
      </c>
      <c r="C23107" s="5" t="str">
        <f>IFERROR(__xludf.DUMMYFUNCTION("GOOGLETRANSLATE(B23107,""en"",""it"")"),"Litle Kid sta accarezzando il cavallo.")</f>
        <v>Litle Kid sta accarezzando il cavallo.</v>
      </c>
    </row>
    <row r="23108">
      <c r="A23108" s="4" t="s">
        <v>29076</v>
      </c>
      <c r="B23108" s="4" t="s">
        <v>29079</v>
      </c>
      <c r="C23108" s="5" t="str">
        <f>IFERROR(__xludf.DUMMYFUNCTION("GOOGLETRANSLATE(B23108,""en"",""it"")"),"La donna cammina in pista.")</f>
        <v>La donna cammina in pista.</v>
      </c>
    </row>
    <row r="23109">
      <c r="A23109" s="4" t="s">
        <v>29080</v>
      </c>
      <c r="B23109" s="4" t="s">
        <v>29081</v>
      </c>
      <c r="C23109" s="5" t="str">
        <f>IFERROR(__xludf.DUMMYFUNCTION("GOOGLETRANSLATE(B23109,""en"",""it"")"),"Una ragazza viene vista incrociarsi le braccia e l'hula che tendeva ancora e ancora.")</f>
        <v>Una ragazza viene vista incrociarsi le braccia e l'hula che tendeva ancora e ancora.</v>
      </c>
    </row>
    <row r="23110">
      <c r="A23110" s="4" t="s">
        <v>29080</v>
      </c>
      <c r="B23110" s="4" t="s">
        <v>29082</v>
      </c>
      <c r="C23110" s="5" t="str">
        <f>IFERROR(__xludf.DUMMYFUNCTION("GOOGLETRANSLATE(B23110,""en"",""it"")"),"Hula continuamente hula mentre si muove le gambe e fa vari salti e trucchi.")</f>
        <v>Hula continuamente hula mentre si muove le gambe e fa vari salti e trucchi.</v>
      </c>
    </row>
    <row r="23111">
      <c r="A23111" s="4" t="s">
        <v>29083</v>
      </c>
      <c r="B23111" s="4" t="s">
        <v>29084</v>
      </c>
      <c r="C23111" s="5" t="str">
        <f>IFERROR(__xludf.DUMMYFUNCTION("GOOGLETRANSLATE(B23111,""en"",""it"")"),"Un uomo di nome Andrei si avvicina al palco.")</f>
        <v>Un uomo di nome Andrei si avvicina al palco.</v>
      </c>
    </row>
    <row r="23112">
      <c r="A23112" s="4" t="s">
        <v>29083</v>
      </c>
      <c r="B23112" s="4" t="s">
        <v>29085</v>
      </c>
      <c r="C23112" s="5" t="str">
        <f>IFERROR(__xludf.DUMMYFUNCTION("GOOGLETRANSLATE(B23112,""en"",""it"")"),"Si alchina le mani in preparazione.")</f>
        <v>Si alchina le mani in preparazione.</v>
      </c>
    </row>
    <row r="23113">
      <c r="A23113" s="4" t="s">
        <v>29083</v>
      </c>
      <c r="B23113" s="4" t="s">
        <v>29086</v>
      </c>
      <c r="C23113" s="5" t="str">
        <f>IFERROR(__xludf.DUMMYFUNCTION("GOOGLETRANSLATE(B23113,""en"",""it"")"),"Mette le mani sul peso.")</f>
        <v>Mette le mani sul peso.</v>
      </c>
    </row>
    <row r="23114">
      <c r="A23114" s="4" t="s">
        <v>29083</v>
      </c>
      <c r="B23114" s="4" t="s">
        <v>29087</v>
      </c>
      <c r="C23114" s="5" t="str">
        <f>IFERROR(__xludf.DUMMYFUNCTION("GOOGLETRANSLATE(B23114,""en"",""it"")"),"Prepara il suo corpo per sollevare il peso pesante.")</f>
        <v>Prepara il suo corpo per sollevare il peso pesante.</v>
      </c>
    </row>
    <row r="23115">
      <c r="A23115" s="4" t="s">
        <v>29083</v>
      </c>
      <c r="B23115" s="4" t="s">
        <v>29088</v>
      </c>
      <c r="C23115" s="5" t="str">
        <f>IFERROR(__xludf.DUMMYFUNCTION("GOOGLETRANSLATE(B23115,""en"",""it"")"),"Si alza ma lascia cadere il peso e cade.")</f>
        <v>Si alza ma lascia cadere il peso e cade.</v>
      </c>
    </row>
    <row r="23116">
      <c r="A23116" s="4" t="s">
        <v>29083</v>
      </c>
      <c r="B23116" s="4" t="s">
        <v>29089</v>
      </c>
      <c r="C23116" s="5" t="str">
        <f>IFERROR(__xludf.DUMMYFUNCTION("GOOGLETRANSLATE(B23116,""en"",""it"")"),"L'altro concorrente si rallegra della loro vittoria.")</f>
        <v>L'altro concorrente si rallegra della loro vittoria.</v>
      </c>
    </row>
    <row r="23117">
      <c r="A23117" s="4" t="s">
        <v>29090</v>
      </c>
      <c r="B23117" s="4" t="s">
        <v>29091</v>
      </c>
      <c r="C23117" s="5" t="str">
        <f>IFERROR(__xludf.DUMMYFUNCTION("GOOGLETRANSLATE(B23117,""en"",""it"")"),"Il cielo Clear viene mostrato prima che un gruppo di ragazze appaia giocando a un gioco di hockey.")</f>
        <v>Il cielo Clear viene mostrato prima che un gruppo di ragazze appaia giocando a un gioco di hockey.</v>
      </c>
    </row>
    <row r="23118">
      <c r="A23118" s="4" t="s">
        <v>29090</v>
      </c>
      <c r="B23118" s="6" t="s">
        <v>29092</v>
      </c>
      <c r="C23118" s="5" t="str">
        <f>IFERROR(__xludf.DUMMYFUNCTION("GOOGLETRANSLATE(B23118,""en"",""it"")"),"Le due squadre competono l'una contro l'altra nell'edificio poiché le immagini fisse sono mostrate tra le commedie.")</f>
        <v>Le due squadre competono l'una contro l'altra nell'edificio poiché le immagini fisse sono mostrate tra le commedie.</v>
      </c>
    </row>
    <row r="23119">
      <c r="A23119" s="4" t="s">
        <v>29090</v>
      </c>
      <c r="B23119" s="6" t="s">
        <v>29093</v>
      </c>
      <c r="C23119" s="5" t="str">
        <f>IFERROR(__xludf.DUMMYFUNCTION("GOOGLETRANSLATE(B23119,""en"",""it"")"),"Mentre una squadra si avvicina a fare un obiettivo, un fotografo maschio viene mostrato all'angolo dell'obiettivo e poi una ragazza appare alla fine del video che fa una faccia divertente.")</f>
        <v>Mentre una squadra si avvicina a fare un obiettivo, un fotografo maschio viene mostrato all'angolo dell'obiettivo e poi una ragazza appare alla fine del video che fa una faccia divertente.</v>
      </c>
    </row>
    <row r="23120">
      <c r="A23120" s="4" t="s">
        <v>29094</v>
      </c>
      <c r="B23120" s="4" t="s">
        <v>29095</v>
      </c>
      <c r="C23120" s="5" t="str">
        <f>IFERROR(__xludf.DUMMYFUNCTION("GOOGLETRANSLATE(B23120,""en"",""it"")"),"Due uomini stanno performando Capoeria nel mezzo di un cerchio di persone.")</f>
        <v>Due uomini stanno performando Capoeria nel mezzo di un cerchio di persone.</v>
      </c>
    </row>
    <row r="23121">
      <c r="A23121" s="4" t="s">
        <v>29094</v>
      </c>
      <c r="B23121" s="4" t="s">
        <v>29096</v>
      </c>
      <c r="C23121" s="5" t="str">
        <f>IFERROR(__xludf.DUMMYFUNCTION("GOOGLETRANSLATE(B23121,""en"",""it"")"),"Si stanno esibendo mentre tutti applauvano.")</f>
        <v>Si stanno esibendo mentre tutti applauvano.</v>
      </c>
    </row>
    <row r="23122">
      <c r="A23122" s="4" t="s">
        <v>29094</v>
      </c>
      <c r="B23122" s="4" t="s">
        <v>29097</v>
      </c>
      <c r="C23122" s="5" t="str">
        <f>IFERROR(__xludf.DUMMYFUNCTION("GOOGLETRANSLATE(B23122,""en"",""it"")"),"Si fanno una breve pausa e camminano un po 'prima di ricominciare la loro esibizione.")</f>
        <v>Si fanno una breve pausa e camminano un po 'prima di ricominciare la loro esibizione.</v>
      </c>
    </row>
    <row r="23123">
      <c r="A23123" s="4" t="s">
        <v>29094</v>
      </c>
      <c r="B23123" s="4" t="s">
        <v>29098</v>
      </c>
      <c r="C23123" s="5" t="str">
        <f>IFERROR(__xludf.DUMMYFUNCTION("GOOGLETRANSLATE(B23123,""en"",""it"")"),"Le persone stanno applaudendo a un ritmo prestabilito.")</f>
        <v>Le persone stanno applaudendo a un ritmo prestabilito.</v>
      </c>
    </row>
    <row r="23124">
      <c r="A23124" s="4" t="s">
        <v>29094</v>
      </c>
      <c r="B23124" s="4" t="s">
        <v>29099</v>
      </c>
      <c r="C23124" s="5" t="str">
        <f>IFERROR(__xludf.DUMMYFUNCTION("GOOGLETRANSLATE(B23124,""en"",""it"")"),"Questo dura a lungo.")</f>
        <v>Questo dura a lungo.</v>
      </c>
    </row>
    <row r="23125">
      <c r="A23125" s="4" t="s">
        <v>29100</v>
      </c>
      <c r="B23125" s="4" t="s">
        <v>29101</v>
      </c>
      <c r="C23125" s="5" t="str">
        <f>IFERROR(__xludf.DUMMYFUNCTION("GOOGLETRANSLATE(B23125,""en"",""it"")"),"Il testo luminoso appare sullo schermo.")</f>
        <v>Il testo luminoso appare sullo schermo.</v>
      </c>
    </row>
    <row r="23126">
      <c r="A23126" s="4" t="s">
        <v>29100</v>
      </c>
      <c r="B23126" s="4" t="s">
        <v>29102</v>
      </c>
      <c r="C23126" s="5" t="str">
        <f>IFERROR(__xludf.DUMMYFUNCTION("GOOGLETRANSLATE(B23126,""en"",""it"")"),"Un pezzo d'arte viene esposto sul muro e ci vengono mostrati diversi primi piani della vernice.")</f>
        <v>Un pezzo d'arte viene esposto sul muro e ci vengono mostrati diversi primi piani della vernice.</v>
      </c>
    </row>
    <row r="23127">
      <c r="A23127" s="4" t="s">
        <v>29100</v>
      </c>
      <c r="B23127" s="4" t="s">
        <v>29103</v>
      </c>
      <c r="C23127" s="5" t="str">
        <f>IFERROR(__xludf.DUMMYFUNCTION("GOOGLETRANSLATE(B23127,""en"",""it"")"),"Impellenti dell'arte camminano attraverso la galleria, guardando il dipinto.")</f>
        <v>Impellenti dell'arte camminano attraverso la galleria, guardando il dipinto.</v>
      </c>
    </row>
    <row r="23128">
      <c r="A23128" s="4" t="s">
        <v>29100</v>
      </c>
      <c r="B23128" s="4" t="s">
        <v>29104</v>
      </c>
      <c r="C23128" s="5" t="str">
        <f>IFERROR(__xludf.DUMMYFUNCTION("GOOGLETRANSLATE(B23128,""en"",""it"")"),"Concludiamo quindi con qualcuno che scatta una foto e se ne va.")</f>
        <v>Concludiamo quindi con qualcuno che scatta una foto e se ne va.</v>
      </c>
    </row>
    <row r="23129">
      <c r="A23129" s="4" t="s">
        <v>29105</v>
      </c>
      <c r="B23129" s="4" t="s">
        <v>29106</v>
      </c>
      <c r="C23129" s="5" t="str">
        <f>IFERROR(__xludf.DUMMYFUNCTION("GOOGLETRANSLATE(B23129,""en"",""it"")"),"Un uomo sta mostrando una balestra e un coltello e altri attrezzi da caccia.")</f>
        <v>Un uomo sta mostrando una balestra e un coltello e altri attrezzi da caccia.</v>
      </c>
    </row>
    <row r="23130">
      <c r="A23130" s="4" t="s">
        <v>29105</v>
      </c>
      <c r="B23130" s="4" t="s">
        <v>29107</v>
      </c>
      <c r="C23130" s="5" t="str">
        <f>IFERROR(__xludf.DUMMYFUNCTION("GOOGLETRANSLATE(B23130,""en"",""it"")"),"L'uomo sta parlando con la telecamera che mostra un arco da caccia.")</f>
        <v>L'uomo sta parlando con la telecamera che mostra un arco da caccia.</v>
      </c>
    </row>
    <row r="23131">
      <c r="A23131" s="4" t="s">
        <v>29105</v>
      </c>
      <c r="B23131" s="4" t="s">
        <v>29108</v>
      </c>
      <c r="C23131" s="5" t="str">
        <f>IFERROR(__xludf.DUMMYFUNCTION("GOOGLETRANSLATE(B23131,""en"",""it"")"),"L'arco è mostrato in dettaglio.")</f>
        <v>L'arco è mostrato in dettaglio.</v>
      </c>
    </row>
    <row r="23132">
      <c r="A23132" s="4" t="s">
        <v>29105</v>
      </c>
      <c r="B23132" s="4" t="s">
        <v>29109</v>
      </c>
      <c r="C23132" s="5" t="str">
        <f>IFERROR(__xludf.DUMMYFUNCTION("GOOGLETRANSLATE(B23132,""en"",""it"")"),"Un altro uomo viene mostrato all'aperto usando l'arco da caccia per sparare a un bersaglio.")</f>
        <v>Un altro uomo viene mostrato all'aperto usando l'arco da caccia per sparare a un bersaglio.</v>
      </c>
    </row>
    <row r="23133">
      <c r="A23133" s="4" t="s">
        <v>29105</v>
      </c>
      <c r="B23133" s="4" t="s">
        <v>29110</v>
      </c>
      <c r="C23133" s="5" t="str">
        <f>IFERROR(__xludf.DUMMYFUNCTION("GOOGLETRANSLATE(B23133,""en"",""it"")"),"L'uomo sta parlando di nuovo con la telecamera all'interno che mostra l'arco da caccia.")</f>
        <v>L'uomo sta parlando di nuovo con la telecamera all'interno che mostra l'arco da caccia.</v>
      </c>
    </row>
    <row r="23134">
      <c r="A23134" s="4" t="s">
        <v>29111</v>
      </c>
      <c r="B23134" s="4" t="s">
        <v>29112</v>
      </c>
      <c r="C23134" s="5" t="str">
        <f>IFERROR(__xludf.DUMMYFUNCTION("GOOGLETRANSLATE(B23134,""en"",""it"")"),"Un uomo è su una tavola da immersione e inizia a saltare sul tabellone una volta.")</f>
        <v>Un uomo è su una tavola da immersione e inizia a saltare sul tabellone una volta.</v>
      </c>
    </row>
    <row r="23135">
      <c r="A23135" s="4" t="s">
        <v>29111</v>
      </c>
      <c r="B23135" s="4" t="s">
        <v>29113</v>
      </c>
      <c r="C23135" s="5" t="str">
        <f>IFERROR(__xludf.DUMMYFUNCTION("GOOGLETRANSLATE(B23135,""en"",""it"")"),"L'uomo va in aria e fa un rotolo in avanti in aria.")</f>
        <v>L'uomo va in aria e fa un rotolo in avanti in aria.</v>
      </c>
    </row>
    <row r="23136">
      <c r="A23136" s="4" t="s">
        <v>29111</v>
      </c>
      <c r="B23136" s="4" t="s">
        <v>29114</v>
      </c>
      <c r="C23136" s="5" t="str">
        <f>IFERROR(__xludf.DUMMYFUNCTION("GOOGLETRANSLATE(B23136,""en"",""it"")"),"L'uomo inizia quindi a scendere nell'acqua dalla cima del suo salto.")</f>
        <v>L'uomo inizia quindi a scendere nell'acqua dalla cima del suo salto.</v>
      </c>
    </row>
    <row r="23137">
      <c r="A23137" s="4" t="s">
        <v>29111</v>
      </c>
      <c r="B23137" s="4" t="s">
        <v>29115</v>
      </c>
      <c r="C23137" s="5" t="str">
        <f>IFERROR(__xludf.DUMMYFUNCTION("GOOGLETRANSLATE(B23137,""en"",""it"")"),"L'uomo atterra nell'acqua mentre schizza e fa muovere la superficie.")</f>
        <v>L'uomo atterra nell'acqua mentre schizza e fa muovere la superficie.</v>
      </c>
    </row>
    <row r="23138">
      <c r="A23138" s="4" t="s">
        <v>29116</v>
      </c>
      <c r="B23138" s="6" t="s">
        <v>29117</v>
      </c>
      <c r="C23138" s="5" t="str">
        <f>IFERROR(__xludf.DUMMYFUNCTION("GOOGLETRANSLATE(B23138,""en"",""it"")"),"La donna con occhiali da sole, la giacca blu spinse il mazzo di vita rotondo sulla neve e ci saltò sopra.")</f>
        <v>La donna con occhiali da sole, la giacca blu spinse il mazzo di vita rotondo sulla neve e ci saltò sopra.</v>
      </c>
    </row>
    <row r="23139">
      <c r="A23139" s="4" t="s">
        <v>29116</v>
      </c>
      <c r="B23139" s="6" t="s">
        <v>29118</v>
      </c>
      <c r="C23139" s="5" t="str">
        <f>IFERROR(__xludf.DUMMYFUNCTION("GOOGLETRANSLATE(B23139,""en"",""it"")"),"Il LifeBuoy continua a scivolare sulla neve, la donna sta guardando una macchina fotografica, ha superato le bandiere arancioni e diverse persone che si trovano sul lato del sentiero.")</f>
        <v>Il LifeBuoy continua a scivolare sulla neve, la donna sta guardando una macchina fotografica, ha superato le bandiere arancioni e diverse persone che si trovano sul lato del sentiero.</v>
      </c>
    </row>
    <row r="23140">
      <c r="A23140" s="4" t="s">
        <v>29119</v>
      </c>
      <c r="B23140" s="4" t="s">
        <v>1251</v>
      </c>
      <c r="C23140" s="5" t="str">
        <f>IFERROR(__xludf.DUMMYFUNCTION("GOOGLETRANSLATE(B23140,""en"",""it"")"),"Vengono visualizzati i crediti della clip.")</f>
        <v>Vengono visualizzati i crediti della clip.</v>
      </c>
    </row>
    <row r="23141">
      <c r="A23141" s="4" t="s">
        <v>29119</v>
      </c>
      <c r="B23141" s="4" t="s">
        <v>29120</v>
      </c>
      <c r="C23141" s="5" t="str">
        <f>IFERROR(__xludf.DUMMYFUNCTION("GOOGLETRANSLATE(B23141,""en"",""it"")"),"Un ragazzo parla mentre gestisce.")</f>
        <v>Un ragazzo parla mentre gestisce.</v>
      </c>
    </row>
    <row r="23142">
      <c r="A23142" s="4" t="s">
        <v>29119</v>
      </c>
      <c r="B23142" s="4" t="s">
        <v>29121</v>
      </c>
      <c r="C23142" s="5" t="str">
        <f>IFERROR(__xludf.DUMMYFUNCTION("GOOGLETRANSLATE(B23142,""en"",""it"")"),"Vengono mostrati gli ingredienti per fare un piatto.")</f>
        <v>Vengono mostrati gli ingredienti per fare un piatto.</v>
      </c>
    </row>
    <row r="23143">
      <c r="A23143" s="4" t="s">
        <v>29119</v>
      </c>
      <c r="B23143" s="4" t="s">
        <v>29122</v>
      </c>
      <c r="C23143" s="5" t="str">
        <f>IFERROR(__xludf.DUMMYFUNCTION("GOOGLETRANSLATE(B23143,""en"",""it"")"),"Il ragazzo mette burro, olio e ingredienti secchi in una padella.")</f>
        <v>Il ragazzo mette burro, olio e ingredienti secchi in una padella.</v>
      </c>
    </row>
    <row r="23144">
      <c r="A23144" s="4" t="s">
        <v>29119</v>
      </c>
      <c r="B23144" s="4" t="s">
        <v>29123</v>
      </c>
      <c r="C23144" s="5" t="str">
        <f>IFERROR(__xludf.DUMMYFUNCTION("GOOGLETRANSLATE(B23144,""en"",""it"")"),"Il ragazzo aggiunge pasta alla padella.")</f>
        <v>Il ragazzo aggiunge pasta alla padella.</v>
      </c>
    </row>
    <row r="23145">
      <c r="A23145" s="4" t="s">
        <v>29119</v>
      </c>
      <c r="B23145" s="4" t="s">
        <v>573</v>
      </c>
      <c r="C23145" s="5" t="str">
        <f>IFERROR(__xludf.DUMMYFUNCTION("GOOGLETRANSLATE(B23145,""en"",""it"")"),"Vengono visualizzati i crediti del video.")</f>
        <v>Vengono visualizzati i crediti del video.</v>
      </c>
    </row>
    <row r="23146">
      <c r="A23146" s="4" t="s">
        <v>29124</v>
      </c>
      <c r="B23146" s="6" t="s">
        <v>29125</v>
      </c>
      <c r="C23146" s="5" t="str">
        <f>IFERROR(__xludf.DUMMYFUNCTION("GOOGLETRANSLATE(B23146,""en"",""it"")"),"Un gruppo di persone viene visto in piedi per un cortile quando si colpisce una palla e un altro guarda da vicino.")</f>
        <v>Un gruppo di persone viene visto in piedi per un cortile quando si colpisce una palla e un altro guarda da vicino.</v>
      </c>
    </row>
    <row r="23147">
      <c r="A23147" s="4" t="s">
        <v>29124</v>
      </c>
      <c r="B23147" s="4" t="s">
        <v>29126</v>
      </c>
      <c r="C23147" s="5" t="str">
        <f>IFERROR(__xludf.DUMMYFUNCTION("GOOGLETRANSLATE(B23147,""en"",""it"")"),"Un altro uomo entra in un telaio colpendo la palla e le altre persone dietro di lui continuano a giocare.")</f>
        <v>Un altro uomo entra in un telaio colpendo la palla e le altre persone dietro di lui continuano a giocare.</v>
      </c>
    </row>
    <row r="23148">
      <c r="A23148" s="4" t="s">
        <v>29127</v>
      </c>
      <c r="B23148" s="4" t="s">
        <v>29128</v>
      </c>
      <c r="C23148" s="5" t="str">
        <f>IFERROR(__xludf.DUMMYFUNCTION("GOOGLETRANSLATE(B23148,""en"",""it"")"),"Una telecamera si panoramica sopra un tetto e mostra diverse persone che lavorano e un uomo intervistato.")</f>
        <v>Una telecamera si panoramica sopra un tetto e mostra diverse persone che lavorano e un uomo intervistato.</v>
      </c>
    </row>
    <row r="23149">
      <c r="A23149" s="4" t="s">
        <v>29127</v>
      </c>
      <c r="B23149" s="4" t="s">
        <v>29129</v>
      </c>
      <c r="C23149" s="5" t="str">
        <f>IFERROR(__xludf.DUMMYFUNCTION("GOOGLETRANSLATE(B23149,""en"",""it"")"),"Un uomo spruzza un tetto e mostra il prodotto utilizzato più volte e la parte superiore del tetto.")</f>
        <v>Un uomo spruzza un tetto e mostra il prodotto utilizzato più volte e la parte superiore del tetto.</v>
      </c>
    </row>
    <row r="23150">
      <c r="A23150" s="4" t="s">
        <v>29127</v>
      </c>
      <c r="B23150" s="4" t="s">
        <v>29130</v>
      </c>
      <c r="C23150" s="5" t="str">
        <f>IFERROR(__xludf.DUMMYFUNCTION("GOOGLETRANSLATE(B23150,""en"",""it"")"),"Un altro uomo viene intervistato e mostra più uomini che lavorano sul tetto.")</f>
        <v>Un altro uomo viene intervistato e mostra più uomini che lavorano sul tetto.</v>
      </c>
    </row>
    <row r="23151">
      <c r="A23151" s="4" t="s">
        <v>29131</v>
      </c>
      <c r="B23151" s="4" t="s">
        <v>29132</v>
      </c>
      <c r="C23151" s="5" t="str">
        <f>IFERROR(__xludf.DUMMYFUNCTION("GOOGLETRANSLATE(B23151,""en"",""it"")"),"Una persona mette un indumento in un secchio, quindi aggiunge detergenti e acqua.")</f>
        <v>Una persona mette un indumento in un secchio, quindi aggiunge detergenti e acqua.</v>
      </c>
    </row>
    <row r="23152">
      <c r="A23152" s="4" t="s">
        <v>29131</v>
      </c>
      <c r="B23152" s="4" t="s">
        <v>29133</v>
      </c>
      <c r="C23152" s="5" t="str">
        <f>IFERROR(__xludf.DUMMYFUNCTION("GOOGLETRANSLATE(B23152,""en"",""it"")"),"Quindi, l'uomo lava il panno con la mano, quindi versa acqua e risciacqua più volte.")</f>
        <v>Quindi, l'uomo lava il panno con la mano, quindi versa acqua e risciacqua più volte.</v>
      </c>
    </row>
    <row r="23153">
      <c r="A23153" s="4" t="s">
        <v>29131</v>
      </c>
      <c r="B23153" s="4" t="s">
        <v>29134</v>
      </c>
      <c r="C23153" s="5" t="str">
        <f>IFERROR(__xludf.DUMMYFUNCTION("GOOGLETRANSLATE(B23153,""en"",""it"")"),"Successivamente, la persona porta il capo per appendere una corda e asciugare.")</f>
        <v>Successivamente, la persona porta il capo per appendere una corda e asciugare.</v>
      </c>
    </row>
    <row r="23154">
      <c r="A23154" s="4" t="s">
        <v>29135</v>
      </c>
      <c r="B23154" s="4" t="s">
        <v>29136</v>
      </c>
      <c r="C23154" s="5" t="str">
        <f>IFERROR(__xludf.DUMMYFUNCTION("GOOGLETRANSLATE(B23154,""en"",""it"")"),"Un grande fiume è visto seguito da una persona che cavalca in un tubo.")</f>
        <v>Un grande fiume è visto seguito da una persona che cavalca in un tubo.</v>
      </c>
    </row>
    <row r="23155">
      <c r="A23155" s="4" t="s">
        <v>29135</v>
      </c>
      <c r="B23155" s="4" t="s">
        <v>29137</v>
      </c>
      <c r="C23155" s="5" t="str">
        <f>IFERROR(__xludf.DUMMYFUNCTION("GOOGLETRANSLATE(B23155,""en"",""it"")"),"Un'altra persona si vede anche cavalcare in un tubo.")</f>
        <v>Un'altra persona si vede anche cavalcare in un tubo.</v>
      </c>
    </row>
    <row r="23156">
      <c r="A23156" s="4" t="s">
        <v>29135</v>
      </c>
      <c r="B23156" s="4" t="s">
        <v>29138</v>
      </c>
      <c r="C23156" s="5" t="str">
        <f>IFERROR(__xludf.DUMMYFUNCTION("GOOGLETRANSLATE(B23156,""en"",""it"")"),"I due cavalcano lungo il fiume insieme e passano altre persone sedute lungo il fiume.")</f>
        <v>I due cavalcano lungo il fiume insieme e passano altre persone sedute lungo il fiume.</v>
      </c>
    </row>
    <row r="23157">
      <c r="A23157" s="4" t="s">
        <v>29139</v>
      </c>
      <c r="B23157" s="4" t="s">
        <v>29140</v>
      </c>
      <c r="C23157" s="5" t="str">
        <f>IFERROR(__xludf.DUMMYFUNCTION("GOOGLETRANSLATE(B23157,""en"",""it"")"),"Viene visto un uomo parlare alla telecamera mentre tiene in mano una grande fisarmonica.")</f>
        <v>Viene visto un uomo parlare alla telecamera mentre tiene in mano una grande fisarmonica.</v>
      </c>
    </row>
    <row r="23158">
      <c r="A23158" s="4" t="s">
        <v>29139</v>
      </c>
      <c r="B23158" s="6" t="s">
        <v>29141</v>
      </c>
      <c r="C23158" s="5" t="str">
        <f>IFERROR(__xludf.DUMMYFUNCTION("GOOGLETRANSLATE(B23158,""en"",""it"")"),"L'uomo dimostra quindi come suonare correttamente lo strumento mentre si muove le mani su e giù.")</f>
        <v>L'uomo dimostra quindi come suonare correttamente lo strumento mentre si muove le mani su e giù.</v>
      </c>
    </row>
    <row r="23159">
      <c r="A23159" s="4" t="s">
        <v>29142</v>
      </c>
      <c r="B23159" s="4" t="s">
        <v>29143</v>
      </c>
      <c r="C23159" s="5" t="str">
        <f>IFERROR(__xludf.DUMMYFUNCTION("GOOGLETRANSLATE(B23159,""en"",""it"")"),"Un uomo dai capelli bianchi si siede in un pianoforte e inizia a suonare in una hall mentre la gente cammina.")</f>
        <v>Un uomo dai capelli bianchi si siede in un pianoforte e inizia a suonare in una hall mentre la gente cammina.</v>
      </c>
    </row>
    <row r="23160">
      <c r="A23160" s="4" t="s">
        <v>29142</v>
      </c>
      <c r="B23160" s="4" t="s">
        <v>29144</v>
      </c>
      <c r="C23160" s="5" t="str">
        <f>IFERROR(__xludf.DUMMYFUNCTION("GOOGLETRANSLATE(B23160,""en"",""it"")"),"Il cameraman ingrandisce le mani degli uomini mentre gioca e si zoom.")</f>
        <v>Il cameraman ingrandisce le mani degli uomini mentre gioca e si zoom.</v>
      </c>
    </row>
    <row r="23161">
      <c r="A23161" s="4" t="s">
        <v>29145</v>
      </c>
      <c r="B23161" s="6" t="s">
        <v>29146</v>
      </c>
      <c r="C23161" s="5" t="str">
        <f>IFERROR(__xludf.DUMMYFUNCTION("GOOGLETRANSLATE(B23161,""en"",""it"")"),"Un'introduzione conduce a un uomo alto che indossa un costume da Babbo Natale e pattina in una lunga strada tra le persone.")</f>
        <v>Un'introduzione conduce a un uomo alto che indossa un costume da Babbo Natale e pattina in una lunga strada tra le persone.</v>
      </c>
    </row>
    <row r="23162">
      <c r="A23162" s="4" t="s">
        <v>29145</v>
      </c>
      <c r="B23162" s="6" t="s">
        <v>29147</v>
      </c>
      <c r="C23162" s="5" t="str">
        <f>IFERROR(__xludf.DUMMYFUNCTION("GOOGLETRANSLATE(B23162,""en"",""it"")"),"La telecamera lo segue per andare in giro per la città ed eseguire vari trucchi e manovre attorno a macchine e persone.")</f>
        <v>La telecamera lo segue per andare in giro per la città ed eseguire vari trucchi e manovre attorno a macchine e persone.</v>
      </c>
    </row>
    <row r="23163">
      <c r="A23163" s="4" t="s">
        <v>29148</v>
      </c>
      <c r="B23163" s="4" t="s">
        <v>29149</v>
      </c>
      <c r="C23163" s="5" t="str">
        <f>IFERROR(__xludf.DUMMYFUNCTION("GOOGLETRANSLATE(B23163,""en"",""it"")"),"Due uomini camminarono sul tavolo da calcio, un uomo contava i dadi sul lato.")</f>
        <v>Due uomini camminarono sul tavolo da calcio, un uomo contava i dadi sul lato.</v>
      </c>
    </row>
    <row r="23164">
      <c r="A23164" s="4" t="s">
        <v>29148</v>
      </c>
      <c r="B23164" s="4" t="s">
        <v>29150</v>
      </c>
      <c r="C23164" s="5" t="str">
        <f>IFERROR(__xludf.DUMMYFUNCTION("GOOGLETRANSLATE(B23164,""en"",""it"")"),"I giocatori si svolgono e spingono e tirano i pali mentre giocano sul tavolo.")</f>
        <v>I giocatori si svolgono e spingono e tirano i pali mentre giocano sul tavolo.</v>
      </c>
    </row>
    <row r="23165">
      <c r="A23165" s="4" t="s">
        <v>29148</v>
      </c>
      <c r="B23165" s="4" t="s">
        <v>29151</v>
      </c>
      <c r="C23165" s="5" t="str">
        <f>IFERROR(__xludf.DUMMYFUNCTION("GOOGLETRANSLATE(B23165,""en"",""it"")"),"Gli uomini della telecamera stanno scattando foto dietro di loro.")</f>
        <v>Gli uomini della telecamera stanno scattando foto dietro di loro.</v>
      </c>
    </row>
    <row r="23166">
      <c r="A23166" s="4" t="s">
        <v>29152</v>
      </c>
      <c r="B23166" s="4" t="s">
        <v>29153</v>
      </c>
      <c r="C23166" s="5" t="str">
        <f>IFERROR(__xludf.DUMMYFUNCTION("GOOGLETRANSLATE(B23166,""en"",""it"")"),"A diversi uomini viene mostrato bowling mentre un pubblico guarda.")</f>
        <v>A diversi uomini viene mostrato bowling mentre un pubblico guarda.</v>
      </c>
    </row>
    <row r="23167">
      <c r="A23167" s="4" t="s">
        <v>29152</v>
      </c>
      <c r="B23167" s="4" t="s">
        <v>29154</v>
      </c>
      <c r="C23167" s="5" t="str">
        <f>IFERROR(__xludf.DUMMYFUNCTION("GOOGLETRANSLATE(B23167,""en"",""it"")"),"La ciotola di bowling a sua volta, una alla volta.")</f>
        <v>La ciotola di bowling a sua volta, una alla volta.</v>
      </c>
    </row>
    <row r="23168">
      <c r="A23168" s="4" t="s">
        <v>29152</v>
      </c>
      <c r="B23168" s="4" t="s">
        <v>29155</v>
      </c>
      <c r="C23168" s="5" t="str">
        <f>IFERROR(__xludf.DUMMYFUNCTION("GOOGLETRANSLATE(B23168,""en"",""it"")"),"I giocatori e il pubblico tifano uno dei giocatori.")</f>
        <v>I giocatori e il pubblico tifano uno dei giocatori.</v>
      </c>
    </row>
    <row r="23169">
      <c r="A23169" s="4" t="s">
        <v>29156</v>
      </c>
      <c r="B23169" s="4" t="s">
        <v>29157</v>
      </c>
      <c r="C23169" s="5" t="str">
        <f>IFERROR(__xludf.DUMMYFUNCTION("GOOGLETRANSLATE(B23169,""en"",""it"")"),"Un uomo sta usando un paio di ribaltamenti sugli alberi.")</f>
        <v>Un uomo sta usando un paio di ribaltamenti sugli alberi.</v>
      </c>
    </row>
    <row r="23170">
      <c r="A23170" s="4" t="s">
        <v>29156</v>
      </c>
      <c r="B23170" s="4" t="s">
        <v>29158</v>
      </c>
      <c r="C23170" s="5" t="str">
        <f>IFERROR(__xludf.DUMMYFUNCTION("GOOGLETRANSLATE(B23170,""en"",""it"")"),"Sta parlando con la telecamera mentre va.")</f>
        <v>Sta parlando con la telecamera mentre va.</v>
      </c>
    </row>
    <row r="23171">
      <c r="A23171" s="4" t="s">
        <v>29156</v>
      </c>
      <c r="B23171" s="4" t="s">
        <v>29159</v>
      </c>
      <c r="C23171" s="5" t="str">
        <f>IFERROR(__xludf.DUMMYFUNCTION("GOOGLETRANSLATE(B23171,""en"",""it"")"),"Taglia gli alberi con le cesoie.")</f>
        <v>Taglia gli alberi con le cesoie.</v>
      </c>
    </row>
    <row r="23172">
      <c r="A23172" s="4" t="s">
        <v>29160</v>
      </c>
      <c r="B23172" s="4" t="s">
        <v>29161</v>
      </c>
      <c r="C23172" s="5" t="str">
        <f>IFERROR(__xludf.DUMMYFUNCTION("GOOGLETRANSLATE(B23172,""en"",""it"")"),"Una persona raccoglie mop e materiali per la pulizia su un pavimento duro.")</f>
        <v>Una persona raccoglie mop e materiali per la pulizia su un pavimento duro.</v>
      </c>
    </row>
    <row r="23173">
      <c r="A23173" s="4" t="s">
        <v>29160</v>
      </c>
      <c r="B23173" s="4" t="s">
        <v>29162</v>
      </c>
      <c r="C23173" s="5" t="str">
        <f>IFERROR(__xludf.DUMMYFUNCTION("GOOGLETRANSLATE(B23173,""en"",""it"")"),"La persona pulisce il pavimento duro usando una scopa di polvere.")</f>
        <v>La persona pulisce il pavimento duro usando una scopa di polvere.</v>
      </c>
    </row>
    <row r="23174">
      <c r="A23174" s="4" t="s">
        <v>29160</v>
      </c>
      <c r="B23174" s="6" t="s">
        <v>29163</v>
      </c>
      <c r="C23174" s="5" t="str">
        <f>IFERROR(__xludf.DUMMYFUNCTION("GOOGLETRANSLATE(B23174,""en"",""it"")"),"Quindi, la persona mette una tazza di detergente in una cucciolata d'acqua, quindi bagna un panno e si attacca a una maniglia per pulire il pavimento.")</f>
        <v>Quindi, la persona mette una tazza di detergente in una cucciolata d'acqua, quindi bagna un panno e si attacca a una maniglia per pulire il pavimento.</v>
      </c>
    </row>
    <row r="23175">
      <c r="A23175" s="4" t="s">
        <v>29160</v>
      </c>
      <c r="B23175" s="4" t="s">
        <v>29164</v>
      </c>
      <c r="C23175" s="5" t="str">
        <f>IFERROR(__xludf.DUMMYFUNCTION("GOOGLETRANSLATE(B23175,""en"",""it"")"),"La persona rimuove le macchie sul pavimento usando un panno con una soluzione speciale.")</f>
        <v>La persona rimuove le macchie sul pavimento usando un panno con una soluzione speciale.</v>
      </c>
    </row>
    <row r="23176">
      <c r="A23176" s="4" t="s">
        <v>29165</v>
      </c>
      <c r="B23176" s="6" t="s">
        <v>29166</v>
      </c>
      <c r="C23176" s="5" t="str">
        <f>IFERROR(__xludf.DUMMYFUNCTION("GOOGLETRANSLATE(B23176,""en"",""it"")"),"Una persona prende due bastoncini sui tamburi, un bastone tiene con una mano e l'altro con il piede, quindi la persona gioca con una mano e la batteria cade.")</f>
        <v>Una persona prende due bastoncini sui tamburi, un bastone tiene con una mano e l'altro con il piede, quindi la persona gioca con una mano e la batteria cade.</v>
      </c>
    </row>
    <row r="23177">
      <c r="A23177" s="4" t="s">
        <v>29165</v>
      </c>
      <c r="B23177" s="4" t="s">
        <v>29167</v>
      </c>
      <c r="C23177" s="5" t="str">
        <f>IFERROR(__xludf.DUMMYFUNCTION("GOOGLETRANSLATE(B23177,""en"",""it"")"),"La persona gioca con una mano e una mano e la faccia di un gorilla appare.")</f>
        <v>La persona gioca con una mano e una mano e la faccia di un gorilla appare.</v>
      </c>
    </row>
    <row r="23178">
      <c r="A23178" s="4" t="s">
        <v>29165</v>
      </c>
      <c r="B23178" s="4" t="s">
        <v>29168</v>
      </c>
      <c r="C23178" s="5" t="str">
        <f>IFERROR(__xludf.DUMMYFUNCTION("GOOGLETRANSLATE(B23178,""en"",""it"")"),"Quindi, la persona mette la senape in un tamburo e un uovo su altri tamburi e tamburi.")</f>
        <v>Quindi, la persona mette la senape in un tamburo e un uovo su altri tamburi e tamburi.</v>
      </c>
    </row>
    <row r="23179">
      <c r="A23179" s="4" t="s">
        <v>29165</v>
      </c>
      <c r="B23179" s="4" t="s">
        <v>29169</v>
      </c>
      <c r="C23179" s="5" t="str">
        <f>IFERROR(__xludf.DUMMYFUNCTION("GOOGLETRANSLATE(B23179,""en"",""it"")"),"Dopo, la persona mette una tortilla e tamburi, poi fritti e uova.")</f>
        <v>Dopo, la persona mette una tortilla e tamburi, poi fritti e uova.</v>
      </c>
    </row>
    <row r="23180">
      <c r="A23180" s="4" t="s">
        <v>29165</v>
      </c>
      <c r="B23180" s="4" t="s">
        <v>29170</v>
      </c>
      <c r="C23180" s="5" t="str">
        <f>IFERROR(__xludf.DUMMYFUNCTION("GOOGLETRANSLATE(B23180,""en"",""it"")"),"Successivamente, la persona distrugge i tamburi.")</f>
        <v>Successivamente, la persona distrugge i tamburi.</v>
      </c>
    </row>
    <row r="23181">
      <c r="A23181" s="4" t="s">
        <v>29171</v>
      </c>
      <c r="B23181" s="6" t="s">
        <v>29172</v>
      </c>
      <c r="C23181" s="5" t="str">
        <f>IFERROR(__xludf.DUMMYFUNCTION("GOOGLETRANSLATE(B23181,""en"",""it"")"),"Il video inizia con diversi scatti di una persona che fa trucchi su uno skateboard mentre molte persone lo guardano ai lati.")</f>
        <v>Il video inizia con diversi scatti di una persona che fa trucchi su uno skateboard mentre molte persone lo guardano ai lati.</v>
      </c>
    </row>
    <row r="23182">
      <c r="A23182" s="4" t="s">
        <v>29171</v>
      </c>
      <c r="B23182" s="6" t="s">
        <v>29173</v>
      </c>
      <c r="C23182" s="5" t="str">
        <f>IFERROR(__xludf.DUMMYFUNCTION("GOOGLETRANSLATE(B23182,""en"",""it"")"),"Tenta molti altri trucchi che non riescono a fargli atterrare sul tabellone e ogni volta che cammina per la ciotola.")</f>
        <v>Tenta molti altri trucchi che non riescono a fargli atterrare sul tabellone e ogni volta che cammina per la ciotola.</v>
      </c>
    </row>
    <row r="23183">
      <c r="A23183" s="4" t="s">
        <v>29174</v>
      </c>
      <c r="B23183" s="6" t="s">
        <v>29175</v>
      </c>
      <c r="C23183" s="5" t="str">
        <f>IFERROR(__xludf.DUMMYFUNCTION("GOOGLETRANSLATE(B23183,""en"",""it"")"),"Una donna è vista in piedi su un palcoscenico con una sola luce mostrata e inizia a eseguire una routine di danza.")</f>
        <v>Una donna è vista in piedi su un palcoscenico con una sola luce mostrata e inizia a eseguire una routine di danza.</v>
      </c>
    </row>
    <row r="23184">
      <c r="A23184" s="4" t="s">
        <v>29174</v>
      </c>
      <c r="B23184" s="4" t="s">
        <v>29176</v>
      </c>
      <c r="C23184" s="5" t="str">
        <f>IFERROR(__xludf.DUMMYFUNCTION("GOOGLETRANSLATE(B23184,""en"",""it"")"),"La luce è vista sulla donna è condotta su di lei su un palco illuminato che esegue una routine di danza del ventre.")</f>
        <v>La luce è vista sulla donna è condotta su di lei su un palco illuminato che esegue una routine di danza del ventre.</v>
      </c>
    </row>
    <row r="23185">
      <c r="A23185" s="4" t="s">
        <v>29174</v>
      </c>
      <c r="B23185" s="6" t="s">
        <v>29177</v>
      </c>
      <c r="C23185" s="5" t="str">
        <f>IFERROR(__xludf.DUMMYFUNCTION("GOOGLETRANSLATE(B23185,""en"",""it"")"),"Il palcoscenico diventa di nuovo buio e la donna continua a ballare tutto sul palco e tiene una posa.")</f>
        <v>Il palcoscenico diventa di nuovo buio e la donna continua a ballare tutto sul palco e tiene una posa.</v>
      </c>
    </row>
    <row r="23186">
      <c r="A23186" s="4" t="s">
        <v>29178</v>
      </c>
      <c r="B23186" s="4" t="s">
        <v>29179</v>
      </c>
      <c r="C23186" s="5" t="str">
        <f>IFERROR(__xludf.DUMMYFUNCTION("GOOGLETRANSLATE(B23186,""en"",""it"")"),"Un bambino spala la neve in un cortile e la getta nel vialetto.")</f>
        <v>Un bambino spala la neve in un cortile e la getta nel vialetto.</v>
      </c>
    </row>
    <row r="23187">
      <c r="A23187" s="4" t="s">
        <v>29178</v>
      </c>
      <c r="B23187" s="4" t="s">
        <v>29180</v>
      </c>
      <c r="C23187" s="5" t="str">
        <f>IFERROR(__xludf.DUMMYFUNCTION("GOOGLETRANSLATE(B23187,""en"",""it"")"),"La ragazza lascia cadere la pala e la pala nella neve.")</f>
        <v>La ragazza lascia cadere la pala e la pala nella neve.</v>
      </c>
    </row>
    <row r="23188">
      <c r="A23188" s="4" t="s">
        <v>29178</v>
      </c>
      <c r="B23188" s="4" t="s">
        <v>29181</v>
      </c>
      <c r="C23188" s="5" t="str">
        <f>IFERROR(__xludf.DUMMYFUNCTION("GOOGLETRANSLATE(B23188,""en"",""it"")"),"Il bambino si avvicina alla sua famiglia nel cortile.")</f>
        <v>Il bambino si avvicina alla sua famiglia nel cortile.</v>
      </c>
    </row>
    <row r="23189">
      <c r="A23189" s="4" t="s">
        <v>29182</v>
      </c>
      <c r="B23189" s="4" t="s">
        <v>29183</v>
      </c>
      <c r="C23189" s="5" t="str">
        <f>IFERROR(__xludf.DUMMYFUNCTION("GOOGLETRANSLATE(B23189,""en"",""it"")"),"Diverse persone sono su cavalli in un rodeo.")</f>
        <v>Diverse persone sono su cavalli in un rodeo.</v>
      </c>
    </row>
    <row r="23190">
      <c r="A23190" s="4" t="s">
        <v>29182</v>
      </c>
      <c r="B23190" s="4" t="s">
        <v>29184</v>
      </c>
      <c r="C23190" s="5" t="str">
        <f>IFERROR(__xludf.DUMMYFUNCTION("GOOGLETRANSLATE(B23190,""en"",""it"")"),"Un uomo esce dal cancello e corra un vitello.")</f>
        <v>Un uomo esce dal cancello e corra un vitello.</v>
      </c>
    </row>
    <row r="23191">
      <c r="A23191" s="4" t="s">
        <v>29182</v>
      </c>
      <c r="B23191" s="4" t="s">
        <v>29185</v>
      </c>
      <c r="C23191" s="5" t="str">
        <f>IFERROR(__xludf.DUMMYFUNCTION("GOOGLETRANSLATE(B23191,""en"",""it"")"),"Il vitello cade a terra mentre è in posizione.")</f>
        <v>Il vitello cade a terra mentre è in posizione.</v>
      </c>
    </row>
    <row r="23192">
      <c r="A23192" s="4" t="s">
        <v>29182</v>
      </c>
      <c r="B23192" s="4" t="s">
        <v>29186</v>
      </c>
      <c r="C23192" s="5" t="str">
        <f>IFERROR(__xludf.DUMMYFUNCTION("GOOGLETRANSLATE(B23192,""en"",""it"")"),"Cerca di stare in piedi, ma un altro uomo lo afferra.")</f>
        <v>Cerca di stare in piedi, ma un altro uomo lo afferra.</v>
      </c>
    </row>
    <row r="23193">
      <c r="A23193" s="4" t="s">
        <v>29187</v>
      </c>
      <c r="B23193" s="4" t="s">
        <v>29188</v>
      </c>
      <c r="C23193" s="5" t="str">
        <f>IFERROR(__xludf.DUMMYFUNCTION("GOOGLETRANSLATE(B23193,""en"",""it"")"),"Molte persone che indossano giubbotti di salvataggio rossi e sono su un autobus e trattengono zattere.")</f>
        <v>Molte persone che indossano giubbotti di salvataggio rossi e sono su un autobus e trattengono zattere.</v>
      </c>
    </row>
    <row r="23194">
      <c r="A23194" s="4" t="s">
        <v>29187</v>
      </c>
      <c r="B23194" s="4" t="s">
        <v>29189</v>
      </c>
      <c r="C23194" s="5" t="str">
        <f>IFERROR(__xludf.DUMMYFUNCTION("GOOGLETRANSLATE(B23194,""en"",""it"")"),"Le persone sono in acqua remellate nel fiume.")</f>
        <v>Le persone sono in acqua remellate nel fiume.</v>
      </c>
    </row>
    <row r="23195">
      <c r="A23195" s="4" t="s">
        <v>29190</v>
      </c>
      <c r="B23195" s="4" t="s">
        <v>29191</v>
      </c>
      <c r="C23195" s="5" t="str">
        <f>IFERROR(__xludf.DUMMYFUNCTION("GOOGLETRANSLATE(B23195,""en"",""it"")"),"L'arco dell'atleta maschio sollevò le braccia, poi camminò verso i poli.")</f>
        <v>L'arco dell'atleta maschio sollevò le braccia, poi camminò verso i poli.</v>
      </c>
    </row>
    <row r="23196">
      <c r="A23196" s="4" t="s">
        <v>29190</v>
      </c>
      <c r="B23196" s="6" t="s">
        <v>29192</v>
      </c>
      <c r="C23196" s="5" t="str">
        <f>IFERROR(__xludf.DUMMYFUNCTION("GOOGLETRANSLATE(B23196,""en"",""it"")"),"L'atleta saltò sui pali e si bilancò sui due poli, in piedi sulle braccia e poi cadendo e ruotando.")</f>
        <v>L'atleta saltò sui pali e si bilancò sui due poli, in piedi sulle braccia e poi cadendo e ruotando.</v>
      </c>
    </row>
    <row r="23197">
      <c r="A23197" s="4" t="s">
        <v>29190</v>
      </c>
      <c r="B23197" s="6" t="s">
        <v>29193</v>
      </c>
      <c r="C23197" s="5" t="str">
        <f>IFERROR(__xludf.DUMMYFUNCTION("GOOGLETRANSLATE(B23197,""en"",""it"")"),"Quando l'atleta ha finito con il suo numero, saltò dal palo e atterrò sui suoi piedi sul tappeto.")</f>
        <v>Quando l'atleta ha finito con il suo numero, saltò dal palo e atterrò sui suoi piedi sul tappeto.</v>
      </c>
    </row>
    <row r="23198">
      <c r="A23198" s="4" t="s">
        <v>29194</v>
      </c>
      <c r="B23198" s="4" t="s">
        <v>29195</v>
      </c>
      <c r="C23198" s="5" t="str">
        <f>IFERROR(__xludf.DUMMYFUNCTION("GOOGLETRANSLATE(B23198,""en"",""it"")"),"Una fila di batteristi è in piedi di fronte a un'orchestra.")</f>
        <v>Una fila di batteristi è in piedi di fronte a un'orchestra.</v>
      </c>
    </row>
    <row r="23199">
      <c r="A23199" s="4" t="s">
        <v>29194</v>
      </c>
      <c r="B23199" s="4" t="s">
        <v>29196</v>
      </c>
      <c r="C23199" s="5" t="str">
        <f>IFERROR(__xludf.DUMMYFUNCTION("GOOGLETRANSLATE(B23199,""en"",""it"")"),"I batteristi tengono le bacchette davanti al loro viso.")</f>
        <v>I batteristi tengono le bacchette davanti al loro viso.</v>
      </c>
    </row>
    <row r="23200">
      <c r="A23200" s="4" t="s">
        <v>29194</v>
      </c>
      <c r="B23200" s="4" t="s">
        <v>29197</v>
      </c>
      <c r="C23200" s="5" t="str">
        <f>IFERROR(__xludf.DUMMYFUNCTION("GOOGLETRANSLATE(B23200,""en"",""it"")"),"Ognuno di loro ha battuto la batteria.")</f>
        <v>Ognuno di loro ha battuto la batteria.</v>
      </c>
    </row>
    <row r="23201">
      <c r="A23201" s="4" t="s">
        <v>29194</v>
      </c>
      <c r="B23201" s="4" t="s">
        <v>29198</v>
      </c>
      <c r="C23201" s="5" t="str">
        <f>IFERROR(__xludf.DUMMYFUNCTION("GOOGLETRANSLATE(B23201,""en"",""it"")"),"Dopo ogni nota i batteristi sollevano le bacchette di fronte ai loro volti.")</f>
        <v>Dopo ogni nota i batteristi sollevano le bacchette di fronte ai loro volti.</v>
      </c>
    </row>
    <row r="23202">
      <c r="A23202" s="4" t="s">
        <v>29199</v>
      </c>
      <c r="B23202" s="4" t="s">
        <v>29200</v>
      </c>
      <c r="C23202" s="5" t="str">
        <f>IFERROR(__xludf.DUMMYFUNCTION("GOOGLETRANSLATE(B23202,""en"",""it"")"),"Un uomo viene visto in piedi su una scala e parlare alla telecamera.")</f>
        <v>Un uomo viene visto in piedi su una scala e parlare alla telecamera.</v>
      </c>
    </row>
    <row r="23203">
      <c r="A23203" s="4" t="s">
        <v>29199</v>
      </c>
      <c r="B23203" s="4" t="s">
        <v>29201</v>
      </c>
      <c r="C23203" s="5" t="str">
        <f>IFERROR(__xludf.DUMMYFUNCTION("GOOGLETRANSLATE(B23203,""en"",""it"")"),"Solleva vari strumenti e inizia a metterli insieme.")</f>
        <v>Solleva vari strumenti e inizia a metterli insieme.</v>
      </c>
    </row>
    <row r="23204">
      <c r="A23204" s="4" t="s">
        <v>29199</v>
      </c>
      <c r="B23204" s="4" t="s">
        <v>29202</v>
      </c>
      <c r="C23204" s="5" t="str">
        <f>IFERROR(__xludf.DUMMYFUNCTION("GOOGLETRANSLATE(B23204,""en"",""it"")"),"Quindi pulisce una finestra usando gli strumenti e stringe la scala.")</f>
        <v>Quindi pulisce una finestra usando gli strumenti e stringe la scala.</v>
      </c>
    </row>
    <row r="23205">
      <c r="A23205" s="4" t="s">
        <v>29203</v>
      </c>
      <c r="B23205" s="4" t="s">
        <v>29204</v>
      </c>
      <c r="C23205" s="5" t="str">
        <f>IFERROR(__xludf.DUMMYFUNCTION("GOOGLETRANSLATE(B23205,""en"",""it"")"),"Una persona che indossa una giacca blu e un casco arancione si trova su una zattera rovesciata nell'acqua.")</f>
        <v>Una persona che indossa una giacca blu e un casco arancione si trova su una zattera rovesciata nell'acqua.</v>
      </c>
    </row>
    <row r="23206">
      <c r="A23206" s="4" t="s">
        <v>29203</v>
      </c>
      <c r="B23206" s="4" t="s">
        <v>29205</v>
      </c>
      <c r="C23206" s="5" t="str">
        <f>IFERROR(__xludf.DUMMYFUNCTION("GOOGLETRANSLATE(B23206,""en"",""it"")"),"La zattera si ribalta completamente mentre cerca di salire.")</f>
        <v>La zattera si ribalta completamente mentre cerca di salire.</v>
      </c>
    </row>
    <row r="23207">
      <c r="A23207" s="4" t="s">
        <v>29203</v>
      </c>
      <c r="B23207" s="4" t="s">
        <v>29206</v>
      </c>
      <c r="C23207" s="5" t="str">
        <f>IFERROR(__xludf.DUMMYFUNCTION("GOOGLETRANSLATE(B23207,""en"",""it"")"),"Quindi l'uomo raddrizza la zattera e si siede dritto nella zattera.")</f>
        <v>Quindi l'uomo raddrizza la zattera e si siede dritto nella zattera.</v>
      </c>
    </row>
    <row r="23208">
      <c r="A23208" s="4" t="s">
        <v>29207</v>
      </c>
      <c r="B23208" s="4" t="s">
        <v>29208</v>
      </c>
      <c r="C23208" s="5" t="str">
        <f>IFERROR(__xludf.DUMMYFUNCTION("GOOGLETRANSLATE(B23208,""en"",""it"")"),"Un uomo viene visto andare su un cavallo mentre fa oscillare una corda e afferrare un vitello.")</f>
        <v>Un uomo viene visto andare su un cavallo mentre fa oscillare una corda e afferrare un vitello.</v>
      </c>
    </row>
    <row r="23209">
      <c r="A23209" s="4" t="s">
        <v>29207</v>
      </c>
      <c r="B23209" s="4" t="s">
        <v>29209</v>
      </c>
      <c r="C23209" s="5" t="str">
        <f>IFERROR(__xludf.DUMMYFUNCTION("GOOGLETRANSLATE(B23209,""en"",""it"")"),"La persona lega il polpaccio mentre altri cavalcano i cavalli e gli uomini si separano dall'animale.")</f>
        <v>La persona lega il polpaccio mentre altri cavalcano i cavalli e gli uomini si separano dall'animale.</v>
      </c>
    </row>
    <row r="23210">
      <c r="A23210" s="4" t="s">
        <v>29210</v>
      </c>
      <c r="B23210" s="4" t="s">
        <v>29211</v>
      </c>
      <c r="C23210" s="5" t="str">
        <f>IFERROR(__xludf.DUMMYFUNCTION("GOOGLETRANSLATE(B23210,""en"",""it"")"),"Una donna tiene un bambino sulla spiaggia.")</f>
        <v>Una donna tiene un bambino sulla spiaggia.</v>
      </c>
    </row>
    <row r="23211">
      <c r="A23211" s="4" t="s">
        <v>29210</v>
      </c>
      <c r="B23211" s="4" t="s">
        <v>29212</v>
      </c>
      <c r="C23211" s="5" t="str">
        <f>IFERROR(__xludf.DUMMYFUNCTION("GOOGLETRANSLATE(B23211,""en"",""it"")"),"Mette il bambino su un asciugamano e inizia a strofinare la protezione solare sul bambino.")</f>
        <v>Mette il bambino su un asciugamano e inizia a strofinare la protezione solare sul bambino.</v>
      </c>
    </row>
    <row r="23212">
      <c r="A23212" s="4" t="s">
        <v>29210</v>
      </c>
      <c r="B23212" s="4" t="s">
        <v>29213</v>
      </c>
      <c r="C23212" s="5" t="str">
        <f>IFERROR(__xludf.DUMMYFUNCTION("GOOGLETRANSLATE(B23212,""en"",""it"")"),"Prende il bambino e gli dà un bacio.")</f>
        <v>Prende il bambino e gli dà un bacio.</v>
      </c>
    </row>
    <row r="23213">
      <c r="A23213" s="4" t="s">
        <v>29214</v>
      </c>
      <c r="B23213" s="4" t="s">
        <v>29215</v>
      </c>
      <c r="C23213" s="5" t="str">
        <f>IFERROR(__xludf.DUMMYFUNCTION("GOOGLETRANSLATE(B23213,""en"",""it"")"),"Un cartellone pubblicitario è mostrato su un muro.")</f>
        <v>Un cartellone pubblicitario è mostrato su un muro.</v>
      </c>
    </row>
    <row r="23214">
      <c r="A23214" s="4" t="s">
        <v>29214</v>
      </c>
      <c r="B23214" s="4" t="s">
        <v>29216</v>
      </c>
      <c r="C23214" s="5" t="str">
        <f>IFERROR(__xludf.DUMMYFUNCTION("GOOGLETRANSLATE(B23214,""en"",""it"")"),"I bambini si esauriscono sul palco e si formano in formazione.")</f>
        <v>I bambini si esauriscono sul palco e si formano in formazione.</v>
      </c>
    </row>
    <row r="23215">
      <c r="A23215" s="4" t="s">
        <v>29214</v>
      </c>
      <c r="B23215" s="4" t="s">
        <v>29217</v>
      </c>
      <c r="C23215" s="5" t="str">
        <f>IFERROR(__xludf.DUMMYFUNCTION("GOOGLETRANSLATE(B23215,""en"",""it"")"),"Uno striscione è posto nella parte anteriore del palco.")</f>
        <v>Uno striscione è posto nella parte anteriore del palco.</v>
      </c>
    </row>
    <row r="23216">
      <c r="A23216" s="4" t="s">
        <v>29214</v>
      </c>
      <c r="B23216" s="4" t="s">
        <v>29218</v>
      </c>
      <c r="C23216" s="5" t="str">
        <f>IFERROR(__xludf.DUMMYFUNCTION("GOOGLETRANSLATE(B23216,""en"",""it"")"),"I bambini iniziano le cheerleader sul palco.")</f>
        <v>I bambini iniziano le cheerleader sul palco.</v>
      </c>
    </row>
    <row r="23217">
      <c r="A23217" s="4" t="s">
        <v>29214</v>
      </c>
      <c r="B23217" s="4" t="s">
        <v>29219</v>
      </c>
      <c r="C23217" s="5" t="str">
        <f>IFERROR(__xludf.DUMMYFUNCTION("GOOGLETRANSLATE(B23217,""en"",""it"")"),"I bambini nella parte anteriore sostengono lo stendardo.")</f>
        <v>I bambini nella parte anteriore sostengono lo stendardo.</v>
      </c>
    </row>
    <row r="23218">
      <c r="A23218" s="4" t="s">
        <v>29214</v>
      </c>
      <c r="B23218" s="4" t="s">
        <v>29220</v>
      </c>
      <c r="C23218" s="5" t="str">
        <f>IFERROR(__xludf.DUMMYFUNCTION("GOOGLETRANSLATE(B23218,""en"",""it"")"),"Scappano dal palco.")</f>
        <v>Scappano dal palco.</v>
      </c>
    </row>
    <row r="23219">
      <c r="A23219" s="4" t="s">
        <v>29221</v>
      </c>
      <c r="B23219" s="4" t="s">
        <v>29222</v>
      </c>
      <c r="C23219" s="5" t="str">
        <f>IFERROR(__xludf.DUMMYFUNCTION("GOOGLETRANSLATE(B23219,""en"",""it"")"),"Un bambino è seduto a un tavolo da ristorante.")</f>
        <v>Un bambino è seduto a un tavolo da ristorante.</v>
      </c>
    </row>
    <row r="23220">
      <c r="A23220" s="4" t="s">
        <v>29221</v>
      </c>
      <c r="B23220" s="4" t="s">
        <v>29223</v>
      </c>
      <c r="C23220" s="5" t="str">
        <f>IFERROR(__xludf.DUMMYFUNCTION("GOOGLETRANSLATE(B23220,""en"",""it"")"),"Sta mangiando un cono gelato alla vaniglia.")</f>
        <v>Sta mangiando un cono gelato alla vaniglia.</v>
      </c>
    </row>
    <row r="23221">
      <c r="A23221" s="4" t="s">
        <v>29221</v>
      </c>
      <c r="B23221" s="4" t="s">
        <v>29224</v>
      </c>
      <c r="C23221" s="5" t="str">
        <f>IFERROR(__xludf.DUMMYFUNCTION("GOOGLETRANSLATE(B23221,""en"",""it"")"),"Prende un tovagliolo e si asciuga la bocca prima di restituire il tovagliolo e continuare a mangiare.")</f>
        <v>Prende un tovagliolo e si asciuga la bocca prima di restituire il tovagliolo e continuare a mangiare.</v>
      </c>
    </row>
    <row r="23222">
      <c r="A23222" s="4" t="s">
        <v>29225</v>
      </c>
      <c r="B23222" s="4" t="s">
        <v>29226</v>
      </c>
      <c r="C23222" s="5" t="str">
        <f>IFERROR(__xludf.DUMMYFUNCTION("GOOGLETRANSLATE(B23222,""en"",""it"")"),"Una bambina è guidata mentre monta un cammello in una stazione.")</f>
        <v>Una bambina è guidata mentre monta un cammello in una stazione.</v>
      </c>
    </row>
    <row r="23223">
      <c r="A23223" s="4" t="s">
        <v>29225</v>
      </c>
      <c r="B23223" s="4" t="s">
        <v>29227</v>
      </c>
      <c r="C23223" s="5" t="str">
        <f>IFERROR(__xludf.DUMMYFUNCTION("GOOGLETRANSLATE(B23223,""en"",""it"")"),"Un uomo la aiuta mentre conduce il cammello in giro.")</f>
        <v>Un uomo la aiuta mentre conduce il cammello in giro.</v>
      </c>
    </row>
    <row r="23224">
      <c r="A23224" s="4" t="s">
        <v>29225</v>
      </c>
      <c r="B23224" s="4" t="s">
        <v>29228</v>
      </c>
      <c r="C23224" s="5" t="str">
        <f>IFERROR(__xludf.DUMMYFUNCTION("GOOGLETRANSLATE(B23224,""en"",""it"")"),"La ragazza sorride mentre cavalca il cammello attorno alla penna.")</f>
        <v>La ragazza sorride mentre cavalca il cammello attorno alla penna.</v>
      </c>
    </row>
    <row r="23225">
      <c r="A23225" s="4" t="s">
        <v>29229</v>
      </c>
      <c r="B23225" s="4" t="s">
        <v>29230</v>
      </c>
      <c r="C23225" s="5" t="str">
        <f>IFERROR(__xludf.DUMMYFUNCTION("GOOGLETRANSLATE(B23225,""en"",""it"")"),"La ragazza sta parlando alla telecamera.")</f>
        <v>La ragazza sta parlando alla telecamera.</v>
      </c>
    </row>
    <row r="23226">
      <c r="A23226" s="4" t="s">
        <v>29229</v>
      </c>
      <c r="B23226" s="4" t="s">
        <v>29231</v>
      </c>
      <c r="C23226" s="5" t="str">
        <f>IFERROR(__xludf.DUMMYFUNCTION("GOOGLETRANSLATE(B23226,""en"",""it"")"),"La ragazza tiene in mano un bigodino.")</f>
        <v>La ragazza tiene in mano un bigodino.</v>
      </c>
    </row>
    <row r="23227">
      <c r="A23227" s="4" t="s">
        <v>29229</v>
      </c>
      <c r="B23227" s="4" t="s">
        <v>29232</v>
      </c>
      <c r="C23227" s="5" t="str">
        <f>IFERROR(__xludf.DUMMYFUNCTION("GOOGLETRANSLATE(B23227,""en"",""it"")"),"La giovane donna sta fornendo consigli ad altre ragazze su come arricciarsi i capelli.")</f>
        <v>La giovane donna sta fornendo consigli ad altre ragazze su come arricciarsi i capelli.</v>
      </c>
    </row>
    <row r="23228">
      <c r="A23228" s="4" t="s">
        <v>29229</v>
      </c>
      <c r="B23228" s="4" t="s">
        <v>29233</v>
      </c>
      <c r="C23228" s="5" t="str">
        <f>IFERROR(__xludf.DUMMYFUNCTION("GOOGLETRANSLATE(B23228,""en"",""it"")"),"Alla fine del video, la ragazza chiede di apprezzare il video.")</f>
        <v>Alla fine del video, la ragazza chiede di apprezzare il video.</v>
      </c>
    </row>
    <row r="23229">
      <c r="A23229" s="4" t="s">
        <v>29234</v>
      </c>
      <c r="B23229" s="4" t="s">
        <v>29235</v>
      </c>
      <c r="C23229" s="5" t="str">
        <f>IFERROR(__xludf.DUMMYFUNCTION("GOOGLETRANSLATE(B23229,""en"",""it"")"),"Una fotocamera mostra una persona che cavalca una pista sporca su una bici che si muove a una velocità rapida.")</f>
        <v>Una fotocamera mostra una persona che cavalca una pista sporca su una bici che si muove a una velocità rapida.</v>
      </c>
    </row>
    <row r="23230">
      <c r="A23230" s="4" t="s">
        <v>29234</v>
      </c>
      <c r="B23230" s="6" t="s">
        <v>29236</v>
      </c>
      <c r="C23230" s="5" t="str">
        <f>IFERROR(__xludf.DUMMYFUNCTION("GOOGLETRANSLATE(B23230,""en"",""it"")"),"Vengono mostrati diversi altri scatti di persone che cavalcano la pista sporca sulle bici mentre la fotocamera li cattura da diversi angoli.")</f>
        <v>Vengono mostrati diversi altri scatti di persone che cavalcano la pista sporca sulle bici mentre la fotocamera li cattura da diversi angoli.</v>
      </c>
    </row>
    <row r="23231">
      <c r="A23231" s="4" t="s">
        <v>29237</v>
      </c>
      <c r="B23231" s="6" t="s">
        <v>29238</v>
      </c>
      <c r="C23231" s="5" t="str">
        <f>IFERROR(__xludf.DUMMYFUNCTION("GOOGLETRANSLATE(B23231,""en"",""it"")"),"Un giovane viene visto parlare con la telecamera da vari angoli e quindi usare un rasoio per tagliarsi i capelli.")</f>
        <v>Un giovane viene visto parlare con la telecamera da vari angoli e quindi usare un rasoio per tagliarsi i capelli.</v>
      </c>
    </row>
    <row r="23232">
      <c r="A23232" s="4" t="s">
        <v>29237</v>
      </c>
      <c r="B23232" s="4" t="s">
        <v>29239</v>
      </c>
      <c r="C23232" s="5" t="str">
        <f>IFERROR(__xludf.DUMMYFUNCTION("GOOGLETRANSLATE(B23232,""en"",""it"")"),"Continua a tagliarsi i capelli mentre parla alla telecamera e ridendo.")</f>
        <v>Continua a tagliarsi i capelli mentre parla alla telecamera e ridendo.</v>
      </c>
    </row>
    <row r="23233">
      <c r="A23233" s="4" t="s">
        <v>29237</v>
      </c>
      <c r="B23233" s="6" t="s">
        <v>29240</v>
      </c>
      <c r="C23233" s="5" t="str">
        <f>IFERROR(__xludf.DUMMYFUNCTION("GOOGLETRANSLATE(B23233,""en"",""it"")"),"Finisce i capelli mentre guarda nella telecamera, quindi ha il riflesso mostrato dietro una tenda da doccia.")</f>
        <v>Finisce i capelli mentre guarda nella telecamera, quindi ha il riflesso mostrato dietro una tenda da doccia.</v>
      </c>
    </row>
    <row r="23234">
      <c r="A23234" s="4" t="s">
        <v>29241</v>
      </c>
      <c r="B23234" s="4" t="s">
        <v>29242</v>
      </c>
      <c r="C23234" s="5" t="str">
        <f>IFERROR(__xludf.DUMMYFUNCTION("GOOGLETRANSLATE(B23234,""en"",""it"")"),"Due persone sono boxe su un anello.")</f>
        <v>Due persone sono boxe su un anello.</v>
      </c>
    </row>
    <row r="23235">
      <c r="A23235" s="4" t="s">
        <v>29241</v>
      </c>
      <c r="B23235" s="4" t="s">
        <v>29243</v>
      </c>
      <c r="C23235" s="5" t="str">
        <f>IFERROR(__xludf.DUMMYFUNCTION("GOOGLETRANSLATE(B23235,""en"",""it"")"),"Un uomo con una camicia nera sta arbitrando la lotta.")</f>
        <v>Un uomo con una camicia nera sta arbitrando la lotta.</v>
      </c>
    </row>
    <row r="23236">
      <c r="A23236" s="4" t="s">
        <v>29241</v>
      </c>
      <c r="B23236" s="4" t="s">
        <v>29244</v>
      </c>
      <c r="C23236" s="5" t="str">
        <f>IFERROR(__xludf.DUMMYFUNCTION("GOOGLETRANSLATE(B23236,""en"",""it"")"),"Una donna tiene una macchina fotografica che fa foto di loro che combattono.")</f>
        <v>Una donna tiene una macchina fotografica che fa foto di loro che combattono.</v>
      </c>
    </row>
    <row r="23237">
      <c r="A23237" s="4" t="s">
        <v>29245</v>
      </c>
      <c r="B23237" s="6" t="s">
        <v>29246</v>
      </c>
      <c r="C23237" s="5" t="str">
        <f>IFERROR(__xludf.DUMMYFUNCTION("GOOGLETRANSLATE(B23237,""en"",""it"")"),"I video passano in un conto alla rovescia di varie persone che si fanno male per le strade dagli attacchi di tori.")</f>
        <v>I video passano in un conto alla rovescia di varie persone che si fanno male per le strade dagli attacchi di tori.</v>
      </c>
    </row>
    <row r="23238">
      <c r="A23238" s="4" t="s">
        <v>29245</v>
      </c>
      <c r="B23238" s="4" t="s">
        <v>29247</v>
      </c>
      <c r="C23238" s="5" t="str">
        <f>IFERROR(__xludf.DUMMYFUNCTION("GOOGLETRANSLATE(B23238,""en"",""it"")"),"Molte persone diverse vengono viste correre per le strade mentre un toro li capovolge e li fa male.")</f>
        <v>Molte persone diverse vengono viste correre per le strade mentre un toro li capovolge e li fa male.</v>
      </c>
    </row>
    <row r="23239">
      <c r="A23239" s="4" t="s">
        <v>29248</v>
      </c>
      <c r="B23239" s="4" t="s">
        <v>29249</v>
      </c>
      <c r="C23239" s="5" t="str">
        <f>IFERROR(__xludf.DUMMYFUNCTION("GOOGLETRANSLATE(B23239,""en"",""it"")"),"C'è una donna che parla di essere la prima donna a partecipare a una maratona nel 1967.")</f>
        <v>C'è una donna che parla di essere la prima donna a partecipare a una maratona nel 1967.</v>
      </c>
    </row>
    <row r="23240">
      <c r="A23240" s="4" t="s">
        <v>29248</v>
      </c>
      <c r="B23240" s="4" t="s">
        <v>29250</v>
      </c>
      <c r="C23240" s="5" t="str">
        <f>IFERROR(__xludf.DUMMYFUNCTION("GOOGLETRANSLATE(B23240,""en"",""it"")"),"Viene mostrata una foto della partecipante quando era giovane.")</f>
        <v>Viene mostrata una foto della partecipante quando era giovane.</v>
      </c>
    </row>
    <row r="23241">
      <c r="A23241" s="4" t="s">
        <v>29248</v>
      </c>
      <c r="B23241" s="6" t="s">
        <v>29251</v>
      </c>
      <c r="C23241" s="5" t="str">
        <f>IFERROR(__xludf.DUMMYFUNCTION("GOOGLETRANSLATE(B23241,""en"",""it"")"),"Parla di quanto le maratone diverse fossero indietro nel giorno in cui mostra clip di partecipanti da una maratona almeno 50 anni fa.")</f>
        <v>Parla di quanto le maratone diverse fossero indietro nel giorno in cui mostra clip di partecipanti da una maratona almeno 50 anni fa.</v>
      </c>
    </row>
    <row r="23242">
      <c r="A23242" s="4" t="s">
        <v>29248</v>
      </c>
      <c r="B23242" s="6" t="s">
        <v>29252</v>
      </c>
      <c r="C23242" s="5" t="str">
        <f>IFERROR(__xludf.DUMMYFUNCTION("GOOGLETRANSLATE(B23242,""en"",""it"")"),"Ci sono foto di partecipanti maschi mostrati che dominano la scena in cui era l'unica donna partecipante.")</f>
        <v>Ci sono foto di partecipanti maschi mostrati che dominano la scena in cui era l'unica donna partecipante.</v>
      </c>
    </row>
    <row r="23243">
      <c r="A23243" s="4" t="s">
        <v>29248</v>
      </c>
      <c r="B23243" s="4" t="s">
        <v>29253</v>
      </c>
      <c r="C23243" s="5" t="str">
        <f>IFERROR(__xludf.DUMMYFUNCTION("GOOGLETRANSLATE(B23243,""en"",""it"")"),"Parla della sua esperienza mentre mostra più foto della sua partecipazione a ogni previsione.")</f>
        <v>Parla della sua esperienza mentre mostra più foto della sua partecipazione a ogni previsione.</v>
      </c>
    </row>
    <row r="23244">
      <c r="A23244" s="4" t="s">
        <v>29248</v>
      </c>
      <c r="B23244" s="6" t="s">
        <v>29254</v>
      </c>
      <c r="C23244" s="5" t="str">
        <f>IFERROR(__xludf.DUMMYFUNCTION("GOOGLETRANSLATE(B23244,""en"",""it"")"),"Condivide anche informazioni su come le cose sono cambiate in seguito quando le è stato finalmente permesso di partecipare liberamente.")</f>
        <v>Condivide anche informazioni su come le cose sono cambiate in seguito quando le è stato finalmente permesso di partecipare liberamente.</v>
      </c>
    </row>
    <row r="23245">
      <c r="A23245" s="4" t="s">
        <v>29255</v>
      </c>
      <c r="B23245" s="4" t="s">
        <v>29256</v>
      </c>
      <c r="C23245" s="5" t="str">
        <f>IFERROR(__xludf.DUMMYFUNCTION("GOOGLETRANSLATE(B23245,""en"",""it"")"),"Una donna è in piedi a un tavolo, mettendo il cibo in una grande pita su un piatto.")</f>
        <v>Una donna è in piedi a un tavolo, mettendo il cibo in una grande pita su un piatto.</v>
      </c>
    </row>
    <row r="23246">
      <c r="A23246" s="4" t="s">
        <v>29255</v>
      </c>
      <c r="B23246" s="6" t="s">
        <v>29257</v>
      </c>
      <c r="C23246" s="5" t="str">
        <f>IFERROR(__xludf.DUMMYFUNCTION("GOOGLETRANSLATE(B23246,""en"",""it"")"),"Una donna più anziana dimostra come tagliare cipolle, peperoni, lattuga, carote, pomodori, ecc. In pezzi.")</f>
        <v>Una donna più anziana dimostra come tagliare cipolle, peperoni, lattuga, carote, pomodori, ecc. In pezzi.</v>
      </c>
    </row>
    <row r="23247">
      <c r="A23247" s="4" t="s">
        <v>29255</v>
      </c>
      <c r="B23247" s="4" t="s">
        <v>29258</v>
      </c>
      <c r="C23247" s="5" t="str">
        <f>IFERROR(__xludf.DUMMYFUNCTION("GOOGLETRANSLATE(B23247,""en"",""it"")"),"Le verdure sono luoghi in un processore e sfilate in una ciotola.")</f>
        <v>Le verdure sono luoghi in un processore e sfilate in una ciotola.</v>
      </c>
    </row>
    <row r="23248">
      <c r="A23248" s="4" t="s">
        <v>29255</v>
      </c>
      <c r="B23248" s="4" t="s">
        <v>29259</v>
      </c>
      <c r="C23248" s="5" t="str">
        <f>IFERROR(__xludf.DUMMYFUNCTION("GOOGLETRANSLATE(B23248,""en"",""it"")"),"Il mix è miscelato e messo sul tavolo per essere servito sulle tortillas.")</f>
        <v>Il mix è miscelato e messo sul tavolo per essere servito sulle tortillas.</v>
      </c>
    </row>
    <row r="23249">
      <c r="A23249" s="4" t="s">
        <v>29255</v>
      </c>
      <c r="B23249" s="4" t="s">
        <v>29260</v>
      </c>
      <c r="C23249" s="5" t="str">
        <f>IFERROR(__xludf.DUMMYFUNCTION("GOOGLETRANSLATE(B23249,""en"",""it"")"),"Le donne si siedono al tavolo e parlano mentre mangiano.")</f>
        <v>Le donne si siedono al tavolo e parlano mentre mangiano.</v>
      </c>
    </row>
    <row r="23250">
      <c r="A23250" s="4" t="s">
        <v>29261</v>
      </c>
      <c r="B23250" s="4" t="s">
        <v>29262</v>
      </c>
      <c r="C23250" s="5" t="str">
        <f>IFERROR(__xludf.DUMMYFUNCTION("GOOGLETRANSLATE(B23250,""en"",""it"")"),"Un gruppo di studenti si estende in palestra.")</f>
        <v>Un gruppo di studenti si estende in palestra.</v>
      </c>
    </row>
    <row r="23251">
      <c r="A23251" s="4" t="s">
        <v>29261</v>
      </c>
      <c r="B23251" s="4" t="s">
        <v>29263</v>
      </c>
      <c r="C23251" s="5" t="str">
        <f>IFERROR(__xludf.DUMMYFUNCTION("GOOGLETRANSLATE(B23251,""en"",""it"")"),"Un gruppo di studenti della band si esercita in una classe e in palestra.")</f>
        <v>Un gruppo di studenti della band si esercita in una classe e in palestra.</v>
      </c>
    </row>
    <row r="23252">
      <c r="A23252" s="4" t="s">
        <v>29261</v>
      </c>
      <c r="B23252" s="4" t="s">
        <v>29264</v>
      </c>
      <c r="C23252" s="5" t="str">
        <f>IFERROR(__xludf.DUMMYFUNCTION("GOOGLETRANSLATE(B23252,""en"",""it"")"),"La band della scuola gioca durante eventi all'aperto e giochi sportivi.")</f>
        <v>La band della scuola gioca durante eventi all'aperto e giochi sportivi.</v>
      </c>
    </row>
    <row r="23253">
      <c r="A23253" s="4" t="s">
        <v>29265</v>
      </c>
      <c r="B23253" s="4" t="s">
        <v>29266</v>
      </c>
      <c r="C23253" s="5" t="str">
        <f>IFERROR(__xludf.DUMMYFUNCTION("GOOGLETRANSLATE(B23253,""en"",""it"")"),"Vediamo un giornalista in uno studio.")</f>
        <v>Vediamo un giornalista in uno studio.</v>
      </c>
    </row>
    <row r="23254">
      <c r="A23254" s="4" t="s">
        <v>29265</v>
      </c>
      <c r="B23254" s="4" t="s">
        <v>29267</v>
      </c>
      <c r="C23254" s="5" t="str">
        <f>IFERROR(__xludf.DUMMYFUNCTION("GOOGLETRANSLATE(B23254,""en"",""it"")"),"Vediamo un uomo che gestisce 2 detergenti manuali.")</f>
        <v>Vediamo un uomo che gestisce 2 detergenti manuali.</v>
      </c>
    </row>
    <row r="23255">
      <c r="A23255" s="4" t="s">
        <v>29265</v>
      </c>
      <c r="B23255" s="4" t="s">
        <v>29268</v>
      </c>
      <c r="C23255" s="5" t="str">
        <f>IFERROR(__xludf.DUMMYFUNCTION("GOOGLETRANSLATE(B23255,""en"",""it"")"),"Vediamo alcuni aspirapolvere vecchio stile.")</f>
        <v>Vediamo alcuni aspirapolvere vecchio stile.</v>
      </c>
    </row>
    <row r="23256">
      <c r="A23256" s="4" t="s">
        <v>29265</v>
      </c>
      <c r="B23256" s="4" t="s">
        <v>29269</v>
      </c>
      <c r="C23256" s="5" t="str">
        <f>IFERROR(__xludf.DUMMYFUNCTION("GOOGLETRANSLATE(B23256,""en"",""it"")"),"Vediamo una clip TV in bianco e nero.")</f>
        <v>Vediamo una clip TV in bianco e nero.</v>
      </c>
    </row>
    <row r="23257">
      <c r="A23257" s="4" t="s">
        <v>29265</v>
      </c>
      <c r="B23257" s="4" t="s">
        <v>29270</v>
      </c>
      <c r="C23257" s="5" t="str">
        <f>IFERROR(__xludf.DUMMYFUNCTION("GOOGLETRANSLATE(B23257,""en"",""it"")"),"Vediamo l'uomo aspirapolvere e ancora dal museo.")</f>
        <v>Vediamo l'uomo aspirapolvere e ancora dal museo.</v>
      </c>
    </row>
    <row r="23258">
      <c r="A23258" s="4" t="s">
        <v>29265</v>
      </c>
      <c r="B23258" s="4" t="s">
        <v>29271</v>
      </c>
      <c r="C23258" s="5" t="str">
        <f>IFERROR(__xludf.DUMMYFUNCTION("GOOGLETRANSLATE(B23258,""en"",""it"")"),"Vediamo una signora in bianco e nero e a colori.")</f>
        <v>Vediamo una signora in bianco e nero e a colori.</v>
      </c>
    </row>
    <row r="23259">
      <c r="A23259" s="4" t="s">
        <v>29265</v>
      </c>
      <c r="B23259" s="4" t="s">
        <v>29272</v>
      </c>
      <c r="C23259" s="5" t="str">
        <f>IFERROR(__xludf.DUMMYFUNCTION("GOOGLETRANSLATE(B23259,""en"",""it"")"),"Vediamo quindi una fabbrica e un uomo che parla.")</f>
        <v>Vediamo quindi una fabbrica e un uomo che parla.</v>
      </c>
    </row>
    <row r="23260">
      <c r="A23260" s="4" t="s">
        <v>29265</v>
      </c>
      <c r="B23260" s="4" t="s">
        <v>29273</v>
      </c>
      <c r="C23260" s="5" t="str">
        <f>IFERROR(__xludf.DUMMYFUNCTION("GOOGLETRANSLATE(B23260,""en"",""it"")"),"Vediamo l'uomo parlare e lo vediamo vicino a un vuoto.")</f>
        <v>Vediamo l'uomo parlare e lo vediamo vicino a un vuoto.</v>
      </c>
    </row>
    <row r="23261">
      <c r="A23261" s="4" t="s">
        <v>29265</v>
      </c>
      <c r="B23261" s="4" t="s">
        <v>29274</v>
      </c>
      <c r="C23261" s="5" t="str">
        <f>IFERROR(__xludf.DUMMYFUNCTION("GOOGLETRANSLATE(B23261,""en"",""it"")"),"Vediamo un vecchio annuncio di stampa.")</f>
        <v>Vediamo un vecchio annuncio di stampa.</v>
      </c>
    </row>
    <row r="23262">
      <c r="A23262" s="4" t="s">
        <v>29265</v>
      </c>
      <c r="B23262" s="4" t="s">
        <v>29275</v>
      </c>
      <c r="C23262" s="5" t="str">
        <f>IFERROR(__xludf.DUMMYFUNCTION("GOOGLETRANSLATE(B23262,""en"",""it"")"),"Torniamo al giornalista in studio.")</f>
        <v>Torniamo al giornalista in studio.</v>
      </c>
    </row>
    <row r="23263">
      <c r="A23263" s="4" t="s">
        <v>29276</v>
      </c>
      <c r="B23263" s="6" t="s">
        <v>29277</v>
      </c>
      <c r="C23263" s="5" t="str">
        <f>IFERROR(__xludf.DUMMYFUNCTION("GOOGLETRANSLATE(B23263,""en"",""it"")"),"Viene vista una donna parlare alla telecamera e conduce a clip di lei e un'altra cavalli da cavalle in una foresta e in una spiaggia.")</f>
        <v>Viene vista una donna parlare alla telecamera e conduce a clip di lei e un'altra cavalli da cavalle in una foresta e in una spiaggia.</v>
      </c>
    </row>
    <row r="23264">
      <c r="A23264" s="4" t="s">
        <v>29276</v>
      </c>
      <c r="B23264" s="6" t="s">
        <v>29278</v>
      </c>
      <c r="C23264" s="5" t="str">
        <f>IFERROR(__xludf.DUMMYFUNCTION("GOOGLETRANSLATE(B23264,""en"",""it"")"),"Le donne gestiscono quindi i cavalli lungo la spiaggia mentre la telecamera li cattura da diversi angoli.")</f>
        <v>Le donne gestiscono quindi i cavalli lungo la spiaggia mentre la telecamera li cattura da diversi angoli.</v>
      </c>
    </row>
    <row r="23265">
      <c r="A23265" s="4" t="s">
        <v>29279</v>
      </c>
      <c r="B23265" s="4" t="s">
        <v>29280</v>
      </c>
      <c r="C23265" s="5" t="str">
        <f>IFERROR(__xludf.DUMMYFUNCTION("GOOGLETRANSLATE(B23265,""en"",""it"")"),"Si vedono due uomini fare una mossa di sumo in un grande cerchio circondato da altri.")</f>
        <v>Si vedono due uomini fare una mossa di sumo in un grande cerchio circondato da altri.</v>
      </c>
    </row>
    <row r="23266">
      <c r="A23266" s="4" t="s">
        <v>29279</v>
      </c>
      <c r="B23266" s="4" t="s">
        <v>29281</v>
      </c>
      <c r="C23266" s="5" t="str">
        <f>IFERROR(__xludf.DUMMYFUNCTION("GOOGLETRANSLATE(B23266,""en"",""it"")"),"Un uomo finge di combattere un lottatore di sumo e viene spinto a lato molto facilmente.")</f>
        <v>Un uomo finge di combattere un lottatore di sumo e viene spinto a lato molto facilmente.</v>
      </c>
    </row>
    <row r="23267">
      <c r="A23267" s="4" t="s">
        <v>29279</v>
      </c>
      <c r="B23267" s="6" t="s">
        <v>29282</v>
      </c>
      <c r="C23267" s="5" t="str">
        <f>IFERROR(__xludf.DUMMYFUNCTION("GOOGLETRANSLATE(B23267,""en"",""it"")"),"L'altro uomo prova con il suo tiro mostrato di nuovo al rallentatore e si alza insieme alle braccia.")</f>
        <v>L'altro uomo prova con il suo tiro mostrato di nuovo al rallentatore e si alza insieme alle braccia.</v>
      </c>
    </row>
    <row r="23268">
      <c r="A23268" s="4" t="s">
        <v>29283</v>
      </c>
      <c r="B23268" s="4" t="s">
        <v>29284</v>
      </c>
      <c r="C23268" s="5" t="str">
        <f>IFERROR(__xludf.DUMMYFUNCTION("GOOGLETRANSLATE(B23268,""en"",""it"")"),"Un uomo e una donna sono in piedi sul bancone mentre l'uomo parla nella telecamera.")</f>
        <v>Un uomo e una donna sono in piedi sul bancone mentre l'uomo parla nella telecamera.</v>
      </c>
    </row>
    <row r="23269">
      <c r="A23269" s="4" t="s">
        <v>29283</v>
      </c>
      <c r="B23269" s="6" t="s">
        <v>29285</v>
      </c>
      <c r="C23269" s="5" t="str">
        <f>IFERROR(__xludf.DUMMYFUNCTION("GOOGLETRANSLATE(B23269,""en"",""it"")"),"Un piatto di ananas tagliato si trova su un piatto sul tavolo, mentre l'uomo prende dell'uva e lo mette sul tagliere e li taglia a metà, quindi li mette sulla parte superiore del taglio dell'ananas, quindi si asciugò le mani e mostrò il piastra alla fotoc"&amp;"amera.")</f>
        <v>Un piatto di ananas tagliato si trova su un piatto sul tavolo, mentre l'uomo prende dell'uva e lo mette sul tagliere e li taglia a metà, quindi li mette sulla parte superiore del taglio dell'ananas, quindi si asciugò le mani e mostrò il piastra alla fotocamera.</v>
      </c>
    </row>
    <row r="23270">
      <c r="A23270" s="4" t="s">
        <v>29286</v>
      </c>
      <c r="B23270" s="4" t="s">
        <v>29287</v>
      </c>
      <c r="C23270" s="5" t="str">
        <f>IFERROR(__xludf.DUMMYFUNCTION("GOOGLETRANSLATE(B23270,""en"",""it"")"),"Un bambino guarda a una finestra mentre un uomo all'aperto sta spalando la neve.")</f>
        <v>Un bambino guarda a una finestra mentre un uomo all'aperto sta spalando la neve.</v>
      </c>
    </row>
    <row r="23271">
      <c r="A23271" s="4" t="s">
        <v>29286</v>
      </c>
      <c r="B23271" s="4" t="s">
        <v>29288</v>
      </c>
      <c r="C23271" s="5" t="str">
        <f>IFERROR(__xludf.DUMMYFUNCTION("GOOGLETRANSLATE(B23271,""en"",""it"")"),"Si muove avanti e indietro, raccogliendo la neve e allontanandola dalla porta.")</f>
        <v>Si muove avanti e indietro, raccogliendo la neve e allontanandola dalla porta.</v>
      </c>
    </row>
    <row r="23272">
      <c r="A23272" s="4" t="s">
        <v>29289</v>
      </c>
      <c r="B23272" s="4" t="s">
        <v>29290</v>
      </c>
      <c r="C23272" s="5" t="str">
        <f>IFERROR(__xludf.DUMMYFUNCTION("GOOGLETRANSLATE(B23272,""en"",""it"")"),"Vediamo le tende su una finestra.")</f>
        <v>Vediamo le tende su una finestra.</v>
      </c>
    </row>
    <row r="23273">
      <c r="A23273" s="4" t="s">
        <v>29289</v>
      </c>
      <c r="B23273" s="4" t="s">
        <v>29291</v>
      </c>
      <c r="C23273" s="5" t="str">
        <f>IFERROR(__xludf.DUMMYFUNCTION("GOOGLETRANSLATE(B23273,""en"",""it"")"),"Una persona è sdraiata in un tatuaggio tatuato.")</f>
        <v>Una persona è sdraiata in un tatuaggio tatuato.</v>
      </c>
    </row>
    <row r="23274">
      <c r="A23274" s="4" t="s">
        <v>29289</v>
      </c>
      <c r="B23274" s="4" t="s">
        <v>29292</v>
      </c>
      <c r="C23274" s="5" t="str">
        <f>IFERROR(__xludf.DUMMYFUNCTION("GOOGLETRANSLATE(B23274,""en"",""it"")"),"Facciamo il backup e vediamo il tatuatore.")</f>
        <v>Facciamo il backup e vediamo il tatuatore.</v>
      </c>
    </row>
    <row r="23275">
      <c r="A23275" s="4" t="s">
        <v>29289</v>
      </c>
      <c r="B23275" s="4" t="s">
        <v>29293</v>
      </c>
      <c r="C23275" s="5" t="str">
        <f>IFERROR(__xludf.DUMMYFUNCTION("GOOGLETRANSLATE(B23275,""en"",""it"")"),"La signora guarda nel suo telefono e sorride alla telecamera.")</f>
        <v>La signora guarda nel suo telefono e sorride alla telecamera.</v>
      </c>
    </row>
    <row r="23276">
      <c r="A23276" s="4" t="s">
        <v>29289</v>
      </c>
      <c r="B23276" s="4" t="s">
        <v>29294</v>
      </c>
      <c r="C23276" s="5" t="str">
        <f>IFERROR(__xludf.DUMMYFUNCTION("GOOGLETRANSLATE(B23276,""en"",""it"")"),"Facciamo la padella e vediamo il lavoro del tatuatore.")</f>
        <v>Facciamo la padella e vediamo il lavoro del tatuatore.</v>
      </c>
    </row>
    <row r="23277">
      <c r="A23277" s="4" t="s">
        <v>29295</v>
      </c>
      <c r="B23277" s="4" t="s">
        <v>29296</v>
      </c>
      <c r="C23277" s="5" t="str">
        <f>IFERROR(__xludf.DUMMYFUNCTION("GOOGLETRANSLATE(B23277,""en"",""it"")"),"Un folto gruppo di persone viene visto cavalcare i cavalli e inizia a muoversi.")</f>
        <v>Un folto gruppo di persone viene visto cavalcare i cavalli e inizia a muoversi.</v>
      </c>
    </row>
    <row r="23278">
      <c r="A23278" s="4" t="s">
        <v>29295</v>
      </c>
      <c r="B23278" s="4" t="s">
        <v>29297</v>
      </c>
      <c r="C23278" s="5" t="str">
        <f>IFERROR(__xludf.DUMMYFUNCTION("GOOGLETRANSLATE(B23278,""en"",""it"")"),"La gente gioca sui cavalli mentre insegue una palla.")</f>
        <v>La gente gioca sui cavalli mentre insegue una palla.</v>
      </c>
    </row>
    <row r="23279">
      <c r="A23279" s="4" t="s">
        <v>29295</v>
      </c>
      <c r="B23279" s="4" t="s">
        <v>29298</v>
      </c>
      <c r="C23279" s="5" t="str">
        <f>IFERROR(__xludf.DUMMYFUNCTION("GOOGLETRANSLATE(B23279,""en"",""it"")"),"Gli uomini continuano a giocare e finiscono per un salto dal cavallo.")</f>
        <v>Gli uomini continuano a giocare e finiscono per un salto dal cavallo.</v>
      </c>
    </row>
    <row r="23280">
      <c r="A23280" s="4" t="s">
        <v>29299</v>
      </c>
      <c r="B23280" s="4" t="s">
        <v>29300</v>
      </c>
      <c r="C23280" s="5" t="str">
        <f>IFERROR(__xludf.DUMMYFUNCTION("GOOGLETRANSLATE(B23280,""en"",""it"")"),"Una donna con una camicia bianca sta parlando con la telecamera.")</f>
        <v>Una donna con una camicia bianca sta parlando con la telecamera.</v>
      </c>
    </row>
    <row r="23281">
      <c r="A23281" s="4" t="s">
        <v>29299</v>
      </c>
      <c r="B23281" s="4" t="s">
        <v>29301</v>
      </c>
      <c r="C23281" s="5" t="str">
        <f>IFERROR(__xludf.DUMMYFUNCTION("GOOGLETRANSLATE(B23281,""en"",""it"")"),"Un uomo e la donna iniziano a ballare insieme.")</f>
        <v>Un uomo e la donna iniziano a ballare insieme.</v>
      </c>
    </row>
    <row r="23282">
      <c r="A23282" s="4" t="s">
        <v>29299</v>
      </c>
      <c r="B23282" s="4" t="s">
        <v>29302</v>
      </c>
      <c r="C23282" s="5" t="str">
        <f>IFERROR(__xludf.DUMMYFUNCTION("GOOGLETRANSLATE(B23282,""en"",""it"")"),"Lei alza il braccio e lui la gira in giro.")</f>
        <v>Lei alza il braccio e lui la gira in giro.</v>
      </c>
    </row>
    <row r="23283">
      <c r="A23283" s="4" t="s">
        <v>29303</v>
      </c>
      <c r="B23283" s="4" t="s">
        <v>29304</v>
      </c>
      <c r="C23283" s="5" t="str">
        <f>IFERROR(__xludf.DUMMYFUNCTION("GOOGLETRANSLATE(B23283,""en"",""it"")"),"Due uomini che indossano il blu sono dentro giocando a un gioco di ping.")</f>
        <v>Due uomini che indossano il blu sono dentro giocando a un gioco di ping.</v>
      </c>
    </row>
    <row r="23284">
      <c r="A23284" s="4" t="s">
        <v>29303</v>
      </c>
      <c r="B23284" s="4" t="s">
        <v>29305</v>
      </c>
      <c r="C23284" s="5" t="str">
        <f>IFERROR(__xludf.DUMMYFUNCTION("GOOGLETRANSLATE(B23284,""en"",""it"")"),"Stanno colpendo la palla avanti e indietro abbastanza rapidamente senza fermarsi.")</f>
        <v>Stanno colpendo la palla avanti e indietro abbastanza rapidamente senza fermarsi.</v>
      </c>
    </row>
    <row r="23285">
      <c r="A23285" s="4" t="s">
        <v>29303</v>
      </c>
      <c r="B23285" s="4" t="s">
        <v>29306</v>
      </c>
      <c r="C23285" s="5" t="str">
        <f>IFERROR(__xludf.DUMMYFUNCTION("GOOGLETRANSLATE(B23285,""en"",""it"")"),"Uno di loro colpisce la palla e ferma i loro progressi, devono ricominciare.")</f>
        <v>Uno di loro colpisce la palla e ferma i loro progressi, devono ricominciare.</v>
      </c>
    </row>
    <row r="23286">
      <c r="A23286" s="4" t="s">
        <v>29303</v>
      </c>
      <c r="B23286" s="4" t="s">
        <v>29307</v>
      </c>
      <c r="C23286" s="5" t="str">
        <f>IFERROR(__xludf.DUMMYFUNCTION("GOOGLETRANSLATE(B23286,""en"",""it"")"),"Tornano a giocare e colpirlo a malapena perdendo un battito.")</f>
        <v>Tornano a giocare e colpirlo a malapena perdendo un battito.</v>
      </c>
    </row>
    <row r="23287">
      <c r="A23287" s="4" t="s">
        <v>29308</v>
      </c>
      <c r="B23287" s="4" t="s">
        <v>29309</v>
      </c>
      <c r="C23287" s="5" t="str">
        <f>IFERROR(__xludf.DUMMYFUNCTION("GOOGLETRANSLATE(B23287,""en"",""it"")"),"Viene mostrata un'introduzione seguita da due persone e un uomo che parla con la telecamera.")</f>
        <v>Viene mostrata un'introduzione seguita da due persone e un uomo che parla con la telecamera.</v>
      </c>
    </row>
    <row r="23288">
      <c r="A23288" s="4" t="s">
        <v>29308</v>
      </c>
      <c r="B23288" s="6" t="s">
        <v>29310</v>
      </c>
      <c r="C23288" s="5" t="str">
        <f>IFERROR(__xludf.DUMMYFUNCTION("GOOGLETRANSLATE(B23288,""en"",""it"")"),"La telecamera si lancia a più persone e le mostra che eseguono un esercizio che fa oscillare le gambe indietro e il quarto.")</f>
        <v>La telecamera si lancia a più persone e le mostra che eseguono un esercizio che fa oscillare le gambe indietro e il quarto.</v>
      </c>
    </row>
    <row r="23289">
      <c r="A23289" s="4" t="s">
        <v>29308</v>
      </c>
      <c r="B23289" s="6" t="s">
        <v>29311</v>
      </c>
      <c r="C23289" s="5" t="str">
        <f>IFERROR(__xludf.DUMMYFUNCTION("GOOGLETRANSLATE(B23289,""en"",""it"")"),"Le persone continuano a seguire l'istruttore attraverso vari movimenti mentre li conduce nell'esercizio.")</f>
        <v>Le persone continuano a seguire l'istruttore attraverso vari movimenti mentre li conduce nell'esercizio.</v>
      </c>
    </row>
    <row r="23290">
      <c r="A23290" s="4" t="s">
        <v>29312</v>
      </c>
      <c r="B23290" s="6" t="s">
        <v>29313</v>
      </c>
      <c r="C23290" s="5" t="str">
        <f>IFERROR(__xludf.DUMMYFUNCTION("GOOGLETRANSLATE(B23290,""en"",""it"")"),"Un uomo è vestito con un'uniforme nera e si avvicina a un piccolo cerchio che si trova nel mezzo del campo circondato da reti verdi.")</f>
        <v>Un uomo è vestito con un'uniforme nera e si avvicina a un piccolo cerchio che si trova nel mezzo del campo circondato da reti verdi.</v>
      </c>
    </row>
    <row r="23291">
      <c r="A23291" s="4" t="s">
        <v>29312</v>
      </c>
      <c r="B23291" s="6" t="s">
        <v>29314</v>
      </c>
      <c r="C23291" s="5" t="str">
        <f>IFERROR(__xludf.DUMMYFUNCTION("GOOGLETRANSLATE(B23291,""en"",""it"")"),"La folla è ansato e poi l'uomo viene mostrato gettando il suo disco mentre più persone si esauriscono per seguire la sua distanza.")</f>
        <v>La folla è ansato e poi l'uomo viene mostrato gettando il suo disco mentre più persone si esauriscono per seguire la sua distanza.</v>
      </c>
    </row>
    <row r="23292">
      <c r="A23292" s="4" t="s">
        <v>29312</v>
      </c>
      <c r="B23292" s="4" t="s">
        <v>29315</v>
      </c>
      <c r="C23292" s="5" t="str">
        <f>IFERROR(__xludf.DUMMYFUNCTION("GOOGLETRANSLATE(B23292,""en"",""it"")"),"Viene riprodotto un replay istantaneo e la parte anteriore della faccia dell'uomo è visibile.")</f>
        <v>Viene riprodotto un replay istantaneo e la parte anteriore della faccia dell'uomo è visibile.</v>
      </c>
    </row>
    <row r="23293">
      <c r="A23293" s="4" t="s">
        <v>29316</v>
      </c>
      <c r="B23293" s="4" t="s">
        <v>24280</v>
      </c>
      <c r="C23293" s="5" t="str">
        <f>IFERROR(__xludf.DUMMYFUNCTION("GOOGLETRANSLATE(B23293,""en"",""it"")"),"Vediamo una serie di schermi del titolo.")</f>
        <v>Vediamo una serie di schermi del titolo.</v>
      </c>
    </row>
    <row r="23294">
      <c r="A23294" s="4" t="s">
        <v>29316</v>
      </c>
      <c r="B23294" s="4" t="s">
        <v>29317</v>
      </c>
      <c r="C23294" s="5" t="str">
        <f>IFERROR(__xludf.DUMMYFUNCTION("GOOGLETRANSLATE(B23294,""en"",""it"")"),"Vediamo una pietra di arricciatura e un grafico.")</f>
        <v>Vediamo una pietra di arricciatura e un grafico.</v>
      </c>
    </row>
    <row r="23295">
      <c r="A23295" s="4" t="s">
        <v>29316</v>
      </c>
      <c r="B23295" s="4" t="s">
        <v>29318</v>
      </c>
      <c r="C23295" s="5" t="str">
        <f>IFERROR(__xludf.DUMMYFUNCTION("GOOGLETRANSLATE(B23295,""en"",""it"")"),"Vediamo una persona che spinge la pietra.")</f>
        <v>Vediamo una persona che spinge la pietra.</v>
      </c>
    </row>
    <row r="23296">
      <c r="A23296" s="4" t="s">
        <v>29316</v>
      </c>
      <c r="B23296" s="4" t="s">
        <v>29319</v>
      </c>
      <c r="C23296" s="5" t="str">
        <f>IFERROR(__xludf.DUMMYFUNCTION("GOOGLETRANSLATE(B23296,""en"",""it"")"),"Vediamo la pietra su un altro grafico.")</f>
        <v>Vediamo la pietra su un altro grafico.</v>
      </c>
    </row>
    <row r="23297">
      <c r="A23297" s="4" t="s">
        <v>29316</v>
      </c>
      <c r="B23297" s="4" t="s">
        <v>29320</v>
      </c>
      <c r="C23297" s="5" t="str">
        <f>IFERROR(__xludf.DUMMYFUNCTION("GOOGLETRANSLATE(B23297,""en"",""it"")"),"Vediamo un uomo spingere la pietra e la gente spazzava di fronte.")</f>
        <v>Vediamo un uomo spingere la pietra e la gente spazzava di fronte.</v>
      </c>
    </row>
    <row r="23298">
      <c r="A23298" s="4" t="s">
        <v>29321</v>
      </c>
      <c r="B23298" s="4" t="s">
        <v>29322</v>
      </c>
      <c r="C23298" s="5" t="str">
        <f>IFERROR(__xludf.DUMMYFUNCTION("GOOGLETRANSLATE(B23298,""en"",""it"")"),"Un primo piano dei piedi di una persona viene mostrato seduto su una sedia.")</f>
        <v>Un primo piano dei piedi di una persona viene mostrato seduto su una sedia.</v>
      </c>
    </row>
    <row r="23299">
      <c r="A23299" s="4" t="s">
        <v>29321</v>
      </c>
      <c r="B23299" s="4" t="s">
        <v>29323</v>
      </c>
      <c r="C23299" s="5" t="str">
        <f>IFERROR(__xludf.DUMMYFUNCTION("GOOGLETRANSLATE(B23299,""en"",""it"")"),"La persona quindi si piega in avanti e inizia a mettere le scarpe.")</f>
        <v>La persona quindi si piega in avanti e inizia a mettere le scarpe.</v>
      </c>
    </row>
    <row r="23300">
      <c r="A23300" s="4" t="s">
        <v>29321</v>
      </c>
      <c r="B23300" s="4" t="s">
        <v>29324</v>
      </c>
      <c r="C23300" s="5" t="str">
        <f>IFERROR(__xludf.DUMMYFUNCTION("GOOGLETRANSLATE(B23300,""en"",""it"")"),"Finisce di indossare le scarpe e si alza per andarsene.")</f>
        <v>Finisce di indossare le scarpe e si alza per andarsene.</v>
      </c>
    </row>
    <row r="23301">
      <c r="A23301" s="4" t="s">
        <v>29325</v>
      </c>
      <c r="B23301" s="4" t="s">
        <v>29326</v>
      </c>
      <c r="C23301" s="5" t="str">
        <f>IFERROR(__xludf.DUMMYFUNCTION("GOOGLETRANSLATE(B23301,""en"",""it"")"),"Un uomo è in piedi su un campo.")</f>
        <v>Un uomo è in piedi su un campo.</v>
      </c>
    </row>
    <row r="23302">
      <c r="A23302" s="4" t="s">
        <v>29325</v>
      </c>
      <c r="B23302" s="4" t="s">
        <v>29327</v>
      </c>
      <c r="C23302" s="5" t="str">
        <f>IFERROR(__xludf.DUMMYFUNCTION("GOOGLETRANSLATE(B23302,""en"",""it"")"),"Calcia una palla in aria.")</f>
        <v>Calcia una palla in aria.</v>
      </c>
    </row>
    <row r="23303">
      <c r="A23303" s="4" t="s">
        <v>29325</v>
      </c>
      <c r="B23303" s="4" t="s">
        <v>29328</v>
      </c>
      <c r="C23303" s="5" t="str">
        <f>IFERROR(__xludf.DUMMYFUNCTION("GOOGLETRANSLATE(B23303,""en"",""it"")"),"Corre alla prima base.")</f>
        <v>Corre alla prima base.</v>
      </c>
    </row>
    <row r="23304">
      <c r="A23304" s="4" t="s">
        <v>29329</v>
      </c>
      <c r="B23304" s="4" t="s">
        <v>29330</v>
      </c>
      <c r="C23304" s="5" t="str">
        <f>IFERROR(__xludf.DUMMYFUNCTION("GOOGLETRANSLATE(B23304,""en"",""it"")"),"Una donna è in piedi dietro un tavolo con diversi kit di intaglio di zucca.")</f>
        <v>Una donna è in piedi dietro un tavolo con diversi kit di intaglio di zucca.</v>
      </c>
    </row>
    <row r="23305">
      <c r="A23305" s="4" t="s">
        <v>29329</v>
      </c>
      <c r="B23305" s="4" t="s">
        <v>29331</v>
      </c>
      <c r="C23305" s="5" t="str">
        <f>IFERROR(__xludf.DUMMYFUNCTION("GOOGLETRANSLATE(B23305,""en"",""it"")"),"Mostra il contenuto dei libri.")</f>
        <v>Mostra il contenuto dei libri.</v>
      </c>
    </row>
    <row r="23306">
      <c r="A23306" s="4" t="s">
        <v>29329</v>
      </c>
      <c r="B23306" s="4" t="s">
        <v>29332</v>
      </c>
      <c r="C23306" s="5" t="str">
        <f>IFERROR(__xludf.DUMMYFUNCTION("GOOGLETRANSLATE(B23306,""en"",""it"")"),"La donna sceglie un design, intagliandolo nella zucca.")</f>
        <v>La donna sceglie un design, intagliandolo nella zucca.</v>
      </c>
    </row>
    <row r="23307">
      <c r="A23307" s="4" t="s">
        <v>29329</v>
      </c>
      <c r="B23307" s="4" t="s">
        <v>29333</v>
      </c>
      <c r="C23307" s="5" t="str">
        <f>IFERROR(__xludf.DUMMYFUNCTION("GOOGLETRANSLATE(B23307,""en"",""it"")"),"Quindi mette le batterie in luce da tè per entrare e dipinge il nero di zucca.")</f>
        <v>Quindi mette le batterie in luce da tè per entrare e dipinge il nero di zucca.</v>
      </c>
    </row>
    <row r="23308">
      <c r="A23308" s="4" t="s">
        <v>29334</v>
      </c>
      <c r="B23308" s="4" t="s">
        <v>29335</v>
      </c>
      <c r="C23308" s="5" t="str">
        <f>IFERROR(__xludf.DUMMYFUNCTION("GOOGLETRANSLATE(B23308,""en"",""it"")"),"Vediamo una persona che scivola i dischi blu lungo un tavolo di legno.")</f>
        <v>Vediamo una persona che scivola i dischi blu lungo un tavolo di legno.</v>
      </c>
    </row>
    <row r="23309">
      <c r="A23309" s="4" t="s">
        <v>29334</v>
      </c>
      <c r="B23309" s="4" t="s">
        <v>29336</v>
      </c>
      <c r="C23309" s="5" t="str">
        <f>IFERROR(__xludf.DUMMYFUNCTION("GOOGLETRANSLATE(B23309,""en"",""it"")"),"L'uomo si sposta all'altra estremità del tavolo e la fotocamera si muove per vederli dalla fine.")</f>
        <v>L'uomo si sposta all'altra estremità del tavolo e la fotocamera si muove per vederli dalla fine.</v>
      </c>
    </row>
    <row r="23310">
      <c r="A23310" s="4" t="s">
        <v>29334</v>
      </c>
      <c r="B23310" s="4" t="s">
        <v>29337</v>
      </c>
      <c r="C23310" s="5" t="str">
        <f>IFERROR(__xludf.DUMMYFUNCTION("GOOGLETRANSLATE(B23310,""en"",""it"")"),"Abbiamo fatto scivolare la persona tutto il loro blu, quindi i dischi rossi sul tavolo.")</f>
        <v>Abbiamo fatto scivolare la persona tutto il loro blu, quindi i dischi rossi sul tavolo.</v>
      </c>
    </row>
    <row r="23311">
      <c r="A23311" s="4" t="s">
        <v>29334</v>
      </c>
      <c r="B23311" s="4" t="s">
        <v>29338</v>
      </c>
      <c r="C23311" s="5" t="str">
        <f>IFERROR(__xludf.DUMMYFUNCTION("GOOGLETRANSLATE(B23311,""en"",""it"")"),"Vediamo apparire una mano e punto.")</f>
        <v>Vediamo apparire una mano e punto.</v>
      </c>
    </row>
    <row r="23312">
      <c r="A23312" s="4" t="s">
        <v>29334</v>
      </c>
      <c r="B23312" s="4" t="s">
        <v>29339</v>
      </c>
      <c r="C23312" s="5" t="str">
        <f>IFERROR(__xludf.DUMMYFUNCTION("GOOGLETRANSLATE(B23312,""en"",""it"")"),"La persona afferra un disco blu e lo fa scorrere due volte.")</f>
        <v>La persona afferra un disco blu e lo fa scorrere due volte.</v>
      </c>
    </row>
    <row r="23313">
      <c r="A23313" s="4" t="s">
        <v>29340</v>
      </c>
      <c r="B23313" s="4" t="s">
        <v>29341</v>
      </c>
      <c r="C23313" s="5" t="str">
        <f>IFERROR(__xludf.DUMMYFUNCTION("GOOGLETRANSLATE(B23313,""en"",""it"")"),"Un maschio è in piedi su un lato su una strada di fronte a una foresta con il piede su uno skateboard.")</f>
        <v>Un maschio è in piedi su un lato su una strada di fronte a una foresta con il piede su uno skateboard.</v>
      </c>
    </row>
    <row r="23314">
      <c r="A23314" s="4" t="s">
        <v>29340</v>
      </c>
      <c r="B23314" s="4" t="s">
        <v>29342</v>
      </c>
      <c r="C23314" s="5" t="str">
        <f>IFERROR(__xludf.DUMMYFUNCTION("GOOGLETRANSLATE(B23314,""en"",""it"")"),"Il maschio si mette quindi sullo skateboard e inizia a bilanciarsi su di esso.")</f>
        <v>Il maschio si mette quindi sullo skateboard e inizia a bilanciarsi su di esso.</v>
      </c>
    </row>
    <row r="23315">
      <c r="A23315" s="4" t="s">
        <v>29340</v>
      </c>
      <c r="B23315" s="4" t="s">
        <v>29343</v>
      </c>
      <c r="C23315" s="5" t="str">
        <f>IFERROR(__xludf.DUMMYFUNCTION("GOOGLETRANSLATE(B23315,""en"",""it"")"),"Dopo, raccoglie lo skateboard e si sposta di qualche metro indietro e inizia lo skateboard.")</f>
        <v>Dopo, raccoglie lo skateboard e si sposta di qualche metro indietro e inizia lo skateboard.</v>
      </c>
    </row>
    <row r="23316">
      <c r="A23316" s="4" t="s">
        <v>29340</v>
      </c>
      <c r="B23316" s="4" t="s">
        <v>29344</v>
      </c>
      <c r="C23316" s="5" t="str">
        <f>IFERROR(__xludf.DUMMYFUNCTION("GOOGLETRANSLATE(B23316,""en"",""it"")"),"Una volta fatto, raccoglie lo skateboard e lo tiene indietro al suo fianco.")</f>
        <v>Una volta fatto, raccoglie lo skateboard e lo tiene indietro al suo fianco.</v>
      </c>
    </row>
    <row r="23317">
      <c r="A23317" s="4" t="s">
        <v>29345</v>
      </c>
      <c r="B23317" s="4" t="s">
        <v>29346</v>
      </c>
      <c r="C23317" s="5" t="str">
        <f>IFERROR(__xludf.DUMMYFUNCTION("GOOGLETRANSLATE(B23317,""en"",""it"")"),"Una donna esce da una cucina e si avvicina a un piroscafo con sua figlia dietro di lei.")</f>
        <v>Una donna esce da una cucina e si avvicina a un piroscafo con sua figlia dietro di lei.</v>
      </c>
    </row>
    <row r="23318">
      <c r="A23318" s="4" t="s">
        <v>29345</v>
      </c>
      <c r="B23318" s="6" t="s">
        <v>29347</v>
      </c>
      <c r="C23318" s="5" t="str">
        <f>IFERROR(__xludf.DUMMYFUNCTION("GOOGLETRANSLATE(B23318,""en"",""it"")"),"Si raccoglie il ferro e inizia a stirare un paio di pantaloni mentre la ragazza suona con un vestito e la donna ha lasciato il ferro appoggiato sui vestiti.")</f>
        <v>Si raccoglie il ferro e inizia a stirare un paio di pantaloni mentre la ragazza suona con un vestito e la donna ha lasciato il ferro appoggiato sui vestiti.</v>
      </c>
    </row>
    <row r="23319">
      <c r="A23319" s="4" t="s">
        <v>29345</v>
      </c>
      <c r="B23319" s="4" t="s">
        <v>29348</v>
      </c>
      <c r="C23319" s="5" t="str">
        <f>IFERROR(__xludf.DUMMYFUNCTION("GOOGLETRANSLATE(B23319,""en"",""it"")"),"Lei fa irruzione il vestito per la ragazza mentre guarda.")</f>
        <v>Lei fa irruzione il vestito per la ragazza mentre guarda.</v>
      </c>
    </row>
    <row r="23320">
      <c r="A23320" s="4" t="s">
        <v>29349</v>
      </c>
      <c r="B23320" s="4" t="s">
        <v>29350</v>
      </c>
      <c r="C23320" s="5" t="str">
        <f>IFERROR(__xludf.DUMMYFUNCTION("GOOGLETRANSLATE(B23320,""en"",""it"")"),"Tre ragazze sono viste in piedi su una scogliera che colpisce un uccellino l'un l'altro.")</f>
        <v>Tre ragazze sono viste in piedi su una scogliera che colpisce un uccellino l'un l'altro.</v>
      </c>
    </row>
    <row r="23321">
      <c r="A23321" s="4" t="s">
        <v>29349</v>
      </c>
      <c r="B23321" s="4" t="s">
        <v>29351</v>
      </c>
      <c r="C23321" s="5" t="str">
        <f>IFERROR(__xludf.DUMMYFUNCTION("GOOGLETRANSLATE(B23321,""en"",""it"")"),"La telecamera si muove attorno ai loro movimenti mentre colpiscono l'uccello.")</f>
        <v>La telecamera si muove attorno ai loro movimenti mentre colpiscono l'uccello.</v>
      </c>
    </row>
    <row r="23322">
      <c r="A23322" s="4" t="s">
        <v>29349</v>
      </c>
      <c r="B23322" s="4" t="s">
        <v>29352</v>
      </c>
      <c r="C23322" s="5" t="str">
        <f>IFERROR(__xludf.DUMMYFUNCTION("GOOGLETRANSLATE(B23322,""en"",""it"")"),"Le ragazze continuano a colpire l'uccello e sfoggiare i loro mozziconi alla fine.")</f>
        <v>Le ragazze continuano a colpire l'uccello e sfoggiare i loro mozziconi alla fine.</v>
      </c>
    </row>
    <row r="23323">
      <c r="A23323" s="4" t="s">
        <v>29353</v>
      </c>
      <c r="B23323" s="4" t="s">
        <v>29354</v>
      </c>
      <c r="C23323" s="5" t="str">
        <f>IFERROR(__xludf.DUMMYFUNCTION("GOOGLETRANSLATE(B23323,""en"",""it"")"),"Una donna lavora e mostra il suo lavoro.")</f>
        <v>Una donna lavora e mostra il suo lavoro.</v>
      </c>
    </row>
    <row r="23324">
      <c r="A23324" s="4" t="s">
        <v>29353</v>
      </c>
      <c r="B23324" s="4" t="s">
        <v>29355</v>
      </c>
      <c r="C23324" s="5" t="str">
        <f>IFERROR(__xludf.DUMMYFUNCTION("GOOGLETRANSLATE(B23324,""en"",""it"")"),"Le donne sono a maglia mentre sono sedute in cerchio e si parlano.")</f>
        <v>Le donne sono a maglia mentre sono sedute in cerchio e si parlano.</v>
      </c>
    </row>
    <row r="23325">
      <c r="A23325" s="4" t="s">
        <v>29353</v>
      </c>
      <c r="B23325" s="4" t="s">
        <v>29356</v>
      </c>
      <c r="C23325" s="5" t="str">
        <f>IFERROR(__xludf.DUMMYFUNCTION("GOOGLETRANSLATE(B23325,""en"",""it"")"),"Un giornalista parla nella stanza in cui le donne lavorano a maglia.")</f>
        <v>Un giornalista parla nella stanza in cui le donne lavorano a maglia.</v>
      </c>
    </row>
    <row r="23326">
      <c r="A23326" s="4" t="s">
        <v>29357</v>
      </c>
      <c r="B23326" s="4" t="s">
        <v>29358</v>
      </c>
      <c r="C23326" s="5" t="str">
        <f>IFERROR(__xludf.DUMMYFUNCTION("GOOGLETRANSLATE(B23326,""en"",""it"")"),"Una donna sta stirando una camicia marrone su una tavola da stiro.")</f>
        <v>Una donna sta stirando una camicia marrone su una tavola da stiro.</v>
      </c>
    </row>
    <row r="23327">
      <c r="A23327" s="4" t="s">
        <v>29357</v>
      </c>
      <c r="B23327" s="4" t="s">
        <v>29359</v>
      </c>
      <c r="C23327" s="5" t="str">
        <f>IFERROR(__xludf.DUMMYFUNCTION("GOOGLETRANSLATE(B23327,""en"",""it"")"),"Guarda l'etichetta sulla maglietta.")</f>
        <v>Guarda l'etichetta sulla maglietta.</v>
      </c>
    </row>
    <row r="23328">
      <c r="A23328" s="4" t="s">
        <v>29357</v>
      </c>
      <c r="B23328" s="4" t="s">
        <v>29360</v>
      </c>
      <c r="C23328" s="5" t="str">
        <f>IFERROR(__xludf.DUMMYFUNCTION("GOOGLETRANSLATE(B23328,""en"",""it"")"),"Continua a stirare la camicia sulla tavola da stiro.")</f>
        <v>Continua a stirare la camicia sulla tavola da stiro.</v>
      </c>
    </row>
    <row r="23329">
      <c r="A23329" s="4" t="s">
        <v>29357</v>
      </c>
      <c r="B23329" s="4" t="s">
        <v>29361</v>
      </c>
      <c r="C23329" s="5" t="str">
        <f>IFERROR(__xludf.DUMMYFUNCTION("GOOGLETRANSLATE(B23329,""en"",""it"")"),"Solleva la camicia e la mette sulla tavola da stiro.")</f>
        <v>Solleva la camicia e la mette sulla tavola da stiro.</v>
      </c>
    </row>
    <row r="23330">
      <c r="A23330" s="4" t="s">
        <v>29357</v>
      </c>
      <c r="B23330" s="4" t="s">
        <v>29362</v>
      </c>
      <c r="C23330" s="5" t="str">
        <f>IFERROR(__xludf.DUMMYFUNCTION("GOOGLETRANSLATE(B23330,""en"",""it"")"),"Gira la camicia e la toglie.")</f>
        <v>Gira la camicia e la toglie.</v>
      </c>
    </row>
    <row r="23331">
      <c r="A23331" s="4" t="s">
        <v>29363</v>
      </c>
      <c r="B23331" s="6" t="s">
        <v>29364</v>
      </c>
      <c r="C23331" s="5" t="str">
        <f>IFERROR(__xludf.DUMMYFUNCTION("GOOGLETRANSLATE(B23331,""en"",""it"")"),"Un uomo parla con la telecamera che sorride e gli passa con una padella e diffondendo il burro.")</f>
        <v>Un uomo parla con la telecamera che sorride e gli passa con una padella e diffondendo il burro.</v>
      </c>
    </row>
    <row r="23332">
      <c r="A23332" s="4" t="s">
        <v>29363</v>
      </c>
      <c r="B23332" s="4" t="s">
        <v>29365</v>
      </c>
      <c r="C23332" s="5" t="str">
        <f>IFERROR(__xludf.DUMMYFUNCTION("GOOGLETRANSLATE(B23332,""en"",""it"")"),"Versa l'uovo nella padella e lo spinge in giro con diverse verdure.")</f>
        <v>Versa l'uovo nella padella e lo spinge in giro con diverse verdure.</v>
      </c>
    </row>
    <row r="23333">
      <c r="A23333" s="4" t="s">
        <v>29363</v>
      </c>
      <c r="B23333" s="4" t="s">
        <v>29366</v>
      </c>
      <c r="C23333" s="5" t="str">
        <f>IFERROR(__xludf.DUMMYFUNCTION("GOOGLETRANSLATE(B23333,""en"",""it"")"),"Termina mettendo la frittata su un piatto e mangiando un grosso morso.")</f>
        <v>Termina mettendo la frittata su un piatto e mangiando un grosso morso.</v>
      </c>
    </row>
    <row r="23334">
      <c r="A23334" s="4" t="s">
        <v>29367</v>
      </c>
      <c r="B23334" s="6" t="s">
        <v>29368</v>
      </c>
      <c r="C23334" s="5" t="str">
        <f>IFERROR(__xludf.DUMMYFUNCTION("GOOGLETRANSLATE(B23334,""en"",""it"")"),"Uno schermo introduttivo animato ha molte piccole immagini di Natale che si muovono su di esso e appaiono parole bianche che dicono ""decorare l'albero di Natale"".")</f>
        <v>Uno schermo introduttivo animato ha molte piccole immagini di Natale che si muovono su di esso e appaiono parole bianche che dicono "decorare l'albero di Natale".</v>
      </c>
    </row>
    <row r="23335">
      <c r="A23335" s="4" t="s">
        <v>29367</v>
      </c>
      <c r="B23335" s="6" t="s">
        <v>29369</v>
      </c>
      <c r="C23335" s="5" t="str">
        <f>IFERROR(__xludf.DUMMYFUNCTION("GOOGLETRANSLATE(B23335,""en"",""it"")"),"La stessa animazione continua a suonare e le parole bianche che ora appaiono sono ""con me, mia sorella, mamma e chris"".")</f>
        <v>La stessa animazione continua a suonare e le parole bianche che ora appaiono sono "con me, mia sorella, mamma e chris".</v>
      </c>
    </row>
    <row r="23336">
      <c r="A23336" s="4" t="s">
        <v>29367</v>
      </c>
      <c r="B23336" s="6" t="s">
        <v>29370</v>
      </c>
      <c r="C23336" s="5" t="str">
        <f>IFERROR(__xludf.DUMMYFUNCTION("GOOGLETRANSLATE(B23336,""en"",""it"")"),"In rapido movimento, ci sono persone in una casa residenziale e sono stringhe tortuose di luci di albero di Natale bianco attorno a un albero molto pieno e cresciuto.")</f>
        <v>In rapido movimento, ci sono persone in una casa residenziale e sono stringhe tortuose di luci di albero di Natale bianco attorno a un albero molto pieno e cresciuto.</v>
      </c>
    </row>
    <row r="23337">
      <c r="A23337" s="4" t="s">
        <v>29367</v>
      </c>
      <c r="B23337" s="6" t="s">
        <v>29371</v>
      </c>
      <c r="C23337" s="5" t="str">
        <f>IFERROR(__xludf.DUMMYFUNCTION("GOOGLETRANSLATE(B23337,""en"",""it"")"),"Quando hanno finito con le luci, iniziano a decorare l'albero con ornamenti fino a quando non è tutto pieno di ornamenti.")</f>
        <v>Quando hanno finito con le luci, iniziano a decorare l'albero con ornamenti fino a quando non è tutto pieno di ornamenti.</v>
      </c>
    </row>
    <row r="23338">
      <c r="A23338" s="4" t="s">
        <v>29367</v>
      </c>
      <c r="B23338" s="6" t="s">
        <v>29372</v>
      </c>
      <c r="C23338" s="5" t="str">
        <f>IFERROR(__xludf.DUMMYFUNCTION("GOOGLETRANSLATE(B23338,""en"",""it"")"),"La fotocamera viene raccolta e l'uomo ora sta tentando di mettere una stella bianca in cima all'albero mentre i bambini sono in giro e parlano.")</f>
        <v>La fotocamera viene raccolta e l'uomo ora sta tentando di mettere una stella bianca in cima all'albero mentre i bambini sono in giro e parlano.</v>
      </c>
    </row>
    <row r="23339">
      <c r="A23339" s="4" t="s">
        <v>29367</v>
      </c>
      <c r="B23339" s="4" t="s">
        <v>29373</v>
      </c>
      <c r="C23339" s="5" t="str">
        <f>IFERROR(__xludf.DUMMYFUNCTION("GOOGLETRANSLATE(B23339,""en"",""it"")"),"La stella è ora sull'albero, la fotocamera viene riposta, una delle ragazze abbraccia l'albero.")</f>
        <v>La stella è ora sull'albero, la fotocamera viene riposta, una delle ragazze abbraccia l'albero.</v>
      </c>
    </row>
    <row r="23340">
      <c r="A23340" s="4" t="s">
        <v>29374</v>
      </c>
      <c r="B23340" s="4" t="s">
        <v>29375</v>
      </c>
      <c r="C23340" s="5" t="str">
        <f>IFERROR(__xludf.DUMMYFUNCTION("GOOGLETRANSLATE(B23340,""en"",""it"")"),"Un uomo è in palestra mentre parla alla telecamera.")</f>
        <v>Un uomo è in palestra mentre parla alla telecamera.</v>
      </c>
    </row>
    <row r="23341">
      <c r="A23341" s="4" t="s">
        <v>29374</v>
      </c>
      <c r="B23341" s="4" t="s">
        <v>29376</v>
      </c>
      <c r="C23341" s="5" t="str">
        <f>IFERROR(__xludf.DUMMYFUNCTION("GOOGLETRANSLATE(B23341,""en"",""it"")"),"Ha indicato un blocco blu a terra prima di succarci e inginocchiarsi sopra di esso.")</f>
        <v>Ha indicato un blocco blu a terra prima di succarci e inginocchiarsi sopra di esso.</v>
      </c>
    </row>
    <row r="23342">
      <c r="A23342" s="4" t="s">
        <v>29374</v>
      </c>
      <c r="B23342" s="4" t="s">
        <v>29377</v>
      </c>
      <c r="C23342" s="5" t="str">
        <f>IFERROR(__xludf.DUMMYFUNCTION("GOOGLETRANSLATE(B23342,""en"",""it"")"),"Comincia a tirare il cavo sull'attrezzatura, mostrando come viene utilizzato.")</f>
        <v>Comincia a tirare il cavo sull'attrezzatura, mostrando come viene utilizzato.</v>
      </c>
    </row>
    <row r="23343">
      <c r="A23343" s="4" t="s">
        <v>29378</v>
      </c>
      <c r="B23343" s="4" t="s">
        <v>29379</v>
      </c>
      <c r="C23343" s="5" t="str">
        <f>IFERROR(__xludf.DUMMYFUNCTION("GOOGLETRANSLATE(B23343,""en"",""it"")"),"Un uomo sta parlando dietro un bar, in piedi davanti a numerose bottiglie di alcol.")</f>
        <v>Un uomo sta parlando dietro un bar, in piedi davanti a numerose bottiglie di alcol.</v>
      </c>
    </row>
    <row r="23344">
      <c r="A23344" s="4" t="s">
        <v>29378</v>
      </c>
      <c r="B23344" s="4" t="s">
        <v>29380</v>
      </c>
      <c r="C23344" s="5" t="str">
        <f>IFERROR(__xludf.DUMMYFUNCTION("GOOGLETRANSLATE(B23344,""en"",""it"")"),"Versa liquidi su un bicchiere pieno di ghiaccio.")</f>
        <v>Versa liquidi su un bicchiere pieno di ghiaccio.</v>
      </c>
    </row>
    <row r="23345">
      <c r="A23345" s="4" t="s">
        <v>29378</v>
      </c>
      <c r="B23345" s="4" t="s">
        <v>29381</v>
      </c>
      <c r="C23345" s="5" t="str">
        <f>IFERROR(__xludf.DUMMYFUNCTION("GOOGLETRANSLATE(B23345,""en"",""it"")"),"Quindi guarde il prodotto finale per servire.")</f>
        <v>Quindi guarde il prodotto finale per servire.</v>
      </c>
    </row>
    <row r="23346">
      <c r="A23346" s="4" t="s">
        <v>29382</v>
      </c>
      <c r="B23346" s="4" t="s">
        <v>29383</v>
      </c>
      <c r="C23346" s="5" t="str">
        <f>IFERROR(__xludf.DUMMYFUNCTION("GOOGLETRANSLATE(B23346,""en"",""it"")"),"Gli studenti di karate suonano in piedi e portano a portata di mano in uno studio.")</f>
        <v>Gli studenti di karate suonano in piedi e portano a portata di mano in uno studio.</v>
      </c>
    </row>
    <row r="23347">
      <c r="A23347" s="4" t="s">
        <v>29382</v>
      </c>
      <c r="B23347" s="4" t="s">
        <v>29384</v>
      </c>
      <c r="C23347" s="5" t="str">
        <f>IFERROR(__xludf.DUMMYFUNCTION("GOOGLETRANSLATE(B23347,""en"",""it"")"),"Gli studenti di karate saltano sopra una corda tenuta da altri studenti su un tappetino.")</f>
        <v>Gli studenti di karate saltano sopra una corda tenuta da altri studenti su un tappetino.</v>
      </c>
    </row>
    <row r="23348">
      <c r="A23348" s="4" t="s">
        <v>29382</v>
      </c>
      <c r="B23348" s="4" t="s">
        <v>29385</v>
      </c>
      <c r="C23348" s="5" t="str">
        <f>IFERROR(__xludf.DUMMYFUNCTION("GOOGLETRANSLATE(B23348,""en"",""it"")"),"Il gruppo di studenti di karate pratica pugni in una linea.")</f>
        <v>Il gruppo di studenti di karate pratica pugni in una linea.</v>
      </c>
    </row>
    <row r="23349">
      <c r="A23349" s="4" t="s">
        <v>29382</v>
      </c>
      <c r="B23349" s="4" t="s">
        <v>29386</v>
      </c>
      <c r="C23349" s="5" t="str">
        <f>IFERROR(__xludf.DUMMYFUNCTION("GOOGLETRANSLATE(B23349,""en"",""it"")"),"Un gruppo di studenti più giovani si esercita da parte degli avversari.")</f>
        <v>Un gruppo di studenti più giovani si esercita da parte degli avversari.</v>
      </c>
    </row>
    <row r="23350">
      <c r="A23350" s="4" t="s">
        <v>29382</v>
      </c>
      <c r="B23350" s="4" t="s">
        <v>29387</v>
      </c>
      <c r="C23350" s="5" t="str">
        <f>IFERROR(__xludf.DUMMYFUNCTION("GOOGLETRANSLATE(B23350,""en"",""it"")"),"I gruppi si girano a vicenda in cerchi tenendo le mani reciproche.")</f>
        <v>I gruppi si girano a vicenda in cerchi tenendo le mani reciproche.</v>
      </c>
    </row>
    <row r="23351">
      <c r="A23351" s="4" t="s">
        <v>29382</v>
      </c>
      <c r="B23351" s="4" t="s">
        <v>29388</v>
      </c>
      <c r="C23351" s="5" t="str">
        <f>IFERROR(__xludf.DUMMYFUNCTION("GOOGLETRANSLATE(B23351,""en"",""it"")"),"Il gruppo si trova in cerchio e salta su e giù insieme mentre guardi l'istruttore.")</f>
        <v>Il gruppo si trova in cerchio e salta su e giù insieme mentre guardi l'istruttore.</v>
      </c>
    </row>
    <row r="23352">
      <c r="A23352" s="4" t="s">
        <v>29389</v>
      </c>
      <c r="B23352" s="4" t="s">
        <v>29390</v>
      </c>
      <c r="C23352" s="5" t="str">
        <f>IFERROR(__xludf.DUMMYFUNCTION("GOOGLETRANSLATE(B23352,""en"",""it"")"),"Una donna sta parlando mentre sta fuori dalle stalle di cavallo.")</f>
        <v>Una donna sta parlando mentre sta fuori dalle stalle di cavallo.</v>
      </c>
    </row>
    <row r="23353">
      <c r="A23353" s="4" t="s">
        <v>29389</v>
      </c>
      <c r="B23353" s="4" t="s">
        <v>29391</v>
      </c>
      <c r="C23353" s="5" t="str">
        <f>IFERROR(__xludf.DUMMYFUNCTION("GOOGLETRANSLATE(B23353,""en"",""it"")"),"Parla come cliente sta cavalcando uno dei suoi cavalli in un campo sporco.")</f>
        <v>Parla come cliente sta cavalcando uno dei suoi cavalli in un campo sporco.</v>
      </c>
    </row>
    <row r="23354">
      <c r="A23354" s="4" t="s">
        <v>29389</v>
      </c>
      <c r="B23354" s="4" t="s">
        <v>29392</v>
      </c>
      <c r="C23354" s="5" t="str">
        <f>IFERROR(__xludf.DUMMYFUNCTION("GOOGLETRANSLATE(B23354,""en"",""it"")"),"Discute la forma e il posizionamento del pilota.")</f>
        <v>Discute la forma e il posizionamento del pilota.</v>
      </c>
    </row>
    <row r="23355">
      <c r="A23355" s="4" t="s">
        <v>29389</v>
      </c>
      <c r="B23355" s="4" t="s">
        <v>29393</v>
      </c>
      <c r="C23355" s="5" t="str">
        <f>IFERROR(__xludf.DUMMYFUNCTION("GOOGLETRANSLATE(B23355,""en"",""it"")"),"Il cavaliere porta il cavallo in giro per un trotto mentre la donna guarda.")</f>
        <v>Il cavaliere porta il cavallo in giro per un trotto mentre la donna guarda.</v>
      </c>
    </row>
    <row r="23356">
      <c r="A23356" s="4" t="s">
        <v>29394</v>
      </c>
      <c r="B23356" s="4" t="s">
        <v>29395</v>
      </c>
      <c r="C23356" s="5" t="str">
        <f>IFERROR(__xludf.DUMMYFUNCTION("GOOGLETRANSLATE(B23356,""en"",""it"")"),"Una donna bionda sta parlando in una sala di notizia davanti a un grande schermo.")</f>
        <v>Una donna bionda sta parlando in una sala di notizia davanti a un grande schermo.</v>
      </c>
    </row>
    <row r="23357">
      <c r="A23357" s="4" t="s">
        <v>29394</v>
      </c>
      <c r="B23357" s="4" t="s">
        <v>29396</v>
      </c>
      <c r="C23357" s="5" t="str">
        <f>IFERROR(__xludf.DUMMYFUNCTION("GOOGLETRANSLATE(B23357,""en"",""it"")"),"Le barche sono viste tirare le persone sugli sci d'acqua.")</f>
        <v>Le barche sono viste tirare le persone sugli sci d'acqua.</v>
      </c>
    </row>
    <row r="23358">
      <c r="A23358" s="4" t="s">
        <v>29394</v>
      </c>
      <c r="B23358" s="4" t="s">
        <v>29397</v>
      </c>
      <c r="C23358" s="5" t="str">
        <f>IFERROR(__xludf.DUMMYFUNCTION("GOOGLETRANSLATE(B23358,""en"",""it"")"),"Un uomo viene mostrato a prepararsi e quindi sciare attraverso l'acqua.")</f>
        <v>Un uomo viene mostrato a prepararsi e quindi sciare attraverso l'acqua.</v>
      </c>
    </row>
    <row r="23359">
      <c r="A23359" s="4" t="s">
        <v>29398</v>
      </c>
      <c r="B23359" s="4" t="s">
        <v>29399</v>
      </c>
      <c r="C23359" s="5" t="str">
        <f>IFERROR(__xludf.DUMMYFUNCTION("GOOGLETRANSLATE(B23359,""en"",""it"")"),"Diverse persone vengono viste vagare per un campo interno con un palo che volge sopra una barra.")</f>
        <v>Diverse persone vengono viste vagare per un campo interno con un palo che volge sopra una barra.</v>
      </c>
    </row>
    <row r="23360">
      <c r="A23360" s="4" t="s">
        <v>29398</v>
      </c>
      <c r="B23360" s="4" t="s">
        <v>29400</v>
      </c>
      <c r="C23360" s="5" t="str">
        <f>IFERROR(__xludf.DUMMYFUNCTION("GOOGLETRANSLATE(B23360,""en"",""it"")"),"Lo stesso scatto viene nuovamente mostrato al rallentatore e molti altri tentativi che fa il ragazzo.")</f>
        <v>Lo stesso scatto viene nuovamente mostrato al rallentatore e molti altri tentativi che fa il ragazzo.</v>
      </c>
    </row>
    <row r="23361">
      <c r="A23361" s="4" t="s">
        <v>29398</v>
      </c>
      <c r="B23361" s="4" t="s">
        <v>29401</v>
      </c>
      <c r="C23361" s="5" t="str">
        <f>IFERROR(__xludf.DUMMYFUNCTION("GOOGLETRANSLATE(B23361,""en"",""it"")"),"Tenta il salto più volte mentre le persone lo guardano ai lati.")</f>
        <v>Tenta il salto più volte mentre le persone lo guardano ai lati.</v>
      </c>
    </row>
    <row r="23362">
      <c r="A23362" s="4" t="s">
        <v>29402</v>
      </c>
      <c r="B23362" s="4" t="s">
        <v>29403</v>
      </c>
      <c r="C23362" s="5" t="str">
        <f>IFERROR(__xludf.DUMMYFUNCTION("GOOGLETRANSLATE(B23362,""en"",""it"")"),"Un uomo è in piedi accanto a uno stagno.")</f>
        <v>Un uomo è in piedi accanto a uno stagno.</v>
      </c>
    </row>
    <row r="23363">
      <c r="A23363" s="4" t="s">
        <v>29402</v>
      </c>
      <c r="B23363" s="4" t="s">
        <v>29404</v>
      </c>
      <c r="C23363" s="5" t="str">
        <f>IFERROR(__xludf.DUMMYFUNCTION("GOOGLETRANSLATE(B23363,""en"",""it"")"),"Carica una freccia a prua.")</f>
        <v>Carica una freccia a prua.</v>
      </c>
    </row>
    <row r="23364">
      <c r="A23364" s="4" t="s">
        <v>29402</v>
      </c>
      <c r="B23364" s="6" t="s">
        <v>29405</v>
      </c>
      <c r="C23364" s="5" t="str">
        <f>IFERROR(__xludf.DUMMYFUNCTION("GOOGLETRANSLATE(B23364,""en"",""it"")"),"Spara la freccia contro un gatto in ceramica, facendola cadere in acqua prima di passare ad altri bersagli.")</f>
        <v>Spara la freccia contro un gatto in ceramica, facendola cadere in acqua prima di passare ad altri bersagli.</v>
      </c>
    </row>
    <row r="23365">
      <c r="A23365" s="4" t="s">
        <v>29406</v>
      </c>
      <c r="B23365" s="4" t="s">
        <v>29407</v>
      </c>
      <c r="C23365" s="5" t="str">
        <f>IFERROR(__xludf.DUMMYFUNCTION("GOOGLETRANSLATE(B23365,""en"",""it"")"),"Una donna viene vista camminare nella cornice e parlare alla telecamera.")</f>
        <v>Una donna viene vista camminare nella cornice e parlare alla telecamera.</v>
      </c>
    </row>
    <row r="23366">
      <c r="A23366" s="4" t="s">
        <v>29406</v>
      </c>
      <c r="B23366" s="4" t="s">
        <v>29408</v>
      </c>
      <c r="C23366" s="5" t="str">
        <f>IFERROR(__xludf.DUMMYFUNCTION("GOOGLETRANSLATE(B23366,""en"",""it"")"),"Si siede sulle scatole mentre tiene gli altri e inizia a posare piastrelle sul pavimento.")</f>
        <v>Si siede sulle scatole mentre tiene gli altri e inizia a posare piastrelle sul pavimento.</v>
      </c>
    </row>
    <row r="23367">
      <c r="A23367" s="4" t="s">
        <v>29406</v>
      </c>
      <c r="B23367" s="6" t="s">
        <v>29409</v>
      </c>
      <c r="C23367" s="5" t="str">
        <f>IFERROR(__xludf.DUMMYFUNCTION("GOOGLETRANSLATE(B23367,""en"",""it"")"),"Prende gli altri mentre parla alla telecamera seguita da aspirare il pavimento e un bambino che gioca.")</f>
        <v>Prende gli altri mentre parla alla telecamera seguita da aspirare il pavimento e un bambino che gioca.</v>
      </c>
    </row>
    <row r="23368">
      <c r="A23368" s="4" t="s">
        <v>29410</v>
      </c>
      <c r="B23368" s="4" t="s">
        <v>29411</v>
      </c>
      <c r="C23368" s="5" t="str">
        <f>IFERROR(__xludf.DUMMYFUNCTION("GOOGLETRANSLATE(B23368,""en"",""it"")"),"Un bambino piccolo viene visto correre in un cortile su una grande serie di palafitte.")</f>
        <v>Un bambino piccolo viene visto correre in un cortile su una grande serie di palafitte.</v>
      </c>
    </row>
    <row r="23369">
      <c r="A23369" s="4" t="s">
        <v>29410</v>
      </c>
      <c r="B23369" s="4" t="s">
        <v>29412</v>
      </c>
      <c r="C23369" s="5" t="str">
        <f>IFERROR(__xludf.DUMMYFUNCTION("GOOGLETRANSLATE(B23369,""en"",""it"")"),"Il ragazzo continua a rimbalzare mentre la telecamera lo cattura e corre.")</f>
        <v>Il ragazzo continua a rimbalzare mentre la telecamera lo cattura e corre.</v>
      </c>
    </row>
    <row r="23370">
      <c r="A23370" s="4" t="s">
        <v>29413</v>
      </c>
      <c r="B23370" s="4" t="s">
        <v>29414</v>
      </c>
      <c r="C23370" s="5" t="str">
        <f>IFERROR(__xludf.DUMMYFUNCTION("GOOGLETRANSLATE(B23370,""en"",""it"")"),"I ragazzi corrono su un campo giocando una partita di calcio.")</f>
        <v>I ragazzi corrono su un campo giocando una partita di calcio.</v>
      </c>
    </row>
    <row r="23371">
      <c r="A23371" s="4" t="s">
        <v>29413</v>
      </c>
      <c r="B23371" s="4" t="s">
        <v>29415</v>
      </c>
      <c r="C23371" s="5" t="str">
        <f>IFERROR(__xludf.DUMMYFUNCTION("GOOGLETRANSLATE(B23371,""en"",""it"")"),"Quindi stanno giocando professionisti su un campo indoor mentre un pubblico guarda.")</f>
        <v>Quindi stanno giocando professionisti su un campo indoor mentre un pubblico guarda.</v>
      </c>
    </row>
    <row r="23372">
      <c r="A23372" s="4" t="s">
        <v>29413</v>
      </c>
      <c r="B23372" s="4" t="s">
        <v>29416</v>
      </c>
      <c r="C23372" s="5" t="str">
        <f>IFERROR(__xludf.DUMMYFUNCTION("GOOGLETRANSLATE(B23372,""en"",""it"")"),"Mostrano molte clip diverse da molti giochi diversi, come un libro di memorie di video.")</f>
        <v>Mostrano molte clip diverse da molti giochi diversi, come un libro di memorie di video.</v>
      </c>
    </row>
    <row r="23373">
      <c r="A23373" s="4" t="s">
        <v>29413</v>
      </c>
      <c r="B23373" s="4" t="s">
        <v>29417</v>
      </c>
      <c r="C23373" s="5" t="str">
        <f>IFERROR(__xludf.DUMMYFUNCTION("GOOGLETRANSLATE(B23373,""en"",""it"")"),"Il numero 12 è la base di tutti loro, sembra essere un grande calciatore.")</f>
        <v>Il numero 12 è la base di tutti loro, sembra essere un grande calciatore.</v>
      </c>
    </row>
    <row r="23374">
      <c r="A23374" s="4" t="s">
        <v>29418</v>
      </c>
      <c r="B23374" s="4" t="s">
        <v>29419</v>
      </c>
      <c r="C23374" s="5" t="str">
        <f>IFERROR(__xludf.DUMMYFUNCTION("GOOGLETRANSLATE(B23374,""en"",""it"")"),"Una ragazza viene vista parlare alla telecamera e guardare in lontananza.")</f>
        <v>Una ragazza viene vista parlare alla telecamera e guardare in lontananza.</v>
      </c>
    </row>
    <row r="23375">
      <c r="A23375" s="4" t="s">
        <v>29418</v>
      </c>
      <c r="B23375" s="4" t="s">
        <v>29420</v>
      </c>
      <c r="C23375" s="5" t="str">
        <f>IFERROR(__xludf.DUMMYFUNCTION("GOOGLETRANSLATE(B23375,""en"",""it"")"),"Continua a parlare e conduce a una donna che si taglia i capelli.")</f>
        <v>Continua a parlare e conduce a una donna che si taglia i capelli.</v>
      </c>
    </row>
    <row r="23376">
      <c r="A23376" s="4" t="s">
        <v>29418</v>
      </c>
      <c r="B23376" s="4" t="s">
        <v>29421</v>
      </c>
      <c r="C23376" s="5" t="str">
        <f>IFERROR(__xludf.DUMMYFUNCTION("GOOGLETRANSLATE(B23376,""en"",""it"")"),"Lei la consegna la ragazza e la mostra il taglio alla fine.")</f>
        <v>Lei la consegna la ragazza e la mostra il taglio alla fine.</v>
      </c>
    </row>
    <row r="23377">
      <c r="A23377" s="4" t="s">
        <v>29422</v>
      </c>
      <c r="B23377" s="4" t="s">
        <v>29423</v>
      </c>
      <c r="C23377" s="5" t="str">
        <f>IFERROR(__xludf.DUMMYFUNCTION("GOOGLETRANSLATE(B23377,""en"",""it"")"),"Più colori e disegni lampeggiano sullo schermo.")</f>
        <v>Più colori e disegni lampeggiano sullo schermo.</v>
      </c>
    </row>
    <row r="23378">
      <c r="A23378" s="4" t="s">
        <v>29422</v>
      </c>
      <c r="B23378" s="4" t="s">
        <v>29424</v>
      </c>
      <c r="C23378" s="5" t="str">
        <f>IFERROR(__xludf.DUMMYFUNCTION("GOOGLETRANSLATE(B23378,""en"",""it"")"),"Le donne si radunano sul palco mentre stanno per esibirsi.")</f>
        <v>Le donne si radunano sul palco mentre stanno per esibirsi.</v>
      </c>
    </row>
    <row r="23379">
      <c r="A23379" s="4" t="s">
        <v>29422</v>
      </c>
      <c r="B23379" s="4" t="s">
        <v>29425</v>
      </c>
      <c r="C23379" s="5" t="str">
        <f>IFERROR(__xludf.DUMMYFUNCTION("GOOGLETRANSLATE(B23379,""en"",""it"")"),"Le donne ballano e saltano, conducendo una routine di Zumba.")</f>
        <v>Le donne ballano e saltano, conducendo una routine di Zumba.</v>
      </c>
    </row>
    <row r="23380">
      <c r="A23380" s="4" t="s">
        <v>29426</v>
      </c>
      <c r="B23380" s="6" t="s">
        <v>29427</v>
      </c>
      <c r="C23380" s="5" t="str">
        <f>IFERROR(__xludf.DUMMYFUNCTION("GOOGLETRANSLATE(B23380,""en"",""it"")"),"Vengono mostrati vari colpi di segni e persone che camminano in un campo e si preparano per gli eventi.")</f>
        <v>Vengono mostrati vari colpi di segni e persone che camminano in un campo e si preparano per gli eventi.</v>
      </c>
    </row>
    <row r="23381">
      <c r="A23381" s="4" t="s">
        <v>29426</v>
      </c>
      <c r="B23381" s="6" t="s">
        <v>29428</v>
      </c>
      <c r="C23381" s="5" t="str">
        <f>IFERROR(__xludf.DUMMYFUNCTION("GOOGLETRANSLATE(B23381,""en"",""it"")"),"Molte persone vengono intervistate per la telecamera e mostrano che le persone salutano e si preparano sui lati.")</f>
        <v>Molte persone vengono intervistate per la telecamera e mostrano che le persone salutano e si preparano sui lati.</v>
      </c>
    </row>
    <row r="23382">
      <c r="A23382" s="4" t="s">
        <v>29426</v>
      </c>
      <c r="B23382" s="6" t="s">
        <v>29429</v>
      </c>
      <c r="C23382" s="5" t="str">
        <f>IFERROR(__xludf.DUMMYFUNCTION("GOOGLETRANSLATE(B23382,""en"",""it"")"),"Le persone salutano la telecamera e si trovano in giro con in mano segnali mentre più parlano alla telecamera e mostrano giochi di Hopscotch.")</f>
        <v>Le persone salutano la telecamera e si trovano in giro con in mano segnali mentre più parlano alla telecamera e mostrano giochi di Hopscotch.</v>
      </c>
    </row>
    <row r="23383">
      <c r="A23383" s="4" t="s">
        <v>29430</v>
      </c>
      <c r="B23383" s="4" t="s">
        <v>29431</v>
      </c>
      <c r="C23383" s="5" t="str">
        <f>IFERROR(__xludf.DUMMYFUNCTION("GOOGLETRANSLATE(B23383,""en"",""it"")"),"Un cane spinge un passeggino lungo il marciapiede.")</f>
        <v>Un cane spinge un passeggino lungo il marciapiede.</v>
      </c>
    </row>
    <row r="23384">
      <c r="A23384" s="4" t="s">
        <v>29430</v>
      </c>
      <c r="B23384" s="4" t="s">
        <v>29432</v>
      </c>
      <c r="C23384" s="5" t="str">
        <f>IFERROR(__xludf.DUMMYFUNCTION("GOOGLETRANSLATE(B23384,""en"",""it"")"),"Una persona in bianco passa l'albero.")</f>
        <v>Una persona in bianco passa l'albero.</v>
      </c>
    </row>
    <row r="23385">
      <c r="A23385" s="4" t="s">
        <v>29430</v>
      </c>
      <c r="B23385" s="4" t="s">
        <v>29433</v>
      </c>
      <c r="C23385" s="5" t="str">
        <f>IFERROR(__xludf.DUMMYFUNCTION("GOOGLETRANSLATE(B23385,""en"",""it"")"),"Il cane passa un piccolo albero.")</f>
        <v>Il cane passa un piccolo albero.</v>
      </c>
    </row>
    <row r="23386">
      <c r="A23386" s="4" t="s">
        <v>29434</v>
      </c>
      <c r="B23386" s="4" t="s">
        <v>29435</v>
      </c>
      <c r="C23386" s="5" t="str">
        <f>IFERROR(__xludf.DUMMYFUNCTION("GOOGLETRANSLATE(B23386,""en"",""it"")"),"Un uomo inizia a tagliare un pezzo di legno con un'ascia.")</f>
        <v>Un uomo inizia a tagliare un pezzo di legno con un'ascia.</v>
      </c>
    </row>
    <row r="23387">
      <c r="A23387" s="4" t="s">
        <v>29434</v>
      </c>
      <c r="B23387" s="4" t="s">
        <v>29436</v>
      </c>
      <c r="C23387" s="5" t="str">
        <f>IFERROR(__xludf.DUMMYFUNCTION("GOOGLETRANSLATE(B23387,""en"",""it"")"),"Scegli il legno di nuovo e lo getta in una pila.")</f>
        <v>Scegli il legno di nuovo e lo getta in una pila.</v>
      </c>
    </row>
    <row r="23388">
      <c r="A23388" s="4" t="s">
        <v>29434</v>
      </c>
      <c r="B23388" s="4" t="s">
        <v>29437</v>
      </c>
      <c r="C23388" s="5" t="str">
        <f>IFERROR(__xludf.DUMMYFUNCTION("GOOGLETRANSLATE(B23388,""en"",""it"")"),"Raccoglie un nuovo pezzo di legno e le spese.")</f>
        <v>Raccoglie un nuovo pezzo di legno e le spese.</v>
      </c>
    </row>
    <row r="23389">
      <c r="A23389" s="4" t="s">
        <v>29438</v>
      </c>
      <c r="B23389" s="4" t="s">
        <v>29439</v>
      </c>
      <c r="C23389" s="5" t="str">
        <f>IFERROR(__xludf.DUMMYFUNCTION("GOOGLETRANSLATE(B23389,""en"",""it"")"),"Una donna viene vista seduta su una sedia a maglia filo mentre la telecamera la guarda.")</f>
        <v>Una donna viene vista seduta su una sedia a maglia filo mentre la telecamera la guarda.</v>
      </c>
    </row>
    <row r="23390">
      <c r="A23390" s="4" t="s">
        <v>29438</v>
      </c>
      <c r="B23390" s="4" t="s">
        <v>29440</v>
      </c>
      <c r="C23390" s="5" t="str">
        <f>IFERROR(__xludf.DUMMYFUNCTION("GOOGLETRANSLATE(B23390,""en"",""it"")"),"La donna continua a lavorare a maglia mentre si ferma a guardare la telecamera e fare i volti.")</f>
        <v>La donna continua a lavorare a maglia mentre si ferma a guardare la telecamera e fare i volti.</v>
      </c>
    </row>
    <row r="23391">
      <c r="A23391" s="4" t="s">
        <v>29441</v>
      </c>
      <c r="B23391" s="4" t="s">
        <v>29442</v>
      </c>
      <c r="C23391" s="5" t="str">
        <f>IFERROR(__xludf.DUMMYFUNCTION("GOOGLETRANSLATE(B23391,""en"",""it"")"),"Un Hummer appoggia una barca lungo una rampa.")</f>
        <v>Un Hummer appoggia una barca lungo una rampa.</v>
      </c>
    </row>
    <row r="23392">
      <c r="A23392" s="4" t="s">
        <v>29441</v>
      </c>
      <c r="B23392" s="4" t="s">
        <v>29443</v>
      </c>
      <c r="C23392" s="5" t="str">
        <f>IFERROR(__xludf.DUMMYFUNCTION("GOOGLETRANSLATE(B23392,""en"",""it"")"),"Una persona si sta Wake Board dietro la barca.")</f>
        <v>Una persona si sta Wake Board dietro la barca.</v>
      </c>
    </row>
    <row r="23393">
      <c r="A23393" s="4" t="s">
        <v>29441</v>
      </c>
      <c r="B23393" s="4" t="s">
        <v>29444</v>
      </c>
      <c r="C23393" s="5" t="str">
        <f>IFERROR(__xludf.DUMMYFUNCTION("GOOGLETRANSLATE(B23393,""en"",""it"")"),"Le persone sono sedute sulla barca.")</f>
        <v>Le persone sono sedute sulla barca.</v>
      </c>
    </row>
    <row r="23394">
      <c r="A23394" s="4" t="s">
        <v>29445</v>
      </c>
      <c r="B23394" s="4" t="s">
        <v>29446</v>
      </c>
      <c r="C23394" s="5" t="str">
        <f>IFERROR(__xludf.DUMMYFUNCTION("GOOGLETRANSLATE(B23394,""en"",""it"")"),"Una donna è seduta sul fondo di una diapositiva.")</f>
        <v>Una donna è seduta sul fondo di una diapositiva.</v>
      </c>
    </row>
    <row r="23395">
      <c r="A23395" s="4" t="s">
        <v>29445</v>
      </c>
      <c r="B23395" s="4" t="s">
        <v>29447</v>
      </c>
      <c r="C23395" s="5" t="str">
        <f>IFERROR(__xludf.DUMMYFUNCTION("GOOGLETRANSLATE(B23395,""en"",""it"")"),"Sta regolando la sua macchina fotografica.")</f>
        <v>Sta regolando la sua macchina fotografica.</v>
      </c>
    </row>
    <row r="23396">
      <c r="A23396" s="4" t="s">
        <v>29445</v>
      </c>
      <c r="B23396" s="4" t="s">
        <v>29448</v>
      </c>
      <c r="C23396" s="5" t="str">
        <f>IFERROR(__xludf.DUMMYFUNCTION("GOOGLETRANSLATE(B23396,""en"",""it"")"),"Un bambino scivola giù per la diapositiva, correndo dentro di lei da dietro.")</f>
        <v>Un bambino scivola giù per la diapositiva, correndo dentro di lei da dietro.</v>
      </c>
    </row>
    <row r="23397">
      <c r="A23397" s="4" t="s">
        <v>29449</v>
      </c>
      <c r="B23397" s="4" t="s">
        <v>29450</v>
      </c>
      <c r="C23397" s="5" t="str">
        <f>IFERROR(__xludf.DUMMYFUNCTION("GOOGLETRANSLATE(B23397,""en"",""it"")"),"Un bambino piccolo viene visto arrampicarsi su un parco giochi e poi scendere in una scivolata.")</f>
        <v>Un bambino piccolo viene visto arrampicarsi su un parco giochi e poi scendere in una scivolata.</v>
      </c>
    </row>
    <row r="23398">
      <c r="A23398" s="4" t="s">
        <v>29449</v>
      </c>
      <c r="B23398" s="6" t="s">
        <v>29451</v>
      </c>
      <c r="C23398" s="5" t="str">
        <f>IFERROR(__xludf.DUMMYFUNCTION("GOOGLETRANSLATE(B23398,""en"",""it"")"),"Torna di nuovo in cima seguita da un altro invalido e di nuovo alle scale.")</f>
        <v>Torna di nuovo in cima seguita da un altro invalido e di nuovo alle scale.</v>
      </c>
    </row>
    <row r="23399">
      <c r="A23399" s="4" t="s">
        <v>29452</v>
      </c>
      <c r="B23399" s="4" t="s">
        <v>29453</v>
      </c>
      <c r="C23399" s="5" t="str">
        <f>IFERROR(__xludf.DUMMYFUNCTION("GOOGLETRANSLATE(B23399,""en"",""it"")"),"Una persona si trova su una collina coperta di neve, poi la persona scrisse sulla collina e cade.")</f>
        <v>Una persona si trova su una collina coperta di neve, poi la persona scrisse sulla collina e cade.</v>
      </c>
    </row>
    <row r="23400">
      <c r="A23400" s="4" t="s">
        <v>29452</v>
      </c>
      <c r="B23400" s="4" t="s">
        <v>29454</v>
      </c>
      <c r="C23400" s="5" t="str">
        <f>IFERROR(__xludf.DUMMYFUNCTION("GOOGLETRANSLATE(B23400,""en"",""it"")"),"Uno sciatore scende una collina fa un salto su pietre e cade e rotola sulla neve.")</f>
        <v>Uno sciatore scende una collina fa un salto su pietre e cade e rotola sulla neve.</v>
      </c>
    </row>
    <row r="23401">
      <c r="A23401" s="4" t="s">
        <v>29452</v>
      </c>
      <c r="B23401" s="4" t="s">
        <v>29455</v>
      </c>
      <c r="C23401" s="5" t="str">
        <f>IFERROR(__xludf.DUMMYFUNCTION("GOOGLETRANSLATE(B23401,""en"",""it"")"),"Quindi, altri cieli da uomo sulla collina e aree pianeggianti ricoperte di neve.")</f>
        <v>Quindi, altri cieli da uomo sulla collina e aree pianeggianti ricoperte di neve.</v>
      </c>
    </row>
    <row r="23402">
      <c r="A23402" s="4" t="s">
        <v>29452</v>
      </c>
      <c r="B23402" s="4" t="s">
        <v>29456</v>
      </c>
      <c r="C23402" s="5" t="str">
        <f>IFERROR(__xludf.DUMMYFUNCTION("GOOGLETRANSLATE(B23402,""en"",""it"")"),"Inoltre, gli sciatori fanno un giro in aria mentre altre persone guardano.")</f>
        <v>Inoltre, gli sciatori fanno un giro in aria mentre altre persone guardano.</v>
      </c>
    </row>
    <row r="23403">
      <c r="A23403" s="4" t="s">
        <v>29457</v>
      </c>
      <c r="B23403" s="4" t="s">
        <v>29458</v>
      </c>
      <c r="C23403" s="5" t="str">
        <f>IFERROR(__xludf.DUMMYFUNCTION("GOOGLETRANSLATE(B23403,""en"",""it"")"),"Due uomini giocano a squash su un campo da interno.")</f>
        <v>Due uomini giocano a squash su un campo da interno.</v>
      </c>
    </row>
    <row r="23404">
      <c r="A23404" s="4" t="s">
        <v>29457</v>
      </c>
      <c r="B23404" s="4" t="s">
        <v>29459</v>
      </c>
      <c r="C23404" s="5" t="str">
        <f>IFERROR(__xludf.DUMMYFUNCTION("GOOGLETRANSLATE(B23404,""en"",""it"")"),"L'uomo sinistro con la camicia bianca manca la palla e l'inizio.")</f>
        <v>L'uomo sinistro con la camicia bianca manca la palla e l'inizio.</v>
      </c>
    </row>
    <row r="23405">
      <c r="A23405" s="4" t="s">
        <v>29457</v>
      </c>
      <c r="B23405" s="6" t="s">
        <v>29460</v>
      </c>
      <c r="C23405" s="5" t="str">
        <f>IFERROR(__xludf.DUMMYFUNCTION("GOOGLETRANSLATE(B23405,""en"",""it"")"),"Vediamo che l'uomo nella camicia grigia manca la terra della palla si alza e le pompa il pugno mentre sembra deluso.")</f>
        <v>Vediamo che l'uomo nella camicia grigia manca la terra della palla si alza e le pompa il pugno mentre sembra deluso.</v>
      </c>
    </row>
    <row r="23406">
      <c r="A23406" s="4" t="s">
        <v>29461</v>
      </c>
      <c r="B23406" s="6" t="s">
        <v>29462</v>
      </c>
      <c r="C23406" s="5" t="str">
        <f>IFERROR(__xludf.DUMMYFUNCTION("GOOGLETRANSLATE(B23406,""en"",""it"")"),"Una bambina è seduta sul pavimento del portico con suo padre mentre mette insieme un aquilone di farfalla blu per lei.")</f>
        <v>Una bambina è seduta sul pavimento del portico con suo padre mentre mette insieme un aquilone di farfalla blu per lei.</v>
      </c>
    </row>
    <row r="23407">
      <c r="A23407" s="4" t="s">
        <v>29461</v>
      </c>
      <c r="B23407" s="4" t="s">
        <v>29463</v>
      </c>
      <c r="C23407" s="5" t="str">
        <f>IFERROR(__xludf.DUMMYFUNCTION("GOOGLETRANSLATE(B23407,""en"",""it"")"),"Dopo aver finito di completare l'aquilone, escono all'aperto per far volare l'aquilone.")</f>
        <v>Dopo aver finito di completare l'aquilone, escono all'aperto per far volare l'aquilone.</v>
      </c>
    </row>
    <row r="23408">
      <c r="A23408" s="4" t="s">
        <v>29461</v>
      </c>
      <c r="B23408" s="4" t="s">
        <v>29464</v>
      </c>
      <c r="C23408" s="5" t="str">
        <f>IFERROR(__xludf.DUMMYFUNCTION("GOOGLETRANSLATE(B23408,""en"",""it"")"),"Il padre tiene in mano l'aquilone mentre il vento soffia fortemente.")</f>
        <v>Il padre tiene in mano l'aquilone mentre il vento soffia fortemente.</v>
      </c>
    </row>
    <row r="23409">
      <c r="A23409" s="4" t="s">
        <v>29461</v>
      </c>
      <c r="B23409" s="4" t="s">
        <v>29465</v>
      </c>
      <c r="C23409" s="5" t="str">
        <f>IFERROR(__xludf.DUMMYFUNCTION("GOOGLETRANSLATE(B23409,""en"",""it"")"),"La ragazza tiene la corda dell'aquilone e inizia a far volare l'aquilone in alto in aria.")</f>
        <v>La ragazza tiene la corda dell'aquilone e inizia a far volare l'aquilone in alto in aria.</v>
      </c>
    </row>
    <row r="23410">
      <c r="A23410" s="4" t="s">
        <v>29466</v>
      </c>
      <c r="B23410" s="6" t="s">
        <v>29467</v>
      </c>
      <c r="C23410" s="5" t="str">
        <f>IFERROR(__xludf.DUMMYFUNCTION("GOOGLETRANSLATE(B23410,""en"",""it"")"),"Uno chef spiega come cucinare una frittata con verdure e spezie, quindi lo chef prende un piatto e serve la frittata con lattuga e limone.")</f>
        <v>Uno chef spiega come cucinare una frittata con verdure e spezie, quindi lo chef prende un piatto e serve la frittata con lattuga e limone.</v>
      </c>
    </row>
    <row r="23411">
      <c r="A23411" s="4" t="s">
        <v>29466</v>
      </c>
      <c r="B23411" s="4" t="s">
        <v>29468</v>
      </c>
      <c r="C23411" s="5" t="str">
        <f>IFERROR(__xludf.DUMMYFUNCTION("GOOGLETRANSLATE(B23411,""en"",""it"")"),"Un uomo e una donna passano dietro lo chef nel ristorante.")</f>
        <v>Un uomo e una donna passano dietro lo chef nel ristorante.</v>
      </c>
    </row>
    <row r="23412">
      <c r="A23412" s="4" t="s">
        <v>29466</v>
      </c>
      <c r="B23412" s="4" t="s">
        <v>29469</v>
      </c>
      <c r="C23412" s="5" t="str">
        <f>IFERROR(__xludf.DUMMYFUNCTION("GOOGLETRANSLATE(B23412,""en"",""it"")"),"Un altro uomo si siede in un tavolo, si alza e si allontana.")</f>
        <v>Un altro uomo si siede in un tavolo, si alza e si allontana.</v>
      </c>
    </row>
    <row r="23413">
      <c r="A23413" s="4" t="s">
        <v>29466</v>
      </c>
      <c r="B23413" s="4" t="s">
        <v>29470</v>
      </c>
      <c r="C23413" s="5" t="str">
        <f>IFERROR(__xludf.DUMMYFUNCTION("GOOGLETRANSLATE(B23413,""en"",""it"")"),"Un'altra persona entra nel ristorante e gira a sinistra.")</f>
        <v>Un'altra persona entra nel ristorante e gira a sinistra.</v>
      </c>
    </row>
    <row r="23414">
      <c r="A23414" s="4" t="s">
        <v>29471</v>
      </c>
      <c r="B23414" s="4" t="s">
        <v>29472</v>
      </c>
      <c r="C23414" s="5" t="str">
        <f>IFERROR(__xludf.DUMMYFUNCTION("GOOGLETRANSLATE(B23414,""en"",""it"")"),"Un bambino è in un cortile, usando un soffiatore di foglie.")</f>
        <v>Un bambino è in un cortile, usando un soffiatore di foglie.</v>
      </c>
    </row>
    <row r="23415">
      <c r="A23415" s="4" t="s">
        <v>29471</v>
      </c>
      <c r="B23415" s="4" t="s">
        <v>29473</v>
      </c>
      <c r="C23415" s="5" t="str">
        <f>IFERROR(__xludf.DUMMYFUNCTION("GOOGLETRANSLATE(B23415,""en"",""it"")"),"Una bambina presto si unisce a lui, rastrellando le foglie.")</f>
        <v>Una bambina presto si unisce a lui, rastrellando le foglie.</v>
      </c>
    </row>
    <row r="23416">
      <c r="A23416" s="4" t="s">
        <v>29474</v>
      </c>
      <c r="B23416" s="4" t="s">
        <v>29475</v>
      </c>
      <c r="C23416" s="5" t="str">
        <f>IFERROR(__xludf.DUMMYFUNCTION("GOOGLETRANSLATE(B23416,""en"",""it"")"),"Un uomo viene visto piegato a lavarsi le mani quando un altro uomo esce e gli parla.")</f>
        <v>Un uomo viene visto piegato a lavarsi le mani quando un altro uomo esce e gli parla.</v>
      </c>
    </row>
    <row r="23417">
      <c r="A23417" s="4" t="s">
        <v>29474</v>
      </c>
      <c r="B23417" s="6" t="s">
        <v>29476</v>
      </c>
      <c r="C23417" s="5" t="str">
        <f>IFERROR(__xludf.DUMMYFUNCTION("GOOGLETRANSLATE(B23417,""en"",""it"")"),"L'altro uomo inizia quindi a lavarsi le mani con sapone sotto il rubinetto mentre l'altro uomo guarda.")</f>
        <v>L'altro uomo inizia quindi a lavarsi le mani con sapone sotto il rubinetto mentre l'altro uomo guarda.</v>
      </c>
    </row>
    <row r="23418">
      <c r="A23418" s="4" t="s">
        <v>29474</v>
      </c>
      <c r="B23418" s="4" t="s">
        <v>29477</v>
      </c>
      <c r="C23418" s="5" t="str">
        <f>IFERROR(__xludf.DUMMYFUNCTION("GOOGLETRANSLATE(B23418,""en"",""it"")"),"Finisce di lavare mentre l'altro uomo lascia e spunta a un terzo uomo che esce dalla stalla.")</f>
        <v>Finisce di lavare mentre l'altro uomo lascia e spunta a un terzo uomo che esce dalla stalla.</v>
      </c>
    </row>
    <row r="23419">
      <c r="A23419" s="4" t="s">
        <v>29478</v>
      </c>
      <c r="B23419" s="4" t="s">
        <v>29479</v>
      </c>
      <c r="C23419" s="5" t="str">
        <f>IFERROR(__xludf.DUMMYFUNCTION("GOOGLETRANSLATE(B23419,""en"",""it"")"),"Le persone giocano a Beer Pong a una festa.")</f>
        <v>Le persone giocano a Beer Pong a una festa.</v>
      </c>
    </row>
    <row r="23420">
      <c r="A23420" s="4" t="s">
        <v>29478</v>
      </c>
      <c r="B23420" s="4" t="s">
        <v>29480</v>
      </c>
      <c r="C23420" s="5" t="str">
        <f>IFERROR(__xludf.DUMMYFUNCTION("GOOGLETRANSLATE(B23420,""en"",""it"")"),"Le persone bevono bevande dal tavolo.")</f>
        <v>Le persone bevono bevande dal tavolo.</v>
      </c>
    </row>
    <row r="23421">
      <c r="A23421" s="4" t="s">
        <v>29478</v>
      </c>
      <c r="B23421" s="4" t="s">
        <v>29481</v>
      </c>
      <c r="C23421" s="5" t="str">
        <f>IFERROR(__xludf.DUMMYFUNCTION("GOOGLETRANSLATE(B23421,""en"",""it"")"),"Viene mostrato un bicchiere di birra.")</f>
        <v>Viene mostrato un bicchiere di birra.</v>
      </c>
    </row>
    <row r="23422">
      <c r="A23422" s="4" t="s">
        <v>29482</v>
      </c>
      <c r="B23422" s="4" t="s">
        <v>29483</v>
      </c>
      <c r="C23422" s="5" t="str">
        <f>IFERROR(__xludf.DUMMYFUNCTION("GOOGLETRANSLATE(B23422,""en"",""it"")"),"Un uomo viene visto gettare un dardo su una tavola e conduce a parlare una donna.")</f>
        <v>Un uomo viene visto gettare un dardo su una tavola e conduce a parlare una donna.</v>
      </c>
    </row>
    <row r="23423">
      <c r="A23423" s="4" t="s">
        <v>29482</v>
      </c>
      <c r="B23423" s="4" t="s">
        <v>29484</v>
      </c>
      <c r="C23423" s="5" t="str">
        <f>IFERROR(__xludf.DUMMYFUNCTION("GOOGLETRANSLATE(B23423,""en"",""it"")"),"L'uomo lancia molte altre freccette mentre si prende il tempo di parlare con la donna.")</f>
        <v>L'uomo lancia molte altre freccette mentre si prende il tempo di parlare con la donna.</v>
      </c>
    </row>
    <row r="23424">
      <c r="A23424" s="4" t="s">
        <v>29482</v>
      </c>
      <c r="B23424" s="6" t="s">
        <v>29485</v>
      </c>
      <c r="C23424" s="5" t="str">
        <f>IFERROR(__xludf.DUMMYFUNCTION("GOOGLETRANSLATE(B23424,""en"",""it"")"),"Vengono mostrate più persone lanciando dardo mentre i due continuano a parlare e l'uomo punta alla tavola.")</f>
        <v>Vengono mostrate più persone lanciando dardo mentre i due continuano a parlare e l'uomo punta alla tavola.</v>
      </c>
    </row>
    <row r="23425">
      <c r="A23425" s="4" t="s">
        <v>29486</v>
      </c>
      <c r="B23425" s="6" t="s">
        <v>29487</v>
      </c>
      <c r="C23425" s="5" t="str">
        <f>IFERROR(__xludf.DUMMYFUNCTION("GOOGLETRANSLATE(B23425,""en"",""it"")"),"La telecamera si panoramica attorno a diversi gruppi di persone si vedono eseguire arti marziali l'una verso l'altra e le persone che camminano e guardano.")</f>
        <v>La telecamera si panoramica attorno a diversi gruppi di persone si vedono eseguire arti marziali l'una verso l'altra e le persone che camminano e guardano.</v>
      </c>
    </row>
    <row r="23426">
      <c r="A23426" s="4" t="s">
        <v>29486</v>
      </c>
      <c r="B23426" s="6" t="s">
        <v>29488</v>
      </c>
      <c r="C23426" s="5" t="str">
        <f>IFERROR(__xludf.DUMMYFUNCTION("GOOGLETRANSLATE(B23426,""en"",""it"")"),"Vengono mostrati molti scatti di persone che ballano e cantano, oltre a esibire arti marziali per le strade e si aiutano a vicenda.")</f>
        <v>Vengono mostrati molti scatti di persone che ballano e cantano, oltre a esibire arti marziali per le strade e si aiutano a vicenda.</v>
      </c>
    </row>
    <row r="23427">
      <c r="A23427" s="4" t="s">
        <v>29486</v>
      </c>
      <c r="B23427" s="6" t="s">
        <v>29489</v>
      </c>
      <c r="C23427" s="5" t="str">
        <f>IFERROR(__xludf.DUMMYFUNCTION("GOOGLETRANSLATE(B23427,""en"",""it"")"),"Le persone sono viste suonare strumenti, leggere le notizie e esibirsi in arti marziali in tutta la strada.")</f>
        <v>Le persone sono viste suonare strumenti, leggere le notizie e esibirsi in arti marziali in tutta la strada.</v>
      </c>
    </row>
    <row r="23428">
      <c r="A23428" s="4" t="s">
        <v>29490</v>
      </c>
      <c r="B23428" s="4" t="s">
        <v>29491</v>
      </c>
      <c r="C23428" s="5" t="str">
        <f>IFERROR(__xludf.DUMMYFUNCTION("GOOGLETRANSLATE(B23428,""en"",""it"")"),"Una persona suona Tam-Tam in una stanza, l'uomo gioca principalmente sul tam-tam sul ronzio anteriore.")</f>
        <v>Una persona suona Tam-Tam in una stanza, l'uomo gioca principalmente sul tam-tam sul ronzio anteriore.</v>
      </c>
    </row>
    <row r="23429">
      <c r="A23429" s="4" t="s">
        <v>29490</v>
      </c>
      <c r="B23429" s="4" t="s">
        <v>29492</v>
      </c>
      <c r="C23429" s="5" t="str">
        <f>IFERROR(__xludf.DUMMYFUNCTION("GOOGLETRANSLATE(B23429,""en"",""it"")"),"Una mano passa davanti allo schermo.")</f>
        <v>Una mano passa davanti allo schermo.</v>
      </c>
    </row>
    <row r="23430">
      <c r="A23430" s="4" t="s">
        <v>29490</v>
      </c>
      <c r="B23430" s="4" t="s">
        <v>29493</v>
      </c>
      <c r="C23430" s="5" t="str">
        <f>IFERROR(__xludf.DUMMYFUNCTION("GOOGLETRANSLATE(B23430,""en"",""it"")"),"La persona estende il braccio sul tam-tam.")</f>
        <v>La persona estende il braccio sul tam-tam.</v>
      </c>
    </row>
    <row r="23431">
      <c r="A23431" s="4" t="s">
        <v>29494</v>
      </c>
      <c r="B23431" s="4" t="s">
        <v>29495</v>
      </c>
      <c r="C23431" s="5" t="str">
        <f>IFERROR(__xludf.DUMMYFUNCTION("GOOGLETRANSLATE(B23431,""en"",""it"")"),"Un uomo salta giù dal cavallo marrone e all'inizio lassa il toro a terra.")</f>
        <v>Un uomo salta giù dal cavallo marrone e all'inizio lassa il toro a terra.</v>
      </c>
    </row>
    <row r="23432">
      <c r="A23432" s="4" t="s">
        <v>29494</v>
      </c>
      <c r="B23432" s="4" t="s">
        <v>29496</v>
      </c>
      <c r="C23432" s="5" t="str">
        <f>IFERROR(__xludf.DUMMYFUNCTION("GOOGLETRANSLATE(B23432,""en"",""it"")"),"Poi sale su un altro cavallo e lassos un toro più grande dell'ultimo a terra.")</f>
        <v>Poi sale su un altro cavallo e lassos un toro più grande dell'ultimo a terra.</v>
      </c>
    </row>
    <row r="23433">
      <c r="A23433" s="4" t="s">
        <v>29494</v>
      </c>
      <c r="B23433" s="4" t="s">
        <v>29497</v>
      </c>
      <c r="C23433" s="5" t="str">
        <f>IFERROR(__xludf.DUMMYFUNCTION("GOOGLETRANSLATE(B23433,""en"",""it"")"),"Quando ha finito di legare insieme le gambe del toro, si alza e si allontana.")</f>
        <v>Quando ha finito di legare insieme le gambe del toro, si alza e si allontana.</v>
      </c>
    </row>
    <row r="23434">
      <c r="A23434" s="4" t="s">
        <v>29498</v>
      </c>
      <c r="B23434" s="4" t="s">
        <v>29499</v>
      </c>
      <c r="C23434" s="5" t="str">
        <f>IFERROR(__xludf.DUMMYFUNCTION("GOOGLETRANSLATE(B23434,""en"",""it"")"),"Un gioco di cricket viene giocato tra due squadre di fronte a una folla di persone.")</f>
        <v>Un gioco di cricket viene giocato tra due squadre di fronte a una folla di persone.</v>
      </c>
    </row>
    <row r="23435">
      <c r="A23435" s="4" t="s">
        <v>29498</v>
      </c>
      <c r="B23435" s="4" t="s">
        <v>29500</v>
      </c>
      <c r="C23435" s="5" t="str">
        <f>IFERROR(__xludf.DUMMYFUNCTION("GOOGLETRANSLATE(B23435,""en"",""it"")"),"Il primo gioco è stato realizzato e i commentatori raccontano la commedia.")</f>
        <v>Il primo gioco è stato realizzato e i commentatori raccontano la commedia.</v>
      </c>
    </row>
    <row r="23436">
      <c r="A23436" s="4" t="s">
        <v>29498</v>
      </c>
      <c r="B23436" s="4" t="s">
        <v>29501</v>
      </c>
      <c r="C23436" s="5" t="str">
        <f>IFERROR(__xludf.DUMMYFUNCTION("GOOGLETRANSLATE(B23436,""en"",""it"")"),"Quindi, viene avviato un replay della commedia precedente mentre i commentatori lo narrano.")</f>
        <v>Quindi, viene avviato un replay della commedia precedente mentre i commentatori lo narrano.</v>
      </c>
    </row>
    <row r="23437">
      <c r="A23437" s="4" t="s">
        <v>29498</v>
      </c>
      <c r="B23437" s="4" t="s">
        <v>29502</v>
      </c>
      <c r="C23437" s="5" t="str">
        <f>IFERROR(__xludf.DUMMYFUNCTION("GOOGLETRANSLATE(B23437,""en"",""it"")"),"La telecamera si taglia a un uomo che ride di un errore commesso nella commedia.")</f>
        <v>La telecamera si taglia a un uomo che ride di un errore commesso nella commedia.</v>
      </c>
    </row>
    <row r="23438">
      <c r="A23438" s="4" t="s">
        <v>29503</v>
      </c>
      <c r="B23438" s="4" t="s">
        <v>29504</v>
      </c>
      <c r="C23438" s="5" t="str">
        <f>IFERROR(__xludf.DUMMYFUNCTION("GOOGLETRANSLATE(B23438,""en"",""it"")"),"Il video conduce in diverse clip di persone che eseguono trucchi di skateboard in luoghi pubblici.")</f>
        <v>Il video conduce in diverse clip di persone che eseguono trucchi di skateboard in luoghi pubblici.</v>
      </c>
    </row>
    <row r="23439">
      <c r="A23439" s="4" t="s">
        <v>29503</v>
      </c>
      <c r="B23439" s="4" t="s">
        <v>29505</v>
      </c>
      <c r="C23439" s="5" t="str">
        <f>IFERROR(__xludf.DUMMYFUNCTION("GOOGLETRANSLATE(B23439,""en"",""it"")"),"Vengono mostrate molte altre clip di persone che cavalcano su skateboard che fanno giri e trucchi.")</f>
        <v>Vengono mostrate molte altre clip di persone che cavalcano su skateboard che fanno giri e trucchi.</v>
      </c>
    </row>
    <row r="23440">
      <c r="A23440" s="4" t="s">
        <v>29506</v>
      </c>
      <c r="B23440" s="4" t="s">
        <v>29507</v>
      </c>
      <c r="C23440" s="5" t="str">
        <f>IFERROR(__xludf.DUMMYFUNCTION("GOOGLETRANSLATE(B23440,""en"",""it"")"),"L'elefante sta camminando in un piccolo pozzo d'acqua giocando con una palla.")</f>
        <v>L'elefante sta camminando in un piccolo pozzo d'acqua giocando con una palla.</v>
      </c>
    </row>
    <row r="23441">
      <c r="A23441" s="4" t="s">
        <v>29506</v>
      </c>
      <c r="B23441" s="4" t="s">
        <v>29508</v>
      </c>
      <c r="C23441" s="5" t="str">
        <f>IFERROR(__xludf.DUMMYFUNCTION("GOOGLETRANSLATE(B23441,""en"",""it"")"),"La donna sta parlando nella telecamera e l'elefante è di nuovo nell'acqua che gioca con la palla.")</f>
        <v>La donna sta parlando nella telecamera e l'elefante è di nuovo nell'acqua che gioca con la palla.</v>
      </c>
    </row>
    <row r="23442">
      <c r="A23442" s="4" t="s">
        <v>29506</v>
      </c>
      <c r="B23442" s="4" t="s">
        <v>29509</v>
      </c>
      <c r="C23442" s="5" t="str">
        <f>IFERROR(__xludf.DUMMYFUNCTION("GOOGLETRANSLATE(B23442,""en"",""it"")"),"Il piccolo elefante sta giocando con una grande palla blu.")</f>
        <v>Il piccolo elefante sta giocando con una grande palla blu.</v>
      </c>
    </row>
    <row r="23443">
      <c r="A23443" s="4" t="s">
        <v>29510</v>
      </c>
      <c r="B23443" s="4" t="s">
        <v>29511</v>
      </c>
      <c r="C23443" s="5" t="str">
        <f>IFERROR(__xludf.DUMMYFUNCTION("GOOGLETRANSLATE(B23443,""en"",""it"")"),"Una ragazza è in piedi in un lavandino, lavando i piatti e giocando in acqua.")</f>
        <v>Una ragazza è in piedi in un lavandino, lavando i piatti e giocando in acqua.</v>
      </c>
    </row>
    <row r="23444">
      <c r="A23444" s="4" t="s">
        <v>29510</v>
      </c>
      <c r="B23444" s="4" t="s">
        <v>29512</v>
      </c>
      <c r="C23444" s="5" t="str">
        <f>IFERROR(__xludf.DUMMYFUNCTION("GOOGLETRANSLATE(B23444,""en"",""it"")"),"Sorride mentre sciacquare una ciotola di plastica.")</f>
        <v>Sorride mentre sciacquare una ciotola di plastica.</v>
      </c>
    </row>
    <row r="23445">
      <c r="A23445" s="4" t="s">
        <v>29510</v>
      </c>
      <c r="B23445" s="4" t="s">
        <v>29513</v>
      </c>
      <c r="C23445" s="5" t="str">
        <f>IFERROR(__xludf.DUMMYFUNCTION("GOOGLETRANSLATE(B23445,""en"",""it"")"),"Si avvicina alla telecamera a parlare e ridendo prima di lasciare la stanza con suo fratello.")</f>
        <v>Si avvicina alla telecamera a parlare e ridendo prima di lasciare la stanza con suo fratello.</v>
      </c>
    </row>
    <row r="23446">
      <c r="A23446" s="4" t="s">
        <v>29514</v>
      </c>
      <c r="B23446" s="4" t="s">
        <v>1487</v>
      </c>
      <c r="C23446" s="5" t="str">
        <f>IFERROR(__xludf.DUMMYFUNCTION("GOOGLETRANSLATE(B23446,""en"",""it"")"),"Vediamo una schermata del titolo di apertura.")</f>
        <v>Vediamo una schermata del titolo di apertura.</v>
      </c>
    </row>
    <row r="23447">
      <c r="A23447" s="4" t="s">
        <v>29514</v>
      </c>
      <c r="B23447" s="4" t="s">
        <v>29515</v>
      </c>
      <c r="C23447" s="5" t="str">
        <f>IFERROR(__xludf.DUMMYFUNCTION("GOOGLETRANSLATE(B23447,""en"",""it"")"),"Un uomo mette in bocca un mucchio di marshmallow.")</f>
        <v>Un uomo mette in bocca un mucchio di marshmallow.</v>
      </c>
    </row>
    <row r="23448">
      <c r="A23448" s="4" t="s">
        <v>29514</v>
      </c>
      <c r="B23448" s="4" t="s">
        <v>29516</v>
      </c>
      <c r="C23448" s="5" t="str">
        <f>IFERROR(__xludf.DUMMYFUNCTION("GOOGLETRANSLATE(B23448,""en"",""it"")"),"Un uomo fa un falò e suggerimenti lampeggia sullo schermo.")</f>
        <v>Un uomo fa un falò e suggerimenti lampeggia sullo schermo.</v>
      </c>
    </row>
    <row r="23449">
      <c r="A23449" s="4" t="s">
        <v>29514</v>
      </c>
      <c r="B23449" s="4" t="s">
        <v>29517</v>
      </c>
      <c r="C23449" s="5" t="str">
        <f>IFERROR(__xludf.DUMMYFUNCTION("GOOGLETRANSLATE(B23449,""en"",""it"")"),"L'uomo scava un buco messo le pietre attorno a esso e raccoglie legna da ardere.")</f>
        <v>L'uomo scava un buco messo le pietre attorno a esso e raccoglie legna da ardere.</v>
      </c>
    </row>
    <row r="23450">
      <c r="A23450" s="4" t="s">
        <v>29514</v>
      </c>
      <c r="B23450" s="4" t="s">
        <v>29518</v>
      </c>
      <c r="C23450" s="5" t="str">
        <f>IFERROR(__xludf.DUMMYFUNCTION("GOOGLETRANSLATE(B23450,""en"",""it"")"),"Mette il legno in un triangolo nella fossa e tronchi all'esterno.")</f>
        <v>Mette il legno in un triangolo nella fossa e tronchi all'esterno.</v>
      </c>
    </row>
    <row r="23451">
      <c r="A23451" s="4" t="s">
        <v>29514</v>
      </c>
      <c r="B23451" s="4" t="s">
        <v>29519</v>
      </c>
      <c r="C23451" s="5" t="str">
        <f>IFERROR(__xludf.DUMMYFUNCTION("GOOGLETRANSLATE(B23451,""en"",""it"")"),"L'uomo accende il fuoco e aggiunge qualche altro pezzi di legno.")</f>
        <v>L'uomo accende il fuoco e aggiunge qualche altro pezzi di legno.</v>
      </c>
    </row>
    <row r="23452">
      <c r="A23452" s="4" t="s">
        <v>29514</v>
      </c>
      <c r="B23452" s="4" t="s">
        <v>777</v>
      </c>
      <c r="C23452" s="5" t="str">
        <f>IFERROR(__xludf.DUMMYFUNCTION("GOOGLETRANSLATE(B23452,""en"",""it"")"),"Vediamo la schermata del titolo finale.")</f>
        <v>Vediamo la schermata del titolo finale.</v>
      </c>
    </row>
    <row r="23453">
      <c r="A23453" s="4" t="s">
        <v>29520</v>
      </c>
      <c r="B23453" s="4" t="s">
        <v>29521</v>
      </c>
      <c r="C23453" s="5" t="str">
        <f>IFERROR(__xludf.DUMMYFUNCTION("GOOGLETRANSLATE(B23453,""en"",""it"")"),"L'uomo è in piedi davanti a uno specchio con in mano una fotocamera.")</f>
        <v>L'uomo è in piedi davanti a uno specchio con in mano una fotocamera.</v>
      </c>
    </row>
    <row r="23454">
      <c r="A23454" s="4" t="s">
        <v>29520</v>
      </c>
      <c r="B23454" s="6" t="s">
        <v>29522</v>
      </c>
      <c r="C23454" s="5" t="str">
        <f>IFERROR(__xludf.DUMMYFUNCTION("GOOGLETRANSLATE(B23454,""en"",""it"")"),"La donna entra in bagno che caricando un gatto bianco e l'uomo si inginocchia in modo che il gatto possa stare sulla schiena.")</f>
        <v>La donna entra in bagno che caricando un gatto bianco e l'uomo si inginocchia in modo che il gatto possa stare sulla schiena.</v>
      </c>
    </row>
    <row r="23455">
      <c r="A23455" s="4" t="s">
        <v>29520</v>
      </c>
      <c r="B23455" s="6" t="s">
        <v>29523</v>
      </c>
      <c r="C23455" s="5" t="str">
        <f>IFERROR(__xludf.DUMMYFUNCTION("GOOGLETRANSLATE(B23455,""en"",""it"")"),"La donna lascia il bagno e l'uomo continua a registrarsi facendo pose davanti alla telecamera e parlando da solo allo specchio.")</f>
        <v>La donna lascia il bagno e l'uomo continua a registrarsi facendo pose davanti alla telecamera e parlando da solo allo specchio.</v>
      </c>
    </row>
    <row r="23456">
      <c r="A23456" s="4" t="s">
        <v>29520</v>
      </c>
      <c r="B23456" s="4" t="s">
        <v>29524</v>
      </c>
      <c r="C23456" s="5" t="str">
        <f>IFERROR(__xludf.DUMMYFUNCTION("GOOGLETRANSLATE(B23456,""en"",""it"")"),"L'uomo entra in camera da letto e la donna è seduta nel letto con in mano il gatto.")</f>
        <v>L'uomo entra in camera da letto e la donna è seduta nel letto con in mano il gatto.</v>
      </c>
    </row>
    <row r="23457">
      <c r="A23457" s="4" t="s">
        <v>29520</v>
      </c>
      <c r="B23457" s="6" t="s">
        <v>29525</v>
      </c>
      <c r="C23457" s="5" t="str">
        <f>IFERROR(__xludf.DUMMYFUNCTION("GOOGLETRANSLATE(B23457,""en"",""it"")"),"L'uomo è di nuovo in bagno con in mano un coltello e la donna entra nella stanza con una sciarpa posteriore intorno alla testa.")</f>
        <v>L'uomo è di nuovo in bagno con in mano un coltello e la donna entra nella stanza con una sciarpa posteriore intorno alla testa.</v>
      </c>
    </row>
    <row r="23458">
      <c r="A23458" s="4" t="s">
        <v>29520</v>
      </c>
      <c r="B23458" s="4" t="s">
        <v>29526</v>
      </c>
      <c r="C23458" s="5" t="str">
        <f>IFERROR(__xludf.DUMMYFUNCTION("GOOGLETRANSLATE(B23458,""en"",""it"")"),"Stanno guidando la macchina e sono parcheggiati nel parcheggio innevato.")</f>
        <v>Stanno guidando la macchina e sono parcheggiati nel parcheggio innevato.</v>
      </c>
    </row>
    <row r="23459">
      <c r="A23459" s="4" t="s">
        <v>29520</v>
      </c>
      <c r="B23459" s="4" t="s">
        <v>29527</v>
      </c>
      <c r="C23459" s="5" t="str">
        <f>IFERROR(__xludf.DUMMYFUNCTION("GOOGLETRANSLATE(B23459,""en"",""it"")"),"Eners in un ristorante e se ne va e camminano di nuovo in macchina.")</f>
        <v>Eners in un ristorante e se ne va e camminano di nuovo in macchina.</v>
      </c>
    </row>
    <row r="23460">
      <c r="A23460" s="4" t="s">
        <v>29520</v>
      </c>
      <c r="B23460" s="6" t="s">
        <v>29528</v>
      </c>
      <c r="C23460" s="5" t="str">
        <f>IFERROR(__xludf.DUMMYFUNCTION("GOOGLETRANSLATE(B23460,""en"",""it"")"),"La donna sale in macchina e l'uomo apre la porta e afferra un po 'di pennello e pulisce il parabrezza e la donna fa lo stesso e gioca con l'uomo.")</f>
        <v>La donna sale in macchina e l'uomo apre la porta e afferra un po 'di pennello e pulisce il parabrezza e la donna fa lo stesso e gioca con l'uomo.</v>
      </c>
    </row>
    <row r="23461">
      <c r="A23461" s="4" t="s">
        <v>29529</v>
      </c>
      <c r="B23461" s="6" t="s">
        <v>29530</v>
      </c>
      <c r="C23461" s="5" t="str">
        <f>IFERROR(__xludf.DUMMYFUNCTION("GOOGLETRANSLATE(B23461,""en"",""it"")"),"Una donna viene vista spingere un disco lungo il ghiaccio con gli altri seguito da un uomo che parla alla telecamera.")</f>
        <v>Una donna viene vista spingere un disco lungo il ghiaccio con gli altri seguito da un uomo che parla alla telecamera.</v>
      </c>
    </row>
    <row r="23462">
      <c r="A23462" s="4" t="s">
        <v>29529</v>
      </c>
      <c r="B23462" s="6" t="s">
        <v>29531</v>
      </c>
      <c r="C23462" s="5" t="str">
        <f>IFERROR(__xludf.DUMMYFUNCTION("GOOGLETRANSLATE(B23462,""en"",""it"")"),"Vengono mostrate altre clip di persone che si arricciano sul ghiaccio mentre l'uomo continua a parlare con la telecamera e il gioco è mostrato al rallentatore.")</f>
        <v>Vengono mostrate altre clip di persone che si arricciano sul ghiaccio mentre l'uomo continua a parlare con la telecamera e il gioco è mostrato al rallentatore.</v>
      </c>
    </row>
    <row r="23463">
      <c r="A23463" s="4" t="s">
        <v>29532</v>
      </c>
      <c r="B23463" s="4" t="s">
        <v>29533</v>
      </c>
      <c r="C23463" s="5" t="str">
        <f>IFERROR(__xludf.DUMMYFUNCTION("GOOGLETRANSLATE(B23463,""en"",""it"")"),"La donna indossa una camicia rossa e sta parlando con la telecamera in una stanza bianca.")</f>
        <v>La donna indossa una camicia rossa e sta parlando con la telecamera in una stanza bianca.</v>
      </c>
    </row>
    <row r="23464">
      <c r="A23464" s="4" t="s">
        <v>29532</v>
      </c>
      <c r="B23464" s="4" t="s">
        <v>29534</v>
      </c>
      <c r="C23464" s="5" t="str">
        <f>IFERROR(__xludf.DUMMYFUNCTION("GOOGLETRANSLATE(B23464,""en"",""it"")"),"La donna inizia a ballare la salsa si avvicina a un campo di legno.")</f>
        <v>La donna inizia a ballare la salsa si avvicina a un campo di legno.</v>
      </c>
    </row>
    <row r="23465">
      <c r="A23465" s="4" t="s">
        <v>29532</v>
      </c>
      <c r="B23465" s="4" t="s">
        <v>29535</v>
      </c>
      <c r="C23465" s="5" t="str">
        <f>IFERROR(__xludf.DUMMYFUNCTION("GOOGLETRANSLATE(B23465,""en"",""it"")"),"La donna sta facendo passi di samba scuotendo il suo corpo da un lato all'altro.")</f>
        <v>La donna sta facendo passi di samba scuotendo il suo corpo da un lato all'altro.</v>
      </c>
    </row>
    <row r="23466">
      <c r="A23466" s="4" t="s">
        <v>29536</v>
      </c>
      <c r="B23466" s="4" t="s">
        <v>29537</v>
      </c>
      <c r="C23466" s="5" t="str">
        <f>IFERROR(__xludf.DUMMYFUNCTION("GOOGLETRANSLATE(B23466,""en"",""it"")"),"Un'introduzione mette in mostra un trimmer di siepe.")</f>
        <v>Un'introduzione mette in mostra un trimmer di siepe.</v>
      </c>
    </row>
    <row r="23467">
      <c r="A23467" s="4" t="s">
        <v>29536</v>
      </c>
      <c r="B23467" s="4" t="s">
        <v>29538</v>
      </c>
      <c r="C23467" s="5" t="str">
        <f>IFERROR(__xludf.DUMMYFUNCTION("GOOGLETRANSLATE(B23467,""en"",""it"")"),"Una donna esserica per parlare del trimmer di siepe.")</f>
        <v>Una donna esserica per parlare del trimmer di siepe.</v>
      </c>
    </row>
    <row r="23468">
      <c r="A23468" s="4" t="s">
        <v>29536</v>
      </c>
      <c r="B23468" s="4" t="s">
        <v>29539</v>
      </c>
      <c r="C23468" s="5" t="str">
        <f>IFERROR(__xludf.DUMMYFUNCTION("GOOGLETRANSLATE(B23468,""en"",""it"")"),"Il prodotto è mostrato in azione, tagliando un cespuglio.")</f>
        <v>Il prodotto è mostrato in azione, tagliando un cespuglio.</v>
      </c>
    </row>
    <row r="23469">
      <c r="A23469" s="4" t="s">
        <v>29536</v>
      </c>
      <c r="B23469" s="4" t="s">
        <v>29540</v>
      </c>
      <c r="C23469" s="5" t="str">
        <f>IFERROR(__xludf.DUMMYFUNCTION("GOOGLETRANSLATE(B23469,""en"",""it"")"),"La donna mostra la lama e il caricabatterie.")</f>
        <v>La donna mostra la lama e il caricabatterie.</v>
      </c>
    </row>
    <row r="23470">
      <c r="A23470" s="4" t="s">
        <v>29536</v>
      </c>
      <c r="B23470" s="4" t="s">
        <v>29541</v>
      </c>
      <c r="C23470" s="5" t="str">
        <f>IFERROR(__xludf.DUMMYFUNCTION("GOOGLETRANSLATE(B23470,""en"",""it"")"),"Vediamo di nuovo il prodotto in uso.")</f>
        <v>Vediamo di nuovo il prodotto in uso.</v>
      </c>
    </row>
    <row r="23471">
      <c r="A23471" s="4" t="s">
        <v>29536</v>
      </c>
      <c r="B23471" s="4" t="s">
        <v>29542</v>
      </c>
      <c r="C23471" s="5" t="str">
        <f>IFERROR(__xludf.DUMMYFUNCTION("GOOGLETRANSLATE(B23471,""en"",""it"")"),"La donna mostra la presa di conforto.")</f>
        <v>La donna mostra la presa di conforto.</v>
      </c>
    </row>
    <row r="23472">
      <c r="A23472" s="4" t="s">
        <v>29536</v>
      </c>
      <c r="B23472" s="4" t="s">
        <v>29543</v>
      </c>
      <c r="C23472" s="5" t="str">
        <f>IFERROR(__xludf.DUMMYFUNCTION("GOOGLETRANSLATE(B23472,""en"",""it"")"),"La donna parla di come ordinare il prodotto.")</f>
        <v>La donna parla di come ordinare il prodotto.</v>
      </c>
    </row>
    <row r="23473">
      <c r="A23473" s="4" t="s">
        <v>29544</v>
      </c>
      <c r="B23473" s="4" t="s">
        <v>29545</v>
      </c>
      <c r="C23473" s="5" t="str">
        <f>IFERROR(__xludf.DUMMYFUNCTION("GOOGLETRANSLATE(B23473,""en"",""it"")"),"Un uomo viene visto in piedi accanto all'acqua che tiene un'ascia in una mano e un blocco di legno nell'altra.")</f>
        <v>Un uomo viene visto in piedi accanto all'acqua che tiene un'ascia in una mano e un blocco di legno nell'altra.</v>
      </c>
    </row>
    <row r="23474">
      <c r="A23474" s="4" t="s">
        <v>29544</v>
      </c>
      <c r="B23474" s="6" t="s">
        <v>29546</v>
      </c>
      <c r="C23474" s="5" t="str">
        <f>IFERROR(__xludf.DUMMYFUNCTION("GOOGLETRANSLATE(B23474,""en"",""it"")"),"L'uomo continua a tagliare il legno mentre la telecamera si muove ad altre persone nella stanza e una donna che parla alla telecamera.")</f>
        <v>L'uomo continua a tagliare il legno mentre la telecamera si muove ad altre persone nella stanza e una donna che parla alla telecamera.</v>
      </c>
    </row>
    <row r="23475">
      <c r="A23475" s="4" t="s">
        <v>29547</v>
      </c>
      <c r="B23475" s="4" t="s">
        <v>29548</v>
      </c>
      <c r="C23475" s="5" t="str">
        <f>IFERROR(__xludf.DUMMYFUNCTION("GOOGLETRANSLATE(B23475,""en"",""it"")"),"Una femmina di atleta è in un campo e inizia a lanciare un tiro.")</f>
        <v>Una femmina di atleta è in un campo e inizia a lanciare un tiro.</v>
      </c>
    </row>
    <row r="23476">
      <c r="A23476" s="4" t="s">
        <v>29547</v>
      </c>
      <c r="B23476" s="6" t="s">
        <v>29549</v>
      </c>
      <c r="C23476" s="5" t="str">
        <f>IFERROR(__xludf.DUMMYFUNCTION("GOOGLETRANSLATE(B23476,""en"",""it"")"),"La signora gira e gira al rallentatore mentre le parole sono mostrate nella parte superiore descrivendo ogni fase necessaria per lanciare un colpo messo con successo.")</f>
        <v>La signora gira e gira al rallentatore mentre le parole sono mostrate nella parte superiore descrivendo ogni fase necessaria per lanciare un colpo messo con successo.</v>
      </c>
    </row>
    <row r="23477">
      <c r="A23477" s="4" t="s">
        <v>29550</v>
      </c>
      <c r="B23477" s="4" t="s">
        <v>29551</v>
      </c>
      <c r="C23477" s="5" t="str">
        <f>IFERROR(__xludf.DUMMYFUNCTION("GOOGLETRANSLATE(B23477,""en"",""it"")"),"Vediamo un uomo che si esibisce lentamente Tai Chi.")</f>
        <v>Vediamo un uomo che si esibisce lentamente Tai Chi.</v>
      </c>
    </row>
    <row r="23478">
      <c r="A23478" s="4" t="s">
        <v>29550</v>
      </c>
      <c r="B23478" s="4" t="s">
        <v>29552</v>
      </c>
      <c r="C23478" s="5" t="str">
        <f>IFERROR(__xludf.DUMMYFUNCTION("GOOGLETRANSLATE(B23478,""en"",""it"")"),"Un banner bianco scorre sul fondo.")</f>
        <v>Un banner bianco scorre sul fondo.</v>
      </c>
    </row>
    <row r="23479">
      <c r="A23479" s="4" t="s">
        <v>29550</v>
      </c>
      <c r="B23479" s="4" t="s">
        <v>29553</v>
      </c>
      <c r="C23479" s="5" t="str">
        <f>IFERROR(__xludf.DUMMYFUNCTION("GOOGLETRANSLATE(B23479,""en"",""it"")"),"L'uomo solleva le gambe davanti a lui, poi calcia.")</f>
        <v>L'uomo solleva le gambe davanti a lui, poi calcia.</v>
      </c>
    </row>
    <row r="23480">
      <c r="A23480" s="4" t="s">
        <v>29550</v>
      </c>
      <c r="B23480" s="4" t="s">
        <v>29554</v>
      </c>
      <c r="C23480" s="5" t="str">
        <f>IFERROR(__xludf.DUMMYFUNCTION("GOOGLETRANSLATE(B23480,""en"",""it"")"),"L'uomo si ferma e si ferma.")</f>
        <v>L'uomo si ferma e si ferma.</v>
      </c>
    </row>
    <row r="23481">
      <c r="A23481" s="4" t="s">
        <v>29555</v>
      </c>
      <c r="B23481" s="4" t="s">
        <v>29556</v>
      </c>
      <c r="C23481" s="5" t="str">
        <f>IFERROR(__xludf.DUMMYFUNCTION("GOOGLETRANSLATE(B23481,""en"",""it"")"),"Viene vista una donna tirare un pezzo di attrezzatura da esercizio mentre lotta per farlo muoversi.")</f>
        <v>Viene vista una donna tirare un pezzo di attrezzatura da esercizio mentre lotta per farlo muoversi.</v>
      </c>
    </row>
    <row r="23482">
      <c r="A23482" s="4" t="s">
        <v>29555</v>
      </c>
      <c r="B23482" s="4" t="s">
        <v>29557</v>
      </c>
      <c r="C23482" s="5" t="str">
        <f>IFERROR(__xludf.DUMMYFUNCTION("GOOGLETRANSLATE(B23482,""en"",""it"")"),"Muove il tappeto sotto di lei e poi è in grado di tirare indietro il bar e quarto verso di lei.")</f>
        <v>Muove il tappeto sotto di lei e poi è in grado di tirare indietro il bar e quarto verso di lei.</v>
      </c>
    </row>
    <row r="23483">
      <c r="A23483" s="4" t="s">
        <v>29558</v>
      </c>
      <c r="B23483" s="4" t="s">
        <v>29559</v>
      </c>
      <c r="C23483" s="5" t="str">
        <f>IFERROR(__xludf.DUMMYFUNCTION("GOOGLETRANSLATE(B23483,""en"",""it"")"),"Un giovane in un festival all'aperto sta facendo trucchi di corda davanti a una folla.")</f>
        <v>Un giovane in un festival all'aperto sta facendo trucchi di corda davanti a una folla.</v>
      </c>
    </row>
    <row r="23484">
      <c r="A23484" s="4" t="s">
        <v>29558</v>
      </c>
      <c r="B23484" s="6" t="s">
        <v>29560</v>
      </c>
      <c r="C23484" s="5" t="str">
        <f>IFERROR(__xludf.DUMMYFUNCTION("GOOGLETRANSLATE(B23484,""en"",""it"")"),"Il giovane fa vari trucchi rimbalzanti e bilancianti su una corda stretta a pochi metri sopra i tappetini neri.")</f>
        <v>Il giovane fa vari trucchi rimbalzanti e bilancianti su una corda stretta a pochi metri sopra i tappetini neri.</v>
      </c>
    </row>
    <row r="23485">
      <c r="A23485" s="4" t="s">
        <v>29558</v>
      </c>
      <c r="B23485" s="4" t="s">
        <v>29561</v>
      </c>
      <c r="C23485" s="5" t="str">
        <f>IFERROR(__xludf.DUMMYFUNCTION("GOOGLETRANSLATE(B23485,""en"",""it"")"),"Scendi dalla corda e cammina sui tappetini dal pavimento e verso il suo gruppo.")</f>
        <v>Scendi dalla corda e cammina sui tappetini dal pavimento e verso il suo gruppo.</v>
      </c>
    </row>
    <row r="23486">
      <c r="A23486" s="4" t="s">
        <v>29562</v>
      </c>
      <c r="B23486" s="4" t="s">
        <v>29563</v>
      </c>
      <c r="C23486" s="5" t="str">
        <f>IFERROR(__xludf.DUMMYFUNCTION("GOOGLETRANSLATE(B23486,""en"",""it"")"),"Una donna è vista seduta su una sedia mentre un uomo usa vari strumenti per perforare l'orecchio.")</f>
        <v>Una donna è vista seduta su una sedia mentre un uomo usa vari strumenti per perforare l'orecchio.</v>
      </c>
    </row>
    <row r="23487">
      <c r="A23487" s="4" t="s">
        <v>29562</v>
      </c>
      <c r="B23487" s="4" t="s">
        <v>29564</v>
      </c>
      <c r="C23487" s="5" t="str">
        <f>IFERROR(__xludf.DUMMYFUNCTION("GOOGLETRANSLATE(B23487,""en"",""it"")"),"L'uomo finisce il piercing e la ragazza inizia a girare alla fine.")</f>
        <v>L'uomo finisce il piercing e la ragazza inizia a girare alla fine.</v>
      </c>
    </row>
    <row r="23488">
      <c r="A23488" s="4" t="s">
        <v>29565</v>
      </c>
      <c r="B23488" s="4" t="s">
        <v>29566</v>
      </c>
      <c r="C23488" s="5" t="str">
        <f>IFERROR(__xludf.DUMMYFUNCTION("GOOGLETRANSLATE(B23488,""en"",""it"")"),"L'uomo è in piedi in un campo di fronte ai bambini e sta camminando mostrando come segnare un cestino.")</f>
        <v>L'uomo è in piedi in un campo di fronte ai bambini e sta camminando mostrando come segnare un cestino.</v>
      </c>
    </row>
    <row r="23489">
      <c r="A23489" s="4" t="s">
        <v>29565</v>
      </c>
      <c r="B23489" s="6" t="s">
        <v>29567</v>
      </c>
      <c r="C23489" s="5" t="str">
        <f>IFERROR(__xludf.DUMMYFUNCTION("GOOGLETRANSLATE(B23489,""en"",""it"")"),"L'uomo lancia la palla con qualcuno dall'altra parte del campo e si sdraia e i bambini dietro di lui in campo fanno lo stesso.")</f>
        <v>L'uomo lancia la palla con qualcuno dall'altra parte del campo e si sdraia e i bambini dietro di lui in campo fanno lo stesso.</v>
      </c>
    </row>
    <row r="23490">
      <c r="A23490" s="4" t="s">
        <v>29565</v>
      </c>
      <c r="B23490" s="4" t="s">
        <v>29568</v>
      </c>
      <c r="C23490" s="5" t="str">
        <f>IFERROR(__xludf.DUMMYFUNCTION("GOOGLETRANSLATE(B23490,""en"",""it"")"),"L'erogatore del sistema operativo che ha fatto la ragazza per catturare la palla e correre.")</f>
        <v>L'erogatore del sistema operativo che ha fatto la ragazza per catturare la palla e correre.</v>
      </c>
    </row>
    <row r="23491">
      <c r="A23491" s="4" t="s">
        <v>29565</v>
      </c>
      <c r="B23491" s="4" t="s">
        <v>29569</v>
      </c>
      <c r="C23491" s="5" t="str">
        <f>IFERROR(__xludf.DUMMYFUNCTION("GOOGLETRANSLATE(B23491,""en"",""it"")"),"Il bambino fa un tiro e poi segna un cestino e i bambini dietro di lei continuano a fare lo stesso.")</f>
        <v>Il bambino fa un tiro e poi segna un cestino e i bambini dietro di lei continuano a fare lo stesso.</v>
      </c>
    </row>
    <row r="23492">
      <c r="A23492" s="4" t="s">
        <v>29570</v>
      </c>
      <c r="B23492" s="4" t="s">
        <v>29571</v>
      </c>
      <c r="C23492" s="5" t="str">
        <f>IFERROR(__xludf.DUMMYFUNCTION("GOOGLETRANSLATE(B23492,""en"",""it"")"),"Il sole sorge sulle colline.")</f>
        <v>Il sole sorge sulle colline.</v>
      </c>
    </row>
    <row r="23493">
      <c r="A23493" s="4" t="s">
        <v>29570</v>
      </c>
      <c r="B23493" s="4" t="s">
        <v>29572</v>
      </c>
      <c r="C23493" s="5" t="str">
        <f>IFERROR(__xludf.DUMMYFUNCTION("GOOGLETRANSLATE(B23493,""en"",""it"")"),"Un uomo in pantaloncini cammina.")</f>
        <v>Un uomo in pantaloncini cammina.</v>
      </c>
    </row>
    <row r="23494">
      <c r="A23494" s="4" t="s">
        <v>29570</v>
      </c>
      <c r="B23494" s="4" t="s">
        <v>29573</v>
      </c>
      <c r="C23494" s="5" t="str">
        <f>IFERROR(__xludf.DUMMYFUNCTION("GOOGLETRANSLATE(B23494,""en"",""it"")"),"Afferra la sua tavola e la mette in acqua.")</f>
        <v>Afferra la sua tavola e la mette in acqua.</v>
      </c>
    </row>
    <row r="23495">
      <c r="A23495" s="4" t="s">
        <v>29570</v>
      </c>
      <c r="B23495" s="4" t="s">
        <v>29574</v>
      </c>
      <c r="C23495" s="5" t="str">
        <f>IFERROR(__xludf.DUMMYFUNCTION("GOOGLETRANSLATE(B23495,""en"",""it"")"),"L'uomo si arrampica sulla tavola e naviga.")</f>
        <v>L'uomo si arrampica sulla tavola e naviga.</v>
      </c>
    </row>
    <row r="23496">
      <c r="A23496" s="4" t="s">
        <v>29575</v>
      </c>
      <c r="B23496" s="4" t="s">
        <v>29576</v>
      </c>
      <c r="C23496" s="5" t="str">
        <f>IFERROR(__xludf.DUMMYFUNCTION("GOOGLETRANSLATE(B23496,""en"",""it"")"),"Un uomo raccoglie un peso sopra la testa e lo lascia cadere a terra.")</f>
        <v>Un uomo raccoglie un peso sopra la testa e lo lascia cadere a terra.</v>
      </c>
    </row>
    <row r="23497">
      <c r="A23497" s="4" t="s">
        <v>29575</v>
      </c>
      <c r="B23497" s="4" t="s">
        <v>29577</v>
      </c>
      <c r="C23497" s="5" t="str">
        <f>IFERROR(__xludf.DUMMYFUNCTION("GOOGLETRANSLATE(B23497,""en"",""it"")"),"Un uomo raccoglie un bar e lo solleva più volte.")</f>
        <v>Un uomo raccoglie un bar e lo solleva più volte.</v>
      </c>
    </row>
    <row r="23498">
      <c r="A23498" s="4" t="s">
        <v>29575</v>
      </c>
      <c r="B23498" s="4" t="s">
        <v>29578</v>
      </c>
      <c r="C23498" s="5" t="str">
        <f>IFERROR(__xludf.DUMMYFUNCTION("GOOGLETRANSLATE(B23498,""en"",""it"")"),"Un uomo con una camicia nera è in piedi accanto a lui.")</f>
        <v>Un uomo con una camicia nera è in piedi accanto a lui.</v>
      </c>
    </row>
    <row r="23499">
      <c r="A23499" s="4" t="s">
        <v>29575</v>
      </c>
      <c r="B23499" s="4" t="s">
        <v>29579</v>
      </c>
      <c r="C23499" s="5" t="str">
        <f>IFERROR(__xludf.DUMMYFUNCTION("GOOGLETRANSLATE(B23499,""en"",""it"")"),"Un altro uomo sta accanto a lui e solleva un bar con lui.")</f>
        <v>Un altro uomo sta accanto a lui e solleva un bar con lui.</v>
      </c>
    </row>
    <row r="23500">
      <c r="A23500" s="4" t="s">
        <v>29580</v>
      </c>
      <c r="B23500" s="6" t="s">
        <v>29581</v>
      </c>
      <c r="C23500" s="5" t="str">
        <f>IFERROR(__xludf.DUMMYFUNCTION("GOOGLETRANSLATE(B23500,""en"",""it"")"),"C'è una bambina che scivola lentamente sul lato con il comfort di tenere la mano di sua madre, la prima volta che è caduta.")</f>
        <v>C'è una bambina che scivola lentamente sul lato con il comfort di tenere la mano di sua madre, la prima volta che è caduta.</v>
      </c>
    </row>
    <row r="23501">
      <c r="A23501" s="4" t="s">
        <v>29580</v>
      </c>
      <c r="B23501" s="4" t="s">
        <v>29582</v>
      </c>
      <c r="C23501" s="5" t="str">
        <f>IFERROR(__xludf.DUMMYFUNCTION("GOOGLETRANSLATE(B23501,""en"",""it"")"),"La seconda volta è scesa sulla pancia senza aiuto.")</f>
        <v>La seconda volta è scesa sulla pancia senza aiuto.</v>
      </c>
    </row>
    <row r="23502">
      <c r="A23502" s="4" t="s">
        <v>29583</v>
      </c>
      <c r="B23502" s="4" t="s">
        <v>29584</v>
      </c>
      <c r="C23502" s="5" t="str">
        <f>IFERROR(__xludf.DUMMYFUNCTION("GOOGLETRANSLATE(B23502,""en"",""it"")"),"Ci sono due campeggi in inverno per una battuta di pesca sul ghiaccio.")</f>
        <v>Ci sono due campeggi in inverno per una battuta di pesca sul ghiaccio.</v>
      </c>
    </row>
    <row r="23503">
      <c r="A23503" s="4" t="s">
        <v>29583</v>
      </c>
      <c r="B23503" s="4" t="s">
        <v>29585</v>
      </c>
      <c r="C23503" s="5" t="str">
        <f>IFERROR(__xludf.DUMMYFUNCTION("GOOGLETRANSLATE(B23503,""en"",""it"")"),"Uno degli uomini esce dalla sua tenda da campeggio con un pesce in mano.")</f>
        <v>Uno degli uomini esce dalla sua tenda da campeggio con un pesce in mano.</v>
      </c>
    </row>
    <row r="23504">
      <c r="A23504" s="4" t="s">
        <v>29583</v>
      </c>
      <c r="B23504" s="4" t="s">
        <v>29586</v>
      </c>
      <c r="C23504" s="5" t="str">
        <f>IFERROR(__xludf.DUMMYFUNCTION("GOOGLETRANSLATE(B23504,""en"",""it"")"),"I due uomini sono seduti nella loro tenda a turno, pescando attraverso un buco nel lago congelato.")</f>
        <v>I due uomini sono seduti nella loro tenda a turno, pescando attraverso un buco nel lago congelato.</v>
      </c>
    </row>
    <row r="23505">
      <c r="A23505" s="4" t="s">
        <v>29583</v>
      </c>
      <c r="B23505" s="4" t="s">
        <v>29587</v>
      </c>
      <c r="C23505" s="5" t="str">
        <f>IFERROR(__xludf.DUMMYFUNCTION("GOOGLETRANSLATE(B23505,""en"",""it"")"),"Sono pazientemente seduti con le canne da pesca fino a quando non pescano il pesce di medie dimensioni dai buchi.")</f>
        <v>Sono pazientemente seduti con le canne da pesca fino a quando non pescano il pesce di medie dimensioni dai buchi.</v>
      </c>
    </row>
    <row r="23506">
      <c r="A23506" s="4" t="s">
        <v>29583</v>
      </c>
      <c r="B23506" s="4" t="s">
        <v>29588</v>
      </c>
      <c r="C23506" s="5" t="str">
        <f>IFERROR(__xludf.DUMMYFUNCTION("GOOGLETRANSLATE(B23506,""en"",""it"")"),"Mostrano il tipo di pesce che hanno trovato mentre lo dispongono sul terreno congelato.")</f>
        <v>Mostrano il tipo di pesce che hanno trovato mentre lo dispongono sul terreno congelato.</v>
      </c>
    </row>
    <row r="23507">
      <c r="A23507" s="4" t="s">
        <v>29583</v>
      </c>
      <c r="B23507" s="4" t="s">
        <v>29589</v>
      </c>
      <c r="C23507" s="5" t="str">
        <f>IFERROR(__xludf.DUMMYFUNCTION("GOOGLETRANSLATE(B23507,""en"",""it"")"),"Uno degli uomini pulisce le scale di pesce.")</f>
        <v>Uno degli uomini pulisce le scale di pesce.</v>
      </c>
    </row>
    <row r="23508">
      <c r="A23508" s="4" t="s">
        <v>29583</v>
      </c>
      <c r="B23508" s="4" t="s">
        <v>29590</v>
      </c>
      <c r="C23508" s="5" t="str">
        <f>IFERROR(__xludf.DUMMYFUNCTION("GOOGLETRANSLATE(B23508,""en"",""it"")"),"Quindi tagliano il pesce in piccoli pezzi e li puliscono fuori dal loro garage.")</f>
        <v>Quindi tagliano il pesce in piccoli pezzi e li puliscono fuori dal loro garage.</v>
      </c>
    </row>
    <row r="23509">
      <c r="A23509" s="4" t="s">
        <v>29583</v>
      </c>
      <c r="B23509" s="4" t="s">
        <v>29591</v>
      </c>
      <c r="C23509" s="5" t="str">
        <f>IFERROR(__xludf.DUMMYFUNCTION("GOOGLETRANSLATE(B23509,""en"",""it"")"),"Affidano il coltello per tagliare il pesce per preparare il pesce fritto coperto di pastella.")</f>
        <v>Affidano il coltello per tagliare il pesce per preparare il pesce fritto coperto di pastella.</v>
      </c>
    </row>
    <row r="23510">
      <c r="A23510" s="4" t="s">
        <v>29583</v>
      </c>
      <c r="B23510" s="4" t="s">
        <v>29592</v>
      </c>
      <c r="C23510" s="5" t="str">
        <f>IFERROR(__xludf.DUMMYFUNCTION("GOOGLETRANSLATE(B23510,""en"",""it"")"),"L'intera famiglia si trova insieme su un grande tavolo da pranzo e gode di un delizioso pasto di pesce fritto.")</f>
        <v>L'intera famiglia si trova insieme su un grande tavolo da pranzo e gode di un delizioso pasto di pesce fritto.</v>
      </c>
    </row>
    <row r="23511">
      <c r="A23511" s="4" t="s">
        <v>29593</v>
      </c>
      <c r="B23511" s="6" t="s">
        <v>29594</v>
      </c>
      <c r="C23511" s="5" t="str">
        <f>IFERROR(__xludf.DUMMYFUNCTION("GOOGLETRANSLATE(B23511,""en"",""it"")"),"Ragazzi e ragazze stanno guardando in un campo che praticano le cheerleader la coreografia e una donna sta parlando in uno studio sulle notizie.")</f>
        <v>Ragazzi e ragazze stanno guardando in un campo che praticano le cheerleader la coreografia e una donna sta parlando in uno studio sulle notizie.</v>
      </c>
    </row>
    <row r="23512">
      <c r="A23512" s="4" t="s">
        <v>29593</v>
      </c>
      <c r="B23512" s="6" t="s">
        <v>29595</v>
      </c>
      <c r="C23512" s="5" t="str">
        <f>IFERROR(__xludf.DUMMYFUNCTION("GOOGLETRANSLATE(B23512,""en"",""it"")"),"La scena musicale di High Scoo è uno spettacolo e viene mostrato un uomo che pratica viene mostrato e vengono mostrate scene di Grow It On.")</f>
        <v>La scena musicale di High Scoo è uno spettacolo e viene mostrato un uomo che pratica viene mostrato e vengono mostrate scene di Grow It On.</v>
      </c>
    </row>
    <row r="23513">
      <c r="A23513" s="4" t="s">
        <v>29596</v>
      </c>
      <c r="B23513" s="4" t="s">
        <v>29597</v>
      </c>
      <c r="C23513" s="5" t="str">
        <f>IFERROR(__xludf.DUMMYFUNCTION("GOOGLETRANSLATE(B23513,""en"",""it"")"),"Un uomo sta parlando di fronte a un paio di grafici.")</f>
        <v>Un uomo sta parlando di fronte a un paio di grafici.</v>
      </c>
    </row>
    <row r="23514">
      <c r="A23514" s="4" t="s">
        <v>29596</v>
      </c>
      <c r="B23514" s="4" t="s">
        <v>29598</v>
      </c>
      <c r="C23514" s="5" t="str">
        <f>IFERROR(__xludf.DUMMYFUNCTION("GOOGLETRANSLATE(B23514,""en"",""it"")"),"Dimostra la tecnica con la sua racchetta.")</f>
        <v>Dimostra la tecnica con la sua racchetta.</v>
      </c>
    </row>
    <row r="23515">
      <c r="A23515" s="4" t="s">
        <v>29596</v>
      </c>
      <c r="B23515" s="4" t="s">
        <v>29599</v>
      </c>
      <c r="C23515" s="5" t="str">
        <f>IFERROR(__xludf.DUMMYFUNCTION("GOOGLETRANSLATE(B23515,""en"",""it"")"),"Poi va in una stanza e gioca una partita di racquetball con un uomo.")</f>
        <v>Poi va in una stanza e gioca una partita di racquetball con un uomo.</v>
      </c>
    </row>
    <row r="23516">
      <c r="A23516" s="4" t="s">
        <v>29596</v>
      </c>
      <c r="B23516" s="4" t="s">
        <v>2779</v>
      </c>
      <c r="C23516" s="5" t="str">
        <f>IFERROR(__xludf.DUMMYFUNCTION("GOOGLETRANSLATE(B23516,""en"",""it"")"),"Hanno colpito la palla avanti e indietro contro il muro.")</f>
        <v>Hanno colpito la palla avanti e indietro contro il muro.</v>
      </c>
    </row>
    <row r="23517">
      <c r="A23517" s="4" t="s">
        <v>29596</v>
      </c>
      <c r="B23517" s="4" t="s">
        <v>29600</v>
      </c>
      <c r="C23517" s="5" t="str">
        <f>IFERROR(__xludf.DUMMYFUNCTION("GOOGLETRANSLATE(B23517,""en"",""it"")"),"Quando hanno finito, esce e ne discute ancora un po '.")</f>
        <v>Quando hanno finito, esce e ne discute ancora un po '.</v>
      </c>
    </row>
    <row r="23518">
      <c r="A23518" s="4" t="s">
        <v>29601</v>
      </c>
      <c r="B23518" s="6" t="s">
        <v>29602</v>
      </c>
      <c r="C23518" s="5" t="str">
        <f>IFERROR(__xludf.DUMMYFUNCTION("GOOGLETRANSLATE(B23518,""en"",""it"")"),"Una ballerina viene vista turbinare in una stanza e conduce alla donna che parla alla telecamera ed esegue diverse mosse di balletto.")</f>
        <v>Una ballerina viene vista turbinare in una stanza e conduce alla donna che parla alla telecamera ed esegue diverse mosse di balletto.</v>
      </c>
    </row>
    <row r="23519">
      <c r="A23519" s="4" t="s">
        <v>29601</v>
      </c>
      <c r="B23519" s="6" t="s">
        <v>29603</v>
      </c>
      <c r="C23519" s="5" t="str">
        <f>IFERROR(__xludf.DUMMYFUNCTION("GOOGLETRANSLATE(B23519,""en"",""it"")"),"Si trova alla barre e poi da sola per dimostrare come eseguire correttamente le mosse di balletto.")</f>
        <v>Si trova alla barre e poi da sola per dimostrare come eseguire correttamente le mosse di balletto.</v>
      </c>
    </row>
    <row r="23520">
      <c r="A23520" s="4" t="s">
        <v>29601</v>
      </c>
      <c r="B23520" s="4" t="s">
        <v>29604</v>
      </c>
      <c r="C23520" s="5" t="str">
        <f>IFERROR(__xludf.DUMMYFUNCTION("GOOGLETRANSLATE(B23520,""en"",""it"")"),"Muove le braccia su e giù così come le gambe e parla continuamente alla telecamera.")</f>
        <v>Muove le braccia su e giù così come le gambe e parla continuamente alla telecamera.</v>
      </c>
    </row>
    <row r="23521">
      <c r="A23521" s="4" t="s">
        <v>29605</v>
      </c>
      <c r="B23521" s="4" t="s">
        <v>29606</v>
      </c>
      <c r="C23521" s="5" t="str">
        <f>IFERROR(__xludf.DUMMYFUNCTION("GOOGLETRANSLATE(B23521,""en"",""it"")"),"Si vede una serie di mani che mettono la spazzola in una pila di bastoncini e poi mette il cotone nella pila.")</f>
        <v>Si vede una serie di mani che mettono la spazzola in una pila di bastoncini e poi mette il cotone nella pila.</v>
      </c>
    </row>
    <row r="23522">
      <c r="A23522" s="4" t="s">
        <v>29605</v>
      </c>
      <c r="B23522" s="4" t="s">
        <v>29607</v>
      </c>
      <c r="C23522" s="5" t="str">
        <f>IFERROR(__xludf.DUMMYFUNCTION("GOOGLETRANSLATE(B23522,""en"",""it"")"),"Quindi accende una partita e crea un fuoco e poi si piega sul fuoco per mettere di più.")</f>
        <v>Quindi accende una partita e crea un fuoco e poi si piega sul fuoco per mettere di più.</v>
      </c>
    </row>
    <row r="23523">
      <c r="A23523" s="4" t="s">
        <v>29605</v>
      </c>
      <c r="B23523" s="4" t="s">
        <v>29608</v>
      </c>
      <c r="C23523" s="5" t="str">
        <f>IFERROR(__xludf.DUMMYFUNCTION("GOOGLETRANSLATE(B23523,""en"",""it"")"),"La fotocamera si chiude sulla fossa e si vede posizionare tronchi intorno al lato.")</f>
        <v>La fotocamera si chiude sulla fossa e si vede posizionare tronchi intorno al lato.</v>
      </c>
    </row>
    <row r="23524">
      <c r="A23524" s="4" t="s">
        <v>29609</v>
      </c>
      <c r="B23524" s="4" t="s">
        <v>29610</v>
      </c>
      <c r="C23524" s="5" t="str">
        <f>IFERROR(__xludf.DUMMYFUNCTION("GOOGLETRANSLATE(B23524,""en"",""it"")"),"Due uomini giocano a palla di biliardo in una stanza buia.")</f>
        <v>Due uomini giocano a palla di biliardo in una stanza buia.</v>
      </c>
    </row>
    <row r="23525">
      <c r="A23525" s="4" t="s">
        <v>29609</v>
      </c>
      <c r="B23525" s="4" t="s">
        <v>29611</v>
      </c>
      <c r="C23525" s="5" t="str">
        <f>IFERROR(__xludf.DUMMYFUNCTION("GOOGLETRANSLATE(B23525,""en"",""it"")"),"Competono intensamente a un ritmo veloce.")</f>
        <v>Competono intensamente a un ritmo veloce.</v>
      </c>
    </row>
    <row r="23526">
      <c r="A23526" s="4" t="s">
        <v>29609</v>
      </c>
      <c r="B23526" s="4" t="s">
        <v>29612</v>
      </c>
      <c r="C23526" s="5" t="str">
        <f>IFERROR(__xludf.DUMMYFUNCTION("GOOGLETRANSLATE(B23526,""en"",""it"")"),"L'uomo della squadra rossa vince tutte e quattro le volte.")</f>
        <v>L'uomo della squadra rossa vince tutte e quattro le volte.</v>
      </c>
    </row>
    <row r="23527">
      <c r="A23527" s="4" t="s">
        <v>29609</v>
      </c>
      <c r="B23527" s="4" t="s">
        <v>29613</v>
      </c>
      <c r="C23527" s="5" t="str">
        <f>IFERROR(__xludf.DUMMYFUNCTION("GOOGLETRANSLATE(B23527,""en"",""it"")"),"Ogni volta che vince, fa un po 'di ballo incoraggiante.")</f>
        <v>Ogni volta che vince, fa un po 'di ballo incoraggiante.</v>
      </c>
    </row>
    <row r="23528">
      <c r="A23528" s="4" t="s">
        <v>29614</v>
      </c>
      <c r="B23528" s="4" t="s">
        <v>29615</v>
      </c>
      <c r="C23528" s="5" t="str">
        <f>IFERROR(__xludf.DUMMYFUNCTION("GOOGLETRANSLATE(B23528,""en"",""it"")"),"Una persona usa il bagno in una stalla.")</f>
        <v>Una persona usa il bagno in una stalla.</v>
      </c>
    </row>
    <row r="23529">
      <c r="A23529" s="4" t="s">
        <v>29614</v>
      </c>
      <c r="B23529" s="4" t="s">
        <v>29616</v>
      </c>
      <c r="C23529" s="5" t="str">
        <f>IFERROR(__xludf.DUMMYFUNCTION("GOOGLETRANSLATE(B23529,""en"",""it"")"),"L'uomo lascia il bagno senza lavarsi le mani.")</f>
        <v>L'uomo lascia il bagno senza lavarsi le mani.</v>
      </c>
    </row>
    <row r="23530">
      <c r="A23530" s="4" t="s">
        <v>29614</v>
      </c>
      <c r="B23530" s="4" t="s">
        <v>29617</v>
      </c>
      <c r="C23530" s="5" t="str">
        <f>IFERROR(__xludf.DUMMYFUNCTION("GOOGLETRANSLATE(B23530,""en"",""it"")"),"L'uomo mangia i piatti di cibo usando le mani.")</f>
        <v>L'uomo mangia i piatti di cibo usando le mani.</v>
      </c>
    </row>
    <row r="23531">
      <c r="A23531" s="4" t="s">
        <v>29614</v>
      </c>
      <c r="B23531" s="4" t="s">
        <v>29618</v>
      </c>
      <c r="C23531" s="5" t="str">
        <f>IFERROR(__xludf.DUMMYFUNCTION("GOOGLETRANSLATE(B23531,""en"",""it"")"),"Una donna gioca con i cani.")</f>
        <v>Una donna gioca con i cani.</v>
      </c>
    </row>
    <row r="23532">
      <c r="A23532" s="4" t="s">
        <v>29614</v>
      </c>
      <c r="B23532" s="4" t="s">
        <v>29619</v>
      </c>
      <c r="C23532" s="5" t="str">
        <f>IFERROR(__xludf.DUMMYFUNCTION("GOOGLETRANSLATE(B23532,""en"",""it"")"),"Una persona lava le mani in un lavandino usando sapone in schiuma.")</f>
        <v>Una persona lava le mani in un lavandino usando sapone in schiuma.</v>
      </c>
    </row>
    <row r="23533">
      <c r="A23533" s="4" t="s">
        <v>29614</v>
      </c>
      <c r="B23533" s="4" t="s">
        <v>29620</v>
      </c>
      <c r="C23533" s="5" t="str">
        <f>IFERROR(__xludf.DUMMYFUNCTION("GOOGLETRANSLATE(B23533,""en"",""it"")"),"La persona usa un tovagliolo di carta per asciugarmi le mani.")</f>
        <v>La persona usa un tovagliolo di carta per asciugarmi le mani.</v>
      </c>
    </row>
    <row r="23534">
      <c r="A23534" s="4" t="s">
        <v>29614</v>
      </c>
      <c r="B23534" s="4" t="s">
        <v>29621</v>
      </c>
      <c r="C23534" s="5" t="str">
        <f>IFERROR(__xludf.DUMMYFUNCTION("GOOGLETRANSLATE(B23534,""en"",""it"")"),"Una persona lava le mani in un lavello in acciaio inossidabile.")</f>
        <v>Una persona lava le mani in un lavello in acciaio inossidabile.</v>
      </c>
    </row>
    <row r="23535">
      <c r="A23535" s="4" t="s">
        <v>29622</v>
      </c>
      <c r="B23535" s="4" t="s">
        <v>29623</v>
      </c>
      <c r="C23535" s="5" t="str">
        <f>IFERROR(__xludf.DUMMYFUNCTION("GOOGLETRANSLATE(B23535,""en"",""it"")"),"Un bambino disordinato sta mangiando un cono gelato.")</f>
        <v>Un bambino disordinato sta mangiando un cono gelato.</v>
      </c>
    </row>
    <row r="23536">
      <c r="A23536" s="4" t="s">
        <v>29622</v>
      </c>
      <c r="B23536" s="4" t="s">
        <v>29624</v>
      </c>
      <c r="C23536" s="5" t="str">
        <f>IFERROR(__xludf.DUMMYFUNCTION("GOOGLETRANSLATE(B23536,""en"",""it"")"),"Morde il cono gelato dei genitori.")</f>
        <v>Morde il cono gelato dei genitori.</v>
      </c>
    </row>
    <row r="23537">
      <c r="A23537" s="4" t="s">
        <v>29622</v>
      </c>
      <c r="B23537" s="4" t="s">
        <v>29625</v>
      </c>
      <c r="C23537" s="5" t="str">
        <f>IFERROR(__xludf.DUMMYFUNCTION("GOOGLETRANSLATE(B23537,""en"",""it"")"),"Il genitore regola il cono per il bambino.")</f>
        <v>Il genitore regola il cono per il bambino.</v>
      </c>
    </row>
    <row r="23538">
      <c r="A23538" s="4" t="s">
        <v>29622</v>
      </c>
      <c r="B23538" s="4" t="s">
        <v>29626</v>
      </c>
      <c r="C23538" s="5" t="str">
        <f>IFERROR(__xludf.DUMMYFUNCTION("GOOGLETRANSLATE(B23538,""en"",""it"")"),"Il genitore asciuga il gelato dalla faccia del bambino.")</f>
        <v>Il genitore asciuga il gelato dalla faccia del bambino.</v>
      </c>
    </row>
    <row r="23539">
      <c r="A23539" s="4" t="s">
        <v>29627</v>
      </c>
      <c r="B23539" s="4" t="s">
        <v>29628</v>
      </c>
      <c r="C23539" s="5" t="str">
        <f>IFERROR(__xludf.DUMMYFUNCTION("GOOGLETRANSLATE(B23539,""en"",""it"")"),"Un dipendente di The Beach Patrol sta parlando di come avere una giornata sicura in spiaggia.")</f>
        <v>Un dipendente di The Beach Patrol sta parlando di come avere una giornata sicura in spiaggia.</v>
      </c>
    </row>
    <row r="23540">
      <c r="A23540" s="4" t="s">
        <v>29627</v>
      </c>
      <c r="B23540" s="4" t="s">
        <v>29629</v>
      </c>
      <c r="C23540" s="5" t="str">
        <f>IFERROR(__xludf.DUMMYFUNCTION("GOOGLETRANSLATE(B23540,""en"",""it"")"),"La protezione solare viene indirizzata e fa panoramica come e perché applicare correttamente la protezione solare.")</f>
        <v>La protezione solare viene indirizzata e fa panoramica come e perché applicare correttamente la protezione solare.</v>
      </c>
    </row>
    <row r="23541">
      <c r="A23541" s="4" t="s">
        <v>29627</v>
      </c>
      <c r="B23541" s="4" t="s">
        <v>29630</v>
      </c>
      <c r="C23541" s="5" t="str">
        <f>IFERROR(__xludf.DUMMYFUNCTION("GOOGLETRANSLATE(B23541,""en"",""it"")"),"Il valore SPF per la protezione solare è affrontato con una diapositiva su come prestare attenzione all'SPF corretto.")</f>
        <v>Il valore SPF per la protezione solare è affrontato con una diapositiva su come prestare attenzione all'SPF corretto.</v>
      </c>
    </row>
    <row r="23542">
      <c r="A23542" s="4" t="s">
        <v>29627</v>
      </c>
      <c r="B23542" s="4" t="s">
        <v>29631</v>
      </c>
      <c r="C23542" s="5" t="str">
        <f>IFERROR(__xludf.DUMMYFUNCTION("GOOGLETRANSLATE(B23542,""en"",""it"")"),"Affronta gli impatti negativi delle scottature solari, specialmente con i bambini.")</f>
        <v>Affronta gli impatti negativi delle scottature solari, specialmente con i bambini.</v>
      </c>
    </row>
    <row r="23543">
      <c r="A23543" s="4" t="s">
        <v>29627</v>
      </c>
      <c r="B23543" s="4" t="s">
        <v>29632</v>
      </c>
      <c r="C23543" s="5" t="str">
        <f>IFERROR(__xludf.DUMMYFUNCTION("GOOGLETRANSLATE(B23543,""en"",""it"")"),"Parla quindi di diversi tipi di protezione solare specializzata per assicurarsi che tu sia coperto in modo sicuro.")</f>
        <v>Parla quindi di diversi tipi di protezione solare specializzata per assicurarsi che tu sia coperto in modo sicuro.</v>
      </c>
    </row>
    <row r="23544">
      <c r="A23544" s="4" t="s">
        <v>29627</v>
      </c>
      <c r="B23544" s="4" t="s">
        <v>29633</v>
      </c>
      <c r="C23544" s="5" t="str">
        <f>IFERROR(__xludf.DUMMYFUNCTION("GOOGLETRANSLATE(B23544,""en"",""it"")"),"Si parla quindi di sicurezza della protezione solare dei bambini e di come proteggere adeguatamente i tuoi figli.")</f>
        <v>Si parla quindi di sicurezza della protezione solare dei bambini e di come proteggere adeguatamente i tuoi figli.</v>
      </c>
    </row>
    <row r="23545">
      <c r="A23545" s="4" t="s">
        <v>29627</v>
      </c>
      <c r="B23545" s="6" t="s">
        <v>29634</v>
      </c>
      <c r="C23545" s="5" t="str">
        <f>IFERROR(__xludf.DUMMYFUNCTION("GOOGLETRANSLATE(B23545,""en"",""it"")"),"Discute quindi cosa fare quando si verifica una scottatura solare, come gestirla per prendersi cura della pelle.")</f>
        <v>Discute quindi cosa fare quando si verifica una scottatura solare, come gestirla per prendersi cura della pelle.</v>
      </c>
    </row>
    <row r="23546">
      <c r="A23546" s="4" t="s">
        <v>29627</v>
      </c>
      <c r="B23546" s="4" t="s">
        <v>29635</v>
      </c>
      <c r="C23546" s="5" t="str">
        <f>IFERROR(__xludf.DUMMYFUNCTION("GOOGLETRANSLATE(B23546,""en"",""it"")"),"Si mostra che una diapositiva ci rende consapevole di quando una scottatura solare è cattiva e ha bisogno di cure mediche.")</f>
        <v>Si mostra che una diapositiva ci rende consapevole di quando una scottatura solare è cattiva e ha bisogno di cure mediche.</v>
      </c>
    </row>
    <row r="23547">
      <c r="A23547" s="4" t="s">
        <v>29627</v>
      </c>
      <c r="B23547" s="4" t="s">
        <v>29636</v>
      </c>
      <c r="C23547" s="5" t="str">
        <f>IFERROR(__xludf.DUMMYFUNCTION("GOOGLETRANSLATE(B23547,""en"",""it"")"),"Quindi fa un'altra panoramica di come usare la protezione solare per rendere piacevole la tua giornata.")</f>
        <v>Quindi fa un'altra panoramica di come usare la protezione solare per rendere piacevole la tua giornata.</v>
      </c>
    </row>
    <row r="23548">
      <c r="A23548" s="4" t="s">
        <v>29637</v>
      </c>
      <c r="B23548" s="6" t="s">
        <v>29638</v>
      </c>
      <c r="C23548" s="5" t="str">
        <f>IFERROR(__xludf.DUMMYFUNCTION("GOOGLETRANSLATE(B23548,""en"",""it"")"),"Vengono mostrate diverse clip di scatole così come persone che si muovono su un palco e un pubblico che guarda.")</f>
        <v>Vengono mostrate diverse clip di scatole così come persone che si muovono su un palco e un pubblico che guarda.</v>
      </c>
    </row>
    <row r="23549">
      <c r="A23549" s="4" t="s">
        <v>29637</v>
      </c>
      <c r="B23549" s="6" t="s">
        <v>29639</v>
      </c>
      <c r="C23549" s="5" t="str">
        <f>IFERROR(__xludf.DUMMYFUNCTION("GOOGLETRANSLATE(B23549,""en"",""it"")"),"Il video conduce in diverse persone che lavano le finestre il più rapidamente possibile mentre molti le guardano sul lato.")</f>
        <v>Il video conduce in diverse persone che lavano le finestre il più rapidamente possibile mentre molti le guardano sul lato.</v>
      </c>
    </row>
    <row r="23550">
      <c r="A23550" s="4" t="s">
        <v>29637</v>
      </c>
      <c r="B23550" s="6" t="s">
        <v>29640</v>
      </c>
      <c r="C23550" s="5" t="str">
        <f>IFERROR(__xludf.DUMMYFUNCTION("GOOGLETRANSLATE(B23550,""en"",""it"")"),"Molti uomini parlano alla telecamera e alle persone che annunciano i punteggi e si svolgono più lavaggi delle finestre.")</f>
        <v>Molti uomini parlano alla telecamera e alle persone che annunciano i punteggi e si svolgono più lavaggi delle finestre.</v>
      </c>
    </row>
    <row r="23551">
      <c r="A23551" s="4" t="s">
        <v>29641</v>
      </c>
      <c r="B23551" s="4" t="s">
        <v>29642</v>
      </c>
      <c r="C23551" s="5" t="str">
        <f>IFERROR(__xludf.DUMMYFUNCTION("GOOGLETRANSLATE(B23551,""en"",""it"")"),"La donna mostra le sue unghie con una manicure carina e alcuni lucidi dietro la mano.")</f>
        <v>La donna mostra le sue unghie con una manicure carina e alcuni lucidi dietro la mano.</v>
      </c>
    </row>
    <row r="23552">
      <c r="A23552" s="4" t="s">
        <v>29641</v>
      </c>
      <c r="B23552" s="4" t="s">
        <v>29643</v>
      </c>
      <c r="C23552" s="5" t="str">
        <f>IFERROR(__xludf.DUMMYFUNCTION("GOOGLETRANSLATE(B23552,""en"",""it"")"),"La donna tiene in mano uno smalto rosa e inizia a dipingere l'unghia.")</f>
        <v>La donna tiene in mano uno smalto rosa e inizia a dipingere l'unghia.</v>
      </c>
    </row>
    <row r="23553">
      <c r="A23553" s="4" t="s">
        <v>29641</v>
      </c>
      <c r="B23553" s="4" t="s">
        <v>29644</v>
      </c>
      <c r="C23553" s="5" t="str">
        <f>IFERROR(__xludf.DUMMYFUNCTION("GOOGLETRANSLATE(B23553,""en"",""it"")"),"E con un po 'di spugna e un po' di vernice con la vernice blu bianca e viola.")</f>
        <v>E con un po 'di spugna e un po' di vernice con la vernice blu bianca e viola.</v>
      </c>
    </row>
    <row r="23554">
      <c r="A23554" s="4" t="s">
        <v>29641</v>
      </c>
      <c r="B23554" s="4" t="s">
        <v>29645</v>
      </c>
      <c r="C23554" s="5" t="str">
        <f>IFERROR(__xludf.DUMMYFUNCTION("GOOGLETRANSLATE(B23554,""en"",""it"")"),"Con un cespuglio messo i punti Som wwhite e pulire l'unghia.")</f>
        <v>Con un cespuglio messo i punti Som wwhite e pulire l'unghia.</v>
      </c>
    </row>
    <row r="23555">
      <c r="A23555" s="4" t="s">
        <v>29641</v>
      </c>
      <c r="B23555" s="4" t="s">
        <v>29646</v>
      </c>
      <c r="C23555" s="5" t="str">
        <f>IFERROR(__xludf.DUMMYFUNCTION("GOOGLETRANSLATE(B23555,""en"",""it"")"),"La donna ha tagliato una carta rossa e dipingere con smalto grigio gelido.")</f>
        <v>La donna ha tagliato una carta rossa e dipingere con smalto grigio gelido.</v>
      </c>
    </row>
    <row r="23556">
      <c r="A23556" s="4" t="s">
        <v>29647</v>
      </c>
      <c r="B23556" s="4" t="s">
        <v>29648</v>
      </c>
      <c r="C23556" s="5" t="str">
        <f>IFERROR(__xludf.DUMMYFUNCTION("GOOGLETRANSLATE(B23556,""en"",""it"")"),"C'è un narghilè posizionato su un bancone della cucina.")</f>
        <v>C'è un narghilè posizionato su un bancone della cucina.</v>
      </c>
    </row>
    <row r="23557">
      <c r="A23557" s="4" t="s">
        <v>29647</v>
      </c>
      <c r="B23557" s="6" t="s">
        <v>29649</v>
      </c>
      <c r="C23557" s="5" t="str">
        <f>IFERROR(__xludf.DUMMYFUNCTION("GOOGLETRANSLATE(B23557,""en"",""it"")"),"Un uomo che indossa una camicia manica nera arriva lì e si inginocchia per iniziare a fumare il narghilè.")</f>
        <v>Un uomo che indossa una camicia manica nera arriva lì e si inginocchia per iniziare a fumare il narghilè.</v>
      </c>
    </row>
    <row r="23558">
      <c r="A23558" s="4" t="s">
        <v>29647</v>
      </c>
      <c r="B23558" s="4" t="s">
        <v>29650</v>
      </c>
      <c r="C23558" s="5" t="str">
        <f>IFERROR(__xludf.DUMMYFUNCTION("GOOGLETRANSLATE(B23558,""en"",""it"")"),"Fumisce il narghilè e fa esplodere il fumo.")</f>
        <v>Fumisce il narghilè e fa esplodere il fumo.</v>
      </c>
    </row>
    <row r="23559">
      <c r="A23559" s="4" t="s">
        <v>29647</v>
      </c>
      <c r="B23559" s="4" t="s">
        <v>29651</v>
      </c>
      <c r="C23559" s="5" t="str">
        <f>IFERROR(__xludf.DUMMYFUNCTION("GOOGLETRANSLATE(B23559,""en"",""it"")"),"Prende alcuni sbuffi del narghilè ed espira il fumo.")</f>
        <v>Prende alcuni sbuffi del narghilè ed espira il fumo.</v>
      </c>
    </row>
    <row r="23560">
      <c r="A23560" s="4" t="s">
        <v>29647</v>
      </c>
      <c r="B23560" s="4" t="s">
        <v>29652</v>
      </c>
      <c r="C23560" s="5" t="str">
        <f>IFERROR(__xludf.DUMMYFUNCTION("GOOGLETRANSLATE(B23560,""en"",""it"")"),"Continua a fumare prendendo lunghi sbuffi del narghilè e poi parte.")</f>
        <v>Continua a fumare prendendo lunghi sbuffi del narghilè e poi parte.</v>
      </c>
    </row>
    <row r="23561">
      <c r="A23561" s="4" t="s">
        <v>29653</v>
      </c>
      <c r="B23561" s="4" t="s">
        <v>29654</v>
      </c>
      <c r="C23561" s="5" t="str">
        <f>IFERROR(__xludf.DUMMYFUNCTION("GOOGLETRANSLATE(B23561,""en"",""it"")"),"Si vede un primo piano di una borsa seguita da una donna che guarda nella telecamera.")</f>
        <v>Si vede un primo piano di una borsa seguita da una donna che guarda nella telecamera.</v>
      </c>
    </row>
    <row r="23562">
      <c r="A23562" s="4" t="s">
        <v>29653</v>
      </c>
      <c r="B23562" s="4" t="s">
        <v>29655</v>
      </c>
      <c r="C23562" s="5" t="str">
        <f>IFERROR(__xludf.DUMMYFUNCTION("GOOGLETRANSLATE(B23562,""en"",""it"")"),"Alza un telefono e parla allo specchio.")</f>
        <v>Alza un telefono e parla allo specchio.</v>
      </c>
    </row>
    <row r="23563">
      <c r="A23563" s="4" t="s">
        <v>29653</v>
      </c>
      <c r="B23563" s="4" t="s">
        <v>29656</v>
      </c>
      <c r="C23563" s="5" t="str">
        <f>IFERROR(__xludf.DUMMYFUNCTION("GOOGLETRANSLATE(B23563,""en"",""it"")"),"Alla fine salta su e giù un po 'e termina spegnendo la telecamera.")</f>
        <v>Alla fine salta su e giù un po 'e termina spegnendo la telecamera.</v>
      </c>
    </row>
    <row r="23564">
      <c r="A23564" s="4" t="s">
        <v>29657</v>
      </c>
      <c r="B23564" s="4" t="s">
        <v>29658</v>
      </c>
      <c r="C23564" s="5" t="str">
        <f>IFERROR(__xludf.DUMMYFUNCTION("GOOGLETRANSLATE(B23564,""en"",""it"")"),"Un uomo in un garage affollato con molti strumenti parla alla telecamera mentre tiene un pezzo di carta.")</f>
        <v>Un uomo in un garage affollato con molti strumenti parla alla telecamera mentre tiene un pezzo di carta.</v>
      </c>
    </row>
    <row r="23565">
      <c r="A23565" s="4" t="s">
        <v>29657</v>
      </c>
      <c r="B23565" s="6" t="s">
        <v>29659</v>
      </c>
      <c r="C23565" s="5" t="str">
        <f>IFERROR(__xludf.DUMMYFUNCTION("GOOGLETRANSLATE(B23565,""en"",""it"")"),"Attrezza una carta, continuamente, su uno strumento di tipo ferro e spazzola la carta contro un lungo pezzo di legno.")</f>
        <v>Attrezza una carta, continuamente, su uno strumento di tipo ferro e spazzola la carta contro un lungo pezzo di legno.</v>
      </c>
    </row>
    <row r="23566">
      <c r="A23566" s="4" t="s">
        <v>29657</v>
      </c>
      <c r="B23566" s="4" t="s">
        <v>29660</v>
      </c>
      <c r="C23566" s="5" t="str">
        <f>IFERROR(__xludf.DUMMYFUNCTION("GOOGLETRANSLATE(B23566,""en"",""it"")"),"Mette giù il pezzo di carta e porta lo strumento di ferro direttamente al pezzo di legno.")</f>
        <v>Mette giù il pezzo di carta e porta lo strumento di ferro direttamente al pezzo di legno.</v>
      </c>
    </row>
    <row r="23567">
      <c r="A23567" s="4" t="s">
        <v>29657</v>
      </c>
      <c r="B23567" s="6" t="s">
        <v>29661</v>
      </c>
      <c r="C23567" s="5" t="str">
        <f>IFERROR(__xludf.DUMMYFUNCTION("GOOGLETRANSLATE(B23567,""en"",""it"")"),"Raccoglie un tovagliolo di carta e preme il ferro contro il pezzo di legno con una mano mentre usa l'altra mano per trascinare un tovagliolo di carta sulle aree stirate della tavola.")</f>
        <v>Raccoglie un tovagliolo di carta e preme il ferro contro il pezzo di legno con una mano mentre usa l'altra mano per trascinare un tovagliolo di carta sulle aree stirate della tavola.</v>
      </c>
    </row>
    <row r="23568">
      <c r="A23568" s="4" t="s">
        <v>29657</v>
      </c>
      <c r="B23568" s="4" t="s">
        <v>29662</v>
      </c>
      <c r="C23568" s="5" t="str">
        <f>IFERROR(__xludf.DUMMYFUNCTION("GOOGLETRANSLATE(B23568,""en"",""it"")"),"Mette il ferro giù.")</f>
        <v>Mette il ferro giù.</v>
      </c>
    </row>
    <row r="23569">
      <c r="A23569" s="4" t="s">
        <v>29657</v>
      </c>
      <c r="B23569" s="4" t="s">
        <v>29663</v>
      </c>
      <c r="C23569" s="5" t="str">
        <f>IFERROR(__xludf.DUMMYFUNCTION("GOOGLETRANSLATE(B23569,""en"",""it"")"),"Prende il tovagliolo di carta e pulisce rapidamente il pezzo di legno.")</f>
        <v>Prende il tovagliolo di carta e pulisce rapidamente il pezzo di legno.</v>
      </c>
    </row>
    <row r="23570">
      <c r="A23570" s="4" t="s">
        <v>29664</v>
      </c>
      <c r="B23570" s="4" t="s">
        <v>29665</v>
      </c>
      <c r="C23570" s="5" t="str">
        <f>IFERROR(__xludf.DUMMYFUNCTION("GOOGLETRANSLATE(B23570,""en"",""it"")"),"Un uomo versa un liquido su un tavolo.")</f>
        <v>Un uomo versa un liquido su un tavolo.</v>
      </c>
    </row>
    <row r="23571">
      <c r="A23571" s="4" t="s">
        <v>29664</v>
      </c>
      <c r="B23571" s="4" t="s">
        <v>29666</v>
      </c>
      <c r="C23571" s="5" t="str">
        <f>IFERROR(__xludf.DUMMYFUNCTION("GOOGLETRANSLATE(B23571,""en"",""it"")"),"Con l'uso di un pennello, copre il tavolo con il liquido.")</f>
        <v>Con l'uso di un pennello, copre il tavolo con il liquido.</v>
      </c>
    </row>
    <row r="23572">
      <c r="A23572" s="4" t="s">
        <v>29664</v>
      </c>
      <c r="B23572" s="4" t="s">
        <v>29667</v>
      </c>
      <c r="C23572" s="5" t="str">
        <f>IFERROR(__xludf.DUMMYFUNCTION("GOOGLETRANSLATE(B23572,""en"",""it"")"),"Rimuove la vernice dalla cima del tavolo.")</f>
        <v>Rimuove la vernice dalla cima del tavolo.</v>
      </c>
    </row>
    <row r="23573">
      <c r="A23573" s="4" t="s">
        <v>29664</v>
      </c>
      <c r="B23573" s="4" t="s">
        <v>29668</v>
      </c>
      <c r="C23573" s="5" t="str">
        <f>IFERROR(__xludf.DUMMYFUNCTION("GOOGLETRANSLATE(B23573,""en"",""it"")"),"Successivamente, fa una leggera levigatura del tavolo.")</f>
        <v>Successivamente, fa una leggera levigatura del tavolo.</v>
      </c>
    </row>
    <row r="23574">
      <c r="A23574" s="4" t="s">
        <v>29664</v>
      </c>
      <c r="B23574" s="4" t="s">
        <v>29669</v>
      </c>
      <c r="C23574" s="5" t="str">
        <f>IFERROR(__xludf.DUMMYFUNCTION("GOOGLETRANSLATE(B23574,""en"",""it"")"),"Con un tappeto, rimuove la polvere.")</f>
        <v>Con un tappeto, rimuove la polvere.</v>
      </c>
    </row>
    <row r="23575">
      <c r="A23575" s="4" t="s">
        <v>29664</v>
      </c>
      <c r="B23575" s="4" t="s">
        <v>29670</v>
      </c>
      <c r="C23575" s="5" t="str">
        <f>IFERROR(__xludf.DUMMYFUNCTION("GOOGLETRANSLATE(B23575,""en"",""it"")"),"Indossando guanti, applica una macchia al tavolo.")</f>
        <v>Indossando guanti, applica una macchia al tavolo.</v>
      </c>
    </row>
    <row r="23576">
      <c r="A23576" s="4" t="s">
        <v>29664</v>
      </c>
      <c r="B23576" s="4" t="s">
        <v>29671</v>
      </c>
      <c r="C23576" s="5" t="str">
        <f>IFERROR(__xludf.DUMMYFUNCTION("GOOGLETRANSLATE(B23576,""en"",""it"")"),"Alla fine, lucida il tavolo e mostra il suo risultato finale.")</f>
        <v>Alla fine, lucida il tavolo e mostra il suo risultato finale.</v>
      </c>
    </row>
    <row r="23577">
      <c r="A23577" s="4" t="s">
        <v>29672</v>
      </c>
      <c r="B23577" s="6" t="s">
        <v>29673</v>
      </c>
      <c r="C23577" s="5" t="str">
        <f>IFERROR(__xludf.DUMMYFUNCTION("GOOGLETRANSLATE(B23577,""en"",""it"")"),"La signora Smith sta dando un'intervista parlando di sollevamento pesi, parla di come ha iniziato circa 12.")</f>
        <v>La signora Smith sta dando un'intervista parlando di sollevamento pesi, parla di come ha iniziato circa 12.</v>
      </c>
    </row>
    <row r="23578">
      <c r="A23578" s="4" t="s">
        <v>29672</v>
      </c>
      <c r="B23578" s="4" t="s">
        <v>29674</v>
      </c>
      <c r="C23578" s="5" t="str">
        <f>IFERROR(__xludf.DUMMYFUNCTION("GOOGLETRANSLATE(B23578,""en"",""it"")"),"L'allenatore parla brevemente di come li dà riposare prima di ogni competizione.")</f>
        <v>L'allenatore parla brevemente di come li dà riposare prima di ogni competizione.</v>
      </c>
    </row>
    <row r="23579">
      <c r="A23579" s="4" t="s">
        <v>29672</v>
      </c>
      <c r="B23579" s="4" t="s">
        <v>29675</v>
      </c>
      <c r="C23579" s="5" t="str">
        <f>IFERROR(__xludf.DUMMYFUNCTION("GOOGLETRANSLATE(B23579,""en"",""it"")"),"Solleva il peso molto sopra la sua testa e la lascia cadere indossando la sua uniforme.")</f>
        <v>Solleva il peso molto sopra la sua testa e la lascia cadere indossando la sua uniforme.</v>
      </c>
    </row>
    <row r="23580">
      <c r="A23580" s="4" t="s">
        <v>29672</v>
      </c>
      <c r="B23580" s="6" t="s">
        <v>29676</v>
      </c>
      <c r="C23580" s="5" t="str">
        <f>IFERROR(__xludf.DUMMYFUNCTION("GOOGLETRANSLATE(B23580,""en"",""it"")"),"Tutti applauvano per lei, e poi senti di nuovo da lei e dall'allenatore prima che l'intervista sia finita.")</f>
        <v>Tutti applauvano per lei, e poi senti di nuovo da lei e dall'allenatore prima che l'intervista sia finita.</v>
      </c>
    </row>
    <row r="23581">
      <c r="A23581" s="4" t="s">
        <v>29677</v>
      </c>
      <c r="B23581" s="4" t="s">
        <v>29678</v>
      </c>
      <c r="C23581" s="5" t="str">
        <f>IFERROR(__xludf.DUMMYFUNCTION("GOOGLETRANSLATE(B23581,""en"",""it"")"),"Una vista notturna di una città viene mostrata attraverso una finestra.")</f>
        <v>Una vista notturna di una città viene mostrata attraverso una finestra.</v>
      </c>
    </row>
    <row r="23582">
      <c r="A23582" s="4" t="s">
        <v>29677</v>
      </c>
      <c r="B23582" s="4" t="s">
        <v>29679</v>
      </c>
      <c r="C23582" s="5" t="str">
        <f>IFERROR(__xludf.DUMMYFUNCTION("GOOGLETRANSLATE(B23582,""en"",""it"")"),"Un uomo con un cappotto da chef è in piedi in una cucina a parlare con la telecamera.")</f>
        <v>Un uomo con un cappotto da chef è in piedi in una cucina a parlare con la telecamera.</v>
      </c>
    </row>
    <row r="23583">
      <c r="A23583" s="4" t="s">
        <v>29677</v>
      </c>
      <c r="B23583" s="4" t="s">
        <v>29680</v>
      </c>
      <c r="C23583" s="5" t="str">
        <f>IFERROR(__xludf.DUMMYFUNCTION("GOOGLETRANSLATE(B23583,""en"",""it"")"),"Un pancake viene mostrato con lo sciroppo che viene versato su di esso.")</f>
        <v>Un pancake viene mostrato con lo sciroppo che viene versato su di esso.</v>
      </c>
    </row>
    <row r="23584">
      <c r="A23584" s="4" t="s">
        <v>29677</v>
      </c>
      <c r="B23584" s="4" t="s">
        <v>29681</v>
      </c>
      <c r="C23584" s="5" t="str">
        <f>IFERROR(__xludf.DUMMYFUNCTION("GOOGLETRANSLATE(B23584,""en"",""it"")"),"Gli ingredienti sono collocati in una ciotola.")</f>
        <v>Gli ingredienti sono collocati in una ciotola.</v>
      </c>
    </row>
    <row r="23585">
      <c r="A23585" s="4" t="s">
        <v>29677</v>
      </c>
      <c r="B23585" s="4" t="s">
        <v>29682</v>
      </c>
      <c r="C23585" s="5" t="str">
        <f>IFERROR(__xludf.DUMMYFUNCTION("GOOGLETRANSLATE(B23585,""en"",""it"")"),"L'uomo rompe un uovo e sbatte gli ingredienti in una ciotola.")</f>
        <v>L'uomo rompe un uovo e sbatte gli ingredienti in una ciotola.</v>
      </c>
    </row>
    <row r="23586">
      <c r="A23586" s="4" t="s">
        <v>29677</v>
      </c>
      <c r="B23586" s="4" t="s">
        <v>29683</v>
      </c>
      <c r="C23586" s="5" t="str">
        <f>IFERROR(__xludf.DUMMYFUNCTION("GOOGLETRANSLATE(B23586,""en"",""it"")"),"Un mestolo viene mostrato accanto alla ciotola.")</f>
        <v>Un mestolo viene mostrato accanto alla ciotola.</v>
      </c>
    </row>
    <row r="23587">
      <c r="A23587" s="4" t="s">
        <v>29677</v>
      </c>
      <c r="B23587" s="4" t="s">
        <v>29684</v>
      </c>
      <c r="C23587" s="5" t="str">
        <f>IFERROR(__xludf.DUMMYFUNCTION("GOOGLETRANSLATE(B23587,""en"",""it"")"),"L'uomo mette la pastella per pancake sulla piastra.")</f>
        <v>L'uomo mette la pastella per pancake sulla piastra.</v>
      </c>
    </row>
    <row r="23588">
      <c r="A23588" s="4" t="s">
        <v>29677</v>
      </c>
      <c r="B23588" s="4" t="s">
        <v>29685</v>
      </c>
      <c r="C23588" s="5" t="str">
        <f>IFERROR(__xludf.DUMMYFUNCTION("GOOGLETRANSLATE(B23588,""en"",""it"")"),"L'uomo lancia i pancake.")</f>
        <v>L'uomo lancia i pancake.</v>
      </c>
    </row>
    <row r="23589">
      <c r="A23589" s="4" t="s">
        <v>29677</v>
      </c>
      <c r="B23589" s="4" t="s">
        <v>29686</v>
      </c>
      <c r="C23589" s="5" t="str">
        <f>IFERROR(__xludf.DUMMYFUNCTION("GOOGLETRANSLATE(B23589,""en"",""it"")"),"Il pancake viene posizionato su un piatto e lo sciroppo viene versato su di esso.")</f>
        <v>Il pancake viene posizionato su un piatto e lo sciroppo viene versato su di esso.</v>
      </c>
    </row>
    <row r="23590">
      <c r="A23590" s="4" t="s">
        <v>29677</v>
      </c>
      <c r="B23590" s="4" t="s">
        <v>29687</v>
      </c>
      <c r="C23590" s="5" t="str">
        <f>IFERROR(__xludf.DUMMYFUNCTION("GOOGLETRANSLATE(B23590,""en"",""it"")"),"L'uomo viene mostrato di mangiare un pezzo di pancake.")</f>
        <v>L'uomo viene mostrato di mangiare un pezzo di pancake.</v>
      </c>
    </row>
    <row r="23591">
      <c r="A23591" s="4" t="s">
        <v>29677</v>
      </c>
      <c r="B23591" s="4" t="s">
        <v>29688</v>
      </c>
      <c r="C23591" s="5" t="str">
        <f>IFERROR(__xludf.DUMMYFUNCTION("GOOGLETRANSLATE(B23591,""en"",""it"")"),"L'uomo continua a parlare con la telecamera mentre tiene un pezzo di pancake.")</f>
        <v>L'uomo continua a parlare con la telecamera mentre tiene un pezzo di pancake.</v>
      </c>
    </row>
    <row r="23592">
      <c r="A23592" s="4" t="s">
        <v>29677</v>
      </c>
      <c r="B23592" s="4" t="s">
        <v>29689</v>
      </c>
      <c r="C23592" s="5" t="str">
        <f>IFERROR(__xludf.DUMMYFUNCTION("GOOGLETRANSLATE(B23592,""en"",""it"")"),"Viene mostrato uno studio televisivo.")</f>
        <v>Viene mostrato uno studio televisivo.</v>
      </c>
    </row>
    <row r="23593">
      <c r="A23593" s="4" t="s">
        <v>29690</v>
      </c>
      <c r="B23593" s="4" t="s">
        <v>29691</v>
      </c>
      <c r="C23593" s="5" t="str">
        <f>IFERROR(__xludf.DUMMYFUNCTION("GOOGLETRANSLATE(B23593,""en"",""it"")"),"Un giovane con ciotole di sindrome di Downs.")</f>
        <v>Un giovane con ciotole di sindrome di Downs.</v>
      </c>
    </row>
    <row r="23594">
      <c r="A23594" s="4" t="s">
        <v>29690</v>
      </c>
      <c r="B23594" s="4" t="s">
        <v>29692</v>
      </c>
      <c r="C23594" s="5" t="str">
        <f>IFERROR(__xludf.DUMMYFUNCTION("GOOGLETRANSLATE(B23594,""en"",""it"")"),"Un altro giovane lancia una palla da bowling.")</f>
        <v>Un altro giovane lancia una palla da bowling.</v>
      </c>
    </row>
    <row r="23595">
      <c r="A23595" s="4" t="s">
        <v>29690</v>
      </c>
      <c r="B23595" s="4" t="s">
        <v>29693</v>
      </c>
      <c r="C23595" s="5" t="str">
        <f>IFERROR(__xludf.DUMMYFUNCTION("GOOGLETRANSLATE(B23595,""en"",""it"")"),"Il primo giovane celebra dopo un tiro di successo.")</f>
        <v>Il primo giovane celebra dopo un tiro di successo.</v>
      </c>
    </row>
    <row r="23596">
      <c r="A23596" s="4" t="s">
        <v>29694</v>
      </c>
      <c r="B23596" s="6" t="s">
        <v>29695</v>
      </c>
      <c r="C23596" s="5" t="str">
        <f>IFERROR(__xludf.DUMMYFUNCTION("GOOGLETRANSLATE(B23596,""en"",""it"")"),"L'uomo è in piedi davanti a un'auto grigia in un laboratorio che cambia una ruota dell'auto e parla con la telecamera TE.")</f>
        <v>L'uomo è in piedi davanti a un'auto grigia in un laboratorio che cambia una ruota dell'auto e parla con la telecamera TE.</v>
      </c>
    </row>
    <row r="23597">
      <c r="A23597" s="4" t="s">
        <v>29694</v>
      </c>
      <c r="B23597" s="6" t="s">
        <v>29696</v>
      </c>
      <c r="C23597" s="5" t="str">
        <f>IFERROR(__xludf.DUMMYFUNCTION("GOOGLETRANSLATE(B23597,""en"",""it"")"),"Per prima cosa l'uomo prendi un martinetto Hiyraulic e lo mette sotto la macchina, svita i bulloni con un tutore della ruota e tira fuori la ruota e montate quella nuova, rimetti le viti con il tutore della ruota e si stringe.")</f>
        <v>Per prima cosa l'uomo prendi un martinetto Hiyraulic e lo mette sotto la macchina, svita i bulloni con un tutore della ruota e tira fuori la ruota e montate quella nuova, rimetti le viti con il tutore della ruota e si stringe.</v>
      </c>
    </row>
    <row r="23598">
      <c r="A23598" s="4" t="s">
        <v>29694</v>
      </c>
      <c r="B23598" s="4" t="s">
        <v>29697</v>
      </c>
      <c r="C23598" s="5" t="str">
        <f>IFERROR(__xludf.DUMMYFUNCTION("GOOGLETRANSLATE(B23598,""en"",""it"")"),"L'uomo che parla davanti all'auto e dà raccomandazioni.")</f>
        <v>L'uomo che parla davanti all'auto e dà raccomandazioni.</v>
      </c>
    </row>
    <row r="23599">
      <c r="A23599" s="4" t="s">
        <v>29698</v>
      </c>
      <c r="B23599" s="4" t="s">
        <v>1251</v>
      </c>
      <c r="C23599" s="5" t="str">
        <f>IFERROR(__xludf.DUMMYFUNCTION("GOOGLETRANSLATE(B23599,""en"",""it"")"),"Vengono visualizzati i crediti della clip.")</f>
        <v>Vengono visualizzati i crediti della clip.</v>
      </c>
    </row>
    <row r="23600">
      <c r="A23600" s="4" t="s">
        <v>29698</v>
      </c>
      <c r="B23600" s="4" t="s">
        <v>29699</v>
      </c>
      <c r="C23600" s="5" t="str">
        <f>IFERROR(__xludf.DUMMYFUNCTION("GOOGLETRANSLATE(B23600,""en"",""it"")"),"Un ragazzo si siede sul pavimento e parla.")</f>
        <v>Un ragazzo si siede sul pavimento e parla.</v>
      </c>
    </row>
    <row r="23601">
      <c r="A23601" s="4" t="s">
        <v>29698</v>
      </c>
      <c r="B23601" s="4" t="s">
        <v>29700</v>
      </c>
      <c r="C23601" s="5" t="str">
        <f>IFERROR(__xludf.DUMMYFUNCTION("GOOGLETRANSLATE(B23601,""en"",""it"")"),"Il ragazzo si sdraia e si siede.")</f>
        <v>Il ragazzo si sdraia e si siede.</v>
      </c>
    </row>
    <row r="23602">
      <c r="A23602" s="4" t="s">
        <v>29698</v>
      </c>
      <c r="B23602" s="4" t="s">
        <v>29701</v>
      </c>
      <c r="C23602" s="5" t="str">
        <f>IFERROR(__xludf.DUMMYFUNCTION("GOOGLETRANSLATE(B23602,""en"",""it"")"),"Il ragazzo torna in posizione seduta.")</f>
        <v>Il ragazzo torna in posizione seduta.</v>
      </c>
    </row>
    <row r="23603">
      <c r="A23603" s="4" t="s">
        <v>29698</v>
      </c>
      <c r="B23603" s="4" t="s">
        <v>29702</v>
      </c>
      <c r="C23603" s="5" t="str">
        <f>IFERROR(__xludf.DUMMYFUNCTION("GOOGLETRANSLATE(B23603,""en"",""it"")"),"Vengono visualizzati i crediti del video e un'immagine.")</f>
        <v>Vengono visualizzati i crediti del video e un'immagine.</v>
      </c>
    </row>
    <row r="23604">
      <c r="A23604" s="4" t="s">
        <v>29703</v>
      </c>
      <c r="B23604" s="6" t="s">
        <v>29704</v>
      </c>
      <c r="C23604" s="5" t="str">
        <f>IFERROR(__xludf.DUMMYFUNCTION("GOOGLETRANSLATE(B23604,""en"",""it"")"),"Una femmina caucasica è seduta su una sedia che gira intorno a mostrare il suo lungo stile biondo, è bloccato a destra e ha riccioli sul fondo.")</f>
        <v>Una femmina caucasica è seduta su una sedia che gira intorno a mostrare il suo lungo stile biondo, è bloccato a destra e ha riccioli sul fondo.</v>
      </c>
    </row>
    <row r="23605">
      <c r="A23605" s="4" t="s">
        <v>29703</v>
      </c>
      <c r="B23605" s="6" t="s">
        <v>29705</v>
      </c>
      <c r="C23605" s="5" t="str">
        <f>IFERROR(__xludf.DUMMYFUNCTION("GOOGLETRANSLATE(B23605,""en"",""it"")"),"Nella schermata successiva, una donna inizia a afferrare il fondo e rotolandolo dal basso fino a circa tre pollici e lo sigilla con un pezzo di lamina.")</f>
        <v>Nella schermata successiva, una donna inizia a afferrare il fondo e rotolandolo dal basso fino a circa tre pollici e lo sigilla con un pezzo di lamina.</v>
      </c>
    </row>
    <row r="23606">
      <c r="A23606" s="4" t="s">
        <v>29703</v>
      </c>
      <c r="B23606" s="4" t="s">
        <v>29706</v>
      </c>
      <c r="C23606" s="5" t="str">
        <f>IFERROR(__xludf.DUMMYFUNCTION("GOOGLETRANSLATE(B23606,""en"",""it"")"),"Una volta che i capelli sono piegati in un foglio, la signora prende un ferro da stiro e lo fa scorrere sul foglio.")</f>
        <v>Una volta che i capelli sono piegati in un foglio, la signora prende un ferro da stiro e lo fa scorrere sul foglio.</v>
      </c>
    </row>
    <row r="23607">
      <c r="A23607" s="4" t="s">
        <v>29703</v>
      </c>
      <c r="B23607" s="6" t="s">
        <v>29707</v>
      </c>
      <c r="C23607" s="5" t="str">
        <f>IFERROR(__xludf.DUMMYFUNCTION("GOOGLETRANSLATE(B23607,""en"",""it"")"),"Quando arriva la scena successiva, la signora è raffigurata con otto riccioli sventati nella testa che sono sigillati con lunghi perni per capelli.")</f>
        <v>Quando arriva la scena successiva, la signora è raffigurata con otto riccioli sventati nella testa che sono sigillati con lunghi perni per capelli.</v>
      </c>
    </row>
    <row r="23608">
      <c r="A23608" s="4" t="s">
        <v>29703</v>
      </c>
      <c r="B23608" s="4" t="s">
        <v>29708</v>
      </c>
      <c r="C23608" s="5" t="str">
        <f>IFERROR(__xludf.DUMMYFUNCTION("GOOGLETRANSLATE(B23608,""en"",""it"")"),"Il passo successivo è quindi rimuovere i pin seguiti dal foglio e rilasciare i riccioli.")</f>
        <v>Il passo successivo è quindi rimuovere i pin seguiti dal foglio e rilasciare i riccioli.</v>
      </c>
    </row>
    <row r="23609">
      <c r="A23609" s="4" t="s">
        <v>29703</v>
      </c>
      <c r="B23609" s="4" t="s">
        <v>29709</v>
      </c>
      <c r="C23609" s="5" t="str">
        <f>IFERROR(__xludf.DUMMYFUNCTION("GOOGLETRANSLATE(B23609,""en"",""it"")"),"Infine, lo stile è completato e viene ancora una volta girata per mostrare il prodotto finito.")</f>
        <v>Infine, lo stile è completato e viene ancora una volta girata per mostrare il prodotto finito.</v>
      </c>
    </row>
    <row r="23610">
      <c r="A23610" s="4" t="s">
        <v>29710</v>
      </c>
      <c r="B23610" s="4" t="s">
        <v>29711</v>
      </c>
      <c r="C23610" s="5" t="str">
        <f>IFERROR(__xludf.DUMMYFUNCTION("GOOGLETRANSLATE(B23610,""en"",""it"")"),"Una donna cammina su un palcoscenico blu.")</f>
        <v>Una donna cammina su un palcoscenico blu.</v>
      </c>
    </row>
    <row r="23611">
      <c r="A23611" s="4" t="s">
        <v>29710</v>
      </c>
      <c r="B23611" s="4" t="s">
        <v>29712</v>
      </c>
      <c r="C23611" s="5" t="str">
        <f>IFERROR(__xludf.DUMMYFUNCTION("GOOGLETRANSLATE(B23611,""en"",""it"")"),"Comincia a girare avanti e indietro sul palco.")</f>
        <v>Comincia a girare avanti e indietro sul palco.</v>
      </c>
    </row>
    <row r="23612">
      <c r="A23612" s="4" t="s">
        <v>29710</v>
      </c>
      <c r="B23612" s="4" t="s">
        <v>29713</v>
      </c>
      <c r="C23612" s="5" t="str">
        <f>IFERROR(__xludf.DUMMYFUNCTION("GOOGLETRANSLATE(B23612,""en"",""it"")"),"Sta girando e girando un testimone mentre si esibisce prima di scomparire.")</f>
        <v>Sta girando e girando un testimone mentre si esibisce prima di scomparire.</v>
      </c>
    </row>
    <row r="23613">
      <c r="A23613" s="4" t="s">
        <v>29714</v>
      </c>
      <c r="B23613" s="4" t="s">
        <v>29715</v>
      </c>
      <c r="C23613" s="5" t="str">
        <f>IFERROR(__xludf.DUMMYFUNCTION("GOOGLETRANSLATE(B23613,""en"",""it"")"),"Una donna si lava i capelli con la mano.")</f>
        <v>Una donna si lava i capelli con la mano.</v>
      </c>
    </row>
    <row r="23614">
      <c r="A23614" s="4" t="s">
        <v>29714</v>
      </c>
      <c r="B23614" s="4" t="s">
        <v>29716</v>
      </c>
      <c r="C23614" s="5" t="str">
        <f>IFERROR(__xludf.DUMMYFUNCTION("GOOGLETRANSLATE(B23614,""en"",""it"")"),"La donna si aggancia i capelli con un pettine.")</f>
        <v>La donna si aggancia i capelli con un pettine.</v>
      </c>
    </row>
    <row r="23615">
      <c r="A23615" s="4" t="s">
        <v>29714</v>
      </c>
      <c r="B23615" s="4" t="s">
        <v>29717</v>
      </c>
      <c r="C23615" s="5" t="str">
        <f>IFERROR(__xludf.DUMMYFUNCTION("GOOGLETRANSLATE(B23615,""en"",""it"")"),"La pettinatura è mostrata al rallentatore.")</f>
        <v>La pettinatura è mostrata al rallentatore.</v>
      </c>
    </row>
    <row r="23616">
      <c r="A23616" s="4" t="s">
        <v>29718</v>
      </c>
      <c r="B23616" s="6" t="s">
        <v>29719</v>
      </c>
      <c r="C23616" s="5" t="str">
        <f>IFERROR(__xludf.DUMMYFUNCTION("GOOGLETRANSLATE(B23616,""en"",""it"")"),"Ragazzi e ragazze sono sul palco facendo una coreografia di cheerleader in una competizione mentre le persone in stand li guardano.")</f>
        <v>Ragazzi e ragazze sono sul palco facendo una coreografia di cheerleader in una competizione mentre le persone in stand li guardano.</v>
      </c>
    </row>
    <row r="23617">
      <c r="A23617" s="4" t="s">
        <v>29718</v>
      </c>
      <c r="B23617" s="4" t="s">
        <v>29720</v>
      </c>
      <c r="C23617" s="5" t="str">
        <f>IFERROR(__xludf.DUMMYFUNCTION("GOOGLETRANSLATE(B23617,""en"",""it"")"),"Gli uomini che indossano uniformi nere sono in piedi dietro la squadra di allegria.")</f>
        <v>Gli uomini che indossano uniformi nere sono in piedi dietro la squadra di allegria.</v>
      </c>
    </row>
    <row r="23618">
      <c r="A23618" s="4" t="s">
        <v>29721</v>
      </c>
      <c r="B23618" s="4" t="s">
        <v>29722</v>
      </c>
      <c r="C23618" s="5" t="str">
        <f>IFERROR(__xludf.DUMMYFUNCTION("GOOGLETRANSLATE(B23618,""en"",""it"")"),"Un uomo parla di fronte a un edificio per uffici.")</f>
        <v>Un uomo parla di fronte a un edificio per uffici.</v>
      </c>
    </row>
    <row r="23619">
      <c r="A23619" s="4" t="s">
        <v>29721</v>
      </c>
      <c r="B23619" s="4" t="s">
        <v>29723</v>
      </c>
      <c r="C23619" s="5" t="str">
        <f>IFERROR(__xludf.DUMMYFUNCTION("GOOGLETRANSLATE(B23619,""en"",""it"")"),"L'uomo entra nell'edificio e cammina sulla scala.")</f>
        <v>L'uomo entra nell'edificio e cammina sulla scala.</v>
      </c>
    </row>
    <row r="23620">
      <c r="A23620" s="4" t="s">
        <v>29721</v>
      </c>
      <c r="B23620" s="4" t="s">
        <v>29724</v>
      </c>
      <c r="C23620" s="5" t="str">
        <f>IFERROR(__xludf.DUMMYFUNCTION("GOOGLETRANSLATE(B23620,""en"",""it"")"),"L'uomo entra in palestra.")</f>
        <v>L'uomo entra in palestra.</v>
      </c>
    </row>
    <row r="23621">
      <c r="A23621" s="4" t="s">
        <v>29721</v>
      </c>
      <c r="B23621" s="4" t="s">
        <v>29725</v>
      </c>
      <c r="C23621" s="5" t="str">
        <f>IFERROR(__xludf.DUMMYFUNCTION("GOOGLETRANSLATE(B23621,""en"",""it"")"),"Le persone vanno in bicicletta e guardano una televisione in palestra.")</f>
        <v>Le persone vanno in bicicletta e guardano una televisione in palestra.</v>
      </c>
    </row>
    <row r="23622">
      <c r="A23622" s="4" t="s">
        <v>29726</v>
      </c>
      <c r="B23622" s="4" t="s">
        <v>29727</v>
      </c>
      <c r="C23622" s="5" t="str">
        <f>IFERROR(__xludf.DUMMYFUNCTION("GOOGLETRANSLATE(B23622,""en"",""it"")"),"Forniture per lucidatura da scarpe in un negozio, quindi le persone in una classe ricevono istruzioni sul lucido da scarpe.")</f>
        <v>Forniture per lucidatura da scarpe in un negozio, quindi le persone in una classe ricevono istruzioni sul lucido da scarpe.</v>
      </c>
    </row>
    <row r="23623">
      <c r="A23623" s="4" t="s">
        <v>29726</v>
      </c>
      <c r="B23623" s="4" t="s">
        <v>29728</v>
      </c>
      <c r="C23623" s="5" t="str">
        <f>IFERROR(__xludf.DUMMYFUNCTION("GOOGLETRANSLATE(B23623,""en"",""it"")"),"L'insegnante dimostra di lucidare uno stivale usando un tessuto.")</f>
        <v>L'insegnante dimostra di lucidare uno stivale usando un tessuto.</v>
      </c>
    </row>
    <row r="23624">
      <c r="A23624" s="4" t="s">
        <v>29726</v>
      </c>
      <c r="B23624" s="4" t="s">
        <v>29729</v>
      </c>
      <c r="C23624" s="5" t="str">
        <f>IFERROR(__xludf.DUMMYFUNCTION("GOOGLETRANSLATE(B23624,""en"",""it"")"),"Quindi, una ragazza lucida la scarpa di una donna che usa un panno.")</f>
        <v>Quindi, una ragazza lucida la scarpa di una donna che usa un panno.</v>
      </c>
    </row>
    <row r="23625">
      <c r="A23625" s="4" t="s">
        <v>29726</v>
      </c>
      <c r="B23625" s="4" t="s">
        <v>29730</v>
      </c>
      <c r="C23625" s="5" t="str">
        <f>IFERROR(__xludf.DUMMYFUNCTION("GOOGLETRANSLATE(B23625,""en"",""it"")"),"Una persona scatta foto e un film per cameraman.")</f>
        <v>Una persona scatta foto e un film per cameraman.</v>
      </c>
    </row>
    <row r="23626">
      <c r="A23626" s="4" t="s">
        <v>29726</v>
      </c>
      <c r="B23626" s="4" t="s">
        <v>29731</v>
      </c>
      <c r="C23626" s="5" t="str">
        <f>IFERROR(__xludf.DUMMYFUNCTION("GOOGLETRANSLATE(B23626,""en"",""it"")"),"Dopo, le persone praticano il lucido da scarpe in gruppo.")</f>
        <v>Dopo, le persone praticano il lucido da scarpe in gruppo.</v>
      </c>
    </row>
    <row r="23627">
      <c r="A23627" s="4" t="s">
        <v>29732</v>
      </c>
      <c r="B23627" s="4" t="s">
        <v>29733</v>
      </c>
      <c r="C23627" s="5" t="str">
        <f>IFERROR(__xludf.DUMMYFUNCTION("GOOGLETRANSLATE(B23627,""en"",""it"")"),"Vediamo la schermata di apertura su Orange.")</f>
        <v>Vediamo la schermata di apertura su Orange.</v>
      </c>
    </row>
    <row r="23628">
      <c r="A23628" s="4" t="s">
        <v>29732</v>
      </c>
      <c r="B23628" s="4" t="s">
        <v>29734</v>
      </c>
      <c r="C23628" s="5" t="str">
        <f>IFERROR(__xludf.DUMMYFUNCTION("GOOGLETRANSLATE(B23628,""en"",""it"")"),"Una signora sta cucinando in cucina.")</f>
        <v>Una signora sta cucinando in cucina.</v>
      </c>
    </row>
    <row r="23629">
      <c r="A23629" s="4" t="s">
        <v>29732</v>
      </c>
      <c r="B23629" s="4" t="s">
        <v>29735</v>
      </c>
      <c r="C23629" s="5" t="str">
        <f>IFERROR(__xludf.DUMMYFUNCTION("GOOGLETRANSLATE(B23629,""en"",""it"")"),"La signora versa gli ingredienti in una ciotola e si agita.")</f>
        <v>La signora versa gli ingredienti in una ciotola e si agita.</v>
      </c>
    </row>
    <row r="23630">
      <c r="A23630" s="4" t="s">
        <v>29732</v>
      </c>
      <c r="B23630" s="4" t="s">
        <v>29736</v>
      </c>
      <c r="C23630" s="5" t="str">
        <f>IFERROR(__xludf.DUMMYFUNCTION("GOOGLETRANSLATE(B23630,""en"",""it"")"),"La signora mescola una miscela di uova e la mescola con il suo arco originale.")</f>
        <v>La signora mescola una miscela di uova e la mescola con il suo arco originale.</v>
      </c>
    </row>
    <row r="23631">
      <c r="A23631" s="4" t="s">
        <v>29732</v>
      </c>
      <c r="B23631" s="4" t="s">
        <v>29737</v>
      </c>
      <c r="C23631" s="5" t="str">
        <f>IFERROR(__xludf.DUMMYFUNCTION("GOOGLETRANSLATE(B23631,""en"",""it"")"),"Lo mette in una padella di vetro e mette la padella nel forno.")</f>
        <v>Lo mette in una padella di vetro e mette la padella nel forno.</v>
      </c>
    </row>
    <row r="23632">
      <c r="A23632" s="4" t="s">
        <v>29732</v>
      </c>
      <c r="B23632" s="4" t="s">
        <v>14638</v>
      </c>
      <c r="C23632" s="5" t="str">
        <f>IFERROR(__xludf.DUMMYFUNCTION("GOOGLETRANSLATE(B23632,""en"",""it"")"),"Vediamo quindi il prodotto finito.")</f>
        <v>Vediamo quindi il prodotto finito.</v>
      </c>
    </row>
    <row r="23633">
      <c r="A23633" s="4" t="s">
        <v>29738</v>
      </c>
      <c r="B23633" s="4" t="s">
        <v>5833</v>
      </c>
      <c r="C23633" s="5" t="str">
        <f>IFERROR(__xludf.DUMMYFUNCTION("GOOGLETRANSLATE(B23633,""en"",""it"")"),"Una donna è in piedi in una cucina.")</f>
        <v>Una donna è in piedi in una cucina.</v>
      </c>
    </row>
    <row r="23634">
      <c r="A23634" s="4" t="s">
        <v>29738</v>
      </c>
      <c r="B23634" s="4" t="s">
        <v>29739</v>
      </c>
      <c r="C23634" s="5" t="str">
        <f>IFERROR(__xludf.DUMMYFUNCTION("GOOGLETRANSLATE(B23634,""en"",""it"")"),"Comincia a ballare in cucina.")</f>
        <v>Comincia a ballare in cucina.</v>
      </c>
    </row>
    <row r="23635">
      <c r="A23635" s="4" t="s">
        <v>29738</v>
      </c>
      <c r="B23635" s="4" t="s">
        <v>29740</v>
      </c>
      <c r="C23635" s="5" t="str">
        <f>IFERROR(__xludf.DUMMYFUNCTION("GOOGLETRANSLATE(B23635,""en"",""it"")"),"Comincia a pulire il pavimento mentre balla.")</f>
        <v>Comincia a pulire il pavimento mentre balla.</v>
      </c>
    </row>
    <row r="23636">
      <c r="A23636" s="4" t="s">
        <v>29741</v>
      </c>
      <c r="B23636" s="4" t="s">
        <v>29742</v>
      </c>
      <c r="C23636" s="5" t="str">
        <f>IFERROR(__xludf.DUMMYFUNCTION("GOOGLETRANSLATE(B23636,""en"",""it"")"),"Le persone si stanno allenando in palestra.")</f>
        <v>Le persone si stanno allenando in palestra.</v>
      </c>
    </row>
    <row r="23637">
      <c r="A23637" s="4" t="s">
        <v>29741</v>
      </c>
      <c r="B23637" s="4" t="s">
        <v>29743</v>
      </c>
      <c r="C23637" s="5" t="str">
        <f>IFERROR(__xludf.DUMMYFUNCTION("GOOGLETRANSLATE(B23637,""en"",""it"")"),"Si stanno allontanando su e giù da sgabelli neri.")</f>
        <v>Si stanno allontanando su e giù da sgabelli neri.</v>
      </c>
    </row>
    <row r="23638">
      <c r="A23638" s="4" t="s">
        <v>29741</v>
      </c>
      <c r="B23638" s="4" t="s">
        <v>29744</v>
      </c>
      <c r="C23638" s="5" t="str">
        <f>IFERROR(__xludf.DUMMYFUNCTION("GOOGLETRANSLATE(B23638,""en"",""it"")"),"Alzano le mani e smettono di ballare.")</f>
        <v>Alzano le mani e smettono di ballare.</v>
      </c>
    </row>
    <row r="23639">
      <c r="A23639" s="4" t="s">
        <v>29745</v>
      </c>
      <c r="B23639" s="4" t="s">
        <v>29746</v>
      </c>
      <c r="C23639" s="5" t="str">
        <f>IFERROR(__xludf.DUMMYFUNCTION("GOOGLETRANSLATE(B23639,""en"",""it"")"),"Un primo piano di foglie è mostrato da una donna che le rastrella e parla alla telecamera.")</f>
        <v>Un primo piano di foglie è mostrato da una donna che le rastrella e parla alla telecamera.</v>
      </c>
    </row>
    <row r="23640">
      <c r="A23640" s="4" t="s">
        <v>29745</v>
      </c>
      <c r="B23640" s="4" t="s">
        <v>29747</v>
      </c>
      <c r="C23640" s="5" t="str">
        <f>IFERROR(__xludf.DUMMYFUNCTION("GOOGLETRANSLATE(B23640,""en"",""it"")"),"La donna continua a rastrellare mentre parla con la telecamera e la quarta.")</f>
        <v>La donna continua a rastrellare mentre parla con la telecamera e la quarta.</v>
      </c>
    </row>
    <row r="23641">
      <c r="A23641" s="4" t="s">
        <v>29745</v>
      </c>
      <c r="B23641" s="4" t="s">
        <v>29748</v>
      </c>
      <c r="C23641" s="5" t="str">
        <f>IFERROR(__xludf.DUMMYFUNCTION("GOOGLETRANSLATE(B23641,""en"",""it"")"),"Mostra le sue pile e il prato pulito mentre parla ancora alla telecamera.")</f>
        <v>Mostra le sue pile e il prato pulito mentre parla ancora alla telecamera.</v>
      </c>
    </row>
    <row r="23642">
      <c r="A23642" s="4" t="s">
        <v>29749</v>
      </c>
      <c r="B23642" s="4" t="s">
        <v>29750</v>
      </c>
      <c r="C23642" s="5" t="str">
        <f>IFERROR(__xludf.DUMMYFUNCTION("GOOGLETRANSLATE(B23642,""en"",""it"")"),"Una donna di mezza età che indossa un copricapo parla alla telecamera mentre si agita con un cucchiaio.")</f>
        <v>Una donna di mezza età che indossa un copricapo parla alla telecamera mentre si agita con un cucchiaio.</v>
      </c>
    </row>
    <row r="23643">
      <c r="A23643" s="4" t="s">
        <v>29749</v>
      </c>
      <c r="B23643" s="4" t="s">
        <v>29751</v>
      </c>
      <c r="C23643" s="5" t="str">
        <f>IFERROR(__xludf.DUMMYFUNCTION("GOOGLETRANSLATE(B23643,""en"",""it"")"),"Prende un paio di sorsi da una tazza mentre parla ancora alla telecamera.")</f>
        <v>Prende un paio di sorsi da una tazza mentre parla ancora alla telecamera.</v>
      </c>
    </row>
    <row r="23644">
      <c r="A23644" s="4" t="s">
        <v>29749</v>
      </c>
      <c r="B23644" s="4" t="s">
        <v>29752</v>
      </c>
      <c r="C23644" s="5" t="str">
        <f>IFERROR(__xludf.DUMMYFUNCTION("GOOGLETRANSLATE(B23644,""en"",""it"")"),"Lo fa ancora una volta prima di spegnere la fotocamera.")</f>
        <v>Lo fa ancora una volta prima di spegnere la fotocamera.</v>
      </c>
    </row>
    <row r="23645">
      <c r="A23645" s="4" t="s">
        <v>29753</v>
      </c>
      <c r="B23645" s="4" t="s">
        <v>29754</v>
      </c>
      <c r="C23645" s="5" t="str">
        <f>IFERROR(__xludf.DUMMYFUNCTION("GOOGLETRANSLATE(B23645,""en"",""it"")"),"Le persone praticano balletto in uno studio da solo e in coppie.")</f>
        <v>Le persone praticano balletto in uno studio da solo e in coppie.</v>
      </c>
    </row>
    <row r="23646">
      <c r="A23646" s="4" t="s">
        <v>29753</v>
      </c>
      <c r="B23646" s="4" t="s">
        <v>29755</v>
      </c>
      <c r="C23646" s="5" t="str">
        <f>IFERROR(__xludf.DUMMYFUNCTION("GOOGLETRANSLATE(B23646,""en"",""it"")"),"Quindi, un ragazzo e una ragazza ballano balletto, poi un uomo entra e balla con la ragazza.")</f>
        <v>Quindi, un ragazzo e una ragazza ballano balletto, poi un uomo entra e balla con la ragazza.</v>
      </c>
    </row>
    <row r="23647">
      <c r="A23647" s="4" t="s">
        <v>29753</v>
      </c>
      <c r="B23647" s="4" t="s">
        <v>29756</v>
      </c>
      <c r="C23647" s="5" t="str">
        <f>IFERROR(__xludf.DUMMYFUNCTION("GOOGLETRANSLATE(B23647,""en"",""it"")"),"Dopo, diverse coppie danzano balletto mentre altre persone osservano.")</f>
        <v>Dopo, diverse coppie danzano balletto mentre altre persone osservano.</v>
      </c>
    </row>
    <row r="23648">
      <c r="A23648" s="4" t="s">
        <v>29757</v>
      </c>
      <c r="B23648" s="6" t="s">
        <v>29758</v>
      </c>
      <c r="C23648" s="5" t="str">
        <f>IFERROR(__xludf.DUMMYFUNCTION("GOOGLETRANSLATE(B23648,""en"",""it"")"),"Un ragazzo si siede nell'acqua, i suoi sci di fronte a lui, mentre tiene la maniglia della corda tra le gambe.")</f>
        <v>Un ragazzo si siede nell'acqua, i suoi sci di fronte a lui, mentre tiene la maniglia della corda tra le gambe.</v>
      </c>
    </row>
    <row r="23649">
      <c r="A23649" s="4" t="s">
        <v>29757</v>
      </c>
      <c r="B23649" s="6" t="s">
        <v>29759</v>
      </c>
      <c r="C23649" s="5" t="str">
        <f>IFERROR(__xludf.DUMMYFUNCTION("GOOGLETRANSLATE(B23649,""en"",""it"")"),"Vediamo un breve flashback mentre lo vediamo in barca in quell'acqua che viene assistito con i suoi sci.")</f>
        <v>Vediamo un breve flashback mentre lo vediamo in barca in quell'acqua che viene assistito con i suoi sci.</v>
      </c>
    </row>
    <row r="23650">
      <c r="A23650" s="4" t="s">
        <v>29757</v>
      </c>
      <c r="B23650" s="6" t="s">
        <v>29760</v>
      </c>
      <c r="C23650" s="5" t="str">
        <f>IFERROR(__xludf.DUMMYFUNCTION("GOOGLETRANSLATE(B23650,""en"",""it"")"),"Ancora una volta è in acqua e la barca raccoglie lentamente velocità, tirando il giovane in posizione verticale fino a quando sciare a tutta velocità dietro la barca.")</f>
        <v>Ancora una volta è in acqua e la barca raccoglie lentamente velocità, tirando il giovane in posizione verticale fino a quando sciare a tutta velocità dietro la barca.</v>
      </c>
    </row>
    <row r="23651">
      <c r="A23651" s="4" t="s">
        <v>29757</v>
      </c>
      <c r="B23651" s="6" t="s">
        <v>29761</v>
      </c>
      <c r="C23651" s="5" t="str">
        <f>IFERROR(__xludf.DUMMYFUNCTION("GOOGLETRANSLATE(B23651,""en"",""it"")"),"Un uomo si avvicina a lui, le braccia si sono tese mentre tiene una macchina fotografica e poi uno spettacolo con molti altri uomini nella barca.")</f>
        <v>Un uomo si avvicina a lui, le braccia si sono tese mentre tiene una macchina fotografica e poi uno spettacolo con molti altri uomini nella barca.</v>
      </c>
    </row>
    <row r="23652">
      <c r="A23652" s="4" t="s">
        <v>29757</v>
      </c>
      <c r="B23652" s="6" t="s">
        <v>29762</v>
      </c>
      <c r="C23652" s="5" t="str">
        <f>IFERROR(__xludf.DUMMYFUNCTION("GOOGLETRANSLATE(B23652,""en"",""it"")"),"Presto vediamo di nuovo l'uomo in acqua con il braccio attorno alle spalle del ragazzo, il ragazzo trionfante dopo il suo giro di successo.")</f>
        <v>Presto vediamo di nuovo l'uomo in acqua con il braccio attorno alle spalle del ragazzo, il ragazzo trionfante dopo il suo giro di successo.</v>
      </c>
    </row>
    <row r="23653">
      <c r="A23653" s="4" t="s">
        <v>29757</v>
      </c>
      <c r="B23653" s="4" t="s">
        <v>29763</v>
      </c>
      <c r="C23653" s="5" t="str">
        <f>IFERROR(__xludf.DUMMYFUNCTION("GOOGLETRANSLATE(B23653,""en"",""it"")"),"Tutto sommato tutti sembravano godersi una grande giornata all'aperto in barca o sci o entrambi.")</f>
        <v>Tutto sommato tutti sembravano godersi una grande giornata all'aperto in barca o sci o entrambi.</v>
      </c>
    </row>
    <row r="23654">
      <c r="A23654" s="4" t="s">
        <v>29764</v>
      </c>
      <c r="B23654" s="4" t="s">
        <v>29765</v>
      </c>
      <c r="C23654" s="5" t="str">
        <f>IFERROR(__xludf.DUMMYFUNCTION("GOOGLETRANSLATE(B23654,""en"",""it"")"),"Un folto gruppo di persone è visto in piedi in una piazza con persone che giocano a pallavolo.")</f>
        <v>Un folto gruppo di persone è visto in piedi in una piazza con persone che giocano a pallavolo.</v>
      </c>
    </row>
    <row r="23655">
      <c r="A23655" s="4" t="s">
        <v>29764</v>
      </c>
      <c r="B23655" s="6" t="s">
        <v>29766</v>
      </c>
      <c r="C23655" s="5" t="str">
        <f>IFERROR(__xludf.DUMMYFUNCTION("GOOGLETRANSLATE(B23655,""en"",""it"")"),"Le persone colpiscono continuamente la palla attorno al campo sabbioso mentre la telecamera si muove intorno a loro giocando.")</f>
        <v>Le persone colpiscono continuamente la palla attorno al campo sabbioso mentre la telecamera si muove intorno a loro giocando.</v>
      </c>
    </row>
    <row r="23656">
      <c r="A23656" s="4" t="s">
        <v>29764</v>
      </c>
      <c r="B23656" s="4" t="s">
        <v>29767</v>
      </c>
      <c r="C23656" s="5" t="str">
        <f>IFERROR(__xludf.DUMMYFUNCTION("GOOGLETRANSLATE(B23656,""en"",""it"")"),"La fotocamera si lancia intorno al gruppo mentre continuano a giocare.")</f>
        <v>La fotocamera si lancia intorno al gruppo mentre continuano a giocare.</v>
      </c>
    </row>
    <row r="23657">
      <c r="A23657" s="4" t="s">
        <v>29768</v>
      </c>
      <c r="B23657" s="6" t="s">
        <v>29769</v>
      </c>
      <c r="C23657" s="5" t="str">
        <f>IFERROR(__xludf.DUMMYFUNCTION("GOOGLETRANSLATE(B23657,""en"",""it"")"),"Una telecamera si lancia all'esterno di un edificio e nelle aree circostanti e conduce in diversi scatti di persone che vanno in bici su una pista.")</f>
        <v>Una telecamera si lancia all'esterno di un edificio e nelle aree circostanti e conduce in diversi scatti di persone che vanno in bici su una pista.</v>
      </c>
    </row>
    <row r="23658">
      <c r="A23658" s="4" t="s">
        <v>29768</v>
      </c>
      <c r="B23658" s="6" t="s">
        <v>29770</v>
      </c>
      <c r="C23658" s="5" t="str">
        <f>IFERROR(__xludf.DUMMYFUNCTION("GOOGLETRANSLATE(B23658,""en"",""it"")"),"Molte persone guardano la gara in disparte mentre le persone continuano a girare in pista e altre registrano il loro tempo.")</f>
        <v>Molte persone guardano la gara in disparte mentre le persone continuano a girare in pista e altre registrano il loro tempo.</v>
      </c>
    </row>
    <row r="23659">
      <c r="A23659" s="4" t="s">
        <v>29768</v>
      </c>
      <c r="B23659" s="4" t="s">
        <v>29771</v>
      </c>
      <c r="C23659" s="5" t="str">
        <f>IFERROR(__xludf.DUMMYFUNCTION("GOOGLETRANSLATE(B23659,""en"",""it"")"),"Molte persone si siedono a parlare con un uomo che parla con un grande gruppo.")</f>
        <v>Molte persone si siedono a parlare con un uomo che parla con un grande gruppo.</v>
      </c>
    </row>
    <row r="23660">
      <c r="A23660" s="4" t="s">
        <v>29768</v>
      </c>
      <c r="B23660" s="6" t="s">
        <v>29772</v>
      </c>
      <c r="C23660" s="5" t="str">
        <f>IFERROR(__xludf.DUMMYFUNCTION("GOOGLETRANSLATE(B23660,""en"",""it"")"),"Vengono mostrati altri scatti di persone che parlano e cavalcano e il pubblico li rallegra sugli spalti.")</f>
        <v>Vengono mostrati altri scatti di persone che parlano e cavalcano e il pubblico li rallegra sugli spalti.</v>
      </c>
    </row>
    <row r="23661">
      <c r="A23661" s="4" t="s">
        <v>29773</v>
      </c>
      <c r="B23661" s="4" t="s">
        <v>29774</v>
      </c>
      <c r="C23661" s="5" t="str">
        <f>IFERROR(__xludf.DUMMYFUNCTION("GOOGLETRANSLATE(B23661,""en"",""it"")"),"Un uomo più anziano in una maglietta gialla si trova da un garage aperto e auto bianca parcheggiata fuori.")</f>
        <v>Un uomo più anziano in una maglietta gialla si trova da un garage aperto e auto bianca parcheggiata fuori.</v>
      </c>
    </row>
    <row r="23662">
      <c r="A23662" s="4" t="s">
        <v>29773</v>
      </c>
      <c r="B23662" s="4" t="s">
        <v>29775</v>
      </c>
      <c r="C23662" s="5" t="str">
        <f>IFERROR(__xludf.DUMMYFUNCTION("GOOGLETRANSLATE(B23662,""en"",""it"")"),"L'uomo versa acqua e soluzione in un serbatoio di spruzzatore di secchi e bacchetta.")</f>
        <v>L'uomo versa acqua e soluzione in un serbatoio di spruzzatore di secchi e bacchetta.</v>
      </c>
    </row>
    <row r="23663">
      <c r="A23663" s="4" t="s">
        <v>29773</v>
      </c>
      <c r="B23663" s="4" t="s">
        <v>29776</v>
      </c>
      <c r="C23663" s="5" t="str">
        <f>IFERROR(__xludf.DUMMYFUNCTION("GOOGLETRANSLATE(B23663,""en"",""it"")"),"L'uomo inizia a lavare l'auto di Nissan Leaf con lo spruzzatore e la asciuga con un panno.")</f>
        <v>L'uomo inizia a lavare l'auto di Nissan Leaf con lo spruzzatore e la asciuga con un panno.</v>
      </c>
    </row>
    <row r="23664">
      <c r="A23664" s="4" t="s">
        <v>29777</v>
      </c>
      <c r="B23664" s="4" t="s">
        <v>29778</v>
      </c>
      <c r="C23664" s="5" t="str">
        <f>IFERROR(__xludf.DUMMYFUNCTION("GOOGLETRANSLATE(B23664,""en"",""it"")"),"Una festa di nozze è in piedi davanti a un corridoio.")</f>
        <v>Una festa di nozze è in piedi davanti a un corridoio.</v>
      </c>
    </row>
    <row r="23665">
      <c r="A23665" s="4" t="s">
        <v>29777</v>
      </c>
      <c r="B23665" s="6" t="s">
        <v>29779</v>
      </c>
      <c r="C23665" s="5" t="str">
        <f>IFERROR(__xludf.DUMMYFUNCTION("GOOGLETRANSLATE(B23665,""en"",""it"")"),"Un paio di uomini che giocano a cornamuse entrano nella stanza prima che la sposa faccia l'ingresso con suo padre.")</f>
        <v>Un paio di uomini che giocano a cornamuse entrano nella stanza prima che la sposa faccia l'ingresso con suo padre.</v>
      </c>
    </row>
    <row r="23666">
      <c r="A23666" s="4" t="s">
        <v>29777</v>
      </c>
      <c r="B23666" s="4" t="s">
        <v>29780</v>
      </c>
      <c r="C23666" s="5" t="str">
        <f>IFERROR(__xludf.DUMMYFUNCTION("GOOGLETRANSLATE(B23666,""en"",""it"")"),"Tutti sono per guardare la processione.")</f>
        <v>Tutti sono per guardare la processione.</v>
      </c>
    </row>
    <row r="23667">
      <c r="A23667" s="4" t="s">
        <v>29777</v>
      </c>
      <c r="B23667" s="6" t="s">
        <v>29781</v>
      </c>
      <c r="C23667" s="5" t="str">
        <f>IFERROR(__xludf.DUMMYFUNCTION("GOOGLETRANSLATE(B23667,""en"",""it"")"),"L'uomo scuote le mani con lo sposo e vediamo la coppia in piedi sull'altare, uno di fronte all'altro.")</f>
        <v>L'uomo scuote le mani con lo sposo e vediamo la coppia in piedi sull'altare, uno di fronte all'altro.</v>
      </c>
    </row>
    <row r="23668">
      <c r="A23668" s="4" t="s">
        <v>29782</v>
      </c>
      <c r="B23668" s="4" t="s">
        <v>29783</v>
      </c>
      <c r="C23668" s="5" t="str">
        <f>IFERROR(__xludf.DUMMYFUNCTION("GOOGLETRANSLATE(B23668,""en"",""it"")"),"Un giovane è sciogo e cade.")</f>
        <v>Un giovane è sciogo e cade.</v>
      </c>
    </row>
    <row r="23669">
      <c r="A23669" s="4" t="s">
        <v>29782</v>
      </c>
      <c r="B23669" s="4" t="s">
        <v>29784</v>
      </c>
      <c r="C23669" s="5" t="str">
        <f>IFERROR(__xludf.DUMMYFUNCTION("GOOGLETRANSLATE(B23669,""en"",""it"")"),"Guardare video del lago e guidare.")</f>
        <v>Guardare video del lago e guidare.</v>
      </c>
    </row>
    <row r="23670">
      <c r="A23670" s="4" t="s">
        <v>29782</v>
      </c>
      <c r="B23670" s="4" t="s">
        <v>29785</v>
      </c>
      <c r="C23670" s="5" t="str">
        <f>IFERROR(__xludf.DUMMYFUNCTION("GOOGLETRANSLATE(B23670,""en"",""it"")"),"Puoi vedere un uomo sciare da diverse angolazioni.")</f>
        <v>Puoi vedere un uomo sciare da diverse angolazioni.</v>
      </c>
    </row>
    <row r="23671">
      <c r="A23671" s="4" t="s">
        <v>29782</v>
      </c>
      <c r="B23671" s="4" t="s">
        <v>29786</v>
      </c>
      <c r="C23671" s="5" t="str">
        <f>IFERROR(__xludf.DUMMYFUNCTION("GOOGLETRANSLATE(B23671,""en"",""it"")"),"Inverno di sci d'acqua a Stoney Park.")</f>
        <v>Inverno di sci d'acqua a Stoney Park.</v>
      </c>
    </row>
    <row r="23672">
      <c r="A23672" s="4" t="s">
        <v>29787</v>
      </c>
      <c r="B23672" s="6" t="s">
        <v>29788</v>
      </c>
      <c r="C23672" s="5" t="str">
        <f>IFERROR(__xludf.DUMMYFUNCTION("GOOGLETRANSLATE(B23672,""en"",""it"")"),"La donna tenta di rastrellare le foglie, ma poi cade e si alza con il rastrello e un uomo se lo prende.")</f>
        <v>La donna tenta di rastrellare le foglie, ma poi cade e si alza con il rastrello e un uomo se lo prende.</v>
      </c>
    </row>
    <row r="23673">
      <c r="A23673" s="4" t="s">
        <v>29787</v>
      </c>
      <c r="B23673" s="4" t="s">
        <v>29789</v>
      </c>
      <c r="C23673" s="5" t="str">
        <f>IFERROR(__xludf.DUMMYFUNCTION("GOOGLETRANSLATE(B23673,""en"",""it"")"),"Poi si allontana e torna di nuovo e lui rastrella le foglie sopra di lei.")</f>
        <v>Poi si allontana e torna di nuovo e lui rastrella le foglie sopra di lei.</v>
      </c>
    </row>
    <row r="23674">
      <c r="A23674" s="4" t="s">
        <v>29790</v>
      </c>
      <c r="B23674" s="6" t="s">
        <v>29791</v>
      </c>
      <c r="C23674" s="5" t="str">
        <f>IFERROR(__xludf.DUMMYFUNCTION("GOOGLETRANSLATE(B23674,""en"",""it"")"),"Due persone si vedono fare varie arti marziali che si muovono l'un l'altro mentre una folla di persone tira e applaude.")</f>
        <v>Due persone si vedono fare varie arti marziali che si muovono l'un l'altro mentre una folla di persone tira e applaude.</v>
      </c>
    </row>
    <row r="23675">
      <c r="A23675" s="4" t="s">
        <v>29790</v>
      </c>
      <c r="B23675" s="4" t="s">
        <v>29792</v>
      </c>
      <c r="C23675" s="5" t="str">
        <f>IFERROR(__xludf.DUMMYFUNCTION("GOOGLETRANSLATE(B23675,""en"",""it"")"),"Gli uomini continuano a calciare l'uno intorno all'altro e finiscono con loro che afferrano le mani e sorridono.")</f>
        <v>Gli uomini continuano a calciare l'uno intorno all'altro e finiscono con loro che afferrano le mani e sorridono.</v>
      </c>
    </row>
    <row r="23676">
      <c r="A23676" s="4" t="s">
        <v>29793</v>
      </c>
      <c r="B23676" s="4" t="s">
        <v>29794</v>
      </c>
      <c r="C23676" s="5" t="str">
        <f>IFERROR(__xludf.DUMMYFUNCTION("GOOGLETRANSLATE(B23676,""en"",""it"")"),"Una ragazza sta fumando una sigaretta.")</f>
        <v>Una ragazza sta fumando una sigaretta.</v>
      </c>
    </row>
    <row r="23677">
      <c r="A23677" s="4" t="s">
        <v>29793</v>
      </c>
      <c r="B23677" s="4" t="s">
        <v>29795</v>
      </c>
      <c r="C23677" s="5" t="str">
        <f>IFERROR(__xludf.DUMMYFUNCTION("GOOGLETRANSLATE(B23677,""en"",""it"")"),"Una ragazza fa esplodere il fumo.")</f>
        <v>Una ragazza fa esplodere il fumo.</v>
      </c>
    </row>
    <row r="23678">
      <c r="A23678" s="4" t="s">
        <v>29793</v>
      </c>
      <c r="B23678" s="4" t="s">
        <v>29796</v>
      </c>
      <c r="C23678" s="5" t="str">
        <f>IFERROR(__xludf.DUMMYFUNCTION("GOOGLETRANSLATE(B23678,""en"",""it"")"),"Un ragazzo siede, gesti e discute.")</f>
        <v>Un ragazzo siede, gesti e discute.</v>
      </c>
    </row>
    <row r="23679">
      <c r="A23679" s="4" t="s">
        <v>29793</v>
      </c>
      <c r="B23679" s="4" t="s">
        <v>29797</v>
      </c>
      <c r="C23679" s="5" t="str">
        <f>IFERROR(__xludf.DUMMYFUNCTION("GOOGLETRANSLATE(B23679,""en"",""it"")"),"Il ragazzo gestisce una sigaretta.")</f>
        <v>Il ragazzo gestisce una sigaretta.</v>
      </c>
    </row>
    <row r="23680">
      <c r="A23680" s="4" t="s">
        <v>29793</v>
      </c>
      <c r="B23680" s="4" t="s">
        <v>1251</v>
      </c>
      <c r="C23680" s="5" t="str">
        <f>IFERROR(__xludf.DUMMYFUNCTION("GOOGLETRANSLATE(B23680,""en"",""it"")"),"Vengono visualizzati i crediti della clip.")</f>
        <v>Vengono visualizzati i crediti della clip.</v>
      </c>
    </row>
    <row r="23681">
      <c r="A23681" s="4" t="s">
        <v>29798</v>
      </c>
      <c r="B23681" s="4" t="s">
        <v>29799</v>
      </c>
      <c r="C23681" s="5" t="str">
        <f>IFERROR(__xludf.DUMMYFUNCTION("GOOGLETRANSLATE(B23681,""en"",""it"")"),"Una bambina fa un'introduzione per un video di se stessa che suona il violino.")</f>
        <v>Una bambina fa un'introduzione per un video di se stessa che suona il violino.</v>
      </c>
    </row>
    <row r="23682">
      <c r="A23682" s="4" t="s">
        <v>29798</v>
      </c>
      <c r="B23682" s="4" t="s">
        <v>29800</v>
      </c>
      <c r="C23682" s="5" t="str">
        <f>IFERROR(__xludf.DUMMYFUNCTION("GOOGLETRANSLATE(B23682,""en"",""it"")"),"Comincia a suonare il violino in modo gioioso e professionale.")</f>
        <v>Comincia a suonare il violino in modo gioioso e professionale.</v>
      </c>
    </row>
    <row r="23683">
      <c r="A23683" s="4" t="s">
        <v>29798</v>
      </c>
      <c r="B23683" s="4" t="s">
        <v>29801</v>
      </c>
      <c r="C23683" s="5" t="str">
        <f>IFERROR(__xludf.DUMMYFUNCTION("GOOGLETRANSLATE(B23683,""en"",""it"")"),"Comincia a raccogliere la velocità della canzone.")</f>
        <v>Comincia a raccogliere la velocità della canzone.</v>
      </c>
    </row>
    <row r="23684">
      <c r="A23684" s="4" t="s">
        <v>29798</v>
      </c>
      <c r="B23684" s="4" t="s">
        <v>29802</v>
      </c>
      <c r="C23684" s="5" t="str">
        <f>IFERROR(__xludf.DUMMYFUNCTION("GOOGLETRANSLATE(B23684,""en"",""it"")"),"Quando ha finito di suonare, spiega che il pezzo che ha appena suonato.")</f>
        <v>Quando ha finito di suonare, spiega che il pezzo che ha appena suonato.</v>
      </c>
    </row>
    <row r="23685">
      <c r="A23685" s="4" t="s">
        <v>29803</v>
      </c>
      <c r="B23685" s="4" t="s">
        <v>29804</v>
      </c>
      <c r="C23685" s="5" t="str">
        <f>IFERROR(__xludf.DUMMYFUNCTION("GOOGLETRANSLATE(B23685,""en"",""it"")"),"Vengono mostrate istruzioni su come suonare accordi sul violino.")</f>
        <v>Vengono mostrate istruzioni su come suonare accordi sul violino.</v>
      </c>
    </row>
    <row r="23686">
      <c r="A23686" s="4" t="s">
        <v>29803</v>
      </c>
      <c r="B23686" s="4" t="s">
        <v>29805</v>
      </c>
      <c r="C23686" s="5" t="str">
        <f>IFERROR(__xludf.DUMMYFUNCTION("GOOGLETRANSLATE(B23686,""en"",""it"")"),"La donna è in una stanza suonando il violino.")</f>
        <v>La donna è in una stanza suonando il violino.</v>
      </c>
    </row>
    <row r="23687">
      <c r="A23687" s="4" t="s">
        <v>29803</v>
      </c>
      <c r="B23687" s="4" t="s">
        <v>29806</v>
      </c>
      <c r="C23687" s="5" t="str">
        <f>IFERROR(__xludf.DUMMYFUNCTION("GOOGLETRANSLATE(B23687,""en"",""it"")"),"La donna sta mostrando come suonare accordi sul violino di legno.")</f>
        <v>La donna sta mostrando come suonare accordi sul violino di legno.</v>
      </c>
    </row>
    <row r="23688">
      <c r="A23688" s="4" t="s">
        <v>29807</v>
      </c>
      <c r="B23688" s="4" t="s">
        <v>29808</v>
      </c>
      <c r="C23688" s="5" t="str">
        <f>IFERROR(__xludf.DUMMYFUNCTION("GOOGLETRANSLATE(B23688,""en"",""it"")"),"I bambini stanno guidando in auto paraurti.")</f>
        <v>I bambini stanno guidando in auto paraurti.</v>
      </c>
    </row>
    <row r="23689">
      <c r="A23689" s="4" t="s">
        <v>29807</v>
      </c>
      <c r="B23689" s="4" t="s">
        <v>29809</v>
      </c>
      <c r="C23689" s="5" t="str">
        <f>IFERROR(__xludf.DUMMYFUNCTION("GOOGLETRANSLATE(B23689,""en"",""it"")"),"Le auto si schiantano l'una nell'altra.")</f>
        <v>Le auto si schiantano l'una nell'altra.</v>
      </c>
    </row>
    <row r="23690">
      <c r="A23690" s="4" t="s">
        <v>29807</v>
      </c>
      <c r="B23690" s="4" t="s">
        <v>29810</v>
      </c>
      <c r="C23690" s="5" t="str">
        <f>IFERROR(__xludf.DUMMYFUNCTION("GOOGLETRANSLATE(B23690,""en"",""it"")"),"Il bambino nell'auto verde si schianta contro il muro.")</f>
        <v>Il bambino nell'auto verde si schianta contro il muro.</v>
      </c>
    </row>
    <row r="23691">
      <c r="A23691" s="4" t="s">
        <v>29811</v>
      </c>
      <c r="B23691" s="4" t="s">
        <v>29812</v>
      </c>
      <c r="C23691" s="5" t="str">
        <f>IFERROR(__xludf.DUMMYFUNCTION("GOOGLETRANSLATE(B23691,""en"",""it"")"),"Una donna che indossa i ricci mostra come avvolgere pezzi di tessuto su un rullo.")</f>
        <v>Una donna che indossa i ricci mostra come avvolgere pezzi di tessuto su un rullo.</v>
      </c>
    </row>
    <row r="23692">
      <c r="A23692" s="4" t="s">
        <v>29811</v>
      </c>
      <c r="B23692" s="4" t="s">
        <v>29813</v>
      </c>
      <c r="C23692" s="5" t="str">
        <f>IFERROR(__xludf.DUMMYFUNCTION("GOOGLETRANSLATE(B23692,""en"",""it"")"),"La donna si srotola i riccioli dai capelli.")</f>
        <v>La donna si srotola i riccioli dai capelli.</v>
      </c>
    </row>
    <row r="23693">
      <c r="A23693" s="4" t="s">
        <v>29811</v>
      </c>
      <c r="B23693" s="4" t="s">
        <v>29814</v>
      </c>
      <c r="C23693" s="5" t="str">
        <f>IFERROR(__xludf.DUMMYFUNCTION("GOOGLETRANSLATE(B23693,""en"",""it"")"),"La donna si spegne i capelli usando le mani.")</f>
        <v>La donna si spegne i capelli usando le mani.</v>
      </c>
    </row>
    <row r="23694">
      <c r="A23694" s="4" t="s">
        <v>29815</v>
      </c>
      <c r="B23694" s="4" t="s">
        <v>29816</v>
      </c>
      <c r="C23694" s="5" t="str">
        <f>IFERROR(__xludf.DUMMYFUNCTION("GOOGLETRANSLATE(B23694,""en"",""it"")"),"Le persone cavalcano cavalli intorno a un'arena.")</f>
        <v>Le persone cavalcano cavalli intorno a un'arena.</v>
      </c>
    </row>
    <row r="23695">
      <c r="A23695" s="4" t="s">
        <v>29815</v>
      </c>
      <c r="B23695" s="4" t="s">
        <v>29817</v>
      </c>
      <c r="C23695" s="5" t="str">
        <f>IFERROR(__xludf.DUMMYFUNCTION("GOOGLETRANSLATE(B23695,""en"",""it"")"),"Le persone sono in piedi fuori dall'arena a guardarli.")</f>
        <v>Le persone sono in piedi fuori dall'arena a guardarli.</v>
      </c>
    </row>
    <row r="23696">
      <c r="A23696" s="4" t="s">
        <v>29815</v>
      </c>
      <c r="B23696" s="4" t="s">
        <v>29818</v>
      </c>
      <c r="C23696" s="5" t="str">
        <f>IFERROR(__xludf.DUMMYFUNCTION("GOOGLETRANSLATE(B23696,""en"",""it"")"),"Le persone che guardano si girano e guardano dietro di loro.")</f>
        <v>Le persone che guardano si girano e guardano dietro di loro.</v>
      </c>
    </row>
    <row r="23697">
      <c r="A23697" s="4" t="s">
        <v>29819</v>
      </c>
      <c r="B23697" s="4" t="s">
        <v>29820</v>
      </c>
      <c r="C23697" s="5" t="str">
        <f>IFERROR(__xludf.DUMMYFUNCTION("GOOGLETRANSLATE(B23697,""en"",""it"")"),"Un uomo sta facendo ginnastica in un soggiorno.")</f>
        <v>Un uomo sta facendo ginnastica in un soggiorno.</v>
      </c>
    </row>
    <row r="23698">
      <c r="A23698" s="4" t="s">
        <v>29819</v>
      </c>
      <c r="B23698" s="4" t="s">
        <v>29821</v>
      </c>
      <c r="C23698" s="5" t="str">
        <f>IFERROR(__xludf.DUMMYFUNCTION("GOOGLETRANSLATE(B23698,""en"",""it"")"),"Sta facendo gli stand della mano su un paio di bar sul terreno.")</f>
        <v>Sta facendo gli stand della mano su un paio di bar sul terreno.</v>
      </c>
    </row>
    <row r="23699">
      <c r="A23699" s="4" t="s">
        <v>29819</v>
      </c>
      <c r="B23699" s="4" t="s">
        <v>29822</v>
      </c>
      <c r="C23699" s="5" t="str">
        <f>IFERROR(__xludf.DUMMYFUNCTION("GOOGLETRANSLATE(B23699,""en"",""it"")"),"Le barre sono realizzate con tubi in PVC.")</f>
        <v>Le barre sono realizzate con tubi in PVC.</v>
      </c>
    </row>
    <row r="23700">
      <c r="A23700" s="4" t="s">
        <v>29823</v>
      </c>
      <c r="B23700" s="4" t="s">
        <v>29824</v>
      </c>
      <c r="C23700" s="5" t="str">
        <f>IFERROR(__xludf.DUMMYFUNCTION("GOOGLETRANSLATE(B23700,""en"",""it"")"),"Una pentola parla in cucina e mostra l'interno di un coltello ad affitto che ha dischi all'interno.")</f>
        <v>Una pentola parla in cucina e mostra l'interno di un coltello ad affitto che ha dischi all'interno.</v>
      </c>
    </row>
    <row r="23701">
      <c r="A23701" s="4" t="s">
        <v>29823</v>
      </c>
      <c r="B23701" s="4" t="s">
        <v>29825</v>
      </c>
      <c r="C23701" s="5" t="str">
        <f>IFERROR(__xludf.DUMMYFUNCTION("GOOGLETRANSLATE(B23701,""en"",""it"")"),"Quindi, l'uomo mette un coltello nel coltello affilato per affinare.")</f>
        <v>Quindi, l'uomo mette un coltello nel coltello affilato per affinare.</v>
      </c>
    </row>
    <row r="23702">
      <c r="A23702" s="4" t="s">
        <v>29823</v>
      </c>
      <c r="B23702" s="4" t="s">
        <v>29826</v>
      </c>
      <c r="C23702" s="5" t="str">
        <f>IFERROR(__xludf.DUMMYFUNCTION("GOOGLETRANSLATE(B23702,""en"",""it"")"),"Dopo, l'uomo lavato e asciugare il coltello.")</f>
        <v>Dopo, l'uomo lavato e asciugare il coltello.</v>
      </c>
    </row>
    <row r="23703">
      <c r="A23703" s="4" t="s">
        <v>29827</v>
      </c>
      <c r="B23703" s="4" t="s">
        <v>29828</v>
      </c>
      <c r="C23703" s="5" t="str">
        <f>IFERROR(__xludf.DUMMYFUNCTION("GOOGLETRANSLATE(B23703,""en"",""it"")"),"Un ragazzo che gioca a un grande gioco di batteria si concentra mentre la telecamera lo guarda giocare.")</f>
        <v>Un ragazzo che gioca a un grande gioco di batteria si concentra mentre la telecamera lo guarda giocare.</v>
      </c>
    </row>
    <row r="23704">
      <c r="A23704" s="4" t="s">
        <v>29827</v>
      </c>
      <c r="B23704" s="6" t="s">
        <v>29829</v>
      </c>
      <c r="C23704" s="5" t="str">
        <f>IFERROR(__xludf.DUMMYFUNCTION("GOOGLETRANSLATE(B23704,""en"",""it"")"),"Altre persone entrano e fuori dal telaio dal ragazzo mentre gioca continuamente il gioco al tamburo.")</f>
        <v>Altre persone entrano e fuori dal telaio dal ragazzo mentre gioca continuamente il gioco al tamburo.</v>
      </c>
    </row>
    <row r="23705">
      <c r="A23705" s="4" t="s">
        <v>29827</v>
      </c>
      <c r="B23705" s="4" t="s">
        <v>29830</v>
      </c>
      <c r="C23705" s="5" t="str">
        <f>IFERROR(__xludf.DUMMYFUNCTION("GOOGLETRANSLATE(B23705,""en"",""it"")"),"Un altro ragazzo che tiene un drink cammina in un telaio e guarda il ragazzo giocare.")</f>
        <v>Un altro ragazzo che tiene un drink cammina in un telaio e guarda il ragazzo giocare.</v>
      </c>
    </row>
    <row r="23706">
      <c r="A23706" s="4" t="s">
        <v>29831</v>
      </c>
      <c r="B23706" s="6" t="s">
        <v>29832</v>
      </c>
      <c r="C23706" s="5" t="str">
        <f>IFERROR(__xludf.DUMMYFUNCTION("GOOGLETRANSLATE(B23706,""en"",""it"")"),"Un folto gruppo di persone cammina verso la telecamera e sembrano che siano in un piccolo villaggio.")</f>
        <v>Un folto gruppo di persone cammina verso la telecamera e sembrano che siano in un piccolo villaggio.</v>
      </c>
    </row>
    <row r="23707">
      <c r="A23707" s="4" t="s">
        <v>29831</v>
      </c>
      <c r="B23707" s="6" t="s">
        <v>29833</v>
      </c>
      <c r="C23707" s="5" t="str">
        <f>IFERROR(__xludf.DUMMYFUNCTION("GOOGLETRANSLATE(B23707,""en"",""it"")"),"Man mano che le persone si avvicinano, vediamo un uomo e un bambino si aggrappano a una sella attaccata a un cammello e cavalcando mentre un altro uomo tiene il guinzaglio e guida il cammello.")</f>
        <v>Man mano che le persone si avvicinano, vediamo un uomo e un bambino si aggrappano a una sella attaccata a un cammello e cavalcando mentre un altro uomo tiene il guinzaglio e guida il cammello.</v>
      </c>
    </row>
    <row r="23708">
      <c r="A23708" s="4" t="s">
        <v>29831</v>
      </c>
      <c r="B23708" s="6" t="s">
        <v>29834</v>
      </c>
      <c r="C23708" s="5" t="str">
        <f>IFERROR(__xludf.DUMMYFUNCTION("GOOGLETRANSLATE(B23708,""en"",""it"")"),"Il cammello passa la persona della telecamera e abbiamo una vista sul cammello che si allontana e una vista su un lato diverso della zona che sembra un villaggio.")</f>
        <v>Il cammello passa la persona della telecamera e abbiamo una vista sul cammello che si allontana e una vista su un lato diverso della zona che sembra un villaggio.</v>
      </c>
    </row>
    <row r="23709">
      <c r="A23709" s="4" t="s">
        <v>29835</v>
      </c>
      <c r="B23709" s="6" t="s">
        <v>29836</v>
      </c>
      <c r="C23709" s="5" t="str">
        <f>IFERROR(__xludf.DUMMYFUNCTION("GOOGLETRANSLATE(B23709,""en"",""it"")"),"Viene mostrato uno scatto di un'area nevosa seguita da due persone che sperano lungo l'area e parlano alla telecamera.")</f>
        <v>Viene mostrato uno scatto di un'area nevosa seguita da due persone che sperano lungo l'area e parlano alla telecamera.</v>
      </c>
    </row>
    <row r="23710">
      <c r="A23710" s="4" t="s">
        <v>29835</v>
      </c>
      <c r="B23710" s="6" t="s">
        <v>29837</v>
      </c>
      <c r="C23710" s="5" t="str">
        <f>IFERROR(__xludf.DUMMYFUNCTION("GOOGLETRANSLATE(B23710,""en"",""it"")"),"Vengono mostrati altri scatti degli uomini che saltano su snowboard in varie località, oltre a parlare con la telecamera e mostrano foto della gente e filmati di loro in giro.")</f>
        <v>Vengono mostrati altri scatti degli uomini che saltano su snowboard in varie località, oltre a parlare con la telecamera e mostrano foto della gente e filmati di loro in giro.</v>
      </c>
    </row>
    <row r="23711">
      <c r="A23711" s="4" t="s">
        <v>29838</v>
      </c>
      <c r="B23711" s="4" t="s">
        <v>29839</v>
      </c>
      <c r="C23711" s="5" t="str">
        <f>IFERROR(__xludf.DUMMYFUNCTION("GOOGLETRANSLATE(B23711,""en"",""it"")"),"Molti uomini sono in un edificio che gioca un gruppo di hockey su ghiaccio l'uno contro l'altro.")</f>
        <v>Molti uomini sono in un edificio che gioca un gruppo di hockey su ghiaccio l'uno contro l'altro.</v>
      </c>
    </row>
    <row r="23712">
      <c r="A23712" s="4" t="s">
        <v>29838</v>
      </c>
      <c r="B23712" s="4" t="s">
        <v>29840</v>
      </c>
      <c r="C23712" s="5" t="str">
        <f>IFERROR(__xludf.DUMMYFUNCTION("GOOGLETRANSLATE(B23712,""en"",""it"")"),"Mentre continuano a giocare, l'arbitro inizia a pattinare avanti e indietro sul lato in cerchio.")</f>
        <v>Mentre continuano a giocare, l'arbitro inizia a pattinare avanti e indietro sul lato in cerchio.</v>
      </c>
    </row>
    <row r="23713">
      <c r="A23713" s="4" t="s">
        <v>29838</v>
      </c>
      <c r="B23713" s="6" t="s">
        <v>29841</v>
      </c>
      <c r="C23713" s="5" t="str">
        <f>IFERROR(__xludf.DUMMYFUNCTION("GOOGLETRANSLATE(B23713,""en"",""it"")"),"Dopo diverse partenze e inizi, i giochi continuano e il portiere ha successo nel bloccare il disco ogni volta.")</f>
        <v>Dopo diverse partenze e inizi, i giochi continuano e il portiere ha successo nel bloccare il disco ogni volta.</v>
      </c>
    </row>
    <row r="23714">
      <c r="A23714" s="4" t="s">
        <v>29842</v>
      </c>
      <c r="B23714" s="4" t="s">
        <v>29843</v>
      </c>
      <c r="C23714" s="5" t="str">
        <f>IFERROR(__xludf.DUMMYFUNCTION("GOOGLETRANSLATE(B23714,""en"",""it"")"),"Vediamo un bambino che gira in una stanza con gli adulti che guardano.")</f>
        <v>Vediamo un bambino che gira in una stanza con gli adulti che guardano.</v>
      </c>
    </row>
    <row r="23715">
      <c r="A23715" s="4" t="s">
        <v>29842</v>
      </c>
      <c r="B23715" s="4" t="s">
        <v>29844</v>
      </c>
      <c r="C23715" s="5" t="str">
        <f>IFERROR(__xludf.DUMMYFUNCTION("GOOGLETRANSLATE(B23715,""en"",""it"")"),"Un adulto balla con il bambino.")</f>
        <v>Un adulto balla con il bambino.</v>
      </c>
    </row>
    <row r="23716">
      <c r="A23716" s="4" t="s">
        <v>29842</v>
      </c>
      <c r="B23716" s="4" t="s">
        <v>29845</v>
      </c>
      <c r="C23716" s="5" t="str">
        <f>IFERROR(__xludf.DUMMYFUNCTION("GOOGLETRANSLATE(B23716,""en"",""it"")"),"Due adulti tengono le mani dei bambini e ballano.")</f>
        <v>Due adulti tengono le mani dei bambini e ballano.</v>
      </c>
    </row>
    <row r="23717">
      <c r="A23717" s="4" t="s">
        <v>29842</v>
      </c>
      <c r="B23717" s="4" t="s">
        <v>29846</v>
      </c>
      <c r="C23717" s="5" t="str">
        <f>IFERROR(__xludf.DUMMYFUNCTION("GOOGLETRANSLATE(B23717,""en"",""it"")"),"Il bambino è girato in cerchio.")</f>
        <v>Il bambino è girato in cerchio.</v>
      </c>
    </row>
    <row r="23718">
      <c r="A23718" s="4" t="s">
        <v>29842</v>
      </c>
      <c r="B23718" s="4" t="s">
        <v>29847</v>
      </c>
      <c r="C23718" s="5" t="str">
        <f>IFERROR(__xludf.DUMMYFUNCTION("GOOGLETRANSLATE(B23718,""en"",""it"")"),"Il bambino è di nuovo roteato.")</f>
        <v>Il bambino è di nuovo roteato.</v>
      </c>
    </row>
    <row r="23719">
      <c r="A23719" s="4" t="s">
        <v>29842</v>
      </c>
      <c r="B23719" s="4" t="s">
        <v>29848</v>
      </c>
      <c r="C23719" s="5" t="str">
        <f>IFERROR(__xludf.DUMMYFUNCTION("GOOGLETRANSLATE(B23719,""en"",""it"")"),"Il bambino balla di nuovo da solo.")</f>
        <v>Il bambino balla di nuovo da solo.</v>
      </c>
    </row>
    <row r="23720">
      <c r="A23720" s="4" t="s">
        <v>29842</v>
      </c>
      <c r="B23720" s="4" t="s">
        <v>29849</v>
      </c>
      <c r="C23720" s="5" t="str">
        <f>IFERROR(__xludf.DUMMYFUNCTION("GOOGLETRANSLATE(B23720,""en"",""it"")"),"Il bambino raccoglie un cane giocattolo e balla con esso.")</f>
        <v>Il bambino raccoglie un cane giocattolo e balla con esso.</v>
      </c>
    </row>
    <row r="23721">
      <c r="A23721" s="4" t="s">
        <v>29850</v>
      </c>
      <c r="B23721" s="4" t="s">
        <v>29851</v>
      </c>
      <c r="C23721" s="5" t="str">
        <f>IFERROR(__xludf.DUMMYFUNCTION("GOOGLETRANSLATE(B23721,""en"",""it"")"),"I bambini stanno guidando piccole bici da sporco attorno a una pista.")</f>
        <v>I bambini stanno guidando piccole bici da sporco attorno a una pista.</v>
      </c>
    </row>
    <row r="23722">
      <c r="A23722" s="4" t="s">
        <v>29850</v>
      </c>
      <c r="B23722" s="4" t="s">
        <v>29852</v>
      </c>
      <c r="C23722" s="5" t="str">
        <f>IFERROR(__xludf.DUMMYFUNCTION("GOOGLETRANSLATE(B23722,""en"",""it"")"),"Un bambino cade e la gente li aiuta.")</f>
        <v>Un bambino cade e la gente li aiuta.</v>
      </c>
    </row>
    <row r="23723">
      <c r="A23723" s="4" t="s">
        <v>29853</v>
      </c>
      <c r="B23723" s="4" t="s">
        <v>29854</v>
      </c>
      <c r="C23723" s="5" t="str">
        <f>IFERROR(__xludf.DUMMYFUNCTION("GOOGLETRANSLATE(B23723,""en"",""it"")"),"Un mucchio di persone si incontrano in un negozio di zattere.")</f>
        <v>Un mucchio di persone si incontrano in un negozio di zattere.</v>
      </c>
    </row>
    <row r="23724">
      <c r="A23724" s="4" t="s">
        <v>29853</v>
      </c>
      <c r="B23724" s="4" t="s">
        <v>29855</v>
      </c>
      <c r="C23724" s="5" t="str">
        <f>IFERROR(__xludf.DUMMYFUNCTION("GOOGLETRANSLATE(B23724,""en"",""it"")"),"Si incontrano tutti in una stanza per mettere i caschi e riunire le loro attrezzature.")</f>
        <v>Si incontrano tutti in una stanza per mettere i caschi e riunire le loro attrezzature.</v>
      </c>
    </row>
    <row r="23725">
      <c r="A23725" s="4" t="s">
        <v>29853</v>
      </c>
      <c r="B23725" s="4" t="s">
        <v>29856</v>
      </c>
      <c r="C23725" s="5" t="str">
        <f>IFERROR(__xludf.DUMMYFUNCTION("GOOGLETRANSLATE(B23725,""en"",""it"")"),"Fanno tutti a fare una lunga passeggiata insieme, tra cui una grande rampa di scale.")</f>
        <v>Fanno tutti a fare una lunga passeggiata insieme, tra cui una grande rampa di scale.</v>
      </c>
    </row>
    <row r="23726">
      <c r="A23726" s="4" t="s">
        <v>29853</v>
      </c>
      <c r="B23726" s="4" t="s">
        <v>29857</v>
      </c>
      <c r="C23726" s="5" t="str">
        <f>IFERROR(__xludf.DUMMYFUNCTION("GOOGLETRANSLATE(B23726,""en"",""it"")"),"Raggiungono una lunga fila di zattere dall'acqua, dove entrano e iniziano il rafting.")</f>
        <v>Raggiungono una lunga fila di zattere dall'acqua, dove entrano e iniziano il rafting.</v>
      </c>
    </row>
    <row r="23727">
      <c r="A23727" s="4" t="s">
        <v>29853</v>
      </c>
      <c r="B23727" s="6" t="s">
        <v>29858</v>
      </c>
      <c r="C23727" s="5" t="str">
        <f>IFERROR(__xludf.DUMMYFUNCTION("GOOGLETRANSLATE(B23727,""en"",""it"")"),"Le persone sono in acque bianche rafting lungo un fiume turbolento, usando le loro pagaie all'unisono, scendendo insieme piccole cascate.")</f>
        <v>Le persone sono in acque bianche rafting lungo un fiume turbolento, usando le loro pagaie all'unisono, scendendo insieme piccole cascate.</v>
      </c>
    </row>
    <row r="23728">
      <c r="A23728" s="4" t="s">
        <v>29853</v>
      </c>
      <c r="B23728" s="4" t="s">
        <v>29859</v>
      </c>
      <c r="C23728" s="5" t="str">
        <f>IFERROR(__xludf.DUMMYFUNCTION("GOOGLETRANSLATE(B23728,""en"",""it"")"),"Si fermano tutti per pranzare sotto un padiglione all'aperto alla fine della loro avventura.")</f>
        <v>Si fermano tutti per pranzare sotto un padiglione all'aperto alla fine della loro avventura.</v>
      </c>
    </row>
    <row r="23729">
      <c r="A23729" s="4" t="s">
        <v>29860</v>
      </c>
      <c r="B23729" s="6" t="s">
        <v>29861</v>
      </c>
      <c r="C23729" s="5" t="str">
        <f>IFERROR(__xludf.DUMMYFUNCTION("GOOGLETRANSLATE(B23729,""en"",""it"")"),"Un adolescente esegue il cavallo di pomo che gira, quindi salta sul pavimento e va a ottenere il potere da un contenitore.")</f>
        <v>Un adolescente esegue il cavallo di pomo che gira, quindi salta sul pavimento e va a ottenere il potere da un contenitore.</v>
      </c>
    </row>
    <row r="23730">
      <c r="A23730" s="4" t="s">
        <v>29860</v>
      </c>
      <c r="B23730" s="4" t="s">
        <v>29862</v>
      </c>
      <c r="C23730" s="5" t="str">
        <f>IFERROR(__xludf.DUMMYFUNCTION("GOOGLETRANSLATE(B23730,""en"",""it"")"),"Dopo, l'adolescente torna sul cavallo del pomello e gira molte volte, mentre la giuria osserva.")</f>
        <v>Dopo, l'adolescente torna sul cavallo del pomello e gira molte volte, mentre la giuria osserva.</v>
      </c>
    </row>
    <row r="23731">
      <c r="A23731" s="4" t="s">
        <v>29860</v>
      </c>
      <c r="B23731" s="4" t="s">
        <v>29863</v>
      </c>
      <c r="C23731" s="5" t="str">
        <f>IFERROR(__xludf.DUMMYFUNCTION("GOOGLETRANSLATE(B23731,""en"",""it"")"),"La gente cammina dietro la giuria.")</f>
        <v>La gente cammina dietro la giuria.</v>
      </c>
    </row>
    <row r="23732">
      <c r="A23732" s="4" t="s">
        <v>29860</v>
      </c>
      <c r="B23732" s="4" t="s">
        <v>29864</v>
      </c>
      <c r="C23732" s="5" t="str">
        <f>IFERROR(__xludf.DUMMYFUNCTION("GOOGLETRANSLATE(B23732,""en"",""it"")"),"Successivamente, l'adolescente si alza sulle mani e salta sul tappeto.")</f>
        <v>Successivamente, l'adolescente si alza sulle mani e salta sul tappeto.</v>
      </c>
    </row>
    <row r="23733">
      <c r="A23733" s="4" t="s">
        <v>29865</v>
      </c>
      <c r="B23733" s="4" t="s">
        <v>29866</v>
      </c>
      <c r="C23733" s="5" t="str">
        <f>IFERROR(__xludf.DUMMYFUNCTION("GOOGLETRANSLATE(B23733,""en"",""it"")"),"Una donna che indossa una parrucca viene vista bendata un'altra ragazza mentre altri guardano sui lati.")</f>
        <v>Una donna che indossa una parrucca viene vista bendata un'altra ragazza mentre altri guardano sui lati.</v>
      </c>
    </row>
    <row r="23734">
      <c r="A23734" s="4" t="s">
        <v>29865</v>
      </c>
      <c r="B23734" s="4" t="s">
        <v>29867</v>
      </c>
      <c r="C23734" s="5" t="str">
        <f>IFERROR(__xludf.DUMMYFUNCTION("GOOGLETRANSLATE(B23734,""en"",""it"")"),"I bambini giocano nel rimbalzo e una donna gira intorno alla ragazza bendata.")</f>
        <v>I bambini giocano nel rimbalzo e una donna gira intorno alla ragazza bendata.</v>
      </c>
    </row>
    <row r="23735">
      <c r="A23735" s="4" t="s">
        <v>29865</v>
      </c>
      <c r="B23735" s="4" t="s">
        <v>29868</v>
      </c>
      <c r="C23735" s="5" t="str">
        <f>IFERROR(__xludf.DUMMYFUNCTION("GOOGLETRANSLATE(B23735,""en"",""it"")"),"La ragazza oscilla a una pinata e colpisce poi se ne va.")</f>
        <v>La ragazza oscilla a una pinata e colpisce poi se ne va.</v>
      </c>
    </row>
    <row r="23736">
      <c r="A23736" s="4" t="s">
        <v>29869</v>
      </c>
      <c r="B23736" s="4" t="s">
        <v>29870</v>
      </c>
      <c r="C23736" s="5" t="str">
        <f>IFERROR(__xludf.DUMMYFUNCTION("GOOGLETRANSLATE(B23736,""en"",""it"")"),"Un uomo si siede su una macchina da esercizio.")</f>
        <v>Un uomo si siede su una macchina da esercizio.</v>
      </c>
    </row>
    <row r="23737">
      <c r="A23737" s="4" t="s">
        <v>29869</v>
      </c>
      <c r="B23737" s="4" t="s">
        <v>29871</v>
      </c>
      <c r="C23737" s="5" t="str">
        <f>IFERROR(__xludf.DUMMYFUNCTION("GOOGLETRANSLATE(B23737,""en"",""it"")"),"Comincia a allenarti sulla macchina.")</f>
        <v>Comincia a allenarti sulla macchina.</v>
      </c>
    </row>
    <row r="23738">
      <c r="A23738" s="4" t="s">
        <v>29869</v>
      </c>
      <c r="B23738" s="4" t="s">
        <v>29872</v>
      </c>
      <c r="C23738" s="5" t="str">
        <f>IFERROR(__xludf.DUMMYFUNCTION("GOOGLETRANSLATE(B23738,""en"",""it"")"),"Un uomo con una camicia marrone chiaro si trova dietro di lui.")</f>
        <v>Un uomo con una camicia marrone chiaro si trova dietro di lui.</v>
      </c>
    </row>
    <row r="23739">
      <c r="A23739" s="4" t="s">
        <v>29873</v>
      </c>
      <c r="B23739" s="4" t="s">
        <v>29874</v>
      </c>
      <c r="C23739" s="5" t="str">
        <f>IFERROR(__xludf.DUMMYFUNCTION("GOOGLETRANSLATE(B23739,""en"",""it"")"),"Tre persone vanno a tubi rapidamente.")</f>
        <v>Tre persone vanno a tubi rapidamente.</v>
      </c>
    </row>
    <row r="23740">
      <c r="A23740" s="4" t="s">
        <v>29873</v>
      </c>
      <c r="B23740" s="4" t="s">
        <v>29875</v>
      </c>
      <c r="C23740" s="5" t="str">
        <f>IFERROR(__xludf.DUMMYFUNCTION("GOOGLETRANSLATE(B23740,""en"",""it"")"),"Rimangono bloccati sulle rocce, quindi si spengono e continuano a galleggiare.")</f>
        <v>Rimangono bloccati sulle rocce, quindi si spengono e continuano a galleggiare.</v>
      </c>
    </row>
    <row r="23741">
      <c r="A23741" s="4" t="s">
        <v>29876</v>
      </c>
      <c r="B23741" s="4" t="s">
        <v>29877</v>
      </c>
      <c r="C23741" s="5" t="str">
        <f>IFERROR(__xludf.DUMMYFUNCTION("GOOGLETRANSLATE(B23741,""en"",""it"")"),"C'è un giovane che indossa una felpa con cappuccio nero e un cappello nel deserto.")</f>
        <v>C'è un giovane che indossa una felpa con cappuccio nero e un cappello nel deserto.</v>
      </c>
    </row>
    <row r="23742">
      <c r="A23742" s="4" t="s">
        <v>29876</v>
      </c>
      <c r="B23742" s="4" t="s">
        <v>29878</v>
      </c>
      <c r="C23742" s="5" t="str">
        <f>IFERROR(__xludf.DUMMYFUNCTION("GOOGLETRANSLATE(B23742,""en"",""it"")"),"Prende un ombrello in mano e poi lo lancia dietro di lui.")</f>
        <v>Prende un ombrello in mano e poi lo lancia dietro di lui.</v>
      </c>
    </row>
    <row r="23743">
      <c r="A23743" s="4" t="s">
        <v>29876</v>
      </c>
      <c r="B23743" s="4" t="s">
        <v>29879</v>
      </c>
      <c r="C23743" s="5" t="str">
        <f>IFERROR(__xludf.DUMMYFUNCTION("GOOGLETRANSLATE(B23743,""en"",""it"")"),"Quindi cammina su una corda stretta e cerca di bilanciarsi.")</f>
        <v>Quindi cammina su una corda stretta e cerca di bilanciarsi.</v>
      </c>
    </row>
    <row r="23744">
      <c r="A23744" s="4" t="s">
        <v>29876</v>
      </c>
      <c r="B23744" s="6" t="s">
        <v>29880</v>
      </c>
      <c r="C23744" s="5" t="str">
        <f>IFERROR(__xludf.DUMMYFUNCTION("GOOGLETRANSLATE(B23744,""en"",""it"")"),"Ci sono altri uomini che fanno la stessa cosa nel deserto, che cercano di bilanciarsi e camminare su corde strette.")</f>
        <v>Ci sono altri uomini che fanno la stessa cosa nel deserto, che cercano di bilanciarsi e camminare su corde strette.</v>
      </c>
    </row>
    <row r="23745">
      <c r="A23745" s="4" t="s">
        <v>29881</v>
      </c>
      <c r="B23745" s="4" t="s">
        <v>29882</v>
      </c>
      <c r="C23745" s="5" t="str">
        <f>IFERROR(__xludf.DUMMYFUNCTION("GOOGLETRANSLATE(B23745,""en"",""it"")"),"Una coppia di anziani balla da sola in palestra mentre una fila di persone a un orologio da tavolo.")</f>
        <v>Una coppia di anziani balla da sola in palestra mentre una fila di persone a un orologio da tavolo.</v>
      </c>
    </row>
    <row r="23746">
      <c r="A23746" s="4" t="s">
        <v>29881</v>
      </c>
      <c r="B23746" s="4" t="s">
        <v>29883</v>
      </c>
      <c r="C23746" s="5" t="str">
        <f>IFERROR(__xludf.DUMMYFUNCTION("GOOGLETRANSLATE(B23746,""en"",""it"")"),"Girano e ballano felicemente, e la folla applaude mentre finiscono e si allontanano.")</f>
        <v>Girano e ballano felicemente, e la folla applaude mentre finiscono e si allontanano.</v>
      </c>
    </row>
    <row r="23747">
      <c r="A23747" s="4" t="s">
        <v>29884</v>
      </c>
      <c r="B23747" s="4" t="s">
        <v>29885</v>
      </c>
      <c r="C23747" s="5" t="str">
        <f>IFERROR(__xludf.DUMMYFUNCTION("GOOGLETRANSLATE(B23747,""en"",""it"")"),"Tre uomini che giocano una partita di racquetball sono in un campo circondato da pareti bianche.")</f>
        <v>Tre uomini che giocano una partita di racquetball sono in un campo circondato da pareti bianche.</v>
      </c>
    </row>
    <row r="23748">
      <c r="A23748" s="4" t="s">
        <v>29884</v>
      </c>
      <c r="B23748" s="4" t="s">
        <v>29886</v>
      </c>
      <c r="C23748" s="5" t="str">
        <f>IFERROR(__xludf.DUMMYFUNCTION("GOOGLETRANSLATE(B23748,""en"",""it"")"),"L'uomo in bianco serve, seguito dall'uomo con il cappello che ha segnato al suo servizio.")</f>
        <v>L'uomo in bianco serve, seguito dall'uomo con il cappello che ha segnato al suo servizio.</v>
      </c>
    </row>
    <row r="23749">
      <c r="A23749" s="4" t="s">
        <v>29884</v>
      </c>
      <c r="B23749" s="6" t="s">
        <v>29887</v>
      </c>
      <c r="C23749" s="5" t="str">
        <f>IFERROR(__xludf.DUMMYFUNCTION("GOOGLETRANSLATE(B23749,""en"",""it"")"),"L'uomo nei pantaloncini gialli è il prossimo e riesce a portare il gioco, servendo più volte per chiudere il video.")</f>
        <v>L'uomo nei pantaloncini gialli è il prossimo e riesce a portare il gioco, servendo più volte per chiudere il video.</v>
      </c>
    </row>
    <row r="23750">
      <c r="A23750" s="4" t="s">
        <v>29888</v>
      </c>
      <c r="B23750" s="4" t="s">
        <v>29889</v>
      </c>
      <c r="C23750" s="5" t="str">
        <f>IFERROR(__xludf.DUMMYFUNCTION("GOOGLETRANSLATE(B23750,""en"",""it"")"),"Un gruppo di quattro uomini parla davanti a una macchina fotografica.")</f>
        <v>Un gruppo di quattro uomini parla davanti a una macchina fotografica.</v>
      </c>
    </row>
    <row r="23751">
      <c r="A23751" s="4" t="s">
        <v>29888</v>
      </c>
      <c r="B23751" s="4" t="s">
        <v>29890</v>
      </c>
      <c r="C23751" s="5" t="str">
        <f>IFERROR(__xludf.DUMMYFUNCTION("GOOGLETRANSLATE(B23751,""en"",""it"")"),"C'è una sequenza animata.")</f>
        <v>C'è una sequenza animata.</v>
      </c>
    </row>
    <row r="23752">
      <c r="A23752" s="4" t="s">
        <v>29888</v>
      </c>
      <c r="B23752" s="4" t="s">
        <v>29891</v>
      </c>
      <c r="C23752" s="5" t="str">
        <f>IFERROR(__xludf.DUMMYFUNCTION("GOOGLETRANSLATE(B23752,""en"",""it"")"),"Continuano a parlare davanti alla telecamera.")</f>
        <v>Continuano a parlare davanti alla telecamera.</v>
      </c>
    </row>
    <row r="23753">
      <c r="A23753" s="4" t="s">
        <v>29888</v>
      </c>
      <c r="B23753" s="4" t="s">
        <v>29892</v>
      </c>
      <c r="C23753" s="5" t="str">
        <f>IFERROR(__xludf.DUMMYFUNCTION("GOOGLETRANSLATE(B23753,""en"",""it"")"),"Due di loro stanno con un rastrello e suonano forbici di carta rocciosa.")</f>
        <v>Due di loro stanno con un rastrello e suonano forbici di carta rocciosa.</v>
      </c>
    </row>
    <row r="23754">
      <c r="A23754" s="4" t="s">
        <v>29888</v>
      </c>
      <c r="B23754" s="4" t="s">
        <v>29893</v>
      </c>
      <c r="C23754" s="5" t="str">
        <f>IFERROR(__xludf.DUMMYFUNCTION("GOOGLETRANSLATE(B23754,""en"",""it"")"),"Si perde la partita e salta sul rastrello.")</f>
        <v>Si perde la partita e salta sul rastrello.</v>
      </c>
    </row>
    <row r="23755">
      <c r="A23755" s="4" t="s">
        <v>29888</v>
      </c>
      <c r="B23755" s="4" t="s">
        <v>29894</v>
      </c>
      <c r="C23755" s="5" t="str">
        <f>IFERROR(__xludf.DUMMYFUNCTION("GOOGLETRANSLATE(B23755,""en"",""it"")"),"Replays di lui che salta sul rastrello.")</f>
        <v>Replays di lui che salta sul rastrello.</v>
      </c>
    </row>
    <row r="23756">
      <c r="A23756" s="4" t="s">
        <v>29888</v>
      </c>
      <c r="B23756" s="4" t="s">
        <v>29895</v>
      </c>
      <c r="C23756" s="5" t="str">
        <f>IFERROR(__xludf.DUMMYFUNCTION("GOOGLETRANSLATE(B23756,""en"",""it"")"),"Gli altri due tengono il rastrello e suonano le forbici di carta rocciosa.")</f>
        <v>Gli altri due tengono il rastrello e suonano le forbici di carta rocciosa.</v>
      </c>
    </row>
    <row r="23757">
      <c r="A23757" s="4" t="s">
        <v>29888</v>
      </c>
      <c r="B23757" s="4" t="s">
        <v>29896</v>
      </c>
      <c r="C23757" s="5" t="str">
        <f>IFERROR(__xludf.DUMMYFUNCTION("GOOGLETRANSLATE(B23757,""en"",""it"")"),"Una persona diversa perde e salta sul rastrello.")</f>
        <v>Una persona diversa perde e salta sul rastrello.</v>
      </c>
    </row>
    <row r="23758">
      <c r="A23758" s="4" t="s">
        <v>29888</v>
      </c>
      <c r="B23758" s="4" t="s">
        <v>29897</v>
      </c>
      <c r="C23758" s="5" t="str">
        <f>IFERROR(__xludf.DUMMYFUNCTION("GOOGLETRANSLATE(B23758,""en"",""it"")"),"Mostrano di nuovo i replay di lui saltando su di esso.")</f>
        <v>Mostrano di nuovo i replay di lui saltando su di esso.</v>
      </c>
    </row>
    <row r="23759">
      <c r="A23759" s="4" t="s">
        <v>29888</v>
      </c>
      <c r="B23759" s="4" t="s">
        <v>29898</v>
      </c>
      <c r="C23759" s="5" t="str">
        <f>IFERROR(__xludf.DUMMYFUNCTION("GOOGLETRANSLATE(B23759,""en"",""it"")"),"Un diverso set di ragazzi tiene di nuovo il rastrello e gioca a forbici di carta rocciosa.")</f>
        <v>Un diverso set di ragazzi tiene di nuovo il rastrello e gioca a forbici di carta rocciosa.</v>
      </c>
    </row>
    <row r="23760">
      <c r="A23760" s="4" t="s">
        <v>29888</v>
      </c>
      <c r="B23760" s="4" t="s">
        <v>29899</v>
      </c>
      <c r="C23760" s="5" t="str">
        <f>IFERROR(__xludf.DUMMYFUNCTION("GOOGLETRANSLATE(B23760,""en"",""it"")"),"Si perde e salta di nuovo sul rastrello.")</f>
        <v>Si perde e salta di nuovo sul rastrello.</v>
      </c>
    </row>
    <row r="23761">
      <c r="A23761" s="4" t="s">
        <v>29888</v>
      </c>
      <c r="B23761" s="4" t="s">
        <v>29900</v>
      </c>
      <c r="C23761" s="5" t="str">
        <f>IFERROR(__xludf.DUMMYFUNCTION("GOOGLETRANSLATE(B23761,""en"",""it"")"),"Mostrano i replay di lui che salta sul rastrello.")</f>
        <v>Mostrano i replay di lui che salta sul rastrello.</v>
      </c>
    </row>
    <row r="23762">
      <c r="A23762" s="4" t="s">
        <v>29888</v>
      </c>
      <c r="B23762" s="4" t="s">
        <v>29901</v>
      </c>
      <c r="C23762" s="5" t="str">
        <f>IFERROR(__xludf.DUMMYFUNCTION("GOOGLETRANSLATE(B23762,""en"",""it"")"),"L'altro ragazzo salta quindi sul rastrello.")</f>
        <v>L'altro ragazzo salta quindi sul rastrello.</v>
      </c>
    </row>
    <row r="23763">
      <c r="A23763" s="4" t="s">
        <v>29888</v>
      </c>
      <c r="B23763" s="4" t="s">
        <v>29902</v>
      </c>
      <c r="C23763" s="5" t="str">
        <f>IFERROR(__xludf.DUMMYFUNCTION("GOOGLETRANSLATE(B23763,""en"",""it"")"),"Mostrano ancora una volta i replay.")</f>
        <v>Mostrano ancora una volta i replay.</v>
      </c>
    </row>
    <row r="23764">
      <c r="A23764" s="4" t="s">
        <v>29888</v>
      </c>
      <c r="B23764" s="4" t="s">
        <v>29903</v>
      </c>
      <c r="C23764" s="5" t="str">
        <f>IFERROR(__xludf.DUMMYFUNCTION("GOOGLETRANSLATE(B23764,""en"",""it"")"),"Tutti e quattro parlano ancora una volta davanti alla fotocamera.")</f>
        <v>Tutti e quattro parlano ancora una volta davanti alla fotocamera.</v>
      </c>
    </row>
    <row r="23765">
      <c r="A23765" s="4" t="s">
        <v>29888</v>
      </c>
      <c r="B23765" s="4" t="s">
        <v>29904</v>
      </c>
      <c r="C23765" s="5" t="str">
        <f>IFERROR(__xludf.DUMMYFUNCTION("GOOGLETRANSLATE(B23765,""en"",""it"")"),"Termina con altri video del loro canale You Tube.")</f>
        <v>Termina con altri video del loro canale You Tube.</v>
      </c>
    </row>
    <row r="23766">
      <c r="A23766" s="4" t="s">
        <v>29905</v>
      </c>
      <c r="B23766" s="4" t="s">
        <v>29906</v>
      </c>
      <c r="C23766" s="5" t="str">
        <f>IFERROR(__xludf.DUMMYFUNCTION("GOOGLETRANSLATE(B23766,""en"",""it"")"),"Una persona è in basso e sta oscillando un tessuto e lo colpisce su qualcosa.")</f>
        <v>Una persona è in basso e sta oscillando un tessuto e lo colpisce su qualcosa.</v>
      </c>
    </row>
    <row r="23767">
      <c r="A23767" s="4" t="s">
        <v>29905</v>
      </c>
      <c r="B23767" s="4" t="s">
        <v>29907</v>
      </c>
      <c r="C23767" s="5" t="str">
        <f>IFERROR(__xludf.DUMMYFUNCTION("GOOGLETRANSLATE(B23767,""en"",""it"")"),"Un ampio scatto di una città viene mostrato dall'alto.")</f>
        <v>Un ampio scatto di una città viene mostrato dall'alto.</v>
      </c>
    </row>
    <row r="23768">
      <c r="A23768" s="4" t="s">
        <v>29905</v>
      </c>
      <c r="B23768" s="6" t="s">
        <v>29908</v>
      </c>
      <c r="C23768" s="5" t="str">
        <f>IFERROR(__xludf.DUMMYFUNCTION("GOOGLETRANSLATE(B23768,""en"",""it"")"),"La vista piova ad altre parti della città e poi ingrandisce altre persone che colpiscono anche il tessuto su un oggetto.")</f>
        <v>La vista piova ad altre parti della città e poi ingrandisce altre persone che colpiscono anche il tessuto su un oggetto.</v>
      </c>
    </row>
    <row r="23769">
      <c r="A23769" s="4" t="s">
        <v>29909</v>
      </c>
      <c r="B23769" s="4" t="s">
        <v>29910</v>
      </c>
      <c r="C23769" s="5" t="str">
        <f>IFERROR(__xludf.DUMMYFUNCTION("GOOGLETRANSLATE(B23769,""en"",""it"")"),"Una persona sta gettando un disco lungo una striscia di terra.")</f>
        <v>Una persona sta gettando un disco lungo una striscia di terra.</v>
      </c>
    </row>
    <row r="23770">
      <c r="A23770" s="4" t="s">
        <v>29909</v>
      </c>
      <c r="B23770" s="4" t="s">
        <v>29911</v>
      </c>
      <c r="C23770" s="5" t="str">
        <f>IFERROR(__xludf.DUMMYFUNCTION("GOOGLETRANSLATE(B23770,""en"",""it"")"),"Una donna con una camicia marrone tiene in mano una tazza rossa.")</f>
        <v>Una donna con una camicia marrone tiene in mano una tazza rossa.</v>
      </c>
    </row>
    <row r="23771">
      <c r="A23771" s="4" t="s">
        <v>29909</v>
      </c>
      <c r="B23771" s="4" t="s">
        <v>29912</v>
      </c>
      <c r="C23771" s="5" t="str">
        <f>IFERROR(__xludf.DUMMYFUNCTION("GOOGLETRANSLATE(B23771,""en"",""it"")"),"Un ragazzo spinge una palla con un bastone.")</f>
        <v>Un ragazzo spinge una palla con un bastone.</v>
      </c>
    </row>
    <row r="23772">
      <c r="A23772" s="4" t="s">
        <v>29909</v>
      </c>
      <c r="B23772" s="4" t="s">
        <v>29913</v>
      </c>
      <c r="C23772" s="5" t="str">
        <f>IFERROR(__xludf.DUMMYFUNCTION("GOOGLETRANSLATE(B23772,""en"",""it"")"),"Un uomo con una camicia nera tiene in mano un bastone.")</f>
        <v>Un uomo con una camicia nera tiene in mano un bastone.</v>
      </c>
    </row>
    <row r="23773">
      <c r="A23773" s="4" t="s">
        <v>29909</v>
      </c>
      <c r="B23773" s="4" t="s">
        <v>29914</v>
      </c>
      <c r="C23773" s="5" t="str">
        <f>IFERROR(__xludf.DUMMYFUNCTION("GOOGLETRANSLATE(B23773,""en"",""it"")"),"Un ragazzo con una camicia bianca sorride alla telecamera.")</f>
        <v>Un ragazzo con una camicia bianca sorride alla telecamera.</v>
      </c>
    </row>
    <row r="23774">
      <c r="A23774" s="4" t="s">
        <v>29915</v>
      </c>
      <c r="B23774" s="4" t="s">
        <v>29916</v>
      </c>
      <c r="C23774" s="5" t="str">
        <f>IFERROR(__xludf.DUMMYFUNCTION("GOOGLETRANSLATE(B23774,""en"",""it"")"),"Un uomo viene visto parlare alla fotocamera mentre tiene in mano uno strumento.")</f>
        <v>Un uomo viene visto parlare alla fotocamera mentre tiene in mano uno strumento.</v>
      </c>
    </row>
    <row r="23775">
      <c r="A23775" s="4" t="s">
        <v>29915</v>
      </c>
      <c r="B23775" s="4" t="s">
        <v>29917</v>
      </c>
      <c r="C23775" s="5" t="str">
        <f>IFERROR(__xludf.DUMMYFUNCTION("GOOGLETRANSLATE(B23775,""en"",""it"")"),"Una persona viene quindi vista staccare un tetto usando il tetto e parlare ad alta voce.")</f>
        <v>Una persona viene quindi vista staccare un tetto usando il tetto e parlare ad alta voce.</v>
      </c>
    </row>
    <row r="23776">
      <c r="A23776" s="4" t="s">
        <v>29915</v>
      </c>
      <c r="B23776" s="4" t="s">
        <v>29918</v>
      </c>
      <c r="C23776" s="5" t="str">
        <f>IFERROR(__xludf.DUMMYFUNCTION("GOOGLETRANSLATE(B23776,""en"",""it"")"),"L'uomo continua a smontare il tetto.")</f>
        <v>L'uomo continua a smontare il tetto.</v>
      </c>
    </row>
    <row r="23777">
      <c r="A23777" s="4" t="s">
        <v>29919</v>
      </c>
      <c r="B23777" s="4" t="s">
        <v>29920</v>
      </c>
      <c r="C23777" s="5" t="str">
        <f>IFERROR(__xludf.DUMMYFUNCTION("GOOGLETRANSLATE(B23777,""en"",""it"")"),"Un gruppo di persone gioca in kayak di acqua bianca.")</f>
        <v>Un gruppo di persone gioca in kayak di acqua bianca.</v>
      </c>
    </row>
    <row r="23778">
      <c r="A23778" s="4" t="s">
        <v>29919</v>
      </c>
      <c r="B23778" s="4" t="s">
        <v>29921</v>
      </c>
      <c r="C23778" s="5" t="str">
        <f>IFERROR(__xludf.DUMMYFUNCTION("GOOGLETRANSLATE(B23778,""en"",""it"")"),"La persona in rosso cerca di capovolgere.")</f>
        <v>La persona in rosso cerca di capovolgere.</v>
      </c>
    </row>
    <row r="23779">
      <c r="A23779" s="4" t="s">
        <v>29919</v>
      </c>
      <c r="B23779" s="4" t="s">
        <v>29922</v>
      </c>
      <c r="C23779" s="5" t="str">
        <f>IFERROR(__xludf.DUMMYFUNCTION("GOOGLETRANSLATE(B23779,""en"",""it"")"),"Una persona in verde tenta la stessa cosa.")</f>
        <v>Una persona in verde tenta la stessa cosa.</v>
      </c>
    </row>
    <row r="23780">
      <c r="A23780" s="4" t="s">
        <v>29919</v>
      </c>
      <c r="B23780" s="4" t="s">
        <v>29923</v>
      </c>
      <c r="C23780" s="5" t="str">
        <f>IFERROR(__xludf.DUMMYFUNCTION("GOOGLETRANSLATE(B23780,""en"",""it"")"),"La persona in rosso ha quindi la parte anteriore in aria per molto tempo.")</f>
        <v>La persona in rosso ha quindi la parte anteriore in aria per molto tempo.</v>
      </c>
    </row>
    <row r="23781">
      <c r="A23781" s="4" t="s">
        <v>29924</v>
      </c>
      <c r="B23781" s="4" t="s">
        <v>29925</v>
      </c>
      <c r="C23781" s="5" t="str">
        <f>IFERROR(__xludf.DUMMYFUNCTION("GOOGLETRANSLATE(B23781,""en"",""it"")"),"Un folto gruppo di persone viene visto uscire su un campo con una folla che tira dietro di loro.")</f>
        <v>Un folto gruppo di persone viene visto uscire su un campo con una folla che tira dietro di loro.</v>
      </c>
    </row>
    <row r="23782">
      <c r="A23782" s="4" t="s">
        <v>29924</v>
      </c>
      <c r="B23782" s="4" t="s">
        <v>29926</v>
      </c>
      <c r="C23782" s="5" t="str">
        <f>IFERROR(__xludf.DUMMYFUNCTION("GOOGLETRANSLATE(B23782,""en"",""it"")"),"Gli uomini iniziano quindi a giocare a calcio e a calciare la palla intorno al campo.")</f>
        <v>Gli uomini iniziano quindi a giocare a calcio e a calciare la palla intorno al campo.</v>
      </c>
    </row>
    <row r="23783">
      <c r="A23783" s="4" t="s">
        <v>29924</v>
      </c>
      <c r="B23783" s="6" t="s">
        <v>29927</v>
      </c>
      <c r="C23783" s="5" t="str">
        <f>IFERROR(__xludf.DUMMYFUNCTION("GOOGLETRANSLATE(B23783,""en"",""it"")"),"Vengono mostrati diversi colpi di persone che segnano goal e altri che celebrano e si tengono a vicenda.")</f>
        <v>Vengono mostrati diversi colpi di persone che segnano goal e altri che celebrano e si tengono a vicenda.</v>
      </c>
    </row>
    <row r="23784">
      <c r="A23784" s="4" t="s">
        <v>29928</v>
      </c>
      <c r="B23784" s="4" t="s">
        <v>29929</v>
      </c>
      <c r="C23784" s="5" t="str">
        <f>IFERROR(__xludf.DUMMYFUNCTION("GOOGLETRANSLATE(B23784,""en"",""it"")"),"Diversi spettatori guardano come un uomo fa atletica.")</f>
        <v>Diversi spettatori guardano come un uomo fa atletica.</v>
      </c>
    </row>
    <row r="23785">
      <c r="A23785" s="4" t="s">
        <v>29928</v>
      </c>
      <c r="B23785" s="4" t="s">
        <v>29930</v>
      </c>
      <c r="C23785" s="5" t="str">
        <f>IFERROR(__xludf.DUMMYFUNCTION("GOOGLETRANSLATE(B23785,""en"",""it"")"),"Il video con un uomo che inizia a correre lungo la traccia.")</f>
        <v>Il video con un uomo che inizia a correre lungo la traccia.</v>
      </c>
    </row>
    <row r="23786">
      <c r="A23786" s="4" t="s">
        <v>29928</v>
      </c>
      <c r="B23786" s="4" t="s">
        <v>29931</v>
      </c>
      <c r="C23786" s="5" t="str">
        <f>IFERROR(__xludf.DUMMYFUNCTION("GOOGLETRANSLATE(B23786,""en"",""it"")"),"Mentre raggiunge la sezione sporca, fa tre salti.")</f>
        <v>Mentre raggiunge la sezione sporca, fa tre salti.</v>
      </c>
    </row>
    <row r="23787">
      <c r="A23787" s="4" t="s">
        <v>29928</v>
      </c>
      <c r="B23787" s="4" t="s">
        <v>29932</v>
      </c>
      <c r="C23787" s="5" t="str">
        <f>IFERROR(__xludf.DUMMYFUNCTION("GOOGLETRANSLATE(B23787,""en"",""it"")"),"Nel suo ultimo salto, estende le gambe per cercare di saltare il più possibile.")</f>
        <v>Nel suo ultimo salto, estende le gambe per cercare di saltare il più possibile.</v>
      </c>
    </row>
    <row r="23788">
      <c r="A23788" s="4" t="s">
        <v>29928</v>
      </c>
      <c r="B23788" s="4" t="s">
        <v>29933</v>
      </c>
      <c r="C23788" s="5" t="str">
        <f>IFERROR(__xludf.DUMMYFUNCTION("GOOGLETRANSLATE(B23788,""en"",""it"")"),"Il video termina dopo aver atterrato e gli viene mostrato colpire il terreno.")</f>
        <v>Il video termina dopo aver atterrato e gli viene mostrato colpire il terreno.</v>
      </c>
    </row>
    <row r="23789">
      <c r="A23789" s="4" t="s">
        <v>29934</v>
      </c>
      <c r="B23789" s="6" t="s">
        <v>29935</v>
      </c>
      <c r="C23789" s="5" t="str">
        <f>IFERROR(__xludf.DUMMYFUNCTION("GOOGLETRANSLATE(B23789,""en"",""it"")"),"La telecamera si muove attorno a un uomo in piedi davanti a un tavolo da ping pong e inizia a giocare una partita con un altro uomo.")</f>
        <v>La telecamera si muove attorno a un uomo in piedi davanti a un tavolo da ping pong e inizia a giocare una partita con un altro uomo.</v>
      </c>
    </row>
    <row r="23790">
      <c r="A23790" s="4" t="s">
        <v>29934</v>
      </c>
      <c r="B23790" s="4" t="s">
        <v>29936</v>
      </c>
      <c r="C23790" s="5" t="str">
        <f>IFERROR(__xludf.DUMMYFUNCTION("GOOGLETRANSLATE(B23790,""en"",""it"")"),"Gli uomini continuano a colpire la palla indietro e quarto mentre varie persone lo guardano sul lato.")</f>
        <v>Gli uomini continuano a colpire la palla indietro e quarto mentre varie persone lo guardano sul lato.</v>
      </c>
    </row>
    <row r="23791">
      <c r="A23791" s="4" t="s">
        <v>29937</v>
      </c>
      <c r="B23791" s="4" t="s">
        <v>29938</v>
      </c>
      <c r="C23791" s="5" t="str">
        <f>IFERROR(__xludf.DUMMYFUNCTION("GOOGLETRANSLATE(B23791,""en"",""it"")"),"Una ginnasta viene vista guardare in lontananza e stare in piedi davanti a una serie di barre irregolari.")</f>
        <v>Una ginnasta viene vista guardare in lontananza e stare in piedi davanti a una serie di barre irregolari.</v>
      </c>
    </row>
    <row r="23792">
      <c r="A23792" s="4" t="s">
        <v>29937</v>
      </c>
      <c r="B23792" s="4" t="s">
        <v>29939</v>
      </c>
      <c r="C23792" s="5" t="str">
        <f>IFERROR(__xludf.DUMMYFUNCTION("GOOGLETRANSLATE(B23792,""en"",""it"")"),"L'uomo salta quindi sulle barre e inizia a oscillare indietro e quarto.")</f>
        <v>L'uomo salta quindi sulle barre e inizia a oscillare indietro e quarto.</v>
      </c>
    </row>
    <row r="23793">
      <c r="A23793" s="4" t="s">
        <v>29937</v>
      </c>
      <c r="B23793" s="4" t="s">
        <v>29940</v>
      </c>
      <c r="C23793" s="5" t="str">
        <f>IFERROR(__xludf.DUMMYFUNCTION("GOOGLETRANSLATE(B23793,""en"",""it"")"),"L'uomo continua a oscillare e termina saltando giù.")</f>
        <v>L'uomo continua a oscillare e termina saltando giù.</v>
      </c>
    </row>
    <row r="23794">
      <c r="A23794" s="4" t="s">
        <v>29941</v>
      </c>
      <c r="B23794" s="4" t="s">
        <v>29942</v>
      </c>
      <c r="C23794" s="5" t="str">
        <f>IFERROR(__xludf.DUMMYFUNCTION("GOOGLETRANSLATE(B23794,""en"",""it"")"),"Una donna lava le mani in un lavandino.")</f>
        <v>Una donna lava le mani in un lavandino.</v>
      </c>
    </row>
    <row r="23795">
      <c r="A23795" s="4" t="s">
        <v>29941</v>
      </c>
      <c r="B23795" s="4" t="s">
        <v>29943</v>
      </c>
      <c r="C23795" s="5" t="str">
        <f>IFERROR(__xludf.DUMMYFUNCTION("GOOGLETRANSLATE(B23795,""en"",""it"")"),"La donna si asciugò le mani.")</f>
        <v>La donna si asciugò le mani.</v>
      </c>
    </row>
    <row r="23796">
      <c r="A23796" s="4" t="s">
        <v>29941</v>
      </c>
      <c r="B23796" s="4" t="s">
        <v>29944</v>
      </c>
      <c r="C23796" s="5" t="str">
        <f>IFERROR(__xludf.DUMMYFUNCTION("GOOGLETRANSLATE(B23796,""en"",""it"")"),"La fotocamera mostra un primo piano del suo liquido che fa cadere in una lente a contatto.")</f>
        <v>La fotocamera mostra un primo piano del suo liquido che fa cadere in una lente a contatto.</v>
      </c>
    </row>
    <row r="23797">
      <c r="A23797" s="4" t="s">
        <v>29941</v>
      </c>
      <c r="B23797" s="4" t="s">
        <v>29945</v>
      </c>
      <c r="C23797" s="5" t="str">
        <f>IFERROR(__xludf.DUMMYFUNCTION("GOOGLETRANSLATE(B23797,""en"",""it"")"),"La lente a contatto è sostenuta per l'ispezione.")</f>
        <v>La lente a contatto è sostenuta per l'ispezione.</v>
      </c>
    </row>
    <row r="23798">
      <c r="A23798" s="4" t="s">
        <v>29941</v>
      </c>
      <c r="B23798" s="4" t="s">
        <v>29946</v>
      </c>
      <c r="C23798" s="5" t="str">
        <f>IFERROR(__xludf.DUMMYFUNCTION("GOOGLETRANSLATE(B23798,""en"",""it"")"),"La donna strofina la lente a contatto con il fluido.")</f>
        <v>La donna strofina la lente a contatto con il fluido.</v>
      </c>
    </row>
    <row r="23799">
      <c r="A23799" s="4" t="s">
        <v>29941</v>
      </c>
      <c r="B23799" s="4" t="s">
        <v>29947</v>
      </c>
      <c r="C23799" s="5" t="str">
        <f>IFERROR(__xludf.DUMMYFUNCTION("GOOGLETRANSLATE(B23799,""en"",""it"")"),"La donna indossa l'obiettivo.")</f>
        <v>La donna indossa l'obiettivo.</v>
      </c>
    </row>
    <row r="23800">
      <c r="A23800" s="4" t="s">
        <v>29941</v>
      </c>
      <c r="B23800" s="4" t="s">
        <v>29948</v>
      </c>
      <c r="C23800" s="5" t="str">
        <f>IFERROR(__xludf.DUMMYFUNCTION("GOOGLETRANSLATE(B23800,""en"",""it"")"),"La donna rimuove l'obiettivo.")</f>
        <v>La donna rimuove l'obiettivo.</v>
      </c>
    </row>
    <row r="23801">
      <c r="A23801" s="4" t="s">
        <v>29941</v>
      </c>
      <c r="B23801" s="4" t="s">
        <v>29949</v>
      </c>
      <c r="C23801" s="5" t="str">
        <f>IFERROR(__xludf.DUMMYFUNCTION("GOOGLETRANSLATE(B23801,""en"",""it"")"),"L'obiettivo è sostenuto per l'ispezione.")</f>
        <v>L'obiettivo è sostenuto per l'ispezione.</v>
      </c>
    </row>
    <row r="23802">
      <c r="A23802" s="4" t="s">
        <v>29941</v>
      </c>
      <c r="B23802" s="4" t="s">
        <v>29950</v>
      </c>
      <c r="C23802" s="5" t="str">
        <f>IFERROR(__xludf.DUMMYFUNCTION("GOOGLETRANSLATE(B23802,""en"",""it"")"),"La donna rimuove di nuovo l'obiettivo dagli occhi.")</f>
        <v>La donna rimuove di nuovo l'obiettivo dagli occhi.</v>
      </c>
    </row>
    <row r="23803">
      <c r="A23803" s="4" t="s">
        <v>29941</v>
      </c>
      <c r="B23803" s="4" t="s">
        <v>29951</v>
      </c>
      <c r="C23803" s="5" t="str">
        <f>IFERROR(__xludf.DUMMYFUNCTION("GOOGLETRANSLATE(B23803,""en"",""it"")"),"La donna pulisce l'obiettivo con la soluzione.")</f>
        <v>La donna pulisce l'obiettivo con la soluzione.</v>
      </c>
    </row>
    <row r="23804">
      <c r="A23804" s="4" t="s">
        <v>29941</v>
      </c>
      <c r="B23804" s="4" t="s">
        <v>29952</v>
      </c>
      <c r="C23804" s="5" t="str">
        <f>IFERROR(__xludf.DUMMYFUNCTION("GOOGLETRANSLATE(B23804,""en"",""it"")"),"La donna mette l'obiettivo in un contenitore.")</f>
        <v>La donna mette l'obiettivo in un contenitore.</v>
      </c>
    </row>
    <row r="23805">
      <c r="A23805" s="4" t="s">
        <v>29953</v>
      </c>
      <c r="B23805" s="4" t="s">
        <v>29954</v>
      </c>
      <c r="C23805" s="5" t="str">
        <f>IFERROR(__xludf.DUMMYFUNCTION("GOOGLETRANSLATE(B23805,""en"",""it"")"),"Una giovane donna viene vista guardare alla telecamera che fuma una sigaretta e ridere alla telecamera.")</f>
        <v>Una giovane donna viene vista guardare alla telecamera che fuma una sigaretta e ridere alla telecamera.</v>
      </c>
    </row>
    <row r="23806">
      <c r="A23806" s="4" t="s">
        <v>29953</v>
      </c>
      <c r="B23806" s="4" t="s">
        <v>29955</v>
      </c>
      <c r="C23806" s="5" t="str">
        <f>IFERROR(__xludf.DUMMYFUNCTION("GOOGLETRANSLATE(B23806,""en"",""it"")"),"Continua a togliersi i sbuffi dalla sigaretta mentre guarda nella telecamera e soffia fumo.")</f>
        <v>Continua a togliersi i sbuffi dalla sigaretta mentre guarda nella telecamera e soffia fumo.</v>
      </c>
    </row>
    <row r="23807">
      <c r="A23807" s="4" t="s">
        <v>29956</v>
      </c>
      <c r="B23807" s="4" t="s">
        <v>29957</v>
      </c>
      <c r="C23807" s="5" t="str">
        <f>IFERROR(__xludf.DUMMYFUNCTION("GOOGLETRANSLATE(B23807,""en"",""it"")"),"In Home Pet Groomer dimostrano come governare un animale domestico.")</f>
        <v>In Home Pet Groomer dimostrano come governare un animale domestico.</v>
      </c>
    </row>
    <row r="23808">
      <c r="A23808" s="4" t="s">
        <v>29956</v>
      </c>
      <c r="B23808" s="6" t="s">
        <v>29958</v>
      </c>
      <c r="C23808" s="5" t="str">
        <f>IFERROR(__xludf.DUMMYFUNCTION("GOOGLETRANSLATE(B23808,""en"",""it"")"),"La persona sta dimostrando come i capelli del cane sono tagliati con cesoie elettriche nel loro salone di toelettatura.")</f>
        <v>La persona sta dimostrando come i capelli del cane sono tagliati con cesoie elettriche nel loro salone di toelettatura.</v>
      </c>
    </row>
    <row r="23809">
      <c r="A23809" s="4" t="s">
        <v>29959</v>
      </c>
      <c r="B23809" s="4" t="s">
        <v>29960</v>
      </c>
      <c r="C23809" s="5" t="str">
        <f>IFERROR(__xludf.DUMMYFUNCTION("GOOGLETRANSLATE(B23809,""en"",""it"")"),"Due uomini si trovano all'estrema sinistra di un tavolo da birra.")</f>
        <v>Due uomini si trovano all'estrema sinistra di un tavolo da birra.</v>
      </c>
    </row>
    <row r="23810">
      <c r="A23810" s="4" t="s">
        <v>29959</v>
      </c>
      <c r="B23810" s="4" t="s">
        <v>29961</v>
      </c>
      <c r="C23810" s="5" t="str">
        <f>IFERROR(__xludf.DUMMYFUNCTION("GOOGLETRANSLATE(B23810,""en"",""it"")"),"Uno degli uomini lancia una pallina di birra sul tavolo, in una tazza.")</f>
        <v>Uno degli uomini lancia una pallina di birra sul tavolo, in una tazza.</v>
      </c>
    </row>
    <row r="23811">
      <c r="A23811" s="4" t="s">
        <v>29959</v>
      </c>
      <c r="B23811" s="4" t="s">
        <v>29962</v>
      </c>
      <c r="C23811" s="5" t="str">
        <f>IFERROR(__xludf.DUMMYFUNCTION("GOOGLETRANSLATE(B23811,""en"",""it"")"),"L'altro uomo con lui lancia anche una palla sul tavolo.")</f>
        <v>L'altro uomo con lui lancia anche una palla sul tavolo.</v>
      </c>
    </row>
    <row r="23812">
      <c r="A23812" s="4" t="s">
        <v>29959</v>
      </c>
      <c r="B23812" s="6" t="s">
        <v>29963</v>
      </c>
      <c r="C23812" s="5" t="str">
        <f>IFERROR(__xludf.DUMMYFUNCTION("GOOGLETRANSLATE(B23812,""en"",""it"")"),"Altri due uomini si trovano sull'estrema destra del tavolo della birra, e uno degli uomini arriva per afferrare la tazza in cui è caduta la palla e l'altro uomo si piega per prendere una palla che è caduta sul pavimento.")</f>
        <v>Altri due uomini si trovano sull'estrema destra del tavolo della birra, e uno degli uomini arriva per afferrare la tazza in cui è caduta la palla e l'altro uomo si piega per prendere una palla che è caduta sul pavimento.</v>
      </c>
    </row>
    <row r="23813">
      <c r="A23813" s="4" t="s">
        <v>29964</v>
      </c>
      <c r="B23813" s="4" t="s">
        <v>29965</v>
      </c>
      <c r="C23813" s="5" t="str">
        <f>IFERROR(__xludf.DUMMYFUNCTION("GOOGLETRANSLATE(B23813,""en"",""it"")"),"Una ragazza si sporge su un lavandino e un ragazzo si sale per parlarle.")</f>
        <v>Una ragazza si sporge su un lavandino e un ragazzo si sale per parlarle.</v>
      </c>
    </row>
    <row r="23814">
      <c r="A23814" s="4" t="s">
        <v>29964</v>
      </c>
      <c r="B23814" s="4" t="s">
        <v>29966</v>
      </c>
      <c r="C23814" s="5" t="str">
        <f>IFERROR(__xludf.DUMMYFUNCTION("GOOGLETRANSLATE(B23814,""en"",""it"")"),"Comincia a ridere e saltare su e giù.")</f>
        <v>Comincia a ridere e saltare su e giù.</v>
      </c>
    </row>
    <row r="23815">
      <c r="A23815" s="4" t="s">
        <v>29964</v>
      </c>
      <c r="B23815" s="4" t="s">
        <v>29967</v>
      </c>
      <c r="C23815" s="5" t="str">
        <f>IFERROR(__xludf.DUMMYFUNCTION("GOOGLETRANSLATE(B23815,""en"",""it"")"),"Il ragazzo sembra ugualmente eccitato e lei sorride alla telecamera.")</f>
        <v>Il ragazzo sembra ugualmente eccitato e lei sorride alla telecamera.</v>
      </c>
    </row>
    <row r="23816">
      <c r="A23816" s="4" t="s">
        <v>29968</v>
      </c>
      <c r="B23816" s="4" t="s">
        <v>29969</v>
      </c>
      <c r="C23816" s="5" t="str">
        <f>IFERROR(__xludf.DUMMYFUNCTION("GOOGLETRANSLATE(B23816,""en"",""it"")"),"Una ragazza con una coda di cavallo suona un drumkit, appare a una musicista addestrata.")</f>
        <v>Una ragazza con una coda di cavallo suona un drumkit, appare a una musicista addestrata.</v>
      </c>
    </row>
    <row r="23817">
      <c r="A23817" s="4" t="s">
        <v>29968</v>
      </c>
      <c r="B23817" s="4" t="s">
        <v>29970</v>
      </c>
      <c r="C23817" s="5" t="str">
        <f>IFERROR(__xludf.DUMMYFUNCTION("GOOGLETRANSLATE(B23817,""en"",""it"")"),"La ragazza si concentra su un tamburo particolare.")</f>
        <v>La ragazza si concentra su un tamburo particolare.</v>
      </c>
    </row>
    <row r="23818">
      <c r="A23818" s="4" t="s">
        <v>29968</v>
      </c>
      <c r="B23818" s="4" t="s">
        <v>29971</v>
      </c>
      <c r="C23818" s="5" t="str">
        <f>IFERROR(__xludf.DUMMYFUNCTION("GOOGLETRANSLATE(B23818,""en"",""it"")"),"La ragazza continua a recitare diverse parti del drumkit.")</f>
        <v>La ragazza continua a recitare diverse parti del drumkit.</v>
      </c>
    </row>
    <row r="23819">
      <c r="A23819" s="4" t="s">
        <v>29972</v>
      </c>
      <c r="B23819" s="6" t="s">
        <v>29973</v>
      </c>
      <c r="C23819" s="5" t="str">
        <f>IFERROR(__xludf.DUMMYFUNCTION("GOOGLETRANSLATE(B23819,""en"",""it"")"),"Un camion si vede il backup e soffia foglie mentre la fotocamera cattura l'area attorno al camion.")</f>
        <v>Un camion si vede il backup e soffia foglie mentre la fotocamera cattura l'area attorno al camion.</v>
      </c>
    </row>
    <row r="23820">
      <c r="A23820" s="4" t="s">
        <v>29972</v>
      </c>
      <c r="B23820" s="6" t="s">
        <v>29974</v>
      </c>
      <c r="C23820" s="5" t="str">
        <f>IFERROR(__xludf.DUMMYFUNCTION("GOOGLETRANSLATE(B23820,""en"",""it"")"),"Il camion viene di nuovo visto in diverse località che esegue il backup e spingendo le foglie di distanza dal camion.")</f>
        <v>Il camion viene di nuovo visto in diverse località che esegue il backup e spingendo le foglie di distanza dal camion.</v>
      </c>
    </row>
    <row r="23821">
      <c r="A23821" s="4" t="s">
        <v>29975</v>
      </c>
      <c r="B23821" s="4" t="s">
        <v>29976</v>
      </c>
      <c r="C23821" s="5" t="str">
        <f>IFERROR(__xludf.DUMMYFUNCTION("GOOGLETRANSLATE(B23821,""en"",""it"")"),"Due persone stanno giocando una partita di tennis su un campo blu.")</f>
        <v>Due persone stanno giocando una partita di tennis su un campo blu.</v>
      </c>
    </row>
    <row r="23822">
      <c r="A23822" s="4" t="s">
        <v>29975</v>
      </c>
      <c r="B23822" s="4" t="s">
        <v>29977</v>
      </c>
      <c r="C23822" s="5" t="str">
        <f>IFERROR(__xludf.DUMMYFUNCTION("GOOGLETRANSLATE(B23822,""en"",""it"")"),"L'uomo con la camicia blu manca la palla e si allontana per parlare con qualcuno.")</f>
        <v>L'uomo con la camicia blu manca la palla e si allontana per parlare con qualcuno.</v>
      </c>
    </row>
    <row r="23823">
      <c r="A23823" s="4" t="s">
        <v>29975</v>
      </c>
      <c r="B23823" s="4" t="s">
        <v>29978</v>
      </c>
      <c r="C23823" s="5" t="str">
        <f>IFERROR(__xludf.DUMMYFUNCTION("GOOGLETRANSLATE(B23823,""en"",""it"")"),"Riproducino il video di lui che manca la palla.")</f>
        <v>Riproducino il video di lui che manca la palla.</v>
      </c>
    </row>
    <row r="23824">
      <c r="A23824" s="4" t="s">
        <v>29975</v>
      </c>
      <c r="B23824" s="4" t="s">
        <v>29979</v>
      </c>
      <c r="C23824" s="5" t="str">
        <f>IFERROR(__xludf.DUMMYFUNCTION("GOOGLETRANSLATE(B23824,""en"",""it"")"),"Un uomo con una camicia bianca si trova su una sedia con un microfono.")</f>
        <v>Un uomo con una camicia bianca si trova su una sedia con un microfono.</v>
      </c>
    </row>
    <row r="23825">
      <c r="A23825" s="4" t="s">
        <v>29975</v>
      </c>
      <c r="B23825" s="4" t="s">
        <v>29980</v>
      </c>
      <c r="C23825" s="5" t="str">
        <f>IFERROR(__xludf.DUMMYFUNCTION("GOOGLETRANSLATE(B23825,""en"",""it"")"),"Riavviano un'altra partita di tennis.")</f>
        <v>Riavviano un'altra partita di tennis.</v>
      </c>
    </row>
    <row r="23826">
      <c r="A23826" s="4" t="s">
        <v>29981</v>
      </c>
      <c r="B23826" s="6" t="s">
        <v>29982</v>
      </c>
      <c r="C23826" s="5" t="str">
        <f>IFERROR(__xludf.DUMMYFUNCTION("GOOGLETRANSLATE(B23826,""en"",""it"")"),"Viene visto un uomo parlare alla telecamera mentre tiene uno sci e indica in varie località.")</f>
        <v>Viene visto un uomo parlare alla telecamera mentre tiene uno sci e indica in varie località.</v>
      </c>
    </row>
    <row r="23827">
      <c r="A23827" s="4" t="s">
        <v>29981</v>
      </c>
      <c r="B23827" s="6" t="s">
        <v>29983</v>
      </c>
      <c r="C23827" s="5" t="str">
        <f>IFERROR(__xludf.DUMMYFUNCTION("GOOGLETRANSLATE(B23827,""en"",""it"")"),"L'uomo continua a parlare mentre si strofina lo sci con lozione e finendo presentandolo allo schermo.")</f>
        <v>L'uomo continua a parlare mentre si strofina lo sci con lozione e finendo presentandolo allo schermo.</v>
      </c>
    </row>
    <row r="23828">
      <c r="A23828" s="4" t="s">
        <v>29984</v>
      </c>
      <c r="B23828" s="4" t="s">
        <v>29985</v>
      </c>
      <c r="C23828" s="5" t="str">
        <f>IFERROR(__xludf.DUMMYFUNCTION("GOOGLETRANSLATE(B23828,""en"",""it"")"),"Due autobus sono parcheggiati in un parcheggio.")</f>
        <v>Due autobus sono parcheggiati in un parcheggio.</v>
      </c>
    </row>
    <row r="23829">
      <c r="A23829" s="4" t="s">
        <v>29984</v>
      </c>
      <c r="B23829" s="4" t="s">
        <v>29986</v>
      </c>
      <c r="C23829" s="5" t="str">
        <f>IFERROR(__xludf.DUMMYFUNCTION("GOOGLETRANSLATE(B23829,""en"",""it"")"),"Le persone camminano davanti a esso nella neve.")</f>
        <v>Le persone camminano davanti a esso nella neve.</v>
      </c>
    </row>
    <row r="23830">
      <c r="A23830" s="4" t="s">
        <v>29984</v>
      </c>
      <c r="B23830" s="4" t="s">
        <v>29987</v>
      </c>
      <c r="C23830" s="5" t="str">
        <f>IFERROR(__xludf.DUMMYFUNCTION("GOOGLETRANSLATE(B23830,""en"",""it"")"),"Una persona sta spalando la neve di fronte a loro.")</f>
        <v>Una persona sta spalando la neve di fronte a loro.</v>
      </c>
    </row>
    <row r="23831">
      <c r="A23831" s="4" t="s">
        <v>29988</v>
      </c>
      <c r="B23831" s="4" t="s">
        <v>29989</v>
      </c>
      <c r="C23831" s="5" t="str">
        <f>IFERROR(__xludf.DUMMYFUNCTION("GOOGLETRANSLATE(B23831,""en"",""it"")"),"Una donna più anziana è vista seduta su una sedia con un ago tra le mani.")</f>
        <v>Una donna più anziana è vista seduta su una sedia con un ago tra le mani.</v>
      </c>
    </row>
    <row r="23832">
      <c r="A23832" s="4" t="s">
        <v>29988</v>
      </c>
      <c r="B23832" s="4" t="s">
        <v>29990</v>
      </c>
      <c r="C23832" s="5" t="str">
        <f>IFERROR(__xludf.DUMMYFUNCTION("GOOGLETRANSLATE(B23832,""en"",""it"")"),"La donna inizia quindi a seminare mentre la telecamera cattura i suoi movimenti.")</f>
        <v>La donna inizia quindi a seminare mentre la telecamera cattura i suoi movimenti.</v>
      </c>
    </row>
    <row r="23833">
      <c r="A23833" s="4" t="s">
        <v>29988</v>
      </c>
      <c r="B23833" s="4" t="s">
        <v>29991</v>
      </c>
      <c r="C23833" s="5" t="str">
        <f>IFERROR(__xludf.DUMMYFUNCTION("GOOGLETRANSLATE(B23833,""en"",""it"")"),"La donna continua a seminare e la telecamera si orologio da un lato.")</f>
        <v>La donna continua a seminare e la telecamera si orologio da un lato.</v>
      </c>
    </row>
    <row r="23834">
      <c r="A23834" s="4" t="s">
        <v>29992</v>
      </c>
      <c r="B23834" s="4" t="s">
        <v>29993</v>
      </c>
      <c r="C23834" s="5" t="str">
        <f>IFERROR(__xludf.DUMMYFUNCTION("GOOGLETRANSLATE(B23834,""en"",""it"")"),"Una donna sta nella neve con le parole ""Fat Girl Snowboard"" sovrapposta.")</f>
        <v>Una donna sta nella neve con le parole "Fat Girl Snowboard" sovrapposta.</v>
      </c>
    </row>
    <row r="23835">
      <c r="A23835" s="4" t="s">
        <v>29992</v>
      </c>
      <c r="B23835" s="4" t="s">
        <v>29994</v>
      </c>
      <c r="C23835" s="5" t="str">
        <f>IFERROR(__xludf.DUMMYFUNCTION("GOOGLETRANSLATE(B23835,""en"",""it"")"),"Un messaggio da taci a lungo sulla sua ragione di volere lo snowboard.")</f>
        <v>Un messaggio da taci a lungo sulla sua ragione di volere lo snowboard.</v>
      </c>
    </row>
    <row r="23836">
      <c r="A23836" s="4" t="s">
        <v>29992</v>
      </c>
      <c r="B23836" s="4" t="s">
        <v>29995</v>
      </c>
      <c r="C23836" s="5" t="str">
        <f>IFERROR(__xludf.DUMMYFUNCTION("GOOGLETRANSLATE(B23836,""en"",""it"")"),"Fa diversi tentativi lungo la collina innevata e cade molte volte.")</f>
        <v>Fa diversi tentativi lungo la collina innevata e cade molte volte.</v>
      </c>
    </row>
    <row r="23837">
      <c r="A23837" s="4" t="s">
        <v>29996</v>
      </c>
      <c r="B23837" s="4" t="s">
        <v>29997</v>
      </c>
      <c r="C23837" s="5" t="str">
        <f>IFERROR(__xludf.DUMMYFUNCTION("GOOGLETRANSLATE(B23837,""en"",""it"")"),"Un istante che tiene un panno rosso è in campo.")</f>
        <v>Un istante che tiene un panno rosso è in campo.</v>
      </c>
    </row>
    <row r="23838">
      <c r="A23838" s="4" t="s">
        <v>29996</v>
      </c>
      <c r="B23838" s="4" t="s">
        <v>29998</v>
      </c>
      <c r="C23838" s="5" t="str">
        <f>IFERROR(__xludf.DUMMYFUNCTION("GOOGLETRANSLATE(B23838,""en"",""it"")"),"Un toro sta correndo verso il panno rosso del istante.")</f>
        <v>Un toro sta correndo verso il panno rosso del istante.</v>
      </c>
    </row>
    <row r="23839">
      <c r="A23839" s="4" t="s">
        <v>29996</v>
      </c>
      <c r="B23839" s="4" t="s">
        <v>29999</v>
      </c>
      <c r="C23839" s="5" t="str">
        <f>IFERROR(__xludf.DUMMYFUNCTION("GOOGLETRANSLATE(B23839,""en"",""it"")"),"Molte persone sono sedute su stand a guardare il traino.")</f>
        <v>Molte persone sono sedute su stand a guardare il traino.</v>
      </c>
    </row>
    <row r="23840">
      <c r="A23840" s="4" t="s">
        <v>30000</v>
      </c>
      <c r="B23840" s="4" t="s">
        <v>30001</v>
      </c>
      <c r="C23840" s="5" t="str">
        <f>IFERROR(__xludf.DUMMYFUNCTION("GOOGLETRANSLATE(B23840,""en"",""it"")"),"Un ragazzo viene visto versare sapone nelle mani e strofinarsi le mani sopra un lavandino.")</f>
        <v>Un ragazzo viene visto versare sapone nelle mani e strofinarsi le mani sopra un lavandino.</v>
      </c>
    </row>
    <row r="23841">
      <c r="A23841" s="4" t="s">
        <v>30000</v>
      </c>
      <c r="B23841" s="4" t="s">
        <v>30002</v>
      </c>
      <c r="C23841" s="5" t="str">
        <f>IFERROR(__xludf.DUMMYFUNCTION("GOOGLETRANSLATE(B23841,""en"",""it"")"),"Quindi afferra un tovagliolo di carta e si asciuga le mani.")</f>
        <v>Quindi afferra un tovagliolo di carta e si asciuga le mani.</v>
      </c>
    </row>
    <row r="23842">
      <c r="A23842" s="4" t="s">
        <v>30003</v>
      </c>
      <c r="B23842" s="4" t="s">
        <v>30004</v>
      </c>
      <c r="C23842" s="5" t="str">
        <f>IFERROR(__xludf.DUMMYFUNCTION("GOOGLETRANSLATE(B23842,""en"",""it"")"),"Le coppie ballano su una pista da ballo durante una festa di fronte a un palco.")</f>
        <v>Le coppie ballano su una pista da ballo durante una festa di fronte a un palco.</v>
      </c>
    </row>
    <row r="23843">
      <c r="A23843" s="4" t="s">
        <v>30003</v>
      </c>
      <c r="B23843" s="4" t="s">
        <v>30005</v>
      </c>
      <c r="C23843" s="5" t="str">
        <f>IFERROR(__xludf.DUMMYFUNCTION("GOOGLETRANSLATE(B23843,""en"",""it"")"),"L'uomo gira il suo partner mentre balla.")</f>
        <v>L'uomo gira il suo partner mentre balla.</v>
      </c>
    </row>
    <row r="23844">
      <c r="A23844" s="4" t="s">
        <v>30003</v>
      </c>
      <c r="B23844" s="4" t="s">
        <v>30006</v>
      </c>
      <c r="C23844" s="5" t="str">
        <f>IFERROR(__xludf.DUMMYFUNCTION("GOOGLETRANSLATE(B23844,""en"",""it"")"),"Un uomo sulla destra danza che oscilla le braccia indietro e quarto.")</f>
        <v>Un uomo sulla destra danza che oscilla le braccia indietro e quarto.</v>
      </c>
    </row>
    <row r="23845">
      <c r="A23845" s="4" t="s">
        <v>30007</v>
      </c>
      <c r="B23845" s="4" t="s">
        <v>30008</v>
      </c>
      <c r="C23845" s="5" t="str">
        <f>IFERROR(__xludf.DUMMYFUNCTION("GOOGLETRANSLATE(B23845,""en"",""it"")"),"Un uomo è in piedi nel bosco, parlando.")</f>
        <v>Un uomo è in piedi nel bosco, parlando.</v>
      </c>
    </row>
    <row r="23846">
      <c r="A23846" s="4" t="s">
        <v>30007</v>
      </c>
      <c r="B23846" s="4" t="s">
        <v>30009</v>
      </c>
      <c r="C23846" s="5" t="str">
        <f>IFERROR(__xludf.DUMMYFUNCTION("GOOGLETRANSLATE(B23846,""en"",""it"")"),"Usa un'ascia per colpire un grande pezzo di legno.")</f>
        <v>Usa un'ascia per colpire un grande pezzo di legno.</v>
      </c>
    </row>
    <row r="23847">
      <c r="A23847" s="4" t="s">
        <v>30007</v>
      </c>
      <c r="B23847" s="4" t="s">
        <v>30010</v>
      </c>
      <c r="C23847" s="5" t="str">
        <f>IFERROR(__xludf.DUMMYFUNCTION("GOOGLETRANSLATE(B23847,""en"",""it"")"),"Spunta il legno in tronchi con l'ascia.")</f>
        <v>Spunta il legno in tronchi con l'ascia.</v>
      </c>
    </row>
    <row r="23848">
      <c r="A23848" s="4" t="s">
        <v>30011</v>
      </c>
      <c r="B23848" s="4" t="s">
        <v>30012</v>
      </c>
      <c r="C23848" s="5" t="str">
        <f>IFERROR(__xludf.DUMMYFUNCTION("GOOGLETRANSLATE(B23848,""en"",""it"")"),"Vediamo uomini che lavorano su un tetto in una casa in stile ranch.")</f>
        <v>Vediamo uomini che lavorano su un tetto in una casa in stile ranch.</v>
      </c>
    </row>
    <row r="23849">
      <c r="A23849" s="4" t="s">
        <v>30011</v>
      </c>
      <c r="B23849" s="4" t="s">
        <v>30013</v>
      </c>
      <c r="C23849" s="5" t="str">
        <f>IFERROR(__xludf.DUMMYFUNCTION("GOOGLETRANSLATE(B23849,""en"",""it"")"),"Vediamo le forniture a terra.")</f>
        <v>Vediamo le forniture a terra.</v>
      </c>
    </row>
    <row r="23850">
      <c r="A23850" s="4" t="s">
        <v>30011</v>
      </c>
      <c r="B23850" s="4" t="s">
        <v>30014</v>
      </c>
      <c r="C23850" s="5" t="str">
        <f>IFERROR(__xludf.DUMMYFUNCTION("GOOGLETRANSLATE(B23850,""en"",""it"")"),"Vediamo gli uomini nella parte anteriore del tetto.")</f>
        <v>Vediamo gli uomini nella parte anteriore del tetto.</v>
      </c>
    </row>
    <row r="23851">
      <c r="A23851" s="4" t="s">
        <v>30011</v>
      </c>
      <c r="B23851" s="4" t="s">
        <v>30015</v>
      </c>
      <c r="C23851" s="5" t="str">
        <f>IFERROR(__xludf.DUMMYFUNCTION("GOOGLETRANSLATE(B23851,""en"",""it"")"),"Vediamo un uomo che lancia tegole in un rimorchio a terra.")</f>
        <v>Vediamo un uomo che lancia tegole in un rimorchio a terra.</v>
      </c>
    </row>
    <row r="23852">
      <c r="A23852" s="4" t="s">
        <v>30011</v>
      </c>
      <c r="B23852" s="4" t="s">
        <v>30016</v>
      </c>
      <c r="C23852" s="5" t="str">
        <f>IFERROR(__xludf.DUMMYFUNCTION("GOOGLETRANSLATE(B23852,""en"",""it"")"),"Vediamo i rotoli di materiali di copertura.")</f>
        <v>Vediamo i rotoli di materiali di copertura.</v>
      </c>
    </row>
    <row r="23853">
      <c r="A23853" s="4" t="s">
        <v>30011</v>
      </c>
      <c r="B23853" s="4" t="s">
        <v>30017</v>
      </c>
      <c r="C23853" s="5" t="str">
        <f>IFERROR(__xludf.DUMMYFUNCTION("GOOGLETRANSLATE(B23853,""en"",""it"")"),"Vediamo un uomo che getta l'herpes zoster in un trailer.")</f>
        <v>Vediamo un uomo che getta l'herpes zoster in un trailer.</v>
      </c>
    </row>
    <row r="23854">
      <c r="A23854" s="4" t="s">
        <v>30011</v>
      </c>
      <c r="B23854" s="4" t="s">
        <v>30018</v>
      </c>
      <c r="C23854" s="5" t="str">
        <f>IFERROR(__xludf.DUMMYFUNCTION("GOOGLETRANSLATE(B23854,""en"",""it"")"),"Tre uomini gettano l'herpes zoster dal tetto.")</f>
        <v>Tre uomini gettano l'herpes zoster dal tetto.</v>
      </c>
    </row>
    <row r="23855">
      <c r="A23855" s="4" t="s">
        <v>30019</v>
      </c>
      <c r="B23855" s="4" t="s">
        <v>30020</v>
      </c>
      <c r="C23855" s="5" t="str">
        <f>IFERROR(__xludf.DUMMYFUNCTION("GOOGLETRANSLATE(B23855,""en"",""it"")"),"Un'impostazione di occhiali con acqua di limone è impostata su un tappetino con un limone intero.")</f>
        <v>Un'impostazione di occhiali con acqua di limone è impostata su un tappetino con un limone intero.</v>
      </c>
    </row>
    <row r="23856">
      <c r="A23856" s="4" t="s">
        <v>30019</v>
      </c>
      <c r="B23856" s="4" t="s">
        <v>30021</v>
      </c>
      <c r="C23856" s="5" t="str">
        <f>IFERROR(__xludf.DUMMYFUNCTION("GOOGLETRANSLATE(B23856,""en"",""it"")"),"Le fette di limone vengono raccolte da un barattolo e posizionate in bicchieri da bere su un ripiano in acciaio.")</f>
        <v>Le fette di limone vengono raccolte da un barattolo e posizionate in bicchieri da bere su un ripiano in acciaio.</v>
      </c>
    </row>
    <row r="23857">
      <c r="A23857" s="4" t="s">
        <v>30019</v>
      </c>
      <c r="B23857" s="4" t="s">
        <v>30022</v>
      </c>
      <c r="C23857" s="5" t="str">
        <f>IFERROR(__xludf.DUMMYFUNCTION("GOOGLETRANSLATE(B23857,""en"",""it"")"),"L'acqua calda a vapore viene versata sui limoni negli occhiali.")</f>
        <v>L'acqua calda a vapore viene versata sui limoni negli occhiali.</v>
      </c>
    </row>
    <row r="23858">
      <c r="A23858" s="4" t="s">
        <v>30019</v>
      </c>
      <c r="B23858" s="4" t="s">
        <v>30023</v>
      </c>
      <c r="C23858" s="5" t="str">
        <f>IFERROR(__xludf.DUMMYFUNCTION("GOOGLETRANSLATE(B23858,""en"",""it"")"),"Gli occhiali vengono agitati con un'asta agitata.")</f>
        <v>Gli occhiali vengono agitati con un'asta agitata.</v>
      </c>
    </row>
    <row r="23859">
      <c r="A23859" s="4" t="s">
        <v>30019</v>
      </c>
      <c r="B23859" s="4" t="s">
        <v>30024</v>
      </c>
      <c r="C23859" s="5" t="str">
        <f>IFERROR(__xludf.DUMMYFUNCTION("GOOGLETRANSLATE(B23859,""en"",""it"")"),"Gli occhiali sono visti sul tavolo e vengono lentamente sputati da destra a sinistra.")</f>
        <v>Gli occhiali sono visti sul tavolo e vengono lentamente sputati da destra a sinistra.</v>
      </c>
    </row>
    <row r="23860">
      <c r="A23860" s="4" t="s">
        <v>30025</v>
      </c>
      <c r="B23860" s="4" t="s">
        <v>30026</v>
      </c>
      <c r="C23860" s="5" t="str">
        <f>IFERROR(__xludf.DUMMYFUNCTION("GOOGLETRANSLATE(B23860,""en"",""it"")"),"Una coppia è vista con una folla, sale su una collina innevata.")</f>
        <v>Una coppia è vista con una folla, sale su una collina innevata.</v>
      </c>
    </row>
    <row r="23861">
      <c r="A23861" s="4" t="s">
        <v>30025</v>
      </c>
      <c r="B23861" s="4" t="s">
        <v>30027</v>
      </c>
      <c r="C23861" s="5" t="str">
        <f>IFERROR(__xludf.DUMMYFUNCTION("GOOGLETRANSLATE(B23861,""en"",""it"")"),"Si turbano lungo le colline innevate.")</f>
        <v>Si turbano lungo le colline innevate.</v>
      </c>
    </row>
    <row r="23862">
      <c r="A23862" s="4" t="s">
        <v>30025</v>
      </c>
      <c r="B23862" s="4" t="s">
        <v>30028</v>
      </c>
      <c r="C23862" s="5" t="str">
        <f>IFERROR(__xludf.DUMMYFUNCTION("GOOGLETRANSLATE(B23862,""en"",""it"")"),"Le persone scivolano giù per ripide curve veloci sugli intertorubi.")</f>
        <v>Le persone scivolano giù per ripide curve veloci sugli intertorubi.</v>
      </c>
    </row>
    <row r="23863">
      <c r="A23863" s="4" t="s">
        <v>30029</v>
      </c>
      <c r="B23863" s="4" t="s">
        <v>30030</v>
      </c>
      <c r="C23863" s="5" t="str">
        <f>IFERROR(__xludf.DUMMYFUNCTION("GOOGLETRANSLATE(B23863,""en"",""it"")"),"Viene visualizzata una carrellata con un logo aziendale e informazioni di contatto.")</f>
        <v>Viene visualizzata una carrellata con un logo aziendale e informazioni di contatto.</v>
      </c>
    </row>
    <row r="23864">
      <c r="A23864" s="4" t="s">
        <v>30029</v>
      </c>
      <c r="B23864" s="4" t="s">
        <v>30031</v>
      </c>
      <c r="C23864" s="5" t="str">
        <f>IFERROR(__xludf.DUMMYFUNCTION("GOOGLETRANSLATE(B23864,""en"",""it"")"),"Un operaio edile avvita i battiscopa al pavimento.")</f>
        <v>Un operaio edile avvita i battiscopa al pavimento.</v>
      </c>
    </row>
    <row r="23865">
      <c r="A23865" s="4" t="s">
        <v>30029</v>
      </c>
      <c r="B23865" s="4" t="s">
        <v>30032</v>
      </c>
      <c r="C23865" s="5" t="str">
        <f>IFERROR(__xludf.DUMMYFUNCTION("GOOGLETRANSLATE(B23865,""en"",""it"")"),"Un operaio edile utilizza un raschietto portatile per applicare il gesso al pavimento nudo.")</f>
        <v>Un operaio edile utilizza un raschietto portatile per applicare il gesso al pavimento nudo.</v>
      </c>
    </row>
    <row r="23866">
      <c r="A23866" s="4" t="s">
        <v>30029</v>
      </c>
      <c r="B23866" s="4" t="s">
        <v>30033</v>
      </c>
      <c r="C23866" s="5" t="str">
        <f>IFERROR(__xludf.DUMMYFUNCTION("GOOGLETRANSLATE(B23866,""en"",""it"")"),"Un lavoratore posiziona piastrelle sul pavimento e utilizza distanziatori trasversali di plastica nei boschi.")</f>
        <v>Un lavoratore posiziona piastrelle sul pavimento e utilizza distanziatori trasversali di plastica nei boschi.</v>
      </c>
    </row>
    <row r="23867">
      <c r="A23867" s="4" t="s">
        <v>30029</v>
      </c>
      <c r="B23867" s="4" t="s">
        <v>30034</v>
      </c>
      <c r="C23867" s="5" t="str">
        <f>IFERROR(__xludf.DUMMYFUNCTION("GOOGLETRANSLATE(B23867,""en"",""it"")"),"Un rullo di peso pesante viene arrotolato sulle piastrelle di nuova posizione.")</f>
        <v>Un rullo di peso pesante viene arrotolato sulle piastrelle di nuova posizione.</v>
      </c>
    </row>
    <row r="23868">
      <c r="A23868" s="4" t="s">
        <v>30029</v>
      </c>
      <c r="B23868" s="4" t="s">
        <v>30035</v>
      </c>
      <c r="C23868" s="5" t="str">
        <f>IFERROR(__xludf.DUMMYFUNCTION("GOOGLETRANSLATE(B23868,""en"",""it"")"),"Il pavimento finito viene visto dopo che il lavoro è stato finito.")</f>
        <v>Il pavimento finito viene visto dopo che il lavoro è stato finito.</v>
      </c>
    </row>
    <row r="23869">
      <c r="A23869" s="4" t="s">
        <v>30036</v>
      </c>
      <c r="B23869" s="4" t="s">
        <v>30037</v>
      </c>
      <c r="C23869" s="5" t="str">
        <f>IFERROR(__xludf.DUMMYFUNCTION("GOOGLETRANSLATE(B23869,""en"",""it"")"),"Alcuni ragazzi sono seduti vicino a una scogliera.")</f>
        <v>Alcuni ragazzi sono seduti vicino a una scogliera.</v>
      </c>
    </row>
    <row r="23870">
      <c r="A23870" s="4" t="s">
        <v>30036</v>
      </c>
      <c r="B23870" s="4" t="s">
        <v>30038</v>
      </c>
      <c r="C23870" s="5" t="str">
        <f>IFERROR(__xludf.DUMMYFUNCTION("GOOGLETRANSLATE(B23870,""en"",""it"")"),"Un uomo sta arrampicando una scogliera con tutti gli arti.")</f>
        <v>Un uomo sta arrampicando una scogliera con tutti gli arti.</v>
      </c>
    </row>
    <row r="23871">
      <c r="A23871" s="4" t="s">
        <v>30036</v>
      </c>
      <c r="B23871" s="4" t="s">
        <v>30039</v>
      </c>
      <c r="C23871" s="5" t="str">
        <f>IFERROR(__xludf.DUMMYFUNCTION("GOOGLETRANSLATE(B23871,""en"",""it"")"),"L'uomo che sta arrampicando cade e inizia a ridere.")</f>
        <v>L'uomo che sta arrampicando cade e inizia a ridere.</v>
      </c>
    </row>
    <row r="23872">
      <c r="A23872" s="4" t="s">
        <v>30040</v>
      </c>
      <c r="B23872" s="4" t="s">
        <v>30041</v>
      </c>
      <c r="C23872" s="5" t="str">
        <f>IFERROR(__xludf.DUMMYFUNCTION("GOOGLETRANSLATE(B23872,""en"",""it"")"),"Ci sono diverse persone riunite per guardare una partita competitiva di polo d'acqua in una giornata di sole.")</f>
        <v>Ci sono diverse persone riunite per guardare una partita competitiva di polo d'acqua in una giornata di sole.</v>
      </c>
    </row>
    <row r="23873">
      <c r="A23873" s="4" t="s">
        <v>30040</v>
      </c>
      <c r="B23873" s="4" t="s">
        <v>30042</v>
      </c>
      <c r="C23873" s="5" t="str">
        <f>IFERROR(__xludf.DUMMYFUNCTION("GOOGLETRANSLATE(B23873,""en"",""it"")"),"Ci sono due squadre in una piscina all'aperto che giocano l'una contro l'altra.")</f>
        <v>Ci sono due squadre in una piscina all'aperto che giocano l'una contro l'altra.</v>
      </c>
    </row>
    <row r="23874">
      <c r="A23874" s="4" t="s">
        <v>30040</v>
      </c>
      <c r="B23874" s="4" t="s">
        <v>30043</v>
      </c>
      <c r="C23874" s="5" t="str">
        <f>IFERROR(__xludf.DUMMYFUNCTION("GOOGLETRANSLATE(B23874,""en"",""it"")"),"Gli spettatori stanno guardando e incoraggiando i giocatori.")</f>
        <v>Gli spettatori stanno guardando e incoraggiando i giocatori.</v>
      </c>
    </row>
    <row r="23875">
      <c r="A23875" s="4" t="s">
        <v>30040</v>
      </c>
      <c r="B23875" s="4" t="s">
        <v>30044</v>
      </c>
      <c r="C23875" s="5" t="str">
        <f>IFERROR(__xludf.DUMMYFUNCTION("GOOGLETRANSLATE(B23875,""en"",""it"")"),"I giocatori stanno giocando con una palla di colore giallo.")</f>
        <v>I giocatori stanno giocando con una palla di colore giallo.</v>
      </c>
    </row>
    <row r="23876">
      <c r="A23876" s="4" t="s">
        <v>30040</v>
      </c>
      <c r="B23876" s="4" t="s">
        <v>30045</v>
      </c>
      <c r="C23876" s="5" t="str">
        <f>IFERROR(__xludf.DUMMYFUNCTION("GOOGLETRANSLATE(B23876,""en"",""it"")"),"Dopo che una delle squadre ha segnato un punto, i compagni compagni di squadra esultano per loro.")</f>
        <v>Dopo che una delle squadre ha segnato un punto, i compagni compagni di squadra esultano per loro.</v>
      </c>
    </row>
    <row r="23877">
      <c r="A23877" s="4" t="s">
        <v>30040</v>
      </c>
      <c r="B23877" s="4" t="s">
        <v>30046</v>
      </c>
      <c r="C23877" s="5" t="str">
        <f>IFERROR(__xludf.DUMMYFUNCTION("GOOGLETRANSLATE(B23877,""en"",""it"")"),"La squadra vincente segna più punti e riceve applausi dalla folla.")</f>
        <v>La squadra vincente segna più punti e riceve applausi dalla folla.</v>
      </c>
    </row>
    <row r="23878">
      <c r="A23878" s="4" t="s">
        <v>30047</v>
      </c>
      <c r="B23878" s="4" t="s">
        <v>30048</v>
      </c>
      <c r="C23878" s="5" t="str">
        <f>IFERROR(__xludf.DUMMYFUNCTION("GOOGLETRANSLATE(B23878,""en"",""it"")"),"Diversi concorrenti sono su un palco in piedi dietro un podio fatto per sembrare un cubo di Rubik.")</f>
        <v>Diversi concorrenti sono su un palco in piedi dietro un podio fatto per sembrare un cubo di Rubik.</v>
      </c>
    </row>
    <row r="23879">
      <c r="A23879" s="4" t="s">
        <v>30047</v>
      </c>
      <c r="B23879" s="6" t="s">
        <v>30049</v>
      </c>
      <c r="C23879" s="5" t="str">
        <f>IFERROR(__xludf.DUMMYFUNCTION("GOOGLETRANSLATE(B23879,""en"",""it"")"),"Un ragazzo quindi posiziona una piega cieca sulla fronte mentre un uomo si alza alla sua sinistra esaminando ogni sua mossa.")</f>
        <v>Un ragazzo quindi posiziona una piega cieca sulla fronte mentre un uomo si alza alla sua sinistra esaminando ogni sua mossa.</v>
      </c>
    </row>
    <row r="23880">
      <c r="A23880" s="4" t="s">
        <v>30047</v>
      </c>
      <c r="B23880" s="6" t="s">
        <v>30050</v>
      </c>
      <c r="C23880" s="5" t="str">
        <f>IFERROR(__xludf.DUMMYFUNCTION("GOOGLETRANSLATE(B23880,""en"",""it"")"),"Il cubo viene quindi raccolto dal bancone e il timer inizia mentre tenta di risolvere il puzzle.")</f>
        <v>Il cubo viene quindi raccolto dal bancone e il timer inizia mentre tenta di risolvere il puzzle.</v>
      </c>
    </row>
    <row r="23881">
      <c r="A23881" s="4" t="s">
        <v>30047</v>
      </c>
      <c r="B23881" s="6" t="s">
        <v>30051</v>
      </c>
      <c r="C23881" s="5" t="str">
        <f>IFERROR(__xludf.DUMMYFUNCTION("GOOGLETRANSLATE(B23881,""en"",""it"")"),"Dopo trentacinque secondi, tira giù la piega cieca sugli occhi e continua a provare a risolvere il cubo.")</f>
        <v>Dopo trentacinque secondi, tira giù la piega cieca sugli occhi e continua a provare a risolvere il cubo.</v>
      </c>
    </row>
    <row r="23882">
      <c r="A23882" s="4" t="s">
        <v>30047</v>
      </c>
      <c r="B23882" s="4" t="s">
        <v>30052</v>
      </c>
      <c r="C23882" s="5" t="str">
        <f>IFERROR(__xludf.DUMMYFUNCTION("GOOGLETRANSLATE(B23882,""en"",""it"")"),"Sono passati un minuto e quindici secondi e il ragazzo mette giù il cubo e il timer si ferma.")</f>
        <v>Sono passati un minuto e quindici secondi e il ragazzo mette giù il cubo e il timer si ferma.</v>
      </c>
    </row>
    <row r="23883">
      <c r="A23883" s="4" t="s">
        <v>30047</v>
      </c>
      <c r="B23883" s="6" t="s">
        <v>30053</v>
      </c>
      <c r="C23883" s="5" t="str">
        <f>IFERROR(__xludf.DUMMYFUNCTION("GOOGLETRANSLATE(B23883,""en"",""it"")"),"Tutti sono estremamente felici per lui e iniziano e si congratulano con lui mentre gli altri avversari stanno ancora tentando di risolvere i loro.")</f>
        <v>Tutti sono estremamente felici per lui e iniziano e si congratulano con lui mentre gli altri avversari stanno ancora tentando di risolvere i loro.</v>
      </c>
    </row>
    <row r="23884">
      <c r="A23884" s="4" t="s">
        <v>30054</v>
      </c>
      <c r="B23884" s="4" t="s">
        <v>30055</v>
      </c>
      <c r="C23884" s="5" t="str">
        <f>IFERROR(__xludf.DUMMYFUNCTION("GOOGLETRANSLATE(B23884,""en"",""it"")"),"Un ragazzo viene visto camminare fino alla fine di una tavola da immersione e saltare di lato.")</f>
        <v>Un ragazzo viene visto camminare fino alla fine di una tavola da immersione e saltare di lato.</v>
      </c>
    </row>
    <row r="23885">
      <c r="A23885" s="4" t="s">
        <v>30054</v>
      </c>
      <c r="B23885" s="4" t="s">
        <v>30056</v>
      </c>
      <c r="C23885" s="5" t="str">
        <f>IFERROR(__xludf.DUMMYFUNCTION("GOOGLETRANSLATE(B23885,""en"",""it"")"),"Il ragazzo esce dalla superficie e un altro ragazzo viene visto camminare fino alla fine del tabellone.")</f>
        <v>Il ragazzo esce dalla superficie e un altro ragazzo viene visto camminare fino alla fine del tabellone.</v>
      </c>
    </row>
    <row r="23886">
      <c r="A23886" s="4" t="s">
        <v>30057</v>
      </c>
      <c r="B23886" s="6" t="s">
        <v>30058</v>
      </c>
      <c r="C23886" s="5" t="str">
        <f>IFERROR(__xludf.DUMMYFUNCTION("GOOGLETRANSLATE(B23886,""en"",""it"")"),"Una donna bruna sorride e parla mentre si trova in bagno con il petto visibile e uno striscione veloce sul fondo dello schermo dice che il suo nome è ""Aubrey Morgan"".")</f>
        <v>Una donna bruna sorride e parla mentre si trova in bagno con il petto visibile e uno striscione veloce sul fondo dello schermo dice che il suo nome è "Aubrey Morgan".</v>
      </c>
    </row>
    <row r="23887">
      <c r="A23887" s="4" t="s">
        <v>30057</v>
      </c>
      <c r="B23887" s="6" t="s">
        <v>30059</v>
      </c>
      <c r="C23887" s="5" t="str">
        <f>IFERROR(__xludf.DUMMYFUNCTION("GOOGLETRANSLATE(B23887,""en"",""it"")"),"La donna ora si alza in piedi e con solo le gambe visibili e indossa pantaloncini, tiene un rasoio e lo mostra in diverse angolazioni e primi piani, il testo sullo schermo legge ""rasoio di buona qualità"".")</f>
        <v>La donna ora si alza in piedi e con solo le gambe visibili e indossa pantaloncini, tiene un rasoio e lo mostra in diverse angolazioni e primi piani, il testo sullo schermo legge "rasoio di buona qualità".</v>
      </c>
    </row>
    <row r="23888">
      <c r="A23888" s="4" t="s">
        <v>30057</v>
      </c>
      <c r="B23888" s="6" t="s">
        <v>30060</v>
      </c>
      <c r="C23888" s="5" t="str">
        <f>IFERROR(__xludf.DUMMYFUNCTION("GOOGLETRANSLATE(B23888,""en"",""it"")"),"La donna inizia a lavare le gambe mentre si alza ancora, esfolia, e poi applica uno spesso strato di crema da barba su tutta la gamba, si affida alla gamba e poi inizia a radersi le gambe dalla caviglia e dal ginocchio e poi sciacqua il suo rasoio.")</f>
        <v>La donna inizia a lavare le gambe mentre si alza ancora, esfolia, e poi applica uno spesso strato di crema da barba su tutta la gamba, si affida alla gamba e poi inizia a radersi le gambe dalla caviglia e dal ginocchio e poi sciacqua il suo rasoio.</v>
      </c>
    </row>
    <row r="23889">
      <c r="A23889" s="4" t="s">
        <v>30057</v>
      </c>
      <c r="B23889" s="6" t="s">
        <v>30061</v>
      </c>
      <c r="C23889" s="5" t="str">
        <f>IFERROR(__xludf.DUMMYFUNCTION("GOOGLETRANSLATE(B23889,""en"",""it"")"),"La donna regge un rasoio usa e getta, quindi regge un rasoio riutilizzabile e mostra che il rasoio può essere spuntato.")</f>
        <v>La donna regge un rasoio usa e getta, quindi regge un rasoio riutilizzabile e mostra che il rasoio può essere spuntato.</v>
      </c>
    </row>
    <row r="23890">
      <c r="A23890" s="4" t="s">
        <v>30057</v>
      </c>
      <c r="B23890" s="4" t="s">
        <v>30062</v>
      </c>
      <c r="C23890" s="5" t="str">
        <f>IFERROR(__xludf.DUMMYFUNCTION("GOOGLETRANSLATE(B23890,""en"",""it"")"),"La donna è di nuovo in piedi e ora sta applicando la lozione alla sua gamba.")</f>
        <v>La donna è di nuovo in piedi e ora sta applicando la lozione alla sua gamba.</v>
      </c>
    </row>
    <row r="23891">
      <c r="A23891" s="4" t="s">
        <v>30057</v>
      </c>
      <c r="B23891" s="4" t="s">
        <v>30063</v>
      </c>
      <c r="C23891" s="5" t="str">
        <f>IFERROR(__xludf.DUMMYFUNCTION("GOOGLETRANSLATE(B23891,""en"",""it"")"),"La donna è ora in piedi con la parte superiore del corpo e sta sorridendo e parla.")</f>
        <v>La donna è ora in piedi con la parte superiore del corpo e sta sorridendo e parla.</v>
      </c>
    </row>
    <row r="23892">
      <c r="A23892" s="4" t="s">
        <v>30064</v>
      </c>
      <c r="B23892" s="4" t="s">
        <v>30065</v>
      </c>
      <c r="C23892" s="5" t="str">
        <f>IFERROR(__xludf.DUMMYFUNCTION("GOOGLETRANSLATE(B23892,""en"",""it"")"),"Le montagne sono viste sullo sfondo e un ragazzo cavalca in un'auto.")</f>
        <v>Le montagne sono viste sullo sfondo e un ragazzo cavalca in un'auto.</v>
      </c>
    </row>
    <row r="23893">
      <c r="A23893" s="4" t="s">
        <v>30064</v>
      </c>
      <c r="B23893" s="4" t="s">
        <v>30066</v>
      </c>
      <c r="C23893" s="5" t="str">
        <f>IFERROR(__xludf.DUMMYFUNCTION("GOOGLETRANSLATE(B23893,""en"",""it"")"),"Gli skateboarder cavalcano insieme un garage.")</f>
        <v>Gli skateboarder cavalcano insieme un garage.</v>
      </c>
    </row>
    <row r="23894">
      <c r="A23894" s="4" t="s">
        <v>30064</v>
      </c>
      <c r="B23894" s="4" t="s">
        <v>30067</v>
      </c>
      <c r="C23894" s="5" t="str">
        <f>IFERROR(__xludf.DUMMYFUNCTION("GOOGLETRANSLATE(B23894,""en"",""it"")"),"Gli skateboard scendono giù per una collina lo slittamento in fondo.")</f>
        <v>Gli skateboard scendono giù per una collina lo slittamento in fondo.</v>
      </c>
    </row>
    <row r="23895">
      <c r="A23895" s="4" t="s">
        <v>30064</v>
      </c>
      <c r="B23895" s="4" t="s">
        <v>30068</v>
      </c>
      <c r="C23895" s="5" t="str">
        <f>IFERROR(__xludf.DUMMYFUNCTION("GOOGLETRANSLATE(B23895,""en"",""it"")"),"Il ragazzo mette la sua tavola in piedi.")</f>
        <v>Il ragazzo mette la sua tavola in piedi.</v>
      </c>
    </row>
    <row r="23896">
      <c r="A23896" s="4" t="s">
        <v>30064</v>
      </c>
      <c r="B23896" s="4" t="s">
        <v>30069</v>
      </c>
      <c r="C23896" s="5" t="str">
        <f>IFERROR(__xludf.DUMMYFUNCTION("GOOGLETRANSLATE(B23896,""en"",""it"")"),"Un ragazzo skateboard attraverso le gradinate di uno stadio.")</f>
        <v>Un ragazzo skateboard attraverso le gradinate di uno stadio.</v>
      </c>
    </row>
    <row r="23897">
      <c r="A23897" s="4" t="s">
        <v>30070</v>
      </c>
      <c r="B23897" s="4" t="s">
        <v>30071</v>
      </c>
      <c r="C23897" s="5" t="str">
        <f>IFERROR(__xludf.DUMMYFUNCTION("GOOGLETRANSLATE(B23897,""en"",""it"")"),"Le persone sono sedute in bici da allenamento e si allenano.")</f>
        <v>Le persone sono sedute in bici da allenamento e si allenano.</v>
      </c>
    </row>
    <row r="23898">
      <c r="A23898" s="4" t="s">
        <v>30070</v>
      </c>
      <c r="B23898" s="4" t="s">
        <v>30072</v>
      </c>
      <c r="C23898" s="5" t="str">
        <f>IFERROR(__xludf.DUMMYFUNCTION("GOOGLETRANSLATE(B23898,""en"",""it"")"),"Una donna mette qualcosa sul lato della gamba di un uomo che si allena.")</f>
        <v>Una donna mette qualcosa sul lato della gamba di un uomo che si allena.</v>
      </c>
    </row>
    <row r="23899">
      <c r="A23899" s="4" t="s">
        <v>30070</v>
      </c>
      <c r="B23899" s="4" t="s">
        <v>30073</v>
      </c>
      <c r="C23899" s="5" t="str">
        <f>IFERROR(__xludf.DUMMYFUNCTION("GOOGLETRANSLATE(B23899,""en"",""it"")"),"Un uomo in abito nero parla di fronte a una televisione.")</f>
        <v>Un uomo in abito nero parla di fronte a una televisione.</v>
      </c>
    </row>
    <row r="23900">
      <c r="A23900" s="4" t="s">
        <v>30074</v>
      </c>
      <c r="B23900" s="6" t="s">
        <v>30075</v>
      </c>
      <c r="C23900" s="5" t="str">
        <f>IFERROR(__xludf.DUMMYFUNCTION("GOOGLETRANSLATE(B23900,""en"",""it"")"),"Una persona viene vista strofinare la criniera della pelliccia di un cavallo e porta a lavarlo e spruzzarlo.")</f>
        <v>Una persona viene vista strofinare la criniera della pelliccia di un cavallo e porta a lavarlo e spruzzarlo.</v>
      </c>
    </row>
    <row r="23901">
      <c r="A23901" s="4" t="s">
        <v>30074</v>
      </c>
      <c r="B23901" s="6" t="s">
        <v>30076</v>
      </c>
      <c r="C23901" s="5" t="str">
        <f>IFERROR(__xludf.DUMMYFUNCTION("GOOGLETRANSLATE(B23901,""en"",""it"")"),"La fotocamera mostra scatti del liquido e poi mostra la donna che si strofina e lava il cavallo.")</f>
        <v>La fotocamera mostra scatti del liquido e poi mostra la donna che si strofina e lava il cavallo.</v>
      </c>
    </row>
    <row r="23902">
      <c r="A23902" s="4" t="s">
        <v>30074</v>
      </c>
      <c r="B23902" s="6" t="s">
        <v>30077</v>
      </c>
      <c r="C23902" s="5" t="str">
        <f>IFERROR(__xludf.DUMMYFUNCTION("GOOGLETRANSLATE(B23902,""en"",""it"")"),"Cammina via il cavallo e scuote la bottiglia, mostrando più colpi di pulizia del cavallo con la bottiglia mostrata intermittente.")</f>
        <v>Cammina via il cavallo e scuote la bottiglia, mostrando più colpi di pulizia del cavallo con la bottiglia mostrata intermittente.</v>
      </c>
    </row>
    <row r="23903">
      <c r="A23903" s="4" t="s">
        <v>30078</v>
      </c>
      <c r="B23903" s="6" t="s">
        <v>30079</v>
      </c>
      <c r="C23903" s="5" t="str">
        <f>IFERROR(__xludf.DUMMYFUNCTION("GOOGLETRANSLATE(B23903,""en"",""it"")"),"Un uomo che tiene un bastone e indossa collant scintillanti è in piedi su un campo da basket e sta facendo una routine di roteare, capovolgere e danze drammatiche.")</f>
        <v>Un uomo che tiene un bastone e indossa collant scintillanti è in piedi su un campo da basket e sta facendo una routine di roteare, capovolgere e danze drammatiche.</v>
      </c>
    </row>
    <row r="23904">
      <c r="A23904" s="4" t="s">
        <v>30078</v>
      </c>
      <c r="B23904" s="4" t="s">
        <v>30080</v>
      </c>
      <c r="C23904" s="5" t="str">
        <f>IFERROR(__xludf.DUMMYFUNCTION("GOOGLETRANSLATE(B23904,""en"",""it"")"),"L'uomo fa roteare il testimone molto rapidamente e inaspettatamente.")</f>
        <v>L'uomo fa roteare il testimone molto rapidamente e inaspettatamente.</v>
      </c>
    </row>
    <row r="23905">
      <c r="A23905" s="4" t="s">
        <v>30078</v>
      </c>
      <c r="B23905" s="6" t="s">
        <v>30081</v>
      </c>
      <c r="C23905" s="5" t="str">
        <f>IFERROR(__xludf.DUMMYFUNCTION("GOOGLETRANSLATE(B23905,""en"",""it"")"),"L'uomo si riprende rapidamente e raccoglie il testimone e continua la sua routine come se non lo avesse mai lasciato cadere in primo luogo e lancia il bastone in alto in aria e fa numerosi giri e cattura rapidamente il testimone prima che colpisca il terr"&amp;"eno.")</f>
        <v>L'uomo si riprende rapidamente e raccoglie il testimone e continua la sua routine come se non lo avesse mai lasciato cadere in primo luogo e lancia il bastone in alto in aria e fa numerosi giri e cattura rapidamente il testimone prima che colpisca il terreno.</v>
      </c>
    </row>
    <row r="23906">
      <c r="A23906" s="4" t="s">
        <v>30078</v>
      </c>
      <c r="B23906" s="6" t="s">
        <v>30082</v>
      </c>
      <c r="C23906" s="5" t="str">
        <f>IFERROR(__xludf.DUMMYFUNCTION("GOOGLETRANSLATE(B23906,""en"",""it"")"),"L'uomo termina la sua routine in posizione seduta con le gambe sparse, la testa gettata indietro e il testimone appoggiato sulla sua destra e tra le gambe.")</f>
        <v>L'uomo termina la sua routine in posizione seduta con le gambe sparse, la testa gettata indietro e il testimone appoggiato sulla sua destra e tra le gambe.</v>
      </c>
    </row>
    <row r="23907">
      <c r="A23907" s="4" t="s">
        <v>30083</v>
      </c>
      <c r="B23907" s="4" t="s">
        <v>30084</v>
      </c>
      <c r="C23907" s="5" t="str">
        <f>IFERROR(__xludf.DUMMYFUNCTION("GOOGLETRANSLATE(B23907,""en"",""it"")"),"L'edificio viene mostrato quindi la torre dell'orologio.")</f>
        <v>L'edificio viene mostrato quindi la torre dell'orologio.</v>
      </c>
    </row>
    <row r="23908">
      <c r="A23908" s="4" t="s">
        <v>30083</v>
      </c>
      <c r="B23908" s="4" t="s">
        <v>30085</v>
      </c>
      <c r="C23908" s="5" t="str">
        <f>IFERROR(__xludf.DUMMYFUNCTION("GOOGLETRANSLATE(B23908,""en"",""it"")"),"I giovani stanno camminando sulla passerella di fronte all'edificio.")</f>
        <v>I giovani stanno camminando sulla passerella di fronte all'edificio.</v>
      </c>
    </row>
    <row r="23909">
      <c r="A23909" s="4" t="s">
        <v>30083</v>
      </c>
      <c r="B23909" s="4" t="s">
        <v>30086</v>
      </c>
      <c r="C23909" s="5" t="str">
        <f>IFERROR(__xludf.DUMMYFUNCTION("GOOGLETRANSLATE(B23909,""en"",""it"")"),"Un giovane si sta skateboard sulla strada, andando da un lato all'altro muove i piedi sul tabellone.")</f>
        <v>Un giovane si sta skateboard sulla strada, andando da un lato all'altro muove i piedi sul tabellone.</v>
      </c>
    </row>
    <row r="23910">
      <c r="A23910" s="4" t="s">
        <v>30087</v>
      </c>
      <c r="B23910" s="4" t="s">
        <v>30088</v>
      </c>
      <c r="C23910" s="5" t="str">
        <f>IFERROR(__xludf.DUMMYFUNCTION("GOOGLETRANSLATE(B23910,""en"",""it"")"),"Un gruppo di diversi ragazzi adolescenti sta giocando a un gioco di guerra.")</f>
        <v>Un gruppo di diversi ragazzi adolescenti sta giocando a un gioco di guerra.</v>
      </c>
    </row>
    <row r="23911">
      <c r="A23911" s="4" t="s">
        <v>30087</v>
      </c>
      <c r="B23911" s="4" t="s">
        <v>30089</v>
      </c>
      <c r="C23911" s="5" t="str">
        <f>IFERROR(__xludf.DUMMYFUNCTION("GOOGLETRANSLATE(B23911,""en"",""it"")"),"Tirano forte fino a quando la corda non dà e vincono la partita.")</f>
        <v>Tirano forte fino a quando la corda non dà e vincono la partita.</v>
      </c>
    </row>
    <row r="23912">
      <c r="A23912" s="4" t="s">
        <v>30090</v>
      </c>
      <c r="B23912" s="6" t="s">
        <v>30091</v>
      </c>
      <c r="C23912" s="5" t="str">
        <f>IFERROR(__xludf.DUMMYFUNCTION("GOOGLETRANSLATE(B23912,""en"",""it"")"),"La scena è di un quartiere circondato da alberi alti e un mucchio di foglie morte accanto a un catcher di foglie.")</f>
        <v>La scena è di un quartiere circondato da alberi alti e un mucchio di foglie morte accanto a un catcher di foglie.</v>
      </c>
    </row>
    <row r="23913">
      <c r="A23913" s="4" t="s">
        <v>30090</v>
      </c>
      <c r="B23913" s="4" t="s">
        <v>30092</v>
      </c>
      <c r="C23913" s="5" t="str">
        <f>IFERROR(__xludf.DUMMYFUNCTION("GOOGLETRANSLATE(B23913,""en"",""it"")"),"Un uomo che tiene un sonaglio mette le foglie in sacchi attaccati a un catcher di foglie.")</f>
        <v>Un uomo che tiene un sonaglio mette le foglie in sacchi attaccati a un catcher di foglie.</v>
      </c>
    </row>
    <row r="23914">
      <c r="A23914" s="4" t="s">
        <v>30090</v>
      </c>
      <c r="B23914" s="4" t="s">
        <v>30093</v>
      </c>
      <c r="C23914" s="5" t="str">
        <f>IFERROR(__xludf.DUMMYFUNCTION("GOOGLETRANSLATE(B23914,""en"",""it"")"),"Inoltre, l'uomo usa il cacciatore di foglie per raccogliere la spazzatura in una borsa.")</f>
        <v>Inoltre, l'uomo usa il cacciatore di foglie per raccogliere la spazzatura in una borsa.</v>
      </c>
    </row>
    <row r="23915">
      <c r="A23915" s="4" t="s">
        <v>30094</v>
      </c>
      <c r="B23915" s="4" t="s">
        <v>30095</v>
      </c>
      <c r="C23915" s="5" t="str">
        <f>IFERROR(__xludf.DUMMYFUNCTION("GOOGLETRANSLATE(B23915,""en"",""it"")"),"Un uomo che indossa una camicia bianca tiene una racchetta da tennis.")</f>
        <v>Un uomo che indossa una camicia bianca tiene una racchetta da tennis.</v>
      </c>
    </row>
    <row r="23916">
      <c r="A23916" s="4" t="s">
        <v>30094</v>
      </c>
      <c r="B23916" s="4" t="s">
        <v>30096</v>
      </c>
      <c r="C23916" s="5" t="str">
        <f>IFERROR(__xludf.DUMMYFUNCTION("GOOGLETRANSLATE(B23916,""en"",""it"")"),"Comincia a colpire le palline da tennis con la sua racchetta da tennis.")</f>
        <v>Comincia a colpire le palline da tennis con la sua racchetta da tennis.</v>
      </c>
    </row>
    <row r="23917">
      <c r="A23917" s="4" t="s">
        <v>30094</v>
      </c>
      <c r="B23917" s="4" t="s">
        <v>5880</v>
      </c>
      <c r="C23917" s="5" t="str">
        <f>IFERROR(__xludf.DUMMYFUNCTION("GOOGLETRANSLATE(B23917,""en"",""it"")"),"Si ferma e parla con la telecamera.")</f>
        <v>Si ferma e parla con la telecamera.</v>
      </c>
    </row>
    <row r="23918">
      <c r="A23918" s="4" t="s">
        <v>30097</v>
      </c>
      <c r="B23918" s="4" t="s">
        <v>30098</v>
      </c>
      <c r="C23918" s="5" t="str">
        <f>IFERROR(__xludf.DUMMYFUNCTION("GOOGLETRANSLATE(B23918,""en"",""it"")"),"Un folto gruppo di donne è visto in una stanza e inizia la danza del ventre.")</f>
        <v>Un folto gruppo di donne è visto in una stanza e inizia la danza del ventre.</v>
      </c>
    </row>
    <row r="23919">
      <c r="A23919" s="4" t="s">
        <v>30097</v>
      </c>
      <c r="B23919" s="6" t="s">
        <v>30099</v>
      </c>
      <c r="C23919" s="5" t="str">
        <f>IFERROR(__xludf.DUMMYFUNCTION("GOOGLETRANSLATE(B23919,""en"",""it"")"),"La donna balla l'uno con l'altro che esegue la stessa routine e una donna che balla davanti.")</f>
        <v>La donna balla l'uno con l'altro che esegue la stessa routine e una donna che balla davanti.</v>
      </c>
    </row>
    <row r="23920">
      <c r="A23920" s="4" t="s">
        <v>30097</v>
      </c>
      <c r="B23920" s="4" t="s">
        <v>30100</v>
      </c>
      <c r="C23920" s="5" t="str">
        <f>IFERROR(__xludf.DUMMYFUNCTION("GOOGLETRANSLATE(B23920,""en"",""it"")"),"Le donne continuano a ballare l'una con l'altra e finiscono camminando.")</f>
        <v>Le donne continuano a ballare l'una con l'altra e finiscono camminando.</v>
      </c>
    </row>
    <row r="23921">
      <c r="A23921" s="4" t="s">
        <v>30101</v>
      </c>
      <c r="B23921" s="4" t="s">
        <v>30102</v>
      </c>
      <c r="C23921" s="5" t="str">
        <f>IFERROR(__xludf.DUMMYFUNCTION("GOOGLETRANSLATE(B23921,""en"",""it"")"),"La persona sta camminando all'interno di una casa in un campo aperto con una mazza da baseball.")</f>
        <v>La persona sta camminando all'interno di una casa in un campo aperto con una mazza da baseball.</v>
      </c>
    </row>
    <row r="23922">
      <c r="A23922" s="4" t="s">
        <v>30101</v>
      </c>
      <c r="B23922" s="4" t="s">
        <v>30103</v>
      </c>
      <c r="C23922" s="5" t="str">
        <f>IFERROR(__xludf.DUMMYFUNCTION("GOOGLETRANSLATE(B23922,""en"",""it"")"),"Perse sta camminando con un bastone dietro alcuni uomini che corrono in campo.")</f>
        <v>Perse sta camminando con un bastone dietro alcuni uomini che corrono in campo.</v>
      </c>
    </row>
    <row r="23923">
      <c r="A23923" s="4" t="s">
        <v>30101</v>
      </c>
      <c r="B23923" s="6" t="s">
        <v>30104</v>
      </c>
      <c r="C23923" s="5" t="str">
        <f>IFERROR(__xludf.DUMMYFUNCTION("GOOGLETRANSLATE(B23923,""en"",""it"")"),"Vengono mostrati alcuni documenti e le donne che vendono magliette di lacrosse, in una partita, le persone sono raccolte in campo.")</f>
        <v>Vengono mostrati alcuni documenti e le donne che vendono magliette di lacrosse, in una partita, le persone sono raccolte in campo.</v>
      </c>
    </row>
    <row r="23924">
      <c r="A23924" s="4" t="s">
        <v>30101</v>
      </c>
      <c r="B23924" s="4" t="s">
        <v>30105</v>
      </c>
      <c r="C23924" s="5" t="str">
        <f>IFERROR(__xludf.DUMMYFUNCTION("GOOGLETRANSLATE(B23924,""en"",""it"")"),"I giocatori camminano dagli spogliatoi e sono nel campo di Playig.")</f>
        <v>I giocatori camminano dagli spogliatoi e sono nel campo di Playig.</v>
      </c>
    </row>
    <row r="23925">
      <c r="A23925" s="4" t="s">
        <v>30101</v>
      </c>
      <c r="B23925" s="4" t="s">
        <v>30106</v>
      </c>
      <c r="C23925" s="5" t="str">
        <f>IFERROR(__xludf.DUMMYFUNCTION("GOOGLETRANSLATE(B23925,""en"",""it"")"),"I giocatori stanno guardando in linea applaugando alla fine del gioco, alla fine sono mostrati i risultati.")</f>
        <v>I giocatori stanno guardando in linea applaugando alla fine del gioco, alla fine sono mostrati i risultati.</v>
      </c>
    </row>
    <row r="23926">
      <c r="A23926" s="4" t="s">
        <v>30107</v>
      </c>
      <c r="B23926" s="4" t="s">
        <v>30108</v>
      </c>
      <c r="C23926" s="5" t="str">
        <f>IFERROR(__xludf.DUMMYFUNCTION("GOOGLETRANSLATE(B23926,""en"",""it"")"),"Due giocatori stanno giocando una partita a racchetta.")</f>
        <v>Due giocatori stanno giocando una partita a racchetta.</v>
      </c>
    </row>
    <row r="23927">
      <c r="A23927" s="4" t="s">
        <v>30107</v>
      </c>
      <c r="B23927" s="4" t="s">
        <v>30109</v>
      </c>
      <c r="C23927" s="5" t="str">
        <f>IFERROR(__xludf.DUMMYFUNCTION("GOOGLETRANSLATE(B23927,""en"",""it"")"),"Una femmina fa un'altalena alla palla e la colpisce.")</f>
        <v>Una femmina fa un'altalena alla palla e la colpisce.</v>
      </c>
    </row>
    <row r="23928">
      <c r="A23928" s="4" t="s">
        <v>30107</v>
      </c>
      <c r="B23928" s="4" t="s">
        <v>30110</v>
      </c>
      <c r="C23928" s="5" t="str">
        <f>IFERROR(__xludf.DUMMYFUNCTION("GOOGLETRANSLATE(B23928,""en"",""it"")"),"L'altra femmina fa un'altalena alla palla e manca e si colpisce invece.")</f>
        <v>L'altra femmina fa un'altalena alla palla e manca e si colpisce invece.</v>
      </c>
    </row>
    <row r="23929">
      <c r="A23929" s="4" t="s">
        <v>30107</v>
      </c>
      <c r="B23929" s="4" t="s">
        <v>30111</v>
      </c>
      <c r="C23929" s="5" t="str">
        <f>IFERROR(__xludf.DUMMYFUNCTION("GOOGLETRANSLATE(B23929,""en"",""it"")"),"Quindi si siede sul pavimento mentre l'altra persona viene a spegnere la telecamera.")</f>
        <v>Quindi si siede sul pavimento mentre l'altra persona viene a spegnere la telecamera.</v>
      </c>
    </row>
    <row r="23930">
      <c r="A23930" s="4" t="s">
        <v>30112</v>
      </c>
      <c r="B23930" s="4" t="s">
        <v>30113</v>
      </c>
      <c r="C23930" s="5" t="str">
        <f>IFERROR(__xludf.DUMMYFUNCTION("GOOGLETRANSLATE(B23930,""en"",""it"")"),"Un giovane è visto in piedi nel mezzo di una stanza e tiene in aria una racchetta da tennis.")</f>
        <v>Un giovane è visto in piedi nel mezzo di una stanza e tiene in aria una racchetta da tennis.</v>
      </c>
    </row>
    <row r="23931">
      <c r="A23931" s="4" t="s">
        <v>30112</v>
      </c>
      <c r="B23931" s="4" t="s">
        <v>30114</v>
      </c>
      <c r="C23931" s="5" t="str">
        <f>IFERROR(__xludf.DUMMYFUNCTION("GOOGLETRANSLATE(B23931,""en"",""it"")"),"Se stesso e un uomo vengono quindi visti colpire la palla da tennis mentre corrono per la stanza.")</f>
        <v>Se stesso e un uomo vengono quindi visti colpire la palla da tennis mentre corrono per la stanza.</v>
      </c>
    </row>
    <row r="23932">
      <c r="A23932" s="4" t="s">
        <v>30112</v>
      </c>
      <c r="B23932" s="4" t="s">
        <v>30115</v>
      </c>
      <c r="C23932" s="5" t="str">
        <f>IFERROR(__xludf.DUMMYFUNCTION("GOOGLETRANSLATE(B23932,""en"",""it"")"),"Il ragazzo scappa dall'uomo e verso la telecamera alla fine.")</f>
        <v>Il ragazzo scappa dall'uomo e verso la telecamera alla fine.</v>
      </c>
    </row>
    <row r="23933">
      <c r="A23933" s="4" t="s">
        <v>30116</v>
      </c>
      <c r="B23933" s="4" t="s">
        <v>30117</v>
      </c>
      <c r="C23933" s="5" t="str">
        <f>IFERROR(__xludf.DUMMYFUNCTION("GOOGLETRANSLATE(B23933,""en"",""it"")"),"Un folto gruppo di persone si trova insieme mentre una donna in un bel vestito parla.")</f>
        <v>Un folto gruppo di persone si trova insieme mentre una donna in un bel vestito parla.</v>
      </c>
    </row>
    <row r="23934">
      <c r="A23934" s="4" t="s">
        <v>30116</v>
      </c>
      <c r="B23934" s="4" t="s">
        <v>30118</v>
      </c>
      <c r="C23934" s="5" t="str">
        <f>IFERROR(__xludf.DUMMYFUNCTION("GOOGLETRANSLATE(B23934,""en"",""it"")"),"Vengono mostrate varie persone in costume e una ragazza corre giocando con un aquilone.")</f>
        <v>Vengono mostrate varie persone in costume e una ragazza corre giocando con un aquilone.</v>
      </c>
    </row>
    <row r="23935">
      <c r="A23935" s="4" t="s">
        <v>30116</v>
      </c>
      <c r="B23935" s="4" t="s">
        <v>30119</v>
      </c>
      <c r="C23935" s="5" t="str">
        <f>IFERROR(__xludf.DUMMYFUNCTION("GOOGLETRANSLATE(B23935,""en"",""it"")"),"Numerosi aquiloni vengono mostrati nell'aria mentre altri bambini giocano con loro.")</f>
        <v>Numerosi aquiloni vengono mostrati nell'aria mentre altri bambini giocano con loro.</v>
      </c>
    </row>
    <row r="23936">
      <c r="A23936" s="4" t="s">
        <v>30116</v>
      </c>
      <c r="B23936" s="6" t="s">
        <v>30120</v>
      </c>
      <c r="C23936" s="5" t="str">
        <f>IFERROR(__xludf.DUMMYFUNCTION("GOOGLETRANSLATE(B23936,""en"",""it"")"),"Centinaia di aquiloni sono mostrati in aria per un festival e un uomo intervista la sua esperienza con gli aquiloni.")</f>
        <v>Centinaia di aquiloni sono mostrati in aria per un festival e un uomo intervista la sua esperienza con gli aquiloni.</v>
      </c>
    </row>
    <row r="23937">
      <c r="A23937" s="4" t="s">
        <v>30116</v>
      </c>
      <c r="B23937" s="4" t="s">
        <v>30121</v>
      </c>
      <c r="C23937" s="5" t="str">
        <f>IFERROR(__xludf.DUMMYFUNCTION("GOOGLETRANSLATE(B23937,""en"",""it"")"),"Diverse persone si fermano e si guardano intorno e la città piove durante la notte.")</f>
        <v>Diverse persone si fermano e si guardano intorno e la città piove durante la notte.</v>
      </c>
    </row>
    <row r="23938">
      <c r="A23938" s="4" t="s">
        <v>30122</v>
      </c>
      <c r="B23938" s="4" t="s">
        <v>30123</v>
      </c>
      <c r="C23938" s="5" t="str">
        <f>IFERROR(__xludf.DUMMYFUNCTION("GOOGLETRANSLATE(B23938,""en"",""it"")"),"Un uomo viene visto in ginocchio accanto a un'auto che spruzza un tubo sulla macchina.")</f>
        <v>Un uomo viene visto in ginocchio accanto a un'auto che spruzza un tubo sulla macchina.</v>
      </c>
    </row>
    <row r="23939">
      <c r="A23939" s="4" t="s">
        <v>30122</v>
      </c>
      <c r="B23939" s="4" t="s">
        <v>30124</v>
      </c>
      <c r="C23939" s="5" t="str">
        <f>IFERROR(__xludf.DUMMYFUNCTION("GOOGLETRANSLATE(B23939,""en"",""it"")"),"Usa una spugna per pulire attorno all'auto mentre altri puliscono i lati.")</f>
        <v>Usa una spugna per pulire attorno all'auto mentre altri puliscono i lati.</v>
      </c>
    </row>
    <row r="23940">
      <c r="A23940" s="4" t="s">
        <v>30122</v>
      </c>
      <c r="B23940" s="6" t="s">
        <v>30125</v>
      </c>
      <c r="C23940" s="5" t="str">
        <f>IFERROR(__xludf.DUMMYFUNCTION("GOOGLETRANSLATE(B23940,""en"",""it"")"),"Vengono mostrati più scatti che puliranno l'interno e sotto il cofano mentre la fotocamera si muove intorno.")</f>
        <v>Vengono mostrati più scatti che puliranno l'interno e sotto il cofano mentre la fotocamera si muove intorno.</v>
      </c>
    </row>
    <row r="23941">
      <c r="A23941" s="4" t="s">
        <v>30126</v>
      </c>
      <c r="B23941" s="4" t="s">
        <v>30127</v>
      </c>
      <c r="C23941" s="5" t="str">
        <f>IFERROR(__xludf.DUMMYFUNCTION("GOOGLETRANSLATE(B23941,""en"",""it"")"),"Le donne stanno giocando a voleyball in un campo di legno.")</f>
        <v>Le donne stanno giocando a voleyball in un campo di legno.</v>
      </c>
    </row>
    <row r="23942">
      <c r="A23942" s="4" t="s">
        <v>30126</v>
      </c>
      <c r="B23942" s="4" t="s">
        <v>30128</v>
      </c>
      <c r="C23942" s="5" t="str">
        <f>IFERROR(__xludf.DUMMYFUNCTION("GOOGLETRANSLATE(B23942,""en"",""it"")"),"Peolpe si sta siedendo sulle sedie intorno al campo a guardare le ragazze.")</f>
        <v>Peolpe si sta siedendo sulle sedie intorno al campo a guardare le ragazze.</v>
      </c>
    </row>
    <row r="23943">
      <c r="A23943" s="4" t="s">
        <v>30126</v>
      </c>
      <c r="B23943" s="4" t="s">
        <v>30129</v>
      </c>
      <c r="C23943" s="5" t="str">
        <f>IFERROR(__xludf.DUMMYFUNCTION("GOOGLETRANSLATE(B23943,""en"",""it"")"),"Gli arbitri sono in piedi sui lati del campo che tiene bandiere e guardando la partita senza scale.")</f>
        <v>Gli arbitri sono in piedi sui lati del campo che tiene bandiere e guardando la partita senza scale.</v>
      </c>
    </row>
    <row r="23944">
      <c r="A23944" s="4" t="s">
        <v>30130</v>
      </c>
      <c r="B23944" s="4" t="s">
        <v>30131</v>
      </c>
      <c r="C23944" s="5" t="str">
        <f>IFERROR(__xludf.DUMMYFUNCTION("GOOGLETRANSLATE(B23944,""en"",""it"")"),"""Fitness for Life 365"" appare sullo schermo.")</f>
        <v>"Fitness for Life 365" appare sullo schermo.</v>
      </c>
    </row>
    <row r="23945">
      <c r="A23945" s="4" t="s">
        <v>30130</v>
      </c>
      <c r="B23945" s="6" t="s">
        <v>30132</v>
      </c>
      <c r="C23945" s="5" t="str">
        <f>IFERROR(__xludf.DUMMYFUNCTION("GOOGLETRANSLATE(B23945,""en"",""it"")"),"Viene mostrata una panoramica dell'interno di una palestra in quanto c'è un uomo che sale alle barre delle scimmie che va all'indietro.")</f>
        <v>Viene mostrata una panoramica dell'interno di una palestra in quanto c'è un uomo che sale alle barre delle scimmie che va all'indietro.</v>
      </c>
    </row>
    <row r="23946">
      <c r="A23946" s="4" t="s">
        <v>30130</v>
      </c>
      <c r="B23946" s="4" t="s">
        <v>30133</v>
      </c>
      <c r="C23946" s="5" t="str">
        <f>IFERROR(__xludf.DUMMYFUNCTION("GOOGLETRANSLATE(B23946,""en"",""it"")"),"Quindi va avanti e indietro per continuare il suo allenamento.")</f>
        <v>Quindi va avanti e indietro per continuare il suo allenamento.</v>
      </c>
    </row>
    <row r="23947">
      <c r="A23947" s="4" t="s">
        <v>30130</v>
      </c>
      <c r="B23947" s="4" t="s">
        <v>30134</v>
      </c>
      <c r="C23947" s="5" t="str">
        <f>IFERROR(__xludf.DUMMYFUNCTION("GOOGLETRANSLATE(B23947,""en"",""it"")"),"Il video si trasferisce quindi su uno schermo nero e ti chiede di iscriverti al loro canale YouTube.")</f>
        <v>Il video si trasferisce quindi su uno schermo nero e ti chiede di iscriverti al loro canale YouTube.</v>
      </c>
    </row>
    <row r="23948">
      <c r="A23948" s="4" t="s">
        <v>30135</v>
      </c>
      <c r="B23948" s="4" t="s">
        <v>30136</v>
      </c>
      <c r="C23948" s="5" t="str">
        <f>IFERROR(__xludf.DUMMYFUNCTION("GOOGLETRANSLATE(B23948,""en"",""it"")"),"Il video mostra un tutorial su come installare piastrelle in ceramica usando il calcestruzzo.")</f>
        <v>Il video mostra un tutorial su come installare piastrelle in ceramica usando il calcestruzzo.</v>
      </c>
    </row>
    <row r="23949">
      <c r="A23949" s="4" t="s">
        <v>30135</v>
      </c>
      <c r="B23949" s="4" t="s">
        <v>30137</v>
      </c>
      <c r="C23949" s="5" t="str">
        <f>IFERROR(__xludf.DUMMYFUNCTION("GOOGLETRANSLATE(B23949,""en"",""it"")"),"Una persona che indossa un gilet arancione e pantaloni neri sta lavorando a piastrellare una stanza in una casa.")</f>
        <v>Una persona che indossa un gilet arancione e pantaloni neri sta lavorando a piastrellare una stanza in una casa.</v>
      </c>
    </row>
    <row r="23950">
      <c r="A23950" s="4" t="s">
        <v>30135</v>
      </c>
      <c r="B23950" s="6" t="s">
        <v>30138</v>
      </c>
      <c r="C23950" s="5" t="str">
        <f>IFERROR(__xludf.DUMMYFUNCTION("GOOGLETRANSLATE(B23950,""en"",""it"")"),"Si inginocchia accanto a un mucchio di piastrelle in ceramica quadrata bianca e un secchio pieno di malta e cemento.")</f>
        <v>Si inginocchia accanto a un mucchio di piastrelle in ceramica quadrata bianca e un secchio pieno di malta e cemento.</v>
      </c>
    </row>
    <row r="23951">
      <c r="A23951" s="4" t="s">
        <v>30135</v>
      </c>
      <c r="B23951" s="4" t="s">
        <v>30139</v>
      </c>
      <c r="C23951" s="5" t="str">
        <f>IFERROR(__xludf.DUMMYFUNCTION("GOOGLETRANSLATE(B23951,""en"",""it"")"),"Sta spalmando il pavimento con cemento con una cazzuola.")</f>
        <v>Sta spalmando il pavimento con cemento con una cazzuola.</v>
      </c>
    </row>
    <row r="23952">
      <c r="A23952" s="4" t="s">
        <v>30135</v>
      </c>
      <c r="B23952" s="6" t="s">
        <v>30140</v>
      </c>
      <c r="C23952" s="5" t="str">
        <f>IFERROR(__xludf.DUMMYFUNCTION("GOOGLETRANSLATE(B23952,""en"",""it"")"),"Quindi mette le piastrelle quadrate una accanto all'altra in linea retta, assicurandosi che siano strette insieme.")</f>
        <v>Quindi mette le piastrelle quadrate una accanto all'altra in linea retta, assicurandosi che siano strette insieme.</v>
      </c>
    </row>
    <row r="23953">
      <c r="A23953" s="4" t="s">
        <v>30135</v>
      </c>
      <c r="B23953" s="6" t="s">
        <v>30141</v>
      </c>
      <c r="C23953" s="5" t="str">
        <f>IFERROR(__xludf.DUMMYFUNCTION("GOOGLETRANSLATE(B23953,""en"",""it"")"),"Rimuove più piastrelle dalla scatola per metterle sul cemento bagnato, assicurandosi che siano adeguatamente allineati tra loro.")</f>
        <v>Rimuove più piastrelle dalla scatola per metterle sul cemento bagnato, assicurandosi che siano adeguatamente allineati tra loro.</v>
      </c>
    </row>
    <row r="23954">
      <c r="A23954" s="4" t="s">
        <v>30135</v>
      </c>
      <c r="B23954" s="6" t="s">
        <v>30142</v>
      </c>
      <c r="C23954" s="5" t="str">
        <f>IFERROR(__xludf.DUMMYFUNCTION("GOOGLETRANSLATE(B23954,""en"",""it"")"),"Continua a posizionare le piastrelle per colmare tutte le lacune fino a quando l'intera stanza è completamente coperta dalle piastrelle bianche.")</f>
        <v>Continua a posizionare le piastrelle per colmare tutte le lacune fino a quando l'intera stanza è completamente coperta dalle piastrelle bianche.</v>
      </c>
    </row>
    <row r="23955">
      <c r="A23955" s="4" t="s">
        <v>30143</v>
      </c>
      <c r="B23955" s="4" t="s">
        <v>30144</v>
      </c>
      <c r="C23955" s="5" t="str">
        <f>IFERROR(__xludf.DUMMYFUNCTION("GOOGLETRANSLATE(B23955,""en"",""it"")"),"Viene visto un uomo suonare un set di tubi di borsa alla telecamera mentre si muove le mani su e giù.")</f>
        <v>Viene visto un uomo suonare un set di tubi di borsa alla telecamera mentre si muove le mani su e giù.</v>
      </c>
    </row>
    <row r="23956">
      <c r="A23956" s="4" t="s">
        <v>30143</v>
      </c>
      <c r="B23956" s="4" t="s">
        <v>30145</v>
      </c>
      <c r="C23956" s="5" t="str">
        <f>IFERROR(__xludf.DUMMYFUNCTION("GOOGLETRANSLATE(B23956,""en"",""it"")"),"L'uomo continua a suonare lo strumento nella stanza e termina muovendo le mani giù.")</f>
        <v>L'uomo continua a suonare lo strumento nella stanza e termina muovendo le mani giù.</v>
      </c>
    </row>
    <row r="23957">
      <c r="A23957" s="4" t="s">
        <v>30146</v>
      </c>
      <c r="B23957" s="6" t="s">
        <v>30147</v>
      </c>
      <c r="C23957" s="5" t="str">
        <f>IFERROR(__xludf.DUMMYFUNCTION("GOOGLETRANSLATE(B23957,""en"",""it"")"),"Un uomo è seduto con un microfono attaccato alle orecchie e inizia a parlare dei Congas di fronte a lui.")</f>
        <v>Un uomo è seduto con un microfono attaccato alle orecchie e inizia a parlare dei Congas di fronte a lui.</v>
      </c>
    </row>
    <row r="23958">
      <c r="A23958" s="4" t="s">
        <v>30146</v>
      </c>
      <c r="B23958" s="4" t="s">
        <v>30148</v>
      </c>
      <c r="C23958" s="5" t="str">
        <f>IFERROR(__xludf.DUMMYFUNCTION("GOOGLETRANSLATE(B23958,""en"",""it"")"),"Una volta che ha finito di parlare, l'uomo inizia a giocare e colpisce i congas avanti e indietro.")</f>
        <v>Una volta che ha finito di parlare, l'uomo inizia a giocare e colpisce i congas avanti e indietro.</v>
      </c>
    </row>
    <row r="23959">
      <c r="A23959" s="4" t="s">
        <v>30146</v>
      </c>
      <c r="B23959" s="4" t="s">
        <v>30149</v>
      </c>
      <c r="C23959" s="5" t="str">
        <f>IFERROR(__xludf.DUMMYFUNCTION("GOOGLETRANSLATE(B23959,""en"",""it"")"),"Tra la sua esibizione, fa brevi per le pause e parla prima di continuare a giocare.")</f>
        <v>Tra la sua esibizione, fa brevi per le pause e parla prima di continuare a giocare.</v>
      </c>
    </row>
    <row r="23960">
      <c r="A23960" s="4" t="s">
        <v>30146</v>
      </c>
      <c r="B23960" s="4" t="s">
        <v>30150</v>
      </c>
      <c r="C23960" s="5" t="str">
        <f>IFERROR(__xludf.DUMMYFUNCTION("GOOGLETRANSLATE(B23960,""en"",""it"")"),"Ora, ha sui telefoni head e inizia a suonare i Congas senza interruzioni.")</f>
        <v>Ora, ha sui telefoni head e inizia a suonare i Congas senza interruzioni.</v>
      </c>
    </row>
    <row r="23961">
      <c r="A23961" s="4" t="s">
        <v>30151</v>
      </c>
      <c r="B23961" s="6" t="s">
        <v>30152</v>
      </c>
      <c r="C23961" s="5" t="str">
        <f>IFERROR(__xludf.DUMMYFUNCTION("GOOGLETRANSLATE(B23961,""en"",""it"")"),"La donna parla alla telecamera mentre tiene una palla da ping e in piedi accanto a un tavolo da ping pong, intervallata da primi piani di brevi dimostrazioni di tecnica.")</f>
        <v>La donna parla alla telecamera mentre tiene una palla da ping e in piedi accanto a un tavolo da ping pong, intervallata da primi piani di brevi dimostrazioni di tecnica.</v>
      </c>
    </row>
    <row r="23962">
      <c r="A23962" s="4" t="s">
        <v>30151</v>
      </c>
      <c r="B23962" s="4" t="s">
        <v>30153</v>
      </c>
      <c r="C23962" s="5" t="str">
        <f>IFERROR(__xludf.DUMMYFUNCTION("GOOGLETRANSLATE(B23962,""en"",""it"")"),"La donna recupera una nuova palla.")</f>
        <v>La donna recupera una nuova palla.</v>
      </c>
    </row>
    <row r="23963">
      <c r="A23963" s="4" t="s">
        <v>30151</v>
      </c>
      <c r="B23963" s="4" t="s">
        <v>30154</v>
      </c>
      <c r="C23963" s="5" t="str">
        <f>IFERROR(__xludf.DUMMYFUNCTION("GOOGLETRANSLATE(B23963,""en"",""it"")"),"La donna recupera due palle, quindi sbarazza una.")</f>
        <v>La donna recupera due palle, quindi sbarazza una.</v>
      </c>
    </row>
    <row r="23964">
      <c r="A23964" s="4" t="s">
        <v>30151</v>
      </c>
      <c r="B23964" s="4" t="s">
        <v>30155</v>
      </c>
      <c r="C23964" s="5" t="str">
        <f>IFERROR(__xludf.DUMMYFUNCTION("GOOGLETRANSLATE(B23964,""en"",""it"")"),"La donna recupera un'altra palla.")</f>
        <v>La donna recupera un'altra palla.</v>
      </c>
    </row>
    <row r="23965">
      <c r="A23965" s="4" t="s">
        <v>30156</v>
      </c>
      <c r="B23965" s="4" t="s">
        <v>30157</v>
      </c>
      <c r="C23965" s="5" t="str">
        <f>IFERROR(__xludf.DUMMYFUNCTION("GOOGLETRANSLATE(B23965,""en"",""it"")"),"Il caffè viene versato sul tappeto.")</f>
        <v>Il caffè viene versato sul tappeto.</v>
      </c>
    </row>
    <row r="23966">
      <c r="A23966" s="4" t="s">
        <v>30156</v>
      </c>
      <c r="B23966" s="4" t="s">
        <v>30158</v>
      </c>
      <c r="C23966" s="5" t="str">
        <f>IFERROR(__xludf.DUMMYFUNCTION("GOOGLETRANSLATE(B23966,""en"",""it"")"),"Una persona a tappeto pulisce il tappeto.")</f>
        <v>Una persona a tappeto pulisce il tappeto.</v>
      </c>
    </row>
    <row r="23967">
      <c r="A23967" s="4" t="s">
        <v>30156</v>
      </c>
      <c r="B23967" s="4" t="s">
        <v>30159</v>
      </c>
      <c r="C23967" s="5" t="str">
        <f>IFERROR(__xludf.DUMMYFUNCTION("GOOGLETRANSLATE(B23967,""en"",""it"")"),"Quindi puliscono i sedili di un'auto.")</f>
        <v>Quindi puliscono i sedili di un'auto.</v>
      </c>
    </row>
    <row r="23968">
      <c r="A23968" s="4" t="s">
        <v>30156</v>
      </c>
      <c r="B23968" s="4" t="s">
        <v>30160</v>
      </c>
      <c r="C23968" s="5" t="str">
        <f>IFERROR(__xludf.DUMMYFUNCTION("GOOGLETRANSLATE(B23968,""en"",""it"")"),"Svuotano l'acqua nel lavandino.")</f>
        <v>Svuotano l'acqua nel lavandino.</v>
      </c>
    </row>
    <row r="23969">
      <c r="A23969" s="4" t="s">
        <v>30156</v>
      </c>
      <c r="B23969" s="4" t="s">
        <v>30161</v>
      </c>
      <c r="C23969" s="5" t="str">
        <f>IFERROR(__xludf.DUMMYFUNCTION("GOOGLETRANSLATE(B23969,""en"",""it"")"),"Svuotano il secchio in un altro secchio.")</f>
        <v>Svuotano il secchio in un altro secchio.</v>
      </c>
    </row>
    <row r="23970">
      <c r="A23970" s="4" t="s">
        <v>30156</v>
      </c>
      <c r="B23970" s="4" t="s">
        <v>30162</v>
      </c>
      <c r="C23970" s="5" t="str">
        <f>IFERROR(__xludf.DUMMYFUNCTION("GOOGLETRANSLATE(B23970,""en"",""it"")"),"Si aspirano a spazzare via dal tappeto.")</f>
        <v>Si aspirano a spazzare via dal tappeto.</v>
      </c>
    </row>
    <row r="23971">
      <c r="A23971" s="4" t="s">
        <v>30163</v>
      </c>
      <c r="B23971" s="4" t="s">
        <v>30164</v>
      </c>
      <c r="C23971" s="5" t="str">
        <f>IFERROR(__xludf.DUMMYFUNCTION("GOOGLETRANSLATE(B23971,""en"",""it"")"),"Un uomo prende una valigia da un'auto.")</f>
        <v>Un uomo prende una valigia da un'auto.</v>
      </c>
    </row>
    <row r="23972">
      <c r="A23972" s="4" t="s">
        <v>30163</v>
      </c>
      <c r="B23972" s="4" t="s">
        <v>30165</v>
      </c>
      <c r="C23972" s="5" t="str">
        <f>IFERROR(__xludf.DUMMYFUNCTION("GOOGLETRANSLATE(B23972,""en"",""it"")"),"Si sdraia su una sedia da barbiere.")</f>
        <v>Si sdraia su una sedia da barbiere.</v>
      </c>
    </row>
    <row r="23973">
      <c r="A23973" s="4" t="s">
        <v>30163</v>
      </c>
      <c r="B23973" s="4" t="s">
        <v>30166</v>
      </c>
      <c r="C23973" s="5" t="str">
        <f>IFERROR(__xludf.DUMMYFUNCTION("GOOGLETRANSLATE(B23973,""en"",""it"")"),"Un uomo inizia a radersi la barba con un rasoio.")</f>
        <v>Un uomo inizia a radersi la barba con un rasoio.</v>
      </c>
    </row>
    <row r="23974">
      <c r="A23974" s="4" t="s">
        <v>30163</v>
      </c>
      <c r="B23974" s="4" t="s">
        <v>30167</v>
      </c>
      <c r="C23974" s="5" t="str">
        <f>IFERROR(__xludf.DUMMYFUNCTION("GOOGLETRANSLATE(B23974,""en"",""it"")"),"Si avvolge un asciugamano attorno al suo viso.")</f>
        <v>Si avvolge un asciugamano attorno al suo viso.</v>
      </c>
    </row>
    <row r="23975">
      <c r="A23975" s="4" t="s">
        <v>30168</v>
      </c>
      <c r="B23975" s="4" t="s">
        <v>30169</v>
      </c>
      <c r="C23975" s="5" t="str">
        <f>IFERROR(__xludf.DUMMYFUNCTION("GOOGLETRANSLATE(B23975,""en"",""it"")"),"Un giovane sta aiutando una giovane donna a oscillare a una Pinata di calcio.")</f>
        <v>Un giovane sta aiutando una giovane donna a oscillare a una Pinata di calcio.</v>
      </c>
    </row>
    <row r="23976">
      <c r="A23976" s="4" t="s">
        <v>30168</v>
      </c>
      <c r="B23976" s="4" t="s">
        <v>30170</v>
      </c>
      <c r="C23976" s="5" t="str">
        <f>IFERROR(__xludf.DUMMYFUNCTION("GOOGLETRANSLATE(B23976,""en"",""it"")"),"Si trovano su un campo verde all'aperto in una scuola o in un centro comunitario.")</f>
        <v>Si trovano su un campo verde all'aperto in una scuola o in un centro comunitario.</v>
      </c>
    </row>
    <row r="23977">
      <c r="A23977" s="4" t="s">
        <v>30168</v>
      </c>
      <c r="B23977" s="4" t="s">
        <v>30171</v>
      </c>
      <c r="C23977" s="5" t="str">
        <f>IFERROR(__xludf.DUMMYFUNCTION("GOOGLETRANSLATE(B23977,""en"",""it"")"),"Continua a perdere la Pinata mentre i suoi amici cercano di aiutarla.")</f>
        <v>Continua a perdere la Pinata mentre i suoi amici cercano di aiutarla.</v>
      </c>
    </row>
    <row r="23978">
      <c r="A23978" s="4" t="s">
        <v>30168</v>
      </c>
      <c r="B23978" s="4" t="s">
        <v>30172</v>
      </c>
      <c r="C23978" s="5" t="str">
        <f>IFERROR(__xludf.DUMMYFUNCTION("GOOGLETRANSLATE(B23978,""en"",""it"")"),"Un adulto controlla la Pinata cercando di impedirle di colpirlo.")</f>
        <v>Un adulto controlla la Pinata cercando di impedirle di colpirlo.</v>
      </c>
    </row>
    <row r="23979">
      <c r="A23979" s="4" t="s">
        <v>30168</v>
      </c>
      <c r="B23979" s="6" t="s">
        <v>30173</v>
      </c>
      <c r="C23979" s="5" t="str">
        <f>IFERROR(__xludf.DUMMYFUNCTION("GOOGLETRANSLATE(B23979,""en"",""it"")"),"Alla fine finisce per trovare dove si trova generalmente mentre i suoi amici ridono di lei e continuano a cercare di aiutare.")</f>
        <v>Alla fine finisce per trovare dove si trova generalmente mentre i suoi amici ridono di lei e continuano a cercare di aiutare.</v>
      </c>
    </row>
    <row r="23980">
      <c r="A23980" s="4" t="s">
        <v>30168</v>
      </c>
      <c r="B23980" s="4" t="s">
        <v>30174</v>
      </c>
      <c r="C23980" s="5" t="str">
        <f>IFERROR(__xludf.DUMMYFUNCTION("GOOGLETRANSLATE(B23980,""en"",""it"")"),"Viene colpita dalla Pinata e finisce per non avere successo.")</f>
        <v>Viene colpita dalla Pinata e finisce per non avere successo.</v>
      </c>
    </row>
    <row r="23981">
      <c r="A23981" s="4" t="s">
        <v>30175</v>
      </c>
      <c r="B23981" s="4" t="s">
        <v>30176</v>
      </c>
      <c r="C23981" s="5" t="str">
        <f>IFERROR(__xludf.DUMMYFUNCTION("GOOGLETRANSLATE(B23981,""en"",""it"")"),"Alcuni uomini sono nei boschi che corrono giocando a paintball.")</f>
        <v>Alcuni uomini sono nei boschi che corrono giocando a paintball.</v>
      </c>
    </row>
    <row r="23982">
      <c r="A23982" s="4" t="s">
        <v>30175</v>
      </c>
      <c r="B23982" s="4" t="s">
        <v>30177</v>
      </c>
      <c r="C23982" s="5" t="str">
        <f>IFERROR(__xludf.DUMMYFUNCTION("GOOGLETRANSLATE(B23982,""en"",""it"")"),"Stanno cercando l'altro per cercare di spararli, rimanendo vicino ai loro compagni di squadra.")</f>
        <v>Stanno cercando l'altro per cercare di spararli, rimanendo vicino ai loro compagni di squadra.</v>
      </c>
    </row>
    <row r="23983">
      <c r="A23983" s="4" t="s">
        <v>30175</v>
      </c>
      <c r="B23983" s="4" t="s">
        <v>30178</v>
      </c>
      <c r="C23983" s="5" t="str">
        <f>IFERROR(__xludf.DUMMYFUNCTION("GOOGLETRANSLATE(B23983,""en"",""it"")"),"Uno degli uomini controlla la sua pistola e riesce a correggere la sua e poi continua ad andare avanti.")</f>
        <v>Uno degli uomini controlla la sua pistola e riesce a correggere la sua e poi continua ad andare avanti.</v>
      </c>
    </row>
    <row r="23984">
      <c r="A23984" s="4" t="s">
        <v>30175</v>
      </c>
      <c r="B23984" s="4" t="s">
        <v>30179</v>
      </c>
      <c r="C23984" s="5" t="str">
        <f>IFERROR(__xludf.DUMMYFUNCTION("GOOGLETRANSLATE(B23984,""en"",""it"")"),"Si muove per continuare a giocare.")</f>
        <v>Si muove per continuare a giocare.</v>
      </c>
    </row>
    <row r="23985">
      <c r="A23985" s="4" t="s">
        <v>30180</v>
      </c>
      <c r="B23985" s="6" t="s">
        <v>30181</v>
      </c>
      <c r="C23985" s="5" t="str">
        <f>IFERROR(__xludf.DUMMYFUNCTION("GOOGLETRANSLATE(B23985,""en"",""it"")"),"Un uomo è in piedi su un campo da interno con la sua racchetta nella mano destra la palla racchetta nella mano sinistra e sta parlando e sta morendo molto.")</f>
        <v>Un uomo è in piedi su un campo da interno con la sua racchetta nella mano destra la palla racchetta nella mano sinistra e sta parlando e sta morendo molto.</v>
      </c>
    </row>
    <row r="23986">
      <c r="A23986" s="4" t="s">
        <v>30180</v>
      </c>
      <c r="B23986" s="4" t="s">
        <v>30182</v>
      </c>
      <c r="C23986" s="5" t="str">
        <f>IFERROR(__xludf.DUMMYFUNCTION("GOOGLETRANSLATE(B23986,""en"",""it"")"),"L'uomo poi lascia cadere la palla sul campo, la colpisce, quindi la prende quando torna da lui.")</f>
        <v>L'uomo poi lascia cadere la palla sul campo, la colpisce, quindi la prende quando torna da lui.</v>
      </c>
    </row>
    <row r="23987">
      <c r="A23987" s="4" t="s">
        <v>30180</v>
      </c>
      <c r="B23987" s="6" t="s">
        <v>30183</v>
      </c>
      <c r="C23987" s="5" t="str">
        <f>IFERROR(__xludf.DUMMYFUNCTION("GOOGLETRANSLATE(B23987,""en"",""it"")"),"L'uomo continua a parlare mentre tiene la palla e la racchetta tra le mani e lo schermo svanisce sul nero.")</f>
        <v>L'uomo continua a parlare mentre tiene la palla e la racchetta tra le mani e lo schermo svanisce sul nero.</v>
      </c>
    </row>
    <row r="23988">
      <c r="A23988" s="4" t="s">
        <v>30184</v>
      </c>
      <c r="B23988" s="4" t="s">
        <v>30185</v>
      </c>
      <c r="C23988" s="5" t="str">
        <f>IFERROR(__xludf.DUMMYFUNCTION("GOOGLETRANSLATE(B23988,""en"",""it"")"),"Un uomo sta guardando in basso e parla nella telecamera.")</f>
        <v>Un uomo sta guardando in basso e parla nella telecamera.</v>
      </c>
    </row>
    <row r="23989">
      <c r="A23989" s="4" t="s">
        <v>30184</v>
      </c>
      <c r="B23989" s="4" t="s">
        <v>30186</v>
      </c>
      <c r="C23989" s="5" t="str">
        <f>IFERROR(__xludf.DUMMYFUNCTION("GOOGLETRANSLATE(B23989,""en"",""it"")"),"L'uomo rimuove gli occhiali e ci mostra come inserire le lenti a contatto.")</f>
        <v>L'uomo rimuove gli occhiali e ci mostra come inserire le lenti a contatto.</v>
      </c>
    </row>
    <row r="23990">
      <c r="A23990" s="4" t="s">
        <v>30184</v>
      </c>
      <c r="B23990" s="4" t="s">
        <v>30187</v>
      </c>
      <c r="C23990" s="5" t="str">
        <f>IFERROR(__xludf.DUMMYFUNCTION("GOOGLETRANSLATE(B23990,""en"",""it"")"),"L'uomo mostra la lente a contatto alla fotocamera.")</f>
        <v>L'uomo mostra la lente a contatto alla fotocamera.</v>
      </c>
    </row>
    <row r="23991">
      <c r="A23991" s="4" t="s">
        <v>30184</v>
      </c>
      <c r="B23991" s="4" t="s">
        <v>30188</v>
      </c>
      <c r="C23991" s="5" t="str">
        <f>IFERROR(__xludf.DUMMYFUNCTION("GOOGLETRANSLATE(B23991,""en"",""it"")"),"L'uomo inserisce il contatto e muove gli occhi.")</f>
        <v>L'uomo inserisce il contatto e muove gli occhi.</v>
      </c>
    </row>
    <row r="23992">
      <c r="A23992" s="4" t="s">
        <v>30184</v>
      </c>
      <c r="B23992" s="4" t="s">
        <v>30189</v>
      </c>
      <c r="C23992" s="5" t="str">
        <f>IFERROR(__xludf.DUMMYFUNCTION("GOOGLETRANSLATE(B23992,""en"",""it"")"),"L'uomo mostra il suo altro contatto.")</f>
        <v>L'uomo mostra il suo altro contatto.</v>
      </c>
    </row>
    <row r="23993">
      <c r="A23993" s="4" t="s">
        <v>30184</v>
      </c>
      <c r="B23993" s="4" t="s">
        <v>30190</v>
      </c>
      <c r="C23993" s="5" t="str">
        <f>IFERROR(__xludf.DUMMYFUNCTION("GOOGLETRANSLATE(B23993,""en"",""it"")"),"L'uomo inserisce il contatto a destra e muove l'occhio.")</f>
        <v>L'uomo inserisce il contatto a destra e muove l'occhio.</v>
      </c>
    </row>
    <row r="23994">
      <c r="A23994" s="4" t="s">
        <v>30191</v>
      </c>
      <c r="B23994" s="4" t="s">
        <v>30192</v>
      </c>
      <c r="C23994" s="5" t="str">
        <f>IFERROR(__xludf.DUMMYFUNCTION("GOOGLETRANSLATE(B23994,""en"",""it"")"),"Un uomo spala la neve in inverno.")</f>
        <v>Un uomo spala la neve in inverno.</v>
      </c>
    </row>
    <row r="23995">
      <c r="A23995" s="4" t="s">
        <v>30191</v>
      </c>
      <c r="B23995" s="4" t="s">
        <v>30193</v>
      </c>
      <c r="C23995" s="5" t="str">
        <f>IFERROR(__xludf.DUMMYFUNCTION("GOOGLETRANSLATE(B23995,""en"",""it"")"),"Viene fatta una foto timelapse e viene cancellata un percorso in modo che un'auto possa scappare.")</f>
        <v>Viene fatta una foto timelapse e viene cancellata un percorso in modo che un'auto possa scappare.</v>
      </c>
    </row>
    <row r="23996">
      <c r="A23996" s="4" t="s">
        <v>30194</v>
      </c>
      <c r="B23996" s="4" t="s">
        <v>30195</v>
      </c>
      <c r="C23996" s="5" t="str">
        <f>IFERROR(__xludf.DUMMYFUNCTION("GOOGLETRANSLATE(B23996,""en"",""it"")"),"Due uomini sono in cima a una scala su un anello di wrestling, un uomo si piega sulla scala.")</f>
        <v>Due uomini sono in cima a una scala su un anello di wrestling, un uomo si piega sulla scala.</v>
      </c>
    </row>
    <row r="23997">
      <c r="A23997" s="4" t="s">
        <v>30194</v>
      </c>
      <c r="B23997" s="4" t="s">
        <v>30196</v>
      </c>
      <c r="C23997" s="5" t="str">
        <f>IFERROR(__xludf.DUMMYFUNCTION("GOOGLETRANSLATE(B23997,""en"",""it"")"),"Quindi, il wrestler salta sopra l'uomo e l'uomo e il lottatore cadono sul ring.")</f>
        <v>Quindi, il wrestler salta sopra l'uomo e l'uomo e il lottatore cadono sul ring.</v>
      </c>
    </row>
    <row r="23998">
      <c r="A23998" s="4" t="s">
        <v>30194</v>
      </c>
      <c r="B23998" s="4" t="s">
        <v>30197</v>
      </c>
      <c r="C23998" s="5" t="str">
        <f>IFERROR(__xludf.DUMMYFUNCTION("GOOGLETRANSLATE(B23998,""en"",""it"")"),"Il giudice guarda gli uomini.")</f>
        <v>Il giudice guarda gli uomini.</v>
      </c>
    </row>
    <row r="23999">
      <c r="A23999" s="4" t="s">
        <v>30198</v>
      </c>
      <c r="B23999" s="4" t="s">
        <v>30199</v>
      </c>
      <c r="C23999" s="5" t="str">
        <f>IFERROR(__xludf.DUMMYFUNCTION("GOOGLETRANSLATE(B23999,""en"",""it"")"),"Un bambino prende un drink e lo fa scorrere in bocca.")</f>
        <v>Un bambino prende un drink e lo fa scorrere in bocca.</v>
      </c>
    </row>
    <row r="24000">
      <c r="A24000" s="4" t="s">
        <v>30198</v>
      </c>
      <c r="B24000" s="4" t="s">
        <v>30200</v>
      </c>
      <c r="C24000" s="5" t="str">
        <f>IFERROR(__xludf.DUMMYFUNCTION("GOOGLETRANSLATE(B24000,""en"",""it"")"),"Lo sputarono in un lavandino.")</f>
        <v>Lo sputarono in un lavandino.</v>
      </c>
    </row>
    <row r="24001">
      <c r="A24001" s="4" t="s">
        <v>30198</v>
      </c>
      <c r="B24001" s="4" t="s">
        <v>30201</v>
      </c>
      <c r="C24001" s="5" t="str">
        <f>IFERROR(__xludf.DUMMYFUNCTION("GOOGLETRANSLATE(B24001,""en"",""it"")"),"Prendono un altro drink da una tazza.")</f>
        <v>Prendono un altro drink da una tazza.</v>
      </c>
    </row>
    <row r="24002">
      <c r="A24002" s="4" t="s">
        <v>30198</v>
      </c>
      <c r="B24002" s="4" t="s">
        <v>30202</v>
      </c>
      <c r="C24002" s="5" t="str">
        <f>IFERROR(__xludf.DUMMYFUNCTION("GOOGLETRANSLATE(B24002,""en"",""it"")"),"Mettono la bocca su un asciugamano.")</f>
        <v>Mettono la bocca su un asciugamano.</v>
      </c>
    </row>
    <row r="24003">
      <c r="A24003" s="4" t="s">
        <v>30198</v>
      </c>
      <c r="B24003" s="4" t="s">
        <v>30203</v>
      </c>
      <c r="C24003" s="5" t="str">
        <f>IFERROR(__xludf.DUMMYFUNCTION("GOOGLETRANSLATE(B24003,""en"",""it"")"),"Prendono un altro drink e lo scaricano nel lavandino.")</f>
        <v>Prendono un altro drink e lo scaricano nel lavandino.</v>
      </c>
    </row>
    <row r="24004">
      <c r="A24004" s="4" t="s">
        <v>30198</v>
      </c>
      <c r="B24004" s="4" t="s">
        <v>30204</v>
      </c>
      <c r="C24004" s="5" t="str">
        <f>IFERROR(__xludf.DUMMYFUNCTION("GOOGLETRANSLATE(B24004,""en"",""it"")"),"Raccolgono l'asciugamano e si asciugano il viso.")</f>
        <v>Raccolgono l'asciugamano e si asciugano il viso.</v>
      </c>
    </row>
    <row r="24005">
      <c r="A24005" s="4" t="s">
        <v>30198</v>
      </c>
      <c r="B24005" s="4" t="s">
        <v>30205</v>
      </c>
      <c r="C24005" s="5" t="str">
        <f>IFERROR(__xludf.DUMMYFUNCTION("GOOGLETRANSLATE(B24005,""en"",""it"")"),"Prendono una tazza e accendono il lavandino.")</f>
        <v>Prendono una tazza e accendono il lavandino.</v>
      </c>
    </row>
    <row r="24006">
      <c r="A24006" s="4" t="s">
        <v>30206</v>
      </c>
      <c r="B24006" s="4" t="s">
        <v>30207</v>
      </c>
      <c r="C24006" s="5" t="str">
        <f>IFERROR(__xludf.DUMMYFUNCTION("GOOGLETRANSLATE(B24006,""en"",""it"")"),"Una squadra di lacrosse va a giocare.")</f>
        <v>Una squadra di lacrosse va a giocare.</v>
      </c>
    </row>
    <row r="24007">
      <c r="A24007" s="4" t="s">
        <v>30206</v>
      </c>
      <c r="B24007" s="4" t="s">
        <v>30208</v>
      </c>
      <c r="C24007" s="5" t="str">
        <f>IFERROR(__xludf.DUMMYFUNCTION("GOOGLETRANSLATE(B24007,""en"",""it"")"),"Vengono visualizzati altri punti salienti.")</f>
        <v>Vengono visualizzati altri punti salienti.</v>
      </c>
    </row>
    <row r="24008">
      <c r="A24008" s="4" t="s">
        <v>30209</v>
      </c>
      <c r="B24008" s="4" t="s">
        <v>30210</v>
      </c>
      <c r="C24008" s="5" t="str">
        <f>IFERROR(__xludf.DUMMYFUNCTION("GOOGLETRANSLATE(B24008,""en"",""it"")"),"Un ragazzo è in cucina con due pezzi di pane.")</f>
        <v>Un ragazzo è in cucina con due pezzi di pane.</v>
      </c>
    </row>
    <row r="24009">
      <c r="A24009" s="4" t="s">
        <v>30209</v>
      </c>
      <c r="B24009" s="4" t="s">
        <v>30211</v>
      </c>
      <c r="C24009" s="5" t="str">
        <f>IFERROR(__xludf.DUMMYFUNCTION("GOOGLETRANSLATE(B24009,""en"",""it"")"),"Apre il frigorifero ed elimina gli ingredienti sandwich.")</f>
        <v>Apre il frigorifero ed elimina gli ingredienti sandwich.</v>
      </c>
    </row>
    <row r="24010">
      <c r="A24010" s="4" t="s">
        <v>30209</v>
      </c>
      <c r="B24010" s="4" t="s">
        <v>30212</v>
      </c>
      <c r="C24010" s="5" t="str">
        <f>IFERROR(__xludf.DUMMYFUNCTION("GOOGLETRANSLATE(B24010,""en"",""it"")"),"Studia la senape e la maionese sul sandwich.")</f>
        <v>Studia la senape e la maionese sul sandwich.</v>
      </c>
    </row>
    <row r="24011">
      <c r="A24011" s="4" t="s">
        <v>30209</v>
      </c>
      <c r="B24011" s="4" t="s">
        <v>30213</v>
      </c>
      <c r="C24011" s="5" t="str">
        <f>IFERROR(__xludf.DUMMYFUNCTION("GOOGLETRANSLATE(B24011,""en"",""it"")"),"Quindi aggiunge carne e formaggio.")</f>
        <v>Quindi aggiunge carne e formaggio.</v>
      </c>
    </row>
    <row r="24012">
      <c r="A24012" s="4" t="s">
        <v>30209</v>
      </c>
      <c r="B24012" s="6" t="s">
        <v>30214</v>
      </c>
      <c r="C24012" s="5" t="str">
        <f>IFERROR(__xludf.DUMMYFUNCTION("GOOGLETRANSLATE(B24012,""en"",""it"")"),"Successivamente, rimette gli ingredienti nel frigorifero, azzerando sul sandwich sul bancone.")</f>
        <v>Successivamente, rimette gli ingredienti nel frigorifero, azzerando sul sandwich sul bancone.</v>
      </c>
    </row>
    <row r="24013">
      <c r="A24013" s="4" t="s">
        <v>30215</v>
      </c>
      <c r="B24013" s="4" t="s">
        <v>30216</v>
      </c>
      <c r="C24013" s="5" t="str">
        <f>IFERROR(__xludf.DUMMYFUNCTION("GOOGLETRANSLATE(B24013,""en"",""it"")"),"Vediamo un uomo con un martello di croquet che parla.")</f>
        <v>Vediamo un uomo con un martello di croquet che parla.</v>
      </c>
    </row>
    <row r="24014">
      <c r="A24014" s="4" t="s">
        <v>30215</v>
      </c>
      <c r="B24014" s="4" t="s">
        <v>30217</v>
      </c>
      <c r="C24014" s="5" t="str">
        <f>IFERROR(__xludf.DUMMYFUNCTION("GOOGLETRANSLATE(B24014,""en"",""it"")"),"L'uomo allinea il suo tiro della palla rossa.")</f>
        <v>L'uomo allinea il suo tiro della palla rossa.</v>
      </c>
    </row>
    <row r="24015">
      <c r="A24015" s="4" t="s">
        <v>30215</v>
      </c>
      <c r="B24015" s="4" t="s">
        <v>30218</v>
      </c>
      <c r="C24015" s="5" t="str">
        <f>IFERROR(__xludf.DUMMYFUNCTION("GOOGLETRANSLATE(B24015,""en"",""it"")"),"L'uomo colpisce la palla rossa.")</f>
        <v>L'uomo colpisce la palla rossa.</v>
      </c>
    </row>
    <row r="24016">
      <c r="A24016" s="4" t="s">
        <v>30215</v>
      </c>
      <c r="B24016" s="4" t="s">
        <v>30219</v>
      </c>
      <c r="C24016" s="5" t="str">
        <f>IFERROR(__xludf.DUMMYFUNCTION("GOOGLETRANSLATE(B24016,""en"",""it"")"),"L'uomo punta alla palla blu le ginocchia nell'erba.")</f>
        <v>L'uomo punta alla palla blu le ginocchia nell'erba.</v>
      </c>
    </row>
    <row r="24017">
      <c r="A24017" s="4" t="s">
        <v>30220</v>
      </c>
      <c r="B24017" s="4" t="s">
        <v>30221</v>
      </c>
      <c r="C24017" s="5" t="str">
        <f>IFERROR(__xludf.DUMMYFUNCTION("GOOGLETRANSLATE(B24017,""en"",""it"")"),"Un gruppo di amici gioca a Shuffle Board su un campo indoor.")</f>
        <v>Un gruppo di amici gioca a Shuffle Board su un campo indoor.</v>
      </c>
    </row>
    <row r="24018">
      <c r="A24018" s="4" t="s">
        <v>30220</v>
      </c>
      <c r="B24018" s="4" t="s">
        <v>30222</v>
      </c>
      <c r="C24018" s="5" t="str">
        <f>IFERROR(__xludf.DUMMYFUNCTION("GOOGLETRANSLATE(B24018,""en"",""it"")"),"Il gruppo a turno spara al dischi sul campo di shuffleboard.")</f>
        <v>Il gruppo a turno spara al dischi sul campo di shuffleboard.</v>
      </c>
    </row>
    <row r="24019">
      <c r="A24019" s="4" t="s">
        <v>30223</v>
      </c>
      <c r="B24019" s="4" t="s">
        <v>30224</v>
      </c>
      <c r="C24019" s="5" t="str">
        <f>IFERROR(__xludf.DUMMYFUNCTION("GOOGLETRANSLATE(B24019,""en"",""it"")"),"Le persone parlano in una stanza.")</f>
        <v>Le persone parlano in una stanza.</v>
      </c>
    </row>
    <row r="24020">
      <c r="A24020" s="4" t="s">
        <v>30223</v>
      </c>
      <c r="B24020" s="4" t="s">
        <v>30225</v>
      </c>
      <c r="C24020" s="5" t="str">
        <f>IFERROR(__xludf.DUMMYFUNCTION("GOOGLETRANSLATE(B24020,""en"",""it"")"),"Le persone giocano a blackjack in un casinò affollato.")</f>
        <v>Le persone giocano a blackjack in un casinò affollato.</v>
      </c>
    </row>
    <row r="24021">
      <c r="A24021" s="4" t="s">
        <v>30223</v>
      </c>
      <c r="B24021" s="4" t="s">
        <v>30226</v>
      </c>
      <c r="C24021" s="5" t="str">
        <f>IFERROR(__xludf.DUMMYFUNCTION("GOOGLETRANSLATE(B24021,""en"",""it"")"),"Un uomo batte le mani e firma un documento.")</f>
        <v>Un uomo batte le mani e firma un documento.</v>
      </c>
    </row>
    <row r="24022">
      <c r="A24022" s="4" t="s">
        <v>30223</v>
      </c>
      <c r="B24022" s="4" t="s">
        <v>30227</v>
      </c>
      <c r="C24022" s="5" t="str">
        <f>IFERROR(__xludf.DUMMYFUNCTION("GOOGLETRANSLATE(B24022,""en"",""it"")"),"Le persone continuano a giocare a blackjack.")</f>
        <v>Le persone continuano a giocare a blackjack.</v>
      </c>
    </row>
    <row r="24023">
      <c r="A24023" s="4" t="s">
        <v>30228</v>
      </c>
      <c r="B24023" s="4" t="s">
        <v>30229</v>
      </c>
      <c r="C24023" s="5" t="str">
        <f>IFERROR(__xludf.DUMMYFUNCTION("GOOGLETRANSLATE(B24023,""en"",""it"")"),"Una donna entra in una zona parzialmente reti.")</f>
        <v>Una donna entra in una zona parzialmente reti.</v>
      </c>
    </row>
    <row r="24024">
      <c r="A24024" s="4" t="s">
        <v>30228</v>
      </c>
      <c r="B24024" s="4" t="s">
        <v>30230</v>
      </c>
      <c r="C24024" s="5" t="str">
        <f>IFERROR(__xludf.DUMMYFUNCTION("GOOGLETRANSLATE(B24024,""en"",""it"")"),"La donna si sta preparando al lancio del martello.")</f>
        <v>La donna si sta preparando al lancio del martello.</v>
      </c>
    </row>
    <row r="24025">
      <c r="A24025" s="4" t="s">
        <v>30228</v>
      </c>
      <c r="B24025" s="4" t="s">
        <v>30231</v>
      </c>
      <c r="C24025" s="5" t="str">
        <f>IFERROR(__xludf.DUMMYFUNCTION("GOOGLETRANSLATE(B24025,""en"",""it"")"),"La donna esegue il lancio del martello.")</f>
        <v>La donna esegue il lancio del martello.</v>
      </c>
    </row>
    <row r="24026">
      <c r="A24026" s="4" t="s">
        <v>30228</v>
      </c>
      <c r="B24026" s="4" t="s">
        <v>30232</v>
      </c>
      <c r="C24026" s="5" t="str">
        <f>IFERROR(__xludf.DUMMYFUNCTION("GOOGLETRANSLATE(B24026,""en"",""it"")"),"Il martello viene visto atterrare con i giudici che camminano verso di esso.")</f>
        <v>Il martello viene visto atterrare con i giudici che camminano verso di esso.</v>
      </c>
    </row>
    <row r="24027">
      <c r="A24027" s="4" t="s">
        <v>30228</v>
      </c>
      <c r="B24027" s="4" t="s">
        <v>30233</v>
      </c>
      <c r="C24027" s="5" t="str">
        <f>IFERROR(__xludf.DUMMYFUNCTION("GOOGLETRANSLATE(B24027,""en"",""it"")"),"La donna alza il braccio.")</f>
        <v>La donna alza il braccio.</v>
      </c>
    </row>
    <row r="24028">
      <c r="A24028" s="4" t="s">
        <v>30228</v>
      </c>
      <c r="B24028" s="4" t="s">
        <v>30234</v>
      </c>
      <c r="C24028" s="5" t="str">
        <f>IFERROR(__xludf.DUMMYFUNCTION("GOOGLETRANSLATE(B24028,""en"",""it"")"),"La donna esce dall'area netta.")</f>
        <v>La donna esce dall'area netta.</v>
      </c>
    </row>
    <row r="24029">
      <c r="A24029" s="4" t="s">
        <v>30228</v>
      </c>
      <c r="B24029" s="4" t="s">
        <v>30235</v>
      </c>
      <c r="C24029" s="5" t="str">
        <f>IFERROR(__xludf.DUMMYFUNCTION("GOOGLETRANSLATE(B24029,""en"",""it"")"),"La donna alza di nuovo il braccio.")</f>
        <v>La donna alza di nuovo il braccio.</v>
      </c>
    </row>
    <row r="24030">
      <c r="A24030" s="4" t="s">
        <v>30236</v>
      </c>
      <c r="B24030" s="4" t="s">
        <v>30237</v>
      </c>
      <c r="C24030" s="5" t="str">
        <f>IFERROR(__xludf.DUMMYFUNCTION("GOOGLETRANSLATE(B24030,""en"",""it"")"),"Due persone giocano a palla di foos con una donna dietro.")</f>
        <v>Due persone giocano a palla di foos con una donna dietro.</v>
      </c>
    </row>
    <row r="24031">
      <c r="A24031" s="4" t="s">
        <v>30236</v>
      </c>
      <c r="B24031" s="4" t="s">
        <v>30238</v>
      </c>
      <c r="C24031" s="5" t="str">
        <f>IFERROR(__xludf.DUMMYFUNCTION("GOOGLETRANSLATE(B24031,""en"",""it"")"),"Una persona segna e applausi.")</f>
        <v>Una persona segna e applausi.</v>
      </c>
    </row>
    <row r="24032">
      <c r="A24032" s="4" t="s">
        <v>30239</v>
      </c>
      <c r="B24032" s="4" t="s">
        <v>30240</v>
      </c>
      <c r="C24032" s="5" t="str">
        <f>IFERROR(__xludf.DUMMYFUNCTION("GOOGLETRANSLATE(B24032,""en"",""it"")"),"Un ragazzo oscilla su un'altalena all'aperto.")</f>
        <v>Un ragazzo oscilla su un'altalena all'aperto.</v>
      </c>
    </row>
    <row r="24033">
      <c r="A24033" s="4" t="s">
        <v>30239</v>
      </c>
      <c r="B24033" s="4" t="s">
        <v>30241</v>
      </c>
      <c r="C24033" s="5" t="str">
        <f>IFERROR(__xludf.DUMMYFUNCTION("GOOGLETRANSLATE(B24033,""en"",""it"")"),"Si oscilla il più alto possibile con le gambe.")</f>
        <v>Si oscilla il più alto possibile con le gambe.</v>
      </c>
    </row>
    <row r="24034">
      <c r="A24034" s="4" t="s">
        <v>30242</v>
      </c>
      <c r="B24034" s="4" t="s">
        <v>30243</v>
      </c>
      <c r="C24034" s="5" t="str">
        <f>IFERROR(__xludf.DUMMYFUNCTION("GOOGLETRANSLATE(B24034,""en"",""it"")"),"Una donna è vista seduta su un divano che tiene un cappello e conduce a tagliare gli artigli del gatto.")</f>
        <v>Una donna è vista seduta su un divano che tiene un cappello e conduce a tagliare gli artigli del gatto.</v>
      </c>
    </row>
    <row r="24035">
      <c r="A24035" s="4" t="s">
        <v>30242</v>
      </c>
      <c r="B24035" s="4" t="s">
        <v>30244</v>
      </c>
      <c r="C24035" s="5" t="str">
        <f>IFERROR(__xludf.DUMMYFUNCTION("GOOGLETRANSLATE(B24035,""en"",""it"")"),"Poi tiene un pezzo di carta mentre il gatto scappa e indica la carta.")</f>
        <v>Poi tiene un pezzo di carta mentre il gatto scappa e indica la carta.</v>
      </c>
    </row>
    <row r="24036">
      <c r="A24036" s="4" t="s">
        <v>30245</v>
      </c>
      <c r="B24036" s="6" t="s">
        <v>30246</v>
      </c>
      <c r="C24036" s="5" t="str">
        <f>IFERROR(__xludf.DUMMYFUNCTION("GOOGLETRANSLATE(B24036,""en"",""it"")"),"Una persona è seduta in un tubo con altre persone in piedi e spingendo la persona lungo un sentiero innevato.")</f>
        <v>Una persona è seduta in un tubo con altre persone in piedi e spingendo la persona lungo un sentiero innevato.</v>
      </c>
    </row>
    <row r="24037">
      <c r="A24037" s="4" t="s">
        <v>30245</v>
      </c>
      <c r="B24037" s="4" t="s">
        <v>30247</v>
      </c>
      <c r="C24037" s="5" t="str">
        <f>IFERROR(__xludf.DUMMYFUNCTION("GOOGLETRANSLATE(B24037,""en"",""it"")"),"La persona vola lungo il sentiero nel tubo con un'altra persona che segue in seguito.")</f>
        <v>La persona vola lungo il sentiero nel tubo con un'altra persona che segue in seguito.</v>
      </c>
    </row>
    <row r="24038">
      <c r="A24038" s="4" t="s">
        <v>30248</v>
      </c>
      <c r="B24038" s="4" t="s">
        <v>30249</v>
      </c>
      <c r="C24038" s="5" t="str">
        <f>IFERROR(__xludf.DUMMYFUNCTION("GOOGLETRANSLATE(B24038,""en"",""it"")"),"Un giornalista sta intervistando un giocatore di basket in un campo.")</f>
        <v>Un giornalista sta intervistando un giocatore di basket in un campo.</v>
      </c>
    </row>
    <row r="24039">
      <c r="A24039" s="4" t="s">
        <v>30248</v>
      </c>
      <c r="B24039" s="4" t="s">
        <v>30250</v>
      </c>
      <c r="C24039" s="5" t="str">
        <f>IFERROR(__xludf.DUMMYFUNCTION("GOOGLETRANSLATE(B24039,""en"",""it"")"),"L'uomo sta lucidando il pavimento di legno.")</f>
        <v>L'uomo sta lucidando il pavimento di legno.</v>
      </c>
    </row>
    <row r="24040">
      <c r="A24040" s="4" t="s">
        <v>30251</v>
      </c>
      <c r="B24040" s="4" t="s">
        <v>30252</v>
      </c>
      <c r="C24040" s="5" t="str">
        <f>IFERROR(__xludf.DUMMYFUNCTION("GOOGLETRANSLATE(B24040,""en"",""it"")"),"Una bambina è seduta nella sabbia dove ha cercato di fare un castello di sabbia.")</f>
        <v>Una bambina è seduta nella sabbia dove ha cercato di fare un castello di sabbia.</v>
      </c>
    </row>
    <row r="24041">
      <c r="A24041" s="4" t="s">
        <v>30251</v>
      </c>
      <c r="B24041" s="4" t="s">
        <v>30253</v>
      </c>
      <c r="C24041" s="5" t="str">
        <f>IFERROR(__xludf.DUMMYFUNCTION("GOOGLETRANSLATE(B24041,""en"",""it"")"),"Gli adulti e un'altra ragazza ridono mentre cercano di costruire qualcosa nella sabbia.")</f>
        <v>Gli adulti e un'altra ragazza ridono mentre cercano di costruire qualcosa nella sabbia.</v>
      </c>
    </row>
    <row r="24042">
      <c r="A24042" s="4" t="s">
        <v>30254</v>
      </c>
      <c r="B24042" s="4" t="s">
        <v>30255</v>
      </c>
      <c r="C24042" s="5" t="str">
        <f>IFERROR(__xludf.DUMMYFUNCTION("GOOGLETRANSLATE(B24042,""en"",""it"")"),"Un giovane maschio adulto dà un pugno e calcia un sacco da boxe sospeso.")</f>
        <v>Un giovane maschio adulto dà un pugno e calcia un sacco da boxe sospeso.</v>
      </c>
    </row>
    <row r="24043">
      <c r="A24043" s="4" t="s">
        <v>30254</v>
      </c>
      <c r="B24043" s="4" t="s">
        <v>30256</v>
      </c>
      <c r="C24043" s="5" t="str">
        <f>IFERROR(__xludf.DUMMYFUNCTION("GOOGLETRANSLATE(B24043,""en"",""it"")"),"Il giovane maschio inizia quindi a muoversi attorno al sacco da punzonatura mentre continua a pugni e calcia.")</f>
        <v>Il giovane maschio inizia quindi a muoversi attorno al sacco da punzonatura mentre continua a pugni e calcia.</v>
      </c>
    </row>
    <row r="24044">
      <c r="A24044" s="4" t="s">
        <v>30254</v>
      </c>
      <c r="B24044" s="4" t="s">
        <v>30257</v>
      </c>
      <c r="C24044" s="5" t="str">
        <f>IFERROR(__xludf.DUMMYFUNCTION("GOOGLETRANSLATE(B24044,""en"",""it"")"),"Il giovane maschio si allontana quindi mentre si toglie i guanti.")</f>
        <v>Il giovane maschio si allontana quindi mentre si toglie i guanti.</v>
      </c>
    </row>
    <row r="24045">
      <c r="A24045" s="4" t="s">
        <v>30258</v>
      </c>
      <c r="B24045" s="4" t="s">
        <v>30259</v>
      </c>
      <c r="C24045" s="5" t="str">
        <f>IFERROR(__xludf.DUMMYFUNCTION("GOOGLETRANSLATE(B24045,""en"",""it"")"),"Un uomo che parla con la telecamera mentre tiene in mano un poster.")</f>
        <v>Un uomo che parla con la telecamera mentre tiene in mano un poster.</v>
      </c>
    </row>
    <row r="24046">
      <c r="A24046" s="4" t="s">
        <v>30258</v>
      </c>
      <c r="B24046" s="4" t="s">
        <v>30260</v>
      </c>
      <c r="C24046" s="5" t="str">
        <f>IFERROR(__xludf.DUMMYFUNCTION("GOOGLETRANSLATE(B24046,""en"",""it"")"),"Prende vari oggetti dal tavolo e spiega le sue istruzioni.")</f>
        <v>Prende vari oggetti dal tavolo e spiega le sue istruzioni.</v>
      </c>
    </row>
    <row r="24047">
      <c r="A24047" s="4" t="s">
        <v>30258</v>
      </c>
      <c r="B24047" s="4" t="s">
        <v>30261</v>
      </c>
      <c r="C24047" s="5" t="str">
        <f>IFERROR(__xludf.DUMMYFUNCTION("GOOGLETRANSLATE(B24047,""en"",""it"")"),"Avvolge una scatola con un foglio di stagno, quindi scrive sulla scatola con un pennarello.")</f>
        <v>Avvolge una scatola con un foglio di stagno, quindi scrive sulla scatola con un pennarello.</v>
      </c>
    </row>
    <row r="24048">
      <c r="A24048" s="4" t="s">
        <v>30258</v>
      </c>
      <c r="B24048" s="4" t="s">
        <v>30262</v>
      </c>
      <c r="C24048" s="5" t="str">
        <f>IFERROR(__xludf.DUMMYFUNCTION("GOOGLETRANSLATE(B24048,""en"",""it"")"),"Dispone più foglio di stagno e avvolge un altro oggetto con esso.")</f>
        <v>Dispone più foglio di stagno e avvolge un altro oggetto con esso.</v>
      </c>
    </row>
    <row r="24049">
      <c r="A24049" s="4" t="s">
        <v>30258</v>
      </c>
      <c r="B24049" s="4" t="s">
        <v>30263</v>
      </c>
      <c r="C24049" s="5" t="str">
        <f>IFERROR(__xludf.DUMMYFUNCTION("GOOGLETRANSLATE(B24049,""en"",""it"")"),"Finisce di avvolgere tutti gli oggetti con un foglio di stagno e mostrare come.")</f>
        <v>Finisce di avvolgere tutti gli oggetti con un foglio di stagno e mostrare come.</v>
      </c>
    </row>
    <row r="24050">
      <c r="A24050" s="4" t="s">
        <v>30264</v>
      </c>
      <c r="B24050" s="4" t="s">
        <v>30265</v>
      </c>
      <c r="C24050" s="5" t="str">
        <f>IFERROR(__xludf.DUMMYFUNCTION("GOOGLETRANSLATE(B24050,""en"",""it"")"),"Un uomo è seduto su una panchina di allenamento.")</f>
        <v>Un uomo è seduto su una panchina di allenamento.</v>
      </c>
    </row>
    <row r="24051">
      <c r="A24051" s="4" t="s">
        <v>30264</v>
      </c>
      <c r="B24051" s="4" t="s">
        <v>30266</v>
      </c>
      <c r="C24051" s="5" t="str">
        <f>IFERROR(__xludf.DUMMYFUNCTION("GOOGLETRANSLATE(B24051,""en"",""it"")"),"Si sdraia e inizia a fare scricchiolii.")</f>
        <v>Si sdraia e inizia a fare scricchiolii.</v>
      </c>
    </row>
    <row r="24052">
      <c r="A24052" s="4" t="s">
        <v>30264</v>
      </c>
      <c r="B24052" s="4" t="s">
        <v>30267</v>
      </c>
      <c r="C24052" s="5" t="str">
        <f>IFERROR(__xludf.DUMMYFUNCTION("GOOGLETRANSLATE(B24052,""en"",""it"")"),"Si siede sulla macchina e continua a parlare.")</f>
        <v>Si siede sulla macchina e continua a parlare.</v>
      </c>
    </row>
    <row r="24053">
      <c r="A24053" s="4" t="s">
        <v>30268</v>
      </c>
      <c r="B24053" s="4" t="s">
        <v>3486</v>
      </c>
      <c r="C24053" s="5" t="str">
        <f>IFERROR(__xludf.DUMMYFUNCTION("GOOGLETRANSLATE(B24053,""en"",""it"")"),"Una ginnasta monta un raggio basso in palestra.")</f>
        <v>Una ginnasta monta un raggio basso in palestra.</v>
      </c>
    </row>
    <row r="24054">
      <c r="A24054" s="4" t="s">
        <v>30268</v>
      </c>
      <c r="B24054" s="4" t="s">
        <v>30269</v>
      </c>
      <c r="C24054" s="5" t="str">
        <f>IFERROR(__xludf.DUMMYFUNCTION("GOOGLETRANSLATE(B24054,""en"",""it"")"),"Si trova sul raggio, quindi fa diverse molle e lancia.")</f>
        <v>Si trova sul raggio, quindi fa diverse molle e lancia.</v>
      </c>
    </row>
    <row r="24055">
      <c r="A24055" s="4" t="s">
        <v>30268</v>
      </c>
      <c r="B24055" s="4" t="s">
        <v>8353</v>
      </c>
      <c r="C24055" s="5" t="str">
        <f>IFERROR(__xludf.DUMMYFUNCTION("GOOGLETRANSLATE(B24055,""en"",""it"")"),"Smonta, alzando le braccia in aria.")</f>
        <v>Smonta, alzando le braccia in aria.</v>
      </c>
    </row>
    <row r="24056">
      <c r="A24056" s="4" t="s">
        <v>30270</v>
      </c>
      <c r="B24056" s="4" t="s">
        <v>30271</v>
      </c>
      <c r="C24056" s="5" t="str">
        <f>IFERROR(__xludf.DUMMYFUNCTION("GOOGLETRANSLATE(B24056,""en"",""it"")"),"Una grande onda si rompe nell'oceano mentre i surfisti e i surfisti pagavano su di esso.")</f>
        <v>Una grande onda si rompe nell'oceano mentre i surfisti e i surfisti pagavano su di esso.</v>
      </c>
    </row>
    <row r="24057">
      <c r="A24057" s="4" t="s">
        <v>30270</v>
      </c>
      <c r="B24057" s="4" t="s">
        <v>30272</v>
      </c>
      <c r="C24057" s="5" t="str">
        <f>IFERROR(__xludf.DUMMYFUNCTION("GOOGLETRANSLATE(B24057,""en"",""it"")"),"Una grande onda si schianta nell'oceano e un uomo cavalca il viso sul body board.")</f>
        <v>Una grande onda si schianta nell'oceano e un uomo cavalca il viso sul body board.</v>
      </c>
    </row>
    <row r="24058">
      <c r="A24058" s="4" t="s">
        <v>30270</v>
      </c>
      <c r="B24058" s="4" t="s">
        <v>30273</v>
      </c>
      <c r="C24058" s="5" t="str">
        <f>IFERROR(__xludf.DUMMYFUNCTION("GOOGLETRANSLATE(B24058,""en"",""it"")"),"I surfisti cavalcano le onde nell'oceano.")</f>
        <v>I surfisti cavalcano le onde nell'oceano.</v>
      </c>
    </row>
    <row r="24059">
      <c r="A24059" s="4" t="s">
        <v>30270</v>
      </c>
      <c r="B24059" s="4" t="s">
        <v>30274</v>
      </c>
      <c r="C24059" s="5" t="str">
        <f>IFERROR(__xludf.DUMMYFUNCTION("GOOGLETRANSLATE(B24059,""en"",""it"")"),"Una grande onda si rompe sulla riva e gli spettatori corrono.")</f>
        <v>Una grande onda si rompe sulla riva e gli spettatori corrono.</v>
      </c>
    </row>
    <row r="24060">
      <c r="A24060" s="4" t="s">
        <v>30275</v>
      </c>
      <c r="B24060" s="4" t="s">
        <v>30276</v>
      </c>
      <c r="C24060" s="5" t="str">
        <f>IFERROR(__xludf.DUMMYFUNCTION("GOOGLETRANSLATE(B24060,""en"",""it"")"),"Diverse persone sono divise in gruppi su zattere kayak attraverso acqua torbida.")</f>
        <v>Diverse persone sono divise in gruppi su zattere kayak attraverso acqua torbida.</v>
      </c>
    </row>
    <row r="24061">
      <c r="A24061" s="4" t="s">
        <v>30275</v>
      </c>
      <c r="B24061" s="6" t="s">
        <v>30277</v>
      </c>
      <c r="C24061" s="5" t="str">
        <f>IFERROR(__xludf.DUMMYFUNCTION("GOOGLETRANSLATE(B24061,""en"",""it"")"),"Il primo gruppo di otto persone si remella vicino a una scogliera e scendono giù per la collina e gli altri si spostano dietro di loro con le stesse azioni.")</f>
        <v>Il primo gruppo di otto persone si remella vicino a una scogliera e scendono giù per la collina e gli altri si spostano dietro di loro con le stesse azioni.</v>
      </c>
    </row>
    <row r="24062">
      <c r="A24062" s="4" t="s">
        <v>30275</v>
      </c>
      <c r="B24062" s="4" t="s">
        <v>30278</v>
      </c>
      <c r="C24062" s="5" t="str">
        <f>IFERROR(__xludf.DUMMYFUNCTION("GOOGLETRANSLATE(B24062,""en"",""it"")"),"Per il quinto gruppo, viene fornita una vista aerea e gli altri per loro di venire.")</f>
        <v>Per il quinto gruppo, viene fornita una vista aerea e gli altri per loro di venire.</v>
      </c>
    </row>
    <row r="24063">
      <c r="A24063" s="4" t="s">
        <v>30275</v>
      </c>
      <c r="B24063" s="6" t="s">
        <v>30279</v>
      </c>
      <c r="C24063" s="5" t="str">
        <f>IFERROR(__xludf.DUMMYFUNCTION("GOOGLETRANSLATE(B24063,""en"",""it"")"),"Dopo, ogni gruppo fa la stessa cosa che si muove in varie parti dell'acqua e colpiscono le rocce.")</f>
        <v>Dopo, ogni gruppo fa la stessa cosa che si muove in varie parti dell'acqua e colpiscono le rocce.</v>
      </c>
    </row>
    <row r="24064">
      <c r="A24064" s="4" t="s">
        <v>30280</v>
      </c>
      <c r="B24064" s="4" t="s">
        <v>30281</v>
      </c>
      <c r="C24064" s="5" t="str">
        <f>IFERROR(__xludf.DUMMYFUNCTION("GOOGLETRANSLATE(B24064,""en"",""it"")"),"Una donna che indossa una giacca di stampa leopardata è seduta con un uomo in un bar di narghilè.")</f>
        <v>Una donna che indossa una giacca di stampa leopardata è seduta con un uomo in un bar di narghilè.</v>
      </c>
    </row>
    <row r="24065">
      <c r="A24065" s="4" t="s">
        <v>30280</v>
      </c>
      <c r="B24065" s="4" t="s">
        <v>30282</v>
      </c>
      <c r="C24065" s="5" t="str">
        <f>IFERROR(__xludf.DUMMYFUNCTION("GOOGLETRANSLATE(B24065,""en"",""it"")"),"L'uomo la bacia mentre si sporge in avanti.")</f>
        <v>L'uomo la bacia mentre si sporge in avanti.</v>
      </c>
    </row>
    <row r="24066">
      <c r="A24066" s="4" t="s">
        <v>30280</v>
      </c>
      <c r="B24066" s="4" t="s">
        <v>30283</v>
      </c>
      <c r="C24066" s="5" t="str">
        <f>IFERROR(__xludf.DUMMYFUNCTION("GOOGLETRANSLATE(B24066,""en"",""it"")"),"Tiene in mano il narghilè pronto a prendere il suo primo sbuffo.")</f>
        <v>Tiene in mano il narghilè pronto a prendere il suo primo sbuffo.</v>
      </c>
    </row>
    <row r="24067">
      <c r="A24067" s="4" t="s">
        <v>30280</v>
      </c>
      <c r="B24067" s="4" t="s">
        <v>30284</v>
      </c>
      <c r="C24067" s="5" t="str">
        <f>IFERROR(__xludf.DUMMYFUNCTION("GOOGLETRANSLATE(B24067,""en"",""it"")"),"Dopo che inala il narghilè, esplode un po 'di fumo e tosse a disagio.")</f>
        <v>Dopo che inala il narghilè, esplode un po 'di fumo e tosse a disagio.</v>
      </c>
    </row>
    <row r="24068">
      <c r="A24068" s="4" t="s">
        <v>30285</v>
      </c>
      <c r="B24068" s="4" t="s">
        <v>30286</v>
      </c>
      <c r="C24068" s="5" t="str">
        <f>IFERROR(__xludf.DUMMYFUNCTION("GOOGLETRANSLATE(B24068,""en"",""it"")"),"Una donna in un vestito sta salendo le scale.")</f>
        <v>Una donna in un vestito sta salendo le scale.</v>
      </c>
    </row>
    <row r="24069">
      <c r="A24069" s="4" t="s">
        <v>30285</v>
      </c>
      <c r="B24069" s="4" t="s">
        <v>30287</v>
      </c>
      <c r="C24069" s="5" t="str">
        <f>IFERROR(__xludf.DUMMYFUNCTION("GOOGLETRANSLATE(B24069,""en"",""it"")"),"Si toglie il vestito e inizia a ballare.")</f>
        <v>Si toglie il vestito e inizia a ballare.</v>
      </c>
    </row>
    <row r="24070">
      <c r="A24070" s="4" t="s">
        <v>30285</v>
      </c>
      <c r="B24070" s="4" t="s">
        <v>30288</v>
      </c>
      <c r="C24070" s="5" t="str">
        <f>IFERROR(__xludf.DUMMYFUNCTION("GOOGLETRANSLATE(B24070,""en"",""it"")"),"Si sta allenando con altre persone su uno sgabello.")</f>
        <v>Si sta allenando con altre persone su uno sgabello.</v>
      </c>
    </row>
    <row r="24071">
      <c r="A24071" s="4" t="s">
        <v>30289</v>
      </c>
      <c r="B24071" s="4" t="s">
        <v>30290</v>
      </c>
      <c r="C24071" s="5" t="str">
        <f>IFERROR(__xludf.DUMMYFUNCTION("GOOGLETRANSLATE(B24071,""en"",""it"")"),"Un uomo viene visto passeggiare per un campo con un cane accanto a lui.")</f>
        <v>Un uomo viene visto passeggiare per un campo con un cane accanto a lui.</v>
      </c>
    </row>
    <row r="24072">
      <c r="A24072" s="4" t="s">
        <v>30289</v>
      </c>
      <c r="B24072" s="4" t="s">
        <v>30291</v>
      </c>
      <c r="C24072" s="5" t="str">
        <f>IFERROR(__xludf.DUMMYFUNCTION("GOOGLETRANSLATE(B24072,""en"",""it"")"),"L'uomo quindi afferra un frisbee e inizia a eseguire trucchi con il cane.")</f>
        <v>L'uomo quindi afferra un frisbee e inizia a eseguire trucchi con il cane.</v>
      </c>
    </row>
    <row r="24073">
      <c r="A24073" s="4" t="s">
        <v>30289</v>
      </c>
      <c r="B24073" s="4" t="s">
        <v>30292</v>
      </c>
      <c r="C24073" s="5" t="str">
        <f>IFERROR(__xludf.DUMMYFUNCTION("GOOGLETRANSLATE(B24073,""en"",""it"")"),"L'uomo continua a gettare un frisbee con il cane mentre altri guardano sul lato.")</f>
        <v>L'uomo continua a gettare un frisbee con il cane mentre altri guardano sul lato.</v>
      </c>
    </row>
    <row r="24074">
      <c r="A24074" s="4" t="s">
        <v>30293</v>
      </c>
      <c r="B24074" s="4" t="s">
        <v>30294</v>
      </c>
      <c r="C24074" s="5" t="str">
        <f>IFERROR(__xludf.DUMMYFUNCTION("GOOGLETRANSLATE(B24074,""en"",""it"")"),"Una persona cammina verso tre persone che dipingono una recinzione nera.")</f>
        <v>Una persona cammina verso tre persone che dipingono una recinzione nera.</v>
      </c>
    </row>
    <row r="24075">
      <c r="A24075" s="4" t="s">
        <v>30293</v>
      </c>
      <c r="B24075" s="4" t="s">
        <v>30295</v>
      </c>
      <c r="C24075" s="5" t="str">
        <f>IFERROR(__xludf.DUMMYFUNCTION("GOOGLETRANSLATE(B24075,""en"",""it"")"),"L'uomo chiede al ragazzo di vedere il suo lavoro e fa una volta la telecamera su sua moglie.")</f>
        <v>L'uomo chiede al ragazzo di vedere il suo lavoro e fa una volta la telecamera su sua moglie.</v>
      </c>
    </row>
    <row r="24076">
      <c r="A24076" s="4" t="s">
        <v>30293</v>
      </c>
      <c r="B24076" s="4" t="s">
        <v>30296</v>
      </c>
      <c r="C24076" s="5" t="str">
        <f>IFERROR(__xludf.DUMMYFUNCTION("GOOGLETRANSLATE(B24076,""en"",""it"")"),"L'uomo fa uno scherzo a sua moglie e ride fuori dalla telecamera.")</f>
        <v>L'uomo fa uno scherzo a sua moglie e ride fuori dalla telecamera.</v>
      </c>
    </row>
    <row r="24077">
      <c r="A24077" s="4" t="s">
        <v>30297</v>
      </c>
      <c r="B24077" s="4" t="s">
        <v>30298</v>
      </c>
      <c r="C24077" s="5" t="str">
        <f>IFERROR(__xludf.DUMMYFUNCTION("GOOGLETRANSLATE(B24077,""en"",""it"")"),"Una donna parla in palestra, poi guida una bici statica.")</f>
        <v>Una donna parla in palestra, poi guida una bici statica.</v>
      </c>
    </row>
    <row r="24078">
      <c r="A24078" s="4" t="s">
        <v>30297</v>
      </c>
      <c r="B24078" s="4" t="s">
        <v>30299</v>
      </c>
      <c r="C24078" s="5" t="str">
        <f>IFERROR(__xludf.DUMMYFUNCTION("GOOGLETRANSLATE(B24078,""en"",""it"")"),"Quindi, la donna e le altre persone sollevano peso.")</f>
        <v>Quindi, la donna e le altre persone sollevano peso.</v>
      </c>
    </row>
    <row r="24079">
      <c r="A24079" s="4" t="s">
        <v>30297</v>
      </c>
      <c r="B24079" s="4" t="s">
        <v>30300</v>
      </c>
      <c r="C24079" s="5" t="str">
        <f>IFERROR(__xludf.DUMMYFUNCTION("GOOGLETRANSLATE(B24079,""en"",""it"")"),"Quindi, la donna continua a andare in bici e poi sollevare.")</f>
        <v>Quindi, la donna continua a andare in bici e poi sollevare.</v>
      </c>
    </row>
    <row r="24080">
      <c r="A24080" s="4" t="s">
        <v>30301</v>
      </c>
      <c r="B24080" s="6" t="s">
        <v>30302</v>
      </c>
      <c r="C24080" s="5" t="str">
        <f>IFERROR(__xludf.DUMMYFUNCTION("GOOGLETRANSLATE(B24080,""en"",""it"")"),"Fuori nel cortile, due ragazzini in abiti da bagno abbinati stanno giocando con le reti che cercano di prendere una palla.")</f>
        <v>Fuori nel cortile, due ragazzini in abiti da bagno abbinati stanno giocando con le reti che cercano di prendere una palla.</v>
      </c>
    </row>
    <row r="24081">
      <c r="A24081" s="4" t="s">
        <v>30301</v>
      </c>
      <c r="B24081" s="6" t="s">
        <v>30303</v>
      </c>
      <c r="C24081" s="5" t="str">
        <f>IFERROR(__xludf.DUMMYFUNCTION("GOOGLETRANSLATE(B24081,""en"",""it"")"),"Entrambi stanno cercando di ottenere la palla nella propria rete sostanzialmente combattendo giocosamente per chi lo ottengono.")</f>
        <v>Entrambi stanno cercando di ottenere la palla nella propria rete sostanzialmente combattendo giocosamente per chi lo ottengono.</v>
      </c>
    </row>
    <row r="24082">
      <c r="A24082" s="4" t="s">
        <v>30301</v>
      </c>
      <c r="B24082" s="4" t="s">
        <v>30304</v>
      </c>
      <c r="C24082" s="5" t="str">
        <f>IFERROR(__xludf.DUMMYFUNCTION("GOOGLETRANSLATE(B24082,""en"",""it"")"),"Il papà viene e lancia la palla e i ragazzi corrono dopo di essa.")</f>
        <v>Il papà viene e lancia la palla e i ragazzi corrono dopo di essa.</v>
      </c>
    </row>
    <row r="24083">
      <c r="A24083" s="4" t="s">
        <v>30301</v>
      </c>
      <c r="B24083" s="6" t="s">
        <v>30305</v>
      </c>
      <c r="C24083" s="5" t="str">
        <f>IFERROR(__xludf.DUMMYFUNCTION("GOOGLETRANSLATE(B24083,""en"",""it"")"),"Continuano a giocare e uno dei ragazzini lo fa nella sua rete e lo fa un giro e quando atterra entrambi lo seguono di nuovo.")</f>
        <v>Continuano a giocare e uno dei ragazzini lo fa nella sua rete e lo fa un giro e quando atterra entrambi lo seguono di nuovo.</v>
      </c>
    </row>
    <row r="24084">
      <c r="A24084" s="4" t="s">
        <v>30306</v>
      </c>
      <c r="B24084" s="4" t="s">
        <v>30307</v>
      </c>
      <c r="C24084" s="5" t="str">
        <f>IFERROR(__xludf.DUMMYFUNCTION("GOOGLETRANSLATE(B24084,""en"",""it"")"),"Diversi giocatori di hockey lasciano un gruppo, pattinando sul ghiaccio.")</f>
        <v>Diversi giocatori di hockey lasciano un gruppo, pattinando sul ghiaccio.</v>
      </c>
    </row>
    <row r="24085">
      <c r="A24085" s="4" t="s">
        <v>30306</v>
      </c>
      <c r="B24085" s="4" t="s">
        <v>30308</v>
      </c>
      <c r="C24085" s="5" t="str">
        <f>IFERROR(__xludf.DUMMYFUNCTION("GOOGLETRANSLATE(B24085,""en"",""it"")"),"Cominciano a giocare, sparando al disco avanti e indietro, cercando di farlo andare all'obiettivo del nemico.")</f>
        <v>Cominciano a giocare, sparando al disco avanti e indietro, cercando di farlo andare all'obiettivo del nemico.</v>
      </c>
    </row>
    <row r="24086">
      <c r="A24086" s="4" t="s">
        <v>30306</v>
      </c>
      <c r="B24086" s="4" t="s">
        <v>30309</v>
      </c>
      <c r="C24086" s="5" t="str">
        <f>IFERROR(__xludf.DUMMYFUNCTION("GOOGLETRANSLATE(B24086,""en"",""it"")"),"Un portiere è solo al suo obiettivo.")</f>
        <v>Un portiere è solo al suo obiettivo.</v>
      </c>
    </row>
    <row r="24087">
      <c r="A24087" s="4" t="s">
        <v>30306</v>
      </c>
      <c r="B24087" s="4" t="s">
        <v>30310</v>
      </c>
      <c r="C24087" s="5" t="str">
        <f>IFERROR(__xludf.DUMMYFUNCTION("GOOGLETRANSLATE(B24087,""en"",""it"")"),"Tutti si raccoglieno di nuovo mentre l'arbitro li segnala di giocare.")</f>
        <v>Tutti si raccoglieno di nuovo mentre l'arbitro li segnala di giocare.</v>
      </c>
    </row>
    <row r="24088">
      <c r="A24088" s="4" t="s">
        <v>30311</v>
      </c>
      <c r="B24088" s="4" t="s">
        <v>30312</v>
      </c>
      <c r="C24088" s="5" t="str">
        <f>IFERROR(__xludf.DUMMYFUNCTION("GOOGLETRANSLATE(B24088,""en"",""it"")"),"Una persona viene vista in piedi davanti a un lavandino che indossa guanti.")</f>
        <v>Una persona viene vista in piedi davanti a un lavandino che indossa guanti.</v>
      </c>
    </row>
    <row r="24089">
      <c r="A24089" s="4" t="s">
        <v>30311</v>
      </c>
      <c r="B24089" s="4" t="s">
        <v>30313</v>
      </c>
      <c r="C24089" s="5" t="str">
        <f>IFERROR(__xludf.DUMMYFUNCTION("GOOGLETRANSLATE(B24089,""en"",""it"")"),"La donna guarda indietro alla telecamera e sorride mentre tiene in mano uno spazzolino da denti.")</f>
        <v>La donna guarda indietro alla telecamera e sorride mentre tiene in mano uno spazzolino da denti.</v>
      </c>
    </row>
    <row r="24090">
      <c r="A24090" s="4" t="s">
        <v>30311</v>
      </c>
      <c r="B24090" s="4" t="s">
        <v>30314</v>
      </c>
      <c r="C24090" s="5" t="str">
        <f>IFERROR(__xludf.DUMMYFUNCTION("GOOGLETRANSLATE(B24090,""en"",""it"")"),"Quindi torna al lavandino pieno di piatti sporchi.")</f>
        <v>Quindi torna al lavandino pieno di piatti sporchi.</v>
      </c>
    </row>
    <row r="24091">
      <c r="A24091" s="4" t="s">
        <v>30315</v>
      </c>
      <c r="B24091" s="4" t="s">
        <v>30316</v>
      </c>
      <c r="C24091" s="5" t="str">
        <f>IFERROR(__xludf.DUMMYFUNCTION("GOOGLETRANSLATE(B24091,""en"",""it"")"),"Una persona apre una scatola rotonda e toglie una bottiglia di smalto e mette il supporto.")</f>
        <v>Una persona apre una scatola rotonda e toglie una bottiglia di smalto e mette il supporto.</v>
      </c>
    </row>
    <row r="24092">
      <c r="A24092" s="4" t="s">
        <v>30315</v>
      </c>
      <c r="B24092" s="4" t="s">
        <v>30317</v>
      </c>
      <c r="C24092" s="5" t="str">
        <f>IFERROR(__xludf.DUMMYFUNCTION("GOOGLETRANSLATE(B24092,""en"",""it"")"),"Quindi, la persona mette un chiodo su un supporto rotondo sulla scatola, quindi dipinge le unghie.")</f>
        <v>Quindi, la persona mette un chiodo su un supporto rotondo sulla scatola, quindi dipinge le unghie.</v>
      </c>
    </row>
    <row r="24093">
      <c r="A24093" s="4" t="s">
        <v>30315</v>
      </c>
      <c r="B24093" s="4" t="s">
        <v>30318</v>
      </c>
      <c r="C24093" s="5" t="str">
        <f>IFERROR(__xludf.DUMMYFUNCTION("GOOGLETRANSLATE(B24093,""en"",""it"")"),"Dopo, la donna chiude la bottiglia di smalto.")</f>
        <v>Dopo, la donna chiude la bottiglia di smalto.</v>
      </c>
    </row>
    <row r="24094">
      <c r="A24094" s="4" t="s">
        <v>30319</v>
      </c>
      <c r="B24094" s="4" t="s">
        <v>30320</v>
      </c>
      <c r="C24094" s="5" t="str">
        <f>IFERROR(__xludf.DUMMYFUNCTION("GOOGLETRANSLATE(B24094,""en"",""it"")"),"Un uomo e una donna si preparano a giocare a freccette.")</f>
        <v>Un uomo e una donna si preparano a giocare a freccette.</v>
      </c>
    </row>
    <row r="24095">
      <c r="A24095" s="4" t="s">
        <v>30319</v>
      </c>
      <c r="B24095" s="4" t="s">
        <v>30321</v>
      </c>
      <c r="C24095" s="5" t="str">
        <f>IFERROR(__xludf.DUMMYFUNCTION("GOOGLETRANSLATE(B24095,""en"",""it"")"),"Vengono visualizzate le istruzioni sui materiali necessari per riprodurre le freccette.")</f>
        <v>Vengono visualizzate le istruzioni sui materiali necessari per riprodurre le freccette.</v>
      </c>
    </row>
    <row r="24096">
      <c r="A24096" s="4" t="s">
        <v>30319</v>
      </c>
      <c r="B24096" s="4" t="s">
        <v>30322</v>
      </c>
      <c r="C24096" s="5" t="str">
        <f>IFERROR(__xludf.DUMMYFUNCTION("GOOGLETRANSLATE(B24096,""en"",""it"")"),"L'uomo e la donna camminano verso il bordo del dardo.")</f>
        <v>L'uomo e la donna camminano verso il bordo del dardo.</v>
      </c>
    </row>
    <row r="24097">
      <c r="A24097" s="4" t="s">
        <v>30319</v>
      </c>
      <c r="B24097" s="4" t="s">
        <v>30323</v>
      </c>
      <c r="C24097" s="5" t="str">
        <f>IFERROR(__xludf.DUMMYFUNCTION("GOOGLETRANSLATE(B24097,""en"",""it"")"),"Scherzano per prepararsi a giocare a freccette.")</f>
        <v>Scherzano per prepararsi a giocare a freccette.</v>
      </c>
    </row>
    <row r="24098">
      <c r="A24098" s="4" t="s">
        <v>30319</v>
      </c>
      <c r="B24098" s="4" t="s">
        <v>30324</v>
      </c>
      <c r="C24098" s="5" t="str">
        <f>IFERROR(__xludf.DUMMYFUNCTION("GOOGLETRANSLATE(B24098,""en"",""it"")"),"L'uomo lancia un dardo.")</f>
        <v>L'uomo lancia un dardo.</v>
      </c>
    </row>
    <row r="24099">
      <c r="A24099" s="4" t="s">
        <v>30319</v>
      </c>
      <c r="B24099" s="4" t="s">
        <v>30325</v>
      </c>
      <c r="C24099" s="5" t="str">
        <f>IFERROR(__xludf.DUMMYFUNCTION("GOOGLETRANSLATE(B24099,""en"",""it"")"),"La donna lo segue.")</f>
        <v>La donna lo segue.</v>
      </c>
    </row>
    <row r="24100">
      <c r="A24100" s="4" t="s">
        <v>30319</v>
      </c>
      <c r="B24100" s="4" t="s">
        <v>30326</v>
      </c>
      <c r="C24100" s="5" t="str">
        <f>IFERROR(__xludf.DUMMYFUNCTION("GOOGLETRANSLATE(B24100,""en"",""it"")"),"La donna lancia altre tre freccette.")</f>
        <v>La donna lancia altre tre freccette.</v>
      </c>
    </row>
    <row r="24101">
      <c r="A24101" s="4" t="s">
        <v>30319</v>
      </c>
      <c r="B24101" s="4" t="s">
        <v>30327</v>
      </c>
      <c r="C24101" s="5" t="str">
        <f>IFERROR(__xludf.DUMMYFUNCTION("GOOGLETRANSLATE(B24101,""en"",""it"")"),"L'uomo mostra il suo dardo e dimostra come fare un passo.")</f>
        <v>L'uomo mostra il suo dardo e dimostra come fare un passo.</v>
      </c>
    </row>
    <row r="24102">
      <c r="A24102" s="4" t="s">
        <v>30319</v>
      </c>
      <c r="B24102" s="4" t="s">
        <v>30328</v>
      </c>
      <c r="C24102" s="5" t="str">
        <f>IFERROR(__xludf.DUMMYFUNCTION("GOOGLETRANSLATE(B24102,""en"",""it"")"),"Lancia il dardo da lontano.")</f>
        <v>Lancia il dardo da lontano.</v>
      </c>
    </row>
    <row r="24103">
      <c r="A24103" s="4" t="s">
        <v>30319</v>
      </c>
      <c r="B24103" s="4" t="s">
        <v>30329</v>
      </c>
      <c r="C24103" s="5" t="str">
        <f>IFERROR(__xludf.DUMMYFUNCTION("GOOGLETRANSLATE(B24103,""en"",""it"")"),"Viene mostrata la posizione delle freccette sui cinghiali.")</f>
        <v>Viene mostrata la posizione delle freccette sui cinghiali.</v>
      </c>
    </row>
    <row r="24104">
      <c r="A24104" s="4" t="s">
        <v>30319</v>
      </c>
      <c r="B24104" s="4" t="s">
        <v>30330</v>
      </c>
      <c r="C24104" s="5" t="str">
        <f>IFERROR(__xludf.DUMMYFUNCTION("GOOGLETRANSLATE(B24104,""en"",""it"")"),"L'uomo afferra le freccette dal tabellone.")</f>
        <v>L'uomo afferra le freccette dal tabellone.</v>
      </c>
    </row>
    <row r="24105">
      <c r="A24105" s="4" t="s">
        <v>30319</v>
      </c>
      <c r="B24105" s="4" t="s">
        <v>30331</v>
      </c>
      <c r="C24105" s="5" t="str">
        <f>IFERROR(__xludf.DUMMYFUNCTION("GOOGLETRANSLATE(B24105,""en"",""it"")"),"La donna lancia delle freccette.")</f>
        <v>La donna lancia delle freccette.</v>
      </c>
    </row>
    <row r="24106">
      <c r="A24106" s="4" t="s">
        <v>30319</v>
      </c>
      <c r="B24106" s="4" t="s">
        <v>30332</v>
      </c>
      <c r="C24106" s="5" t="str">
        <f>IFERROR(__xludf.DUMMYFUNCTION("GOOGLETRANSLATE(B24106,""en"",""it"")"),"L'uomo segue la donna.")</f>
        <v>L'uomo segue la donna.</v>
      </c>
    </row>
    <row r="24107">
      <c r="A24107" s="4" t="s">
        <v>30319</v>
      </c>
      <c r="B24107" s="4" t="s">
        <v>30333</v>
      </c>
      <c r="C24107" s="5" t="str">
        <f>IFERROR(__xludf.DUMMYFUNCTION("GOOGLETRANSLATE(B24107,""en"",""it"")"),"La donna lo fa di nuovo.")</f>
        <v>La donna lo fa di nuovo.</v>
      </c>
    </row>
    <row r="24108">
      <c r="A24108" s="4" t="s">
        <v>30319</v>
      </c>
      <c r="B24108" s="4" t="s">
        <v>30334</v>
      </c>
      <c r="C24108" s="5" t="str">
        <f>IFERROR(__xludf.DUMMYFUNCTION("GOOGLETRANSLATE(B24108,""en"",""it"")"),"L'uomo torna a fare lo stesso.")</f>
        <v>L'uomo torna a fare lo stesso.</v>
      </c>
    </row>
    <row r="24109">
      <c r="A24109" s="4" t="s">
        <v>30319</v>
      </c>
      <c r="B24109" s="4" t="s">
        <v>30335</v>
      </c>
      <c r="C24109" s="5" t="str">
        <f>IFERROR(__xludf.DUMMYFUNCTION("GOOGLETRANSLATE(B24109,""en"",""it"")"),"La donna li lancia di nuovo.")</f>
        <v>La donna li lancia di nuovo.</v>
      </c>
    </row>
    <row r="24110">
      <c r="A24110" s="4" t="s">
        <v>30319</v>
      </c>
      <c r="B24110" s="4" t="s">
        <v>30336</v>
      </c>
      <c r="C24110" s="5" t="str">
        <f>IFERROR(__xludf.DUMMYFUNCTION("GOOGLETRANSLATE(B24110,""en"",""it"")"),"L'uomo la insegue di nuovo.")</f>
        <v>L'uomo la insegue di nuovo.</v>
      </c>
    </row>
    <row r="24111">
      <c r="A24111" s="4" t="s">
        <v>30319</v>
      </c>
      <c r="B24111" s="4" t="s">
        <v>30337</v>
      </c>
      <c r="C24111" s="5" t="str">
        <f>IFERROR(__xludf.DUMMYFUNCTION("GOOGLETRANSLATE(B24111,""en"",""it"")"),"La donna va ancora una volta e vince trionfalmente.")</f>
        <v>La donna va ancora una volta e vince trionfalmente.</v>
      </c>
    </row>
    <row r="24112">
      <c r="A24112" s="4" t="s">
        <v>30338</v>
      </c>
      <c r="B24112" s="4" t="s">
        <v>30339</v>
      </c>
      <c r="C24112" s="5" t="str">
        <f>IFERROR(__xludf.DUMMYFUNCTION("GOOGLETRANSLATE(B24112,""en"",""it"")"),"Una donna viene vista ospitare un segmento di notizie e che conduce a persone in giro per i cavalli.")</f>
        <v>Una donna viene vista ospitare un segmento di notizie e che conduce a persone in giro per i cavalli.</v>
      </c>
    </row>
    <row r="24113">
      <c r="A24113" s="4" t="s">
        <v>30338</v>
      </c>
      <c r="B24113" s="6" t="s">
        <v>30340</v>
      </c>
      <c r="C24113" s="5" t="str">
        <f>IFERROR(__xludf.DUMMYFUNCTION("GOOGLETRANSLATE(B24113,""en"",""it"")"),"Le persone sono viste camminare per una zona con cani che calpesta i piedi e un altro uomo che parla alla telecamera.")</f>
        <v>Le persone sono viste camminare per una zona con cani che calpesta i piedi e un altro uomo che parla alla telecamera.</v>
      </c>
    </row>
    <row r="24114">
      <c r="A24114" s="4" t="s">
        <v>30338</v>
      </c>
      <c r="B24114" s="6" t="s">
        <v>30341</v>
      </c>
      <c r="C24114" s="5" t="str">
        <f>IFERROR(__xludf.DUMMYFUNCTION("GOOGLETRANSLATE(B24114,""en"",""it"")"),"Vengono mostrati altri colpi delle persone che giocano a cavallo e altre che parlano alla telecamera e ottengono un trofeo.")</f>
        <v>Vengono mostrati altri colpi delle persone che giocano a cavallo e altre che parlano alla telecamera e ottengono un trofeo.</v>
      </c>
    </row>
    <row r="24115">
      <c r="A24115" s="4" t="s">
        <v>30342</v>
      </c>
      <c r="B24115" s="4" t="s">
        <v>30343</v>
      </c>
      <c r="C24115" s="5" t="str">
        <f>IFERROR(__xludf.DUMMYFUNCTION("GOOGLETRANSLATE(B24115,""en"",""it"")"),"Un uomo si trova di fronte a un podio che parla.")</f>
        <v>Un uomo si trova di fronte a un podio che parla.</v>
      </c>
    </row>
    <row r="24116">
      <c r="A24116" s="4" t="s">
        <v>30342</v>
      </c>
      <c r="B24116" s="4" t="s">
        <v>30344</v>
      </c>
      <c r="C24116" s="5" t="str">
        <f>IFERROR(__xludf.DUMMYFUNCTION("GOOGLETRANSLATE(B24116,""en"",""it"")"),"Altri due uomini sono accanto a lui.")</f>
        <v>Altri due uomini sono accanto a lui.</v>
      </c>
    </row>
    <row r="24117">
      <c r="A24117" s="4" t="s">
        <v>30342</v>
      </c>
      <c r="B24117" s="4" t="s">
        <v>30345</v>
      </c>
      <c r="C24117" s="5" t="str">
        <f>IFERROR(__xludf.DUMMYFUNCTION("GOOGLETRANSLATE(B24117,""en"",""it"")"),"Uno dei due uomini scava in una buca per il fuoco dove c'era un fuoco e poi ci versa acqua.")</f>
        <v>Uno dei due uomini scava in una buca per il fuoco dove c'era un fuoco e poi ci versa acqua.</v>
      </c>
    </row>
    <row r="24118">
      <c r="A24118" s="4" t="s">
        <v>30342</v>
      </c>
      <c r="B24118" s="4" t="s">
        <v>30346</v>
      </c>
      <c r="C24118" s="5" t="str">
        <f>IFERROR(__xludf.DUMMYFUNCTION("GOOGLETRANSLATE(B24118,""en"",""it"")"),"Lo stesso uomo scava nella fossa con la mano che cerca braci in fiamme.")</f>
        <v>Lo stesso uomo scava nella fossa con la mano che cerca braci in fiamme.</v>
      </c>
    </row>
    <row r="24119">
      <c r="A24119" s="4" t="s">
        <v>30347</v>
      </c>
      <c r="B24119" s="4" t="s">
        <v>30348</v>
      </c>
      <c r="C24119" s="5" t="str">
        <f>IFERROR(__xludf.DUMMYFUNCTION("GOOGLETRANSLATE(B24119,""en"",""it"")"),"Un corpo idrico è mostrato sotto gli alberi.")</f>
        <v>Un corpo idrico è mostrato sotto gli alberi.</v>
      </c>
    </row>
    <row r="24120">
      <c r="A24120" s="4" t="s">
        <v>30347</v>
      </c>
      <c r="B24120" s="4" t="s">
        <v>30349</v>
      </c>
      <c r="C24120" s="5" t="str">
        <f>IFERROR(__xludf.DUMMYFUNCTION("GOOGLETRANSLATE(B24120,""en"",""it"")"),"Una persona sta camminando su una linea allentata sull'acqua.")</f>
        <v>Una persona sta camminando su una linea allentata sull'acqua.</v>
      </c>
    </row>
    <row r="24121">
      <c r="A24121" s="4" t="s">
        <v>30347</v>
      </c>
      <c r="B24121" s="4" t="s">
        <v>30350</v>
      </c>
      <c r="C24121" s="5" t="str">
        <f>IFERROR(__xludf.DUMMYFUNCTION("GOOGLETRANSLATE(B24121,""en"",""it"")"),"Arrivano alla fine della linea di lenta.")</f>
        <v>Arrivano alla fine della linea di lenta.</v>
      </c>
    </row>
    <row r="24122">
      <c r="A24122" s="4" t="s">
        <v>30351</v>
      </c>
      <c r="B24122" s="6" t="s">
        <v>30352</v>
      </c>
      <c r="C24122" s="5" t="str">
        <f>IFERROR(__xludf.DUMMYFUNCTION("GOOGLETRANSLATE(B24122,""en"",""it"")"),"Una ragazza skater con una maglietta bianca e pantaloncini cerca di saltare con il suo skateboard e cade all'indietro colpendo la testa.")</f>
        <v>Una ragazza skater con una maglietta bianca e pantaloncini cerca di saltare con il suo skateboard e cade all'indietro colpendo la testa.</v>
      </c>
    </row>
    <row r="24123">
      <c r="A24123" s="4" t="s">
        <v>30351</v>
      </c>
      <c r="B24123" s="6" t="s">
        <v>30353</v>
      </c>
      <c r="C24123" s="5" t="str">
        <f>IFERROR(__xludf.DUMMYFUNCTION("GOOGLETRANSLATE(B24123,""en"",""it"")"),"Altri due pattinatori si dirigono attorno a una curva, ma uno si ara direttamente in uno stack di fieno, anche se per fortuna.")</f>
        <v>Altri due pattinatori si dirigono attorno a una curva, ma uno si ara direttamente in uno stack di fieno, anche se per fortuna.</v>
      </c>
    </row>
    <row r="24124">
      <c r="A24124" s="4" t="s">
        <v>30351</v>
      </c>
      <c r="B24124" s="6" t="s">
        <v>30354</v>
      </c>
      <c r="C24124" s="5" t="str">
        <f>IFERROR(__xludf.DUMMYFUNCTION("GOOGLETRANSLATE(B24124,""en"",""it"")"),"Un altro pattinatore con il casco prova a mano e si ferma, anche se sfortunatamente il suo skateboard no.")</f>
        <v>Un altro pattinatore con il casco prova a mano e si ferma, anche se sfortunatamente il suo skateboard no.</v>
      </c>
    </row>
    <row r="24125">
      <c r="A24125" s="4" t="s">
        <v>30351</v>
      </c>
      <c r="B24125" s="6" t="s">
        <v>30355</v>
      </c>
      <c r="C24125" s="5" t="str">
        <f>IFERROR(__xludf.DUMMYFUNCTION("GOOGLETRANSLATE(B24125,""en"",""it"")"),"Dopo qualche altro incidenti da pattinaggio, l'ultima prestazione è di un pattinatore che non sente il bisogno di attrezzature di sicurezza e mentre si è diretto dritto giù per una collina, si sposta dallo skateboard e trascorre diversi minuti a controlla"&amp;"re le sue varie tracce.")</f>
        <v>Dopo qualche altro incidenti da pattinaggio, l'ultima prestazione è di un pattinatore che non sente il bisogno di attrezzature di sicurezza e mentre si è diretto dritto giù per una collina, si sposta dallo skateboard e trascorre diversi minuti a controllare le sue varie tracce.</v>
      </c>
    </row>
    <row r="24126">
      <c r="A24126" s="4" t="s">
        <v>30356</v>
      </c>
      <c r="B24126" s="4" t="s">
        <v>30357</v>
      </c>
      <c r="C24126" s="5" t="str">
        <f>IFERROR(__xludf.DUMMYFUNCTION("GOOGLETRANSLATE(B24126,""en"",""it"")"),"Tre ragazzi in un cortile coperto di erba si alternano giocando una partita di cricket sul prato.")</f>
        <v>Tre ragazzi in un cortile coperto di erba si alternano giocando una partita di cricket sul prato.</v>
      </c>
    </row>
    <row r="24127">
      <c r="A24127" s="4" t="s">
        <v>30356</v>
      </c>
      <c r="B24127" s="6" t="s">
        <v>30358</v>
      </c>
      <c r="C24127" s="5" t="str">
        <f>IFERROR(__xludf.DUMMYFUNCTION("GOOGLETRANSLATE(B24127,""en"",""it"")"),"I ragazzi si alternano lanciando e colpendo la palla da cricket, aiutandosi a vicenda ridistribuendo la palla di nuovo in gioco quando atterrano in campo.")</f>
        <v>I ragazzi si alternano lanciando e colpendo la palla da cricket, aiutandosi a vicenda ridistribuendo la palla di nuovo in gioco quando atterrano in campo.</v>
      </c>
    </row>
    <row r="24128">
      <c r="A24128" s="4" t="s">
        <v>30356</v>
      </c>
      <c r="B24128" s="4" t="s">
        <v>30359</v>
      </c>
      <c r="C24128" s="5" t="str">
        <f>IFERROR(__xludf.DUMMYFUNCTION("GOOGLETRANSLATE(B24128,""en"",""it"")"),"Uno dei ragazzi mette un casco da calcio e si trova sulle linee laterali che catturano la palla.")</f>
        <v>Uno dei ragazzi mette un casco da calcio e si trova sulle linee laterali che catturano la palla.</v>
      </c>
    </row>
    <row r="24129">
      <c r="A24129" s="4" t="s">
        <v>30360</v>
      </c>
      <c r="B24129" s="4" t="s">
        <v>30361</v>
      </c>
      <c r="C24129" s="5" t="str">
        <f>IFERROR(__xludf.DUMMYFUNCTION("GOOGLETRANSLATE(B24129,""en"",""it"")"),"Un uomo tenta di sollevare un bilanciere.")</f>
        <v>Un uomo tenta di sollevare un bilanciere.</v>
      </c>
    </row>
    <row r="24130">
      <c r="A24130" s="4" t="s">
        <v>30360</v>
      </c>
      <c r="B24130" s="4" t="s">
        <v>30362</v>
      </c>
      <c r="C24130" s="5" t="str">
        <f>IFERROR(__xludf.DUMMYFUNCTION("GOOGLETRANSLATE(B24130,""en"",""it"")"),"Si piega alle ginocchia, sollevandolo sul petto.")</f>
        <v>Si piega alle ginocchia, sollevandolo sul petto.</v>
      </c>
    </row>
    <row r="24131">
      <c r="A24131" s="4" t="s">
        <v>30360</v>
      </c>
      <c r="B24131" s="4" t="s">
        <v>30363</v>
      </c>
      <c r="C24131" s="5" t="str">
        <f>IFERROR(__xludf.DUMMYFUNCTION("GOOGLETRANSLATE(B24131,""en"",""it"")"),"Si colpisce in gola, cadendo all'indietro.")</f>
        <v>Si colpisce in gola, cadendo all'indietro.</v>
      </c>
    </row>
    <row r="24132">
      <c r="A24132" s="4" t="s">
        <v>30364</v>
      </c>
      <c r="B24132" s="6" t="s">
        <v>30365</v>
      </c>
      <c r="C24132" s="5" t="str">
        <f>IFERROR(__xludf.DUMMYFUNCTION("GOOGLETRANSLATE(B24132,""en"",""it"")"),"Viene visualizzata una schermata introduttiva testurizzata e viene visualizzato un logo di una scarpa insieme a parole verdi che dicono ""Vickermann und Stoya"".")</f>
        <v>Viene visualizzata una schermata introduttiva testurizzata e viene visualizzato un logo di una scarpa insieme a parole verdi che dicono "Vickermann und Stoya".</v>
      </c>
    </row>
    <row r="24133">
      <c r="A24133" s="4" t="s">
        <v>30364</v>
      </c>
      <c r="B24133" s="6" t="s">
        <v>30366</v>
      </c>
      <c r="C24133" s="5" t="str">
        <f>IFERROR(__xludf.DUMMYFUNCTION("GOOGLETRANSLATE(B24133,""en"",""it"")"),"Vengono mostrati due gruppi di forniture e includono prodotti del nome dell'azienda nella schermata introduttiva che include pennelli, un panno, shaper da scarpe, lacci delle scarpe e un paio di piccoli contenitori di stagno.")</f>
        <v>Vengono mostrati due gruppi di forniture e includono prodotti del nome dell'azienda nella schermata introduttiva che include pennelli, un panno, shaper da scarpe, lacci delle scarpe e un paio di piccoli contenitori di stagno.</v>
      </c>
    </row>
    <row r="24134">
      <c r="A24134" s="4" t="s">
        <v>30364</v>
      </c>
      <c r="B24134" s="6" t="s">
        <v>30367</v>
      </c>
      <c r="C24134" s="5" t="str">
        <f>IFERROR(__xludf.DUMMYFUNCTION("GOOGLETRANSLATE(B24134,""en"",""it"")"),"Un uomo che indossa un grembiule verde è srotola per una scarpa alta marrone, quindi lo spazzola con un pennello grande, quindi prende un pennello più piccolo, lo immerge in un piccolo contenitore, quindi lo spazzola sulla scarpa e la scarpa sembra molto "&amp;"lucidata Qualsiasi superficie che spazzola.")</f>
        <v>Un uomo che indossa un grembiule verde è srotola per una scarpa alta marrone, quindi lo spazzola con un pennello grande, quindi prende un pennello più piccolo, lo immerge in un piccolo contenitore, quindi lo spazzola sulla scarpa e la scarpa sembra molto lucidata Qualsiasi superficie che spazzola.</v>
      </c>
    </row>
    <row r="24135">
      <c r="A24135" s="4" t="s">
        <v>30364</v>
      </c>
      <c r="B24135" s="4" t="s">
        <v>30368</v>
      </c>
      <c r="C24135" s="5" t="str">
        <f>IFERROR(__xludf.DUMMYFUNCTION("GOOGLETRANSLATE(B24135,""en"",""it"")"),"L'uomo quindi raccoglie un panno bianco e lo strofina su tutta la scarpa.")</f>
        <v>L'uomo quindi raccoglie un panno bianco e lo strofina su tutta la scarpa.</v>
      </c>
    </row>
    <row r="24136">
      <c r="A24136" s="4" t="s">
        <v>30364</v>
      </c>
      <c r="B24136" s="4" t="s">
        <v>30369</v>
      </c>
      <c r="C24136" s="5" t="str">
        <f>IFERROR(__xludf.DUMMYFUNCTION("GOOGLETRANSLATE(B24136,""en"",""it"")"),"L'uomo mette giù il panno bianco, raccoglie un pennello denso e spazzola la scarpa dappertutto.")</f>
        <v>L'uomo mette giù il panno bianco, raccoglie un pennello denso e spazzola la scarpa dappertutto.</v>
      </c>
    </row>
    <row r="24137">
      <c r="A24137" s="4" t="s">
        <v>30364</v>
      </c>
      <c r="B24137" s="4" t="s">
        <v>30370</v>
      </c>
      <c r="C24137" s="5" t="str">
        <f>IFERROR(__xludf.DUMMYFUNCTION("GOOGLETRANSLATE(B24137,""en"",""it"")"),"Quindi mette giù la scarpa e il pennello, raccoglie il lagola e allaccia la scarpa.")</f>
        <v>Quindi mette giù la scarpa e il pennello, raccoglie il lagola e allaccia la scarpa.</v>
      </c>
    </row>
    <row r="24138">
      <c r="A24138" s="4" t="s">
        <v>30364</v>
      </c>
      <c r="B24138" s="6" t="s">
        <v>30371</v>
      </c>
      <c r="C24138" s="5" t="str">
        <f>IFERROR(__xludf.DUMMYFUNCTION("GOOGLETRANSLATE(B24138,""en"",""it"")"),"L'uomo raccoglie quindi la scarpa lucida e la scarpa non lucidata e li avvicina alla fotocamera per un confronto, quindi lo stesso schermo strutturato dall'introduzione appare con il registro delle scarpe e il nome dell'azienda di ""Vickermann und Stoya"""&amp;".")</f>
        <v>L'uomo raccoglie quindi la scarpa lucida e la scarpa non lucidata e li avvicina alla fotocamera per un confronto, quindi lo stesso schermo strutturato dall'introduzione appare con il registro delle scarpe e il nome dell'azienda di "Vickermann und Stoya".</v>
      </c>
    </row>
    <row r="24139">
      <c r="A24139" s="4" t="s">
        <v>30372</v>
      </c>
      <c r="B24139" s="4" t="s">
        <v>30373</v>
      </c>
      <c r="C24139" s="5" t="str">
        <f>IFERROR(__xludf.DUMMYFUNCTION("GOOGLETRANSLATE(B24139,""en"",""it"")"),"Viene visto un uomo parlare alla telecamera e conduce a pulire la schiena di un altro uomo.")</f>
        <v>Viene visto un uomo parlare alla telecamera e conduce a pulire la schiena di un altro uomo.</v>
      </c>
    </row>
    <row r="24140">
      <c r="A24140" s="4" t="s">
        <v>30372</v>
      </c>
      <c r="B24140" s="4" t="s">
        <v>30374</v>
      </c>
      <c r="C24140" s="5" t="str">
        <f>IFERROR(__xludf.DUMMYFUNCTION("GOOGLETRANSLATE(B24140,""en"",""it"")"),"Si strofina in lozione e poi si alza con l'uomo.")</f>
        <v>Si strofina in lozione e poi si alza con l'uomo.</v>
      </c>
    </row>
    <row r="24141">
      <c r="A24141" s="4" t="s">
        <v>30372</v>
      </c>
      <c r="B24141" s="4" t="s">
        <v>30375</v>
      </c>
      <c r="C24141" s="5" t="str">
        <f>IFERROR(__xludf.DUMMYFUNCTION("GOOGLETRANSLATE(B24141,""en"",""it"")"),"L'uomo tiene uno specchio fino alla schiena e sorride all'artista.")</f>
        <v>L'uomo tiene uno specchio fino alla schiena e sorride all'artista.</v>
      </c>
    </row>
    <row r="24142">
      <c r="A24142" s="4" t="s">
        <v>30376</v>
      </c>
      <c r="B24142" s="4" t="s">
        <v>30377</v>
      </c>
      <c r="C24142" s="5" t="str">
        <f>IFERROR(__xludf.DUMMYFUNCTION("GOOGLETRANSLATE(B24142,""en"",""it"")"),"Ci sono alcuni bambini che usano una pompa dell'acqua per lavarsi le mani nello zoo di Plumpton Park.")</f>
        <v>Ci sono alcuni bambini che usano una pompa dell'acqua per lavarsi le mani nello zoo di Plumpton Park.</v>
      </c>
    </row>
    <row r="24143">
      <c r="A24143" s="4" t="s">
        <v>30376</v>
      </c>
      <c r="B24143" s="6" t="s">
        <v>30378</v>
      </c>
      <c r="C24143" s="5" t="str">
        <f>IFERROR(__xludf.DUMMYFUNCTION("GOOGLETRANSLATE(B24143,""en"",""it"")"),"C'è un ragazzo in una felpa con cappuccio in bianco e nero che aiuta a pompare l'acqua per un altro ragazzo per lavarsi le mani.")</f>
        <v>C'è un ragazzo in una felpa con cappuccio in bianco e nero che aiuta a pompare l'acqua per un altro ragazzo per lavarsi le mani.</v>
      </c>
    </row>
    <row r="24144">
      <c r="A24144" s="4" t="s">
        <v>30376</v>
      </c>
      <c r="B24144" s="4" t="s">
        <v>30379</v>
      </c>
      <c r="C24144" s="5" t="str">
        <f>IFERROR(__xludf.DUMMYFUNCTION("GOOGLETRANSLATE(B24144,""en"",""it"")"),"Poi continua ad aiutare un altro ragazzo che indossa una felpa con cappuccio nero per lavarsi le mani.")</f>
        <v>Poi continua ad aiutare un altro ragazzo che indossa una felpa con cappuccio nero per lavarsi le mani.</v>
      </c>
    </row>
    <row r="24145">
      <c r="A24145" s="4" t="s">
        <v>30376</v>
      </c>
      <c r="B24145" s="4" t="s">
        <v>30380</v>
      </c>
      <c r="C24145" s="5" t="str">
        <f>IFERROR(__xludf.DUMMYFUNCTION("GOOGLETRANSLATE(B24145,""en"",""it"")"),"I tre bambini si divertono in acqua mentre si lavano le mani pulite.")</f>
        <v>I tre bambini si divertono in acqua mentre si lavano le mani pulite.</v>
      </c>
    </row>
    <row r="24146">
      <c r="A24146" s="4" t="s">
        <v>30381</v>
      </c>
      <c r="B24146" s="4" t="s">
        <v>30382</v>
      </c>
      <c r="C24146" s="5" t="str">
        <f>IFERROR(__xludf.DUMMYFUNCTION("GOOGLETRANSLATE(B24146,""en"",""it"")"),"Una signora si trova in un cortile con in mano un soffiatore di foglie prima di salire sul cavo.")</f>
        <v>Una signora si trova in un cortile con in mano un soffiatore di foglie prima di salire sul cavo.</v>
      </c>
    </row>
    <row r="24147">
      <c r="A24147" s="4" t="s">
        <v>30381</v>
      </c>
      <c r="B24147" s="4" t="s">
        <v>30383</v>
      </c>
      <c r="C24147" s="5" t="str">
        <f>IFERROR(__xludf.DUMMYFUNCTION("GOOGLETRANSLATE(B24147,""en"",""it"")"),"La signora soffia le foglie mentre cammina per il cortile.")</f>
        <v>La signora soffia le foglie mentre cammina per il cortile.</v>
      </c>
    </row>
    <row r="24148">
      <c r="A24148" s="4" t="s">
        <v>30381</v>
      </c>
      <c r="B24148" s="4" t="s">
        <v>30384</v>
      </c>
      <c r="C24148" s="5" t="str">
        <f>IFERROR(__xludf.DUMMYFUNCTION("GOOGLETRANSLATE(B24148,""en"",""it"")"),"La signora punta lo strumento alla telecamera e ride.")</f>
        <v>La signora punta lo strumento alla telecamera e ride.</v>
      </c>
    </row>
    <row r="24149">
      <c r="A24149" s="4" t="s">
        <v>30381</v>
      </c>
      <c r="B24149" s="4" t="s">
        <v>30385</v>
      </c>
      <c r="C24149" s="5" t="str">
        <f>IFERROR(__xludf.DUMMYFUNCTION("GOOGLETRANSLATE(B24149,""en"",""it"")"),"La signora continua a soffiare le foglie.")</f>
        <v>La signora continua a soffiare le foglie.</v>
      </c>
    </row>
    <row r="24150">
      <c r="A24150" s="4" t="s">
        <v>30386</v>
      </c>
      <c r="B24150" s="4" t="s">
        <v>30387</v>
      </c>
      <c r="C24150" s="5" t="str">
        <f>IFERROR(__xludf.DUMMYFUNCTION("GOOGLETRANSLATE(B24150,""en"",""it"")"),"Una ragazza entra in una stanza, vedendo spartiti in piano.")</f>
        <v>Una ragazza entra in una stanza, vedendo spartiti in piano.</v>
      </c>
    </row>
    <row r="24151">
      <c r="A24151" s="4" t="s">
        <v>30386</v>
      </c>
      <c r="B24151" s="4" t="s">
        <v>30388</v>
      </c>
      <c r="C24151" s="5" t="str">
        <f>IFERROR(__xludf.DUMMYFUNCTION("GOOGLETRANSLATE(B24151,""en"",""it"")"),"Apre il piano e inizia a suonare.")</f>
        <v>Apre il piano e inizia a suonare.</v>
      </c>
    </row>
    <row r="24152">
      <c r="A24152" s="4" t="s">
        <v>30386</v>
      </c>
      <c r="B24152" s="4" t="s">
        <v>30389</v>
      </c>
      <c r="C24152" s="5" t="str">
        <f>IFERROR(__xludf.DUMMYFUNCTION("GOOGLETRANSLATE(B24152,""en"",""it"")"),"Pensa a una coppia mentre gioca.")</f>
        <v>Pensa a una coppia mentre gioca.</v>
      </c>
    </row>
    <row r="24153">
      <c r="A24153" s="4" t="s">
        <v>30390</v>
      </c>
      <c r="B24153" s="4" t="s">
        <v>30391</v>
      </c>
      <c r="C24153" s="5" t="str">
        <f>IFERROR(__xludf.DUMMYFUNCTION("GOOGLETRANSLATE(B24153,""en"",""it"")"),"Una donna ha paura di andare in acqua e dice che non può farlo.")</f>
        <v>Una donna ha paura di andare in acqua e dice che non può farlo.</v>
      </c>
    </row>
    <row r="24154">
      <c r="A24154" s="4" t="s">
        <v>30390</v>
      </c>
      <c r="B24154" s="6" t="s">
        <v>30392</v>
      </c>
      <c r="C24154" s="5" t="str">
        <f>IFERROR(__xludf.DUMMYFUNCTION("GOOGLETRANSLATE(B24154,""en"",""it"")"),"Un gruppo di persone è seduto in una pozza d'acqua che è precariamente vicina al bordo di una cascata.")</f>
        <v>Un gruppo di persone è seduto in una pozza d'acqua che è precariamente vicina al bordo di una cascata.</v>
      </c>
    </row>
    <row r="24155">
      <c r="A24155" s="4" t="s">
        <v>30390</v>
      </c>
      <c r="B24155" s="4" t="s">
        <v>30393</v>
      </c>
      <c r="C24155" s="5" t="str">
        <f>IFERROR(__xludf.DUMMYFUNCTION("GOOGLETRANSLATE(B24155,""en"",""it"")"),"La donna salta in acqua e tutti applaudi.")</f>
        <v>La donna salta in acqua e tutti applaudi.</v>
      </c>
    </row>
    <row r="24156">
      <c r="A24156" s="4" t="s">
        <v>30390</v>
      </c>
      <c r="B24156" s="4" t="s">
        <v>30394</v>
      </c>
      <c r="C24156" s="5" t="str">
        <f>IFERROR(__xludf.DUMMYFUNCTION("GOOGLETRANSLATE(B24156,""en"",""it"")"),"Il gruppo di persone sta ridendo e parlando mentre più persone saltano in acqua.")</f>
        <v>Il gruppo di persone sta ridendo e parlando mentre più persone saltano in acqua.</v>
      </c>
    </row>
    <row r="24157">
      <c r="A24157" s="4" t="s">
        <v>30390</v>
      </c>
      <c r="B24157" s="4" t="s">
        <v>30395</v>
      </c>
      <c r="C24157" s="5" t="str">
        <f>IFERROR(__xludf.DUMMYFUNCTION("GOOGLETRANSLATE(B24157,""en"",""it"")"),"Le scene della cascata sono viste.")</f>
        <v>Le scene della cascata sono viste.</v>
      </c>
    </row>
    <row r="24158">
      <c r="A24158" s="4" t="s">
        <v>30396</v>
      </c>
      <c r="B24158" s="4" t="s">
        <v>30397</v>
      </c>
      <c r="C24158" s="5" t="str">
        <f>IFERROR(__xludf.DUMMYFUNCTION("GOOGLETRANSLATE(B24158,""en"",""it"")"),"Un uomo si prepara per una routine di ginnastica sulle barre parallele.")</f>
        <v>Un uomo si prepara per una routine di ginnastica sulle barre parallele.</v>
      </c>
    </row>
    <row r="24159">
      <c r="A24159" s="4" t="s">
        <v>30396</v>
      </c>
      <c r="B24159" s="4" t="s">
        <v>30398</v>
      </c>
      <c r="C24159" s="5" t="str">
        <f>IFERROR(__xludf.DUMMYFUNCTION("GOOGLETRANSLATE(B24159,""en"",""it"")"),"La folla sembra approvare quando si gira e si prende prima di smontare.")</f>
        <v>La folla sembra approvare quando si gira e si prende prima di smontare.</v>
      </c>
    </row>
    <row r="24160">
      <c r="A24160" s="4" t="s">
        <v>30399</v>
      </c>
      <c r="B24160" s="4" t="s">
        <v>30400</v>
      </c>
      <c r="C24160" s="5" t="str">
        <f>IFERROR(__xludf.DUMMYFUNCTION("GOOGLETRANSLATE(B24160,""en"",""it"")"),"Una telecamera si panoramica in una zona boscosa e conduce a due persone in giro su sci.")</f>
        <v>Una telecamera si panoramica in una zona boscosa e conduce a due persone in giro su sci.</v>
      </c>
    </row>
    <row r="24161">
      <c r="A24161" s="4" t="s">
        <v>30399</v>
      </c>
      <c r="B24161" s="4" t="s">
        <v>30401</v>
      </c>
      <c r="C24161" s="5" t="str">
        <f>IFERROR(__xludf.DUMMYFUNCTION("GOOGLETRANSLATE(B24161,""en"",""it"")"),"Vengono mostrati diversi colpi di varie persone che cavalcano dietro una barca su sci ed eseguono trucchi.")</f>
        <v>Vengono mostrati diversi colpi di varie persone che cavalcano dietro una barca su sci ed eseguono trucchi.</v>
      </c>
    </row>
    <row r="24162">
      <c r="A24162" s="4" t="s">
        <v>30399</v>
      </c>
      <c r="B24162" s="4" t="s">
        <v>30402</v>
      </c>
      <c r="C24162" s="5" t="str">
        <f>IFERROR(__xludf.DUMMYFUNCTION("GOOGLETRANSLATE(B24162,""en"",""it"")"),"Le persone continuano a cavalcare e appese sul lato su un grande palo.")</f>
        <v>Le persone continuano a cavalcare e appese sul lato su un grande palo.</v>
      </c>
    </row>
    <row r="24163">
      <c r="A24163" s="4" t="s">
        <v>30403</v>
      </c>
      <c r="B24163" s="4" t="s">
        <v>30404</v>
      </c>
      <c r="C24163" s="5" t="str">
        <f>IFERROR(__xludf.DUMMYFUNCTION("GOOGLETRANSLATE(B24163,""en"",""it"")"),"Viene visto un uomo parlare alla telecamera mentre presenta vari oggetti davanti a lui.")</f>
        <v>Viene visto un uomo parlare alla telecamera mentre presenta vari oggetti davanti a lui.</v>
      </c>
    </row>
    <row r="24164">
      <c r="A24164" s="4" t="s">
        <v>30403</v>
      </c>
      <c r="B24164" s="4" t="s">
        <v>30405</v>
      </c>
      <c r="C24164" s="5" t="str">
        <f>IFERROR(__xludf.DUMMYFUNCTION("GOOGLETRANSLATE(B24164,""en"",""it"")"),"L'uomo quindi usa un marcatore per scavare il lato di una tabella e riempirlo.")</f>
        <v>L'uomo quindi usa un marcatore per scavare il lato di una tabella e riempirlo.</v>
      </c>
    </row>
    <row r="24165">
      <c r="A24165" s="4" t="s">
        <v>30403</v>
      </c>
      <c r="B24165" s="4" t="s">
        <v>30406</v>
      </c>
      <c r="C24165" s="5" t="str">
        <f>IFERROR(__xludf.DUMMYFUNCTION("GOOGLETRANSLATE(B24165,""en"",""it"")"),"Mostra come usare la penna su più oggetti mentre la riempie e la leviga in seguito.")</f>
        <v>Mostra come usare la penna su più oggetti mentre la riempie e la leviga in seguito.</v>
      </c>
    </row>
    <row r="24166">
      <c r="A24166" s="4" t="s">
        <v>30407</v>
      </c>
      <c r="B24166" s="4" t="s">
        <v>30408</v>
      </c>
      <c r="C24166" s="5" t="str">
        <f>IFERROR(__xludf.DUMMYFUNCTION("GOOGLETRANSLATE(B24166,""en"",""it"")"),"Un ragazzo sta cavalcando una lunga tavola lungo vari modi.")</f>
        <v>Un ragazzo sta cavalcando una lunga tavola lungo vari modi.</v>
      </c>
    </row>
    <row r="24167">
      <c r="A24167" s="4" t="s">
        <v>30407</v>
      </c>
      <c r="B24167" s="4" t="s">
        <v>30409</v>
      </c>
      <c r="C24167" s="5" t="str">
        <f>IFERROR(__xludf.DUMMYFUNCTION("GOOGLETRANSLATE(B24167,""en"",""it"")"),"Fa un trucco che cavalca una strada.")</f>
        <v>Fa un trucco che cavalca una strada.</v>
      </c>
    </row>
    <row r="24168">
      <c r="A24168" s="4" t="s">
        <v>30407</v>
      </c>
      <c r="B24168" s="4" t="s">
        <v>30410</v>
      </c>
      <c r="C24168" s="5" t="str">
        <f>IFERROR(__xludf.DUMMYFUNCTION("GOOGLETRANSLATE(B24168,""en"",""it"")"),"Ritorna e quarto lungo la strada innevata.")</f>
        <v>Ritorna e quarto lungo la strada innevata.</v>
      </c>
    </row>
    <row r="24169">
      <c r="A24169" s="4" t="s">
        <v>30407</v>
      </c>
      <c r="B24169" s="4" t="s">
        <v>30411</v>
      </c>
      <c r="C24169" s="5" t="str">
        <f>IFERROR(__xludf.DUMMYFUNCTION("GOOGLETRANSLATE(B24169,""en"",""it"")"),"Di notte e il logo viene mostrato.")</f>
        <v>Di notte e il logo viene mostrato.</v>
      </c>
    </row>
    <row r="24170">
      <c r="A24170" s="4" t="s">
        <v>30412</v>
      </c>
      <c r="B24170" s="4" t="s">
        <v>30413</v>
      </c>
      <c r="C24170" s="5" t="str">
        <f>IFERROR(__xludf.DUMMYFUNCTION("GOOGLETRANSLATE(B24170,""en"",""it"")"),"Due ragazze in classe di karate si inchinano e poi tra loro prima della pratica.")</f>
        <v>Due ragazze in classe di karate si inchinano e poi tra loro prima della pratica.</v>
      </c>
    </row>
    <row r="24171">
      <c r="A24171" s="4" t="s">
        <v>30412</v>
      </c>
      <c r="B24171" s="4" t="s">
        <v>30414</v>
      </c>
      <c r="C24171" s="5" t="str">
        <f>IFERROR(__xludf.DUMMYFUNCTION("GOOGLETRANSLATE(B24171,""en"",""it"")"),"La ragazza schiva un attacco prendendo un ginocchio bloccando un colpo.")</f>
        <v>La ragazza schiva un attacco prendendo un ginocchio bloccando un colpo.</v>
      </c>
    </row>
    <row r="24172">
      <c r="A24172" s="4" t="s">
        <v>30412</v>
      </c>
      <c r="B24172" s="4" t="s">
        <v>30415</v>
      </c>
      <c r="C24172" s="5" t="str">
        <f>IFERROR(__xludf.DUMMYFUNCTION("GOOGLETRANSLATE(B24172,""en"",""it"")"),"Gli studenti di karate danno un pugno e si bloccano con i polsi.")</f>
        <v>Gli studenti di karate danno un pugno e si bloccano con i polsi.</v>
      </c>
    </row>
    <row r="24173">
      <c r="A24173" s="4" t="s">
        <v>30412</v>
      </c>
      <c r="B24173" s="4" t="s">
        <v>30416</v>
      </c>
      <c r="C24173" s="5" t="str">
        <f>IFERROR(__xludf.DUMMYFUNCTION("GOOGLETRANSLATE(B24173,""en"",""it"")"),"La ragazza fa un calcio da rotazione in piedi.")</f>
        <v>La ragazza fa un calcio da rotazione in piedi.</v>
      </c>
    </row>
    <row r="24174">
      <c r="A24174" s="4" t="s">
        <v>30417</v>
      </c>
      <c r="B24174" s="4" t="s">
        <v>30418</v>
      </c>
      <c r="C24174" s="5" t="str">
        <f>IFERROR(__xludf.DUMMYFUNCTION("GOOGLETRANSLATE(B24174,""en"",""it"")"),"Una donna parla e si aggiusta i capelli bagnati, anche lei mostra un pennello e un pelo asciutto.")</f>
        <v>Una donna parla e si aggiusta i capelli bagnati, anche lei mostra un pennello e un pelo asciutto.</v>
      </c>
    </row>
    <row r="24175">
      <c r="A24175" s="4" t="s">
        <v>30417</v>
      </c>
      <c r="B24175" s="4" t="s">
        <v>30419</v>
      </c>
      <c r="C24175" s="5" t="str">
        <f>IFERROR(__xludf.DUMMYFUNCTION("GOOGLETRANSLATE(B24175,""en"",""it"")"),"La donna si lava i capelli su diverse direzioni usando un asciugacapelli.")</f>
        <v>La donna si lava i capelli su diverse direzioni usando un asciugacapelli.</v>
      </c>
    </row>
    <row r="24176">
      <c r="A24176" s="4" t="s">
        <v>30417</v>
      </c>
      <c r="B24176" s="4" t="s">
        <v>30420</v>
      </c>
      <c r="C24176" s="5" t="str">
        <f>IFERROR(__xludf.DUMMYFUNCTION("GOOGLETRANSLATE(B24176,""en"",""it"")"),"Quindi, la donna si ferma e mostra la sua acconciatura mentre parla.")</f>
        <v>Quindi, la donna si ferma e mostra la sua acconciatura mentre parla.</v>
      </c>
    </row>
    <row r="24177">
      <c r="A24177" s="4" t="s">
        <v>30417</v>
      </c>
      <c r="B24177" s="4" t="s">
        <v>30421</v>
      </c>
      <c r="C24177" s="5" t="str">
        <f>IFERROR(__xludf.DUMMYFUNCTION("GOOGLETRANSLATE(B24177,""en"",""it"")"),"Dopo, la donna mostra la direzione di pettinare i capelli, quindi usa un ferro da ginnastica per drivere i capelli.")</f>
        <v>Dopo, la donna mostra la direzione di pettinare i capelli, quindi usa un ferro da ginnastica per drivere i capelli.</v>
      </c>
    </row>
    <row r="24178">
      <c r="A24178" s="4" t="s">
        <v>30422</v>
      </c>
      <c r="B24178" s="4" t="s">
        <v>30423</v>
      </c>
      <c r="C24178" s="5" t="str">
        <f>IFERROR(__xludf.DUMMYFUNCTION("GOOGLETRANSLATE(B24178,""en"",""it"")"),"Un uomo fa ruote d'onda in canoa.")</f>
        <v>Un uomo fa ruote d'onda in canoa.</v>
      </c>
    </row>
    <row r="24179">
      <c r="A24179" s="4" t="s">
        <v>30422</v>
      </c>
      <c r="B24179" s="4" t="s">
        <v>30424</v>
      </c>
      <c r="C24179" s="5" t="str">
        <f>IFERROR(__xludf.DUMMYFUNCTION("GOOGLETRANSLATE(B24179,""en"",""it"")"),"Gli viene mostrato di fare slancio a valle, rotolando sulla sua canoa.")</f>
        <v>Gli viene mostrato di fare slancio a valle, rotolando sulla sua canoa.</v>
      </c>
    </row>
    <row r="24180">
      <c r="A24180" s="4" t="s">
        <v>30422</v>
      </c>
      <c r="B24180" s="4" t="s">
        <v>30425</v>
      </c>
      <c r="C24180" s="5" t="str">
        <f>IFERROR(__xludf.DUMMYFUNCTION("GOOGLETRANSLATE(B24180,""en"",""it"")"),"Ora vediamo il bordo del set e la lama delle piante mentre si muove a monte.")</f>
        <v>Ora vediamo il bordo del set e la lama delle piante mentre si muove a monte.</v>
      </c>
    </row>
    <row r="24181">
      <c r="A24181" s="4" t="s">
        <v>30426</v>
      </c>
      <c r="B24181" s="4" t="s">
        <v>30427</v>
      </c>
      <c r="C24181" s="5" t="str">
        <f>IFERROR(__xludf.DUMMYFUNCTION("GOOGLETRANSLATE(B24181,""en"",""it"")"),"Una persona si trova su una corda e poi salta su una corda.")</f>
        <v>Una persona si trova su una corda e poi salta su una corda.</v>
      </c>
    </row>
    <row r="24182">
      <c r="A24182" s="4" t="s">
        <v>30426</v>
      </c>
      <c r="B24182" s="4" t="s">
        <v>30428</v>
      </c>
      <c r="C24182" s="5" t="str">
        <f>IFERROR(__xludf.DUMMYFUNCTION("GOOGLETRANSLATE(B24182,""en"",""it"")"),"La persona salta in piedi, anche su questo sedere e corpo.")</f>
        <v>La persona salta in piedi, anche su questo sedere e corpo.</v>
      </c>
    </row>
    <row r="24183">
      <c r="A24183" s="4" t="s">
        <v>30429</v>
      </c>
      <c r="B24183" s="4" t="s">
        <v>30430</v>
      </c>
      <c r="C24183" s="5" t="str">
        <f>IFERROR(__xludf.DUMMYFUNCTION("GOOGLETRANSLATE(B24183,""en"",""it"")"),"Una famiglia è vista seduta sulla spiaggia producendo castelli di sabbia con un oggetto.")</f>
        <v>Una famiglia è vista seduta sulla spiaggia producendo castelli di sabbia con un oggetto.</v>
      </c>
    </row>
    <row r="24184">
      <c r="A24184" s="4" t="s">
        <v>30429</v>
      </c>
      <c r="B24184" s="6" t="s">
        <v>30431</v>
      </c>
      <c r="C24184" s="5" t="str">
        <f>IFERROR(__xludf.DUMMYFUNCTION("GOOGLETRANSLATE(B24184,""en"",""it"")"),"Le persone si trovano in giro per vederli lavorare e la telecamera si muove intorno ai bambini che giocano nella sabbia.")</f>
        <v>Le persone si trovano in giro per vederli lavorare e la telecamera si muove intorno ai bambini che giocano nella sabbia.</v>
      </c>
    </row>
    <row r="24185">
      <c r="A24185" s="4" t="s">
        <v>30432</v>
      </c>
      <c r="B24185" s="4" t="s">
        <v>30433</v>
      </c>
      <c r="C24185" s="5" t="str">
        <f>IFERROR(__xludf.DUMMYFUNCTION("GOOGLETRANSLATE(B24185,""en"",""it"")"),"La donna sta dipingendo la recinzione con vernice bianca.")</f>
        <v>La donna sta dipingendo la recinzione con vernice bianca.</v>
      </c>
    </row>
    <row r="24186">
      <c r="A24186" s="4" t="s">
        <v>30432</v>
      </c>
      <c r="B24186" s="4" t="s">
        <v>30434</v>
      </c>
      <c r="C24186" s="5" t="str">
        <f>IFERROR(__xludf.DUMMYFUNCTION("GOOGLETRANSLATE(B24186,""en"",""it"")"),"L'uomo sta dipingendo una panchina verde nel parco.")</f>
        <v>L'uomo sta dipingendo una panchina verde nel parco.</v>
      </c>
    </row>
    <row r="24187">
      <c r="A24187" s="4" t="s">
        <v>30435</v>
      </c>
      <c r="B24187" s="4" t="s">
        <v>30436</v>
      </c>
      <c r="C24187" s="5" t="str">
        <f>IFERROR(__xludf.DUMMYFUNCTION("GOOGLETRANSLATE(B24187,""en"",""it"")"),"Un gruppo di persone viene visto nuotare in una piscina con un uomo seduto in testa.")</f>
        <v>Un gruppo di persone viene visto nuotare in una piscina con un uomo seduto in testa.</v>
      </c>
    </row>
    <row r="24188">
      <c r="A24188" s="4" t="s">
        <v>30435</v>
      </c>
      <c r="B24188" s="4" t="s">
        <v>30437</v>
      </c>
      <c r="C24188" s="5" t="str">
        <f>IFERROR(__xludf.DUMMYFUNCTION("GOOGLETRANSLATE(B24188,""en"",""it"")"),"Vengono mostrati più colpi di persone ravvicinate che nuotano sull'acqua e si inginocchiano.")</f>
        <v>Vengono mostrati più colpi di persone ravvicinate che nuotano sull'acqua e si inginocchiano.</v>
      </c>
    </row>
    <row r="24189">
      <c r="A24189" s="4" t="s">
        <v>30435</v>
      </c>
      <c r="B24189" s="4" t="s">
        <v>30438</v>
      </c>
      <c r="C24189" s="5" t="str">
        <f>IFERROR(__xludf.DUMMYFUNCTION("GOOGLETRANSLATE(B24189,""en"",""it"")"),"Una donna si toglie il suo carro armato oltre a rimetterlo indietro e conduce a nuotare di più.")</f>
        <v>Una donna si toglie il suo carro armato oltre a rimetterlo indietro e conduce a nuotare di più.</v>
      </c>
    </row>
    <row r="24190">
      <c r="A24190" s="4" t="s">
        <v>30439</v>
      </c>
      <c r="B24190" s="4" t="s">
        <v>30440</v>
      </c>
      <c r="C24190" s="5" t="str">
        <f>IFERROR(__xludf.DUMMYFUNCTION("GOOGLETRANSLATE(B24190,""en"",""it"")"),"I ragazzi stanno ciclando il pavimento piastrellato.")</f>
        <v>I ragazzi stanno ciclando il pavimento piastrellato.</v>
      </c>
    </row>
    <row r="24191">
      <c r="A24191" s="4" t="s">
        <v>30439</v>
      </c>
      <c r="B24191" s="4" t="s">
        <v>30441</v>
      </c>
      <c r="C24191" s="5" t="str">
        <f>IFERROR(__xludf.DUMMYFUNCTION("GOOGLETRANSLATE(B24191,""en"",""it"")"),"Un ragazzo in breve pone la sua scopa in un secchio giallo.")</f>
        <v>Un ragazzo in breve pone la sua scopa in un secchio giallo.</v>
      </c>
    </row>
    <row r="24192">
      <c r="A24192" s="4" t="s">
        <v>30439</v>
      </c>
      <c r="B24192" s="4" t="s">
        <v>30442</v>
      </c>
      <c r="C24192" s="5" t="str">
        <f>IFERROR(__xludf.DUMMYFUNCTION("GOOGLETRANSLATE(B24192,""en"",""it"")"),"Una signora si allontana con un lungo oggetto chiaro in mano.")</f>
        <v>Una signora si allontana con un lungo oggetto chiaro in mano.</v>
      </c>
    </row>
    <row r="24193">
      <c r="A24193" s="4" t="s">
        <v>30443</v>
      </c>
      <c r="B24193" s="4" t="s">
        <v>30444</v>
      </c>
      <c r="C24193" s="5" t="str">
        <f>IFERROR(__xludf.DUMMYFUNCTION("GOOGLETRANSLATE(B24193,""en"",""it"")"),"I bambini guidano in auto paraurti durante un giro di divertimento.")</f>
        <v>I bambini guidano in auto paraurti durante un giro di divertimento.</v>
      </c>
    </row>
    <row r="24194">
      <c r="A24194" s="4" t="s">
        <v>30443</v>
      </c>
      <c r="B24194" s="4" t="s">
        <v>30445</v>
      </c>
      <c r="C24194" s="5" t="str">
        <f>IFERROR(__xludf.DUMMYFUNCTION("GOOGLETRANSLATE(B24194,""en"",""it"")"),"Una persona segue da vicino dietro un'auto davanti a lui in sella al paraurti.")</f>
        <v>Una persona segue da vicino dietro un'auto davanti a lui in sella al paraurti.</v>
      </c>
    </row>
    <row r="24195">
      <c r="A24195" s="4" t="s">
        <v>30443</v>
      </c>
      <c r="B24195" s="4" t="s">
        <v>30446</v>
      </c>
      <c r="C24195" s="5" t="str">
        <f>IFERROR(__xludf.DUMMYFUNCTION("GOOGLETRANSLATE(B24195,""en"",""it"")"),"Il gruppo rimane bloccato in un grande ingorgo dopo essersi sbattuto a vicenda.")</f>
        <v>Il gruppo rimane bloccato in un grande ingorgo dopo essersi sbattuto a vicenda.</v>
      </c>
    </row>
    <row r="24196">
      <c r="A24196" s="4" t="s">
        <v>30443</v>
      </c>
      <c r="B24196" s="4" t="s">
        <v>30447</v>
      </c>
      <c r="C24196" s="5" t="str">
        <f>IFERROR(__xludf.DUMMYFUNCTION("GOOGLETRANSLATE(B24196,""en"",""it"")"),"Le auto si girano e escono dal traffico.")</f>
        <v>Le auto si girano e escono dal traffico.</v>
      </c>
    </row>
    <row r="24197">
      <c r="A24197" s="4" t="s">
        <v>30443</v>
      </c>
      <c r="B24197" s="4" t="s">
        <v>30448</v>
      </c>
      <c r="C24197" s="5" t="str">
        <f>IFERROR(__xludf.DUMMYFUNCTION("GOOGLETRANSLATE(B24197,""en"",""it"")"),"Un ragazzo si schianta sul retro di un'auto fermata.")</f>
        <v>Un ragazzo si schianta sul retro di un'auto fermata.</v>
      </c>
    </row>
    <row r="24198">
      <c r="A24198" s="4" t="s">
        <v>30449</v>
      </c>
      <c r="B24198" s="4" t="s">
        <v>30450</v>
      </c>
      <c r="C24198" s="5" t="str">
        <f>IFERROR(__xludf.DUMMYFUNCTION("GOOGLETRANSLATE(B24198,""en"",""it"")"),"Molti bambini sono in piedi, un campo da basket facendo movimenti di boxe.")</f>
        <v>Molti bambini sono in piedi, un campo da basket facendo movimenti di boxe.</v>
      </c>
    </row>
    <row r="24199">
      <c r="A24199" s="4" t="s">
        <v>30449</v>
      </c>
      <c r="B24199" s="4" t="s">
        <v>30451</v>
      </c>
      <c r="C24199" s="5" t="str">
        <f>IFERROR(__xludf.DUMMYFUNCTION("GOOGLETRANSLATE(B24199,""en"",""it"")"),"Le bambine sono nel mezzo di un campo che praticano la boxe.")</f>
        <v>Le bambine sono nel mezzo di un campo che praticano la boxe.</v>
      </c>
    </row>
    <row r="24200">
      <c r="A24200" s="4" t="s">
        <v>30449</v>
      </c>
      <c r="B24200" s="4" t="s">
        <v>30452</v>
      </c>
      <c r="C24200" s="5" t="str">
        <f>IFERROR(__xludf.DUMMYFUNCTION("GOOGLETRANSLATE(B24200,""en"",""it"")"),"Le persone sono sedute sulle sedie in un campo di legno.")</f>
        <v>Le persone sono sedute sulle sedie in un campo di legno.</v>
      </c>
    </row>
    <row r="24201">
      <c r="A24201" s="4" t="s">
        <v>30453</v>
      </c>
      <c r="B24201" s="4" t="s">
        <v>30454</v>
      </c>
      <c r="C24201" s="5" t="str">
        <f>IFERROR(__xludf.DUMMYFUNCTION("GOOGLETRANSLATE(B24201,""en"",""it"")"),"Una persona sta cavalcando un toro in un'arena.")</f>
        <v>Una persona sta cavalcando un toro in un'arena.</v>
      </c>
    </row>
    <row r="24202">
      <c r="A24202" s="4" t="s">
        <v>30453</v>
      </c>
      <c r="B24202" s="4" t="s">
        <v>30455</v>
      </c>
      <c r="C24202" s="5" t="str">
        <f>IFERROR(__xludf.DUMMYFUNCTION("GOOGLETRANSLATE(B24202,""en"",""it"")"),"Le persone si trovano in un'arena attorno a un toro.")</f>
        <v>Le persone si trovano in un'arena attorno a un toro.</v>
      </c>
    </row>
    <row r="24203">
      <c r="A24203" s="4" t="s">
        <v>30453</v>
      </c>
      <c r="B24203" s="4" t="s">
        <v>30456</v>
      </c>
      <c r="C24203" s="5" t="str">
        <f>IFERROR(__xludf.DUMMYFUNCTION("GOOGLETRANSLATE(B24203,""en"",""it"")"),"Un toro li carica e li bussa a terra.")</f>
        <v>Un toro li carica e li bussa a terra.</v>
      </c>
    </row>
    <row r="24204">
      <c r="A24204" s="4" t="s">
        <v>30457</v>
      </c>
      <c r="B24204" s="4" t="s">
        <v>30458</v>
      </c>
      <c r="C24204" s="5" t="str">
        <f>IFERROR(__xludf.DUMMYFUNCTION("GOOGLETRANSLATE(B24204,""en"",""it"")"),"Un uomo viene visto raschiare un'auto coperta di neve e parlare alla telecamera.")</f>
        <v>Un uomo viene visto raschiare un'auto coperta di neve e parlare alla telecamera.</v>
      </c>
    </row>
    <row r="24205">
      <c r="A24205" s="4" t="s">
        <v>30457</v>
      </c>
      <c r="B24205" s="6" t="s">
        <v>30459</v>
      </c>
      <c r="C24205" s="5" t="str">
        <f>IFERROR(__xludf.DUMMYFUNCTION("GOOGLETRANSLATE(B24205,""en"",""it"")"),"La telecamera segue l'uomo in giro mentre continua a demolire la macchina e parlare alla telecamera.")</f>
        <v>La telecamera segue l'uomo in giro mentre continua a demolire la macchina e parlare alla telecamera.</v>
      </c>
    </row>
    <row r="24206">
      <c r="A24206" s="4" t="s">
        <v>30460</v>
      </c>
      <c r="B24206" s="6" t="s">
        <v>30461</v>
      </c>
      <c r="C24206" s="5" t="str">
        <f>IFERROR(__xludf.DUMMYFUNCTION("GOOGLETRANSLATE(B24206,""en"",""it"")"),"Un adolescente balla in background mentre un altro adolescente che indossa pratiche in alto salto in una mensa scolastica.")</f>
        <v>Un adolescente balla in background mentre un altro adolescente che indossa pratiche in alto salto in una mensa scolastica.</v>
      </c>
    </row>
    <row r="24207">
      <c r="A24207" s="4" t="s">
        <v>30460</v>
      </c>
      <c r="B24207" s="4" t="s">
        <v>30462</v>
      </c>
      <c r="C24207" s="5" t="str">
        <f>IFERROR(__xludf.DUMMYFUNCTION("GOOGLETRANSLATE(B24207,""en"",""it"")"),"Un adolescente completa un atterraggio in alto sul salto sulla schiena sul tappeto.")</f>
        <v>Un adolescente completa un atterraggio in alto sul salto sulla schiena sul tappeto.</v>
      </c>
    </row>
    <row r="24208">
      <c r="A24208" s="4" t="s">
        <v>30460</v>
      </c>
      <c r="B24208" s="6" t="s">
        <v>30463</v>
      </c>
      <c r="C24208" s="5" t="str">
        <f>IFERROR(__xludf.DUMMYFUNCTION("GOOGLETRANSLATE(B24208,""en"",""it"")"),"Diversi adulti e adolescenti sono in piedi e seduti attorno al tappetino da salto in alto mentre un ragazzo in nero fa il salto in alto.")</f>
        <v>Diversi adulti e adolescenti sono in piedi e seduti attorno al tappetino da salto in alto mentre un ragazzo in nero fa il salto in alto.</v>
      </c>
    </row>
    <row r="24209">
      <c r="A24209" s="4" t="s">
        <v>30460</v>
      </c>
      <c r="B24209" s="4" t="s">
        <v>30464</v>
      </c>
      <c r="C24209" s="5" t="str">
        <f>IFERROR(__xludf.DUMMYFUNCTION("GOOGLETRANSLATE(B24209,""en"",""it"")"),"Il ragazzo in nero fa un altro salto in alto mentre un altro ragazzo guarda in sottofondo.")</f>
        <v>Il ragazzo in nero fa un altro salto in alto mentre un altro ragazzo guarda in sottofondo.</v>
      </c>
    </row>
    <row r="24210">
      <c r="A24210" s="4" t="s">
        <v>30460</v>
      </c>
      <c r="B24210" s="4" t="s">
        <v>30465</v>
      </c>
      <c r="C24210" s="5" t="str">
        <f>IFERROR(__xludf.DUMMYFUNCTION("GOOGLETRANSLATE(B24210,""en"",""it"")"),"Lo stesso ragazzo in nero fa un salto in alto mentre un ragazzo più alto in bianco passa.")</f>
        <v>Lo stesso ragazzo in nero fa un salto in alto mentre un ragazzo più alto in bianco passa.</v>
      </c>
    </row>
    <row r="24211">
      <c r="A24211" s="4" t="s">
        <v>30460</v>
      </c>
      <c r="B24211" s="4" t="s">
        <v>30466</v>
      </c>
      <c r="C24211" s="5" t="str">
        <f>IFERROR(__xludf.DUMMYFUNCTION("GOOGLETRANSLATE(B24211,""en"",""it"")"),"Lo stesso salto in alto viene mostrato lentamente per indicare errori che il ragazzo sta facendo.")</f>
        <v>Lo stesso salto in alto viene mostrato lentamente per indicare errori che il ragazzo sta facendo.</v>
      </c>
    </row>
    <row r="24212">
      <c r="A24212" s="4" t="s">
        <v>30460</v>
      </c>
      <c r="B24212" s="4" t="s">
        <v>30467</v>
      </c>
      <c r="C24212" s="5" t="str">
        <f>IFERROR(__xludf.DUMMYFUNCTION("GOOGLETRANSLATE(B24212,""en"",""it"")"),"Un ragazzo diverso che indossa il bianco fa il salto in alto mentre altre persone si trovano e si siedono nelle vicinanze.")</f>
        <v>Un ragazzo diverso che indossa il bianco fa il salto in alto mentre altre persone si trovano e si siedono nelle vicinanze.</v>
      </c>
    </row>
    <row r="24213">
      <c r="A24213" s="4" t="s">
        <v>30460</v>
      </c>
      <c r="B24213" s="4" t="s">
        <v>30468</v>
      </c>
      <c r="C24213" s="5" t="str">
        <f>IFERROR(__xludf.DUMMYFUNCTION("GOOGLETRANSLATE(B24213,""en"",""it"")"),"Il salto in alto dal ragazzo che indossa il bianco viene riprodotto per sottolineare errori.")</f>
        <v>Il salto in alto dal ragazzo che indossa il bianco viene riprodotto per sottolineare errori.</v>
      </c>
    </row>
    <row r="24214">
      <c r="A24214" s="4" t="s">
        <v>30460</v>
      </c>
      <c r="B24214" s="4" t="s">
        <v>30469</v>
      </c>
      <c r="C24214" s="5" t="str">
        <f>IFERROR(__xludf.DUMMYFUNCTION("GOOGLETRANSLATE(B24214,""en"",""it"")"),"Un terzo ragazzo che indossa il blu fa il salto in alto tre volte di seguito con gli altri sullo sfondo.")</f>
        <v>Un terzo ragazzo che indossa il blu fa il salto in alto tre volte di seguito con gli altri sullo sfondo.</v>
      </c>
    </row>
    <row r="24215">
      <c r="A24215" s="4" t="s">
        <v>30460</v>
      </c>
      <c r="B24215" s="4" t="s">
        <v>30470</v>
      </c>
      <c r="C24215" s="5" t="str">
        <f>IFERROR(__xludf.DUMMYFUNCTION("GOOGLETRANSLATE(B24215,""en"",""it"")"),"Un replay del ragazzo in blu viene giocato per sottolineare gli errori che sta facendo.")</f>
        <v>Un replay del ragazzo in blu viene giocato per sottolineare gli errori che sta facendo.</v>
      </c>
    </row>
    <row r="24216">
      <c r="A24216" s="4" t="s">
        <v>30471</v>
      </c>
      <c r="B24216" s="4" t="s">
        <v>30472</v>
      </c>
      <c r="C24216" s="5" t="str">
        <f>IFERROR(__xludf.DUMMYFUNCTION("GOOGLETRANSLATE(B24216,""en"",""it"")"),"Due ragazze si stanno alzando per fare karate.")</f>
        <v>Due ragazze si stanno alzando per fare karate.</v>
      </c>
    </row>
    <row r="24217">
      <c r="A24217" s="4" t="s">
        <v>30471</v>
      </c>
      <c r="B24217" s="4" t="s">
        <v>30473</v>
      </c>
      <c r="C24217" s="5" t="str">
        <f>IFERROR(__xludf.DUMMYFUNCTION("GOOGLETRANSLATE(B24217,""en"",""it"")"),"Le persone sono sedute a guardarli.")</f>
        <v>Le persone sono sedute a guardarli.</v>
      </c>
    </row>
    <row r="24218">
      <c r="A24218" s="4" t="s">
        <v>30471</v>
      </c>
      <c r="B24218" s="4" t="s">
        <v>30474</v>
      </c>
      <c r="C24218" s="5" t="str">
        <f>IFERROR(__xludf.DUMMYFUNCTION("GOOGLETRANSLATE(B24218,""en"",""it"")"),"Una donna in una veste nera si alza accanto a loro.")</f>
        <v>Una donna in una veste nera si alza accanto a loro.</v>
      </c>
    </row>
    <row r="24219">
      <c r="A24219" s="4" t="s">
        <v>30475</v>
      </c>
      <c r="B24219" s="4" t="s">
        <v>1487</v>
      </c>
      <c r="C24219" s="5" t="str">
        <f>IFERROR(__xludf.DUMMYFUNCTION("GOOGLETRANSLATE(B24219,""en"",""it"")"),"Vediamo una schermata del titolo di apertura.")</f>
        <v>Vediamo una schermata del titolo di apertura.</v>
      </c>
    </row>
    <row r="24220">
      <c r="A24220" s="4" t="s">
        <v>30475</v>
      </c>
      <c r="B24220" s="4" t="s">
        <v>30476</v>
      </c>
      <c r="C24220" s="5" t="str">
        <f>IFERROR(__xludf.DUMMYFUNCTION("GOOGLETRANSLATE(B24220,""en"",""it"")"),"Una signora parla di fronte a una piazza.")</f>
        <v>Una signora parla di fronte a una piazza.</v>
      </c>
    </row>
    <row r="24221">
      <c r="A24221" s="4" t="s">
        <v>30475</v>
      </c>
      <c r="B24221" s="6" t="s">
        <v>30477</v>
      </c>
      <c r="C24221" s="5" t="str">
        <f>IFERROR(__xludf.DUMMYFUNCTION("GOOGLETRANSLATE(B24221,""en"",""it"")"),"La signora Hula Hoops in pantaloncini corti e una camicia stretta in una piazza e vediamo periodicamente un timer nell'angolo in alto a destra.")</f>
        <v>La signora Hula Hoops in pantaloncini corti e una camicia stretta in una piazza e vediamo periodicamente un timer nell'angolo in alto a destra.</v>
      </c>
    </row>
    <row r="24222">
      <c r="A24222" s="4" t="s">
        <v>30475</v>
      </c>
      <c r="B24222" s="4" t="s">
        <v>30478</v>
      </c>
      <c r="C24222" s="5" t="str">
        <f>IFERROR(__xludf.DUMMYFUNCTION("GOOGLETRANSLATE(B24222,""en"",""it"")"),"Il timer legge i cerchi di Lady Hula per 2 minuti e diciassette secondi.")</f>
        <v>Il timer legge i cerchi di Lady Hula per 2 minuti e diciassette secondi.</v>
      </c>
    </row>
    <row r="24223">
      <c r="A24223" s="4" t="s">
        <v>30475</v>
      </c>
      <c r="B24223" s="4" t="s">
        <v>30479</v>
      </c>
      <c r="C24223" s="5" t="str">
        <f>IFERROR(__xludf.DUMMYFUNCTION("GOOGLETRANSLATE(B24223,""en"",""it"")"),"La signora parla di nuovo alla telecamera.")</f>
        <v>La signora parla di nuovo alla telecamera.</v>
      </c>
    </row>
    <row r="24224">
      <c r="A24224" s="4" t="s">
        <v>30475</v>
      </c>
      <c r="B24224" s="4" t="s">
        <v>30480</v>
      </c>
      <c r="C24224" s="5" t="str">
        <f>IFERROR(__xludf.DUMMYFUNCTION("GOOGLETRANSLATE(B24224,""en"",""it"")"),"Vediamo la schermata di YouTube finale.")</f>
        <v>Vediamo la schermata di YouTube finale.</v>
      </c>
    </row>
    <row r="24225">
      <c r="A24225" s="4" t="s">
        <v>30481</v>
      </c>
      <c r="B24225" s="4" t="s">
        <v>30482</v>
      </c>
      <c r="C24225" s="5" t="str">
        <f>IFERROR(__xludf.DUMMYFUNCTION("GOOGLETRANSLATE(B24225,""en"",""it"")"),"Viene mostrata una busta con una chiave su di essa.")</f>
        <v>Viene mostrata una busta con una chiave su di essa.</v>
      </c>
    </row>
    <row r="24226">
      <c r="A24226" s="4" t="s">
        <v>30481</v>
      </c>
      <c r="B24226" s="4" t="s">
        <v>30483</v>
      </c>
      <c r="C24226" s="5" t="str">
        <f>IFERROR(__xludf.DUMMYFUNCTION("GOOGLETRANSLATE(B24226,""en"",""it"")"),"Una donna avvolge un libro in carta marrone.")</f>
        <v>Una donna avvolge un libro in carta marrone.</v>
      </c>
    </row>
    <row r="24227">
      <c r="A24227" s="4" t="s">
        <v>30481</v>
      </c>
      <c r="B24227" s="4" t="s">
        <v>30484</v>
      </c>
      <c r="C24227" s="5" t="str">
        <f>IFERROR(__xludf.DUMMYFUNCTION("GOOGLETRANSLATE(B24227,""en"",""it"")"),"Una donna in un maglione grigio sta parlando.")</f>
        <v>Una donna in un maglione grigio sta parlando.</v>
      </c>
    </row>
    <row r="24228">
      <c r="A24228" s="4" t="s">
        <v>30481</v>
      </c>
      <c r="B24228" s="4" t="s">
        <v>30485</v>
      </c>
      <c r="C24228" s="5" t="str">
        <f>IFERROR(__xludf.DUMMYFUNCTION("GOOGLETRANSLATE(B24228,""en"",""it"")"),"Una donna saluta la telecamera.")</f>
        <v>Una donna saluta la telecamera.</v>
      </c>
    </row>
    <row r="24229">
      <c r="A24229" s="4" t="s">
        <v>30481</v>
      </c>
      <c r="B24229" s="4" t="s">
        <v>30486</v>
      </c>
      <c r="C24229" s="5" t="str">
        <f>IFERROR(__xludf.DUMMYFUNCTION("GOOGLETRANSLATE(B24229,""en"",""it"")"),"Finiscono di avvolgere il libro e mettono la busta sulla parte anteriore del pacchetto.")</f>
        <v>Finiscono di avvolgere il libro e mettono la busta sulla parte anteriore del pacchetto.</v>
      </c>
    </row>
    <row r="24230">
      <c r="A24230" s="4" t="s">
        <v>30481</v>
      </c>
      <c r="B24230" s="4" t="s">
        <v>30487</v>
      </c>
      <c r="C24230" s="5" t="str">
        <f>IFERROR(__xludf.DUMMYFUNCTION("GOOGLETRANSLATE(B24230,""en"",""it"")"),"Le parole grazie sono timbrate in un libro.")</f>
        <v>Le parole grazie sono timbrate in un libro.</v>
      </c>
    </row>
    <row r="24231">
      <c r="A24231" s="4" t="s">
        <v>30488</v>
      </c>
      <c r="B24231" s="6" t="s">
        <v>30489</v>
      </c>
      <c r="C24231" s="5" t="str">
        <f>IFERROR(__xludf.DUMMYFUNCTION("GOOGLETRANSLATE(B24231,""en"",""it"")"),"Una donna viene vista parlare e ridere della telecamera e conduce a sollevare una rivista e presentare pagine alla telecamera.")</f>
        <v>Una donna viene vista parlare e ridere della telecamera e conduce a sollevare una rivista e presentare pagine alla telecamera.</v>
      </c>
    </row>
    <row r="24232">
      <c r="A24232" s="4" t="s">
        <v>30488</v>
      </c>
      <c r="B24232" s="6" t="s">
        <v>30490</v>
      </c>
      <c r="C24232" s="5" t="str">
        <f>IFERROR(__xludf.DUMMYFUNCTION("GOOGLETRANSLATE(B24232,""en"",""it"")"),"La donna presenta più oggetti alla telecamera e poi ne usa uno per lavarsi i denti mentre parla ancora alla telecamera.")</f>
        <v>La donna presenta più oggetti alla telecamera e poi ne usa uno per lavarsi i denti mentre parla ancora alla telecamera.</v>
      </c>
    </row>
    <row r="24233">
      <c r="A24233" s="4" t="s">
        <v>30491</v>
      </c>
      <c r="B24233" s="4" t="s">
        <v>30492</v>
      </c>
      <c r="C24233" s="5" t="str">
        <f>IFERROR(__xludf.DUMMYFUNCTION("GOOGLETRANSLATE(B24233,""en"",""it"")"),"Due lottatori di Suma camminano su un anello.")</f>
        <v>Due lottatori di Suma camminano su un anello.</v>
      </c>
    </row>
    <row r="24234">
      <c r="A24234" s="4" t="s">
        <v>30491</v>
      </c>
      <c r="B24234" s="4" t="s">
        <v>30493</v>
      </c>
      <c r="C24234" s="5" t="str">
        <f>IFERROR(__xludf.DUMMYFUNCTION("GOOGLETRANSLATE(B24234,""en"",""it"")"),"Una folla guarda la lotta.")</f>
        <v>Una folla guarda la lotta.</v>
      </c>
    </row>
    <row r="24235">
      <c r="A24235" s="4" t="s">
        <v>30491</v>
      </c>
      <c r="B24235" s="4" t="s">
        <v>30494</v>
      </c>
      <c r="C24235" s="5" t="str">
        <f>IFERROR(__xludf.DUMMYFUNCTION("GOOGLETRANSLATE(B24235,""en"",""it"")"),"I lottatori di Suma si preparano.")</f>
        <v>I lottatori di Suma si preparano.</v>
      </c>
    </row>
    <row r="24236">
      <c r="A24236" s="4" t="s">
        <v>30491</v>
      </c>
      <c r="B24236" s="4" t="s">
        <v>30495</v>
      </c>
      <c r="C24236" s="5" t="str">
        <f>IFERROR(__xludf.DUMMYFUNCTION("GOOGLETRANSLATE(B24236,""en"",""it"")"),"Un arbitro li chiama in posizione.")</f>
        <v>Un arbitro li chiama in posizione.</v>
      </c>
    </row>
    <row r="24237">
      <c r="A24237" s="4" t="s">
        <v>30491</v>
      </c>
      <c r="B24237" s="6" t="s">
        <v>30496</v>
      </c>
      <c r="C24237" s="5" t="str">
        <f>IFERROR(__xludf.DUMMYFUNCTION("GOOGLETRANSLATE(B24237,""en"",""it"")"),"I lottatori di Suma iniziano a combattere, con uno di loro che lancia immediatamente l'altro a terra.")</f>
        <v>I lottatori di Suma iniziano a combattere, con uno di loro che lancia immediatamente l'altro a terra.</v>
      </c>
    </row>
    <row r="24238">
      <c r="A24238" s="4" t="s">
        <v>30491</v>
      </c>
      <c r="B24238" s="4" t="s">
        <v>30497</v>
      </c>
      <c r="C24238" s="5" t="str">
        <f>IFERROR(__xludf.DUMMYFUNCTION("GOOGLETRANSLATE(B24238,""en"",""it"")"),"Il wrestler vincente di Suma viene applaudito e applaudito dalla folla mentre scende dal palco.")</f>
        <v>Il wrestler vincente di Suma viene applaudito e applaudito dalla folla mentre scende dal palco.</v>
      </c>
    </row>
    <row r="24239">
      <c r="A24239" s="4" t="s">
        <v>30498</v>
      </c>
      <c r="B24239" s="6" t="s">
        <v>30499</v>
      </c>
      <c r="C24239" s="5" t="str">
        <f>IFERROR(__xludf.DUMMYFUNCTION("GOOGLETRANSLATE(B24239,""en"",""it"")"),"Per avvolgere un regalo circolare avrai bisogno di forbici a nastro, forbici di carta, nastri, nastro, giapponese usando carta perché è morbido e forte e il colore non si stacca.")</f>
        <v>Per avvolgere un regalo circolare avrai bisogno di forbici a nastro, forbici di carta, nastri, nastro, giapponese usando carta perché è morbido e forte e il colore non si stacca.</v>
      </c>
    </row>
    <row r="24240">
      <c r="A24240" s="4" t="s">
        <v>30498</v>
      </c>
      <c r="B24240" s="6" t="s">
        <v>30500</v>
      </c>
      <c r="C24240" s="5" t="str">
        <f>IFERROR(__xludf.DUMMYFUNCTION("GOOGLETRANSLATE(B24240,""en"",""it"")"),"Prima misura correttamente la carta misurando ai lati, quindi piega la carta al centro tenendo la carta allo stesso modo sull'altro lato, quindi chiudi la carta nel mezzo del giunto per fare una piega, quindi ripetere fino a quando la piega è tutto intorn"&amp;"o, quindi mettere il nastro Top quindi lega il nastro.")</f>
        <v>Prima misura correttamente la carta misurando ai lati, quindi piega la carta al centro tenendo la carta allo stesso modo sull'altro lato, quindi chiudi la carta nel mezzo del giunto per fare una piega, quindi ripetere fino a quando la piega è tutto intorno, quindi mettere il nastro Top quindi lega il nastro.</v>
      </c>
    </row>
    <row r="24241">
      <c r="A24241" s="4" t="s">
        <v>30501</v>
      </c>
      <c r="B24241" s="4" t="s">
        <v>30502</v>
      </c>
      <c r="C24241" s="5" t="str">
        <f>IFERROR(__xludf.DUMMYFUNCTION("GOOGLETRANSLATE(B24241,""en"",""it"")"),"Una ginnastica vestita di body neri sta eseguendo ginnastica su bar.")</f>
        <v>Una ginnastica vestita di body neri sta eseguendo ginnastica su bar.</v>
      </c>
    </row>
    <row r="24242">
      <c r="A24242" s="4" t="s">
        <v>30501</v>
      </c>
      <c r="B24242" s="6" t="s">
        <v>30503</v>
      </c>
      <c r="C24242" s="5" t="str">
        <f>IFERROR(__xludf.DUMMYFUNCTION("GOOGLETRANSLATE(B24242,""en"",""it"")"),"Salta in modo impeccabile sul bar e oscilla avanti e indietro da una barra all'altra senza cadere.")</f>
        <v>Salta in modo impeccabile sul bar e oscilla avanti e indietro da una barra all'altra senza cadere.</v>
      </c>
    </row>
    <row r="24243">
      <c r="A24243" s="4" t="s">
        <v>30501</v>
      </c>
      <c r="B24243" s="4" t="s">
        <v>30504</v>
      </c>
      <c r="C24243" s="5" t="str">
        <f>IFERROR(__xludf.DUMMYFUNCTION("GOOGLETRANSLATE(B24243,""en"",""it"")"),"Completa con successo il suo round e salta giù dalle barre.")</f>
        <v>Completa con successo il suo round e salta giù dalle barre.</v>
      </c>
    </row>
    <row r="24244">
      <c r="A24244" s="4" t="s">
        <v>30501</v>
      </c>
      <c r="B24244" s="4" t="s">
        <v>30505</v>
      </c>
      <c r="C24244" s="5" t="str">
        <f>IFERROR(__xludf.DUMMYFUNCTION("GOOGLETRANSLATE(B24244,""en"",""it"")"),"La folla applaude ad alta voce mentre applaude per la ginnasta.")</f>
        <v>La folla applaude ad alta voce mentre applaude per la ginnasta.</v>
      </c>
    </row>
    <row r="24245">
      <c r="A24245" s="4" t="s">
        <v>30506</v>
      </c>
      <c r="B24245" s="4" t="s">
        <v>30507</v>
      </c>
      <c r="C24245" s="5" t="str">
        <f>IFERROR(__xludf.DUMMYFUNCTION("GOOGLETRANSLATE(B24245,""en"",""it"")"),"Una serie di persone che cadono violentemente dagli sci d'acqua mentre mostra lo sci d'acqua.")</f>
        <v>Una serie di persone che cadono violentemente dagli sci d'acqua mentre mostra lo sci d'acqua.</v>
      </c>
    </row>
    <row r="24246">
      <c r="A24246" s="4" t="s">
        <v>30506</v>
      </c>
      <c r="B24246" s="4" t="s">
        <v>30508</v>
      </c>
      <c r="C24246" s="5" t="str">
        <f>IFERROR(__xludf.DUMMYFUNCTION("GOOGLETRANSLATE(B24246,""en"",""it"")"),"Si verifica una persona che si schianta contro una famiglia sulla spiaggia per andare a tutta velocità su uno sci d'acqua.")</f>
        <v>Si verifica una persona che si schianta contro una famiglia sulla spiaggia per andare a tutta velocità su uno sci d'acqua.</v>
      </c>
    </row>
    <row r="24247">
      <c r="A24247" s="4" t="s">
        <v>30506</v>
      </c>
      <c r="B24247" s="6" t="s">
        <v>30509</v>
      </c>
      <c r="C24247" s="5" t="str">
        <f>IFERROR(__xludf.DUMMYFUNCTION("GOOGLETRANSLATE(B24247,""en"",""it"")"),"Diverse altre persone vengono mostrate che si schiantano mentre sugli sci d'acqua con un uomo che si schianta e l'acqua che diventa rossa nel punto di impatto e si schianta.")</f>
        <v>Diverse altre persone vengono mostrate che si schiantano mentre sugli sci d'acqua con un uomo che si schianta e l'acqua che diventa rossa nel punto di impatto e si schianta.</v>
      </c>
    </row>
    <row r="24248">
      <c r="A24248" s="4" t="s">
        <v>30506</v>
      </c>
      <c r="B24248" s="4" t="s">
        <v>30510</v>
      </c>
      <c r="C24248" s="5" t="str">
        <f>IFERROR(__xludf.DUMMYFUNCTION("GOOGLETRANSLATE(B24248,""en"",""it"")"),"Un'ultima clip mostra qualcuno che sale su una rampa sugli sci d'acqua e poi si schianta nell'acqua.")</f>
        <v>Un'ultima clip mostra qualcuno che sale su una rampa sugli sci d'acqua e poi si schianta nell'acqua.</v>
      </c>
    </row>
    <row r="24249">
      <c r="A24249" s="4" t="s">
        <v>30511</v>
      </c>
      <c r="B24249" s="4" t="s">
        <v>30512</v>
      </c>
      <c r="C24249" s="5" t="str">
        <f>IFERROR(__xludf.DUMMYFUNCTION("GOOGLETRANSLATE(B24249,""en"",""it"")"),"Una recinzione bianca è mostrata fuori da una casa.")</f>
        <v>Una recinzione bianca è mostrata fuori da una casa.</v>
      </c>
    </row>
    <row r="24250">
      <c r="A24250" s="4" t="s">
        <v>30511</v>
      </c>
      <c r="B24250" s="4" t="s">
        <v>30513</v>
      </c>
      <c r="C24250" s="5" t="str">
        <f>IFERROR(__xludf.DUMMYFUNCTION("GOOGLETRANSLATE(B24250,""en"",""it"")"),"Un uomo tiene un raschietto e un pennello.")</f>
        <v>Un uomo tiene un raschietto e un pennello.</v>
      </c>
    </row>
    <row r="24251">
      <c r="A24251" s="4" t="s">
        <v>30511</v>
      </c>
      <c r="B24251" s="4" t="s">
        <v>30514</v>
      </c>
      <c r="C24251" s="5" t="str">
        <f>IFERROR(__xludf.DUMMYFUNCTION("GOOGLETRANSLATE(B24251,""en"",""it"")"),"Rigma la vernice dalla recinzione, quindi la ridipinge con vernice fresca.")</f>
        <v>Rigma la vernice dalla recinzione, quindi la ridipinge con vernice fresca.</v>
      </c>
    </row>
    <row r="24252">
      <c r="A24252" s="4" t="s">
        <v>30515</v>
      </c>
      <c r="B24252" s="4" t="s">
        <v>30516</v>
      </c>
      <c r="C24252" s="5" t="str">
        <f>IFERROR(__xludf.DUMMYFUNCTION("GOOGLETRANSLATE(B24252,""en"",""it"")"),"La persona sta sciare lungo le alte montagne innevate.")</f>
        <v>La persona sta sciare lungo le alte montagne innevate.</v>
      </c>
    </row>
    <row r="24253">
      <c r="A24253" s="4" t="s">
        <v>30515</v>
      </c>
      <c r="B24253" s="4" t="s">
        <v>30517</v>
      </c>
      <c r="C24253" s="5" t="str">
        <f>IFERROR(__xludf.DUMMYFUNCTION("GOOGLETRANSLATE(B24253,""en"",""it"")"),"Un elicottero rosso sta volando in giro mentre gli sciatori stanno salendo la montagna superiore.")</f>
        <v>Un elicottero rosso sta volando in giro mentre gli sciatori stanno salendo la montagna superiore.</v>
      </c>
    </row>
    <row r="24254">
      <c r="A24254" s="4" t="s">
        <v>30515</v>
      </c>
      <c r="B24254" s="4" t="s">
        <v>30518</v>
      </c>
      <c r="C24254" s="5" t="str">
        <f>IFERROR(__xludf.DUMMYFUNCTION("GOOGLETRANSLATE(B24254,""en"",""it"")"),"Gli sciatori sciano giù per il pendio, cavalcano le motociclette, sono andati a pescare e sci.")</f>
        <v>Gli sciatori sciano giù per il pendio, cavalcano le motociclette, sono andati a pescare e sci.</v>
      </c>
    </row>
    <row r="24255">
      <c r="A24255" s="4" t="s">
        <v>30519</v>
      </c>
      <c r="B24255" s="4" t="s">
        <v>30520</v>
      </c>
      <c r="C24255" s="5" t="str">
        <f>IFERROR(__xludf.DUMMYFUNCTION("GOOGLETRANSLATE(B24255,""en"",""it"")"),"Un bambino è in un soggiorno.")</f>
        <v>Un bambino è in un soggiorno.</v>
      </c>
    </row>
    <row r="24256">
      <c r="A24256" s="4" t="s">
        <v>30519</v>
      </c>
      <c r="B24256" s="4" t="s">
        <v>30521</v>
      </c>
      <c r="C24256" s="5" t="str">
        <f>IFERROR(__xludf.DUMMYFUNCTION("GOOGLETRANSLATE(B24256,""en"",""it"")"),"Sta spingendo e tirando un grande aspirapolvere.")</f>
        <v>Sta spingendo e tirando un grande aspirapolvere.</v>
      </c>
    </row>
    <row r="24257">
      <c r="A24257" s="4" t="s">
        <v>30519</v>
      </c>
      <c r="B24257" s="4" t="s">
        <v>30522</v>
      </c>
      <c r="C24257" s="5" t="str">
        <f>IFERROR(__xludf.DUMMYFUNCTION("GOOGLETRANSLATE(B24257,""en"",""it"")"),"Sta aspirando il grande tappeto del soggiorno.")</f>
        <v>Sta aspirando il grande tappeto del soggiorno.</v>
      </c>
    </row>
    <row r="24258">
      <c r="A24258" s="4" t="s">
        <v>30523</v>
      </c>
      <c r="B24258" s="4" t="s">
        <v>30524</v>
      </c>
      <c r="C24258" s="5" t="str">
        <f>IFERROR(__xludf.DUMMYFUNCTION("GOOGLETRANSLATE(B24258,""en"",""it"")"),"Viene mostrato un primo piano di uno strumento seguito da una persona che taglia lungo un tappeto.")</f>
        <v>Viene mostrato un primo piano di uno strumento seguito da una persona che taglia lungo un tappeto.</v>
      </c>
    </row>
    <row r="24259">
      <c r="A24259" s="4" t="s">
        <v>30523</v>
      </c>
      <c r="B24259" s="4" t="s">
        <v>30525</v>
      </c>
      <c r="C24259" s="5" t="str">
        <f>IFERROR(__xludf.DUMMYFUNCTION("GOOGLETRANSLATE(B24259,""en"",""it"")"),"La persona continua a utilizzare lo strumento lungo i lati e la fotocamera si rompe a nero poco dopo.")</f>
        <v>La persona continua a utilizzare lo strumento lungo i lati e la fotocamera si rompe a nero poco dopo.</v>
      </c>
    </row>
    <row r="24260">
      <c r="A24260" s="4" t="s">
        <v>30526</v>
      </c>
      <c r="B24260" s="4" t="s">
        <v>30527</v>
      </c>
      <c r="C24260" s="5" t="str">
        <f>IFERROR(__xludf.DUMMYFUNCTION("GOOGLETRANSLATE(B24260,""en"",""it"")"),"Un uomo è in piedi nel suo cortile.")</f>
        <v>Un uomo è in piedi nel suo cortile.</v>
      </c>
    </row>
    <row r="24261">
      <c r="A24261" s="4" t="s">
        <v>30526</v>
      </c>
      <c r="B24261" s="4" t="s">
        <v>30528</v>
      </c>
      <c r="C24261" s="5" t="str">
        <f>IFERROR(__xludf.DUMMYFUNCTION("GOOGLETRANSLATE(B24261,""en"",""it"")"),"Usa un pennello per lavarsi i capelli molto lunghi.")</f>
        <v>Usa un pennello per lavarsi i capelli molto lunghi.</v>
      </c>
    </row>
    <row r="24262">
      <c r="A24262" s="4" t="s">
        <v>30526</v>
      </c>
      <c r="B24262" s="4" t="s">
        <v>30529</v>
      </c>
      <c r="C24262" s="5" t="str">
        <f>IFERROR(__xludf.DUMMYFUNCTION("GOOGLETRANSLATE(B24262,""en"",""it"")"),"Lo sfiora da diversi angoli.")</f>
        <v>Lo sfiora da diversi angoli.</v>
      </c>
    </row>
    <row r="24263">
      <c r="A24263" s="4" t="s">
        <v>30530</v>
      </c>
      <c r="B24263" s="4" t="s">
        <v>30531</v>
      </c>
      <c r="C24263" s="5" t="str">
        <f>IFERROR(__xludf.DUMMYFUNCTION("GOOGLETRANSLATE(B24263,""en"",""it"")"),"Un uomo con cappuccio nero parla alla telecamera.")</f>
        <v>Un uomo con cappuccio nero parla alla telecamera.</v>
      </c>
    </row>
    <row r="24264">
      <c r="A24264" s="4" t="s">
        <v>30530</v>
      </c>
      <c r="B24264" s="4" t="s">
        <v>30532</v>
      </c>
      <c r="C24264" s="5" t="str">
        <f>IFERROR(__xludf.DUMMYFUNCTION("GOOGLETRANSLATE(B24264,""en"",""it"")"),"Un secondo uomo in una felpa blu entra e parla con la telecamera.")</f>
        <v>Un secondo uomo in una felpa blu entra e parla con la telecamera.</v>
      </c>
    </row>
    <row r="24265">
      <c r="A24265" s="4" t="s">
        <v>30530</v>
      </c>
      <c r="B24265" s="4" t="s">
        <v>30533</v>
      </c>
      <c r="C24265" s="5" t="str">
        <f>IFERROR(__xludf.DUMMYFUNCTION("GOOGLETRANSLATE(B24265,""en"",""it"")"),"L'uomo nella felpa nera mostra una bottiglia di bocca.")</f>
        <v>L'uomo nella felpa nera mostra una bottiglia di bocca.</v>
      </c>
    </row>
    <row r="24266">
      <c r="A24266" s="4" t="s">
        <v>30530</v>
      </c>
      <c r="B24266" s="4" t="s">
        <v>30534</v>
      </c>
      <c r="C24266" s="5" t="str">
        <f>IFERROR(__xludf.DUMMYFUNCTION("GOOGLETRANSLATE(B24266,""en"",""it"")"),"I due uomini parlano tra loro.")</f>
        <v>I due uomini parlano tra loro.</v>
      </c>
    </row>
    <row r="24267">
      <c r="A24267" s="4" t="s">
        <v>30530</v>
      </c>
      <c r="B24267" s="4" t="s">
        <v>30535</v>
      </c>
      <c r="C24267" s="5" t="str">
        <f>IFERROR(__xludf.DUMMYFUNCTION("GOOGLETRANSLATE(B24267,""en"",""it"")"),"L'uomo nella felpa con cappuccio blu versa il collutorio in due occhiali.")</f>
        <v>L'uomo nella felpa con cappuccio blu versa il collutorio in due occhiali.</v>
      </c>
    </row>
    <row r="24268">
      <c r="A24268" s="4" t="s">
        <v>30530</v>
      </c>
      <c r="B24268" s="4" t="s">
        <v>30536</v>
      </c>
      <c r="C24268" s="5" t="str">
        <f>IFERROR(__xludf.DUMMYFUNCTION("GOOGLETRANSLATE(B24268,""en"",""it"")"),"I due uomini prendono lezioni e ""applausi"".")</f>
        <v>I due uomini prendono lezioni e "applausi".</v>
      </c>
    </row>
    <row r="24269">
      <c r="A24269" s="4" t="s">
        <v>30530</v>
      </c>
      <c r="B24269" s="4" t="s">
        <v>30537</v>
      </c>
      <c r="C24269" s="5" t="str">
        <f>IFERROR(__xludf.DUMMYFUNCTION("GOOGLETRANSLATE(B24269,""en"",""it"")"),"I due uomini mantengono il collutorio in bocca.")</f>
        <v>I due uomini mantengono il collutorio in bocca.</v>
      </c>
    </row>
    <row r="24270">
      <c r="A24270" s="4" t="s">
        <v>30530</v>
      </c>
      <c r="B24270" s="4" t="s">
        <v>30538</v>
      </c>
      <c r="C24270" s="5" t="str">
        <f>IFERROR(__xludf.DUMMYFUNCTION("GOOGLETRANSLATE(B24270,""en"",""it"")"),"L'uomo nella felpa con cappuccio nero mostra la sua maglietta.")</f>
        <v>L'uomo nella felpa con cappuccio nero mostra la sua maglietta.</v>
      </c>
    </row>
    <row r="24271">
      <c r="A24271" s="4" t="s">
        <v>30530</v>
      </c>
      <c r="B24271" s="4" t="s">
        <v>30539</v>
      </c>
      <c r="C24271" s="5" t="str">
        <f>IFERROR(__xludf.DUMMYFUNCTION("GOOGLETRANSLATE(B24271,""en"",""it"")"),"I due uomini mettono in mostra i segni che si insultano a vicenda e cercano di ridere a vicenda.")</f>
        <v>I due uomini mettono in mostra i segni che si insultano a vicenda e cercano di ridere a vicenda.</v>
      </c>
    </row>
    <row r="24272">
      <c r="A24272" s="4" t="s">
        <v>30530</v>
      </c>
      <c r="B24272" s="4" t="s">
        <v>30540</v>
      </c>
      <c r="C24272" s="5" t="str">
        <f>IFERROR(__xludf.DUMMYFUNCTION("GOOGLETRANSLATE(B24272,""en"",""it"")"),"L'uomo nella felpa con cappuccio blu ride prima.")</f>
        <v>L'uomo nella felpa con cappuccio blu ride prima.</v>
      </c>
    </row>
    <row r="24273">
      <c r="A24273" s="4" t="s">
        <v>30530</v>
      </c>
      <c r="B24273" s="4" t="s">
        <v>30541</v>
      </c>
      <c r="C24273" s="5" t="str">
        <f>IFERROR(__xludf.DUMMYFUNCTION("GOOGLETRANSLATE(B24273,""en"",""it"")"),"Gli uomini sputarono entrambi il collutorio nel lavandino.")</f>
        <v>Gli uomini sputarono entrambi il collutorio nel lavandino.</v>
      </c>
    </row>
    <row r="24274">
      <c r="A24274" s="4" t="s">
        <v>30542</v>
      </c>
      <c r="B24274" s="4" t="s">
        <v>30543</v>
      </c>
      <c r="C24274" s="5" t="str">
        <f>IFERROR(__xludf.DUMMYFUNCTION("GOOGLETRANSLATE(B24274,""en"",""it"")"),"Un uomo e una donna sono visti camminare su un grande palcoscenico l'uno dall'altro.")</f>
        <v>Un uomo e una donna sono visti camminare su un grande palcoscenico l'uno dall'altro.</v>
      </c>
    </row>
    <row r="24275">
      <c r="A24275" s="4" t="s">
        <v>30542</v>
      </c>
      <c r="B24275" s="4" t="s">
        <v>30544</v>
      </c>
      <c r="C24275" s="5" t="str">
        <f>IFERROR(__xludf.DUMMYFUNCTION("GOOGLETRANSLATE(B24275,""en"",""it"")"),"I due iniziano quindi a eseguire una routine di tango tra loro.")</f>
        <v>I due iniziano quindi a eseguire una routine di tango tra loro.</v>
      </c>
    </row>
    <row r="24276">
      <c r="A24276" s="4" t="s">
        <v>30542</v>
      </c>
      <c r="B24276" s="4" t="s">
        <v>30545</v>
      </c>
      <c r="C24276" s="5" t="str">
        <f>IFERROR(__xludf.DUMMYFUNCTION("GOOGLETRANSLATE(B24276,""en"",""it"")"),"L'uomo solleva la donna tutt'intorno mentre continuano a ballare e finiscono a un posa.")</f>
        <v>L'uomo solleva la donna tutt'intorno mentre continuano a ballare e finiscono a un posa.</v>
      </c>
    </row>
    <row r="24277">
      <c r="A24277" s="4" t="s">
        <v>30546</v>
      </c>
      <c r="B24277" s="4" t="s">
        <v>30547</v>
      </c>
      <c r="C24277" s="5" t="str">
        <f>IFERROR(__xludf.DUMMYFUNCTION("GOOGLETRANSLATE(B24277,""en"",""it"")"),"Un adolescente e una ragazza sono seduti in macchina a Smoke da un tubo.")</f>
        <v>Un adolescente e una ragazza sono seduti in macchina a Smoke da un tubo.</v>
      </c>
    </row>
    <row r="24278">
      <c r="A24278" s="4" t="s">
        <v>30546</v>
      </c>
      <c r="B24278" s="4" t="s">
        <v>30548</v>
      </c>
      <c r="C24278" s="5" t="str">
        <f>IFERROR(__xludf.DUMMYFUNCTION("GOOGLETRANSLATE(B24278,""en"",""it"")"),"La ragazza e il ragazzo si alternano anelli di fumo.")</f>
        <v>La ragazza e il ragazzo si alternano anelli di fumo.</v>
      </c>
    </row>
    <row r="24279">
      <c r="A24279" s="4" t="s">
        <v>30549</v>
      </c>
      <c r="B24279" s="4" t="s">
        <v>30550</v>
      </c>
      <c r="C24279" s="5" t="str">
        <f>IFERROR(__xludf.DUMMYFUNCTION("GOOGLETRANSLATE(B24279,""en"",""it"")"),"Un uomo lancia freccette in una tavola da darda.")</f>
        <v>Un uomo lancia freccette in una tavola da darda.</v>
      </c>
    </row>
    <row r="24280">
      <c r="A24280" s="4" t="s">
        <v>30549</v>
      </c>
      <c r="B24280" s="4" t="s">
        <v>30551</v>
      </c>
      <c r="C24280" s="5" t="str">
        <f>IFERROR(__xludf.DUMMYFUNCTION("GOOGLETRANSLATE(B24280,""en"",""it"")"),"Indica le parole sulla sua camicia.")</f>
        <v>Indica le parole sulla sua camicia.</v>
      </c>
    </row>
    <row r="24281">
      <c r="A24281" s="4" t="s">
        <v>30549</v>
      </c>
      <c r="B24281" s="4" t="s">
        <v>30552</v>
      </c>
      <c r="C24281" s="5" t="str">
        <f>IFERROR(__xludf.DUMMYFUNCTION("GOOGLETRANSLATE(B24281,""en"",""it"")"),"Mostra le freccette nella tavola da dardo.")</f>
        <v>Mostra le freccette nella tavola da dardo.</v>
      </c>
    </row>
    <row r="24282">
      <c r="A24282" s="4" t="s">
        <v>30549</v>
      </c>
      <c r="B24282" s="4" t="s">
        <v>30553</v>
      </c>
      <c r="C24282" s="5" t="str">
        <f>IFERROR(__xludf.DUMMYFUNCTION("GOOGLETRANSLATE(B24282,""en"",""it"")"),"Mostra la sua mano mentre lancia il dardo.")</f>
        <v>Mostra la sua mano mentre lancia il dardo.</v>
      </c>
    </row>
    <row r="24283">
      <c r="A24283" s="4" t="s">
        <v>30554</v>
      </c>
      <c r="B24283" s="4" t="s">
        <v>30555</v>
      </c>
      <c r="C24283" s="5" t="str">
        <f>IFERROR(__xludf.DUMMYFUNCTION("GOOGLETRANSLATE(B24283,""en"",""it"")"),"Una persona viene vista in ginocchio in un grande foro che sfrega un muro lungo una parete.")</f>
        <v>Una persona viene vista in ginocchio in un grande foro che sfrega un muro lungo una parete.</v>
      </c>
    </row>
    <row r="24284">
      <c r="A24284" s="4" t="s">
        <v>30554</v>
      </c>
      <c r="B24284" s="4" t="s">
        <v>30556</v>
      </c>
      <c r="C24284" s="5" t="str">
        <f>IFERROR(__xludf.DUMMYFUNCTION("GOOGLETRANSLATE(B24284,""en"",""it"")"),"L'uomo strofina l'intonaco usando uno strumento e si alza per afferrare la carta.")</f>
        <v>L'uomo strofina l'intonaco usando uno strumento e si alza per afferrare la carta.</v>
      </c>
    </row>
    <row r="24285">
      <c r="A24285" s="4" t="s">
        <v>30554</v>
      </c>
      <c r="B24285" s="4" t="s">
        <v>30557</v>
      </c>
      <c r="C24285" s="5" t="str">
        <f>IFERROR(__xludf.DUMMYFUNCTION("GOOGLETRANSLATE(B24285,""en"",""it"")"),"Strofina la carta lungo il muro e termina alzando la fotocamera.")</f>
        <v>Strofina la carta lungo il muro e termina alzando la fotocamera.</v>
      </c>
    </row>
    <row r="24286">
      <c r="A24286" s="4" t="s">
        <v>30558</v>
      </c>
      <c r="B24286" s="4" t="s">
        <v>30559</v>
      </c>
      <c r="C24286" s="5" t="str">
        <f>IFERROR(__xludf.DUMMYFUNCTION("GOOGLETRANSLATE(B24286,""en"",""it"")"),"Un uomo con la barba suona su un tamburo verde.")</f>
        <v>Un uomo con la barba suona su un tamburo verde.</v>
      </c>
    </row>
    <row r="24287">
      <c r="A24287" s="4" t="s">
        <v>30558</v>
      </c>
      <c r="B24287" s="4" t="s">
        <v>30560</v>
      </c>
      <c r="C24287" s="5" t="str">
        <f>IFERROR(__xludf.DUMMYFUNCTION("GOOGLETRANSLATE(B24287,""en"",""it"")"),"L'uomo inizia ad aggiungere un secondo tamburo al mix.")</f>
        <v>L'uomo inizia ad aggiungere un secondo tamburo al mix.</v>
      </c>
    </row>
    <row r="24288">
      <c r="A24288" s="4" t="s">
        <v>30558</v>
      </c>
      <c r="B24288" s="4" t="s">
        <v>30561</v>
      </c>
      <c r="C24288" s="5" t="str">
        <f>IFERROR(__xludf.DUMMYFUNCTION("GOOGLETRANSLATE(B24288,""en"",""it"")"),"Un terzo tamburo viene aggiunto al mix di batteria.")</f>
        <v>Un terzo tamburo viene aggiunto al mix di batteria.</v>
      </c>
    </row>
    <row r="24289">
      <c r="A24289" s="4" t="s">
        <v>30562</v>
      </c>
      <c r="B24289" s="4" t="s">
        <v>30563</v>
      </c>
      <c r="C24289" s="5" t="str">
        <f>IFERROR(__xludf.DUMMYFUNCTION("GOOGLETRANSLATE(B24289,""en"",""it"")"),"Vediamo persone che tiene i loro telefoni per registrare.")</f>
        <v>Vediamo persone che tiene i loro telefoni per registrare.</v>
      </c>
    </row>
    <row r="24290">
      <c r="A24290" s="4" t="s">
        <v>30562</v>
      </c>
      <c r="B24290" s="4" t="s">
        <v>30564</v>
      </c>
      <c r="C24290" s="5" t="str">
        <f>IFERROR(__xludf.DUMMYFUNCTION("GOOGLETRANSLATE(B24290,""en"",""it"")"),"Vediamo quindi un uomo suonare un piano.")</f>
        <v>Vediamo quindi un uomo suonare un piano.</v>
      </c>
    </row>
    <row r="24291">
      <c r="A24291" s="4" t="s">
        <v>30562</v>
      </c>
      <c r="B24291" s="4" t="s">
        <v>30565</v>
      </c>
      <c r="C24291" s="5" t="str">
        <f>IFERROR(__xludf.DUMMYFUNCTION("GOOGLETRANSLATE(B24291,""en"",""it"")"),"La fotocamera si muove intorno alla schiena dell'uomo.")</f>
        <v>La fotocamera si muove intorno alla schiena dell'uomo.</v>
      </c>
    </row>
    <row r="24292">
      <c r="A24292" s="4" t="s">
        <v>30562</v>
      </c>
      <c r="B24292" s="4" t="s">
        <v>30566</v>
      </c>
      <c r="C24292" s="5" t="str">
        <f>IFERROR(__xludf.DUMMYFUNCTION("GOOGLETRANSLATE(B24292,""en"",""it"")"),"La folla quindi applaude per l'uomo.")</f>
        <v>La folla quindi applaude per l'uomo.</v>
      </c>
    </row>
    <row r="24293">
      <c r="A24293" s="4" t="s">
        <v>30562</v>
      </c>
      <c r="B24293" s="4" t="s">
        <v>30567</v>
      </c>
      <c r="C24293" s="5" t="str">
        <f>IFERROR(__xludf.DUMMYFUNCTION("GOOGLETRANSLATE(B24293,""en"",""it"")"),"L'uomo quindi alza lo sguardo e parla.")</f>
        <v>L'uomo quindi alza lo sguardo e parla.</v>
      </c>
    </row>
    <row r="24294">
      <c r="A24294" s="4" t="s">
        <v>30568</v>
      </c>
      <c r="B24294" s="6" t="s">
        <v>30569</v>
      </c>
      <c r="C24294" s="5" t="str">
        <f>IFERROR(__xludf.DUMMYFUNCTION("GOOGLETRANSLATE(B24294,""en"",""it"")"),"Le persone sono al chiuso e l'attenzione è rivolta a varie clip di varie persone che si scherzano a vicenda.")</f>
        <v>Le persone sono al chiuso e l'attenzione è rivolta a varie clip di varie persone che si scherzano a vicenda.</v>
      </c>
    </row>
    <row r="24295">
      <c r="A24295" s="4" t="s">
        <v>30568</v>
      </c>
      <c r="B24295" s="6" t="s">
        <v>30570</v>
      </c>
      <c r="C24295" s="5" t="str">
        <f>IFERROR(__xludf.DUMMYFUNCTION("GOOGLETRANSLATE(B24295,""en"",""it"")"),"Una partita di scherma tra due donne inizia e la formulazione sullo schermo dice che i loro nomi sono Michelle Li &amp; Cindy Gao, e vengono mostrati combattendo da varie angolazioni diverse facendo molte mosse di scherma.")</f>
        <v>Una partita di scherma tra due donne inizia e la formulazione sullo schermo dice che i loro nomi sono Michelle Li &amp; Cindy Gao, e vengono mostrati combattendo da varie angolazioni diverse facendo molte mosse di scherma.</v>
      </c>
    </row>
    <row r="24296">
      <c r="A24296" s="4" t="s">
        <v>30568</v>
      </c>
      <c r="B24296" s="6" t="s">
        <v>30571</v>
      </c>
      <c r="C24296" s="5" t="str">
        <f>IFERROR(__xludf.DUMMYFUNCTION("GOOGLETRANSLATE(B24296,""en"",""it"")"),"Quando hanno finito di combattere le donne vengono mostrate in piedi vicino, sorridendo, e la donna a sinistra ha il braccio appoggiato sulla spalla della donna a destra.")</f>
        <v>Quando hanno finito di combattere le donne vengono mostrate in piedi vicino, sorridendo, e la donna a sinistra ha il braccio appoggiato sulla spalla della donna a destra.</v>
      </c>
    </row>
    <row r="24297">
      <c r="A24297" s="4" t="s">
        <v>30568</v>
      </c>
      <c r="B24297" s="6" t="s">
        <v>30572</v>
      </c>
      <c r="C24297" s="5" t="str">
        <f>IFERROR(__xludf.DUMMYFUNCTION("GOOGLETRANSLATE(B24297,""en"",""it"")"),"Outro è uno schermo bianco con più colori che includono loghi, sito Web e il nome dell'evento.")</f>
        <v>Outro è uno schermo bianco con più colori che includono loghi, sito Web e il nome dell'evento.</v>
      </c>
    </row>
    <row r="24298">
      <c r="A24298" s="4" t="s">
        <v>30573</v>
      </c>
      <c r="B24298" s="6" t="s">
        <v>30574</v>
      </c>
      <c r="C24298" s="5" t="str">
        <f>IFERROR(__xludf.DUMMYFUNCTION("GOOGLETRANSLATE(B24298,""en"",""it"")"),"Una donna sorride seduta in un tatuaggio seduto sulla sedia in attesa pazientemente, sorridendo ed è amichevole.")</f>
        <v>Una donna sorride seduta in un tatuaggio seduto sulla sedia in attesa pazientemente, sorridendo ed è amichevole.</v>
      </c>
    </row>
    <row r="24299">
      <c r="A24299" s="4" t="s">
        <v>30573</v>
      </c>
      <c r="B24299" s="4" t="s">
        <v>30575</v>
      </c>
      <c r="C24299" s="5" t="str">
        <f>IFERROR(__xludf.DUMMYFUNCTION("GOOGLETRANSLATE(B24299,""en"",""it"")"),"Indossa i guanti e afferra un morsetto, quindi le risorse umane se la mette in bocca e le serrano il labbro.")</f>
        <v>Indossa i guanti e afferra un morsetto, quindi le risorse umane se la mette in bocca e le serrano il labbro.</v>
      </c>
    </row>
    <row r="24300">
      <c r="A24300" s="4" t="s">
        <v>30573</v>
      </c>
      <c r="B24300" s="4" t="s">
        <v>30576</v>
      </c>
      <c r="C24300" s="5" t="str">
        <f>IFERROR(__xludf.DUMMYFUNCTION("GOOGLETRANSLATE(B24300,""en"",""it"")"),"Quindi afferra un ago e se lo attacca attraverso il labbro, si ottiene un piercing e lo mette per lei.")</f>
        <v>Quindi afferra un ago e se lo attacca attraverso il labbro, si ottiene un piercing e lo mette per lei.</v>
      </c>
    </row>
    <row r="24301">
      <c r="A24301" s="4" t="s">
        <v>30573</v>
      </c>
      <c r="B24301" s="4" t="s">
        <v>30577</v>
      </c>
      <c r="C24301" s="5" t="str">
        <f>IFERROR(__xludf.DUMMYFUNCTION("GOOGLETRANSLATE(B24301,""en"",""it"")"),"Dopodiché si alza dalla sedia e cammina verso lo specchio per verificarlo da sola.")</f>
        <v>Dopodiché si alza dalla sedia e cammina verso lo specchio per verificarlo da sola.</v>
      </c>
    </row>
    <row r="24302">
      <c r="A24302" s="4" t="s">
        <v>30578</v>
      </c>
      <c r="B24302" s="4" t="s">
        <v>30579</v>
      </c>
      <c r="C24302" s="5" t="str">
        <f>IFERROR(__xludf.DUMMYFUNCTION("GOOGLETRANSLATE(B24302,""en"",""it"")"),"Una bambina viene vista Hula che si stacca più e più volte con le mani sui fianchi.")</f>
        <v>Una bambina viene vista Hula che si stacca più e più volte con le mani sui fianchi.</v>
      </c>
    </row>
    <row r="24303">
      <c r="A24303" s="4" t="s">
        <v>30578</v>
      </c>
      <c r="B24303" s="6" t="s">
        <v>30580</v>
      </c>
      <c r="C24303" s="5" t="str">
        <f>IFERROR(__xludf.DUMMYFUNCTION("GOOGLETRANSLATE(B24303,""en"",""it"")"),"La ragazza si gira con il cerchio di hula che si muove dai suoi piedi alle ginocchia e il resto del suo corpo.")</f>
        <v>La ragazza si gira con il cerchio di hula che si muove dai suoi piedi alle ginocchia e il resto del suo corpo.</v>
      </c>
    </row>
    <row r="24304">
      <c r="A24304" s="4" t="s">
        <v>30578</v>
      </c>
      <c r="B24304" s="6" t="s">
        <v>30581</v>
      </c>
      <c r="C24304" s="5" t="str">
        <f>IFERROR(__xludf.DUMMYFUNCTION("GOOGLETRANSLATE(B24304,""en"",""it"")"),"Ad un certo punto lancia accidentalmente il cerchio di hula, ma lo riprende e continua a girare con esso.")</f>
        <v>Ad un certo punto lancia accidentalmente il cerchio di hula, ma lo riprende e continua a girare con esso.</v>
      </c>
    </row>
    <row r="24305">
      <c r="A24305" s="4" t="s">
        <v>30578</v>
      </c>
      <c r="B24305" s="4" t="s">
        <v>30582</v>
      </c>
      <c r="C24305" s="5" t="str">
        <f>IFERROR(__xludf.DUMMYFUNCTION("GOOGLETRANSLATE(B24305,""en"",""it"")"),"Alla fine cade a terra con il cerchio ancora tra le mani.")</f>
        <v>Alla fine cade a terra con il cerchio ancora tra le mani.</v>
      </c>
    </row>
    <row r="24306">
      <c r="A24306" s="4" t="s">
        <v>30583</v>
      </c>
      <c r="B24306" s="4" t="s">
        <v>30584</v>
      </c>
      <c r="C24306" s="5" t="str">
        <f>IFERROR(__xludf.DUMMYFUNCTION("GOOGLETRANSLATE(B24306,""en"",""it"")"),"Ci sono surfisti che cavalcano un'onda molto grande.")</f>
        <v>Ci sono surfisti che cavalcano un'onda molto grande.</v>
      </c>
    </row>
    <row r="24307">
      <c r="A24307" s="4" t="s">
        <v>30583</v>
      </c>
      <c r="B24307" s="6" t="s">
        <v>30585</v>
      </c>
      <c r="C24307" s="5" t="str">
        <f>IFERROR(__xludf.DUMMYFUNCTION("GOOGLETRANSLATE(B24307,""en"",""it"")"),"Un'onda bianca si schianta e il surfista sotto di essa scompare mentre la grande schiuma bianca dell'onda si diffonde in un'ampia area sull'acqua.")</f>
        <v>Un'onda bianca si schianta e il surfista sotto di essa scompare mentre la grande schiuma bianca dell'onda si diffonde in un'ampia area sull'acqua.</v>
      </c>
    </row>
    <row r="24308">
      <c r="A24308" s="4" t="s">
        <v>30583</v>
      </c>
      <c r="B24308" s="6" t="s">
        <v>30586</v>
      </c>
      <c r="C24308" s="5" t="str">
        <f>IFERROR(__xludf.DUMMYFUNCTION("GOOGLETRANSLATE(B24308,""en"",""it"")"),"Gli uomini su jet d'acqua vanno rapidamente nell'area in cui potrebbero essere i surfisti e li recuperano dall'acqua e si allontanano rapidamente dall'onda mentre superano altri surfisti e conducenti di getti d'acqua mentre tutti continuano a cavalcare su"&amp;"lle onde.")</f>
        <v>Gli uomini su jet d'acqua vanno rapidamente nell'area in cui potrebbero essere i surfisti e li recuperano dall'acqua e si allontanano rapidamente dall'onda mentre superano altri surfisti e conducenti di getti d'acqua mentre tutti continuano a cavalcare sulle onde.</v>
      </c>
    </row>
    <row r="24309">
      <c r="A24309" s="4" t="s">
        <v>30583</v>
      </c>
      <c r="B24309" s="6" t="s">
        <v>30587</v>
      </c>
      <c r="C24309" s="5" t="str">
        <f>IFERROR(__xludf.DUMMYFUNCTION("GOOGLETRANSLATE(B24309,""en"",""it"")"),"Ora la vista cambia alla vista da un elicottero sopra e mostra le persone in acqua che guidano i loro getti d'acqua.")</f>
        <v>Ora la vista cambia alla vista da un elicottero sopra e mostra le persone in acqua che guidano i loro getti d'acqua.</v>
      </c>
    </row>
    <row r="24310">
      <c r="A24310" s="4" t="s">
        <v>30583</v>
      </c>
      <c r="B24310" s="6" t="s">
        <v>30588</v>
      </c>
      <c r="C24310" s="5" t="str">
        <f>IFERROR(__xludf.DUMMYFUNCTION("GOOGLETRANSLATE(B24310,""en"",""it"")"),"Viene visualizzato uno schermo nero e include lettere bianche che Say ""Shot on Red One di Mike Waltze"" e include un sito Web quindi la parola ""per gentile concessione di Nanogreenshawaii Dot com istantanee nutrizione istantanea"".")</f>
        <v>Viene visualizzato uno schermo nero e include lettere bianche che Say "Shot on Red One di Mike Waltze" e include un sito Web quindi la parola "per gentile concessione di Nanogreenshawaii Dot com istantanee nutrizione istantanea".</v>
      </c>
    </row>
    <row r="24311">
      <c r="A24311" s="4" t="s">
        <v>30589</v>
      </c>
      <c r="B24311" s="4" t="s">
        <v>30590</v>
      </c>
      <c r="C24311" s="5" t="str">
        <f>IFERROR(__xludf.DUMMYFUNCTION("GOOGLETRANSLATE(B24311,""en"",""it"")"),"Un uomo vestito da arbitro è mostrato in una pista di hockey.")</f>
        <v>Un uomo vestito da arbitro è mostrato in una pista di hockey.</v>
      </c>
    </row>
    <row r="24312">
      <c r="A24312" s="4" t="s">
        <v>30589</v>
      </c>
      <c r="B24312" s="4" t="s">
        <v>30591</v>
      </c>
      <c r="C24312" s="5" t="str">
        <f>IFERROR(__xludf.DUMMYFUNCTION("GOOGLETRANSLATE(B24312,""en"",""it"")"),"Un certo numero di uomini gioca viene mostrato giocando a hockey.")</f>
        <v>Un certo numero di uomini gioca viene mostrato giocando a hockey.</v>
      </c>
    </row>
    <row r="24313">
      <c r="A24313" s="4" t="s">
        <v>30589</v>
      </c>
      <c r="B24313" s="4" t="s">
        <v>30592</v>
      </c>
      <c r="C24313" s="5" t="str">
        <f>IFERROR(__xludf.DUMMYFUNCTION("GOOGLETRANSLATE(B24313,""en"",""it"")"),"Molti giocatori di hockey iniziano a combattere.")</f>
        <v>Molti giocatori di hockey iniziano a combattere.</v>
      </c>
    </row>
    <row r="24314">
      <c r="A24314" s="4" t="s">
        <v>30593</v>
      </c>
      <c r="B24314" s="4" t="s">
        <v>30594</v>
      </c>
      <c r="C24314" s="5" t="str">
        <f>IFERROR(__xludf.DUMMYFUNCTION("GOOGLETRANSLATE(B24314,""en"",""it"")"),"Le persone stanno camminando per strada con la banda musicale.")</f>
        <v>Le persone stanno camminando per strada con la banda musicale.</v>
      </c>
    </row>
    <row r="24315">
      <c r="A24315" s="4" t="s">
        <v>30593</v>
      </c>
      <c r="B24315" s="4" t="s">
        <v>30595</v>
      </c>
      <c r="C24315" s="5" t="str">
        <f>IFERROR(__xludf.DUMMYFUNCTION("GOOGLETRANSLATE(B24315,""en"",""it"")"),"Gli uomini nel giubbotto verde camminano su entrambi i lati della sfilata.")</f>
        <v>Gli uomini nel giubbotto verde camminano su entrambi i lati della sfilata.</v>
      </c>
    </row>
    <row r="24316">
      <c r="A24316" s="4" t="s">
        <v>30593</v>
      </c>
      <c r="B24316" s="4" t="s">
        <v>30596</v>
      </c>
      <c r="C24316" s="5" t="str">
        <f>IFERROR(__xludf.DUMMYFUNCTION("GOOGLETRANSLATE(B24316,""en"",""it"")"),"L'uomo nella giacca verde neon sta scattando la foto della sfilata.")</f>
        <v>L'uomo nella giacca verde neon sta scattando la foto della sfilata.</v>
      </c>
    </row>
    <row r="24317">
      <c r="A24317" s="4" t="s">
        <v>30597</v>
      </c>
      <c r="B24317" s="4" t="s">
        <v>30598</v>
      </c>
      <c r="C24317" s="5" t="str">
        <f>IFERROR(__xludf.DUMMYFUNCTION("GOOGLETRANSLATE(B24317,""en"",""it"")"),"C'è un giovane che skateboard attraverso una strada vuota a due corsie che ha alberi su entrambi i lati.")</f>
        <v>C'è un giovane che skateboard attraverso una strada vuota a due corsie che ha alberi su entrambi i lati.</v>
      </c>
    </row>
    <row r="24318">
      <c r="A24318" s="4" t="s">
        <v>30597</v>
      </c>
      <c r="B24318" s="4" t="s">
        <v>30599</v>
      </c>
      <c r="C24318" s="5" t="str">
        <f>IFERROR(__xludf.DUMMYFUNCTION("GOOGLETRANSLATE(B24318,""en"",""it"")"),"Passa costantemente attraverso la lunga e tortuosa strada senza fermarsi.")</f>
        <v>Passa costantemente attraverso la lunga e tortuosa strada senza fermarsi.</v>
      </c>
    </row>
    <row r="24319">
      <c r="A24319" s="4" t="s">
        <v>30597</v>
      </c>
      <c r="B24319" s="4" t="s">
        <v>30600</v>
      </c>
      <c r="C24319" s="5" t="str">
        <f>IFERROR(__xludf.DUMMYFUNCTION("GOOGLETRANSLATE(B24319,""en"",""it"")"),"Passa attraverso le curve e si gira per regolare la sua velocità.")</f>
        <v>Passa attraverso le curve e si gira per regolare la sua velocità.</v>
      </c>
    </row>
    <row r="24320">
      <c r="A24320" s="4" t="s">
        <v>30597</v>
      </c>
      <c r="B24320" s="6" t="s">
        <v>30601</v>
      </c>
      <c r="C24320" s="5" t="str">
        <f>IFERROR(__xludf.DUMMYFUNCTION("GOOGLETRANSLATE(B24320,""en"",""it"")"),"Quindi, mentre si avvicina a una ripida curva, cerca di girare ma finisce per cadere e lividi.")</f>
        <v>Quindi, mentre si avvicina a una ripida curva, cerca di girare ma finisce per cadere e lividi.</v>
      </c>
    </row>
    <row r="24321">
      <c r="A24321" s="4" t="s">
        <v>30597</v>
      </c>
      <c r="B24321" s="4" t="s">
        <v>30602</v>
      </c>
      <c r="C24321" s="5" t="str">
        <f>IFERROR(__xludf.DUMMYFUNCTION("GOOGLETRANSLATE(B24321,""en"",""it"")"),"Si alza immediatamente e mostra ai suoi amici il suo gomito raschiato e ferito.")</f>
        <v>Si alza immediatamente e mostra ai suoi amici il suo gomito raschiato e ferito.</v>
      </c>
    </row>
    <row r="24322">
      <c r="A24322" s="4" t="s">
        <v>30597</v>
      </c>
      <c r="B24322" s="4" t="s">
        <v>30603</v>
      </c>
      <c r="C24322" s="5" t="str">
        <f>IFERROR(__xludf.DUMMYFUNCTION("GOOGLETRANSLATE(B24322,""en"",""it"")"),"Un altro suo amico mostra anche le sue ferite che ha avuto dallo skateboard.")</f>
        <v>Un altro suo amico mostra anche le sue ferite che ha avuto dallo skateboard.</v>
      </c>
    </row>
    <row r="24323">
      <c r="A24323" s="4" t="s">
        <v>30604</v>
      </c>
      <c r="B24323" s="4" t="s">
        <v>30605</v>
      </c>
      <c r="C24323" s="5" t="str">
        <f>IFERROR(__xludf.DUMMYFUNCTION("GOOGLETRANSLATE(B24323,""en"",""it"")"),"Viene mostrato un montaggio di sprint di canoa.")</f>
        <v>Viene mostrato un montaggio di sprint di canoa.</v>
      </c>
    </row>
    <row r="24324">
      <c r="A24324" s="4" t="s">
        <v>30604</v>
      </c>
      <c r="B24324" s="4" t="s">
        <v>30606</v>
      </c>
      <c r="C24324" s="5" t="str">
        <f>IFERROR(__xludf.DUMMYFUNCTION("GOOGLETRANSLATE(B24324,""en"",""it"")"),"I vincitori celebrano e vengono mostrati sia uomini che donne.")</f>
        <v>I vincitori celebrano e vengono mostrati sia uomini che donne.</v>
      </c>
    </row>
    <row r="24325">
      <c r="A24325" s="4" t="s">
        <v>30607</v>
      </c>
      <c r="B24325" s="4" t="s">
        <v>30608</v>
      </c>
      <c r="C24325" s="5" t="str">
        <f>IFERROR(__xludf.DUMMYFUNCTION("GOOGLETRANSLATE(B24325,""en"",""it"")"),"Un'introduzione arriva sullo schermo su un video che mostra come triplicare il salto.")</f>
        <v>Un'introduzione arriva sullo schermo su un video che mostra come triplicare il salto.</v>
      </c>
    </row>
    <row r="24326">
      <c r="A24326" s="4" t="s">
        <v>30607</v>
      </c>
      <c r="B24326" s="4" t="s">
        <v>30609</v>
      </c>
      <c r="C24326" s="5" t="str">
        <f>IFERROR(__xludf.DUMMYFUNCTION("GOOGLETRANSLATE(B24326,""en"",""it"")"),"Un ragazzo viene mostrato che corre lungo una pista facendo un salto.")</f>
        <v>Un ragazzo viene mostrato che corre lungo una pista facendo un salto.</v>
      </c>
    </row>
    <row r="24327">
      <c r="A24327" s="4" t="s">
        <v>30607</v>
      </c>
      <c r="B24327" s="4" t="s">
        <v>30610</v>
      </c>
      <c r="C24327" s="5" t="str">
        <f>IFERROR(__xludf.DUMMYFUNCTION("GOOGLETRANSLATE(B24327,""en"",""it"")"),"Il salto viene nuovamente mostrato al rallentatore per una migliore comprensione.")</f>
        <v>Il salto viene nuovamente mostrato al rallentatore per una migliore comprensione.</v>
      </c>
    </row>
    <row r="24328">
      <c r="A24328" s="4" t="s">
        <v>30607</v>
      </c>
      <c r="B24328" s="4" t="s">
        <v>30611</v>
      </c>
      <c r="C24328" s="5" t="str">
        <f>IFERROR(__xludf.DUMMYFUNCTION("GOOGLETRANSLATE(B24328,""en"",""it"")"),"Il ragazzo viene quindi mostrato che esce dalla traccia.")</f>
        <v>Il ragazzo viene quindi mostrato che esce dalla traccia.</v>
      </c>
    </row>
    <row r="24329">
      <c r="A24329" s="4" t="s">
        <v>30612</v>
      </c>
      <c r="B24329" s="4" t="s">
        <v>30613</v>
      </c>
      <c r="C24329" s="5" t="str">
        <f>IFERROR(__xludf.DUMMYFUNCTION("GOOGLETRANSLATE(B24329,""en"",""it"")"),"Una persona sta lavando un'auto.")</f>
        <v>Una persona sta lavando un'auto.</v>
      </c>
    </row>
    <row r="24330">
      <c r="A24330" s="4" t="s">
        <v>30612</v>
      </c>
      <c r="B24330" s="4" t="s">
        <v>30614</v>
      </c>
      <c r="C24330" s="5" t="str">
        <f>IFERROR(__xludf.DUMMYFUNCTION("GOOGLETRANSLATE(B24330,""en"",""it"")"),"La persona cambia mano e lava con l'altra mano.")</f>
        <v>La persona cambia mano e lava con l'altra mano.</v>
      </c>
    </row>
    <row r="24331">
      <c r="A24331" s="4" t="s">
        <v>30612</v>
      </c>
      <c r="B24331" s="4" t="s">
        <v>30615</v>
      </c>
      <c r="C24331" s="5" t="str">
        <f>IFERROR(__xludf.DUMMYFUNCTION("GOOGLETRANSLATE(B24331,""en"",""it"")"),"Quindi usano entrambe le mani.")</f>
        <v>Quindi usano entrambe le mani.</v>
      </c>
    </row>
    <row r="24332">
      <c r="A24332" s="4" t="s">
        <v>30616</v>
      </c>
      <c r="B24332" s="4" t="s">
        <v>30617</v>
      </c>
      <c r="C24332" s="5" t="str">
        <f>IFERROR(__xludf.DUMMYFUNCTION("GOOGLETRANSLATE(B24332,""en"",""it"")"),"Un uomo si sporge su un grande tavolo da biliardo.")</f>
        <v>Un uomo si sporge su un grande tavolo da biliardo.</v>
      </c>
    </row>
    <row r="24333">
      <c r="A24333" s="4" t="s">
        <v>30616</v>
      </c>
      <c r="B24333" s="4" t="s">
        <v>30618</v>
      </c>
      <c r="C24333" s="5" t="str">
        <f>IFERROR(__xludf.DUMMYFUNCTION("GOOGLETRANSLATE(B24333,""en"",""it"")"),"Usa un segnale per sparare alla palla verso la tasca.")</f>
        <v>Usa un segnale per sparare alla palla verso la tasca.</v>
      </c>
    </row>
    <row r="24334">
      <c r="A24334" s="4" t="s">
        <v>30616</v>
      </c>
      <c r="B24334" s="4" t="s">
        <v>30619</v>
      </c>
      <c r="C24334" s="5" t="str">
        <f>IFERROR(__xludf.DUMMYFUNCTION("GOOGLETRANSLATE(B24334,""en"",""it"")"),"Ci prova ancora e ancora fino a quando non vanno nelle tasche.")</f>
        <v>Ci prova ancora e ancora fino a quando non vanno nelle tasche.</v>
      </c>
    </row>
    <row r="24335">
      <c r="A24335" s="4" t="s">
        <v>30620</v>
      </c>
      <c r="B24335" s="4" t="s">
        <v>30621</v>
      </c>
      <c r="C24335" s="5" t="str">
        <f>IFERROR(__xludf.DUMMYFUNCTION("GOOGLETRANSLATE(B24335,""en"",""it"")"),"Una sala di classe è piena di studenti seduti o in piedi.")</f>
        <v>Una sala di classe è piena di studenti seduti o in piedi.</v>
      </c>
    </row>
    <row r="24336">
      <c r="A24336" s="4" t="s">
        <v>30620</v>
      </c>
      <c r="B24336" s="6" t="s">
        <v>30622</v>
      </c>
      <c r="C24336" s="5" t="str">
        <f>IFERROR(__xludf.DUMMYFUNCTION("GOOGLETRANSLATE(B24336,""en"",""it"")"),"All'improvviso, un gruppo di ragazzi inizia a correre in classe sorridendo, marciando sul posto e facendo un po 'di balli ed esercizi mentre il resto della classe seduta guarda.")</f>
        <v>All'improvviso, un gruppo di ragazzi inizia a correre in classe sorridendo, marciando sul posto e facendo un po 'di balli ed esercizi mentre il resto della classe seduta guarda.</v>
      </c>
    </row>
    <row r="24337">
      <c r="A24337" s="4" t="s">
        <v>30620</v>
      </c>
      <c r="B24337" s="4" t="s">
        <v>30623</v>
      </c>
      <c r="C24337" s="5" t="str">
        <f>IFERROR(__xludf.DUMMYFUNCTION("GOOGLETRANSLATE(B24337,""en"",""it"")"),"I ragazzi si diffondono e terminano la loro routine, poi si camminano l'uno verso l'altro mentre sorridono.")</f>
        <v>I ragazzi si diffondono e terminano la loro routine, poi si camminano l'uno verso l'altro mentre sorridono.</v>
      </c>
    </row>
    <row r="24338">
      <c r="A24338" s="4" t="s">
        <v>30624</v>
      </c>
      <c r="B24338" s="4" t="s">
        <v>30625</v>
      </c>
      <c r="C24338" s="5" t="str">
        <f>IFERROR(__xludf.DUMMYFUNCTION("GOOGLETRANSLATE(B24338,""en"",""it"")"),"Un uomo sta facendo le divisioni all'interno di una palestra.")</f>
        <v>Un uomo sta facendo le divisioni all'interno di una palestra.</v>
      </c>
    </row>
    <row r="24339">
      <c r="A24339" s="4" t="s">
        <v>30624</v>
      </c>
      <c r="B24339" s="4" t="s">
        <v>30626</v>
      </c>
      <c r="C24339" s="5" t="str">
        <f>IFERROR(__xludf.DUMMYFUNCTION("GOOGLETRANSLATE(B24339,""en"",""it"")"),"Parla alla telecamera della procedura.")</f>
        <v>Parla alla telecamera della procedura.</v>
      </c>
    </row>
    <row r="24340">
      <c r="A24340" s="4" t="s">
        <v>30624</v>
      </c>
      <c r="B24340" s="4" t="s">
        <v>30627</v>
      </c>
      <c r="C24340" s="5" t="str">
        <f>IFERROR(__xludf.DUMMYFUNCTION("GOOGLETRANSLATE(B24340,""en"",""it"")"),"Si sporge in avanti, allungando le gambe.")</f>
        <v>Si sporge in avanti, allungando le gambe.</v>
      </c>
    </row>
    <row r="24341">
      <c r="A24341" s="4" t="s">
        <v>30628</v>
      </c>
      <c r="B24341" s="6" t="s">
        <v>30629</v>
      </c>
      <c r="C24341" s="5" t="str">
        <f>IFERROR(__xludf.DUMMYFUNCTION("GOOGLETRANSLATE(B24341,""en"",""it"")"),"Una donna sta su davanti a una vernice che tiene una bottiglia, quindi i dipinti su tela sono mostrati in una presentazione.")</f>
        <v>Una donna sta su davanti a una vernice che tiene una bottiglia, quindi i dipinti su tela sono mostrati in una presentazione.</v>
      </c>
    </row>
    <row r="24342">
      <c r="A24342" s="4" t="s">
        <v>30628</v>
      </c>
      <c r="B24342" s="6" t="s">
        <v>30630</v>
      </c>
      <c r="C24342" s="5" t="str">
        <f>IFERROR(__xludf.DUMMYFUNCTION("GOOGLETRANSLATE(B24342,""en"",""it"")"),"Quindi, la donna dipinge due tela usando una bottiglia, quando è necessario la donna ruota la tela.")</f>
        <v>Quindi, la donna dipinge due tela usando una bottiglia, quando è necessario la donna ruota la tela.</v>
      </c>
    </row>
    <row r="24343">
      <c r="A24343" s="4" t="s">
        <v>30628</v>
      </c>
      <c r="B24343" s="4" t="s">
        <v>30631</v>
      </c>
      <c r="C24343" s="5" t="str">
        <f>IFERROR(__xludf.DUMMYFUNCTION("GOOGLETRANSLATE(B24343,""en"",""it"")"),"Quindi, la donna mette la tela sul pavimento e continua a dipingere con la bottiglia.")</f>
        <v>Quindi, la donna mette la tela sul pavimento e continua a dipingere con la bottiglia.</v>
      </c>
    </row>
    <row r="24344">
      <c r="A24344" s="4" t="s">
        <v>30628</v>
      </c>
      <c r="B24344" s="6" t="s">
        <v>30632</v>
      </c>
      <c r="C24344" s="5" t="str">
        <f>IFERROR(__xludf.DUMMYFUNCTION("GOOGLETRANSLATE(B24344,""en"",""it"")"),"Dopo, la donna appende i dipinti sui dipinti, poi mette i dipinti sul pavimento e poi pende sul muro per continuare a dipingere.")</f>
        <v>Dopo, la donna appende i dipinti sui dipinti, poi mette i dipinti sul pavimento e poi pende sul muro per continuare a dipingere.</v>
      </c>
    </row>
    <row r="24345">
      <c r="A24345" s="4" t="s">
        <v>30633</v>
      </c>
      <c r="B24345" s="4" t="s">
        <v>30634</v>
      </c>
      <c r="C24345" s="5" t="str">
        <f>IFERROR(__xludf.DUMMYFUNCTION("GOOGLETRANSLATE(B24345,""en"",""it"")"),"Una persona sta diffondendo qualcosa di verde sul pane.")</f>
        <v>Una persona sta diffondendo qualcosa di verde sul pane.</v>
      </c>
    </row>
    <row r="24346">
      <c r="A24346" s="4" t="s">
        <v>30633</v>
      </c>
      <c r="B24346" s="4" t="s">
        <v>30635</v>
      </c>
      <c r="C24346" s="5" t="str">
        <f>IFERROR(__xludf.DUMMYFUNCTION("GOOGLETRANSLATE(B24346,""en"",""it"")"),"Hanno messo il sandwich in una griglia.")</f>
        <v>Hanno messo il sandwich in una griglia.</v>
      </c>
    </row>
    <row r="24347">
      <c r="A24347" s="4" t="s">
        <v>30633</v>
      </c>
      <c r="B24347" s="4" t="s">
        <v>30636</v>
      </c>
      <c r="C24347" s="5" t="str">
        <f>IFERROR(__xludf.DUMMYFUNCTION("GOOGLETRANSLATE(B24347,""en"",""it"")"),"Togli il panino dalla griglia e lo mettono su un piatto.")</f>
        <v>Togli il panino dalla griglia e lo mettono su un piatto.</v>
      </c>
    </row>
    <row r="24348">
      <c r="A24348" s="4" t="s">
        <v>30637</v>
      </c>
      <c r="B24348" s="4" t="s">
        <v>1251</v>
      </c>
      <c r="C24348" s="5" t="str">
        <f>IFERROR(__xludf.DUMMYFUNCTION("GOOGLETRANSLATE(B24348,""en"",""it"")"),"Vengono visualizzati i crediti della clip.")</f>
        <v>Vengono visualizzati i crediti della clip.</v>
      </c>
    </row>
    <row r="24349">
      <c r="A24349" s="4" t="s">
        <v>30637</v>
      </c>
      <c r="B24349" s="4" t="s">
        <v>30638</v>
      </c>
      <c r="C24349" s="5" t="str">
        <f>IFERROR(__xludf.DUMMYFUNCTION("GOOGLETRANSLATE(B24349,""en"",""it"")"),"Le persone interagiscono in un campo interno.")</f>
        <v>Le persone interagiscono in un campo interno.</v>
      </c>
    </row>
    <row r="24350">
      <c r="A24350" s="4" t="s">
        <v>30637</v>
      </c>
      <c r="B24350" s="4" t="s">
        <v>30639</v>
      </c>
      <c r="C24350" s="5" t="str">
        <f>IFERROR(__xludf.DUMMYFUNCTION("GOOGLETRANSLATE(B24350,""en"",""it"")"),"La gente corre per raccogliere le palle dal centro del campo.")</f>
        <v>La gente corre per raccogliere le palle dal centro del campo.</v>
      </c>
    </row>
    <row r="24351">
      <c r="A24351" s="4" t="s">
        <v>30637</v>
      </c>
      <c r="B24351" s="4" t="s">
        <v>30640</v>
      </c>
      <c r="C24351" s="5" t="str">
        <f>IFERROR(__xludf.DUMMYFUNCTION("GOOGLETRANSLATE(B24351,""en"",""it"")"),"Due squadre giocano a Dodge-Ball.")</f>
        <v>Due squadre giocano a Dodge-Ball.</v>
      </c>
    </row>
    <row r="24352">
      <c r="A24352" s="4" t="s">
        <v>30637</v>
      </c>
      <c r="B24352" s="4" t="s">
        <v>30641</v>
      </c>
      <c r="C24352" s="5" t="str">
        <f>IFERROR(__xludf.DUMMYFUNCTION("GOOGLETRANSLATE(B24352,""en"",""it"")"),"Un membro del team rosso si corre e lancia una palla direttamente su un avversario.")</f>
        <v>Un membro del team rosso si corre e lancia una palla direttamente su un avversario.</v>
      </c>
    </row>
    <row r="24353">
      <c r="A24353" s="4" t="s">
        <v>30642</v>
      </c>
      <c r="B24353" s="6" t="s">
        <v>30643</v>
      </c>
      <c r="C24353" s="5" t="str">
        <f>IFERROR(__xludf.DUMMYFUNCTION("GOOGLETRANSLATE(B24353,""en"",""it"")"),"Una donna dimostra come asciugare un ripiano e il lavandino di acqua schizzata da un rubinetto del lavandino con un tovagliolo di carta.")</f>
        <v>Una donna dimostra come asciugare un ripiano e il lavandino di acqua schizzata da un rubinetto del lavandino con un tovagliolo di carta.</v>
      </c>
    </row>
    <row r="24354">
      <c r="A24354" s="4" t="s">
        <v>30642</v>
      </c>
      <c r="B24354" s="4" t="s">
        <v>30644</v>
      </c>
      <c r="C24354" s="5" t="str">
        <f>IFERROR(__xludf.DUMMYFUNCTION("GOOGLETRANSLATE(B24354,""en"",""it"")"),"Una donna si trova in una cucina accanto a un lavandino e parla alla telecamera.")</f>
        <v>Una donna si trova in una cucina accanto a un lavandino e parla alla telecamera.</v>
      </c>
    </row>
    <row r="24355">
      <c r="A24355" s="4" t="s">
        <v>30642</v>
      </c>
      <c r="B24355" s="6" t="s">
        <v>30645</v>
      </c>
      <c r="C24355" s="5" t="str">
        <f>IFERROR(__xludf.DUMMYFUNCTION("GOOGLETRANSLATE(B24355,""en"",""it"")"),"La donna punta a uno spruzzo d'acqua sul bancone accanto al lavandino dopo aver acceso l'acqua nel lavandino.")</f>
        <v>La donna punta a uno spruzzo d'acqua sul bancone accanto al lavandino dopo aver acceso l'acqua nel lavandino.</v>
      </c>
    </row>
    <row r="24356">
      <c r="A24356" s="4" t="s">
        <v>30642</v>
      </c>
      <c r="B24356" s="6" t="s">
        <v>30646</v>
      </c>
      <c r="C24356" s="5" t="str">
        <f>IFERROR(__xludf.DUMMYFUNCTION("GOOGLETRANSLATE(B24356,""en"",""it"")"),"La donna quindi afferra un tovagliolo di carta e si asciuga il bancone del lavandino, l'interno del lavandino e il beccuccio.")</f>
        <v>La donna quindi afferra un tovagliolo di carta e si asciuga il bancone del lavandino, l'interno del lavandino e il beccuccio.</v>
      </c>
    </row>
    <row r="24357">
      <c r="A24357" s="4" t="s">
        <v>30642</v>
      </c>
      <c r="B24357" s="4" t="s">
        <v>30647</v>
      </c>
      <c r="C24357" s="5" t="str">
        <f>IFERROR(__xludf.DUMMYFUNCTION("GOOGLETRANSLATE(B24357,""en"",""it"")"),"La donna torna quindi a parlare con la telecamera.")</f>
        <v>La donna torna quindi a parlare con la telecamera.</v>
      </c>
    </row>
    <row r="24358">
      <c r="A24358" s="4" t="s">
        <v>30648</v>
      </c>
      <c r="B24358" s="4" t="s">
        <v>30649</v>
      </c>
      <c r="C24358" s="5" t="str">
        <f>IFERROR(__xludf.DUMMYFUNCTION("GOOGLETRANSLATE(B24358,""en"",""it"")"),"Un'introduzione conduce a una donna che parla con una classe seduta in bicicletta e inizia a andare in giro.")</f>
        <v>Un'introduzione conduce a una donna che parla con una classe seduta in bicicletta e inizia a andare in giro.</v>
      </c>
    </row>
    <row r="24359">
      <c r="A24359" s="4" t="s">
        <v>30648</v>
      </c>
      <c r="B24359" s="4" t="s">
        <v>30650</v>
      </c>
      <c r="C24359" s="5" t="str">
        <f>IFERROR(__xludf.DUMMYFUNCTION("GOOGLETRANSLATE(B24359,""en"",""it"")"),"Guida la lezione in una lezione di andare in bicicletta e ispira i suoi studenti a spacciare duramente in questo modo.")</f>
        <v>Guida la lezione in una lezione di andare in bicicletta e ispira i suoi studenti a spacciare duramente in questo modo.</v>
      </c>
    </row>
    <row r="24360">
      <c r="A24360" s="4" t="s">
        <v>30648</v>
      </c>
      <c r="B24360" s="4" t="s">
        <v>30651</v>
      </c>
      <c r="C24360" s="5" t="str">
        <f>IFERROR(__xludf.DUMMYFUNCTION("GOOGLETRANSLATE(B24360,""en"",""it"")"),"La gente sorride insieme a lei mentre la telecamera piova su diversi scatti della gente.")</f>
        <v>La gente sorride insieme a lei mentre la telecamera piova su diversi scatti della gente.</v>
      </c>
    </row>
    <row r="24361">
      <c r="A24361" s="4" t="s">
        <v>30652</v>
      </c>
      <c r="B24361" s="6" t="s">
        <v>30653</v>
      </c>
      <c r="C24361" s="5" t="str">
        <f>IFERROR(__xludf.DUMMYFUNCTION("GOOGLETRANSLATE(B24361,""en"",""it"")"),"Un uomo tiene un piatto con il cibo mentre parlava, poi due ragazze corrono sul campo erano altre persone che camminano.")</f>
        <v>Un uomo tiene un piatto con il cibo mentre parlava, poi due ragazze corrono sul campo erano altre persone che camminano.</v>
      </c>
    </row>
    <row r="24362">
      <c r="A24362" s="4" t="s">
        <v>30652</v>
      </c>
      <c r="B24362" s="4" t="s">
        <v>30654</v>
      </c>
      <c r="C24362" s="5" t="str">
        <f>IFERROR(__xludf.DUMMYFUNCTION("GOOGLETRANSLATE(B24362,""en"",""it"")"),"Le persone giocano a lanciare palle per terra.")</f>
        <v>Le persone giocano a lanciare palle per terra.</v>
      </c>
    </row>
    <row r="24363">
      <c r="A24363" s="4" t="s">
        <v>30652</v>
      </c>
      <c r="B24363" s="4" t="s">
        <v>30655</v>
      </c>
      <c r="C24363" s="5" t="str">
        <f>IFERROR(__xludf.DUMMYFUNCTION("GOOGLETRANSLATE(B24363,""en"",""it"")"),"Dopo, una band suona e le persone ballano tra cui una sposa.")</f>
        <v>Dopo, una band suona e le persone ballano tra cui una sposa.</v>
      </c>
    </row>
    <row r="24364">
      <c r="A24364" s="4" t="s">
        <v>30652</v>
      </c>
      <c r="B24364" s="4" t="s">
        <v>30656</v>
      </c>
      <c r="C24364" s="5" t="str">
        <f>IFERROR(__xludf.DUMMYFUNCTION("GOOGLETRANSLATE(B24364,""en"",""it"")"),"La gente entra in barche e naviga nel fiume mentre altre persone si riposano.")</f>
        <v>La gente entra in barche e naviga nel fiume mentre altre persone si riposano.</v>
      </c>
    </row>
    <row r="24365">
      <c r="A24365" s="4" t="s">
        <v>30652</v>
      </c>
      <c r="B24365" s="4" t="s">
        <v>30657</v>
      </c>
      <c r="C24365" s="5" t="str">
        <f>IFERROR(__xludf.DUMMYFUNCTION("GOOGLETRANSLATE(B24365,""en"",""it"")"),"Le persone passano una piccola cascata con acqua mosse e poi scendono lungo il fiume.")</f>
        <v>Le persone passano una piccola cascata con acqua mosse e poi scendono lungo il fiume.</v>
      </c>
    </row>
    <row r="24366">
      <c r="A24366" s="4" t="s">
        <v>30652</v>
      </c>
      <c r="B24366" s="4" t="s">
        <v>30658</v>
      </c>
      <c r="C24366" s="5" t="str">
        <f>IFERROR(__xludf.DUMMYFUNCTION("GOOGLETRANSLATE(B24366,""en"",""it"")"),"Le persone si tuffano nel fiume e poi si riposano mentre bevono, quindi vanno nel fiume.")</f>
        <v>Le persone si tuffano nel fiume e poi si riposano mentre bevono, quindi vanno nel fiume.</v>
      </c>
    </row>
    <row r="24367">
      <c r="A24367" s="4" t="s">
        <v>30659</v>
      </c>
      <c r="B24367" s="4" t="s">
        <v>30660</v>
      </c>
      <c r="C24367" s="5" t="str">
        <f>IFERROR(__xludf.DUMMYFUNCTION("GOOGLETRANSLATE(B24367,""en"",""it"")"),"Un gruppo di anziani viene raccolto in un tribunale.")</f>
        <v>Un gruppo di anziani viene raccolto in un tribunale.</v>
      </c>
    </row>
    <row r="24368">
      <c r="A24368" s="4" t="s">
        <v>30659</v>
      </c>
      <c r="B24368" s="4" t="s">
        <v>30661</v>
      </c>
      <c r="C24368" s="5" t="str">
        <f>IFERROR(__xludf.DUMMYFUNCTION("GOOGLETRANSLATE(B24368,""en"",""it"")"),"Sono impegnati in una partita di curling.")</f>
        <v>Sono impegnati in una partita di curling.</v>
      </c>
    </row>
    <row r="24369">
      <c r="A24369" s="4" t="s">
        <v>30659</v>
      </c>
      <c r="B24369" s="4" t="s">
        <v>30662</v>
      </c>
      <c r="C24369" s="5" t="str">
        <f>IFERROR(__xludf.DUMMYFUNCTION("GOOGLETRANSLATE(B24369,""en"",""it"")"),"Hanno colpito il disco, spingendolo in avanti.")</f>
        <v>Hanno colpito il disco, spingendolo in avanti.</v>
      </c>
    </row>
    <row r="24370">
      <c r="A24370" s="4" t="s">
        <v>30663</v>
      </c>
      <c r="B24370" s="4" t="s">
        <v>30664</v>
      </c>
      <c r="C24370" s="5" t="str">
        <f>IFERROR(__xludf.DUMMYFUNCTION("GOOGLETRANSLATE(B24370,""en"",""it"")"),"Un uomo viene visto vicino in piedi su un campo.")</f>
        <v>Un uomo viene visto vicino in piedi su un campo.</v>
      </c>
    </row>
    <row r="24371">
      <c r="A24371" s="4" t="s">
        <v>30663</v>
      </c>
      <c r="B24371" s="4" t="s">
        <v>30665</v>
      </c>
      <c r="C24371" s="5" t="str">
        <f>IFERROR(__xludf.DUMMYFUNCTION("GOOGLETRANSLATE(B24371,""en"",""it"")"),"Una persona quindi passa all'uomo una palla per salire sul campo.")</f>
        <v>Una persona quindi passa all'uomo una palla per salire sul campo.</v>
      </c>
    </row>
    <row r="24372">
      <c r="A24372" s="4" t="s">
        <v>30663</v>
      </c>
      <c r="B24372" s="4" t="s">
        <v>30666</v>
      </c>
      <c r="C24372" s="5" t="str">
        <f>IFERROR(__xludf.DUMMYFUNCTION("GOOGLETRANSLATE(B24372,""en"",""it"")"),"La gente inizia quindi a calciare la palla.")</f>
        <v>La gente inizia quindi a calciare la palla.</v>
      </c>
    </row>
    <row r="24373">
      <c r="A24373" s="4" t="s">
        <v>30667</v>
      </c>
      <c r="B24373" s="4" t="s">
        <v>30668</v>
      </c>
      <c r="C24373" s="5" t="str">
        <f>IFERROR(__xludf.DUMMYFUNCTION("GOOGLETRANSLATE(B24373,""en"",""it"")"),"Si vede un primo piano di un pavimento seguito da un bambino in ginocchio prima di un altro.")</f>
        <v>Si vede un primo piano di un pavimento seguito da un bambino in ginocchio prima di un altro.</v>
      </c>
    </row>
    <row r="24374">
      <c r="A24374" s="4" t="s">
        <v>30667</v>
      </c>
      <c r="B24374" s="4" t="s">
        <v>30669</v>
      </c>
      <c r="C24374" s="5" t="str">
        <f>IFERROR(__xludf.DUMMYFUNCTION("GOOGLETRANSLATE(B24374,""en"",""it"")"),"Una persona è vista seduta su un letto con il bambino che brilla le scarpe di un altro.")</f>
        <v>Una persona è vista seduta su un letto con il bambino che brilla le scarpe di un altro.</v>
      </c>
    </row>
    <row r="24375">
      <c r="A24375" s="4" t="s">
        <v>30667</v>
      </c>
      <c r="B24375" s="4" t="s">
        <v>30670</v>
      </c>
      <c r="C24375" s="5" t="str">
        <f>IFERROR(__xludf.DUMMYFUNCTION("GOOGLETRANSLATE(B24375,""en"",""it"")"),"I bambini continuano a brillare le scarpe di un altro.")</f>
        <v>I bambini continuano a brillare le scarpe di un altro.</v>
      </c>
    </row>
    <row r="24376">
      <c r="A24376" s="4" t="s">
        <v>30671</v>
      </c>
      <c r="B24376" s="4" t="s">
        <v>30672</v>
      </c>
      <c r="C24376" s="5" t="str">
        <f>IFERROR(__xludf.DUMMYFUNCTION("GOOGLETRANSLATE(B24376,""en"",""it"")"),"Un uomo viene visto usando un martello e uno strumento per eliminare pezzi di un tetto.")</f>
        <v>Un uomo viene visto usando un martello e uno strumento per eliminare pezzi di un tetto.</v>
      </c>
    </row>
    <row r="24377">
      <c r="A24377" s="4" t="s">
        <v>30671</v>
      </c>
      <c r="B24377" s="6" t="s">
        <v>30673</v>
      </c>
      <c r="C24377" s="5" t="str">
        <f>IFERROR(__xludf.DUMMYFUNCTION("GOOGLETRANSLATE(B24377,""en"",""it"")"),"L'uomo quindi posa una barra e continua a posizionare l'herpes zoster mentre la fotocamera si muove intorno.")</f>
        <v>L'uomo quindi posa una barra e continua a posizionare l'herpes zoster mentre la fotocamera si muove intorno.</v>
      </c>
    </row>
    <row r="24378">
      <c r="A24378" s="4" t="s">
        <v>30674</v>
      </c>
      <c r="B24378" s="4" t="s">
        <v>30675</v>
      </c>
      <c r="C24378" s="5" t="str">
        <f>IFERROR(__xludf.DUMMYFUNCTION("GOOGLETRANSLATE(B24378,""en"",""it"")"),"Viene mostrata un'immagine animata di una spazzola di curling.")</f>
        <v>Viene mostrata un'immagine animata di una spazzola di curling.</v>
      </c>
    </row>
    <row r="24379">
      <c r="A24379" s="4" t="s">
        <v>30674</v>
      </c>
      <c r="B24379" s="4" t="s">
        <v>30676</v>
      </c>
      <c r="C24379" s="5" t="str">
        <f>IFERROR(__xludf.DUMMYFUNCTION("GOOGLETRANSLATE(B24379,""en"",""it"")"),"Una donna si piega e mette qualcosa su una scala.")</f>
        <v>Una donna si piega e mette qualcosa su una scala.</v>
      </c>
    </row>
    <row r="24380">
      <c r="A24380" s="4" t="s">
        <v>30674</v>
      </c>
      <c r="B24380" s="4" t="s">
        <v>30677</v>
      </c>
      <c r="C24380" s="5" t="str">
        <f>IFERROR(__xludf.DUMMYFUNCTION("GOOGLETRANSLATE(B24380,""en"",""it"")"),"Quindi scivola sul ghiaccio.")</f>
        <v>Quindi scivola sul ghiaccio.</v>
      </c>
    </row>
    <row r="24381">
      <c r="A24381" s="4" t="s">
        <v>30678</v>
      </c>
      <c r="B24381" s="4" t="s">
        <v>30679</v>
      </c>
      <c r="C24381" s="5" t="str">
        <f>IFERROR(__xludf.DUMMYFUNCTION("GOOGLETRANSLATE(B24381,""en"",""it"")"),"Una donna più grande viene vista seduta su una sedia mentre un uomo si asciuga il labbro e ci mette un segno.")</f>
        <v>Una donna più grande viene vista seduta su una sedia mentre un uomo si asciuga il labbro e ci mette un segno.</v>
      </c>
    </row>
    <row r="24382">
      <c r="A24382" s="4" t="s">
        <v>30678</v>
      </c>
      <c r="B24382" s="4" t="s">
        <v>30680</v>
      </c>
      <c r="C24382" s="5" t="str">
        <f>IFERROR(__xludf.DUMMYFUNCTION("GOOGLETRANSLATE(B24382,""en"",""it"")"),"La donna si sdraia e l'uomo si mette un ago nel labbro creando un piercing.")</f>
        <v>La donna si sdraia e l'uomo si mette un ago nel labbro creando un piercing.</v>
      </c>
    </row>
    <row r="24383">
      <c r="A24383" s="4" t="s">
        <v>30678</v>
      </c>
      <c r="B24383" s="4" t="s">
        <v>30681</v>
      </c>
      <c r="C24383" s="5" t="str">
        <f>IFERROR(__xludf.DUMMYFUNCTION("GOOGLETRANSLATE(B24383,""en"",""it"")"),"La donna si siede e sorride mentre l'uomo si asciuga il labbro e continua a parlare.")</f>
        <v>La donna si siede e sorride mentre l'uomo si asciuga il labbro e continua a parlare.</v>
      </c>
    </row>
    <row r="24384">
      <c r="A24384" s="4" t="s">
        <v>30682</v>
      </c>
      <c r="B24384" s="4" t="s">
        <v>30683</v>
      </c>
      <c r="C24384" s="5" t="str">
        <f>IFERROR(__xludf.DUMMYFUNCTION("GOOGLETRANSLATE(B24384,""en"",""it"")"),"Una donna viene vista pulire uno specchio che porta a lei in piedi dietro un bancone.")</f>
        <v>Una donna viene vista pulire uno specchio che porta a lei in piedi dietro un bancone.</v>
      </c>
    </row>
    <row r="24385">
      <c r="A24385" s="4" t="s">
        <v>30682</v>
      </c>
      <c r="B24385" s="6" t="s">
        <v>30684</v>
      </c>
      <c r="C24385" s="5" t="str">
        <f>IFERROR(__xludf.DUMMYFUNCTION("GOOGLETRANSLATE(B24385,""en"",""it"")"),"Versa gli ingredienti in un secchio, immerge la spugna nel secchio, quindi si asciuga uno specchio con un tergicristallo.")</f>
        <v>Versa gli ingredienti in un secchio, immerge la spugna nel secchio, quindi si asciuga uno specchio con un tergicristallo.</v>
      </c>
    </row>
    <row r="24386">
      <c r="A24386" s="4" t="s">
        <v>30685</v>
      </c>
      <c r="B24386" s="4" t="s">
        <v>30686</v>
      </c>
      <c r="C24386" s="5" t="str">
        <f>IFERROR(__xludf.DUMMYFUNCTION("GOOGLETRANSLATE(B24386,""en"",""it"")"),"Una persona viene vista cavalcare lungo l'acqua in un kayak mentre un altro uomo lo guarda sul lato.")</f>
        <v>Una persona viene vista cavalcare lungo l'acqua in un kayak mentre un altro uomo lo guarda sul lato.</v>
      </c>
    </row>
    <row r="24387">
      <c r="A24387" s="4" t="s">
        <v>30685</v>
      </c>
      <c r="B24387" s="4" t="s">
        <v>30687</v>
      </c>
      <c r="C24387" s="5" t="str">
        <f>IFERROR(__xludf.DUMMYFUNCTION("GOOGLETRANSLATE(B24387,""en"",""it"")"),"Continua a cavalcare lungo l'acqua nel kayak e fa capovolge in acqua.")</f>
        <v>Continua a cavalcare lungo l'acqua nel kayak e fa capovolge in acqua.</v>
      </c>
    </row>
    <row r="24388">
      <c r="A24388" s="4" t="s">
        <v>30688</v>
      </c>
      <c r="B24388" s="4" t="s">
        <v>30689</v>
      </c>
      <c r="C24388" s="5" t="str">
        <f>IFERROR(__xludf.DUMMYFUNCTION("GOOGLETRANSLATE(B24388,""en"",""it"")"),"Le persone giocano a pallavolo nella sabbia.")</f>
        <v>Le persone giocano a pallavolo nella sabbia.</v>
      </c>
    </row>
    <row r="24389">
      <c r="A24389" s="4" t="s">
        <v>30688</v>
      </c>
      <c r="B24389" s="4" t="s">
        <v>30690</v>
      </c>
      <c r="C24389" s="5" t="str">
        <f>IFERROR(__xludf.DUMMYFUNCTION("GOOGLETRANSLATE(B24389,""en"",""it"")"),"Una persona cade nella sabbia.")</f>
        <v>Una persona cade nella sabbia.</v>
      </c>
    </row>
    <row r="24390">
      <c r="A24390" s="4" t="s">
        <v>30688</v>
      </c>
      <c r="B24390" s="4" t="s">
        <v>30691</v>
      </c>
      <c r="C24390" s="5" t="str">
        <f>IFERROR(__xludf.DUMMYFUNCTION("GOOGLETRANSLATE(B24390,""en"",""it"")"),"Una donna con una camicia blu sta parlando con la telecamera.")</f>
        <v>Una donna con una camicia blu sta parlando con la telecamera.</v>
      </c>
    </row>
    <row r="24391">
      <c r="A24391" s="4" t="s">
        <v>30688</v>
      </c>
      <c r="B24391" s="4" t="s">
        <v>21372</v>
      </c>
      <c r="C24391" s="5" t="str">
        <f>IFERROR(__xludf.DUMMYFUNCTION("GOOGLETRANSLATE(B24391,""en"",""it"")"),"Una donna con una camicia nera sta parlando con la telecamera.")</f>
        <v>Una donna con una camicia nera sta parlando con la telecamera.</v>
      </c>
    </row>
    <row r="24392">
      <c r="A24392" s="4" t="s">
        <v>30692</v>
      </c>
      <c r="B24392" s="4" t="s">
        <v>30693</v>
      </c>
      <c r="C24392" s="5" t="str">
        <f>IFERROR(__xludf.DUMMYFUNCTION("GOOGLETRANSLATE(B24392,""en"",""it"")"),"Uomini e donne in posa e sorridono alla telecamera.")</f>
        <v>Uomini e donne in posa e sorridono alla telecamera.</v>
      </c>
    </row>
    <row r="24393">
      <c r="A24393" s="4" t="s">
        <v>30692</v>
      </c>
      <c r="B24393" s="4" t="s">
        <v>30694</v>
      </c>
      <c r="C24393" s="5" t="str">
        <f>IFERROR(__xludf.DUMMYFUNCTION("GOOGLETRANSLATE(B24393,""en"",""it"")"),"Un gruppo di uomini e donne vestiti con attrezzatura per immersioni per acqua fredda arriverà su un furgone.")</f>
        <v>Un gruppo di uomini e donne vestiti con attrezzatura per immersioni per acqua fredda arriverà su un furgone.</v>
      </c>
    </row>
    <row r="24394">
      <c r="A24394" s="4" t="s">
        <v>30692</v>
      </c>
      <c r="B24394" s="4" t="s">
        <v>30695</v>
      </c>
      <c r="C24394" s="5" t="str">
        <f>IFERROR(__xludf.DUMMYFUNCTION("GOOGLETRANSLATE(B24394,""en"",""it"")"),"I subacquei marciano in un singolo file su un dock per l'acqua e posano con il loro equipaggiamento da immersione.")</f>
        <v>I subacquei marciano in un singolo file su un dock per l'acqua e posano con il loro equipaggiamento da immersione.</v>
      </c>
    </row>
    <row r="24395">
      <c r="A24395" s="4" t="s">
        <v>30692</v>
      </c>
      <c r="B24395" s="4" t="s">
        <v>30696</v>
      </c>
      <c r="C24395" s="5" t="str">
        <f>IFERROR(__xludf.DUMMYFUNCTION("GOOGLETRANSLATE(B24395,""en"",""it"")"),"I subacquei sono sott'acqua eseguendo diversi veicoli affondati e giocano e posano.")</f>
        <v>I subacquei sono sott'acqua eseguendo diversi veicoli affondati e giocano e posano.</v>
      </c>
    </row>
    <row r="24396">
      <c r="A24396" s="4" t="s">
        <v>30692</v>
      </c>
      <c r="B24396" s="4" t="s">
        <v>30697</v>
      </c>
      <c r="C24396" s="5" t="str">
        <f>IFERROR(__xludf.DUMMYFUNCTION("GOOGLETRANSLATE(B24396,""en"",""it"")"),"I subacquei sono presenti in alcuni trucchi.")</f>
        <v>I subacquei sono presenti in alcuni trucchi.</v>
      </c>
    </row>
    <row r="24397">
      <c r="A24397" s="4" t="s">
        <v>30692</v>
      </c>
      <c r="B24397" s="4" t="s">
        <v>30698</v>
      </c>
      <c r="C24397" s="5" t="str">
        <f>IFERROR(__xludf.DUMMYFUNCTION("GOOGLETRANSLATE(B24397,""en"",""it"")"),"I subacquei si rilassano in un ristorante con la loro chiusura regolare su un tavolo da picnic rotondo.")</f>
        <v>I subacquei si rilassano in un ristorante con la loro chiusura regolare su un tavolo da picnic rotondo.</v>
      </c>
    </row>
    <row r="24398">
      <c r="A24398" s="4" t="s">
        <v>30699</v>
      </c>
      <c r="B24398" s="4" t="s">
        <v>30700</v>
      </c>
      <c r="C24398" s="5" t="str">
        <f>IFERROR(__xludf.DUMMYFUNCTION("GOOGLETRANSLATE(B24398,""en"",""it"")"),"Una persona fa un tutorial su come utilizzare un ellittico in modo più efficiente.")</f>
        <v>Una persona fa un tutorial su come utilizzare un ellittico in modo più efficiente.</v>
      </c>
    </row>
    <row r="24399">
      <c r="A24399" s="4" t="s">
        <v>30699</v>
      </c>
      <c r="B24399" s="4" t="s">
        <v>30701</v>
      </c>
      <c r="C24399" s="5" t="str">
        <f>IFERROR(__xludf.DUMMYFUNCTION("GOOGLETRANSLATE(B24399,""en"",""it"")"),"Una donna fa l'ellittica all'indietro mentre sorride a volte.")</f>
        <v>Una donna fa l'ellittica all'indietro mentre sorride a volte.</v>
      </c>
    </row>
    <row r="24400">
      <c r="A24400" s="4" t="s">
        <v>30702</v>
      </c>
      <c r="B24400" s="4" t="s">
        <v>30703</v>
      </c>
      <c r="C24400" s="5" t="str">
        <f>IFERROR(__xludf.DUMMYFUNCTION("GOOGLETRANSLATE(B24400,""en"",""it"")"),"Il video conduce in vari scatti di persone che kite navigano lungo l'oceano.")</f>
        <v>Il video conduce in vari scatti di persone che kite navigano lungo l'oceano.</v>
      </c>
    </row>
    <row r="24401">
      <c r="A24401" s="4" t="s">
        <v>30702</v>
      </c>
      <c r="B24401" s="6" t="s">
        <v>30704</v>
      </c>
      <c r="C24401" s="5" t="str">
        <f>IFERROR(__xludf.DUMMYFUNCTION("GOOGLETRANSLATE(B24401,""en"",""it"")"),"La persona continua a guidare lungo l'acqua mentre la telecamera lo segue dalla vista a volo d'uccello.")</f>
        <v>La persona continua a guidare lungo l'acqua mentre la telecamera lo segue dalla vista a volo d'uccello.</v>
      </c>
    </row>
    <row r="24402">
      <c r="A24402" s="4" t="s">
        <v>30705</v>
      </c>
      <c r="B24402" s="4" t="s">
        <v>30706</v>
      </c>
      <c r="C24402" s="5" t="str">
        <f>IFERROR(__xludf.DUMMYFUNCTION("GOOGLETRANSLATE(B24402,""en"",""it"")"),"Un riepilogo video di una partita di calcio sulla spiaggia inizia con un goal argentino da un passaggio profondo.")</f>
        <v>Un riepilogo video di una partita di calcio sulla spiaggia inizia con un goal argentino da un passaggio profondo.</v>
      </c>
    </row>
    <row r="24403">
      <c r="A24403" s="4" t="s">
        <v>30705</v>
      </c>
      <c r="B24403" s="4" t="s">
        <v>30707</v>
      </c>
      <c r="C24403" s="5" t="str">
        <f>IFERROR(__xludf.DUMMYFUNCTION("GOOGLETRANSLATE(B24403,""en"",""it"")"),"I brasiliani seguono un gol su un calcio di rigore, preso da un esuberante custode.")</f>
        <v>I brasiliani seguono un gol su un calcio di rigore, preso da un esuberante custode.</v>
      </c>
    </row>
    <row r="24404">
      <c r="A24404" s="4" t="s">
        <v>30705</v>
      </c>
      <c r="B24404" s="6" t="s">
        <v>30708</v>
      </c>
      <c r="C24404" s="5" t="str">
        <f>IFERROR(__xludf.DUMMYFUNCTION("GOOGLETRANSLATE(B24404,""en"",""it"")"),"Gli argentini rubano un passaggio a metà del campo di sabbia e lo abbattono per un goal nell'angolo stretto.")</f>
        <v>Gli argentini rubano un passaggio a metà del campo di sabbia e lo abbattono per un goal nell'angolo stretto.</v>
      </c>
    </row>
    <row r="24405">
      <c r="A24405" s="4" t="s">
        <v>30705</v>
      </c>
      <c r="B24405" s="4" t="s">
        <v>30709</v>
      </c>
      <c r="C24405" s="5" t="str">
        <f>IFERROR(__xludf.DUMMYFUNCTION("GOOGLETRANSLATE(B24405,""en"",""it"")"),"Questo è immediatamente seguito da un altro goal dall'Argentina su un calcio di rigore.")</f>
        <v>Questo è immediatamente seguito da un altro goal dall'Argentina su un calcio di rigore.</v>
      </c>
    </row>
    <row r="24406">
      <c r="A24406" s="4" t="s">
        <v>30705</v>
      </c>
      <c r="B24406" s="6" t="s">
        <v>30710</v>
      </c>
      <c r="C24406" s="5" t="str">
        <f>IFERROR(__xludf.DUMMYFUNCTION("GOOGLETRANSLATE(B24406,""en"",""it"")"),"Il Brasile si ritrova ancora di più su un altro obiettivo argentino su un bellissimo passaggio e sparato attraverso il campo.")</f>
        <v>Il Brasile si ritrova ancora di più su un altro obiettivo argentino su un bellissimo passaggio e sparato attraverso il campo.</v>
      </c>
    </row>
    <row r="24407">
      <c r="A24407" s="4" t="s">
        <v>30705</v>
      </c>
      <c r="B24407" s="4" t="s">
        <v>30711</v>
      </c>
      <c r="C24407" s="5" t="str">
        <f>IFERROR(__xludf.DUMMYFUNCTION("GOOGLETRANSLATE(B24407,""en"",""it"")"),"A peggiorare le cose, dopo l'Argentina segna un colpo profondo incontestato.")</f>
        <v>A peggiorare le cose, dopo l'Argentina segna un colpo profondo incontestato.</v>
      </c>
    </row>
    <row r="24408">
      <c r="A24408" s="4" t="s">
        <v>30705</v>
      </c>
      <c r="B24408" s="4" t="s">
        <v>30712</v>
      </c>
      <c r="C24408" s="5" t="str">
        <f>IFERROR(__xludf.DUMMYFUNCTION("GOOGLETRANSLATE(B24408,""en"",""it"")"),"Questo gioco è troppo facile per loro e vincono con un punteggio di grandi dimensioni.")</f>
        <v>Questo gioco è troppo facile per loro e vincono con un punteggio di grandi dimensioni.</v>
      </c>
    </row>
    <row r="24409">
      <c r="A24409" s="4" t="s">
        <v>30713</v>
      </c>
      <c r="B24409" s="4" t="s">
        <v>30714</v>
      </c>
      <c r="C24409" s="5" t="str">
        <f>IFERROR(__xludf.DUMMYFUNCTION("GOOGLETRANSLATE(B24409,""en"",""it"")"),"Un uomo sta giocando a shuffleboard su una nave.")</f>
        <v>Un uomo sta giocando a shuffleboard su una nave.</v>
      </c>
    </row>
    <row r="24410">
      <c r="A24410" s="4" t="s">
        <v>30713</v>
      </c>
      <c r="B24410" s="4" t="s">
        <v>30715</v>
      </c>
      <c r="C24410" s="5" t="str">
        <f>IFERROR(__xludf.DUMMYFUNCTION("GOOGLETRANSLATE(B24410,""en"",""it"")"),"Si gira verso la telecamera e dice qualcosa.")</f>
        <v>Si gira verso la telecamera e dice qualcosa.</v>
      </c>
    </row>
    <row r="24411">
      <c r="A24411" s="4" t="s">
        <v>30716</v>
      </c>
      <c r="B24411" s="4" t="s">
        <v>30717</v>
      </c>
      <c r="C24411" s="5" t="str">
        <f>IFERROR(__xludf.DUMMYFUNCTION("GOOGLETRANSLATE(B24411,""en"",""it"")"),"Un uomo immerge uno straccio in un contenitore nero.")</f>
        <v>Un uomo immerge uno straccio in un contenitore nero.</v>
      </c>
    </row>
    <row r="24412">
      <c r="A24412" s="4" t="s">
        <v>30716</v>
      </c>
      <c r="B24412" s="4" t="s">
        <v>30718</v>
      </c>
      <c r="C24412" s="5" t="str">
        <f>IFERROR(__xludf.DUMMYFUNCTION("GOOGLETRANSLATE(B24412,""en"",""it"")"),"Comincia a pulire una scarpa con lo straccio.")</f>
        <v>Comincia a pulire una scarpa con lo straccio.</v>
      </c>
    </row>
    <row r="24413">
      <c r="A24413" s="4" t="s">
        <v>30716</v>
      </c>
      <c r="B24413" s="4" t="s">
        <v>30719</v>
      </c>
      <c r="C24413" s="5" t="str">
        <f>IFERROR(__xludf.DUMMYFUNCTION("GOOGLETRANSLATE(B24413,""en"",""it"")"),"Raccoglie un pennello e inizia a usarlo per spazzolare la scarpa.")</f>
        <v>Raccoglie un pennello e inizia a usarlo per spazzolare la scarpa.</v>
      </c>
    </row>
    <row r="24414">
      <c r="A24414" s="4" t="s">
        <v>30720</v>
      </c>
      <c r="B24414" s="4" t="s">
        <v>30721</v>
      </c>
      <c r="C24414" s="5" t="str">
        <f>IFERROR(__xludf.DUMMYFUNCTION("GOOGLETRANSLATE(B24414,""en"",""it"")"),"Vediamo tre uomini su una barca in un lago.")</f>
        <v>Vediamo tre uomini su una barca in un lago.</v>
      </c>
    </row>
    <row r="24415">
      <c r="A24415" s="4" t="s">
        <v>30720</v>
      </c>
      <c r="B24415" s="4" t="s">
        <v>30722</v>
      </c>
      <c r="C24415" s="5" t="str">
        <f>IFERROR(__xludf.DUMMYFUNCTION("GOOGLETRANSLATE(B24415,""en"",""it"")"),"L'uomo sinistro tiene i suoi vicini vicino al petto.")</f>
        <v>L'uomo sinistro tiene i suoi vicini vicino al petto.</v>
      </c>
    </row>
    <row r="24416">
      <c r="A24416" s="4" t="s">
        <v>30720</v>
      </c>
      <c r="B24416" s="4" t="s">
        <v>30723</v>
      </c>
      <c r="C24416" s="5" t="str">
        <f>IFERROR(__xludf.DUMMYFUNCTION("GOOGLETRANSLATE(B24416,""en"",""it"")"),"Un uomo si comporta strano e si sposta.")</f>
        <v>Un uomo si comporta strano e si sposta.</v>
      </c>
    </row>
    <row r="24417">
      <c r="A24417" s="4" t="s">
        <v>30724</v>
      </c>
      <c r="B24417" s="4" t="s">
        <v>30725</v>
      </c>
      <c r="C24417" s="5" t="str">
        <f>IFERROR(__xludf.DUMMYFUNCTION("GOOGLETRANSLATE(B24417,""en"",""it"")"),"Un folto gruppo di cheerleader viene visto correre attraverso un buco e su un palco.")</f>
        <v>Un folto gruppo di cheerleader viene visto correre attraverso un buco e su un palco.</v>
      </c>
    </row>
    <row r="24418">
      <c r="A24418" s="4" t="s">
        <v>30724</v>
      </c>
      <c r="B24418" s="4" t="s">
        <v>30726</v>
      </c>
      <c r="C24418" s="5" t="str">
        <f>IFERROR(__xludf.DUMMYFUNCTION("GOOGLETRANSLATE(B24418,""en"",""it"")"),"Il gruppo inizia quindi a esibirsi l'uno con l'altro mentre si solleva in aria.")</f>
        <v>Il gruppo inizia quindi a esibirsi l'uno con l'altro mentre si solleva in aria.</v>
      </c>
    </row>
    <row r="24419">
      <c r="A24419" s="4" t="s">
        <v>30724</v>
      </c>
      <c r="B24419" s="4" t="s">
        <v>30727</v>
      </c>
      <c r="C24419" s="5" t="str">
        <f>IFERROR(__xludf.DUMMYFUNCTION("GOOGLETRANSLATE(B24419,""en"",""it"")"),"Il gruppo continua a sollevarsi e saltare l'uno intorno all'altro e terminare scendendo dal palco.")</f>
        <v>Il gruppo continua a sollevarsi e saltare l'uno intorno all'altro e terminare scendendo dal palco.</v>
      </c>
    </row>
    <row r="24420">
      <c r="A24420" s="4" t="s">
        <v>30728</v>
      </c>
      <c r="B24420" s="4" t="s">
        <v>30729</v>
      </c>
      <c r="C24420" s="5" t="str">
        <f>IFERROR(__xludf.DUMMYFUNCTION("GOOGLETRANSLATE(B24420,""en"",""it"")"),"Una persona parla e lancia una palla da bowling sulla corsia di bowling.")</f>
        <v>Una persona parla e lancia una palla da bowling sulla corsia di bowling.</v>
      </c>
    </row>
    <row r="24421">
      <c r="A24421" s="4" t="s">
        <v>30728</v>
      </c>
      <c r="B24421" s="6" t="s">
        <v>30730</v>
      </c>
      <c r="C24421" s="5" t="str">
        <f>IFERROR(__xludf.DUMMYFUNCTION("GOOGLETRANSLATE(B24421,""en"",""it"")"),"L'uomo tiene una palla e mostra la sua gamba sinistra in avanti, quindi lancia la palla da bowling sulla corsia mentre parla.")</f>
        <v>L'uomo tiene una palla e mostra la sua gamba sinistra in avanti, quindi lancia la palla da bowling sulla corsia mentre parla.</v>
      </c>
    </row>
    <row r="24422">
      <c r="A24422" s="4" t="s">
        <v>30731</v>
      </c>
      <c r="B24422" s="4" t="s">
        <v>30732</v>
      </c>
      <c r="C24422" s="5" t="str">
        <f>IFERROR(__xludf.DUMMYFUNCTION("GOOGLETRANSLATE(B24422,""en"",""it"")"),"Un uomo è fuori con un utensile da prato e inizia a tagliare il cortile.")</f>
        <v>Un uomo è fuori con un utensile da prato e inizia a tagliare il cortile.</v>
      </c>
    </row>
    <row r="24423">
      <c r="A24423" s="4" t="s">
        <v>30731</v>
      </c>
      <c r="B24423" s="6" t="s">
        <v>30733</v>
      </c>
      <c r="C24423" s="5" t="str">
        <f>IFERROR(__xludf.DUMMYFUNCTION("GOOGLETRANSLATE(B24423,""en"",""it"")"),"Muove una manopola e poi continua a tagliare l'erba e un'altra donna viene mostrata tagliando il cortile.")</f>
        <v>Muove una manopola e poi continua a tagliare l'erba e un'altra donna viene mostrata tagliando il cortile.</v>
      </c>
    </row>
    <row r="24424">
      <c r="A24424" s="4" t="s">
        <v>30731</v>
      </c>
      <c r="B24424" s="4" t="s">
        <v>30734</v>
      </c>
      <c r="C24424" s="5" t="str">
        <f>IFERROR(__xludf.DUMMYFUNCTION("GOOGLETRANSLATE(B24424,""en"",""it"")"),"Infine, l'uomo torna e mostra come il suo oggetto funziona per tagliare l'erba.")</f>
        <v>Infine, l'uomo torna e mostra come il suo oggetto funziona per tagliare l'erba.</v>
      </c>
    </row>
    <row r="24425">
      <c r="A24425" s="4" t="s">
        <v>30735</v>
      </c>
      <c r="B24425" s="4" t="s">
        <v>30736</v>
      </c>
      <c r="C24425" s="5" t="str">
        <f>IFERROR(__xludf.DUMMYFUNCTION("GOOGLETRANSLATE(B24425,""en"",""it"")"),"Un piccolo gruppo di persone è visto in piedi su una spiaggia sabbiosa e conduce in una partita di pallavolo.")</f>
        <v>Un piccolo gruppo di persone è visto in piedi su una spiaggia sabbiosa e conduce in una partita di pallavolo.</v>
      </c>
    </row>
    <row r="24426">
      <c r="A24426" s="4" t="s">
        <v>30735</v>
      </c>
      <c r="B24426" s="6" t="s">
        <v>30737</v>
      </c>
      <c r="C24426" s="5" t="str">
        <f>IFERROR(__xludf.DUMMYFUNCTION("GOOGLETRANSLATE(B24426,""en"",""it"")"),"Le persone giocano indietro e quarto con uno di loro che ha fatto schioccare la palla e la telecamera che si muove alle persone che guardano e festeggiano.")</f>
        <v>Le persone giocano indietro e quarto con uno di loro che ha fatto schioccare la palla e la telecamera che si muove alle persone che guardano e festeggiano.</v>
      </c>
    </row>
    <row r="24427">
      <c r="A24427" s="4" t="s">
        <v>30738</v>
      </c>
      <c r="B24427" s="4" t="s">
        <v>30739</v>
      </c>
      <c r="C24427" s="5" t="str">
        <f>IFERROR(__xludf.DUMMYFUNCTION("GOOGLETRANSLATE(B24427,""en"",""it"")"),"Un bambino è visto in piedi su un palco con gli altri e uno inizia a ballare nel mezzo.")</f>
        <v>Un bambino è visto in piedi su un palco con gli altri e uno inizia a ballare nel mezzo.</v>
      </c>
    </row>
    <row r="24428">
      <c r="A24428" s="4" t="s">
        <v>30738</v>
      </c>
      <c r="B24428" s="4" t="s">
        <v>30740</v>
      </c>
      <c r="C24428" s="5" t="str">
        <f>IFERROR(__xludf.DUMMYFUNCTION("GOOGLETRANSLATE(B24428,""en"",""it"")"),"Il ragazzo si muove quindi nel mezzo prendendo a turno con gli altri che ballano in giro.")</f>
        <v>Il ragazzo si muove quindi nel mezzo prendendo a turno con gli altri che ballano in giro.</v>
      </c>
    </row>
    <row r="24429">
      <c r="A24429" s="4" t="s">
        <v>30738</v>
      </c>
      <c r="B24429" s="4" t="s">
        <v>30741</v>
      </c>
      <c r="C24429" s="5" t="str">
        <f>IFERROR(__xludf.DUMMYFUNCTION("GOOGLETRANSLATE(B24429,""en"",""it"")"),"Un altro uomo si sposta al centro per ballare mentre altri guardano sul lato.")</f>
        <v>Un altro uomo si sposta al centro per ballare mentre altri guardano sul lato.</v>
      </c>
    </row>
    <row r="24430">
      <c r="A24430" s="4" t="s">
        <v>30742</v>
      </c>
      <c r="B24430" s="4" t="s">
        <v>30743</v>
      </c>
      <c r="C24430" s="5" t="str">
        <f>IFERROR(__xludf.DUMMYFUNCTION("GOOGLETRANSLATE(B24430,""en"",""it"")"),"Una persona è vista in piedi nel mezzo di una palestra con una racchetta da tennis.")</f>
        <v>Una persona è vista in piedi nel mezzo di una palestra con una racchetta da tennis.</v>
      </c>
    </row>
    <row r="24431">
      <c r="A24431" s="4" t="s">
        <v>30742</v>
      </c>
      <c r="B24431" s="4" t="s">
        <v>30744</v>
      </c>
      <c r="C24431" s="5" t="str">
        <f>IFERROR(__xludf.DUMMYFUNCTION("GOOGLETRANSLATE(B24431,""en"",""it"")"),"La persona inizia quindi a colpire un uccellino in palestra.")</f>
        <v>La persona inizia quindi a colpire un uccellino in palestra.</v>
      </c>
    </row>
    <row r="24432">
      <c r="A24432" s="4" t="s">
        <v>30742</v>
      </c>
      <c r="B24432" s="4" t="s">
        <v>30745</v>
      </c>
      <c r="C24432" s="5" t="str">
        <f>IFERROR(__xludf.DUMMYFUNCTION("GOOGLETRANSLATE(B24432,""en"",""it"")"),"La persona colpisce continuamente l'oggetto indietro e quarto mentre guarda alla telecamera.")</f>
        <v>La persona colpisce continuamente l'oggetto indietro e quarto mentre guarda alla telecamera.</v>
      </c>
    </row>
    <row r="24433">
      <c r="A24433" s="4" t="s">
        <v>30746</v>
      </c>
      <c r="B24433" s="4" t="s">
        <v>30747</v>
      </c>
      <c r="C24433" s="5" t="str">
        <f>IFERROR(__xludf.DUMMYFUNCTION("GOOGLETRANSLATE(B24433,""en"",""it"")"),"Un uomo viene visto in piedi su un tetto che spinge pezzi di detriti con un bastone.")</f>
        <v>Un uomo viene visto in piedi su un tetto che spinge pezzi di detriti con un bastone.</v>
      </c>
    </row>
    <row r="24434">
      <c r="A24434" s="4" t="s">
        <v>30746</v>
      </c>
      <c r="B24434" s="6" t="s">
        <v>30748</v>
      </c>
      <c r="C24434" s="5" t="str">
        <f>IFERROR(__xludf.DUMMYFUNCTION("GOOGLETRANSLATE(B24434,""en"",""it"")"),"L'uomo continua a spingere i detriti dal tetto mentre scava sempre più a fondo nel casino.")</f>
        <v>L'uomo continua a spingere i detriti dal tetto mentre scava sempre più a fondo nel casino.</v>
      </c>
    </row>
    <row r="24435">
      <c r="A24435" s="4" t="s">
        <v>30749</v>
      </c>
      <c r="B24435" s="4" t="s">
        <v>30750</v>
      </c>
      <c r="C24435" s="5" t="str">
        <f>IFERROR(__xludf.DUMMYFUNCTION("GOOGLETRANSLATE(B24435,""en"",""it"")"),"Una persona spazzola i denti di un cane mentre tiene il collo posteriore.")</f>
        <v>Una persona spazzola i denti di un cane mentre tiene il collo posteriore.</v>
      </c>
    </row>
    <row r="24436">
      <c r="A24436" s="4" t="s">
        <v>30749</v>
      </c>
      <c r="B24436" s="6" t="s">
        <v>30751</v>
      </c>
      <c r="C24436" s="5" t="str">
        <f>IFERROR(__xludf.DUMMYFUNCTION("GOOGLETRANSLATE(B24436,""en"",""it"")"),"Dopo, tocca il petto del cane e mette il dentifricio sul pennello e continua a spazzolare i denti del cane.")</f>
        <v>Dopo, tocca il petto del cane e mette il dentifricio sul pennello e continua a spazzolare i denti del cane.</v>
      </c>
    </row>
    <row r="24437">
      <c r="A24437" s="4" t="s">
        <v>30749</v>
      </c>
      <c r="B24437" s="4" t="s">
        <v>30752</v>
      </c>
      <c r="C24437" s="5" t="str">
        <f>IFERROR(__xludf.DUMMYFUNCTION("GOOGLETRANSLATE(B24437,""en"",""it"")"),"Dopo, la persona tocca di nuovo il petto, metti il ​​dentifricio sul pennello e spazzola i denti del cane.")</f>
        <v>Dopo, la persona tocca di nuovo il petto, metti il ​​dentifricio sul pennello e spazzola i denti del cane.</v>
      </c>
    </row>
    <row r="24438">
      <c r="A24438" s="4" t="s">
        <v>30749</v>
      </c>
      <c r="B24438" s="4" t="s">
        <v>30753</v>
      </c>
      <c r="C24438" s="5" t="str">
        <f>IFERROR(__xludf.DUMMYFUNCTION("GOOGLETRANSLATE(B24438,""en"",""it"")"),"Quando la persona finisce di spazzolare, bacia il cane.")</f>
        <v>Quando la persona finisce di spazzolare, bacia il cane.</v>
      </c>
    </row>
    <row r="24439">
      <c r="A24439" s="4" t="s">
        <v>30754</v>
      </c>
      <c r="B24439" s="4" t="s">
        <v>30755</v>
      </c>
      <c r="C24439" s="5" t="str">
        <f>IFERROR(__xludf.DUMMYFUNCTION("GOOGLETRANSLATE(B24439,""en"",""it"")"),"Una donna sta parlando con la telecamera circondata da bottiglie di alcol.")</f>
        <v>Una donna sta parlando con la telecamera circondata da bottiglie di alcol.</v>
      </c>
    </row>
    <row r="24440">
      <c r="A24440" s="4" t="s">
        <v>30754</v>
      </c>
      <c r="B24440" s="4" t="s">
        <v>30756</v>
      </c>
      <c r="C24440" s="5" t="str">
        <f>IFERROR(__xludf.DUMMYFUNCTION("GOOGLETRANSLATE(B24440,""en"",""it"")"),"La donna inizia a versare alcol diversi e succo di limone in un bicchiere di ghiaccio.")</f>
        <v>La donna inizia a versare alcol diversi e succo di limone in un bicchiere di ghiaccio.</v>
      </c>
    </row>
    <row r="24441">
      <c r="A24441" s="4" t="s">
        <v>30754</v>
      </c>
      <c r="B24441" s="4" t="s">
        <v>30757</v>
      </c>
      <c r="C24441" s="5" t="str">
        <f>IFERROR(__xludf.DUMMYFUNCTION("GOOGLETRANSLATE(B24441,""en"",""it"")"),"La donna scuote la miscela di bevande e lo sforza in un altro bicchiere.")</f>
        <v>La donna scuote la miscela di bevande e lo sforza in un altro bicchiere.</v>
      </c>
    </row>
    <row r="24442">
      <c r="A24442" s="4" t="s">
        <v>30754</v>
      </c>
      <c r="B24442" s="4" t="s">
        <v>30758</v>
      </c>
      <c r="C24442" s="5" t="str">
        <f>IFERROR(__xludf.DUMMYFUNCTION("GOOGLETRANSLATE(B24442,""en"",""it"")"),"La donna mette una piccola cannuccia nella bevanda e la toglie e sorride.")</f>
        <v>La donna mette una piccola cannuccia nella bevanda e la toglie e sorride.</v>
      </c>
    </row>
    <row r="24443">
      <c r="A24443" s="4" t="s">
        <v>30759</v>
      </c>
      <c r="B24443" s="4" t="s">
        <v>30760</v>
      </c>
      <c r="C24443" s="5" t="str">
        <f>IFERROR(__xludf.DUMMYFUNCTION("GOOGLETRANSLATE(B24443,""en"",""it"")"),"Un uomo che indossa un cappello nero suona la chitarra per la fotocamera.")</f>
        <v>Un uomo che indossa un cappello nero suona la chitarra per la fotocamera.</v>
      </c>
    </row>
    <row r="24444">
      <c r="A24444" s="4" t="s">
        <v>30759</v>
      </c>
      <c r="B24444" s="6" t="s">
        <v>30761</v>
      </c>
      <c r="C24444" s="5" t="str">
        <f>IFERROR(__xludf.DUMMYFUNCTION("GOOGLETRANSLATE(B24444,""en"",""it"")"),"Continua a strimpellare le dita e muovendo le mani attorno allo strumento fino alla fine della canzone e del video.")</f>
        <v>Continua a strimpellare le dita e muovendo le mani attorno allo strumento fino alla fine della canzone e del video.</v>
      </c>
    </row>
    <row r="24445">
      <c r="A24445" s="4" t="s">
        <v>30762</v>
      </c>
      <c r="B24445" s="4" t="s">
        <v>30763</v>
      </c>
      <c r="C24445" s="5" t="str">
        <f>IFERROR(__xludf.DUMMYFUNCTION("GOOGLETRANSLATE(B24445,""en"",""it"")"),"Una donna sta registrando un video di un bambino che sta dipingendo una recinzione.")</f>
        <v>Una donna sta registrando un video di un bambino che sta dipingendo una recinzione.</v>
      </c>
    </row>
    <row r="24446">
      <c r="A24446" s="4" t="s">
        <v>30762</v>
      </c>
      <c r="B24446" s="4" t="s">
        <v>30764</v>
      </c>
      <c r="C24446" s="5" t="str">
        <f>IFERROR(__xludf.DUMMYFUNCTION("GOOGLETRANSLATE(B24446,""en"",""it"")"),"La telecamera si lancia al resto del cortile e della recinzione.")</f>
        <v>La telecamera si lancia al resto del cortile e della recinzione.</v>
      </c>
    </row>
    <row r="24447">
      <c r="A24447" s="4" t="s">
        <v>30762</v>
      </c>
      <c r="B24447" s="4" t="s">
        <v>30765</v>
      </c>
      <c r="C24447" s="5" t="str">
        <f>IFERROR(__xludf.DUMMYFUNCTION("GOOGLETRANSLATE(B24447,""en"",""it"")"),"Un altro bambino sta dipingendo l'altra estremità della recinzione e la telecamera si avvicina a lui.")</f>
        <v>Un altro bambino sta dipingendo l'altra estremità della recinzione e la telecamera si avvicina a lui.</v>
      </c>
    </row>
    <row r="24448">
      <c r="A24448" s="4" t="s">
        <v>30762</v>
      </c>
      <c r="B24448" s="4" t="s">
        <v>30766</v>
      </c>
      <c r="C24448" s="5" t="str">
        <f>IFERROR(__xludf.DUMMYFUNCTION("GOOGLETRANSLATE(B24448,""en"",""it"")"),"Il video quindi taglia per mostrare che la recinzione è per lo più completata.")</f>
        <v>Il video quindi taglia per mostrare che la recinzione è per lo più completata.</v>
      </c>
    </row>
    <row r="24449">
      <c r="A24449" s="4" t="s">
        <v>30762</v>
      </c>
      <c r="B24449" s="4" t="s">
        <v>30767</v>
      </c>
      <c r="C24449" s="5" t="str">
        <f>IFERROR(__xludf.DUMMYFUNCTION("GOOGLETRANSLATE(B24449,""en"",""it"")"),"Il video mostra quindi i due ragazzi che lavorano insieme per completare il pannello finale della scherma.")</f>
        <v>Il video mostra quindi i due ragazzi che lavorano insieme per completare il pannello finale della scherma.</v>
      </c>
    </row>
    <row r="24450">
      <c r="A24450" s="4" t="s">
        <v>30762</v>
      </c>
      <c r="B24450" s="4" t="s">
        <v>30768</v>
      </c>
      <c r="C24450" s="5" t="str">
        <f>IFERROR(__xludf.DUMMYFUNCTION("GOOGLETRANSLATE(B24450,""en"",""it"")"),"Il video termina mentre la telecamera si lancia fuori per mostrare la casa e la recinzione appena dipinta.")</f>
        <v>Il video termina mentre la telecamera si lancia fuori per mostrare la casa e la recinzione appena dipinta.</v>
      </c>
    </row>
    <row r="24451">
      <c r="A24451" s="4" t="s">
        <v>30769</v>
      </c>
      <c r="B24451" s="4" t="s">
        <v>30770</v>
      </c>
      <c r="C24451" s="5" t="str">
        <f>IFERROR(__xludf.DUMMYFUNCTION("GOOGLETRANSLATE(B24451,""en"",""it"")"),"Una donna viene vista eseguire un salto con un'immersione alta e atterrare in una piscina.")</f>
        <v>Una donna viene vista eseguire un salto con un'immersione alta e atterrare in una piscina.</v>
      </c>
    </row>
    <row r="24452">
      <c r="A24452" s="4" t="s">
        <v>30769</v>
      </c>
      <c r="B24452" s="4" t="s">
        <v>30771</v>
      </c>
      <c r="C24452" s="5" t="str">
        <f>IFERROR(__xludf.DUMMYFUNCTION("GOOGLETRANSLATE(B24452,""en"",""it"")"),"Altri scatti della sua immersione vengono mostrati di nuovo poco dopo al rallentatore.")</f>
        <v>Altri scatti della sua immersione vengono mostrati di nuovo poco dopo al rallentatore.</v>
      </c>
    </row>
    <row r="24453">
      <c r="A24453" s="4" t="s">
        <v>30772</v>
      </c>
      <c r="B24453" s="4" t="s">
        <v>30773</v>
      </c>
      <c r="C24453" s="5" t="str">
        <f>IFERROR(__xludf.DUMMYFUNCTION("GOOGLETRANSLATE(B24453,""en"",""it"")"),"Un grande pesce viene visto nuotare sotto l'acqua congelata.")</f>
        <v>Un grande pesce viene visto nuotare sotto l'acqua congelata.</v>
      </c>
    </row>
    <row r="24454">
      <c r="A24454" s="4" t="s">
        <v>30772</v>
      </c>
      <c r="B24454" s="4" t="s">
        <v>30774</v>
      </c>
      <c r="C24454" s="5" t="str">
        <f>IFERROR(__xludf.DUMMYFUNCTION("GOOGLETRANSLATE(B24454,""en"",""it"")"),"Un uomo crea un buco nel ghiaccio per catturare il pesce.")</f>
        <v>Un uomo crea un buco nel ghiaccio per catturare il pesce.</v>
      </c>
    </row>
    <row r="24455">
      <c r="A24455" s="4" t="s">
        <v>30772</v>
      </c>
      <c r="B24455" s="4" t="s">
        <v>30775</v>
      </c>
      <c r="C24455" s="5" t="str">
        <f>IFERROR(__xludf.DUMMYFUNCTION("GOOGLETRANSLATE(B24455,""en"",""it"")"),"Lo prende su una linea e tira fino a quando non è in grado di superare il buco.")</f>
        <v>Lo prende su una linea e tira fino a quando non è in grado di superare il buco.</v>
      </c>
    </row>
    <row r="24456">
      <c r="A24456" s="4" t="s">
        <v>30776</v>
      </c>
      <c r="B24456" s="4" t="s">
        <v>30777</v>
      </c>
      <c r="C24456" s="5" t="str">
        <f>IFERROR(__xludf.DUMMYFUNCTION("GOOGLETRANSLATE(B24456,""en"",""it"")"),"Vediamo le scene introducenti e introducenti.")</f>
        <v>Vediamo le scene introducenti e introducenti.</v>
      </c>
    </row>
    <row r="24457">
      <c r="A24457" s="4" t="s">
        <v>30776</v>
      </c>
      <c r="B24457" s="4" t="s">
        <v>30778</v>
      </c>
      <c r="C24457" s="5" t="str">
        <f>IFERROR(__xludf.DUMMYFUNCTION("GOOGLETRANSLATE(B24457,""en"",""it"")"),"Un uomo si trova in un garage con due pale.")</f>
        <v>Un uomo si trova in un garage con due pale.</v>
      </c>
    </row>
    <row r="24458">
      <c r="A24458" s="4" t="s">
        <v>30776</v>
      </c>
      <c r="B24458" s="4" t="s">
        <v>30779</v>
      </c>
      <c r="C24458" s="5" t="str">
        <f>IFERROR(__xludf.DUMMYFUNCTION("GOOGLETRANSLATE(B24458,""en"",""it"")"),"Vediamo quindi le sue provviste a spalancarsi.")</f>
        <v>Vediamo quindi le sue provviste a spalancarsi.</v>
      </c>
    </row>
    <row r="24459">
      <c r="A24459" s="4" t="s">
        <v>30776</v>
      </c>
      <c r="B24459" s="4" t="s">
        <v>30780</v>
      </c>
      <c r="C24459" s="5" t="str">
        <f>IFERROR(__xludf.DUMMYFUNCTION("GOOGLETRANSLATE(B24459,""en"",""it"")"),"L'uomo si estende e mette i suoi vestiti invernali.")</f>
        <v>L'uomo si estende e mette i suoi vestiti invernali.</v>
      </c>
    </row>
    <row r="24460">
      <c r="A24460" s="4" t="s">
        <v>30776</v>
      </c>
      <c r="B24460" s="4" t="s">
        <v>30781</v>
      </c>
      <c r="C24460" s="5" t="str">
        <f>IFERROR(__xludf.DUMMYFUNCTION("GOOGLETRANSLATE(B24460,""en"",""it"")"),"Spruzza la pala con spray antiaderente e spala il vialetto.")</f>
        <v>Spruzza la pala con spray antiaderente e spala il vialetto.</v>
      </c>
    </row>
    <row r="24461">
      <c r="A24461" s="4" t="s">
        <v>30776</v>
      </c>
      <c r="B24461" s="4" t="s">
        <v>30782</v>
      </c>
      <c r="C24461" s="5" t="str">
        <f>IFERROR(__xludf.DUMMYFUNCTION("GOOGLETRANSLATE(B24461,""en"",""it"")"),"L'uomo si sdraia e ha avuto difficoltà a respirare.")</f>
        <v>L'uomo si sdraia e ha avuto difficoltà a respirare.</v>
      </c>
    </row>
    <row r="24462">
      <c r="A24462" s="4" t="s">
        <v>30776</v>
      </c>
      <c r="B24462" s="4" t="s">
        <v>30783</v>
      </c>
      <c r="C24462" s="5" t="str">
        <f>IFERROR(__xludf.DUMMYFUNCTION("GOOGLETRANSLATE(B24462,""en"",""it"")"),"Dopo aver posato la sabbia, beve una bevanda calda.")</f>
        <v>Dopo aver posato la sabbia, beve una bevanda calda.</v>
      </c>
    </row>
    <row r="24463">
      <c r="A24463" s="4" t="s">
        <v>30776</v>
      </c>
      <c r="B24463" s="4" t="s">
        <v>30784</v>
      </c>
      <c r="C24463" s="5" t="str">
        <f>IFERROR(__xludf.DUMMYFUNCTION("GOOGLETRANSLATE(B24463,""en"",""it"")"),"Vediamo la schermata dei crediti finali.")</f>
        <v>Vediamo la schermata dei crediti finali.</v>
      </c>
    </row>
    <row r="24464">
      <c r="A24464" s="4" t="s">
        <v>30785</v>
      </c>
      <c r="B24464" s="4" t="s">
        <v>30786</v>
      </c>
      <c r="C24464" s="5" t="str">
        <f>IFERROR(__xludf.DUMMYFUNCTION("GOOGLETRANSLATE(B24464,""en"",""it"")"),"Diverse ragazze sono fuori in un grande campo verde che gioca.")</f>
        <v>Diverse ragazze sono fuori in un grande campo verde che gioca.</v>
      </c>
    </row>
    <row r="24465">
      <c r="A24465" s="4" t="s">
        <v>30785</v>
      </c>
      <c r="B24465" s="6" t="s">
        <v>30787</v>
      </c>
      <c r="C24465" s="5" t="str">
        <f>IFERROR(__xludf.DUMMYFUNCTION("GOOGLETRANSLATE(B24465,""en"",""it"")"),"La ragazza di fronte alla telecamera è vestita con una camicia gialla e pantaloncini neri colpiscono la palla con il bastone e inizia a saltare in aria.")</f>
        <v>La ragazza di fronte alla telecamera è vestita con una camicia gialla e pantaloncini neri colpiscono la palla con il bastone e inizia a saltare in aria.</v>
      </c>
    </row>
    <row r="24466">
      <c r="A24466" s="4" t="s">
        <v>30788</v>
      </c>
      <c r="B24466" s="4" t="s">
        <v>30789</v>
      </c>
      <c r="C24466" s="5" t="str">
        <f>IFERROR(__xludf.DUMMYFUNCTION("GOOGLETRANSLATE(B24466,""en"",""it"")"),"Viene mostrato uno scatto di un albero di Natale seguito da un uomo che cammina nella cornice.")</f>
        <v>Viene mostrato uno scatto di un albero di Natale seguito da un uomo che cammina nella cornice.</v>
      </c>
    </row>
    <row r="24467">
      <c r="A24467" s="4" t="s">
        <v>30788</v>
      </c>
      <c r="B24467" s="4" t="s">
        <v>30790</v>
      </c>
      <c r="C24467" s="5" t="str">
        <f>IFERROR(__xludf.DUMMYFUNCTION("GOOGLETRANSLATE(B24467,""en"",""it"")"),"L'uomo inizia quindi a decorare l'albero e gli altri.")</f>
        <v>L'uomo inizia quindi a decorare l'albero e gli altri.</v>
      </c>
    </row>
    <row r="24468">
      <c r="A24468" s="4" t="s">
        <v>30788</v>
      </c>
      <c r="B24468" s="6" t="s">
        <v>30791</v>
      </c>
      <c r="C24468" s="5" t="str">
        <f>IFERROR(__xludf.DUMMYFUNCTION("GOOGLETRANSLATE(B24468,""en"",""it"")"),"Le persone decorano continuamente l'albero che si muovono rapidamente l'una verso l'altra e finiscono presentandolo alla telecamera.")</f>
        <v>Le persone decorano continuamente l'albero che si muovono rapidamente l'una verso l'altra e finiscono presentandolo alla telecamera.</v>
      </c>
    </row>
    <row r="24469">
      <c r="A24469" s="4" t="s">
        <v>30792</v>
      </c>
      <c r="B24469" s="4" t="s">
        <v>30793</v>
      </c>
      <c r="C24469" s="5" t="str">
        <f>IFERROR(__xludf.DUMMYFUNCTION("GOOGLETRANSLATE(B24469,""en"",""it"")"),"Viene vista una donna parlare alla telecamera mentre tiene in mano un sacchetto di biscotti e un piatto.")</f>
        <v>Viene vista una donna parlare alla telecamera mentre tiene in mano un sacchetto di biscotti e un piatto.</v>
      </c>
    </row>
    <row r="24470">
      <c r="A24470" s="4" t="s">
        <v>30792</v>
      </c>
      <c r="B24470" s="4" t="s">
        <v>30794</v>
      </c>
      <c r="C24470" s="5" t="str">
        <f>IFERROR(__xludf.DUMMYFUNCTION("GOOGLETRANSLATE(B24470,""en"",""it"")"),"Vengono quindi visualizzati vari ingredienti in ciotola.")</f>
        <v>Vengono quindi visualizzati vari ingredienti in ciotola.</v>
      </c>
    </row>
    <row r="24471">
      <c r="A24471" s="4" t="s">
        <v>30792</v>
      </c>
      <c r="B24471" s="6" t="s">
        <v>30795</v>
      </c>
      <c r="C24471" s="5" t="str">
        <f>IFERROR(__xludf.DUMMYFUNCTION("GOOGLETRANSLATE(B24471,""en"",""it"")"),"La donna mescola tutti gli ingredienti insieme e li schiaccia in piccole palline fino al piatto alla fine.")</f>
        <v>La donna mescola tutti gli ingredienti insieme e li schiaccia in piccole palline fino al piatto alla fine.</v>
      </c>
    </row>
    <row r="24472">
      <c r="A24472" s="4" t="s">
        <v>30796</v>
      </c>
      <c r="B24472" s="6" t="s">
        <v>30797</v>
      </c>
      <c r="C24472" s="5" t="str">
        <f>IFERROR(__xludf.DUMMYFUNCTION("GOOGLETRANSLATE(B24472,""en"",""it"")"),"Viene vista una donna con un anello del naso che parla alla telecamera e conduce a qualcuno che si taglia i capelli.")</f>
        <v>Viene vista una donna con un anello del naso che parla alla telecamera e conduce a qualcuno che si taglia i capelli.</v>
      </c>
    </row>
    <row r="24473">
      <c r="A24473" s="4" t="s">
        <v>30796</v>
      </c>
      <c r="B24473" s="6" t="s">
        <v>30798</v>
      </c>
      <c r="C24473" s="5" t="str">
        <f>IFERROR(__xludf.DUMMYFUNCTION("GOOGLETRANSLATE(B24473,""en"",""it"")"),"La persona si taglia intorno ai lati e la donna è vista indossare occhiali e posa con il suo nuovo stile.")</f>
        <v>La persona si taglia intorno ai lati e la donna è vista indossare occhiali e posa con il suo nuovo stile.</v>
      </c>
    </row>
    <row r="24474">
      <c r="A24474" s="4" t="s">
        <v>30796</v>
      </c>
      <c r="B24474" s="4" t="s">
        <v>30799</v>
      </c>
      <c r="C24474" s="5" t="str">
        <f>IFERROR(__xludf.DUMMYFUNCTION("GOOGLETRANSLATE(B24474,""en"",""it"")"),"Altri scatti di una persona che tagliano vengono mostrati mentre la donna parla alla telecamera.")</f>
        <v>Altri scatti di una persona che tagliano vengono mostrati mentre la donna parla alla telecamera.</v>
      </c>
    </row>
    <row r="24475">
      <c r="A24475" s="4" t="s">
        <v>30800</v>
      </c>
      <c r="B24475" s="4" t="s">
        <v>30801</v>
      </c>
      <c r="C24475" s="5" t="str">
        <f>IFERROR(__xludf.DUMMYFUNCTION("GOOGLETRANSLATE(B24475,""en"",""it"")"),"Una ragazza è in un bagno con suo padre.")</f>
        <v>Una ragazza è in un bagno con suo padre.</v>
      </c>
    </row>
    <row r="24476">
      <c r="A24476" s="4" t="s">
        <v>30800</v>
      </c>
      <c r="B24476" s="4" t="s">
        <v>30802</v>
      </c>
      <c r="C24476" s="5" t="str">
        <f>IFERROR(__xludf.DUMMYFUNCTION("GOOGLETRANSLATE(B24476,""en"",""it"")"),"Si strofina l'acqua su e giù per il viso.")</f>
        <v>Si strofina l'acqua su e giù per il viso.</v>
      </c>
    </row>
    <row r="24477">
      <c r="A24477" s="4" t="s">
        <v>30800</v>
      </c>
      <c r="B24477" s="4" t="s">
        <v>30803</v>
      </c>
      <c r="C24477" s="5" t="str">
        <f>IFERROR(__xludf.DUMMYFUNCTION("GOOGLETRANSLATE(B24477,""en"",""it"")"),"Lei ridacchia e sorride mentre lo fa.")</f>
        <v>Lei ridacchia e sorride mentre lo fa.</v>
      </c>
    </row>
    <row r="24478">
      <c r="A24478" s="4" t="s">
        <v>30804</v>
      </c>
      <c r="B24478" s="4" t="s">
        <v>30805</v>
      </c>
      <c r="C24478" s="5" t="str">
        <f>IFERROR(__xludf.DUMMYFUNCTION("GOOGLETRANSLATE(B24478,""en"",""it"")"),"Una ragazza sta allungando il suo corpo su un balletto.")</f>
        <v>Una ragazza sta allungando il suo corpo su un balletto.</v>
      </c>
    </row>
    <row r="24479">
      <c r="A24479" s="4" t="s">
        <v>30804</v>
      </c>
      <c r="B24479" s="4" t="s">
        <v>30806</v>
      </c>
      <c r="C24479" s="5" t="str">
        <f>IFERROR(__xludf.DUMMYFUNCTION("GOOGLETRANSLATE(B24479,""en"",""it"")"),"Un istruttore si trova con una donna e parla di balletto.")</f>
        <v>Un istruttore si trova con una donna e parla di balletto.</v>
      </c>
    </row>
    <row r="24480">
      <c r="A24480" s="4" t="s">
        <v>30804</v>
      </c>
      <c r="B24480" s="4" t="s">
        <v>30807</v>
      </c>
      <c r="C24480" s="5" t="str">
        <f>IFERROR(__xludf.DUMMYFUNCTION("GOOGLETRANSLATE(B24480,""en"",""it"")"),"La ragazza balla e torna all'istruttore.")</f>
        <v>La ragazza balla e torna all'istruttore.</v>
      </c>
    </row>
    <row r="24481">
      <c r="A24481" s="4" t="s">
        <v>30804</v>
      </c>
      <c r="B24481" s="4" t="s">
        <v>30808</v>
      </c>
      <c r="C24481" s="5" t="str">
        <f>IFERROR(__xludf.DUMMYFUNCTION("GOOGLETRANSLATE(B24481,""en"",""it"")"),"L'istruttore parla degli strumenti di cui avrai bisogno per il balletto.")</f>
        <v>L'istruttore parla degli strumenti di cui avrai bisogno per il balletto.</v>
      </c>
    </row>
    <row r="24482">
      <c r="A24482" s="4" t="s">
        <v>30804</v>
      </c>
      <c r="B24482" s="4" t="s">
        <v>30809</v>
      </c>
      <c r="C24482" s="5" t="str">
        <f>IFERROR(__xludf.DUMMYFUNCTION("GOOGLETRANSLATE(B24482,""en"",""it"")"),"Parla di varie mosse di balletto da fare alla barre mentre la ballerina dimostra.")</f>
        <v>Parla di varie mosse di balletto da fare alla barre mentre la ballerina dimostra.</v>
      </c>
    </row>
    <row r="24483">
      <c r="A24483" s="4" t="s">
        <v>30810</v>
      </c>
      <c r="B24483" s="4" t="s">
        <v>30811</v>
      </c>
      <c r="C24483" s="5" t="str">
        <f>IFERROR(__xludf.DUMMYFUNCTION("GOOGLETRANSLATE(B24483,""en"",""it"")"),"Un colpo vicino di una partita di foose viene mostrato mentre le persone di plastica spingono attorno a una palla.")</f>
        <v>Un colpo vicino di una partita di foose viene mostrato mentre le persone di plastica spingono attorno a una palla.</v>
      </c>
    </row>
    <row r="24484">
      <c r="A24484" s="4" t="s">
        <v>30810</v>
      </c>
      <c r="B24484" s="4" t="s">
        <v>30812</v>
      </c>
      <c r="C24484" s="5" t="str">
        <f>IFERROR(__xludf.DUMMYFUNCTION("GOOGLETRANSLATE(B24484,""en"",""it"")"),"Si vedono le mani che muovono la palla e afferrano i pali per giocare.")</f>
        <v>Si vedono le mani che muovono la palla e afferrano i pali per giocare.</v>
      </c>
    </row>
    <row r="24485">
      <c r="A24485" s="4" t="s">
        <v>30813</v>
      </c>
      <c r="B24485" s="4" t="s">
        <v>30814</v>
      </c>
      <c r="C24485" s="5" t="str">
        <f>IFERROR(__xludf.DUMMYFUNCTION("GOOGLETRANSLATE(B24485,""en"",""it"")"),"Alcune persone vengono mostrate mentre si preparano al tubo lungo una lunga pendenza della neve.")</f>
        <v>Alcune persone vengono mostrate mentre si preparano al tubo lungo una lunga pendenza della neve.</v>
      </c>
    </row>
    <row r="24486">
      <c r="A24486" s="4" t="s">
        <v>30813</v>
      </c>
      <c r="B24486" s="4" t="s">
        <v>30815</v>
      </c>
      <c r="C24486" s="5" t="str">
        <f>IFERROR(__xludf.DUMMYFUNCTION("GOOGLETRANSLATE(B24486,""en"",""it"")"),"Cominciano a scendere dal pendio fino a raggiungere la fine e sono in grado di fermarsi.")</f>
        <v>Cominciano a scendere dal pendio fino a raggiungere la fine e sono in grado di fermarsi.</v>
      </c>
    </row>
    <row r="24487">
      <c r="A24487" s="4" t="s">
        <v>30813</v>
      </c>
      <c r="B24487" s="4" t="s">
        <v>30816</v>
      </c>
      <c r="C24487" s="5" t="str">
        <f>IFERROR(__xludf.DUMMYFUNCTION("GOOGLETRANSLATE(B24487,""en"",""it"")"),"Dopodiché, escono dai loro tubi e iniziano a uscire.")</f>
        <v>Dopodiché, escono dai loro tubi e iniziano a uscire.</v>
      </c>
    </row>
    <row r="24488">
      <c r="A24488" s="4" t="s">
        <v>30817</v>
      </c>
      <c r="B24488" s="4" t="s">
        <v>30818</v>
      </c>
      <c r="C24488" s="5" t="str">
        <f>IFERROR(__xludf.DUMMYFUNCTION("GOOGLETRANSLATE(B24488,""en"",""it"")"),"Le persone stanno praticando uno sport sulla sabbia.")</f>
        <v>Le persone stanno praticando uno sport sulla sabbia.</v>
      </c>
    </row>
    <row r="24489">
      <c r="A24489" s="4" t="s">
        <v>30817</v>
      </c>
      <c r="B24489" s="4" t="s">
        <v>30819</v>
      </c>
      <c r="C24489" s="5" t="str">
        <f>IFERROR(__xludf.DUMMYFUNCTION("GOOGLETRANSLATE(B24489,""en"",""it"")"),"Un uomo in uniforme verde dà un alto cinque a qualcuno a margine.")</f>
        <v>Un uomo in uniforme verde dà un alto cinque a qualcuno a margine.</v>
      </c>
    </row>
    <row r="24490">
      <c r="A24490" s="4" t="s">
        <v>30817</v>
      </c>
      <c r="B24490" s="4" t="s">
        <v>30820</v>
      </c>
      <c r="C24490" s="5" t="str">
        <f>IFERROR(__xludf.DUMMYFUNCTION("GOOGLETRANSLATE(B24490,""en"",""it"")"),"Un uomo cade nella sabbia.")</f>
        <v>Un uomo cade nella sabbia.</v>
      </c>
    </row>
    <row r="24491">
      <c r="A24491" s="4" t="s">
        <v>30821</v>
      </c>
      <c r="B24491" s="4" t="s">
        <v>30822</v>
      </c>
      <c r="C24491" s="5" t="str">
        <f>IFERROR(__xludf.DUMMYFUNCTION("GOOGLETRANSLATE(B24491,""en"",""it"")"),"Una giovane donna viene vista trattenere un gatto e sorridere verso la telecamera.")</f>
        <v>Una giovane donna viene vista trattenere un gatto e sorridere verso la telecamera.</v>
      </c>
    </row>
    <row r="24492">
      <c r="A24492" s="4" t="s">
        <v>30821</v>
      </c>
      <c r="B24492" s="4" t="s">
        <v>30823</v>
      </c>
      <c r="C24492" s="5" t="str">
        <f>IFERROR(__xludf.DUMMYFUNCTION("GOOGLETRANSLATE(B24492,""en"",""it"")"),"Il gatto inizia a agitarsi e la donna continua a sorridere.")</f>
        <v>Il gatto inizia a agitarsi e la donna continua a sorridere.</v>
      </c>
    </row>
    <row r="24493">
      <c r="A24493" s="4" t="s">
        <v>30821</v>
      </c>
      <c r="B24493" s="4" t="s">
        <v>30824</v>
      </c>
      <c r="C24493" s="5" t="str">
        <f>IFERROR(__xludf.DUMMYFUNCTION("GOOGLETRANSLATE(B24493,""en"",""it"")"),"La donna quindi taglia gli artigli di gatti mentre il gatto si muove ancora e alza il gatto.")</f>
        <v>La donna quindi taglia gli artigli di gatti mentre il gatto si muove ancora e alza il gatto.</v>
      </c>
    </row>
    <row r="24494">
      <c r="A24494" s="4" t="s">
        <v>30825</v>
      </c>
      <c r="B24494" s="4" t="s">
        <v>30826</v>
      </c>
      <c r="C24494" s="5" t="str">
        <f>IFERROR(__xludf.DUMMYFUNCTION("GOOGLETRANSLATE(B24494,""en"",""it"")"),"Due persone navigano a bordo su un lago.")</f>
        <v>Due persone navigano a bordo su un lago.</v>
      </c>
    </row>
    <row r="24495">
      <c r="A24495" s="4" t="s">
        <v>30825</v>
      </c>
      <c r="B24495" s="4" t="s">
        <v>30827</v>
      </c>
      <c r="C24495" s="5" t="str">
        <f>IFERROR(__xludf.DUMMYFUNCTION("GOOGLETRANSLATE(B24495,""en"",""it"")"),"Una persona viene vista navigare sul loro tabellone fino a quando non cadono dal tabellone e in acqua.")</f>
        <v>Una persona viene vista navigare sul loro tabellone fino a quando non cadono dal tabellone e in acqua.</v>
      </c>
    </row>
    <row r="24496">
      <c r="A24496" s="4" t="s">
        <v>30828</v>
      </c>
      <c r="B24496" s="4" t="s">
        <v>30829</v>
      </c>
      <c r="C24496" s="5" t="str">
        <f>IFERROR(__xludf.DUMMYFUNCTION("GOOGLETRANSLATE(B24496,""en"",""it"")"),"Un gruppo di uomini sta avvolgendo scatole su un tavolo.")</f>
        <v>Un gruppo di uomini sta avvolgendo scatole su un tavolo.</v>
      </c>
    </row>
    <row r="24497">
      <c r="A24497" s="4" t="s">
        <v>30828</v>
      </c>
      <c r="B24497" s="4" t="s">
        <v>30830</v>
      </c>
      <c r="C24497" s="5" t="str">
        <f>IFERROR(__xludf.DUMMYFUNCTION("GOOGLETRANSLATE(B24497,""en"",""it"")"),"Diverse persone camminano per la zona.")</f>
        <v>Diverse persone camminano per la zona.</v>
      </c>
    </row>
    <row r="24498">
      <c r="A24498" s="4" t="s">
        <v>30828</v>
      </c>
      <c r="B24498" s="4" t="s">
        <v>30831</v>
      </c>
      <c r="C24498" s="5" t="str">
        <f>IFERROR(__xludf.DUMMYFUNCTION("GOOGLETRANSLATE(B24498,""en"",""it"")"),"Un uomo sta diventando molto approfondito sul suo avvolgimento e avvolge forte la scatola.")</f>
        <v>Un uomo sta diventando molto approfondito sul suo avvolgimento e avvolge forte la scatola.</v>
      </c>
    </row>
    <row r="24499">
      <c r="A24499" s="4" t="s">
        <v>30828</v>
      </c>
      <c r="B24499" s="4" t="s">
        <v>30832</v>
      </c>
      <c r="C24499" s="5" t="str">
        <f>IFERROR(__xludf.DUMMYFUNCTION("GOOGLETRANSLATE(B24499,""en"",""it"")"),"Appare un altro uomo e afferra la carta poi se ne va.")</f>
        <v>Appare un altro uomo e afferra la carta poi se ne va.</v>
      </c>
    </row>
    <row r="24500">
      <c r="A24500" s="4" t="s">
        <v>30828</v>
      </c>
      <c r="B24500" s="4" t="s">
        <v>30833</v>
      </c>
      <c r="C24500" s="5" t="str">
        <f>IFERROR(__xludf.DUMMYFUNCTION("GOOGLETRANSLATE(B24500,""en"",""it"")"),"L'uomo che avvolge finisce la sua scatola.")</f>
        <v>L'uomo che avvolge finisce la sua scatola.</v>
      </c>
    </row>
    <row r="24501">
      <c r="A24501" s="4" t="s">
        <v>30834</v>
      </c>
      <c r="B24501" s="4" t="s">
        <v>30835</v>
      </c>
      <c r="C24501" s="5" t="str">
        <f>IFERROR(__xludf.DUMMYFUNCTION("GOOGLETRANSLATE(B24501,""en"",""it"")"),"Un uomo e una donna sono seduti su un portico.")</f>
        <v>Un uomo e una donna sono seduti su un portico.</v>
      </c>
    </row>
    <row r="24502">
      <c r="A24502" s="4" t="s">
        <v>30834</v>
      </c>
      <c r="B24502" s="4" t="s">
        <v>30836</v>
      </c>
      <c r="C24502" s="5" t="str">
        <f>IFERROR(__xludf.DUMMYFUNCTION("GOOGLETRANSLATE(B24502,""en"",""it"")"),"L'uomo suona la batteria di bongo mentre la donna aiuta occasionalmente.")</f>
        <v>L'uomo suona la batteria di bongo mentre la donna aiuta occasionalmente.</v>
      </c>
    </row>
    <row r="24503">
      <c r="A24503" s="4" t="s">
        <v>30834</v>
      </c>
      <c r="B24503" s="4" t="s">
        <v>30837</v>
      </c>
      <c r="C24503" s="5" t="str">
        <f>IFERROR(__xludf.DUMMYFUNCTION("GOOGLETRANSLATE(B24503,""en"",""it"")"),"Un'altra mano si vede sbattere un tamburo in primo piano.")</f>
        <v>Un'altra mano si vede sbattere un tamburo in primo piano.</v>
      </c>
    </row>
    <row r="24504">
      <c r="A24504" s="4" t="s">
        <v>30838</v>
      </c>
      <c r="B24504" s="4" t="s">
        <v>30839</v>
      </c>
      <c r="C24504" s="5" t="str">
        <f>IFERROR(__xludf.DUMMYFUNCTION("GOOGLETRANSLATE(B24504,""en"",""it"")"),"Una persona sale di sopra a sostegno di una stampella, quindi si trova sull'ultimo passaggio mentre un uomo lo segue.")</f>
        <v>Una persona sale di sopra a sostegno di una stampella, quindi si trova sull'ultimo passaggio mentre un uomo lo segue.</v>
      </c>
    </row>
    <row r="24505">
      <c r="A24505" s="4" t="s">
        <v>30838</v>
      </c>
      <c r="B24505" s="6" t="s">
        <v>30840</v>
      </c>
      <c r="C24505" s="5" t="str">
        <f>IFERROR(__xludf.DUMMYFUNCTION("GOOGLETRANSLATE(B24505,""en"",""it"")"),"L'uomo solleva il tappeto, quindi la persona dà all'uomo un corridore con unghie mentre parlava entrambi gli uomini.")</f>
        <v>L'uomo solleva il tappeto, quindi la persona dà all'uomo un corridore con unghie mentre parlava entrambi gli uomini.</v>
      </c>
    </row>
    <row r="24506">
      <c r="A24506" s="4" t="s">
        <v>30838</v>
      </c>
      <c r="B24506" s="4" t="s">
        <v>30841</v>
      </c>
      <c r="C24506" s="5" t="str">
        <f>IFERROR(__xludf.DUMMYFUNCTION("GOOGLETRANSLATE(B24506,""en"",""it"")"),"Dopo, l'uomo mette il corridore sul tappeto sul gradino di legno e rompe i chiodi sciolti.")</f>
        <v>Dopo, l'uomo mette il corridore sul tappeto sul gradino di legno e rompe i chiodi sciolti.</v>
      </c>
    </row>
    <row r="24507">
      <c r="A24507" s="4" t="s">
        <v>30838</v>
      </c>
      <c r="B24507" s="4" t="s">
        <v>30842</v>
      </c>
      <c r="C24507" s="5" t="str">
        <f>IFERROR(__xludf.DUMMYFUNCTION("GOOGLETRANSLATE(B24507,""en"",""it"")"),"Successivamente, l'uomo si è messo sul tappeto e usa una macchina e un martello per riparare il tappeto allegro.")</f>
        <v>Successivamente, l'uomo si è messo sul tappeto e usa una macchina e un martello per riparare il tappeto allegro.</v>
      </c>
    </row>
    <row r="24508">
      <c r="A24508" s="4" t="s">
        <v>30843</v>
      </c>
      <c r="B24508" s="4" t="s">
        <v>30844</v>
      </c>
      <c r="C24508" s="5" t="str">
        <f>IFERROR(__xludf.DUMMYFUNCTION("GOOGLETRANSLATE(B24508,""en"",""it"")"),"Viene visto un uomo parlare alla fotocamera mentre indica un telaio per biciclette e gira attorno alla gomma.")</f>
        <v>Viene visto un uomo parlare alla fotocamera mentre indica un telaio per biciclette e gira attorno alla gomma.</v>
      </c>
    </row>
    <row r="24509">
      <c r="A24509" s="4" t="s">
        <v>30843</v>
      </c>
      <c r="B24509" s="4" t="s">
        <v>30845</v>
      </c>
      <c r="C24509" s="5" t="str">
        <f>IFERROR(__xludf.DUMMYFUNCTION("GOOGLETRANSLATE(B24509,""en"",""it"")"),"L'uomo utilizza quindi gli strumenti per regolare la ruota dei pneumatici e continua a girarla.")</f>
        <v>L'uomo utilizza quindi gli strumenti per regolare la ruota dei pneumatici e continua a girarla.</v>
      </c>
    </row>
    <row r="24510">
      <c r="A24510" s="4" t="s">
        <v>30843</v>
      </c>
      <c r="B24510" s="4" t="s">
        <v>30846</v>
      </c>
      <c r="C24510" s="5" t="str">
        <f>IFERROR(__xludf.DUMMYFUNCTION("GOOGLETRANSLATE(B24510,""en"",""it"")"),"Viene ancora visto lavorare sul retro della bici mentre la fotocamera ingrandisce.")</f>
        <v>Viene ancora visto lavorare sul retro della bici mentre la fotocamera ingrandisce.</v>
      </c>
    </row>
    <row r="24511">
      <c r="A24511" s="4" t="s">
        <v>30847</v>
      </c>
      <c r="B24511" s="4" t="s">
        <v>30848</v>
      </c>
      <c r="C24511" s="5" t="str">
        <f>IFERROR(__xludf.DUMMYFUNCTION("GOOGLETRANSLATE(B24511,""en"",""it"")"),"Un uomo sta parlando, aveva un mobile in porcellana dietro di lui pieno di prodotto in vetro.")</f>
        <v>Un uomo sta parlando, aveva un mobile in porcellana dietro di lui pieno di prodotto in vetro.</v>
      </c>
    </row>
    <row r="24512">
      <c r="A24512" s="4" t="s">
        <v>30847</v>
      </c>
      <c r="B24512" s="4" t="s">
        <v>30849</v>
      </c>
      <c r="C24512" s="5" t="str">
        <f>IFERROR(__xludf.DUMMYFUNCTION("GOOGLETRANSLATE(B24512,""en"",""it"")"),"Comincia a iniziare a mostrare istruzioni passo passo su come fare una salsa.")</f>
        <v>Comincia a iniziare a mostrare istruzioni passo passo su come fare una salsa.</v>
      </c>
    </row>
    <row r="24513">
      <c r="A24513" s="4" t="s">
        <v>30847</v>
      </c>
      <c r="B24513" s="4" t="s">
        <v>30850</v>
      </c>
      <c r="C24513" s="5" t="str">
        <f>IFERROR(__xludf.DUMMYFUNCTION("GOOGLETRANSLATE(B24513,""en"",""it"")"),"Quindi in un'altra padella aggiunge un po 'di carne e formaggio mentre il suo pane tosta.")</f>
        <v>Quindi in un'altra padella aggiunge un po 'di carne e formaggio mentre il suo pane tosta.</v>
      </c>
    </row>
    <row r="24514">
      <c r="A24514" s="4" t="s">
        <v>30847</v>
      </c>
      <c r="B24514" s="4" t="s">
        <v>30851</v>
      </c>
      <c r="C24514" s="5" t="str">
        <f>IFERROR(__xludf.DUMMYFUNCTION("GOOGLETRANSLATE(B24514,""en"",""it"")"),"Quindi aggiunge tutti gli ingredienti sul pane e lo taglia a metà e inizia a mangiare.")</f>
        <v>Quindi aggiunge tutti gli ingredienti sul pane e lo taglia a metà e inizia a mangiare.</v>
      </c>
    </row>
    <row r="24515">
      <c r="A24515" s="4" t="s">
        <v>30852</v>
      </c>
      <c r="B24515" s="4" t="s">
        <v>30853</v>
      </c>
      <c r="C24515" s="5" t="str">
        <f>IFERROR(__xludf.DUMMYFUNCTION("GOOGLETRANSLATE(B24515,""en"",""it"")"),"Viene mostrato un grande Natale mostrato da una donna in piedi accanto.")</f>
        <v>Viene mostrato un grande Natale mostrato da una donna in piedi accanto.</v>
      </c>
    </row>
    <row r="24516">
      <c r="A24516" s="4" t="s">
        <v>30852</v>
      </c>
      <c r="B24516" s="4" t="s">
        <v>30854</v>
      </c>
      <c r="C24516" s="5" t="str">
        <f>IFERROR(__xludf.DUMMYFUNCTION("GOOGLETRANSLATE(B24516,""en"",""it"")"),"La ragazza inizia a decorare l'albero mentre salta su e giù in posizione.")</f>
        <v>La ragazza inizia a decorare l'albero mentre salta su e giù in posizione.</v>
      </c>
    </row>
    <row r="24517">
      <c r="A24517" s="4" t="s">
        <v>30852</v>
      </c>
      <c r="B24517" s="4" t="s">
        <v>30855</v>
      </c>
      <c r="C24517" s="5" t="str">
        <f>IFERROR(__xludf.DUMMYFUNCTION("GOOGLETRANSLATE(B24517,""en"",""it"")"),"Continua a rimbalzare mentre decora l'albero e si guarda in lontananza.")</f>
        <v>Continua a rimbalzare mentre decora l'albero e si guarda in lontananza.</v>
      </c>
    </row>
    <row r="24518">
      <c r="A24518" s="4" t="s">
        <v>30856</v>
      </c>
      <c r="B24518" s="4" t="s">
        <v>30857</v>
      </c>
      <c r="C24518" s="5" t="str">
        <f>IFERROR(__xludf.DUMMYFUNCTION("GOOGLETRANSLATE(B24518,""en"",""it"")"),"Un uomo e un cane sono visti in piedi fuori in un campo con un uomo che gioca a prendere con un cane.")</f>
        <v>Un uomo e un cane sono visti in piedi fuori in un campo con un uomo che gioca a prendere con un cane.</v>
      </c>
    </row>
    <row r="24519">
      <c r="A24519" s="4" t="s">
        <v>30856</v>
      </c>
      <c r="B24519" s="4" t="s">
        <v>30858</v>
      </c>
      <c r="C24519" s="5" t="str">
        <f>IFERROR(__xludf.DUMMYFUNCTION("GOOGLETRANSLATE(B24519,""en"",""it"")"),"L'uomo getta il frisbee con il cane mentre l'animale lo riporta indietro.")</f>
        <v>L'uomo getta il frisbee con il cane mentre l'animale lo riporta indietro.</v>
      </c>
    </row>
    <row r="24520">
      <c r="A24520" s="4" t="s">
        <v>30856</v>
      </c>
      <c r="B24520" s="4" t="s">
        <v>30859</v>
      </c>
      <c r="C24520" s="5" t="str">
        <f>IFERROR(__xludf.DUMMYFUNCTION("GOOGLETRANSLATE(B24520,""en"",""it"")"),"L'uomo esegue molti altri trucchi con il cane usando diversi frisbee.")</f>
        <v>L'uomo esegue molti altri trucchi con il cane usando diversi frisbee.</v>
      </c>
    </row>
    <row r="24521">
      <c r="A24521" s="4" t="s">
        <v>30860</v>
      </c>
      <c r="B24521" s="4" t="s">
        <v>30861</v>
      </c>
      <c r="C24521" s="5" t="str">
        <f>IFERROR(__xludf.DUMMYFUNCTION("GOOGLETRANSLATE(B24521,""en"",""it"")"),"Un giovane viene mostrato su una strada che indossa palafitte.")</f>
        <v>Un giovane viene mostrato su una strada che indossa palafitte.</v>
      </c>
    </row>
    <row r="24522">
      <c r="A24522" s="4" t="s">
        <v>30860</v>
      </c>
      <c r="B24522" s="4" t="s">
        <v>30862</v>
      </c>
      <c r="C24522" s="5" t="str">
        <f>IFERROR(__xludf.DUMMYFUNCTION("GOOGLETRANSLATE(B24522,""en"",""it"")"),"Si avvicina al lato della strada.")</f>
        <v>Si avvicina al lato della strada.</v>
      </c>
    </row>
    <row r="24523">
      <c r="A24523" s="4" t="s">
        <v>30860</v>
      </c>
      <c r="B24523" s="4" t="s">
        <v>30863</v>
      </c>
      <c r="C24523" s="5" t="str">
        <f>IFERROR(__xludf.DUMMYFUNCTION("GOOGLETRANSLATE(B24523,""en"",""it"")"),"Quindi solleva i piedi su e giù come in preparazione della corsa.")</f>
        <v>Quindi solleva i piedi su e giù come in preparazione della corsa.</v>
      </c>
    </row>
    <row r="24524">
      <c r="A24524" s="4" t="s">
        <v>30860</v>
      </c>
      <c r="B24524" s="4" t="s">
        <v>30864</v>
      </c>
      <c r="C24524" s="5" t="str">
        <f>IFERROR(__xludf.DUMMYFUNCTION("GOOGLETRANSLATE(B24524,""en"",""it"")"),"Il video termina quando la persona che registra inclina la fotocamera e copre l'obiettivo.")</f>
        <v>Il video termina quando la persona che registra inclina la fotocamera e copre l'obiettivo.</v>
      </c>
    </row>
    <row r="24525">
      <c r="A24525" s="4" t="s">
        <v>30865</v>
      </c>
      <c r="B24525" s="4" t="s">
        <v>30866</v>
      </c>
      <c r="C24525" s="5" t="str">
        <f>IFERROR(__xludf.DUMMYFUNCTION("GOOGLETRANSLATE(B24525,""en"",""it"")"),"Un uomo si siede su un bagno con la gamba.")</f>
        <v>Un uomo si siede su un bagno con la gamba.</v>
      </c>
    </row>
    <row r="24526">
      <c r="A24526" s="4" t="s">
        <v>30865</v>
      </c>
      <c r="B24526" s="4" t="s">
        <v>30867</v>
      </c>
      <c r="C24526" s="5" t="str">
        <f>IFERROR(__xludf.DUMMYFUNCTION("GOOGLETRANSLATE(B24526,""en"",""it"")"),"Una persona che tiene una macchina fotografica entra in bagno.")</f>
        <v>Una persona che tiene una macchina fotografica entra in bagno.</v>
      </c>
    </row>
    <row r="24527">
      <c r="A24527" s="4" t="s">
        <v>30865</v>
      </c>
      <c r="B24527" s="4" t="s">
        <v>30868</v>
      </c>
      <c r="C24527" s="5" t="str">
        <f>IFERROR(__xludf.DUMMYFUNCTION("GOOGLETRANSLATE(B24527,""en"",""it"")"),"L'uomo strofina la crema da barba sulle gambe.")</f>
        <v>L'uomo strofina la crema da barba sulle gambe.</v>
      </c>
    </row>
    <row r="24528">
      <c r="A24528" s="4" t="s">
        <v>30865</v>
      </c>
      <c r="B24528" s="4" t="s">
        <v>30869</v>
      </c>
      <c r="C24528" s="5" t="str">
        <f>IFERROR(__xludf.DUMMYFUNCTION("GOOGLETRANSLATE(B24528,""en"",""it"")"),"Comincia a radersi la gamba nel lavandino.")</f>
        <v>Comincia a radersi la gamba nel lavandino.</v>
      </c>
    </row>
    <row r="24529">
      <c r="A24529" s="4" t="s">
        <v>30870</v>
      </c>
      <c r="B24529" s="4" t="s">
        <v>30871</v>
      </c>
      <c r="C24529" s="5" t="str">
        <f>IFERROR(__xludf.DUMMYFUNCTION("GOOGLETRANSLATE(B24529,""en"",""it"")"),"Una ginnasta corre veloce, poi salta a lungo in uno stadio pieno di persone.")</f>
        <v>Una ginnasta corre veloce, poi salta a lungo in uno stadio pieno di persone.</v>
      </c>
    </row>
    <row r="24530">
      <c r="A24530" s="4" t="s">
        <v>30870</v>
      </c>
      <c r="B24530" s="4" t="s">
        <v>30872</v>
      </c>
      <c r="C24530" s="5" t="str">
        <f>IFERROR(__xludf.DUMMYFUNCTION("GOOGLETRANSLATE(B24530,""en"",""it"")"),"Due uomini camminano con giavelli.")</f>
        <v>Due uomini camminano con giavelli.</v>
      </c>
    </row>
    <row r="24531">
      <c r="A24531" s="4" t="s">
        <v>30870</v>
      </c>
      <c r="B24531" s="4" t="s">
        <v>30873</v>
      </c>
      <c r="C24531" s="5" t="str">
        <f>IFERROR(__xludf.DUMMYFUNCTION("GOOGLETRANSLATE(B24531,""en"",""it"")"),"Dopo, la ginnasta salta felicemente.")</f>
        <v>Dopo, la ginnasta salta felicemente.</v>
      </c>
    </row>
    <row r="24532">
      <c r="A24532" s="4" t="s">
        <v>30870</v>
      </c>
      <c r="B24532" s="4" t="s">
        <v>30874</v>
      </c>
      <c r="C24532" s="5" t="str">
        <f>IFERROR(__xludf.DUMMYFUNCTION("GOOGLETRANSLATE(B24532,""en"",""it"")"),"Le persone scattano foto della ginnasta.")</f>
        <v>Le persone scattano foto della ginnasta.</v>
      </c>
    </row>
    <row r="24533">
      <c r="A24533" s="4" t="s">
        <v>30875</v>
      </c>
      <c r="B24533" s="4" t="s">
        <v>30876</v>
      </c>
      <c r="C24533" s="5" t="str">
        <f>IFERROR(__xludf.DUMMYFUNCTION("GOOGLETRANSLATE(B24533,""en"",""it"")"),"Un uomo è visto in piedi in una grande stanza che tiene su una racchetta da tennis.")</f>
        <v>Un uomo è visto in piedi in una grande stanza che tiene su una racchetta da tennis.</v>
      </c>
    </row>
    <row r="24534">
      <c r="A24534" s="4" t="s">
        <v>30875</v>
      </c>
      <c r="B24534" s="4" t="s">
        <v>30877</v>
      </c>
      <c r="C24534" s="5" t="str">
        <f>IFERROR(__xludf.DUMMYFUNCTION("GOOGLETRANSLATE(B24534,""en"",""it"")"),"Altre due persone entrano nel telaio e iniziano a colpire la palla intorno alla zona.")</f>
        <v>Altre due persone entrano nel telaio e iniziano a colpire la palla intorno alla zona.</v>
      </c>
    </row>
    <row r="24535">
      <c r="A24535" s="4" t="s">
        <v>30875</v>
      </c>
      <c r="B24535" s="4" t="s">
        <v>30878</v>
      </c>
      <c r="C24535" s="5" t="str">
        <f>IFERROR(__xludf.DUMMYFUNCTION("GOOGLETRANSLATE(B24535,""en"",""it"")"),"Gli uomini continuano a colpire la palla con racchette da tennis e inseguirla nella stanza.")</f>
        <v>Gli uomini continuano a colpire la palla con racchette da tennis e inseguirla nella stanza.</v>
      </c>
    </row>
    <row r="24536">
      <c r="A24536" s="4" t="s">
        <v>30879</v>
      </c>
      <c r="B24536" s="4" t="s">
        <v>30880</v>
      </c>
      <c r="C24536" s="5" t="str">
        <f>IFERROR(__xludf.DUMMYFUNCTION("GOOGLETRANSLATE(B24536,""en"",""it"")"),"Due persone sono viste in palestra che indossano guanti da boxe.")</f>
        <v>Due persone sono viste in palestra che indossano guanti da boxe.</v>
      </c>
    </row>
    <row r="24537">
      <c r="A24537" s="4" t="s">
        <v>30879</v>
      </c>
      <c r="B24537" s="4" t="s">
        <v>30881</v>
      </c>
      <c r="C24537" s="5" t="str">
        <f>IFERROR(__xludf.DUMMYFUNCTION("GOOGLETRANSLATE(B24537,""en"",""it"")"),"Gli uomini poi tornano indietro e quarto tra loro che calciano e danno un pugno.")</f>
        <v>Gli uomini poi tornano indietro e quarto tra loro che calciano e danno un pugno.</v>
      </c>
    </row>
    <row r="24538">
      <c r="A24538" s="4" t="s">
        <v>30879</v>
      </c>
      <c r="B24538" s="4" t="s">
        <v>30882</v>
      </c>
      <c r="C24538" s="5" t="str">
        <f>IFERROR(__xludf.DUMMYFUNCTION("GOOGLETRANSLATE(B24538,""en"",""it"")"),"I due continuano a combattere mentre la telecamera cattura i loro movimenti.")</f>
        <v>I due continuano a combattere mentre la telecamera cattura i loro movimenti.</v>
      </c>
    </row>
    <row r="24539">
      <c r="A24539" s="4" t="s">
        <v>30883</v>
      </c>
      <c r="B24539" s="4" t="s">
        <v>30884</v>
      </c>
      <c r="C24539" s="5" t="str">
        <f>IFERROR(__xludf.DUMMYFUNCTION("GOOGLETRANSLATE(B24539,""en"",""it"")"),"Un uomo si accovaccia e tiene una barra sopra la testa più volte.")</f>
        <v>Un uomo si accovaccia e tiene una barra sopra la testa più volte.</v>
      </c>
    </row>
    <row r="24540">
      <c r="A24540" s="4" t="s">
        <v>30883</v>
      </c>
      <c r="B24540" s="4" t="s">
        <v>30885</v>
      </c>
      <c r="C24540" s="5" t="str">
        <f>IFERROR(__xludf.DUMMYFUNCTION("GOOGLETRANSLATE(B24540,""en"",""it"")"),"Un uomo in una camicia rossa lo guarda.")</f>
        <v>Un uomo in una camicia rossa lo guarda.</v>
      </c>
    </row>
    <row r="24541">
      <c r="A24541" s="4" t="s">
        <v>30883</v>
      </c>
      <c r="B24541" s="4" t="s">
        <v>30886</v>
      </c>
      <c r="C24541" s="5" t="str">
        <f>IFERROR(__xludf.DUMMYFUNCTION("GOOGLETRANSLATE(B24541,""en"",""it"")"),"Lascia cadere la barra a terra di fronte a lui.")</f>
        <v>Lascia cadere la barra a terra di fronte a lui.</v>
      </c>
    </row>
    <row r="24542">
      <c r="A24542" s="4" t="s">
        <v>30887</v>
      </c>
      <c r="B24542" s="6" t="s">
        <v>30888</v>
      </c>
      <c r="C24542" s="5" t="str">
        <f>IFERROR(__xludf.DUMMYFUNCTION("GOOGLETRANSLATE(B24542,""en"",""it"")"),"Una donna più anziana viene vista parlare con la telecamera e conduce a oscillare e quarto con un altro bambino.")</f>
        <v>Una donna più anziana viene vista parlare con la telecamera e conduce a oscillare e quarto con un altro bambino.</v>
      </c>
    </row>
    <row r="24543">
      <c r="A24543" s="4" t="s">
        <v>30887</v>
      </c>
      <c r="B24543" s="4" t="s">
        <v>30889</v>
      </c>
      <c r="C24543" s="5" t="str">
        <f>IFERROR(__xludf.DUMMYFUNCTION("GOOGLETRANSLATE(B24543,""en"",""it"")"),"Il bambino spinge la donna in un'altalena e continua a giocare con lei sul set di swing.")</f>
        <v>Il bambino spinge la donna in un'altalena e continua a giocare con lei sul set di swing.</v>
      </c>
    </row>
    <row r="24544">
      <c r="A24544" s="4" t="s">
        <v>30890</v>
      </c>
      <c r="B24544" s="6" t="s">
        <v>30891</v>
      </c>
      <c r="C24544" s="5" t="str">
        <f>IFERROR(__xludf.DUMMYFUNCTION("GOOGLETRANSLATE(B24544,""en"",""it"")"),"Due persone sono viste eseguire una partita di scherma e quarto mentre altre persone si esercitano in background.")</f>
        <v>Due persone sono viste eseguire una partita di scherma e quarto mentre altre persone si esercitano in background.</v>
      </c>
    </row>
    <row r="24545">
      <c r="A24545" s="4" t="s">
        <v>30890</v>
      </c>
      <c r="B24545" s="4" t="s">
        <v>30892</v>
      </c>
      <c r="C24545" s="5" t="str">
        <f>IFERROR(__xludf.DUMMYFUNCTION("GOOGLETRANSLATE(B24545,""en"",""it"")"),"Vengono mostrati diversi scatti di recinzioni di persone e un schermiere intervistato sulla telecamera.")</f>
        <v>Vengono mostrati diversi scatti di recinzioni di persone e un schermiere intervistato sulla telecamera.</v>
      </c>
    </row>
    <row r="24546">
      <c r="A24546" s="4" t="s">
        <v>30890</v>
      </c>
      <c r="B24546" s="6" t="s">
        <v>30893</v>
      </c>
      <c r="C24546" s="5" t="str">
        <f>IFERROR(__xludf.DUMMYFUNCTION("GOOGLETRANSLATE(B24546,""en"",""it"")"),"Vengono mostrati più scatti di recinzioni di persone e finiscono con molti in piedi e due mani che scuotono.")</f>
        <v>Vengono mostrati più scatti di recinzioni di persone e finiscono con molti in piedi e due mani che scuotono.</v>
      </c>
    </row>
    <row r="24547">
      <c r="A24547" s="4" t="s">
        <v>30894</v>
      </c>
      <c r="B24547" s="4" t="s">
        <v>30895</v>
      </c>
      <c r="C24547" s="5" t="str">
        <f>IFERROR(__xludf.DUMMYFUNCTION("GOOGLETRANSLATE(B24547,""en"",""it"")"),"Un mucchio di abbigliamento è mostrato su una panchina in una casa.")</f>
        <v>Un mucchio di abbigliamento è mostrato su una panchina in una casa.</v>
      </c>
    </row>
    <row r="24548">
      <c r="A24548" s="4" t="s">
        <v>30894</v>
      </c>
      <c r="B24548" s="4" t="s">
        <v>30896</v>
      </c>
      <c r="C24548" s="5" t="str">
        <f>IFERROR(__xludf.DUMMYFUNCTION("GOOGLETRANSLATE(B24548,""en"",""it"")"),"Un maglione pende da un rack.")</f>
        <v>Un maglione pende da un rack.</v>
      </c>
    </row>
    <row r="24549">
      <c r="A24549" s="4" t="s">
        <v>30894</v>
      </c>
      <c r="B24549" s="4" t="s">
        <v>30897</v>
      </c>
      <c r="C24549" s="5" t="str">
        <f>IFERROR(__xludf.DUMMYFUNCTION("GOOGLETRANSLATE(B24549,""en"",""it"")"),"Il maglione è mostrato da diversi angoli poiché un vuoto viene utilizzato per raccogliere capelli e lanugine.")</f>
        <v>Il maglione è mostrato da diversi angoli poiché un vuoto viene utilizzato per raccogliere capelli e lanugine.</v>
      </c>
    </row>
    <row r="24550">
      <c r="A24550" s="4" t="s">
        <v>30898</v>
      </c>
      <c r="B24550" s="4" t="s">
        <v>30899</v>
      </c>
      <c r="C24550" s="5" t="str">
        <f>IFERROR(__xludf.DUMMYFUNCTION("GOOGLETRANSLATE(B24550,""en"",""it"")"),"Un grande edificio è visto con le auto che guidano e persone che camminano in un'arena.")</f>
        <v>Un grande edificio è visto con le auto che guidano e persone che camminano in un'arena.</v>
      </c>
    </row>
    <row r="24551">
      <c r="A24551" s="4" t="s">
        <v>30898</v>
      </c>
      <c r="B24551" s="6" t="s">
        <v>30900</v>
      </c>
      <c r="C24551" s="5" t="str">
        <f>IFERROR(__xludf.DUMMYFUNCTION("GOOGLETRANSLATE(B24551,""en"",""it"")"),"Diverse persone vengono quindi viste sparare arco e frecce a un bersaglio e agitando le mani in aria.")</f>
        <v>Diverse persone vengono quindi viste sparare arco e frecce a un bersaglio e agitando le mani in aria.</v>
      </c>
    </row>
    <row r="24552">
      <c r="A24552" s="4" t="s">
        <v>30898</v>
      </c>
      <c r="B24552" s="4" t="s">
        <v>30901</v>
      </c>
      <c r="C24552" s="5" t="str">
        <f>IFERROR(__xludf.DUMMYFUNCTION("GOOGLETRANSLATE(B24552,""en"",""it"")"),"La gente continua a sparare all'arco e alla freccia al bersaglio mentre altri guardano sul lato.")</f>
        <v>La gente continua a sparare all'arco e alla freccia al bersaglio mentre altri guardano sul lato.</v>
      </c>
    </row>
    <row r="24553">
      <c r="A24553" s="4" t="s">
        <v>30902</v>
      </c>
      <c r="B24553" s="4" t="s">
        <v>30903</v>
      </c>
      <c r="C24553" s="5" t="str">
        <f>IFERROR(__xludf.DUMMYFUNCTION("GOOGLETRANSLATE(B24553,""en"",""it"")"),"Un ragazzo senza camicia gira una palla attaccata a un palo.")</f>
        <v>Un ragazzo senza camicia gira una palla attaccata a un palo.</v>
      </c>
    </row>
    <row r="24554">
      <c r="A24554" s="4" t="s">
        <v>30902</v>
      </c>
      <c r="B24554" s="4" t="s">
        <v>30904</v>
      </c>
      <c r="C24554" s="5" t="str">
        <f>IFERROR(__xludf.DUMMYFUNCTION("GOOGLETRANSLATE(B24554,""en"",""it"")"),"Il ragazzo solleva questo oggetto dall'erba all'estremità del palo.")</f>
        <v>Il ragazzo solleva questo oggetto dall'erba all'estremità del palo.</v>
      </c>
    </row>
    <row r="24555">
      <c r="A24555" s="4" t="s">
        <v>30902</v>
      </c>
      <c r="B24555" s="4" t="s">
        <v>30905</v>
      </c>
      <c r="C24555" s="5" t="str">
        <f>IFERROR(__xludf.DUMMYFUNCTION("GOOGLETRANSLATE(B24555,""en"",""it"")"),"Il ragazzo rilascia l'oggetto.")</f>
        <v>Il ragazzo rilascia l'oggetto.</v>
      </c>
    </row>
    <row r="24556">
      <c r="A24556" s="4" t="s">
        <v>30902</v>
      </c>
      <c r="B24556" s="4" t="s">
        <v>30906</v>
      </c>
      <c r="C24556" s="5" t="str">
        <f>IFERROR(__xludf.DUMMYFUNCTION("GOOGLETRANSLATE(B24556,""en"",""it"")"),"Un ragazzo si allontana dall'oggetto discendente.")</f>
        <v>Un ragazzo si allontana dall'oggetto discendente.</v>
      </c>
    </row>
    <row r="24557">
      <c r="A24557" s="4" t="s">
        <v>30902</v>
      </c>
      <c r="B24557" s="4" t="s">
        <v>30907</v>
      </c>
      <c r="C24557" s="5" t="str">
        <f>IFERROR(__xludf.DUMMYFUNCTION("GOOGLETRANSLATE(B24557,""en"",""it"")"),"Viene mostrato l'indirizzo del sito Web del gruppo.")</f>
        <v>Viene mostrato l'indirizzo del sito Web del gruppo.</v>
      </c>
    </row>
    <row r="24558">
      <c r="A24558" s="4" t="s">
        <v>30908</v>
      </c>
      <c r="B24558" s="4" t="s">
        <v>30909</v>
      </c>
      <c r="C24558" s="5" t="str">
        <f>IFERROR(__xludf.DUMMYFUNCTION("GOOGLETRANSLATE(B24558,""en"",""it"")"),"Vediamo una signora che inizia un tosaerba.")</f>
        <v>Vediamo una signora che inizia un tosaerba.</v>
      </c>
    </row>
    <row r="24559">
      <c r="A24559" s="4" t="s">
        <v>30908</v>
      </c>
      <c r="B24559" s="4" t="s">
        <v>30910</v>
      </c>
      <c r="C24559" s="5" t="str">
        <f>IFERROR(__xludf.DUMMYFUNCTION("GOOGLETRANSLATE(B24559,""en"",""it"")"),"La signora si ferma e guarda la telecamera.")</f>
        <v>La signora si ferma e guarda la telecamera.</v>
      </c>
    </row>
    <row r="24560">
      <c r="A24560" s="4" t="s">
        <v>30908</v>
      </c>
      <c r="B24560" s="4" t="s">
        <v>30911</v>
      </c>
      <c r="C24560" s="5" t="str">
        <f>IFERROR(__xludf.DUMMYFUNCTION("GOOGLETRANSLATE(B24560,""en"",""it"")"),"La signora inizia quindi smette di falciare.")</f>
        <v>La signora inizia quindi smette di falciare.</v>
      </c>
    </row>
    <row r="24561">
      <c r="A24561" s="4" t="s">
        <v>30908</v>
      </c>
      <c r="B24561" s="4" t="s">
        <v>30912</v>
      </c>
      <c r="C24561" s="5" t="str">
        <f>IFERROR(__xludf.DUMMYFUNCTION("GOOGLETRANSLATE(B24561,""en"",""it"")"),"La signora cerca di ricominciare il tosaerba.")</f>
        <v>La signora cerca di ricominciare il tosaerba.</v>
      </c>
    </row>
    <row r="24562">
      <c r="A24562" s="4" t="s">
        <v>30908</v>
      </c>
      <c r="B24562" s="4" t="s">
        <v>30913</v>
      </c>
      <c r="C24562" s="5" t="str">
        <f>IFERROR(__xludf.DUMMYFUNCTION("GOOGLETRANSLATE(B24562,""en"",""it"")"),"Un'altra signora viene in aiuto e cade.")</f>
        <v>Un'altra signora viene in aiuto e cade.</v>
      </c>
    </row>
    <row r="24563">
      <c r="A24563" s="4" t="s">
        <v>30908</v>
      </c>
      <c r="B24563" s="4" t="s">
        <v>30914</v>
      </c>
      <c r="C24563" s="5" t="str">
        <f>IFERROR(__xludf.DUMMYFUNCTION("GOOGLETRANSLATE(B24563,""en"",""it"")"),"La First Lady finalmente avvia le falciatrici.")</f>
        <v>La First Lady finalmente avvia le falciatrici.</v>
      </c>
    </row>
    <row r="24564">
      <c r="A24564" s="4" t="s">
        <v>30908</v>
      </c>
      <c r="B24564" s="4" t="s">
        <v>30915</v>
      </c>
      <c r="C24564" s="5" t="str">
        <f>IFERROR(__xludf.DUMMYFUNCTION("GOOGLETRANSLATE(B24564,""en"",""it"")"),"La signora getta il braccio in aria e falcia il prato.")</f>
        <v>La signora getta il braccio in aria e falcia il prato.</v>
      </c>
    </row>
    <row r="24565">
      <c r="A24565" s="4" t="s">
        <v>30916</v>
      </c>
      <c r="B24565" s="4" t="s">
        <v>30917</v>
      </c>
      <c r="C24565" s="5" t="str">
        <f>IFERROR(__xludf.DUMMYFUNCTION("GOOGLETRANSLATE(B24565,""en"",""it"")"),"Una donna parla alla telecamera mentre un uomo sta accanto a lei.")</f>
        <v>Una donna parla alla telecamera mentre un uomo sta accanto a lei.</v>
      </c>
    </row>
    <row r="24566">
      <c r="A24566" s="4" t="s">
        <v>30916</v>
      </c>
      <c r="B24566" s="6" t="s">
        <v>30918</v>
      </c>
      <c r="C24566" s="5" t="str">
        <f>IFERROR(__xludf.DUMMYFUNCTION("GOOGLETRANSLATE(B24566,""en"",""it"")"),"L'uomo si gira e si allontana mentre la donna dimostra da sola la prospettiva femminile della sequenza di danza.")</f>
        <v>L'uomo si gira e si allontana mentre la donna dimostra da sola la prospettiva femminile della sequenza di danza.</v>
      </c>
    </row>
    <row r="24567">
      <c r="A24567" s="4" t="s">
        <v>30916</v>
      </c>
      <c r="B24567" s="6" t="s">
        <v>30919</v>
      </c>
      <c r="C24567" s="5" t="str">
        <f>IFERROR(__xludf.DUMMYFUNCTION("GOOGLETRANSLATE(B24567,""en"",""it"")"),"L'uomo si rallegra della donna e parla con la telecamera mentre dimostra la sequenza di passi dalla prospettiva maschile.")</f>
        <v>L'uomo si rallegra della donna e parla con la telecamera mentre dimostra la sequenza di passi dalla prospettiva maschile.</v>
      </c>
    </row>
    <row r="24568">
      <c r="A24568" s="4" t="s">
        <v>30916</v>
      </c>
      <c r="B24568" s="4" t="s">
        <v>30920</v>
      </c>
      <c r="C24568" s="5" t="str">
        <f>IFERROR(__xludf.DUMMYFUNCTION("GOOGLETRANSLATE(B24568,""en"",""it"")"),"I due dimostrano la danza insieme senza commenti.")</f>
        <v>I due dimostrano la danza insieme senza commenti.</v>
      </c>
    </row>
    <row r="24569">
      <c r="A24569" s="4" t="s">
        <v>30921</v>
      </c>
      <c r="B24569" s="4" t="s">
        <v>30922</v>
      </c>
      <c r="C24569" s="5" t="str">
        <f>IFERROR(__xludf.DUMMYFUNCTION("GOOGLETRANSLATE(B24569,""en"",""it"")"),"Un maschio falcia un prato usando un tosaerba rossa.")</f>
        <v>Un maschio falcia un prato usando un tosaerba rossa.</v>
      </c>
    </row>
    <row r="24570">
      <c r="A24570" s="4" t="s">
        <v>30921</v>
      </c>
      <c r="B24570" s="4" t="s">
        <v>30923</v>
      </c>
      <c r="C24570" s="5" t="str">
        <f>IFERROR(__xludf.DUMMYFUNCTION("GOOGLETRANSLATE(B24570,""en"",""it"")"),"Un uomo si muove l'erba del suo piede.")</f>
        <v>Un uomo si muove l'erba del suo piede.</v>
      </c>
    </row>
    <row r="24571">
      <c r="A24571" s="4" t="s">
        <v>30921</v>
      </c>
      <c r="B24571" s="4" t="s">
        <v>30924</v>
      </c>
      <c r="C24571" s="5" t="str">
        <f>IFERROR(__xludf.DUMMYFUNCTION("GOOGLETRANSLATE(B24571,""en"",""it"")"),"Un grande cane nero attraversa il prato.")</f>
        <v>Un grande cane nero attraversa il prato.</v>
      </c>
    </row>
    <row r="24572">
      <c r="A24572" s="4" t="s">
        <v>30921</v>
      </c>
      <c r="B24572" s="4" t="s">
        <v>30925</v>
      </c>
      <c r="C24572" s="5" t="str">
        <f>IFERROR(__xludf.DUMMYFUNCTION("GOOGLETRANSLATE(B24572,""en"",""it"")"),"L'uomo si ferma e inverte il tosaerba.")</f>
        <v>L'uomo si ferma e inverte il tosaerba.</v>
      </c>
    </row>
    <row r="24573">
      <c r="A24573" s="4" t="s">
        <v>30921</v>
      </c>
      <c r="B24573" s="4" t="s">
        <v>30926</v>
      </c>
      <c r="C24573" s="5" t="str">
        <f>IFERROR(__xludf.DUMMYFUNCTION("GOOGLETRANSLATE(B24573,""en"",""it"")"),"L'uomo si strofina l'orecchio.")</f>
        <v>L'uomo si strofina l'orecchio.</v>
      </c>
    </row>
    <row r="24574">
      <c r="A24574" s="4" t="s">
        <v>30927</v>
      </c>
      <c r="B24574" s="4" t="s">
        <v>30928</v>
      </c>
      <c r="C24574" s="5" t="str">
        <f>IFERROR(__xludf.DUMMYFUNCTION("GOOGLETRANSLATE(B24574,""en"",""it"")"),"Viene visto un uomo che inizia a salire su una parete di roccia mentre guarda indietro e parlo alla telecamera.")</f>
        <v>Viene visto un uomo che inizia a salire su una parete di roccia mentre guarda indietro e parlo alla telecamera.</v>
      </c>
    </row>
    <row r="24575">
      <c r="A24575" s="4" t="s">
        <v>30927</v>
      </c>
      <c r="B24575" s="4" t="s">
        <v>30929</v>
      </c>
      <c r="C24575" s="5" t="str">
        <f>IFERROR(__xludf.DUMMYFUNCTION("GOOGLETRANSLATE(B24575,""en"",""it"")"),"Continua a salire su e giù mentre si mostra alla corretta salita con i piedi.")</f>
        <v>Continua a salire su e giù mentre si mostra alla corretta salita con i piedi.</v>
      </c>
    </row>
    <row r="24576">
      <c r="A24576" s="4" t="s">
        <v>30927</v>
      </c>
      <c r="B24576" s="4" t="s">
        <v>30930</v>
      </c>
      <c r="C24576" s="5" t="str">
        <f>IFERROR(__xludf.DUMMYFUNCTION("GOOGLETRANSLATE(B24576,""en"",""it"")"),"Lo fa alcune volte in più mentre la fotocamera mostra istruzioni di testo.")</f>
        <v>Lo fa alcune volte in più mentre la fotocamera mostra istruzioni di testo.</v>
      </c>
    </row>
    <row r="24577">
      <c r="A24577" s="4" t="s">
        <v>30931</v>
      </c>
      <c r="B24577" s="4" t="s">
        <v>30932</v>
      </c>
      <c r="C24577" s="5" t="str">
        <f>IFERROR(__xludf.DUMMYFUNCTION("GOOGLETRANSLATE(B24577,""en"",""it"")"),"All'interno di una palestra, due uomini tengono due corde di salto.")</f>
        <v>All'interno di una palestra, due uomini tengono due corde di salto.</v>
      </c>
    </row>
    <row r="24578">
      <c r="A24578" s="4" t="s">
        <v>30931</v>
      </c>
      <c r="B24578" s="4" t="s">
        <v>30933</v>
      </c>
      <c r="C24578" s="5" t="str">
        <f>IFERROR(__xludf.DUMMYFUNCTION("GOOGLETRANSLATE(B24578,""en"",""it"")"),"Un ragazzo in una coda di cavallo salta le corde di salto con gli stand delle mani.")</f>
        <v>Un ragazzo in una coda di cavallo salta le corde di salto con gli stand delle mani.</v>
      </c>
    </row>
    <row r="24579">
      <c r="A24579" s="4" t="s">
        <v>30931</v>
      </c>
      <c r="B24579" s="4" t="s">
        <v>30934</v>
      </c>
      <c r="C24579" s="5" t="str">
        <f>IFERROR(__xludf.DUMMYFUNCTION("GOOGLETRANSLATE(B24579,""en"",""it"")"),"Un uomo con una camicia nera orologio.")</f>
        <v>Un uomo con una camicia nera orologio.</v>
      </c>
    </row>
    <row r="24580">
      <c r="A24580" s="4" t="s">
        <v>30935</v>
      </c>
      <c r="B24580" s="4" t="s">
        <v>30936</v>
      </c>
      <c r="C24580" s="5" t="str">
        <f>IFERROR(__xludf.DUMMYFUNCTION("GOOGLETRANSLATE(B24580,""en"",""it"")"),"Il video si svolge nella piscina di un cortile.")</f>
        <v>Il video si svolge nella piscina di un cortile.</v>
      </c>
    </row>
    <row r="24581">
      <c r="A24581" s="4" t="s">
        <v>30935</v>
      </c>
      <c r="B24581" s="6" t="s">
        <v>30937</v>
      </c>
      <c r="C24581" s="5" t="str">
        <f>IFERROR(__xludf.DUMMYFUNCTION("GOOGLETRANSLATE(B24581,""en"",""it"")"),"Una corda stretta viene infilata attraverso la lunghezza della piscina e una donna sta tentando di attraversare, cade più volte.")</f>
        <v>Una corda stretta viene infilata attraverso la lunghezza della piscina e una donna sta tentando di attraversare, cade più volte.</v>
      </c>
    </row>
    <row r="24582">
      <c r="A24582" s="4" t="s">
        <v>30935</v>
      </c>
      <c r="B24582" s="4" t="s">
        <v>30938</v>
      </c>
      <c r="C24582" s="5" t="str">
        <f>IFERROR(__xludf.DUMMYFUNCTION("GOOGLETRANSLATE(B24582,""en"",""it"")"),"L'ultima volta che cade, la telecamera si riavvolge e la mostra cadere all'indietro.")</f>
        <v>L'ultima volta che cade, la telecamera si riavvolge e la mostra cadere all'indietro.</v>
      </c>
    </row>
    <row r="24583">
      <c r="A24583" s="4" t="s">
        <v>30935</v>
      </c>
      <c r="B24583" s="4" t="s">
        <v>30939</v>
      </c>
      <c r="C24583" s="5" t="str">
        <f>IFERROR(__xludf.DUMMYFUNCTION("GOOGLETRANSLATE(B24583,""en"",""it"")"),"Il video quindi taglia a un uomo che sta anche usando una corda stretta per attraversare una piscina.")</f>
        <v>Il video quindi taglia a un uomo che sta anche usando una corda stretta per attraversare una piscina.</v>
      </c>
    </row>
    <row r="24584">
      <c r="A24584" s="4" t="s">
        <v>30935</v>
      </c>
      <c r="B24584" s="4" t="s">
        <v>30940</v>
      </c>
      <c r="C24584" s="5" t="str">
        <f>IFERROR(__xludf.DUMMYFUNCTION("GOOGLETRANSLATE(B24584,""en"",""it"")"),"Il video mostra diverse clip dell'uomo che cade.")</f>
        <v>Il video mostra diverse clip dell'uomo che cade.</v>
      </c>
    </row>
    <row r="24585">
      <c r="A24585" s="4" t="s">
        <v>30935</v>
      </c>
      <c r="B24585" s="4" t="s">
        <v>30941</v>
      </c>
      <c r="C24585" s="5" t="str">
        <f>IFERROR(__xludf.DUMMYFUNCTION("GOOGLETRANSLATE(B24585,""en"",""it"")"),"Ad un certo punto, tiene una macchina fotografica mentre cade.")</f>
        <v>Ad un certo punto, tiene una macchina fotografica mentre cade.</v>
      </c>
    </row>
    <row r="24586">
      <c r="A24586" s="4" t="s">
        <v>30935</v>
      </c>
      <c r="B24586" s="4" t="s">
        <v>30942</v>
      </c>
      <c r="C24586" s="5" t="str">
        <f>IFERROR(__xludf.DUMMYFUNCTION("GOOGLETRANSLATE(B24586,""en"",""it"")"),"Tenta anche di stare con una gamba sulla corda, oltre a bilanciarsi.")</f>
        <v>Tenta anche di stare con una gamba sulla corda, oltre a bilanciarsi.</v>
      </c>
    </row>
    <row r="24587">
      <c r="A24587" s="4" t="s">
        <v>30935</v>
      </c>
      <c r="B24587" s="4" t="s">
        <v>30943</v>
      </c>
      <c r="C24587" s="5" t="str">
        <f>IFERROR(__xludf.DUMMYFUNCTION("GOOGLETRANSLATE(B24587,""en"",""it"")"),"Il video termina mostrandolo in una caduta finale in un tubo.")</f>
        <v>Il video termina mostrandolo in una caduta finale in un tubo.</v>
      </c>
    </row>
    <row r="24588">
      <c r="A24588" s="4" t="s">
        <v>30944</v>
      </c>
      <c r="B24588" s="6" t="s">
        <v>30945</v>
      </c>
      <c r="C24588" s="5" t="str">
        <f>IFERROR(__xludf.DUMMYFUNCTION("GOOGLETRANSLATE(B24588,""en"",""it"")"),"Un ragazzino brilla le scarpe di una persona che usa lucidatura nera e fa brillare con un pennello e un panno.")</f>
        <v>Un ragazzino brilla le scarpe di una persona che usa lucidatura nera e fa brillare con un pennello e un panno.</v>
      </c>
    </row>
    <row r="24589">
      <c r="A24589" s="4" t="s">
        <v>30944</v>
      </c>
      <c r="B24589" s="4" t="s">
        <v>30946</v>
      </c>
      <c r="C24589" s="5" t="str">
        <f>IFERROR(__xludf.DUMMYFUNCTION("GOOGLETRANSLATE(B24589,""en"",""it"")"),"Quindi, l'uomo paga il ragazzino.")</f>
        <v>Quindi, l'uomo paga il ragazzino.</v>
      </c>
    </row>
    <row r="24590">
      <c r="A24590" s="4" t="s">
        <v>30944</v>
      </c>
      <c r="B24590" s="4" t="s">
        <v>30947</v>
      </c>
      <c r="C24590" s="5" t="str">
        <f>IFERROR(__xludf.DUMMYFUNCTION("GOOGLETRANSLATE(B24590,""en"",""it"")"),"Un ragazzo pulisce gli spettacoli di tennis di una persona che mette la pittura bianca.")</f>
        <v>Un ragazzo pulisce gli spettacoli di tennis di una persona che mette la pittura bianca.</v>
      </c>
    </row>
    <row r="24591">
      <c r="A24591" s="4" t="s">
        <v>30948</v>
      </c>
      <c r="B24591" s="4" t="s">
        <v>30949</v>
      </c>
      <c r="C24591" s="5" t="str">
        <f>IFERROR(__xludf.DUMMYFUNCTION("GOOGLETRANSLATE(B24591,""en"",""it"")"),"Un uomo sta suonando un flauto davanti a un microfono.")</f>
        <v>Un uomo sta suonando un flauto davanti a un microfono.</v>
      </c>
    </row>
    <row r="24592">
      <c r="A24592" s="4" t="s">
        <v>30948</v>
      </c>
      <c r="B24592" s="4" t="s">
        <v>30950</v>
      </c>
      <c r="C24592" s="5" t="str">
        <f>IFERROR(__xludf.DUMMYFUNCTION("GOOGLETRANSLATE(B24592,""en"",""it"")"),"Alcuni altri uomini vengono mostrati suonando chitarre mentre si siedono.")</f>
        <v>Alcuni altri uomini vengono mostrati suonando chitarre mentre si siedono.</v>
      </c>
    </row>
    <row r="24593">
      <c r="A24593" s="4" t="s">
        <v>30948</v>
      </c>
      <c r="B24593" s="4" t="s">
        <v>30951</v>
      </c>
      <c r="C24593" s="5" t="str">
        <f>IFERROR(__xludf.DUMMYFUNCTION("GOOGLETRANSLATE(B24593,""en"",""it"")"),"Il gruppo gioca per il pubblico, occasionalmente ingrandisce le persone.")</f>
        <v>Il gruppo gioca per il pubblico, occasionalmente ingrandisce le persone.</v>
      </c>
    </row>
    <row r="24594">
      <c r="A24594" s="4" t="s">
        <v>30948</v>
      </c>
      <c r="B24594" s="4" t="s">
        <v>30952</v>
      </c>
      <c r="C24594" s="5" t="str">
        <f>IFERROR(__xludf.DUMMYFUNCTION("GOOGLETRANSLATE(B24594,""en"",""it"")"),"Un uomo suona la batteria mentre gli altri sono su flauto e chitarra.")</f>
        <v>Un uomo suona la batteria mentre gli altri sono su flauto e chitarra.</v>
      </c>
    </row>
    <row r="24595">
      <c r="A24595" s="4" t="s">
        <v>30948</v>
      </c>
      <c r="B24595" s="4" t="s">
        <v>30953</v>
      </c>
      <c r="C24595" s="5" t="str">
        <f>IFERROR(__xludf.DUMMYFUNCTION("GOOGLETRANSLATE(B24595,""en"",""it"")"),"Le luci si muovono in modo fluido mentre si crescono e lo schermo diventa nero.")</f>
        <v>Le luci si muovono in modo fluido mentre si crescono e lo schermo diventa nero.</v>
      </c>
    </row>
    <row r="24596">
      <c r="A24596" s="4" t="s">
        <v>30954</v>
      </c>
      <c r="B24596" s="4" t="s">
        <v>30955</v>
      </c>
      <c r="C24596" s="5" t="str">
        <f>IFERROR(__xludf.DUMMYFUNCTION("GOOGLETRANSLATE(B24596,""en"",""it"")"),"Un animale giallo e marrone è attaccato al muro che ondeggia da sinistra a destra.")</f>
        <v>Un animale giallo e marrone è attaccato al muro che ondeggia da sinistra a destra.</v>
      </c>
    </row>
    <row r="24597">
      <c r="A24597" s="4" t="s">
        <v>30954</v>
      </c>
      <c r="B24597" s="6" t="s">
        <v>30956</v>
      </c>
      <c r="C24597" s="5" t="str">
        <f>IFERROR(__xludf.DUMMYFUNCTION("GOOGLETRANSLATE(B24597,""en"",""it"")"),"Mentre è lì, un ragazzo è avvolto in una bandana e tiene il bastone sul lato sinistro della Pinata.")</f>
        <v>Mentre è lì, un ragazzo è avvolto in una bandana e tiene il bastone sul lato sinistro della Pinata.</v>
      </c>
    </row>
    <row r="24598">
      <c r="A24598" s="4" t="s">
        <v>30954</v>
      </c>
      <c r="B24598" s="4" t="s">
        <v>30957</v>
      </c>
      <c r="C24598" s="5" t="str">
        <f>IFERROR(__xludf.DUMMYFUNCTION("GOOGLETRANSLATE(B24598,""en"",""it"")"),"Quindi lo sposta sul lato destro e inizia a colpire ferocemente la Pinata.")</f>
        <v>Quindi lo sposta sul lato destro e inizia a colpire ferocemente la Pinata.</v>
      </c>
    </row>
    <row r="24599">
      <c r="A24599" s="4" t="s">
        <v>30958</v>
      </c>
      <c r="B24599" s="4" t="s">
        <v>4184</v>
      </c>
      <c r="C24599" s="5" t="str">
        <f>IFERROR(__xludf.DUMMYFUNCTION("GOOGLETRANSLATE(B24599,""en"",""it"")"),"Le persone giocano a lacrosse su un campo.")</f>
        <v>Le persone giocano a lacrosse su un campo.</v>
      </c>
    </row>
    <row r="24600">
      <c r="A24600" s="4" t="s">
        <v>30958</v>
      </c>
      <c r="B24600" s="4" t="s">
        <v>30959</v>
      </c>
      <c r="C24600" s="5" t="str">
        <f>IFERROR(__xludf.DUMMYFUNCTION("GOOGLETRANSLATE(B24600,""en"",""it"")"),"Una donna con una camicia blu tiene in mano un bastone di lacrosse.")</f>
        <v>Una donna con una camicia blu tiene in mano un bastone di lacrosse.</v>
      </c>
    </row>
    <row r="24601">
      <c r="A24601" s="4" t="s">
        <v>30958</v>
      </c>
      <c r="B24601" s="4" t="s">
        <v>30960</v>
      </c>
      <c r="C24601" s="5" t="str">
        <f>IFERROR(__xludf.DUMMYFUNCTION("GOOGLETRANSLATE(B24601,""en"",""it"")"),"Continuano a giocare a lacrosse.")</f>
        <v>Continuano a giocare a lacrosse.</v>
      </c>
    </row>
    <row r="24602">
      <c r="A24602" s="4" t="s">
        <v>30961</v>
      </c>
      <c r="B24602" s="4" t="s">
        <v>30962</v>
      </c>
      <c r="C24602" s="5" t="str">
        <f>IFERROR(__xludf.DUMMYFUNCTION("GOOGLETRANSLATE(B24602,""en"",""it"")"),"Un uomo con una camicia nera è in piedi in un salone.")</f>
        <v>Un uomo con una camicia nera è in piedi in un salone.</v>
      </c>
    </row>
    <row r="24603">
      <c r="A24603" s="4" t="s">
        <v>30961</v>
      </c>
      <c r="B24603" s="4" t="s">
        <v>30963</v>
      </c>
      <c r="C24603" s="5" t="str">
        <f>IFERROR(__xludf.DUMMYFUNCTION("GOOGLETRANSLATE(B24603,""en"",""it"")"),"Comincia a radere la barba di un uomo che si sta sdraiando.")</f>
        <v>Comincia a radere la barba di un uomo che si sta sdraiando.</v>
      </c>
    </row>
    <row r="24604">
      <c r="A24604" s="4" t="s">
        <v>30961</v>
      </c>
      <c r="B24604" s="4" t="s">
        <v>30964</v>
      </c>
      <c r="C24604" s="5" t="str">
        <f>IFERROR(__xludf.DUMMYFUNCTION("GOOGLETRANSLATE(B24604,""en"",""it"")"),"Si asciugò dalla faccia dell'uomo.")</f>
        <v>Si asciugò dalla faccia dell'uomo.</v>
      </c>
    </row>
    <row r="24605">
      <c r="A24605" s="4" t="s">
        <v>30965</v>
      </c>
      <c r="B24605" s="4" t="s">
        <v>30966</v>
      </c>
      <c r="C24605" s="5" t="str">
        <f>IFERROR(__xludf.DUMMYFUNCTION("GOOGLETRANSLATE(B24605,""en"",""it"")"),"Un uomo sta mostrando suonare la chitarra con uno schermo del titolo mostrato a sinistra.")</f>
        <v>Un uomo sta mostrando suonare la chitarra con uno schermo del titolo mostrato a sinistra.</v>
      </c>
    </row>
    <row r="24606">
      <c r="A24606" s="4" t="s">
        <v>30965</v>
      </c>
      <c r="B24606" s="4" t="s">
        <v>30967</v>
      </c>
      <c r="C24606" s="5" t="str">
        <f>IFERROR(__xludf.DUMMYFUNCTION("GOOGLETRANSLATE(B24606,""en"",""it"")"),"L'uomo si stringe ancora e ancora mentre batte gradualmente la testa al ritmo.")</f>
        <v>L'uomo si stringe ancora e ancora mentre batte gradualmente la testa al ritmo.</v>
      </c>
    </row>
    <row r="24607">
      <c r="A24607" s="4" t="s">
        <v>30968</v>
      </c>
      <c r="B24607" s="6" t="s">
        <v>30969</v>
      </c>
      <c r="C24607" s="5" t="str">
        <f>IFERROR(__xludf.DUMMYFUNCTION("GOOGLETRANSLATE(B24607,""en"",""it"")"),"Viene mostrato un primo piano di fiamma, seguito dai membri del pubblico in piedi e gli atleti sono pronti.")</f>
        <v>Viene mostrato un primo piano di fiamma, seguito dai membri del pubblico in piedi e gli atleti sono pronti.</v>
      </c>
    </row>
    <row r="24608">
      <c r="A24608" s="4" t="s">
        <v>30968</v>
      </c>
      <c r="B24608" s="4" t="s">
        <v>30970</v>
      </c>
      <c r="C24608" s="5" t="str">
        <f>IFERROR(__xludf.DUMMYFUNCTION("GOOGLETRANSLATE(B24608,""en"",""it"")"),"Hitler quindi guarda un uomo saltare in una fossa e molti altri corridori dopo di lui.")</f>
        <v>Hitler quindi guarda un uomo saltare in una fossa e molti altri corridori dopo di lui.</v>
      </c>
    </row>
    <row r="24609">
      <c r="A24609" s="4" t="s">
        <v>30968</v>
      </c>
      <c r="B24609" s="6" t="s">
        <v>30971</v>
      </c>
      <c r="C24609" s="5" t="str">
        <f>IFERROR(__xludf.DUMMYFUNCTION("GOOGLETRANSLATE(B24609,""en"",""it"")"),"Più atleti continuano a saltare mentre il pubblico viene arrabbiato e termina con i soldati che sollevano bandiere fino al cielo.")</f>
        <v>Più atleti continuano a saltare mentre il pubblico viene arrabbiato e termina con i soldati che sollevano bandiere fino al cielo.</v>
      </c>
    </row>
    <row r="24610">
      <c r="A24610" s="4" t="s">
        <v>30972</v>
      </c>
      <c r="B24610" s="4" t="s">
        <v>30973</v>
      </c>
      <c r="C24610" s="5" t="str">
        <f>IFERROR(__xludf.DUMMYFUNCTION("GOOGLETRANSLATE(B24610,""en"",""it"")"),"Ci sono due ragazzi che giocano a squash in un campo da zucca indoor.")</f>
        <v>Ci sono due ragazzi che giocano a squash in un campo da zucca indoor.</v>
      </c>
    </row>
    <row r="24611">
      <c r="A24611" s="4" t="s">
        <v>30972</v>
      </c>
      <c r="B24611" s="4" t="s">
        <v>30974</v>
      </c>
      <c r="C24611" s="5" t="str">
        <f>IFERROR(__xludf.DUMMYFUNCTION("GOOGLETRANSLATE(B24611,""en"",""it"")"),"Stanno giocando in modo casuale in un gioco non strutturato in cui spesso mancano la palla.")</f>
        <v>Stanno giocando in modo casuale in un gioco non strutturato in cui spesso mancano la palla.</v>
      </c>
    </row>
    <row r="24612">
      <c r="A24612" s="4" t="s">
        <v>30975</v>
      </c>
      <c r="B24612" s="4" t="s">
        <v>30976</v>
      </c>
      <c r="C24612" s="5" t="str">
        <f>IFERROR(__xludf.DUMMYFUNCTION("GOOGLETRANSLATE(B24612,""en"",""it"")"),"Un uomo viene visto in piedi sul fondo di un buco mentre un uomo lo registra.")</f>
        <v>Un uomo viene visto in piedi sul fondo di un buco mentre un uomo lo registra.</v>
      </c>
    </row>
    <row r="24613">
      <c r="A24613" s="4" t="s">
        <v>30975</v>
      </c>
      <c r="B24613" s="4" t="s">
        <v>30977</v>
      </c>
      <c r="C24613" s="5" t="str">
        <f>IFERROR(__xludf.DUMMYFUNCTION("GOOGLETRANSLATE(B24613,""en"",""it"")"),"Due uomini vengono visti arrampicarsi lungo la collina e guardare la macchina fotografica.")</f>
        <v>Due uomini vengono visti arrampicarsi lungo la collina e guardare la macchina fotografica.</v>
      </c>
    </row>
    <row r="24614">
      <c r="A24614" s="4" t="s">
        <v>30975</v>
      </c>
      <c r="B24614" s="4" t="s">
        <v>30978</v>
      </c>
      <c r="C24614" s="5" t="str">
        <f>IFERROR(__xludf.DUMMYFUNCTION("GOOGLETRANSLATE(B24614,""en"",""it"")"),"Un uomo tira fuori l'altro e si arrampica mentre loro e altri parlano alla telecamera.")</f>
        <v>Un uomo tira fuori l'altro e si arrampica mentre loro e altri parlano alla telecamera.</v>
      </c>
    </row>
    <row r="24615">
      <c r="A24615" s="4" t="s">
        <v>30979</v>
      </c>
      <c r="B24615" s="4" t="s">
        <v>30980</v>
      </c>
      <c r="C24615" s="5" t="str">
        <f>IFERROR(__xludf.DUMMYFUNCTION("GOOGLETRANSLATE(B24615,""en"",""it"")"),"Due uomini si stanno mettendo la lozione solare l'uno sull'altro in spiaggia.")</f>
        <v>Due uomini si stanno mettendo la lozione solare l'uno sull'altro in spiaggia.</v>
      </c>
    </row>
    <row r="24616">
      <c r="A24616" s="4" t="s">
        <v>30979</v>
      </c>
      <c r="B24616" s="4" t="s">
        <v>30981</v>
      </c>
      <c r="C24616" s="5" t="str">
        <f>IFERROR(__xludf.DUMMYFUNCTION("GOOGLETRANSLATE(B24616,""en"",""it"")"),"Lo strofinano le spalle reciproche prima di voltarsi.")</f>
        <v>Lo strofinano le spalle reciproche prima di voltarsi.</v>
      </c>
    </row>
    <row r="24617">
      <c r="A24617" s="4" t="s">
        <v>30982</v>
      </c>
      <c r="B24617" s="4" t="s">
        <v>30983</v>
      </c>
      <c r="C24617" s="5" t="str">
        <f>IFERROR(__xludf.DUMMYFUNCTION("GOOGLETRANSLATE(B24617,""en"",""it"")"),"L'uomo è in piedi in un grande campo di campo e praticando un tiro messo.")</f>
        <v>L'uomo è in piedi in un grande campo di campo e praticando un tiro messo.</v>
      </c>
    </row>
    <row r="24618">
      <c r="A24618" s="4" t="s">
        <v>30982</v>
      </c>
      <c r="B24618" s="4" t="s">
        <v>30984</v>
      </c>
      <c r="C24618" s="5" t="str">
        <f>IFERROR(__xludf.DUMMYFUNCTION("GOOGLETRANSLATE(B24618,""en"",""it"")"),"L'uomo che indossa una camicia rossa è in piedi su un lato.")</f>
        <v>L'uomo che indossa una camicia rossa è in piedi su un lato.</v>
      </c>
    </row>
    <row r="24619">
      <c r="A24619" s="4" t="s">
        <v>30982</v>
      </c>
      <c r="B24619" s="4" t="s">
        <v>30985</v>
      </c>
      <c r="C24619" s="5" t="str">
        <f>IFERROR(__xludf.DUMMYFUNCTION("GOOGLETRANSLATE(B24619,""en"",""it"")"),"Gli uomini stanno patting in un grande campo erboso verde.")</f>
        <v>Gli uomini stanno patting in un grande campo erboso verde.</v>
      </c>
    </row>
    <row r="24620">
      <c r="A24620" s="4" t="s">
        <v>30986</v>
      </c>
      <c r="B24620" s="4" t="s">
        <v>30987</v>
      </c>
      <c r="C24620" s="5" t="str">
        <f>IFERROR(__xludf.DUMMYFUNCTION("GOOGLETRANSLATE(B24620,""en"",""it"")"),"Un uomo sta lucidando i suoi sci in un garage.")</f>
        <v>Un uomo sta lucidando i suoi sci in un garage.</v>
      </c>
    </row>
    <row r="24621">
      <c r="A24621" s="4" t="s">
        <v>30986</v>
      </c>
      <c r="B24621" s="4" t="s">
        <v>30988</v>
      </c>
      <c r="C24621" s="5" t="str">
        <f>IFERROR(__xludf.DUMMYFUNCTION("GOOGLETRANSLATE(B24621,""en"",""it"")"),"Cambia posizione per darci maggiore leva mentre buffs.")</f>
        <v>Cambia posizione per darci maggiore leva mentre buffs.</v>
      </c>
    </row>
    <row r="24622">
      <c r="A24622" s="4" t="s">
        <v>30986</v>
      </c>
      <c r="B24622" s="4" t="s">
        <v>30989</v>
      </c>
      <c r="C24622" s="5" t="str">
        <f>IFERROR(__xludf.DUMMYFUNCTION("GOOGLETRANSLATE(B24622,""en"",""it"")"),"Sposta lo timido in un'altra posizione quando ha finito.")</f>
        <v>Sposta lo timido in un'altra posizione quando ha finito.</v>
      </c>
    </row>
    <row r="24623">
      <c r="A24623" s="4" t="s">
        <v>30990</v>
      </c>
      <c r="B24623" s="4" t="s">
        <v>30991</v>
      </c>
      <c r="C24623" s="5" t="str">
        <f>IFERROR(__xludf.DUMMYFUNCTION("GOOGLETRANSLATE(B24623,""en"",""it"")"),"Un cane viene bagnato da una donna.")</f>
        <v>Un cane viene bagnato da una donna.</v>
      </c>
    </row>
    <row r="24624">
      <c r="A24624" s="4" t="s">
        <v>30990</v>
      </c>
      <c r="B24624" s="4" t="s">
        <v>30992</v>
      </c>
      <c r="C24624" s="5" t="str">
        <f>IFERROR(__xludf.DUMMYFUNCTION("GOOGLETRANSLATE(B24624,""en"",""it"")"),"La donna sta spruzzando acqua sul cane con un tubo.")</f>
        <v>La donna sta spruzzando acqua sul cane con un tubo.</v>
      </c>
    </row>
    <row r="24625">
      <c r="A24625" s="4" t="s">
        <v>30990</v>
      </c>
      <c r="B24625" s="4" t="s">
        <v>30993</v>
      </c>
      <c r="C24625" s="5" t="str">
        <f>IFERROR(__xludf.DUMMYFUNCTION("GOOGLETRANSLATE(B24625,""en"",""it"")"),"Ora sta asciugando il cane.")</f>
        <v>Ora sta asciugando il cane.</v>
      </c>
    </row>
    <row r="24626">
      <c r="A24626" s="4" t="s">
        <v>30990</v>
      </c>
      <c r="B24626" s="4" t="s">
        <v>30994</v>
      </c>
      <c r="C24626" s="5" t="str">
        <f>IFERROR(__xludf.DUMMYFUNCTION("GOOGLETRANSLATE(B24626,""en"",""it"")"),"Il cane è messo nel canile accanto ai piedi di una donna.")</f>
        <v>Il cane è messo nel canile accanto ai piedi di una donna.</v>
      </c>
    </row>
    <row r="24627">
      <c r="A24627" s="4" t="s">
        <v>30990</v>
      </c>
      <c r="B24627" s="4" t="s">
        <v>30995</v>
      </c>
      <c r="C24627" s="5" t="str">
        <f>IFERROR(__xludf.DUMMYFUNCTION("GOOGLETRANSLATE(B24627,""en"",""it"")"),"Un cane suona dietro e con il cane curato.")</f>
        <v>Un cane suona dietro e con il cane curato.</v>
      </c>
    </row>
    <row r="24628">
      <c r="A24628" s="4" t="s">
        <v>30990</v>
      </c>
      <c r="B24628" s="4" t="s">
        <v>30996</v>
      </c>
      <c r="C24628" s="5" t="str">
        <f>IFERROR(__xludf.DUMMYFUNCTION("GOOGLETRANSLATE(B24628,""en"",""it"")"),"Il cane ora sta facendo un taglio di capelli.")</f>
        <v>Il cane ora sta facendo un taglio di capelli.</v>
      </c>
    </row>
    <row r="24629">
      <c r="A24629" s="4" t="s">
        <v>30997</v>
      </c>
      <c r="B24629" s="6" t="s">
        <v>30998</v>
      </c>
      <c r="C24629" s="5" t="str">
        <f>IFERROR(__xludf.DUMMYFUNCTION("GOOGLETRANSLATE(B24629,""en"",""it"")"),"Appare lo schermo introduttivo e include un'illustrazione di un uomo che si asciuga il pavimento con un mop in un bagno, un marchio e altre parole.")</f>
        <v>Appare lo schermo introduttivo e include un'illustrazione di un uomo che si asciuga il pavimento con un mop in un bagno, un marchio e altre parole.</v>
      </c>
    </row>
    <row r="24630">
      <c r="A24630" s="4" t="s">
        <v>30997</v>
      </c>
      <c r="B24630" s="6" t="s">
        <v>30999</v>
      </c>
      <c r="C24630" s="5" t="str">
        <f>IFERROR(__xludf.DUMMYFUNCTION("GOOGLETRANSLATE(B24630,""en"",""it"")"),"Una donna è ora in bagno usando un secchio avanzato che è alto e include una maniglia per spremere la scopa piatta e un vano di stocca Picchiere del resto del bagno.")</f>
        <v>Una donna è ora in bagno usando un secchio avanzato che è alto e include una maniglia per spremere la scopa piatta e un vano di stocca Picchiere del resto del bagno.</v>
      </c>
    </row>
    <row r="24631">
      <c r="A24631" s="4" t="s">
        <v>30997</v>
      </c>
      <c r="B24631" s="6" t="s">
        <v>31000</v>
      </c>
      <c r="C24631" s="5" t="str">
        <f>IFERROR(__xludf.DUMMYFUNCTION("GOOGLETRANSLATE(B24631,""en"",""it"")"),"Viene mostrata una vista superiore del secchio e mostra che il secchio ha due scomparti dell'acqua e l'acqua pulita è nella parte anteriore e l'acqua sporca viene mantenuta nella parte posteriore.")</f>
        <v>Viene mostrata una vista superiore del secchio e mostra che il secchio ha due scomparti dell'acqua e l'acqua pulita è nella parte anteriore e l'acqua sporca viene mantenuta nella parte posteriore.</v>
      </c>
    </row>
    <row r="24632">
      <c r="A24632" s="4" t="s">
        <v>30997</v>
      </c>
      <c r="B24632" s="6" t="s">
        <v>31001</v>
      </c>
      <c r="C24632" s="5" t="str">
        <f>IFERROR(__xludf.DUMMYFUNCTION("GOOGLETRANSLATE(B24632,""en"",""it"")"),"Viene visualizzato uno schermo bianco e visualizza il marchio logo, diverse immagini delle maniche e numeri di MOP accanto.")</f>
        <v>Viene visualizzato uno schermo bianco e visualizza il marchio logo, diverse immagini delle maniche e numeri di MOP accanto.</v>
      </c>
    </row>
    <row r="24633">
      <c r="A24633" s="4" t="s">
        <v>30997</v>
      </c>
      <c r="B24633" s="6" t="s">
        <v>31002</v>
      </c>
      <c r="C24633" s="5" t="str">
        <f>IFERROR(__xludf.DUMMYFUNCTION("GOOGLETRANSLATE(B24633,""en"",""it"")"),"La donna cammina all'ingresso del bagno, rimuove il cartello del pavimento bagnato, lo mette nel carrello, inizia a spingere il carrello e la messa a fuoco risale al bagno pulito che ha appena pulito.")</f>
        <v>La donna cammina all'ingresso del bagno, rimuove il cartello del pavimento bagnato, lo mette nel carrello, inizia a spingere il carrello e la messa a fuoco risale al bagno pulito che ha appena pulito.</v>
      </c>
    </row>
    <row r="24634">
      <c r="A24634" s="4" t="s">
        <v>31003</v>
      </c>
      <c r="B24634" s="4" t="s">
        <v>31004</v>
      </c>
      <c r="C24634" s="5" t="str">
        <f>IFERROR(__xludf.DUMMYFUNCTION("GOOGLETRANSLATE(B24634,""en"",""it"")"),"Un uomo agisce come un DJ con le cuffie.")</f>
        <v>Un uomo agisce come un DJ con le cuffie.</v>
      </c>
    </row>
    <row r="24635">
      <c r="A24635" s="4" t="s">
        <v>31003</v>
      </c>
      <c r="B24635" s="4" t="s">
        <v>31005</v>
      </c>
      <c r="C24635" s="5" t="str">
        <f>IFERROR(__xludf.DUMMYFUNCTION("GOOGLETRANSLATE(B24635,""en"",""it"")"),"Un altro uomo decolla un paio di sci d'acqua.")</f>
        <v>Un altro uomo decolla un paio di sci d'acqua.</v>
      </c>
    </row>
    <row r="24636">
      <c r="A24636" s="4" t="s">
        <v>31003</v>
      </c>
      <c r="B24636" s="4" t="s">
        <v>31006</v>
      </c>
      <c r="C24636" s="5" t="str">
        <f>IFERROR(__xludf.DUMMYFUNCTION("GOOGLETRANSLATE(B24636,""en"",""it"")"),"Ski mentre le persone si radunano e se ne vanno su un molo.")</f>
        <v>Ski mentre le persone si radunano e se ne vanno su un molo.</v>
      </c>
    </row>
    <row r="24637">
      <c r="A24637" s="4" t="s">
        <v>31003</v>
      </c>
      <c r="B24637" s="4" t="s">
        <v>31007</v>
      </c>
      <c r="C24637" s="5" t="str">
        <f>IFERROR(__xludf.DUMMYFUNCTION("GOOGLETRANSLATE(B24637,""en"",""it"")"),"Diverse persone si uniscono a un evento di curling, tenendo segni e sorridendo.")</f>
        <v>Diverse persone si uniscono a un evento di curling, tenendo segni e sorridendo.</v>
      </c>
    </row>
    <row r="24638">
      <c r="A24638" s="4" t="s">
        <v>31008</v>
      </c>
      <c r="B24638" s="6" t="s">
        <v>31009</v>
      </c>
      <c r="C24638" s="5" t="str">
        <f>IFERROR(__xludf.DUMMYFUNCTION("GOOGLETRANSLATE(B24638,""en"",""it"")"),"Due persone sono viste in piedi in una grande palestra che si parla e conducono a loro eseguendo una routine di corda di salto.")</f>
        <v>Due persone sono viste in piedi in una grande palestra che si parla e conducono a loro eseguendo una routine di corda di salto.</v>
      </c>
    </row>
    <row r="24639">
      <c r="A24639" s="4" t="s">
        <v>31008</v>
      </c>
      <c r="B24639" s="6" t="s">
        <v>31010</v>
      </c>
      <c r="C24639" s="5" t="str">
        <f>IFERROR(__xludf.DUMMYFUNCTION("GOOGLETRANSLATE(B24639,""en"",""it"")"),"La donna continua a saltare lungo la palestra insieme e termina tenendo le corde contro i loro piedi.")</f>
        <v>La donna continua a saltare lungo la palestra insieme e termina tenendo le corde contro i loro piedi.</v>
      </c>
    </row>
    <row r="24640">
      <c r="A24640" s="4" t="s">
        <v>31011</v>
      </c>
      <c r="B24640" s="4" t="s">
        <v>31012</v>
      </c>
      <c r="C24640" s="5" t="str">
        <f>IFERROR(__xludf.DUMMYFUNCTION("GOOGLETRANSLATE(B24640,""en"",""it"")"),"Un bambino è seduto sul pavimento, toccando un aspirapolvere e parlare.")</f>
        <v>Un bambino è seduto sul pavimento, toccando un aspirapolvere e parlare.</v>
      </c>
    </row>
    <row r="24641">
      <c r="A24641" s="4" t="s">
        <v>31011</v>
      </c>
      <c r="B24641" s="4" t="s">
        <v>31013</v>
      </c>
      <c r="C24641" s="5" t="str">
        <f>IFERROR(__xludf.DUMMYFUNCTION("GOOGLETRANSLATE(B24641,""en"",""it"")"),"Raccoglie anche un altro aspirapolvere e inizia a rotolarlo attraverso la stanza, avanti e indietro.")</f>
        <v>Raccoglie anche un altro aspirapolvere e inizia a rotolarlo attraverso la stanza, avanti e indietro.</v>
      </c>
    </row>
    <row r="24642">
      <c r="A24642" s="4" t="s">
        <v>31014</v>
      </c>
      <c r="B24642" s="4" t="s">
        <v>31015</v>
      </c>
      <c r="C24642" s="5" t="str">
        <f>IFERROR(__xludf.DUMMYFUNCTION("GOOGLETRANSLATE(B24642,""en"",""it"")"),"Un uomo con una camicia verde e un cappello verde tiene un grosso coltello.")</f>
        <v>Un uomo con una camicia verde e un cappello verde tiene un grosso coltello.</v>
      </c>
    </row>
    <row r="24643">
      <c r="A24643" s="4" t="s">
        <v>31014</v>
      </c>
      <c r="B24643" s="4" t="s">
        <v>31016</v>
      </c>
      <c r="C24643" s="5" t="str">
        <f>IFERROR(__xludf.DUMMYFUNCTION("GOOGLETRANSLATE(B24643,""en"",""it"")"),"Comincia a tagliare un pezzo di legno con il coltello.")</f>
        <v>Comincia a tagliare un pezzo di legno con il coltello.</v>
      </c>
    </row>
    <row r="24644">
      <c r="A24644" s="4" t="s">
        <v>31014</v>
      </c>
      <c r="B24644" s="4" t="s">
        <v>31017</v>
      </c>
      <c r="C24644" s="5" t="str">
        <f>IFERROR(__xludf.DUMMYFUNCTION("GOOGLETRANSLATE(B24644,""en"",""it"")"),"Taglia il pezzo di legno a metà.")</f>
        <v>Taglia il pezzo di legno a metà.</v>
      </c>
    </row>
    <row r="24645">
      <c r="A24645" s="4" t="s">
        <v>31018</v>
      </c>
      <c r="B24645" s="4" t="s">
        <v>2480</v>
      </c>
      <c r="C24645" s="5" t="str">
        <f>IFERROR(__xludf.DUMMYFUNCTION("GOOGLETRANSLATE(B24645,""en"",""it"")"),"Vediamo due schermi del titolo di apertura.")</f>
        <v>Vediamo due schermi del titolo di apertura.</v>
      </c>
    </row>
    <row r="24646">
      <c r="A24646" s="4" t="s">
        <v>31018</v>
      </c>
      <c r="B24646" s="4" t="s">
        <v>31019</v>
      </c>
      <c r="C24646" s="5" t="str">
        <f>IFERROR(__xludf.DUMMYFUNCTION("GOOGLETRANSLATE(B24646,""en"",""it"")"),"Vediamo un uomo in una stanza suonare una serie di tamburi.")</f>
        <v>Vediamo un uomo in una stanza suonare una serie di tamburi.</v>
      </c>
    </row>
    <row r="24647">
      <c r="A24647" s="4" t="s">
        <v>31018</v>
      </c>
      <c r="B24647" s="4" t="s">
        <v>31020</v>
      </c>
      <c r="C24647" s="5" t="str">
        <f>IFERROR(__xludf.DUMMYFUNCTION("GOOGLETRANSLATE(B24647,""en"",""it"")"),"L'uomo suona principalmente i tamburi sul lato sinistro.")</f>
        <v>L'uomo suona principalmente i tamburi sul lato sinistro.</v>
      </c>
    </row>
    <row r="24648">
      <c r="A24648" s="4" t="s">
        <v>31018</v>
      </c>
      <c r="B24648" s="4" t="s">
        <v>31021</v>
      </c>
      <c r="C24648" s="5" t="str">
        <f>IFERROR(__xludf.DUMMYFUNCTION("GOOGLETRANSLATE(B24648,""en"",""it"")"),"L'uomo fa una pausa mentre gioca.")</f>
        <v>L'uomo fa una pausa mentre gioca.</v>
      </c>
    </row>
    <row r="24649">
      <c r="A24649" s="4" t="s">
        <v>31018</v>
      </c>
      <c r="B24649" s="4" t="s">
        <v>31022</v>
      </c>
      <c r="C24649" s="5" t="str">
        <f>IFERROR(__xludf.DUMMYFUNCTION("GOOGLETRANSLATE(B24649,""en"",""it"")"),"L'uomo colpisce alcuni tamburi e poi si ferma.")</f>
        <v>L'uomo colpisce alcuni tamburi e poi si ferma.</v>
      </c>
    </row>
    <row r="24650">
      <c r="A24650" s="4" t="s">
        <v>31023</v>
      </c>
      <c r="B24650" s="4" t="s">
        <v>31024</v>
      </c>
      <c r="C24650" s="5" t="str">
        <f>IFERROR(__xludf.DUMMYFUNCTION("GOOGLETRANSLATE(B24650,""en"",""it"")"),"Un uomo tiene due scarpe da donna con tacchi alti estremamente sporchi.")</f>
        <v>Un uomo tiene due scarpe da donna con tacchi alti estremamente sporchi.</v>
      </c>
    </row>
    <row r="24651">
      <c r="A24651" s="4" t="s">
        <v>31023</v>
      </c>
      <c r="B24651" s="4" t="s">
        <v>31025</v>
      </c>
      <c r="C24651" s="5" t="str">
        <f>IFERROR(__xludf.DUMMYFUNCTION("GOOGLETRANSLATE(B24651,""en"",""it"")"),"Usa un sovrano per raschiare la terra secca.")</f>
        <v>Usa un sovrano per raschiare la terra secca.</v>
      </c>
    </row>
    <row r="24652">
      <c r="A24652" s="4" t="s">
        <v>31023</v>
      </c>
      <c r="B24652" s="6" t="s">
        <v>31026</v>
      </c>
      <c r="C24652" s="5" t="str">
        <f>IFERROR(__xludf.DUMMYFUNCTION("GOOGLETRANSLATE(B24652,""en"",""it"")"),"Quindi usa un pennello per lucidare il materiale in pelle scamosciata prima di spruzzare una sostanza bianca sulla scarpa.")</f>
        <v>Quindi usa un pennello per lucidare il materiale in pelle scamosciata prima di spruzzare una sostanza bianca sulla scarpa.</v>
      </c>
    </row>
    <row r="24653">
      <c r="A24653" s="4" t="s">
        <v>31023</v>
      </c>
      <c r="B24653" s="4" t="s">
        <v>31027</v>
      </c>
      <c r="C24653" s="5" t="str">
        <f>IFERROR(__xludf.DUMMYFUNCTION("GOOGLETRANSLATE(B24653,""en"",""it"")"),"Lo graffia pulito, quindi applica una nuova suola e un picco sul tallone.")</f>
        <v>Lo graffia pulito, quindi applica una nuova suola e un picco sul tallone.</v>
      </c>
    </row>
    <row r="24654">
      <c r="A24654" s="4" t="s">
        <v>31023</v>
      </c>
      <c r="B24654" s="4" t="s">
        <v>31028</v>
      </c>
      <c r="C24654" s="5" t="str">
        <f>IFERROR(__xludf.DUMMYFUNCTION("GOOGLETRANSLATE(B24654,""en"",""it"")"),"Mostra la lattina di rinnovatore.")</f>
        <v>Mostra la lattina di rinnovatore.</v>
      </c>
    </row>
    <row r="24655">
      <c r="A24655" s="4" t="s">
        <v>31029</v>
      </c>
      <c r="B24655" s="4" t="s">
        <v>31030</v>
      </c>
      <c r="C24655" s="5" t="str">
        <f>IFERROR(__xludf.DUMMYFUNCTION("GOOGLETRANSLATE(B24655,""en"",""it"")"),"Un uomo e una donna stanno parlando di fronte alla telecamera.")</f>
        <v>Un uomo e una donna stanno parlando di fronte alla telecamera.</v>
      </c>
    </row>
    <row r="24656">
      <c r="A24656" s="4" t="s">
        <v>31029</v>
      </c>
      <c r="B24656" s="4" t="s">
        <v>31031</v>
      </c>
      <c r="C24656" s="5" t="str">
        <f>IFERROR(__xludf.DUMMYFUNCTION("GOOGLETRANSLATE(B24656,""en"",""it"")"),"I giocatori sono in un campo giocando a hockey.")</f>
        <v>I giocatori sono in un campo giocando a hockey.</v>
      </c>
    </row>
    <row r="24657">
      <c r="A24657" s="4" t="s">
        <v>31029</v>
      </c>
      <c r="B24657" s="4" t="s">
        <v>31032</v>
      </c>
      <c r="C24657" s="5" t="str">
        <f>IFERROR(__xludf.DUMMYFUNCTION("GOOGLETRANSLATE(B24657,""en"",""it"")"),"Un uomo e una donna vengono intervistati.")</f>
        <v>Un uomo e una donna vengono intervistati.</v>
      </c>
    </row>
    <row r="24658">
      <c r="A24658" s="4" t="s">
        <v>31033</v>
      </c>
      <c r="B24658" s="4" t="s">
        <v>31034</v>
      </c>
      <c r="C24658" s="5" t="str">
        <f>IFERROR(__xludf.DUMMYFUNCTION("GOOGLETRANSLATE(B24658,""en"",""it"")"),"Le barche stanno attraversando l'acqua.")</f>
        <v>Le barche stanno attraversando l'acqua.</v>
      </c>
    </row>
    <row r="24659">
      <c r="A24659" s="4" t="s">
        <v>31033</v>
      </c>
      <c r="B24659" s="4" t="s">
        <v>31035</v>
      </c>
      <c r="C24659" s="5" t="str">
        <f>IFERROR(__xludf.DUMMYFUNCTION("GOOGLETRANSLATE(B24659,""en"",""it"")"),"Colpisce una tempesta e un uomo piange.")</f>
        <v>Colpisce una tempesta e un uomo piange.</v>
      </c>
    </row>
    <row r="24660">
      <c r="A24660" s="4" t="s">
        <v>31033</v>
      </c>
      <c r="B24660" s="4" t="s">
        <v>31036</v>
      </c>
      <c r="C24660" s="5" t="str">
        <f>IFERROR(__xludf.DUMMYFUNCTION("GOOGLETRANSLATE(B24660,""en"",""it"")"),"Le barche continuano a attraversare l'acqua.")</f>
        <v>Le barche continuano a attraversare l'acqua.</v>
      </c>
    </row>
    <row r="24661">
      <c r="A24661" s="4" t="s">
        <v>31037</v>
      </c>
      <c r="B24661" s="4" t="s">
        <v>31038</v>
      </c>
      <c r="C24661" s="5" t="str">
        <f>IFERROR(__xludf.DUMMYFUNCTION("GOOGLETRANSLATE(B24661,""en"",""it"")"),"Un uomo in giacca e cravatta sta leggendo un giornale.")</f>
        <v>Un uomo in giacca e cravatta sta leggendo un giornale.</v>
      </c>
    </row>
    <row r="24662">
      <c r="A24662" s="4" t="s">
        <v>31037</v>
      </c>
      <c r="B24662" s="4" t="s">
        <v>31039</v>
      </c>
      <c r="C24662" s="5" t="str">
        <f>IFERROR(__xludf.DUMMYFUNCTION("GOOGLETRANSLATE(B24662,""en"",""it"")"),"Mette una compressa dissolvente in un bicchiere d'acqua.")</f>
        <v>Mette una compressa dissolvente in un bicchiere d'acqua.</v>
      </c>
    </row>
    <row r="24663">
      <c r="A24663" s="4" t="s">
        <v>31037</v>
      </c>
      <c r="B24663" s="4" t="s">
        <v>31040</v>
      </c>
      <c r="C24663" s="5" t="str">
        <f>IFERROR(__xludf.DUMMYFUNCTION("GOOGLETRANSLATE(B24663,""en"",""it"")"),"Qualcuno corre di fronte a un'auto su palafitte.")</f>
        <v>Qualcuno corre di fronte a un'auto su palafitte.</v>
      </c>
    </row>
    <row r="24664">
      <c r="A24664" s="4" t="s">
        <v>31041</v>
      </c>
      <c r="B24664" s="4" t="s">
        <v>31042</v>
      </c>
      <c r="C24664" s="5" t="str">
        <f>IFERROR(__xludf.DUMMYFUNCTION("GOOGLETRANSLATE(B24664,""en"",""it"")"),"Un grande gruppo di ragazzi pagaia su un lago in canoe rosse.")</f>
        <v>Un grande gruppo di ragazzi pagaia su un lago in canoe rosse.</v>
      </c>
    </row>
    <row r="24665">
      <c r="A24665" s="4" t="s">
        <v>31041</v>
      </c>
      <c r="B24665" s="4" t="s">
        <v>31043</v>
      </c>
      <c r="C24665" s="5" t="str">
        <f>IFERROR(__xludf.DUMMYFUNCTION("GOOGLETRANSLATE(B24665,""en"",""it"")"),"Altri gruppi di ragazzi su un molo preparano le barche per l'uso.")</f>
        <v>Altri gruppi di ragazzi su un molo preparano le barche per l'uso.</v>
      </c>
    </row>
    <row r="24666">
      <c r="A24666" s="4" t="s">
        <v>31041</v>
      </c>
      <c r="B24666" s="4" t="s">
        <v>31044</v>
      </c>
      <c r="C24666" s="5" t="str">
        <f>IFERROR(__xludf.DUMMYFUNCTION("GOOGLETRANSLATE(B24666,""en"",""it"")"),"Due ragazzi su una pagaia di canoa per allontanarsi dalle canne sul bordo sul lago.")</f>
        <v>Due ragazzi su una pagaia di canoa per allontanarsi dalle canne sul bordo sul lago.</v>
      </c>
    </row>
    <row r="24667">
      <c r="A24667" s="4" t="s">
        <v>31045</v>
      </c>
      <c r="B24667" s="4" t="s">
        <v>31046</v>
      </c>
      <c r="C24667" s="5" t="str">
        <f>IFERROR(__xludf.DUMMYFUNCTION("GOOGLETRANSLATE(B24667,""en"",""it"")"),"Una persona viene vista inginocchiarsi sul pavimento che getta l'intonaco e su una piastrella.")</f>
        <v>Una persona viene vista inginocchiarsi sul pavimento che getta l'intonaco e su una piastrella.</v>
      </c>
    </row>
    <row r="24668">
      <c r="A24668" s="4" t="s">
        <v>31045</v>
      </c>
      <c r="B24668" s="4" t="s">
        <v>31047</v>
      </c>
      <c r="C24668" s="5" t="str">
        <f>IFERROR(__xludf.DUMMYFUNCTION("GOOGLETRANSLATE(B24668,""en"",""it"")"),"La persona si capovolge quindi sulle piastrelle e le pone sul pavimento.")</f>
        <v>La persona si capovolge quindi sulle piastrelle e le pone sul pavimento.</v>
      </c>
    </row>
    <row r="24669">
      <c r="A24669" s="4" t="s">
        <v>31048</v>
      </c>
      <c r="B24669" s="4" t="s">
        <v>31049</v>
      </c>
      <c r="C24669" s="5" t="str">
        <f>IFERROR(__xludf.DUMMYFUNCTION("GOOGLETRANSLATE(B24669,""en"",""it"")"),"Un giovane è visto in piedi davanti a un tosaerba e guarda la telecamera.")</f>
        <v>Un giovane è visto in piedi davanti a un tosaerba e guarda la telecamera.</v>
      </c>
    </row>
    <row r="24670">
      <c r="A24670" s="4" t="s">
        <v>31048</v>
      </c>
      <c r="B24670" s="4" t="s">
        <v>31050</v>
      </c>
      <c r="C24670" s="5" t="str">
        <f>IFERROR(__xludf.DUMMYFUNCTION("GOOGLETRANSLATE(B24670,""en"",""it"")"),"Il ragazzo quindi tira una corda sul tosaerba.")</f>
        <v>Il ragazzo quindi tira una corda sul tosaerba.</v>
      </c>
    </row>
    <row r="24671">
      <c r="A24671" s="4" t="s">
        <v>31048</v>
      </c>
      <c r="B24671" s="4" t="s">
        <v>31051</v>
      </c>
      <c r="C24671" s="5" t="str">
        <f>IFERROR(__xludf.DUMMYFUNCTION("GOOGLETRANSLATE(B24671,""en"",""it"")"),"Alla fine si spinge in avanti sul tosaerba.")</f>
        <v>Alla fine si spinge in avanti sul tosaerba.</v>
      </c>
    </row>
    <row r="24672">
      <c r="A24672" s="4" t="s">
        <v>31052</v>
      </c>
      <c r="B24672" s="4" t="s">
        <v>31053</v>
      </c>
      <c r="C24672" s="5" t="str">
        <f>IFERROR(__xludf.DUMMYFUNCTION("GOOGLETRANSLATE(B24672,""en"",""it"")"),"Vediamo un uomo che mette oggetti in macchina.")</f>
        <v>Vediamo un uomo che mette oggetti in macchina.</v>
      </c>
    </row>
    <row r="24673">
      <c r="A24673" s="4" t="s">
        <v>31052</v>
      </c>
      <c r="B24673" s="4" t="s">
        <v>31054</v>
      </c>
      <c r="C24673" s="5" t="str">
        <f>IFERROR(__xludf.DUMMYFUNCTION("GOOGLETRANSLATE(B24673,""en"",""it"")"),"L'uomo sale in macchina e guida lungo la strada.")</f>
        <v>L'uomo sale in macchina e guida lungo la strada.</v>
      </c>
    </row>
    <row r="24674">
      <c r="A24674" s="4" t="s">
        <v>31052</v>
      </c>
      <c r="B24674" s="4" t="s">
        <v>31055</v>
      </c>
      <c r="C24674" s="5" t="str">
        <f>IFERROR(__xludf.DUMMYFUNCTION("GOOGLETRANSLATE(B24674,""en"",""it"")"),"Vediamo uomini che si arrampicano in casa su una parete di arrampicata e all'aperto nei boschi.")</f>
        <v>Vediamo uomini che si arrampicano in casa su una parete di arrampicata e all'aperto nei boschi.</v>
      </c>
    </row>
    <row r="24675">
      <c r="A24675" s="4" t="s">
        <v>31052</v>
      </c>
      <c r="B24675" s="4" t="s">
        <v>31056</v>
      </c>
      <c r="C24675" s="5" t="str">
        <f>IFERROR(__xludf.DUMMYFUNCTION("GOOGLETRANSLATE(B24675,""en"",""it"")"),"Vediamo due uomini all'aperto di notte allora giorno.")</f>
        <v>Vediamo due uomini all'aperto di notte allora giorno.</v>
      </c>
    </row>
    <row r="24676">
      <c r="A24676" s="4" t="s">
        <v>31052</v>
      </c>
      <c r="B24676" s="4" t="s">
        <v>31057</v>
      </c>
      <c r="C24676" s="5" t="str">
        <f>IFERROR(__xludf.DUMMYFUNCTION("GOOGLETRANSLATE(B24676,""en"",""it"")"),"Vediamo uomini che arrampicano su una scogliera.")</f>
        <v>Vediamo uomini che arrampicano su una scogliera.</v>
      </c>
    </row>
    <row r="24677">
      <c r="A24677" s="4" t="s">
        <v>31052</v>
      </c>
      <c r="B24677" s="4" t="s">
        <v>31058</v>
      </c>
      <c r="C24677" s="5" t="str">
        <f>IFERROR(__xludf.DUMMYFUNCTION("GOOGLETRANSLATE(B24677,""en"",""it"")"),"Un uomo saluta dall'alto.")</f>
        <v>Un uomo saluta dall'alto.</v>
      </c>
    </row>
    <row r="24678">
      <c r="A24678" s="4" t="s">
        <v>31052</v>
      </c>
      <c r="B24678" s="4" t="s">
        <v>31059</v>
      </c>
      <c r="C24678" s="5" t="str">
        <f>IFERROR(__xludf.DUMMYFUNCTION("GOOGLETRANSLATE(B24678,""en"",""it"")"),"Vediamo gli uomini in cima alla scogliera.")</f>
        <v>Vediamo gli uomini in cima alla scogliera.</v>
      </c>
    </row>
    <row r="24679">
      <c r="A24679" s="4" t="s">
        <v>31052</v>
      </c>
      <c r="B24679" s="4" t="s">
        <v>31060</v>
      </c>
      <c r="C24679" s="5" t="str">
        <f>IFERROR(__xludf.DUMMYFUNCTION("GOOGLETRANSLATE(B24679,""en"",""it"")"),"Un uomo perfora buchi in un muro.")</f>
        <v>Un uomo perfora buchi in un muro.</v>
      </c>
    </row>
    <row r="24680">
      <c r="A24680" s="4" t="s">
        <v>31052</v>
      </c>
      <c r="B24680" s="4" t="s">
        <v>31061</v>
      </c>
      <c r="C24680" s="5" t="str">
        <f>IFERROR(__xludf.DUMMYFUNCTION("GOOGLETRANSLATE(B24680,""en"",""it"")"),"Vediamo un uomo cadere ripetutamente.")</f>
        <v>Vediamo un uomo cadere ripetutamente.</v>
      </c>
    </row>
    <row r="24681">
      <c r="A24681" s="4" t="s">
        <v>31052</v>
      </c>
      <c r="B24681" s="4" t="s">
        <v>31062</v>
      </c>
      <c r="C24681" s="5" t="str">
        <f>IFERROR(__xludf.DUMMYFUNCTION("GOOGLETRANSLATE(B24681,""en"",""it"")"),"Vediamo tre uomini in una barca su un fiume.")</f>
        <v>Vediamo tre uomini in una barca su un fiume.</v>
      </c>
    </row>
    <row r="24682">
      <c r="A24682" s="4" t="s">
        <v>31063</v>
      </c>
      <c r="B24682" s="4" t="s">
        <v>31064</v>
      </c>
      <c r="C24682" s="5" t="str">
        <f>IFERROR(__xludf.DUMMYFUNCTION("GOOGLETRANSLATE(B24682,""en"",""it"")"),"Peolpe corre in strada sotto un ponte.")</f>
        <v>Peolpe corre in strada sotto un ponte.</v>
      </c>
    </row>
    <row r="24683">
      <c r="A24683" s="4" t="s">
        <v>31063</v>
      </c>
      <c r="B24683" s="4" t="s">
        <v>31065</v>
      </c>
      <c r="C24683" s="5" t="str">
        <f>IFERROR(__xludf.DUMMYFUNCTION("GOOGLETRANSLATE(B24683,""en"",""it"")"),"Le persone sono in piedi e corrono attraverso il ponte e la strada.")</f>
        <v>Le persone sono in piedi e corrono attraverso il ponte e la strada.</v>
      </c>
    </row>
    <row r="24684">
      <c r="A24684" s="4" t="s">
        <v>31066</v>
      </c>
      <c r="B24684" s="4" t="s">
        <v>31067</v>
      </c>
      <c r="C24684" s="5" t="str">
        <f>IFERROR(__xludf.DUMMYFUNCTION("GOOGLETRANSLATE(B24684,""en"",""it"")"),"Un ragazzo si trova dalla parte inferiore di una scivolata e si allontana.")</f>
        <v>Un ragazzo si trova dalla parte inferiore di una scivolata e si allontana.</v>
      </c>
    </row>
    <row r="24685">
      <c r="A24685" s="4" t="s">
        <v>31066</v>
      </c>
      <c r="B24685" s="4" t="s">
        <v>31068</v>
      </c>
      <c r="C24685" s="5" t="str">
        <f>IFERROR(__xludf.DUMMYFUNCTION("GOOGLETRANSLATE(B24685,""en"",""it"")"),"Altri bambini scivolano su un'altra diapositiva nel parco giochi.")</f>
        <v>Altri bambini scivolano su un'altra diapositiva nel parco giochi.</v>
      </c>
    </row>
    <row r="24686">
      <c r="A24686" s="4" t="s">
        <v>31066</v>
      </c>
      <c r="B24686" s="4" t="s">
        <v>31069</v>
      </c>
      <c r="C24686" s="5" t="str">
        <f>IFERROR(__xludf.DUMMYFUNCTION("GOOGLETRANSLATE(B24686,""en"",""it"")"),"Un bambino si arrampica su una palestra della giungla e poi scende la scivolata.")</f>
        <v>Un bambino si arrampica su una palestra della giungla e poi scende la scivolata.</v>
      </c>
    </row>
    <row r="24687">
      <c r="A24687" s="4" t="s">
        <v>31070</v>
      </c>
      <c r="B24687" s="4" t="s">
        <v>31071</v>
      </c>
      <c r="C24687" s="5" t="str">
        <f>IFERROR(__xludf.DUMMYFUNCTION("GOOGLETRANSLATE(B24687,""en"",""it"")"),"Un cane Shih Tzu è in piedi su un tavolo curato da una donna asiatica anziana.")</f>
        <v>Un cane Shih Tzu è in piedi su un tavolo curato da una donna asiatica anziana.</v>
      </c>
    </row>
    <row r="24688">
      <c r="A24688" s="4" t="s">
        <v>31070</v>
      </c>
      <c r="B24688" s="6" t="s">
        <v>31072</v>
      </c>
      <c r="C24688" s="5" t="str">
        <f>IFERROR(__xludf.DUMMYFUNCTION("GOOGLETRANSLATE(B24688,""en"",""it"")"),"Una volta che ha finito con la cima, la signora che afferra la zampa davanti al cane sinistra e prende un paio di forbici e inizia a tagliare sotto il suo corpo.")</f>
        <v>Una volta che ha finito con la cima, la signora che afferra la zampa davanti al cane sinistra e prende un paio di forbici e inizia a tagliare sotto il suo corpo.</v>
      </c>
    </row>
    <row r="24689">
      <c r="A24689" s="4" t="s">
        <v>31070</v>
      </c>
      <c r="B24689" s="6" t="s">
        <v>31073</v>
      </c>
      <c r="C24689" s="5" t="str">
        <f>IFERROR(__xludf.DUMMYFUNCTION("GOOGLETRANSLATE(B24689,""en"",""it"")"),"Una volta che il ventre è finito, vanno in cima alla testa dei cani e taglia i capelli intorno al viso e taglia il resto dei capelli dietro di lui.")</f>
        <v>Una volta che il ventre è finito, vanno in cima alla testa dei cani e taglia i capelli intorno al viso e taglia il resto dei capelli dietro di lui.</v>
      </c>
    </row>
    <row r="24690">
      <c r="A24690" s="4" t="s">
        <v>31070</v>
      </c>
      <c r="B24690" s="4" t="s">
        <v>31074</v>
      </c>
      <c r="C24690" s="5" t="str">
        <f>IFERROR(__xludf.DUMMYFUNCTION("GOOGLETRANSLATE(B24690,""en"",""it"")"),"Il passo successivo consiste nel tagliare i capelli sotto la bocca del cane.")</f>
        <v>Il passo successivo consiste nel tagliare i capelli sotto la bocca del cane.</v>
      </c>
    </row>
    <row r="24691">
      <c r="A24691" s="4" t="s">
        <v>31075</v>
      </c>
      <c r="B24691" s="4" t="s">
        <v>31076</v>
      </c>
      <c r="C24691" s="5" t="str">
        <f>IFERROR(__xludf.DUMMYFUNCTION("GOOGLETRANSLATE(B24691,""en"",""it"")"),"Un uomo sta giocando a calcio con un altro attraverso un campo.")</f>
        <v>Un uomo sta giocando a calcio con un altro attraverso un campo.</v>
      </c>
    </row>
    <row r="24692">
      <c r="A24692" s="4" t="s">
        <v>31075</v>
      </c>
      <c r="B24692" s="4" t="s">
        <v>31077</v>
      </c>
      <c r="C24692" s="5" t="str">
        <f>IFERROR(__xludf.DUMMYFUNCTION("GOOGLETRANSLATE(B24692,""en"",""it"")"),"Esegue una rapida mossa di giro con l'altra che segue da vicino.")</f>
        <v>Esegue una rapida mossa di giro con l'altra che segue da vicino.</v>
      </c>
    </row>
    <row r="24693">
      <c r="A24693" s="4" t="s">
        <v>31075</v>
      </c>
      <c r="B24693" s="4" t="s">
        <v>31078</v>
      </c>
      <c r="C24693" s="5" t="str">
        <f>IFERROR(__xludf.DUMMYFUNCTION("GOOGLETRANSLATE(B24693,""en"",""it"")"),"La stessa clip viene riprodotta più e più volte a velocità più lente per comprendere meglio il trucco.")</f>
        <v>La stessa clip viene riprodotta più e più volte a velocità più lente per comprendere meglio il trucco.</v>
      </c>
    </row>
    <row r="24694">
      <c r="A24694" s="4" t="s">
        <v>31075</v>
      </c>
      <c r="B24694" s="4" t="s">
        <v>31079</v>
      </c>
      <c r="C24694" s="5" t="str">
        <f>IFERROR(__xludf.DUMMYFUNCTION("GOOGLETRANSLATE(B24694,""en"",""it"")"),"Un altro trucco viene eseguito e successivamente mostrato al rallentatore.")</f>
        <v>Un altro trucco viene eseguito e successivamente mostrato al rallentatore.</v>
      </c>
    </row>
    <row r="24695">
      <c r="A24695" s="4" t="s">
        <v>31075</v>
      </c>
      <c r="B24695" s="4" t="s">
        <v>31080</v>
      </c>
      <c r="C24695" s="5" t="str">
        <f>IFERROR(__xludf.DUMMYFUNCTION("GOOGLETRANSLATE(B24695,""en"",""it"")"),"Altri due trucchi sono dimostrati dal duo e alla fine hanno mostrato un ritmo rallentato.")</f>
        <v>Altri due trucchi sono dimostrati dal duo e alla fine hanno mostrato un ritmo rallentato.</v>
      </c>
    </row>
    <row r="24696">
      <c r="A24696" s="4" t="s">
        <v>31081</v>
      </c>
      <c r="B24696" s="4" t="s">
        <v>31082</v>
      </c>
      <c r="C24696" s="5" t="str">
        <f>IFERROR(__xludf.DUMMYFUNCTION("GOOGLETRANSLATE(B24696,""en"",""it"")"),"Un'introduzione inizia con il lettore musicale e la lettera straniera è presentata sullo schermo.")</f>
        <v>Un'introduzione inizia con il lettore musicale e la lettera straniera è presentata sullo schermo.</v>
      </c>
    </row>
    <row r="24697">
      <c r="A24697" s="4" t="s">
        <v>31081</v>
      </c>
      <c r="B24697" s="4" t="s">
        <v>31083</v>
      </c>
      <c r="C24697" s="5" t="str">
        <f>IFERROR(__xludf.DUMMYFUNCTION("GOOGLETRANSLATE(B24697,""en"",""it"")"),"Un uomo si siede di fronte a un narghilè e inizia a parlare con la telecamera.")</f>
        <v>Un uomo si siede di fronte a un narghilè e inizia a parlare con la telecamera.</v>
      </c>
    </row>
    <row r="24698">
      <c r="A24698" s="4" t="s">
        <v>31081</v>
      </c>
      <c r="B24698" s="4" t="s">
        <v>31084</v>
      </c>
      <c r="C24698" s="5" t="str">
        <f>IFERROR(__xludf.DUMMYFUNCTION("GOOGLETRANSLATE(B24698,""en"",""it"")"),"L'uomo prende un colpo al narghilè e tosse un po '.")</f>
        <v>L'uomo prende un colpo al narghilè e tosse un po '.</v>
      </c>
    </row>
    <row r="24699">
      <c r="A24699" s="4" t="s">
        <v>31081</v>
      </c>
      <c r="B24699" s="4" t="s">
        <v>31085</v>
      </c>
      <c r="C24699" s="5" t="str">
        <f>IFERROR(__xludf.DUMMYFUNCTION("GOOGLETRANSLATE(B24699,""en"",""it"")"),"L'uomo mostra come evitare di tossire con un narghilè spostando il tabacco sulla ciotola.")</f>
        <v>L'uomo mostra come evitare di tossire con un narghilè spostando il tabacco sulla ciotola.</v>
      </c>
    </row>
    <row r="24700">
      <c r="A24700" s="4" t="s">
        <v>31081</v>
      </c>
      <c r="B24700" s="4" t="s">
        <v>31086</v>
      </c>
      <c r="C24700" s="5" t="str">
        <f>IFERROR(__xludf.DUMMYFUNCTION("GOOGLETRANSLATE(B24700,""en"",""it"")"),"Si siede e toglie un altro sbuffo dal narghilè.")</f>
        <v>Si siede e toglie un altro sbuffo dal narghilè.</v>
      </c>
    </row>
    <row r="24701">
      <c r="A24701" s="4" t="s">
        <v>31081</v>
      </c>
      <c r="B24701" s="4" t="s">
        <v>31087</v>
      </c>
      <c r="C24701" s="5" t="str">
        <f>IFERROR(__xludf.DUMMYFUNCTION("GOOGLETRANSLATE(B24701,""en"",""it"")"),"Continua quindi a togliersi i sbuffi dal dispositivo e parlare di come ottenere colpi chiari.")</f>
        <v>Continua quindi a togliersi i sbuffi dal dispositivo e parlare di come ottenere colpi chiari.</v>
      </c>
    </row>
    <row r="24702">
      <c r="A24702" s="4" t="s">
        <v>31088</v>
      </c>
      <c r="B24702" s="6" t="s">
        <v>31089</v>
      </c>
      <c r="C24702" s="5" t="str">
        <f>IFERROR(__xludf.DUMMYFUNCTION("GOOGLETRANSLATE(B24702,""en"",""it"")"),"Il Dipartimento dei trasporti dimostra consigli di sicurezza su ghiaccio e neve con un'auto bianca coperta di neve.")</f>
        <v>Il Dipartimento dei trasporti dimostra consigli di sicurezza su ghiaccio e neve con un'auto bianca coperta di neve.</v>
      </c>
    </row>
    <row r="24703">
      <c r="A24703" s="4" t="s">
        <v>31088</v>
      </c>
      <c r="B24703" s="4" t="s">
        <v>31090</v>
      </c>
      <c r="C24703" s="5" t="str">
        <f>IFERROR(__xludf.DUMMYFUNCTION("GOOGLETRANSLATE(B24703,""en"",""it"")"),"Una signora in una giacca invernale rossa pone le chiavi nell'accensione e inizia la macchina.")</f>
        <v>Una signora in una giacca invernale rossa pone le chiavi nell'accensione e inizia la macchina.</v>
      </c>
    </row>
    <row r="24704">
      <c r="A24704" s="4" t="s">
        <v>31088</v>
      </c>
      <c r="B24704" s="6" t="s">
        <v>31091</v>
      </c>
      <c r="C24704" s="5" t="str">
        <f>IFERROR(__xludf.DUMMYFUNCTION("GOOGLETRANSLATE(B24704,""en"",""it"")"),"La signora con la giacca rossa apre il bagagliaio dell'auto e rimuove una spazzola da neve e spazzola la neve dal corpo dell'auto, i parabrezza, le luci della testa, la griglia anteriore e l'etichetta di licenza.")</f>
        <v>La signora con la giacca rossa apre il bagagliaio dell'auto e rimuove una spazzola da neve e spazzola la neve dal corpo dell'auto, i parabrezza, le luci della testa, la griglia anteriore e l'etichetta di licenza.</v>
      </c>
    </row>
    <row r="24705">
      <c r="A24705" s="4" t="s">
        <v>31092</v>
      </c>
      <c r="B24705" s="4" t="s">
        <v>31093</v>
      </c>
      <c r="C24705" s="5" t="str">
        <f>IFERROR(__xludf.DUMMYFUNCTION("GOOGLETRANSLATE(B24705,""en"",""it"")"),"Un uomo è sul pavimento con un gadget che lo guarda e lo scherza.")</f>
        <v>Un uomo è sul pavimento con un gadget che lo guarda e lo scherza.</v>
      </c>
    </row>
    <row r="24706">
      <c r="A24706" s="4" t="s">
        <v>31092</v>
      </c>
      <c r="B24706" s="4" t="s">
        <v>31094</v>
      </c>
      <c r="C24706" s="5" t="str">
        <f>IFERROR(__xludf.DUMMYFUNCTION("GOOGLETRANSLATE(B24706,""en"",""it"")"),"Mette un tubo in una SDE e inizia un po 'di più.")</f>
        <v>Mette un tubo in una SDE e inizia un po 'di più.</v>
      </c>
    </row>
    <row r="24707">
      <c r="A24707" s="4" t="s">
        <v>31092</v>
      </c>
      <c r="B24707" s="4" t="s">
        <v>31095</v>
      </c>
      <c r="C24707" s="5" t="str">
        <f>IFERROR(__xludf.DUMMYFUNCTION("GOOGLETRANSLATE(B24707,""en"",""it"")"),"Quindi lo sposta sul coraggio del tappeto e inizia a lavorarci.")</f>
        <v>Quindi lo sposta sul coraggio del tappeto e inizia a lavorarci.</v>
      </c>
    </row>
    <row r="24708">
      <c r="A24708" s="4" t="s">
        <v>31092</v>
      </c>
      <c r="B24708" s="4" t="s">
        <v>31096</v>
      </c>
      <c r="C24708" s="5" t="str">
        <f>IFERROR(__xludf.DUMMYFUNCTION("GOOGLETRANSLATE(B24708,""en"",""it"")"),"Lo muove di più e spingendo il tappeto verso il basso, lo fa praticamente per l'intera stanza.")</f>
        <v>Lo muove di più e spingendo il tappeto verso il basso, lo fa praticamente per l'intera stanza.</v>
      </c>
    </row>
    <row r="24709">
      <c r="A24709" s="4" t="s">
        <v>31097</v>
      </c>
      <c r="B24709" s="4" t="s">
        <v>31098</v>
      </c>
      <c r="C24709" s="5" t="str">
        <f>IFERROR(__xludf.DUMMYFUNCTION("GOOGLETRANSLATE(B24709,""en"",""it"")"),"Una signora prende a calci una palla in un campo.")</f>
        <v>Una signora prende a calci una palla in un campo.</v>
      </c>
    </row>
    <row r="24710">
      <c r="A24710" s="4" t="s">
        <v>31097</v>
      </c>
      <c r="B24710" s="4" t="s">
        <v>31099</v>
      </c>
      <c r="C24710" s="5" t="str">
        <f>IFERROR(__xludf.DUMMYFUNCTION("GOOGLETRANSLATE(B24710,""en"",""it"")"),"La signora prende il bambino.")</f>
        <v>La signora prende il bambino.</v>
      </c>
    </row>
    <row r="24711">
      <c r="A24711" s="4" t="s">
        <v>31097</v>
      </c>
      <c r="B24711" s="4" t="s">
        <v>31100</v>
      </c>
      <c r="C24711" s="5" t="str">
        <f>IFERROR(__xludf.DUMMYFUNCTION("GOOGLETRANSLATE(B24711,""en"",""it"")"),"La signora corre sullo schermo.")</f>
        <v>La signora corre sullo schermo.</v>
      </c>
    </row>
    <row r="24712">
      <c r="A24712" s="4" t="s">
        <v>31097</v>
      </c>
      <c r="B24712" s="4" t="s">
        <v>31101</v>
      </c>
      <c r="C24712" s="5" t="str">
        <f>IFERROR(__xludf.DUMMYFUNCTION("GOOGLETRANSLATE(B24712,""en"",""it"")"),"La fotocamera piovana a sinistra e a destra per mostrare la folla in piedi.")</f>
        <v>La fotocamera piovana a sinistra e a destra per mostrare la folla in piedi.</v>
      </c>
    </row>
    <row r="24713">
      <c r="A24713" s="4" t="s">
        <v>31102</v>
      </c>
      <c r="B24713" s="4" t="s">
        <v>31103</v>
      </c>
      <c r="C24713" s="5" t="str">
        <f>IFERROR(__xludf.DUMMYFUNCTION("GOOGLETRANSLATE(B24713,""en"",""it"")"),"Un muro è dipinto da due uomini.")</f>
        <v>Un muro è dipinto da due uomini.</v>
      </c>
    </row>
    <row r="24714">
      <c r="A24714" s="4" t="s">
        <v>31102</v>
      </c>
      <c r="B24714" s="4" t="s">
        <v>31104</v>
      </c>
      <c r="C24714" s="5" t="str">
        <f>IFERROR(__xludf.DUMMYFUNCTION("GOOGLETRANSLATE(B24714,""en"",""it"")"),"Quindi appendono le decorazioni a parete che sono in apparenza da parati.")</f>
        <v>Quindi appendono le decorazioni a parete che sono in apparenza da parati.</v>
      </c>
    </row>
    <row r="24715">
      <c r="A24715" s="4" t="s">
        <v>31105</v>
      </c>
      <c r="B24715" s="4" t="s">
        <v>31106</v>
      </c>
      <c r="C24715" s="5" t="str">
        <f>IFERROR(__xludf.DUMMYFUNCTION("GOOGLETRANSLATE(B24715,""en"",""it"")"),"Una coppia appare sullo schermo, parlando di ballare il tango.")</f>
        <v>Una coppia appare sullo schermo, parlando di ballare il tango.</v>
      </c>
    </row>
    <row r="24716">
      <c r="A24716" s="4" t="s">
        <v>31105</v>
      </c>
      <c r="B24716" s="4" t="s">
        <v>31107</v>
      </c>
      <c r="C24716" s="5" t="str">
        <f>IFERROR(__xludf.DUMMYFUNCTION("GOOGLETRANSLATE(B24716,""en"",""it"")"),"Cominciano a mostrare diversi passi della danza mentre parlano.")</f>
        <v>Cominciano a mostrare diversi passi della danza mentre parlano.</v>
      </c>
    </row>
    <row r="24717">
      <c r="A24717" s="4" t="s">
        <v>31105</v>
      </c>
      <c r="B24717" s="4" t="s">
        <v>31108</v>
      </c>
      <c r="C24717" s="5" t="str">
        <f>IFERROR(__xludf.DUMMYFUNCTION("GOOGLETRANSLATE(B24717,""en"",""it"")"),"Si muovono avanti e indietro, dimostrando il tango.")</f>
        <v>Si muovono avanti e indietro, dimostrando il tango.</v>
      </c>
    </row>
    <row r="24718">
      <c r="A24718" s="4" t="s">
        <v>31105</v>
      </c>
      <c r="B24718" s="4" t="s">
        <v>31109</v>
      </c>
      <c r="C24718" s="5" t="str">
        <f>IFERROR(__xludf.DUMMYFUNCTION("GOOGLETRANSLATE(B24718,""en"",""it"")"),"Quindi ballano insieme per la telecamera.")</f>
        <v>Quindi ballano insieme per la telecamera.</v>
      </c>
    </row>
    <row r="24719">
      <c r="A24719" s="4" t="s">
        <v>31110</v>
      </c>
      <c r="B24719" s="4" t="s">
        <v>31111</v>
      </c>
      <c r="C24719" s="5" t="str">
        <f>IFERROR(__xludf.DUMMYFUNCTION("GOOGLETRANSLATE(B24719,""en"",""it"")"),"I giocatori sono a bordo campo prima di una partita di pallavolo sulla spiaggia.")</f>
        <v>I giocatori sono a bordo campo prima di una partita di pallavolo sulla spiaggia.</v>
      </c>
    </row>
    <row r="24720">
      <c r="A24720" s="4" t="s">
        <v>31110</v>
      </c>
      <c r="B24720" s="4" t="s">
        <v>31112</v>
      </c>
      <c r="C24720" s="5" t="str">
        <f>IFERROR(__xludf.DUMMYFUNCTION("GOOGLETRANSLATE(B24720,""en"",""it"")"),"I giocatori camminano sul campo e prendono posizioni per la partita.")</f>
        <v>I giocatori camminano sul campo e prendono posizioni per la partita.</v>
      </c>
    </row>
    <row r="24721">
      <c r="A24721" s="4" t="s">
        <v>31110</v>
      </c>
      <c r="B24721" s="4" t="s">
        <v>31113</v>
      </c>
      <c r="C24721" s="5" t="str">
        <f>IFERROR(__xludf.DUMMYFUNCTION("GOOGLETRANSLATE(B24721,""en"",""it"")"),"Le squadre giocano una partita di pallavolo da spiaggia.")</f>
        <v>Le squadre giocano una partita di pallavolo da spiaggia.</v>
      </c>
    </row>
    <row r="24722">
      <c r="A24722" s="4" t="s">
        <v>31110</v>
      </c>
      <c r="B24722" s="4" t="s">
        <v>31114</v>
      </c>
      <c r="C24722" s="5" t="str">
        <f>IFERROR(__xludf.DUMMYFUNCTION("GOOGLETRANSLATE(B24722,""en"",""it"")"),"I giocatori si stringono la mano e si congratulano l'uno con l'altro.")</f>
        <v>I giocatori si stringono la mano e si congratulano l'uno con l'altro.</v>
      </c>
    </row>
    <row r="24723">
      <c r="A24723" s="4" t="s">
        <v>31115</v>
      </c>
      <c r="B24723" s="4" t="s">
        <v>31116</v>
      </c>
      <c r="C24723" s="5" t="str">
        <f>IFERROR(__xludf.DUMMYFUNCTION("GOOGLETRANSLATE(B24723,""en"",""it"")"),"Un giovane parla mentre mostra un sassofono.")</f>
        <v>Un giovane parla mentre mostra un sassofono.</v>
      </c>
    </row>
    <row r="24724">
      <c r="A24724" s="4" t="s">
        <v>31115</v>
      </c>
      <c r="B24724" s="4" t="s">
        <v>31117</v>
      </c>
      <c r="C24724" s="5" t="str">
        <f>IFERROR(__xludf.DUMMYFUNCTION("GOOGLETRANSLATE(B24724,""en"",""it"")"),"Il giovane punta le chiavi del sassofono mentre parla.")</f>
        <v>Il giovane punta le chiavi del sassofono mentre parla.</v>
      </c>
    </row>
    <row r="24725">
      <c r="A24725" s="4" t="s">
        <v>31115</v>
      </c>
      <c r="B24725" s="4" t="s">
        <v>31118</v>
      </c>
      <c r="C24725" s="5" t="str">
        <f>IFERROR(__xludf.DUMMYFUNCTION("GOOGLETRANSLATE(B24725,""en"",""it"")"),"Quindi, il giovane fissò il sassofono con un nastro blu sul collo.")</f>
        <v>Quindi, il giovane fissò il sassofono con un nastro blu sul collo.</v>
      </c>
    </row>
    <row r="24726">
      <c r="A24726" s="4" t="s">
        <v>31115</v>
      </c>
      <c r="B24726" s="6" t="s">
        <v>31119</v>
      </c>
      <c r="C24726" s="5" t="str">
        <f>IFERROR(__xludf.DUMMYFUNCTION("GOOGLETRANSLATE(B24726,""en"",""it"")"),"Dopo, il giovane mette la bocca sul bocchino del sassofono, quindi continua a spiegare.")</f>
        <v>Dopo, il giovane mette la bocca sul bocchino del sassofono, quindi continua a spiegare.</v>
      </c>
    </row>
    <row r="24727">
      <c r="A24727" s="4" t="s">
        <v>31120</v>
      </c>
      <c r="B24727" s="4" t="s">
        <v>31121</v>
      </c>
      <c r="C24727" s="5" t="str">
        <f>IFERROR(__xludf.DUMMYFUNCTION("GOOGLETRANSLATE(B24727,""en"",""it"")"),"Un parrucchiere spiega come tagliare un taglio di un uomo.")</f>
        <v>Un parrucchiere spiega come tagliare un taglio di un uomo.</v>
      </c>
    </row>
    <row r="24728">
      <c r="A24728" s="4" t="s">
        <v>31120</v>
      </c>
      <c r="B24728" s="6" t="s">
        <v>31122</v>
      </c>
      <c r="C24728" s="5" t="str">
        <f>IFERROR(__xludf.DUMMYFUNCTION("GOOGLETRANSLATE(B24728,""en"",""it"")"),"La silista dei capelli prepara i capelli in sezioni con alcune clip e inizia a tagliare i capelli con un rasoio di piume e mette una clip nei capelli sopra la testa e procede a tagliare i capelli con le forbici che fanno strati.")</f>
        <v>La silista dei capelli prepara i capelli in sezioni con alcune clip e inizia a tagliare i capelli con un rasoio di piume e mette una clip nei capelli sopra la testa e procede a tagliare i capelli con le forbici che fanno strati.</v>
      </c>
    </row>
    <row r="24729">
      <c r="A24729" s="4" t="s">
        <v>31120</v>
      </c>
      <c r="B24729" s="4" t="s">
        <v>31123</v>
      </c>
      <c r="C24729" s="5" t="str">
        <f>IFERROR(__xludf.DUMMYFUNCTION("GOOGLETRANSLATE(B24729,""en"",""it"")"),"Lo stilista di capelli usa quindi un asciugacapelli per soffiare i capelli usando le dita.")</f>
        <v>Lo stilista di capelli usa quindi un asciugacapelli per soffiare i capelli usando le dita.</v>
      </c>
    </row>
    <row r="24730">
      <c r="A24730" s="4" t="s">
        <v>31120</v>
      </c>
      <c r="B24730" s="4" t="s">
        <v>31124</v>
      </c>
      <c r="C24730" s="5" t="str">
        <f>IFERROR(__xludf.DUMMYFUNCTION("GOOGLETRANSLATE(B24730,""en"",""it"")"),"La parrucchiere usa quindi solo le dita per lanciare i capelli.")</f>
        <v>La parrucchiere usa quindi solo le dita per lanciare i capelli.</v>
      </c>
    </row>
    <row r="24731">
      <c r="A24731" s="4" t="s">
        <v>31120</v>
      </c>
      <c r="B24731" s="4" t="s">
        <v>31125</v>
      </c>
      <c r="C24731" s="5" t="str">
        <f>IFERROR(__xludf.DUMMYFUNCTION("GOOGLETRANSLATE(B24731,""en"",""it"")"),"Un primo piano di Thenan e il taglio finale e un primo piano dello stilista.")</f>
        <v>Un primo piano di Thenan e il taglio finale e un primo piano dello stilista.</v>
      </c>
    </row>
    <row r="24732">
      <c r="A24732" s="4" t="s">
        <v>31126</v>
      </c>
      <c r="B24732" s="4" t="s">
        <v>31127</v>
      </c>
      <c r="C24732" s="5" t="str">
        <f>IFERROR(__xludf.DUMMYFUNCTION("GOOGLETRANSLATE(B24732,""en"",""it"")"),"Una mano allinea l'area sciolta della carta da parati.")</f>
        <v>Una mano allinea l'area sciolta della carta da parati.</v>
      </c>
    </row>
    <row r="24733">
      <c r="A24733" s="4" t="s">
        <v>31126</v>
      </c>
      <c r="B24733" s="4" t="s">
        <v>31128</v>
      </c>
      <c r="C24733" s="5" t="str">
        <f>IFERROR(__xludf.DUMMYFUNCTION("GOOGLETRANSLATE(B24733,""en"",""it"")"),"La mano mette in pasta da una ciotola sul retro dello sfondo sciolto.")</f>
        <v>La mano mette in pasta da una ciotola sul retro dello sfondo sciolto.</v>
      </c>
    </row>
    <row r="24734">
      <c r="A24734" s="4" t="s">
        <v>31126</v>
      </c>
      <c r="B24734" s="4" t="s">
        <v>31129</v>
      </c>
      <c r="C24734" s="5" t="str">
        <f>IFERROR(__xludf.DUMMYFUNCTION("GOOGLETRANSLATE(B24734,""en"",""it"")"),"La mano esegue uno scrub sulla carta da parati sciolta.")</f>
        <v>La mano esegue uno scrub sulla carta da parati sciolta.</v>
      </c>
    </row>
    <row r="24735">
      <c r="A24735" s="4" t="s">
        <v>31126</v>
      </c>
      <c r="B24735" s="4" t="s">
        <v>31130</v>
      </c>
      <c r="C24735" s="5" t="str">
        <f>IFERROR(__xludf.DUMMYFUNCTION("GOOGLETRANSLATE(B24735,""en"",""it"")"),"La mano contiene un asciugacapelli e l'altra mano rotola un dispositivo per riparare lo sfondo sciolto.")</f>
        <v>La mano contiene un asciugacapelli e l'altra mano rotola un dispositivo per riparare lo sfondo sciolto.</v>
      </c>
    </row>
    <row r="24736">
      <c r="A24736" s="4" t="s">
        <v>31126</v>
      </c>
      <c r="B24736" s="4" t="s">
        <v>31131</v>
      </c>
      <c r="C24736" s="5" t="str">
        <f>IFERROR(__xludf.DUMMYFUNCTION("GOOGLETRANSLATE(B24736,""en"",""it"")"),"La mano esegue rapidamente uno scrub attraverso lo sfondo riparato.")</f>
        <v>La mano esegue rapidamente uno scrub attraverso lo sfondo riparato.</v>
      </c>
    </row>
    <row r="24737">
      <c r="A24737" s="4" t="s">
        <v>31132</v>
      </c>
      <c r="B24737" s="4" t="s">
        <v>31133</v>
      </c>
      <c r="C24737" s="5" t="str">
        <f>IFERROR(__xludf.DUMMYFUNCTION("GOOGLETRANSLATE(B24737,""en"",""it"")"),"Una donna presenta il suo video di decorazione per la casa, in piedi accanto a una sedia.")</f>
        <v>Una donna presenta il suo video di decorazione per la casa, in piedi accanto a una sedia.</v>
      </c>
    </row>
    <row r="24738">
      <c r="A24738" s="4" t="s">
        <v>31132</v>
      </c>
      <c r="B24738" s="4" t="s">
        <v>31134</v>
      </c>
      <c r="C24738" s="5" t="str">
        <f>IFERROR(__xludf.DUMMYFUNCTION("GOOGLETRANSLATE(B24738,""en"",""it"")"),"Per prima cosa strofina lo sporco dalla sedia con una spugna.")</f>
        <v>Per prima cosa strofina lo sporco dalla sedia con una spugna.</v>
      </c>
    </row>
    <row r="24739">
      <c r="A24739" s="4" t="s">
        <v>31132</v>
      </c>
      <c r="B24739" s="4" t="s">
        <v>31135</v>
      </c>
      <c r="C24739" s="5" t="str">
        <f>IFERROR(__xludf.DUMMYFUNCTION("GOOGLETRANSLATE(B24739,""en"",""it"")"),"Successivamente, applica una vernice argentata sulla sedia.")</f>
        <v>Successivamente, applica una vernice argentata sulla sedia.</v>
      </c>
    </row>
    <row r="24740">
      <c r="A24740" s="4" t="s">
        <v>31132</v>
      </c>
      <c r="B24740" s="4" t="s">
        <v>31136</v>
      </c>
      <c r="C24740" s="5" t="str">
        <f>IFERROR(__xludf.DUMMYFUNCTION("GOOGLETRANSLATE(B24740,""en"",""it"")"),"Quindi immerge il pennello in una vernice blu per coprire il sedile della sedia, la schiena e poi le braccia/le gambe.")</f>
        <v>Quindi immerge il pennello in una vernice blu per coprire il sedile della sedia, la schiena e poi le braccia/le gambe.</v>
      </c>
    </row>
    <row r="24741">
      <c r="A24741" s="4" t="s">
        <v>31132</v>
      </c>
      <c r="B24741" s="4" t="s">
        <v>31137</v>
      </c>
      <c r="C24741" s="5" t="str">
        <f>IFERROR(__xludf.DUMMYFUNCTION("GOOGLETRANSLATE(B24741,""en"",""it"")"),"Infine, mette gli stencil sulla sedia e dipinge gli interni bianchi da decorare.")</f>
        <v>Infine, mette gli stencil sulla sedia e dipinge gli interni bianchi da decorare.</v>
      </c>
    </row>
    <row r="24742">
      <c r="A24742" s="4" t="s">
        <v>31138</v>
      </c>
      <c r="B24742" s="4" t="s">
        <v>31139</v>
      </c>
      <c r="C24742" s="5" t="str">
        <f>IFERROR(__xludf.DUMMYFUNCTION("GOOGLETRANSLATE(B24742,""en"",""it"")"),"Gli uomini sono seduti su un tavolo nero in un casinò e il commerciante sta diffondendo le carte ai giocatori.")</f>
        <v>Gli uomini sono seduti su un tavolo nero in un casinò e il commerciante sta diffondendo le carte ai giocatori.</v>
      </c>
    </row>
    <row r="24743">
      <c r="A24743" s="4" t="s">
        <v>31138</v>
      </c>
      <c r="B24743" s="4" t="s">
        <v>31140</v>
      </c>
      <c r="C24743" s="5" t="str">
        <f>IFERROR(__xludf.DUMMYFUNCTION("GOOGLETRANSLATE(B24743,""en"",""it"")"),"L'uomo sta parlando con la telecamera.")</f>
        <v>L'uomo sta parlando con la telecamera.</v>
      </c>
    </row>
    <row r="24744">
      <c r="A24744" s="4" t="s">
        <v>31138</v>
      </c>
      <c r="B24744" s="4" t="s">
        <v>31141</v>
      </c>
      <c r="C24744" s="5" t="str">
        <f>IFERROR(__xludf.DUMMYFUNCTION("GOOGLETRANSLATE(B24744,""en"",""it"")"),"La donna del rivenditore è in piedi davanti alla telecamera.")</f>
        <v>La donna del rivenditore è in piedi davanti alla telecamera.</v>
      </c>
    </row>
    <row r="24745">
      <c r="A24745" s="4" t="s">
        <v>31138</v>
      </c>
      <c r="B24745" s="4" t="s">
        <v>31142</v>
      </c>
      <c r="C24745" s="5" t="str">
        <f>IFERROR(__xludf.DUMMYFUNCTION("GOOGLETRANSLATE(B24745,""en"",""it"")"),"L'uomo è in piedi davanti alla slot machine parlando con la fotocamera.")</f>
        <v>L'uomo è in piedi davanti alla slot machine parlando con la fotocamera.</v>
      </c>
    </row>
    <row r="24746">
      <c r="A24746" s="4" t="s">
        <v>31143</v>
      </c>
      <c r="B24746" s="6" t="s">
        <v>31144</v>
      </c>
      <c r="C24746" s="5" t="str">
        <f>IFERROR(__xludf.DUMMYFUNCTION("GOOGLETRANSLATE(B24746,""en"",""it"")"),"Vari strumenti e prodotti sono disposti su un tavolo e passano a un uomo che cammina davanti a uno specchio e si mette la lozione sul viso.")</f>
        <v>Vari strumenti e prodotti sono disposti su un tavolo e passano a un uomo che cammina davanti a uno specchio e si mette la lozione sul viso.</v>
      </c>
    </row>
    <row r="24747">
      <c r="A24747" s="4" t="s">
        <v>31143</v>
      </c>
      <c r="B24747" s="4" t="s">
        <v>31145</v>
      </c>
      <c r="C24747" s="5" t="str">
        <f>IFERROR(__xludf.DUMMYFUNCTION("GOOGLETRANSLATE(B24747,""en"",""it"")"),"Quindi gli mette la crema sul viso e si rada intorno al viso.")</f>
        <v>Quindi gli mette la crema sul viso e si rada intorno al viso.</v>
      </c>
    </row>
    <row r="24748">
      <c r="A24748" s="4" t="s">
        <v>31143</v>
      </c>
      <c r="B24748" s="4" t="s">
        <v>31146</v>
      </c>
      <c r="C24748" s="5" t="str">
        <f>IFERROR(__xludf.DUMMYFUNCTION("GOOGLETRANSLATE(B24748,""en"",""it"")"),"Quindi si asciuga la faccia con uno straccio e si allontana dallo specchio.")</f>
        <v>Quindi si asciuga la faccia con uno straccio e si allontana dallo specchio.</v>
      </c>
    </row>
    <row r="24749">
      <c r="A24749" s="4" t="s">
        <v>31147</v>
      </c>
      <c r="B24749" s="4" t="s">
        <v>31148</v>
      </c>
      <c r="C24749" s="5" t="str">
        <f>IFERROR(__xludf.DUMMYFUNCTION("GOOGLETRANSLATE(B24749,""en"",""it"")"),"Un uomo parla alla telecamera davanti alle biciclette.")</f>
        <v>Un uomo parla alla telecamera davanti alle biciclette.</v>
      </c>
    </row>
    <row r="24750">
      <c r="A24750" s="4" t="s">
        <v>31147</v>
      </c>
      <c r="B24750" s="4" t="s">
        <v>31149</v>
      </c>
      <c r="C24750" s="5" t="str">
        <f>IFERROR(__xludf.DUMMYFUNCTION("GOOGLETRANSLATE(B24750,""en"",""it"")"),"L'uomo mette una parte su una bicicletta su cui si lavora.")</f>
        <v>L'uomo mette una parte su una bicicletta su cui si lavora.</v>
      </c>
    </row>
    <row r="24751">
      <c r="A24751" s="4" t="s">
        <v>31147</v>
      </c>
      <c r="B24751" s="4" t="s">
        <v>31150</v>
      </c>
      <c r="C24751" s="5" t="str">
        <f>IFERROR(__xludf.DUMMYFUNCTION("GOOGLETRANSLATE(B24751,""en"",""it"")"),"L'uomo stringe la parte sulla bicicletta.")</f>
        <v>L'uomo stringe la parte sulla bicicletta.</v>
      </c>
    </row>
    <row r="24752">
      <c r="A24752" s="4" t="s">
        <v>31151</v>
      </c>
      <c r="B24752" s="6" t="s">
        <v>31152</v>
      </c>
      <c r="C24752" s="5" t="str">
        <f>IFERROR(__xludf.DUMMYFUNCTION("GOOGLETRANSLATE(B24752,""en"",""it"")"),"La folla è seduta sulla sedia, i bambini e i giovani sono seduti al tavolo con il timer che risolve i cubi di Rubik, mentre un uomo con grande barba parla di fronte alla telecamera.")</f>
        <v>La folla è seduta sulla sedia, i bambini e i giovani sono seduti al tavolo con il timer che risolve i cubi di Rubik, mentre un uomo con grande barba parla di fronte alla telecamera.</v>
      </c>
    </row>
    <row r="24753">
      <c r="A24753" s="4" t="s">
        <v>31151</v>
      </c>
      <c r="B24753" s="6" t="s">
        <v>31153</v>
      </c>
      <c r="C24753" s="5" t="str">
        <f>IFERROR(__xludf.DUMMYFUNCTION("GOOGLETRANSLATE(B24753,""en"",""it"")"),"I ragazzi stanno risolvendo il cubo di Rubik uno è piegato alla cieca, uno lo sta risolvendo con una mano, altri stanno risolvendo con entrambe le mani.")</f>
        <v>I ragazzi stanno risolvendo il cubo di Rubik uno è piegato alla cieca, uno lo sta risolvendo con una mano, altri stanno risolvendo con entrambe le mani.</v>
      </c>
    </row>
    <row r="24754">
      <c r="A24754" s="4" t="s">
        <v>31154</v>
      </c>
      <c r="B24754" s="6" t="s">
        <v>31155</v>
      </c>
      <c r="C24754" s="5" t="str">
        <f>IFERROR(__xludf.DUMMYFUNCTION("GOOGLETRANSLATE(B24754,""en"",""it"")"),"I token neri e gialli scivolano sul pavimento mentre le persone che tengono i bastoncini organizzano i token su un triangolo dipinto.")</f>
        <v>I token neri e gialli scivolano sul pavimento mentre le persone che tengono i bastoncini organizzano i token su un triangolo dipinto.</v>
      </c>
    </row>
    <row r="24755">
      <c r="A24755" s="4" t="s">
        <v>31154</v>
      </c>
      <c r="B24755" s="4" t="s">
        <v>31156</v>
      </c>
      <c r="C24755" s="5" t="str">
        <f>IFERROR(__xludf.DUMMYFUNCTION("GOOGLETRANSLATE(B24755,""en"",""it"")"),"I bambini camminano sul marciapiede e attraversano la strada calpestando i token.")</f>
        <v>I bambini camminano sul marciapiede e attraversano la strada calpestando i token.</v>
      </c>
    </row>
    <row r="24756">
      <c r="A24756" s="4" t="s">
        <v>31157</v>
      </c>
      <c r="B24756" s="4" t="s">
        <v>31158</v>
      </c>
      <c r="C24756" s="5" t="str">
        <f>IFERROR(__xludf.DUMMYFUNCTION("GOOGLETRANSLATE(B24756,""en"",""it"")"),"Una persona sciisce rapidamente lungo una collina innevata.")</f>
        <v>Una persona sciisce rapidamente lungo una collina innevata.</v>
      </c>
    </row>
    <row r="24757">
      <c r="A24757" s="4" t="s">
        <v>31157</v>
      </c>
      <c r="B24757" s="4" t="s">
        <v>31159</v>
      </c>
      <c r="C24757" s="5" t="str">
        <f>IFERROR(__xludf.DUMMYFUNCTION("GOOGLETRANSLATE(B24757,""en"",""it"")"),"Le persone sono in interruzioni, slittando lungo la neve.")</f>
        <v>Le persone sono in interruzioni, slittando lungo la neve.</v>
      </c>
    </row>
    <row r="24758">
      <c r="A24758" s="4" t="s">
        <v>31160</v>
      </c>
      <c r="B24758" s="4" t="s">
        <v>31161</v>
      </c>
      <c r="C24758" s="5" t="str">
        <f>IFERROR(__xludf.DUMMYFUNCTION("GOOGLETRANSLATE(B24758,""en"",""it"")"),"Due squadre giocano a lanciare palle per colpire un avversario.")</f>
        <v>Due squadre giocano a lanciare palle per colpire un avversario.</v>
      </c>
    </row>
    <row r="24759">
      <c r="A24759" s="4" t="s">
        <v>31160</v>
      </c>
      <c r="B24759" s="4" t="s">
        <v>31162</v>
      </c>
      <c r="C24759" s="5" t="str">
        <f>IFERROR(__xludf.DUMMYFUNCTION("GOOGLETRANSLATE(B24759,""en"",""it"")"),"Due ragazzi avanzano al centro e lanciano le palle, poi tornano a casa sua.")</f>
        <v>Due ragazzi avanzano al centro e lanciano le palle, poi tornano a casa sua.</v>
      </c>
    </row>
    <row r="24760">
      <c r="A24760" s="4" t="s">
        <v>31160</v>
      </c>
      <c r="B24760" s="4" t="s">
        <v>31163</v>
      </c>
      <c r="C24760" s="5" t="str">
        <f>IFERROR(__xludf.DUMMYFUNCTION("GOOGLETRANSLATE(B24760,""en"",""it"")"),"Dopo, l'altra squadra avanzava a lanciare palle e colpì un giocatore con la maglietta viola.")</f>
        <v>Dopo, l'altra squadra avanzava a lanciare palle e colpì un giocatore con la maglietta viola.</v>
      </c>
    </row>
    <row r="24761">
      <c r="A24761" s="4" t="s">
        <v>31160</v>
      </c>
      <c r="B24761" s="4" t="s">
        <v>31164</v>
      </c>
      <c r="C24761" s="5" t="str">
        <f>IFERROR(__xludf.DUMMYFUNCTION("GOOGLETRANSLATE(B24761,""en"",""it"")"),"Continuano a giocare a turno per colpire le palle.")</f>
        <v>Continuano a giocare a turno per colpire le palle.</v>
      </c>
    </row>
    <row r="24762">
      <c r="A24762" s="4" t="s">
        <v>31160</v>
      </c>
      <c r="B24762" s="4" t="s">
        <v>31165</v>
      </c>
      <c r="C24762" s="5" t="str">
        <f>IFERROR(__xludf.DUMMYFUNCTION("GOOGLETRANSLATE(B24762,""en"",""it"")"),"Le persone gestiscono le palle ai giocatori, poi vanno al centro per colpire altre squadre con le palle.")</f>
        <v>Le persone gestiscono le palle ai giocatori, poi vanno al centro per colpire altre squadre con le palle.</v>
      </c>
    </row>
    <row r="24763">
      <c r="A24763" s="4" t="s">
        <v>31166</v>
      </c>
      <c r="B24763" s="6" t="s">
        <v>31167</v>
      </c>
      <c r="C24763" s="5" t="str">
        <f>IFERROR(__xludf.DUMMYFUNCTION("GOOGLETRANSLATE(B24763,""en"",""it"")"),"Una donna e un uomo praticano il calcio in una palestra dove si allenano anche altre persone, poi la donna parla.")</f>
        <v>Una donna e un uomo praticano il calcio in una palestra dove si allenano anche altre persone, poi la donna parla.</v>
      </c>
    </row>
    <row r="24764">
      <c r="A24764" s="4" t="s">
        <v>31166</v>
      </c>
      <c r="B24764" s="6" t="s">
        <v>31168</v>
      </c>
      <c r="C24764" s="5" t="str">
        <f>IFERROR(__xludf.DUMMYFUNCTION("GOOGLETRANSLATE(B24764,""en"",""it"")"),"Un'auto corre in una città con un soldato con in mano un'arma, una famiglia per strada, la gente che cammina e si siede la curva.")</f>
        <v>Un'auto corre in una città con un soldato con in mano un'arma, una famiglia per strada, la gente che cammina e si siede la curva.</v>
      </c>
    </row>
    <row r="24765">
      <c r="A24765" s="4" t="s">
        <v>31166</v>
      </c>
      <c r="B24765" s="4" t="s">
        <v>31169</v>
      </c>
      <c r="C24765" s="5" t="str">
        <f>IFERROR(__xludf.DUMMYFUNCTION("GOOGLETRANSLATE(B24765,""en"",""it"")"),"La donna parla da una stanza, poi si allena con gli altri in palestra, poi una signora in palestra parla.")</f>
        <v>La donna parla da una stanza, poi si allena con gli altri in palestra, poi una signora in palestra parla.</v>
      </c>
    </row>
    <row r="24766">
      <c r="A24766" s="4" t="s">
        <v>31166</v>
      </c>
      <c r="B24766" s="4" t="s">
        <v>31170</v>
      </c>
      <c r="C24766" s="5" t="str">
        <f>IFERROR(__xludf.DUMMYFUNCTION("GOOGLETRANSLATE(B24766,""en"",""it"")"),"Alla fine sono mostrati trofei.")</f>
        <v>Alla fine sono mostrati trofei.</v>
      </c>
    </row>
    <row r="24767">
      <c r="A24767" s="4" t="s">
        <v>31171</v>
      </c>
      <c r="B24767" s="6" t="s">
        <v>31172</v>
      </c>
      <c r="C24767" s="5" t="str">
        <f>IFERROR(__xludf.DUMMYFUNCTION("GOOGLETRANSLATE(B24767,""en"",""it"")"),"Un uomo esegue arti marziali che combattono con le persone in un film, poi una grande porta e una donna aiuta l'uomo a combattere.")</f>
        <v>Un uomo esegue arti marziali che combattono con le persone in un film, poi una grande porta e una donna aiuta l'uomo a combattere.</v>
      </c>
    </row>
    <row r="24768">
      <c r="A24768" s="4" t="s">
        <v>31171</v>
      </c>
      <c r="B24768" s="4" t="s">
        <v>31173</v>
      </c>
      <c r="C24768" s="5" t="str">
        <f>IFERROR(__xludf.DUMMYFUNCTION("GOOGLETRANSLATE(B24768,""en"",""it"")"),"L'uomo e la donna sono davanti a un fiume che combatte e poi appesero le gambe da un albero.")</f>
        <v>L'uomo e la donna sono davanti a un fiume che combatte e poi appesero le gambe da un albero.</v>
      </c>
    </row>
    <row r="24769">
      <c r="A24769" s="4" t="s">
        <v>31171</v>
      </c>
      <c r="B24769" s="6" t="s">
        <v>31174</v>
      </c>
      <c r="C24769" s="5" t="str">
        <f>IFERROR(__xludf.DUMMYFUNCTION("GOOGLETRANSLATE(B24769,""en"",""it"")"),"I cannoni sparano una casa e un villaggio, dopo una lotta dell'esercito in un campo e i cannoni distruggono le case in un villaggio.")</f>
        <v>I cannoni sparano una casa e un villaggio, dopo una lotta dell'esercito in un campo e i cannoni distruggono le case in un villaggio.</v>
      </c>
    </row>
    <row r="24770">
      <c r="A24770" s="4" t="s">
        <v>31171</v>
      </c>
      <c r="B24770" s="4" t="s">
        <v>31175</v>
      </c>
      <c r="C24770" s="5" t="str">
        <f>IFERROR(__xludf.DUMMYFUNCTION("GOOGLETRANSLATE(B24770,""en"",""it"")"),"Un uomo dà all'uomo una grande moneta d'oro, dopo che l'uomo combatte con le persone.")</f>
        <v>Un uomo dà all'uomo una grande moneta d'oro, dopo che l'uomo combatte con le persone.</v>
      </c>
    </row>
    <row r="24771">
      <c r="A24771" s="4" t="s">
        <v>31176</v>
      </c>
      <c r="B24771" s="4" t="s">
        <v>27419</v>
      </c>
      <c r="C24771" s="5" t="str">
        <f>IFERROR(__xludf.DUMMYFUNCTION("GOOGLETRANSLATE(B24771,""en"",""it"")"),"Una bambina sta attraversando le barre delle scimmie.")</f>
        <v>Una bambina sta attraversando le barre delle scimmie.</v>
      </c>
    </row>
    <row r="24772">
      <c r="A24772" s="4" t="s">
        <v>31176</v>
      </c>
      <c r="B24772" s="4" t="s">
        <v>31177</v>
      </c>
      <c r="C24772" s="5" t="str">
        <f>IFERROR(__xludf.DUMMYFUNCTION("GOOGLETRANSLATE(B24772,""en"",""it"")"),"Fa oscillare la gamba.")</f>
        <v>Fa oscillare la gamba.</v>
      </c>
    </row>
    <row r="24773">
      <c r="A24773" s="4" t="s">
        <v>31176</v>
      </c>
      <c r="B24773" s="4" t="s">
        <v>31178</v>
      </c>
      <c r="C24773" s="5" t="str">
        <f>IFERROR(__xludf.DUMMYFUNCTION("GOOGLETRANSLATE(B24773,""en"",""it"")"),"Scende a terra.")</f>
        <v>Scende a terra.</v>
      </c>
    </row>
    <row r="24774">
      <c r="A24774" s="4" t="s">
        <v>31179</v>
      </c>
      <c r="B24774" s="4" t="s">
        <v>31180</v>
      </c>
      <c r="C24774" s="5" t="str">
        <f>IFERROR(__xludf.DUMMYFUNCTION("GOOGLETRANSLATE(B24774,""en"",""it"")"),"L'uomo fa un crollo acrobatico giù da un tappetino.")</f>
        <v>L'uomo fa un crollo acrobatico giù da un tappetino.</v>
      </c>
    </row>
    <row r="24775">
      <c r="A24775" s="4" t="s">
        <v>31179</v>
      </c>
      <c r="B24775" s="4" t="s">
        <v>31181</v>
      </c>
      <c r="C24775" s="5" t="str">
        <f>IFERROR(__xludf.DUMMYFUNCTION("GOOGLETRANSLATE(B24775,""en"",""it"")"),"Un altro uomo sta correndo giù per un tappetino sullo sfondo.")</f>
        <v>Un altro uomo sta correndo giù per un tappetino sullo sfondo.</v>
      </c>
    </row>
    <row r="24776">
      <c r="A24776" s="4" t="s">
        <v>31179</v>
      </c>
      <c r="B24776" s="4" t="s">
        <v>31182</v>
      </c>
      <c r="C24776" s="5" t="str">
        <f>IFERROR(__xludf.DUMMYFUNCTION("GOOGLETRANSLATE(B24776,""en"",""it"")"),"Si verificano diversi replay di mosse acrobatiche.")</f>
        <v>Si verificano diversi replay di mosse acrobatiche.</v>
      </c>
    </row>
    <row r="24777">
      <c r="A24777" s="4" t="s">
        <v>31179</v>
      </c>
      <c r="B24777" s="4" t="s">
        <v>31183</v>
      </c>
      <c r="C24777" s="5" t="str">
        <f>IFERROR(__xludf.DUMMYFUNCTION("GOOGLETRANSLATE(B24777,""en"",""it"")"),"Il giovane corre e abbraccia quello che sembra essere il suo allenatore.")</f>
        <v>Il giovane corre e abbraccia quello che sembra essere il suo allenatore.</v>
      </c>
    </row>
    <row r="24778">
      <c r="A24778" s="4" t="s">
        <v>31179</v>
      </c>
      <c r="B24778" s="4" t="s">
        <v>31184</v>
      </c>
      <c r="C24778" s="5" t="str">
        <f>IFERROR(__xludf.DUMMYFUNCTION("GOOGLETRANSLATE(B24778,""en"",""it"")"),"Si verifica un altro insieme di replay.")</f>
        <v>Si verifica un altro insieme di replay.</v>
      </c>
    </row>
    <row r="24779">
      <c r="A24779" s="4" t="s">
        <v>31179</v>
      </c>
      <c r="B24779" s="4" t="s">
        <v>31185</v>
      </c>
      <c r="C24779" s="5" t="str">
        <f>IFERROR(__xludf.DUMMYFUNCTION("GOOGLETRANSLATE(B24779,""en"",""it"")"),"Le parole attraversano lo schermo che indirizzano le persone ai social media e ai siti Web.")</f>
        <v>Le parole attraversano lo schermo che indirizzano le persone ai social media e ai siti Web.</v>
      </c>
    </row>
    <row r="24780">
      <c r="A24780" s="4" t="s">
        <v>31186</v>
      </c>
      <c r="B24780" s="4" t="s">
        <v>31187</v>
      </c>
      <c r="C24780" s="5" t="str">
        <f>IFERROR(__xludf.DUMMYFUNCTION("GOOGLETRANSLATE(B24780,""en"",""it"")"),"Un primo piano di cibo viene disposto sul tavolo e conduce a un uomo che toglie i sbuffi da un tubo di narghilè.")</f>
        <v>Un primo piano di cibo viene disposto sul tavolo e conduce a un uomo che toglie i sbuffi da un tubo di narghilè.</v>
      </c>
    </row>
    <row r="24781">
      <c r="A24781" s="4" t="s">
        <v>31186</v>
      </c>
      <c r="B24781" s="6" t="s">
        <v>31188</v>
      </c>
      <c r="C24781" s="5" t="str">
        <f>IFERROR(__xludf.DUMMYFUNCTION("GOOGLETRANSLATE(B24781,""en"",""it"")"),"L'uomo soffia anelli di fumo e molte altre bevande mentre parla alla telecamera e si sposta in vari punti della casa.")</f>
        <v>L'uomo soffia anelli di fumo e molte altre bevande mentre parla alla telecamera e si sposta in vari punti della casa.</v>
      </c>
    </row>
    <row r="24782">
      <c r="A24782" s="4" t="s">
        <v>31189</v>
      </c>
      <c r="B24782" s="4" t="s">
        <v>31190</v>
      </c>
      <c r="C24782" s="5" t="str">
        <f>IFERROR(__xludf.DUMMYFUNCTION("GOOGLETRANSLATE(B24782,""en"",""it"")"),"Un bambino sta cavalcando pattini in linea lungo un vialetto.")</f>
        <v>Un bambino sta cavalcando pattini in linea lungo un vialetto.</v>
      </c>
    </row>
    <row r="24783">
      <c r="A24783" s="4" t="s">
        <v>31189</v>
      </c>
      <c r="B24783" s="4" t="s">
        <v>31191</v>
      </c>
      <c r="C24783" s="5" t="str">
        <f>IFERROR(__xludf.DUMMYFUNCTION("GOOGLETRANSLATE(B24783,""en"",""it"")"),"Agita le braccia, cercando di mantenere l'equilibrio.")</f>
        <v>Agita le braccia, cercando di mantenere l'equilibrio.</v>
      </c>
    </row>
    <row r="24784">
      <c r="A24784" s="4" t="s">
        <v>31189</v>
      </c>
      <c r="B24784" s="4" t="s">
        <v>31192</v>
      </c>
      <c r="C24784" s="5" t="str">
        <f>IFERROR(__xludf.DUMMYFUNCTION("GOOGLETRANSLATE(B24784,""en"",""it"")"),"Corre, poi cade sui pattini.")</f>
        <v>Corre, poi cade sui pattini.</v>
      </c>
    </row>
    <row r="24785">
      <c r="A24785" s="4" t="s">
        <v>31193</v>
      </c>
      <c r="B24785" s="6" t="s">
        <v>31194</v>
      </c>
      <c r="C24785" s="5" t="str">
        <f>IFERROR(__xludf.DUMMYFUNCTION("GOOGLETRANSLATE(B24785,""en"",""it"")"),"Due sumos sono ai lati di un anello e il refeee è nel mezzo mentre le persone sono in sabbia seduti a guardarli.")</f>
        <v>Due sumos sono ai lati di un anello e il refeee è nel mezzo mentre le persone sono in sabbia seduti a guardarli.</v>
      </c>
    </row>
    <row r="24786">
      <c r="A24786" s="4" t="s">
        <v>31193</v>
      </c>
      <c r="B24786" s="4" t="s">
        <v>31195</v>
      </c>
      <c r="C24786" s="5" t="str">
        <f>IFERROR(__xludf.DUMMYFUNCTION("GOOGLETRANSLATE(B24786,""en"",""it"")"),"Sumo inizia a lottare e cadde dall'anello.")</f>
        <v>Sumo inizia a lottare e cadde dall'anello.</v>
      </c>
    </row>
    <row r="24787">
      <c r="A24787" s="4" t="s">
        <v>31196</v>
      </c>
      <c r="B24787" s="4" t="s">
        <v>31197</v>
      </c>
      <c r="C24787" s="5" t="str">
        <f>IFERROR(__xludf.DUMMYFUNCTION("GOOGLETRANSLATE(B24787,""en"",""it"")"),"Un ragazzo sta aiutando suo padre a spingere un tosaerba.")</f>
        <v>Un ragazzo sta aiutando suo padre a spingere un tosaerba.</v>
      </c>
    </row>
    <row r="24788">
      <c r="A24788" s="4" t="s">
        <v>31196</v>
      </c>
      <c r="B24788" s="4" t="s">
        <v>31198</v>
      </c>
      <c r="C24788" s="5" t="str">
        <f>IFERROR(__xludf.DUMMYFUNCTION("GOOGLETRANSLATE(B24788,""en"",""it"")"),"Tornano alla fotocamera.")</f>
        <v>Tornano alla fotocamera.</v>
      </c>
    </row>
    <row r="24789">
      <c r="A24789" s="4" t="s">
        <v>31196</v>
      </c>
      <c r="B24789" s="4" t="s">
        <v>31199</v>
      </c>
      <c r="C24789" s="5" t="str">
        <f>IFERROR(__xludf.DUMMYFUNCTION("GOOGLETRANSLATE(B24789,""en"",""it"")"),"Una persona va vicino al recinto.")</f>
        <v>Una persona va vicino al recinto.</v>
      </c>
    </row>
    <row r="24790">
      <c r="A24790" s="4" t="s">
        <v>31200</v>
      </c>
      <c r="B24790" s="4" t="s">
        <v>31201</v>
      </c>
      <c r="C24790" s="5" t="str">
        <f>IFERROR(__xludf.DUMMYFUNCTION("GOOGLETRANSLATE(B24790,""en"",""it"")"),"Viene vista una persona tagliare un pezzo di piastrellatura del tetto e martellando la piastrella per un tetto.")</f>
        <v>Viene vista una persona tagliare un pezzo di piastrellatura del tetto e martellando la piastrella per un tetto.</v>
      </c>
    </row>
    <row r="24791">
      <c r="A24791" s="4" t="s">
        <v>31200</v>
      </c>
      <c r="B24791" s="4" t="s">
        <v>31202</v>
      </c>
      <c r="C24791" s="5" t="str">
        <f>IFERROR(__xludf.DUMMYFUNCTION("GOOGLETRANSLATE(B24791,""en"",""it"")"),"Attraversa il martellare lungo il tessuto e inchiodare una lunga tavola.")</f>
        <v>Attraversa il martellare lungo il tessuto e inchiodare una lunga tavola.</v>
      </c>
    </row>
    <row r="24792">
      <c r="A24792" s="4" t="s">
        <v>31203</v>
      </c>
      <c r="B24792" s="4" t="s">
        <v>31204</v>
      </c>
      <c r="C24792" s="5" t="str">
        <f>IFERROR(__xludf.DUMMYFUNCTION("GOOGLETRANSLATE(B24792,""en"",""it"")"),"Un grafico è visto con il titolo del logo.")</f>
        <v>Un grafico è visto con il titolo del logo.</v>
      </c>
    </row>
    <row r="24793">
      <c r="A24793" s="4" t="s">
        <v>31203</v>
      </c>
      <c r="B24793" s="4" t="s">
        <v>31205</v>
      </c>
      <c r="C24793" s="5" t="str">
        <f>IFERROR(__xludf.DUMMYFUNCTION("GOOGLETRANSLATE(B24793,""en"",""it"")"),"Una mappa di Google mostra diverse località della città.")</f>
        <v>Una mappa di Google mostra diverse località della città.</v>
      </c>
    </row>
    <row r="24794">
      <c r="A24794" s="4" t="s">
        <v>31203</v>
      </c>
      <c r="B24794" s="6" t="s">
        <v>31206</v>
      </c>
      <c r="C24794" s="5" t="str">
        <f>IFERROR(__xludf.DUMMYFUNCTION("GOOGLETRANSLATE(B24794,""en"",""it"")"),"I compagni di squadra in tute, corrono, navigare attraverso un corso di ostacoli in cassa in legno che mirano a pistole di paintball.")</f>
        <v>I compagni di squadra in tute, corrono, navigare attraverso un corso di ostacoli in cassa in legno che mirano a pistole di paintball.</v>
      </c>
    </row>
    <row r="24795">
      <c r="A24795" s="4" t="s">
        <v>31203</v>
      </c>
      <c r="B24795" s="4" t="s">
        <v>31207</v>
      </c>
      <c r="C24795" s="5" t="str">
        <f>IFERROR(__xludf.DUMMYFUNCTION("GOOGLETRANSLATE(B24795,""en"",""it"")"),"Gli uomini ricevono attrezzature da un negozio di noleggio tra cui vestiti e armi.")</f>
        <v>Gli uomini ricevono attrezzature da un negozio di noleggio tra cui vestiti e armi.</v>
      </c>
    </row>
    <row r="24796">
      <c r="A24796" s="4" t="s">
        <v>31203</v>
      </c>
      <c r="B24796" s="4" t="s">
        <v>31208</v>
      </c>
      <c r="C24796" s="5" t="str">
        <f>IFERROR(__xludf.DUMMYFUNCTION("GOOGLETRANSLATE(B24796,""en"",""it"")"),"Le due squadre camminano in una linea insieme entrando nel corso per giocare.")</f>
        <v>Le due squadre camminano in una linea insieme entrando nel corso per giocare.</v>
      </c>
    </row>
    <row r="24797">
      <c r="A24797" s="4" t="s">
        <v>31203</v>
      </c>
      <c r="B24797" s="4" t="s">
        <v>31209</v>
      </c>
      <c r="C24797" s="5" t="str">
        <f>IFERROR(__xludf.DUMMYFUNCTION("GOOGLETRANSLATE(B24797,""en"",""it"")"),"Gli uomini riempiono le loro tramogge di munizioni.")</f>
        <v>Gli uomini riempiono le loro tramogge di munizioni.</v>
      </c>
    </row>
    <row r="24798">
      <c r="A24798" s="4" t="s">
        <v>31203</v>
      </c>
      <c r="B24798" s="4" t="s">
        <v>31210</v>
      </c>
      <c r="C24798" s="5" t="str">
        <f>IFERROR(__xludf.DUMMYFUNCTION("GOOGLETRANSLATE(B24798,""en"",""it"")"),"I compagni di squadra navigano attraverso un percorso con ostacoli gonfiabili che mirano agli avversari.")</f>
        <v>I compagni di squadra navigano attraverso un percorso con ostacoli gonfiabili che mirano agli avversari.</v>
      </c>
    </row>
    <row r="24799">
      <c r="A24799" s="4" t="s">
        <v>31203</v>
      </c>
      <c r="B24799" s="4" t="s">
        <v>31211</v>
      </c>
      <c r="C24799" s="5" t="str">
        <f>IFERROR(__xludf.DUMMYFUNCTION("GOOGLETRANSLATE(B24799,""en"",""it"")"),"Un uomo viene colpito nella maschera per terminare il gioco.")</f>
        <v>Un uomo viene colpito nella maschera per terminare il gioco.</v>
      </c>
    </row>
    <row r="24800">
      <c r="A24800" s="4" t="s">
        <v>31212</v>
      </c>
      <c r="B24800" s="4" t="s">
        <v>31213</v>
      </c>
      <c r="C24800" s="5" t="str">
        <f>IFERROR(__xludf.DUMMYFUNCTION("GOOGLETRANSLATE(B24800,""en"",""it"")"),"Un uomo è seduto mentre suona la batteria, con una donna che lo istruisce in piedi accanto a lui.")</f>
        <v>Un uomo è seduto mentre suona la batteria, con una donna che lo istruisce in piedi accanto a lui.</v>
      </c>
    </row>
    <row r="24801">
      <c r="A24801" s="4" t="s">
        <v>31212</v>
      </c>
      <c r="B24801" s="4" t="s">
        <v>31214</v>
      </c>
      <c r="C24801" s="5" t="str">
        <f>IFERROR(__xludf.DUMMYFUNCTION("GOOGLETRANSLATE(B24801,""en"",""it"")"),"Colpisce i tamburi avanti e indietro mentre parlano.")</f>
        <v>Colpisce i tamburi avanti e indietro mentre parlano.</v>
      </c>
    </row>
    <row r="24802">
      <c r="A24802" s="4" t="s">
        <v>31212</v>
      </c>
      <c r="B24802" s="4" t="s">
        <v>31215</v>
      </c>
      <c r="C24802" s="5" t="str">
        <f>IFERROR(__xludf.DUMMYFUNCTION("GOOGLETRANSLATE(B24802,""en"",""it"")"),"Quindi parla ampiamente di come suonare i Congas.")</f>
        <v>Quindi parla ampiamente di come suonare i Congas.</v>
      </c>
    </row>
    <row r="24803">
      <c r="A24803" s="4" t="s">
        <v>31212</v>
      </c>
      <c r="B24803" s="4" t="s">
        <v>31216</v>
      </c>
      <c r="C24803" s="5" t="str">
        <f>IFERROR(__xludf.DUMMYFUNCTION("GOOGLETRANSLATE(B24803,""en"",""it"")"),"Dimostra giocando ulteriormente mentre parla.")</f>
        <v>Dimostra giocando ulteriormente mentre parla.</v>
      </c>
    </row>
    <row r="24804">
      <c r="A24804" s="4" t="s">
        <v>31217</v>
      </c>
      <c r="B24804" s="4" t="s">
        <v>31218</v>
      </c>
      <c r="C24804" s="5" t="str">
        <f>IFERROR(__xludf.DUMMYFUNCTION("GOOGLETRANSLATE(B24804,""en"",""it"")"),"Una mano è mostrata su una tabella con forniture diverse.")</f>
        <v>Una mano è mostrata su una tabella con forniture diverse.</v>
      </c>
    </row>
    <row r="24805">
      <c r="A24805" s="4" t="s">
        <v>31217</v>
      </c>
      <c r="B24805" s="4" t="s">
        <v>31219</v>
      </c>
      <c r="C24805" s="5" t="str">
        <f>IFERROR(__xludf.DUMMYFUNCTION("GOOGLETRANSLATE(B24805,""en"",""it"")"),"Un uomo viene visto prendere tutte le parti di una bicicletta da una scatola.")</f>
        <v>Un uomo viene visto prendere tutte le parti di una bicicletta da una scatola.</v>
      </c>
    </row>
    <row r="24806">
      <c r="A24806" s="4" t="s">
        <v>31217</v>
      </c>
      <c r="B24806" s="4" t="s">
        <v>31220</v>
      </c>
      <c r="C24806" s="5" t="str">
        <f>IFERROR(__xludf.DUMMYFUNCTION("GOOGLETRANSLATE(B24806,""en"",""it"")"),"Assembla la bicicletta nel cortile.")</f>
        <v>Assembla la bicicletta nel cortile.</v>
      </c>
    </row>
    <row r="24807">
      <c r="A24807" s="4" t="s">
        <v>31221</v>
      </c>
      <c r="B24807" s="4" t="s">
        <v>31222</v>
      </c>
      <c r="C24807" s="5" t="str">
        <f>IFERROR(__xludf.DUMMYFUNCTION("GOOGLETRANSLATE(B24807,""en"",""it"")"),"Un albero è visto dal lato di una strada.")</f>
        <v>Un albero è visto dal lato di una strada.</v>
      </c>
    </row>
    <row r="24808">
      <c r="A24808" s="4" t="s">
        <v>31221</v>
      </c>
      <c r="B24808" s="4" t="s">
        <v>31223</v>
      </c>
      <c r="C24808" s="5" t="str">
        <f>IFERROR(__xludf.DUMMYFUNCTION("GOOGLETRANSLATE(B24808,""en"",""it"")"),"Un uomo mostra come pacciamare sul fondo dell'albero.")</f>
        <v>Un uomo mostra come pacciamare sul fondo dell'albero.</v>
      </c>
    </row>
    <row r="24809">
      <c r="A24809" s="4" t="s">
        <v>31221</v>
      </c>
      <c r="B24809" s="4" t="s">
        <v>31224</v>
      </c>
      <c r="C24809" s="5" t="str">
        <f>IFERROR(__xludf.DUMMYFUNCTION("GOOGLETRANSLATE(B24809,""en"",""it"")"),"Diffica uniformemente il pacciame mentre dà indicazioni.")</f>
        <v>Diffica uniformemente il pacciame mentre dà indicazioni.</v>
      </c>
    </row>
    <row r="24810">
      <c r="A24810" s="4" t="s">
        <v>31225</v>
      </c>
      <c r="B24810" s="4" t="s">
        <v>31226</v>
      </c>
      <c r="C24810" s="5" t="str">
        <f>IFERROR(__xludf.DUMMYFUNCTION("GOOGLETRANSLATE(B24810,""en"",""it"")"),"Una ragazza gioca con la coda di cavallo intrecciata.")</f>
        <v>Una ragazza gioca con la coda di cavallo intrecciata.</v>
      </c>
    </row>
    <row r="24811">
      <c r="A24811" s="4" t="s">
        <v>31225</v>
      </c>
      <c r="B24811" s="4" t="s">
        <v>31227</v>
      </c>
      <c r="C24811" s="5" t="str">
        <f>IFERROR(__xludf.DUMMYFUNCTION("GOOGLETRANSLATE(B24811,""en"",""it"")"),"La ragazza gira i capelli insieme in due sezioni.")</f>
        <v>La ragazza gira i capelli insieme in due sezioni.</v>
      </c>
    </row>
    <row r="24812">
      <c r="A24812" s="4" t="s">
        <v>31225</v>
      </c>
      <c r="B24812" s="4" t="s">
        <v>31228</v>
      </c>
      <c r="C24812" s="5" t="str">
        <f>IFERROR(__xludf.DUMMYFUNCTION("GOOGLETRANSLATE(B24812,""en"",""it"")"),"La ragazza intreccia la fine dei capelli contorti.")</f>
        <v>La ragazza intreccia la fine dei capelli contorti.</v>
      </c>
    </row>
    <row r="24813">
      <c r="A24813" s="4" t="s">
        <v>31225</v>
      </c>
      <c r="B24813" s="4" t="s">
        <v>31229</v>
      </c>
      <c r="C24813" s="5" t="str">
        <f>IFERROR(__xludf.DUMMYFUNCTION("GOOGLETRANSLATE(B24813,""en"",""it"")"),"La ragazza separa le trecce e le allenta.")</f>
        <v>La ragazza separa le trecce e le allenta.</v>
      </c>
    </row>
    <row r="24814">
      <c r="A24814" s="4" t="s">
        <v>31225</v>
      </c>
      <c r="B24814" s="4" t="s">
        <v>31230</v>
      </c>
      <c r="C24814" s="5" t="str">
        <f>IFERROR(__xludf.DUMMYFUNCTION("GOOGLETRANSLATE(B24814,""en"",""it"")"),"La ragazza tira le trecce per renderli più soffici.")</f>
        <v>La ragazza tira le trecce per renderli più soffici.</v>
      </c>
    </row>
    <row r="24815">
      <c r="A24815" s="4" t="s">
        <v>31225</v>
      </c>
      <c r="B24815" s="4" t="s">
        <v>31231</v>
      </c>
      <c r="C24815" s="5" t="str">
        <f>IFERROR(__xludf.DUMMYFUNCTION("GOOGLETRANSLATE(B24815,""en"",""it"")"),"La ragazza usa un ferro da stiro sui capelli.")</f>
        <v>La ragazza usa un ferro da stiro sui capelli.</v>
      </c>
    </row>
    <row r="24816">
      <c r="A24816" s="4" t="s">
        <v>31225</v>
      </c>
      <c r="B24816" s="4" t="s">
        <v>31232</v>
      </c>
      <c r="C24816" s="5" t="str">
        <f>IFERROR(__xludf.DUMMYFUNCTION("GOOGLETRANSLATE(B24816,""en"",""it"")"),"La ragazza tiene due cani e balli.")</f>
        <v>La ragazza tiene due cani e balli.</v>
      </c>
    </row>
    <row r="24817">
      <c r="A24817" s="4" t="s">
        <v>31233</v>
      </c>
      <c r="B24817" s="4" t="s">
        <v>31234</v>
      </c>
      <c r="C24817" s="5" t="str">
        <f>IFERROR(__xludf.DUMMYFUNCTION("GOOGLETRANSLATE(B24817,""en"",""it"")"),"Un grafico di testo è visto con un titolo e una descrizione.")</f>
        <v>Un grafico di testo è visto con un titolo e una descrizione.</v>
      </c>
    </row>
    <row r="24818">
      <c r="A24818" s="4" t="s">
        <v>31233</v>
      </c>
      <c r="B24818" s="4" t="s">
        <v>31235</v>
      </c>
      <c r="C24818" s="5" t="str">
        <f>IFERROR(__xludf.DUMMYFUNCTION("GOOGLETRANSLATE(B24818,""en"",""it"")"),"Un uomo si trova su un tetto e perfora pezzi di legno.")</f>
        <v>Un uomo si trova su un tetto e perfora pezzi di legno.</v>
      </c>
    </row>
    <row r="24819">
      <c r="A24819" s="4" t="s">
        <v>31233</v>
      </c>
      <c r="B24819" s="4" t="s">
        <v>31236</v>
      </c>
      <c r="C24819" s="5" t="str">
        <f>IFERROR(__xludf.DUMMYFUNCTION("GOOGLETRANSLATE(B24819,""en"",""it"")"),"I crediti sono visti per il video con un sito Web.")</f>
        <v>I crediti sono visti per il video con un sito Web.</v>
      </c>
    </row>
    <row r="24820">
      <c r="A24820" s="4" t="s">
        <v>31237</v>
      </c>
      <c r="B24820" s="4" t="s">
        <v>31238</v>
      </c>
      <c r="C24820" s="5" t="str">
        <f>IFERROR(__xludf.DUMMYFUNCTION("GOOGLETRANSLATE(B24820,""en"",""it"")"),"Un grande ghiacciaio di ghiaccio è mostrato nell'acqua.")</f>
        <v>Un grande ghiacciaio di ghiaccio è mostrato nell'acqua.</v>
      </c>
    </row>
    <row r="24821">
      <c r="A24821" s="4" t="s">
        <v>31237</v>
      </c>
      <c r="B24821" s="4" t="s">
        <v>31239</v>
      </c>
      <c r="C24821" s="5" t="str">
        <f>IFERROR(__xludf.DUMMYFUNCTION("GOOGLETRANSLATE(B24821,""en"",""it"")"),"Una barca sta tirando una persona sugli sci dietro la barca.")</f>
        <v>Una barca sta tirando una persona sugli sci dietro la barca.</v>
      </c>
    </row>
    <row r="24822">
      <c r="A24822" s="4" t="s">
        <v>31237</v>
      </c>
      <c r="B24822" s="4" t="s">
        <v>31240</v>
      </c>
      <c r="C24822" s="5" t="str">
        <f>IFERROR(__xludf.DUMMYFUNCTION("GOOGLETRANSLATE(B24822,""en"",""it"")"),"La persona galleggia nell'acqua.")</f>
        <v>La persona galleggia nell'acqua.</v>
      </c>
    </row>
    <row r="24823">
      <c r="A24823" s="4" t="s">
        <v>31241</v>
      </c>
      <c r="B24823" s="4" t="s">
        <v>31242</v>
      </c>
      <c r="C24823" s="5" t="str">
        <f>IFERROR(__xludf.DUMMYFUNCTION("GOOGLETRANSLATE(B24823,""en"",""it"")"),"Un atleta gira e lancia un tiro messo su un grande campo di gioco di uno stadio.")</f>
        <v>Un atleta gira e lancia un tiro messo su un grande campo di gioco di uno stadio.</v>
      </c>
    </row>
    <row r="24824">
      <c r="A24824" s="4" t="s">
        <v>31241</v>
      </c>
      <c r="B24824" s="4" t="s">
        <v>31243</v>
      </c>
      <c r="C24824" s="5" t="str">
        <f>IFERROR(__xludf.DUMMYFUNCTION("GOOGLETRANSLATE(B24824,""en"",""it"")"),"L'uomo celebra e dà un pollice in su.")</f>
        <v>L'uomo celebra e dà un pollice in su.</v>
      </c>
    </row>
    <row r="24825">
      <c r="A24825" s="4" t="s">
        <v>31241</v>
      </c>
      <c r="B24825" s="4" t="s">
        <v>31244</v>
      </c>
      <c r="C24825" s="5" t="str">
        <f>IFERROR(__xludf.DUMMYFUNCTION("GOOGLETRANSLATE(B24825,""en"",""it"")"),"Un secondo atleta in camicia grigia lancia uno scatto.")</f>
        <v>Un secondo atleta in camicia grigia lancia uno scatto.</v>
      </c>
    </row>
    <row r="24826">
      <c r="A24826" s="4" t="s">
        <v>31241</v>
      </c>
      <c r="B24826" s="4" t="s">
        <v>31245</v>
      </c>
      <c r="C24826" s="5" t="str">
        <f>IFERROR(__xludf.DUMMYFUNCTION("GOOGLETRANSLATE(B24826,""en"",""it"")"),"La palla atterra nell'erba e l'uomo è deluso dal tiro e se ne va.")</f>
        <v>La palla atterra nell'erba e l'uomo è deluso dal tiro e se ne va.</v>
      </c>
    </row>
    <row r="24827">
      <c r="A24827" s="4" t="s">
        <v>31241</v>
      </c>
      <c r="B24827" s="6" t="s">
        <v>31246</v>
      </c>
      <c r="C24827" s="5" t="str">
        <f>IFERROR(__xludf.DUMMYFUNCTION("GOOGLETRANSLATE(B24827,""en"",""it"")"),"Un uomo di grandi dimensioni con camicia gialla e fascia per la testa gira e lancia una chiusura che si trasforma a sinistra del campo.")</f>
        <v>Un uomo di grandi dimensioni con camicia gialla e fascia per la testa gira e lancia una chiusura che si trasforma a sinistra del campo.</v>
      </c>
    </row>
    <row r="24828">
      <c r="A24828" s="4" t="s">
        <v>31241</v>
      </c>
      <c r="B24828" s="4" t="s">
        <v>31247</v>
      </c>
      <c r="C24828" s="5" t="str">
        <f>IFERROR(__xludf.DUMMYFUNCTION("GOOGLETRANSLATE(B24828,""en"",""it"")"),"L'uomo è contento del suo tiro e pompa il pugno.")</f>
        <v>L'uomo è contento del suo tiro e pompa il pugno.</v>
      </c>
    </row>
    <row r="24829">
      <c r="A24829" s="4" t="s">
        <v>31241</v>
      </c>
      <c r="B24829" s="4" t="s">
        <v>31248</v>
      </c>
      <c r="C24829" s="5" t="str">
        <f>IFERROR(__xludf.DUMMYFUNCTION("GOOGLETRANSLATE(B24829,""en"",""it"")"),"L'uomo dà alti cinque ai suoi compagni di squadra.")</f>
        <v>L'uomo dà alti cinque ai suoi compagni di squadra.</v>
      </c>
    </row>
    <row r="24830">
      <c r="A24830" s="4" t="s">
        <v>31241</v>
      </c>
      <c r="B24830" s="4" t="s">
        <v>31249</v>
      </c>
      <c r="C24830" s="5" t="str">
        <f>IFERROR(__xludf.DUMMYFUNCTION("GOOGLETRANSLATE(B24830,""en"",""it"")"),"Un rack di palline si vede nell'erba dietro i punteggi del gioco.")</f>
        <v>Un rack di palline si vede nell'erba dietro i punteggi del gioco.</v>
      </c>
    </row>
    <row r="24831">
      <c r="A24831" s="4" t="s">
        <v>31241</v>
      </c>
      <c r="B24831" s="4" t="s">
        <v>31250</v>
      </c>
      <c r="C24831" s="5" t="str">
        <f>IFERROR(__xludf.DUMMYFUNCTION("GOOGLETRANSLATE(B24831,""en"",""it"")"),"L'uomo attende la sua colonna sonora in piedi tra gli altri atleti in sottofondo.")</f>
        <v>L'uomo attende la sua colonna sonora in piedi tra gli altri atleti in sottofondo.</v>
      </c>
    </row>
    <row r="24832">
      <c r="A24832" s="4" t="s">
        <v>31251</v>
      </c>
      <c r="B24832" s="4" t="s">
        <v>31252</v>
      </c>
      <c r="C24832" s="5" t="str">
        <f>IFERROR(__xludf.DUMMYFUNCTION("GOOGLETRANSLATE(B24832,""en"",""it"")"),"Le persone stanno curando e spazzolando i cani in una struttura pubblica.")</f>
        <v>Le persone stanno curando e spazzolando i cani in una struttura pubblica.</v>
      </c>
    </row>
    <row r="24833">
      <c r="A24833" s="4" t="s">
        <v>31251</v>
      </c>
      <c r="B24833" s="4" t="s">
        <v>31253</v>
      </c>
      <c r="C24833" s="5" t="str">
        <f>IFERROR(__xludf.DUMMYFUNCTION("GOOGLETRANSLATE(B24833,""en"",""it"")"),"Le donne prendono le preoccupazioni di cani che hanno capelli lunghi.")</f>
        <v>Le donne prendono le preoccupazioni di cani che hanno capelli lunghi.</v>
      </c>
    </row>
    <row r="24834">
      <c r="A24834" s="4" t="s">
        <v>31251</v>
      </c>
      <c r="B24834" s="4" t="s">
        <v>31254</v>
      </c>
      <c r="C24834" s="5" t="str">
        <f>IFERROR(__xludf.DUMMYFUNCTION("GOOGLETRANSLATE(B24834,""en"",""it"")"),"Una donna prende le preoccupazioni di un barboncino, mentre l'altra donna animali domestici un grosso cane.")</f>
        <v>Una donna prende le preoccupazioni di un barboncino, mentre l'altra donna animali domestici un grosso cane.</v>
      </c>
    </row>
    <row r="24835">
      <c r="A24835" s="4" t="s">
        <v>31251</v>
      </c>
      <c r="B24835" s="4" t="s">
        <v>31255</v>
      </c>
      <c r="C24835" s="5" t="str">
        <f>IFERROR(__xludf.DUMMYFUNCTION("GOOGLETRANSLATE(B24835,""en"",""it"")"),"Una donna parla davanti a un cane mentre si accarezza.")</f>
        <v>Una donna parla davanti a un cane mentre si accarezza.</v>
      </c>
    </row>
    <row r="24836">
      <c r="A24836" s="4" t="s">
        <v>31256</v>
      </c>
      <c r="B24836" s="4" t="s">
        <v>31257</v>
      </c>
      <c r="C24836" s="5" t="str">
        <f>IFERROR(__xludf.DUMMYFUNCTION("GOOGLETRANSLATE(B24836,""en"",""it"")"),"Un uomo viene mostrato eseguendo una canzone negli uffici di Google London.")</f>
        <v>Un uomo viene mostrato eseguendo una canzone negli uffici di Google London.</v>
      </c>
    </row>
    <row r="24837">
      <c r="A24837" s="4" t="s">
        <v>31256</v>
      </c>
      <c r="B24837" s="4" t="s">
        <v>31258</v>
      </c>
      <c r="C24837" s="5" t="str">
        <f>IFERROR(__xludf.DUMMYFUNCTION("GOOGLETRANSLATE(B24837,""en"",""it"")"),"Sono in piedi all'interno di uno spazio ufficio e suonano il flauto.")</f>
        <v>Sono in piedi all'interno di uno spazio ufficio e suonano il flauto.</v>
      </c>
    </row>
    <row r="24838">
      <c r="A24838" s="4" t="s">
        <v>31256</v>
      </c>
      <c r="B24838" s="4" t="s">
        <v>31259</v>
      </c>
      <c r="C24838" s="5" t="str">
        <f>IFERROR(__xludf.DUMMYFUNCTION("GOOGLETRANSLATE(B24838,""en"",""it"")"),"L'uomo inizia davvero a entrare e incoraggiare molto appassionatamente una gente.")</f>
        <v>L'uomo inizia davvero a entrare e incoraggiare molto appassionatamente una gente.</v>
      </c>
    </row>
    <row r="24839">
      <c r="A24839" s="4" t="s">
        <v>31256</v>
      </c>
      <c r="B24839" s="4" t="s">
        <v>31260</v>
      </c>
      <c r="C24839" s="5" t="str">
        <f>IFERROR(__xludf.DUMMYFUNCTION("GOOGLETRANSLATE(B24839,""en"",""it"")"),"Viene mostrato un primo piano che gioca più e più volte.")</f>
        <v>Viene mostrato un primo piano che gioca più e più volte.</v>
      </c>
    </row>
    <row r="24840">
      <c r="A24840" s="4" t="s">
        <v>31256</v>
      </c>
      <c r="B24840" s="4" t="s">
        <v>31261</v>
      </c>
      <c r="C24840" s="5" t="str">
        <f>IFERROR(__xludf.DUMMYFUNCTION("GOOGLETRANSLATE(B24840,""en"",""it"")"),"Quindi termina la canzone per un applauso e esce dalla cornice.")</f>
        <v>Quindi termina la canzone per un applauso e esce dalla cornice.</v>
      </c>
    </row>
    <row r="24841">
      <c r="A24841" s="4" t="s">
        <v>31262</v>
      </c>
      <c r="B24841" s="4" t="s">
        <v>31263</v>
      </c>
      <c r="C24841" s="5" t="str">
        <f>IFERROR(__xludf.DUMMYFUNCTION("GOOGLETRANSLATE(B24841,""en"",""it"")"),"Un uomo viene visto inginocchiarsi sul pavimento mentre tiene in mano un ferro tra le mani.")</f>
        <v>Un uomo viene visto inginocchiarsi sul pavimento mentre tiene in mano un ferro tra le mani.</v>
      </c>
    </row>
    <row r="24842">
      <c r="A24842" s="4" t="s">
        <v>31262</v>
      </c>
      <c r="B24842" s="4" t="s">
        <v>31264</v>
      </c>
      <c r="C24842" s="5" t="str">
        <f>IFERROR(__xludf.DUMMYFUNCTION("GOOGLETRANSLATE(B24842,""en"",""it"")"),"Si china con il ferro per ferro per ferro e lo mette giù.")</f>
        <v>Si china con il ferro per ferro per ferro e lo mette giù.</v>
      </c>
    </row>
    <row r="24843">
      <c r="A24843" s="4" t="s">
        <v>31262</v>
      </c>
      <c r="B24843" s="4" t="s">
        <v>31265</v>
      </c>
      <c r="C24843" s="5" t="str">
        <f>IFERROR(__xludf.DUMMYFUNCTION("GOOGLETRANSLATE(B24843,""en"",""it"")"),"Successivamente si copre le orecchie e distoglie lo sguardo per il dolore.")</f>
        <v>Successivamente si copre le orecchie e distoglie lo sguardo per il dolore.</v>
      </c>
    </row>
    <row r="24844">
      <c r="A24844" s="4" t="s">
        <v>31266</v>
      </c>
      <c r="B24844" s="4" t="s">
        <v>31267</v>
      </c>
      <c r="C24844" s="5" t="str">
        <f>IFERROR(__xludf.DUMMYFUNCTION("GOOGLETRANSLATE(B24844,""en"",""it"")"),"Un uomo con una camicia bianca e un cappello è seduto.")</f>
        <v>Un uomo con una camicia bianca e un cappello è seduto.</v>
      </c>
    </row>
    <row r="24845">
      <c r="A24845" s="4" t="s">
        <v>31266</v>
      </c>
      <c r="B24845" s="4" t="s">
        <v>31268</v>
      </c>
      <c r="C24845" s="5" t="str">
        <f>IFERROR(__xludf.DUMMYFUNCTION("GOOGLETRANSLATE(B24845,""en"",""it"")"),"Sta suonando due tamburi davanti a lui.")</f>
        <v>Sta suonando due tamburi davanti a lui.</v>
      </c>
    </row>
    <row r="24846">
      <c r="A24846" s="4" t="s">
        <v>31266</v>
      </c>
      <c r="B24846" s="4" t="s">
        <v>31269</v>
      </c>
      <c r="C24846" s="5" t="str">
        <f>IFERROR(__xludf.DUMMYFUNCTION("GOOGLETRANSLATE(B24846,""en"",""it"")"),"Smette di suonarli e si siede dritto.")</f>
        <v>Smette di suonarli e si siede dritto.</v>
      </c>
    </row>
    <row r="24847">
      <c r="A24847" s="4" t="s">
        <v>31270</v>
      </c>
      <c r="B24847" s="4" t="s">
        <v>31271</v>
      </c>
      <c r="C24847" s="5" t="str">
        <f>IFERROR(__xludf.DUMMYFUNCTION("GOOGLETRANSLATE(B24847,""en"",""it"")"),"Un ragazzo serve una palla da tennis.")</f>
        <v>Un ragazzo serve una palla da tennis.</v>
      </c>
    </row>
    <row r="24848">
      <c r="A24848" s="4" t="s">
        <v>31270</v>
      </c>
      <c r="B24848" s="4" t="s">
        <v>31272</v>
      </c>
      <c r="C24848" s="5" t="str">
        <f>IFERROR(__xludf.DUMMYFUNCTION("GOOGLETRANSLATE(B24848,""en"",""it"")"),"Quindi ne serve altri due.")</f>
        <v>Quindi ne serve altri due.</v>
      </c>
    </row>
    <row r="24849">
      <c r="A24849" s="4" t="s">
        <v>31270</v>
      </c>
      <c r="B24849" s="4" t="s">
        <v>31273</v>
      </c>
      <c r="C24849" s="5" t="str">
        <f>IFERROR(__xludf.DUMMYFUNCTION("GOOGLETRANSLATE(B24849,""en"",""it"")"),"Il ragazzo si gira e si allontana.")</f>
        <v>Il ragazzo si gira e si allontana.</v>
      </c>
    </row>
    <row r="24850">
      <c r="A24850" s="4" t="s">
        <v>31274</v>
      </c>
      <c r="B24850" s="4" t="s">
        <v>31275</v>
      </c>
      <c r="C24850" s="5" t="str">
        <f>IFERROR(__xludf.DUMMYFUNCTION("GOOGLETRANSLATE(B24850,""en"",""it"")"),"Un adolescente parla e tiene il guinzaglio di un cane mentre un giovane animali domestici un cane su un divano.")</f>
        <v>Un adolescente parla e tiene il guinzaglio di un cane mentre un giovane animali domestici un cane su un divano.</v>
      </c>
    </row>
    <row r="24851">
      <c r="A24851" s="4" t="s">
        <v>31274</v>
      </c>
      <c r="B24851" s="4" t="s">
        <v>31276</v>
      </c>
      <c r="C24851" s="5" t="str">
        <f>IFERROR(__xludf.DUMMYFUNCTION("GOOGLETRANSLATE(B24851,""en"",""it"")"),"Quindi, l'adolescente corre con il cane è stato altri giovani suonavano Frisbee, dopo che l'adolescente parla.")</f>
        <v>Quindi, l'adolescente corre con il cane è stato altri giovani suonavano Frisbee, dopo che l'adolescente parla.</v>
      </c>
    </row>
    <row r="24852">
      <c r="A24852" s="4" t="s">
        <v>31274</v>
      </c>
      <c r="B24852" s="4" t="s">
        <v>31277</v>
      </c>
      <c r="C24852" s="5" t="str">
        <f>IFERROR(__xludf.DUMMYFUNCTION("GOOGLETRANSLATE(B24852,""en"",""it"")"),"Una donna legge un libro magro su una macchina per il distributore di soda.")</f>
        <v>Una donna legge un libro magro su una macchina per il distributore di soda.</v>
      </c>
    </row>
    <row r="24853">
      <c r="A24853" s="4" t="s">
        <v>31274</v>
      </c>
      <c r="B24853" s="4" t="s">
        <v>31278</v>
      </c>
      <c r="C24853" s="5" t="str">
        <f>IFERROR(__xludf.DUMMYFUNCTION("GOOGLETRANSLATE(B24853,""en"",""it"")"),"Un uomo cammina un cane in un parcheggio e la strada.")</f>
        <v>Un uomo cammina un cane in un parcheggio e la strada.</v>
      </c>
    </row>
    <row r="24854">
      <c r="A24854" s="4" t="s">
        <v>31274</v>
      </c>
      <c r="B24854" s="4" t="s">
        <v>31279</v>
      </c>
      <c r="C24854" s="5" t="str">
        <f>IFERROR(__xludf.DUMMYFUNCTION("GOOGLETRANSLATE(B24854,""en"",""it"")"),"Dopo, l'adolescente e il giovane sono in casa.")</f>
        <v>Dopo, l'adolescente e il giovane sono in casa.</v>
      </c>
    </row>
    <row r="24855">
      <c r="A24855" s="4" t="s">
        <v>31280</v>
      </c>
      <c r="B24855" s="4" t="s">
        <v>31281</v>
      </c>
      <c r="C24855" s="5" t="str">
        <f>IFERROR(__xludf.DUMMYFUNCTION("GOOGLETRANSLATE(B24855,""en"",""it"")"),"Il video inizia con un gioco di curling mostrato dall'alto.")</f>
        <v>Il video inizia con un gioco di curling mostrato dall'alto.</v>
      </c>
    </row>
    <row r="24856">
      <c r="A24856" s="4" t="s">
        <v>31280</v>
      </c>
      <c r="B24856" s="4" t="s">
        <v>31282</v>
      </c>
      <c r="C24856" s="5" t="str">
        <f>IFERROR(__xludf.DUMMYFUNCTION("GOOGLETRANSLATE(B24856,""en"",""it"")"),"La fotocamera mostra quindi una donna che pattina sul ghiaccio.")</f>
        <v>La fotocamera mostra quindi una donna che pattina sul ghiaccio.</v>
      </c>
    </row>
    <row r="24857">
      <c r="A24857" s="4" t="s">
        <v>31280</v>
      </c>
      <c r="B24857" s="4" t="s">
        <v>31283</v>
      </c>
      <c r="C24857" s="5" t="str">
        <f>IFERROR(__xludf.DUMMYFUNCTION("GOOGLETRANSLATE(B24857,""en"",""it"")"),"Quindi la fotocamera si concentra sul gioco di curling che mostra una signora che sta per sparare.")</f>
        <v>Quindi la fotocamera si concentra sul gioco di curling che mostra una signora che sta per sparare.</v>
      </c>
    </row>
    <row r="24858">
      <c r="A24858" s="4" t="s">
        <v>31280</v>
      </c>
      <c r="B24858" s="4" t="s">
        <v>31284</v>
      </c>
      <c r="C24858" s="5" t="str">
        <f>IFERROR(__xludf.DUMMYFUNCTION("GOOGLETRANSLATE(B24858,""en"",""it"")"),"Tornano all'angolo aereo del gioco mentre la signora si prepara a sparare.")</f>
        <v>Tornano all'angolo aereo del gioco mentre la signora si prepara a sparare.</v>
      </c>
    </row>
    <row r="24859">
      <c r="A24859" s="4" t="s">
        <v>31280</v>
      </c>
      <c r="B24859" s="4" t="s">
        <v>31285</v>
      </c>
      <c r="C24859" s="5" t="str">
        <f>IFERROR(__xludf.DUMMYFUNCTION("GOOGLETRANSLATE(B24859,""en"",""it"")"),"Altri giocatori vengono mostrati a guardare in anticipo.")</f>
        <v>Altri giocatori vengono mostrati a guardare in anticipo.</v>
      </c>
    </row>
    <row r="24860">
      <c r="A24860" s="4" t="s">
        <v>31280</v>
      </c>
      <c r="B24860" s="4" t="s">
        <v>31286</v>
      </c>
      <c r="C24860" s="5" t="str">
        <f>IFERROR(__xludf.DUMMYFUNCTION("GOOGLETRANSLATE(B24860,""en"",""it"")"),"Il giocatore fa lo scatto e la fotocamera segue.")</f>
        <v>Il giocatore fa lo scatto e la fotocamera segue.</v>
      </c>
    </row>
    <row r="24861">
      <c r="A24861" s="4" t="s">
        <v>31280</v>
      </c>
      <c r="B24861" s="4" t="s">
        <v>31287</v>
      </c>
      <c r="C24861" s="5" t="str">
        <f>IFERROR(__xludf.DUMMYFUNCTION("GOOGLETRANSLATE(B24861,""en"",""it"")"),"Viene mostrato la folla e un replay del tiro.")</f>
        <v>Viene mostrato la folla e un replay del tiro.</v>
      </c>
    </row>
    <row r="24862">
      <c r="A24862" s="4" t="s">
        <v>31288</v>
      </c>
      <c r="B24862" s="4" t="s">
        <v>31289</v>
      </c>
      <c r="C24862" s="5" t="str">
        <f>IFERROR(__xludf.DUMMYFUNCTION("GOOGLETRANSLATE(B24862,""en"",""it"")"),"Una persona sta solo snowboard in casa.")</f>
        <v>Una persona sta solo snowboard in casa.</v>
      </c>
    </row>
    <row r="24863">
      <c r="A24863" s="4" t="s">
        <v>31288</v>
      </c>
      <c r="B24863" s="4" t="s">
        <v>31290</v>
      </c>
      <c r="C24863" s="5" t="str">
        <f>IFERROR(__xludf.DUMMYFUNCTION("GOOGLETRANSLATE(B24863,""en"",""it"")"),"La persona sta zigzagando con la sua tavola lungo un pendio.")</f>
        <v>La persona sta zigzagando con la sua tavola lungo un pendio.</v>
      </c>
    </row>
    <row r="24864">
      <c r="A24864" s="4" t="s">
        <v>31288</v>
      </c>
      <c r="B24864" s="4" t="s">
        <v>31291</v>
      </c>
      <c r="C24864" s="5" t="str">
        <f>IFERROR(__xludf.DUMMYFUNCTION("GOOGLETRANSLATE(B24864,""en"",""it"")"),"La persona si gira alla fine del pendio con le braccia estese.")</f>
        <v>La persona si gira alla fine del pendio con le braccia estese.</v>
      </c>
    </row>
    <row r="24865">
      <c r="A24865" s="4" t="s">
        <v>31292</v>
      </c>
      <c r="B24865" s="4" t="s">
        <v>31293</v>
      </c>
      <c r="C24865" s="5" t="str">
        <f>IFERROR(__xludf.DUMMYFUNCTION("GOOGLETRANSLATE(B24865,""en"",""it"")"),"Un giovane è visto seduto dietro un tamburo con bastoncini.")</f>
        <v>Un giovane è visto seduto dietro un tamburo con bastoncini.</v>
      </c>
    </row>
    <row r="24866">
      <c r="A24866" s="4" t="s">
        <v>31292</v>
      </c>
      <c r="B24866" s="4" t="s">
        <v>31294</v>
      </c>
      <c r="C24866" s="5" t="str">
        <f>IFERROR(__xludf.DUMMYFUNCTION("GOOGLETRANSLATE(B24866,""en"",""it"")"),"L'uomo inizia a suonare continuamente i tamburi mentre la telecamera cattura i suoi movimenti.")</f>
        <v>L'uomo inizia a suonare continuamente i tamburi mentre la telecamera cattura i suoi movimenti.</v>
      </c>
    </row>
    <row r="24867">
      <c r="A24867" s="4" t="s">
        <v>31292</v>
      </c>
      <c r="B24867" s="4" t="s">
        <v>31295</v>
      </c>
      <c r="C24867" s="5" t="str">
        <f>IFERROR(__xludf.DUMMYFUNCTION("GOOGLETRANSLATE(B24867,""en"",""it"")"),"Viene ancora visto suonare la batteria e finisce con le mani alzate.")</f>
        <v>Viene ancora visto suonare la batteria e finisce con le mani alzate.</v>
      </c>
    </row>
    <row r="24868">
      <c r="A24868" s="4" t="s">
        <v>31296</v>
      </c>
      <c r="B24868" s="4" t="s">
        <v>31297</v>
      </c>
      <c r="C24868" s="5" t="str">
        <f>IFERROR(__xludf.DUMMYFUNCTION("GOOGLETRANSLATE(B24868,""en"",""it"")"),"Un bambino colpisce una piñata con una mazza mentre gira.")</f>
        <v>Un bambino colpisce una piñata con una mazza mentre gira.</v>
      </c>
    </row>
    <row r="24869">
      <c r="A24869" s="4" t="s">
        <v>31296</v>
      </c>
      <c r="B24869" s="4" t="s">
        <v>31298</v>
      </c>
      <c r="C24869" s="5" t="str">
        <f>IFERROR(__xludf.DUMMYFUNCTION("GOOGLETRANSLATE(B24869,""en"",""it"")"),"Una persona è vicino al ragazzo che mostra un braccio.")</f>
        <v>Una persona è vicino al ragazzo che mostra un braccio.</v>
      </c>
    </row>
    <row r="24870">
      <c r="A24870" s="4" t="s">
        <v>31299</v>
      </c>
      <c r="B24870" s="4" t="s">
        <v>31300</v>
      </c>
      <c r="C24870" s="5" t="str">
        <f>IFERROR(__xludf.DUMMYFUNCTION("GOOGLETRANSLATE(B24870,""en"",""it"")"),"La scena dice feccia di fiume con uno sfondo nero.")</f>
        <v>La scena dice feccia di fiume con uno sfondo nero.</v>
      </c>
    </row>
    <row r="24871">
      <c r="A24871" s="4" t="s">
        <v>31299</v>
      </c>
      <c r="B24871" s="4" t="s">
        <v>31301</v>
      </c>
      <c r="C24871" s="5" t="str">
        <f>IFERROR(__xludf.DUMMYFUNCTION("GOOGLETRANSLATE(B24871,""en"",""it"")"),"Un kayak sta andando giù per un fiume mentre una persona è remella.")</f>
        <v>Un kayak sta andando giù per un fiume mentre una persona è remella.</v>
      </c>
    </row>
    <row r="24872">
      <c r="A24872" s="4" t="s">
        <v>31299</v>
      </c>
      <c r="B24872" s="4" t="s">
        <v>31302</v>
      </c>
      <c r="C24872" s="5" t="str">
        <f>IFERROR(__xludf.DUMMYFUNCTION("GOOGLETRANSLATE(B24872,""en"",""it"")"),"Uno schermo viene fornito con parole.")</f>
        <v>Uno schermo viene fornito con parole.</v>
      </c>
    </row>
    <row r="24873">
      <c r="A24873" s="4" t="s">
        <v>31303</v>
      </c>
      <c r="B24873" s="6" t="s">
        <v>31304</v>
      </c>
      <c r="C24873" s="5" t="str">
        <f>IFERROR(__xludf.DUMMYFUNCTION("GOOGLETRANSLATE(B24873,""en"",""it"")"),"Un piccolo gruppo di persone è visto seduto in una zattera con primi piedi di piedi e pagaie.")</f>
        <v>Un piccolo gruppo di persone è visto seduto in una zattera con primi piedi di piedi e pagaie.</v>
      </c>
    </row>
    <row r="24874">
      <c r="A24874" s="4" t="s">
        <v>31303</v>
      </c>
      <c r="B24874" s="4" t="s">
        <v>31305</v>
      </c>
      <c r="C24874" s="5" t="str">
        <f>IFERROR(__xludf.DUMMYFUNCTION("GOOGLETRANSLATE(B24874,""en"",""it"")"),"Un uomo parla al gruppo e conduce a remare lungo un fiume.")</f>
        <v>Un uomo parla al gruppo e conduce a remare lungo un fiume.</v>
      </c>
    </row>
    <row r="24875">
      <c r="A24875" s="4" t="s">
        <v>31303</v>
      </c>
      <c r="B24875" s="6" t="s">
        <v>31306</v>
      </c>
      <c r="C24875" s="5" t="str">
        <f>IFERROR(__xludf.DUMMYFUNCTION("GOOGLETRANSLATE(B24875,""en"",""it"")"),"Il gruppo continua a cavalcare lungo il fiume mostrando i primi che lavorano e finiscono con un logo sullo schermo.")</f>
        <v>Il gruppo continua a cavalcare lungo il fiume mostrando i primi che lavorano e finiscono con un logo sullo schermo.</v>
      </c>
    </row>
    <row r="24876">
      <c r="A24876" s="4" t="s">
        <v>31307</v>
      </c>
      <c r="B24876" s="4" t="s">
        <v>31308</v>
      </c>
      <c r="C24876" s="5" t="str">
        <f>IFERROR(__xludf.DUMMYFUNCTION("GOOGLETRANSLATE(B24876,""en"",""it"")"),"Un toro nero è schernito con un manichino appeso a una corda mentre il toro si lancia sul manichino.")</f>
        <v>Un toro nero è schernito con un manichino appeso a una corda mentre il toro si lancia sul manichino.</v>
      </c>
    </row>
    <row r="24877">
      <c r="A24877" s="4" t="s">
        <v>31307</v>
      </c>
      <c r="B24877" s="6" t="s">
        <v>31309</v>
      </c>
      <c r="C24877" s="5" t="str">
        <f>IFERROR(__xludf.DUMMYFUNCTION("GOOGLETRANSLATE(B24877,""en"",""it"")"),"Un uomo con un ombrello verde e bianco scherza un toro nero su una corda mentre gli spettatori scherniscono anche il toro da un lato su un muro.")</f>
        <v>Un uomo con un ombrello verde e bianco scherza un toro nero su una corda mentre gli spettatori scherniscono anche il toro da un lato su un muro.</v>
      </c>
    </row>
    <row r="24878">
      <c r="A24878" s="4" t="s">
        <v>31307</v>
      </c>
      <c r="B24878" s="6" t="s">
        <v>31310</v>
      </c>
      <c r="C24878" s="5" t="str">
        <f>IFERROR(__xludf.DUMMYFUNCTION("GOOGLETRANSLATE(B24878,""en"",""it"")"),"Il Black Bull si lancia in un altro manichino e il manichino viene catturato dal corno di tori mentre il toro scappa dopo altri bersagli schernanti.")</f>
        <v>Il Black Bull si lancia in un altro manichino e il manichino viene catturato dal corno di tori mentre il toro scappa dopo altri bersagli schernanti.</v>
      </c>
    </row>
    <row r="24879">
      <c r="A24879" s="4" t="s">
        <v>31311</v>
      </c>
      <c r="B24879" s="4" t="s">
        <v>31312</v>
      </c>
      <c r="C24879" s="5" t="str">
        <f>IFERROR(__xludf.DUMMYFUNCTION("GOOGLETRANSLATE(B24879,""en"",""it"")"),"Un uomo tiene in mano un'ascia nella foresta.")</f>
        <v>Un uomo tiene in mano un'ascia nella foresta.</v>
      </c>
    </row>
    <row r="24880">
      <c r="A24880" s="4" t="s">
        <v>31311</v>
      </c>
      <c r="B24880" s="4" t="s">
        <v>31313</v>
      </c>
      <c r="C24880" s="5" t="str">
        <f>IFERROR(__xludf.DUMMYFUNCTION("GOOGLETRANSLATE(B24880,""en"",""it"")"),"Sta parlando e sta regolando un grande moncone.")</f>
        <v>Sta parlando e sta regolando un grande moncone.</v>
      </c>
    </row>
    <row r="24881">
      <c r="A24881" s="4" t="s">
        <v>31311</v>
      </c>
      <c r="B24881" s="4" t="s">
        <v>31314</v>
      </c>
      <c r="C24881" s="5" t="str">
        <f>IFERROR(__xludf.DUMMYFUNCTION("GOOGLETRANSLATE(B24881,""en"",""it"")"),"Usa l'ascia per dividere il legno.")</f>
        <v>Usa l'ascia per dividere il legno.</v>
      </c>
    </row>
    <row r="24882">
      <c r="A24882" s="4" t="s">
        <v>31315</v>
      </c>
      <c r="B24882" s="4" t="s">
        <v>31316</v>
      </c>
      <c r="C24882" s="5" t="str">
        <f>IFERROR(__xludf.DUMMYFUNCTION("GOOGLETRANSLATE(B24882,""en"",""it"")"),"Vediamo una signora che rimbalza su una linea allentata.")</f>
        <v>Vediamo una signora che rimbalza su una linea allentata.</v>
      </c>
    </row>
    <row r="24883">
      <c r="A24883" s="4" t="s">
        <v>31315</v>
      </c>
      <c r="B24883" s="4" t="s">
        <v>31317</v>
      </c>
      <c r="C24883" s="5" t="str">
        <f>IFERROR(__xludf.DUMMYFUNCTION("GOOGLETRANSLATE(B24883,""en"",""it"")"),"La signora si siede in ginocchio.")</f>
        <v>La signora si siede in ginocchio.</v>
      </c>
    </row>
    <row r="24884">
      <c r="A24884" s="4" t="s">
        <v>31315</v>
      </c>
      <c r="B24884" s="4" t="s">
        <v>31318</v>
      </c>
      <c r="C24884" s="5" t="str">
        <f>IFERROR(__xludf.DUMMYFUNCTION("GOOGLETRANSLATE(B24884,""en"",""it"")"),"L'uomo sullo sfondo riprende la neve.")</f>
        <v>L'uomo sullo sfondo riprende la neve.</v>
      </c>
    </row>
    <row r="24885">
      <c r="A24885" s="4" t="s">
        <v>31315</v>
      </c>
      <c r="B24885" s="4" t="s">
        <v>31319</v>
      </c>
      <c r="C24885" s="5" t="str">
        <f>IFERROR(__xludf.DUMMYFUNCTION("GOOGLETRANSLATE(B24885,""en"",""it"")"),"La signora cade della linea allentata.")</f>
        <v>La signora cade della linea allentata.</v>
      </c>
    </row>
    <row r="24886">
      <c r="A24886" s="4" t="s">
        <v>31315</v>
      </c>
      <c r="B24886" s="4" t="s">
        <v>31320</v>
      </c>
      <c r="C24886" s="5" t="str">
        <f>IFERROR(__xludf.DUMMYFUNCTION("GOOGLETRANSLATE(B24886,""en"",""it"")"),"Vediamo un uomo che rimbalza sulla linea di lenta.")</f>
        <v>Vediamo un uomo che rimbalza sulla linea di lenta.</v>
      </c>
    </row>
    <row r="24887">
      <c r="A24887" s="4" t="s">
        <v>31315</v>
      </c>
      <c r="B24887" s="4" t="s">
        <v>31321</v>
      </c>
      <c r="C24887" s="5" t="str">
        <f>IFERROR(__xludf.DUMMYFUNCTION("GOOGLETRANSLATE(B24887,""en"",""it"")"),"Torniamo alla First Lady che rimbalza.")</f>
        <v>Torniamo alla First Lady che rimbalza.</v>
      </c>
    </row>
    <row r="24888">
      <c r="A24888" s="4" t="s">
        <v>31315</v>
      </c>
      <c r="B24888" s="4" t="s">
        <v>31322</v>
      </c>
      <c r="C24888" s="5" t="str">
        <f>IFERROR(__xludf.DUMMYFUNCTION("GOOGLETRANSLATE(B24888,""en"",""it"")"),"La signora salta giù dalla linea allentata e torna.")</f>
        <v>La signora salta giù dalla linea allentata e torna.</v>
      </c>
    </row>
    <row r="24889">
      <c r="A24889" s="4" t="s">
        <v>31315</v>
      </c>
      <c r="B24889" s="4" t="s">
        <v>31323</v>
      </c>
      <c r="C24889" s="5" t="str">
        <f>IFERROR(__xludf.DUMMYFUNCTION("GOOGLETRANSLATE(B24889,""en"",""it"")"),"La signora gira mentre rimbalza.")</f>
        <v>La signora gira mentre rimbalza.</v>
      </c>
    </row>
    <row r="24890">
      <c r="A24890" s="4" t="s">
        <v>31315</v>
      </c>
      <c r="B24890" s="4" t="s">
        <v>31324</v>
      </c>
      <c r="C24890" s="5" t="str">
        <f>IFERROR(__xludf.DUMMYFUNCTION("GOOGLETRANSLATE(B24890,""en"",""it"")"),"La signora salta via e poi è tornato.")</f>
        <v>La signora salta via e poi è tornato.</v>
      </c>
    </row>
    <row r="24891">
      <c r="A24891" s="4" t="s">
        <v>31325</v>
      </c>
      <c r="B24891" s="4" t="s">
        <v>31326</v>
      </c>
      <c r="C24891" s="5" t="str">
        <f>IFERROR(__xludf.DUMMYFUNCTION("GOOGLETRANSLATE(B24891,""en"",""it"")"),"Un gruppo di uomini è seduto fuori da suonare insieme strumenti.")</f>
        <v>Un gruppo di uomini è seduto fuori da suonare insieme strumenti.</v>
      </c>
    </row>
    <row r="24892">
      <c r="A24892" s="4" t="s">
        <v>31325</v>
      </c>
      <c r="B24892" s="6" t="s">
        <v>31327</v>
      </c>
      <c r="C24892" s="5" t="str">
        <f>IFERROR(__xludf.DUMMYFUNCTION("GOOGLETRANSLATE(B24892,""en"",""it"")"),"Uno degli uomini consegna un altro un bastone trasformato in un flauto e si siede e inizia a iniziare a giocarci.")</f>
        <v>Uno degli uomini consegna un altro un bastone trasformato in un flauto e si siede e inizia a iniziare a giocarci.</v>
      </c>
    </row>
    <row r="24893">
      <c r="A24893" s="4" t="s">
        <v>31325</v>
      </c>
      <c r="B24893" s="4" t="s">
        <v>31328</v>
      </c>
      <c r="C24893" s="5" t="str">
        <f>IFERROR(__xludf.DUMMYFUNCTION("GOOGLETRANSLATE(B24893,""en"",""it"")"),"L'uomo inizia a suonare il sassofono insieme a lui.")</f>
        <v>L'uomo inizia a suonare il sassofono insieme a lui.</v>
      </c>
    </row>
    <row r="24894">
      <c r="A24894" s="4" t="s">
        <v>31325</v>
      </c>
      <c r="B24894" s="4" t="s">
        <v>31329</v>
      </c>
      <c r="C24894" s="5" t="str">
        <f>IFERROR(__xludf.DUMMYFUNCTION("GOOGLETRANSLATE(B24894,""en"",""it"")"),"Gli altri uomini si uniscono tutti e tutti fanno musica insieme, divertendosi.")</f>
        <v>Gli altri uomini si uniscono tutti e tutti fanno musica insieme, divertendosi.</v>
      </c>
    </row>
    <row r="24895">
      <c r="A24895" s="4" t="s">
        <v>31330</v>
      </c>
      <c r="B24895" s="4" t="s">
        <v>31331</v>
      </c>
      <c r="C24895" s="5" t="str">
        <f>IFERROR(__xludf.DUMMYFUNCTION("GOOGLETRANSLATE(B24895,""en"",""it"")"),"Una persona cavalca un cavallo in un campo che calcia una palla con un bastone curvo.")</f>
        <v>Una persona cavalca un cavallo in un campo che calcia una palla con un bastone curvo.</v>
      </c>
    </row>
    <row r="24896">
      <c r="A24896" s="4" t="s">
        <v>31330</v>
      </c>
      <c r="B24896" s="4" t="s">
        <v>31332</v>
      </c>
      <c r="C24896" s="5" t="str">
        <f>IFERROR(__xludf.DUMMYFUNCTION("GOOGLETRANSLATE(B24896,""en"",""it"")"),"Le persone giocano a polo sul campo cavalcando cavalli.")</f>
        <v>Le persone giocano a polo sul campo cavalcando cavalli.</v>
      </c>
    </row>
    <row r="24897">
      <c r="A24897" s="4" t="s">
        <v>31330</v>
      </c>
      <c r="B24897" s="4" t="s">
        <v>31333</v>
      </c>
      <c r="C24897" s="5" t="str">
        <f>IFERROR(__xludf.DUMMYFUNCTION("GOOGLETRANSLATE(B24897,""en"",""it"")"),"L'uomo con il bastoncino curvo corre dietro gli altri giocatori e contesta la palla e segna.")</f>
        <v>L'uomo con il bastoncino curvo corre dietro gli altri giocatori e contesta la palla e segna.</v>
      </c>
    </row>
    <row r="24898">
      <c r="A24898" s="4" t="s">
        <v>31330</v>
      </c>
      <c r="B24898" s="4" t="s">
        <v>31334</v>
      </c>
      <c r="C24898" s="5" t="str">
        <f>IFERROR(__xludf.DUMMYFUNCTION("GOOGLETRANSLATE(B24898,""en"",""it"")"),"Dopo, la persona corre dietro un giocatore con maglietta blu per colpire la palla e segnare.")</f>
        <v>Dopo, la persona corre dietro un giocatore con maglietta blu per colpire la palla e segnare.</v>
      </c>
    </row>
    <row r="24899">
      <c r="A24899" s="4" t="s">
        <v>31335</v>
      </c>
      <c r="B24899" s="4" t="s">
        <v>31336</v>
      </c>
      <c r="C24899" s="5" t="str">
        <f>IFERROR(__xludf.DUMMYFUNCTION("GOOGLETRANSLATE(B24899,""en"",""it"")"),"Viene visto un uomo sdraiato a terra che si tiene sullo stomaco.")</f>
        <v>Viene visto un uomo sdraiato a terra che si tiene sullo stomaco.</v>
      </c>
    </row>
    <row r="24900">
      <c r="A24900" s="4" t="s">
        <v>31335</v>
      </c>
      <c r="B24900" s="4" t="s">
        <v>31337</v>
      </c>
      <c r="C24900" s="5" t="str">
        <f>IFERROR(__xludf.DUMMYFUNCTION("GOOGLETRANSLATE(B24900,""en"",""it"")"),"Comincia a muoversi su e giù per terra mentre si tiene in vita.")</f>
        <v>Comincia a muoversi su e giù per terra mentre si tiene in vita.</v>
      </c>
    </row>
    <row r="24901">
      <c r="A24901" s="4" t="s">
        <v>31335</v>
      </c>
      <c r="B24901" s="4" t="s">
        <v>31338</v>
      </c>
      <c r="C24901" s="5" t="str">
        <f>IFERROR(__xludf.DUMMYFUNCTION("GOOGLETRANSLATE(B24901,""en"",""it"")"),"Continua a muoversi su e giù mentre la telecamera cattura i suoi movimenti.")</f>
        <v>Continua a muoversi su e giù mentre la telecamera cattura i suoi movimenti.</v>
      </c>
    </row>
    <row r="24902">
      <c r="A24902" s="4" t="s">
        <v>31339</v>
      </c>
      <c r="B24902" s="4" t="s">
        <v>31340</v>
      </c>
      <c r="C24902" s="5" t="str">
        <f>IFERROR(__xludf.DUMMYFUNCTION("GOOGLETRANSLATE(B24902,""en"",""it"")"),"Viene mostrato un primo piano di una persona che tiene una borsa e segue la persona che elimina gli oggetti.")</f>
        <v>Viene mostrato un primo piano di una persona che tiene una borsa e segue la persona che elimina gli oggetti.</v>
      </c>
    </row>
    <row r="24903">
      <c r="A24903" s="4" t="s">
        <v>31339</v>
      </c>
      <c r="B24903" s="4" t="s">
        <v>31341</v>
      </c>
      <c r="C24903" s="5" t="str">
        <f>IFERROR(__xludf.DUMMYFUNCTION("GOOGLETRANSLATE(B24903,""en"",""it"")"),"Dispone gli oggetti e corre su uno sci.")</f>
        <v>Dispone gli oggetti e corre su uno sci.</v>
      </c>
    </row>
    <row r="24904">
      <c r="A24904" s="4" t="s">
        <v>31339</v>
      </c>
      <c r="B24904" s="4" t="s">
        <v>31342</v>
      </c>
      <c r="C24904" s="5" t="str">
        <f>IFERROR(__xludf.DUMMYFUNCTION("GOOGLETRANSLATE(B24904,""en"",""it"")"),"Alla fine strofina di nuovo lo sci e posiziona il berretto sul bar.")</f>
        <v>Alla fine strofina di nuovo lo sci e posiziona il berretto sul bar.</v>
      </c>
    </row>
    <row r="24905">
      <c r="A24905" s="4" t="s">
        <v>31343</v>
      </c>
      <c r="B24905" s="4" t="s">
        <v>31344</v>
      </c>
      <c r="C24905" s="5" t="str">
        <f>IFERROR(__xludf.DUMMYFUNCTION("GOOGLETRANSLATE(B24905,""en"",""it"")"),"Un uomo getta una grande tacca in un lox con un'ascia.")</f>
        <v>Un uomo getta una grande tacca in un lox con un'ascia.</v>
      </c>
    </row>
    <row r="24906">
      <c r="A24906" s="4" t="s">
        <v>31343</v>
      </c>
      <c r="B24906" s="4" t="s">
        <v>31345</v>
      </c>
      <c r="C24906" s="5" t="str">
        <f>IFERROR(__xludf.DUMMYFUNCTION("GOOGLETRANSLATE(B24906,""en"",""it"")"),"L'uomo usa la sua mano guantata per spazzare via il legno scheggiato dal tronco.")</f>
        <v>L'uomo usa la sua mano guantata per spazzare via il legno scheggiato dal tronco.</v>
      </c>
    </row>
    <row r="24907">
      <c r="A24907" s="4" t="s">
        <v>31346</v>
      </c>
      <c r="B24907" s="6" t="s">
        <v>31347</v>
      </c>
      <c r="C24907" s="5" t="str">
        <f>IFERROR(__xludf.DUMMYFUNCTION("GOOGLETRANSLATE(B24907,""en"",""it"")"),"Un'introduzione conduce in una donna che esegue diversi trucchi con un cane e mostra un testo su come eseguire il trucco.")</f>
        <v>Un'introduzione conduce in una donna che esegue diversi trucchi con un cane e mostra un testo su come eseguire il trucco.</v>
      </c>
    </row>
    <row r="24908">
      <c r="A24908" s="4" t="s">
        <v>31346</v>
      </c>
      <c r="B24908" s="4" t="s">
        <v>31348</v>
      </c>
      <c r="C24908" s="5" t="str">
        <f>IFERROR(__xludf.DUMMYFUNCTION("GOOGLETRANSLATE(B24908,""en"",""it"")"),"La donna continua a eseguire trucchi con il cane e termina camminando verso la telecamera.")</f>
        <v>La donna continua a eseguire trucchi con il cane e termina camminando verso la telecamera.</v>
      </c>
    </row>
    <row r="24909">
      <c r="A24909" s="4" t="s">
        <v>31349</v>
      </c>
      <c r="B24909" s="4" t="s">
        <v>31350</v>
      </c>
      <c r="C24909" s="5" t="str">
        <f>IFERROR(__xludf.DUMMYFUNCTION("GOOGLETRANSLATE(B24909,""en"",""it"")"),"Vengono mostrati un mucchio di giocatori di biliardo e colpi.")</f>
        <v>Vengono mostrati un mucchio di giocatori di biliardo e colpi.</v>
      </c>
    </row>
    <row r="24910">
      <c r="A24910" s="4" t="s">
        <v>31349</v>
      </c>
      <c r="B24910" s="4" t="s">
        <v>31351</v>
      </c>
      <c r="C24910" s="5" t="str">
        <f>IFERROR(__xludf.DUMMYFUNCTION("GOOGLETRANSLATE(B24910,""en"",""it"")"),"Gli scatti sono scatti di trucco nella seconda metà del video.")</f>
        <v>Gli scatti sono scatti di trucco nella seconda metà del video.</v>
      </c>
    </row>
    <row r="24911">
      <c r="A24911" s="4" t="s">
        <v>31352</v>
      </c>
      <c r="B24911" s="4" t="s">
        <v>31353</v>
      </c>
      <c r="C24911" s="5" t="str">
        <f>IFERROR(__xludf.DUMMYFUNCTION("GOOGLETRANSLATE(B24911,""en"",""it"")"),"Le parole ""la mia cavalcata fallisce"" appare.")</f>
        <v>Le parole "la mia cavalcata fallisce" appare.</v>
      </c>
    </row>
    <row r="24912">
      <c r="A24912" s="4" t="s">
        <v>31352</v>
      </c>
      <c r="B24912" s="4" t="s">
        <v>31354</v>
      </c>
      <c r="C24912" s="5" t="str">
        <f>IFERROR(__xludf.DUMMYFUNCTION("GOOGLETRANSLATE(B24912,""en"",""it"")"),"Una ragazza che cavalca un cavallo bianco non riesce a far saltare il cavallo in una pista.")</f>
        <v>Una ragazza che cavalca un cavallo bianco non riesce a far saltare il cavallo in una pista.</v>
      </c>
    </row>
    <row r="24913">
      <c r="A24913" s="4" t="s">
        <v>31352</v>
      </c>
      <c r="B24913" s="4" t="s">
        <v>31355</v>
      </c>
      <c r="C24913" s="5" t="str">
        <f>IFERROR(__xludf.DUMMYFUNCTION("GOOGLETRANSLATE(B24913,""en"",""it"")"),"Una canzone suona sul video.")</f>
        <v>Una canzone suona sul video.</v>
      </c>
    </row>
    <row r="24914">
      <c r="A24914" s="4" t="s">
        <v>31356</v>
      </c>
      <c r="B24914" s="4" t="s">
        <v>31357</v>
      </c>
      <c r="C24914" s="5" t="str">
        <f>IFERROR(__xludf.DUMMYFUNCTION("GOOGLETRANSLATE(B24914,""en"",""it"")"),"Viene mostrato uno schermo nero con tre file di scrittura araba.")</f>
        <v>Viene mostrato uno schermo nero con tre file di scrittura araba.</v>
      </c>
    </row>
    <row r="24915">
      <c r="A24915" s="4" t="s">
        <v>31356</v>
      </c>
      <c r="B24915" s="4" t="s">
        <v>31358</v>
      </c>
      <c r="C24915" s="5" t="str">
        <f>IFERROR(__xludf.DUMMYFUNCTION("GOOGLETRANSLATE(B24915,""en"",""it"")"),"Una ragazza quindi entra in bagno e inizia a lavarsi le mani.")</f>
        <v>Una ragazza quindi entra in bagno e inizia a lavarsi le mani.</v>
      </c>
    </row>
    <row r="24916">
      <c r="A24916" s="4" t="s">
        <v>31356</v>
      </c>
      <c r="B24916" s="4" t="s">
        <v>31359</v>
      </c>
      <c r="C24916" s="5" t="str">
        <f>IFERROR(__xludf.DUMMYFUNCTION("GOOGLETRANSLATE(B24916,""en"",""it"")"),"Mentre continua, inizia a parlare e descrivere il processo e poi appare più scritti.")</f>
        <v>Mentre continua, inizia a parlare e descrivere il processo e poi appare più scritti.</v>
      </c>
    </row>
    <row r="24917">
      <c r="A24917" s="4" t="s">
        <v>31360</v>
      </c>
      <c r="B24917" s="6" t="s">
        <v>31361</v>
      </c>
      <c r="C24917" s="5" t="str">
        <f>IFERROR(__xludf.DUMMYFUNCTION("GOOGLETRANSLATE(B24917,""en"",""it"")"),"La telecamera torna indietro per mostrare un hotel con lanterne rosse in aria e corvi di persone in piedi e guardano fuori dalla spiaggia.")</f>
        <v>La telecamera torna indietro per mostrare un hotel con lanterne rosse in aria e corvi di persone in piedi e guardano fuori dalla spiaggia.</v>
      </c>
    </row>
    <row r="24918">
      <c r="A24918" s="4" t="s">
        <v>31360</v>
      </c>
      <c r="B24918" s="4" t="s">
        <v>31362</v>
      </c>
      <c r="C24918" s="5" t="str">
        <f>IFERROR(__xludf.DUMMYFUNCTION("GOOGLETRANSLATE(B24918,""en"",""it"")"),"Un uomo cavalca un jetski davanti a una grande ondata di acqua sporca.")</f>
        <v>Un uomo cavalca un jetski davanti a una grande ondata di acqua sporca.</v>
      </c>
    </row>
    <row r="24919">
      <c r="A24919" s="4" t="s">
        <v>31360</v>
      </c>
      <c r="B24919" s="4" t="s">
        <v>31363</v>
      </c>
      <c r="C24919" s="5" t="str">
        <f>IFERROR(__xludf.DUMMYFUNCTION("GOOGLETRANSLATE(B24919,""en"",""it"")"),"Una barca a vela viene influenzata da una grande ondata.")</f>
        <v>Una barca a vela viene influenzata da una grande ondata.</v>
      </c>
    </row>
    <row r="24920">
      <c r="A24920" s="4" t="s">
        <v>31360</v>
      </c>
      <c r="B24920" s="4" t="s">
        <v>31364</v>
      </c>
      <c r="C24920" s="5" t="str">
        <f>IFERROR(__xludf.DUMMYFUNCTION("GOOGLETRANSLATE(B24920,""en"",""it"")"),"Una signora naviga su una grande ondata mentre una barca cavalca accanto a lei.")</f>
        <v>Una signora naviga su una grande ondata mentre una barca cavalca accanto a lei.</v>
      </c>
    </row>
    <row r="24921">
      <c r="A24921" s="4" t="s">
        <v>31360</v>
      </c>
      <c r="B24921" s="4" t="s">
        <v>31365</v>
      </c>
      <c r="C24921" s="5" t="str">
        <f>IFERROR(__xludf.DUMMYFUNCTION("GOOGLETRANSLATE(B24921,""en"",""it"")"),"Vediamo di nuovo la barca nell'acqua ondeggiare.")</f>
        <v>Vediamo di nuovo la barca nell'acqua ondeggiare.</v>
      </c>
    </row>
    <row r="24922">
      <c r="A24922" s="4" t="s">
        <v>31360</v>
      </c>
      <c r="B24922" s="4" t="s">
        <v>31366</v>
      </c>
      <c r="C24922" s="5" t="str">
        <f>IFERROR(__xludf.DUMMYFUNCTION("GOOGLETRANSLATE(B24922,""en"",""it"")"),"Vediamo persone che navigano sulle grandi onde del fiume.")</f>
        <v>Vediamo persone che navigano sulle grandi onde del fiume.</v>
      </c>
    </row>
    <row r="24923">
      <c r="A24923" s="4" t="s">
        <v>31360</v>
      </c>
      <c r="B24923" s="4" t="s">
        <v>31367</v>
      </c>
      <c r="C24923" s="5" t="str">
        <f>IFERROR(__xludf.DUMMYFUNCTION("GOOGLETRANSLATE(B24923,""en"",""it"")"),"Un uomo fa una verticale su una tavola da surf mentre naviga.")</f>
        <v>Un uomo fa una verticale su una tavola da surf mentre naviga.</v>
      </c>
    </row>
    <row r="24924">
      <c r="A24924" s="4" t="s">
        <v>31368</v>
      </c>
      <c r="B24924" s="4" t="s">
        <v>31369</v>
      </c>
      <c r="C24924" s="5" t="str">
        <f>IFERROR(__xludf.DUMMYFUNCTION("GOOGLETRANSLATE(B24924,""en"",""it"")"),"Un gruppo di alberi alti è circondato dall'acqua.")</f>
        <v>Un gruppo di alberi alti è circondato dall'acqua.</v>
      </c>
    </row>
    <row r="24925">
      <c r="A24925" s="4" t="s">
        <v>31368</v>
      </c>
      <c r="B24925" s="4" t="s">
        <v>31370</v>
      </c>
      <c r="C24925" s="5" t="str">
        <f>IFERROR(__xludf.DUMMYFUNCTION("GOOGLETRANSLATE(B24925,""en"",""it"")"),"Vediamo la vasta acqua dell'oceano intorno a noi.")</f>
        <v>Vediamo la vasta acqua dell'oceano intorno a noi.</v>
      </c>
    </row>
    <row r="24926">
      <c r="A24926" s="4" t="s">
        <v>31368</v>
      </c>
      <c r="B24926" s="4" t="s">
        <v>31371</v>
      </c>
      <c r="C24926" s="5" t="str">
        <f>IFERROR(__xludf.DUMMYFUNCTION("GOOGLETRANSLATE(B24926,""en"",""it"")"),"Vediamo quindi diverse persone mentre si rilassano su una barca.")</f>
        <v>Vediamo quindi diverse persone mentre si rilassano su una barca.</v>
      </c>
    </row>
    <row r="24927">
      <c r="A24927" s="4" t="s">
        <v>31372</v>
      </c>
      <c r="B24927" s="4" t="s">
        <v>31373</v>
      </c>
      <c r="C24927" s="5" t="str">
        <f>IFERROR(__xludf.DUMMYFUNCTION("GOOGLETRANSLATE(B24927,""en"",""it"")"),"Un uomo parla e poi cammina in strada fino a quando non arrivi a una gelateria.")</f>
        <v>Un uomo parla e poi cammina in strada fino a quando non arrivi a una gelateria.</v>
      </c>
    </row>
    <row r="24928">
      <c r="A24928" s="4" t="s">
        <v>31372</v>
      </c>
      <c r="B24928" s="4" t="s">
        <v>31374</v>
      </c>
      <c r="C24928" s="5" t="str">
        <f>IFERROR(__xludf.DUMMYFUNCTION("GOOGLETRANSLATE(B24928,""en"",""it"")"),"Una donna mostra un gelato al cioccolato e alla vaniglia e una ragazza piace un gelato.")</f>
        <v>Una donna mostra un gelato al cioccolato e alla vaniglia e una ragazza piace un gelato.</v>
      </c>
    </row>
    <row r="24929">
      <c r="A24929" s="4" t="s">
        <v>31372</v>
      </c>
      <c r="B24929" s="4" t="s">
        <v>31375</v>
      </c>
      <c r="C24929" s="5" t="str">
        <f>IFERROR(__xludf.DUMMYFUNCTION("GOOGLETRANSLATE(B24929,""en"",""it"")"),"Le persone acquistano un gelato e un bambino allevato per vedere il gelato.")</f>
        <v>Le persone acquistano un gelato e un bambino allevato per vedere il gelato.</v>
      </c>
    </row>
    <row r="24930">
      <c r="A24930" s="4" t="s">
        <v>31372</v>
      </c>
      <c r="B24930" s="4" t="s">
        <v>31376</v>
      </c>
      <c r="C24930" s="5" t="str">
        <f>IFERROR(__xludf.DUMMYFUNCTION("GOOGLETRANSLATE(B24930,""en"",""it"")"),"L'uomo lecca un ghiaccio nel negozio, poi finge di leccare un gelato in una foto.")</f>
        <v>L'uomo lecca un ghiaccio nel negozio, poi finge di leccare un gelato in una foto.</v>
      </c>
    </row>
    <row r="24931">
      <c r="A24931" s="4" t="s">
        <v>31377</v>
      </c>
      <c r="B24931" s="4" t="s">
        <v>31378</v>
      </c>
      <c r="C24931" s="5" t="str">
        <f>IFERROR(__xludf.DUMMYFUNCTION("GOOGLETRANSLATE(B24931,""en"",""it"")"),"Una donna lancia freccette in una tavola da darda.")</f>
        <v>Una donna lancia freccette in una tavola da darda.</v>
      </c>
    </row>
    <row r="24932">
      <c r="A24932" s="4" t="s">
        <v>31377</v>
      </c>
      <c r="B24932" s="4" t="s">
        <v>31379</v>
      </c>
      <c r="C24932" s="5" t="str">
        <f>IFERROR(__xludf.DUMMYFUNCTION("GOOGLETRANSLATE(B24932,""en"",""it"")"),"La scheda Dart è mostrata sul muro.")</f>
        <v>La scheda Dart è mostrata sul muro.</v>
      </c>
    </row>
    <row r="24933">
      <c r="A24933" s="4" t="s">
        <v>31377</v>
      </c>
      <c r="B24933" s="4" t="s">
        <v>31380</v>
      </c>
      <c r="C24933" s="5" t="str">
        <f>IFERROR(__xludf.DUMMYFUNCTION("GOOGLETRANSLATE(B24933,""en"",""it"")"),"Continua a lanciare freccette sul Dart Board.")</f>
        <v>Continua a lanciare freccette sul Dart Board.</v>
      </c>
    </row>
    <row r="24934">
      <c r="A24934" s="4" t="s">
        <v>31377</v>
      </c>
      <c r="B24934" s="4" t="s">
        <v>31381</v>
      </c>
      <c r="C24934" s="5" t="str">
        <f>IFERROR(__xludf.DUMMYFUNCTION("GOOGLETRANSLATE(B24934,""en"",""it"")"),"Estrae le freccette dalla tavola da darda.")</f>
        <v>Estrae le freccette dalla tavola da darda.</v>
      </c>
    </row>
    <row r="24935">
      <c r="A24935" s="4" t="s">
        <v>31382</v>
      </c>
      <c r="B24935" s="4" t="s">
        <v>31383</v>
      </c>
      <c r="C24935" s="5" t="str">
        <f>IFERROR(__xludf.DUMMYFUNCTION("GOOGLETRANSLATE(B24935,""en"",""it"")"),"Un uomo taglia il centro di un tronco con un'ascia mentre in piedi sul tronco.")</f>
        <v>Un uomo taglia il centro di un tronco con un'ascia mentre in piedi sul tronco.</v>
      </c>
    </row>
    <row r="24936">
      <c r="A24936" s="4" t="s">
        <v>31382</v>
      </c>
      <c r="B24936" s="4" t="s">
        <v>31384</v>
      </c>
      <c r="C24936" s="5" t="str">
        <f>IFERROR(__xludf.DUMMYFUNCTION("GOOGLETRANSLATE(B24936,""en"",""it"")"),"L'uomo si trova sul tronco che tiene l'ascia con la mano destra.")</f>
        <v>L'uomo si trova sul tronco che tiene l'ascia con la mano destra.</v>
      </c>
    </row>
    <row r="24937">
      <c r="A24937" s="4" t="s">
        <v>31382</v>
      </c>
      <c r="B24937" s="4" t="s">
        <v>31385</v>
      </c>
      <c r="C24937" s="5" t="str">
        <f>IFERROR(__xludf.DUMMYFUNCTION("GOOGLETRANSLATE(B24937,""en"",""it"")"),"Quindi, l'uomo continua a tagliare il registro.")</f>
        <v>Quindi, l'uomo continua a tagliare il registro.</v>
      </c>
    </row>
    <row r="24938">
      <c r="A24938" s="4" t="s">
        <v>31382</v>
      </c>
      <c r="B24938" s="4" t="s">
        <v>31386</v>
      </c>
      <c r="C24938" s="5" t="str">
        <f>IFERROR(__xludf.DUMMYFUNCTION("GOOGLETRANSLATE(B24938,""en"",""it"")"),"Dopo, due persone camminano davanti all'uomo e si prende il legno sciolto dal tronco.")</f>
        <v>Dopo, due persone camminano davanti all'uomo e si prende il legno sciolto dal tronco.</v>
      </c>
    </row>
    <row r="24939">
      <c r="A24939" s="4" t="s">
        <v>31387</v>
      </c>
      <c r="B24939" s="4" t="s">
        <v>31388</v>
      </c>
      <c r="C24939" s="5" t="str">
        <f>IFERROR(__xludf.DUMMYFUNCTION("GOOGLETRANSLATE(B24939,""en"",""it"")"),"Un groomer per cani spazzola il cappotto di un cane con un pennello che è seduto su un tavolo.")</f>
        <v>Un groomer per cani spazzola il cappotto di un cane con un pennello che è seduto su un tavolo.</v>
      </c>
    </row>
    <row r="24940">
      <c r="A24940" s="4" t="s">
        <v>31387</v>
      </c>
      <c r="B24940" s="4" t="s">
        <v>31389</v>
      </c>
      <c r="C24940" s="5" t="str">
        <f>IFERROR(__xludf.DUMMYFUNCTION("GOOGLETRANSLATE(B24940,""en"",""it"")"),"I pennelli sono visti da soli da vicino.")</f>
        <v>I pennelli sono visti da soli da vicino.</v>
      </c>
    </row>
    <row r="24941">
      <c r="A24941" s="4" t="s">
        <v>31387</v>
      </c>
      <c r="B24941" s="4" t="s">
        <v>31390</v>
      </c>
      <c r="C24941" s="5" t="str">
        <f>IFERROR(__xludf.DUMMYFUNCTION("GOOGLETRANSLATE(B24941,""en"",""it"")"),"Il toelettatore regge il pennello per visualizzarlo da vicino.")</f>
        <v>Il toelettatore regge il pennello per visualizzarlo da vicino.</v>
      </c>
    </row>
    <row r="24942">
      <c r="A24942" s="4" t="s">
        <v>31387</v>
      </c>
      <c r="B24942" s="4" t="s">
        <v>31391</v>
      </c>
      <c r="C24942" s="5" t="str">
        <f>IFERROR(__xludf.DUMMYFUNCTION("GOOGLETRANSLATE(B24942,""en"",""it"")"),"Il toelettatore rimuove i capelli dal pennello e li mette in una pila.")</f>
        <v>Il toelettatore rimuove i capelli dal pennello e li mette in una pila.</v>
      </c>
    </row>
    <row r="24943">
      <c r="A24943" s="4" t="s">
        <v>31392</v>
      </c>
      <c r="B24943" s="4" t="s">
        <v>31393</v>
      </c>
      <c r="C24943" s="5" t="str">
        <f>IFERROR(__xludf.DUMMYFUNCTION("GOOGLETRANSLATE(B24943,""en"",""it"")"),"Un uomo si trova accanto a un piccolo tetto.")</f>
        <v>Un uomo si trova accanto a un piccolo tetto.</v>
      </c>
    </row>
    <row r="24944">
      <c r="A24944" s="4" t="s">
        <v>31392</v>
      </c>
      <c r="B24944" s="4" t="s">
        <v>31394</v>
      </c>
      <c r="C24944" s="5" t="str">
        <f>IFERROR(__xludf.DUMMYFUNCTION("GOOGLETRANSLATE(B24944,""en"",""it"")"),"Tiene un pezzo di metallo.")</f>
        <v>Tiene un pezzo di metallo.</v>
      </c>
    </row>
    <row r="24945">
      <c r="A24945" s="4" t="s">
        <v>31392</v>
      </c>
      <c r="B24945" s="4" t="s">
        <v>31395</v>
      </c>
      <c r="C24945" s="5" t="str">
        <f>IFERROR(__xludf.DUMMYFUNCTION("GOOGLETRANSLATE(B24945,""en"",""it"")"),"Posiziona il metallo lungo il tetto.")</f>
        <v>Posiziona il metallo lungo il tetto.</v>
      </c>
    </row>
    <row r="24946">
      <c r="A24946" s="4" t="s">
        <v>31392</v>
      </c>
      <c r="B24946" s="4" t="s">
        <v>31396</v>
      </c>
      <c r="C24946" s="5" t="str">
        <f>IFERROR(__xludf.DUMMYFUNCTION("GOOGLETRANSLATE(B24946,""en"",""it"")"),"Allega i pezzi in modo sicuro.")</f>
        <v>Allega i pezzi in modo sicuro.</v>
      </c>
    </row>
    <row r="24947">
      <c r="A24947" s="4" t="s">
        <v>31397</v>
      </c>
      <c r="B24947" s="4" t="s">
        <v>31398</v>
      </c>
      <c r="C24947" s="5" t="str">
        <f>IFERROR(__xludf.DUMMYFUNCTION("GOOGLETRANSLATE(B24947,""en"",""it"")"),"Viene mostrato un primo piano del viso di una persona, oltre a guidare e disporre un giocattolo per la tavola da surf.")</f>
        <v>Viene mostrato un primo piano del viso di una persona, oltre a guidare e disporre un giocattolo per la tavola da surf.</v>
      </c>
    </row>
    <row r="24948">
      <c r="A24948" s="4" t="s">
        <v>31397</v>
      </c>
      <c r="B24948" s="6" t="s">
        <v>31399</v>
      </c>
      <c r="C24948" s="5" t="str">
        <f>IFERROR(__xludf.DUMMYFUNCTION("GOOGLETRANSLATE(B24948,""en"",""it"")"),"L'uomo controlla la macchina lungo l'acqua facendo salti e trucchi e parlando alla telecamera.")</f>
        <v>L'uomo controlla la macchina lungo l'acqua facendo salti e trucchi e parlando alla telecamera.</v>
      </c>
    </row>
    <row r="24949">
      <c r="A24949" s="4" t="s">
        <v>31400</v>
      </c>
      <c r="B24949" s="4" t="s">
        <v>31401</v>
      </c>
      <c r="C24949" s="5" t="str">
        <f>IFERROR(__xludf.DUMMYFUNCTION("GOOGLETRANSLATE(B24949,""en"",""it"")"),"Viene mostrato un camino in una stanza.")</f>
        <v>Viene mostrato un camino in una stanza.</v>
      </c>
    </row>
    <row r="24950">
      <c r="A24950" s="4" t="s">
        <v>31400</v>
      </c>
      <c r="B24950" s="4" t="s">
        <v>31402</v>
      </c>
      <c r="C24950" s="5" t="str">
        <f>IFERROR(__xludf.DUMMYFUNCTION("GOOGLETRANSLATE(B24950,""en"",""it"")"),"Viene mostrato le finestre su una casa.")</f>
        <v>Viene mostrato le finestre su una casa.</v>
      </c>
    </row>
    <row r="24951">
      <c r="A24951" s="4" t="s">
        <v>31400</v>
      </c>
      <c r="B24951" s="4" t="s">
        <v>31403</v>
      </c>
      <c r="C24951" s="5" t="str">
        <f>IFERROR(__xludf.DUMMYFUNCTION("GOOGLETRANSLATE(B24951,""en"",""it"")"),"Viene mostrato un pavimento in legno in una casa.")</f>
        <v>Viene mostrato un pavimento in legno in una casa.</v>
      </c>
    </row>
    <row r="24952">
      <c r="A24952" s="4" t="s">
        <v>31400</v>
      </c>
      <c r="B24952" s="4" t="s">
        <v>31404</v>
      </c>
      <c r="C24952" s="5" t="str">
        <f>IFERROR(__xludf.DUMMYFUNCTION("GOOGLETRANSLATE(B24952,""en"",""it"")"),"Ci sono lattine di vernice sedute sul pavimento.")</f>
        <v>Ci sono lattine di vernice sedute sul pavimento.</v>
      </c>
    </row>
    <row r="24953">
      <c r="A24953" s="4" t="s">
        <v>31405</v>
      </c>
      <c r="B24953" s="4" t="s">
        <v>31406</v>
      </c>
      <c r="C24953" s="5" t="str">
        <f>IFERROR(__xludf.DUMMYFUNCTION("GOOGLETRANSLATE(B24953,""en"",""it"")"),"Una donna mette le mani su un tavolo con un po 'di pannelli per ottenere una manicure.")</f>
        <v>Una donna mette le mani su un tavolo con un po 'di pannelli per ottenere una manicure.</v>
      </c>
    </row>
    <row r="24954">
      <c r="A24954" s="4" t="s">
        <v>31405</v>
      </c>
      <c r="B24954" s="6" t="s">
        <v>31407</v>
      </c>
      <c r="C24954" s="5" t="str">
        <f>IFERROR(__xludf.DUMMYFUNCTION("GOOGLETRANSLATE(B24954,""en"",""it"")"),"Il manicure si mette uno smalto limpido di vetro sulle unghie e poi raccoglie un piccolo sacchetto di glitter rosso.")</f>
        <v>Il manicure si mette uno smalto limpido di vetro sulle unghie e poi raccoglie un piccolo sacchetto di glitter rosso.</v>
      </c>
    </row>
    <row r="24955">
      <c r="A24955" s="4" t="s">
        <v>31405</v>
      </c>
      <c r="B24955" s="4" t="s">
        <v>31408</v>
      </c>
      <c r="C24955" s="5" t="str">
        <f>IFERROR(__xludf.DUMMYFUNCTION("GOOGLETRANSLATE(B24955,""en"",""it"")"),"Il manicure inizia a mettere poche decorazioni divertenti per rendere il chiodo carino.")</f>
        <v>Il manicure inizia a mettere poche decorazioni divertenti per rendere il chiodo carino.</v>
      </c>
    </row>
    <row r="24956">
      <c r="A24956" s="4" t="s">
        <v>31405</v>
      </c>
      <c r="B24956" s="4" t="s">
        <v>31409</v>
      </c>
      <c r="C24956" s="5" t="str">
        <f>IFERROR(__xludf.DUMMYFUNCTION("GOOGLETRANSLATE(B24956,""en"",""it"")"),"Quindi prende le cose appiccicose e supera le unghie con essa per impedire loro di staccarsi.")</f>
        <v>Quindi prende le cose appiccicose e supera le unghie con essa per impedire loro di staccarsi.</v>
      </c>
    </row>
    <row r="24957">
      <c r="A24957" s="4" t="s">
        <v>31410</v>
      </c>
      <c r="B24957" s="4" t="s">
        <v>31411</v>
      </c>
      <c r="C24957" s="5" t="str">
        <f>IFERROR(__xludf.DUMMYFUNCTION("GOOGLETRANSLATE(B24957,""en"",""it"")"),"Una grande folla di ragazze cammina in telaio con le sbarre, quindi abbassano le sbarre a terra.")</f>
        <v>Una grande folla di ragazze cammina in telaio con le sbarre, quindi abbassano le sbarre a terra.</v>
      </c>
    </row>
    <row r="24958">
      <c r="A24958" s="4" t="s">
        <v>31410</v>
      </c>
      <c r="B24958" s="6" t="s">
        <v>31412</v>
      </c>
      <c r="C24958" s="5" t="str">
        <f>IFERROR(__xludf.DUMMYFUNCTION("GOOGLETRANSLATE(B24958,""en"",""it"")"),"Le ragazze quindi eseguono una routine di danza che muove le barre tutt'intorno e finiscono con loro che tiene una posa e camminano fuori dal palco.")</f>
        <v>Le ragazze quindi eseguono una routine di danza che muove le barre tutt'intorno e finiscono con loro che tiene una posa e camminano fuori dal palco.</v>
      </c>
    </row>
    <row r="24959">
      <c r="A24959" s="4" t="s">
        <v>31413</v>
      </c>
      <c r="B24959" s="6" t="s">
        <v>31414</v>
      </c>
      <c r="C24959" s="5" t="str">
        <f>IFERROR(__xludf.DUMMYFUNCTION("GOOGLETRANSLATE(B24959,""en"",""it"")"),"C'è un uomo che indossa un cappello e una camicia color beige in piedi sulle rive di un fiume che gioca l'armonica.")</f>
        <v>C'è un uomo che indossa un cappello e una camicia color beige in piedi sulle rive di un fiume che gioca l'armonica.</v>
      </c>
    </row>
    <row r="24960">
      <c r="A24960" s="4" t="s">
        <v>31413</v>
      </c>
      <c r="B24960" s="4" t="s">
        <v>31415</v>
      </c>
      <c r="C24960" s="5" t="str">
        <f>IFERROR(__xludf.DUMMYFUNCTION("GOOGLETRANSLATE(B24960,""en"",""it"")"),"C'è un fiume ancora dietro di lui.")</f>
        <v>C'è un fiume ancora dietro di lui.</v>
      </c>
    </row>
    <row r="24961">
      <c r="A24961" s="4" t="s">
        <v>31413</v>
      </c>
      <c r="B24961" s="4" t="s">
        <v>31416</v>
      </c>
      <c r="C24961" s="5" t="str">
        <f>IFERROR(__xludf.DUMMYFUNCTION("GOOGLETRANSLATE(B24961,""en"",""it"")"),"Continua a suonare la sua armonica su una melodia rilassante.")</f>
        <v>Continua a suonare la sua armonica su una melodia rilassante.</v>
      </c>
    </row>
    <row r="24962">
      <c r="A24962" s="4" t="s">
        <v>31413</v>
      </c>
      <c r="B24962" s="4" t="s">
        <v>31417</v>
      </c>
      <c r="C24962" s="5" t="str">
        <f>IFERROR(__xludf.DUMMYFUNCTION("GOOGLETRANSLATE(B24962,""en"",""it"")"),"Dopo aver smesso di giocare, si abbassa le mani.")</f>
        <v>Dopo aver smesso di giocare, si abbassa le mani.</v>
      </c>
    </row>
    <row r="24963">
      <c r="A24963" s="4" t="s">
        <v>31418</v>
      </c>
      <c r="B24963" s="4" t="s">
        <v>31419</v>
      </c>
      <c r="C24963" s="5" t="str">
        <f>IFERROR(__xludf.DUMMYFUNCTION("GOOGLETRANSLATE(B24963,""en"",""it"")"),"Una donna scende un paio di scarpe fino alla metà e solleva le lingue.")</f>
        <v>Una donna scende un paio di scarpe fino alla metà e solleva le lingue.</v>
      </c>
    </row>
    <row r="24964">
      <c r="A24964" s="4" t="s">
        <v>31418</v>
      </c>
      <c r="B24964" s="4" t="s">
        <v>31420</v>
      </c>
      <c r="C24964" s="5" t="str">
        <f>IFERROR(__xludf.DUMMYFUNCTION("GOOGLETRANSLATE(B24964,""en"",""it"")"),"Quindi, la donna ha messo un piede e lega la scarpa dietro la lingua.")</f>
        <v>Quindi, la donna ha messo un piede e lega la scarpa dietro la lingua.</v>
      </c>
    </row>
    <row r="24965">
      <c r="A24965" s="4" t="s">
        <v>31418</v>
      </c>
      <c r="B24965" s="4" t="s">
        <v>31421</v>
      </c>
      <c r="C24965" s="5" t="str">
        <f>IFERROR(__xludf.DUMMYFUNCTION("GOOGLETRANSLATE(B24965,""en"",""it"")"),"Quindi, la persona mette gli altri piedi e lega la scarpa, quindi mette le lingue.")</f>
        <v>Quindi, la persona mette gli altri piedi e lega la scarpa, quindi mette le lingue.</v>
      </c>
    </row>
    <row r="24966">
      <c r="A24966" s="4" t="s">
        <v>31418</v>
      </c>
      <c r="B24966" s="4" t="s">
        <v>31422</v>
      </c>
      <c r="C24966" s="5" t="str">
        <f>IFERROR(__xludf.DUMMYFUNCTION("GOOGLETRANSLATE(B24966,""en"",""it"")"),"La donna parla e mostra le sue scarpe e pantaloni magri.")</f>
        <v>La donna parla e mostra le sue scarpe e pantaloni magri.</v>
      </c>
    </row>
    <row r="24967">
      <c r="A24967" s="4" t="s">
        <v>31423</v>
      </c>
      <c r="B24967" s="6" t="s">
        <v>31424</v>
      </c>
      <c r="C24967" s="5" t="str">
        <f>IFERROR(__xludf.DUMMYFUNCTION("GOOGLETRANSLATE(B24967,""en"",""it"")"),"Una donna viene vista entrare in una fossa con un uomo di grande e poi inizia a correre l'una verso l'altra.")</f>
        <v>Una donna viene vista entrare in una fossa con un uomo di grande e poi inizia a correre l'una verso l'altra.</v>
      </c>
    </row>
    <row r="24968">
      <c r="A24968" s="4" t="s">
        <v>31423</v>
      </c>
      <c r="B24968" s="6" t="s">
        <v>31425</v>
      </c>
      <c r="C24968" s="5" t="str">
        <f>IFERROR(__xludf.DUMMYFUNCTION("GOOGLETRANSLATE(B24968,""en"",""it"")"),"La donna si arrampica quindi sopra l'uomo mentre la gira in giro e lei lo mette in una serratura.")</f>
        <v>La donna si arrampica quindi sopra l'uomo mentre la gira in giro e lei lo mette in una serratura.</v>
      </c>
    </row>
    <row r="24969">
      <c r="A24969" s="4" t="s">
        <v>31423</v>
      </c>
      <c r="B24969" s="4" t="s">
        <v>31426</v>
      </c>
      <c r="C24969" s="5" t="str">
        <f>IFERROR(__xludf.DUMMYFUNCTION("GOOGLETRANSLATE(B24969,""en"",""it"")"),"I due si inchinano l'uno con l'altro e la donna si trova accanto all'ospite scuotendo le mani.")</f>
        <v>I due si inchinano l'uno con l'altro e la donna si trova accanto all'ospite scuotendo le mani.</v>
      </c>
    </row>
    <row r="24970">
      <c r="A24970" s="4" t="s">
        <v>31427</v>
      </c>
      <c r="B24970" s="4" t="s">
        <v>31428</v>
      </c>
      <c r="C24970" s="5" t="str">
        <f>IFERROR(__xludf.DUMMYFUNCTION("GOOGLETRANSLATE(B24970,""en"",""it"")"),"Ci sono diverse persone riunite in una palestra all'aperto.")</f>
        <v>Ci sono diverse persone riunite in una palestra all'aperto.</v>
      </c>
    </row>
    <row r="24971">
      <c r="A24971" s="4" t="s">
        <v>31427</v>
      </c>
      <c r="B24971" s="6" t="s">
        <v>31429</v>
      </c>
      <c r="C24971" s="5" t="str">
        <f>IFERROR(__xludf.DUMMYFUNCTION("GOOGLETRANSLATE(B24971,""en"",""it"")"),"Ci sono persone in piedi e sedute nelle gradinate che guardano circa dodici studenti della band che si esibiscono.")</f>
        <v>Ci sono persone in piedi e sedute nelle gradinate che guardano circa dodici studenti della band che si esibiscono.</v>
      </c>
    </row>
    <row r="24972">
      <c r="A24972" s="4" t="s">
        <v>31427</v>
      </c>
      <c r="B24972" s="4" t="s">
        <v>31430</v>
      </c>
      <c r="C24972" s="5" t="str">
        <f>IFERROR(__xludf.DUMMYFUNCTION("GOOGLETRANSLATE(B24972,""en"",""it"")"),"La maggior parte dei giocatori sta battendo sugli strumenti a percussione in una melodia ritmica.")</f>
        <v>La maggior parte dei giocatori sta battendo sugli strumenti a percussione in una melodia ritmica.</v>
      </c>
    </row>
    <row r="24973">
      <c r="A24973" s="4" t="s">
        <v>31427</v>
      </c>
      <c r="B24973" s="4" t="s">
        <v>31431</v>
      </c>
      <c r="C24973" s="5" t="str">
        <f>IFERROR(__xludf.DUMMYFUNCTION("GOOGLETRANSLATE(B24973,""en"",""it"")"),"I giocatori di percussioni iniziano a girare in cerchio mentre suonano gli strumenti.")</f>
        <v>I giocatori di percussioni iniziano a girare in cerchio mentre suonano gli strumenti.</v>
      </c>
    </row>
    <row r="24974">
      <c r="A24974" s="4" t="s">
        <v>31432</v>
      </c>
      <c r="B24974" s="4" t="s">
        <v>31433</v>
      </c>
      <c r="C24974" s="5" t="str">
        <f>IFERROR(__xludf.DUMMYFUNCTION("GOOGLETRANSLATE(B24974,""en"",""it"")"),"Un primo piano di chitarra si vede con una mano che pizzica le corde.")</f>
        <v>Un primo piano di chitarra si vede con una mano che pizzica le corde.</v>
      </c>
    </row>
    <row r="24975">
      <c r="A24975" s="4" t="s">
        <v>31432</v>
      </c>
      <c r="B24975" s="4" t="s">
        <v>31434</v>
      </c>
      <c r="C24975" s="5" t="str">
        <f>IFERROR(__xludf.DUMMYFUNCTION("GOOGLETRANSLATE(B24975,""en"",""it"")"),"Un uomo viene quindi visto cantare in un microfono mentre suona ancora la chitarra.")</f>
        <v>Un uomo viene quindi visto cantare in un microfono mentre suona ancora la chitarra.</v>
      </c>
    </row>
    <row r="24976">
      <c r="A24976" s="4" t="s">
        <v>31432</v>
      </c>
      <c r="B24976" s="4" t="s">
        <v>31435</v>
      </c>
      <c r="C24976" s="5" t="str">
        <f>IFERROR(__xludf.DUMMYFUNCTION("GOOGLETRANSLATE(B24976,""en"",""it"")"),"L'uomo muove le dita su e giù per la chitarra mentre canta ancora nel microfono.")</f>
        <v>L'uomo muove le dita su e giù per la chitarra mentre canta ancora nel microfono.</v>
      </c>
    </row>
    <row r="24977">
      <c r="A24977" s="4" t="s">
        <v>31436</v>
      </c>
      <c r="B24977" s="4" t="s">
        <v>31437</v>
      </c>
      <c r="C24977" s="5" t="str">
        <f>IFERROR(__xludf.DUMMYFUNCTION("GOOGLETRANSLATE(B24977,""en"",""it"")"),"Gli uomini sono in piedi sul campo grande tirando una corda densa.")</f>
        <v>Gli uomini sono in piedi sul campo grande tirando una corda densa.</v>
      </c>
    </row>
    <row r="24978">
      <c r="A24978" s="4" t="s">
        <v>31436</v>
      </c>
      <c r="B24978" s="4" t="s">
        <v>31438</v>
      </c>
      <c r="C24978" s="5" t="str">
        <f>IFERROR(__xludf.DUMMYFUNCTION("GOOGLETRANSLATE(B24978,""en"",""it"")"),"Gli uomini camminano sui lati della corda e si preparano per tirare la corda.")</f>
        <v>Gli uomini camminano sui lati della corda e si preparano per tirare la corda.</v>
      </c>
    </row>
    <row r="24979">
      <c r="A24979" s="4" t="s">
        <v>31436</v>
      </c>
      <c r="B24979" s="4" t="s">
        <v>31439</v>
      </c>
      <c r="C24979" s="5" t="str">
        <f>IFERROR(__xludf.DUMMYFUNCTION("GOOGLETRANSLATE(B24979,""en"",""it"")"),"Gli uomini iniziano a tirare la corda in entrambi i lati.")</f>
        <v>Gli uomini iniziano a tirare la corda in entrambi i lati.</v>
      </c>
    </row>
    <row r="24980">
      <c r="A24980" s="4" t="s">
        <v>31440</v>
      </c>
      <c r="B24980" s="4" t="s">
        <v>31441</v>
      </c>
      <c r="C24980" s="5" t="str">
        <f>IFERROR(__xludf.DUMMYFUNCTION("GOOGLETRANSLATE(B24980,""en"",""it"")"),"Una persona sta mostrando un pennello e più pulito e versando la radura in un lavandino.")</f>
        <v>Una persona sta mostrando un pennello e più pulito e versando la radura in un lavandino.</v>
      </c>
    </row>
    <row r="24981">
      <c r="A24981" s="4" t="s">
        <v>31440</v>
      </c>
      <c r="B24981" s="4" t="s">
        <v>31442</v>
      </c>
      <c r="C24981" s="5" t="str">
        <f>IFERROR(__xludf.DUMMYFUNCTION("GOOGLETRANSLATE(B24981,""en"",""it"")"),"Strofina il lavandino con il pennello che crea schiuma nell'acqua mentre la sfaccettatura corre.")</f>
        <v>Strofina il lavandino con il pennello che crea schiuma nell'acqua mentre la sfaccettatura corre.</v>
      </c>
    </row>
    <row r="24982">
      <c r="A24982" s="4" t="s">
        <v>31440</v>
      </c>
      <c r="B24982" s="4" t="s">
        <v>31443</v>
      </c>
      <c r="C24982" s="5" t="str">
        <f>IFERROR(__xludf.DUMMYFUNCTION("GOOGLETRANSLATE(B24982,""en"",""it"")"),"Continua a strofinare il lavandino con il pennello fino a quando il lavandino è pulito.")</f>
        <v>Continua a strofinare il lavandino con il pennello fino a quando il lavandino è pulito.</v>
      </c>
    </row>
    <row r="24983">
      <c r="A24983" s="4" t="s">
        <v>31440</v>
      </c>
      <c r="B24983" s="4" t="s">
        <v>31444</v>
      </c>
      <c r="C24983" s="5" t="str">
        <f>IFERROR(__xludf.DUMMYFUNCTION("GOOGLETRANSLATE(B24983,""en"",""it"")"),"Si asciuga un tovagliolo di carta intorno al lavandino con l'acqua continua a correre.")</f>
        <v>Si asciuga un tovagliolo di carta intorno al lavandino con l'acqua continua a correre.</v>
      </c>
    </row>
    <row r="24984">
      <c r="A24984" s="4" t="s">
        <v>31445</v>
      </c>
      <c r="B24984" s="4" t="s">
        <v>31446</v>
      </c>
      <c r="C24984" s="5" t="str">
        <f>IFERROR(__xludf.DUMMYFUNCTION("GOOGLETRANSLATE(B24984,""en"",""it"")"),"Un ragazzo è fuori suonando una chitarra.")</f>
        <v>Un ragazzo è fuori suonando una chitarra.</v>
      </c>
    </row>
    <row r="24985">
      <c r="A24985" s="4" t="s">
        <v>31445</v>
      </c>
      <c r="B24985" s="4" t="s">
        <v>31447</v>
      </c>
      <c r="C24985" s="5" t="str">
        <f>IFERROR(__xludf.DUMMYFUNCTION("GOOGLETRANSLATE(B24985,""en"",""it"")"),"Un ragazzo cavalca uno scooter.")</f>
        <v>Un ragazzo cavalca uno scooter.</v>
      </c>
    </row>
    <row r="24986">
      <c r="A24986" s="4" t="s">
        <v>31445</v>
      </c>
      <c r="B24986" s="4" t="s">
        <v>31448</v>
      </c>
      <c r="C24986" s="5" t="str">
        <f>IFERROR(__xludf.DUMMYFUNCTION("GOOGLETRANSLATE(B24986,""en"",""it"")"),"Un bambino scivola giù per una diapositiva.")</f>
        <v>Un bambino scivola giù per una diapositiva.</v>
      </c>
    </row>
    <row r="24987">
      <c r="A24987" s="4" t="s">
        <v>31445</v>
      </c>
      <c r="B24987" s="4" t="s">
        <v>31449</v>
      </c>
      <c r="C24987" s="5" t="str">
        <f>IFERROR(__xludf.DUMMYFUNCTION("GOOGLETRANSLATE(B24987,""en"",""it"")"),"Bambini e un adulto sono in linea.")</f>
        <v>Bambini e un adulto sono in linea.</v>
      </c>
    </row>
    <row r="24988">
      <c r="A24988" s="4" t="s">
        <v>31445</v>
      </c>
      <c r="B24988" s="4" t="s">
        <v>31450</v>
      </c>
      <c r="C24988" s="5" t="str">
        <f>IFERROR(__xludf.DUMMYFUNCTION("GOOGLETRANSLATE(B24988,""en"",""it"")"),"Il ragazzo cammina verso la linea.")</f>
        <v>Il ragazzo cammina verso la linea.</v>
      </c>
    </row>
    <row r="24989">
      <c r="A24989" s="4" t="s">
        <v>31451</v>
      </c>
      <c r="B24989" s="4" t="s">
        <v>31452</v>
      </c>
      <c r="C24989" s="5" t="str">
        <f>IFERROR(__xludf.DUMMYFUNCTION("GOOGLETRANSLATE(B24989,""en"",""it"")"),"Una signora che indossa una maglia UCA sta dando un tutorial sulle diverse mosse di allegria.")</f>
        <v>Una signora che indossa una maglia UCA sta dando un tutorial sulle diverse mosse di allegria.</v>
      </c>
    </row>
    <row r="24990">
      <c r="A24990" s="4" t="s">
        <v>31451</v>
      </c>
      <c r="B24990" s="6" t="s">
        <v>31453</v>
      </c>
      <c r="C24990" s="5" t="str">
        <f>IFERROR(__xludf.DUMMYFUNCTION("GOOGLETRANSLATE(B24990,""en"",""it"")"),"Mentre parla, diverse cheerleader mostrano le diverse pose e allungamenti che vengono spesso fatti dalle cheerleader per migliorare la flessibilità.")</f>
        <v>Mentre parla, diverse cheerleader mostrano le diverse pose e allungamenti che vengono spesso fatti dalle cheerleader per migliorare la flessibilità.</v>
      </c>
    </row>
    <row r="24991">
      <c r="A24991" s="4" t="s">
        <v>31451</v>
      </c>
      <c r="B24991" s="6" t="s">
        <v>31454</v>
      </c>
      <c r="C24991" s="5" t="str">
        <f>IFERROR(__xludf.DUMMYFUNCTION("GOOGLETRANSLATE(B24991,""en"",""it"")"),"La signora continua a spiegare come alcune pose aiutano a migliorare la flessibilità generale nelle cheerleader.")</f>
        <v>La signora continua a spiegare come alcune pose aiutano a migliorare la flessibilità generale nelle cheerleader.</v>
      </c>
    </row>
    <row r="24992">
      <c r="A24992" s="4" t="s">
        <v>31455</v>
      </c>
      <c r="B24992" s="4" t="s">
        <v>31456</v>
      </c>
      <c r="C24992" s="5" t="str">
        <f>IFERROR(__xludf.DUMMYFUNCTION("GOOGLETRANSLATE(B24992,""en"",""it"")"),"Un gruppo di motociclisti si trova sulla linea di partenza.")</f>
        <v>Un gruppo di motociclisti si trova sulla linea di partenza.</v>
      </c>
    </row>
    <row r="24993">
      <c r="A24993" s="4" t="s">
        <v>31455</v>
      </c>
      <c r="B24993" s="4" t="s">
        <v>31457</v>
      </c>
      <c r="C24993" s="5" t="str">
        <f>IFERROR(__xludf.DUMMYFUNCTION("GOOGLETRANSLATE(B24993,""en"",""it"")"),"All'improvviso tutte le bici cadono da un palco.")</f>
        <v>All'improvviso tutte le bici cadono da un palco.</v>
      </c>
    </row>
    <row r="24994">
      <c r="A24994" s="4" t="s">
        <v>31455</v>
      </c>
      <c r="B24994" s="4" t="s">
        <v>31458</v>
      </c>
      <c r="C24994" s="5" t="str">
        <f>IFERROR(__xludf.DUMMYFUNCTION("GOOGLETRANSLATE(B24994,""en"",""it"")"),"La scena della caduta dei motociclisti si ripete più volte.")</f>
        <v>La scena della caduta dei motociclisti si ripete più volte.</v>
      </c>
    </row>
    <row r="24995">
      <c r="A24995" s="4" t="s">
        <v>31459</v>
      </c>
      <c r="B24995" s="4" t="s">
        <v>31460</v>
      </c>
      <c r="C24995" s="5" t="str">
        <f>IFERROR(__xludf.DUMMYFUNCTION("GOOGLETRANSLATE(B24995,""en"",""it"")"),"Il video viene girato in prima persona lungo un pendio innevato.")</f>
        <v>Il video viene girato in prima persona lungo un pendio innevato.</v>
      </c>
    </row>
    <row r="24996">
      <c r="A24996" s="4" t="s">
        <v>31459</v>
      </c>
      <c r="B24996" s="4" t="s">
        <v>31461</v>
      </c>
      <c r="C24996" s="5" t="str">
        <f>IFERROR(__xludf.DUMMYFUNCTION("GOOGLETRANSLATE(B24996,""en"",""it"")"),"La persona inizia in cima al pendio, cavalcando un tubo.")</f>
        <v>La persona inizia in cima al pendio, cavalcando un tubo.</v>
      </c>
    </row>
    <row r="24997">
      <c r="A24997" s="4" t="s">
        <v>31459</v>
      </c>
      <c r="B24997" s="4" t="s">
        <v>31462</v>
      </c>
      <c r="C24997" s="5" t="str">
        <f>IFERROR(__xludf.DUMMYFUNCTION("GOOGLETRANSLATE(B24997,""en"",""it"")"),"Scivolano rapidamente e viaggiano attraverso il sentiero innevato.")</f>
        <v>Scivolano rapidamente e viaggiano attraverso il sentiero innevato.</v>
      </c>
    </row>
    <row r="24998">
      <c r="A24998" s="4" t="s">
        <v>31459</v>
      </c>
      <c r="B24998" s="4" t="s">
        <v>31463</v>
      </c>
      <c r="C24998" s="5" t="str">
        <f>IFERROR(__xludf.DUMMYFUNCTION("GOOGLETRANSLATE(B24998,""en"",""it"")"),"In fondo, una grande pila di tubi impedisce alla persona di scivolare ulteriormente.")</f>
        <v>In fondo, una grande pila di tubi impedisce alla persona di scivolare ulteriormente.</v>
      </c>
    </row>
    <row r="24999">
      <c r="A24999" s="4" t="s">
        <v>31459</v>
      </c>
      <c r="B24999" s="4" t="s">
        <v>31464</v>
      </c>
      <c r="C24999" s="5" t="str">
        <f>IFERROR(__xludf.DUMMYFUNCTION("GOOGLETRANSLATE(B24999,""en"",""it"")"),"La fotocamera si lancia a un altro gruppo di persone che hanno anche finito di scivolare lungo il pendio.")</f>
        <v>La fotocamera si lancia a un altro gruppo di persone che hanno anche finito di scivolare lungo il pendio.</v>
      </c>
    </row>
    <row r="25000">
      <c r="A25000" s="4" t="s">
        <v>31465</v>
      </c>
      <c r="B25000" s="4" t="s">
        <v>31466</v>
      </c>
      <c r="C25000" s="5" t="str">
        <f>IFERROR(__xludf.DUMMYFUNCTION("GOOGLETRANSLATE(B25000,""en"",""it"")"),"Un uomo con una camicia nera si gira intorno e lancia una palla sul campo.")</f>
        <v>Un uomo con una camicia nera si gira intorno e lancia una palla sul campo.</v>
      </c>
    </row>
    <row r="25001">
      <c r="A25001" s="4" t="s">
        <v>31465</v>
      </c>
      <c r="B25001" s="4" t="s">
        <v>31467</v>
      </c>
      <c r="C25001" s="5" t="str">
        <f>IFERROR(__xludf.DUMMYFUNCTION("GOOGLETRANSLATE(B25001,""en"",""it"")"),"Un uomo negli spalti applaude per lui.")</f>
        <v>Un uomo negli spalti applaude per lui.</v>
      </c>
    </row>
    <row r="25002">
      <c r="A25002" s="4" t="s">
        <v>31465</v>
      </c>
      <c r="B25002" s="4" t="s">
        <v>31468</v>
      </c>
      <c r="C25002" s="5" t="str">
        <f>IFERROR(__xludf.DUMMYFUNCTION("GOOGLETRANSLATE(B25002,""en"",""it"")"),"Un altro uomo gira e lancia una palla sul campo.")</f>
        <v>Un altro uomo gira e lancia una palla sul campo.</v>
      </c>
    </row>
    <row r="25003">
      <c r="A25003" s="4" t="s">
        <v>31469</v>
      </c>
      <c r="B25003" s="4" t="s">
        <v>31470</v>
      </c>
      <c r="C25003" s="5" t="str">
        <f>IFERROR(__xludf.DUMMYFUNCTION("GOOGLETRANSLATE(B25003,""en"",""it"")"),"Una donna suona la chitarra sul palco.")</f>
        <v>Una donna suona la chitarra sul palco.</v>
      </c>
    </row>
    <row r="25004">
      <c r="A25004" s="4" t="s">
        <v>31469</v>
      </c>
      <c r="B25004" s="4" t="s">
        <v>31471</v>
      </c>
      <c r="C25004" s="5" t="str">
        <f>IFERROR(__xludf.DUMMYFUNCTION("GOOGLETRANSLATE(B25004,""en"",""it"")"),"La signora canta nel microfono.")</f>
        <v>La signora canta nel microfono.</v>
      </c>
    </row>
    <row r="25005">
      <c r="A25005" s="4" t="s">
        <v>31469</v>
      </c>
      <c r="B25005" s="4" t="s">
        <v>31472</v>
      </c>
      <c r="C25005" s="5" t="str">
        <f>IFERROR(__xludf.DUMMYFUNCTION("GOOGLETRANSLATE(B25005,""en"",""it"")"),"La signora si prende una pausa dal canto.")</f>
        <v>La signora si prende una pausa dal canto.</v>
      </c>
    </row>
    <row r="25006">
      <c r="A25006" s="4" t="s">
        <v>31469</v>
      </c>
      <c r="B25006" s="4" t="s">
        <v>31473</v>
      </c>
      <c r="C25006" s="5" t="str">
        <f>IFERROR(__xludf.DUMMYFUNCTION("GOOGLETRANSLATE(B25006,""en"",""it"")"),"La signora ricomincia a cantare.")</f>
        <v>La signora ricomincia a cantare.</v>
      </c>
    </row>
    <row r="25007">
      <c r="A25007" s="4" t="s">
        <v>31469</v>
      </c>
      <c r="B25007" s="4" t="s">
        <v>31474</v>
      </c>
      <c r="C25007" s="5" t="str">
        <f>IFERROR(__xludf.DUMMYFUNCTION("GOOGLETRANSLATE(B25007,""en"",""it"")"),"La signora smette di cantare, quindi fa un passo indietro al microfono.")</f>
        <v>La signora smette di cantare, quindi fa un passo indietro al microfono.</v>
      </c>
    </row>
    <row r="25008">
      <c r="A25008" s="4" t="s">
        <v>31475</v>
      </c>
      <c r="B25008" s="4" t="s">
        <v>31476</v>
      </c>
      <c r="C25008" s="5" t="str">
        <f>IFERROR(__xludf.DUMMYFUNCTION("GOOGLETRANSLATE(B25008,""en"",""it"")"),"Una giovane donna vestita con un body rosa e il tuto inizia a raggruppare un grande palcoscenico.")</f>
        <v>Una giovane donna vestita con un body rosa e il tuto inizia a raggruppare un grande palcoscenico.</v>
      </c>
    </row>
    <row r="25009">
      <c r="A25009" s="4" t="s">
        <v>31475</v>
      </c>
      <c r="B25009" s="6" t="s">
        <v>31477</v>
      </c>
      <c r="C25009" s="5" t="str">
        <f>IFERROR(__xludf.DUMMYFUNCTION("GOOGLETRANSLATE(B25009,""en"",""it"")"),"Mentre continua la sua routine, continua a fare salti di balletto e facendo oscillare le braccia e torcendo come una ballerina.")</f>
        <v>Mentre continua la sua routine, continua a fare salti di balletto e facendo oscillare le braccia e torcendo come una ballerina.</v>
      </c>
    </row>
    <row r="25010">
      <c r="A25010" s="4" t="s">
        <v>31475</v>
      </c>
      <c r="B25010" s="4" t="s">
        <v>31478</v>
      </c>
      <c r="C25010" s="5" t="str">
        <f>IFERROR(__xludf.DUMMYFUNCTION("GOOGLETRANSLATE(B25010,""en"",""it"")"),"Dietro, lei un castello appare lanciata sul muro mentre la ragazza sorride e guarda la folla.")</f>
        <v>Dietro, lei un castello appare lanciata sul muro mentre la ragazza sorride e guarda la folla.</v>
      </c>
    </row>
    <row r="25011">
      <c r="A25011" s="4" t="s">
        <v>31479</v>
      </c>
      <c r="B25011" s="6" t="s">
        <v>31480</v>
      </c>
      <c r="C25011" s="5" t="str">
        <f>IFERROR(__xludf.DUMMYFUNCTION("GOOGLETRANSLATE(B25011,""en"",""it"")"),"Un atleta viene visto camminare fino a una serie di bar irregolari e inizia a eseguire una routine di ginnastica sui bar.")</f>
        <v>Un atleta viene visto camminare fino a una serie di bar irregolari e inizia a eseguire una routine di ginnastica sui bar.</v>
      </c>
    </row>
    <row r="25012">
      <c r="A25012" s="4" t="s">
        <v>31479</v>
      </c>
      <c r="B25012" s="6" t="s">
        <v>31481</v>
      </c>
      <c r="C25012" s="5" t="str">
        <f>IFERROR(__xludf.DUMMYFUNCTION("GOOGLETRANSLATE(B25012,""en"",""it"")"),"Continua a muoversi sulle sbarre e termina saltando giù sul lato con le braccia fuori.")</f>
        <v>Continua a muoversi sulle sbarre e termina saltando giù sul lato con le braccia fuori.</v>
      </c>
    </row>
    <row r="25013">
      <c r="A25013" s="4" t="s">
        <v>31482</v>
      </c>
      <c r="B25013" s="4" t="s">
        <v>31483</v>
      </c>
      <c r="C25013" s="5" t="str">
        <f>IFERROR(__xludf.DUMMYFUNCTION("GOOGLETRANSLATE(B25013,""en"",""it"")"),"Ci sono molte persone che cavalcano in piccole auto a paraurti che possono adattarsi a 1 o 2 persone.")</f>
        <v>Ci sono molte persone che cavalcano in piccole auto a paraurti che possono adattarsi a 1 o 2 persone.</v>
      </c>
    </row>
    <row r="25014">
      <c r="A25014" s="4" t="s">
        <v>31482</v>
      </c>
      <c r="B25014" s="6" t="s">
        <v>31484</v>
      </c>
      <c r="C25014" s="5" t="str">
        <f>IFERROR(__xludf.DUMMYFUNCTION("GOOGLETRANSLATE(B25014,""en"",""it"")"),"Una donna in una macchina per paraurti blu si imbatte nella parte di metallo centrale e sembra bloccata e non può muoversi, ma improvvisamente inizia a muoversi di nuovo.")</f>
        <v>Una donna in una macchina per paraurti blu si imbatte nella parte di metallo centrale e sembra bloccata e non può muoversi, ma improvvisamente inizia a muoversi di nuovo.</v>
      </c>
    </row>
    <row r="25015">
      <c r="A25015" s="4" t="s">
        <v>31482</v>
      </c>
      <c r="B25015" s="6" t="s">
        <v>31485</v>
      </c>
      <c r="C25015" s="5" t="str">
        <f>IFERROR(__xludf.DUMMYFUNCTION("GOOGLETRANSLATE(B25015,""en"",""it"")"),"Tutti continuano a cavalcare le macchine per paraurti dopo che la donna si è ripresa e alla fine si fermano tutti.")</f>
        <v>Tutti continuano a cavalcare le macchine per paraurti dopo che la donna si è ripresa e alla fine si fermano tutti.</v>
      </c>
    </row>
    <row r="25016">
      <c r="A25016" s="4" t="s">
        <v>31486</v>
      </c>
      <c r="B25016" s="4" t="s">
        <v>31487</v>
      </c>
      <c r="C25016" s="5" t="str">
        <f>IFERROR(__xludf.DUMMYFUNCTION("GOOGLETRANSLATE(B25016,""en"",""it"")"),"Un uomo sta cavalcando un cavallo nero al rallentatore.")</f>
        <v>Un uomo sta cavalcando un cavallo nero al rallentatore.</v>
      </c>
    </row>
    <row r="25017">
      <c r="A25017" s="4" t="s">
        <v>31486</v>
      </c>
      <c r="B25017" s="6" t="s">
        <v>31488</v>
      </c>
      <c r="C25017" s="5" t="str">
        <f>IFERROR(__xludf.DUMMYFUNCTION("GOOGLETRANSLATE(B25017,""en"",""it"")"),"Le persone vengono mostrate che cercano di saltare recinzioni in diverse scene, cadendo o sfondarli a velocità del collo di rottura.")</f>
        <v>Le persone vengono mostrate che cercano di saltare recinzioni in diverse scene, cadendo o sfondarli a velocità del collo di rottura.</v>
      </c>
    </row>
    <row r="25018">
      <c r="A25018" s="4" t="s">
        <v>31486</v>
      </c>
      <c r="B25018" s="4" t="s">
        <v>31489</v>
      </c>
      <c r="C25018" s="5" t="str">
        <f>IFERROR(__xludf.DUMMYFUNCTION("GOOGLETRANSLATE(B25018,""en"",""it"")"),"Mentre il cavaliere si allontana, le parole pensi che sia facile? Apparire sullo schermo.")</f>
        <v>Mentre il cavaliere si allontana, le parole pensi che sia facile? Apparire sullo schermo.</v>
      </c>
    </row>
    <row r="25019">
      <c r="A25019" s="4" t="s">
        <v>31490</v>
      </c>
      <c r="B25019" s="6" t="s">
        <v>31491</v>
      </c>
      <c r="C25019" s="5" t="str">
        <f>IFERROR(__xludf.DUMMYFUNCTION("GOOGLETRANSLATE(B25019,""en"",""it"")"),"Una fotocamera piova tra una persona e il cameraman e conduce in un uomo seduto di fronte a un set di tamburi.")</f>
        <v>Una fotocamera piova tra una persona e il cameraman e conduce in un uomo seduto di fronte a un set di tamburi.</v>
      </c>
    </row>
    <row r="25020">
      <c r="A25020" s="4" t="s">
        <v>31490</v>
      </c>
      <c r="B25020" s="4" t="s">
        <v>31492</v>
      </c>
      <c r="C25020" s="5" t="str">
        <f>IFERROR(__xludf.DUMMYFUNCTION("GOOGLETRANSLATE(B25020,""en"",""it"")"),"L'uomo quindi suona continuamente i tamburi e un altro uomo entra e canta e balla.")</f>
        <v>L'uomo quindi suona continuamente i tamburi e un altro uomo entra e canta e balla.</v>
      </c>
    </row>
    <row r="25021">
      <c r="A25021" s="4" t="s">
        <v>31490</v>
      </c>
      <c r="B25021" s="4" t="s">
        <v>31493</v>
      </c>
      <c r="C25021" s="5" t="str">
        <f>IFERROR(__xludf.DUMMYFUNCTION("GOOGLETRANSLATE(B25021,""en"",""it"")"),"Un altro uomo viene mostrato da vicino e torna al batterista, quindi al soffitto.")</f>
        <v>Un altro uomo viene mostrato da vicino e torna al batterista, quindi al soffitto.</v>
      </c>
    </row>
    <row r="25022">
      <c r="A25022" s="4" t="s">
        <v>31494</v>
      </c>
      <c r="B25022" s="4" t="s">
        <v>31495</v>
      </c>
      <c r="C25022" s="5" t="str">
        <f>IFERROR(__xludf.DUMMYFUNCTION("GOOGLETRANSLATE(B25022,""en"",""it"")"),"Diverse persone si trovano in una sala da ballo e arriva un istruttore mentre iniziano a ballare.")</f>
        <v>Diverse persone si trovano in una sala da ballo e arriva un istruttore mentre iniziano a ballare.</v>
      </c>
    </row>
    <row r="25023">
      <c r="A25023" s="4" t="s">
        <v>31494</v>
      </c>
      <c r="B25023" s="4" t="s">
        <v>31496</v>
      </c>
      <c r="C25023" s="5" t="str">
        <f>IFERROR(__xludf.DUMMYFUNCTION("GOOGLETRANSLATE(B25023,""en"",""it"")"),"Le sei persone continuano a ballare da un lato all'altro facendo frecce come una danza giamaicana.")</f>
        <v>Le sei persone continuano a ballare da un lato all'altro facendo frecce come una danza giamaicana.</v>
      </c>
    </row>
    <row r="25024">
      <c r="A25024" s="4" t="s">
        <v>31494</v>
      </c>
      <c r="B25024" s="4" t="s">
        <v>31497</v>
      </c>
      <c r="C25024" s="5" t="str">
        <f>IFERROR(__xludf.DUMMYFUNCTION("GOOGLETRANSLATE(B25024,""en"",""it"")"),"Mentre continua, i passaggi vengono ripetuti e lancia un pugno in aria.")</f>
        <v>Mentre continua, i passaggi vengono ripetuti e lancia un pugno in aria.</v>
      </c>
    </row>
    <row r="25025">
      <c r="A25025" s="4" t="s">
        <v>31498</v>
      </c>
      <c r="B25025" s="4" t="s">
        <v>31499</v>
      </c>
      <c r="C25025" s="5" t="str">
        <f>IFERROR(__xludf.DUMMYFUNCTION("GOOGLETRANSLATE(B25025,""en"",""it"")"),"Una persona parla mentre guarda la propria auto ghiacciata.")</f>
        <v>Una persona parla mentre guarda la propria auto ghiacciata.</v>
      </c>
    </row>
    <row r="25026">
      <c r="A25026" s="4" t="s">
        <v>31498</v>
      </c>
      <c r="B25026" s="4" t="s">
        <v>31500</v>
      </c>
      <c r="C25026" s="5" t="str">
        <f>IFERROR(__xludf.DUMMYFUNCTION("GOOGLETRANSLATE(B25026,""en"",""it"")"),"Usa uno strumento per raschiare il ghiaccio dal parabrezza.")</f>
        <v>Usa uno strumento per raschiare il ghiaccio dal parabrezza.</v>
      </c>
    </row>
    <row r="25027">
      <c r="A25027" s="4" t="s">
        <v>31498</v>
      </c>
      <c r="B25027" s="4" t="s">
        <v>31501</v>
      </c>
      <c r="C25027" s="5" t="str">
        <f>IFERROR(__xludf.DUMMYFUNCTION("GOOGLETRANSLATE(B25027,""en"",""it"")"),"Continua a raschiare fino a quando non riesce a vedere per guidare.")</f>
        <v>Continua a raschiare fino a quando non riesce a vedere per guidare.</v>
      </c>
    </row>
    <row r="25028">
      <c r="A25028" s="4" t="s">
        <v>31502</v>
      </c>
      <c r="B25028" s="4" t="s">
        <v>31503</v>
      </c>
      <c r="C25028" s="5" t="str">
        <f>IFERROR(__xludf.DUMMYFUNCTION("GOOGLETRANSLATE(B25028,""en"",""it"")"),"C'è fumo, luci e parole sullo schermo.")</f>
        <v>C'è fumo, luci e parole sullo schermo.</v>
      </c>
    </row>
    <row r="25029">
      <c r="A25029" s="4" t="s">
        <v>31502</v>
      </c>
      <c r="B25029" s="4" t="s">
        <v>31504</v>
      </c>
      <c r="C25029" s="5" t="str">
        <f>IFERROR(__xludf.DUMMYFUNCTION("GOOGLETRANSLATE(B25029,""en"",""it"")"),"Il fumo sta rotolando attorno a un cappello.")</f>
        <v>Il fumo sta rotolando attorno a un cappello.</v>
      </c>
    </row>
    <row r="25030">
      <c r="A25030" s="4" t="s">
        <v>31502</v>
      </c>
      <c r="B25030" s="4" t="s">
        <v>31505</v>
      </c>
      <c r="C25030" s="5" t="str">
        <f>IFERROR(__xludf.DUMMYFUNCTION("GOOGLETRANSLATE(B25030,""en"",""it"")"),"Una persona sta soffiando fumo dal naso e anelli di fumo.")</f>
        <v>Una persona sta soffiando fumo dal naso e anelli di fumo.</v>
      </c>
    </row>
    <row r="25031">
      <c r="A25031" s="4" t="s">
        <v>31502</v>
      </c>
      <c r="B25031" s="4" t="s">
        <v>31506</v>
      </c>
      <c r="C25031" s="5" t="str">
        <f>IFERROR(__xludf.DUMMYFUNCTION("GOOGLETRANSLATE(B25031,""en"",""it"")"),"La telecamera si inverte e continua a soffiare il fumo.")</f>
        <v>La telecamera si inverte e continua a soffiare il fumo.</v>
      </c>
    </row>
    <row r="25032">
      <c r="A25032" s="4" t="s">
        <v>31502</v>
      </c>
      <c r="B25032" s="4" t="s">
        <v>31507</v>
      </c>
      <c r="C25032" s="5" t="str">
        <f>IFERROR(__xludf.DUMMYFUNCTION("GOOGLETRANSLATE(B25032,""en"",""it"")"),"Le parole tutto è viola.")</f>
        <v>Le parole tutto è viola.</v>
      </c>
    </row>
    <row r="25033">
      <c r="A25033" s="4" t="s">
        <v>31502</v>
      </c>
      <c r="B25033" s="4" t="s">
        <v>31508</v>
      </c>
      <c r="C25033" s="5" t="str">
        <f>IFERROR(__xludf.DUMMYFUNCTION("GOOGLETRANSLATE(B25033,""en"",""it"")"),"Il fumo continua a far esplodere e si presentano le parole di Jarron Jones.")</f>
        <v>Il fumo continua a far esplodere e si presentano le parole di Jarron Jones.</v>
      </c>
    </row>
    <row r="25034">
      <c r="A25034" s="4" t="s">
        <v>31502</v>
      </c>
      <c r="B25034" s="4" t="s">
        <v>31509</v>
      </c>
      <c r="C25034" s="5" t="str">
        <f>IFERROR(__xludf.DUMMYFUNCTION("GOOGLETRANSLATE(B25034,""en"",""it"")"),"L'uomo continua a soffiare fumo in aria.")</f>
        <v>L'uomo continua a soffiare fumo in aria.</v>
      </c>
    </row>
    <row r="25035">
      <c r="A25035" s="4" t="s">
        <v>31510</v>
      </c>
      <c r="B25035" s="4" t="s">
        <v>31511</v>
      </c>
      <c r="C25035" s="5" t="str">
        <f>IFERROR(__xludf.DUMMYFUNCTION("GOOGLETRANSLATE(B25035,""en"",""it"")"),"Ci sono 5 persone diverse sedute su sedie che suonano fisarmoniche che hanno i pianoforti attaccati a loro.")</f>
        <v>Ci sono 5 persone diverse sedute su sedie che suonano fisarmoniche che hanno i pianoforti attaccati a loro.</v>
      </c>
    </row>
    <row r="25036">
      <c r="A25036" s="4" t="s">
        <v>31510</v>
      </c>
      <c r="B25036" s="4" t="s">
        <v>31512</v>
      </c>
      <c r="C25036" s="5" t="str">
        <f>IFERROR(__xludf.DUMMYFUNCTION("GOOGLETRANSLATE(B25036,""en"",""it"")"),"Ci sono 2 donne e 3 uomini e tutti, sembrano molto seriamente su ciò che stanno facendo.")</f>
        <v>Ci sono 2 donne e 3 uomini e tutti, sembrano molto seriamente su ciò che stanno facendo.</v>
      </c>
    </row>
    <row r="25037">
      <c r="A25037" s="4" t="s">
        <v>31510</v>
      </c>
      <c r="B25037" s="6" t="s">
        <v>31513</v>
      </c>
      <c r="C25037" s="5" t="str">
        <f>IFERROR(__xludf.DUMMYFUNCTION("GOOGLETRANSLATE(B25037,""en"",""it"")"),"Tutti premono tasti diversi per emettere suoni di fusione e non tutti usano molto la fisarmonica.")</f>
        <v>Tutti premono tasti diversi per emettere suoni di fusione e non tutti usano molto la fisarmonica.</v>
      </c>
    </row>
    <row r="25038">
      <c r="A25038" s="4" t="s">
        <v>31514</v>
      </c>
      <c r="B25038" s="4" t="s">
        <v>31515</v>
      </c>
      <c r="C25038" s="5" t="str">
        <f>IFERROR(__xludf.DUMMYFUNCTION("GOOGLETRANSLATE(B25038,""en"",""it"")"),"Gli uomini spiega il gioco della birra, mentre le persone competono nel torneo.")</f>
        <v>Gli uomini spiega il gioco della birra, mentre le persone competono nel torneo.</v>
      </c>
    </row>
    <row r="25039">
      <c r="A25039" s="4" t="s">
        <v>31514</v>
      </c>
      <c r="B25039" s="4" t="s">
        <v>31516</v>
      </c>
      <c r="C25039" s="5" t="str">
        <f>IFERROR(__xludf.DUMMYFUNCTION("GOOGLETRANSLATE(B25039,""en"",""it"")"),"Due persone indossa abiti divertenti e parrucche bianche.")</f>
        <v>Due persone indossa abiti divertenti e parrucche bianche.</v>
      </c>
    </row>
    <row r="25040">
      <c r="A25040" s="4" t="s">
        <v>31514</v>
      </c>
      <c r="B25040" s="6" t="s">
        <v>31517</v>
      </c>
      <c r="C25040" s="5" t="str">
        <f>IFERROR(__xludf.DUMMYFUNCTION("GOOGLETRANSLATE(B25040,""en"",""it"")"),"Diverse persone competono Beer Pong in un tavolo pieno di tazze con birra, poi una persona vince e la gente si congratula con il vincitore.")</f>
        <v>Diverse persone competono Beer Pong in un tavolo pieno di tazze con birra, poi una persona vince e la gente si congratula con il vincitore.</v>
      </c>
    </row>
    <row r="25041">
      <c r="A25041" s="4" t="s">
        <v>31514</v>
      </c>
      <c r="B25041" s="6" t="s">
        <v>31518</v>
      </c>
      <c r="C25041" s="5" t="str">
        <f>IFERROR(__xludf.DUMMYFUNCTION("GOOGLETRANSLATE(B25041,""en"",""it"")"),"Quindi, la gente gioca a Beer Pong senza successo, e poi un uomo lancia la palla nella Coppa Far, poi le persone abbracciano il vincitore che riceve un prezzo.")</f>
        <v>Quindi, la gente gioca a Beer Pong senza successo, e poi un uomo lancia la palla nella Coppa Far, poi le persone abbracciano il vincitore che riceve un prezzo.</v>
      </c>
    </row>
    <row r="25042">
      <c r="A25042" s="4" t="s">
        <v>31514</v>
      </c>
      <c r="B25042" s="4" t="s">
        <v>31519</v>
      </c>
      <c r="C25042" s="5" t="str">
        <f>IFERROR(__xludf.DUMMYFUNCTION("GOOGLETRANSLATE(B25042,""en"",""it"")"),"Una persona scatta foto al vincitore.")</f>
        <v>Una persona scatta foto al vincitore.</v>
      </c>
    </row>
    <row r="25043">
      <c r="A25043" s="4" t="s">
        <v>31520</v>
      </c>
      <c r="B25043" s="4" t="s">
        <v>31521</v>
      </c>
      <c r="C25043" s="5" t="str">
        <f>IFERROR(__xludf.DUMMYFUNCTION("GOOGLETRANSLATE(B25043,""en"",""it"")"),"Vediamo un'illustrazione di chitarra sulla scena di apertura.")</f>
        <v>Vediamo un'illustrazione di chitarra sulla scena di apertura.</v>
      </c>
    </row>
    <row r="25044">
      <c r="A25044" s="4" t="s">
        <v>31520</v>
      </c>
      <c r="B25044" s="4" t="s">
        <v>31522</v>
      </c>
      <c r="C25044" s="5" t="str">
        <f>IFERROR(__xludf.DUMMYFUNCTION("GOOGLETRANSLATE(B25044,""en"",""it"")"),"Vediamo un uomo che colpisce la chitarra come il tamburo.")</f>
        <v>Vediamo un uomo che colpisce la chitarra come il tamburo.</v>
      </c>
    </row>
    <row r="25045">
      <c r="A25045" s="4" t="s">
        <v>31520</v>
      </c>
      <c r="B25045" s="4" t="s">
        <v>31523</v>
      </c>
      <c r="C25045" s="5" t="str">
        <f>IFERROR(__xludf.DUMMYFUNCTION("GOOGLETRANSLATE(B25045,""en"",""it"")"),"L'uomo suona una canzone sulla chitarra e vediamo brevemente la canzone e il nome dell'artista sullo schermo.")</f>
        <v>L'uomo suona una canzone sulla chitarra e vediamo brevemente la canzone e il nome dell'artista sullo schermo.</v>
      </c>
    </row>
    <row r="25046">
      <c r="A25046" s="4" t="s">
        <v>31520</v>
      </c>
      <c r="B25046" s="4" t="s">
        <v>31524</v>
      </c>
      <c r="C25046" s="5" t="str">
        <f>IFERROR(__xludf.DUMMYFUNCTION("GOOGLETRANSLATE(B25046,""en"",""it"")"),"Ci concentriamo sulla mano sinistra dell'uomo sul collo della chitarra.")</f>
        <v>Ci concentriamo sulla mano sinistra dell'uomo sul collo della chitarra.</v>
      </c>
    </row>
    <row r="25047">
      <c r="A25047" s="4" t="s">
        <v>31520</v>
      </c>
      <c r="B25047" s="4" t="s">
        <v>31525</v>
      </c>
      <c r="C25047" s="5" t="str">
        <f>IFERROR(__xludf.DUMMYFUNCTION("GOOGLETRANSLATE(B25047,""en"",""it"")"),"L'uomo finisce e smette di giocare.")</f>
        <v>L'uomo finisce e smette di giocare.</v>
      </c>
    </row>
    <row r="25048">
      <c r="A25048" s="4" t="s">
        <v>31520</v>
      </c>
      <c r="B25048" s="4" t="s">
        <v>31526</v>
      </c>
      <c r="C25048" s="5" t="str">
        <f>IFERROR(__xludf.DUMMYFUNCTION("GOOGLETRANSLATE(B25048,""en"",""it"")"),"Vediamo di nuovo l'illustrazione.")</f>
        <v>Vediamo di nuovo l'illustrazione.</v>
      </c>
    </row>
    <row r="25049">
      <c r="A25049" s="4" t="s">
        <v>31527</v>
      </c>
      <c r="B25049" s="4" t="s">
        <v>31528</v>
      </c>
      <c r="C25049" s="5" t="str">
        <f>IFERROR(__xludf.DUMMYFUNCTION("GOOGLETRANSLATE(B25049,""en"",""it"")"),"Una persona corre e lancia un giavellotto.")</f>
        <v>Una persona corre e lancia un giavellotto.</v>
      </c>
    </row>
    <row r="25050">
      <c r="A25050" s="4" t="s">
        <v>31527</v>
      </c>
      <c r="B25050" s="4" t="s">
        <v>31529</v>
      </c>
      <c r="C25050" s="5" t="str">
        <f>IFERROR(__xludf.DUMMYFUNCTION("GOOGLETRANSLATE(B25050,""en"",""it"")"),"Ci sono persone che li guardano dietro una recinzione.")</f>
        <v>Ci sono persone che li guardano dietro una recinzione.</v>
      </c>
    </row>
    <row r="25051">
      <c r="A25051" s="4" t="s">
        <v>31527</v>
      </c>
      <c r="B25051" s="4" t="s">
        <v>31530</v>
      </c>
      <c r="C25051" s="5" t="str">
        <f>IFERROR(__xludf.DUMMYFUNCTION("GOOGLETRANSLATE(B25051,""en"",""it"")"),"Un ombrello verde si trova accanto alla pista.")</f>
        <v>Un ombrello verde si trova accanto alla pista.</v>
      </c>
    </row>
    <row r="25052">
      <c r="A25052" s="4" t="s">
        <v>31531</v>
      </c>
      <c r="B25052" s="6" t="s">
        <v>31532</v>
      </c>
      <c r="C25052" s="5" t="str">
        <f>IFERROR(__xludf.DUMMYFUNCTION("GOOGLETRANSLATE(B25052,""en"",""it"")"),"Due persone danno un rapporto di notizie sull'importanza di indossare la protezione solare e parlare tra loro.")</f>
        <v>Due persone danno un rapporto di notizie sull'importanza di indossare la protezione solare e parlare tra loro.</v>
      </c>
    </row>
    <row r="25053">
      <c r="A25053" s="4" t="s">
        <v>31531</v>
      </c>
      <c r="B25053" s="4" t="s">
        <v>31533</v>
      </c>
      <c r="C25053" s="5" t="str">
        <f>IFERROR(__xludf.DUMMYFUNCTION("GOOGLETRANSLATE(B25053,""en"",""it"")"),"Le persone sono mostrate fuori mettendo la protezione solare.")</f>
        <v>Le persone sono mostrate fuori mettendo la protezione solare.</v>
      </c>
    </row>
    <row r="25054">
      <c r="A25054" s="4" t="s">
        <v>31531</v>
      </c>
      <c r="B25054" s="4" t="s">
        <v>31534</v>
      </c>
      <c r="C25054" s="5" t="str">
        <f>IFERROR(__xludf.DUMMYFUNCTION("GOOGLETRANSLATE(B25054,""en"",""it"")"),"I giornalisti parlano quindi alla fine.")</f>
        <v>I giornalisti parlano quindi alla fine.</v>
      </c>
    </row>
    <row r="25055">
      <c r="A25055" s="4" t="s">
        <v>31535</v>
      </c>
      <c r="B25055" s="4" t="s">
        <v>31536</v>
      </c>
      <c r="C25055" s="5" t="str">
        <f>IFERROR(__xludf.DUMMYFUNCTION("GOOGLETRANSLATE(B25055,""en"",""it"")"),"Un uomo con una camicia bianca sta mettendo una piastrella sul pavimento.")</f>
        <v>Un uomo con una camicia bianca sta mettendo una piastrella sul pavimento.</v>
      </c>
    </row>
    <row r="25056">
      <c r="A25056" s="4" t="s">
        <v>31535</v>
      </c>
      <c r="B25056" s="4" t="s">
        <v>31537</v>
      </c>
      <c r="C25056" s="5" t="str">
        <f>IFERROR(__xludf.DUMMYFUNCTION("GOOGLETRANSLATE(B25056,""en"",""it"")"),"L'uomo punta accanto alla piastrella allora si erge.")</f>
        <v>L'uomo punta accanto alla piastrella allora si erge.</v>
      </c>
    </row>
    <row r="25057">
      <c r="A25057" s="4" t="s">
        <v>31535</v>
      </c>
      <c r="B25057" s="4" t="s">
        <v>31538</v>
      </c>
      <c r="C25057" s="5" t="str">
        <f>IFERROR(__xludf.DUMMYFUNCTION("GOOGLETRANSLATE(B25057,""en"",""it"")"),"La fotocamera ingrandisce la piastrella.")</f>
        <v>La fotocamera ingrandisce la piastrella.</v>
      </c>
    </row>
    <row r="25058">
      <c r="A25058" s="4" t="s">
        <v>31539</v>
      </c>
      <c r="B25058" s="4" t="s">
        <v>31540</v>
      </c>
      <c r="C25058" s="5" t="str">
        <f>IFERROR(__xludf.DUMMYFUNCTION("GOOGLETRANSLATE(B25058,""en"",""it"")"),"Il video inizia con un primo piano di due giovani ragazzi.")</f>
        <v>Il video inizia con un primo piano di due giovani ragazzi.</v>
      </c>
    </row>
    <row r="25059">
      <c r="A25059" s="4" t="s">
        <v>31539</v>
      </c>
      <c r="B25059" s="4" t="s">
        <v>31541</v>
      </c>
      <c r="C25059" s="5" t="str">
        <f>IFERROR(__xludf.DUMMYFUNCTION("GOOGLETRANSLATE(B25059,""en"",""it"")"),"Viene quindi mostrato una vetrina del titolo, quindi mostra diversi ingredienti utilizzati in una ricetta per i biscotti.")</f>
        <v>Viene quindi mostrato una vetrina del titolo, quindi mostra diversi ingredienti utilizzati in una ricetta per i biscotti.</v>
      </c>
    </row>
    <row r="25060">
      <c r="A25060" s="4" t="s">
        <v>31539</v>
      </c>
      <c r="B25060" s="4" t="s">
        <v>31542</v>
      </c>
      <c r="C25060" s="5" t="str">
        <f>IFERROR(__xludf.DUMMYFUNCTION("GOOGLETRANSLATE(B25060,""en"",""it"")"),"Il video mostra quindi i due ragazzi che mescolano gli ingredienti insieme.")</f>
        <v>Il video mostra quindi i due ragazzi che mescolano gli ingredienti insieme.</v>
      </c>
    </row>
    <row r="25061">
      <c r="A25061" s="4" t="s">
        <v>31539</v>
      </c>
      <c r="B25061" s="4" t="s">
        <v>31543</v>
      </c>
      <c r="C25061" s="5" t="str">
        <f>IFERROR(__xludf.DUMMYFUNCTION("GOOGLETRANSLATE(B25061,""en"",""it"")"),"Rotolano l'impasto in palline e le mettono in un forno.")</f>
        <v>Rotolano l'impasto in palline e le mettono in un forno.</v>
      </c>
    </row>
    <row r="25062">
      <c r="A25062" s="4" t="s">
        <v>31539</v>
      </c>
      <c r="B25062" s="4" t="s">
        <v>31544</v>
      </c>
      <c r="C25062" s="5" t="str">
        <f>IFERROR(__xludf.DUMMYFUNCTION("GOOGLETRANSLATE(B25062,""en"",""it"")"),"I ragazzi prendono i biscotti dal forno e iniziano a mangiarli.")</f>
        <v>I ragazzi prendono i biscotti dal forno e iniziano a mangiarli.</v>
      </c>
    </row>
    <row r="25063">
      <c r="A25063" s="4" t="s">
        <v>31545</v>
      </c>
      <c r="B25063" s="4" t="s">
        <v>31546</v>
      </c>
      <c r="C25063" s="5" t="str">
        <f>IFERROR(__xludf.DUMMYFUNCTION("GOOGLETRANSLATE(B25063,""en"",""it"")"),"Un'introduzione conduce a una donna che si prepara a saltare e si gira e si gira su barre.")</f>
        <v>Un'introduzione conduce a una donna che si prepara a saltare e si gira e si gira su barre.</v>
      </c>
    </row>
    <row r="25064">
      <c r="A25064" s="4" t="s">
        <v>31545</v>
      </c>
      <c r="B25064" s="6" t="s">
        <v>31547</v>
      </c>
      <c r="C25064" s="5" t="str">
        <f>IFERROR(__xludf.DUMMYFUNCTION("GOOGLETRANSLATE(B25064,""en"",""it"")"),"Continua la sua routine di ginnastica sfogliando le sbarre con una barra che la individua e finisce alzando le braccia.")</f>
        <v>Continua la sua routine di ginnastica sfogliando le sbarre con una barra che la individua e finisce alzando le braccia.</v>
      </c>
    </row>
    <row r="25065">
      <c r="A25065" s="4" t="s">
        <v>31548</v>
      </c>
      <c r="B25065" s="4" t="s">
        <v>31549</v>
      </c>
      <c r="C25065" s="5" t="str">
        <f>IFERROR(__xludf.DUMMYFUNCTION("GOOGLETRANSLATE(B25065,""en"",""it"")"),"Un uomo che indossa un grembiule viene visto strofinare diversi piatti mentre li lancia in un lavandino.")</f>
        <v>Un uomo che indossa un grembiule viene visto strofinare diversi piatti mentre li lancia in un lavandino.</v>
      </c>
    </row>
    <row r="25066">
      <c r="A25066" s="4" t="s">
        <v>31548</v>
      </c>
      <c r="B25066" s="4" t="s">
        <v>31550</v>
      </c>
      <c r="C25066" s="5" t="str">
        <f>IFERROR(__xludf.DUMMYFUNCTION("GOOGLETRANSLATE(B25066,""en"",""it"")"),"L'uomo continua a strofinare i piatti mentre li getta immediatamente in un lavello d'acqua.")</f>
        <v>L'uomo continua a strofinare i piatti mentre li getta immediatamente in un lavello d'acqua.</v>
      </c>
    </row>
    <row r="25067">
      <c r="A25067" s="4" t="s">
        <v>31551</v>
      </c>
      <c r="B25067" s="4" t="s">
        <v>31552</v>
      </c>
      <c r="C25067" s="5" t="str">
        <f>IFERROR(__xludf.DUMMYFUNCTION("GOOGLETRANSLATE(B25067,""en"",""it"")"),"Vediamo una sequenza di apertura con lampi.")</f>
        <v>Vediamo una sequenza di apertura con lampi.</v>
      </c>
    </row>
    <row r="25068">
      <c r="A25068" s="4" t="s">
        <v>31551</v>
      </c>
      <c r="B25068" s="4" t="s">
        <v>31553</v>
      </c>
      <c r="C25068" s="5" t="str">
        <f>IFERROR(__xludf.DUMMYFUNCTION("GOOGLETRANSLATE(B25068,""en"",""it"")"),"Vediamo due uomini in un cortile che spinge un oggetto nell'erba.")</f>
        <v>Vediamo due uomini in un cortile che spinge un oggetto nell'erba.</v>
      </c>
    </row>
    <row r="25069">
      <c r="A25069" s="4" t="s">
        <v>31551</v>
      </c>
      <c r="B25069" s="4" t="s">
        <v>31554</v>
      </c>
      <c r="C25069" s="5" t="str">
        <f>IFERROR(__xludf.DUMMYFUNCTION("GOOGLETRANSLATE(B25069,""en"",""it"")"),"Vediamo una patch di sporcizia nell'erba.")</f>
        <v>Vediamo una patch di sporcizia nell'erba.</v>
      </c>
    </row>
    <row r="25070">
      <c r="A25070" s="4" t="s">
        <v>31551</v>
      </c>
      <c r="B25070" s="4" t="s">
        <v>31555</v>
      </c>
      <c r="C25070" s="5" t="str">
        <f>IFERROR(__xludf.DUMMYFUNCTION("GOOGLETRANSLATE(B25070,""en"",""it"")"),"Vediamo il monitor sul dispositivo.")</f>
        <v>Vediamo il monitor sul dispositivo.</v>
      </c>
    </row>
    <row r="25071">
      <c r="A25071" s="4" t="s">
        <v>31551</v>
      </c>
      <c r="B25071" s="4" t="s">
        <v>31556</v>
      </c>
      <c r="C25071" s="5" t="str">
        <f>IFERROR(__xludf.DUMMYFUNCTION("GOOGLETRANSLATE(B25071,""en"",""it"")"),"Vediamo un albero in un giro di sporco.")</f>
        <v>Vediamo un albero in un giro di sporco.</v>
      </c>
    </row>
    <row r="25072">
      <c r="A25072" s="4" t="s">
        <v>31551</v>
      </c>
      <c r="B25072" s="4" t="s">
        <v>31557</v>
      </c>
      <c r="C25072" s="5" t="str">
        <f>IFERROR(__xludf.DUMMYFUNCTION("GOOGLETRANSLATE(B25072,""en"",""it"")"),"Vediamo una radice nel cortile.")</f>
        <v>Vediamo una radice nel cortile.</v>
      </c>
    </row>
    <row r="25073">
      <c r="A25073" s="4" t="s">
        <v>31551</v>
      </c>
      <c r="B25073" s="4" t="s">
        <v>31558</v>
      </c>
      <c r="C25073" s="5" t="str">
        <f>IFERROR(__xludf.DUMMYFUNCTION("GOOGLETRANSLATE(B25073,""en"",""it"")"),"Vediamo i crediti finali e lo schermo svanisce.")</f>
        <v>Vediamo i crediti finali e lo schermo svanisce.</v>
      </c>
    </row>
    <row r="25074">
      <c r="A25074" s="4" t="s">
        <v>31559</v>
      </c>
      <c r="B25074" s="4" t="s">
        <v>31560</v>
      </c>
      <c r="C25074" s="5" t="str">
        <f>IFERROR(__xludf.DUMMYFUNCTION("GOOGLETRANSLATE(B25074,""en"",""it"")"),"Una ragazza con una camicia nera e pantaloncini rosa sta dipingendo una recinzione in legno.")</f>
        <v>Una ragazza con una camicia nera e pantaloncini rosa sta dipingendo una recinzione in legno.</v>
      </c>
    </row>
    <row r="25075">
      <c r="A25075" s="4" t="s">
        <v>31559</v>
      </c>
      <c r="B25075" s="4" t="s">
        <v>13650</v>
      </c>
      <c r="C25075" s="5" t="str">
        <f>IFERROR(__xludf.DUMMYFUNCTION("GOOGLETRANSLATE(B25075,""en"",""it"")"),"Le parole arrivano sullo schermo.")</f>
        <v>Le parole arrivano sullo schermo.</v>
      </c>
    </row>
    <row r="25076">
      <c r="A25076" s="4" t="s">
        <v>31561</v>
      </c>
      <c r="B25076" s="4" t="s">
        <v>31562</v>
      </c>
      <c r="C25076" s="5" t="str">
        <f>IFERROR(__xludf.DUMMYFUNCTION("GOOGLETRANSLATE(B25076,""en"",""it"")"),"Due persone sono in piedi in una stanza.")</f>
        <v>Due persone sono in piedi in una stanza.</v>
      </c>
    </row>
    <row r="25077">
      <c r="A25077" s="4" t="s">
        <v>31561</v>
      </c>
      <c r="B25077" s="4" t="s">
        <v>31563</v>
      </c>
      <c r="C25077" s="5" t="str">
        <f>IFERROR(__xludf.DUMMYFUNCTION("GOOGLETRANSLATE(B25077,""en"",""it"")"),"Cominciano a giocare a palla da muro.")</f>
        <v>Cominciano a giocare a palla da muro.</v>
      </c>
    </row>
    <row r="25078">
      <c r="A25078" s="4" t="s">
        <v>31561</v>
      </c>
      <c r="B25078" s="4" t="s">
        <v>31564</v>
      </c>
      <c r="C25078" s="5" t="str">
        <f>IFERROR(__xludf.DUMMYFUNCTION("GOOGLETRANSLATE(B25078,""en"",""it"")"),"Stanno facendo oscillare le loro racchette colpendo la palla.")</f>
        <v>Stanno facendo oscillare le loro racchette colpendo la palla.</v>
      </c>
    </row>
    <row r="25079">
      <c r="A25079" s="4" t="s">
        <v>31565</v>
      </c>
      <c r="B25079" s="4" t="s">
        <v>31566</v>
      </c>
      <c r="C25079" s="5" t="str">
        <f>IFERROR(__xludf.DUMMYFUNCTION("GOOGLETRANSLATE(B25079,""en"",""it"")"),"Le persone corrono in campo giocando a lacrosse.")</f>
        <v>Le persone corrono in campo giocando a lacrosse.</v>
      </c>
    </row>
    <row r="25080">
      <c r="A25080" s="4" t="s">
        <v>31565</v>
      </c>
      <c r="B25080" s="4" t="s">
        <v>31567</v>
      </c>
      <c r="C25080" s="5" t="str">
        <f>IFERROR(__xludf.DUMMYFUNCTION("GOOGLETRANSLATE(B25080,""en"",""it"")"),"La folla li sta guardando giocare.")</f>
        <v>La folla li sta guardando giocare.</v>
      </c>
    </row>
    <row r="25081">
      <c r="A25081" s="4" t="s">
        <v>31565</v>
      </c>
      <c r="B25081" s="4" t="s">
        <v>31568</v>
      </c>
      <c r="C25081" s="5" t="str">
        <f>IFERROR(__xludf.DUMMYFUNCTION("GOOGLETRANSLATE(B25081,""en"",""it"")"),"Un logo in bianco e nero è mostrato sullo schermo.")</f>
        <v>Un logo in bianco e nero è mostrato sullo schermo.</v>
      </c>
    </row>
    <row r="25082">
      <c r="A25082" s="4" t="s">
        <v>31569</v>
      </c>
      <c r="B25082" s="4" t="s">
        <v>31570</v>
      </c>
      <c r="C25082" s="5" t="str">
        <f>IFERROR(__xludf.DUMMYFUNCTION("GOOGLETRANSLATE(B25082,""en"",""it"")"),"Un grande albero di Natale è seduto in una stanza.")</f>
        <v>Un grande albero di Natale è seduto in una stanza.</v>
      </c>
    </row>
    <row r="25083">
      <c r="A25083" s="4" t="s">
        <v>31569</v>
      </c>
      <c r="B25083" s="4" t="s">
        <v>31571</v>
      </c>
      <c r="C25083" s="5" t="str">
        <f>IFERROR(__xludf.DUMMYFUNCTION("GOOGLETRANSLATE(B25083,""en"",""it"")"),"Un uomo e una donna stanno mettendo le luci sull'albero di Natale.")</f>
        <v>Un uomo e una donna stanno mettendo le luci sull'albero di Natale.</v>
      </c>
    </row>
    <row r="25084">
      <c r="A25084" s="4" t="s">
        <v>31569</v>
      </c>
      <c r="B25084" s="4" t="s">
        <v>31572</v>
      </c>
      <c r="C25084" s="5" t="str">
        <f>IFERROR(__xludf.DUMMYFUNCTION("GOOGLETRANSLATE(B25084,""en"",""it"")"),"Un cane sta camminando intorno all'albero di Natale.")</f>
        <v>Un cane sta camminando intorno all'albero di Natale.</v>
      </c>
    </row>
    <row r="25085">
      <c r="A25085" s="4" t="s">
        <v>31573</v>
      </c>
      <c r="B25085" s="4" t="s">
        <v>31574</v>
      </c>
      <c r="C25085" s="5" t="str">
        <f>IFERROR(__xludf.DUMMYFUNCTION("GOOGLETRANSLATE(B25085,""en"",""it"")"),"Una serie di ragazzi per bambini si oppongono al muro che parla e giocando con gli spazzolini da denti.")</f>
        <v>Una serie di ragazzi per bambini si oppongono al muro che parla e giocando con gli spazzolini da denti.</v>
      </c>
    </row>
    <row r="25086">
      <c r="A25086" s="4" t="s">
        <v>31573</v>
      </c>
      <c r="B25086" s="4" t="s">
        <v>31575</v>
      </c>
      <c r="C25086" s="5" t="str">
        <f>IFERROR(__xludf.DUMMYFUNCTION("GOOGLETRANSLATE(B25086,""en"",""it"")"),"Entrambi iniziano a lavarsi i denti ferocemente senza dentifricio o acqua.")</f>
        <v>Entrambi iniziano a lavarsi i denti ferocemente senza dentifricio o acqua.</v>
      </c>
    </row>
    <row r="25087">
      <c r="A25087" s="4" t="s">
        <v>31576</v>
      </c>
      <c r="B25087" s="4" t="s">
        <v>31577</v>
      </c>
      <c r="C25087" s="5" t="str">
        <f>IFERROR(__xludf.DUMMYFUNCTION("GOOGLETRANSLATE(B25087,""en"",""it"")"),"Un'introduzione arriva sullo schermo che mostra un edificio alto.")</f>
        <v>Un'introduzione arriva sullo schermo che mostra un edificio alto.</v>
      </c>
    </row>
    <row r="25088">
      <c r="A25088" s="4" t="s">
        <v>31576</v>
      </c>
      <c r="B25088" s="6" t="s">
        <v>31578</v>
      </c>
      <c r="C25088" s="5" t="str">
        <f>IFERROR(__xludf.DUMMYFUNCTION("GOOGLETRANSLATE(B25088,""en"",""it"")"),"Quindi, un uomo viene mostrato che si prepara e mette su diversi aggeggi che può connettersi a una cintura.")</f>
        <v>Quindi, un uomo viene mostrato che si prepara e mette su diversi aggeggi che può connettersi a una cintura.</v>
      </c>
    </row>
    <row r="25089">
      <c r="A25089" s="4" t="s">
        <v>31576</v>
      </c>
      <c r="B25089" s="4" t="s">
        <v>31579</v>
      </c>
      <c r="C25089" s="5" t="str">
        <f>IFERROR(__xludf.DUMMYFUNCTION("GOOGLETRANSLATE(B25089,""en"",""it"")"),"Viene quindi mostrato lavare le finestre dell'edificio molto alto.")</f>
        <v>Viene quindi mostrato lavare le finestre dell'edificio molto alto.</v>
      </c>
    </row>
    <row r="25090">
      <c r="A25090" s="4" t="s">
        <v>31576</v>
      </c>
      <c r="B25090" s="4" t="s">
        <v>31580</v>
      </c>
      <c r="C25090" s="5" t="str">
        <f>IFERROR(__xludf.DUMMYFUNCTION("GOOGLETRANSLATE(B25090,""en"",""it"")"),"Usa uno scrapper il graffio di un adesivo da una delle finestre.")</f>
        <v>Usa uno scrapper il graffio di un adesivo da una delle finestre.</v>
      </c>
    </row>
    <row r="25091">
      <c r="A25091" s="4" t="s">
        <v>31576</v>
      </c>
      <c r="B25091" s="4" t="s">
        <v>31581</v>
      </c>
      <c r="C25091" s="5" t="str">
        <f>IFERROR(__xludf.DUMMYFUNCTION("GOOGLETRANSLATE(B25091,""en"",""it"")"),"Sta spettacoli che immergono una lavatrice in un secchio e lava le finestre del piano terra.")</f>
        <v>Sta spettacoli che immergono una lavatrice in un secchio e lava le finestre del piano terra.</v>
      </c>
    </row>
    <row r="25092">
      <c r="A25092" s="4" t="s">
        <v>31576</v>
      </c>
      <c r="B25092" s="4" t="s">
        <v>31582</v>
      </c>
      <c r="C25092" s="5" t="str">
        <f>IFERROR(__xludf.DUMMYFUNCTION("GOOGLETRANSLATE(B25092,""en"",""it"")"),"Diverse forniture di lavaggio delle finestre vengono nuovamente mostrate prima che il video finisca.")</f>
        <v>Diverse forniture di lavaggio delle finestre vengono nuovamente mostrate prima che il video finisca.</v>
      </c>
    </row>
    <row r="25093">
      <c r="A25093" s="4" t="s">
        <v>31583</v>
      </c>
      <c r="B25093" s="4" t="s">
        <v>31584</v>
      </c>
      <c r="C25093" s="5" t="str">
        <f>IFERROR(__xludf.DUMMYFUNCTION("GOOGLETRANSLATE(B25093,""en"",""it"")"),"Una donna mostra passi di tango che si muovono e si gira mentre parla.")</f>
        <v>Una donna mostra passi di tango che si muovono e si gira mentre parla.</v>
      </c>
    </row>
    <row r="25094">
      <c r="A25094" s="4" t="s">
        <v>31583</v>
      </c>
      <c r="B25094" s="4" t="s">
        <v>31585</v>
      </c>
      <c r="C25094" s="5" t="str">
        <f>IFERROR(__xludf.DUMMYFUNCTION("GOOGLETRANSLATE(B25094,""en"",""it"")"),"Quindi, l'uomo si muove mostrando passi di tango.")</f>
        <v>Quindi, l'uomo si muove mostrando passi di tango.</v>
      </c>
    </row>
    <row r="25095">
      <c r="A25095" s="4" t="s">
        <v>31583</v>
      </c>
      <c r="B25095" s="4" t="s">
        <v>31586</v>
      </c>
      <c r="C25095" s="5" t="str">
        <f>IFERROR(__xludf.DUMMYFUNCTION("GOOGLETRANSLATE(B25095,""en"",""it"")"),"Dopo, la donna e l'uomo ballano il tango insieme mentre l'uomo parla.")</f>
        <v>Dopo, la donna e l'uomo ballano il tango insieme mentre l'uomo parla.</v>
      </c>
    </row>
    <row r="25096">
      <c r="A25096" s="4" t="s">
        <v>31587</v>
      </c>
      <c r="B25096" s="4" t="s">
        <v>31588</v>
      </c>
      <c r="C25096" s="5" t="str">
        <f>IFERROR(__xludf.DUMMYFUNCTION("GOOGLETRANSLATE(B25096,""en"",""it"")"),"Una foto di una costa dell'isola è mostrata con onde blu calme che si lavano contro le rocce.")</f>
        <v>Una foto di una costa dell'isola è mostrata con onde blu calme che si lavano contro le rocce.</v>
      </c>
    </row>
    <row r="25097">
      <c r="A25097" s="4" t="s">
        <v>31587</v>
      </c>
      <c r="B25097" s="4" t="s">
        <v>31589</v>
      </c>
      <c r="C25097" s="5" t="str">
        <f>IFERROR(__xludf.DUMMYFUNCTION("GOOGLETRANSLATE(B25097,""en"",""it"")"),"Un maschio appare improvvisamente e inizia a correre verso l'acqua con una tavola da surf.")</f>
        <v>Un maschio appare improvvisamente e inizia a correre verso l'acqua con una tavola da surf.</v>
      </c>
    </row>
    <row r="25098">
      <c r="A25098" s="4" t="s">
        <v>31587</v>
      </c>
      <c r="B25098" s="4" t="s">
        <v>31590</v>
      </c>
      <c r="C25098" s="5" t="str">
        <f>IFERROR(__xludf.DUMMYFUNCTION("GOOGLETRANSLATE(B25098,""en"",""it"")"),"L'uomo inizia a navigare sulle onde mentre diverse persone siedono sulla spiaggia a guardarlo.")</f>
        <v>L'uomo inizia a navigare sulle onde mentre diverse persone siedono sulla spiaggia a guardarlo.</v>
      </c>
    </row>
    <row r="25099">
      <c r="A25099" s="4" t="s">
        <v>31587</v>
      </c>
      <c r="B25099" s="6" t="s">
        <v>31591</v>
      </c>
      <c r="C25099" s="5" t="str">
        <f>IFERROR(__xludf.DUMMYFUNCTION("GOOGLETRANSLATE(B25099,""en"",""it"")"),"Dopo un po ', il maschio lascia l'acqua e si siede sulla collina con la tavola da surf e poi se ne va.")</f>
        <v>Dopo un po ', il maschio lascia l'acqua e si siede sulla collina con la tavola da surf e poi se ne va.</v>
      </c>
    </row>
    <row r="25100">
      <c r="A25100" s="4" t="s">
        <v>31592</v>
      </c>
      <c r="B25100" s="4" t="s">
        <v>31593</v>
      </c>
      <c r="C25100" s="5" t="str">
        <f>IFERROR(__xludf.DUMMYFUNCTION("GOOGLETRANSLATE(B25100,""en"",""it"")"),"Una donna consegna a un ragazzo un bastone con una bambina che afferra la sua attenzione.")</f>
        <v>Una donna consegna a un ragazzo un bastone con una bambina che afferra la sua attenzione.</v>
      </c>
    </row>
    <row r="25101">
      <c r="A25101" s="4" t="s">
        <v>31592</v>
      </c>
      <c r="B25101" s="4" t="s">
        <v>31594</v>
      </c>
      <c r="C25101" s="5" t="str">
        <f>IFERROR(__xludf.DUMMYFUNCTION("GOOGLETRANSLATE(B25101,""en"",""it"")"),"Il pinata viene sollevato e il ragazzo inizia a oscillare contro l'oggetto.")</f>
        <v>Il pinata viene sollevato e il ragazzo inizia a oscillare contro l'oggetto.</v>
      </c>
    </row>
    <row r="25102">
      <c r="A25102" s="4" t="s">
        <v>31592</v>
      </c>
      <c r="B25102" s="6" t="s">
        <v>31595</v>
      </c>
      <c r="C25102" s="5" t="str">
        <f>IFERROR(__xludf.DUMMYFUNCTION("GOOGLETRANSLATE(B25102,""en"",""it"")"),"La telecamera si muove intorno alle persone che guardano mentre colpisce la Pinata e un bambino viene visto applaudire dietro di lui.")</f>
        <v>La telecamera si muove intorno alle persone che guardano mentre colpisce la Pinata e un bambino viene visto applaudire dietro di lui.</v>
      </c>
    </row>
    <row r="25103">
      <c r="A25103" s="4" t="s">
        <v>31596</v>
      </c>
      <c r="B25103" s="4" t="s">
        <v>31597</v>
      </c>
      <c r="C25103" s="5" t="str">
        <f>IFERROR(__xludf.DUMMYFUNCTION("GOOGLETRANSLATE(B25103,""en"",""it"")"),"Un uomo con una camicia viola sta parlando con la telecamera.")</f>
        <v>Un uomo con una camicia viola sta parlando con la telecamera.</v>
      </c>
    </row>
    <row r="25104">
      <c r="A25104" s="4" t="s">
        <v>31596</v>
      </c>
      <c r="B25104" s="4" t="s">
        <v>31598</v>
      </c>
      <c r="C25104" s="5" t="str">
        <f>IFERROR(__xludf.DUMMYFUNCTION("GOOGLETRANSLATE(B25104,""en"",""it"")"),"Comincia a scalare assi di legno su un muro.")</f>
        <v>Comincia a scalare assi di legno su un muro.</v>
      </c>
    </row>
    <row r="25105">
      <c r="A25105" s="4" t="s">
        <v>31596</v>
      </c>
      <c r="B25105" s="4" t="s">
        <v>31599</v>
      </c>
      <c r="C25105" s="5" t="str">
        <f>IFERROR(__xludf.DUMMYFUNCTION("GOOGLETRANSLATE(B25105,""en"",""it"")"),"Si scende dal muro e continua a parlare.")</f>
        <v>Si scende dal muro e continua a parlare.</v>
      </c>
    </row>
    <row r="25106">
      <c r="A25106" s="4" t="s">
        <v>31600</v>
      </c>
      <c r="B25106" s="6" t="s">
        <v>31601</v>
      </c>
      <c r="C25106" s="5" t="str">
        <f>IFERROR(__xludf.DUMMYFUNCTION("GOOGLETRANSLATE(B25106,""en"",""it"")"),"Vengono mostrate varie immagini di cibo seguite da una persona che taglia le verdure e che mescola vari ingredienti in una pentola.")</f>
        <v>Vengono mostrate varie immagini di cibo seguite da una persona che taglia le verdure e che mescola vari ingredienti in una pentola.</v>
      </c>
    </row>
    <row r="25107">
      <c r="A25107" s="4" t="s">
        <v>31600</v>
      </c>
      <c r="B25107" s="4" t="s">
        <v>31602</v>
      </c>
      <c r="C25107" s="5" t="str">
        <f>IFERROR(__xludf.DUMMYFUNCTION("GOOGLETRANSLATE(B25107,""en"",""it"")"),"Quindi taglia un pezzo di pane, raccoglie gli interni e frigge un po 'di carne.")</f>
        <v>Quindi taglia un pezzo di pane, raccoglie gli interni e frigge un po 'di carne.</v>
      </c>
    </row>
    <row r="25108">
      <c r="A25108" s="4" t="s">
        <v>31600</v>
      </c>
      <c r="B25108" s="6" t="s">
        <v>31603</v>
      </c>
      <c r="C25108" s="5" t="str">
        <f>IFERROR(__xludf.DUMMYFUNCTION("GOOGLETRANSLATE(B25108,""en"",""it"")"),"Alla fine versa tutti gli ingredienti nella ciotola di pausa, lo avvolge in un foglio di alluminio e mostra più foto del sandwich.")</f>
        <v>Alla fine versa tutti gli ingredienti nella ciotola di pausa, lo avvolge in un foglio di alluminio e mostra più foto del sandwich.</v>
      </c>
    </row>
    <row r="25109">
      <c r="A25109" s="4" t="s">
        <v>31604</v>
      </c>
      <c r="B25109" s="4" t="s">
        <v>31605</v>
      </c>
      <c r="C25109" s="5" t="str">
        <f>IFERROR(__xludf.DUMMYFUNCTION("GOOGLETRANSLATE(B25109,""en"",""it"")"),"Un uomo è in piedi davanti a una macchina fotografica.")</f>
        <v>Un uomo è in piedi davanti a una macchina fotografica.</v>
      </c>
    </row>
    <row r="25110">
      <c r="A25110" s="4" t="s">
        <v>31604</v>
      </c>
      <c r="B25110" s="4" t="s">
        <v>31606</v>
      </c>
      <c r="C25110" s="5" t="str">
        <f>IFERROR(__xludf.DUMMYFUNCTION("GOOGLETRANSLATE(B25110,""en"",""it"")"),"Comincia a suonare un'armonica per la telecamera.")</f>
        <v>Comincia a suonare un'armonica per la telecamera.</v>
      </c>
    </row>
    <row r="25111">
      <c r="A25111" s="4" t="s">
        <v>31604</v>
      </c>
      <c r="B25111" s="4" t="s">
        <v>31607</v>
      </c>
      <c r="C25111" s="5" t="str">
        <f>IFERROR(__xludf.DUMMYFUNCTION("GOOGLETRANSLATE(B25111,""en"",""it"")"),"Va avanti e indietro alla musica mentre va.")</f>
        <v>Va avanti e indietro alla musica mentre va.</v>
      </c>
    </row>
    <row r="25112">
      <c r="A25112" s="4" t="s">
        <v>31608</v>
      </c>
      <c r="B25112" s="4" t="s">
        <v>31609</v>
      </c>
      <c r="C25112" s="5" t="str">
        <f>IFERROR(__xludf.DUMMYFUNCTION("GOOGLETRANSLATE(B25112,""en"",""it"")"),"Un uomo si chiude gli occhi mentre si taglia la barba e pettinata.")</f>
        <v>Un uomo si chiude gli occhi mentre si taglia la barba e pettinata.</v>
      </c>
    </row>
    <row r="25113">
      <c r="A25113" s="4" t="s">
        <v>31608</v>
      </c>
      <c r="B25113" s="4" t="s">
        <v>31610</v>
      </c>
      <c r="C25113" s="5" t="str">
        <f>IFERROR(__xludf.DUMMYFUNCTION("GOOGLETRANSLATE(B25113,""en"",""it"")"),"L'uomo ora ha una barba quasi rasata e si sta rasando il collo.")</f>
        <v>L'uomo ora ha una barba quasi rasata e si sta rasando il collo.</v>
      </c>
    </row>
    <row r="25114">
      <c r="A25114" s="4" t="s">
        <v>31608</v>
      </c>
      <c r="B25114" s="6" t="s">
        <v>31611</v>
      </c>
      <c r="C25114" s="5" t="str">
        <f>IFERROR(__xludf.DUMMYFUNCTION("GOOGLETRANSLATE(B25114,""en"",""it"")"),"L'uomo ha una crema da barba sul collo e sul lato e si sta facendo la barba ravvicinata con un rasoio con un movimento verso il basso.")</f>
        <v>L'uomo ha una crema da barba sul collo e sul lato e si sta facendo la barba ravvicinata con un rasoio con un movimento verso il basso.</v>
      </c>
    </row>
    <row r="25115">
      <c r="A25115" s="4" t="s">
        <v>31608</v>
      </c>
      <c r="B25115" s="4" t="s">
        <v>31612</v>
      </c>
      <c r="C25115" s="5" t="str">
        <f>IFERROR(__xludf.DUMMYFUNCTION("GOOGLETRANSLATE(B25115,""en"",""it"")"),"Il suo viso si sta percorrendo dopo essere stato rasato.")</f>
        <v>Il suo viso si sta percorrendo dopo essere stato rasato.</v>
      </c>
    </row>
    <row r="25116">
      <c r="A25116" s="4" t="s">
        <v>31608</v>
      </c>
      <c r="B25116" s="4" t="s">
        <v>31613</v>
      </c>
      <c r="C25116" s="5" t="str">
        <f>IFERROR(__xludf.DUMMYFUNCTION("GOOGLETRANSLATE(B25116,""en"",""it"")"),"Un uomo si strofina qualcosa sulle mani e lo picchia sul viso degli altri uomini.")</f>
        <v>Un uomo si strofina qualcosa sulle mani e lo picchia sul viso degli altri uomini.</v>
      </c>
    </row>
    <row r="25117">
      <c r="A25117" s="4" t="s">
        <v>31608</v>
      </c>
      <c r="B25117" s="4" t="s">
        <v>31614</v>
      </c>
      <c r="C25117" s="5" t="str">
        <f>IFERROR(__xludf.DUMMYFUNCTION("GOOGLETRANSLATE(B25117,""en"",""it"")"),"Il suo viso viene accarezzato con l'asciugamano alla fine.")</f>
        <v>Il suo viso viene accarezzato con l'asciugamano alla fine.</v>
      </c>
    </row>
    <row r="25118">
      <c r="A25118" s="4" t="s">
        <v>31615</v>
      </c>
      <c r="B25118" s="6" t="s">
        <v>31616</v>
      </c>
      <c r="C25118" s="5" t="str">
        <f>IFERROR(__xludf.DUMMYFUNCTION("GOOGLETRANSLATE(B25118,""en"",""it"")"),"All'interno della casa sul divano sono seduti due uomini, uno di loro parla casualmente un po 'l'altro tiene il braccio su un cuscino.")</f>
        <v>All'interno della casa sul divano sono seduti due uomini, uno di loro parla casualmente un po 'l'altro tiene il braccio su un cuscino.</v>
      </c>
    </row>
    <row r="25119">
      <c r="A25119" s="4" t="s">
        <v>31615</v>
      </c>
      <c r="B25119" s="6" t="s">
        <v>31617</v>
      </c>
      <c r="C25119" s="5" t="str">
        <f>IFERROR(__xludf.DUMMYFUNCTION("GOOGLETRANSLATE(B25119,""en"",""it"")"),"L'uomo sta dipingendo le unghie dei suoi amici, sembra aver fatto anche le unghie di qualcun altro e ha fatto un piccolo cuore rosso.")</f>
        <v>L'uomo sta dipingendo le unghie dei suoi amici, sembra aver fatto anche le unghie di qualcun altro e ha fatto un piccolo cuore rosso.</v>
      </c>
    </row>
    <row r="25120">
      <c r="A25120" s="4" t="s">
        <v>31615</v>
      </c>
      <c r="B25120" s="6" t="s">
        <v>31618</v>
      </c>
      <c r="C25120" s="5" t="str">
        <f>IFERROR(__xludf.DUMMYFUNCTION("GOOGLETRANSLATE(B25120,""en"",""it"")"),"L'uomo sta parlando ed è abbastanza eccitato in grado di farlo, continua a rimettere la parte superiore dello smalto per ottenere più vernice su di esso.")</f>
        <v>L'uomo sta parlando ed è abbastanza eccitato in grado di farlo, continua a rimettere la parte superiore dello smalto per ottenere più vernice su di esso.</v>
      </c>
    </row>
    <row r="25121">
      <c r="A25121" s="4" t="s">
        <v>31615</v>
      </c>
      <c r="B25121" s="4" t="s">
        <v>31619</v>
      </c>
      <c r="C25121" s="5" t="str">
        <f>IFERROR(__xludf.DUMMYFUNCTION("GOOGLETRANSLATE(B25121,""en"",""it"")"),"Strofina scherzosamente la faccia degli altri uomini e continua a prendersi il suo tempo dipingendo le unghie.")</f>
        <v>Strofina scherzosamente la faccia degli altri uomini e continua a prendersi il suo tempo dipingendo le unghie.</v>
      </c>
    </row>
    <row r="25122">
      <c r="A25122" s="4" t="s">
        <v>31620</v>
      </c>
      <c r="B25122" s="4" t="s">
        <v>31621</v>
      </c>
      <c r="C25122" s="5" t="str">
        <f>IFERROR(__xludf.DUMMYFUNCTION("GOOGLETRANSLATE(B25122,""en"",""it"")"),"Ci sono due bambini in piedi in un doppio lavello in acciaio inossidabile in una casa residenziale.")</f>
        <v>Ci sono due bambini in piedi in un doppio lavello in acciaio inossidabile in una casa residenziale.</v>
      </c>
    </row>
    <row r="25123">
      <c r="A25123" s="4" t="s">
        <v>31620</v>
      </c>
      <c r="B25123" s="6" t="s">
        <v>31622</v>
      </c>
      <c r="C25123" s="5" t="str">
        <f>IFERROR(__xludf.DUMMYFUNCTION("GOOGLETRANSLATE(B25123,""en"",""it"")"),"Il bambino più alto muove i piatti dal lato destro del lavandino sul lato sinistro del lavandino uno per uno mentre il bambino più piccolo tiene su un pennello arancione e non muove i piatti.")</f>
        <v>Il bambino più alto muove i piatti dal lato destro del lavandino sul lato sinistro del lavandino uno per uno mentre il bambino più piccolo tiene su un pennello arancione e non muove i piatti.</v>
      </c>
    </row>
    <row r="25124">
      <c r="A25124" s="4" t="s">
        <v>31620</v>
      </c>
      <c r="B25124" s="6" t="s">
        <v>31623</v>
      </c>
      <c r="C25124" s="5" t="str">
        <f>IFERROR(__xludf.DUMMYFUNCTION("GOOGLETRANSLATE(B25124,""en"",""it"")"),"Entrambi i bambini si rivolgono alla telecamera dietro di loro e il più vecchio fa un grande sorriso mentre il piccolo fa un sorriso molto piccolo.")</f>
        <v>Entrambi i bambini si rivolgono alla telecamera dietro di loro e il più vecchio fa un grande sorriso mentre il piccolo fa un sorriso molto piccolo.</v>
      </c>
    </row>
    <row r="25125">
      <c r="A25125" s="4" t="s">
        <v>31624</v>
      </c>
      <c r="B25125" s="4" t="s">
        <v>31625</v>
      </c>
      <c r="C25125" s="5" t="str">
        <f>IFERROR(__xludf.DUMMYFUNCTION("GOOGLETRANSLATE(B25125,""en"",""it"")"),"Una ginnasta solleva un peso fino alle spalle, quindi sollevalo sopra la sua testa.")</f>
        <v>Una ginnasta solleva un peso fino alle spalle, quindi sollevalo sopra la sua testa.</v>
      </c>
    </row>
    <row r="25126">
      <c r="A25126" s="4" t="s">
        <v>31624</v>
      </c>
      <c r="B25126" s="4" t="s">
        <v>31626</v>
      </c>
      <c r="C25126" s="5" t="str">
        <f>IFERROR(__xludf.DUMMYFUNCTION("GOOGLETRANSLATE(B25126,""en"",""it"")"),"L'uomo lasciò il peso caduto sul pavimento.")</f>
        <v>L'uomo lasciò il peso caduto sul pavimento.</v>
      </c>
    </row>
    <row r="25127">
      <c r="A25127" s="4" t="s">
        <v>31627</v>
      </c>
      <c r="B25127" s="6" t="s">
        <v>31628</v>
      </c>
      <c r="C25127" s="5" t="str">
        <f>IFERROR(__xludf.DUMMYFUNCTION("GOOGLETRANSLATE(B25127,""en"",""it"")"),"Un uomo viene visto parlare con la telecamera dietro una scrivania e porta a spettacoli di persone che cavalcano su skateboard.")</f>
        <v>Un uomo viene visto parlare con la telecamera dietro una scrivania e porta a spettacoli di persone che cavalcano su skateboard.</v>
      </c>
    </row>
    <row r="25128">
      <c r="A25128" s="4" t="s">
        <v>31627</v>
      </c>
      <c r="B25128" s="4" t="s">
        <v>31629</v>
      </c>
      <c r="C25128" s="5" t="str">
        <f>IFERROR(__xludf.DUMMYFUNCTION("GOOGLETRANSLATE(B25128,""en"",""it"")"),"Vengono mostrati altri scatti di lui che parlano e le persone fanno trucchi sugli skateboard.")</f>
        <v>Vengono mostrati altri scatti di lui che parlano e le persone fanno trucchi sugli skateboard.</v>
      </c>
    </row>
    <row r="25129">
      <c r="A25129" s="4" t="s">
        <v>31630</v>
      </c>
      <c r="B25129" s="4" t="s">
        <v>31631</v>
      </c>
      <c r="C25129" s="5" t="str">
        <f>IFERROR(__xludf.DUMMYFUNCTION("GOOGLETRANSLATE(B25129,""en"",""it"")"),"Un folto gruppo di persone è in piedi e cammina per diverse pile di tubi interni e un autobus.")</f>
        <v>Un folto gruppo di persone è in piedi e cammina per diverse pile di tubi interni e un autobus.</v>
      </c>
    </row>
    <row r="25130">
      <c r="A25130" s="4" t="s">
        <v>31630</v>
      </c>
      <c r="B25130" s="4" t="s">
        <v>31632</v>
      </c>
      <c r="C25130" s="5" t="str">
        <f>IFERROR(__xludf.DUMMYFUNCTION("GOOGLETRANSLATE(B25130,""en"",""it"")"),"Due bambini piccoli sono seduti su uno dei posti dell'autobus.")</f>
        <v>Due bambini piccoli sono seduti su uno dei posti dell'autobus.</v>
      </c>
    </row>
    <row r="25131">
      <c r="A25131" s="4" t="s">
        <v>31630</v>
      </c>
      <c r="B25131" s="4" t="s">
        <v>31633</v>
      </c>
      <c r="C25131" s="5" t="str">
        <f>IFERROR(__xludf.DUMMYFUNCTION("GOOGLETRANSLATE(B25131,""en"",""it"")"),"Un gruppo di adulti sta cavalcando in autobus a parlare.")</f>
        <v>Un gruppo di adulti sta cavalcando in autobus a parlare.</v>
      </c>
    </row>
    <row r="25132">
      <c r="A25132" s="4" t="s">
        <v>31630</v>
      </c>
      <c r="B25132" s="6" t="s">
        <v>31634</v>
      </c>
      <c r="C25132" s="5" t="str">
        <f>IFERROR(__xludf.DUMMYFUNCTION("GOOGLETRANSLATE(B25132,""en"",""it"")"),"Diversi bambini sono nei loro tubi interni nell'acqua tra le altre persone che galleggiano su tubi interni nell'acqua.")</f>
        <v>Diversi bambini sono nei loro tubi interni nell'acqua tra le altre persone che galleggiano su tubi interni nell'acqua.</v>
      </c>
    </row>
    <row r="25133">
      <c r="A25133" s="4" t="s">
        <v>31630</v>
      </c>
      <c r="B25133" s="4" t="s">
        <v>31635</v>
      </c>
      <c r="C25133" s="5" t="str">
        <f>IFERROR(__xludf.DUMMYFUNCTION("GOOGLETRANSLATE(B25133,""en"",""it"")"),"Diverse persone sono mostrate in canoa con persone in tubi interni in background.")</f>
        <v>Diverse persone sono mostrate in canoa con persone in tubi interni in background.</v>
      </c>
    </row>
    <row r="25134">
      <c r="A25134" s="4" t="s">
        <v>31630</v>
      </c>
      <c r="B25134" s="4" t="s">
        <v>31636</v>
      </c>
      <c r="C25134" s="5" t="str">
        <f>IFERROR(__xludf.DUMMYFUNCTION("GOOGLETRANSLATE(B25134,""en"",""it"")"),"Una ragazza affonda nel mezzo del suo tubo interno e salta di nuovo con la testa immersa.")</f>
        <v>Una ragazza affonda nel mezzo del suo tubo interno e salta di nuovo con la testa immersa.</v>
      </c>
    </row>
    <row r="25135">
      <c r="A25135" s="4" t="s">
        <v>31630</v>
      </c>
      <c r="B25135" s="4" t="s">
        <v>31637</v>
      </c>
      <c r="C25135" s="5" t="str">
        <f>IFERROR(__xludf.DUMMYFUNCTION("GOOGLETRANSLATE(B25135,""en"",""it"")"),"Qualcuno mostra una vista in prima persona che galleggia lungo il fiume.")</f>
        <v>Qualcuno mostra una vista in prima persona che galleggia lungo il fiume.</v>
      </c>
    </row>
    <row r="25136">
      <c r="A25136" s="4" t="s">
        <v>31630</v>
      </c>
      <c r="B25136" s="4" t="s">
        <v>31638</v>
      </c>
      <c r="C25136" s="5" t="str">
        <f>IFERROR(__xludf.DUMMYFUNCTION("GOOGLETRANSLATE(B25136,""en"",""it"")"),"Varie altre persone sono mostrate in tubi interni e canoe nell'acqua.")</f>
        <v>Varie altre persone sono mostrate in tubi interni e canoe nell'acqua.</v>
      </c>
    </row>
    <row r="25137">
      <c r="A25137" s="4" t="s">
        <v>31630</v>
      </c>
      <c r="B25137" s="4" t="s">
        <v>31639</v>
      </c>
      <c r="C25137" s="5" t="str">
        <f>IFERROR(__xludf.DUMMYFUNCTION("GOOGLETRANSLATE(B25137,""en"",""it"")"),"Alcune persone vengono viste comprare cibo da due donne in un banco di concessione.")</f>
        <v>Alcune persone vengono viste comprare cibo da due donne in un banco di concessione.</v>
      </c>
    </row>
    <row r="25138">
      <c r="A25138" s="4" t="s">
        <v>31630</v>
      </c>
      <c r="B25138" s="4" t="s">
        <v>31640</v>
      </c>
      <c r="C25138" s="5" t="str">
        <f>IFERROR(__xludf.DUMMYFUNCTION("GOOGLETRANSLATE(B25138,""en"",""it"")"),"Un uomo tiene un ragazzo in un giubbotto di salvataggio che sembra che stia dormendo.")</f>
        <v>Un uomo tiene un ragazzo in un giubbotto di salvataggio che sembra che stia dormendo.</v>
      </c>
    </row>
    <row r="25139">
      <c r="A25139" s="4" t="s">
        <v>31641</v>
      </c>
      <c r="B25139" s="4" t="s">
        <v>31642</v>
      </c>
      <c r="C25139" s="5" t="str">
        <f>IFERROR(__xludf.DUMMYFUNCTION("GOOGLETRANSLATE(B25139,""en"",""it"")"),"Una ragazza si arrampica attraverso le barre delle scimmie fuori da un edificio.")</f>
        <v>Una ragazza si arrampica attraverso le barre delle scimmie fuori da un edificio.</v>
      </c>
    </row>
    <row r="25140">
      <c r="A25140" s="4" t="s">
        <v>31641</v>
      </c>
      <c r="B25140" s="4" t="s">
        <v>31643</v>
      </c>
      <c r="C25140" s="5" t="str">
        <f>IFERROR(__xludf.DUMMYFUNCTION("GOOGLETRANSLATE(B25140,""en"",""it"")"),"Sta oscillando da ogni gradino, spostando il suo corpo in avanti uno alla volta.")</f>
        <v>Sta oscillando da ogni gradino, spostando il suo corpo in avanti uno alla volta.</v>
      </c>
    </row>
    <row r="25141">
      <c r="A25141" s="4" t="s">
        <v>31641</v>
      </c>
      <c r="B25141" s="4" t="s">
        <v>31644</v>
      </c>
      <c r="C25141" s="5" t="str">
        <f>IFERROR(__xludf.DUMMYFUNCTION("GOOGLETRANSLATE(B25141,""en"",""it"")"),"Quando raggiunge l'altra estremità, si gira e inizia a tornare all'inizio.")</f>
        <v>Quando raggiunge l'altra estremità, si gira e inizia a tornare all'inizio.</v>
      </c>
    </row>
    <row r="25142">
      <c r="A25142" s="4" t="s">
        <v>31645</v>
      </c>
      <c r="B25142" s="4" t="s">
        <v>31646</v>
      </c>
      <c r="C25142" s="5" t="str">
        <f>IFERROR(__xludf.DUMMYFUNCTION("GOOGLETRANSLATE(B25142,""en"",""it"")"),"Un uomo in palestra si avvicina a un bilanciere.")</f>
        <v>Un uomo in palestra si avvicina a un bilanciere.</v>
      </c>
    </row>
    <row r="25143">
      <c r="A25143" s="4" t="s">
        <v>31645</v>
      </c>
      <c r="B25143" s="4" t="s">
        <v>31647</v>
      </c>
      <c r="C25143" s="5" t="str">
        <f>IFERROR(__xludf.DUMMYFUNCTION("GOOGLETRANSLATE(B25143,""en"",""it"")"),"L'uomo solleva il bilanciere sul petto, poi sopra la sua testa.")</f>
        <v>L'uomo solleva il bilanciere sul petto, poi sopra la sua testa.</v>
      </c>
    </row>
    <row r="25144">
      <c r="A25144" s="4" t="s">
        <v>31645</v>
      </c>
      <c r="B25144" s="4" t="s">
        <v>31648</v>
      </c>
      <c r="C25144" s="5" t="str">
        <f>IFERROR(__xludf.DUMMYFUNCTION("GOOGLETRANSLATE(B25144,""en"",""it"")"),"L'uomo lascia cadere il peso.")</f>
        <v>L'uomo lascia cadere il peso.</v>
      </c>
    </row>
    <row r="25145">
      <c r="A25145" s="4" t="s">
        <v>31645</v>
      </c>
      <c r="B25145" s="4" t="s">
        <v>31649</v>
      </c>
      <c r="C25145" s="5" t="str">
        <f>IFERROR(__xludf.DUMMYFUNCTION("GOOGLETRANSLATE(B25145,""en"",""it"")"),"L'uomo abbraccia gli uomini dietro di lui.")</f>
        <v>L'uomo abbraccia gli uomini dietro di lui.</v>
      </c>
    </row>
    <row r="25146">
      <c r="A25146" s="4" t="s">
        <v>31645</v>
      </c>
      <c r="B25146" s="4" t="s">
        <v>31650</v>
      </c>
      <c r="C25146" s="5" t="str">
        <f>IFERROR(__xludf.DUMMYFUNCTION("GOOGLETRANSLATE(B25146,""en"",""it"")"),"Un uomo in rosso corre e salta sull'uomo di sollevamento pesi.")</f>
        <v>Un uomo in rosso corre e salta sull'uomo di sollevamento pesi.</v>
      </c>
    </row>
    <row r="25147">
      <c r="A25147" s="4" t="s">
        <v>31645</v>
      </c>
      <c r="B25147" s="4" t="s">
        <v>31651</v>
      </c>
      <c r="C25147" s="5" t="str">
        <f>IFERROR(__xludf.DUMMYFUNCTION("GOOGLETRANSLATE(B25147,""en"",""it"")"),"L'uomo in rosso se ne va ridendo.")</f>
        <v>L'uomo in rosso se ne va ridendo.</v>
      </c>
    </row>
    <row r="25148">
      <c r="A25148" s="4" t="s">
        <v>31652</v>
      </c>
      <c r="B25148" s="4" t="s">
        <v>31653</v>
      </c>
      <c r="C25148" s="5" t="str">
        <f>IFERROR(__xludf.DUMMYFUNCTION("GOOGLETRANSLATE(B25148,""en"",""it"")"),"Una persona in una camicia nera viene colpita da una palla.")</f>
        <v>Una persona in una camicia nera viene colpita da una palla.</v>
      </c>
    </row>
    <row r="25149">
      <c r="A25149" s="4" t="s">
        <v>31652</v>
      </c>
      <c r="B25149" s="4" t="s">
        <v>31654</v>
      </c>
      <c r="C25149" s="5" t="str">
        <f>IFERROR(__xludf.DUMMYFUNCTION("GOOGLETRANSLATE(B25149,""en"",""it"")"),"La gente in piedi sulla spiaggia si lancia intorno a una palla arancione.")</f>
        <v>La gente in piedi sulla spiaggia si lancia intorno a una palla arancione.</v>
      </c>
    </row>
    <row r="25150">
      <c r="A25150" s="4" t="s">
        <v>31652</v>
      </c>
      <c r="B25150" s="4" t="s">
        <v>31655</v>
      </c>
      <c r="C25150" s="5" t="str">
        <f>IFERROR(__xludf.DUMMYFUNCTION("GOOGLETRANSLATE(B25150,""en"",""it"")"),"Ci sono persone che nuotano nell'acqua dietro di loro.")</f>
        <v>Ci sono persone che nuotano nell'acqua dietro di loro.</v>
      </c>
    </row>
    <row r="25151">
      <c r="A25151" s="4" t="s">
        <v>31656</v>
      </c>
      <c r="B25151" s="6" t="s">
        <v>31657</v>
      </c>
      <c r="C25151" s="5" t="str">
        <f>IFERROR(__xludf.DUMMYFUNCTION("GOOGLETRANSLATE(B25151,""en"",""it"")"),"Un pacchetto chiaro di bigodini di capelli flessibili morbidi è mostrato su un tavolo nero mentre una mano raccoglie un bigodino viola scartato e si agita con esso.")</f>
        <v>Un pacchetto chiaro di bigodini di capelli flessibili morbidi è mostrato su un tavolo nero mentre una mano raccoglie un bigodino viola scartato e si agita con esso.</v>
      </c>
    </row>
    <row r="25152">
      <c r="A25152" s="4" t="s">
        <v>31656</v>
      </c>
      <c r="B25152" s="6" t="s">
        <v>31658</v>
      </c>
      <c r="C25152" s="5" t="str">
        <f>IFERROR(__xludf.DUMMYFUNCTION("GOOGLETRANSLATE(B25152,""en"",""it"")"),"La mano gira la borsa in modo che il contenuto venga mostrato attraverso la bocca della borsa prima di gestire sia i bigodini viola e rosa.")</f>
        <v>La mano gira la borsa in modo che il contenuto venga mostrato attraverso la bocca della borsa prima di gestire sia i bigodini viola e rosa.</v>
      </c>
    </row>
    <row r="25153">
      <c r="A25153" s="4" t="s">
        <v>31656</v>
      </c>
      <c r="B25153" s="6" t="s">
        <v>31659</v>
      </c>
      <c r="C25153" s="5" t="str">
        <f>IFERROR(__xludf.DUMMYFUNCTION("GOOGLETRANSLATE(B25153,""en"",""it"")"),"La mano continua a andare avanti e indietro tra la gestione dei due bigodini sciolti e il retro pieno dei bigodini prima che il video finisca.")</f>
        <v>La mano continua a andare avanti e indietro tra la gestione dei due bigodini sciolti e il retro pieno dei bigodini prima che il video finisca.</v>
      </c>
    </row>
    <row r="25154">
      <c r="A25154" s="4" t="s">
        <v>31660</v>
      </c>
      <c r="B25154" s="6" t="s">
        <v>31661</v>
      </c>
      <c r="C25154" s="5" t="str">
        <f>IFERROR(__xludf.DUMMYFUNCTION("GOOGLETRANSLATE(B25154,""en"",""it"")"),"Un'introduzione video in bianco e nero appare con effetti speciali delle lettere asiatiche che vengono visualizzate mentre vengono visualizzate immagini diverse di persone.")</f>
        <v>Un'introduzione video in bianco e nero appare con effetti speciali delle lettere asiatiche che vengono visualizzate mentre vengono visualizzate immagini diverse di persone.</v>
      </c>
    </row>
    <row r="25155">
      <c r="A25155" s="4" t="s">
        <v>31660</v>
      </c>
      <c r="B25155" s="6" t="s">
        <v>31662</v>
      </c>
      <c r="C25155" s="5" t="str">
        <f>IFERROR(__xludf.DUMMYFUNCTION("GOOGLETRANSLATE(B25155,""en"",""it"")"),"Un uomo asiatico ora sorride e parla con la telecamera mentre si siede di fronte a un microfono in uno studio, e poi canta mentre suona su un piano nero mentre legge musica da fogli musicali sul piano.")</f>
        <v>Un uomo asiatico ora sorride e parla con la telecamera mentre si siede di fronte a un microfono in uno studio, e poi canta mentre suona su un piano nero mentre legge musica da fogli musicali sul piano.</v>
      </c>
    </row>
    <row r="25156">
      <c r="A25156" s="4" t="s">
        <v>31660</v>
      </c>
      <c r="B25156" s="4" t="s">
        <v>31663</v>
      </c>
      <c r="C25156" s="5" t="str">
        <f>IFERROR(__xludf.DUMMYFUNCTION("GOOGLETRANSLATE(B25156,""en"",""it"")"),"Quando l'uomo ha finito di cantare e suonare, si gira verso la telecamera e fa un grande sorriso.")</f>
        <v>Quando l'uomo ha finito di cantare e suonare, si gira verso la telecamera e fa un grande sorriso.</v>
      </c>
    </row>
    <row r="25157">
      <c r="A25157" s="4" t="s">
        <v>31660</v>
      </c>
      <c r="B25157" s="4" t="s">
        <v>31664</v>
      </c>
      <c r="C25157" s="5" t="str">
        <f>IFERROR(__xludf.DUMMYFUNCTION("GOOGLETRANSLATE(B25157,""en"",""it"")"),"Viene visualizzato uno schermo nero e le lettere bianche appare in basso a destra.")</f>
        <v>Viene visualizzato uno schermo nero e le lettere bianche appare in basso a destra.</v>
      </c>
    </row>
    <row r="25158">
      <c r="A25158" s="4" t="s">
        <v>31665</v>
      </c>
      <c r="B25158" s="6" t="s">
        <v>31666</v>
      </c>
      <c r="C25158" s="5" t="str">
        <f>IFERROR(__xludf.DUMMYFUNCTION("GOOGLETRANSLATE(B25158,""en"",""it"")"),"Docto sta parlando in una sala di consulenza e mescola liquidi in una provetta preparando il caffè e parla con la telecamera dei benefici del caffè.")</f>
        <v>Docto sta parlando in una sala di consulenza e mescola liquidi in una provetta preparando il caffè e parla con la telecamera dei benefici del caffè.</v>
      </c>
    </row>
    <row r="25159">
      <c r="A25159" s="4" t="s">
        <v>31665</v>
      </c>
      <c r="B25159" s="4" t="s">
        <v>31667</v>
      </c>
      <c r="C25159" s="5" t="str">
        <f>IFERROR(__xludf.DUMMYFUNCTION("GOOGLETRANSLATE(B25159,""en"",""it"")"),"Il caffè viene servito in una tazza e viene mostrato i benefici del caffè nel corpo.")</f>
        <v>Il caffè viene servito in una tazza e viene mostrato i benefici del caffè nel corpo.</v>
      </c>
    </row>
    <row r="25160">
      <c r="A25160" s="4" t="s">
        <v>31668</v>
      </c>
      <c r="B25160" s="4" t="s">
        <v>31669</v>
      </c>
      <c r="C25160" s="5" t="str">
        <f>IFERROR(__xludf.DUMMYFUNCTION("GOOGLETRANSLATE(B25160,""en"",""it"")"),"Un uomo si inginocchia nella sua attrezzatura di scherma.")</f>
        <v>Un uomo si inginocchia nella sua attrezzatura di scherma.</v>
      </c>
    </row>
    <row r="25161">
      <c r="A25161" s="4" t="s">
        <v>31668</v>
      </c>
      <c r="B25161" s="4" t="s">
        <v>31670</v>
      </c>
      <c r="C25161" s="5" t="str">
        <f>IFERROR(__xludf.DUMMYFUNCTION("GOOGLETRANSLATE(B25161,""en"",""it"")"),"Un uomo si avvicina a lui con la schiena girata mentre parlano.")</f>
        <v>Un uomo si avvicina a lui con la schiena girata mentre parlano.</v>
      </c>
    </row>
    <row r="25162">
      <c r="A25162" s="4" t="s">
        <v>31668</v>
      </c>
      <c r="B25162" s="4" t="s">
        <v>31671</v>
      </c>
      <c r="C25162" s="5" t="str">
        <f>IFERROR(__xludf.DUMMYFUNCTION("GOOGLETRANSLATE(B25162,""en"",""it"")"),"L'uomo si trova e si impegna nella scherma con un avversario, entrambi attaccati ai cavi dietro di loro.")</f>
        <v>L'uomo si trova e si impegna nella scherma con un avversario, entrambi attaccati ai cavi dietro di loro.</v>
      </c>
    </row>
    <row r="25163">
      <c r="A25163" s="4" t="s">
        <v>31672</v>
      </c>
      <c r="B25163" s="4" t="s">
        <v>31673</v>
      </c>
      <c r="C25163" s="5" t="str">
        <f>IFERROR(__xludf.DUMMYFUNCTION("GOOGLETRANSLATE(B25163,""en"",""it"")"),"Un uomo che indossa una camicia blu e un uomo che indossa una camicia da dardo entra in un palco circondato da una folla.")</f>
        <v>Un uomo che indossa una camicia blu e un uomo che indossa una camicia da dardo entra in un palco circondato da una folla.</v>
      </c>
    </row>
    <row r="25164">
      <c r="A25164" s="4" t="s">
        <v>31672</v>
      </c>
      <c r="B25164" s="4" t="s">
        <v>31674</v>
      </c>
      <c r="C25164" s="5" t="str">
        <f>IFERROR(__xludf.DUMMYFUNCTION("GOOGLETRANSLATE(B25164,""en"",""it"")"),"I due uomini competono con carta, forbici e roccia davanti a un giudice.")</f>
        <v>I due uomini competono con carta, forbici e roccia davanti a un giudice.</v>
      </c>
    </row>
    <row r="25165">
      <c r="A25165" s="4" t="s">
        <v>31672</v>
      </c>
      <c r="B25165" s="4" t="s">
        <v>31675</v>
      </c>
      <c r="C25165" s="5" t="str">
        <f>IFERROR(__xludf.DUMMYFUNCTION("GOOGLETRANSLATE(B25165,""en"",""it"")"),"I due uomini continuano a competere mentre il giudice dà l'inizio.")</f>
        <v>I due uomini continuano a competere mentre il giudice dà l'inizio.</v>
      </c>
    </row>
    <row r="25166">
      <c r="A25166" s="4" t="s">
        <v>31672</v>
      </c>
      <c r="B25166" s="6" t="s">
        <v>31676</v>
      </c>
      <c r="C25166" s="5" t="str">
        <f>IFERROR(__xludf.DUMMYFUNCTION("GOOGLETRANSLATE(B25166,""en"",""it"")"),"Quindi, i due uomini continuano a gareggiare, dopo che l'uomo che indossa una camicia scura ha vinto la competizione e le persone applaudi.")</f>
        <v>Quindi, i due uomini continuano a gareggiare, dopo che l'uomo che indossa una camicia scura ha vinto la competizione e le persone applaudi.</v>
      </c>
    </row>
    <row r="25167">
      <c r="A25167" s="4" t="s">
        <v>31677</v>
      </c>
      <c r="B25167" s="4" t="s">
        <v>31678</v>
      </c>
      <c r="C25167" s="5" t="str">
        <f>IFERROR(__xludf.DUMMYFUNCTION("GOOGLETRANSLATE(B25167,""en"",""it"")"),"Un ragazzo che indossa una camicia a quadri rossa mostra un tutorial su come tagliare e potare gli alberi in un giardino.")</f>
        <v>Un ragazzo che indossa una camicia a quadri rossa mostra un tutorial su come tagliare e potare gli alberi in un giardino.</v>
      </c>
    </row>
    <row r="25168">
      <c r="A25168" s="4" t="s">
        <v>31677</v>
      </c>
      <c r="B25168" s="4" t="s">
        <v>31679</v>
      </c>
      <c r="C25168" s="5" t="str">
        <f>IFERROR(__xludf.DUMMYFUNCTION("GOOGLETRANSLATE(B25168,""en"",""it"")"),"Sta usando un paio di cesoie da giardino per tagliare le foglie eccessive coltivate sugli alberi.")</f>
        <v>Sta usando un paio di cesoie da giardino per tagliare le foglie eccessive coltivate sugli alberi.</v>
      </c>
    </row>
    <row r="25169">
      <c r="A25169" s="4" t="s">
        <v>31677</v>
      </c>
      <c r="B25169" s="4" t="s">
        <v>31680</v>
      </c>
      <c r="C25169" s="5" t="str">
        <f>IFERROR(__xludf.DUMMYFUNCTION("GOOGLETRANSLATE(B25169,""en"",""it"")"),"Dimostra quindi come fertile gli alberi e gli arbusti usando alcune palline di fertilizzanti.")</f>
        <v>Dimostra quindi come fertile gli alberi e gli arbusti usando alcune palline di fertilizzanti.</v>
      </c>
    </row>
    <row r="25170">
      <c r="A25170" s="4" t="s">
        <v>31677</v>
      </c>
      <c r="B25170" s="4" t="s">
        <v>31681</v>
      </c>
      <c r="C25170" s="5" t="str">
        <f>IFERROR(__xludf.DUMMYFUNCTION("GOOGLETRANSLATE(B25170,""en"",""it"")"),"Ha quindi usato un fertilizzante liquido sugli alberi e le piante per fortificarli.")</f>
        <v>Ha quindi usato un fertilizzante liquido sugli alberi e le piante per fortificarli.</v>
      </c>
    </row>
    <row r="25171">
      <c r="A25171" s="4" t="s">
        <v>31677</v>
      </c>
      <c r="B25171" s="4" t="s">
        <v>31682</v>
      </c>
      <c r="C25171" s="5" t="str">
        <f>IFERROR(__xludf.DUMMYFUNCTION("GOOGLETRANSLATE(B25171,""en"",""it"")"),"Alla fine acquita gli alberi e le piante con un tubo per completare il processo.")</f>
        <v>Alla fine acquita gli alberi e le piante con un tubo per completare il processo.</v>
      </c>
    </row>
    <row r="25172">
      <c r="A25172" s="4" t="s">
        <v>31683</v>
      </c>
      <c r="B25172" s="4" t="s">
        <v>31684</v>
      </c>
      <c r="C25172" s="5" t="str">
        <f>IFERROR(__xludf.DUMMYFUNCTION("GOOGLETRANSLATE(B25172,""en"",""it"")"),"Vediamo una luce rossa quindi il titolo.")</f>
        <v>Vediamo una luce rossa quindi il titolo.</v>
      </c>
    </row>
    <row r="25173">
      <c r="A25173" s="4" t="s">
        <v>31683</v>
      </c>
      <c r="B25173" s="4" t="s">
        <v>31685</v>
      </c>
      <c r="C25173" s="5" t="str">
        <f>IFERROR(__xludf.DUMMYFUNCTION("GOOGLETRANSLATE(B25173,""en"",""it"")"),"Viene mostrato l'attrezzatura per motociclisti di un uomo.")</f>
        <v>Viene mostrato l'attrezzatura per motociclisti di un uomo.</v>
      </c>
    </row>
    <row r="25174">
      <c r="A25174" s="4" t="s">
        <v>31683</v>
      </c>
      <c r="B25174" s="4" t="s">
        <v>31686</v>
      </c>
      <c r="C25174" s="5" t="str">
        <f>IFERROR(__xludf.DUMMYFUNCTION("GOOGLETRANSLATE(B25174,""en"",""it"")"),"Ci viene mostrato il terreno.")</f>
        <v>Ci viene mostrato il terreno.</v>
      </c>
    </row>
    <row r="25175">
      <c r="A25175" s="4" t="s">
        <v>31683</v>
      </c>
      <c r="B25175" s="4" t="s">
        <v>31687</v>
      </c>
      <c r="C25175" s="5" t="str">
        <f>IFERROR(__xludf.DUMMYFUNCTION("GOOGLETRANSLATE(B25175,""en"",""it"")"),"I cavalieri decollano in bici.")</f>
        <v>I cavalieri decollano in bici.</v>
      </c>
    </row>
    <row r="25176">
      <c r="A25176" s="4" t="s">
        <v>31683</v>
      </c>
      <c r="B25176" s="4" t="s">
        <v>31688</v>
      </c>
      <c r="C25176" s="5" t="str">
        <f>IFERROR(__xludf.DUMMYFUNCTION("GOOGLETRANSLATE(B25176,""en"",""it"")"),"Li vediamo cavalcare su tutti i tipi di terreno.")</f>
        <v>Li vediamo cavalcare su tutti i tipi di terreno.</v>
      </c>
    </row>
    <row r="25177">
      <c r="A25177" s="4" t="s">
        <v>31683</v>
      </c>
      <c r="B25177" s="4" t="s">
        <v>31689</v>
      </c>
      <c r="C25177" s="5" t="str">
        <f>IFERROR(__xludf.DUMMYFUNCTION("GOOGLETRANSLATE(B25177,""en"",""it"")"),"Vediamo un colpo aereo dei motociclisti.")</f>
        <v>Vediamo un colpo aereo dei motociclisti.</v>
      </c>
    </row>
    <row r="25178">
      <c r="A25178" s="4" t="s">
        <v>31683</v>
      </c>
      <c r="B25178" s="4" t="s">
        <v>31690</v>
      </c>
      <c r="C25178" s="5" t="str">
        <f>IFERROR(__xludf.DUMMYFUNCTION("GOOGLETRANSLATE(B25178,""en"",""it"")"),"Vediamo un lago e un cane seguito da una bici su una strada.")</f>
        <v>Vediamo un lago e un cane seguito da una bici su una strada.</v>
      </c>
    </row>
    <row r="25179">
      <c r="A25179" s="4" t="s">
        <v>31683</v>
      </c>
      <c r="B25179" s="4" t="s">
        <v>31691</v>
      </c>
      <c r="C25179" s="5" t="str">
        <f>IFERROR(__xludf.DUMMYFUNCTION("GOOGLETRANSLATE(B25179,""en"",""it"")"),"Un uomo usa un coltello per aprire un cocco.")</f>
        <v>Un uomo usa un coltello per aprire un cocco.</v>
      </c>
    </row>
    <row r="25180">
      <c r="A25180" s="4" t="s">
        <v>31683</v>
      </c>
      <c r="B25180" s="4" t="s">
        <v>31692</v>
      </c>
      <c r="C25180" s="5" t="str">
        <f>IFERROR(__xludf.DUMMYFUNCTION("GOOGLETRANSLATE(B25180,""en"",""it"")"),"Torniamo ai motociclisti sportivi che eseguono acrobazie.")</f>
        <v>Torniamo ai motociclisti sportivi che eseguono acrobazie.</v>
      </c>
    </row>
    <row r="25181">
      <c r="A25181" s="4" t="s">
        <v>31683</v>
      </c>
      <c r="B25181" s="4" t="s">
        <v>31693</v>
      </c>
      <c r="C25181" s="5" t="str">
        <f>IFERROR(__xludf.DUMMYFUNCTION("GOOGLETRANSLATE(B25181,""en"",""it"")"),"Vediamo due motociclisti che volano nel cielo.")</f>
        <v>Vediamo due motociclisti che volano nel cielo.</v>
      </c>
    </row>
    <row r="25182">
      <c r="A25182" s="4" t="s">
        <v>31683</v>
      </c>
      <c r="B25182" s="4" t="s">
        <v>31694</v>
      </c>
      <c r="C25182" s="5" t="str">
        <f>IFERROR(__xludf.DUMMYFUNCTION("GOOGLETRANSLATE(B25182,""en"",""it"")"),"Vediamo quindi tre motociclisti seduti ancora sulle loro bici.")</f>
        <v>Vediamo quindi tre motociclisti seduti ancora sulle loro bici.</v>
      </c>
    </row>
    <row r="25183">
      <c r="A25183" s="4" t="s">
        <v>31683</v>
      </c>
      <c r="B25183" s="4" t="s">
        <v>31695</v>
      </c>
      <c r="C25183" s="5" t="str">
        <f>IFERROR(__xludf.DUMMYFUNCTION("GOOGLETRANSLATE(B25183,""en"",""it"")"),"Vediamo la scheda del titolo finale.")</f>
        <v>Vediamo la scheda del titolo finale.</v>
      </c>
    </row>
    <row r="25184">
      <c r="A25184" s="4" t="s">
        <v>31696</v>
      </c>
      <c r="B25184" s="4" t="s">
        <v>31697</v>
      </c>
      <c r="C25184" s="5" t="str">
        <f>IFERROR(__xludf.DUMMYFUNCTION("GOOGLETRANSLATE(B25184,""en"",""it"")"),"Un giovane ragazzo ginnastico sale in un bar e inizia a fare giri e altre cose.")</f>
        <v>Un giovane ragazzo ginnastico sale in un bar e inizia a fare giri e altre cose.</v>
      </c>
    </row>
    <row r="25185">
      <c r="A25185" s="4" t="s">
        <v>31696</v>
      </c>
      <c r="B25185" s="4" t="s">
        <v>31698</v>
      </c>
      <c r="C25185" s="5" t="str">
        <f>IFERROR(__xludf.DUMMYFUNCTION("GOOGLETRANSLATE(B25185,""en"",""it"")"),"Sembra che venga giudicato per un torneo.")</f>
        <v>Sembra che venga giudicato per un torneo.</v>
      </c>
    </row>
    <row r="25186">
      <c r="A25186" s="4" t="s">
        <v>31696</v>
      </c>
      <c r="B25186" s="4" t="s">
        <v>31699</v>
      </c>
      <c r="C25186" s="5" t="str">
        <f>IFERROR(__xludf.DUMMYFUNCTION("GOOGLETRANSLATE(B25186,""en"",""it"")"),"È sui bar che fa eccellente, sembra fantastico e si diverte mentre lo fa.")</f>
        <v>È sui bar che fa eccellente, sembra fantastico e si diverte mentre lo fa.</v>
      </c>
    </row>
    <row r="25187">
      <c r="A25187" s="4" t="s">
        <v>31696</v>
      </c>
      <c r="B25187" s="4" t="s">
        <v>31700</v>
      </c>
      <c r="C25187" s="5" t="str">
        <f>IFERROR(__xludf.DUMMYFUNCTION("GOOGLETRANSLATE(B25187,""en"",""it"")"),"Quindi, atterra e posa e il pubblico viene mostrato.")</f>
        <v>Quindi, atterra e posa e il pubblico viene mostrato.</v>
      </c>
    </row>
    <row r="25188">
      <c r="A25188" s="4" t="s">
        <v>31701</v>
      </c>
      <c r="B25188" s="4" t="s">
        <v>31702</v>
      </c>
      <c r="C25188" s="5" t="str">
        <f>IFERROR(__xludf.DUMMYFUNCTION("GOOGLETRANSLATE(B25188,""en"",""it"")"),"Un uomo si trova in possesso di violino e arco che discutono delle sue caratteristiche.")</f>
        <v>Un uomo si trova in possesso di violino e arco che discutono delle sue caratteristiche.</v>
      </c>
    </row>
    <row r="25189">
      <c r="A25189" s="4" t="s">
        <v>31701</v>
      </c>
      <c r="B25189" s="4" t="s">
        <v>31703</v>
      </c>
      <c r="C25189" s="5" t="str">
        <f>IFERROR(__xludf.DUMMYFUNCTION("GOOGLETRANSLATE(B25189,""en"",""it"")"),"L'uomo mette lo strumento sotto il mento e stringe l'arco.")</f>
        <v>L'uomo mette lo strumento sotto il mento e stringe l'arco.</v>
      </c>
    </row>
    <row r="25190">
      <c r="A25190" s="4" t="s">
        <v>31701</v>
      </c>
      <c r="B25190" s="4" t="s">
        <v>31704</v>
      </c>
      <c r="C25190" s="5" t="str">
        <f>IFERROR(__xludf.DUMMYFUNCTION("GOOGLETRANSLATE(B25190,""en"",""it"")"),"L'uomo annulla le corde di arco e le colpisce attorno al violino.")</f>
        <v>L'uomo annulla le corde di arco e le colpisce attorno al violino.</v>
      </c>
    </row>
    <row r="25191">
      <c r="A25191" s="4" t="s">
        <v>31701</v>
      </c>
      <c r="B25191" s="4" t="s">
        <v>31705</v>
      </c>
      <c r="C25191" s="5" t="str">
        <f>IFERROR(__xludf.DUMMYFUNCTION("GOOGLETRANSLATE(B25191,""en"",""it"")"),"L'uomo suona una canzone sul violino.")</f>
        <v>L'uomo suona una canzone sul violino.</v>
      </c>
    </row>
    <row r="25192">
      <c r="A25192" s="4" t="s">
        <v>31706</v>
      </c>
      <c r="B25192" s="4" t="s">
        <v>31707</v>
      </c>
      <c r="C25192" s="5" t="str">
        <f>IFERROR(__xludf.DUMMYFUNCTION("GOOGLETRANSLATE(B25192,""en"",""it"")"),"Un salto verde appare contro una schiena bianca annega.")</f>
        <v>Un salto verde appare contro una schiena bianca annega.</v>
      </c>
    </row>
    <row r="25193">
      <c r="A25193" s="4" t="s">
        <v>31706</v>
      </c>
      <c r="B25193" s="6" t="s">
        <v>31708</v>
      </c>
      <c r="C25193" s="5" t="str">
        <f>IFERROR(__xludf.DUMMYFUNCTION("GOOGLETRANSLATE(B25193,""en"",""it"")"),"Quindi una serie di parole appaiono sullo schermo e mostrano varie immagini che descrivono i termini.")</f>
        <v>Quindi una serie di parole appaiono sullo schermo e mostrano varie immagini che descrivono i termini.</v>
      </c>
    </row>
    <row r="25194">
      <c r="A25194" s="4" t="s">
        <v>31706</v>
      </c>
      <c r="B25194" s="4" t="s">
        <v>31709</v>
      </c>
      <c r="C25194" s="5" t="str">
        <f>IFERROR(__xludf.DUMMYFUNCTION("GOOGLETRANSLATE(B25194,""en"",""it"")"),"Un uomo viene quindi mostrato in piedi su una scala da cera per la posa.")</f>
        <v>Un uomo viene quindi mostrato in piedi su una scala da cera per la posa.</v>
      </c>
    </row>
    <row r="25195">
      <c r="A25195" s="4" t="s">
        <v>31706</v>
      </c>
      <c r="B25195" s="4" t="s">
        <v>31710</v>
      </c>
      <c r="C25195" s="5" t="str">
        <f>IFERROR(__xludf.DUMMYFUNCTION("GOOGLETRANSLATE(B25195,""en"",""it"")"),"Dopo, l'uomo taglia la carta da parati e guadagna assistenza mentre si mette la carta sul tetto.")</f>
        <v>Dopo, l'uomo taglia la carta da parati e guadagna assistenza mentre si mette la carta sul tetto.</v>
      </c>
    </row>
    <row r="25196">
      <c r="A25196" s="4" t="s">
        <v>31706</v>
      </c>
      <c r="B25196" s="4" t="s">
        <v>31711</v>
      </c>
      <c r="C25196" s="5" t="str">
        <f>IFERROR(__xludf.DUMMYFUNCTION("GOOGLETRANSLATE(B25196,""en"",""it"")"),"I due finiscono e danno a ciascuno un alto cinque.")</f>
        <v>I due finiscono e danno a ciascuno un alto cinque.</v>
      </c>
    </row>
    <row r="25197">
      <c r="A25197" s="4" t="s">
        <v>31706</v>
      </c>
      <c r="B25197" s="4" t="s">
        <v>31712</v>
      </c>
      <c r="C25197" s="5" t="str">
        <f>IFERROR(__xludf.DUMMYFUNCTION("GOOGLETRANSLATE(B25197,""en"",""it"")"),"Infine, vengono mostrate diverse stanze che mostrano il lavoro svolto.")</f>
        <v>Infine, vengono mostrate diverse stanze che mostrano il lavoro svolto.</v>
      </c>
    </row>
    <row r="25198">
      <c r="A25198" s="4" t="s">
        <v>31713</v>
      </c>
      <c r="B25198" s="4" t="s">
        <v>31714</v>
      </c>
      <c r="C25198" s="5" t="str">
        <f>IFERROR(__xludf.DUMMYFUNCTION("GOOGLETRANSLATE(B25198,""en"",""it"")"),"Una ragazza viene vista parlare alla telecamera mentre gioca con i capelli.")</f>
        <v>Una ragazza viene vista parlare alla telecamera mentre gioca con i capelli.</v>
      </c>
    </row>
    <row r="25199">
      <c r="A25199" s="4" t="s">
        <v>31713</v>
      </c>
      <c r="B25199" s="4" t="s">
        <v>31715</v>
      </c>
      <c r="C25199" s="5" t="str">
        <f>IFERROR(__xludf.DUMMYFUNCTION("GOOGLETRANSLATE(B25199,""en"",""it"")"),"Indica la camicia e le conduce nel lavarsi i capelli mentre parla alla telecamera.")</f>
        <v>Indica la camicia e le conduce nel lavarsi i capelli mentre parla alla telecamera.</v>
      </c>
    </row>
    <row r="25200">
      <c r="A25200" s="4" t="s">
        <v>31716</v>
      </c>
      <c r="B25200" s="4" t="s">
        <v>31717</v>
      </c>
      <c r="C25200" s="5" t="str">
        <f>IFERROR(__xludf.DUMMYFUNCTION("GOOGLETRANSLATE(B25200,""en"",""it"")"),"Una persona viene vista nuotare sott'acqua usando gli attrezzi subacquei e tira una corda al suo fianco.")</f>
        <v>Una persona viene vista nuotare sott'acqua usando gli attrezzi subacquei e tira una corda al suo fianco.</v>
      </c>
    </row>
    <row r="25201">
      <c r="A25201" s="4" t="s">
        <v>31716</v>
      </c>
      <c r="B25201" s="4" t="s">
        <v>31718</v>
      </c>
      <c r="C25201" s="5" t="str">
        <f>IFERROR(__xludf.DUMMYFUNCTION("GOOGLETRANSLATE(B25201,""en"",""it"")"),"Quindi cattura un pesce e viene vista di nuovo in bikini che nuota attorno a una balena.")</f>
        <v>Quindi cattura un pesce e viene vista di nuovo in bikini che nuota attorno a una balena.</v>
      </c>
    </row>
    <row r="25202">
      <c r="A25202" s="4" t="s">
        <v>31716</v>
      </c>
      <c r="B25202" s="6" t="s">
        <v>31719</v>
      </c>
      <c r="C25202" s="5" t="str">
        <f>IFERROR(__xludf.DUMMYFUNCTION("GOOGLETRANSLATE(B25202,""en"",""it"")"),"Altri scatti di un delfino vengono mostrati che saltano attraverso l'acqua e finiscono con il testo sullo schermo.")</f>
        <v>Altri scatti di un delfino vengono mostrati che saltano attraverso l'acqua e finiscono con il testo sullo schermo.</v>
      </c>
    </row>
    <row r="25203">
      <c r="A25203" s="4" t="s">
        <v>31720</v>
      </c>
      <c r="B25203" s="6" t="s">
        <v>31721</v>
      </c>
      <c r="C25203" s="5" t="str">
        <f>IFERROR(__xludf.DUMMYFUNCTION("GOOGLETRANSLATE(B25203,""en"",""it"")"),"Un giovane appassionato è seduto su una macchina con un sedile scorrevole che dimostra tecniche di sollevamento pesi.")</f>
        <v>Un giovane appassionato è seduto su una macchina con un sedile scorrevole che dimostra tecniche di sollevamento pesi.</v>
      </c>
    </row>
    <row r="25204">
      <c r="A25204" s="4" t="s">
        <v>31720</v>
      </c>
      <c r="B25204" s="4" t="s">
        <v>31722</v>
      </c>
      <c r="C25204" s="5" t="str">
        <f>IFERROR(__xludf.DUMMYFUNCTION("GOOGLETRANSLATE(B25204,""en"",""it"")"),"Quindi scivola indietro, mette i piedi nelle corde e inizia a legare le scarpe.")</f>
        <v>Quindi scivola indietro, mette i piedi nelle corde e inizia a legare le scarpe.</v>
      </c>
    </row>
    <row r="25205">
      <c r="A25205" s="4" t="s">
        <v>31720</v>
      </c>
      <c r="B25205" s="6" t="s">
        <v>31723</v>
      </c>
      <c r="C25205" s="5" t="str">
        <f>IFERROR(__xludf.DUMMYFUNCTION("GOOGLETRANSLATE(B25205,""en"",""it"")"),"Una volta completato, l'uomo afferra la corda e si muove avanti e indietro mentre tira fuori la corda per esercitare.")</f>
        <v>Una volta completato, l'uomo afferra la corda e si muove avanti e indietro mentre tira fuori la corda per esercitare.</v>
      </c>
    </row>
    <row r="25206">
      <c r="A25206" s="4" t="s">
        <v>31720</v>
      </c>
      <c r="B25206" s="4" t="s">
        <v>31724</v>
      </c>
      <c r="C25206" s="5" t="str">
        <f>IFERROR(__xludf.DUMMYFUNCTION("GOOGLETRANSLATE(B25206,""en"",""it"")"),"Ora ha finito, lascia cadere le corde e inizia a parlare di nuovo.")</f>
        <v>Ora ha finito, lascia cadere le corde e inizia a parlare di nuovo.</v>
      </c>
    </row>
    <row r="25207">
      <c r="A25207" s="4" t="s">
        <v>31725</v>
      </c>
      <c r="B25207" s="4" t="s">
        <v>31726</v>
      </c>
      <c r="C25207" s="5" t="str">
        <f>IFERROR(__xludf.DUMMYFUNCTION("GOOGLETRANSLATE(B25207,""en"",""it"")"),"Una famiglia sta riorganizzando i mobili in un soggiorno.")</f>
        <v>Una famiglia sta riorganizzando i mobili in un soggiorno.</v>
      </c>
    </row>
    <row r="25208">
      <c r="A25208" s="4" t="s">
        <v>31725</v>
      </c>
      <c r="B25208" s="4" t="s">
        <v>31727</v>
      </c>
      <c r="C25208" s="5" t="str">
        <f>IFERROR(__xludf.DUMMYFUNCTION("GOOGLETRANSLATE(B25208,""en"",""it"")"),"Hanno creato un albero di Natale nell'angolo della stanza.")</f>
        <v>Hanno creato un albero di Natale nell'angolo della stanza.</v>
      </c>
    </row>
    <row r="25209">
      <c r="A25209" s="4" t="s">
        <v>31725</v>
      </c>
      <c r="B25209" s="4" t="s">
        <v>31728</v>
      </c>
      <c r="C25209" s="5" t="str">
        <f>IFERROR(__xludf.DUMMYFUNCTION("GOOGLETRANSLATE(B25209,""en"",""it"")"),"Mettono le luci sull'albero.")</f>
        <v>Mettono le luci sull'albero.</v>
      </c>
    </row>
    <row r="25210">
      <c r="A25210" s="4" t="s">
        <v>31725</v>
      </c>
      <c r="B25210" s="4" t="s">
        <v>31729</v>
      </c>
      <c r="C25210" s="5" t="str">
        <f>IFERROR(__xludf.DUMMYFUNCTION("GOOGLETRANSLATE(B25210,""en"",""it"")"),"Hanno messo le lampadine sull'albero.")</f>
        <v>Hanno messo le lampadine sull'albero.</v>
      </c>
    </row>
    <row r="25211">
      <c r="A25211" s="4" t="s">
        <v>31725</v>
      </c>
      <c r="B25211" s="4" t="s">
        <v>31730</v>
      </c>
      <c r="C25211" s="5" t="str">
        <f>IFERROR(__xludf.DUMMYFUNCTION("GOOGLETRANSLATE(B25211,""en"",""it"")"),"Una bambina fa un giro davanti all'albero.")</f>
        <v>Una bambina fa un giro davanti all'albero.</v>
      </c>
    </row>
    <row r="25212">
      <c r="A25212" s="4" t="s">
        <v>31731</v>
      </c>
      <c r="B25212" s="4" t="s">
        <v>31732</v>
      </c>
      <c r="C25212" s="5" t="str">
        <f>IFERROR(__xludf.DUMMYFUNCTION("GOOGLETRANSLATE(B25212,""en"",""it"")"),"Un uomo è in palestra con una palla.")</f>
        <v>Un uomo è in palestra con una palla.</v>
      </c>
    </row>
    <row r="25213">
      <c r="A25213" s="4" t="s">
        <v>31731</v>
      </c>
      <c r="B25213" s="4" t="s">
        <v>31733</v>
      </c>
      <c r="C25213" s="5" t="str">
        <f>IFERROR(__xludf.DUMMYFUNCTION("GOOGLETRANSLATE(B25213,""en"",""it"")"),"Si unisce a una squadra, giocando a calcio.")</f>
        <v>Si unisce a una squadra, giocando a calcio.</v>
      </c>
    </row>
    <row r="25214">
      <c r="A25214" s="4" t="s">
        <v>31731</v>
      </c>
      <c r="B25214" s="4" t="s">
        <v>31734</v>
      </c>
      <c r="C25214" s="5" t="str">
        <f>IFERROR(__xludf.DUMMYFUNCTION("GOOGLETRANSLATE(B25214,""en"",""it"")"),"Calcolano la palla avanti e indietro in campo.")</f>
        <v>Calcolano la palla avanti e indietro in campo.</v>
      </c>
    </row>
    <row r="25215">
      <c r="A25215" s="4" t="s">
        <v>31735</v>
      </c>
      <c r="B25215" s="4" t="s">
        <v>31736</v>
      </c>
      <c r="C25215" s="5" t="str">
        <f>IFERROR(__xludf.DUMMYFUNCTION("GOOGLETRANSLATE(B25215,""en"",""it"")"),"Gli uomini sono in piedi in un campo di Geen Grssy giocando a croquet.")</f>
        <v>Gli uomini sono in piedi in un campo di Geen Grssy giocando a croquet.</v>
      </c>
    </row>
    <row r="25216">
      <c r="A25216" s="4" t="s">
        <v>31735</v>
      </c>
      <c r="B25216" s="4" t="s">
        <v>31737</v>
      </c>
      <c r="C25216" s="5" t="str">
        <f>IFERROR(__xludf.DUMMYFUNCTION("GOOGLETRANSLATE(B25216,""en"",""it"")"),"Le persone sono sedute sul campo intorno al gioco del croquet.")</f>
        <v>Le persone sono sedute sul campo intorno al gioco del croquet.</v>
      </c>
    </row>
    <row r="25217">
      <c r="A25217" s="4" t="s">
        <v>31735</v>
      </c>
      <c r="B25217" s="4" t="s">
        <v>31738</v>
      </c>
      <c r="C25217" s="5" t="str">
        <f>IFERROR(__xludf.DUMMYFUNCTION("GOOGLETRANSLATE(B25217,""en"",""it"")"),"L'uomo che indossa l'uniforme bianca sta parlando con la fotocamera sul campo.")</f>
        <v>L'uomo che indossa l'uniforme bianca sta parlando con la fotocamera sul campo.</v>
      </c>
    </row>
    <row r="25218">
      <c r="A25218" s="4" t="s">
        <v>31735</v>
      </c>
      <c r="B25218" s="4" t="s">
        <v>31739</v>
      </c>
      <c r="C25218" s="5" t="str">
        <f>IFERROR(__xludf.DUMMYFUNCTION("GOOGLETRANSLATE(B25218,""en"",""it"")"),"Un uomo e una donna stanno parlando con la telecamera.")</f>
        <v>Un uomo e una donna stanno parlando con la telecamera.</v>
      </c>
    </row>
    <row r="25219">
      <c r="A25219" s="4" t="s">
        <v>31740</v>
      </c>
      <c r="B25219" s="4" t="s">
        <v>31741</v>
      </c>
      <c r="C25219" s="5" t="str">
        <f>IFERROR(__xludf.DUMMYFUNCTION("GOOGLETRANSLATE(B25219,""en"",""it"")"),"Vediamo una persona in piedi su uno stepper delle scale.")</f>
        <v>Vediamo una persona in piedi su uno stepper delle scale.</v>
      </c>
    </row>
    <row r="25220">
      <c r="A25220" s="4" t="s">
        <v>31740</v>
      </c>
      <c r="B25220" s="4" t="s">
        <v>31742</v>
      </c>
      <c r="C25220" s="5" t="str">
        <f>IFERROR(__xludf.DUMMYFUNCTION("GOOGLETRANSLATE(B25220,""en"",""it"")"),"La persona si sposta di mezzo.")</f>
        <v>La persona si sposta di mezzo.</v>
      </c>
    </row>
    <row r="25221">
      <c r="A25221" s="4" t="s">
        <v>31740</v>
      </c>
      <c r="B25221" s="4" t="s">
        <v>31743</v>
      </c>
      <c r="C25221" s="5" t="str">
        <f>IFERROR(__xludf.DUMMYFUNCTION("GOOGLETRANSLATE(B25221,""en"",""it"")"),"L'uomo inizia a camminare sul passo.")</f>
        <v>L'uomo inizia a camminare sul passo.</v>
      </c>
    </row>
    <row r="25222">
      <c r="A25222" s="4" t="s">
        <v>31740</v>
      </c>
      <c r="B25222" s="4" t="s">
        <v>31744</v>
      </c>
      <c r="C25222" s="5" t="str">
        <f>IFERROR(__xludf.DUMMYFUNCTION("GOOGLETRANSLATE(B25222,""en"",""it"")"),"La persona solleva la mano destra.")</f>
        <v>La persona solleva la mano destra.</v>
      </c>
    </row>
    <row r="25223">
      <c r="A25223" s="4" t="s">
        <v>31745</v>
      </c>
      <c r="B25223" s="4" t="s">
        <v>31746</v>
      </c>
      <c r="C25223" s="5" t="str">
        <f>IFERROR(__xludf.DUMMYFUNCTION("GOOGLETRANSLATE(B25223,""en"",""it"")"),"Viene visto un uomo parlare alla telecamera e conduce a lui aiutando un uomo a sparare a diversi cestini.")</f>
        <v>Viene visto un uomo parlare alla telecamera e conduce a lui aiutando un uomo a sparare a diversi cestini.</v>
      </c>
    </row>
    <row r="25224">
      <c r="A25224" s="4" t="s">
        <v>31745</v>
      </c>
      <c r="B25224" s="4" t="s">
        <v>31747</v>
      </c>
      <c r="C25224" s="5" t="str">
        <f>IFERROR(__xludf.DUMMYFUNCTION("GOOGLETRANSLATE(B25224,""en"",""it"")"),"L'allenatore viene quindi visto istruire un folto gruppo di bambini mentre sparano più e più volte a cestini.")</f>
        <v>L'allenatore viene quindi visto istruire un folto gruppo di bambini mentre sparano più e più volte a cestini.</v>
      </c>
    </row>
    <row r="25225">
      <c r="A25225" s="4" t="s">
        <v>31748</v>
      </c>
      <c r="B25225" s="4" t="s">
        <v>31749</v>
      </c>
      <c r="C25225" s="5" t="str">
        <f>IFERROR(__xludf.DUMMYFUNCTION("GOOGLETRANSLATE(B25225,""en"",""it"")"),"Il fumo riempie una stanza scura vuota.")</f>
        <v>Il fumo riempie una stanza scura vuota.</v>
      </c>
    </row>
    <row r="25226">
      <c r="A25226" s="4" t="s">
        <v>31748</v>
      </c>
      <c r="B25226" s="4" t="s">
        <v>31750</v>
      </c>
      <c r="C25226" s="5" t="str">
        <f>IFERROR(__xludf.DUMMYFUNCTION("GOOGLETRANSLATE(B25226,""en"",""it"")"),"Le parole appaiono sullo schermo, seguite dall'aspetto di uomini che sono kickboxing.")</f>
        <v>Le parole appaiono sullo schermo, seguite dall'aspetto di uomini che sono kickboxing.</v>
      </c>
    </row>
    <row r="25227">
      <c r="A25227" s="4" t="s">
        <v>31748</v>
      </c>
      <c r="B25227" s="4" t="s">
        <v>31751</v>
      </c>
      <c r="C25227" s="5" t="str">
        <f>IFERROR(__xludf.DUMMYFUNCTION("GOOGLETRANSLATE(B25227,""en"",""it"")"),"Un gruppo suona strumenti dietro di loro mentre combattono.")</f>
        <v>Un gruppo suona strumenti dietro di loro mentre combattono.</v>
      </c>
    </row>
    <row r="25228">
      <c r="A25228" s="4" t="s">
        <v>31748</v>
      </c>
      <c r="B25228" s="4" t="s">
        <v>31752</v>
      </c>
      <c r="C25228" s="5" t="str">
        <f>IFERROR(__xludf.DUMMYFUNCTION("GOOGLETRANSLATE(B25228,""en"",""it"")"),"I due uomini finiscono la lotta con un abbraccio.")</f>
        <v>I due uomini finiscono la lotta con un abbraccio.</v>
      </c>
    </row>
    <row r="25229">
      <c r="A25229" s="4" t="s">
        <v>31753</v>
      </c>
      <c r="B25229" s="4" t="s">
        <v>31754</v>
      </c>
      <c r="C25229" s="5" t="str">
        <f>IFERROR(__xludf.DUMMYFUNCTION("GOOGLETRANSLATE(B25229,""en"",""it"")"),"Due uomini sono in una stanza che gioca a fila a fila la tua barca.")</f>
        <v>Due uomini sono in una stanza che gioca a fila a fila la tua barca.</v>
      </c>
    </row>
    <row r="25230">
      <c r="A25230" s="4" t="s">
        <v>31753</v>
      </c>
      <c r="B25230" s="4" t="s">
        <v>31755</v>
      </c>
      <c r="C25230" s="5" t="str">
        <f>IFERROR(__xludf.DUMMYFUNCTION("GOOGLETRANSLATE(B25230,""en"",""it"")"),"Due uomini stanno giocando a fare un selfie in un soggiorno.")</f>
        <v>Due uomini stanno giocando a fare un selfie in un soggiorno.</v>
      </c>
    </row>
    <row r="25231">
      <c r="A25231" s="4" t="s">
        <v>31753</v>
      </c>
      <c r="B25231" s="4" t="s">
        <v>31756</v>
      </c>
      <c r="C25231" s="5" t="str">
        <f>IFERROR(__xludf.DUMMYFUNCTION("GOOGLETRANSLATE(B25231,""en"",""it"")"),"L'uomo è in piedi in soggiorno giocando a birra pong ed tira fuori la camicia.")</f>
        <v>L'uomo è in piedi in soggiorno giocando a birra pong ed tira fuori la camicia.</v>
      </c>
    </row>
    <row r="25232">
      <c r="A25232" s="4" t="s">
        <v>31753</v>
      </c>
      <c r="B25232" s="4" t="s">
        <v>31757</v>
      </c>
      <c r="C25232" s="5" t="str">
        <f>IFERROR(__xludf.DUMMYFUNCTION("GOOGLETRANSLATE(B25232,""en"",""it"")"),"L'uomo è in piedi nel soggiorno con in mano una racchetta da tennis e colpisce una palla.")</f>
        <v>L'uomo è in piedi nel soggiorno con in mano una racchetta da tennis e colpisce una palla.</v>
      </c>
    </row>
    <row r="25233">
      <c r="A25233" s="4" t="s">
        <v>31753</v>
      </c>
      <c r="B25233" s="6" t="s">
        <v>31758</v>
      </c>
      <c r="C25233" s="5" t="str">
        <f>IFERROR(__xludf.DUMMYFUNCTION("GOOGLETRANSLATE(B25233,""en"",""it"")"),"Due uomini sono in piedi nel vivente giocando a Beer Pong e facendo altri giochi di tiro con una bottiglia di whisky.")</f>
        <v>Due uomini sono in piedi nel vivente giocando a Beer Pong e facendo altri giochi di tiro con una bottiglia di whisky.</v>
      </c>
    </row>
    <row r="25234">
      <c r="A25234" s="4" t="s">
        <v>31759</v>
      </c>
      <c r="B25234" s="6" t="s">
        <v>31760</v>
      </c>
      <c r="C25234" s="5" t="str">
        <f>IFERROR(__xludf.DUMMYFUNCTION("GOOGLETRANSLATE(B25234,""en"",""it"")"),"Viene vista una donna parlare alla telecamera mentre tiene in mano vari oggetti e inizia a lavarsi i capelli.")</f>
        <v>Viene vista una donna parlare alla telecamera mentre tiene in mano vari oggetti e inizia a lavarsi i capelli.</v>
      </c>
    </row>
    <row r="25235">
      <c r="A25235" s="4" t="s">
        <v>31759</v>
      </c>
      <c r="B25235" s="4" t="s">
        <v>31761</v>
      </c>
      <c r="C25235" s="5" t="str">
        <f>IFERROR(__xludf.DUMMYFUNCTION("GOOGLETRANSLATE(B25235,""en"",""it"")"),"Lei si lega i capelli mentre parlava ancora e solleva diversi pennelli al momento del segno.")</f>
        <v>Lei si lega i capelli mentre parlava ancora e solleva diversi pennelli al momento del segno.</v>
      </c>
    </row>
    <row r="25236">
      <c r="A25236" s="4" t="s">
        <v>31762</v>
      </c>
      <c r="B25236" s="4" t="s">
        <v>31763</v>
      </c>
      <c r="C25236" s="5" t="str">
        <f>IFERROR(__xludf.DUMMYFUNCTION("GOOGLETRANSLATE(B25236,""en"",""it"")"),"Un artista che penetra nel corpo viene visto perforare il pulsante dell'ombelico di una femmina.")</f>
        <v>Un artista che penetra nel corpo viene visto perforare il pulsante dell'ombelico di una femmina.</v>
      </c>
    </row>
    <row r="25237">
      <c r="A25237" s="4" t="s">
        <v>31762</v>
      </c>
      <c r="B25237" s="4" t="s">
        <v>31764</v>
      </c>
      <c r="C25237" s="5" t="str">
        <f>IFERROR(__xludf.DUMMYFUNCTION("GOOGLETRANSLATE(B25237,""en"",""it"")"),"Inizialmente usa uno strumento di piercing per effettuare l'incisione sul pulsante dell'ombelico.")</f>
        <v>Inizialmente usa uno strumento di piercing per effettuare l'incisione sul pulsante dell'ombelico.</v>
      </c>
    </row>
    <row r="25238">
      <c r="A25238" s="4" t="s">
        <v>31762</v>
      </c>
      <c r="B25238" s="4" t="s">
        <v>31765</v>
      </c>
      <c r="C25238" s="5" t="str">
        <f>IFERROR(__xludf.DUMMYFUNCTION("GOOGLETRANSLATE(B25238,""en"",""it"")"),"Successivamente inserisce il piercing e si assicura che sia sicuro.")</f>
        <v>Successivamente inserisce il piercing e si assicura che sia sicuro.</v>
      </c>
    </row>
    <row r="25239">
      <c r="A25239" s="4" t="s">
        <v>31762</v>
      </c>
      <c r="B25239" s="4" t="s">
        <v>31766</v>
      </c>
      <c r="C25239" s="5" t="str">
        <f>IFERROR(__xludf.DUMMYFUNCTION("GOOGLETRANSLATE(B25239,""en"",""it"")"),"Di quanto usa una pulizia e pulisce l'area.")</f>
        <v>Di quanto usa una pulizia e pulisce l'area.</v>
      </c>
    </row>
    <row r="25240">
      <c r="A25240" s="4" t="s">
        <v>31762</v>
      </c>
      <c r="B25240" s="4" t="s">
        <v>31767</v>
      </c>
      <c r="C25240" s="5" t="str">
        <f>IFERROR(__xludf.DUMMYFUNCTION("GOOGLETRANSLATE(B25240,""en"",""it"")"),"Successivamente la ragazza si alza in piedi con il suo amico e si guarda allo specchio.")</f>
        <v>Successivamente la ragazza si alza in piedi con il suo amico e si guarda allo specchio.</v>
      </c>
    </row>
    <row r="25241">
      <c r="A25241" s="4" t="s">
        <v>31762</v>
      </c>
      <c r="B25241" s="4" t="s">
        <v>31768</v>
      </c>
      <c r="C25241" s="5" t="str">
        <f>IFERROR(__xludf.DUMMYFUNCTION("GOOGLETRANSLATE(B25241,""en"",""it"")"),"Alla fine l'uomo della telecamera si gira e parla alla telecamera con autorità.")</f>
        <v>Alla fine l'uomo della telecamera si gira e parla alla telecamera con autorità.</v>
      </c>
    </row>
    <row r="25242">
      <c r="A25242" s="4" t="s">
        <v>31769</v>
      </c>
      <c r="B25242" s="4" t="s">
        <v>31770</v>
      </c>
      <c r="C25242" s="5" t="str">
        <f>IFERROR(__xludf.DUMMYFUNCTION("GOOGLETRANSLATE(B25242,""en"",""it"")"),"Un uomo si trova in una grande stanza.")</f>
        <v>Un uomo si trova in una grande stanza.</v>
      </c>
    </row>
    <row r="25243">
      <c r="A25243" s="4" t="s">
        <v>31769</v>
      </c>
      <c r="B25243" s="4" t="s">
        <v>31771</v>
      </c>
      <c r="C25243" s="5" t="str">
        <f>IFERROR(__xludf.DUMMYFUNCTION("GOOGLETRANSLATE(B25243,""en"",""it"")"),"Quindi salta su travi.")</f>
        <v>Quindi salta su travi.</v>
      </c>
    </row>
    <row r="25244">
      <c r="A25244" s="4" t="s">
        <v>31769</v>
      </c>
      <c r="B25244" s="4" t="s">
        <v>31772</v>
      </c>
      <c r="C25244" s="5" t="str">
        <f>IFERROR(__xludf.DUMMYFUNCTION("GOOGLETRANSLATE(B25244,""en"",""it"")"),"Quindi si bilancia sul raggio.")</f>
        <v>Quindi si bilancia sul raggio.</v>
      </c>
    </row>
    <row r="25245">
      <c r="A25245" s="4" t="s">
        <v>31769</v>
      </c>
      <c r="B25245" s="4" t="s">
        <v>31773</v>
      </c>
      <c r="C25245" s="5" t="str">
        <f>IFERROR(__xludf.DUMMYFUNCTION("GOOGLETRANSLATE(B25245,""en"",""it"")"),"Fa diversi lanci e trucchi.")</f>
        <v>Fa diversi lanci e trucchi.</v>
      </c>
    </row>
    <row r="25246">
      <c r="A25246" s="4" t="s">
        <v>31774</v>
      </c>
      <c r="B25246" s="4" t="s">
        <v>31775</v>
      </c>
      <c r="C25246" s="5" t="str">
        <f>IFERROR(__xludf.DUMMYFUNCTION("GOOGLETRANSLATE(B25246,""en"",""it"")"),"Un uomo sta cavalcando uno skateboard su una strada suburbana.")</f>
        <v>Un uomo sta cavalcando uno skateboard su una strada suburbana.</v>
      </c>
    </row>
    <row r="25247">
      <c r="A25247" s="4" t="s">
        <v>31774</v>
      </c>
      <c r="B25247" s="4" t="s">
        <v>31776</v>
      </c>
      <c r="C25247" s="5" t="str">
        <f>IFERROR(__xludf.DUMMYFUNCTION("GOOGLETRANSLATE(B25247,""en"",""it"")"),"Altri due sono mostrati mentre l'uomo fotografico li sta avvistando da dietro.")</f>
        <v>Altri due sono mostrati mentre l'uomo fotografico li sta avvistando da dietro.</v>
      </c>
    </row>
    <row r="25248">
      <c r="A25248" s="4" t="s">
        <v>31774</v>
      </c>
      <c r="B25248" s="4" t="s">
        <v>31777</v>
      </c>
      <c r="C25248" s="5" t="str">
        <f>IFERROR(__xludf.DUMMYFUNCTION("GOOGLETRANSLATE(B25248,""en"",""it"")"),"Li spinge, mantenendoli a un ritmo veloce.")</f>
        <v>Li spinge, mantenendoli a un ritmo veloce.</v>
      </c>
    </row>
    <row r="25249">
      <c r="A25249" s="4" t="s">
        <v>31778</v>
      </c>
      <c r="B25249" s="4" t="s">
        <v>31779</v>
      </c>
      <c r="C25249" s="5" t="str">
        <f>IFERROR(__xludf.DUMMYFUNCTION("GOOGLETRANSLATE(B25249,""en"",""it"")"),"Un atleta salta con un palo per passare la barra orizzontale, poi cade sul tappeto schiumoso.")</f>
        <v>Un atleta salta con un palo per passare la barra orizzontale, poi cade sul tappeto schiumoso.</v>
      </c>
    </row>
    <row r="25250">
      <c r="A25250" s="4" t="s">
        <v>31778</v>
      </c>
      <c r="B25250" s="4" t="s">
        <v>31780</v>
      </c>
      <c r="C25250" s="5" t="str">
        <f>IFERROR(__xludf.DUMMYFUNCTION("GOOGLETRANSLATE(B25250,""en"",""it"")"),"Quindi, c'è un flash posteriore del salto con il polo Vault.")</f>
        <v>Quindi, c'è un flash posteriore del salto con il polo Vault.</v>
      </c>
    </row>
    <row r="25251">
      <c r="A25251" s="4" t="s">
        <v>31781</v>
      </c>
      <c r="B25251" s="6" t="s">
        <v>31782</v>
      </c>
      <c r="C25251" s="5" t="str">
        <f>IFERROR(__xludf.DUMMYFUNCTION("GOOGLETRANSLATE(B25251,""en"",""it"")"),"Una donna è vista seduta dietro un tavolo da poker e le carte dei rivenditori mentre altri fanno lo stesso nella parte posteriore.")</f>
        <v>Una donna è vista seduta dietro un tavolo da poker e le carte dei rivenditori mentre altri fanno lo stesso nella parte posteriore.</v>
      </c>
    </row>
    <row r="25252">
      <c r="A25252" s="4" t="s">
        <v>31781</v>
      </c>
      <c r="B25252" s="4" t="s">
        <v>31783</v>
      </c>
      <c r="C25252" s="5" t="str">
        <f>IFERROR(__xludf.DUMMYFUNCTION("GOOGLETRANSLATE(B25252,""en"",""it"")"),"La donna continua a trattare le carte sul tavolo mentre guarda e sorride alla telecamera.")</f>
        <v>La donna continua a trattare le carte sul tavolo mentre guarda e sorride alla telecamera.</v>
      </c>
    </row>
    <row r="25253">
      <c r="A25253" s="4" t="s">
        <v>31784</v>
      </c>
      <c r="B25253" s="4" t="s">
        <v>31785</v>
      </c>
      <c r="C25253" s="5" t="str">
        <f>IFERROR(__xludf.DUMMYFUNCTION("GOOGLETRANSLATE(B25253,""en"",""it"")"),"Vengono mostrate diverse clip di persone che tengono racchette da tennis e colpiscono una palla in lontananza.")</f>
        <v>Vengono mostrate diverse clip di persone che tengono racchette da tennis e colpiscono una palla in lontananza.</v>
      </c>
    </row>
    <row r="25254">
      <c r="A25254" s="4" t="s">
        <v>31784</v>
      </c>
      <c r="B25254" s="4" t="s">
        <v>31786</v>
      </c>
      <c r="C25254" s="5" t="str">
        <f>IFERROR(__xludf.DUMMYFUNCTION("GOOGLETRANSLATE(B25254,""en"",""it"")"),"Il testo viene mostrato sullo schermo e vengono mostrati più scatti di persone che dimostrano.")</f>
        <v>Il testo viene mostrato sullo schermo e vengono mostrati più scatti di persone che dimostrano.</v>
      </c>
    </row>
    <row r="25255">
      <c r="A25255" s="4" t="s">
        <v>31784</v>
      </c>
      <c r="B25255" s="6" t="s">
        <v>31787</v>
      </c>
      <c r="C25255" s="5" t="str">
        <f>IFERROR(__xludf.DUMMYFUNCTION("GOOGLETRANSLATE(B25255,""en"",""it"")"),"La gente continua a colpire le palle intorno al campo mentre la telecamera cattura i loro movimenti.")</f>
        <v>La gente continua a colpire le palle intorno al campo mentre la telecamera cattura i loro movimenti.</v>
      </c>
    </row>
    <row r="25256">
      <c r="A25256" s="4" t="s">
        <v>31788</v>
      </c>
      <c r="B25256" s="6" t="s">
        <v>31789</v>
      </c>
      <c r="C25256" s="5" t="str">
        <f>IFERROR(__xludf.DUMMYFUNCTION("GOOGLETRANSLATE(B25256,""en"",""it"")"),"Le due ragazze si abbracciano e la ragazza che indossa il vestito blu spinge leggermente oltre l'altra ragazza.")</f>
        <v>Le due ragazze si abbracciano e la ragazza che indossa il vestito blu spinge leggermente oltre l'altra ragazza.</v>
      </c>
    </row>
    <row r="25257">
      <c r="A25257" s="4" t="s">
        <v>31788</v>
      </c>
      <c r="B25257" s="4" t="s">
        <v>31790</v>
      </c>
      <c r="C25257" s="5" t="str">
        <f>IFERROR(__xludf.DUMMYFUNCTION("GOOGLETRANSLATE(B25257,""en"",""it"")"),"Quindi corre da lei e la abbraccia e scappa di nuovo da lei.")</f>
        <v>Quindi corre da lei e la abbraccia e scappa di nuovo da lei.</v>
      </c>
    </row>
    <row r="25258">
      <c r="A25258" s="4" t="s">
        <v>31791</v>
      </c>
      <c r="B25258" s="4" t="s">
        <v>31792</v>
      </c>
      <c r="C25258" s="5" t="str">
        <f>IFERROR(__xludf.DUMMYFUNCTION("GOOGLETRANSLATE(B25258,""en"",""it"")"),"Vediamo un uomo parlare con la telecamera mentre tiene una fisarmonica.")</f>
        <v>Vediamo un uomo parlare con la telecamera mentre tiene una fisarmonica.</v>
      </c>
    </row>
    <row r="25259">
      <c r="A25259" s="4" t="s">
        <v>31791</v>
      </c>
      <c r="B25259" s="4" t="s">
        <v>31793</v>
      </c>
      <c r="C25259" s="5" t="str">
        <f>IFERROR(__xludf.DUMMYFUNCTION("GOOGLETRANSLATE(B25259,""en"",""it"")"),"L'uomo quindi suona la fisarmonica e la vediamo da vicino.")</f>
        <v>L'uomo quindi suona la fisarmonica e la vediamo da vicino.</v>
      </c>
    </row>
    <row r="25260">
      <c r="A25260" s="4" t="s">
        <v>31791</v>
      </c>
      <c r="B25260" s="4" t="s">
        <v>31794</v>
      </c>
      <c r="C25260" s="5" t="str">
        <f>IFERROR(__xludf.DUMMYFUNCTION("GOOGLETRANSLATE(B25260,""en"",""it"")"),"L'uomo tiene una nota e le sue mani tremano.")</f>
        <v>L'uomo tiene una nota e le sue mani tremano.</v>
      </c>
    </row>
    <row r="25261">
      <c r="A25261" s="4" t="s">
        <v>31791</v>
      </c>
      <c r="B25261" s="4" t="s">
        <v>31795</v>
      </c>
      <c r="C25261" s="5" t="str">
        <f>IFERROR(__xludf.DUMMYFUNCTION("GOOGLETRANSLATE(B25261,""en"",""it"")"),"Zioriamo e l'uomo smette di giocare.")</f>
        <v>Zioriamo e l'uomo smette di giocare.</v>
      </c>
    </row>
    <row r="25262">
      <c r="A25262" s="4" t="s">
        <v>31796</v>
      </c>
      <c r="B25262" s="6" t="s">
        <v>31797</v>
      </c>
      <c r="C25262" s="5" t="str">
        <f>IFERROR(__xludf.DUMMYFUNCTION("GOOGLETRANSLATE(B25262,""en"",""it"")"),"Un folto gruppo di persone viene visto correre lungo una pista e passa in molte più persone che corrono.")</f>
        <v>Un folto gruppo di persone viene visto correre lungo una pista e passa in molte più persone che corrono.</v>
      </c>
    </row>
    <row r="25263">
      <c r="A25263" s="4" t="s">
        <v>31796</v>
      </c>
      <c r="B25263" s="6" t="s">
        <v>31798</v>
      </c>
      <c r="C25263" s="5" t="str">
        <f>IFERROR(__xludf.DUMMYFUNCTION("GOOGLETRANSLATE(B25263,""en"",""it"")"),"Due ragazze controllano i loro polsi mentre si parla alla telecamera e vengono mostrati diversi scatti di un braccialetto.")</f>
        <v>Due ragazze controllano i loro polsi mentre si parla alla telecamera e vengono mostrati diversi scatti di un braccialetto.</v>
      </c>
    </row>
    <row r="25264">
      <c r="A25264" s="4" t="s">
        <v>31796</v>
      </c>
      <c r="B25264" s="6" t="s">
        <v>31799</v>
      </c>
      <c r="C25264" s="5" t="str">
        <f>IFERROR(__xludf.DUMMYFUNCTION("GOOGLETRANSLATE(B25264,""en"",""it"")"),"Più persone vengono intervistate mentre indossano le band da polso e mostrano come funzionano mentre molti corrono in giro.")</f>
        <v>Più persone vengono intervistate mentre indossano le band da polso e mostrano come funzionano mentre molti corrono in giro.</v>
      </c>
    </row>
    <row r="25265">
      <c r="A25265" s="4" t="s">
        <v>31800</v>
      </c>
      <c r="B25265" s="4" t="s">
        <v>31801</v>
      </c>
      <c r="C25265" s="5" t="str">
        <f>IFERROR(__xludf.DUMMYFUNCTION("GOOGLETRANSLATE(B25265,""en"",""it"")"),"Vediamo uomini su una barca, una sega appare poi un uomo su un'amaca.")</f>
        <v>Vediamo uomini su una barca, una sega appare poi un uomo su un'amaca.</v>
      </c>
    </row>
    <row r="25266">
      <c r="A25266" s="4" t="s">
        <v>31800</v>
      </c>
      <c r="B25266" s="6" t="s">
        <v>31802</v>
      </c>
      <c r="C25266" s="5" t="str">
        <f>IFERROR(__xludf.DUMMYFUNCTION("GOOGLETRANSLATE(B25266,""en"",""it"")"),"L'uomo si alza e va dal suo falciatore e crea qualcosa sulla ruota e lo lega al tosaerba e alla porta del capannone.")</f>
        <v>L'uomo si alza e va dal suo falciatore e crea qualcosa sulla ruota e lo lega al tosaerba e alla porta del capannone.</v>
      </c>
    </row>
    <row r="25267">
      <c r="A25267" s="4" t="s">
        <v>31800</v>
      </c>
      <c r="B25267" s="4" t="s">
        <v>31803</v>
      </c>
      <c r="C25267" s="5" t="str">
        <f>IFERROR(__xludf.DUMMYFUNCTION("GOOGLETRANSLATE(B25267,""en"",""it"")"),"L'uomo consente al tosaerba di girare attorno all'oggetto e tagliare l'erba.")</f>
        <v>L'uomo consente al tosaerba di girare attorno all'oggetto e tagliare l'erba.</v>
      </c>
    </row>
    <row r="25268">
      <c r="A25268" s="4" t="s">
        <v>31800</v>
      </c>
      <c r="B25268" s="4" t="s">
        <v>31804</v>
      </c>
      <c r="C25268" s="5" t="str">
        <f>IFERROR(__xludf.DUMMYFUNCTION("GOOGLETRANSLATE(B25268,""en"",""it"")"),"Quindi tira l'oggetto nel capannone sulla linea e la porta si chiude.")</f>
        <v>Quindi tira l'oggetto nel capannone sulla linea e la porta si chiude.</v>
      </c>
    </row>
    <row r="25269">
      <c r="A25269" s="4" t="s">
        <v>31805</v>
      </c>
      <c r="B25269" s="4" t="s">
        <v>31806</v>
      </c>
      <c r="C25269" s="5" t="str">
        <f>IFERROR(__xludf.DUMMYFUNCTION("GOOGLETRANSLATE(B25269,""en"",""it"")"),"Un ADD visualizza un sito Web su un'azienda chiamata HappyDogz.")</f>
        <v>Un ADD visualizza un sito Web su un'azienda chiamata HappyDogz.</v>
      </c>
    </row>
    <row r="25270">
      <c r="A25270" s="4" t="s">
        <v>31805</v>
      </c>
      <c r="B25270" s="6" t="s">
        <v>31807</v>
      </c>
      <c r="C25270" s="5" t="str">
        <f>IFERROR(__xludf.DUMMYFUNCTION("GOOGLETRANSLATE(B25270,""en"",""it"")"),"Quindi, un uomo appare tirato da un cane, quindi aggiunge informazioni sul display su un guinzaglio di cane retrattile.")</f>
        <v>Quindi, un uomo appare tirato da un cane, quindi aggiunge informazioni sul display su un guinzaglio di cane retrattile.</v>
      </c>
    </row>
    <row r="25271">
      <c r="A25271" s="4" t="s">
        <v>31805</v>
      </c>
      <c r="B25271" s="4" t="s">
        <v>31808</v>
      </c>
      <c r="C25271" s="5" t="str">
        <f>IFERROR(__xludf.DUMMYFUNCTION("GOOGLETRANSLATE(B25271,""en"",""it"")"),"Dopo, una coppia tira due cani dai guinzagli.")</f>
        <v>Dopo, una coppia tira due cani dai guinzagli.</v>
      </c>
    </row>
    <row r="25272">
      <c r="A25272" s="4" t="s">
        <v>31805</v>
      </c>
      <c r="B25272" s="4" t="s">
        <v>31809</v>
      </c>
      <c r="C25272" s="5" t="str">
        <f>IFERROR(__xludf.DUMMYFUNCTION("GOOGLETRANSLATE(B25272,""en"",""it"")"),"Successivamente, aggiunge informazioni sulla visualizzazione sul guinzaglio.")</f>
        <v>Successivamente, aggiunge informazioni sulla visualizzazione sul guinzaglio.</v>
      </c>
    </row>
    <row r="25273">
      <c r="A25273" s="4" t="s">
        <v>31810</v>
      </c>
      <c r="B25273" s="4" t="s">
        <v>31811</v>
      </c>
      <c r="C25273" s="5" t="str">
        <f>IFERROR(__xludf.DUMMYFUNCTION("GOOGLETRANSLATE(B25273,""en"",""it"")"),"Una scottata intagliata con una luce in esso si illumina su un bancone.")</f>
        <v>Una scottata intagliata con una luce in esso si illumina su un bancone.</v>
      </c>
    </row>
    <row r="25274">
      <c r="A25274" s="4" t="s">
        <v>31810</v>
      </c>
      <c r="B25274" s="4" t="s">
        <v>31812</v>
      </c>
      <c r="C25274" s="5" t="str">
        <f>IFERROR(__xludf.DUMMYFUNCTION("GOOGLETRANSLATE(B25274,""en"",""it"")"),"Vengono quindi mostrate forniture per la scultura.")</f>
        <v>Vengono quindi mostrate forniture per la scultura.</v>
      </c>
    </row>
    <row r="25275">
      <c r="A25275" s="4" t="s">
        <v>31810</v>
      </c>
      <c r="B25275" s="4" t="s">
        <v>31813</v>
      </c>
      <c r="C25275" s="5" t="str">
        <f>IFERROR(__xludf.DUMMYFUNCTION("GOOGLETRANSLATE(B25275,""en"",""it"")"),"Una donna taglia la parte superiore dalla zucca, svuotando i semi.")</f>
        <v>Una donna taglia la parte superiore dalla zucca, svuotando i semi.</v>
      </c>
    </row>
    <row r="25276">
      <c r="A25276" s="4" t="s">
        <v>31810</v>
      </c>
      <c r="B25276" s="4" t="s">
        <v>31814</v>
      </c>
      <c r="C25276" s="5" t="str">
        <f>IFERROR(__xludf.DUMMYFUNCTION("GOOGLETRANSLATE(B25276,""en"",""it"")"),"Quindi scolpisce le linee rintracciate per eliminare il design.")</f>
        <v>Quindi scolpisce le linee rintracciate per eliminare il design.</v>
      </c>
    </row>
    <row r="25277">
      <c r="A25277" s="4" t="s">
        <v>31810</v>
      </c>
      <c r="B25277" s="4" t="s">
        <v>31815</v>
      </c>
      <c r="C25277" s="5" t="str">
        <f>IFERROR(__xludf.DUMMYFUNCTION("GOOGLETRANSLATE(B25277,""en"",""it"")"),"Quando ha finito, una luce da tè viene posizionata all'interno della zucca e illuminata.")</f>
        <v>Quando ha finito, una luce da tè viene posizionata all'interno della zucca e illuminata.</v>
      </c>
    </row>
    <row r="25278">
      <c r="A25278" s="4" t="s">
        <v>31816</v>
      </c>
      <c r="B25278" s="4" t="s">
        <v>16436</v>
      </c>
      <c r="C25278" s="5" t="str">
        <f>IFERROR(__xludf.DUMMYFUNCTION("GOOGLETRANSLATE(B25278,""en"",""it"")"),"Una donna si inginocchia su un tappetino blu.")</f>
        <v>Una donna si inginocchia su un tappetino blu.</v>
      </c>
    </row>
    <row r="25279">
      <c r="A25279" s="4" t="s">
        <v>31816</v>
      </c>
      <c r="B25279" s="4" t="s">
        <v>31817</v>
      </c>
      <c r="C25279" s="5" t="str">
        <f>IFERROR(__xludf.DUMMYFUNCTION("GOOGLETRANSLATE(B25279,""en"",""it"")"),"Ha una barra di peso in metallo sulle spalle.")</f>
        <v>Ha una barra di peso in metallo sulle spalle.</v>
      </c>
    </row>
    <row r="25280">
      <c r="A25280" s="4" t="s">
        <v>31816</v>
      </c>
      <c r="B25280" s="4" t="s">
        <v>31818</v>
      </c>
      <c r="C25280" s="5" t="str">
        <f>IFERROR(__xludf.DUMMYFUNCTION("GOOGLETRANSLATE(B25280,""en"",""it"")"),"Si muove su e giù sollevando il peso.")</f>
        <v>Si muove su e giù sollevando il peso.</v>
      </c>
    </row>
    <row r="25281">
      <c r="A25281" s="4" t="s">
        <v>31819</v>
      </c>
      <c r="B25281" s="4" t="s">
        <v>31820</v>
      </c>
      <c r="C25281" s="5" t="str">
        <f>IFERROR(__xludf.DUMMYFUNCTION("GOOGLETRANSLATE(B25281,""en"",""it"")"),"Una donna viene vista parlare alla telecamera mentre tiene una bottiglia di crema solare.")</f>
        <v>Una donna viene vista parlare alla telecamera mentre tiene una bottiglia di crema solare.</v>
      </c>
    </row>
    <row r="25282">
      <c r="A25282" s="4" t="s">
        <v>31819</v>
      </c>
      <c r="B25282" s="4" t="s">
        <v>31821</v>
      </c>
      <c r="C25282" s="5" t="str">
        <f>IFERROR(__xludf.DUMMYFUNCTION("GOOGLETRANSLATE(B25282,""en"",""it"")"),"Quindi apre la bottiglia e usa un supporto sul lato.")</f>
        <v>Quindi apre la bottiglia e usa un supporto sul lato.</v>
      </c>
    </row>
    <row r="25283">
      <c r="A25283" s="4" t="s">
        <v>31819</v>
      </c>
      <c r="B25283" s="4" t="s">
        <v>31822</v>
      </c>
      <c r="C25283" s="5" t="str">
        <f>IFERROR(__xludf.DUMMYFUNCTION("GOOGLETRANSLATE(B25283,""en"",""it"")"),"Mostra il titolare mentre parla ancora alla telecamera.")</f>
        <v>Mostra il titolare mentre parla ancora alla telecamera.</v>
      </c>
    </row>
    <row r="25284">
      <c r="A25284" s="4" t="s">
        <v>31823</v>
      </c>
      <c r="B25284" s="4" t="s">
        <v>31824</v>
      </c>
      <c r="C25284" s="5" t="str">
        <f>IFERROR(__xludf.DUMMYFUNCTION("GOOGLETRANSLATE(B25284,""en"",""it"")"),"Diverse persone si vedono in piedi l'una intorno all'altra tenendo bastoni e si guardano intorno.")</f>
        <v>Diverse persone si vedono in piedi l'una intorno all'altra tenendo bastoni e si guardano intorno.</v>
      </c>
    </row>
    <row r="25285">
      <c r="A25285" s="4" t="s">
        <v>31823</v>
      </c>
      <c r="B25285" s="6" t="s">
        <v>31825</v>
      </c>
      <c r="C25285" s="5" t="str">
        <f>IFERROR(__xludf.DUMMYFUNCTION("GOOGLETRANSLATE(B25285,""en"",""it"")"),"La gente colpisce una palla attraverso un prato alla volta e si vede ridere e sorridere l'un l'altro.")</f>
        <v>La gente colpisce una palla attraverso un prato alla volta e si vede ridere e sorridere l'un l'altro.</v>
      </c>
    </row>
    <row r="25286">
      <c r="A25286" s="4" t="s">
        <v>31826</v>
      </c>
      <c r="B25286" s="4" t="s">
        <v>31827</v>
      </c>
      <c r="C25286" s="5" t="str">
        <f>IFERROR(__xludf.DUMMYFUNCTION("GOOGLETRANSLATE(B25286,""en"",""it"")"),"Un uomo sta oscillando su un raggio di equilibrio.")</f>
        <v>Un uomo sta oscillando su un raggio di equilibrio.</v>
      </c>
    </row>
    <row r="25287">
      <c r="A25287" s="4" t="s">
        <v>31826</v>
      </c>
      <c r="B25287" s="4" t="s">
        <v>31828</v>
      </c>
      <c r="C25287" s="5" t="str">
        <f>IFERROR(__xludf.DUMMYFUNCTION("GOOGLETRANSLATE(B25287,""en"",""it"")"),"Salta via e mette le mani in aria.")</f>
        <v>Salta via e mette le mani in aria.</v>
      </c>
    </row>
    <row r="25288">
      <c r="A25288" s="4" t="s">
        <v>31826</v>
      </c>
      <c r="B25288" s="4" t="s">
        <v>31829</v>
      </c>
      <c r="C25288" s="5" t="str">
        <f>IFERROR(__xludf.DUMMYFUNCTION("GOOGLETRANSLATE(B25288,""en"",""it"")"),"Torna sul raggio dell'equilibrio.")</f>
        <v>Torna sul raggio dell'equilibrio.</v>
      </c>
    </row>
    <row r="25289">
      <c r="A25289" s="4" t="s">
        <v>31830</v>
      </c>
      <c r="B25289" s="6" t="s">
        <v>31831</v>
      </c>
      <c r="C25289" s="5" t="str">
        <f>IFERROR(__xludf.DUMMYFUNCTION("GOOGLETRANSLATE(B25289,""en"",""it"")"),"Un uomo è in una pista da bowling vestita con vestiti da bowling, scarpe e indossa guanti mentre si alterna rotola la palla lungo la corsia e colpisce le spille.")</f>
        <v>Un uomo è in una pista da bowling vestita con vestiti da bowling, scarpe e indossa guanti mentre si alterna rotola la palla lungo la corsia e colpisce le spille.</v>
      </c>
    </row>
    <row r="25290">
      <c r="A25290" s="4" t="s">
        <v>31830</v>
      </c>
      <c r="B25290" s="6" t="s">
        <v>31832</v>
      </c>
      <c r="C25290" s="5" t="str">
        <f>IFERROR(__xludf.DUMMYFUNCTION("GOOGLETRANSLATE(B25290,""en"",""it"")"),"L'uomo afferra la palla dal ritorno e tiene la palla e sta lì per un po 'a fissare la corsia, e quando finalmente la rotola fa un colpo.")</f>
        <v>L'uomo afferra la palla dal ritorno e tiene la palla e sta lì per un po 'a fissare la corsia, e quando finalmente la rotola fa un colpo.</v>
      </c>
    </row>
    <row r="25291">
      <c r="A25291" s="4" t="s">
        <v>31830</v>
      </c>
      <c r="B25291" s="4" t="s">
        <v>31833</v>
      </c>
      <c r="C25291" s="5" t="str">
        <f>IFERROR(__xludf.DUMMYFUNCTION("GOOGLETRANSLATE(B25291,""en"",""it"")"),"Quando lo sciopero è finito, si ripete al rallentatore.")</f>
        <v>Quando lo sciopero è finito, si ripete al rallentatore.</v>
      </c>
    </row>
    <row r="25292">
      <c r="A25292" s="4" t="s">
        <v>31834</v>
      </c>
      <c r="B25292" s="6" t="s">
        <v>31835</v>
      </c>
      <c r="C25292" s="5" t="str">
        <f>IFERROR(__xludf.DUMMYFUNCTION("GOOGLETRANSLATE(B25292,""en"",""it"")"),"Appare una vista di una parte superiore di un tetto con cannucce di pino mostrata sparsa dappertutto e un banner in basso dice ""Se hai la paglia di pino sul tetto, chiamaci 678-887-9479.")</f>
        <v>Appare una vista di una parte superiore di un tetto con cannucce di pino mostrata sparsa dappertutto e un banner in basso dice "Se hai la paglia di pino sul tetto, chiamaci 678-887-9479.</v>
      </c>
    </row>
    <row r="25293">
      <c r="A25293" s="4" t="s">
        <v>31834</v>
      </c>
      <c r="B25293" s="6" t="s">
        <v>31836</v>
      </c>
      <c r="C25293" s="5" t="str">
        <f>IFERROR(__xludf.DUMMYFUNCTION("GOOGLETRANSLATE(B25293,""en"",""it"")"),"Un uomo è ora in cima al tetto e ha un soffiatore nella mano destra, il bastone di metallo nella mano sinistra per equilibrio, e sta camminando lungo il tetto che soffia da tutte le cannucce di pino.")</f>
        <v>Un uomo è ora in cima al tetto e ha un soffiatore nella mano destra, il bastone di metallo nella mano sinistra per equilibrio, e sta camminando lungo il tetto che soffia da tutte le cannucce di pino.</v>
      </c>
    </row>
    <row r="25294">
      <c r="A25294" s="4" t="s">
        <v>31834</v>
      </c>
      <c r="B25294" s="4" t="s">
        <v>31837</v>
      </c>
      <c r="C25294" s="5" t="str">
        <f>IFERROR(__xludf.DUMMYFUNCTION("GOOGLETRANSLATE(B25294,""en"",""it"")"),"L'ultima vista è del tetto pulito e il sito Web è mostrato nella parte inferiore dello schermo.")</f>
        <v>L'ultima vista è del tetto pulito e il sito Web è mostrato nella parte inferiore dello schermo.</v>
      </c>
    </row>
    <row r="25295">
      <c r="A25295" s="4" t="s">
        <v>31838</v>
      </c>
      <c r="B25295" s="4" t="s">
        <v>31839</v>
      </c>
      <c r="C25295" s="5" t="str">
        <f>IFERROR(__xludf.DUMMYFUNCTION("GOOGLETRANSLATE(B25295,""en"",""it"")"),"Un uomo è sdraiato in una stanza.")</f>
        <v>Un uomo è sdraiato in una stanza.</v>
      </c>
    </row>
    <row r="25296">
      <c r="A25296" s="4" t="s">
        <v>31838</v>
      </c>
      <c r="B25296" s="4" t="s">
        <v>31840</v>
      </c>
      <c r="C25296" s="5" t="str">
        <f>IFERROR(__xludf.DUMMYFUNCTION("GOOGLETRANSLATE(B25296,""en"",""it"")"),"Una donna sta guardando campioni di tappeti in un negozio.")</f>
        <v>Una donna sta guardando campioni di tappeti in un negozio.</v>
      </c>
    </row>
    <row r="25297">
      <c r="A25297" s="4" t="s">
        <v>31838</v>
      </c>
      <c r="B25297" s="4" t="s">
        <v>31841</v>
      </c>
      <c r="C25297" s="5" t="str">
        <f>IFERROR(__xludf.DUMMYFUNCTION("GOOGLETRANSLATE(B25297,""en"",""it"")"),"Gli uomini sono in ginocchio installando pavimenti in legno.")</f>
        <v>Gli uomini sono in ginocchio installando pavimenti in legno.</v>
      </c>
    </row>
    <row r="25298">
      <c r="A25298" s="4" t="s">
        <v>31842</v>
      </c>
      <c r="B25298" s="6" t="s">
        <v>31843</v>
      </c>
      <c r="C25298" s="5" t="str">
        <f>IFERROR(__xludf.DUMMYFUNCTION("GOOGLETRANSLATE(B25298,""en"",""it"")"),"Un uomo atletico è visto in piedi all'inizio di una lunga pista con diverse persone in disparte.")</f>
        <v>Un uomo atletico è visto in piedi all'inizio di una lunga pista con diverse persone in disparte.</v>
      </c>
    </row>
    <row r="25299">
      <c r="A25299" s="4" t="s">
        <v>31842</v>
      </c>
      <c r="B25299" s="6" t="s">
        <v>31844</v>
      </c>
      <c r="C25299" s="5" t="str">
        <f>IFERROR(__xludf.DUMMYFUNCTION("GOOGLETRANSLATE(B25299,""en"",""it"")"),"Comincia a correre lungo la pista e saltando con alcuni altri che lo camminano intorno in lontananza.")</f>
        <v>Comincia a correre lungo la pista e saltando con alcuni altri che lo camminano intorno in lontananza.</v>
      </c>
    </row>
    <row r="25300">
      <c r="A25300" s="4" t="s">
        <v>31845</v>
      </c>
      <c r="B25300" s="4" t="s">
        <v>31846</v>
      </c>
      <c r="C25300" s="5" t="str">
        <f>IFERROR(__xludf.DUMMYFUNCTION("GOOGLETRANSLATE(B25300,""en"",""it"")"),"Un pubblico è raccolto in palestra per guardare la ginnasta sul cavallo.")</f>
        <v>Un pubblico è raccolto in palestra per guardare la ginnasta sul cavallo.</v>
      </c>
    </row>
    <row r="25301">
      <c r="A25301" s="4" t="s">
        <v>31845</v>
      </c>
      <c r="B25301" s="4" t="s">
        <v>31847</v>
      </c>
      <c r="C25301" s="5" t="str">
        <f>IFERROR(__xludf.DUMMYFUNCTION("GOOGLETRANSLATE(B25301,""en"",""it"")"),"Si concentra e poi si monta per iniziare la sua routine.")</f>
        <v>Si concentra e poi si monta per iniziare la sua routine.</v>
      </c>
    </row>
    <row r="25302">
      <c r="A25302" s="4" t="s">
        <v>31845</v>
      </c>
      <c r="B25302" s="6" t="s">
        <v>31848</v>
      </c>
      <c r="C25302" s="5" t="str">
        <f>IFERROR(__xludf.DUMMYFUNCTION("GOOGLETRANSLATE(B25302,""en"",""it"")"),"Si esibisce prima, e poi una seconda imponente incollaggio mentre afferra una maniglia con entrambe le mani.")</f>
        <v>Si esibisce prima, e poi una seconda imponente incollaggio mentre afferra una maniglia con entrambe le mani.</v>
      </c>
    </row>
    <row r="25303">
      <c r="A25303" s="4" t="s">
        <v>31845</v>
      </c>
      <c r="B25303" s="4" t="s">
        <v>31849</v>
      </c>
      <c r="C25303" s="5" t="str">
        <f>IFERROR(__xludf.DUMMYFUNCTION("GOOGLETRANSLATE(B25303,""en"",""it"")"),"Completa la sua routine e poi termina con uno smontaggio impeccabile per il tifo.")</f>
        <v>Completa la sua routine e poi termina con uno smontaggio impeccabile per il tifo.</v>
      </c>
    </row>
    <row r="25304">
      <c r="A25304" s="4" t="s">
        <v>31850</v>
      </c>
      <c r="B25304" s="4" t="s">
        <v>31851</v>
      </c>
      <c r="C25304" s="5" t="str">
        <f>IFERROR(__xludf.DUMMYFUNCTION("GOOGLETRANSLATE(B25304,""en"",""it"")"),"Un uomo viene visto lanciare un dardo sopra la fotocamera mentre guarda in lontananza.")</f>
        <v>Un uomo viene visto lanciare un dardo sopra la fotocamera mentre guarda in lontananza.</v>
      </c>
    </row>
    <row r="25305">
      <c r="A25305" s="4" t="s">
        <v>31850</v>
      </c>
      <c r="B25305" s="4" t="s">
        <v>31852</v>
      </c>
      <c r="C25305" s="5" t="str">
        <f>IFERROR(__xludf.DUMMYFUNCTION("GOOGLETRANSLATE(B25305,""en"",""it"")"),"Vengono mostrati diversi scatti che lancia e testo che attraversa lo schermo.")</f>
        <v>Vengono mostrati diversi scatti che lancia e testo che attraversa lo schermo.</v>
      </c>
    </row>
    <row r="25306">
      <c r="A25306" s="4" t="s">
        <v>31850</v>
      </c>
      <c r="B25306" s="4" t="s">
        <v>31853</v>
      </c>
      <c r="C25306" s="5" t="str">
        <f>IFERROR(__xludf.DUMMYFUNCTION("GOOGLETRANSLATE(B25306,""en"",""it"")"),"L'uomo continua a lanciare ancora e ancora.")</f>
        <v>L'uomo continua a lanciare ancora e ancora.</v>
      </c>
    </row>
    <row r="25307">
      <c r="A25307" s="4" t="s">
        <v>31854</v>
      </c>
      <c r="B25307" s="4" t="s">
        <v>31855</v>
      </c>
      <c r="C25307" s="5" t="str">
        <f>IFERROR(__xludf.DUMMYFUNCTION("GOOGLETRANSLATE(B25307,""en"",""it"")"),"Una donna mostra come coprire una torta con glassa usando una spatola.")</f>
        <v>Una donna mostra come coprire una torta con glassa usando una spatola.</v>
      </c>
    </row>
    <row r="25308">
      <c r="A25308" s="4" t="s">
        <v>31854</v>
      </c>
      <c r="B25308" s="4" t="s">
        <v>31856</v>
      </c>
      <c r="C25308" s="5" t="str">
        <f>IFERROR(__xludf.DUMMYFUNCTION("GOOGLETRANSLATE(B25308,""en"",""it"")"),"Quindi, spiega come pulire il bordo della torta usando un panno.")</f>
        <v>Quindi, spiega come pulire il bordo della torta usando un panno.</v>
      </c>
    </row>
    <row r="25309">
      <c r="A25309" s="4" t="s">
        <v>31857</v>
      </c>
      <c r="B25309" s="6" t="s">
        <v>31858</v>
      </c>
      <c r="C25309" s="5" t="str">
        <f>IFERROR(__xludf.DUMMYFUNCTION("GOOGLETRANSLATE(B25309,""en"",""it"")"),"Viene mostrato un primo piano di un telefono e una persona che si sveglia, si lava i denti e uscirà dalla porta.")</f>
        <v>Viene mostrato un primo piano di un telefono e una persona che si sveglia, si lava i denti e uscirà dalla porta.</v>
      </c>
    </row>
    <row r="25310">
      <c r="A25310" s="4" t="s">
        <v>31857</v>
      </c>
      <c r="B25310" s="4" t="s">
        <v>31859</v>
      </c>
      <c r="C25310" s="5" t="str">
        <f>IFERROR(__xludf.DUMMYFUNCTION("GOOGLETRANSLATE(B25310,""en"",""it"")"),"I primi piani sono mostrati da persone che cavalcano un ascensore da sci e giù per una montagna.")</f>
        <v>I primi piani sono mostrati da persone che cavalcano un ascensore da sci e giù per una montagna.</v>
      </c>
    </row>
    <row r="25311">
      <c r="A25311" s="4" t="s">
        <v>31857</v>
      </c>
      <c r="B25311" s="4" t="s">
        <v>31860</v>
      </c>
      <c r="C25311" s="5" t="str">
        <f>IFERROR(__xludf.DUMMYFUNCTION("GOOGLETRANSLATE(B25311,""en"",""it"")"),"Le persone di ingrandire la telecamera si guardano da vicino e si agitano l'un l'altro.")</f>
        <v>Le persone di ingrandire la telecamera si guardano da vicino e si agitano l'un l'altro.</v>
      </c>
    </row>
    <row r="25312">
      <c r="A25312" s="4" t="s">
        <v>31861</v>
      </c>
      <c r="B25312" s="4" t="s">
        <v>31862</v>
      </c>
      <c r="C25312" s="5" t="str">
        <f>IFERROR(__xludf.DUMMYFUNCTION("GOOGLETRANSLATE(B25312,""en"",""it"")"),"Una persona è vista in una stanza vicina con una racchetta da tennis.")</f>
        <v>Una persona è vista in una stanza vicina con una racchetta da tennis.</v>
      </c>
    </row>
    <row r="25313">
      <c r="A25313" s="4" t="s">
        <v>31861</v>
      </c>
      <c r="B25313" s="4" t="s">
        <v>31863</v>
      </c>
      <c r="C25313" s="5" t="str">
        <f>IFERROR(__xludf.DUMMYFUNCTION("GOOGLETRANSLATE(B25313,""en"",""it"")"),"La persona inizia quindi a colpire la palla con la racchetta e camminare.")</f>
        <v>La persona inizia quindi a colpire la palla con la racchetta e camminare.</v>
      </c>
    </row>
    <row r="25314">
      <c r="A25314" s="4" t="s">
        <v>31861</v>
      </c>
      <c r="B25314" s="4" t="s">
        <v>31864</v>
      </c>
      <c r="C25314" s="5" t="str">
        <f>IFERROR(__xludf.DUMMYFUNCTION("GOOGLETRANSLATE(B25314,""en"",""it"")"),"Un'altra persona viene vista camminare nella cornice e fuori.")</f>
        <v>Un'altra persona viene vista camminare nella cornice e fuori.</v>
      </c>
    </row>
    <row r="25315">
      <c r="A25315" s="4" t="s">
        <v>31865</v>
      </c>
      <c r="B25315" s="4" t="s">
        <v>31866</v>
      </c>
      <c r="C25315" s="5" t="str">
        <f>IFERROR(__xludf.DUMMYFUNCTION("GOOGLETRANSLATE(B25315,""en"",""it"")"),"Due bambini saltano fuori corda fuori.")</f>
        <v>Due bambini saltano fuori corda fuori.</v>
      </c>
    </row>
    <row r="25316">
      <c r="A25316" s="4" t="s">
        <v>31865</v>
      </c>
      <c r="B25316" s="4" t="s">
        <v>31867</v>
      </c>
      <c r="C25316" s="5" t="str">
        <f>IFERROR(__xludf.DUMMYFUNCTION("GOOGLETRANSLATE(B25316,""en"",""it"")"),"Due adulti si inginocchiano a terra con una corda per un bambino.")</f>
        <v>Due adulti si inginocchiano a terra con una corda per un bambino.</v>
      </c>
    </row>
    <row r="25317">
      <c r="A25317" s="4" t="s">
        <v>31865</v>
      </c>
      <c r="B25317" s="4" t="s">
        <v>31868</v>
      </c>
      <c r="C25317" s="5" t="str">
        <f>IFERROR(__xludf.DUMMYFUNCTION("GOOGLETRANSLATE(B25317,""en"",""it"")"),"La donna sta parlando con la telecamera.")</f>
        <v>La donna sta parlando con la telecamera.</v>
      </c>
    </row>
    <row r="25318">
      <c r="A25318" s="4" t="s">
        <v>31865</v>
      </c>
      <c r="B25318" s="4" t="s">
        <v>31869</v>
      </c>
      <c r="C25318" s="5" t="str">
        <f>IFERROR(__xludf.DUMMYFUNCTION("GOOGLETRANSLATE(B25318,""en"",""it"")"),"Un ragazzo si riversa un bicchiere sul viso mentre salta.")</f>
        <v>Un ragazzo si riversa un bicchiere sul viso mentre salta.</v>
      </c>
    </row>
    <row r="25319">
      <c r="A25319" s="4" t="s">
        <v>31870</v>
      </c>
      <c r="B25319" s="4" t="s">
        <v>31871</v>
      </c>
      <c r="C25319" s="5" t="str">
        <f>IFERROR(__xludf.DUMMYFUNCTION("GOOGLETRANSLATE(B25319,""en"",""it"")"),"La donna indossa l'imbracatura e entra in un elicottero sopra e vola sopra un vulcano.")</f>
        <v>La donna indossa l'imbracatura e entra in un elicottero sopra e vola sopra un vulcano.</v>
      </c>
    </row>
    <row r="25320">
      <c r="A25320" s="4" t="s">
        <v>31870</v>
      </c>
      <c r="B25320" s="4" t="s">
        <v>31872</v>
      </c>
      <c r="C25320" s="5" t="str">
        <f>IFERROR(__xludf.DUMMYFUNCTION("GOOGLETRANSLATE(B25320,""en"",""it"")"),"Un uomo e una donna sono appesi alla porta dell'elicottero si tengono a una corda e fanno un salto.")</f>
        <v>Un uomo e una donna sono appesi alla porta dell'elicottero si tengono a una corda e fanno un salto.</v>
      </c>
    </row>
    <row r="25321">
      <c r="A25321" s="4" t="s">
        <v>31870</v>
      </c>
      <c r="B25321" s="4" t="s">
        <v>31873</v>
      </c>
      <c r="C25321" s="5" t="str">
        <f>IFERROR(__xludf.DUMMYFUNCTION("GOOGLETRANSLATE(B25321,""en"",""it"")"),"L'uomo e la donna sono nella terra a parlare con una coppia.")</f>
        <v>L'uomo e la donna sono nella terra a parlare con una coppia.</v>
      </c>
    </row>
    <row r="25322">
      <c r="A25322" s="4" t="s">
        <v>31874</v>
      </c>
      <c r="B25322" s="4" t="s">
        <v>31875</v>
      </c>
      <c r="C25322" s="5" t="str">
        <f>IFERROR(__xludf.DUMMYFUNCTION("GOOGLETRANSLATE(B25322,""en"",""it"")"),"uomo davanti a un'auto con il cofano aperto.")</f>
        <v>uomo davanti a un'auto con il cofano aperto.</v>
      </c>
    </row>
    <row r="25323">
      <c r="A25323" s="4" t="s">
        <v>31874</v>
      </c>
      <c r="B25323" s="4" t="s">
        <v>31876</v>
      </c>
      <c r="C25323" s="5" t="str">
        <f>IFERROR(__xludf.DUMMYFUNCTION("GOOGLETRANSLATE(B25323,""en"",""it"")"),"L'uomo cammina attraverso i boschi e ty per accendere un incendio in legno.")</f>
        <v>L'uomo cammina attraverso i boschi e ty per accendere un incendio in legno.</v>
      </c>
    </row>
    <row r="25324">
      <c r="A25324" s="4" t="s">
        <v>31877</v>
      </c>
      <c r="B25324" s="4" t="s">
        <v>31878</v>
      </c>
      <c r="C25324" s="5" t="str">
        <f>IFERROR(__xludf.DUMMYFUNCTION("GOOGLETRANSLATE(B25324,""en"",""it"")"),"Qualcuno sta accarezzando la vernice blu su e giù su una recinzione.")</f>
        <v>Qualcuno sta accarezzando la vernice blu su e giù su una recinzione.</v>
      </c>
    </row>
    <row r="25325">
      <c r="A25325" s="4" t="s">
        <v>31877</v>
      </c>
      <c r="B25325" s="4" t="s">
        <v>31879</v>
      </c>
      <c r="C25325" s="5" t="str">
        <f>IFERROR(__xludf.DUMMYFUNCTION("GOOGLETRANSLATE(B25325,""en"",""it"")"),"Hanno messo di nuovo il pennello nella vernice per raccogliere più vernice.")</f>
        <v>Hanno messo di nuovo il pennello nella vernice per raccogliere più vernice.</v>
      </c>
    </row>
    <row r="25326">
      <c r="A25326" s="4" t="s">
        <v>31877</v>
      </c>
      <c r="B25326" s="4" t="s">
        <v>31880</v>
      </c>
      <c r="C25326" s="5" t="str">
        <f>IFERROR(__xludf.DUMMYFUNCTION("GOOGLETRANSLATE(B25326,""en"",""it"")"),"Quindi continua a procedere con la pittura della recinzione.")</f>
        <v>Quindi continua a procedere con la pittura della recinzione.</v>
      </c>
    </row>
    <row r="25327">
      <c r="A25327" s="4" t="s">
        <v>31877</v>
      </c>
      <c r="B25327" s="4" t="s">
        <v>31881</v>
      </c>
      <c r="C25327" s="5" t="str">
        <f>IFERROR(__xludf.DUMMYFUNCTION("GOOGLETRANSLATE(B25327,""en"",""it"")"),"Lo fanno più volte cercando di coprire tutto il marrone.")</f>
        <v>Lo fanno più volte cercando di coprire tutto il marrone.</v>
      </c>
    </row>
    <row r="25328">
      <c r="A25328" s="4" t="s">
        <v>31882</v>
      </c>
      <c r="B25328" s="6" t="s">
        <v>31883</v>
      </c>
      <c r="C25328" s="5" t="str">
        <f>IFERROR(__xludf.DUMMYFUNCTION("GOOGLETRANSLATE(B25328,""en"",""it"")"),"Un uomo viene visto in piedi davanti a un bambino di tenuta che solleva una pinata mentre altri si trovano in giro e guardano.")</f>
        <v>Un uomo viene visto in piedi davanti a un bambino di tenuta che solleva una pinata mentre altri si trovano in giro e guardano.</v>
      </c>
    </row>
    <row r="25329">
      <c r="A25329" s="4" t="s">
        <v>31882</v>
      </c>
      <c r="B25329" s="4" t="s">
        <v>31884</v>
      </c>
      <c r="C25329" s="5" t="str">
        <f>IFERROR(__xludf.DUMMYFUNCTION("GOOGLETRANSLATE(B25329,""en"",""it"")"),"Il ragazzo piegato cieco fa quindi più oscillazioni al Pinata mentre i bambini si siedono e guardano.")</f>
        <v>Il ragazzo piegato cieco fa quindi più oscillazioni al Pinata mentre i bambini si siedono e guardano.</v>
      </c>
    </row>
    <row r="25330">
      <c r="A25330" s="4" t="s">
        <v>31885</v>
      </c>
      <c r="B25330" s="4" t="s">
        <v>31886</v>
      </c>
      <c r="C25330" s="5" t="str">
        <f>IFERROR(__xludf.DUMMYFUNCTION("GOOGLETRANSLATE(B25330,""en"",""it"")"),"C'è una donna in una canotta gialla e collant neri che saltano in palestra.")</f>
        <v>C'è una donna in una canotta gialla e collant neri che saltano in palestra.</v>
      </c>
    </row>
    <row r="25331">
      <c r="A25331" s="4" t="s">
        <v>31885</v>
      </c>
      <c r="B25331" s="4" t="s">
        <v>31887</v>
      </c>
      <c r="C25331" s="5" t="str">
        <f>IFERROR(__xludf.DUMMYFUNCTION("GOOGLETRANSLATE(B25331,""en"",""it"")"),"Salta in modo ritmico senza fermarsi sulla superficie del pavimento in legno.")</f>
        <v>Salta in modo ritmico senza fermarsi sulla superficie del pavimento in legno.</v>
      </c>
    </row>
    <row r="25332">
      <c r="A25332" s="4" t="s">
        <v>31885</v>
      </c>
      <c r="B25332" s="4" t="s">
        <v>31888</v>
      </c>
      <c r="C25332" s="5" t="str">
        <f>IFERROR(__xludf.DUMMYFUNCTION("GOOGLETRANSLATE(B25332,""en"",""it"")"),"Dopo aver finito, una persona in piedi davanti a lei le dà un pollice in su e applaude per lei.")</f>
        <v>Dopo aver finito, una persona in piedi davanti a lei le dà un pollice in su e applaude per lei.</v>
      </c>
    </row>
    <row r="25333">
      <c r="A25333" s="4" t="s">
        <v>31889</v>
      </c>
      <c r="B25333" s="4" t="s">
        <v>31890</v>
      </c>
      <c r="C25333" s="5" t="str">
        <f>IFERROR(__xludf.DUMMYFUNCTION("GOOGLETRANSLATE(B25333,""en"",""it"")"),"Una donna è seduta in una stanza a parlare.")</f>
        <v>Una donna è seduta in una stanza a parlare.</v>
      </c>
    </row>
    <row r="25334">
      <c r="A25334" s="4" t="s">
        <v>31889</v>
      </c>
      <c r="B25334" s="4" t="s">
        <v>31891</v>
      </c>
      <c r="C25334" s="5" t="str">
        <f>IFERROR(__xludf.DUMMYFUNCTION("GOOGLETRANSLATE(B25334,""en"",""it"")"),"C'è un gatto bianco sul letto dietro di lei.")</f>
        <v>C'è un gatto bianco sul letto dietro di lei.</v>
      </c>
    </row>
    <row r="25335">
      <c r="A25335" s="4" t="s">
        <v>31889</v>
      </c>
      <c r="B25335" s="4" t="s">
        <v>31892</v>
      </c>
      <c r="C25335" s="5" t="str">
        <f>IFERROR(__xludf.DUMMYFUNCTION("GOOGLETRANSLATE(B25335,""en"",""it"")"),"Comincia a intrecciare i capelli di lato.")</f>
        <v>Comincia a intrecciare i capelli di lato.</v>
      </c>
    </row>
    <row r="25336">
      <c r="A25336" s="4" t="s">
        <v>31889</v>
      </c>
      <c r="B25336" s="4" t="s">
        <v>31893</v>
      </c>
      <c r="C25336" s="5" t="str">
        <f>IFERROR(__xludf.DUMMYFUNCTION("GOOGLETRANSLATE(B25336,""en"",""it"")"),"Continua a parlare e soffia un bacio alla telecamera.")</f>
        <v>Continua a parlare e soffia un bacio alla telecamera.</v>
      </c>
    </row>
    <row r="25337">
      <c r="A25337" s="4" t="s">
        <v>31894</v>
      </c>
      <c r="B25337" s="4" t="s">
        <v>31895</v>
      </c>
      <c r="C25337" s="5" t="str">
        <f>IFERROR(__xludf.DUMMYFUNCTION("GOOGLETRANSLATE(B25337,""en"",""it"")"),"Una donna viene vista parlare alla telecamera mentre tiene in mano un pennello e un secchio.")</f>
        <v>Una donna viene vista parlare alla telecamera mentre tiene in mano un pennello e un secchio.</v>
      </c>
    </row>
    <row r="25338">
      <c r="A25338" s="4" t="s">
        <v>31894</v>
      </c>
      <c r="B25338" s="4" t="s">
        <v>31896</v>
      </c>
      <c r="C25338" s="5" t="str">
        <f>IFERROR(__xludf.DUMMYFUNCTION("GOOGLETRANSLATE(B25338,""en"",""it"")"),"Dipinge un mobile accanto a lei mentre solleva anche un pennello.")</f>
        <v>Dipinge un mobile accanto a lei mentre solleva anche un pennello.</v>
      </c>
    </row>
    <row r="25339">
      <c r="A25339" s="4" t="s">
        <v>31894</v>
      </c>
      <c r="B25339" s="4" t="s">
        <v>31897</v>
      </c>
      <c r="C25339" s="5" t="str">
        <f>IFERROR(__xludf.DUMMYFUNCTION("GOOGLETRANSLATE(B25339,""en"",""it"")"),"Solleva più oggetti mentre immerge i pennelli in loro e lo usa sui mobili.")</f>
        <v>Solleva più oggetti mentre immerge i pennelli in loro e lo usa sui mobili.</v>
      </c>
    </row>
    <row r="25340">
      <c r="A25340" s="4" t="s">
        <v>31898</v>
      </c>
      <c r="B25340" s="4" t="s">
        <v>31899</v>
      </c>
      <c r="C25340" s="5" t="str">
        <f>IFERROR(__xludf.DUMMYFUNCTION("GOOGLETRANSLATE(B25340,""en"",""it"")"),"Una donna che riferisce sta parlando con una macchina fotografica con un comportamento serio.")</f>
        <v>Una donna che riferisce sta parlando con una macchina fotografica con un comportamento serio.</v>
      </c>
    </row>
    <row r="25341">
      <c r="A25341" s="4" t="s">
        <v>31898</v>
      </c>
      <c r="B25341" s="6" t="s">
        <v>31900</v>
      </c>
      <c r="C25341" s="5" t="str">
        <f>IFERROR(__xludf.DUMMYFUNCTION("GOOGLETRANSLATE(B25341,""en"",""it"")"),"Un uomo decomprime il violino dalla borsa e gioca un po 'per la telecamera mentre il giornalista commenta.")</f>
        <v>Un uomo decomprime il violino dalla borsa e gioca un po 'per la telecamera mentre il giornalista commenta.</v>
      </c>
    </row>
    <row r="25342">
      <c r="A25342" s="4" t="s">
        <v>31898</v>
      </c>
      <c r="B25342" s="4" t="s">
        <v>31901</v>
      </c>
      <c r="C25342" s="5" t="str">
        <f>IFERROR(__xludf.DUMMYFUNCTION("GOOGLETRANSLATE(B25342,""en"",""it"")"),"Comincia a lottare giocando con le sue condizioni e mostra un intervento chirurgico su come risolverlo.")</f>
        <v>Comincia a lottare giocando con le sue condizioni e mostra un intervento chirurgico su come risolverlo.</v>
      </c>
    </row>
    <row r="25343">
      <c r="A25343" s="4" t="s">
        <v>31898</v>
      </c>
      <c r="B25343" s="6" t="s">
        <v>31902</v>
      </c>
      <c r="C25343" s="5" t="str">
        <f>IFERROR(__xludf.DUMMYFUNCTION("GOOGLETRANSLATE(B25343,""en"",""it"")"),"Il giornalista afferma che l'uomo è migliore che mai e mostra i suoi progressi suonando un violino in uno spettacolo.")</f>
        <v>Il giornalista afferma che l'uomo è migliore che mai e mostra i suoi progressi suonando un violino in uno spettacolo.</v>
      </c>
    </row>
    <row r="25344">
      <c r="A25344" s="4" t="s">
        <v>31903</v>
      </c>
      <c r="B25344" s="4" t="s">
        <v>31904</v>
      </c>
      <c r="C25344" s="5" t="str">
        <f>IFERROR(__xludf.DUMMYFUNCTION("GOOGLETRANSLATE(B25344,""en"",""it"")"),"Un uomo è in piedi alla linea di partenza che gli applaudi le mani, la gente guarda.")</f>
        <v>Un uomo è in piedi alla linea di partenza che gli applaudi le mani, la gente guarda.</v>
      </c>
    </row>
    <row r="25345">
      <c r="A25345" s="4" t="s">
        <v>31903</v>
      </c>
      <c r="B25345" s="4" t="s">
        <v>31905</v>
      </c>
      <c r="C25345" s="5" t="str">
        <f>IFERROR(__xludf.DUMMYFUNCTION("GOOGLETRANSLATE(B25345,""en"",""it"")"),"Si toglie di corsa e fa un salto in lungo.")</f>
        <v>Si toglie di corsa e fa un salto in lungo.</v>
      </c>
    </row>
    <row r="25346">
      <c r="A25346" s="4" t="s">
        <v>31903</v>
      </c>
      <c r="B25346" s="4" t="s">
        <v>31906</v>
      </c>
      <c r="C25346" s="5" t="str">
        <f>IFERROR(__xludf.DUMMYFUNCTION("GOOGLETRANSLATE(B25346,""en"",""it"")"),"Saluta il grande pubblico di applaudito.")</f>
        <v>Saluta il grande pubblico di applaudito.</v>
      </c>
    </row>
    <row r="25347">
      <c r="A25347" s="4" t="s">
        <v>31903</v>
      </c>
      <c r="B25347" s="4" t="s">
        <v>31907</v>
      </c>
      <c r="C25347" s="5" t="str">
        <f>IFERROR(__xludf.DUMMYFUNCTION("GOOGLETRANSLATE(B25347,""en"",""it"")"),"Un altro uomo attende sulla linea di partenza prima di accelerare nel salto in lungo.")</f>
        <v>Un altro uomo attende sulla linea di partenza prima di accelerare nel salto in lungo.</v>
      </c>
    </row>
    <row r="25348">
      <c r="A25348" s="4" t="s">
        <v>31903</v>
      </c>
      <c r="B25348" s="4" t="s">
        <v>31908</v>
      </c>
      <c r="C25348" s="5" t="str">
        <f>IFERROR(__xludf.DUMMYFUNCTION("GOOGLETRANSLATE(B25348,""en"",""it"")"),"Guarda la folla che è sottomessa.")</f>
        <v>Guarda la folla che è sottomessa.</v>
      </c>
    </row>
    <row r="25349">
      <c r="A25349" s="4" t="s">
        <v>31903</v>
      </c>
      <c r="B25349" s="4" t="s">
        <v>31909</v>
      </c>
      <c r="C25349" s="5" t="str">
        <f>IFERROR(__xludf.DUMMYFUNCTION("GOOGLETRANSLATE(B25349,""en"",""it"")"),"Si allontana guardando il terreno.")</f>
        <v>Si allontana guardando il terreno.</v>
      </c>
    </row>
    <row r="25350">
      <c r="A25350" s="4" t="s">
        <v>31903</v>
      </c>
      <c r="B25350" s="4" t="s">
        <v>31910</v>
      </c>
      <c r="C25350" s="5" t="str">
        <f>IFERROR(__xludf.DUMMYFUNCTION("GOOGLETRANSLATE(B25350,""en"",""it"")"),"Un altro uomo aspetta sulla linea di partenza prima di correre in un longjump.")</f>
        <v>Un altro uomo aspetta sulla linea di partenza prima di correre in un longjump.</v>
      </c>
    </row>
    <row r="25351">
      <c r="A25351" s="4" t="s">
        <v>31903</v>
      </c>
      <c r="B25351" s="4" t="s">
        <v>31911</v>
      </c>
      <c r="C25351" s="5" t="str">
        <f>IFERROR(__xludf.DUMMYFUNCTION("GOOGLETRANSLATE(B25351,""en"",""it"")"),"Accenda la folla riconoscente e scappa sorridendo e festeggia.")</f>
        <v>Accenda la folla riconoscente e scappa sorridendo e festeggia.</v>
      </c>
    </row>
    <row r="25352">
      <c r="A25352" s="4" t="s">
        <v>31912</v>
      </c>
      <c r="B25352" s="4" t="s">
        <v>31913</v>
      </c>
      <c r="C25352" s="5" t="str">
        <f>IFERROR(__xludf.DUMMYFUNCTION("GOOGLETRANSLATE(B25352,""en"",""it"")"),"Una persona è vista sdraiata a terra con un'altra persona che corre da dietro.")</f>
        <v>Una persona è vista sdraiata a terra con un'altra persona che corre da dietro.</v>
      </c>
    </row>
    <row r="25353">
      <c r="A25353" s="4" t="s">
        <v>31912</v>
      </c>
      <c r="B25353" s="4" t="s">
        <v>31914</v>
      </c>
      <c r="C25353" s="5" t="str">
        <f>IFERROR(__xludf.DUMMYFUNCTION("GOOGLETRANSLATE(B25353,""en"",""it"")"),"La persona che corre poi cade e gli altri intorno a loro aiutano e bevono acqua.")</f>
        <v>La persona che corre poi cade e gli altri intorno a loro aiutano e bevono acqua.</v>
      </c>
    </row>
    <row r="25354">
      <c r="A25354" s="4" t="s">
        <v>31915</v>
      </c>
      <c r="B25354" s="4" t="s">
        <v>31916</v>
      </c>
      <c r="C25354" s="5" t="str">
        <f>IFERROR(__xludf.DUMMYFUNCTION("GOOGLETRANSLATE(B25354,""en"",""it"")"),"I giocatori stanno giocando a lacrosse in un'arena di hockey.")</f>
        <v>I giocatori stanno giocando a lacrosse in un'arena di hockey.</v>
      </c>
    </row>
    <row r="25355">
      <c r="A25355" s="4" t="s">
        <v>31915</v>
      </c>
      <c r="B25355" s="4" t="s">
        <v>31917</v>
      </c>
      <c r="C25355" s="5" t="str">
        <f>IFERROR(__xludf.DUMMYFUNCTION("GOOGLETRANSLATE(B25355,""en"",""it"")"),"I giocatori lasciano l'arena.")</f>
        <v>I giocatori lasciano l'arena.</v>
      </c>
    </row>
    <row r="25356">
      <c r="A25356" s="4" t="s">
        <v>31915</v>
      </c>
      <c r="B25356" s="4" t="s">
        <v>31918</v>
      </c>
      <c r="C25356" s="5" t="str">
        <f>IFERROR(__xludf.DUMMYFUNCTION("GOOGLETRANSLATE(B25356,""en"",""it"")"),"Un giocatore di squadra verde corre verso la finestra chiara.")</f>
        <v>Un giocatore di squadra verde corre verso la finestra chiara.</v>
      </c>
    </row>
    <row r="25357">
      <c r="A25357" s="4" t="s">
        <v>31919</v>
      </c>
      <c r="B25357" s="4" t="s">
        <v>31920</v>
      </c>
      <c r="C25357" s="5" t="str">
        <f>IFERROR(__xludf.DUMMYFUNCTION("GOOGLETRANSLATE(B25357,""en"",""it"")"),"Una telecamera si lancia attorno a un McDonalds e conduce a un uomo che parla con un cassiere.")</f>
        <v>Una telecamera si lancia attorno a un McDonalds e conduce a un uomo che parla con un cassiere.</v>
      </c>
    </row>
    <row r="25358">
      <c r="A25358" s="4" t="s">
        <v>31919</v>
      </c>
      <c r="B25358" s="4" t="s">
        <v>31921</v>
      </c>
      <c r="C25358" s="5" t="str">
        <f>IFERROR(__xludf.DUMMYFUNCTION("GOOGLETRANSLATE(B25358,""en"",""it"")"),"Vengono quindi mostrati diversi scatti di persone che giocano a forbici di carta rocciosa con dipendenti.")</f>
        <v>Vengono quindi mostrati diversi scatti di persone che giocano a forbici di carta rocciosa con dipendenti.</v>
      </c>
    </row>
    <row r="25359">
      <c r="A25359" s="4" t="s">
        <v>31919</v>
      </c>
      <c r="B25359" s="4" t="s">
        <v>31922</v>
      </c>
      <c r="C25359" s="5" t="str">
        <f>IFERROR(__xludf.DUMMYFUNCTION("GOOGLETRANSLATE(B25359,""en"",""it"")"),"Quando le persone vincono la partita, ricevono un gelato gratuito.")</f>
        <v>Quando le persone vincono la partita, ricevono un gelato gratuito.</v>
      </c>
    </row>
    <row r="25360">
      <c r="A25360" s="4" t="s">
        <v>31923</v>
      </c>
      <c r="B25360" s="4" t="s">
        <v>31924</v>
      </c>
      <c r="C25360" s="5" t="str">
        <f>IFERROR(__xludf.DUMMYFUNCTION("GOOGLETRANSLATE(B25360,""en"",""it"")"),"Si vede un frigorifero con due persone che afferrano un pezzo di formaggio.")</f>
        <v>Si vede un frigorifero con due persone che afferrano un pezzo di formaggio.</v>
      </c>
    </row>
    <row r="25361">
      <c r="A25361" s="4" t="s">
        <v>31923</v>
      </c>
      <c r="B25361" s="4" t="s">
        <v>31925</v>
      </c>
      <c r="C25361" s="5" t="str">
        <f>IFERROR(__xludf.DUMMYFUNCTION("GOOGLETRANSLATE(B25361,""en"",""it"")"),"I due uomini combattono quindi iniziano a giocare a forbici di carta rocciosa.")</f>
        <v>I due uomini combattono quindi iniziano a giocare a forbici di carta rocciosa.</v>
      </c>
    </row>
    <row r="25362">
      <c r="A25362" s="4" t="s">
        <v>31923</v>
      </c>
      <c r="B25362" s="6" t="s">
        <v>31926</v>
      </c>
      <c r="C25362" s="5" t="str">
        <f>IFERROR(__xludf.DUMMYFUNCTION("GOOGLETRANSLATE(B25362,""en"",""it"")"),"Usano vari strumenti e oggetti per giocare, nonché versioni più piccole di se stessi che continuano a fare la panoramica all'indietro.")</f>
        <v>Usano vari strumenti e oggetti per giocare, nonché versioni più piccole di se stessi che continuano a fare la panoramica all'indietro.</v>
      </c>
    </row>
    <row r="25363">
      <c r="A25363" s="4" t="s">
        <v>31927</v>
      </c>
      <c r="B25363" s="4" t="s">
        <v>31928</v>
      </c>
      <c r="C25363" s="5" t="str">
        <f>IFERROR(__xludf.DUMMYFUNCTION("GOOGLETRANSLATE(B25363,""en"",""it"")"),"Vediamo uno schermo di apertura e poi una signora seduta.")</f>
        <v>Vediamo uno schermo di apertura e poi una signora seduta.</v>
      </c>
    </row>
    <row r="25364">
      <c r="A25364" s="4" t="s">
        <v>31927</v>
      </c>
      <c r="B25364" s="4" t="s">
        <v>31929</v>
      </c>
      <c r="C25364" s="5" t="str">
        <f>IFERROR(__xludf.DUMMYFUNCTION("GOOGLETRANSLATE(B25364,""en"",""it"")"),"Vediamo una persona che taglia i capelli lunghi delle donne con un livello.")</f>
        <v>Vediamo una persona che taglia i capelli lunghi delle donne con un livello.</v>
      </c>
    </row>
    <row r="25365">
      <c r="A25365" s="4" t="s">
        <v>31927</v>
      </c>
      <c r="B25365" s="4" t="s">
        <v>31930</v>
      </c>
      <c r="C25365" s="5" t="str">
        <f>IFERROR(__xludf.DUMMYFUNCTION("GOOGLETRANSLATE(B25365,""en"",""it"")"),"La persona quindi si lava i capelli schietti.")</f>
        <v>La persona quindi si lava i capelli schietti.</v>
      </c>
    </row>
    <row r="25366">
      <c r="A25366" s="4" t="s">
        <v>31927</v>
      </c>
      <c r="B25366" s="4" t="s">
        <v>31931</v>
      </c>
      <c r="C25366" s="5" t="str">
        <f>IFERROR(__xludf.DUMMYFUNCTION("GOOGLETRANSLATE(B25366,""en"",""it"")"),"La signora si gira e sorride.")</f>
        <v>La signora si gira e sorride.</v>
      </c>
    </row>
    <row r="25367">
      <c r="A25367" s="4" t="s">
        <v>31927</v>
      </c>
      <c r="B25367" s="4" t="s">
        <v>31932</v>
      </c>
      <c r="C25367" s="5" t="str">
        <f>IFERROR(__xludf.DUMMYFUNCTION("GOOGLETRANSLATE(B25367,""en"",""it"")"),"Vediamo un prima e dopo.")</f>
        <v>Vediamo un prima e dopo.</v>
      </c>
    </row>
    <row r="25368">
      <c r="A25368" s="4" t="s">
        <v>31927</v>
      </c>
      <c r="B25368" s="4" t="s">
        <v>31933</v>
      </c>
      <c r="C25368" s="5" t="str">
        <f>IFERROR(__xludf.DUMMYFUNCTION("GOOGLETRANSLATE(B25368,""en"",""it"")"),"Vediamo quindi scene di persone che usano lo strumento.")</f>
        <v>Vediamo quindi scene di persone che usano lo strumento.</v>
      </c>
    </row>
    <row r="25369">
      <c r="A25369" s="4" t="s">
        <v>31927</v>
      </c>
      <c r="B25369" s="4" t="s">
        <v>31934</v>
      </c>
      <c r="C25369" s="5" t="str">
        <f>IFERROR(__xludf.DUMMYFUNCTION("GOOGLETRANSLATE(B25369,""en"",""it"")"),"Vediamo lo strumento in bianco e blu.")</f>
        <v>Vediamo lo strumento in bianco e blu.</v>
      </c>
    </row>
    <row r="25370">
      <c r="A25370" s="4" t="s">
        <v>31927</v>
      </c>
      <c r="B25370" s="4" t="s">
        <v>31935</v>
      </c>
      <c r="C25370" s="5" t="str">
        <f>IFERROR(__xludf.DUMMYFUNCTION("GOOGLETRANSLATE(B25370,""en"",""it"")"),"Si vede lo schermo di chiusura.")</f>
        <v>Si vede lo schermo di chiusura.</v>
      </c>
    </row>
    <row r="25371">
      <c r="A25371" s="4" t="s">
        <v>31936</v>
      </c>
      <c r="B25371" s="4" t="s">
        <v>31937</v>
      </c>
      <c r="C25371" s="5" t="str">
        <f>IFERROR(__xludf.DUMMYFUNCTION("GOOGLETRANSLATE(B25371,""en"",""it"")"),"Un gruppo di nuotatori si trova su una tavola da immersione.")</f>
        <v>Un gruppo di nuotatori si trova su una tavola da immersione.</v>
      </c>
    </row>
    <row r="25372">
      <c r="A25372" s="4" t="s">
        <v>31936</v>
      </c>
      <c r="B25372" s="4" t="s">
        <v>31938</v>
      </c>
      <c r="C25372" s="5" t="str">
        <f>IFERROR(__xludf.DUMMYFUNCTION("GOOGLETRANSLATE(B25372,""en"",""it"")"),"Un uomo cade dal tabellone molto improvvisamente.")</f>
        <v>Un uomo cade dal tabellone molto improvvisamente.</v>
      </c>
    </row>
    <row r="25373">
      <c r="A25373" s="4" t="s">
        <v>31936</v>
      </c>
      <c r="B25373" s="4" t="s">
        <v>31939</v>
      </c>
      <c r="C25373" s="5" t="str">
        <f>IFERROR(__xludf.DUMMYFUNCTION("GOOGLETRANSLATE(B25373,""en"",""it"")"),"Colpisce altri livelli mentre scende in acqua.")</f>
        <v>Colpisce altri livelli mentre scende in acqua.</v>
      </c>
    </row>
    <row r="25374">
      <c r="A25374" s="4" t="s">
        <v>31940</v>
      </c>
      <c r="B25374" s="4" t="s">
        <v>31941</v>
      </c>
      <c r="C25374" s="5" t="str">
        <f>IFERROR(__xludf.DUMMYFUNCTION("GOOGLETRANSLATE(B25374,""en"",""it"")"),"Una donna sta facendo un po 'di esercizio su una macchina.")</f>
        <v>Una donna sta facendo un po 'di esercizio su una macchina.</v>
      </c>
    </row>
    <row r="25375">
      <c r="A25375" s="4" t="s">
        <v>31940</v>
      </c>
      <c r="B25375" s="4" t="s">
        <v>31942</v>
      </c>
      <c r="C25375" s="5" t="str">
        <f>IFERROR(__xludf.DUMMYFUNCTION("GOOGLETRANSLATE(B25375,""en"",""it"")"),"Sta andando a una velocità abbastanza veloce, puoi vederla scendere e poi tornare di nuovo.")</f>
        <v>Sta andando a una velocità abbastanza veloce, puoi vederla scendere e poi tornare di nuovo.</v>
      </c>
    </row>
    <row r="25376">
      <c r="A25376" s="4" t="s">
        <v>31940</v>
      </c>
      <c r="B25376" s="6" t="s">
        <v>31943</v>
      </c>
      <c r="C25376" s="5" t="str">
        <f>IFERROR(__xludf.DUMMYFUNCTION("GOOGLETRANSLATE(B25376,""en"",""it"")"),"Mette le mani attorno a un pezzo e le permette di fare il passo e la velocità, così come il battito cardiaco e le cose.")</f>
        <v>Mette le mani attorno a un pezzo e le permette di fare il passo e la velocità, così come il battito cardiaco e le cose.</v>
      </c>
    </row>
    <row r="25377">
      <c r="A25377" s="4" t="s">
        <v>31940</v>
      </c>
      <c r="B25377" s="4" t="s">
        <v>31944</v>
      </c>
      <c r="C25377" s="5" t="str">
        <f>IFERROR(__xludf.DUMMYFUNCTION("GOOGLETRANSLATE(B25377,""en"",""it"")"),"Cambia la sua velocità e beve un po 'd'acqua e continua ad andare avanti.")</f>
        <v>Cambia la sua velocità e beve un po 'd'acqua e continua ad andare avanti.</v>
      </c>
    </row>
    <row r="25378">
      <c r="A25378" s="4" t="s">
        <v>31945</v>
      </c>
      <c r="B25378" s="4" t="s">
        <v>31946</v>
      </c>
      <c r="C25378" s="5" t="str">
        <f>IFERROR(__xludf.DUMMYFUNCTION("GOOGLETRANSLATE(B25378,""en"",""it"")"),"Viene mostrata una palla arrugginita che rotola giù un tipo di rampa fatta per l'uomo.")</f>
        <v>Viene mostrata una palla arrugginita che rotola giù un tipo di rampa fatta per l'uomo.</v>
      </c>
    </row>
    <row r="25379">
      <c r="A25379" s="4" t="s">
        <v>31945</v>
      </c>
      <c r="B25379" s="6" t="s">
        <v>31947</v>
      </c>
      <c r="C25379" s="5" t="str">
        <f>IFERROR(__xludf.DUMMYFUNCTION("GOOGLETRANSLATE(B25379,""en"",""it"")"),"Numerosi atleti olimpici vengono quindi mostrati mettendo il tiro per il collo e lanciandolo e misurando la distanza.")</f>
        <v>Numerosi atleti olimpici vengono quindi mostrati mettendo il tiro per il collo e lanciandolo e misurando la distanza.</v>
      </c>
    </row>
    <row r="25380">
      <c r="A25380" s="4" t="s">
        <v>31945</v>
      </c>
      <c r="B25380" s="6" t="s">
        <v>31948</v>
      </c>
      <c r="C25380" s="5" t="str">
        <f>IFERROR(__xludf.DUMMYFUNCTION("GOOGLETRANSLATE(B25380,""en"",""it"")"),"Viene finalmente mostrato un tabellone nero e iniziano a dare al vincitore la medaglia e mostrano la bandiera del paese che la persona rappresenta.")</f>
        <v>Viene finalmente mostrato un tabellone nero e iniziano a dare al vincitore la medaglia e mostrano la bandiera del paese che la persona rappresenta.</v>
      </c>
    </row>
    <row r="25381">
      <c r="A25381" s="4" t="s">
        <v>31949</v>
      </c>
      <c r="B25381" s="4" t="s">
        <v>31950</v>
      </c>
      <c r="C25381" s="5" t="str">
        <f>IFERROR(__xludf.DUMMYFUNCTION("GOOGLETRANSLATE(B25381,""en"",""it"")"),"Una donna in un cappotto da laboratorio si trova in una sala di recupero dell'ospedale.")</f>
        <v>Una donna in un cappotto da laboratorio si trova in una sala di recupero dell'ospedale.</v>
      </c>
    </row>
    <row r="25382">
      <c r="A25382" s="4" t="s">
        <v>31949</v>
      </c>
      <c r="B25382" s="4" t="s">
        <v>31951</v>
      </c>
      <c r="C25382" s="5" t="str">
        <f>IFERROR(__xludf.DUMMYFUNCTION("GOOGLETRANSLATE(B25382,""en"",""it"")"),"Si sfugge bene alle mani con il sapone.")</f>
        <v>Si sfugge bene alle mani con il sapone.</v>
      </c>
    </row>
    <row r="25383">
      <c r="A25383" s="4" t="s">
        <v>31949</v>
      </c>
      <c r="B25383" s="4" t="s">
        <v>31952</v>
      </c>
      <c r="C25383" s="5" t="str">
        <f>IFERROR(__xludf.DUMMYFUNCTION("GOOGLETRANSLATE(B25383,""en"",""it"")"),"Quindi si sciacqua e li asciuga a fondo.")</f>
        <v>Quindi si sciacqua e li asciuga a fondo.</v>
      </c>
    </row>
    <row r="25384">
      <c r="A25384" s="4" t="s">
        <v>31953</v>
      </c>
      <c r="B25384" s="4" t="s">
        <v>31954</v>
      </c>
      <c r="C25384" s="5" t="str">
        <f>IFERROR(__xludf.DUMMYFUNCTION("GOOGLETRANSLATE(B25384,""en"",""it"")"),"Un uomo tira uno stivale sul piede seduto su una sedia all'interno.")</f>
        <v>Un uomo tira uno stivale sul piede seduto su una sedia all'interno.</v>
      </c>
    </row>
    <row r="25385">
      <c r="A25385" s="4" t="s">
        <v>31953</v>
      </c>
      <c r="B25385" s="4" t="s">
        <v>31955</v>
      </c>
      <c r="C25385" s="5" t="str">
        <f>IFERROR(__xludf.DUMMYFUNCTION("GOOGLETRANSLATE(B25385,""en"",""it"")"),"L'uomo fissa le cinghie sulla barca.")</f>
        <v>L'uomo fissa le cinghie sulla barca.</v>
      </c>
    </row>
    <row r="25386">
      <c r="A25386" s="4" t="s">
        <v>31953</v>
      </c>
      <c r="B25386" s="4" t="s">
        <v>31956</v>
      </c>
      <c r="C25386" s="5" t="str">
        <f>IFERROR(__xludf.DUMMYFUNCTION("GOOGLETRANSLATE(B25386,""en"",""it"")"),"Una persona mostra all'uomo come fissare le cinghie sullo stivale.")</f>
        <v>Una persona mostra all'uomo come fissare le cinghie sullo stivale.</v>
      </c>
    </row>
    <row r="25387">
      <c r="A25387" s="4" t="s">
        <v>31953</v>
      </c>
      <c r="B25387" s="4" t="s">
        <v>31957</v>
      </c>
      <c r="C25387" s="5" t="str">
        <f>IFERROR(__xludf.DUMMYFUNCTION("GOOGLETRANSLATE(B25387,""en"",""it"")"),"L'uomo scuote mentre cerca di finire di mettere le scarpe.")</f>
        <v>L'uomo scuote mentre cerca di finire di mettere le scarpe.</v>
      </c>
    </row>
    <row r="25388">
      <c r="A25388" s="4" t="s">
        <v>31958</v>
      </c>
      <c r="B25388" s="4" t="s">
        <v>31959</v>
      </c>
      <c r="C25388" s="5" t="str">
        <f>IFERROR(__xludf.DUMMYFUNCTION("GOOGLETRANSLATE(B25388,""en"",""it"")"),"Un uomo più anziano viene visto parlare alla telecamera mentre tiene in mano una palla da tennis e una racchetta.")</f>
        <v>Un uomo più anziano viene visto parlare alla telecamera mentre tiene in mano una palla da tennis e una racchetta.</v>
      </c>
    </row>
    <row r="25389">
      <c r="A25389" s="4" t="s">
        <v>31958</v>
      </c>
      <c r="B25389" s="6" t="s">
        <v>31960</v>
      </c>
      <c r="C25389" s="5" t="str">
        <f>IFERROR(__xludf.DUMMYFUNCTION("GOOGLETRANSLATE(B25389,""en"",""it"")"),"Solleva la racchetta e la palla per dimostrare come servire correttamente la palla, seguito da lui che serve effettivamente la palla al rallentatore.")</f>
        <v>Solleva la racchetta e la palla per dimostrare come servire correttamente la palla, seguito da lui che serve effettivamente la palla al rallentatore.</v>
      </c>
    </row>
    <row r="25390">
      <c r="A25390" s="4" t="s">
        <v>31958</v>
      </c>
      <c r="B25390" s="4" t="s">
        <v>31961</v>
      </c>
      <c r="C25390" s="5" t="str">
        <f>IFERROR(__xludf.DUMMYFUNCTION("GOOGLETRANSLATE(B25390,""en"",""it"")"),"Lo stesso scatto viene mostrato più volte per dimostrare come eseguire correttamente questo servizio.")</f>
        <v>Lo stesso scatto viene mostrato più volte per dimostrare come eseguire correttamente questo servizio.</v>
      </c>
    </row>
    <row r="25391">
      <c r="A25391" s="4" t="s">
        <v>31962</v>
      </c>
      <c r="B25391" s="4" t="s">
        <v>31963</v>
      </c>
      <c r="C25391" s="5" t="str">
        <f>IFERROR(__xludf.DUMMYFUNCTION("GOOGLETRANSLATE(B25391,""en"",""it"")"),"Si verifica una gara di bici BMX al coperto.")</f>
        <v>Si verifica una gara di bici BMX al coperto.</v>
      </c>
    </row>
    <row r="25392">
      <c r="A25392" s="4" t="s">
        <v>31962</v>
      </c>
      <c r="B25392" s="4" t="s">
        <v>31964</v>
      </c>
      <c r="C25392" s="5" t="str">
        <f>IFERROR(__xludf.DUMMYFUNCTION("GOOGLETRANSLATE(B25392,""en"",""it"")"),"Dopo l'inizio, tutti vanno in pista il più rapidamente possibile.")</f>
        <v>Dopo l'inizio, tutti vanno in pista il più rapidamente possibile.</v>
      </c>
    </row>
    <row r="25393">
      <c r="A25393" s="4" t="s">
        <v>31965</v>
      </c>
      <c r="B25393" s="4" t="s">
        <v>31966</v>
      </c>
      <c r="C25393" s="5" t="str">
        <f>IFERROR(__xludf.DUMMYFUNCTION("GOOGLETRANSLATE(B25393,""en"",""it"")"),"L'uomo in viola parla alla telecamera.")</f>
        <v>L'uomo in viola parla alla telecamera.</v>
      </c>
    </row>
    <row r="25394">
      <c r="A25394" s="4" t="s">
        <v>31965</v>
      </c>
      <c r="B25394" s="4" t="s">
        <v>31967</v>
      </c>
      <c r="C25394" s="5" t="str">
        <f>IFERROR(__xludf.DUMMYFUNCTION("GOOGLETRANSLATE(B25394,""en"",""it"")"),"L'uomo in viola cammina in avanti in gradini lenti.")</f>
        <v>L'uomo in viola cammina in avanti in gradini lenti.</v>
      </c>
    </row>
    <row r="25395">
      <c r="A25395" s="4" t="s">
        <v>31965</v>
      </c>
      <c r="B25395" s="4" t="s">
        <v>31968</v>
      </c>
      <c r="C25395" s="5" t="str">
        <f>IFERROR(__xludf.DUMMYFUNCTION("GOOGLETRANSLATE(B25395,""en"",""it"")"),"L'uomo in grigio dimostra come camminare.")</f>
        <v>L'uomo in grigio dimostra come camminare.</v>
      </c>
    </row>
    <row r="25396">
      <c r="A25396" s="4" t="s">
        <v>31965</v>
      </c>
      <c r="B25396" s="4" t="s">
        <v>31969</v>
      </c>
      <c r="C25396" s="5" t="str">
        <f>IFERROR(__xludf.DUMMYFUNCTION("GOOGLETRANSLATE(B25396,""en"",""it"")"),"L'uomo in grigio dimostra salti diversi.")</f>
        <v>L'uomo in grigio dimostra salti diversi.</v>
      </c>
    </row>
    <row r="25397">
      <c r="A25397" s="4" t="s">
        <v>31970</v>
      </c>
      <c r="B25397" s="4" t="s">
        <v>31971</v>
      </c>
      <c r="C25397" s="5" t="str">
        <f>IFERROR(__xludf.DUMMYFUNCTION("GOOGLETRANSLATE(B25397,""en"",""it"")"),"Viene mostrato un primo piano di una fragola.")</f>
        <v>Viene mostrato un primo piano di una fragola.</v>
      </c>
    </row>
    <row r="25398">
      <c r="A25398" s="4" t="s">
        <v>31970</v>
      </c>
      <c r="B25398" s="4" t="s">
        <v>31972</v>
      </c>
      <c r="C25398" s="5" t="str">
        <f>IFERROR(__xludf.DUMMYFUNCTION("GOOGLETRANSLATE(B25398,""en"",""it"")"),"Una donna sta parlando con una serie di acquerelli.")</f>
        <v>Una donna sta parlando con una serie di acquerelli.</v>
      </c>
    </row>
    <row r="25399">
      <c r="A25399" s="4" t="s">
        <v>31970</v>
      </c>
      <c r="B25399" s="4" t="s">
        <v>31973</v>
      </c>
      <c r="C25399" s="5" t="str">
        <f>IFERROR(__xludf.DUMMYFUNCTION("GOOGLETRANSLATE(B25399,""en"",""it"")"),"Dimostra come usare gli acquerelli per creare arte su una tela.")</f>
        <v>Dimostra come usare gli acquerelli per creare arte su una tela.</v>
      </c>
    </row>
    <row r="25400">
      <c r="A25400" s="4" t="s">
        <v>31974</v>
      </c>
      <c r="B25400" s="4" t="s">
        <v>31975</v>
      </c>
      <c r="C25400" s="5" t="str">
        <f>IFERROR(__xludf.DUMMYFUNCTION("GOOGLETRANSLATE(B25400,""en"",""it"")"),"C'è una donna in una camicia rosa e pantaloncini neri che allena un cane su un grande prato aperto.")</f>
        <v>C'è una donna in una camicia rosa e pantaloncini neri che allena un cane su un grande prato aperto.</v>
      </c>
    </row>
    <row r="25401">
      <c r="A25401" s="4" t="s">
        <v>31974</v>
      </c>
      <c r="B25401" s="4" t="s">
        <v>31976</v>
      </c>
      <c r="C25401" s="5" t="str">
        <f>IFERROR(__xludf.DUMMYFUNCTION("GOOGLETRANSLATE(B25401,""en"",""it"")"),"Sta lanciando dischi di frisbee color rosa per il cane da correre e recuperare.")</f>
        <v>Sta lanciando dischi di frisbee color rosa per il cane da correre e recuperare.</v>
      </c>
    </row>
    <row r="25402">
      <c r="A25402" s="4" t="s">
        <v>31974</v>
      </c>
      <c r="B25402" s="4" t="s">
        <v>31977</v>
      </c>
      <c r="C25402" s="5" t="str">
        <f>IFERROR(__xludf.DUMMYFUNCTION("GOOGLETRANSLATE(B25402,""en"",""it"")"),"Ogni volta che lancia il disco, il cane si eccita, corre e prende il disco per lei.")</f>
        <v>Ogni volta che lancia il disco, il cane si eccita, corre e prende il disco per lei.</v>
      </c>
    </row>
    <row r="25403">
      <c r="A25403" s="4" t="s">
        <v>31974</v>
      </c>
      <c r="B25403" s="4" t="s">
        <v>31978</v>
      </c>
      <c r="C25403" s="5" t="str">
        <f>IFERROR(__xludf.DUMMYFUNCTION("GOOGLETRANSLATE(B25403,""en"",""it"")"),"Il cane è ben addestrato a catturare il disco in bocca quasi ogni volta senza perderlo.")</f>
        <v>Il cane è ben addestrato a catturare il disco in bocca quasi ogni volta senza perderlo.</v>
      </c>
    </row>
    <row r="25404">
      <c r="A25404" s="4" t="s">
        <v>31974</v>
      </c>
      <c r="B25404" s="4" t="s">
        <v>31979</v>
      </c>
      <c r="C25404" s="5" t="str">
        <f>IFERROR(__xludf.DUMMYFUNCTION("GOOGLETRANSLATE(B25404,""en"",""it"")"),"Ci sono poche persone in piedi e guardano l'allenatore e il cane.")</f>
        <v>Ci sono poche persone in piedi e guardano l'allenatore e il cane.</v>
      </c>
    </row>
    <row r="25405">
      <c r="A25405" s="4" t="s">
        <v>31980</v>
      </c>
      <c r="B25405" s="4" t="s">
        <v>31981</v>
      </c>
      <c r="C25405" s="5" t="str">
        <f>IFERROR(__xludf.DUMMYFUNCTION("GOOGLETRANSLATE(B25405,""en"",""it"")"),"Un emblema appare sullo schermo.")</f>
        <v>Un emblema appare sullo schermo.</v>
      </c>
    </row>
    <row r="25406">
      <c r="A25406" s="4" t="s">
        <v>31980</v>
      </c>
      <c r="B25406" s="4" t="s">
        <v>31982</v>
      </c>
      <c r="C25406" s="5" t="str">
        <f>IFERROR(__xludf.DUMMYFUNCTION("GOOGLETRANSLATE(B25406,""en"",""it"")"),"Una visione del sole è vista tra le nuvole.")</f>
        <v>Una visione del sole è vista tra le nuvole.</v>
      </c>
    </row>
    <row r="25407">
      <c r="A25407" s="4" t="s">
        <v>31980</v>
      </c>
      <c r="B25407" s="4" t="s">
        <v>31983</v>
      </c>
      <c r="C25407" s="5" t="str">
        <f>IFERROR(__xludf.DUMMYFUNCTION("GOOGLETRANSLATE(B25407,""en"",""it"")"),"Una donna si avvicina a un ragazzo che ha i pantaloni, accovacciati davanti a un secchio.")</f>
        <v>Una donna si avvicina a un ragazzo che ha i pantaloni, accovacciati davanti a un secchio.</v>
      </c>
    </row>
    <row r="25408">
      <c r="A25408" s="4" t="s">
        <v>31980</v>
      </c>
      <c r="B25408" s="4" t="s">
        <v>31984</v>
      </c>
      <c r="C25408" s="5" t="str">
        <f>IFERROR(__xludf.DUMMYFUNCTION("GOOGLETRANSLATE(B25408,""en"",""it"")"),"Lei lo urla e lo trascina via.")</f>
        <v>Lei lo urla e lo trascina via.</v>
      </c>
    </row>
    <row r="25409">
      <c r="A25409" s="4" t="s">
        <v>31980</v>
      </c>
      <c r="B25409" s="4" t="s">
        <v>31985</v>
      </c>
      <c r="C25409" s="5" t="str">
        <f>IFERROR(__xludf.DUMMYFUNCTION("GOOGLETRANSLATE(B25409,""en"",""it"")"),"Lei gli mostra come insapore le sue mani con il sapone.")</f>
        <v>Lei gli mostra come insapore le sue mani con il sapone.</v>
      </c>
    </row>
    <row r="25410">
      <c r="A25410" s="4" t="s">
        <v>31980</v>
      </c>
      <c r="B25410" s="4" t="s">
        <v>31986</v>
      </c>
      <c r="C25410" s="5" t="str">
        <f>IFERROR(__xludf.DUMMYFUNCTION("GOOGLETRANSLATE(B25410,""en"",""it"")"),"Quindi il gruppo di donne raccolte parla mentre il ragazzo guarda e ascolta.")</f>
        <v>Quindi il gruppo di donne raccolte parla mentre il ragazzo guarda e ascolta.</v>
      </c>
    </row>
    <row r="25411">
      <c r="A25411" s="4" t="s">
        <v>31980</v>
      </c>
      <c r="B25411" s="4" t="s">
        <v>31987</v>
      </c>
      <c r="C25411" s="5" t="str">
        <f>IFERROR(__xludf.DUMMYFUNCTION("GOOGLETRANSLATE(B25411,""en"",""it"")"),"Le donne sembrano tristi mentre se ne va.")</f>
        <v>Le donne sembrano tristi mentre se ne va.</v>
      </c>
    </row>
    <row r="25412">
      <c r="A25412" s="4" t="s">
        <v>31980</v>
      </c>
      <c r="B25412" s="4" t="s">
        <v>31988</v>
      </c>
      <c r="C25412" s="5" t="str">
        <f>IFERROR(__xludf.DUMMYFUNCTION("GOOGLETRANSLATE(B25412,""en"",""it"")"),"Un ragazzo e una donna si avvicinano per parlare con un'altra donna e lei sembra sconvolta.")</f>
        <v>Un ragazzo e una donna si avvicinano per parlare con un'altra donna e lei sembra sconvolta.</v>
      </c>
    </row>
    <row r="25413">
      <c r="A25413" s="4" t="s">
        <v>31980</v>
      </c>
      <c r="B25413" s="4" t="s">
        <v>31989</v>
      </c>
      <c r="C25413" s="5" t="str">
        <f>IFERROR(__xludf.DUMMYFUNCTION("GOOGLETRANSLATE(B25413,""en"",""it"")"),"Viene mostrato un medico che parla di mani sporche alle donne.")</f>
        <v>Viene mostrato un medico che parla di mani sporche alle donne.</v>
      </c>
    </row>
    <row r="25414">
      <c r="A25414" s="4" t="s">
        <v>31980</v>
      </c>
      <c r="B25414" s="6" t="s">
        <v>31990</v>
      </c>
      <c r="C25414" s="5" t="str">
        <f>IFERROR(__xludf.DUMMYFUNCTION("GOOGLETRANSLATE(B25414,""en"",""it"")"),"Vengono quindi mostrati fuori, lavando le mani e dotando il ragazzo mentre mostrano come non essere sporchi.")</f>
        <v>Vengono quindi mostrati fuori, lavando le mani e dotando il ragazzo mentre mostrano come non essere sporchi.</v>
      </c>
    </row>
    <row r="25415">
      <c r="A25415" s="4" t="s">
        <v>31980</v>
      </c>
      <c r="B25415" s="4" t="s">
        <v>31991</v>
      </c>
      <c r="C25415" s="5" t="str">
        <f>IFERROR(__xludf.DUMMYFUNCTION("GOOGLETRANSLATE(B25415,""en"",""it"")"),"Il gruppo salta in aria per celebrare.")</f>
        <v>Il gruppo salta in aria per celebrare.</v>
      </c>
    </row>
    <row r="25416">
      <c r="A25416" s="4" t="s">
        <v>31992</v>
      </c>
      <c r="B25416" s="6" t="s">
        <v>31993</v>
      </c>
      <c r="C25416" s="5" t="str">
        <f>IFERROR(__xludf.DUMMYFUNCTION("GOOGLETRANSLATE(B25416,""en"",""it"")"),"Due ragazze sono viste salutando la telecamera mentre uno tiene un drink e l'altra gioca con i capelli.")</f>
        <v>Due ragazze sono viste salutando la telecamera mentre uno tiene un drink e l'altra gioca con i capelli.</v>
      </c>
    </row>
    <row r="25417">
      <c r="A25417" s="4" t="s">
        <v>31992</v>
      </c>
      <c r="B25417" s="6" t="s">
        <v>31994</v>
      </c>
      <c r="C25417" s="5" t="str">
        <f>IFERROR(__xludf.DUMMYFUNCTION("GOOGLETRANSLATE(B25417,""en"",""it"")"),"Le ragazze camminano un po 'seguite da bere da un bicchiere e facendo volti divertenti alla telecamera.")</f>
        <v>Le ragazze camminano un po 'seguite da bere da un bicchiere e facendo volti divertenti alla telecamera.</v>
      </c>
    </row>
    <row r="25418">
      <c r="A25418" s="4" t="s">
        <v>31995</v>
      </c>
      <c r="B25418" s="6" t="s">
        <v>31996</v>
      </c>
      <c r="C25418" s="5" t="str">
        <f>IFERROR(__xludf.DUMMYFUNCTION("GOOGLETRANSLATE(B25418,""en"",""it"")"),"Una donna viene mostrata che cammina per una cucina accendendo un rubinetto e lascia che il lavandino si riempia di acqua.")</f>
        <v>Una donna viene mostrata che cammina per una cucina accendendo un rubinetto e lascia che il lavandino si riempia di acqua.</v>
      </c>
    </row>
    <row r="25419">
      <c r="A25419" s="4" t="s">
        <v>31995</v>
      </c>
      <c r="B25419" s="4" t="s">
        <v>31997</v>
      </c>
      <c r="C25419" s="5" t="str">
        <f>IFERROR(__xludf.DUMMYFUNCTION("GOOGLETRANSLATE(B25419,""en"",""it"")"),"Viene mostrata indossare guanti, spruzzare detergente intorno al lavandino e strofinare con un pennello.")</f>
        <v>Viene mostrata indossare guanti, spruzzare detergente intorno al lavandino e strofinare con un pennello.</v>
      </c>
    </row>
    <row r="25420">
      <c r="A25420" s="4" t="s">
        <v>31995</v>
      </c>
      <c r="B25420" s="4" t="s">
        <v>31998</v>
      </c>
      <c r="C25420" s="5" t="str">
        <f>IFERROR(__xludf.DUMMYFUNCTION("GOOGLETRANSLATE(B25420,""en"",""it"")"),"Sorride il prodotto per la pulizia e fa la panoramica sull'etichetta.")</f>
        <v>Sorride il prodotto per la pulizia e fa la panoramica sull'etichetta.</v>
      </c>
    </row>
    <row r="25421">
      <c r="A25421" s="4" t="s">
        <v>31999</v>
      </c>
      <c r="B25421" s="4" t="s">
        <v>32000</v>
      </c>
      <c r="C25421" s="5" t="str">
        <f>IFERROR(__xludf.DUMMYFUNCTION("GOOGLETRANSLATE(B25421,""en"",""it"")"),"Un uomo in tronchi da nuoto è all'aperto, fissandosi nelle attrezzature.")</f>
        <v>Un uomo in tronchi da nuoto è all'aperto, fissandosi nelle attrezzature.</v>
      </c>
    </row>
    <row r="25422">
      <c r="A25422" s="4" t="s">
        <v>31999</v>
      </c>
      <c r="B25422" s="4" t="s">
        <v>32001</v>
      </c>
      <c r="C25422" s="5" t="str">
        <f>IFERROR(__xludf.DUMMYFUNCTION("GOOGLETRANSLATE(B25422,""en"",""it"")"),"Si mette su un parasaolente e entra in acqua.")</f>
        <v>Si mette su un parasaolente e entra in acqua.</v>
      </c>
    </row>
    <row r="25423">
      <c r="A25423" s="4" t="s">
        <v>31999</v>
      </c>
      <c r="B25423" s="4" t="s">
        <v>32002</v>
      </c>
      <c r="C25423" s="5" t="str">
        <f>IFERROR(__xludf.DUMMYFUNCTION("GOOGLETRANSLATE(B25423,""en"",""it"")"),"Comincia a navigare su una tavola da surf, aggrappandosi strettamente mentre accelera.")</f>
        <v>Comincia a navigare su una tavola da surf, aggrappandosi strettamente mentre accelera.</v>
      </c>
    </row>
    <row r="25424">
      <c r="A25424" s="4" t="s">
        <v>31999</v>
      </c>
      <c r="B25424" s="4" t="s">
        <v>32003</v>
      </c>
      <c r="C25424" s="5" t="str">
        <f>IFERROR(__xludf.DUMMYFUNCTION("GOOGLETRANSLATE(B25424,""en"",""it"")"),"Quindi si ferma in acqua, appoggiandosi al suo fianco.")</f>
        <v>Quindi si ferma in acqua, appoggiandosi al suo fianco.</v>
      </c>
    </row>
    <row r="25425">
      <c r="A25425" s="4" t="s">
        <v>32004</v>
      </c>
      <c r="B25425" s="4" t="s">
        <v>32005</v>
      </c>
      <c r="C25425" s="5" t="str">
        <f>IFERROR(__xludf.DUMMYFUNCTION("GOOGLETRANSLATE(B25425,""en"",""it"")"),"Un bambino sta giocando a scanalatura per terra.")</f>
        <v>Un bambino sta giocando a scanalatura per terra.</v>
      </c>
    </row>
    <row r="25426">
      <c r="A25426" s="4" t="s">
        <v>32004</v>
      </c>
      <c r="B25426" s="4" t="s">
        <v>32006</v>
      </c>
      <c r="C25426" s="5" t="str">
        <f>IFERROR(__xludf.DUMMYFUNCTION("GOOGLETRANSLATE(B25426,""en"",""it"")"),"Vanno avanti e indietro sulla tavola di Hopscotch.")</f>
        <v>Vanno avanti e indietro sulla tavola di Hopscotch.</v>
      </c>
    </row>
    <row r="25427">
      <c r="A25427" s="4" t="s">
        <v>32004</v>
      </c>
      <c r="B25427" s="4" t="s">
        <v>32007</v>
      </c>
      <c r="C25427" s="5" t="str">
        <f>IFERROR(__xludf.DUMMYFUNCTION("GOOGLETRANSLATE(B25427,""en"",""it"")"),"Si chinano per raccogliere qualcosa.")</f>
        <v>Si chinano per raccogliere qualcosa.</v>
      </c>
    </row>
    <row r="25428">
      <c r="A25428" s="4" t="s">
        <v>32008</v>
      </c>
      <c r="B25428" s="4" t="s">
        <v>32009</v>
      </c>
      <c r="C25428" s="5" t="str">
        <f>IFERROR(__xludf.DUMMYFUNCTION("GOOGLETRANSLATE(B25428,""en"",""it"")"),"Viene mostrato un cane che corre su un passaggio per un edificio.")</f>
        <v>Viene mostrato un cane che corre su un passaggio per un edificio.</v>
      </c>
    </row>
    <row r="25429">
      <c r="A25429" s="4" t="s">
        <v>32008</v>
      </c>
      <c r="B25429" s="4" t="s">
        <v>32010</v>
      </c>
      <c r="C25429" s="5" t="str">
        <f>IFERROR(__xludf.DUMMYFUNCTION("GOOGLETRANSLATE(B25429,""en"",""it"")"),"Entrano ed è un salone per la cura del cane.")</f>
        <v>Entrano ed è un salone per la cura del cane.</v>
      </c>
    </row>
    <row r="25430">
      <c r="A25430" s="4" t="s">
        <v>32008</v>
      </c>
      <c r="B25430" s="4" t="s">
        <v>32011</v>
      </c>
      <c r="C25430" s="5" t="str">
        <f>IFERROR(__xludf.DUMMYFUNCTION("GOOGLETRANSLATE(B25430,""en"",""it"")"),"Diversi segni in un'altra lingua sono mostrati prima che l'attrezzatura sia attivata.")</f>
        <v>Diversi segni in un'altra lingua sono mostrati prima che l'attrezzatura sia attivata.</v>
      </c>
    </row>
    <row r="25431">
      <c r="A25431" s="4" t="s">
        <v>32008</v>
      </c>
      <c r="B25431" s="4" t="s">
        <v>32012</v>
      </c>
      <c r="C25431" s="5" t="str">
        <f>IFERROR(__xludf.DUMMYFUNCTION("GOOGLETRANSLATE(B25431,""en"",""it"")"),"Il cane viene sciacquato, sapone, immerso e tagliato sulla macchina.")</f>
        <v>Il cane viene sciacquato, sapone, immerso e tagliato sulla macchina.</v>
      </c>
    </row>
    <row r="25432">
      <c r="A25432" s="4" t="s">
        <v>32013</v>
      </c>
      <c r="B25432" s="4" t="s">
        <v>32014</v>
      </c>
      <c r="C25432" s="5" t="str">
        <f>IFERROR(__xludf.DUMMYFUNCTION("GOOGLETRANSLATE(B25432,""en"",""it"")"),"Un fronte del negozio è visto dall'esterno.")</f>
        <v>Un fronte del negozio è visto dall'esterno.</v>
      </c>
    </row>
    <row r="25433">
      <c r="A25433" s="4" t="s">
        <v>32013</v>
      </c>
      <c r="B25433" s="4" t="s">
        <v>32015</v>
      </c>
      <c r="C25433" s="5" t="str">
        <f>IFERROR(__xludf.DUMMYFUNCTION("GOOGLETRANSLATE(B25433,""en"",""it"")"),"Il proprietario di un negozio si trova dietro un muro di visualizzazione e discute.")</f>
        <v>Il proprietario di un negozio si trova dietro un muro di visualizzazione e discute.</v>
      </c>
    </row>
    <row r="25434">
      <c r="A25434" s="4" t="s">
        <v>32013</v>
      </c>
      <c r="B25434" s="4" t="s">
        <v>32016</v>
      </c>
      <c r="C25434" s="5" t="str">
        <f>IFERROR(__xludf.DUMMYFUNCTION("GOOGLETRANSLATE(B25434,""en"",""it"")"),"I giocatori di paintball attraversano un campo erboso con ostacoli e mirano le loro armi.")</f>
        <v>I giocatori di paintball attraversano un campo erboso con ostacoli e mirano le loro armi.</v>
      </c>
    </row>
    <row r="25435">
      <c r="A25435" s="4" t="s">
        <v>32013</v>
      </c>
      <c r="B25435" s="4" t="s">
        <v>32017</v>
      </c>
      <c r="C25435" s="5" t="str">
        <f>IFERROR(__xludf.DUMMYFUNCTION("GOOGLETRANSLATE(B25435,""en"",""it"")"),"Il proprietario del negozio mostra diverse maschere per lo sport.")</f>
        <v>Il proprietario del negozio mostra diverse maschere per lo sport.</v>
      </c>
    </row>
    <row r="25436">
      <c r="A25436" s="4" t="s">
        <v>32018</v>
      </c>
      <c r="B25436" s="6" t="s">
        <v>32019</v>
      </c>
      <c r="C25436" s="5" t="str">
        <f>IFERROR(__xludf.DUMMYFUNCTION("GOOGLETRANSLATE(B25436,""en"",""it"")"),"Un gruppo di persone è visto in piedi attorno a un tavolo di biliardo che gioca l'uno con l'altro usando i pali per giocare.")</f>
        <v>Un gruppo di persone è visto in piedi attorno a un tavolo di biliardo che gioca l'uno con l'altro usando i pali per giocare.</v>
      </c>
    </row>
    <row r="25437">
      <c r="A25437" s="4" t="s">
        <v>32018</v>
      </c>
      <c r="B25437" s="6" t="s">
        <v>32020</v>
      </c>
      <c r="C25437" s="5" t="str">
        <f>IFERROR(__xludf.DUMMYFUNCTION("GOOGLETRANSLATE(B25437,""en"",""it"")"),"Gli uomini continuano a giocare e quarto mentre la telecamera li cattura dall'alto e due si allontanano alla fine.")</f>
        <v>Gli uomini continuano a giocare e quarto mentre la telecamera li cattura dall'alto e due si allontanano alla fine.</v>
      </c>
    </row>
    <row r="25438">
      <c r="A25438" s="4" t="s">
        <v>32021</v>
      </c>
      <c r="B25438" s="4" t="s">
        <v>32022</v>
      </c>
      <c r="C25438" s="5" t="str">
        <f>IFERROR(__xludf.DUMMYFUNCTION("GOOGLETRANSLATE(B25438,""en"",""it"")"),"Un uomo con camicia blu beve un grosso bicchiere di birra.")</f>
        <v>Un uomo con camicia blu beve un grosso bicchiere di birra.</v>
      </c>
    </row>
    <row r="25439">
      <c r="A25439" s="4" t="s">
        <v>32021</v>
      </c>
      <c r="B25439" s="4" t="s">
        <v>32023</v>
      </c>
      <c r="C25439" s="5" t="str">
        <f>IFERROR(__xludf.DUMMYFUNCTION("GOOGLETRANSLATE(B25439,""en"",""it"")"),"L'uomo biondo accanto a lui è incoraggiante.")</f>
        <v>L'uomo biondo accanto a lui è incoraggiante.</v>
      </c>
    </row>
    <row r="25440">
      <c r="A25440" s="4" t="s">
        <v>32021</v>
      </c>
      <c r="B25440" s="4" t="s">
        <v>32024</v>
      </c>
      <c r="C25440" s="5" t="str">
        <f>IFERROR(__xludf.DUMMYFUNCTION("GOOGLETRANSLATE(B25440,""en"",""it"")"),"L'uomo con camicia blu ha finito il suo drink e lo ha messo giù, e l'uomo biondo ha esultato.")</f>
        <v>L'uomo con camicia blu ha finito il suo drink e lo ha messo giù, e l'uomo biondo ha esultato.</v>
      </c>
    </row>
    <row r="25441">
      <c r="A25441" s="4" t="s">
        <v>32025</v>
      </c>
      <c r="B25441" s="4" t="s">
        <v>32026</v>
      </c>
      <c r="C25441" s="5" t="str">
        <f>IFERROR(__xludf.DUMMYFUNCTION("GOOGLETRANSLATE(B25441,""en"",""it"")"),"L'uomo è in piedi in parallelo facendo ginnastica in una palestra coperta.")</f>
        <v>L'uomo è in piedi in parallelo facendo ginnastica in una palestra coperta.</v>
      </c>
    </row>
    <row r="25442">
      <c r="A25442" s="4" t="s">
        <v>32025</v>
      </c>
      <c r="B25442" s="4" t="s">
        <v>32027</v>
      </c>
      <c r="C25442" s="5" t="str">
        <f>IFERROR(__xludf.DUMMYFUNCTION("GOOGLETRANSLATE(B25442,""en"",""it"")"),"La gente è a Terace a guardare l'uomo.")</f>
        <v>La gente è a Terace a guardare l'uomo.</v>
      </c>
    </row>
    <row r="25443">
      <c r="A25443" s="4" t="s">
        <v>32028</v>
      </c>
      <c r="B25443" s="4" t="s">
        <v>32029</v>
      </c>
      <c r="C25443" s="5" t="str">
        <f>IFERROR(__xludf.DUMMYFUNCTION("GOOGLETRANSLATE(B25443,""en"",""it"")"),"Una ragazza che indossa un cappotto bianco con cappuccio è accanto all'uomo e una donna sul lato di un tavolo da biliardo.")</f>
        <v>Una ragazza che indossa un cappotto bianco con cappuccio è accanto all'uomo e una donna sul lato di un tavolo da biliardo.</v>
      </c>
    </row>
    <row r="25444">
      <c r="A25444" s="4" t="s">
        <v>32028</v>
      </c>
      <c r="B25444" s="4" t="s">
        <v>32030</v>
      </c>
      <c r="C25444" s="5" t="str">
        <f>IFERROR(__xludf.DUMMYFUNCTION("GOOGLETRANSLATE(B25444,""en"",""it"")"),"Quindi, la ragazza cammina e si toglie il cappotto, poi prende un bastone e si piega davanti a due uomini.")</f>
        <v>Quindi, la ragazza cammina e si toglie il cappotto, poi prende un bastone e si piega davanti a due uomini.</v>
      </c>
    </row>
    <row r="25445">
      <c r="A25445" s="4" t="s">
        <v>32028</v>
      </c>
      <c r="B25445" s="6" t="s">
        <v>32031</v>
      </c>
      <c r="C25445" s="5" t="str">
        <f>IFERROR(__xludf.DUMMYFUNCTION("GOOGLETRANSLATE(B25445,""en"",""it"")"),"Dopo, la ragazza si gira e afferra la camicia da ragazzo mentre fa un gesto sexy, poi si gira di nuovo.")</f>
        <v>Dopo, la ragazza si gira e afferra la camicia da ragazzo mentre fa un gesto sexy, poi si gira di nuovo.</v>
      </c>
    </row>
    <row r="25446">
      <c r="A25446" s="4" t="s">
        <v>32028</v>
      </c>
      <c r="B25446" s="4" t="s">
        <v>32032</v>
      </c>
      <c r="C25446" s="5" t="str">
        <f>IFERROR(__xludf.DUMMYFUNCTION("GOOGLETRANSLATE(B25446,""en"",""it"")"),"Un uomo vuole toccare il calcio di una ragazza.")</f>
        <v>Un uomo vuole toccare il calcio di una ragazza.</v>
      </c>
    </row>
    <row r="25447">
      <c r="A25447" s="4" t="s">
        <v>32033</v>
      </c>
      <c r="B25447" s="4" t="s">
        <v>32034</v>
      </c>
      <c r="C25447" s="5" t="str">
        <f>IFERROR(__xludf.DUMMYFUNCTION("GOOGLETRANSLATE(B25447,""en"",""it"")"),"Una ragazza in un vestito viola si mette in un raggio di equilibrio.")</f>
        <v>Una ragazza in un vestito viola si mette in un raggio di equilibrio.</v>
      </c>
    </row>
    <row r="25448">
      <c r="A25448" s="4" t="s">
        <v>32033</v>
      </c>
      <c r="B25448" s="4" t="s">
        <v>32035</v>
      </c>
      <c r="C25448" s="5" t="str">
        <f>IFERROR(__xludf.DUMMYFUNCTION("GOOGLETRANSLATE(B25448,""en"",""it"")"),"Fa una routine di ginnastica sul raggio dell'equilibrio.")</f>
        <v>Fa una routine di ginnastica sul raggio dell'equilibrio.</v>
      </c>
    </row>
    <row r="25449">
      <c r="A25449" s="4" t="s">
        <v>32033</v>
      </c>
      <c r="B25449" s="4" t="s">
        <v>20674</v>
      </c>
      <c r="C25449" s="5" t="str">
        <f>IFERROR(__xludf.DUMMYFUNCTION("GOOGLETRANSLATE(B25449,""en"",""it"")"),"Smonde e atterra sul tappeto con le mani in aria.")</f>
        <v>Smonde e atterra sul tappeto con le mani in aria.</v>
      </c>
    </row>
    <row r="25450">
      <c r="A25450" s="4" t="s">
        <v>32036</v>
      </c>
      <c r="B25450" s="4" t="s">
        <v>32037</v>
      </c>
      <c r="C25450" s="5" t="str">
        <f>IFERROR(__xludf.DUMMYFUNCTION("GOOGLETRANSLATE(B25450,""en"",""it"")"),"Un atleta cammina su un campo fuori.")</f>
        <v>Un atleta cammina su un campo fuori.</v>
      </c>
    </row>
    <row r="25451">
      <c r="A25451" s="4" t="s">
        <v>32036</v>
      </c>
      <c r="B25451" s="4" t="s">
        <v>32038</v>
      </c>
      <c r="C25451" s="5" t="str">
        <f>IFERROR(__xludf.DUMMYFUNCTION("GOOGLETRANSLATE(B25451,""en"",""it"")"),"Corre con un giavellotto in aria.")</f>
        <v>Corre con un giavellotto in aria.</v>
      </c>
    </row>
    <row r="25452">
      <c r="A25452" s="4" t="s">
        <v>32036</v>
      </c>
      <c r="B25452" s="4" t="s">
        <v>32039</v>
      </c>
      <c r="C25452" s="5" t="str">
        <f>IFERROR(__xludf.DUMMYFUNCTION("GOOGLETRANSLATE(B25452,""en"",""it"")"),"Lancia il giavellotto il più possibile, ripetendo più volte.")</f>
        <v>Lancia il giavellotto il più possibile, ripetendo più volte.</v>
      </c>
    </row>
    <row r="25453">
      <c r="A25453" s="4" t="s">
        <v>32040</v>
      </c>
      <c r="B25453" s="4" t="s">
        <v>32041</v>
      </c>
      <c r="C25453" s="5" t="str">
        <f>IFERROR(__xludf.DUMMYFUNCTION("GOOGLETRANSLATE(B25453,""en"",""it"")"),"Una donna è di fronte a un tavolo, con in mano un gatto.")</f>
        <v>Una donna è di fronte a un tavolo, con in mano un gatto.</v>
      </c>
    </row>
    <row r="25454">
      <c r="A25454" s="4" t="s">
        <v>32040</v>
      </c>
      <c r="B25454" s="4" t="s">
        <v>32042</v>
      </c>
      <c r="C25454" s="5" t="str">
        <f>IFERROR(__xludf.DUMMYFUNCTION("GOOGLETRANSLATE(B25454,""en"",""it"")"),"Lei fa impazzire il gatto per calmarlo.")</f>
        <v>Lei fa impazzire il gatto per calmarlo.</v>
      </c>
    </row>
    <row r="25455">
      <c r="A25455" s="4" t="s">
        <v>32040</v>
      </c>
      <c r="B25455" s="4" t="s">
        <v>32043</v>
      </c>
      <c r="C25455" s="5" t="str">
        <f>IFERROR(__xludf.DUMMYFUNCTION("GOOGLETRANSLATE(B25455,""en"",""it"")"),"Quindi taglia delicatamente le unghie dei piedi.")</f>
        <v>Quindi taglia delicatamente le unghie dei piedi.</v>
      </c>
    </row>
    <row r="25456">
      <c r="A25456" s="4" t="s">
        <v>32044</v>
      </c>
      <c r="B25456" s="4" t="s">
        <v>32045</v>
      </c>
      <c r="C25456" s="5" t="str">
        <f>IFERROR(__xludf.DUMMYFUNCTION("GOOGLETRANSLATE(B25456,""en"",""it"")"),"Sembra che stiano guardando in TV una partita di calcio.")</f>
        <v>Sembra che stiano guardando in TV una partita di calcio.</v>
      </c>
    </row>
    <row r="25457">
      <c r="A25457" s="4" t="s">
        <v>32044</v>
      </c>
      <c r="B25457" s="4" t="s">
        <v>32046</v>
      </c>
      <c r="C25457" s="5" t="str">
        <f>IFERROR(__xludf.DUMMYFUNCTION("GOOGLETRANSLATE(B25457,""en"",""it"")"),"La stazione mostra quale canale è che viene guardato.")</f>
        <v>La stazione mostra quale canale è che viene guardato.</v>
      </c>
    </row>
    <row r="25458">
      <c r="A25458" s="4" t="s">
        <v>32044</v>
      </c>
      <c r="B25458" s="4" t="s">
        <v>32047</v>
      </c>
      <c r="C25458" s="5" t="str">
        <f>IFERROR(__xludf.DUMMYFUNCTION("GOOGLETRANSLATE(B25458,""en"",""it"")"),"Le donne in campo stanno correndo cercando di prendere la palla.")</f>
        <v>Le donne in campo stanno correndo cercando di prendere la palla.</v>
      </c>
    </row>
    <row r="25459">
      <c r="A25459" s="4" t="s">
        <v>32044</v>
      </c>
      <c r="B25459" s="4" t="s">
        <v>32048</v>
      </c>
      <c r="C25459" s="5" t="str">
        <f>IFERROR(__xludf.DUMMYFUNCTION("GOOGLETRANSLATE(B25459,""en"",""it"")"),"Una delle donne corre fino all'obiettivo.")</f>
        <v>Una delle donne corre fino all'obiettivo.</v>
      </c>
    </row>
    <row r="25460">
      <c r="A25460" s="4" t="s">
        <v>32049</v>
      </c>
      <c r="B25460" s="4" t="s">
        <v>32050</v>
      </c>
      <c r="C25460" s="5" t="str">
        <f>IFERROR(__xludf.DUMMYFUNCTION("GOOGLETRANSLATE(B25460,""en"",""it"")"),"Un uomo si alza e lancia una roccia.")</f>
        <v>Un uomo si alza e lancia una roccia.</v>
      </c>
    </row>
    <row r="25461">
      <c r="A25461" s="4" t="s">
        <v>32049</v>
      </c>
      <c r="B25461" s="4" t="s">
        <v>32051</v>
      </c>
      <c r="C25461" s="5" t="str">
        <f>IFERROR(__xludf.DUMMYFUNCTION("GOOGLETRANSLATE(B25461,""en"",""it"")"),"Le persone lo stanno guardando.")</f>
        <v>Le persone lo stanno guardando.</v>
      </c>
    </row>
    <row r="25462">
      <c r="A25462" s="4" t="s">
        <v>32049</v>
      </c>
      <c r="B25462" s="4" t="s">
        <v>32052</v>
      </c>
      <c r="C25462" s="5" t="str">
        <f>IFERROR(__xludf.DUMMYFUNCTION("GOOGLETRANSLATE(B25462,""en"",""it"")"),"Un uomo entra in una carrozza a cavallo e cavalca.")</f>
        <v>Un uomo entra in una carrozza a cavallo e cavalca.</v>
      </c>
    </row>
    <row r="25463">
      <c r="A25463" s="4" t="s">
        <v>32053</v>
      </c>
      <c r="B25463" s="4" t="s">
        <v>32054</v>
      </c>
      <c r="C25463" s="5" t="str">
        <f>IFERROR(__xludf.DUMMYFUNCTION("GOOGLETRANSLATE(B25463,""en"",""it"")"),"Vediamo un ragazzo che si lavava i denti e balla in bagno.")</f>
        <v>Vediamo un ragazzo che si lavava i denti e balla in bagno.</v>
      </c>
    </row>
    <row r="25464">
      <c r="A25464" s="4" t="s">
        <v>32053</v>
      </c>
      <c r="B25464" s="4" t="s">
        <v>32055</v>
      </c>
      <c r="C25464" s="5" t="str">
        <f>IFERROR(__xludf.DUMMYFUNCTION("GOOGLETRANSLATE(B25464,""en"",""it"")"),"Il ragazzo fa una pausa e guarda il pennello.")</f>
        <v>Il ragazzo fa una pausa e guarda il pennello.</v>
      </c>
    </row>
    <row r="25465">
      <c r="A25465" s="4" t="s">
        <v>32053</v>
      </c>
      <c r="B25465" s="4" t="s">
        <v>32056</v>
      </c>
      <c r="C25465" s="5" t="str">
        <f>IFERROR(__xludf.DUMMYFUNCTION("GOOGLETRANSLATE(B25465,""en"",""it"")"),"Il ragazzo ritorna a spazzolare e ballare.")</f>
        <v>Il ragazzo ritorna a spazzolare e ballare.</v>
      </c>
    </row>
    <row r="25466">
      <c r="A25466" s="4" t="s">
        <v>32053</v>
      </c>
      <c r="B25466" s="4" t="s">
        <v>32057</v>
      </c>
      <c r="C25466" s="5" t="str">
        <f>IFERROR(__xludf.DUMMYFUNCTION("GOOGLETRANSLATE(B25466,""en"",""it"")"),"Il ragazzo tiene il lavandino per un momento.")</f>
        <v>Il ragazzo tiene il lavandino per un momento.</v>
      </c>
    </row>
    <row r="25467">
      <c r="A25467" s="4" t="s">
        <v>32053</v>
      </c>
      <c r="B25467" s="4" t="s">
        <v>32058</v>
      </c>
      <c r="C25467" s="5" t="str">
        <f>IFERROR(__xludf.DUMMYFUNCTION("GOOGLETRANSLATE(B25467,""en"",""it"")"),"Il ragazzo tiene di nuovo sul lavandino.")</f>
        <v>Il ragazzo tiene di nuovo sul lavandino.</v>
      </c>
    </row>
    <row r="25468">
      <c r="A25468" s="4" t="s">
        <v>32059</v>
      </c>
      <c r="B25468" s="6" t="s">
        <v>32060</v>
      </c>
      <c r="C25468" s="5" t="str">
        <f>IFERROR(__xludf.DUMMYFUNCTION("GOOGLETRANSLATE(B25468,""en"",""it"")"),"Viene mostrato un primo piano di un muro con acqua che spruzza lungo i lati che conduce in diverse immagini e persone che spruzzano a terra.")</f>
        <v>Viene mostrato un primo piano di un muro con acqua che spruzza lungo i lati che conduce in diverse immagini e persone che spruzzano a terra.</v>
      </c>
    </row>
    <row r="25469">
      <c r="A25469" s="4" t="s">
        <v>32059</v>
      </c>
      <c r="B25469" s="6" t="s">
        <v>32061</v>
      </c>
      <c r="C25469" s="5" t="str">
        <f>IFERROR(__xludf.DUMMYFUNCTION("GOOGLETRANSLATE(B25469,""en"",""it"")"),"Si vedono più persone che spruzzano un camion e le auto vengono sollevate su una macchina mentre vengono mostrate più immagini.")</f>
        <v>Si vedono più persone che spruzzano un camion e le auto vengono sollevate su una macchina mentre vengono mostrate più immagini.</v>
      </c>
    </row>
    <row r="25470">
      <c r="A25470" s="4" t="s">
        <v>32062</v>
      </c>
      <c r="B25470" s="4" t="s">
        <v>32063</v>
      </c>
      <c r="C25470" s="5" t="str">
        <f>IFERROR(__xludf.DUMMYFUNCTION("GOOGLETRANSLATE(B25470,""en"",""it"")"),"Quest'uomo viene mostrato in piedi sul tetto dicendo alcune parole.")</f>
        <v>Quest'uomo viene mostrato in piedi sul tetto dicendo alcune parole.</v>
      </c>
    </row>
    <row r="25471">
      <c r="A25471" s="4" t="s">
        <v>32062</v>
      </c>
      <c r="B25471" s="4" t="s">
        <v>32064</v>
      </c>
      <c r="C25471" s="5" t="str">
        <f>IFERROR(__xludf.DUMMYFUNCTION("GOOGLETRANSLATE(B25471,""en"",""it"")"),"Quindi inizia a rimuovere alcune parti di legno dal tetto e si accumula tutte le piastrelle.")</f>
        <v>Quindi inizia a rimuovere alcune parti di legno dal tetto e si accumula tutte le piastrelle.</v>
      </c>
    </row>
    <row r="25472">
      <c r="A25472" s="4" t="s">
        <v>32062</v>
      </c>
      <c r="B25472" s="4" t="s">
        <v>32065</v>
      </c>
      <c r="C25472" s="5" t="str">
        <f>IFERROR(__xludf.DUMMYFUNCTION("GOOGLETRANSLATE(B25472,""en"",""it"")"),"Quindi li mette dove dovrebbero andare per fare una parte completa sul tetto.")</f>
        <v>Quindi li mette dove dovrebbero andare per fare una parte completa sul tetto.</v>
      </c>
    </row>
    <row r="25473">
      <c r="A25473" s="4" t="s">
        <v>32066</v>
      </c>
      <c r="B25473" s="4" t="s">
        <v>32067</v>
      </c>
      <c r="C25473" s="5" t="str">
        <f>IFERROR(__xludf.DUMMYFUNCTION("GOOGLETRANSLATE(B25473,""en"",""it"")"),"Un uomo fa un barbecue in un cortile mentre canta con persone che mostrano drink in lattine e tazze.")</f>
        <v>Un uomo fa un barbecue in un cortile mentre canta con persone che mostrano drink in lattine e tazze.</v>
      </c>
    </row>
    <row r="25474">
      <c r="A25474" s="4" t="s">
        <v>32066</v>
      </c>
      <c r="B25474" s="4" t="s">
        <v>32068</v>
      </c>
      <c r="C25474" s="5" t="str">
        <f>IFERROR(__xludf.DUMMYFUNCTION("GOOGLETRANSLATE(B25474,""en"",""it"")"),"Quindi le persone camminano in un bar e cantano dentro bere birra.")</f>
        <v>Quindi le persone camminano in un bar e cantano dentro bere birra.</v>
      </c>
    </row>
    <row r="25475">
      <c r="A25475" s="4" t="s">
        <v>32066</v>
      </c>
      <c r="B25475" s="4" t="s">
        <v>32069</v>
      </c>
      <c r="C25475" s="5" t="str">
        <f>IFERROR(__xludf.DUMMYFUNCTION("GOOGLETRANSLATE(B25475,""en"",""it"")"),"Le donne servono bevande da una fontana.")</f>
        <v>Le donne servono bevande da una fontana.</v>
      </c>
    </row>
    <row r="25476">
      <c r="A25476" s="4" t="s">
        <v>32066</v>
      </c>
      <c r="B25476" s="4" t="s">
        <v>32070</v>
      </c>
      <c r="C25476" s="5" t="str">
        <f>IFERROR(__xludf.DUMMYFUNCTION("GOOGLETRANSLATE(B25476,""en"",""it"")"),"Un uomo parla davanti a un microfono e la gente continua a cantare e mostrare birra.")</f>
        <v>Un uomo parla davanti a un microfono e la gente continua a cantare e mostrare birra.</v>
      </c>
    </row>
    <row r="25477">
      <c r="A25477" s="4" t="s">
        <v>32066</v>
      </c>
      <c r="B25477" s="4" t="s">
        <v>32071</v>
      </c>
      <c r="C25477" s="5" t="str">
        <f>IFERROR(__xludf.DUMMYFUNCTION("GOOGLETRANSLATE(B25477,""en"",""it"")"),"Quindi, le persone cantano di nuovo, bevono e ballano all'aperto.")</f>
        <v>Quindi, le persone cantano di nuovo, bevono e ballano all'aperto.</v>
      </c>
    </row>
    <row r="25478">
      <c r="A25478" s="4" t="s">
        <v>32072</v>
      </c>
      <c r="B25478" s="6" t="s">
        <v>32073</v>
      </c>
      <c r="C25478" s="5" t="str">
        <f>IFERROR(__xludf.DUMMYFUNCTION("GOOGLETRANSLATE(B25478,""en"",""it"")"),"Viene vista una donna parlare alla telecamera e conduce a clip dei suoi esercizi di Ab che parlano alla telecamera.")</f>
        <v>Viene vista una donna parlare alla telecamera e conduce a clip dei suoi esercizi di Ab che parlano alla telecamera.</v>
      </c>
    </row>
    <row r="25479">
      <c r="A25479" s="4" t="s">
        <v>32072</v>
      </c>
      <c r="B25479" s="6" t="s">
        <v>32074</v>
      </c>
      <c r="C25479" s="5" t="str">
        <f>IFERROR(__xludf.DUMMYFUNCTION("GOOGLETRANSLATE(B25479,""en"",""it"")"),"La donna dimostra come sedersi adeguatamente muovendo le braccia in luoghi diversi e parlando alla telecamera.")</f>
        <v>La donna dimostra come sedersi adeguatamente muovendo le braccia in luoghi diversi e parlando alla telecamera.</v>
      </c>
    </row>
    <row r="25480">
      <c r="A25480" s="4" t="s">
        <v>32075</v>
      </c>
      <c r="B25480" s="4" t="s">
        <v>32076</v>
      </c>
      <c r="C25480" s="5" t="str">
        <f>IFERROR(__xludf.DUMMYFUNCTION("GOOGLETRANSLATE(B25480,""en"",""it"")"),"Una persona mostra una ciotola di gelato a Disneyland.")</f>
        <v>Una persona mostra una ciotola di gelato a Disneyland.</v>
      </c>
    </row>
    <row r="25481">
      <c r="A25481" s="4" t="s">
        <v>32075</v>
      </c>
      <c r="B25481" s="4" t="s">
        <v>32077</v>
      </c>
      <c r="C25481" s="5" t="str">
        <f>IFERROR(__xludf.DUMMYFUNCTION("GOOGLETRANSLATE(B25481,""en"",""it"")"),"La persona ama la ciotola di gelato.")</f>
        <v>La persona ama la ciotola di gelato.</v>
      </c>
    </row>
    <row r="25482">
      <c r="A25482" s="4" t="s">
        <v>32075</v>
      </c>
      <c r="B25482" s="4" t="s">
        <v>32078</v>
      </c>
      <c r="C25482" s="5" t="str">
        <f>IFERROR(__xludf.DUMMYFUNCTION("GOOGLETRANSLATE(B25482,""en"",""it"")"),"Un carrello rotola lungo una strada con un direttore che pende dalla finestra.")</f>
        <v>Un carrello rotola lungo una strada con un direttore che pende dalla finestra.</v>
      </c>
    </row>
    <row r="25483">
      <c r="A25483" s="4" t="s">
        <v>32075</v>
      </c>
      <c r="B25483" s="4" t="s">
        <v>32079</v>
      </c>
      <c r="C25483" s="5" t="str">
        <f>IFERROR(__xludf.DUMMYFUNCTION("GOOGLETRANSLATE(B25483,""en"",""it"")"),"Una strada trafficata si vede con molte persone che camminano e guardano un'auto parcheggiata.")</f>
        <v>Una strada trafficata si vede con molte persone che camminano e guardano un'auto parcheggiata.</v>
      </c>
    </row>
    <row r="25484">
      <c r="A25484" s="4" t="s">
        <v>32080</v>
      </c>
      <c r="B25484" s="4" t="s">
        <v>32081</v>
      </c>
      <c r="C25484" s="5" t="str">
        <f>IFERROR(__xludf.DUMMYFUNCTION("GOOGLETRANSLATE(B25484,""en"",""it"")"),"Un jet ski è parcheggiato e un uomo ne guida uno.")</f>
        <v>Un jet ski è parcheggiato e un uomo ne guida uno.</v>
      </c>
    </row>
    <row r="25485">
      <c r="A25485" s="4" t="s">
        <v>32080</v>
      </c>
      <c r="B25485" s="6" t="s">
        <v>32082</v>
      </c>
      <c r="C25485" s="5" t="str">
        <f>IFERROR(__xludf.DUMMYFUNCTION("GOOGLETRANSLATE(B25485,""en"",""it"")"),"Vediamo il nome di un uomo sullo schermo e un uomo dietro una barca e un jet da uomo e girare.")</f>
        <v>Vediamo il nome di un uomo sullo schermo e un uomo dietro una barca e un jet da uomo e girare.</v>
      </c>
    </row>
    <row r="25486">
      <c r="A25486" s="4" t="s">
        <v>32080</v>
      </c>
      <c r="B25486" s="4" t="s">
        <v>32083</v>
      </c>
      <c r="C25486" s="5" t="str">
        <f>IFERROR(__xludf.DUMMYFUNCTION("GOOGLETRANSLATE(B25486,""en"",""it"")"),"Due uomini su un jet ski scuotono i capelli.")</f>
        <v>Due uomini su un jet ski scuotono i capelli.</v>
      </c>
    </row>
    <row r="25487">
      <c r="A25487" s="4" t="s">
        <v>32080</v>
      </c>
      <c r="B25487" s="4" t="s">
        <v>32084</v>
      </c>
      <c r="C25487" s="5" t="str">
        <f>IFERROR(__xludf.DUMMYFUNCTION("GOOGLETRANSLATE(B25487,""en"",""it"")"),"Un nome di persona è sullo schermo e vediamo un jet ski da uomo.")</f>
        <v>Un nome di persona è sullo schermo e vediamo un jet ski da uomo.</v>
      </c>
    </row>
    <row r="25488">
      <c r="A25488" s="4" t="s">
        <v>32080</v>
      </c>
      <c r="B25488" s="4" t="s">
        <v>32085</v>
      </c>
      <c r="C25488" s="5" t="str">
        <f>IFERROR(__xludf.DUMMYFUNCTION("GOOGLETRANSLATE(B25488,""en"",""it"")"),"Un altro nome e un altro uomo sul jet ski.")</f>
        <v>Un altro nome e un altro uomo sul jet ski.</v>
      </c>
    </row>
    <row r="25489">
      <c r="A25489" s="4" t="s">
        <v>32080</v>
      </c>
      <c r="B25489" s="4" t="s">
        <v>32086</v>
      </c>
      <c r="C25489" s="5" t="str">
        <f>IFERROR(__xludf.DUMMYFUNCTION("GOOGLETRANSLATE(B25489,""en"",""it"")"),"Vediamo l'uomo mentre si prepara a sciare in sella alla barca.")</f>
        <v>Vediamo l'uomo mentre si prepara a sciare in sella alla barca.</v>
      </c>
    </row>
    <row r="25490">
      <c r="A25490" s="4" t="s">
        <v>32080</v>
      </c>
      <c r="B25490" s="4" t="s">
        <v>32087</v>
      </c>
      <c r="C25490" s="5" t="str">
        <f>IFERROR(__xludf.DUMMYFUNCTION("GOOGLETRANSLATE(B25490,""en"",""it"")"),"Vediamo il lago e poi i crediti di chiusura.")</f>
        <v>Vediamo il lago e poi i crediti di chiusura.</v>
      </c>
    </row>
    <row r="25491">
      <c r="A25491" s="4" t="s">
        <v>32088</v>
      </c>
      <c r="B25491" s="4" t="s">
        <v>32089</v>
      </c>
      <c r="C25491" s="5" t="str">
        <f>IFERROR(__xludf.DUMMYFUNCTION("GOOGLETRANSLATE(B25491,""en"",""it"")"),"Vediamo uno schermo nero e i crediti.")</f>
        <v>Vediamo uno schermo nero e i crediti.</v>
      </c>
    </row>
    <row r="25492">
      <c r="A25492" s="4" t="s">
        <v>32088</v>
      </c>
      <c r="B25492" s="4" t="s">
        <v>32090</v>
      </c>
      <c r="C25492" s="5" t="str">
        <f>IFERROR(__xludf.DUMMYFUNCTION("GOOGLETRANSLATE(B25492,""en"",""it"")"),"Una persona sta tagliando i capelli di un uomo.")</f>
        <v>Una persona sta tagliando i capelli di un uomo.</v>
      </c>
    </row>
    <row r="25493">
      <c r="A25493" s="4" t="s">
        <v>32088</v>
      </c>
      <c r="B25493" s="4" t="s">
        <v>32091</v>
      </c>
      <c r="C25493" s="5" t="str">
        <f>IFERROR(__xludf.DUMMYFUNCTION("GOOGLETRANSLATE(B25493,""en"",""it"")"),"Passano a un rasoio elettrico sul retro.")</f>
        <v>Passano a un rasoio elettrico sul retro.</v>
      </c>
    </row>
    <row r="25494">
      <c r="A25494" s="4" t="s">
        <v>32088</v>
      </c>
      <c r="B25494" s="4" t="s">
        <v>32092</v>
      </c>
      <c r="C25494" s="5" t="str">
        <f>IFERROR(__xludf.DUMMYFUNCTION("GOOGLETRANSLATE(B25494,""en"",""it"")"),"La persona usa il rasoio in mano.")</f>
        <v>La persona usa il rasoio in mano.</v>
      </c>
    </row>
    <row r="25495">
      <c r="A25495" s="4" t="s">
        <v>32088</v>
      </c>
      <c r="B25495" s="4" t="s">
        <v>32093</v>
      </c>
      <c r="C25495" s="5" t="str">
        <f>IFERROR(__xludf.DUMMYFUNCTION("GOOGLETRANSLATE(B25495,""en"",""it"")"),"Lo schermo cambia in nero per un momento.")</f>
        <v>Lo schermo cambia in nero per un momento.</v>
      </c>
    </row>
    <row r="25496">
      <c r="A25496" s="4" t="s">
        <v>32088</v>
      </c>
      <c r="B25496" s="4" t="s">
        <v>32094</v>
      </c>
      <c r="C25496" s="5" t="str">
        <f>IFERROR(__xludf.DUMMYFUNCTION("GOOGLETRANSLATE(B25496,""en"",""it"")"),"Vediamo di nuovo lo schermo e la persona riveste la parte posteriore della testa dell'uomo.")</f>
        <v>Vediamo di nuovo lo schermo e la persona riveste la parte posteriore della testa dell'uomo.</v>
      </c>
    </row>
    <row r="25497">
      <c r="A25497" s="4" t="s">
        <v>32088</v>
      </c>
      <c r="B25497" s="4" t="s">
        <v>32095</v>
      </c>
      <c r="C25497" s="5" t="str">
        <f>IFERROR(__xludf.DUMMYFUNCTION("GOOGLETRANSLATE(B25497,""en"",""it"")"),"Il barbiere tocca il bordo del rasoio.")</f>
        <v>Il barbiere tocca il bordo del rasoio.</v>
      </c>
    </row>
    <row r="25498">
      <c r="A25498" s="4" t="s">
        <v>32088</v>
      </c>
      <c r="B25498" s="4" t="s">
        <v>32096</v>
      </c>
      <c r="C25498" s="5" t="str">
        <f>IFERROR(__xludf.DUMMYFUNCTION("GOOGLETRANSLATE(B25498,""en"",""it"")"),"Lo schermo si attenua al nero e ai crediti finali.")</f>
        <v>Lo schermo si attenua al nero e ai crediti finali.</v>
      </c>
    </row>
    <row r="25499">
      <c r="A25499" s="4" t="s">
        <v>32097</v>
      </c>
      <c r="B25499" s="4" t="s">
        <v>32098</v>
      </c>
      <c r="C25499" s="5" t="str">
        <f>IFERROR(__xludf.DUMMYFUNCTION("GOOGLETRANSLATE(B25499,""en"",""it"")"),"Un gruppo di persone sta guidando in varie canoe lungo un fiume.")</f>
        <v>Un gruppo di persone sta guidando in varie canoe lungo un fiume.</v>
      </c>
    </row>
    <row r="25500">
      <c r="A25500" s="4" t="s">
        <v>32097</v>
      </c>
      <c r="B25500" s="4" t="s">
        <v>32099</v>
      </c>
      <c r="C25500" s="5" t="str">
        <f>IFERROR(__xludf.DUMMYFUNCTION("GOOGLETRANSLATE(B25500,""en"",""it"")"),"Un uomo spara una fiamma in aria seguita anche da molti altri.")</f>
        <v>Un uomo spara una fiamma in aria seguita anche da molti altri.</v>
      </c>
    </row>
    <row r="25501">
      <c r="A25501" s="4" t="s">
        <v>32097</v>
      </c>
      <c r="B25501" s="4" t="s">
        <v>32100</v>
      </c>
      <c r="C25501" s="5" t="str">
        <f>IFERROR(__xludf.DUMMYFUNCTION("GOOGLETRANSLATE(B25501,""en"",""it"")"),"La telecamera si lancia attorno al gruppo di persone vestite da pirati e in altri vari costumi.")</f>
        <v>La telecamera si lancia attorno al gruppo di persone vestite da pirati e in altri vari costumi.</v>
      </c>
    </row>
    <row r="25502">
      <c r="A25502" s="4" t="s">
        <v>32101</v>
      </c>
      <c r="B25502" s="4" t="s">
        <v>32102</v>
      </c>
      <c r="C25502" s="5" t="str">
        <f>IFERROR(__xludf.DUMMYFUNCTION("GOOGLETRANSLATE(B25502,""en"",""it"")"),"Diverse persone vengono viste afferrare gli sci e le auto in fila e le persone che parlano tra loro.")</f>
        <v>Diverse persone vengono viste afferrare gli sci e le auto in fila e le persone che parlano tra loro.</v>
      </c>
    </row>
    <row r="25503">
      <c r="A25503" s="4" t="s">
        <v>32101</v>
      </c>
      <c r="B25503" s="4" t="s">
        <v>32103</v>
      </c>
      <c r="C25503" s="5" t="str">
        <f>IFERROR(__xludf.DUMMYFUNCTION("GOOGLETRANSLATE(B25503,""en"",""it"")"),"Questo porta a diverse clip di sciatori che cavalcano le montagne una dopo l'altra.")</f>
        <v>Questo porta a diverse clip di sciatori che cavalcano le montagne una dopo l'altra.</v>
      </c>
    </row>
    <row r="25504">
      <c r="A25504" s="4" t="s">
        <v>32101</v>
      </c>
      <c r="B25504" s="4" t="s">
        <v>32104</v>
      </c>
      <c r="C25504" s="5" t="str">
        <f>IFERROR(__xludf.DUMMYFUNCTION("GOOGLETRANSLATE(B25504,""en"",""it"")"),"Le persone vengono mostrate cavalcando insieme e un assolo e termina con un uomo che prende a calci alla telecamera.")</f>
        <v>Le persone vengono mostrate cavalcando insieme e un assolo e termina con un uomo che prende a calci alla telecamera.</v>
      </c>
    </row>
    <row r="25505">
      <c r="A25505" s="4" t="s">
        <v>32105</v>
      </c>
      <c r="B25505" s="6" t="s">
        <v>32106</v>
      </c>
      <c r="C25505" s="5" t="str">
        <f>IFERROR(__xludf.DUMMYFUNCTION("GOOGLETRANSLATE(B25505,""en"",""it"")"),"L'atleta sta indossando le sue scarpe da ginnastica rossa, poi ha parlato con la telecamera e poi corre nel campo di tracciamento indoor.")</f>
        <v>L'atleta sta indossando le sue scarpe da ginnastica rossa, poi ha parlato con la telecamera e poi corre nel campo di tracciamento indoor.</v>
      </c>
    </row>
    <row r="25506">
      <c r="A25506" s="4" t="s">
        <v>32105</v>
      </c>
      <c r="B25506" s="6" t="s">
        <v>32107</v>
      </c>
      <c r="C25506" s="5" t="str">
        <f>IFERROR(__xludf.DUMMYFUNCTION("GOOGLETRANSLATE(B25506,""en"",""it"")"),"Si è riposato per un po ', poi il suo allenatore sta avendo un colloquio, poi la scena cambia in cui l'atleta ha iniziato a esercitarsi, correndo in giro, poi ha fatto un po' di palo.")</f>
        <v>Si è riposato per un po ', poi il suo allenatore sta avendo un colloquio, poi la scena cambia in cui l'atleta ha iniziato a esercitarsi, correndo in giro, poi ha fatto un po' di palo.</v>
      </c>
    </row>
    <row r="25507">
      <c r="A25507" s="4" t="s">
        <v>32105</v>
      </c>
      <c r="B25507" s="4" t="s">
        <v>32108</v>
      </c>
      <c r="C25507" s="5" t="str">
        <f>IFERROR(__xludf.DUMMYFUNCTION("GOOGLETRANSLATE(B25507,""en"",""it"")"),"Ha fatto alcuni esercizi e allungamenti.")</f>
        <v>Ha fatto alcuni esercizi e allungamenti.</v>
      </c>
    </row>
    <row r="25508">
      <c r="A25508" s="4" t="s">
        <v>32109</v>
      </c>
      <c r="B25508" s="4" t="s">
        <v>32110</v>
      </c>
      <c r="C25508" s="5" t="str">
        <f>IFERROR(__xludf.DUMMYFUNCTION("GOOGLETRANSLATE(B25508,""en"",""it"")"),"Un ragazzo con una camicia arancione sta giocando a un videogioco.")</f>
        <v>Un ragazzo con una camicia arancione sta giocando a un videogioco.</v>
      </c>
    </row>
    <row r="25509">
      <c r="A25509" s="4" t="s">
        <v>32109</v>
      </c>
      <c r="B25509" s="4" t="s">
        <v>32111</v>
      </c>
      <c r="C25509" s="5" t="str">
        <f>IFERROR(__xludf.DUMMYFUNCTION("GOOGLETRANSLATE(B25509,""en"",""it"")"),"La scena cambia nel gioco stesso.")</f>
        <v>La scena cambia nel gioco stesso.</v>
      </c>
    </row>
    <row r="25510">
      <c r="A25510" s="4" t="s">
        <v>32109</v>
      </c>
      <c r="B25510" s="4" t="s">
        <v>32112</v>
      </c>
      <c r="C25510" s="5" t="str">
        <f>IFERROR(__xludf.DUMMYFUNCTION("GOOGLETRANSLATE(B25510,""en"",""it"")"),"La scena torna al ragazzo.")</f>
        <v>La scena torna al ragazzo.</v>
      </c>
    </row>
    <row r="25511">
      <c r="A25511" s="4" t="s">
        <v>32109</v>
      </c>
      <c r="B25511" s="4" t="s">
        <v>32113</v>
      </c>
      <c r="C25511" s="5" t="str">
        <f>IFERROR(__xludf.DUMMYFUNCTION("GOOGLETRANSLATE(B25511,""en"",""it"")"),"La fotocamera ingrandisce il controller.")</f>
        <v>La fotocamera ingrandisce il controller.</v>
      </c>
    </row>
    <row r="25512">
      <c r="A25512" s="4" t="s">
        <v>32109</v>
      </c>
      <c r="B25512" s="4" t="s">
        <v>32114</v>
      </c>
      <c r="C25512" s="5" t="str">
        <f>IFERROR(__xludf.DUMMYFUNCTION("GOOGLETRANSLATE(B25512,""en"",""it"")"),"La scena risale al gioco.")</f>
        <v>La scena risale al gioco.</v>
      </c>
    </row>
    <row r="25513">
      <c r="A25513" s="4" t="s">
        <v>32109</v>
      </c>
      <c r="B25513" s="4" t="s">
        <v>32115</v>
      </c>
      <c r="C25513" s="5" t="str">
        <f>IFERROR(__xludf.DUMMYFUNCTION("GOOGLETRANSLATE(B25513,""en"",""it"")"),"C'è un primo piano della faccia del ragazzo.")</f>
        <v>C'è un primo piano della faccia del ragazzo.</v>
      </c>
    </row>
    <row r="25514">
      <c r="A25514" s="4" t="s">
        <v>32109</v>
      </c>
      <c r="B25514" s="4" t="s">
        <v>32116</v>
      </c>
      <c r="C25514" s="5" t="str">
        <f>IFERROR(__xludf.DUMMYFUNCTION("GOOGLETRANSLATE(B25514,""en"",""it"")"),"La fotocamera mostra la TV con la parte posteriore della testa del ragazzo.")</f>
        <v>La fotocamera mostra la TV con la parte posteriore della testa del ragazzo.</v>
      </c>
    </row>
    <row r="25515">
      <c r="A25515" s="4" t="s">
        <v>32109</v>
      </c>
      <c r="B25515" s="4" t="s">
        <v>32117</v>
      </c>
      <c r="C25515" s="5" t="str">
        <f>IFERROR(__xludf.DUMMYFUNCTION("GOOGLETRANSLATE(B25515,""en"",""it"")"),"Il gioco sta giocando fino alla fine.")</f>
        <v>Il gioco sta giocando fino alla fine.</v>
      </c>
    </row>
    <row r="25516">
      <c r="A25516" s="4" t="s">
        <v>32109</v>
      </c>
      <c r="B25516" s="4" t="s">
        <v>32118</v>
      </c>
      <c r="C25516" s="5" t="str">
        <f>IFERROR(__xludf.DUMMYFUNCTION("GOOGLETRANSLATE(B25516,""en"",""it"")"),"Il ragazzo dice qualcosa e la TV ha numeri su di esso.")</f>
        <v>Il ragazzo dice qualcosa e la TV ha numeri su di esso.</v>
      </c>
    </row>
    <row r="25517">
      <c r="A25517" s="4" t="s">
        <v>32109</v>
      </c>
      <c r="B25517" s="4" t="s">
        <v>32119</v>
      </c>
      <c r="C25517" s="5" t="str">
        <f>IFERROR(__xludf.DUMMYFUNCTION("GOOGLETRANSLATE(B25517,""en"",""it"")"),"Il ragazzo sta parlando di nuovo.")</f>
        <v>Il ragazzo sta parlando di nuovo.</v>
      </c>
    </row>
    <row r="25518">
      <c r="A25518" s="4" t="s">
        <v>32109</v>
      </c>
      <c r="B25518" s="4" t="s">
        <v>32120</v>
      </c>
      <c r="C25518" s="5" t="str">
        <f>IFERROR(__xludf.DUMMYFUNCTION("GOOGLETRANSLATE(B25518,""en"",""it"")"),"Il ragazzo si alza e lascia la stanza.")</f>
        <v>Il ragazzo si alza e lascia la stanza.</v>
      </c>
    </row>
    <row r="25519">
      <c r="A25519" s="4" t="s">
        <v>32109</v>
      </c>
      <c r="B25519" s="4" t="s">
        <v>32121</v>
      </c>
      <c r="C25519" s="5" t="str">
        <f>IFERROR(__xludf.DUMMYFUNCTION("GOOGLETRANSLATE(B25519,""en"",""it"")"),"Va in bagno e si sta strofinando gli occhi.")</f>
        <v>Va in bagno e si sta strofinando gli occhi.</v>
      </c>
    </row>
    <row r="25520">
      <c r="A25520" s="4" t="s">
        <v>32109</v>
      </c>
      <c r="B25520" s="4" t="s">
        <v>32122</v>
      </c>
      <c r="C25520" s="5" t="str">
        <f>IFERROR(__xludf.DUMMYFUNCTION("GOOGLETRANSLATE(B25520,""en"",""it"")"),"Si guarda allo specchio, quindi cerca il lavaggio del viso e gli mette in mano un po '.")</f>
        <v>Si guarda allo specchio, quindi cerca il lavaggio del viso e gli mette in mano un po '.</v>
      </c>
    </row>
    <row r="25521">
      <c r="A25521" s="4" t="s">
        <v>32109</v>
      </c>
      <c r="B25521" s="4" t="s">
        <v>32123</v>
      </c>
      <c r="C25521" s="5" t="str">
        <f>IFERROR(__xludf.DUMMYFUNCTION("GOOGLETRANSLATE(B25521,""en"",""it"")"),"Lancia il lavaggio del viso sulla lavatrice.")</f>
        <v>Lancia il lavaggio del viso sulla lavatrice.</v>
      </c>
    </row>
    <row r="25522">
      <c r="A25522" s="4" t="s">
        <v>32109</v>
      </c>
      <c r="B25522" s="4" t="s">
        <v>32124</v>
      </c>
      <c r="C25522" s="5" t="str">
        <f>IFERROR(__xludf.DUMMYFUNCTION("GOOGLETRANSLATE(B25522,""en"",""it"")"),"Mette la testa nel lavandino e si lava con rabbia la faccia.")</f>
        <v>Mette la testa nel lavandino e si lava con rabbia la faccia.</v>
      </c>
    </row>
    <row r="25523">
      <c r="A25523" s="4" t="s">
        <v>32109</v>
      </c>
      <c r="B25523" s="4" t="s">
        <v>32125</v>
      </c>
      <c r="C25523" s="5" t="str">
        <f>IFERROR(__xludf.DUMMYFUNCTION("GOOGLETRANSLATE(B25523,""en"",""it"")"),"Quando si guarda di nuovo allo specchio, è un vecchio.")</f>
        <v>Quando si guarda di nuovo allo specchio, è un vecchio.</v>
      </c>
    </row>
    <row r="25524">
      <c r="A25524" s="4" t="s">
        <v>32109</v>
      </c>
      <c r="B25524" s="4" t="s">
        <v>32126</v>
      </c>
      <c r="C25524" s="5" t="str">
        <f>IFERROR(__xludf.DUMMYFUNCTION("GOOGLETRANSLATE(B25524,""en"",""it"")"),"Cade a terra.")</f>
        <v>Cade a terra.</v>
      </c>
    </row>
    <row r="25525">
      <c r="A25525" s="4" t="s">
        <v>32109</v>
      </c>
      <c r="B25525" s="4" t="s">
        <v>32127</v>
      </c>
      <c r="C25525" s="5" t="str">
        <f>IFERROR(__xludf.DUMMYFUNCTION("GOOGLETRANSLATE(B25525,""en"",""it"")"),"Si lava di nuovo il viso e questa volta si trasforma in un cranio.")</f>
        <v>Si lava di nuovo il viso e questa volta si trasforma in un cranio.</v>
      </c>
    </row>
    <row r="25526">
      <c r="A25526" s="4" t="s">
        <v>32109</v>
      </c>
      <c r="B25526" s="4" t="s">
        <v>32128</v>
      </c>
      <c r="C25526" s="5" t="str">
        <f>IFERROR(__xludf.DUMMYFUNCTION("GOOGLETRANSLATE(B25526,""en"",""it"")"),"Si strofina il viso e il teschio cade nel lavandino.")</f>
        <v>Si strofina il viso e il teschio cade nel lavandino.</v>
      </c>
    </row>
    <row r="25527">
      <c r="A25527" s="4" t="s">
        <v>32129</v>
      </c>
      <c r="B25527" s="4" t="s">
        <v>32130</v>
      </c>
      <c r="C25527" s="5" t="str">
        <f>IFERROR(__xludf.DUMMYFUNCTION("GOOGLETRANSLATE(B25527,""en"",""it"")"),"Una persona ha la mano sopra l'obiettivo.")</f>
        <v>Una persona ha la mano sopra l'obiettivo.</v>
      </c>
    </row>
    <row r="25528">
      <c r="A25528" s="4" t="s">
        <v>32129</v>
      </c>
      <c r="B25528" s="4" t="s">
        <v>32131</v>
      </c>
      <c r="C25528" s="5" t="str">
        <f>IFERROR(__xludf.DUMMYFUNCTION("GOOGLETRANSLATE(B25528,""en"",""it"")"),"Vediamo quindi un bambino a sci grigio davanti all'operatore della fotocamera.")</f>
        <v>Vediamo quindi un bambino a sci grigio davanti all'operatore della fotocamera.</v>
      </c>
    </row>
    <row r="25529">
      <c r="A25529" s="4" t="s">
        <v>32129</v>
      </c>
      <c r="B25529" s="4" t="s">
        <v>32132</v>
      </c>
      <c r="C25529" s="5" t="str">
        <f>IFERROR(__xludf.DUMMYFUNCTION("GOOGLETRANSLATE(B25529,""en"",""it"")"),"Il bambino cade dagli sci e giace sulla neve.")</f>
        <v>Il bambino cade dagli sci e giace sulla neve.</v>
      </c>
    </row>
    <row r="25530">
      <c r="A25530" s="4" t="s">
        <v>32129</v>
      </c>
      <c r="B25530" s="4" t="s">
        <v>32133</v>
      </c>
      <c r="C25530" s="5" t="str">
        <f>IFERROR(__xludf.DUMMYFUNCTION("GOOGLETRANSLATE(B25530,""en"",""it"")"),"La persona della telecamera si ferma e asciuga la neve dagli occhiali per bambini e spegne la telecamera.")</f>
        <v>La persona della telecamera si ferma e asciuga la neve dagli occhiali per bambini e spegne la telecamera.</v>
      </c>
    </row>
    <row r="25531">
      <c r="A25531" s="4" t="s">
        <v>32134</v>
      </c>
      <c r="B25531" s="4" t="s">
        <v>32135</v>
      </c>
      <c r="C25531" s="5" t="str">
        <f>IFERROR(__xludf.DUMMYFUNCTION("GOOGLETRANSLATE(B25531,""en"",""it"")"),"Un cavallo è dietro un cancello giallo mentre un uomo si siede in cima con una corda.")</f>
        <v>Un cavallo è dietro un cancello giallo mentre un uomo si siede in cima con una corda.</v>
      </c>
    </row>
    <row r="25532">
      <c r="A25532" s="4" t="s">
        <v>32134</v>
      </c>
      <c r="B25532" s="4" t="s">
        <v>32136</v>
      </c>
      <c r="C25532" s="5" t="str">
        <f>IFERROR(__xludf.DUMMYFUNCTION("GOOGLETRANSLATE(B25532,""en"",""it"")"),"Il cancello è aperto e un vitello nero arriva a correre nel campo dello sporco.")</f>
        <v>Il cancello è aperto e un vitello nero arriva a correre nel campo dello sporco.</v>
      </c>
    </row>
    <row r="25533">
      <c r="A25533" s="4" t="s">
        <v>32134</v>
      </c>
      <c r="B25533" s="4" t="s">
        <v>32137</v>
      </c>
      <c r="C25533" s="5" t="str">
        <f>IFERROR(__xludf.DUMMYFUNCTION("GOOGLETRANSLATE(B25533,""en"",""it"")"),"Quasi all'istante, l'uomo lancia il suo lazo e salta via per proteggere la mucca.")</f>
        <v>Quasi all'istante, l'uomo lancia il suo lazo e salta via per proteggere la mucca.</v>
      </c>
    </row>
    <row r="25534">
      <c r="A25534" s="4" t="s">
        <v>32134</v>
      </c>
      <c r="B25534" s="6" t="s">
        <v>32138</v>
      </c>
      <c r="C25534" s="5" t="str">
        <f>IFERROR(__xludf.DUMMYFUNCTION("GOOGLETRANSLATE(B25534,""en"",""it"")"),"Una volta finito, l'uomo torna sul cavallo e altre persone escono per togliere il vitello.")</f>
        <v>Una volta finito, l'uomo torna sul cavallo e altre persone escono per togliere il vitello.</v>
      </c>
    </row>
    <row r="25535">
      <c r="A25535" s="4" t="s">
        <v>32139</v>
      </c>
      <c r="B25535" s="4" t="s">
        <v>32140</v>
      </c>
      <c r="C25535" s="5" t="str">
        <f>IFERROR(__xludf.DUMMYFUNCTION("GOOGLETRANSLATE(B25535,""en"",""it"")"),"Una telecamera si avvicina a una ragazza che le punta allo specchio.")</f>
        <v>Una telecamera si avvicina a una ragazza che le punta allo specchio.</v>
      </c>
    </row>
    <row r="25536">
      <c r="A25536" s="4" t="s">
        <v>32139</v>
      </c>
      <c r="B25536" s="4" t="s">
        <v>32141</v>
      </c>
      <c r="C25536" s="5" t="str">
        <f>IFERROR(__xludf.DUMMYFUNCTION("GOOGLETRANSLATE(B25536,""en"",""it"")"),"Quindi si piega in avanti e si attacca il viso sotto l'acqua che se la sfregava lungo il viso.")</f>
        <v>Quindi si piega in avanti e si attacca il viso sotto l'acqua che se la sfregava lungo il viso.</v>
      </c>
    </row>
    <row r="25537">
      <c r="A25537" s="4" t="s">
        <v>32142</v>
      </c>
      <c r="B25537" s="4" t="s">
        <v>32143</v>
      </c>
      <c r="C25537" s="5" t="str">
        <f>IFERROR(__xludf.DUMMYFUNCTION("GOOGLETRANSLATE(B25537,""en"",""it"")"),"Una donna viene vista con una fisarmonica mentre scuote i pugni in aria.")</f>
        <v>Una donna viene vista con una fisarmonica mentre scuote i pugni in aria.</v>
      </c>
    </row>
    <row r="25538">
      <c r="A25538" s="4" t="s">
        <v>32142</v>
      </c>
      <c r="B25538" s="4" t="s">
        <v>32144</v>
      </c>
      <c r="C25538" s="5" t="str">
        <f>IFERROR(__xludf.DUMMYFUNCTION("GOOGLETRANSLATE(B25538,""en"",""it"")"),"Una band viene vista camminare dietro di lei e inizia a suonare mentre lei lo fa.")</f>
        <v>Una band viene vista camminare dietro di lei e inizia a suonare mentre lei lo fa.</v>
      </c>
    </row>
    <row r="25539">
      <c r="A25539" s="4" t="s">
        <v>32142</v>
      </c>
      <c r="B25539" s="4" t="s">
        <v>32145</v>
      </c>
      <c r="C25539" s="5" t="str">
        <f>IFERROR(__xludf.DUMMYFUNCTION("GOOGLETRANSLATE(B25539,""en"",""it"")"),"La ragazza continua a suonare con la band e termina guardando alla telecamera.")</f>
        <v>La ragazza continua a suonare con la band e termina guardando alla telecamera.</v>
      </c>
    </row>
    <row r="25540">
      <c r="A25540" s="4" t="s">
        <v>32146</v>
      </c>
      <c r="B25540" s="4" t="s">
        <v>32147</v>
      </c>
      <c r="C25540" s="5" t="str">
        <f>IFERROR(__xludf.DUMMYFUNCTION("GOOGLETRANSLATE(B25540,""en"",""it"")"),"Un uomo è visto in piedi in un campo con l'occhio chiuso e fermo.")</f>
        <v>Un uomo è visto in piedi in un campo con l'occhio chiuso e fermo.</v>
      </c>
    </row>
    <row r="25541">
      <c r="A25541" s="4" t="s">
        <v>32146</v>
      </c>
      <c r="B25541" s="4" t="s">
        <v>32148</v>
      </c>
      <c r="C25541" s="5" t="str">
        <f>IFERROR(__xludf.DUMMYFUNCTION("GOOGLETRANSLATE(B25541,""en"",""it"")"),"L'uomo inizia quindi a muovere le braccia e le gambe attorno al suo corpo.")</f>
        <v>L'uomo inizia quindi a muovere le braccia e le gambe attorno al suo corpo.</v>
      </c>
    </row>
    <row r="25542">
      <c r="A25542" s="4" t="s">
        <v>32146</v>
      </c>
      <c r="B25542" s="4" t="s">
        <v>32149</v>
      </c>
      <c r="C25542" s="5" t="str">
        <f>IFERROR(__xludf.DUMMYFUNCTION("GOOGLETRANSLATE(B25542,""en"",""it"")"),"Continua a muovere il corpo con gli occhi chiusi.")</f>
        <v>Continua a muovere il corpo con gli occhi chiusi.</v>
      </c>
    </row>
    <row r="25543">
      <c r="A25543" s="4" t="s">
        <v>32150</v>
      </c>
      <c r="B25543" s="4" t="s">
        <v>32151</v>
      </c>
      <c r="C25543" s="5" t="str">
        <f>IFERROR(__xludf.DUMMYFUNCTION("GOOGLETRANSLATE(B25543,""en"",""it"")"),"Una donna giace su un tavolo che viene preparato per il piercing all'orecchio.")</f>
        <v>Una donna giace su un tavolo che viene preparato per il piercing all'orecchio.</v>
      </c>
    </row>
    <row r="25544">
      <c r="A25544" s="4" t="s">
        <v>32150</v>
      </c>
      <c r="B25544" s="4" t="s">
        <v>32152</v>
      </c>
      <c r="C25544" s="5" t="str">
        <f>IFERROR(__xludf.DUMMYFUNCTION("GOOGLETRANSLATE(B25544,""en"",""it"")"),"La persona responsabile dell'operazione trafigge l'orecchio in due posti con una piccola asta.")</f>
        <v>La persona responsabile dell'operazione trafigge l'orecchio in due posti con una piccola asta.</v>
      </c>
    </row>
    <row r="25545">
      <c r="A25545" s="4" t="s">
        <v>32150</v>
      </c>
      <c r="B25545" s="4" t="s">
        <v>32153</v>
      </c>
      <c r="C25545" s="5" t="str">
        <f>IFERROR(__xludf.DUMMYFUNCTION("GOOGLETRANSLATE(B25545,""en"",""it"")"),"La persona applica un sughero a un'estremità dell'asta.")</f>
        <v>La persona applica un sughero a un'estremità dell'asta.</v>
      </c>
    </row>
    <row r="25546">
      <c r="A25546" s="4" t="s">
        <v>32150</v>
      </c>
      <c r="B25546" s="4" t="s">
        <v>32154</v>
      </c>
      <c r="C25546" s="5" t="str">
        <f>IFERROR(__xludf.DUMMYFUNCTION("GOOGLETRANSLATE(B25546,""en"",""it"")"),"La persona spinge un'asta diversa attraverso i fori creati dal piercing iniziale.")</f>
        <v>La persona spinge un'asta diversa attraverso i fori creati dal piercing iniziale.</v>
      </c>
    </row>
    <row r="25547">
      <c r="A25547" s="4" t="s">
        <v>32150</v>
      </c>
      <c r="B25547" s="4" t="s">
        <v>32155</v>
      </c>
      <c r="C25547" s="5" t="str">
        <f>IFERROR(__xludf.DUMMYFUNCTION("GOOGLETRANSLATE(B25547,""en"",""it"")"),"La persona aggiunge la nuova canna su entrambe le estremità.")</f>
        <v>La persona aggiunge la nuova canna su entrambe le estremità.</v>
      </c>
    </row>
    <row r="25548">
      <c r="A25548" s="4" t="s">
        <v>32150</v>
      </c>
      <c r="B25548" s="4" t="s">
        <v>32156</v>
      </c>
      <c r="C25548" s="5" t="str">
        <f>IFERROR(__xludf.DUMMYFUNCTION("GOOGLETRANSLATE(B25548,""en"",""it"")"),"La donna mostra il suo nuovo piercing e sorride.")</f>
        <v>La donna mostra il suo nuovo piercing e sorride.</v>
      </c>
    </row>
    <row r="25549">
      <c r="A25549" s="4" t="s">
        <v>32157</v>
      </c>
      <c r="B25549" s="4" t="s">
        <v>32158</v>
      </c>
      <c r="C25549" s="5" t="str">
        <f>IFERROR(__xludf.DUMMYFUNCTION("GOOGLETRANSLATE(B25549,""en"",""it"")"),"Un bambino piccolo viene visto sorridere alla telecamera e inizia a arrampicarsi attraverso le barre delle scimmie.")</f>
        <v>Un bambino piccolo viene visto sorridere alla telecamera e inizia a arrampicarsi attraverso le barre delle scimmie.</v>
      </c>
    </row>
    <row r="25550">
      <c r="A25550" s="4" t="s">
        <v>32157</v>
      </c>
      <c r="B25550" s="4" t="s">
        <v>32159</v>
      </c>
      <c r="C25550" s="5" t="str">
        <f>IFERROR(__xludf.DUMMYFUNCTION("GOOGLETRANSLATE(B25550,""en"",""it"")"),"Arriva dall'altra parte e poi salta la telecamera.")</f>
        <v>Arriva dall'altra parte e poi salta la telecamera.</v>
      </c>
    </row>
    <row r="25551">
      <c r="A25551" s="4" t="s">
        <v>32160</v>
      </c>
      <c r="B25551" s="4" t="s">
        <v>32161</v>
      </c>
      <c r="C25551" s="5" t="str">
        <f>IFERROR(__xludf.DUMMYFUNCTION("GOOGLETRANSLATE(B25551,""en"",""it"")"),"Una persona tiene in mano piccoli oggetti.")</f>
        <v>Una persona tiene in mano piccoli oggetti.</v>
      </c>
    </row>
    <row r="25552">
      <c r="A25552" s="4" t="s">
        <v>32160</v>
      </c>
      <c r="B25552" s="4" t="s">
        <v>32162</v>
      </c>
      <c r="C25552" s="5" t="str">
        <f>IFERROR(__xludf.DUMMYFUNCTION("GOOGLETRANSLATE(B25552,""en"",""it"")"),"La persona applica gli oggetti continuamente su una superficie di legno.")</f>
        <v>La persona applica gli oggetti continuamente su una superficie di legno.</v>
      </c>
    </row>
    <row r="25553">
      <c r="A25553" s="4" t="s">
        <v>32160</v>
      </c>
      <c r="B25553" s="4" t="s">
        <v>32163</v>
      </c>
      <c r="C25553" s="5" t="str">
        <f>IFERROR(__xludf.DUMMYFUNCTION("GOOGLETRANSLATE(B25553,""en"",""it"")"),"Quando la persona strofina l'oggetto più piccolo, mette un residuo bianco sulla superficie.")</f>
        <v>Quando la persona strofina l'oggetto più piccolo, mette un residuo bianco sulla superficie.</v>
      </c>
    </row>
    <row r="25554">
      <c r="A25554" s="4" t="s">
        <v>32160</v>
      </c>
      <c r="B25554" s="4" t="s">
        <v>32164</v>
      </c>
      <c r="C25554" s="5" t="str">
        <f>IFERROR(__xludf.DUMMYFUNCTION("GOOGLETRANSLATE(B25554,""en"",""it"")"),"Quando la persona strofina l'oggetto marrone, rimuove il residuo.")</f>
        <v>Quando la persona strofina l'oggetto marrone, rimuove il residuo.</v>
      </c>
    </row>
    <row r="25555">
      <c r="A25555" s="4" t="s">
        <v>32165</v>
      </c>
      <c r="B25555" s="4" t="s">
        <v>32166</v>
      </c>
      <c r="C25555" s="5" t="str">
        <f>IFERROR(__xludf.DUMMYFUNCTION("GOOGLETRANSLATE(B25555,""en"",""it"")"),"Un uomo viene mostrato seduto davanti a diversi tamburi e sbatte al ritmo.")</f>
        <v>Un uomo viene mostrato seduto davanti a diversi tamburi e sbatte al ritmo.</v>
      </c>
    </row>
    <row r="25556">
      <c r="A25556" s="4" t="s">
        <v>32165</v>
      </c>
      <c r="B25556" s="4" t="s">
        <v>32167</v>
      </c>
      <c r="C25556" s="5" t="str">
        <f>IFERROR(__xludf.DUMMYFUNCTION("GOOGLETRANSLATE(B25556,""en"",""it"")"),"Parla alla telecamera della sua canzone e di ciò che sta pianificando di suonare.")</f>
        <v>Parla alla telecamera della sua canzone e di ciò che sta pianificando di suonare.</v>
      </c>
    </row>
    <row r="25557">
      <c r="A25557" s="4" t="s">
        <v>32165</v>
      </c>
      <c r="B25557" s="4" t="s">
        <v>32168</v>
      </c>
      <c r="C25557" s="5" t="str">
        <f>IFERROR(__xludf.DUMMYFUNCTION("GOOGLETRANSLATE(B25557,""en"",""it"")"),"L'uomo continua a suonare mentre la telecamera si lancia dentro e fuori su di lui suonando la batteria.")</f>
        <v>L'uomo continua a suonare mentre la telecamera si lancia dentro e fuori su di lui suonando la batteria.</v>
      </c>
    </row>
    <row r="25558">
      <c r="A25558" s="4" t="s">
        <v>32169</v>
      </c>
      <c r="B25558" s="4" t="s">
        <v>32170</v>
      </c>
      <c r="C25558" s="5" t="str">
        <f>IFERROR(__xludf.DUMMYFUNCTION("GOOGLETRANSLATE(B25558,""en"",""it"")"),"Una ginnasta di colore si prepara a esibirsi in una mostra parallela.")</f>
        <v>Una ginnasta di colore si prepara a esibirsi in una mostra parallela.</v>
      </c>
    </row>
    <row r="25559">
      <c r="A25559" s="4" t="s">
        <v>32169</v>
      </c>
      <c r="B25559" s="6" t="s">
        <v>32171</v>
      </c>
      <c r="C25559" s="5" t="str">
        <f>IFERROR(__xludf.DUMMYFUNCTION("GOOGLETRANSLATE(B25559,""en"",""it"")"),"L'uomo monta la barra parallela e va in un verticale e esegue una serie di giri e mosse.")</f>
        <v>L'uomo monta la barra parallela e va in un verticale e esegue una serie di giri e mosse.</v>
      </c>
    </row>
    <row r="25560">
      <c r="A25560" s="4" t="s">
        <v>32169</v>
      </c>
      <c r="B25560" s="4" t="s">
        <v>32172</v>
      </c>
      <c r="C25560" s="5" t="str">
        <f>IFERROR(__xludf.DUMMYFUNCTION("GOOGLETRANSLATE(B25560,""en"",""it"")"),"La ginnasta entra nel suo smontaggio e atterra un atterraggio perfetto sul tappeto.")</f>
        <v>La ginnasta entra nel suo smontaggio e atterra un atterraggio perfetto sul tappeto.</v>
      </c>
    </row>
    <row r="25561">
      <c r="A25561" s="4" t="s">
        <v>32173</v>
      </c>
      <c r="B25561" s="4" t="s">
        <v>32174</v>
      </c>
      <c r="C25561" s="5" t="str">
        <f>IFERROR(__xludf.DUMMYFUNCTION("GOOGLETRANSLATE(B25561,""en"",""it"")"),"Un uomo è appeso a uno sfondo.")</f>
        <v>Un uomo è appeso a uno sfondo.</v>
      </c>
    </row>
    <row r="25562">
      <c r="A25562" s="4" t="s">
        <v>32173</v>
      </c>
      <c r="B25562" s="4" t="s">
        <v>32175</v>
      </c>
      <c r="C25562" s="5" t="str">
        <f>IFERROR(__xludf.DUMMYFUNCTION("GOOGLETRANSLATE(B25562,""en"",""it"")"),"Guarda indietro alla telecamera.")</f>
        <v>Guarda indietro alla telecamera.</v>
      </c>
    </row>
    <row r="25563">
      <c r="A25563" s="4" t="s">
        <v>32173</v>
      </c>
      <c r="B25563" s="4" t="s">
        <v>32176</v>
      </c>
      <c r="C25563" s="5" t="str">
        <f>IFERROR(__xludf.DUMMYFUNCTION("GOOGLETRANSLATE(B25563,""en"",""it"")"),"Si dimette dalla scala del gradino.")</f>
        <v>Si dimette dalla scala del gradino.</v>
      </c>
    </row>
    <row r="25564">
      <c r="A25564" s="4" t="s">
        <v>32173</v>
      </c>
      <c r="B25564" s="4" t="s">
        <v>32177</v>
      </c>
      <c r="C25564" s="5" t="str">
        <f>IFERROR(__xludf.DUMMYFUNCTION("GOOGLETRANSLATE(B25564,""en"",""it"")"),"Una sedia appare con la carta da parati.")</f>
        <v>Una sedia appare con la carta da parati.</v>
      </c>
    </row>
    <row r="25565">
      <c r="A25565" s="4" t="s">
        <v>32173</v>
      </c>
      <c r="B25565" s="4" t="s">
        <v>32178</v>
      </c>
      <c r="C25565" s="5" t="str">
        <f>IFERROR(__xludf.DUMMYFUNCTION("GOOGLETRANSLATE(B25565,""en"",""it"")"),"L'uomo sta abbattendo la carta.")</f>
        <v>L'uomo sta abbattendo la carta.</v>
      </c>
    </row>
    <row r="25566">
      <c r="A25566" s="4" t="s">
        <v>32179</v>
      </c>
      <c r="B25566" s="4" t="s">
        <v>32180</v>
      </c>
      <c r="C25566" s="5" t="str">
        <f>IFERROR(__xludf.DUMMYFUNCTION("GOOGLETRANSLATE(B25566,""en"",""it"")"),"C'è un tavolo da biliardo con palline di biliardo.")</f>
        <v>C'è un tavolo da biliardo con palline di biliardo.</v>
      </c>
    </row>
    <row r="25567">
      <c r="A25567" s="4" t="s">
        <v>32179</v>
      </c>
      <c r="B25567" s="4" t="s">
        <v>32181</v>
      </c>
      <c r="C25567" s="5" t="str">
        <f>IFERROR(__xludf.DUMMYFUNCTION("GOOGLETRANSLATE(B25567,""en"",""it"")"),"Una persona ha una piscina in mano.")</f>
        <v>Una persona ha una piscina in mano.</v>
      </c>
    </row>
    <row r="25568">
      <c r="A25568" s="4" t="s">
        <v>32179</v>
      </c>
      <c r="B25568" s="4" t="s">
        <v>32182</v>
      </c>
      <c r="C25568" s="5" t="str">
        <f>IFERROR(__xludf.DUMMYFUNCTION("GOOGLETRANSLATE(B25568,""en"",""it"")"),"Hanno colpito la pallina nelle altre palle.")</f>
        <v>Hanno colpito la pallina nelle altre palle.</v>
      </c>
    </row>
    <row r="25569">
      <c r="A25569" s="4" t="s">
        <v>32183</v>
      </c>
      <c r="B25569" s="4" t="s">
        <v>32184</v>
      </c>
      <c r="C25569" s="5" t="str">
        <f>IFERROR(__xludf.DUMMYFUNCTION("GOOGLETRANSLATE(B25569,""en"",""it"")"),"Un palestra è un palestra è un braccio e salta su una trave.")</f>
        <v>Un palestra è un palestra è un braccio e salta su una trave.</v>
      </c>
    </row>
    <row r="25570">
      <c r="A25570" s="4" t="s">
        <v>32183</v>
      </c>
      <c r="B25570" s="4" t="s">
        <v>32185</v>
      </c>
      <c r="C25570" s="5" t="str">
        <f>IFERROR(__xludf.DUMMYFUNCTION("GOOGLETRANSLATE(B25570,""en"",""it"")"),"Muove le braccia e si gira intorno e rotonde su una serie di barre.")</f>
        <v>Muove le braccia e si gira intorno e rotonde su una serie di barre.</v>
      </c>
    </row>
    <row r="25571">
      <c r="A25571" s="4" t="s">
        <v>32183</v>
      </c>
      <c r="B25571" s="4" t="s">
        <v>32186</v>
      </c>
      <c r="C25571" s="5" t="str">
        <f>IFERROR(__xludf.DUMMYFUNCTION("GOOGLETRANSLATE(B25571,""en"",""it"")"),"Fa a piedi, si lancia e salta via per finire la sua routine.")</f>
        <v>Fa a piedi, si lancia e salta via per finire la sua routine.</v>
      </c>
    </row>
    <row r="25572">
      <c r="A25572" s="4" t="s">
        <v>32187</v>
      </c>
      <c r="B25572" s="4" t="s">
        <v>32188</v>
      </c>
      <c r="C25572" s="5" t="str">
        <f>IFERROR(__xludf.DUMMYFUNCTION("GOOGLETRANSLATE(B25572,""en"",""it"")"),"Un uomo si mette un imbracatura e si avvicina a un ponte.")</f>
        <v>Un uomo si mette un imbracatura e si avvicina a un ponte.</v>
      </c>
    </row>
    <row r="25573">
      <c r="A25573" s="4" t="s">
        <v>32187</v>
      </c>
      <c r="B25573" s="4" t="s">
        <v>32189</v>
      </c>
      <c r="C25573" s="5" t="str">
        <f>IFERROR(__xludf.DUMMYFUNCTION("GOOGLETRANSLATE(B25573,""en"",""it"")"),"Salta giù dal ponte e Bungee salta su un corpo d'acqua.")</f>
        <v>Salta giù dal ponte e Bungee salta su un corpo d'acqua.</v>
      </c>
    </row>
    <row r="25574">
      <c r="A25574" s="4" t="s">
        <v>32187</v>
      </c>
      <c r="B25574" s="4" t="s">
        <v>32190</v>
      </c>
      <c r="C25574" s="5" t="str">
        <f>IFERROR(__xludf.DUMMYFUNCTION("GOOGLETRANSLATE(B25574,""en"",""it"")"),"Una barca si alza e lo mette sulla barca.")</f>
        <v>Una barca si alza e lo mette sulla barca.</v>
      </c>
    </row>
    <row r="25575">
      <c r="A25575" s="4" t="s">
        <v>32191</v>
      </c>
      <c r="B25575" s="6" t="s">
        <v>32192</v>
      </c>
      <c r="C25575" s="5" t="str">
        <f>IFERROR(__xludf.DUMMYFUNCTION("GOOGLETRANSLATE(B25575,""en"",""it"")"),"Una ragazza vestita da maschiaccio e un ragazzo vestito con una camicia rossa si trova in una stanza di fronte all'altra in una stanza disordinata.")</f>
        <v>Una ragazza vestita da maschiaccio e un ragazzo vestito con una camicia rossa si trova in una stanza di fronte all'altra in una stanza disordinata.</v>
      </c>
    </row>
    <row r="25576">
      <c r="A25576" s="4" t="s">
        <v>32191</v>
      </c>
      <c r="B25576" s="4" t="s">
        <v>32193</v>
      </c>
      <c r="C25576" s="5" t="str">
        <f>IFERROR(__xludf.DUMMYFUNCTION("GOOGLETRANSLATE(B25576,""en"",""it"")"),"I due iniziano ad afferrarsi e iniziano a ballare la salsa.")</f>
        <v>I due iniziano ad afferrarsi e iniziano a ballare la salsa.</v>
      </c>
    </row>
    <row r="25577">
      <c r="A25577" s="4" t="s">
        <v>32191</v>
      </c>
      <c r="B25577" s="4" t="s">
        <v>32194</v>
      </c>
      <c r="C25577" s="5" t="str">
        <f>IFERROR(__xludf.DUMMYFUNCTION("GOOGLETRANSLATE(B25577,""en"",""it"")"),"Continuano a ballare e si girano a vicenda e fanno un qualche tipo di salsa che balla.")</f>
        <v>Continuano a ballare e si girano a vicenda e fanno un qualche tipo di salsa che balla.</v>
      </c>
    </row>
    <row r="25578">
      <c r="A25578" s="4" t="s">
        <v>32195</v>
      </c>
      <c r="B25578" s="4" t="s">
        <v>32196</v>
      </c>
      <c r="C25578" s="5" t="str">
        <f>IFERROR(__xludf.DUMMYFUNCTION("GOOGLETRANSLATE(B25578,""en"",""it"")"),"Questa donna viene mostrata in piedi in un punto per un po '.")</f>
        <v>Questa donna viene mostrata in piedi in un punto per un po '.</v>
      </c>
    </row>
    <row r="25579">
      <c r="A25579" s="4" t="s">
        <v>32195</v>
      </c>
      <c r="B25579" s="4" t="s">
        <v>32197</v>
      </c>
      <c r="C25579" s="5" t="str">
        <f>IFERROR(__xludf.DUMMYFUNCTION("GOOGLETRANSLATE(B25579,""en"",""it"")"),"Quindi si muove per gettare la palla in aria e torna nella posizione in cui si trovava.")</f>
        <v>Quindi si muove per gettare la palla in aria e torna nella posizione in cui si trovava.</v>
      </c>
    </row>
    <row r="25580">
      <c r="A25580" s="4" t="s">
        <v>32195</v>
      </c>
      <c r="B25580" s="6" t="s">
        <v>32198</v>
      </c>
      <c r="C25580" s="5" t="str">
        <f>IFERROR(__xludf.DUMMYFUNCTION("GOOGLETRANSLATE(B25580,""en"",""it"")"),"Quindi salta indietro e si gira per lanciare la palla a una piccola distanza, tranne per il fatto che questa volta non è posizionata proprio.")</f>
        <v>Quindi salta indietro e si gira per lanciare la palla a una piccola distanza, tranne per il fatto che questa volta non è posizionata proprio.</v>
      </c>
    </row>
    <row r="25581">
      <c r="A25581" s="4" t="s">
        <v>32199</v>
      </c>
      <c r="B25581" s="4" t="s">
        <v>32200</v>
      </c>
      <c r="C25581" s="5" t="str">
        <f>IFERROR(__xludf.DUMMYFUNCTION("GOOGLETRANSLATE(B25581,""en"",""it"")"),"Un cartello appare in un cortile e un furgone rosso arriva viaggiando lungo la strada.")</f>
        <v>Un cartello appare in un cortile e un furgone rosso arriva viaggiando lungo la strada.</v>
      </c>
    </row>
    <row r="25582">
      <c r="A25582" s="4" t="s">
        <v>32199</v>
      </c>
      <c r="B25582" s="4" t="s">
        <v>32201</v>
      </c>
      <c r="C25582" s="5" t="str">
        <f>IFERROR(__xludf.DUMMYFUNCTION("GOOGLETRANSLATE(B25582,""en"",""it"")"),"Dopo, un uomo appare tubing in una scia di acqua sotto il ponte.")</f>
        <v>Dopo, un uomo appare tubing in una scia di acqua sotto il ponte.</v>
      </c>
    </row>
    <row r="25583">
      <c r="A25583" s="4" t="s">
        <v>32199</v>
      </c>
      <c r="B25583" s="6" t="s">
        <v>32202</v>
      </c>
      <c r="C25583" s="5" t="str">
        <f>IFERROR(__xludf.DUMMYFUNCTION("GOOGLETRANSLATE(B25583,""en"",""it"")"),"Mentre continua lungo il fiume, colpisce alcune rocce lungo la strada e inizia a bobble su e giù prima di tornare di fronte al furgone rosso.")</f>
        <v>Mentre continua lungo il fiume, colpisce alcune rocce lungo la strada e inizia a bobble su e giù prima di tornare di fronte al furgone rosso.</v>
      </c>
    </row>
    <row r="25584">
      <c r="A25584" s="4" t="s">
        <v>32203</v>
      </c>
      <c r="B25584" s="4" t="s">
        <v>32204</v>
      </c>
      <c r="C25584" s="5" t="str">
        <f>IFERROR(__xludf.DUMMYFUNCTION("GOOGLETRANSLATE(B25584,""en"",""it"")"),"Una donna vienee ridere con un gruppo di persone e un uomo che colpisce l'altro.")</f>
        <v>Una donna vienee ridere con un gruppo di persone e un uomo che colpisce l'altro.</v>
      </c>
    </row>
    <row r="25585">
      <c r="A25585" s="4" t="s">
        <v>32203</v>
      </c>
      <c r="B25585" s="4" t="s">
        <v>32205</v>
      </c>
      <c r="C25585" s="5" t="str">
        <f>IFERROR(__xludf.DUMMYFUNCTION("GOOGLETRANSLATE(B25585,""en"",""it"")"),"Una persona consegna a un uomo un set di freccette che poi le buttano via in lontananza.")</f>
        <v>Una persona consegna a un uomo un set di freccette che poi le buttano via in lontananza.</v>
      </c>
    </row>
    <row r="25586">
      <c r="A25586" s="4" t="s">
        <v>32203</v>
      </c>
      <c r="B25586" s="4" t="s">
        <v>32206</v>
      </c>
      <c r="C25586" s="5" t="str">
        <f>IFERROR(__xludf.DUMMYFUNCTION("GOOGLETRANSLATE(B25586,""en"",""it"")"),"Le persone continuano a parlare mentre la telecamera si muove intorno a loro.")</f>
        <v>Le persone continuano a parlare mentre la telecamera si muove intorno a loro.</v>
      </c>
    </row>
    <row r="25587">
      <c r="A25587" s="4" t="s">
        <v>32207</v>
      </c>
      <c r="B25587" s="6" t="s">
        <v>32208</v>
      </c>
      <c r="C25587" s="5" t="str">
        <f>IFERROR(__xludf.DUMMYFUNCTION("GOOGLETRANSLATE(B25587,""en"",""it"")"),"Ci sono due ragazzi in piedi su un grande tappetino blu in palestra e indossano entrambi pantaloncini e un paio di guanti da boxe.")</f>
        <v>Ci sono due ragazzi in piedi su un grande tappetino blu in palestra e indossano entrambi pantaloncini e un paio di guanti da boxe.</v>
      </c>
    </row>
    <row r="25588">
      <c r="A25588" s="4" t="s">
        <v>32207</v>
      </c>
      <c r="B25588" s="6" t="s">
        <v>32209</v>
      </c>
      <c r="C25588" s="5" t="str">
        <f>IFERROR(__xludf.DUMMYFUNCTION("GOOGLETRANSLATE(B25588,""en"",""it"")"),"Gli uomini si piantano e iniziano a colpirsi e calci l'un l'altro con brevi momenti di fermarti tra i loro pugni e i loro calci.")</f>
        <v>Gli uomini si piantano e iniziano a colpirsi e calci l'un l'altro con brevi momenti di fermarti tra i loro pugni e i loro calci.</v>
      </c>
    </row>
    <row r="25589">
      <c r="A25589" s="4" t="s">
        <v>32207</v>
      </c>
      <c r="B25589" s="6" t="s">
        <v>32210</v>
      </c>
      <c r="C25589" s="5" t="str">
        <f>IFERROR(__xludf.DUMMYFUNCTION("GOOGLETRANSLATE(B25589,""en"",""it"")"),"Uno dei ragazzi prende a calci l'altro troppo forte e quello che è stato preso a calci si arrabbia, strappa i guanti dalle mani, si allontana e getta con rabbia i guanti.")</f>
        <v>Uno dei ragazzi prende a calci l'altro troppo forte e quello che è stato preso a calci si arrabbia, strappa i guanti dalle mani, si allontana e getta con rabbia i guanti.</v>
      </c>
    </row>
    <row r="25590">
      <c r="A25590" s="4" t="s">
        <v>32211</v>
      </c>
      <c r="B25590" s="4" t="s">
        <v>32212</v>
      </c>
      <c r="C25590" s="5" t="str">
        <f>IFERROR(__xludf.DUMMYFUNCTION("GOOGLETRANSLATE(B25590,""en"",""it"")"),"Un ragazzo si inchina mentre si trova fuori.")</f>
        <v>Un ragazzo si inchina mentre si trova fuori.</v>
      </c>
    </row>
    <row r="25591">
      <c r="A25591" s="4" t="s">
        <v>32211</v>
      </c>
      <c r="B25591" s="4" t="s">
        <v>32213</v>
      </c>
      <c r="C25591" s="5" t="str">
        <f>IFERROR(__xludf.DUMMYFUNCTION("GOOGLETRANSLATE(B25591,""en"",""it"")"),"Il ragazzo inizia a fare karate fuori.")</f>
        <v>Il ragazzo inizia a fare karate fuori.</v>
      </c>
    </row>
    <row r="25592">
      <c r="A25592" s="4" t="s">
        <v>32211</v>
      </c>
      <c r="B25592" s="4" t="s">
        <v>32214</v>
      </c>
      <c r="C25592" s="5" t="str">
        <f>IFERROR(__xludf.DUMMYFUNCTION("GOOGLETRANSLATE(B25592,""en"",""it"")"),"Il ragazzo fa karate in casa e poi parte.")</f>
        <v>Il ragazzo fa karate in casa e poi parte.</v>
      </c>
    </row>
    <row r="25593">
      <c r="A25593" s="4" t="s">
        <v>32211</v>
      </c>
      <c r="B25593" s="4" t="s">
        <v>32215</v>
      </c>
      <c r="C25593" s="5" t="str">
        <f>IFERROR(__xludf.DUMMYFUNCTION("GOOGLETRANSLATE(B25593,""en"",""it"")"),"Un cane si trova con un maglione.")</f>
        <v>Un cane si trova con un maglione.</v>
      </c>
    </row>
    <row r="25594">
      <c r="A25594" s="4" t="s">
        <v>32216</v>
      </c>
      <c r="B25594" s="6" t="s">
        <v>32217</v>
      </c>
      <c r="C25594" s="5" t="str">
        <f>IFERROR(__xludf.DUMMYFUNCTION("GOOGLETRANSLATE(B25594,""en"",""it"")"),"Due persone si vedono parlare con la telecamera con una con una pentola e, l'altra, gli consegnano gli ingredienti.")</f>
        <v>Due persone si vedono parlare con la telecamera con una con una pentola e, l'altra, gli consegnano gli ingredienti.</v>
      </c>
    </row>
    <row r="25595">
      <c r="A25595" s="4" t="s">
        <v>32216</v>
      </c>
      <c r="B25595" s="4" t="s">
        <v>32218</v>
      </c>
      <c r="C25595" s="5" t="str">
        <f>IFERROR(__xludf.DUMMYFUNCTION("GOOGLETRANSLATE(B25595,""en"",""it"")"),"L'altro poi mescola gli ingredienti in una ciotola e lo fa il boccone in una padella.")</f>
        <v>L'altro poi mescola gli ingredienti in una ciotola e lo fa il boccone in una padella.</v>
      </c>
    </row>
    <row r="25596">
      <c r="A25596" s="4" t="s">
        <v>32216</v>
      </c>
      <c r="B25596" s="6" t="s">
        <v>32219</v>
      </c>
      <c r="C25596" s="5" t="str">
        <f>IFERROR(__xludf.DUMMYFUNCTION("GOOGLETRANSLATE(B25596,""en"",""it"")"),"Più persone entrano per prendere un boccone e un ragazzo che aiuta e l'uomo che continua a cucinare.")</f>
        <v>Più persone entrano per prendere un boccone e un ragazzo che aiuta e l'uomo che continua a cucinare.</v>
      </c>
    </row>
    <row r="25597">
      <c r="A25597" s="4" t="s">
        <v>32220</v>
      </c>
      <c r="B25597" s="4" t="s">
        <v>32221</v>
      </c>
      <c r="C25597" s="5" t="str">
        <f>IFERROR(__xludf.DUMMYFUNCTION("GOOGLETRANSLATE(B25597,""en"",""it"")"),"Un uomo che indossa gli occhiali viene visto entrare nella cornice e suonare una fisarmonica.")</f>
        <v>Un uomo che indossa gli occhiali viene visto entrare nella cornice e suonare una fisarmonica.</v>
      </c>
    </row>
    <row r="25598">
      <c r="A25598" s="4" t="s">
        <v>32220</v>
      </c>
      <c r="B25598" s="4" t="s">
        <v>32222</v>
      </c>
      <c r="C25598" s="5" t="str">
        <f>IFERROR(__xludf.DUMMYFUNCTION("GOOGLETRANSLATE(B25598,""en"",""it"")"),"L'uomo continua a giocare mentre guarda in lontananza e si ferma sorridendo alla telecamera.")</f>
        <v>L'uomo continua a giocare mentre guarda in lontananza e si ferma sorridendo alla telecamera.</v>
      </c>
    </row>
    <row r="25599">
      <c r="A25599" s="4" t="s">
        <v>32223</v>
      </c>
      <c r="B25599" s="4" t="s">
        <v>32224</v>
      </c>
      <c r="C25599" s="5" t="str">
        <f>IFERROR(__xludf.DUMMYFUNCTION("GOOGLETRANSLATE(B25599,""en"",""it"")"),"Due ragazze sono in palestra e fanno un lato strofinato su un bar nel mezzo della palestra.")</f>
        <v>Due ragazze sono in palestra e fanno un lato strofinato su un bar nel mezzo della palestra.</v>
      </c>
    </row>
    <row r="25600">
      <c r="A25600" s="4" t="s">
        <v>32223</v>
      </c>
      <c r="B25600" s="4" t="s">
        <v>32225</v>
      </c>
      <c r="C25600" s="5" t="str">
        <f>IFERROR(__xludf.DUMMYFUNCTION("GOOGLETRANSLATE(B25600,""en"",""it"")"),"Il video viene quindi riprodotto al rallentatore e ancora una volta a una velocità più rapida.")</f>
        <v>Il video viene quindi riprodotto al rallentatore e ancora una volta a una velocità più rapida.</v>
      </c>
    </row>
    <row r="25601">
      <c r="A25601" s="4" t="s">
        <v>32226</v>
      </c>
      <c r="B25601" s="6" t="s">
        <v>32227</v>
      </c>
      <c r="C25601" s="5" t="str">
        <f>IFERROR(__xludf.DUMMYFUNCTION("GOOGLETRANSLATE(B25601,""en"",""it"")"),"4 uomini sono in una piazza che fanno balli mentre le persone sono radunate intorno a loro guardandoli ballare e fanno trucchi davanti a molti negozi.")</f>
        <v>4 uomini sono in una piazza che fanno balli mentre le persone sono radunate intorno a loro guardandoli ballare e fanno trucchi davanti a molti negozi.</v>
      </c>
    </row>
    <row r="25602">
      <c r="A25602" s="4" t="s">
        <v>32226</v>
      </c>
      <c r="B25602" s="4" t="s">
        <v>32228</v>
      </c>
      <c r="C25602" s="5" t="str">
        <f>IFERROR(__xludf.DUMMYFUNCTION("GOOGLETRANSLATE(B25602,""en"",""it"")"),"I nomi dei ballerini di pausa sono mostrati nello schermo.")</f>
        <v>I nomi dei ballerini di pausa sono mostrati nello schermo.</v>
      </c>
    </row>
    <row r="25603">
      <c r="A25603" s="4" t="s">
        <v>32229</v>
      </c>
      <c r="B25603" s="4" t="s">
        <v>32230</v>
      </c>
      <c r="C25603" s="5" t="str">
        <f>IFERROR(__xludf.DUMMYFUNCTION("GOOGLETRANSLATE(B25603,""en"",""it"")"),"Vediamo una ragazza illuminare una sigaretta.")</f>
        <v>Vediamo una ragazza illuminare una sigaretta.</v>
      </c>
    </row>
    <row r="25604">
      <c r="A25604" s="4" t="s">
        <v>32229</v>
      </c>
      <c r="B25604" s="4" t="s">
        <v>32231</v>
      </c>
      <c r="C25604" s="5" t="str">
        <f>IFERROR(__xludf.DUMMYFUNCTION("GOOGLETRANSLATE(B25604,""en"",""it"")"),"Quindi le toglie la sigaretta dalla bocca e parla.")</f>
        <v>Quindi le toglie la sigaretta dalla bocca e parla.</v>
      </c>
    </row>
    <row r="25605">
      <c r="A25605" s="4" t="s">
        <v>32229</v>
      </c>
      <c r="B25605" s="4" t="s">
        <v>32232</v>
      </c>
      <c r="C25605" s="5" t="str">
        <f>IFERROR(__xludf.DUMMYFUNCTION("GOOGLETRANSLATE(B25605,""en"",""it"")"),"Lei la consegna più leggera a un'altra persona e si mette la mano sul fianco.")</f>
        <v>Lei la consegna più leggera a un'altra persona e si mette la mano sul fianco.</v>
      </c>
    </row>
    <row r="25606">
      <c r="A25606" s="4" t="s">
        <v>32233</v>
      </c>
      <c r="B25606" s="6" t="s">
        <v>32234</v>
      </c>
      <c r="C25606" s="5" t="str">
        <f>IFERROR(__xludf.DUMMYFUNCTION("GOOGLETRANSLATE(B25606,""en"",""it"")"),"Un uomo è in piedi fuori da una casa a parlare con un grande palo d'argento in mano che ha una corda gialla attaccata ad essa.")</f>
        <v>Un uomo è in piedi fuori da una casa a parlare con un grande palo d'argento in mano che ha una corda gialla attaccata ad essa.</v>
      </c>
    </row>
    <row r="25607">
      <c r="A25607" s="4" t="s">
        <v>32233</v>
      </c>
      <c r="B25607" s="6" t="s">
        <v>32235</v>
      </c>
      <c r="C25607" s="5" t="str">
        <f>IFERROR(__xludf.DUMMYFUNCTION("GOOGLETRANSLATE(B25607,""en"",""it"")"),"L'uomo inizia a pulire l'interno di una porta di vetro scorrevole con il suo palo e la spazzola e si lava attorno alla base e all'interno della finestra.")</f>
        <v>L'uomo inizia a pulire l'interno di una porta di vetro scorrevole con il suo palo e la spazzola e si lava attorno alla base e all'interno della finestra.</v>
      </c>
    </row>
    <row r="25608">
      <c r="A25608" s="4" t="s">
        <v>32233</v>
      </c>
      <c r="B25608" s="6" t="s">
        <v>32236</v>
      </c>
      <c r="C25608" s="5" t="str">
        <f>IFERROR(__xludf.DUMMYFUNCTION("GOOGLETRANSLATE(B25608,""en"",""it"")"),"L'uomo quindi si ferma e inizia a parlare con la telecamera e indicando la finestra prima di salutare.")</f>
        <v>L'uomo quindi si ferma e inizia a parlare con la telecamera e indicando la finestra prima di salutare.</v>
      </c>
    </row>
    <row r="25609">
      <c r="A25609" s="4" t="s">
        <v>32237</v>
      </c>
      <c r="B25609" s="4" t="s">
        <v>32238</v>
      </c>
      <c r="C25609" s="5" t="str">
        <f>IFERROR(__xludf.DUMMYFUNCTION("GOOGLETRANSLATE(B25609,""en"",""it"")"),"Un bambino piccolo si vede sperare lungo il pavimento quando una donna conduce in più giovani ballerini.")</f>
        <v>Un bambino piccolo si vede sperare lungo il pavimento quando una donna conduce in più giovani ballerini.</v>
      </c>
    </row>
    <row r="25610">
      <c r="A25610" s="4" t="s">
        <v>32237</v>
      </c>
      <c r="B25610" s="4" t="s">
        <v>32239</v>
      </c>
      <c r="C25610" s="5" t="str">
        <f>IFERROR(__xludf.DUMMYFUNCTION("GOOGLETRANSLATE(B25610,""en"",""it"")"),"Allinea le ragazze di fronte a una grande folla e i bambini iniziano a ballare sul palco.")</f>
        <v>Allinea le ragazze di fronte a una grande folla e i bambini iniziano a ballare sul palco.</v>
      </c>
    </row>
    <row r="25611">
      <c r="A25611" s="4" t="s">
        <v>32237</v>
      </c>
      <c r="B25611" s="4" t="s">
        <v>32240</v>
      </c>
      <c r="C25611" s="5" t="str">
        <f>IFERROR(__xludf.DUMMYFUNCTION("GOOGLETRANSLATE(B25611,""en"",""it"")"),"I più piccoli continuano a ballare e roteare sul palco e uscire dal palco.")</f>
        <v>I più piccoli continuano a ballare e roteare sul palco e uscire dal palco.</v>
      </c>
    </row>
    <row r="25612">
      <c r="A25612" s="4" t="s">
        <v>32241</v>
      </c>
      <c r="B25612" s="4" t="s">
        <v>32242</v>
      </c>
      <c r="C25612" s="5" t="str">
        <f>IFERROR(__xludf.DUMMYFUNCTION("GOOGLETRANSLATE(B25612,""en"",""it"")"),"Le donne di diverse nazionalità compete in salto in lunghezza è uno stadio.")</f>
        <v>Le donne di diverse nazionalità compete in salto in lunghezza è uno stadio.</v>
      </c>
    </row>
    <row r="25613">
      <c r="A25613" s="4" t="s">
        <v>32241</v>
      </c>
      <c r="B25613" s="4" t="s">
        <v>32243</v>
      </c>
      <c r="C25613" s="5" t="str">
        <f>IFERROR(__xludf.DUMMYFUNCTION("GOOGLETRANSLATE(B25613,""en"",""it"")"),"Le donne continuano a competere in gusto.")</f>
        <v>Le donne continuano a competere in gusto.</v>
      </c>
    </row>
    <row r="25614">
      <c r="A25614" s="4" t="s">
        <v>32241</v>
      </c>
      <c r="B25614" s="6" t="s">
        <v>32244</v>
      </c>
      <c r="C25614" s="5" t="str">
        <f>IFERROR(__xludf.DUMMYFUNCTION("GOOGLETRANSLATE(B25614,""en"",""it"")"),"Un atleta corre, quindi salta e salta in avanti per eseguire un salto in lungo mentre i giudici tiene bastoni per misurare.")</f>
        <v>Un atleta corre, quindi salta e salta in avanti per eseguire un salto in lungo mentre i giudici tiene bastoni per misurare.</v>
      </c>
    </row>
    <row r="25615">
      <c r="A25615" s="4" t="s">
        <v>32245</v>
      </c>
      <c r="B25615" s="6" t="s">
        <v>32246</v>
      </c>
      <c r="C25615" s="5" t="str">
        <f>IFERROR(__xludf.DUMMYFUNCTION("GOOGLETRANSLATE(B25615,""en"",""it"")"),"L'uomo è in piedi in un campo verde preparandosi a fare un tiro a cricket, l'altro uomo lo sta guardando e toglie il cappello e gli occhiali da sole e l'uomo è davvero sudato e si prepara a fare il tiro e a segnare cosa che ha fatto, godete e godete Abbra"&amp;"cciarsi e l'uomo lancia la palla.")</f>
        <v>L'uomo è in piedi in un campo verde preparandosi a fare un tiro a cricket, l'altro uomo lo sta guardando e toglie il cappello e gli occhiali da sole e l'uomo è davvero sudato e si prepara a fare il tiro e a segnare cosa che ha fatto, godete e godete Abbracciarsi e l'uomo lancia la palla.</v>
      </c>
    </row>
    <row r="25616">
      <c r="A25616" s="4" t="s">
        <v>32245</v>
      </c>
      <c r="B25616" s="4" t="s">
        <v>32247</v>
      </c>
      <c r="C25616" s="5" t="str">
        <f>IFERROR(__xludf.DUMMYFUNCTION("GOOGLETRANSLATE(B25616,""en"",""it"")"),"Gli uomini sono a sedere su un divano in un soggiorno e parlano tra loro e con la telecamera.")</f>
        <v>Gli uomini sono a sedere su un divano in un soggiorno e parlano tra loro e con la telecamera.</v>
      </c>
    </row>
    <row r="25617">
      <c r="A25617" s="4" t="s">
        <v>32245</v>
      </c>
      <c r="B25617" s="4" t="s">
        <v>32248</v>
      </c>
      <c r="C25617" s="5" t="str">
        <f>IFERROR(__xludf.DUMMYFUNCTION("GOOGLETRANSLATE(B25617,""en"",""it"")"),"Vengono visualizzati il ​​vincitore e le informazioni del video.")</f>
        <v>Vengono visualizzati il ​​vincitore e le informazioni del video.</v>
      </c>
    </row>
    <row r="25618">
      <c r="A25618" s="4" t="s">
        <v>32249</v>
      </c>
      <c r="B25618" s="4" t="s">
        <v>32250</v>
      </c>
      <c r="C25618" s="5" t="str">
        <f>IFERROR(__xludf.DUMMYFUNCTION("GOOGLETRANSLATE(B25618,""en"",""it"")"),"Una schermata del titolo appare in lettere rosse e poi svanisce in un'aula di arti marziali.")</f>
        <v>Una schermata del titolo appare in lettere rosse e poi svanisce in un'aula di arti marziali.</v>
      </c>
    </row>
    <row r="25619">
      <c r="A25619" s="4" t="s">
        <v>32249</v>
      </c>
      <c r="B25619" s="6" t="s">
        <v>32251</v>
      </c>
      <c r="C25619" s="5" t="str">
        <f>IFERROR(__xludf.DUMMYFUNCTION("GOOGLETRANSLATE(B25619,""en"",""it"")"),"In una piccola aula di arti marziali gli studenti si radunano, cantano, applaudono e suonano strumenti attorno a un piccolo cerchio per 5 partite di Capoeira in cui i combattenti che ballano e oscillano le gambe e le braccia e alla fine di ogni partita si"&amp;" stringono la mano, abbracciano e abbracciano e abbracciano la mano e Tocca i musicisti.")</f>
        <v>In una piccola aula di arti marziali gli studenti si radunano, cantano, applaudono e suonano strumenti attorno a un piccolo cerchio per 5 partite di Capoeira in cui i combattenti che ballano e oscillano le gambe e le braccia e alla fine di ogni partita si stringono la mano, abbracciano e abbracciano e abbracciano la mano e Tocca i musicisti.</v>
      </c>
    </row>
    <row r="25620">
      <c r="A25620" s="4" t="s">
        <v>32249</v>
      </c>
      <c r="B25620" s="4" t="s">
        <v>32252</v>
      </c>
      <c r="C25620" s="5" t="str">
        <f>IFERROR(__xludf.DUMMYFUNCTION("GOOGLETRANSLATE(B25620,""en"",""it"")"),"Quindi una schermata di chiusura con un logo per la scuola Capoeira.")</f>
        <v>Quindi una schermata di chiusura con un logo per la scuola Capoeira.</v>
      </c>
    </row>
    <row r="25621">
      <c r="A25621" s="4" t="s">
        <v>32253</v>
      </c>
      <c r="B25621" s="4" t="s">
        <v>32254</v>
      </c>
      <c r="C25621" s="5" t="str">
        <f>IFERROR(__xludf.DUMMYFUNCTION("GOOGLETRANSLATE(B25621,""en"",""it"")"),"Una telecamera spara vari scatti in tutta una città e un negozio di scarpe.")</f>
        <v>Una telecamera spara vari scatti in tutta una città e un negozio di scarpe.</v>
      </c>
    </row>
    <row r="25622">
      <c r="A25622" s="4" t="s">
        <v>32253</v>
      </c>
      <c r="B25622" s="4" t="s">
        <v>32255</v>
      </c>
      <c r="C25622" s="5" t="str">
        <f>IFERROR(__xludf.DUMMYFUNCTION("GOOGLETRANSLATE(B25622,""en"",""it"")"),"Centinaia di persone camminano per una zona e controllano le scarpe.")</f>
        <v>Centinaia di persone camminano per una zona e controllano le scarpe.</v>
      </c>
    </row>
    <row r="25623">
      <c r="A25623" s="4" t="s">
        <v>32253</v>
      </c>
      <c r="B25623" s="4" t="s">
        <v>32256</v>
      </c>
      <c r="C25623" s="5" t="str">
        <f>IFERROR(__xludf.DUMMYFUNCTION("GOOGLETRANSLATE(B25623,""en"",""it"")"),"Un uomo parla a una donna di quali scarpe le piace indossare.")</f>
        <v>Un uomo parla a una donna di quali scarpe le piace indossare.</v>
      </c>
    </row>
    <row r="25624">
      <c r="A25624" s="4" t="s">
        <v>32253</v>
      </c>
      <c r="B25624" s="4" t="s">
        <v>32257</v>
      </c>
      <c r="C25624" s="5" t="str">
        <f>IFERROR(__xludf.DUMMYFUNCTION("GOOGLETRANSLATE(B25624,""en"",""it"")"),"Le persone ballano e si godono l'evento insieme.")</f>
        <v>Le persone ballano e si godono l'evento insieme.</v>
      </c>
    </row>
    <row r="25625">
      <c r="A25625" s="4" t="s">
        <v>32253</v>
      </c>
      <c r="B25625" s="4" t="s">
        <v>32258</v>
      </c>
      <c r="C25625" s="5" t="str">
        <f>IFERROR(__xludf.DUMMYFUNCTION("GOOGLETRANSLATE(B25625,""en"",""it"")"),"C'è cibo mangiato all'evento da molti.")</f>
        <v>C'è cibo mangiato all'evento da molti.</v>
      </c>
    </row>
    <row r="25626">
      <c r="A25626" s="4" t="s">
        <v>32253</v>
      </c>
      <c r="B25626" s="4" t="s">
        <v>32259</v>
      </c>
      <c r="C25626" s="5" t="str">
        <f>IFERROR(__xludf.DUMMYFUNCTION("GOOGLETRANSLATE(B25626,""en"",""it"")"),"Diversi corridori si stanno preparando per iniziare una gara.")</f>
        <v>Diversi corridori si stanno preparando per iniziare una gara.</v>
      </c>
    </row>
    <row r="25627">
      <c r="A25627" s="4" t="s">
        <v>32253</v>
      </c>
      <c r="B25627" s="4" t="s">
        <v>32260</v>
      </c>
      <c r="C25627" s="5" t="str">
        <f>IFERROR(__xludf.DUMMYFUNCTION("GOOGLETRANSLATE(B25627,""en"",""it"")"),"La gara inizia e le persone corrono molto velocemente.")</f>
        <v>La gara inizia e le persone corrono molto velocemente.</v>
      </c>
    </row>
    <row r="25628">
      <c r="A25628" s="4" t="s">
        <v>32253</v>
      </c>
      <c r="B25628" s="4" t="s">
        <v>32261</v>
      </c>
      <c r="C25628" s="5" t="str">
        <f>IFERROR(__xludf.DUMMYFUNCTION("GOOGLETRANSLATE(B25628,""en"",""it"")"),"Diverse persone vengono intervistate durante la gara.")</f>
        <v>Diverse persone vengono intervistate durante la gara.</v>
      </c>
    </row>
    <row r="25629">
      <c r="A25629" s="4" t="s">
        <v>32253</v>
      </c>
      <c r="B25629" s="4" t="s">
        <v>32262</v>
      </c>
      <c r="C25629" s="5" t="str">
        <f>IFERROR(__xludf.DUMMYFUNCTION("GOOGLETRANSLATE(B25629,""en"",""it"")"),"L'uomo che vince la gara si presenta nel traguardo.")</f>
        <v>L'uomo che vince la gara si presenta nel traguardo.</v>
      </c>
    </row>
    <row r="25630">
      <c r="A25630" s="4" t="s">
        <v>32253</v>
      </c>
      <c r="B25630" s="4" t="s">
        <v>32263</v>
      </c>
      <c r="C25630" s="5" t="str">
        <f>IFERROR(__xludf.DUMMYFUNCTION("GOOGLETRANSLATE(B25630,""en"",""it"")"),"Diverse altre persone vengono mostrate per finire.")</f>
        <v>Diverse altre persone vengono mostrate per finire.</v>
      </c>
    </row>
    <row r="25631">
      <c r="A25631" s="4" t="s">
        <v>32264</v>
      </c>
      <c r="B25631" s="4" t="s">
        <v>32265</v>
      </c>
      <c r="C25631" s="5" t="str">
        <f>IFERROR(__xludf.DUMMYFUNCTION("GOOGLETRANSLATE(B25631,""en"",""it"")"),"Viene mostrato un elenco di ingredienti e gli articoli sono in una tabella bianca.")</f>
        <v>Viene mostrato un elenco di ingredienti e gli articoli sono in una tabella bianca.</v>
      </c>
    </row>
    <row r="25632">
      <c r="A25632" s="4" t="s">
        <v>32264</v>
      </c>
      <c r="B25632" s="4" t="s">
        <v>32266</v>
      </c>
      <c r="C25632" s="5" t="str">
        <f>IFERROR(__xludf.DUMMYFUNCTION("GOOGLETRANSLATE(B25632,""en"",""it"")"),"FIST Un sacchetto di tè è sumerge in acqua bollita e ha aggiunto un po 'di sciroppo in una tazza di Starbucks.")</f>
        <v>FIST Un sacchetto di tè è sumerge in acqua bollita e ha aggiunto un po 'di sciroppo in una tazza di Starbucks.</v>
      </c>
    </row>
    <row r="25633">
      <c r="A25633" s="4" t="s">
        <v>32267</v>
      </c>
      <c r="B25633" s="4" t="s">
        <v>32268</v>
      </c>
      <c r="C25633" s="5" t="str">
        <f>IFERROR(__xludf.DUMMYFUNCTION("GOOGLETRANSLATE(B25633,""en"",""it"")"),"Un annuncio della stazione di notizie appare sullo schermo.")</f>
        <v>Un annuncio della stazione di notizie appare sullo schermo.</v>
      </c>
    </row>
    <row r="25634">
      <c r="A25634" s="4" t="s">
        <v>32267</v>
      </c>
      <c r="B25634" s="4" t="s">
        <v>32269</v>
      </c>
      <c r="C25634" s="5" t="str">
        <f>IFERROR(__xludf.DUMMYFUNCTION("GOOGLETRANSLATE(B25634,""en"",""it"")"),"Vediamo due giornalisti all'aperto, parlando con i membri di una squadra in esecuzione.")</f>
        <v>Vediamo due giornalisti all'aperto, parlando con i membri di una squadra in esecuzione.</v>
      </c>
    </row>
    <row r="25635">
      <c r="A25635" s="4" t="s">
        <v>32267</v>
      </c>
      <c r="B25635" s="4" t="s">
        <v>32270</v>
      </c>
      <c r="C25635" s="5" t="str">
        <f>IFERROR(__xludf.DUMMYFUNCTION("GOOGLETRANSLATE(B25635,""en"",""it"")"),"Si stanno preparando per una gara, una delle quali è incinta.")</f>
        <v>Si stanno preparando per una gara, una delle quali è incinta.</v>
      </c>
    </row>
    <row r="25636">
      <c r="A25636" s="4" t="s">
        <v>32267</v>
      </c>
      <c r="B25636" s="4" t="s">
        <v>32271</v>
      </c>
      <c r="C25636" s="5" t="str">
        <f>IFERROR(__xludf.DUMMYFUNCTION("GOOGLETRANSLATE(B25636,""en"",""it"")"),"La folla viene mostrata camminando verso dove inizierà la gara.")</f>
        <v>La folla viene mostrata camminando verso dove inizierà la gara.</v>
      </c>
    </row>
    <row r="25637">
      <c r="A25637" s="4" t="s">
        <v>32272</v>
      </c>
      <c r="B25637" s="4" t="s">
        <v>32273</v>
      </c>
      <c r="C25637" s="5" t="str">
        <f>IFERROR(__xludf.DUMMYFUNCTION("GOOGLETRANSLATE(B25637,""en"",""it"")"),"Una donna è in cucina, parla di fronte a una serie di fissaggi sandwich.")</f>
        <v>Una donna è in cucina, parla di fronte a una serie di fissaggi sandwich.</v>
      </c>
    </row>
    <row r="25638">
      <c r="A25638" s="4" t="s">
        <v>32272</v>
      </c>
      <c r="B25638" s="4" t="s">
        <v>32274</v>
      </c>
      <c r="C25638" s="5" t="str">
        <f>IFERROR(__xludf.DUMMYFUNCTION("GOOGLETRANSLATE(B25638,""en"",""it"")"),"Apre il pane e applica carne, formaggio, sottaceti e senape.")</f>
        <v>Apre il pane e applica carne, formaggio, sottaceti e senape.</v>
      </c>
    </row>
    <row r="25639">
      <c r="A25639" s="4" t="s">
        <v>32272</v>
      </c>
      <c r="B25639" s="4" t="s">
        <v>32275</v>
      </c>
      <c r="C25639" s="5" t="str">
        <f>IFERROR(__xludf.DUMMYFUNCTION("GOOGLETRANSLATE(B25639,""en"",""it"")"),"Chiude i sandwich e li mette in una stampa di panini riscaldata.")</f>
        <v>Chiude i sandwich e li mette in una stampa di panini riscaldata.</v>
      </c>
    </row>
    <row r="25640">
      <c r="A25640" s="4" t="s">
        <v>32272</v>
      </c>
      <c r="B25640" s="4" t="s">
        <v>32276</v>
      </c>
      <c r="C25640" s="5" t="str">
        <f>IFERROR(__xludf.DUMMYFUNCTION("GOOGLETRANSLATE(B25640,""en"",""it"")"),"Rimuove i sandwich mentre vengono tostati e li piazza.")</f>
        <v>Rimuove i sandwich mentre vengono tostati e li piazza.</v>
      </c>
    </row>
    <row r="25641">
      <c r="A25641" s="4" t="s">
        <v>32277</v>
      </c>
      <c r="B25641" s="6" t="s">
        <v>32278</v>
      </c>
      <c r="C25641" s="5" t="str">
        <f>IFERROR(__xludf.DUMMYFUNCTION("GOOGLETRANSLATE(B25641,""en"",""it"")"),"Ci sono due uomini in acqua che indossano mute e stendono le loro tavole da surf mentre cavalcano un'onda.")</f>
        <v>Ci sono due uomini in acqua che indossano mute e stendono le loro tavole da surf mentre cavalcano un'onda.</v>
      </c>
    </row>
    <row r="25642">
      <c r="A25642" s="4" t="s">
        <v>32277</v>
      </c>
      <c r="B25642" s="6" t="s">
        <v>32279</v>
      </c>
      <c r="C25642" s="5" t="str">
        <f>IFERROR(__xludf.DUMMYFUNCTION("GOOGLETRANSLATE(B25642,""en"",""it"")"),"L'uomo della telecamera si trova su una barca in rapido movimento e continua a video sui surfisti che stanno ancora cavalcando l'onda ma ora si alzano in piedi.")</f>
        <v>L'uomo della telecamera si trova su una barca in rapido movimento e continua a video sui surfisti che stanno ancora cavalcando l'onda ma ora si alzano in piedi.</v>
      </c>
    </row>
    <row r="25643">
      <c r="A25643" s="4" t="s">
        <v>32277</v>
      </c>
      <c r="B25643" s="6" t="s">
        <v>32280</v>
      </c>
      <c r="C25643" s="5" t="str">
        <f>IFERROR(__xludf.DUMMYFUNCTION("GOOGLETRANSLATE(B25643,""en"",""it"")"),"Il surfista che è di fronte è felice di cavalcare l'onda per così tanto tempo che alza le due braccia in aria e poi lo abbassa di nuovo.")</f>
        <v>Il surfista che è di fronte è felice di cavalcare l'onda per così tanto tempo che alza le due braccia in aria e poi lo abbassa di nuovo.</v>
      </c>
    </row>
    <row r="25644">
      <c r="A25644" s="4" t="s">
        <v>32277</v>
      </c>
      <c r="B25644" s="6" t="s">
        <v>32281</v>
      </c>
      <c r="C25644" s="5" t="str">
        <f>IFERROR(__xludf.DUMMYFUNCTION("GOOGLETRANSLATE(B25644,""en"",""it"")"),"Il surfista nella parte posteriore inizia a perdere equilibrio e cade dalla sua tavola mentre l'uomo nella parte anteriore è ancora in piedi.")</f>
        <v>Il surfista nella parte posteriore inizia a perdere equilibrio e cade dalla sua tavola mentre l'uomo nella parte anteriore è ancora in piedi.</v>
      </c>
    </row>
    <row r="25645">
      <c r="A25645" s="4" t="s">
        <v>32282</v>
      </c>
      <c r="B25645" s="6" t="s">
        <v>32283</v>
      </c>
      <c r="C25645" s="5" t="str">
        <f>IFERROR(__xludf.DUMMYFUNCTION("GOOGLETRANSLATE(B25645,""en"",""it"")"),"Una donna taglia le unghie delle gambe posteriori di un gatto con un taglia unghie, mentre una persona limita il gatto.")</f>
        <v>Una donna taglia le unghie delle gambe posteriori di un gatto con un taglia unghie, mentre una persona limita il gatto.</v>
      </c>
    </row>
    <row r="25646">
      <c r="A25646" s="4" t="s">
        <v>32282</v>
      </c>
      <c r="B25646" s="4" t="s">
        <v>32284</v>
      </c>
      <c r="C25646" s="5" t="str">
        <f>IFERROR(__xludf.DUMMYFUNCTION("GOOGLETRANSLATE(B25646,""en"",""it"")"),"Quindi, la donna sta davanti al gatto e la persona tiene il gatto da un collo.")</f>
        <v>Quindi, la donna sta davanti al gatto e la persona tiene il gatto da un collo.</v>
      </c>
    </row>
    <row r="25647">
      <c r="A25647" s="4" t="s">
        <v>32282</v>
      </c>
      <c r="B25647" s="4" t="s">
        <v>32285</v>
      </c>
      <c r="C25647" s="5" t="str">
        <f>IFERROR(__xludf.DUMMYFUNCTION("GOOGLETRANSLATE(B25647,""en"",""it"")"),"Dopo, la donna taglia le unghie delle gambe anteriori, ma il gatto prende a calci.")</f>
        <v>Dopo, la donna taglia le unghie delle gambe anteriori, ma il gatto prende a calci.</v>
      </c>
    </row>
    <row r="25648">
      <c r="A25648" s="4" t="s">
        <v>32282</v>
      </c>
      <c r="B25648" s="4" t="s">
        <v>32286</v>
      </c>
      <c r="C25648" s="5" t="str">
        <f>IFERROR(__xludf.DUMMYFUNCTION("GOOGLETRANSLATE(B25648,""en"",""it"")"),"Una persona che indossa abiti neri entra nella stanza.")</f>
        <v>Una persona che indossa abiti neri entra nella stanza.</v>
      </c>
    </row>
    <row r="25649">
      <c r="A25649" s="4" t="s">
        <v>32287</v>
      </c>
      <c r="B25649" s="4" t="s">
        <v>356</v>
      </c>
      <c r="C25649" s="5" t="str">
        <f>IFERROR(__xludf.DUMMYFUNCTION("GOOGLETRANSLATE(B25649,""en"",""it"")"),"Il video inizia con una sequenza del titolo.")</f>
        <v>Il video inizia con una sequenza del titolo.</v>
      </c>
    </row>
    <row r="25650">
      <c r="A25650" s="4" t="s">
        <v>32287</v>
      </c>
      <c r="B25650" s="4" t="s">
        <v>32288</v>
      </c>
      <c r="C25650" s="5" t="str">
        <f>IFERROR(__xludf.DUMMYFUNCTION("GOOGLETRANSLATE(B25650,""en"",""it"")"),"Diverse clip di giocatori di baseball vengono mostrati a giocare.")</f>
        <v>Diverse clip di giocatori di baseball vengono mostrati a giocare.</v>
      </c>
    </row>
    <row r="25651">
      <c r="A25651" s="4" t="s">
        <v>32287</v>
      </c>
      <c r="B25651" s="4" t="s">
        <v>32289</v>
      </c>
      <c r="C25651" s="5" t="str">
        <f>IFERROR(__xludf.DUMMYFUNCTION("GOOGLETRANSLATE(B25651,""en"",""it"")"),"Ad un certo punto mostra un giocatore che discute con un arbitro.")</f>
        <v>Ad un certo punto mostra un giocatore che discute con un arbitro.</v>
      </c>
    </row>
    <row r="25652">
      <c r="A25652" s="4" t="s">
        <v>32287</v>
      </c>
      <c r="B25652" s="4" t="s">
        <v>32290</v>
      </c>
      <c r="C25652" s="5" t="str">
        <f>IFERROR(__xludf.DUMMYFUNCTION("GOOGLETRANSLATE(B25652,""en"",""it"")"),"Il video termina con un'altra sequenza del titolo.")</f>
        <v>Il video termina con un'altra sequenza del titolo.</v>
      </c>
    </row>
    <row r="25653">
      <c r="A25653" s="4" t="s">
        <v>32291</v>
      </c>
      <c r="B25653" s="6" t="s">
        <v>32292</v>
      </c>
      <c r="C25653" s="5" t="str">
        <f>IFERROR(__xludf.DUMMYFUNCTION("GOOGLETRANSLATE(B25653,""en"",""it"")"),"Un uomo che indossa le cuffie si vede parlare in un microfono e inizia a suonare un'armonica nel microfono.")</f>
        <v>Un uomo che indossa le cuffie si vede parlare in un microfono e inizia a suonare un'armonica nel microfono.</v>
      </c>
    </row>
    <row r="25654">
      <c r="A25654" s="4" t="s">
        <v>32291</v>
      </c>
      <c r="B25654" s="4" t="s">
        <v>32293</v>
      </c>
      <c r="C25654" s="5" t="str">
        <f>IFERROR(__xludf.DUMMYFUNCTION("GOOGLETRANSLATE(B25654,""en"",""it"")"),"L'uomo continua a suonare e la fotocamera termina con un primo piano dello strumento.")</f>
        <v>L'uomo continua a suonare e la fotocamera termina con un primo piano dello strumento.</v>
      </c>
    </row>
    <row r="25655">
      <c r="A25655" s="4" t="s">
        <v>32294</v>
      </c>
      <c r="B25655" s="4" t="s">
        <v>32295</v>
      </c>
      <c r="C25655" s="5" t="str">
        <f>IFERROR(__xludf.DUMMYFUNCTION("GOOGLETRANSLATE(B25655,""en"",""it"")"),"Un piccolo gruppo di persone è visto in una stanza con una donna in piedi davanti.")</f>
        <v>Un piccolo gruppo di persone è visto in una stanza con una donna in piedi davanti.</v>
      </c>
    </row>
    <row r="25656">
      <c r="A25656" s="4" t="s">
        <v>32294</v>
      </c>
      <c r="B25656" s="4" t="s">
        <v>32296</v>
      </c>
      <c r="C25656" s="5" t="str">
        <f>IFERROR(__xludf.DUMMYFUNCTION("GOOGLETRANSLATE(B25656,""en"",""it"")"),"La donna inizia quindi a ballare con le donne mentre la segue.")</f>
        <v>La donna inizia quindi a ballare con le donne mentre la segue.</v>
      </c>
    </row>
    <row r="25657">
      <c r="A25657" s="4" t="s">
        <v>32294</v>
      </c>
      <c r="B25657" s="4" t="s">
        <v>32297</v>
      </c>
      <c r="C25657" s="5" t="str">
        <f>IFERROR(__xludf.DUMMYFUNCTION("GOOGLETRANSLATE(B25657,""en"",""it"")"),"Le donne cambiano luoghi con gli uomini e poi iniziano a seguire la donna che balla.")</f>
        <v>Le donne cambiano luoghi con gli uomini e poi iniziano a seguire la donna che balla.</v>
      </c>
    </row>
    <row r="25658">
      <c r="A25658" s="4" t="s">
        <v>32298</v>
      </c>
      <c r="B25658" s="4" t="s">
        <v>32299</v>
      </c>
      <c r="C25658" s="5" t="str">
        <f>IFERROR(__xludf.DUMMYFUNCTION("GOOGLETRANSLATE(B25658,""en"",""it"")"),"Una donna con una camicia blu sta camminando lungo una linea allentata.")</f>
        <v>Una donna con una camicia blu sta camminando lungo una linea allentata.</v>
      </c>
    </row>
    <row r="25659">
      <c r="A25659" s="4" t="s">
        <v>32298</v>
      </c>
      <c r="B25659" s="4" t="s">
        <v>32300</v>
      </c>
      <c r="C25659" s="5" t="str">
        <f>IFERROR(__xludf.DUMMYFUNCTION("GOOGLETRANSLATE(B25659,""en"",""it"")"),"Cade e afferra la corda.")</f>
        <v>Cade e afferra la corda.</v>
      </c>
    </row>
    <row r="25660">
      <c r="A25660" s="4" t="s">
        <v>32301</v>
      </c>
      <c r="B25660" s="4" t="s">
        <v>32302</v>
      </c>
      <c r="C25660" s="5" t="str">
        <f>IFERROR(__xludf.DUMMYFUNCTION("GOOGLETRANSLATE(B25660,""en"",""it"")"),"Diverse persone sono riunite in un lago.")</f>
        <v>Diverse persone sono riunite in un lago.</v>
      </c>
    </row>
    <row r="25661">
      <c r="A25661" s="4" t="s">
        <v>32301</v>
      </c>
      <c r="B25661" s="4" t="s">
        <v>32303</v>
      </c>
      <c r="C25661" s="5" t="str">
        <f>IFERROR(__xludf.DUMMYFUNCTION("GOOGLETRANSLATE(B25661,""en"",""it"")"),"Le immagini vengono mostrate delle persone che si presentano con aquiloni volanti.")</f>
        <v>Le immagini vengono mostrate delle persone che si presentano con aquiloni volanti.</v>
      </c>
    </row>
    <row r="25662">
      <c r="A25662" s="4" t="s">
        <v>32301</v>
      </c>
      <c r="B25662" s="4" t="s">
        <v>32304</v>
      </c>
      <c r="C25662" s="5" t="str">
        <f>IFERROR(__xludf.DUMMYFUNCTION("GOOGLETRANSLATE(B25662,""en"",""it"")"),"Vengono quindi visti volare gli aquiloni su una spiaggia.")</f>
        <v>Vengono quindi visti volare gli aquiloni su una spiaggia.</v>
      </c>
    </row>
    <row r="25663">
      <c r="A25663" s="4" t="s">
        <v>32305</v>
      </c>
      <c r="B25663" s="4" t="s">
        <v>32306</v>
      </c>
      <c r="C25663" s="5" t="str">
        <f>IFERROR(__xludf.DUMMYFUNCTION("GOOGLETRANSLATE(B25663,""en"",""it"")"),"Un assortimento di linee di tamburo viene mostrato che praticano in varie posizioni.")</f>
        <v>Un assortimento di linee di tamburo viene mostrato che praticano in varie posizioni.</v>
      </c>
    </row>
    <row r="25664">
      <c r="A25664" s="4" t="s">
        <v>32305</v>
      </c>
      <c r="B25664" s="6" t="s">
        <v>32307</v>
      </c>
      <c r="C25664" s="5" t="str">
        <f>IFERROR(__xludf.DUMMYFUNCTION("GOOGLETRANSLATE(B25664,""en"",""it"")"),"Vengono mostrate diverse scuole e gli SB4T si trova nell'angolo in basso a destra in quanto un gruppo in camicie blu e pantaloni neri iniziano a eseguire e fare varie formazioni.")</f>
        <v>Vengono mostrate diverse scuole e gli SB4T si trova nell'angolo in basso a destra in quanto un gruppo in camicie blu e pantaloni neri iniziano a eseguire e fare varie formazioni.</v>
      </c>
    </row>
    <row r="25665">
      <c r="A25665" s="4" t="s">
        <v>32308</v>
      </c>
      <c r="B25665" s="4" t="s">
        <v>32309</v>
      </c>
      <c r="C25665" s="5" t="str">
        <f>IFERROR(__xludf.DUMMYFUNCTION("GOOGLETRANSLATE(B25665,""en"",""it"")"),"Un ristorante Gyros è mostrato dall'esterno.")</f>
        <v>Un ristorante Gyros è mostrato dall'esterno.</v>
      </c>
    </row>
    <row r="25666">
      <c r="A25666" s="4" t="s">
        <v>32308</v>
      </c>
      <c r="B25666" s="4" t="s">
        <v>32310</v>
      </c>
      <c r="C25666" s="5" t="str">
        <f>IFERROR(__xludf.DUMMYFUNCTION("GOOGLETRANSLATE(B25666,""en"",""it"")"),"Entriamo e lo chef inizia a parlare con la fotocamera.")</f>
        <v>Entriamo e lo chef inizia a parlare con la fotocamera.</v>
      </c>
    </row>
    <row r="25667">
      <c r="A25667" s="4" t="s">
        <v>32308</v>
      </c>
      <c r="B25667" s="4" t="s">
        <v>32311</v>
      </c>
      <c r="C25667" s="5" t="str">
        <f>IFERROR(__xludf.DUMMYFUNCTION("GOOGLETRANSLATE(B25667,""en"",""it"")"),"Dimostra come preparare un sandwich giroscopio.")</f>
        <v>Dimostra come preparare un sandwich giroscopio.</v>
      </c>
    </row>
    <row r="25668">
      <c r="A25668" s="4" t="s">
        <v>32308</v>
      </c>
      <c r="B25668" s="6" t="s">
        <v>32312</v>
      </c>
      <c r="C25668" s="5" t="str">
        <f>IFERROR(__xludf.DUMMYFUNCTION("GOOGLETRANSLATE(B25668,""en"",""it"")"),"Mette tutti gli ingredienti sul bancone, rade la carne e inizia a impilarli all'interno della pita.")</f>
        <v>Mette tutti gli ingredienti sul bancone, rade la carne e inizia a impilarli all'interno della pita.</v>
      </c>
    </row>
    <row r="25669">
      <c r="A25669" s="4" t="s">
        <v>32308</v>
      </c>
      <c r="B25669" s="4" t="s">
        <v>32313</v>
      </c>
      <c r="C25669" s="5" t="str">
        <f>IFERROR(__xludf.DUMMYFUNCTION("GOOGLETRANSLATE(B25669,""en"",""it"")"),"Continua a parlare per la telecamera, quindi serve a un giroscopio.")</f>
        <v>Continua a parlare per la telecamera, quindi serve a un giroscopio.</v>
      </c>
    </row>
    <row r="25670">
      <c r="A25670" s="4" t="s">
        <v>32308</v>
      </c>
      <c r="B25670" s="4" t="s">
        <v>32314</v>
      </c>
      <c r="C25670" s="5" t="str">
        <f>IFERROR(__xludf.DUMMYFUNCTION("GOOGLETRANSLATE(B25670,""en"",""it"")"),"L'uomo lo mangia, annuendo in approvazione.")</f>
        <v>L'uomo lo mangia, annuendo in approvazione.</v>
      </c>
    </row>
    <row r="25671">
      <c r="A25671" s="4" t="s">
        <v>32315</v>
      </c>
      <c r="B25671" s="4" t="s">
        <v>32316</v>
      </c>
      <c r="C25671" s="5" t="str">
        <f>IFERROR(__xludf.DUMMYFUNCTION("GOOGLETRANSLATE(B25671,""en"",""it"")"),"Un uomo viene visto creare scintille su un palo di metallo mentre lo sposta lungo il lato.")</f>
        <v>Un uomo viene visto creare scintille su un palo di metallo mentre lo sposta lungo il lato.</v>
      </c>
    </row>
    <row r="25672">
      <c r="A25672" s="4" t="s">
        <v>32315</v>
      </c>
      <c r="B25672" s="4" t="s">
        <v>32317</v>
      </c>
      <c r="C25672" s="5" t="str">
        <f>IFERROR(__xludf.DUMMYFUNCTION("GOOGLETRANSLATE(B25672,""en"",""it"")"),"Quindi mette la torcia e ingrandisce il bar.")</f>
        <v>Quindi mette la torcia e ingrandisce il bar.</v>
      </c>
    </row>
    <row r="25673">
      <c r="A25673" s="4" t="s">
        <v>32318</v>
      </c>
      <c r="B25673" s="4" t="s">
        <v>32319</v>
      </c>
      <c r="C25673" s="5" t="str">
        <f>IFERROR(__xludf.DUMMYFUNCTION("GOOGLETRANSLATE(B25673,""en"",""it"")"),"Una persona sta camminando un cavallo in un'arena.")</f>
        <v>Una persona sta camminando un cavallo in un'arena.</v>
      </c>
    </row>
    <row r="25674">
      <c r="A25674" s="4" t="s">
        <v>32318</v>
      </c>
      <c r="B25674" s="4" t="s">
        <v>32320</v>
      </c>
      <c r="C25674" s="5" t="str">
        <f>IFERROR(__xludf.DUMMYFUNCTION("GOOGLETRANSLATE(B25674,""en"",""it"")"),"Cominciano a spazzolare la pelliccia del cavallo.")</f>
        <v>Cominciano a spazzolare la pelliccia del cavallo.</v>
      </c>
    </row>
    <row r="25675">
      <c r="A25675" s="4" t="s">
        <v>32318</v>
      </c>
      <c r="B25675" s="4" t="s">
        <v>32321</v>
      </c>
      <c r="C25675" s="5" t="str">
        <f>IFERROR(__xludf.DUMMYFUNCTION("GOOGLETRANSLATE(B25675,""en"",""it"")"),"Svipendono l'orecchio del cavallo.")</f>
        <v>Svipendono l'orecchio del cavallo.</v>
      </c>
    </row>
    <row r="25676">
      <c r="A25676" s="4" t="s">
        <v>32318</v>
      </c>
      <c r="B25676" s="4" t="s">
        <v>32322</v>
      </c>
      <c r="C25676" s="5" t="str">
        <f>IFERROR(__xludf.DUMMYFUNCTION("GOOGLETRANSLATE(B25676,""en"",""it"")"),"Svipendono la faccia del cavallo.")</f>
        <v>Svipendono la faccia del cavallo.</v>
      </c>
    </row>
    <row r="25677">
      <c r="A25677" s="4" t="s">
        <v>32323</v>
      </c>
      <c r="B25677" s="6" t="s">
        <v>32324</v>
      </c>
      <c r="C25677" s="5" t="str">
        <f>IFERROR(__xludf.DUMMYFUNCTION("GOOGLETRANSLATE(B25677,""en"",""it"")"),"Un uomo con due bambini viene visto parlare con la telecamera con uno che alza le mani e portando a loro muovendosi rapidamente.")</f>
        <v>Un uomo con due bambini viene visto parlare con la telecamera con uno che alza le mani e portando a loro muovendosi rapidamente.</v>
      </c>
    </row>
    <row r="25678">
      <c r="A25678" s="4" t="s">
        <v>32323</v>
      </c>
      <c r="B25678" s="6" t="s">
        <v>32325</v>
      </c>
      <c r="C25678" s="5" t="str">
        <f>IFERROR(__xludf.DUMMYFUNCTION("GOOGLETRANSLATE(B25678,""en"",""it"")"),"I bambini stanno su una sedia che toglie gli ornamenti da un albero mentre tornano indietro e quarto al tavolo per posizionare gli oggetti.")</f>
        <v>I bambini stanno su una sedia che toglie gli ornamenti da un albero mentre tornano indietro e quarto al tavolo per posizionare gli oggetti.</v>
      </c>
    </row>
    <row r="25679">
      <c r="A25679" s="4" t="s">
        <v>32323</v>
      </c>
      <c r="B25679" s="6" t="s">
        <v>32326</v>
      </c>
      <c r="C25679" s="5" t="str">
        <f>IFERROR(__xludf.DUMMYFUNCTION("GOOGLETRANSLATE(B25679,""en"",""it"")"),"I bambini quindi spazzano il pavimento mentre ballano e si divertono e finiscono salutando la telecamera.")</f>
        <v>I bambini quindi spazzano il pavimento mentre ballano e si divertono e finiscono salutando la telecamera.</v>
      </c>
    </row>
    <row r="25680">
      <c r="A25680" s="4" t="s">
        <v>32327</v>
      </c>
      <c r="B25680" s="6" t="s">
        <v>32328</v>
      </c>
      <c r="C25680" s="5" t="str">
        <f>IFERROR(__xludf.DUMMYFUNCTION("GOOGLETRANSLATE(B25680,""en"",""it"")"),"Un uomo viene visto seduto su un pezzo di attrezzatura da esercizio e inizia a spostarsi indietro e quarto sulla macchina.")</f>
        <v>Un uomo viene visto seduto su un pezzo di attrezzatura da esercizio e inizia a spostarsi indietro e quarto sulla macchina.</v>
      </c>
    </row>
    <row r="25681">
      <c r="A25681" s="4" t="s">
        <v>32327</v>
      </c>
      <c r="B25681" s="6" t="s">
        <v>32329</v>
      </c>
      <c r="C25681" s="5" t="str">
        <f>IFERROR(__xludf.DUMMYFUNCTION("GOOGLETRANSLATE(B25681,""en"",""it"")"),"L'uomo continua a tornare indietro di un quarto mentre tira indietro il corpo e finisce sganciandosi e muovendo i piedi.")</f>
        <v>L'uomo continua a tornare indietro di un quarto mentre tira indietro il corpo e finisce sganciandosi e muovendo i piedi.</v>
      </c>
    </row>
    <row r="25682">
      <c r="A25682" s="4" t="s">
        <v>32330</v>
      </c>
      <c r="B25682" s="4" t="s">
        <v>32331</v>
      </c>
      <c r="C25682" s="5" t="str">
        <f>IFERROR(__xludf.DUMMYFUNCTION("GOOGLETRANSLATE(B25682,""en"",""it"")"),"Un rivenditore sta trattando le carte in un tavolo di blackjack.")</f>
        <v>Un rivenditore sta trattando le carte in un tavolo di blackjack.</v>
      </c>
    </row>
    <row r="25683">
      <c r="A25683" s="4" t="s">
        <v>32330</v>
      </c>
      <c r="B25683" s="4" t="s">
        <v>32332</v>
      </c>
      <c r="C25683" s="5" t="str">
        <f>IFERROR(__xludf.DUMMYFUNCTION("GOOGLETRANSLATE(B25683,""en"",""it"")"),"Le persone sono sedute intorno al tavolo giocando.")</f>
        <v>Le persone sono sedute intorno al tavolo giocando.</v>
      </c>
    </row>
    <row r="25684">
      <c r="A25684" s="4" t="s">
        <v>32330</v>
      </c>
      <c r="B25684" s="4" t="s">
        <v>32333</v>
      </c>
      <c r="C25684" s="5" t="str">
        <f>IFERROR(__xludf.DUMMYFUNCTION("GOOGLETRANSLATE(B25684,""en"",""it"")"),"Un uomo con una camicia bianca si alza accanto al tavolo.")</f>
        <v>Un uomo con una camicia bianca si alza accanto al tavolo.</v>
      </c>
    </row>
    <row r="25685">
      <c r="A25685" s="4" t="s">
        <v>32334</v>
      </c>
      <c r="B25685" s="4" t="s">
        <v>32335</v>
      </c>
      <c r="C25685" s="5" t="str">
        <f>IFERROR(__xludf.DUMMYFUNCTION("GOOGLETRANSLATE(B25685,""en"",""it"")"),"Una ragazza sta dimostrando come fare una treccia a strati.")</f>
        <v>Una ragazza sta dimostrando come fare una treccia a strati.</v>
      </c>
    </row>
    <row r="25686">
      <c r="A25686" s="4" t="s">
        <v>32334</v>
      </c>
      <c r="B25686" s="4" t="s">
        <v>32336</v>
      </c>
      <c r="C25686" s="5" t="str">
        <f>IFERROR(__xludf.DUMMYFUNCTION("GOOGLETRANSLATE(B25686,""en"",""it"")"),"Comincia sfiorando i capelli.")</f>
        <v>Comincia sfiorando i capelli.</v>
      </c>
    </row>
    <row r="25687">
      <c r="A25687" s="4" t="s">
        <v>32334</v>
      </c>
      <c r="B25687" s="4" t="s">
        <v>32337</v>
      </c>
      <c r="C25687" s="5" t="str">
        <f>IFERROR(__xludf.DUMMYFUNCTION("GOOGLETRANSLATE(B25687,""en"",""it"")"),"Quindi porta tutti i capelli sul lato destro e inizia a intrecciare i capelli su una singola treccia.")</f>
        <v>Quindi porta tutti i capelli sul lato destro e inizia a intrecciare i capelli su una singola treccia.</v>
      </c>
    </row>
    <row r="25688">
      <c r="A25688" s="4" t="s">
        <v>32334</v>
      </c>
      <c r="B25688" s="4" t="s">
        <v>32338</v>
      </c>
      <c r="C25688" s="5" t="str">
        <f>IFERROR(__xludf.DUMMYFUNCTION("GOOGLETRANSLATE(B25688,""en"",""it"")"),"Quindi prende una cravatta per capelli e la lega sul fondo della sua treccia.")</f>
        <v>Quindi prende una cravatta per capelli e la lega sul fondo della sua treccia.</v>
      </c>
    </row>
    <row r="25689">
      <c r="A25689" s="4" t="s">
        <v>32334</v>
      </c>
      <c r="B25689" s="6" t="s">
        <v>32339</v>
      </c>
      <c r="C25689" s="5" t="str">
        <f>IFERROR(__xludf.DUMMYFUNCTION("GOOGLETRANSLATE(B25689,""en"",""it"")"),"Toglie un po 'di gel per capelli da un contenitore arancione e lo usa sulla punta della treccia per levigare i capelli.")</f>
        <v>Toglie un po 'di gel per capelli da un contenitore arancione e lo usa sulla punta della treccia per levigare i capelli.</v>
      </c>
    </row>
    <row r="25690">
      <c r="A25690" s="4" t="s">
        <v>32334</v>
      </c>
      <c r="B25690" s="4" t="s">
        <v>32340</v>
      </c>
      <c r="C25690" s="5" t="str">
        <f>IFERROR(__xludf.DUMMYFUNCTION("GOOGLETRANSLATE(B25690,""en"",""it"")"),"Intreccia ulteriormente la parte inferiore della sua treccia fino alla fine e lega un'altra cravatta per capelli attorno ad essa.")</f>
        <v>Intreccia ulteriormente la parte inferiore della sua treccia fino alla fine e lega un'altra cravatta per capelli attorno ad essa.</v>
      </c>
    </row>
    <row r="25691">
      <c r="A25691" s="4" t="s">
        <v>32334</v>
      </c>
      <c r="B25691" s="4" t="s">
        <v>32341</v>
      </c>
      <c r="C25691" s="5" t="str">
        <f>IFERROR(__xludf.DUMMYFUNCTION("GOOGLETRANSLATE(B25691,""en"",""it"")"),"Quindi prende una spilla e stringe i capelli corti nella parte anteriore alla parte posteriore della testa.")</f>
        <v>Quindi prende una spilla e stringe i capelli corti nella parte anteriore alla parte posteriore della testa.</v>
      </c>
    </row>
    <row r="25692">
      <c r="A25692" s="4" t="s">
        <v>32334</v>
      </c>
      <c r="B25692" s="4" t="s">
        <v>32342</v>
      </c>
      <c r="C25692" s="5" t="str">
        <f>IFERROR(__xludf.DUMMYFUNCTION("GOOGLETRANSLATE(B25692,""en"",""it"")"),"Si protegge la spilla nei suoi capelli e saluta il ciao.")</f>
        <v>Si protegge la spilla nei suoi capelli e saluta il ciao.</v>
      </c>
    </row>
    <row r="25693">
      <c r="A25693" s="4" t="s">
        <v>32343</v>
      </c>
      <c r="B25693" s="4" t="s">
        <v>32344</v>
      </c>
      <c r="C25693" s="5" t="str">
        <f>IFERROR(__xludf.DUMMYFUNCTION("GOOGLETRANSLATE(B25693,""en"",""it"")"),"Due persone sono viste pronte con una che corre lungo una pista e in una buca della sabbia.")</f>
        <v>Due persone sono viste pronte con una che corre lungo una pista e in una buca della sabbia.</v>
      </c>
    </row>
    <row r="25694">
      <c r="A25694" s="4" t="s">
        <v>32343</v>
      </c>
      <c r="B25694" s="4" t="s">
        <v>32345</v>
      </c>
      <c r="C25694" s="5" t="str">
        <f>IFERROR(__xludf.DUMMYFUNCTION("GOOGLETRANSLATE(B25694,""en"",""it"")"),"L'uomo si sdraia mentre un altro solleva una bandiera e si allontana dalla pista.")</f>
        <v>L'uomo si sdraia mentre un altro solleva una bandiera e si allontana dalla pista.</v>
      </c>
    </row>
    <row r="25695">
      <c r="A25695" s="4" t="s">
        <v>32346</v>
      </c>
      <c r="B25695" s="6" t="s">
        <v>32347</v>
      </c>
      <c r="C25695" s="5" t="str">
        <f>IFERROR(__xludf.DUMMYFUNCTION("GOOGLETRANSLATE(B25695,""en"",""it"")"),"Una ragazza è vista seduta a un tavolo con in mano vari oggetti e spingendoli tutti insieme.")</f>
        <v>Una ragazza è vista seduta a un tavolo con in mano vari oggetti e spingendoli tutti insieme.</v>
      </c>
    </row>
    <row r="25696">
      <c r="A25696" s="4" t="s">
        <v>32346</v>
      </c>
      <c r="B25696" s="6" t="s">
        <v>32348</v>
      </c>
      <c r="C25696" s="5" t="str">
        <f>IFERROR(__xludf.DUMMYFUNCTION("GOOGLETRANSLATE(B25696,""en"",""it"")"),"Quindi si strofina un ago su un batuffolo di cotone, quindi spingendolo su una matita e un filo avvolgente.")</f>
        <v>Quindi si strofina un ago su un batuffolo di cotone, quindi spingendolo su una matita e un filo avvolgente.</v>
      </c>
    </row>
    <row r="25697">
      <c r="A25697" s="4" t="s">
        <v>32346</v>
      </c>
      <c r="B25697" s="4" t="s">
        <v>32349</v>
      </c>
      <c r="C25697" s="5" t="str">
        <f>IFERROR(__xludf.DUMMYFUNCTION("GOOGLETRANSLATE(B25697,""en"",""it"")"),"Quindi tiene in mano una scatola di un prodotto e poi versa diversi liquidi in una ciotola.")</f>
        <v>Quindi tiene in mano una scatola di un prodotto e poi versa diversi liquidi in una ciotola.</v>
      </c>
    </row>
    <row r="25698">
      <c r="A25698" s="4" t="s">
        <v>32346</v>
      </c>
      <c r="B25698" s="6" t="s">
        <v>32350</v>
      </c>
      <c r="C25698" s="5" t="str">
        <f>IFERROR(__xludf.DUMMYFUNCTION("GOOGLETRANSLATE(B25698,""en"",""it"")"),"Quindi immerge l'ago con inchiostro e usando la matita per disegnare un design sulla gamba, strofinandolo con uno straccio alla fine.")</f>
        <v>Quindi immerge l'ago con inchiostro e usando la matita per disegnare un design sulla gamba, strofinandolo con uno straccio alla fine.</v>
      </c>
    </row>
    <row r="25699">
      <c r="A25699" s="4" t="s">
        <v>32351</v>
      </c>
      <c r="B25699" s="4" t="s">
        <v>32352</v>
      </c>
      <c r="C25699" s="5" t="str">
        <f>IFERROR(__xludf.DUMMYFUNCTION("GOOGLETRANSLATE(B25699,""en"",""it"")"),"Una tavola da dardo prevalentemente scura è vuota.")</f>
        <v>Una tavola da dardo prevalentemente scura è vuota.</v>
      </c>
    </row>
    <row r="25700">
      <c r="A25700" s="4" t="s">
        <v>32351</v>
      </c>
      <c r="B25700" s="4" t="s">
        <v>32353</v>
      </c>
      <c r="C25700" s="5" t="str">
        <f>IFERROR(__xludf.DUMMYFUNCTION("GOOGLETRANSLATE(B25700,""en"",""it"")"),"Un ragazzo lancia un dardo al Dart Board.")</f>
        <v>Un ragazzo lancia un dardo al Dart Board.</v>
      </c>
    </row>
    <row r="25701">
      <c r="A25701" s="4" t="s">
        <v>32351</v>
      </c>
      <c r="B25701" s="4" t="s">
        <v>32354</v>
      </c>
      <c r="C25701" s="5" t="str">
        <f>IFERROR(__xludf.DUMMYFUNCTION("GOOGLETRANSLATE(B25701,""en"",""it"")"),"Il dardo colpisce il bullseye.")</f>
        <v>Il dardo colpisce il bullseye.</v>
      </c>
    </row>
    <row r="25702">
      <c r="A25702" s="4" t="s">
        <v>32355</v>
      </c>
      <c r="B25702" s="4" t="s">
        <v>32356</v>
      </c>
      <c r="C25702" s="5" t="str">
        <f>IFERROR(__xludf.DUMMYFUNCTION("GOOGLETRANSLATE(B25702,""en"",""it"")"),"Un piccolo gruppo di persone viene visto camminare sul tappeto rosso e parlare tra loro.")</f>
        <v>Un piccolo gruppo di persone viene visto camminare sul tappeto rosso e parlare tra loro.</v>
      </c>
    </row>
    <row r="25703">
      <c r="A25703" s="4" t="s">
        <v>32355</v>
      </c>
      <c r="B25703" s="6" t="s">
        <v>32357</v>
      </c>
      <c r="C25703" s="5" t="str">
        <f>IFERROR(__xludf.DUMMYFUNCTION("GOOGLETRANSLATE(B25703,""en"",""it"")"),"Viene quindi visto un atleta parlare con un nuovo ospite e vengono mostrati diversi colpi di lui che suona e cavalcando un cavallo.")</f>
        <v>Viene quindi visto un atleta parlare con un nuovo ospite e vengono mostrati diversi colpi di lui che suona e cavalcando un cavallo.</v>
      </c>
    </row>
    <row r="25704">
      <c r="A25704" s="4" t="s">
        <v>32355</v>
      </c>
      <c r="B25704" s="4" t="s">
        <v>32358</v>
      </c>
      <c r="C25704" s="5" t="str">
        <f>IFERROR(__xludf.DUMMYFUNCTION("GOOGLETRANSLATE(B25704,""en"",""it"")"),"Vengono mostrati più clip che gioca uno sport e parla con l'ospite e scuotendo la mano.")</f>
        <v>Vengono mostrati più clip che gioca uno sport e parla con l'ospite e scuotendo la mano.</v>
      </c>
    </row>
    <row r="25705">
      <c r="A25705" s="4" t="s">
        <v>32359</v>
      </c>
      <c r="B25705" s="4" t="s">
        <v>32360</v>
      </c>
      <c r="C25705" s="5" t="str">
        <f>IFERROR(__xludf.DUMMYFUNCTION("GOOGLETRANSLATE(B25705,""en"",""it"")"),"Una donna fa un tatuaggio nel braccio di una ragazza mentre pulisce con un tessuto.")</f>
        <v>Una donna fa un tatuaggio nel braccio di una ragazza mentre pulisce con un tessuto.</v>
      </c>
    </row>
    <row r="25706">
      <c r="A25706" s="4" t="s">
        <v>32359</v>
      </c>
      <c r="B25706" s="4" t="s">
        <v>32361</v>
      </c>
      <c r="C25706" s="5" t="str">
        <f>IFERROR(__xludf.DUMMYFUNCTION("GOOGLETRANSLATE(B25706,""en"",""it"")"),"La ragazza fa i gesti del dolore in faccia.")</f>
        <v>La ragazza fa i gesti del dolore in faccia.</v>
      </c>
    </row>
    <row r="25707">
      <c r="A25707" s="4" t="s">
        <v>32362</v>
      </c>
      <c r="B25707" s="6" t="s">
        <v>32363</v>
      </c>
      <c r="C25707" s="5" t="str">
        <f>IFERROR(__xludf.DUMMYFUNCTION("GOOGLETRANSLATE(B25707,""en"",""it"")"),"Un colpo del film Forest Gump viene mostrato con l'uomo che gioca a Ping pong in diversi colpi e lui che ride alla fine.")</f>
        <v>Un colpo del film Forest Gump viene mostrato con l'uomo che gioca a Ping pong in diversi colpi e lui che ride alla fine.</v>
      </c>
    </row>
    <row r="25708">
      <c r="A25708" s="4" t="s">
        <v>32362</v>
      </c>
      <c r="B25708" s="6" t="s">
        <v>32364</v>
      </c>
      <c r="C25708" s="5" t="str">
        <f>IFERROR(__xludf.DUMMYFUNCTION("GOOGLETRANSLATE(B25708,""en"",""it"")"),"Vengono mostrate altre clip degli attori che giocano tra loro e un uomo che mostra il filmato su un computer mentre parlano alla telecamera.")</f>
        <v>Vengono mostrate altre clip degli attori che giocano tra loro e un uomo che mostra il filmato su un computer mentre parlano alla telecamera.</v>
      </c>
    </row>
    <row r="25709">
      <c r="A25709" s="4" t="s">
        <v>32362</v>
      </c>
      <c r="B25709" s="6" t="s">
        <v>32365</v>
      </c>
      <c r="C25709" s="5" t="str">
        <f>IFERROR(__xludf.DUMMYFUNCTION("GOOGLETRANSLATE(B25709,""en"",""it"")"),"Tom Hanks viene intervistato più volte sull'evento e poi si siede alla fine mentre gioca.")</f>
        <v>Tom Hanks viene intervistato più volte sull'evento e poi si siede alla fine mentre gioca.</v>
      </c>
    </row>
    <row r="25710">
      <c r="A25710" s="4" t="s">
        <v>32366</v>
      </c>
      <c r="B25710" s="4" t="s">
        <v>32367</v>
      </c>
      <c r="C25710" s="5" t="str">
        <f>IFERROR(__xludf.DUMMYFUNCTION("GOOGLETRANSLATE(B25710,""en"",""it"")"),"Una donna vestita di nero con una visiera e occhiali da sole parla con una pagaia.")</f>
        <v>Una donna vestita di nero con una visiera e occhiali da sole parla con una pagaia.</v>
      </c>
    </row>
    <row r="25711">
      <c r="A25711" s="4" t="s">
        <v>32366</v>
      </c>
      <c r="B25711" s="4" t="s">
        <v>32368</v>
      </c>
      <c r="C25711" s="5" t="str">
        <f>IFERROR(__xludf.DUMMYFUNCTION("GOOGLETRANSLATE(B25711,""en"",""it"")"),"Una volta che ha finito di parlare, inizia il kayak con il suo cane bianco tra le gambe.")</f>
        <v>Una volta che ha finito di parlare, inizia il kayak con il suo cane bianco tra le gambe.</v>
      </c>
    </row>
    <row r="25712">
      <c r="A25712" s="4" t="s">
        <v>32366</v>
      </c>
      <c r="B25712" s="6" t="s">
        <v>32369</v>
      </c>
      <c r="C25712" s="5" t="str">
        <f>IFERROR(__xludf.DUMMYFUNCTION("GOOGLETRANSLATE(B25712,""en"",""it"")"),"Ora la donna è fuori dall'acqua e inizia a fare esercizi di braccio con la pagaia dietro la testa sollevandola su e giù.")</f>
        <v>Ora la donna è fuori dall'acqua e inizia a fare esercizi di braccio con la pagaia dietro la testa sollevandola su e giù.</v>
      </c>
    </row>
    <row r="25713">
      <c r="A25713" s="4" t="s">
        <v>32366</v>
      </c>
      <c r="B25713" s="6" t="s">
        <v>32370</v>
      </c>
      <c r="C25713" s="5" t="str">
        <f>IFERROR(__xludf.DUMMYFUNCTION("GOOGLETRANSLATE(B25713,""en"",""it"")"),"Quindi aggiunge le gambe e inizia a fare affondi nell'erba prima che continui a fare ricci con le mani.")</f>
        <v>Quindi aggiunge le gambe e inizia a fare affondi nell'erba prima che continui a fare ricci con le mani.</v>
      </c>
    </row>
    <row r="25714">
      <c r="A25714" s="4" t="s">
        <v>32366</v>
      </c>
      <c r="B25714" s="4" t="s">
        <v>32371</v>
      </c>
      <c r="C25714" s="5" t="str">
        <f>IFERROR(__xludf.DUMMYFUNCTION("GOOGLETRANSLATE(B25714,""en"",""it"")"),"La signora ora si è trasferita in un patio e si sta sdraiando sulla schiena facendo esercizi per le gambe.")</f>
        <v>La signora ora si è trasferita in un patio e si sta sdraiando sulla schiena facendo esercizi per le gambe.</v>
      </c>
    </row>
    <row r="25715">
      <c r="A25715" s="4" t="s">
        <v>32372</v>
      </c>
      <c r="B25715" s="4" t="s">
        <v>32373</v>
      </c>
      <c r="C25715" s="5" t="str">
        <f>IFERROR(__xludf.DUMMYFUNCTION("GOOGLETRANSLATE(B25715,""en"",""it"")"),"Una ragazza è in piedi fuori in un campo a parlare e al telaio di hula.")</f>
        <v>Una ragazza è in piedi fuori in un campo a parlare e al telaio di hula.</v>
      </c>
    </row>
    <row r="25716">
      <c r="A25716" s="4" t="s">
        <v>32372</v>
      </c>
      <c r="B25716" s="4" t="s">
        <v>32374</v>
      </c>
      <c r="C25716" s="5" t="str">
        <f>IFERROR(__xludf.DUMMYFUNCTION("GOOGLETRANSLATE(B25716,""en"",""it"")"),"Un'altra ragazza cerca quindi di fare la stessa cosa, ma non ha successo.")</f>
        <v>Un'altra ragazza cerca quindi di fare la stessa cosa, ma non ha successo.</v>
      </c>
    </row>
    <row r="25717">
      <c r="A25717" s="4" t="s">
        <v>32372</v>
      </c>
      <c r="B25717" s="4" t="s">
        <v>32375</v>
      </c>
      <c r="C25717" s="5" t="str">
        <f>IFERROR(__xludf.DUMMYFUNCTION("GOOGLETRANSLATE(B25717,""en"",""it"")"),"La prima ragazza torna e lo fa senza sforzo mentre la seconda ragazza lotta ancora.")</f>
        <v>La prima ragazza torna e lo fa senza sforzo mentre la seconda ragazza lotta ancora.</v>
      </c>
    </row>
    <row r="25718">
      <c r="A25718" s="4" t="s">
        <v>32372</v>
      </c>
      <c r="B25718" s="4" t="s">
        <v>32376</v>
      </c>
      <c r="C25718" s="5" t="str">
        <f>IFERROR(__xludf.DUMMYFUNCTION("GOOGLETRANSLATE(B25718,""en"",""it"")"),"Per l'ultimo round, la ragazza inizia a Hula Hoop e beve soda e corre attraverso l'erba.")</f>
        <v>Per l'ultimo round, la ragazza inizia a Hula Hoop e beve soda e corre attraverso l'erba.</v>
      </c>
    </row>
    <row r="25719">
      <c r="A25719" s="4" t="s">
        <v>32377</v>
      </c>
      <c r="B25719" s="6" t="s">
        <v>32378</v>
      </c>
      <c r="C25719" s="5" t="str">
        <f>IFERROR(__xludf.DUMMYFUNCTION("GOOGLETRANSLATE(B25719,""en"",""it"")"),"Un nero e marrone si sta sfidando contro il muro mentre una persona muove un vuoto come la macchina avanti e indietro sopra la sua pelliccia.")</f>
        <v>Un nero e marrone si sta sfidando contro il muro mentre una persona muove un vuoto come la macchina avanti e indietro sopra la sua pelliccia.</v>
      </c>
    </row>
    <row r="25720">
      <c r="A25720" s="4" t="s">
        <v>32377</v>
      </c>
      <c r="B25720" s="6" t="s">
        <v>32379</v>
      </c>
      <c r="C25720" s="5" t="str">
        <f>IFERROR(__xludf.DUMMYFUNCTION("GOOGLETRANSLATE(B25720,""en"",""it"")"),"Dopo che la sua schiena è finita, la persona fa le gambe, quindi solleva la coda e fa il buco e il cane inizia ad allontanarsi.")</f>
        <v>Dopo che la sua schiena è finita, la persona fa le gambe, quindi solleva la coda e fa il buco e il cane inizia ad allontanarsi.</v>
      </c>
    </row>
    <row r="25721">
      <c r="A25721" s="4" t="s">
        <v>32377</v>
      </c>
      <c r="B25721" s="4" t="s">
        <v>32380</v>
      </c>
      <c r="C25721" s="5" t="str">
        <f>IFERROR(__xludf.DUMMYFUNCTION("GOOGLETRANSLATE(B25721,""en"",""it"")"),"Le donne devono quindi afferrare il cane e tenerlo per finire il suo compito.")</f>
        <v>Le donne devono quindi afferrare il cane e tenerlo per finire il suo compito.</v>
      </c>
    </row>
    <row r="25722">
      <c r="A25722" s="4" t="s">
        <v>32377</v>
      </c>
      <c r="B25722" s="4" t="s">
        <v>32381</v>
      </c>
      <c r="C25722" s="5" t="str">
        <f>IFERROR(__xludf.DUMMYFUNCTION("GOOGLETRANSLATE(B25722,""en"",""it"")"),"Una volta completato, toglie i capelli dal vuoto e li scarica in una grande borsa della spazzatura nera.")</f>
        <v>Una volta completato, toglie i capelli dal vuoto e li scarica in una grande borsa della spazzatura nera.</v>
      </c>
    </row>
    <row r="25723">
      <c r="A25723" s="4" t="s">
        <v>32382</v>
      </c>
      <c r="B25723" s="4" t="s">
        <v>32383</v>
      </c>
      <c r="C25723" s="5" t="str">
        <f>IFERROR(__xludf.DUMMYFUNCTION("GOOGLETRANSLATE(B25723,""en"",""it"")"),"Una donna bionda gestisce salti e torce un terreno sull'imbottitura.")</f>
        <v>Una donna bionda gestisce salti e torce un terreno sull'imbottitura.</v>
      </c>
    </row>
    <row r="25724">
      <c r="A25724" s="4" t="s">
        <v>32382</v>
      </c>
      <c r="B25724" s="4" t="s">
        <v>32384</v>
      </c>
      <c r="C25724" s="5" t="str">
        <f>IFERROR(__xludf.DUMMYFUNCTION("GOOGLETRANSLATE(B25724,""en"",""it"")"),"Un'altra donna corre e salta e lei non ce la fa cade sull'erba.")</f>
        <v>Un'altra donna corre e salta e lei non ce la fa cade sull'erba.</v>
      </c>
    </row>
    <row r="25725">
      <c r="A25725" s="4" t="s">
        <v>32382</v>
      </c>
      <c r="B25725" s="4" t="s">
        <v>32385</v>
      </c>
      <c r="C25725" s="5" t="str">
        <f>IFERROR(__xludf.DUMMYFUNCTION("GOOGLETRANSLATE(B25725,""en"",""it"")"),"Le mancava completamente il salto e colpisce il palo quando cade.")</f>
        <v>Le mancava completamente il salto e colpisce il palo quando cade.</v>
      </c>
    </row>
    <row r="25726">
      <c r="A25726" s="4" t="s">
        <v>32382</v>
      </c>
      <c r="B25726" s="4" t="s">
        <v>32386</v>
      </c>
      <c r="C25726" s="5" t="str">
        <f>IFERROR(__xludf.DUMMYFUNCTION("GOOGLETRANSLATE(B25726,""en"",""it"")"),"Sta ridendo per terra e un uomo si avvicina per aiutarla.")</f>
        <v>Sta ridendo per terra e un uomo si avvicina per aiutarla.</v>
      </c>
    </row>
    <row r="25727">
      <c r="A25727" s="4" t="s">
        <v>32387</v>
      </c>
      <c r="B25727" s="4" t="s">
        <v>32388</v>
      </c>
      <c r="C25727" s="5" t="str">
        <f>IFERROR(__xludf.DUMMYFUNCTION("GOOGLETRANSLATE(B25727,""en"",""it"")"),"Un gruppo di persone è seduto in una sauna completamente vestita.")</f>
        <v>Un gruppo di persone è seduto in una sauna completamente vestita.</v>
      </c>
    </row>
    <row r="25728">
      <c r="A25728" s="4" t="s">
        <v>32387</v>
      </c>
      <c r="B25728" s="4" t="s">
        <v>32389</v>
      </c>
      <c r="C25728" s="5" t="str">
        <f>IFERROR(__xludf.DUMMYFUNCTION("GOOGLETRANSLATE(B25728,""en"",""it"")"),"Un ragazzo si alza con un violino.")</f>
        <v>Un ragazzo si alza con un violino.</v>
      </c>
    </row>
    <row r="25729">
      <c r="A25729" s="4" t="s">
        <v>32387</v>
      </c>
      <c r="B25729" s="4" t="s">
        <v>32390</v>
      </c>
      <c r="C25729" s="5" t="str">
        <f>IFERROR(__xludf.DUMMYFUNCTION("GOOGLETRANSLATE(B25729,""en"",""it"")"),"Il ragazzo inizia a suonare il violino e balla.")</f>
        <v>Il ragazzo inizia a suonare il violino e balla.</v>
      </c>
    </row>
    <row r="25730">
      <c r="A25730" s="4" t="s">
        <v>32387</v>
      </c>
      <c r="B25730" s="4" t="s">
        <v>32391</v>
      </c>
      <c r="C25730" s="5" t="str">
        <f>IFERROR(__xludf.DUMMYFUNCTION("GOOGLETRANSLATE(B25730,""en"",""it"")"),"Il ragazzo si calcola la scarpa mentre balla.")</f>
        <v>Il ragazzo si calcola la scarpa mentre balla.</v>
      </c>
    </row>
    <row r="25731">
      <c r="A25731" s="4" t="s">
        <v>32387</v>
      </c>
      <c r="B25731" s="4" t="s">
        <v>32392</v>
      </c>
      <c r="C25731" s="5" t="str">
        <f>IFERROR(__xludf.DUMMYFUNCTION("GOOGLETRANSLATE(B25731,""en"",""it"")"),"Il ragazzo si siede e suona il violino.")</f>
        <v>Il ragazzo si siede e suona il violino.</v>
      </c>
    </row>
    <row r="25732">
      <c r="A25732" s="4" t="s">
        <v>32393</v>
      </c>
      <c r="B25732" s="4" t="s">
        <v>32394</v>
      </c>
      <c r="C25732" s="5" t="str">
        <f>IFERROR(__xludf.DUMMYFUNCTION("GOOGLETRANSLATE(B25732,""en"",""it"")"),"Una persona viene vista cavalcare una tavola con un aquilone lungo l'oceano che si muove a un ritmo veloce.")</f>
        <v>Una persona viene vista cavalcare una tavola con un aquilone lungo l'oceano che si muove a un ritmo veloce.</v>
      </c>
    </row>
    <row r="25733">
      <c r="A25733" s="4" t="s">
        <v>32393</v>
      </c>
      <c r="B25733" s="4" t="s">
        <v>32395</v>
      </c>
      <c r="C25733" s="5" t="str">
        <f>IFERROR(__xludf.DUMMYFUNCTION("GOOGLETRANSLATE(B25733,""en"",""it"")"),"La persona continua a cavalcare e alla fine si schianta mentre la fotocamera si ingrandisce sul pilota.")</f>
        <v>La persona continua a cavalcare e alla fine si schianta mentre la fotocamera si ingrandisce sul pilota.</v>
      </c>
    </row>
    <row r="25734">
      <c r="A25734" s="4" t="s">
        <v>32396</v>
      </c>
      <c r="B25734" s="6" t="s">
        <v>32397</v>
      </c>
      <c r="C25734" s="5" t="str">
        <f>IFERROR(__xludf.DUMMYFUNCTION("GOOGLETRANSLATE(B25734,""en"",""it"")"),"Un gruppo di ragazzi si trova in una stanza con molte tazze di birra limpide su un tavolo che sono tutti in piedi.")</f>
        <v>Un gruppo di ragazzi si trova in una stanza con molte tazze di birra limpide su un tavolo che sono tutti in piedi.</v>
      </c>
    </row>
    <row r="25735">
      <c r="A25735" s="4" t="s">
        <v>32396</v>
      </c>
      <c r="B25735" s="6" t="s">
        <v>32398</v>
      </c>
      <c r="C25735" s="5" t="str">
        <f>IFERROR(__xludf.DUMMYFUNCTION("GOOGLETRANSLATE(B25735,""en"",""it"")"),"I ragazzi parlano, ridono e si prendono in giro prima di iniziare una partita di birra su un lungo tavolo usando una serie di tazze trasparenti a forma di triangolo.")</f>
        <v>I ragazzi parlano, ridono e si prendono in giro prima di iniziare una partita di birra su un lungo tavolo usando una serie di tazze trasparenti a forma di triangolo.</v>
      </c>
    </row>
    <row r="25736">
      <c r="A25736" s="4" t="s">
        <v>32396</v>
      </c>
      <c r="B25736" s="4" t="s">
        <v>32399</v>
      </c>
      <c r="C25736" s="5" t="str">
        <f>IFERROR(__xludf.DUMMYFUNCTION("GOOGLETRANSLATE(B25736,""en"",""it"")"),"Uno dei ping pongs atterra nella tazza e uno dei ragazzi inizia a bere la birra.")</f>
        <v>Uno dei ping pongs atterra nella tazza e uno dei ragazzi inizia a bere la birra.</v>
      </c>
    </row>
    <row r="25737">
      <c r="A25737" s="4" t="s">
        <v>32396</v>
      </c>
      <c r="B25737" s="6" t="s">
        <v>32400</v>
      </c>
      <c r="C25737" s="5" t="str">
        <f>IFERROR(__xludf.DUMMYFUNCTION("GOOGLETRANSLATE(B25737,""en"",""it"")"),"Il gruppo continua a giocare a Beer Pong quando un ultimo giocatore è in grado di lanciare e atterrare un pallone da ping mentre si trova con le spalle alle coppe a quel punto che i ragazzi festeggiano e ridono.")</f>
        <v>Il gruppo continua a giocare a Beer Pong quando un ultimo giocatore è in grado di lanciare e atterrare un pallone da ping mentre si trova con le spalle alle coppe a quel punto che i ragazzi festeggiano e ridono.</v>
      </c>
    </row>
    <row r="25738">
      <c r="A25738" s="4" t="s">
        <v>32401</v>
      </c>
      <c r="B25738" s="6" t="s">
        <v>32402</v>
      </c>
      <c r="C25738" s="5" t="str">
        <f>IFERROR(__xludf.DUMMYFUNCTION("GOOGLETRANSLATE(B25738,""en"",""it"")"),"Un piccolo gruppo di persone viene visto stringere la mano e stare insieme seguito da un uomo che soffia un fischio e persone che corrono in giro.")</f>
        <v>Un piccolo gruppo di persone viene visto stringere la mano e stare insieme seguito da un uomo che soffia un fischio e persone che corrono in giro.</v>
      </c>
    </row>
    <row r="25739">
      <c r="A25739" s="4" t="s">
        <v>32401</v>
      </c>
      <c r="B25739" s="6" t="s">
        <v>32403</v>
      </c>
      <c r="C25739" s="5" t="str">
        <f>IFERROR(__xludf.DUMMYFUNCTION("GOOGLETRANSLATE(B25739,""en"",""it"")"),"Le persone giocano quindi una partita di calcio l'una con l'altra, correndo su e giù per il campo sabbioso mentre gli allenatori urlano sul lato e un goal è bloccato.")</f>
        <v>Le persone giocano quindi una partita di calcio l'una con l'altra, correndo su e giù per il campo sabbioso mentre gli allenatori urlano sul lato e un goal è bloccato.</v>
      </c>
    </row>
    <row r="25740">
      <c r="A25740" s="4" t="s">
        <v>32404</v>
      </c>
      <c r="B25740" s="4" t="s">
        <v>32405</v>
      </c>
      <c r="C25740" s="5" t="str">
        <f>IFERROR(__xludf.DUMMYFUNCTION("GOOGLETRANSLATE(B25740,""en"",""it"")"),"Due uomini sono mostrati seduti a un tavolo con le braccia incrociate.")</f>
        <v>Due uomini sono mostrati seduti a un tavolo con le braccia incrociate.</v>
      </c>
    </row>
    <row r="25741">
      <c r="A25741" s="4" t="s">
        <v>32404</v>
      </c>
      <c r="B25741" s="4" t="s">
        <v>32406</v>
      </c>
      <c r="C25741" s="5" t="str">
        <f>IFERROR(__xludf.DUMMYFUNCTION("GOOGLETRANSLATE(B25741,""en"",""it"")"),"Si afferrano a vicenda e iniziano una partita di wrestling del braccio con uno che urla all'altro.")</f>
        <v>Si afferrano a vicenda e iniziano una partita di wrestling del braccio con uno che urla all'altro.</v>
      </c>
    </row>
    <row r="25742">
      <c r="A25742" s="4" t="s">
        <v>32404</v>
      </c>
      <c r="B25742" s="4" t="s">
        <v>32407</v>
      </c>
      <c r="C25742" s="5" t="str">
        <f>IFERROR(__xludf.DUMMYFUNCTION("GOOGLETRANSLATE(B25742,""en"",""it"")"),"Uno quasi vince ma l'altro si ritira rapidamente e vince mentre urla e spinge.")</f>
        <v>Uno quasi vince ma l'altro si ritira rapidamente e vince mentre urla e spinge.</v>
      </c>
    </row>
    <row r="25743">
      <c r="A25743" s="4" t="s">
        <v>32408</v>
      </c>
      <c r="B25743" s="4" t="s">
        <v>32409</v>
      </c>
      <c r="C25743" s="5" t="str">
        <f>IFERROR(__xludf.DUMMYFUNCTION("GOOGLETRANSLATE(B25743,""en"",""it"")"),"Una donna più anziana seduta al tavolo leggendo il suo lavoro di carta.")</f>
        <v>Una donna più anziana seduta al tavolo leggendo il suo lavoro di carta.</v>
      </c>
    </row>
    <row r="25744">
      <c r="A25744" s="4" t="s">
        <v>32408</v>
      </c>
      <c r="B25744" s="4" t="s">
        <v>32410</v>
      </c>
      <c r="C25744" s="5" t="str">
        <f>IFERROR(__xludf.DUMMYFUNCTION("GOOGLETRANSLATE(B25744,""en"",""it"")"),"Suo marito si avvicina alle sue spalle e lo legge con lei.")</f>
        <v>Suo marito si avvicina alle sue spalle e lo legge con lei.</v>
      </c>
    </row>
    <row r="25745">
      <c r="A25745" s="4" t="s">
        <v>32408</v>
      </c>
      <c r="B25745" s="4" t="s">
        <v>32411</v>
      </c>
      <c r="C25745" s="5" t="str">
        <f>IFERROR(__xludf.DUMMYFUNCTION("GOOGLETRANSLATE(B25745,""en"",""it"")"),"I tetti sono sul tetto risolvendo alcuni problemi, mettendo alcune nuove tegole.")</f>
        <v>I tetti sono sul tetto risolvendo alcuni problemi, mettendo alcune nuove tegole.</v>
      </c>
    </row>
    <row r="25746">
      <c r="A25746" s="4" t="s">
        <v>32408</v>
      </c>
      <c r="B25746" s="4" t="s">
        <v>32412</v>
      </c>
      <c r="C25746" s="5" t="str">
        <f>IFERROR(__xludf.DUMMYFUNCTION("GOOGLETRANSLATE(B25746,""en"",""it"")"),"Una donna al telefono con la compagnia sale e consegna il telefono a suo marito.")</f>
        <v>Una donna al telefono con la compagnia sale e consegna il telefono a suo marito.</v>
      </c>
    </row>
    <row r="25747">
      <c r="A25747" s="4" t="s">
        <v>32413</v>
      </c>
      <c r="B25747" s="4" t="s">
        <v>32414</v>
      </c>
      <c r="C25747" s="5" t="str">
        <f>IFERROR(__xludf.DUMMYFUNCTION("GOOGLETRANSLATE(B25747,""en"",""it"")"),"Un uomo entra in palestra e si piega di fronte a un peso.")</f>
        <v>Un uomo entra in palestra e si piega di fronte a un peso.</v>
      </c>
    </row>
    <row r="25748">
      <c r="A25748" s="4" t="s">
        <v>32413</v>
      </c>
      <c r="B25748" s="4" t="s">
        <v>32415</v>
      </c>
      <c r="C25748" s="5" t="str">
        <f>IFERROR(__xludf.DUMMYFUNCTION("GOOGLETRANSLATE(B25748,""en"",""it"")"),"L'uomo cerca di sollevare il peso due volte e lasciarlo cadere.")</f>
        <v>L'uomo cerca di sollevare il peso due volte e lasciarlo cadere.</v>
      </c>
    </row>
    <row r="25749">
      <c r="A25749" s="4" t="s">
        <v>32413</v>
      </c>
      <c r="B25749" s="4" t="s">
        <v>32416</v>
      </c>
      <c r="C25749" s="5" t="str">
        <f>IFERROR(__xludf.DUMMYFUNCTION("GOOGLETRANSLATE(B25749,""en"",""it"")"),"L'uomo solleva il peso tre volte e se ne va.")</f>
        <v>L'uomo solleva il peso tre volte e se ne va.</v>
      </c>
    </row>
    <row r="25750">
      <c r="A25750" s="4" t="s">
        <v>32413</v>
      </c>
      <c r="B25750" s="4" t="s">
        <v>32417</v>
      </c>
      <c r="C25750" s="5" t="str">
        <f>IFERROR(__xludf.DUMMYFUNCTION("GOOGLETRANSLATE(B25750,""en"",""it"")"),"L'uomo solleva il peso due volte.")</f>
        <v>L'uomo solleva il peso due volte.</v>
      </c>
    </row>
    <row r="25751">
      <c r="A25751" s="4" t="s">
        <v>32413</v>
      </c>
      <c r="B25751" s="4" t="s">
        <v>32418</v>
      </c>
      <c r="C25751" s="5" t="str">
        <f>IFERROR(__xludf.DUMMYFUNCTION("GOOGLETRANSLATE(B25751,""en"",""it"")"),"L'uomo solleva il peso tre volte e se ne va.")</f>
        <v>L'uomo solleva il peso tre volte e se ne va.</v>
      </c>
    </row>
    <row r="25752">
      <c r="A25752" s="4" t="s">
        <v>32413</v>
      </c>
      <c r="B25752" s="4" t="s">
        <v>32419</v>
      </c>
      <c r="C25752" s="5" t="str">
        <f>IFERROR(__xludf.DUMMYFUNCTION("GOOGLETRANSLATE(B25752,""en"",""it"")"),"L'uomo solleva il peso di due denti e rimuove la cintura di sollevamento pesi.")</f>
        <v>L'uomo solleva il peso di due denti e rimuove la cintura di sollevamento pesi.</v>
      </c>
    </row>
    <row r="25753">
      <c r="A25753" s="4" t="s">
        <v>32420</v>
      </c>
      <c r="B25753" s="4" t="s">
        <v>32421</v>
      </c>
      <c r="C25753" s="5" t="str">
        <f>IFERROR(__xludf.DUMMYFUNCTION("GOOGLETRANSLATE(B25753,""en"",""it"")"),"La bambina è uscita dalla stanza.")</f>
        <v>La bambina è uscita dalla stanza.</v>
      </c>
    </row>
    <row r="25754">
      <c r="A25754" s="4" t="s">
        <v>32420</v>
      </c>
      <c r="B25754" s="4" t="s">
        <v>32422</v>
      </c>
      <c r="C25754" s="5" t="str">
        <f>IFERROR(__xludf.DUMMYFUNCTION("GOOGLETRANSLATE(B25754,""en"",""it"")"),"Il ragazzo prende la bottiglia sotto il letto e la tiene e poi la beve.")</f>
        <v>Il ragazzo prende la bottiglia sotto il letto e la tiene e poi la beve.</v>
      </c>
    </row>
    <row r="25755">
      <c r="A25755" s="4" t="s">
        <v>32420</v>
      </c>
      <c r="B25755" s="4" t="s">
        <v>32423</v>
      </c>
      <c r="C25755" s="5" t="str">
        <f>IFERROR(__xludf.DUMMYFUNCTION("GOOGLETRANSLATE(B25755,""en"",""it"")"),"Il ragazzo tornò a letto e fingeva di dormire mentre la ragazza tornava nella stanza.")</f>
        <v>Il ragazzo tornò a letto e fingeva di dormire mentre la ragazza tornava nella stanza.</v>
      </c>
    </row>
    <row r="25756">
      <c r="A25756" s="4" t="s">
        <v>32424</v>
      </c>
      <c r="B25756" s="4" t="s">
        <v>32425</v>
      </c>
      <c r="C25756" s="5" t="str">
        <f>IFERROR(__xludf.DUMMYFUNCTION("GOOGLETRANSLATE(B25756,""en"",""it"")"),"Un folto gruppo di persone viene visto vagare per un'area con una donna che li corre oltre.")</f>
        <v>Un folto gruppo di persone viene visto vagare per un'area con una donna che li corre oltre.</v>
      </c>
    </row>
    <row r="25757">
      <c r="A25757" s="4" t="s">
        <v>32424</v>
      </c>
      <c r="B25757" s="4" t="s">
        <v>32426</v>
      </c>
      <c r="C25757" s="5" t="str">
        <f>IFERROR(__xludf.DUMMYFUNCTION("GOOGLETRANSLATE(B25757,""en"",""it"")"),"La donna viene vista parlare alla telecamera e continua a correre per l'area della spiaggia.")</f>
        <v>La donna viene vista parlare alla telecamera e continua a correre per l'area della spiaggia.</v>
      </c>
    </row>
    <row r="25758">
      <c r="A25758" s="4" t="s">
        <v>32424</v>
      </c>
      <c r="B25758" s="6" t="s">
        <v>32427</v>
      </c>
      <c r="C25758" s="5" t="str">
        <f>IFERROR(__xludf.DUMMYFUNCTION("GOOGLETRANSLATE(B25758,""en"",""it"")"),"Corre lungo il lungomare e le persone passate e termina con la sua corsa e viene intervistata.")</f>
        <v>Corre lungo il lungomare e le persone passate e termina con la sua corsa e viene intervistata.</v>
      </c>
    </row>
    <row r="25759">
      <c r="A25759" s="4" t="s">
        <v>32428</v>
      </c>
      <c r="B25759" s="4" t="s">
        <v>32429</v>
      </c>
      <c r="C25759" s="5" t="str">
        <f>IFERROR(__xludf.DUMMYFUNCTION("GOOGLETRANSLATE(B25759,""en"",""it"")"),"Le mani di persone sono viste suonare un piano che si allontana dalla persona che gioca.")</f>
        <v>Le mani di persone sono viste suonare un piano che si allontana dalla persona che gioca.</v>
      </c>
    </row>
    <row r="25760">
      <c r="A25760" s="4" t="s">
        <v>32428</v>
      </c>
      <c r="B25760" s="4" t="s">
        <v>32430</v>
      </c>
      <c r="C25760" s="5" t="str">
        <f>IFERROR(__xludf.DUMMYFUNCTION("GOOGLETRANSLATE(B25760,""en"",""it"")"),"Le persone sono viste sorridere e agitare la telecamera mentre l'uomo continua a suonare il piano.")</f>
        <v>Le persone sono viste sorridere e agitare la telecamera mentre l'uomo continua a suonare il piano.</v>
      </c>
    </row>
    <row r="25761">
      <c r="A25761" s="4" t="s">
        <v>32428</v>
      </c>
      <c r="B25761" s="4" t="s">
        <v>32431</v>
      </c>
      <c r="C25761" s="5" t="str">
        <f>IFERROR(__xludf.DUMMYFUNCTION("GOOGLETRANSLATE(B25761,""en"",""it"")"),"La telecamera lo cattura da ogni parte suonando il piano e canta alla telecamera.")</f>
        <v>La telecamera lo cattura da ogni parte suonando il piano e canta alla telecamera.</v>
      </c>
    </row>
    <row r="25762">
      <c r="A25762" s="4" t="s">
        <v>32432</v>
      </c>
      <c r="B25762" s="4" t="s">
        <v>32433</v>
      </c>
      <c r="C25762" s="5" t="str">
        <f>IFERROR(__xludf.DUMMYFUNCTION("GOOGLETRANSLATE(B25762,""en"",""it"")"),"Una ginnasta che indossa un body Magenta si esibisce sul bar.")</f>
        <v>Una ginnasta che indossa un body Magenta si esibisce sul bar.</v>
      </c>
    </row>
    <row r="25763">
      <c r="A25763" s="4" t="s">
        <v>32432</v>
      </c>
      <c r="B25763" s="4" t="s">
        <v>32434</v>
      </c>
      <c r="C25763" s="5" t="str">
        <f>IFERROR(__xludf.DUMMYFUNCTION("GOOGLETRANSLATE(B25763,""en"",""it"")"),"C'è una giuria di giudici seduti di fronte a lei e che la valuta.")</f>
        <v>C'è una giuria di giudici seduti di fronte a lei e che la valuta.</v>
      </c>
    </row>
    <row r="25764">
      <c r="A25764" s="4" t="s">
        <v>32432</v>
      </c>
      <c r="B25764" s="4" t="s">
        <v>32435</v>
      </c>
      <c r="C25764" s="5" t="str">
        <f>IFERROR(__xludf.DUMMYFUNCTION("GOOGLETRANSLATE(B25764,""en"",""it"")"),"Si alza dritto sul bar e fa un tocco e un pumm.")</f>
        <v>Si alza dritto sul bar e fa un tocco e un pumm.</v>
      </c>
    </row>
    <row r="25765">
      <c r="A25765" s="4" t="s">
        <v>32432</v>
      </c>
      <c r="B25765" s="4" t="s">
        <v>32436</v>
      </c>
      <c r="C25765" s="5" t="str">
        <f>IFERROR(__xludf.DUMMYFUNCTION("GOOGLETRANSLATE(B25765,""en"",""it"")"),"Continua a fare con successo le lanci frontali sulla barra del cavallo.")</f>
        <v>Continua a fare con successo le lanci frontali sulla barra del cavallo.</v>
      </c>
    </row>
    <row r="25766">
      <c r="A25766" s="4" t="s">
        <v>32432</v>
      </c>
      <c r="B25766" s="4" t="s">
        <v>32437</v>
      </c>
      <c r="C25766" s="5" t="str">
        <f>IFERROR(__xludf.DUMMYFUNCTION("GOOGLETRANSLATE(B25766,""en"",""it"")"),"Completa il suo round dopo che salta giù dalla barra del cavallo facendo un capovolgimento della schiena.")</f>
        <v>Completa il suo round dopo che salta giù dalla barra del cavallo facendo un capovolgimento della schiena.</v>
      </c>
    </row>
    <row r="25767">
      <c r="A25767" s="4" t="s">
        <v>32432</v>
      </c>
      <c r="B25767" s="4" t="s">
        <v>32438</v>
      </c>
      <c r="C25767" s="5" t="str">
        <f>IFERROR(__xludf.DUMMYFUNCTION("GOOGLETRANSLATE(B25767,""en"",""it"")"),"Quindi la ginnasta si allontana dall'area dello spettacolo.")</f>
        <v>Quindi la ginnasta si allontana dall'area dello spettacolo.</v>
      </c>
    </row>
    <row r="25768">
      <c r="A25768" s="4" t="s">
        <v>32439</v>
      </c>
      <c r="B25768" s="4" t="s">
        <v>32440</v>
      </c>
      <c r="C25768" s="5" t="str">
        <f>IFERROR(__xludf.DUMMYFUNCTION("GOOGLETRANSLATE(B25768,""en"",""it"")"),"Vengono mostrati diversi colpi di un ponte, oltre a un segno e persone in piedi sulla sporgenza.")</f>
        <v>Vengono mostrati diversi colpi di un ponte, oltre a un segno e persone in piedi sulla sporgenza.</v>
      </c>
    </row>
    <row r="25769">
      <c r="A25769" s="4" t="s">
        <v>32439</v>
      </c>
      <c r="B25769" s="4" t="s">
        <v>32441</v>
      </c>
      <c r="C25769" s="5" t="str">
        <f>IFERROR(__xludf.DUMMYFUNCTION("GOOGLETRANSLATE(B25769,""en"",""it"")"),"Due uomini quindi Bungee saltano dal lato del ponte e vengono mostrati oscillando usando le gambe.")</f>
        <v>Due uomini quindi Bungee saltano dal lato del ponte e vengono mostrati oscillando usando le gambe.</v>
      </c>
    </row>
    <row r="25770">
      <c r="A25770" s="4" t="s">
        <v>32442</v>
      </c>
      <c r="B25770" s="4" t="s">
        <v>32443</v>
      </c>
      <c r="C25770" s="5" t="str">
        <f>IFERROR(__xludf.DUMMYFUNCTION("GOOGLETRANSLATE(B25770,""en"",""it"")"),"Viene visto un uomo parlare alla telecamera e conduce a scatti d'acqua che bolle in una pentola.")</f>
        <v>Viene visto un uomo parlare alla telecamera e conduce a scatti d'acqua che bolle in una pentola.</v>
      </c>
    </row>
    <row r="25771">
      <c r="A25771" s="4" t="s">
        <v>32442</v>
      </c>
      <c r="B25771" s="4" t="s">
        <v>32444</v>
      </c>
      <c r="C25771" s="5" t="str">
        <f>IFERROR(__xludf.DUMMYFUNCTION("GOOGLETRANSLATE(B25771,""en"",""it"")"),"Prende un morso della pasta e finisce con lui che sorride ancora alla telecamera.")</f>
        <v>Prende un morso della pasta e finisce con lui che sorride ancora alla telecamera.</v>
      </c>
    </row>
    <row r="25772">
      <c r="A25772" s="4" t="s">
        <v>32445</v>
      </c>
      <c r="B25772" s="4" t="s">
        <v>32446</v>
      </c>
      <c r="C25772" s="5" t="str">
        <f>IFERROR(__xludf.DUMMYFUNCTION("GOOGLETRANSLATE(B25772,""en"",""it"")"),"Viene visto un primo piano di un divano seguito da una persona che entra e fuori dal telaio.")</f>
        <v>Viene visto un primo piano di un divano seguito da una persona che entra e fuori dal telaio.</v>
      </c>
    </row>
    <row r="25773">
      <c r="A25773" s="4" t="s">
        <v>32445</v>
      </c>
      <c r="B25773" s="4" t="s">
        <v>32447</v>
      </c>
      <c r="C25773" s="5" t="str">
        <f>IFERROR(__xludf.DUMMYFUNCTION("GOOGLETRANSLATE(B25773,""en"",""it"")"),"La persona quindi si siede e alza i piedi.")</f>
        <v>La persona quindi si siede e alza i piedi.</v>
      </c>
    </row>
    <row r="25774">
      <c r="A25774" s="4" t="s">
        <v>32445</v>
      </c>
      <c r="B25774" s="4" t="s">
        <v>32448</v>
      </c>
      <c r="C25774" s="5" t="str">
        <f>IFERROR(__xludf.DUMMYFUNCTION("GOOGLETRANSLATE(B25774,""en"",""it"")"),"La persona quindi mette un paio di scarpe e uscirà dalla cornice.")</f>
        <v>La persona quindi mette un paio di scarpe e uscirà dalla cornice.</v>
      </c>
    </row>
    <row r="25775">
      <c r="A25775" s="4" t="s">
        <v>32449</v>
      </c>
      <c r="B25775" s="4" t="s">
        <v>32450</v>
      </c>
      <c r="C25775" s="5" t="str">
        <f>IFERROR(__xludf.DUMMYFUNCTION("GOOGLETRANSLATE(B25775,""en"",""it"")"),"Un uomo che indossa una camicia nera è seduto e suona la chitarra davanti a uno sfondo nero.")</f>
        <v>Un uomo che indossa una camicia nera è seduto e suona la chitarra davanti a uno sfondo nero.</v>
      </c>
    </row>
    <row r="25776">
      <c r="A25776" s="4" t="s">
        <v>32449</v>
      </c>
      <c r="B25776" s="4" t="s">
        <v>32451</v>
      </c>
      <c r="C25776" s="5" t="str">
        <f>IFERROR(__xludf.DUMMYFUNCTION("GOOGLETRANSLATE(B25776,""en"",""it"")"),"Inizialmente inizia a suonare lentamente la chitarra per trovare il ritmo corretto.")</f>
        <v>Inizialmente inizia a suonare lentamente la chitarra per trovare il ritmo corretto.</v>
      </c>
    </row>
    <row r="25777">
      <c r="A25777" s="4" t="s">
        <v>32449</v>
      </c>
      <c r="B25777" s="4" t="s">
        <v>32452</v>
      </c>
      <c r="C25777" s="5" t="str">
        <f>IFERROR(__xludf.DUMMYFUNCTION("GOOGLETRANSLATE(B25777,""en"",""it"")"),"Di quanto inizia a suonare le note sempre più velocemente.")</f>
        <v>Di quanto inizia a suonare le note sempre più velocemente.</v>
      </c>
    </row>
    <row r="25778">
      <c r="A25778" s="4" t="s">
        <v>32449</v>
      </c>
      <c r="B25778" s="4" t="s">
        <v>32453</v>
      </c>
      <c r="C25778" s="5" t="str">
        <f>IFERROR(__xludf.DUMMYFUNCTION("GOOGLETRANSLATE(B25778,""en"",""it"")"),"Alla fine guarda la chitarra e regola le dita mentre finisce di suonare la canzone.")</f>
        <v>Alla fine guarda la chitarra e regola le dita mentre finisce di suonare la canzone.</v>
      </c>
    </row>
    <row r="25779">
      <c r="A25779" s="4" t="s">
        <v>32454</v>
      </c>
      <c r="B25779" s="4" t="s">
        <v>32455</v>
      </c>
      <c r="C25779" s="5" t="str">
        <f>IFERROR(__xludf.DUMMYFUNCTION("GOOGLETRANSLATE(B25779,""en"",""it"")"),"Vediamo persone che mettono l'elettronica su un tavolo di biliardo.")</f>
        <v>Vediamo persone che mettono l'elettronica su un tavolo di biliardo.</v>
      </c>
    </row>
    <row r="25780">
      <c r="A25780" s="4" t="s">
        <v>32454</v>
      </c>
      <c r="B25780" s="4" t="s">
        <v>32456</v>
      </c>
      <c r="C25780" s="5" t="str">
        <f>IFERROR(__xludf.DUMMYFUNCTION("GOOGLETRANSLATE(B25780,""en"",""it"")"),"Vediamo le barre che si muovono e poi vediamo due uomini seduti al tavolo.")</f>
        <v>Vediamo le barre che si muovono e poi vediamo due uomini seduti al tavolo.</v>
      </c>
    </row>
    <row r="25781">
      <c r="A25781" s="4" t="s">
        <v>32454</v>
      </c>
      <c r="B25781" s="4" t="s">
        <v>32457</v>
      </c>
      <c r="C25781" s="5" t="str">
        <f>IFERROR(__xludf.DUMMYFUNCTION("GOOGLETRANSLATE(B25781,""en"",""it"")"),"Vediamo un gruppo di persone che giocano a biliardo in una stanza stretta.")</f>
        <v>Vediamo un gruppo di persone che giocano a biliardo in una stanza stretta.</v>
      </c>
    </row>
    <row r="25782">
      <c r="A25782" s="4" t="s">
        <v>32458</v>
      </c>
      <c r="B25782" s="4" t="s">
        <v>32459</v>
      </c>
      <c r="C25782" s="5" t="str">
        <f>IFERROR(__xludf.DUMMYFUNCTION("GOOGLETRANSLATE(B25782,""en"",""it"")"),"Un folto gruppo di persone è in piedi su un ponte.")</f>
        <v>Un folto gruppo di persone è in piedi su un ponte.</v>
      </c>
    </row>
    <row r="25783">
      <c r="A25783" s="4" t="s">
        <v>32458</v>
      </c>
      <c r="B25783" s="4" t="s">
        <v>32460</v>
      </c>
      <c r="C25783" s="5" t="str">
        <f>IFERROR(__xludf.DUMMYFUNCTION("GOOGLETRANSLATE(B25783,""en"",""it"")"),"Stanno guardando nelle acque rapide sottostanti.")</f>
        <v>Stanno guardando nelle acque rapide sottostanti.</v>
      </c>
    </row>
    <row r="25784">
      <c r="A25784" s="4" t="s">
        <v>32458</v>
      </c>
      <c r="B25784" s="4" t="s">
        <v>32461</v>
      </c>
      <c r="C25784" s="5" t="str">
        <f>IFERROR(__xludf.DUMMYFUNCTION("GOOGLETRANSLATE(B25784,""en"",""it"")"),"Diverse persone sulle canoe arrivano attraverso il ponte, che è il traguardo.")</f>
        <v>Diverse persone sulle canoe arrivano attraverso il ponte, che è il traguardo.</v>
      </c>
    </row>
    <row r="25785">
      <c r="A25785" s="4" t="s">
        <v>32462</v>
      </c>
      <c r="B25785" s="4" t="s">
        <v>32463</v>
      </c>
      <c r="C25785" s="5" t="str">
        <f>IFERROR(__xludf.DUMMYFUNCTION("GOOGLETRANSLATE(B25785,""en"",""it"")"),"Un modello che indossa un bikini si apre dirige la scena e parla dietro uno schermo I-Pad.")</f>
        <v>Un modello che indossa un bikini si apre dirige la scena e parla dietro uno schermo I-Pad.</v>
      </c>
    </row>
    <row r="25786">
      <c r="A25786" s="4" t="s">
        <v>32462</v>
      </c>
      <c r="B25786" s="4" t="s">
        <v>32464</v>
      </c>
      <c r="C25786" s="5" t="str">
        <f>IFERROR(__xludf.DUMMYFUNCTION("GOOGLETRANSLATE(B25786,""en"",""it"")"),"Un pasto viene cotto in una padella.")</f>
        <v>Un pasto viene cotto in una padella.</v>
      </c>
    </row>
    <row r="25787">
      <c r="A25787" s="4" t="s">
        <v>32462</v>
      </c>
      <c r="B25787" s="4" t="s">
        <v>32465</v>
      </c>
      <c r="C25787" s="5" t="str">
        <f>IFERROR(__xludf.DUMMYFUNCTION("GOOGLETRANSLATE(B25787,""en"",""it"")"),"Le persone cavalcano su una barca e catturano pesce.")</f>
        <v>Le persone cavalcano su una barca e catturano pesce.</v>
      </c>
    </row>
    <row r="25788">
      <c r="A25788" s="4" t="s">
        <v>32462</v>
      </c>
      <c r="B25788" s="4" t="s">
        <v>32466</v>
      </c>
      <c r="C25788" s="5" t="str">
        <f>IFERROR(__xludf.DUMMYFUNCTION("GOOGLETRANSLATE(B25788,""en"",""it"")"),"I surfisti cavalcano grandi onde nell'oceano.")</f>
        <v>I surfisti cavalcano grandi onde nell'oceano.</v>
      </c>
    </row>
    <row r="25789">
      <c r="A25789" s="4" t="s">
        <v>32462</v>
      </c>
      <c r="B25789" s="4" t="s">
        <v>32467</v>
      </c>
      <c r="C25789" s="5" t="str">
        <f>IFERROR(__xludf.DUMMYFUNCTION("GOOGLETRANSLATE(B25789,""en"",""it"")"),"Gli sci di jet tirano i surfisti verso le onde nell'oceano.")</f>
        <v>Gli sci di jet tirano i surfisti verso le onde nell'oceano.</v>
      </c>
    </row>
    <row r="25790">
      <c r="A25790" s="4" t="s">
        <v>32468</v>
      </c>
      <c r="B25790" s="4" t="s">
        <v>32469</v>
      </c>
      <c r="C25790" s="5" t="str">
        <f>IFERROR(__xludf.DUMMYFUNCTION("GOOGLETRANSLATE(B25790,""en"",""it"")"),"Vediamo un team di diportisti in una competizione in mare.")</f>
        <v>Vediamo un team di diportisti in una competizione in mare.</v>
      </c>
    </row>
    <row r="25791">
      <c r="A25791" s="4" t="s">
        <v>32468</v>
      </c>
      <c r="B25791" s="4" t="s">
        <v>32470</v>
      </c>
      <c r="C25791" s="5" t="str">
        <f>IFERROR(__xludf.DUMMYFUNCTION("GOOGLETRANSLATE(B25791,""en"",""it"")"),"Vediamo l'inizio della gara e i diportisti decollano.")</f>
        <v>Vediamo l'inizio della gara e i diportisti decollano.</v>
      </c>
    </row>
    <row r="25792">
      <c r="A25792" s="4" t="s">
        <v>32468</v>
      </c>
      <c r="B25792" s="4" t="s">
        <v>32471</v>
      </c>
      <c r="C25792" s="5" t="str">
        <f>IFERROR(__xludf.DUMMYFUNCTION("GOOGLETRANSLATE(B25792,""en"",""it"")"),"Passano una piccola barca in acqua.")</f>
        <v>Passano una piccola barca in acqua.</v>
      </c>
    </row>
    <row r="25793">
      <c r="A25793" s="4" t="s">
        <v>32468</v>
      </c>
      <c r="B25793" s="4" t="s">
        <v>32472</v>
      </c>
      <c r="C25793" s="5" t="str">
        <f>IFERROR(__xludf.DUMMYFUNCTION("GOOGLETRANSLATE(B25793,""en"",""it"")"),"Vediamo una squadra da vicino.")</f>
        <v>Vediamo una squadra da vicino.</v>
      </c>
    </row>
    <row r="25794">
      <c r="A25794" s="4" t="s">
        <v>32468</v>
      </c>
      <c r="B25794" s="4" t="s">
        <v>32473</v>
      </c>
      <c r="C25794" s="5" t="str">
        <f>IFERROR(__xludf.DUMMYFUNCTION("GOOGLETRANSLATE(B25794,""en"",""it"")"),"Vediamo una tavola di punteggio sullo schermo.")</f>
        <v>Vediamo una tavola di punteggio sullo schermo.</v>
      </c>
    </row>
    <row r="25795">
      <c r="A25795" s="4" t="s">
        <v>32468</v>
      </c>
      <c r="B25795" s="4" t="s">
        <v>32474</v>
      </c>
      <c r="C25795" s="5" t="str">
        <f>IFERROR(__xludf.DUMMYFUNCTION("GOOGLETRANSLATE(B25795,""en"",""it"")"),"I piloti passano uno stendardo e vediamo di nuovo la squadra verde.")</f>
        <v>I piloti passano uno stendardo e vediamo di nuovo la squadra verde.</v>
      </c>
    </row>
    <row r="25796">
      <c r="A25796" s="4" t="s">
        <v>32468</v>
      </c>
      <c r="B25796" s="4" t="s">
        <v>32475</v>
      </c>
      <c r="C25796" s="5" t="str">
        <f>IFERROR(__xludf.DUMMYFUNCTION("GOOGLETRANSLATE(B25796,""en"",""it"")"),"La gara è finita e vediamo la folla applaudire.")</f>
        <v>La gara è finita e vediamo la folla applaudire.</v>
      </c>
    </row>
    <row r="25797">
      <c r="A25797" s="4" t="s">
        <v>32468</v>
      </c>
      <c r="B25797" s="4" t="s">
        <v>32476</v>
      </c>
      <c r="C25797" s="5" t="str">
        <f>IFERROR(__xludf.DUMMYFUNCTION("GOOGLETRANSLATE(B25797,""en"",""it"")"),"Vediamo i punteggi finali e la scena finisce.")</f>
        <v>Vediamo i punteggi finali e la scena finisce.</v>
      </c>
    </row>
    <row r="25798">
      <c r="A25798" s="4" t="s">
        <v>32477</v>
      </c>
      <c r="B25798" s="6" t="s">
        <v>32478</v>
      </c>
      <c r="C25798" s="5" t="str">
        <f>IFERROR(__xludf.DUMMYFUNCTION("GOOGLETRANSLATE(B25798,""en"",""it"")"),"Una donna viene vista ospitare un segmento di notizie con un uomo e conduce in una persona che tira fuori un cane e accarezza il cane.")</f>
        <v>Una donna viene vista ospitare un segmento di notizie con un uomo e conduce in una persona che tira fuori un cane e accarezza il cane.</v>
      </c>
    </row>
    <row r="25799">
      <c r="A25799" s="4" t="s">
        <v>32477</v>
      </c>
      <c r="B25799" s="6" t="s">
        <v>32479</v>
      </c>
      <c r="C25799" s="5" t="str">
        <f>IFERROR(__xludf.DUMMYFUNCTION("GOOGLETRANSLATE(B25799,""en"",""it"")"),"L'uomo dimostra quindi come governare correttamente il cane mentre l'ospite continua a parlare e accarezzare il cane.")</f>
        <v>L'uomo dimostra quindi come governare correttamente il cane mentre l'ospite continua a parlare e accarezzare il cane.</v>
      </c>
    </row>
    <row r="25800">
      <c r="A25800" s="4" t="s">
        <v>32480</v>
      </c>
      <c r="B25800" s="4" t="s">
        <v>32481</v>
      </c>
      <c r="C25800" s="5" t="str">
        <f>IFERROR(__xludf.DUMMYFUNCTION("GOOGLETRANSLATE(B25800,""en"",""it"")"),"Un uomo viene visto andare in giro sulla scia di acqua dietro una barca.")</f>
        <v>Un uomo viene visto andare in giro sulla scia di acqua dietro una barca.</v>
      </c>
    </row>
    <row r="25801">
      <c r="A25801" s="4" t="s">
        <v>32480</v>
      </c>
      <c r="B25801" s="4" t="s">
        <v>32482</v>
      </c>
      <c r="C25801" s="5" t="str">
        <f>IFERROR(__xludf.DUMMYFUNCTION("GOOGLETRANSLATE(B25801,""en"",""it"")"),"L'uomo è mostrato in diverse clip che esegue un trucco con la fotocamera che colpisce i suoi movimenti.")</f>
        <v>L'uomo è mostrato in diverse clip che esegue un trucco con la fotocamera che colpisce i suoi movimenti.</v>
      </c>
    </row>
    <row r="25802">
      <c r="A25802" s="4" t="s">
        <v>32480</v>
      </c>
      <c r="B25802" s="4" t="s">
        <v>32483</v>
      </c>
      <c r="C25802" s="5" t="str">
        <f>IFERROR(__xludf.DUMMYFUNCTION("GOOGLETRANSLATE(B25802,""en"",""it"")"),"L'uomo continua a girare sul tabellone mentre il testo sembra dare istruzioni.")</f>
        <v>L'uomo continua a girare sul tabellone mentre il testo sembra dare istruzioni.</v>
      </c>
    </row>
    <row r="25803">
      <c r="A25803" s="4" t="s">
        <v>32484</v>
      </c>
      <c r="B25803" s="4" t="s">
        <v>32485</v>
      </c>
      <c r="C25803" s="5" t="str">
        <f>IFERROR(__xludf.DUMMYFUNCTION("GOOGLETRANSLATE(B25803,""en"",""it"")"),"C'è una grande palestra in cui tre ginnaste eseguono ginnastica.")</f>
        <v>C'è una grande palestra in cui tre ginnaste eseguono ginnastica.</v>
      </c>
    </row>
    <row r="25804">
      <c r="A25804" s="4" t="s">
        <v>32484</v>
      </c>
      <c r="B25804" s="6" t="s">
        <v>32486</v>
      </c>
      <c r="C25804" s="5" t="str">
        <f>IFERROR(__xludf.DUMMYFUNCTION("GOOGLETRANSLATE(B25804,""en"",""it"")"),"C'è una ginnasta in body arancioni che oscilla sull'asta e un'altra ginnasta accanto a lui che oscilla anche sui bar.")</f>
        <v>C'è una ginnasta in body arancioni che oscilla sull'asta e un'altra ginnasta accanto a lui che oscilla anche sui bar.</v>
      </c>
    </row>
    <row r="25805">
      <c r="A25805" s="4" t="s">
        <v>32484</v>
      </c>
      <c r="B25805" s="6" t="s">
        <v>32487</v>
      </c>
      <c r="C25805" s="5" t="str">
        <f>IFERROR(__xludf.DUMMYFUNCTION("GOOGLETRANSLATE(B25805,""en"",""it"")"),"Entrambi oscillano a testa in giù e si mettono sulle mani per alcuni secondi prima di oscillare.")</f>
        <v>Entrambi oscillano a testa in giù e si mettono sulle mani per alcuni secondi prima di oscillare.</v>
      </c>
    </row>
    <row r="25806">
      <c r="A25806" s="4" t="s">
        <v>32484</v>
      </c>
      <c r="B25806" s="4" t="s">
        <v>32488</v>
      </c>
      <c r="C25806" s="5" t="str">
        <f>IFERROR(__xludf.DUMMYFUNCTION("GOOGLETRANSLATE(B25806,""en"",""it"")"),"La terza ginnasta si esibisce dietro di loro, facendo giri anteriori e posteriori.")</f>
        <v>La terza ginnasta si esibisce dietro di loro, facendo giri anteriori e posteriori.</v>
      </c>
    </row>
    <row r="25807">
      <c r="A25807" s="4" t="s">
        <v>32484</v>
      </c>
      <c r="B25807" s="6" t="s">
        <v>32489</v>
      </c>
      <c r="C25807" s="5" t="str">
        <f>IFERROR(__xludf.DUMMYFUNCTION("GOOGLETRANSLATE(B25807,""en"",""it"")"),"La ginnasta nei body arancioni fa un'altra oscillazione anteriore e poi scende dai bar e si allontana.")</f>
        <v>La ginnasta nei body arancioni fa un'altra oscillazione anteriore e poi scende dai bar e si allontana.</v>
      </c>
    </row>
    <row r="25808">
      <c r="A25808" s="4" t="s">
        <v>32490</v>
      </c>
      <c r="B25808" s="4" t="s">
        <v>32491</v>
      </c>
      <c r="C25808" s="5" t="str">
        <f>IFERROR(__xludf.DUMMYFUNCTION("GOOGLETRANSLATE(B25808,""en"",""it"")"),"Una femmina nera è mostrata in una stanza con una sciarpa nera intorno alla testa.")</f>
        <v>Una femmina nera è mostrata in una stanza con una sciarpa nera intorno alla testa.</v>
      </c>
    </row>
    <row r="25809">
      <c r="A25809" s="4" t="s">
        <v>32490</v>
      </c>
      <c r="B25809" s="4" t="s">
        <v>32492</v>
      </c>
      <c r="C25809" s="5" t="str">
        <f>IFERROR(__xludf.DUMMYFUNCTION("GOOGLETRANSLATE(B25809,""en"",""it"")"),"Le macchie nere sulla sua faccia vengono quindi ingrandite e inizia ad applicare qualcosa su di esso.")</f>
        <v>Le macchie nere sulla sua faccia vengono quindi ingrandite e inizia ad applicare qualcosa su di esso.</v>
      </c>
    </row>
    <row r="25810">
      <c r="A25810" s="4" t="s">
        <v>32490</v>
      </c>
      <c r="B25810" s="6" t="s">
        <v>32493</v>
      </c>
      <c r="C25810" s="5" t="str">
        <f>IFERROR(__xludf.DUMMYFUNCTION("GOOGLETRANSLATE(B25810,""en"",""it"")"),"Successivamente, prende un po 'di spray e rende la sua pelle estremamente oleosa e continua a parlare fino alla fine del video.")</f>
        <v>Successivamente, prende un po 'di spray e rende la sua pelle estremamente oleosa e continua a parlare fino alla fine del video.</v>
      </c>
    </row>
    <row r="25811">
      <c r="A25811" s="4" t="s">
        <v>32494</v>
      </c>
      <c r="B25811" s="4" t="s">
        <v>32495</v>
      </c>
      <c r="C25811" s="5" t="str">
        <f>IFERROR(__xludf.DUMMYFUNCTION("GOOGLETRANSLATE(B25811,""en"",""it"")"),"Vediamo un albero con le foglie che soffiano nel vento.")</f>
        <v>Vediamo un albero con le foglie che soffiano nel vento.</v>
      </c>
    </row>
    <row r="25812">
      <c r="A25812" s="4" t="s">
        <v>32494</v>
      </c>
      <c r="B25812" s="4" t="s">
        <v>32496</v>
      </c>
      <c r="C25812" s="5" t="str">
        <f>IFERROR(__xludf.DUMMYFUNCTION("GOOGLETRANSLATE(B25812,""en"",""it"")"),"Un uomo rastrella il suo cortile e parla alla telecamera.")</f>
        <v>Un uomo rastrella il suo cortile e parla alla telecamera.</v>
      </c>
    </row>
    <row r="25813">
      <c r="A25813" s="4" t="s">
        <v>32494</v>
      </c>
      <c r="B25813" s="4" t="s">
        <v>32497</v>
      </c>
      <c r="C25813" s="5" t="str">
        <f>IFERROR(__xludf.DUMMYFUNCTION("GOOGLETRANSLATE(B25813,""en"",""it"")"),"L'uomo sceglie un rastrello da quattro.")</f>
        <v>L'uomo sceglie un rastrello da quattro.</v>
      </c>
    </row>
    <row r="25814">
      <c r="A25814" s="4" t="s">
        <v>32494</v>
      </c>
      <c r="B25814" s="4" t="s">
        <v>32498</v>
      </c>
      <c r="C25814" s="5" t="str">
        <f>IFERROR(__xludf.DUMMYFUNCTION("GOOGLETRANSLATE(B25814,""en"",""it"")"),"L'uomo getta un po 'di erba nella spazzatura.")</f>
        <v>L'uomo getta un po 'di erba nella spazzatura.</v>
      </c>
    </row>
    <row r="25815">
      <c r="A25815" s="4" t="s">
        <v>32494</v>
      </c>
      <c r="B25815" s="4" t="s">
        <v>32499</v>
      </c>
      <c r="C25815" s="5" t="str">
        <f>IFERROR(__xludf.DUMMYFUNCTION("GOOGLETRANSLATE(B25815,""en"",""it"")"),"L'uomo riprende e profuma un ramoscello con le foglie.")</f>
        <v>L'uomo riprende e profuma un ramoscello con le foglie.</v>
      </c>
    </row>
    <row r="25816">
      <c r="A25816" s="4" t="s">
        <v>32494</v>
      </c>
      <c r="B25816" s="4" t="s">
        <v>32500</v>
      </c>
      <c r="C25816" s="5" t="str">
        <f>IFERROR(__xludf.DUMMYFUNCTION("GOOGLETRANSLATE(B25816,""en"",""it"")"),"L'uomo getta il suo rastrello nel cortile.")</f>
        <v>L'uomo getta il suo rastrello nel cortile.</v>
      </c>
    </row>
    <row r="25817">
      <c r="A25817" s="4" t="s">
        <v>32494</v>
      </c>
      <c r="B25817" s="4" t="s">
        <v>32501</v>
      </c>
      <c r="C25817" s="5" t="str">
        <f>IFERROR(__xludf.DUMMYFUNCTION("GOOGLETRANSLATE(B25817,""en"",""it"")"),"L'uomo spruzza lascia nel cortile e li rastrella.")</f>
        <v>L'uomo spruzza lascia nel cortile e li rastrella.</v>
      </c>
    </row>
    <row r="25818">
      <c r="A25818" s="4" t="s">
        <v>32494</v>
      </c>
      <c r="B25818" s="4" t="s">
        <v>32502</v>
      </c>
      <c r="C25818" s="5" t="str">
        <f>IFERROR(__xludf.DUMMYFUNCTION("GOOGLETRANSLATE(B25818,""en"",""it"")"),"Vediamo quindi i ramoscelli e le parte di nuovo.")</f>
        <v>Vediamo quindi i ramoscelli e le parte di nuovo.</v>
      </c>
    </row>
    <row r="25819">
      <c r="A25819" s="4" t="s">
        <v>32503</v>
      </c>
      <c r="B25819" s="4" t="s">
        <v>32504</v>
      </c>
      <c r="C25819" s="5" t="str">
        <f>IFERROR(__xludf.DUMMYFUNCTION("GOOGLETRANSLATE(B25819,""en"",""it"")"),"Un lavoratore maschio si avvicina a un elefante.")</f>
        <v>Un lavoratore maschio si avvicina a un elefante.</v>
      </c>
    </row>
    <row r="25820">
      <c r="A25820" s="4" t="s">
        <v>32503</v>
      </c>
      <c r="B25820" s="4" t="s">
        <v>32505</v>
      </c>
      <c r="C25820" s="5" t="str">
        <f>IFERROR(__xludf.DUMMYFUNCTION("GOOGLETRANSLATE(B25820,""en"",""it"")"),"Dà un dardo all'elefante.")</f>
        <v>Dà un dardo all'elefante.</v>
      </c>
    </row>
    <row r="25821">
      <c r="A25821" s="4" t="s">
        <v>32503</v>
      </c>
      <c r="B25821" s="4" t="s">
        <v>32506</v>
      </c>
      <c r="C25821" s="5" t="str">
        <f>IFERROR(__xludf.DUMMYFUNCTION("GOOGLETRANSLATE(B25821,""en"",""it"")"),"L'elefante e una donna a turno gettano freccette contro i loro obiettivi.")</f>
        <v>L'elefante e una donna a turno gettano freccette contro i loro obiettivi.</v>
      </c>
    </row>
    <row r="25822">
      <c r="A25822" s="4" t="s">
        <v>32507</v>
      </c>
      <c r="B25822" s="4" t="s">
        <v>32508</v>
      </c>
      <c r="C25822" s="5" t="str">
        <f>IFERROR(__xludf.DUMMYFUNCTION("GOOGLETRANSLATE(B25822,""en"",""it"")"),"Un giovane è visto seduto in fondo a una piscina.")</f>
        <v>Un giovane è visto seduto in fondo a una piscina.</v>
      </c>
    </row>
    <row r="25823">
      <c r="A25823" s="4" t="s">
        <v>32507</v>
      </c>
      <c r="B25823" s="4" t="s">
        <v>32509</v>
      </c>
      <c r="C25823" s="5" t="str">
        <f>IFERROR(__xludf.DUMMYFUNCTION("GOOGLETRANSLATE(B25823,""en"",""it"")"),"Comincia a avvicinarsi alla telecamera mentre sorride.")</f>
        <v>Comincia a avvicinarsi alla telecamera mentre sorride.</v>
      </c>
    </row>
    <row r="25824">
      <c r="A25824" s="4" t="s">
        <v>32507</v>
      </c>
      <c r="B25824" s="4" t="s">
        <v>32510</v>
      </c>
      <c r="C25824" s="5" t="str">
        <f>IFERROR(__xludf.DUMMYFUNCTION("GOOGLETRANSLATE(B25824,""en"",""it"")"),"Quindi si imbatte nel muro e si muove verso l'alto.")</f>
        <v>Quindi si imbatte nel muro e si muove verso l'alto.</v>
      </c>
    </row>
    <row r="25825">
      <c r="A25825" s="4" t="s">
        <v>32511</v>
      </c>
      <c r="B25825" s="4" t="s">
        <v>32512</v>
      </c>
      <c r="C25825" s="5" t="str">
        <f>IFERROR(__xludf.DUMMYFUNCTION("GOOGLETRANSLATE(B25825,""en"",""it"")"),"Vengono mostrati vari colpi dell'oceano e delle barche che cavalcano lungo l'acqua.")</f>
        <v>Vengono mostrati vari colpi dell'oceano e delle barche che cavalcano lungo l'acqua.</v>
      </c>
    </row>
    <row r="25826">
      <c r="A25826" s="4" t="s">
        <v>32511</v>
      </c>
      <c r="B25826" s="4" t="s">
        <v>32513</v>
      </c>
      <c r="C25826" s="5" t="str">
        <f>IFERROR(__xludf.DUMMYFUNCTION("GOOGLETRANSLATE(B25826,""en"",""it"")"),"Le persone sono viste sdraiate sulle spiagge e parlano tra loro e cavalcano dietro le barche.")</f>
        <v>Le persone sono viste sdraiate sulle spiagge e parlano tra loro e cavalcano dietro le barche.</v>
      </c>
    </row>
    <row r="25827">
      <c r="A25827" s="4" t="s">
        <v>32511</v>
      </c>
      <c r="B25827" s="4" t="s">
        <v>32514</v>
      </c>
      <c r="C25827" s="5" t="str">
        <f>IFERROR(__xludf.DUMMYFUNCTION("GOOGLETRANSLATE(B25827,""en"",""it"")"),"I primi piani di pesce sono visti e le persone che cavalcano e navigano sull'acqua.")</f>
        <v>I primi piani di pesce sono visti e le persone che cavalcano e navigano sull'acqua.</v>
      </c>
    </row>
    <row r="25828">
      <c r="A25828" s="4" t="s">
        <v>32515</v>
      </c>
      <c r="B25828" s="4" t="s">
        <v>32516</v>
      </c>
      <c r="C25828" s="5" t="str">
        <f>IFERROR(__xludf.DUMMYFUNCTION("GOOGLETRANSLATE(B25828,""en"",""it"")"),"Gli atleti eseguono un salto in alto con successo in uno stadio pieno di persone.")</f>
        <v>Gli atleti eseguono un salto in alto con successo in uno stadio pieno di persone.</v>
      </c>
    </row>
    <row r="25829">
      <c r="A25829" s="4" t="s">
        <v>32515</v>
      </c>
      <c r="B25829" s="4" t="s">
        <v>32517</v>
      </c>
      <c r="C25829" s="5" t="str">
        <f>IFERROR(__xludf.DUMMYFUNCTION("GOOGLETRANSLATE(B25829,""en"",""it"")"),"Un atleta salta, ma tocca l'asta orizzontale.")</f>
        <v>Un atleta salta, ma tocca l'asta orizzontale.</v>
      </c>
    </row>
    <row r="25830">
      <c r="A25830" s="4" t="s">
        <v>32515</v>
      </c>
      <c r="B25830" s="4" t="s">
        <v>32518</v>
      </c>
      <c r="C25830" s="5" t="str">
        <f>IFERROR(__xludf.DUMMYFUNCTION("GOOGLETRANSLATE(B25830,""en"",""it"")"),"Altri atleti eseguono un salto in alto in una competizione sul corvo.")</f>
        <v>Altri atleti eseguono un salto in alto in una competizione sul corvo.</v>
      </c>
    </row>
    <row r="25831">
      <c r="A25831" s="4" t="s">
        <v>32519</v>
      </c>
      <c r="B25831" s="4" t="s">
        <v>32520</v>
      </c>
      <c r="C25831" s="5" t="str">
        <f>IFERROR(__xludf.DUMMYFUNCTION("GOOGLETRANSLATE(B25831,""en"",""it"")"),"Una donna sta portando il cavallo fuori in un campo per cavalcare.")</f>
        <v>Una donna sta portando il cavallo fuori in un campo per cavalcare.</v>
      </c>
    </row>
    <row r="25832">
      <c r="A25832" s="4" t="s">
        <v>32519</v>
      </c>
      <c r="B25832" s="4" t="s">
        <v>32521</v>
      </c>
      <c r="C25832" s="5" t="str">
        <f>IFERROR(__xludf.DUMMYFUNCTION("GOOGLETRANSLATE(B25832,""en"",""it"")"),"La coda dei cavalli è intrecciata e indossa il rosa.")</f>
        <v>La coda dei cavalli è intrecciata e indossa il rosa.</v>
      </c>
    </row>
    <row r="25833">
      <c r="A25833" s="4" t="s">
        <v>32519</v>
      </c>
      <c r="B25833" s="4" t="s">
        <v>32522</v>
      </c>
      <c r="C25833" s="5" t="str">
        <f>IFERROR(__xludf.DUMMYFUNCTION("GOOGLETRANSLATE(B25833,""en"",""it"")"),"La signora sale sul cavallo e cavalcalo a colpire una palla intorno.")</f>
        <v>La signora sale sul cavallo e cavalcalo a colpire una palla intorno.</v>
      </c>
    </row>
    <row r="25834">
      <c r="A25834" s="4" t="s">
        <v>32519</v>
      </c>
      <c r="B25834" s="4" t="s">
        <v>32523</v>
      </c>
      <c r="C25834" s="5" t="str">
        <f>IFERROR(__xludf.DUMMYFUNCTION("GOOGLETRANSLATE(B25834,""en"",""it"")"),"La coda dei cavalli non è più intrecciata mentre cavalcano nella sabbia.")</f>
        <v>La coda dei cavalli non è più intrecciata mentre cavalcano nella sabbia.</v>
      </c>
    </row>
    <row r="25835">
      <c r="A25835" s="4" t="s">
        <v>32524</v>
      </c>
      <c r="B25835" s="6" t="s">
        <v>32525</v>
      </c>
      <c r="C25835" s="5" t="str">
        <f>IFERROR(__xludf.DUMMYFUNCTION("GOOGLETRANSLATE(B25835,""en"",""it"")"),"Tre donne sono sedute in una stanza dietro il tavolo a maglia sciarpe e cappelli prima che appaia un logo.")</f>
        <v>Tre donne sono sedute in una stanza dietro il tavolo a maglia sciarpe e cappelli prima che appaia un logo.</v>
      </c>
    </row>
    <row r="25836">
      <c r="A25836" s="4" t="s">
        <v>32524</v>
      </c>
      <c r="B25836" s="4" t="s">
        <v>32526</v>
      </c>
      <c r="C25836" s="5" t="str">
        <f>IFERROR(__xludf.DUMMYFUNCTION("GOOGLETRANSLATE(B25836,""en"",""it"")"),"Tutti riappariranno e iniziano a lavorare a maglia una sciarpa viola mentre parlano.")</f>
        <v>Tutti riappariranno e iniziano a lavorare a maglia una sciarpa viola mentre parlano.</v>
      </c>
    </row>
    <row r="25837">
      <c r="A25837" s="4" t="s">
        <v>32524</v>
      </c>
      <c r="B25837" s="4" t="s">
        <v>32527</v>
      </c>
      <c r="C25837" s="5" t="str">
        <f>IFERROR(__xludf.DUMMYFUNCTION("GOOGLETRANSLATE(B25837,""en"",""it"")"),"Successivamente, ogni signora inizia a parlare e mostrare le foto di per chi stanno facendo il capo speciale.")</f>
        <v>Successivamente, ogni signora inizia a parlare e mostrare le foto di per chi stanno facendo il capo speciale.</v>
      </c>
    </row>
    <row r="25838">
      <c r="A25838" s="4" t="s">
        <v>32528</v>
      </c>
      <c r="B25838" s="4" t="s">
        <v>32529</v>
      </c>
      <c r="C25838" s="5" t="str">
        <f>IFERROR(__xludf.DUMMYFUNCTION("GOOGLETRANSLATE(B25838,""en"",""it"")"),"L'uomo senza camicia sta facendo scricchiolii.")</f>
        <v>L'uomo senza camicia sta facendo scricchiolii.</v>
      </c>
    </row>
    <row r="25839">
      <c r="A25839" s="4" t="s">
        <v>32528</v>
      </c>
      <c r="B25839" s="4" t="s">
        <v>32530</v>
      </c>
      <c r="C25839" s="5" t="str">
        <f>IFERROR(__xludf.DUMMYFUNCTION("GOOGLETRANSLATE(B25839,""en"",""it"")"),"La donna sta facendo scricchiolii mentre le gambe sono su una macchina.")</f>
        <v>La donna sta facendo scricchiolii mentre le gambe sono su una macchina.</v>
      </c>
    </row>
    <row r="25840">
      <c r="A25840" s="4" t="s">
        <v>32528</v>
      </c>
      <c r="B25840" s="4" t="s">
        <v>32531</v>
      </c>
      <c r="C25840" s="5" t="str">
        <f>IFERROR(__xludf.DUMMYFUNCTION("GOOGLETRANSLATE(B25840,""en"",""it"")"),"La donna tiene i piedi dell'uomo mentre scricchiola.")</f>
        <v>La donna tiene i piedi dell'uomo mentre scricchiola.</v>
      </c>
    </row>
    <row r="25841">
      <c r="A25841" s="4" t="s">
        <v>32528</v>
      </c>
      <c r="B25841" s="4" t="s">
        <v>32532</v>
      </c>
      <c r="C25841" s="5" t="str">
        <f>IFERROR(__xludf.DUMMYFUNCTION("GOOGLETRANSLATE(B25841,""en"",""it"")"),"L'uomo si muove le gambe mentre ha una grande palla da yoga sotto le gambe.")</f>
        <v>L'uomo si muove le gambe mentre ha una grande palla da yoga sotto le gambe.</v>
      </c>
    </row>
    <row r="25842">
      <c r="A25842" s="4" t="s">
        <v>32533</v>
      </c>
      <c r="B25842" s="4" t="s">
        <v>32534</v>
      </c>
      <c r="C25842" s="5" t="str">
        <f>IFERROR(__xludf.DUMMYFUNCTION("GOOGLETRANSLATE(B25842,""en"",""it"")"),"Due motociclisti stanno guidando le loro motociclette attraverso terreni accidentati.")</f>
        <v>Due motociclisti stanno guidando le loro motociclette attraverso terreni accidentati.</v>
      </c>
    </row>
    <row r="25843">
      <c r="A25843" s="4" t="s">
        <v>32533</v>
      </c>
      <c r="B25843" s="4" t="s">
        <v>32535</v>
      </c>
      <c r="C25843" s="5" t="str">
        <f>IFERROR(__xludf.DUMMYFUNCTION("GOOGLETRANSLATE(B25843,""en"",""it"")"),"Sono vestiti con attrezzatura per biciclette con caschi e vestiti protettivi.")</f>
        <v>Sono vestiti con attrezzatura per biciclette con caschi e vestiti protettivi.</v>
      </c>
    </row>
    <row r="25844">
      <c r="A25844" s="4" t="s">
        <v>32533</v>
      </c>
      <c r="B25844" s="4" t="s">
        <v>32536</v>
      </c>
      <c r="C25844" s="5" t="str">
        <f>IFERROR(__xludf.DUMMYFUNCTION("GOOGLETRANSLATE(B25844,""en"",""it"")"),"Stanno andando su pendii collinari e terreni irregolari sulle loro moto.")</f>
        <v>Stanno andando su pendii collinari e terreni irregolari sulle loro moto.</v>
      </c>
    </row>
    <row r="25845">
      <c r="A25845" s="4" t="s">
        <v>32533</v>
      </c>
      <c r="B25845" s="4" t="s">
        <v>32537</v>
      </c>
      <c r="C25845" s="5" t="str">
        <f>IFERROR(__xludf.DUMMYFUNCTION("GOOGLETRANSLATE(B25845,""en"",""it"")"),"Attraversano strade sterrate estremamente ripide e pericolose ad alta velocità.")</f>
        <v>Attraversano strade sterrate estremamente ripide e pericolose ad alta velocità.</v>
      </c>
    </row>
    <row r="25846">
      <c r="A25846" s="4" t="s">
        <v>32533</v>
      </c>
      <c r="B25846" s="4" t="s">
        <v>32538</v>
      </c>
      <c r="C25846" s="5" t="str">
        <f>IFERROR(__xludf.DUMMYFUNCTION("GOOGLETRANSLATE(B25846,""en"",""it"")"),"Esaminano anche le rampe create nella strada sterrata.")</f>
        <v>Esaminano anche le rampe create nella strada sterrata.</v>
      </c>
    </row>
    <row r="25847">
      <c r="A25847" s="4" t="s">
        <v>32533</v>
      </c>
      <c r="B25847" s="4" t="s">
        <v>32539</v>
      </c>
      <c r="C25847" s="5" t="str">
        <f>IFERROR(__xludf.DUMMYFUNCTION("GOOGLETRANSLATE(B25847,""en"",""it"")"),"Continuano a andare in bicicletta attraverso lo sporco ad alta velocità mentre creano una nuvola di polvere dietro di loro.")</f>
        <v>Continuano a andare in bicicletta attraverso lo sporco ad alta velocità mentre creano una nuvola di polvere dietro di loro.</v>
      </c>
    </row>
    <row r="25848">
      <c r="A25848" s="4" t="s">
        <v>32540</v>
      </c>
      <c r="B25848" s="6" t="s">
        <v>32541</v>
      </c>
      <c r="C25848" s="5" t="str">
        <f>IFERROR(__xludf.DUMMYFUNCTION("GOOGLETRANSLATE(B25848,""en"",""it"")"),"Appare uno schermo nero e un triangolo nero con luci blu e verdi che illuminano da esso appaiono nel mezzo e le lettere di fantasia rossa appaiono nel mezzo e leggi ""Lovey's Nails"".")</f>
        <v>Appare uno schermo nero e un triangolo nero con luci blu e verdi che illuminano da esso appaiono nel mezzo e le lettere di fantasia rossa appaiono nel mezzo e leggi "Lovey's Nails".</v>
      </c>
    </row>
    <row r="25849">
      <c r="A25849" s="4" t="s">
        <v>32540</v>
      </c>
      <c r="B25849" s="6" t="s">
        <v>32542</v>
      </c>
      <c r="C25849" s="5" t="str">
        <f>IFERROR(__xludf.DUMMYFUNCTION("GOOGLETRANSLATE(B25849,""en"",""it"")"),"Altri scritte appaiono su diversi schermi neri e insieme leggono ""Nails Maleficent"" e ""per facilitare le consigli per unghie rosse se hai USA Puntas Rojas Si Tienes"".")</f>
        <v>Altri scritte appaiono su diversi schermi neri e insieme leggono "Nails Maleficent" e "per facilitare le consigli per unghie rosse se hai USA Puntas Rojas Si Tienes".</v>
      </c>
    </row>
    <row r="25850">
      <c r="A25850" s="4" t="s">
        <v>32540</v>
      </c>
      <c r="B25850" s="6" t="s">
        <v>32543</v>
      </c>
      <c r="C25850" s="5" t="str">
        <f>IFERROR(__xludf.DUMMYFUNCTION("GOOGLETRANSLATE(B25850,""en"",""it"")"),"La donna ora si sta rimuovendo lo smalto dalle unghie sulla mano sinistra, applica olio, quindi super incolla le unghie finte sulla mano sinistra e taglia le unghie finte con punta a forma appuntita.")</f>
        <v>La donna ora si sta rimuovendo lo smalto dalle unghie sulla mano sinistra, applica olio, quindi super incolla le unghie finte sulla mano sinistra e taglia le unghie finte con punta a forma appuntita.</v>
      </c>
    </row>
    <row r="25851">
      <c r="A25851" s="4" t="s">
        <v>32540</v>
      </c>
      <c r="B25851" s="6" t="s">
        <v>32544</v>
      </c>
      <c r="C25851" s="5" t="str">
        <f>IFERROR(__xludf.DUMMYFUNCTION("GOOGLETRANSLATE(B25851,""en"",""it"")"),"La donna quindi apre un piccolo contenitore di liquido spesso rosso, prende un pennello e lo applica ai suoi falsi chiodi a punta a punta e applica qualche cappotto su ogni chiodo a punta finta, quindi una volta che il rosso è essiccato, quindi applica un"&amp;" liquido denso di colore con carne L'intero chiodo include le punte rosse, li modella, le file, le scosta, quindi spazza via la polvere con un pennello.")</f>
        <v>La donna quindi apre un piccolo contenitore di liquido spesso rosso, prende un pennello e lo applica ai suoi falsi chiodi a punta a punta e applica qualche cappotto su ogni chiodo a punta finta, quindi una volta che il rosso è essiccato, quindi applica un liquido denso di colore con carne L'intero chiodo include le punte rosse, li modella, le file, le scosta, quindi spazza via la polvere con un pennello.</v>
      </c>
    </row>
    <row r="25852">
      <c r="A25852" s="4" t="s">
        <v>32540</v>
      </c>
      <c r="B25852" s="6" t="s">
        <v>32545</v>
      </c>
      <c r="C25852" s="5" t="str">
        <f>IFERROR(__xludf.DUMMYFUNCTION("GOOGLETRANSLATE(B25852,""en"",""it"")"),"La donna quindi dipinge la parte superiore delle unghie con un cappotto trasparente, quindi gira le unghie e dipinge anche la parte inferiore e mette insieme le sue due mani per mostrare come appare sul lato inferiore e sul lato superiore.")</f>
        <v>La donna quindi dipinge la parte superiore delle unghie con un cappotto trasparente, quindi gira le unghie e dipinge anche la parte inferiore e mette insieme le sue due mani per mostrare come appare sul lato inferiore e sul lato superiore.</v>
      </c>
    </row>
    <row r="25853">
      <c r="A25853" s="4" t="s">
        <v>32540</v>
      </c>
      <c r="B25853" s="6" t="s">
        <v>32546</v>
      </c>
      <c r="C25853" s="5" t="str">
        <f>IFERROR(__xludf.DUMMYFUNCTION("GOOGLETRANSLATE(B25853,""en"",""it"")"),"La donna ora sta mostrando un primo piano del viso mentre mostra il vicino al suo viso, poi solleva un rossetto Mac che si chiama ""Russia Red"" e lei lo applica alle labbra, poi sorride e spettacoli delle sue unghie e le labbra appena fatte Mostrandolo a"&amp;"d alcuni angoli, e poi finendo con le foto ancora scattate e la parola shio sull'ultima ripresa.")</f>
        <v>La donna ora sta mostrando un primo piano del viso mentre mostra il vicino al suo viso, poi solleva un rossetto Mac che si chiama "Russia Red" e lei lo applica alle labbra, poi sorride e spettacoli delle sue unghie e le labbra appena fatte Mostrandolo ad alcuni angoli, e poi finendo con le foto ancora scattate e la parola shio sull'ultima ripresa.</v>
      </c>
    </row>
    <row r="25854">
      <c r="A25854" s="4" t="s">
        <v>32547</v>
      </c>
      <c r="B25854" s="6" t="s">
        <v>32548</v>
      </c>
      <c r="C25854" s="5" t="str">
        <f>IFERROR(__xludf.DUMMYFUNCTION("GOOGLETRANSLATE(B25854,""en"",""it"")"),"Due squadre giocano a hockey su ghiaccio che le squadre bianche segna e le persone con le candeggine applausi, quindi le squadre rosse segna per la sua squadra, quindi continuano a giocare.")</f>
        <v>Due squadre giocano a hockey su ghiaccio che le squadre bianche segna e le persone con le candeggine applausi, quindi le squadre rosse segna per la sua squadra, quindi continuano a giocare.</v>
      </c>
    </row>
    <row r="25855">
      <c r="A25855" s="4" t="s">
        <v>32547</v>
      </c>
      <c r="B25855" s="4" t="s">
        <v>32549</v>
      </c>
      <c r="C25855" s="5" t="str">
        <f>IFERROR(__xludf.DUMMYFUNCTION("GOOGLETRANSLATE(B25855,""en"",""it"")"),"La squadra bianca segna e i giocatori si abbracciano, la folla applaude.")</f>
        <v>La squadra bianca segna e i giocatori si abbracciano, la folla applaude.</v>
      </c>
    </row>
    <row r="25856">
      <c r="A25856" s="4" t="s">
        <v>32547</v>
      </c>
      <c r="B25856" s="4" t="s">
        <v>32550</v>
      </c>
      <c r="C25856" s="5" t="str">
        <f>IFERROR(__xludf.DUMMYFUNCTION("GOOGLETRANSLATE(B25856,""en"",""it"")"),"Dopo il punteggio della squadra rossa.")</f>
        <v>Dopo il punteggio della squadra rossa.</v>
      </c>
    </row>
    <row r="25857">
      <c r="A25857" s="4" t="s">
        <v>32547</v>
      </c>
      <c r="B25857" s="4" t="s">
        <v>32551</v>
      </c>
      <c r="C25857" s="5" t="str">
        <f>IFERROR(__xludf.DUMMYFUNCTION("GOOGLETRANSLATE(B25857,""en"",""it"")"),"I giocatori vanno negli spogliatoi a metà tempo.")</f>
        <v>I giocatori vanno negli spogliatoi a metà tempo.</v>
      </c>
    </row>
    <row r="25858">
      <c r="A25858" s="4" t="s">
        <v>32547</v>
      </c>
      <c r="B25858" s="4" t="s">
        <v>32552</v>
      </c>
      <c r="C25858" s="5" t="str">
        <f>IFERROR(__xludf.DUMMYFUNCTION("GOOGLETRANSLATE(B25858,""en"",""it"")"),"Quindi, i giocatori continuano a giocare e la squadra rossa segna e vince la competizione.")</f>
        <v>Quindi, i giocatori continuano a giocare e la squadra rossa segna e vince la competizione.</v>
      </c>
    </row>
    <row r="25859">
      <c r="A25859" s="4" t="s">
        <v>32553</v>
      </c>
      <c r="B25859" s="4" t="s">
        <v>32554</v>
      </c>
      <c r="C25859" s="5" t="str">
        <f>IFERROR(__xludf.DUMMYFUNCTION("GOOGLETRANSLATE(B25859,""en"",""it"")"),"Le persone suonano la batteria in una stanza.")</f>
        <v>Le persone suonano la batteria in una stanza.</v>
      </c>
    </row>
    <row r="25860">
      <c r="A25860" s="4" t="s">
        <v>32553</v>
      </c>
      <c r="B25860" s="4" t="s">
        <v>32555</v>
      </c>
      <c r="C25860" s="5" t="str">
        <f>IFERROR(__xludf.DUMMYFUNCTION("GOOGLETRANSLATE(B25860,""en"",""it"")"),"Cominciano a marciare avanti e indietro nella stanza.")</f>
        <v>Cominciano a marciare avanti e indietro nella stanza.</v>
      </c>
    </row>
    <row r="25861">
      <c r="A25861" s="4" t="s">
        <v>32553</v>
      </c>
      <c r="B25861" s="4" t="s">
        <v>32556</v>
      </c>
      <c r="C25861" s="5" t="str">
        <f>IFERROR(__xludf.DUMMYFUNCTION("GOOGLETRANSLATE(B25861,""en"",""it"")"),"Una persona nella parte posteriore sta giocando i simboli.")</f>
        <v>Una persona nella parte posteriore sta giocando i simboli.</v>
      </c>
    </row>
    <row r="25862">
      <c r="A25862" s="4" t="s">
        <v>32557</v>
      </c>
      <c r="B25862" s="6" t="s">
        <v>32558</v>
      </c>
      <c r="C25862" s="5" t="str">
        <f>IFERROR(__xludf.DUMMYFUNCTION("GOOGLETRANSLATE(B25862,""en"",""it"")"),"Una telecamera si muove intorno a una stanza e conduce in una stanza che strofina la carta e mette una scatola nel mezzo.")</f>
        <v>Una telecamera si muove intorno a una stanza e conduce in una stanza che strofina la carta e mette una scatola nel mezzo.</v>
      </c>
    </row>
    <row r="25863">
      <c r="A25863" s="4" t="s">
        <v>32557</v>
      </c>
      <c r="B25863" s="4" t="s">
        <v>32559</v>
      </c>
      <c r="C25863" s="5" t="str">
        <f>IFERROR(__xludf.DUMMYFUNCTION("GOOGLETRANSLATE(B25863,""en"",""it"")"),"La donna avvolge la scatola in carta e spinge ai lati.")</f>
        <v>La donna avvolge la scatola in carta e spinge ai lati.</v>
      </c>
    </row>
    <row r="25864">
      <c r="A25864" s="4" t="s">
        <v>32557</v>
      </c>
      <c r="B25864" s="6" t="s">
        <v>32560</v>
      </c>
      <c r="C25864" s="5" t="str">
        <f>IFERROR(__xludf.DUMMYFUNCTION("GOOGLETRANSLATE(B25864,""en"",""it"")"),"Lei registra i lati e usa un nastro per legare la scatola e termina scartandola e mostrando cosa c'è dentro.")</f>
        <v>Lei registra i lati e usa un nastro per legare la scatola e termina scartandola e mostrando cosa c'è dentro.</v>
      </c>
    </row>
    <row r="25865">
      <c r="A25865" s="4" t="s">
        <v>32561</v>
      </c>
      <c r="B25865" s="6" t="s">
        <v>32562</v>
      </c>
      <c r="C25865" s="5" t="str">
        <f>IFERROR(__xludf.DUMMYFUNCTION("GOOGLETRANSLATE(B25865,""en"",""it"")"),"Viene mostrato il rumore di battitura della macchina da scrivere all'inizio e viene mostrato il titolo di una storia che è stata digitata.")</f>
        <v>Viene mostrato il rumore di battitura della macchina da scrivere all'inizio e viene mostrato il titolo di una storia che è stata digitata.</v>
      </c>
    </row>
    <row r="25866">
      <c r="A25866" s="4" t="s">
        <v>32561</v>
      </c>
      <c r="B25866" s="6" t="s">
        <v>32563</v>
      </c>
      <c r="C25866" s="5" t="str">
        <f>IFERROR(__xludf.DUMMYFUNCTION("GOOGLETRANSLATE(B25866,""en"",""it"")"),"Quindi due uomini vengono mostrati a sparare la neve fuori dalle statue e dal terreno e quando hanno finito, qualcuno cade a terra.")</f>
        <v>Quindi due uomini vengono mostrati a sparare la neve fuori dalle statue e dal terreno e quando hanno finito, qualcuno cade a terra.</v>
      </c>
    </row>
    <row r="25867">
      <c r="A25867" s="4" t="s">
        <v>32564</v>
      </c>
      <c r="B25867" s="4" t="s">
        <v>32565</v>
      </c>
      <c r="C25867" s="5" t="str">
        <f>IFERROR(__xludf.DUMMYFUNCTION("GOOGLETRANSLATE(B25867,""en"",""it"")"),"Le persone, comprese le guardie di sicurezza, sono in piedi dietro una recinzione in un centro commerciale.")</f>
        <v>Le persone, comprese le guardie di sicurezza, sono in piedi dietro una recinzione in un centro commerciale.</v>
      </c>
    </row>
    <row r="25868">
      <c r="A25868" s="4" t="s">
        <v>32564</v>
      </c>
      <c r="B25868" s="4" t="s">
        <v>32566</v>
      </c>
      <c r="C25868" s="5" t="str">
        <f>IFERROR(__xludf.DUMMYFUNCTION("GOOGLETRANSLATE(B25868,""en"",""it"")"),"Vediamo un giovane con una giacca di fantasia parlare e lanciare freccette attraverso la stanza.")</f>
        <v>Vediamo un giovane con una giacca di fantasia parlare e lanciare freccette attraverso la stanza.</v>
      </c>
    </row>
    <row r="25869">
      <c r="A25869" s="4" t="s">
        <v>32564</v>
      </c>
      <c r="B25869" s="4" t="s">
        <v>32567</v>
      </c>
      <c r="C25869" s="5" t="str">
        <f>IFERROR(__xludf.DUMMYFUNCTION("GOOGLETRANSLATE(B25869,""en"",""it"")"),"L'uomo smette di gettare e si abbassa per un momento, quindi continua a lanciare.")</f>
        <v>L'uomo smette di gettare e si abbassa per un momento, quindi continua a lanciare.</v>
      </c>
    </row>
    <row r="25870">
      <c r="A25870" s="4" t="s">
        <v>32564</v>
      </c>
      <c r="B25870" s="4" t="s">
        <v>32568</v>
      </c>
      <c r="C25870" s="5" t="str">
        <f>IFERROR(__xludf.DUMMYFUNCTION("GOOGLETRANSLATE(B25870,""en"",""it"")"),"Una signora asciuga qualcosa dalla faccia dell'uomo e l'uomo e il suo entourage iniziano a lasciare la zona.")</f>
        <v>Una signora asciuga qualcosa dalla faccia dell'uomo e l'uomo e il suo entourage iniziano a lasciare la zona.</v>
      </c>
    </row>
    <row r="25871">
      <c r="A25871" s="4" t="s">
        <v>32569</v>
      </c>
      <c r="B25871" s="4" t="s">
        <v>32570</v>
      </c>
      <c r="C25871" s="5" t="str">
        <f>IFERROR(__xludf.DUMMYFUNCTION("GOOGLETRANSLATE(B25871,""en"",""it"")"),"L'uomo che indossa un casco blu è il kayak nel fiume che mostra come usare una fila.")</f>
        <v>L'uomo che indossa un casco blu è il kayak nel fiume che mostra come usare una fila.</v>
      </c>
    </row>
    <row r="25872">
      <c r="A25872" s="4" t="s">
        <v>32569</v>
      </c>
      <c r="B25872" s="4" t="s">
        <v>32571</v>
      </c>
      <c r="C25872" s="5" t="str">
        <f>IFERROR(__xludf.DUMMYFUNCTION("GOOGLETRANSLATE(B25872,""en"",""it"")"),"L'uomo nel fiume è seduto in kayak giallo che tiene una fila.")</f>
        <v>L'uomo nel fiume è seduto in kayak giallo che tiene una fila.</v>
      </c>
    </row>
    <row r="25873">
      <c r="A25873" s="4" t="s">
        <v>32569</v>
      </c>
      <c r="B25873" s="4" t="s">
        <v>32572</v>
      </c>
      <c r="C25873" s="5" t="str">
        <f>IFERROR(__xludf.DUMMYFUNCTION("GOOGLETRANSLATE(B25873,""en"",""it"")"),"L'uomo sta combattendo contro la corrente in un kayak.")</f>
        <v>L'uomo sta combattendo contro la corrente in un kayak.</v>
      </c>
    </row>
    <row r="25874">
      <c r="A25874" s="4" t="s">
        <v>32573</v>
      </c>
      <c r="B25874" s="4" t="s">
        <v>32574</v>
      </c>
      <c r="C25874" s="5" t="str">
        <f>IFERROR(__xludf.DUMMYFUNCTION("GOOGLETRANSLATE(B25874,""en"",""it"")"),"Vediamo una scatola su tessuto.")</f>
        <v>Vediamo una scatola su tessuto.</v>
      </c>
    </row>
    <row r="25875">
      <c r="A25875" s="4" t="s">
        <v>32573</v>
      </c>
      <c r="B25875" s="4" t="s">
        <v>32575</v>
      </c>
      <c r="C25875" s="5" t="str">
        <f>IFERROR(__xludf.DUMMYFUNCTION("GOOGLETRANSLATE(B25875,""en"",""it"")"),"Una persona avvolge la scatola nel tessuto e la lega.")</f>
        <v>Una persona avvolge la scatola nel tessuto e la lega.</v>
      </c>
    </row>
    <row r="25876">
      <c r="A25876" s="4" t="s">
        <v>32573</v>
      </c>
      <c r="B25876" s="4" t="s">
        <v>32576</v>
      </c>
      <c r="C25876" s="5" t="str">
        <f>IFERROR(__xludf.DUMMYFUNCTION("GOOGLETRANSLATE(B25876,""en"",""it"")"),"Vediamo la persona avvolgere insieme le bottiglie nel tessuto.")</f>
        <v>Vediamo la persona avvolgere insieme le bottiglie nel tessuto.</v>
      </c>
    </row>
    <row r="25877">
      <c r="A25877" s="4" t="s">
        <v>32573</v>
      </c>
      <c r="B25877" s="4" t="s">
        <v>32577</v>
      </c>
      <c r="C25877" s="5" t="str">
        <f>IFERROR(__xludf.DUMMYFUNCTION("GOOGLETRANSLATE(B25877,""en"",""it"")"),"Hanno quindi messo due bottiglie in una borsa e legarla.")</f>
        <v>Hanno quindi messo due bottiglie in una borsa e legarla.</v>
      </c>
    </row>
    <row r="25878">
      <c r="A25878" s="4" t="s">
        <v>32573</v>
      </c>
      <c r="B25878" s="4" t="s">
        <v>1380</v>
      </c>
      <c r="C25878" s="5" t="str">
        <f>IFERROR(__xludf.DUMMYFUNCTION("GOOGLETRANSLATE(B25878,""en"",""it"")"),"Vediamo quindi i titoli di coda.")</f>
        <v>Vediamo quindi i titoli di coda.</v>
      </c>
    </row>
    <row r="25879">
      <c r="A25879" s="4" t="s">
        <v>32578</v>
      </c>
      <c r="B25879" s="4" t="s">
        <v>32579</v>
      </c>
      <c r="C25879" s="5" t="str">
        <f>IFERROR(__xludf.DUMMYFUNCTION("GOOGLETRANSLATE(B25879,""en"",""it"")"),"Vediamo gli schermi di apertura verde.")</f>
        <v>Vediamo gli schermi di apertura verde.</v>
      </c>
    </row>
    <row r="25880">
      <c r="A25880" s="4" t="s">
        <v>32578</v>
      </c>
      <c r="B25880" s="4" t="s">
        <v>32580</v>
      </c>
      <c r="C25880" s="5" t="str">
        <f>IFERROR(__xludf.DUMMYFUNCTION("GOOGLETRANSLATE(B25880,""en"",""it"")"),"Vediamo quindi una persona spalare la neve con un spintore.")</f>
        <v>Vediamo quindi una persona spalare la neve con un spintore.</v>
      </c>
    </row>
    <row r="25881">
      <c r="A25881" s="4" t="s">
        <v>32578</v>
      </c>
      <c r="B25881" s="4" t="s">
        <v>32581</v>
      </c>
      <c r="C25881" s="5" t="str">
        <f>IFERROR(__xludf.DUMMYFUNCTION("GOOGLETRANSLATE(B25881,""en"",""it"")"),"Vediamo una schermata del titolo.")</f>
        <v>Vediamo una schermata del titolo.</v>
      </c>
    </row>
    <row r="25882">
      <c r="A25882" s="4" t="s">
        <v>32578</v>
      </c>
      <c r="B25882" s="4" t="s">
        <v>32582</v>
      </c>
      <c r="C25882" s="5" t="str">
        <f>IFERROR(__xludf.DUMMYFUNCTION("GOOGLETRANSLATE(B25882,""en"",""it"")"),"Siamo un uomo che ara una pista di pattinaggio con la sua pala.")</f>
        <v>Siamo un uomo che ara una pista di pattinaggio con la sua pala.</v>
      </c>
    </row>
    <row r="25883">
      <c r="A25883" s="4" t="s">
        <v>32578</v>
      </c>
      <c r="B25883" s="4" t="s">
        <v>32583</v>
      </c>
      <c r="C25883" s="5" t="str">
        <f>IFERROR(__xludf.DUMMYFUNCTION("GOOGLETRANSLATE(B25883,""en"",""it"")"),"Vediamo quindi lo schermo del prodotto.")</f>
        <v>Vediamo quindi lo schermo del prodotto.</v>
      </c>
    </row>
    <row r="25884">
      <c r="A25884" s="4" t="s">
        <v>32578</v>
      </c>
      <c r="B25884" s="4" t="s">
        <v>27504</v>
      </c>
      <c r="C25884" s="5" t="str">
        <f>IFERROR(__xludf.DUMMYFUNCTION("GOOGLETRANSLATE(B25884,""en"",""it"")"),"Vediamo una schermata del titolo di chiusura.")</f>
        <v>Vediamo una schermata del titolo di chiusura.</v>
      </c>
    </row>
    <row r="25885">
      <c r="A25885" s="4" t="s">
        <v>32584</v>
      </c>
      <c r="B25885" s="4" t="s">
        <v>32585</v>
      </c>
      <c r="C25885" s="5" t="str">
        <f>IFERROR(__xludf.DUMMYFUNCTION("GOOGLETRANSLATE(B25885,""en"",""it"")"),"Una ragazza con una camicia blu regge un branco di unghie finte.")</f>
        <v>Una ragazza con una camicia blu regge un branco di unghie finte.</v>
      </c>
    </row>
    <row r="25886">
      <c r="A25886" s="4" t="s">
        <v>32584</v>
      </c>
      <c r="B25886" s="4" t="s">
        <v>32586</v>
      </c>
      <c r="C25886" s="5" t="str">
        <f>IFERROR(__xludf.DUMMYFUNCTION("GOOGLETRANSLATE(B25886,""en"",""it"")"),"Le infila le unghie delle dita.")</f>
        <v>Le infila le unghie delle dita.</v>
      </c>
    </row>
    <row r="25887">
      <c r="A25887" s="4" t="s">
        <v>32584</v>
      </c>
      <c r="B25887" s="4" t="s">
        <v>32587</v>
      </c>
      <c r="C25887" s="5" t="str">
        <f>IFERROR(__xludf.DUMMYFUNCTION("GOOGLETRANSLATE(B25887,""en"",""it"")"),"Sta mostrando le unghie delle dita alla telecamera.")</f>
        <v>Sta mostrando le unghie delle dita alla telecamera.</v>
      </c>
    </row>
    <row r="25888">
      <c r="A25888" s="4" t="s">
        <v>32588</v>
      </c>
      <c r="B25888" s="4" t="s">
        <v>32589</v>
      </c>
      <c r="C25888" s="5" t="str">
        <f>IFERROR(__xludf.DUMMYFUNCTION("GOOGLETRANSLATE(B25888,""en"",""it"")"),"Un gruppo di persone si trova di fronte a un tavolo di blackjack.")</f>
        <v>Un gruppo di persone si trova di fronte a un tavolo di blackjack.</v>
      </c>
    </row>
    <row r="25889">
      <c r="A25889" s="4" t="s">
        <v>32588</v>
      </c>
      <c r="B25889" s="4" t="s">
        <v>32590</v>
      </c>
      <c r="C25889" s="5" t="str">
        <f>IFERROR(__xludf.DUMMYFUNCTION("GOOGLETRANSLATE(B25889,""en"",""it"")"),"Le carte del Blackjack Assistente sul tavolo.")</f>
        <v>Le carte del Blackjack Assistente sul tavolo.</v>
      </c>
    </row>
    <row r="25890">
      <c r="A25890" s="4" t="s">
        <v>32591</v>
      </c>
      <c r="B25890" s="6" t="s">
        <v>32592</v>
      </c>
      <c r="C25890" s="5" t="str">
        <f>IFERROR(__xludf.DUMMYFUNCTION("GOOGLETRANSLATE(B25890,""en"",""it"")"),"Il liquido viene mostrato versato in una ciotola, seguita da una persona che taglia un ananas e una mela e la mescola in una ciotola.")</f>
        <v>Il liquido viene mostrato versato in una ciotola, seguita da una persona che taglia un ananas e una mela e la mescola in una ciotola.</v>
      </c>
    </row>
    <row r="25891">
      <c r="A25891" s="4" t="s">
        <v>32591</v>
      </c>
      <c r="B25891" s="6" t="s">
        <v>32593</v>
      </c>
      <c r="C25891" s="5" t="str">
        <f>IFERROR(__xludf.DUMMYFUNCTION("GOOGLETRANSLATE(B25891,""en"",""it"")"),"La persona quindi taglia più frutta e la aggiunge alla ciotola e la mescola tutto insieme per creare una ciotola di frutta.")</f>
        <v>La persona quindi taglia più frutta e la aggiunge alla ciotola e la mescola tutto insieme per creare una ciotola di frutta.</v>
      </c>
    </row>
    <row r="25892">
      <c r="A25892" s="4" t="s">
        <v>32594</v>
      </c>
      <c r="B25892" s="6" t="s">
        <v>32595</v>
      </c>
      <c r="C25892" s="5" t="str">
        <f>IFERROR(__xludf.DUMMYFUNCTION("GOOGLETRANSLATE(B25892,""en"",""it"")"),"Una donna è fuori in un grande campo verde a parlare, alzando un arco e una freccia di fronte a un white paper con un grande bersaglio.")</f>
        <v>Una donna è fuori in un grande campo verde a parlare, alzando un arco e una freccia di fronte a un white paper con un grande bersaglio.</v>
      </c>
    </row>
    <row r="25893">
      <c r="A25893" s="4" t="s">
        <v>32594</v>
      </c>
      <c r="B25893" s="4" t="s">
        <v>32596</v>
      </c>
      <c r="C25893" s="5" t="str">
        <f>IFERROR(__xludf.DUMMYFUNCTION("GOOGLETRANSLATE(B25893,""en"",""it"")"),"Prima di iniziare, assembla l'arco nella freccia e colpisce la tavola.")</f>
        <v>Prima di iniziare, assembla l'arco nella freccia e colpisce la tavola.</v>
      </c>
    </row>
    <row r="25894">
      <c r="A25894" s="4" t="s">
        <v>32594</v>
      </c>
      <c r="B25894" s="6" t="s">
        <v>32597</v>
      </c>
      <c r="C25894" s="5" t="str">
        <f>IFERROR(__xludf.DUMMYFUNCTION("GOOGLETRANSLATE(B25894,""en"",""it"")"),"Quindi dimostra il modo corretto di mettere di nuovo l'arco nella loro e come dovresti tenere la freccia prima di rilasciarla.")</f>
        <v>Quindi dimostra il modo corretto di mettere di nuovo l'arco nella loro e come dovresti tenere la freccia prima di rilasciarla.</v>
      </c>
    </row>
    <row r="25895">
      <c r="A25895" s="4" t="s">
        <v>32594</v>
      </c>
      <c r="B25895" s="4" t="s">
        <v>32598</v>
      </c>
      <c r="C25895" s="5" t="str">
        <f>IFERROR(__xludf.DUMMYFUNCTION("GOOGLETRANSLATE(B25895,""en"",""it"")"),"Dopo, viene mostrata una fila di persone e iniziano tutti a sparare a fili e frecce.")</f>
        <v>Dopo, viene mostrata una fila di persone e iniziano tutti a sparare a fili e frecce.</v>
      </c>
    </row>
    <row r="25896">
      <c r="A25896" s="4" t="s">
        <v>32599</v>
      </c>
      <c r="B25896" s="6" t="s">
        <v>32600</v>
      </c>
      <c r="C25896" s="5" t="str">
        <f>IFERROR(__xludf.DUMMYFUNCTION("GOOGLETRANSLATE(B25896,""en"",""it"")"),"Un ragazzino che indossa una felpa con cappuccio blu e gialla e pantaloni della tuta grigi in piedi in un campo da tennis all'aperto.")</f>
        <v>Un ragazzino che indossa una felpa con cappuccio blu e gialla e pantaloni della tuta grigi in piedi in un campo da tennis all'aperto.</v>
      </c>
    </row>
    <row r="25897">
      <c r="A25897" s="4" t="s">
        <v>32599</v>
      </c>
      <c r="B25897" s="4" t="s">
        <v>32601</v>
      </c>
      <c r="C25897" s="5" t="str">
        <f>IFERROR(__xludf.DUMMYFUNCTION("GOOGLETRANSLATE(B25897,""en"",""it"")"),"Ha in mano una racchetta blu mentre rimbalza la palla da tennis gialla e arancione sul campo.")</f>
        <v>Ha in mano una racchetta blu mentre rimbalza la palla da tennis gialla e arancione sul campo.</v>
      </c>
    </row>
    <row r="25898">
      <c r="A25898" s="4" t="s">
        <v>32599</v>
      </c>
      <c r="B25898" s="4" t="s">
        <v>32602</v>
      </c>
      <c r="C25898" s="5" t="str">
        <f>IFERROR(__xludf.DUMMYFUNCTION("GOOGLETRANSLATE(B25898,""en"",""it"")"),"Comincia con il suo primo servizio in cui la palla colpisce la rete.")</f>
        <v>Comincia con il suo primo servizio in cui la palla colpisce la rete.</v>
      </c>
    </row>
    <row r="25899">
      <c r="A25899" s="4" t="s">
        <v>32599</v>
      </c>
      <c r="B25899" s="4" t="s">
        <v>32603</v>
      </c>
      <c r="C25899" s="5" t="str">
        <f>IFERROR(__xludf.DUMMYFUNCTION("GOOGLETRANSLATE(B25899,""en"",""it"")"),"Quindi prende un'altra palla, la rimbalza e serve di nuovo.")</f>
        <v>Quindi prende un'altra palla, la rimbalza e serve di nuovo.</v>
      </c>
    </row>
    <row r="25900">
      <c r="A25900" s="4" t="s">
        <v>32599</v>
      </c>
      <c r="B25900" s="4" t="s">
        <v>32604</v>
      </c>
      <c r="C25900" s="5" t="str">
        <f>IFERROR(__xludf.DUMMYFUNCTION("GOOGLETRANSLATE(B25900,""en"",""it"")"),"La palla va oltre la rete e cade dall'altra parte del campo.")</f>
        <v>La palla va oltre la rete e cade dall'altra parte del campo.</v>
      </c>
    </row>
    <row r="25901">
      <c r="A25901" s="4" t="s">
        <v>32599</v>
      </c>
      <c r="B25901" s="4" t="s">
        <v>32605</v>
      </c>
      <c r="C25901" s="5" t="str">
        <f>IFERROR(__xludf.DUMMYFUNCTION("GOOGLETRANSLATE(B25901,""en"",""it"")"),"Riceve un'altra palla per la terza volta e se la lascia le mani mentre cerca di servire.")</f>
        <v>Riceve un'altra palla per la terza volta e se la lascia le mani mentre cerca di servire.</v>
      </c>
    </row>
    <row r="25902">
      <c r="A25902" s="4" t="s">
        <v>32606</v>
      </c>
      <c r="B25902" s="4" t="s">
        <v>32607</v>
      </c>
      <c r="C25902" s="5" t="str">
        <f>IFERROR(__xludf.DUMMYFUNCTION("GOOGLETRANSLATE(B25902,""en"",""it"")"),"Una bambina è in una partita di ricompensa per dardi del parco divertimenti.")</f>
        <v>Una bambina è in una partita di ricompensa per dardi del parco divertimenti.</v>
      </c>
    </row>
    <row r="25903">
      <c r="A25903" s="4" t="s">
        <v>32606</v>
      </c>
      <c r="B25903" s="6" t="s">
        <v>32608</v>
      </c>
      <c r="C25903" s="5" t="str">
        <f>IFERROR(__xludf.DUMMYFUNCTION("GOOGLETRANSLATE(B25903,""en"",""it"")"),"Viene una signora che lavora allo stand e le chiede quante freccette vorrebbe usare, dà alla ragazza le freccette.")</f>
        <v>Viene una signora che lavora allo stand e le chiede quante freccette vorrebbe usare, dà alla ragazza le freccette.</v>
      </c>
    </row>
    <row r="25904">
      <c r="A25904" s="4" t="s">
        <v>32606</v>
      </c>
      <c r="B25904" s="6" t="s">
        <v>32609</v>
      </c>
      <c r="C25904" s="5" t="str">
        <f>IFERROR(__xludf.DUMMYFUNCTION("GOOGLETRANSLATE(B25904,""en"",""it"")"),"La ragazza inizia a lanciare freccette, è in grado di colpire solo un palloncino, chiede aiuto ma non lo capisce.")</f>
        <v>La ragazza inizia a lanciare freccette, è in grado di colpire solo un palloncino, chiede aiuto ma non lo capisce.</v>
      </c>
    </row>
    <row r="25905">
      <c r="A25905" s="4" t="s">
        <v>32610</v>
      </c>
      <c r="B25905" s="4" t="s">
        <v>32611</v>
      </c>
      <c r="C25905" s="5" t="str">
        <f>IFERROR(__xludf.DUMMYFUNCTION("GOOGLETRANSLATE(B25905,""en"",""it"")"),"Vediamo il titolo su uno sfondo nero.")</f>
        <v>Vediamo il titolo su uno sfondo nero.</v>
      </c>
    </row>
    <row r="25906">
      <c r="A25906" s="4" t="s">
        <v>32610</v>
      </c>
      <c r="B25906" s="4" t="s">
        <v>32612</v>
      </c>
      <c r="C25906" s="5" t="str">
        <f>IFERROR(__xludf.DUMMYFUNCTION("GOOGLETRANSLATE(B25906,""en"",""it"")"),"Vediamo un coltello e un temperamatite e un uomo che li tiene.")</f>
        <v>Vediamo un coltello e un temperamatite e un uomo che li tiene.</v>
      </c>
    </row>
    <row r="25907">
      <c r="A25907" s="4" t="s">
        <v>32610</v>
      </c>
      <c r="B25907" s="4" t="s">
        <v>32613</v>
      </c>
      <c r="C25907" s="5" t="str">
        <f>IFERROR(__xludf.DUMMYFUNCTION("GOOGLETRANSLATE(B25907,""en"",""it"")"),"Vediamo l'uomo tagliare un pomodoro e una carta.")</f>
        <v>Vediamo l'uomo tagliare un pomodoro e una carta.</v>
      </c>
    </row>
    <row r="25908">
      <c r="A25908" s="4" t="s">
        <v>32610</v>
      </c>
      <c r="B25908" s="4" t="s">
        <v>32614</v>
      </c>
      <c r="C25908" s="5" t="str">
        <f>IFERROR(__xludf.DUMMYFUNCTION("GOOGLETRANSLATE(B25908,""en"",""it"")"),"La persona usa un affilia e quindi taglia il pomodoro e la carta.")</f>
        <v>La persona usa un affilia e quindi taglia il pomodoro e la carta.</v>
      </c>
    </row>
    <row r="25909">
      <c r="A25909" s="4" t="s">
        <v>32610</v>
      </c>
      <c r="B25909" s="4" t="s">
        <v>32615</v>
      </c>
      <c r="C25909" s="5" t="str">
        <f>IFERROR(__xludf.DUMMYFUNCTION("GOOGLETRANSLATE(B25909,""en"",""it"")"),"Affila un coltello diverso e taglia un pomodoro e ci mostra il temperamatire.")</f>
        <v>Affila un coltello diverso e taglia un pomodoro e ci mostra il temperamatire.</v>
      </c>
    </row>
    <row r="25910">
      <c r="A25910" s="4" t="s">
        <v>32610</v>
      </c>
      <c r="B25910" s="4" t="s">
        <v>19168</v>
      </c>
      <c r="C25910" s="5" t="str">
        <f>IFERROR(__xludf.DUMMYFUNCTION("GOOGLETRANSLATE(B25910,""en"",""it"")"),"Vediamo i crediti finali per il video.")</f>
        <v>Vediamo i crediti finali per il video.</v>
      </c>
    </row>
    <row r="25911">
      <c r="A25911" s="4" t="s">
        <v>32616</v>
      </c>
      <c r="B25911" s="6" t="s">
        <v>32617</v>
      </c>
      <c r="C25911" s="5" t="str">
        <f>IFERROR(__xludf.DUMMYFUNCTION("GOOGLETRANSLATE(B25911,""en"",""it"")"),"Una pubblicità commerciale un taglierina di zucca, un coltello di zucca e una luce di zucca viene mostrata usando una famiglia di due ragazzi e una madre che prepara le zucche per la dimostrazione.")</f>
        <v>Una pubblicità commerciale un taglierina di zucca, un coltello di zucca e una luce di zucca viene mostrata usando una famiglia di due ragazzi e una madre che prepara le zucche per la dimostrazione.</v>
      </c>
    </row>
    <row r="25912">
      <c r="A25912" s="4" t="s">
        <v>32616</v>
      </c>
      <c r="B25912" s="4" t="s">
        <v>32618</v>
      </c>
      <c r="C25912" s="5" t="str">
        <f>IFERROR(__xludf.DUMMYFUNCTION("GOOGLETRANSLATE(B25912,""en"",""it"")"),"Un bambino viene mostrato usando un cutter di zucca per tagliare le facce in una zucca.")</f>
        <v>Un bambino viene mostrato usando un cutter di zucca per tagliare le facce in una zucca.</v>
      </c>
    </row>
    <row r="25913">
      <c r="A25913" s="4" t="s">
        <v>32616</v>
      </c>
      <c r="B25913" s="4" t="s">
        <v>32619</v>
      </c>
      <c r="C25913" s="5" t="str">
        <f>IFERROR(__xludf.DUMMYFUNCTION("GOOGLETRANSLATE(B25913,""en"",""it"")"),"Il ragazzo viene quindi mostrato che raccoglie una zucca usando una paletta di zucca.")</f>
        <v>Il ragazzo viene quindi mostrato che raccoglie una zucca usando una paletta di zucca.</v>
      </c>
    </row>
    <row r="25914">
      <c r="A25914" s="4" t="s">
        <v>32616</v>
      </c>
      <c r="B25914" s="6" t="s">
        <v>32620</v>
      </c>
      <c r="C25914" s="5" t="str">
        <f>IFERROR(__xludf.DUMMYFUNCTION("GOOGLETRANSLATE(B25914,""en"",""it"")"),"Viene quindi mostrato un ragazzo posizionando una luce di zucca all'interno di una zucca mentre la madre si sporge e sorride tra i due ragazzi e le zucche finite che ora hanno facce intagliate con luci luminose all'interno.")</f>
        <v>Viene quindi mostrato un ragazzo posizionando una luce di zucca all'interno di una zucca mentre la madre si sporge e sorride tra i due ragazzi e le zucche finite che ora hanno facce intagliate con luci luminose all'interno.</v>
      </c>
    </row>
    <row r="25915">
      <c r="A25915" s="4" t="s">
        <v>32621</v>
      </c>
      <c r="B25915" s="6" t="s">
        <v>32622</v>
      </c>
      <c r="C25915" s="5" t="str">
        <f>IFERROR(__xludf.DUMMYFUNCTION("GOOGLETRANSLATE(B25915,""en"",""it"")"),"Dozzine di persone sono viste cavalcare una grande collina polverosa mentre la telecamera si muove intorno alle persone che vanno su bici da sporcizia.")</f>
        <v>Dozzine di persone sono viste cavalcare una grande collina polverosa mentre la telecamera si muove intorno alle persone che vanno su bici da sporcizia.</v>
      </c>
    </row>
    <row r="25916">
      <c r="A25916" s="4" t="s">
        <v>32621</v>
      </c>
      <c r="B25916" s="6" t="s">
        <v>32623</v>
      </c>
      <c r="C25916" s="5" t="str">
        <f>IFERROR(__xludf.DUMMYFUNCTION("GOOGLETRANSLATE(B25916,""en"",""it"")"),"Le persone cavalcano lungo tutto il percorso mentre molti altri guardano sul lato e seguono i ciclisti mentre continuano a cavalcare lungo la pista.")</f>
        <v>Le persone cavalcano lungo tutto il percorso mentre molti altri guardano sul lato e seguono i ciclisti mentre continuano a cavalcare lungo la pista.</v>
      </c>
    </row>
    <row r="25917">
      <c r="A25917" s="4" t="s">
        <v>32624</v>
      </c>
      <c r="B25917" s="4" t="s">
        <v>32625</v>
      </c>
      <c r="C25917" s="5" t="str">
        <f>IFERROR(__xludf.DUMMYFUNCTION("GOOGLETRANSLATE(B25917,""en"",""it"")"),"Un gruppo di donne gioca a hockey sul campo su un campo all'aperto coperto di erba.")</f>
        <v>Un gruppo di donne gioca a hockey sul campo su un campo all'aperto coperto di erba.</v>
      </c>
    </row>
    <row r="25918">
      <c r="A25918" s="4" t="s">
        <v>32624</v>
      </c>
      <c r="B25918" s="4" t="s">
        <v>32626</v>
      </c>
      <c r="C25918" s="5" t="str">
        <f>IFERROR(__xludf.DUMMYFUNCTION("GOOGLETRANSLATE(B25918,""en"",""it"")"),"Le donne corrono dopo una palla bianca sul campo mentre tengono i bastoncini da hockey.")</f>
        <v>Le donne corrono dopo una palla bianca sul campo mentre tengono i bastoncini da hockey.</v>
      </c>
    </row>
    <row r="25919">
      <c r="A25919" s="4" t="s">
        <v>32624</v>
      </c>
      <c r="B25919" s="6" t="s">
        <v>32627</v>
      </c>
      <c r="C25919" s="5" t="str">
        <f>IFERROR(__xludf.DUMMYFUNCTION("GOOGLETRANSLATE(B25919,""en"",""it"")"),"La squadra rossa e la squadra blu continuano a giocare a hockey in campo mentre un arbitro guarda e una guardia protegge il goal.")</f>
        <v>La squadra rossa e la squadra blu continuano a giocare a hockey in campo mentre un arbitro guarda e una guardia protegge il goal.</v>
      </c>
    </row>
    <row r="25920">
      <c r="A25920" s="4" t="s">
        <v>32628</v>
      </c>
      <c r="B25920" s="4" t="s">
        <v>32629</v>
      </c>
      <c r="C25920" s="5" t="str">
        <f>IFERROR(__xludf.DUMMYFUNCTION("GOOGLETRANSLATE(B25920,""en"",""it"")"),"Alcuni uomini giocano a piscina come guardiano da tre pugili.")</f>
        <v>Alcuni uomini giocano a piscina come guardiano da tre pugili.</v>
      </c>
    </row>
    <row r="25921">
      <c r="A25921" s="4" t="s">
        <v>32628</v>
      </c>
      <c r="B25921" s="4" t="s">
        <v>32630</v>
      </c>
      <c r="C25921" s="5" t="str">
        <f>IFERROR(__xludf.DUMMYFUNCTION("GOOGLETRANSLATE(B25921,""en"",""it"")"),"I pugili stanno accanto al tavolo da biliardo, cercando di scattare le palle mentre vengono girate con i segnali.")</f>
        <v>I pugili stanno accanto al tavolo da biliardo, cercando di scattare le palle mentre vengono girate con i segnali.</v>
      </c>
    </row>
    <row r="25922">
      <c r="A25922" s="4" t="s">
        <v>32631</v>
      </c>
      <c r="B25922" s="4" t="s">
        <v>32632</v>
      </c>
      <c r="C25922" s="5" t="str">
        <f>IFERROR(__xludf.DUMMYFUNCTION("GOOGLETRANSLATE(B25922,""en"",""it"")"),"Un uomo imposta un timer su un tavolo.")</f>
        <v>Un uomo imposta un timer su un tavolo.</v>
      </c>
    </row>
    <row r="25923">
      <c r="A25923" s="4" t="s">
        <v>32631</v>
      </c>
      <c r="B25923" s="4" t="s">
        <v>32633</v>
      </c>
      <c r="C25923" s="5" t="str">
        <f>IFERROR(__xludf.DUMMYFUNCTION("GOOGLETRANSLATE(B25923,""en"",""it"")"),"Quindi cerca di risolvere un puzzle a blocchi di colore.")</f>
        <v>Quindi cerca di risolvere un puzzle a blocchi di colore.</v>
      </c>
    </row>
    <row r="25924">
      <c r="A25924" s="4" t="s">
        <v>32631</v>
      </c>
      <c r="B25924" s="4" t="s">
        <v>32634</v>
      </c>
      <c r="C25924" s="5" t="str">
        <f>IFERROR(__xludf.DUMMYFUNCTION("GOOGLETRANSLATE(B25924,""en"",""it"")"),"Finisce il puzzle in poco più di 8 secondi.")</f>
        <v>Finisce il puzzle in poco più di 8 secondi.</v>
      </c>
    </row>
    <row r="25925">
      <c r="A25925" s="4" t="s">
        <v>32635</v>
      </c>
      <c r="B25925" s="4" t="s">
        <v>32636</v>
      </c>
      <c r="C25925" s="5" t="str">
        <f>IFERROR(__xludf.DUMMYFUNCTION("GOOGLETRANSLATE(B25925,""en"",""it"")"),"Una ragazza è in piedi con un cerchio di hula in mano.")</f>
        <v>Una ragazza è in piedi con un cerchio di hula in mano.</v>
      </c>
    </row>
    <row r="25926">
      <c r="A25926" s="4" t="s">
        <v>32635</v>
      </c>
      <c r="B25926" s="4" t="s">
        <v>32637</v>
      </c>
      <c r="C25926" s="5" t="str">
        <f>IFERROR(__xludf.DUMMYFUNCTION("GOOGLETRANSLATE(B25926,""en"",""it"")"),"La ragazza parla alla telecamera.")</f>
        <v>La ragazza parla alla telecamera.</v>
      </c>
    </row>
    <row r="25927">
      <c r="A25927" s="4" t="s">
        <v>32635</v>
      </c>
      <c r="B25927" s="4" t="s">
        <v>32638</v>
      </c>
      <c r="C25927" s="5" t="str">
        <f>IFERROR(__xludf.DUMMYFUNCTION("GOOGLETRANSLATE(B25927,""en"",""it"")"),"La ragazza dimostra il cerchio di hula.")</f>
        <v>La ragazza dimostra il cerchio di hula.</v>
      </c>
    </row>
    <row r="25928">
      <c r="A25928" s="4" t="s">
        <v>32635</v>
      </c>
      <c r="B25928" s="4" t="s">
        <v>32639</v>
      </c>
      <c r="C25928" s="5" t="str">
        <f>IFERROR(__xludf.DUMMYFUNCTION("GOOGLETRANSLATE(B25928,""en"",""it"")"),"La ragazza lascia cadere il cerchio di hula e pone.")</f>
        <v>La ragazza lascia cadere il cerchio di hula e pone.</v>
      </c>
    </row>
    <row r="25929">
      <c r="A25929" s="4" t="s">
        <v>32640</v>
      </c>
      <c r="B25929" s="4" t="s">
        <v>32641</v>
      </c>
      <c r="C25929" s="5" t="str">
        <f>IFERROR(__xludf.DUMMYFUNCTION("GOOGLETRANSLATE(B25929,""en"",""it"")"),"Una linea di motociclisti si prepara per una gara di bici da terra.")</f>
        <v>Una linea di motociclisti si prepara per una gara di bici da terra.</v>
      </c>
    </row>
    <row r="25930">
      <c r="A25930" s="4" t="s">
        <v>32640</v>
      </c>
      <c r="B25930" s="6" t="s">
        <v>32642</v>
      </c>
      <c r="C25930" s="5" t="str">
        <f>IFERROR(__xludf.DUMMYFUNCTION("GOOGLETRANSLATE(B25930,""en"",""it"")"),"Si dedicano, correndo sulle colline e intorno agli angoli taglienti, alcuni cadono dalle loro bici e dando il calcio con rabbia.")</f>
        <v>Si dedicano, correndo sulle colline e intorno agli angoli taglienti, alcuni cadono dalle loro bici e dando il calcio con rabbia.</v>
      </c>
    </row>
    <row r="25931">
      <c r="A25931" s="4" t="s">
        <v>32643</v>
      </c>
      <c r="B25931" s="6" t="s">
        <v>32644</v>
      </c>
      <c r="C25931" s="5" t="str">
        <f>IFERROR(__xludf.DUMMYFUNCTION("GOOGLETRANSLATE(B25931,""en"",""it"")"),"Un ragazzo si siede in una stanza e parla con una macchina fotografica mentre si manifesta come usare una sigaretta elettronica.")</f>
        <v>Un ragazzo si siede in una stanza e parla con una macchina fotografica mentre si manifesta come usare una sigaretta elettronica.</v>
      </c>
    </row>
    <row r="25932">
      <c r="A25932" s="4" t="s">
        <v>32643</v>
      </c>
      <c r="B25932" s="4" t="s">
        <v>32645</v>
      </c>
      <c r="C25932" s="5" t="str">
        <f>IFERROR(__xludf.DUMMYFUNCTION("GOOGLETRANSLATE(B25932,""en"",""it"")"),"Il ragazzo svita la sigaretta per rivelare il meccanismo interno.")</f>
        <v>Il ragazzo svita la sigaretta per rivelare il meccanismo interno.</v>
      </c>
    </row>
    <row r="25933">
      <c r="A25933" s="4" t="s">
        <v>32643</v>
      </c>
      <c r="B25933" s="6" t="s">
        <v>32646</v>
      </c>
      <c r="C25933" s="5" t="str">
        <f>IFERROR(__xludf.DUMMYFUNCTION("GOOGLETRANSLATE(B25933,""en"",""it"")"),"Il ragazzo mette insieme la sigaretta e inizia a fumarla mentre una donna cammina in sottofondo, e poi continua a parlare con la telecamera.")</f>
        <v>Il ragazzo mette insieme la sigaretta e inizia a fumarla mentre una donna cammina in sottofondo, e poi continua a parlare con la telecamera.</v>
      </c>
    </row>
    <row r="25934">
      <c r="A25934" s="4" t="s">
        <v>32647</v>
      </c>
      <c r="B25934" s="6" t="s">
        <v>32648</v>
      </c>
      <c r="C25934" s="5" t="str">
        <f>IFERROR(__xludf.DUMMYFUNCTION("GOOGLETRANSLATE(B25934,""en"",""it"")"),"Vengono mostrati primi piani di tessuto e porta a un uomo che li mette su un muro e una donna che parla con un grande uomo.")</f>
        <v>Vengono mostrati primi piani di tessuto e porta a un uomo che li mette su un muro e una donna che parla con un grande uomo.</v>
      </c>
    </row>
    <row r="25935">
      <c r="A25935" s="4" t="s">
        <v>32647</v>
      </c>
      <c r="B25935" s="4" t="s">
        <v>32649</v>
      </c>
      <c r="C25935" s="5" t="str">
        <f>IFERROR(__xludf.DUMMYFUNCTION("GOOGLETRANSLATE(B25935,""en"",""it"")"),"Una persona espone la carta su un tavolo e mostra agli uomini come mettere correttamente la carta da parati.")</f>
        <v>Una persona espone la carta su un tavolo e mostra agli uomini come mettere correttamente la carta da parati.</v>
      </c>
    </row>
    <row r="25936">
      <c r="A25936" s="4" t="s">
        <v>32647</v>
      </c>
      <c r="B25936" s="6" t="s">
        <v>32650</v>
      </c>
      <c r="C25936" s="5" t="str">
        <f>IFERROR(__xludf.DUMMYFUNCTION("GOOGLETRANSLATE(B25936,""en"",""it"")"),"Un uomo parla quindi alla fotocamera e termina con le informazioni presentate e l'uomo che mette più in foglio.")</f>
        <v>Un uomo parla quindi alla fotocamera e termina con le informazioni presentate e l'uomo che mette più in foglio.</v>
      </c>
    </row>
    <row r="25937">
      <c r="A25937" s="4" t="s">
        <v>32651</v>
      </c>
      <c r="B25937" s="4" t="s">
        <v>32652</v>
      </c>
      <c r="C25937" s="5" t="str">
        <f>IFERROR(__xludf.DUMMYFUNCTION("GOOGLETRANSLATE(B25937,""en"",""it"")"),"Una donna atletica è vista in piedi in un cerchio che si muove al rallentatore tenendo conto.")</f>
        <v>Una donna atletica è vista in piedi in un cerchio che si muove al rallentatore tenendo conto.</v>
      </c>
    </row>
    <row r="25938">
      <c r="A25938" s="4" t="s">
        <v>32651</v>
      </c>
      <c r="B25938" s="4" t="s">
        <v>32653</v>
      </c>
      <c r="C25938" s="5" t="str">
        <f>IFERROR(__xludf.DUMMYFUNCTION("GOOGLETRANSLATE(B25938,""en"",""it"")"),"Quindi si gira in giro mentre tiene l'oggetto e poi lo getta via dalla distanza.")</f>
        <v>Quindi si gira in giro mentre tiene l'oggetto e poi lo getta via dalla distanza.</v>
      </c>
    </row>
    <row r="25939">
      <c r="A25939" s="4" t="s">
        <v>32654</v>
      </c>
      <c r="B25939" s="4" t="s">
        <v>32655</v>
      </c>
      <c r="C25939" s="5" t="str">
        <f>IFERROR(__xludf.DUMMYFUNCTION("GOOGLETRANSLATE(B25939,""en"",""it"")"),"Un uomo con la camicia grigia è seduto su una sedia.")</f>
        <v>Un uomo con la camicia grigia è seduto su una sedia.</v>
      </c>
    </row>
    <row r="25940">
      <c r="A25940" s="4" t="s">
        <v>32654</v>
      </c>
      <c r="B25940" s="4" t="s">
        <v>32656</v>
      </c>
      <c r="C25940" s="5" t="str">
        <f>IFERROR(__xludf.DUMMYFUNCTION("GOOGLETRANSLATE(B25940,""en"",""it"")"),"L'uomo punta una tela vuota con il suo pennello mentre continua a parlare.")</f>
        <v>L'uomo punta una tela vuota con il suo pennello mentre continua a parlare.</v>
      </c>
    </row>
    <row r="25941">
      <c r="A25941" s="4" t="s">
        <v>32654</v>
      </c>
      <c r="B25941" s="4" t="s">
        <v>32657</v>
      </c>
      <c r="C25941" s="5" t="str">
        <f>IFERROR(__xludf.DUMMYFUNCTION("GOOGLETRANSLATE(B25941,""en"",""it"")"),"L'uomo teneva il pennello, immergi il pennello sui colori e iniziò a dipingere sulla tela più grande.")</f>
        <v>L'uomo teneva il pennello, immergi il pennello sui colori e iniziò a dipingere sulla tela più grande.</v>
      </c>
    </row>
    <row r="25942">
      <c r="A25942" s="4" t="s">
        <v>32658</v>
      </c>
      <c r="B25942" s="4" t="s">
        <v>32659</v>
      </c>
      <c r="C25942" s="5" t="str">
        <f>IFERROR(__xludf.DUMMYFUNCTION("GOOGLETRANSLATE(B25942,""en"",""it"")"),"Una donna viene vista sorridere e parlare alla telecamera.")</f>
        <v>Una donna viene vista sorridere e parlare alla telecamera.</v>
      </c>
    </row>
    <row r="25943">
      <c r="A25943" s="4" t="s">
        <v>32658</v>
      </c>
      <c r="B25943" s="4" t="s">
        <v>32660</v>
      </c>
      <c r="C25943" s="5" t="str">
        <f>IFERROR(__xludf.DUMMYFUNCTION("GOOGLETRANSLATE(B25943,""en"",""it"")"),"Un altro uomo è visto seduto dietro di lei con un altro uomo di fronte.")</f>
        <v>Un altro uomo è visto seduto dietro di lei con un altro uomo di fronte.</v>
      </c>
    </row>
    <row r="25944">
      <c r="A25944" s="4" t="s">
        <v>32658</v>
      </c>
      <c r="B25944" s="4" t="s">
        <v>32661</v>
      </c>
      <c r="C25944" s="5" t="str">
        <f>IFERROR(__xludf.DUMMYFUNCTION("GOOGLETRANSLATE(B25944,""en"",""it"")"),"La donna continua a parlare mentre l'uomo davanti pulisce le scarpe dell'altro.")</f>
        <v>La donna continua a parlare mentre l'uomo davanti pulisce le scarpe dell'altro.</v>
      </c>
    </row>
    <row r="25945">
      <c r="A25945" s="4" t="s">
        <v>32662</v>
      </c>
      <c r="B25945" s="4" t="s">
        <v>32663</v>
      </c>
      <c r="C25945" s="5" t="str">
        <f>IFERROR(__xludf.DUMMYFUNCTION("GOOGLETRANSLATE(B25945,""en"",""it"")"),"Le persone giocano a calcio in un'arena indoor.")</f>
        <v>Le persone giocano a calcio in un'arena indoor.</v>
      </c>
    </row>
    <row r="25946">
      <c r="A25946" s="4" t="s">
        <v>32662</v>
      </c>
      <c r="B25946" s="4" t="s">
        <v>32664</v>
      </c>
      <c r="C25946" s="5" t="str">
        <f>IFERROR(__xludf.DUMMYFUNCTION("GOOGLETRANSLATE(B25946,""en"",""it"")"),"Sparano e fanno un obiettivo in rete.")</f>
        <v>Sparano e fanno un obiettivo in rete.</v>
      </c>
    </row>
    <row r="25947">
      <c r="A25947" s="4" t="s">
        <v>32662</v>
      </c>
      <c r="B25947" s="4" t="s">
        <v>32665</v>
      </c>
      <c r="C25947" s="5" t="str">
        <f>IFERROR(__xludf.DUMMYFUNCTION("GOOGLETRANSLATE(B25947,""en"",""it"")"),"I giocatori si abbracciano sul campo.")</f>
        <v>I giocatori si abbracciano sul campo.</v>
      </c>
    </row>
    <row r="25948">
      <c r="A25948" s="4" t="s">
        <v>32666</v>
      </c>
      <c r="B25948" s="4" t="s">
        <v>32667</v>
      </c>
      <c r="C25948" s="5" t="str">
        <f>IFERROR(__xludf.DUMMYFUNCTION("GOOGLETRANSLATE(B25948,""en"",""it"")"),"Una persona lucidare una scarpa con un dito avvolto.")</f>
        <v>Una persona lucidare una scarpa con un dito avvolto.</v>
      </c>
    </row>
    <row r="25949">
      <c r="A25949" s="4" t="s">
        <v>32666</v>
      </c>
      <c r="B25949" s="4" t="s">
        <v>32668</v>
      </c>
      <c r="C25949" s="5" t="str">
        <f>IFERROR(__xludf.DUMMYFUNCTION("GOOGLETRANSLATE(B25949,""en"",""it"")"),"Quindi, la persona afferra la pasta di polacche e l'acqua per lucidare la scarpa.")</f>
        <v>Quindi, la persona afferra la pasta di polacche e l'acqua per lucidare la scarpa.</v>
      </c>
    </row>
    <row r="25950">
      <c r="A25950" s="4" t="s">
        <v>32666</v>
      </c>
      <c r="B25950" s="4" t="s">
        <v>32669</v>
      </c>
      <c r="C25950" s="5" t="str">
        <f>IFERROR(__xludf.DUMMYFUNCTION("GOOGLETRANSLATE(B25950,""en"",""it"")"),"Dopo, la persona ha messo una goccia d'acqua sulla scarpa e continua a lucidare.")</f>
        <v>Dopo, la persona ha messo una goccia d'acqua sulla scarpa e continua a lucidare.</v>
      </c>
    </row>
    <row r="25951">
      <c r="A25951" s="4" t="s">
        <v>32670</v>
      </c>
      <c r="B25951" s="4" t="s">
        <v>32671</v>
      </c>
      <c r="C25951" s="5" t="str">
        <f>IFERROR(__xludf.DUMMYFUNCTION("GOOGLETRANSLATE(B25951,""en"",""it"")"),"I regali avvolti vengono mostrati allineati.")</f>
        <v>I regali avvolti vengono mostrati allineati.</v>
      </c>
    </row>
    <row r="25952">
      <c r="A25952" s="4" t="s">
        <v>32670</v>
      </c>
      <c r="B25952" s="4" t="s">
        <v>32672</v>
      </c>
      <c r="C25952" s="5" t="str">
        <f>IFERROR(__xludf.DUMMYFUNCTION("GOOGLETRANSLATE(B25952,""en"",""it"")"),"Una persona sta lanciando la carta avvolgente e usando un righello per trattenerlo.")</f>
        <v>Una persona sta lanciando la carta avvolgente e usando un righello per trattenerlo.</v>
      </c>
    </row>
    <row r="25953">
      <c r="A25953" s="4" t="s">
        <v>32670</v>
      </c>
      <c r="B25953" s="4" t="s">
        <v>32673</v>
      </c>
      <c r="C25953" s="5" t="str">
        <f>IFERROR(__xludf.DUMMYFUNCTION("GOOGLETRANSLATE(B25953,""en"",""it"")"),"Una scatola è impostata sopra la carta da imballaggio.")</f>
        <v>Una scatola è impostata sopra la carta da imballaggio.</v>
      </c>
    </row>
    <row r="25954">
      <c r="A25954" s="4" t="s">
        <v>32670</v>
      </c>
      <c r="B25954" s="4" t="s">
        <v>32674</v>
      </c>
      <c r="C25954" s="5" t="str">
        <f>IFERROR(__xludf.DUMMYFUNCTION("GOOGLETRANSLATE(B25954,""en"",""it"")"),"La persona inizia a avvolgere il presente.")</f>
        <v>La persona inizia a avvolgere il presente.</v>
      </c>
    </row>
    <row r="25955">
      <c r="A25955" s="4" t="s">
        <v>32670</v>
      </c>
      <c r="B25955" s="4" t="s">
        <v>32675</v>
      </c>
      <c r="C25955" s="5" t="str">
        <f>IFERROR(__xludf.DUMMYFUNCTION("GOOGLETRANSLATE(B25955,""en"",""it"")"),"Stanno tagliando la carta.")</f>
        <v>Stanno tagliando la carta.</v>
      </c>
    </row>
    <row r="25956">
      <c r="A25956" s="4" t="s">
        <v>32670</v>
      </c>
      <c r="B25956" s="4" t="s">
        <v>32676</v>
      </c>
      <c r="C25956" s="5" t="str">
        <f>IFERROR(__xludf.DUMMYFUNCTION("GOOGLETRANSLATE(B25956,""en"",""it"")"),"Continuano a avvolgere il presente.")</f>
        <v>Continuano a avvolgere il presente.</v>
      </c>
    </row>
    <row r="25957">
      <c r="A25957" s="4" t="s">
        <v>32670</v>
      </c>
      <c r="B25957" s="4" t="s">
        <v>32677</v>
      </c>
      <c r="C25957" s="5" t="str">
        <f>IFERROR(__xludf.DUMMYFUNCTION("GOOGLETRANSLATE(B25957,""en"",""it"")"),"Usano il nastro per tenere la carta.")</f>
        <v>Usano il nastro per tenere la carta.</v>
      </c>
    </row>
    <row r="25958">
      <c r="A25958" s="4" t="s">
        <v>32670</v>
      </c>
      <c r="B25958" s="4" t="s">
        <v>32678</v>
      </c>
      <c r="C25958" s="5" t="str">
        <f>IFERROR(__xludf.DUMMYFUNCTION("GOOGLETRANSLATE(B25958,""en"",""it"")"),"Piegano la carta tissutale per avvolgere il centro della scatola.")</f>
        <v>Piegano la carta tissutale per avvolgere il centro della scatola.</v>
      </c>
    </row>
    <row r="25959">
      <c r="A25959" s="4" t="s">
        <v>32670</v>
      </c>
      <c r="B25959" s="4" t="s">
        <v>32679</v>
      </c>
      <c r="C25959" s="5" t="str">
        <f>IFERROR(__xludf.DUMMYFUNCTION("GOOGLETRANSLATE(B25959,""en"",""it"")"),"Avvolgono il nastro arricciacapelli attorno alla scatola e lo legano a un arco.")</f>
        <v>Avvolgono il nastro arricciacapelli attorno alla scatola e lo legano a un arco.</v>
      </c>
    </row>
    <row r="25960">
      <c r="A25960" s="4" t="s">
        <v>32670</v>
      </c>
      <c r="B25960" s="4" t="s">
        <v>32680</v>
      </c>
      <c r="C25960" s="5" t="str">
        <f>IFERROR(__xludf.DUMMYFUNCTION("GOOGLETRANSLATE(B25960,""en"",""it"")"),"Usa le forbici per arricciare le estremità dell'arco.")</f>
        <v>Usa le forbici per arricciare le estremità dell'arco.</v>
      </c>
    </row>
    <row r="25961">
      <c r="A25961" s="4" t="s">
        <v>32670</v>
      </c>
      <c r="B25961" s="4" t="s">
        <v>32681</v>
      </c>
      <c r="C25961" s="5" t="str">
        <f>IFERROR(__xludf.DUMMYFUNCTION("GOOGLETRANSLATE(B25961,""en"",""it"")"),"Attaccano un fiore d'argento nel presente.")</f>
        <v>Attaccano un fiore d'argento nel presente.</v>
      </c>
    </row>
    <row r="25962">
      <c r="A25962" s="4" t="s">
        <v>32682</v>
      </c>
      <c r="B25962" s="4" t="s">
        <v>32683</v>
      </c>
      <c r="C25962" s="5" t="str">
        <f>IFERROR(__xludf.DUMMYFUNCTION("GOOGLETRANSLATE(B25962,""en"",""it"")"),"Questo è un video per i consigli di wrestling del braccio.")</f>
        <v>Questo è un video per i consigli di wrestling del braccio.</v>
      </c>
    </row>
    <row r="25963">
      <c r="A25963" s="4" t="s">
        <v>32682</v>
      </c>
      <c r="B25963" s="4" t="s">
        <v>32684</v>
      </c>
      <c r="C25963" s="5" t="str">
        <f>IFERROR(__xludf.DUMMYFUNCTION("GOOGLETRANSLATE(B25963,""en"",""it"")"),"Viene mostrato uno schermo con didascalia che descrive il video.")</f>
        <v>Viene mostrato uno schermo con didascalia che descrive il video.</v>
      </c>
    </row>
    <row r="25964">
      <c r="A25964" s="4" t="s">
        <v>32682</v>
      </c>
      <c r="B25964" s="6" t="s">
        <v>32685</v>
      </c>
      <c r="C25964" s="5" t="str">
        <f>IFERROR(__xludf.DUMMYFUNCTION("GOOGLETRANSLATE(B25964,""en"",""it"")"),"Ci sono due uomini a un tavolo da wrestling a braccio Un uomo in una maglietta bianca e gli occhiali sta informando su come prepararsi correttamente per una partita di wrestling del braccio con posizione, posizione del braccio, posizione delle dita, posiz"&amp;"ionamento del polso, posizione del corpo, movimento del corpo e braccio .")</f>
        <v>Ci sono due uomini a un tavolo da wrestling a braccio Un uomo in una maglietta bianca e gli occhiali sta informando su come prepararsi correttamente per una partita di wrestling del braccio con posizione, posizione del braccio, posizione delle dita, posizionamento del polso, posizione del corpo, movimento del corpo e braccio .</v>
      </c>
    </row>
    <row r="25965">
      <c r="A25965" s="4" t="s">
        <v>32682</v>
      </c>
      <c r="B25965" s="4" t="s">
        <v>32686</v>
      </c>
      <c r="C25965" s="5" t="str">
        <f>IFERROR(__xludf.DUMMYFUNCTION("GOOGLETRANSLATE(B25965,""en"",""it"")"),"Un altro schermo nero appare con didascalie.")</f>
        <v>Un altro schermo nero appare con didascalie.</v>
      </c>
    </row>
    <row r="25966">
      <c r="A25966" s="4" t="s">
        <v>32682</v>
      </c>
      <c r="B25966" s="6" t="s">
        <v>32687</v>
      </c>
      <c r="C25966" s="5" t="str">
        <f>IFERROR(__xludf.DUMMYFUNCTION("GOOGLETRANSLATE(B25966,""en"",""it"")"),"L'uomo nella maglietta bianca mostra diversi modi per stare in piedi durante una partita di wrestling con entrambi i piedi a terra e avvolgendo una gamba attorno al tavolo di wrestling del braccio.")</f>
        <v>L'uomo nella maglietta bianca mostra diversi modi per stare in piedi durante una partita di wrestling con entrambi i piedi a terra e avvolgendo una gamba attorno al tavolo di wrestling del braccio.</v>
      </c>
    </row>
    <row r="25967">
      <c r="A25967" s="4" t="s">
        <v>32682</v>
      </c>
      <c r="B25967" s="4" t="s">
        <v>32688</v>
      </c>
      <c r="C25967" s="5" t="str">
        <f>IFERROR(__xludf.DUMMYFUNCTION("GOOGLETRANSLATE(B25967,""en"",""it"")"),"Un altro schermo nero appare con la didascalia sulla ricerca di club di wrestling del braccio.")</f>
        <v>Un altro schermo nero appare con la didascalia sulla ricerca di club di wrestling del braccio.</v>
      </c>
    </row>
    <row r="25968">
      <c r="A25968" s="4" t="s">
        <v>32682</v>
      </c>
      <c r="B25968" s="6" t="s">
        <v>32689</v>
      </c>
      <c r="C25968" s="5" t="str">
        <f>IFERROR(__xludf.DUMMYFUNCTION("GOOGLETRANSLATE(B25968,""en"",""it"")"),"L'uomo negli occhiali mentre era ancora al tavolo di wrestling del braccio con l'altro uomo offre un indirizzo del sito Web e siti di social media.")</f>
        <v>L'uomo negli occhiali mentre era ancora al tavolo di wrestling del braccio con l'altro uomo offre un indirizzo del sito Web e siti di social media.</v>
      </c>
    </row>
    <row r="25969">
      <c r="A25969" s="4" t="s">
        <v>32682</v>
      </c>
      <c r="B25969" s="4" t="s">
        <v>32690</v>
      </c>
      <c r="C25969" s="5" t="str">
        <f>IFERROR(__xludf.DUMMYFUNCTION("GOOGLETRANSLATE(B25969,""en"",""it"")"),"Lo schermo diventa nero e ci sono crediti che rotolano seguiti dal nome dell'azienda.")</f>
        <v>Lo schermo diventa nero e ci sono crediti che rotolano seguiti dal nome dell'azienda.</v>
      </c>
    </row>
    <row r="25970">
      <c r="A25970" s="4" t="s">
        <v>32691</v>
      </c>
      <c r="B25970" s="4" t="s">
        <v>32692</v>
      </c>
      <c r="C25970" s="5" t="str">
        <f>IFERROR(__xludf.DUMMYFUNCTION("GOOGLETRANSLATE(B25970,""en"",""it"")"),"Un uomo calvo parla e due foto di un giovane maschio con bei capelli lampeggia sullo schermo.")</f>
        <v>Un uomo calvo parla e due foto di un giovane maschio con bei capelli lampeggia sullo schermo.</v>
      </c>
    </row>
    <row r="25971">
      <c r="A25971" s="4" t="s">
        <v>32691</v>
      </c>
      <c r="B25971" s="6" t="s">
        <v>32693</v>
      </c>
      <c r="C25971" s="5" t="str">
        <f>IFERROR(__xludf.DUMMYFUNCTION("GOOGLETRANSLATE(B25971,""en"",""it"")"),"L'uomo inizia quindi a lavorare con una testa di manichino che ha un'acconciatura simile al ragazzo nelle foto e mostra come il taglio di capelli è stato raggiunto mentre ronzava, tagliando, pettinando e pettinando i capelli.")</f>
        <v>L'uomo inizia quindi a lavorare con una testa di manichino che ha un'acconciatura simile al ragazzo nelle foto e mostra come il taglio di capelli è stato raggiunto mentre ronzava, tagliando, pettinando e pettinando i capelli.</v>
      </c>
    </row>
    <row r="25972">
      <c r="A25972" s="4" t="s">
        <v>32691</v>
      </c>
      <c r="B25972" s="4" t="s">
        <v>32694</v>
      </c>
      <c r="C25972" s="5" t="str">
        <f>IFERROR(__xludf.DUMMYFUNCTION("GOOGLETRANSLATE(B25972,""en"",""it"")"),"Viene visualizzato uno schermo nero con lettere bianche e leggono ""Grazie per Wathing! Per favore iscriviti !!"".")</f>
        <v>Viene visualizzato uno schermo nero con lettere bianche e leggono "Grazie per Wathing! Per favore iscriviti !!".</v>
      </c>
    </row>
    <row r="25973">
      <c r="A25973" s="4" t="s">
        <v>32695</v>
      </c>
      <c r="B25973" s="4" t="s">
        <v>32696</v>
      </c>
      <c r="C25973" s="5" t="str">
        <f>IFERROR(__xludf.DUMMYFUNCTION("GOOGLETRANSLATE(B25973,""en"",""it"")"),"Un uomo più anziano passa una palla a un gruppo di bambini piccoli e alla fine calcia la palla.")</f>
        <v>Un uomo più anziano passa una palla a un gruppo di bambini piccoli e alla fine calcia la palla.</v>
      </c>
    </row>
    <row r="25974">
      <c r="A25974" s="4" t="s">
        <v>32695</v>
      </c>
      <c r="B25974" s="4" t="s">
        <v>32697</v>
      </c>
      <c r="C25974" s="5" t="str">
        <f>IFERROR(__xludf.DUMMYFUNCTION("GOOGLETRANSLATE(B25974,""en"",""it"")"),"L'uomo corre mentre altri bambini corrono e corre fino al piatto di casa.")</f>
        <v>L'uomo corre mentre altri bambini corrono e corre fino al piatto di casa.</v>
      </c>
    </row>
    <row r="25975">
      <c r="A25975" s="4" t="s">
        <v>32695</v>
      </c>
      <c r="B25975" s="4" t="s">
        <v>32698</v>
      </c>
      <c r="C25975" s="5" t="str">
        <f>IFERROR(__xludf.DUMMYFUNCTION("GOOGLETRANSLATE(B25975,""en"",""it"")"),"Una donna corre di fronte alla base con la palla e l'uomo le gira su di lei.")</f>
        <v>Una donna corre di fronte alla base con la palla e l'uomo le gira su di lei.</v>
      </c>
    </row>
    <row r="25976">
      <c r="A25976" s="4" t="s">
        <v>32695</v>
      </c>
      <c r="B25976" s="4" t="s">
        <v>32699</v>
      </c>
      <c r="C25976" s="5" t="str">
        <f>IFERROR(__xludf.DUMMYFUNCTION("GOOGLETRANSLATE(B25976,""en"",""it"")"),"La aiuta a su come entrambi.")</f>
        <v>La aiuta a su come entrambi.</v>
      </c>
    </row>
    <row r="25977">
      <c r="A25977" s="4" t="s">
        <v>32700</v>
      </c>
      <c r="B25977" s="4" t="s">
        <v>32701</v>
      </c>
      <c r="C25977" s="5" t="str">
        <f>IFERROR(__xludf.DUMMYFUNCTION("GOOGLETRANSLATE(B25977,""en"",""it"")"),"I cowboy competono in una competizione di rodeo.")</f>
        <v>I cowboy competono in una competizione di rodeo.</v>
      </c>
    </row>
    <row r="25978">
      <c r="A25978" s="4" t="s">
        <v>32700</v>
      </c>
      <c r="B25978" s="4" t="s">
        <v>32702</v>
      </c>
      <c r="C25978" s="5" t="str">
        <f>IFERROR(__xludf.DUMMYFUNCTION("GOOGLETRANSLATE(B25978,""en"",""it"")"),"Gli uomini cavalcano i cavalli da una portiera e corrono un toro prima di smontare e legare le gambe.")</f>
        <v>Gli uomini cavalcano i cavalli da una portiera e corrono un toro prima di smontare e legare le gambe.</v>
      </c>
    </row>
    <row r="25979">
      <c r="A25979" s="4" t="s">
        <v>32700</v>
      </c>
      <c r="B25979" s="4" t="s">
        <v>32703</v>
      </c>
      <c r="C25979" s="5" t="str">
        <f>IFERROR(__xludf.DUMMYFUNCTION("GOOGLETRANSLATE(B25979,""en"",""it"")"),"Il vincitore agita il cappello e si congratula con gli altri ciclisti.")</f>
        <v>Il vincitore agita il cappello e si congratula con gli altri ciclisti.</v>
      </c>
    </row>
    <row r="25980">
      <c r="A25980" s="4" t="s">
        <v>32704</v>
      </c>
      <c r="B25980" s="6" t="s">
        <v>32705</v>
      </c>
      <c r="C25980" s="5" t="str">
        <f>IFERROR(__xludf.DUMMYFUNCTION("GOOGLETRANSLATE(B25980,""en"",""it"")"),"Un uomo parla con la telecamera mentre si è seduto su un tamburo mentre un altro uomo suona la batteria in background.")</f>
        <v>Un uomo parla con la telecamera mentre si è seduto su un tamburo mentre un altro uomo suona la batteria in background.</v>
      </c>
    </row>
    <row r="25981">
      <c r="A25981" s="4" t="s">
        <v>32704</v>
      </c>
      <c r="B25981" s="4" t="s">
        <v>32706</v>
      </c>
      <c r="C25981" s="5" t="str">
        <f>IFERROR(__xludf.DUMMYFUNCTION("GOOGLETRANSLATE(B25981,""en"",""it"")"),"Il primo uomo suona la batteria.")</f>
        <v>Il primo uomo suona la batteria.</v>
      </c>
    </row>
    <row r="25982">
      <c r="A25982" s="4" t="s">
        <v>32704</v>
      </c>
      <c r="B25982" s="4" t="s">
        <v>32707</v>
      </c>
      <c r="C25982" s="5" t="str">
        <f>IFERROR(__xludf.DUMMYFUNCTION("GOOGLETRANSLATE(B25982,""en"",""it"")"),"Il primo uomo smette di giocare e si gira verso la fotocamera.")</f>
        <v>Il primo uomo smette di giocare e si gira verso la fotocamera.</v>
      </c>
    </row>
    <row r="25983">
      <c r="A25983" s="4" t="s">
        <v>32708</v>
      </c>
      <c r="B25983" s="4" t="s">
        <v>32709</v>
      </c>
      <c r="C25983" s="5" t="str">
        <f>IFERROR(__xludf.DUMMYFUNCTION("GOOGLETRANSLATE(B25983,""en"",""it"")"),"Vediamo la schermata di apertura bianca.")</f>
        <v>Vediamo la schermata di apertura bianca.</v>
      </c>
    </row>
    <row r="25984">
      <c r="A25984" s="4" t="s">
        <v>32708</v>
      </c>
      <c r="B25984" s="4" t="s">
        <v>32710</v>
      </c>
      <c r="C25984" s="5" t="str">
        <f>IFERROR(__xludf.DUMMYFUNCTION("GOOGLETRANSLATE(B25984,""en"",""it"")"),"Un uomo in salto gli lancia una borsa sopra la spalla e lascia una riva.")</f>
        <v>Un uomo in salto gli lancia una borsa sopra la spalla e lascia una riva.</v>
      </c>
    </row>
    <row r="25985">
      <c r="A25985" s="4" t="s">
        <v>32708</v>
      </c>
      <c r="B25985" s="4" t="s">
        <v>32711</v>
      </c>
      <c r="C25985" s="5" t="str">
        <f>IFERROR(__xludf.DUMMYFUNCTION("GOOGLETRANSLATE(B25985,""en"",""it"")"),"L'uomo di Jump Stilts corre dagli sbirri in una strada cittadina.")</f>
        <v>L'uomo di Jump Stilts corre dagli sbirri in una strada cittadina.</v>
      </c>
    </row>
    <row r="25986">
      <c r="A25986" s="4" t="s">
        <v>32708</v>
      </c>
      <c r="B25986" s="4" t="s">
        <v>32712</v>
      </c>
      <c r="C25986" s="5" t="str">
        <f>IFERROR(__xludf.DUMMYFUNCTION("GOOGLETRANSLATE(B25986,""en"",""it"")"),"L'uomo spinge attraverso un mercato.")</f>
        <v>L'uomo spinge attraverso un mercato.</v>
      </c>
    </row>
    <row r="25987">
      <c r="A25987" s="4" t="s">
        <v>32708</v>
      </c>
      <c r="B25987" s="4" t="s">
        <v>32713</v>
      </c>
      <c r="C25987" s="5" t="str">
        <f>IFERROR(__xludf.DUMMYFUNCTION("GOOGLETRANSLATE(B25987,""en"",""it"")"),"L'uomo salta su un passeggino spinto da una signora.")</f>
        <v>L'uomo salta su un passeggino spinto da una signora.</v>
      </c>
    </row>
    <row r="25988">
      <c r="A25988" s="4" t="s">
        <v>32708</v>
      </c>
      <c r="B25988" s="4" t="s">
        <v>32714</v>
      </c>
      <c r="C25988" s="5" t="str">
        <f>IFERROR(__xludf.DUMMYFUNCTION("GOOGLETRANSLATE(B25988,""en"",""it"")"),"L'uomo salta su un camion e sopra una recinzione che perde gli sbirri.")</f>
        <v>L'uomo salta su un camion e sopra una recinzione che perde gli sbirri.</v>
      </c>
    </row>
    <row r="25989">
      <c r="A25989" s="4" t="s">
        <v>32708</v>
      </c>
      <c r="B25989" s="4" t="s">
        <v>32715</v>
      </c>
      <c r="C25989" s="5" t="str">
        <f>IFERROR(__xludf.DUMMYFUNCTION("GOOGLETRANSLATE(B25989,""en"",""it"")"),"L'uomo corre attraverso uno skate park lungo una strada della città e su per le scale.")</f>
        <v>L'uomo corre attraverso uno skate park lungo una strada della città e su per le scale.</v>
      </c>
    </row>
    <row r="25990">
      <c r="A25990" s="4" t="s">
        <v>32708</v>
      </c>
      <c r="B25990" s="4" t="s">
        <v>32716</v>
      </c>
      <c r="C25990" s="5" t="str">
        <f>IFERROR(__xludf.DUMMYFUNCTION("GOOGLETRANSLATE(B25990,""en"",""it"")"),"L'uomo apre la borsa e conta i suoi soldi.")</f>
        <v>L'uomo apre la borsa e conta i suoi soldi.</v>
      </c>
    </row>
    <row r="25991">
      <c r="A25991" s="4" t="s">
        <v>32708</v>
      </c>
      <c r="B25991" s="4" t="s">
        <v>27504</v>
      </c>
      <c r="C25991" s="5" t="str">
        <f>IFERROR(__xludf.DUMMYFUNCTION("GOOGLETRANSLATE(B25991,""en"",""it"")"),"Vediamo una schermata del titolo di chiusura.")</f>
        <v>Vediamo una schermata del titolo di chiusura.</v>
      </c>
    </row>
    <row r="25992">
      <c r="A25992" s="4" t="s">
        <v>32717</v>
      </c>
      <c r="B25992" s="6" t="s">
        <v>32718</v>
      </c>
      <c r="C25992" s="5" t="str">
        <f>IFERROR(__xludf.DUMMYFUNCTION("GOOGLETRANSLATE(B25992,""en"",""it"")"),"Un folto gruppo di persone si vede tutti in giro in auto paraurti e guidano in una pista, si imbattonore l'una nell'altra.")</f>
        <v>Un folto gruppo di persone si vede tutti in giro in auto paraurti e guidano in una pista, si imbattonore l'una nell'altra.</v>
      </c>
    </row>
    <row r="25993">
      <c r="A25993" s="4" t="s">
        <v>32717</v>
      </c>
      <c r="B25993" s="4" t="s">
        <v>32719</v>
      </c>
      <c r="C25993" s="5" t="str">
        <f>IFERROR(__xludf.DUMMYFUNCTION("GOOGLETRANSLATE(B25993,""en"",""it"")"),"La gente continua a correre e finisce con un uomo e due bambini che escono.")</f>
        <v>La gente continua a correre e finisce con un uomo e due bambini che escono.</v>
      </c>
    </row>
    <row r="25994">
      <c r="A25994" s="4" t="s">
        <v>32720</v>
      </c>
      <c r="B25994" s="4" t="s">
        <v>32721</v>
      </c>
      <c r="C25994" s="5" t="str">
        <f>IFERROR(__xludf.DUMMYFUNCTION("GOOGLETRANSLATE(B25994,""en"",""it"")"),"Un'introduzione mostra sullo schermo che introduce un video di lancio invernale.")</f>
        <v>Un'introduzione mostra sullo schermo che introduce un video di lancio invernale.</v>
      </c>
    </row>
    <row r="25995">
      <c r="A25995" s="4" t="s">
        <v>32720</v>
      </c>
      <c r="B25995" s="4" t="s">
        <v>32722</v>
      </c>
      <c r="C25995" s="5" t="str">
        <f>IFERROR(__xludf.DUMMYFUNCTION("GOOGLETRANSLATE(B25995,""en"",""it"")"),"Un uomo fa girare in cerchio e completa il tiro che celebra la sua distanza.")</f>
        <v>Un uomo fa girare in cerchio e completa il tiro che celebra la sua distanza.</v>
      </c>
    </row>
    <row r="25996">
      <c r="A25996" s="4" t="s">
        <v>32720</v>
      </c>
      <c r="B25996" s="4" t="s">
        <v>32723</v>
      </c>
      <c r="C25996" s="5" t="str">
        <f>IFERROR(__xludf.DUMMYFUNCTION("GOOGLETRANSLATE(B25996,""en"",""it"")"),"Si prepara per un altro tiro mettendosi in posizione.")</f>
        <v>Si prepara per un altro tiro mettendosi in posizione.</v>
      </c>
    </row>
    <row r="25997">
      <c r="A25997" s="4" t="s">
        <v>32720</v>
      </c>
      <c r="B25997" s="4" t="s">
        <v>32724</v>
      </c>
      <c r="C25997" s="5" t="str">
        <f>IFERROR(__xludf.DUMMYFUNCTION("GOOGLETRANSLATE(B25997,""en"",""it"")"),"Completa il tiro e si prepara per un altro.")</f>
        <v>Completa il tiro e si prepara per un altro.</v>
      </c>
    </row>
    <row r="25998">
      <c r="A25998" s="4" t="s">
        <v>32720</v>
      </c>
      <c r="B25998" s="4" t="s">
        <v>32725</v>
      </c>
      <c r="C25998" s="5" t="str">
        <f>IFERROR(__xludf.DUMMYFUNCTION("GOOGLETRANSLATE(B25998,""en"",""it"")"),"Completa il tiro successivo e si prepara per il prossimo.")</f>
        <v>Completa il tiro successivo e si prepara per il prossimo.</v>
      </c>
    </row>
    <row r="25999">
      <c r="A25999" s="4" t="s">
        <v>32720</v>
      </c>
      <c r="B25999" s="4" t="s">
        <v>32726</v>
      </c>
      <c r="C25999" s="5" t="str">
        <f>IFERROR(__xludf.DUMMYFUNCTION("GOOGLETRANSLATE(B25999,""en"",""it"")"),"Completa l'ultimo tiro e celebra di nuovo una buona distanza.")</f>
        <v>Completa l'ultimo tiro e celebra di nuovo una buona distanza.</v>
      </c>
    </row>
    <row r="26000">
      <c r="A26000" s="4" t="s">
        <v>32720</v>
      </c>
      <c r="B26000" s="4" t="s">
        <v>32727</v>
      </c>
      <c r="C26000" s="5" t="str">
        <f>IFERROR(__xludf.DUMMYFUNCTION("GOOGLETRANSLATE(B26000,""en"",""it"")"),"Il video termina con il testo visualizzato sullo schermo.")</f>
        <v>Il video termina con il testo visualizzato sullo schermo.</v>
      </c>
    </row>
    <row r="26001">
      <c r="A26001" s="4" t="s">
        <v>32728</v>
      </c>
      <c r="B26001" s="4" t="s">
        <v>32729</v>
      </c>
      <c r="C26001" s="5" t="str">
        <f>IFERROR(__xludf.DUMMYFUNCTION("GOOGLETRANSLATE(B26001,""en"",""it"")"),"Due ragazze praticano le mosse di danza di fronte al loro televisore nel loro salotto.")</f>
        <v>Due ragazze praticano le mosse di danza di fronte al loro televisore nel loro salotto.</v>
      </c>
    </row>
    <row r="26002">
      <c r="A26002" s="4" t="s">
        <v>32728</v>
      </c>
      <c r="B26002" s="4" t="s">
        <v>32730</v>
      </c>
      <c r="C26002" s="5" t="str">
        <f>IFERROR(__xludf.DUMMYFUNCTION("GOOGLETRANSLATE(B26002,""en"",""it"")"),"Una delle ragazze indossa una camicia rossa e l'altra indossa una camicia blu scuro.")</f>
        <v>Una delle ragazze indossa una camicia rossa e l'altra indossa una camicia blu scuro.</v>
      </c>
    </row>
    <row r="26003">
      <c r="A26003" s="4" t="s">
        <v>32728</v>
      </c>
      <c r="B26003" s="4" t="s">
        <v>32731</v>
      </c>
      <c r="C26003" s="5" t="str">
        <f>IFERROR(__xludf.DUMMYFUNCTION("GOOGLETRANSLATE(B26003,""en"",""it"")"),"Stanno praticando la ballo ballando.")</f>
        <v>Stanno praticando la ballo ballando.</v>
      </c>
    </row>
    <row r="26004">
      <c r="A26004" s="4" t="s">
        <v>32728</v>
      </c>
      <c r="B26004" s="4" t="s">
        <v>32732</v>
      </c>
      <c r="C26004" s="5" t="str">
        <f>IFERROR(__xludf.DUMMYFUNCTION("GOOGLETRANSLATE(B26004,""en"",""it"")"),"Si alternano per oscillare e si girano intorno alle mani dell'altra mentre girano in cerchio.")</f>
        <v>Si alternano per oscillare e si girano intorno alle mani dell'altra mentre girano in cerchio.</v>
      </c>
    </row>
    <row r="26005">
      <c r="A26005" s="4" t="s">
        <v>32728</v>
      </c>
      <c r="B26005" s="4" t="s">
        <v>32733</v>
      </c>
      <c r="C26005" s="5" t="str">
        <f>IFERROR(__xludf.DUMMYFUNCTION("GOOGLETRANSLATE(B26005,""en"",""it"")"),"Seguono anche uno schema dei movimenti delle gambe mentre seguono ritmicamente i passi.")</f>
        <v>Seguono anche uno schema dei movimenti delle gambe mentre seguono ritmicamente i passi.</v>
      </c>
    </row>
    <row r="26006">
      <c r="A26006" s="4" t="s">
        <v>32728</v>
      </c>
      <c r="B26006" s="4" t="s">
        <v>32734</v>
      </c>
      <c r="C26006" s="5" t="str">
        <f>IFERROR(__xludf.DUMMYFUNCTION("GOOGLETRANSLATE(B26006,""en"",""it"")"),"Dopo aver finito, entrambi ridacchiano e si allontanano.")</f>
        <v>Dopo aver finito, entrambi ridacchiano e si allontanano.</v>
      </c>
    </row>
    <row r="26007">
      <c r="A26007" s="4" t="s">
        <v>32735</v>
      </c>
      <c r="B26007" s="4" t="s">
        <v>32736</v>
      </c>
      <c r="C26007" s="5" t="str">
        <f>IFERROR(__xludf.DUMMYFUNCTION("GOOGLETRANSLATE(B26007,""en"",""it"")"),"Un'immagine fissa è raffigurata con le parole che cammina attraverso l'America mostrata su di essa.")</f>
        <v>Un'immagine fissa è raffigurata con le parole che cammina attraverso l'America mostrata su di essa.</v>
      </c>
    </row>
    <row r="26008">
      <c r="A26008" s="4" t="s">
        <v>32735</v>
      </c>
      <c r="B26008" s="6" t="s">
        <v>32737</v>
      </c>
      <c r="C26008" s="5" t="str">
        <f>IFERROR(__xludf.DUMMYFUNCTION("GOOGLETRANSLATE(B26008,""en"",""it"")"),"Una coppia di mezza età viene quindi mostrata che si siede sui tronchi che parlano con i loro cani che vagano dietro di loro e un altro uomo seduto su una grande roccia per massi.")</f>
        <v>Una coppia di mezza età viene quindi mostrata che si siede sui tronchi che parlano con i loro cani che vagano dietro di loro e un altro uomo seduto su una grande roccia per massi.</v>
      </c>
    </row>
    <row r="26009">
      <c r="A26009" s="4" t="s">
        <v>32735</v>
      </c>
      <c r="B26009" s="4" t="s">
        <v>32738</v>
      </c>
      <c r="C26009" s="5" t="str">
        <f>IFERROR(__xludf.DUMMYFUNCTION("GOOGLETRANSLATE(B26009,""en"",""it"")"),"Quindi vengono mostrate diverse immagini di cani e quindi la donna riappare.")</f>
        <v>Quindi vengono mostrate diverse immagini di cani e quindi la donna riappare.</v>
      </c>
    </row>
    <row r="26010">
      <c r="A26010" s="4" t="s">
        <v>32735</v>
      </c>
      <c r="B26010" s="4" t="s">
        <v>32739</v>
      </c>
      <c r="C26010" s="5" t="str">
        <f>IFERROR(__xludf.DUMMYFUNCTION("GOOGLETRANSLATE(B26010,""en"",""it"")"),"Quindi viene mostrata un'altra serie di immagini in cui i cani vengono aiutati dai veterinari.")</f>
        <v>Quindi viene mostrata un'altra serie di immagini in cui i cani vengono aiutati dai veterinari.</v>
      </c>
    </row>
    <row r="26011">
      <c r="A26011" s="4" t="s">
        <v>32735</v>
      </c>
      <c r="B26011" s="4" t="s">
        <v>32740</v>
      </c>
      <c r="C26011" s="5" t="str">
        <f>IFERROR(__xludf.DUMMYFUNCTION("GOOGLETRANSLATE(B26011,""en"",""it"")"),"L'uomo riappare quindi con la signora e iniziano a parlare di nuovo.")</f>
        <v>L'uomo riappare quindi con la signora e iniziano a parlare di nuovo.</v>
      </c>
    </row>
    <row r="26012">
      <c r="A26012" s="4" t="s">
        <v>32735</v>
      </c>
      <c r="B26012" s="4" t="s">
        <v>32741</v>
      </c>
      <c r="C26012" s="5" t="str">
        <f>IFERROR(__xludf.DUMMYFUNCTION("GOOGLETRANSLATE(B26012,""en"",""it"")"),"Infine, l'uomo se ne va e appare uno schermo nero che mostra più siti Web.")</f>
        <v>Infine, l'uomo se ne va e appare uno schermo nero che mostra più siti Web.</v>
      </c>
    </row>
    <row r="26013">
      <c r="A26013" s="4" t="s">
        <v>32742</v>
      </c>
      <c r="B26013" s="4" t="s">
        <v>32743</v>
      </c>
      <c r="C26013" s="5" t="str">
        <f>IFERROR(__xludf.DUMMYFUNCTION("GOOGLETRANSLATE(B26013,""en"",""it"")"),"Alcuni ragazzi sono in palestra.")</f>
        <v>Alcuni ragazzi sono in palestra.</v>
      </c>
    </row>
    <row r="26014">
      <c r="A26014" s="4" t="s">
        <v>32742</v>
      </c>
      <c r="B26014" s="4" t="s">
        <v>32744</v>
      </c>
      <c r="C26014" s="5" t="str">
        <f>IFERROR(__xludf.DUMMYFUNCTION("GOOGLETRANSLATE(B26014,""en"",""it"")"),"Si svolgono impilando una pila di pneumatici.")</f>
        <v>Si svolgono impilando una pila di pneumatici.</v>
      </c>
    </row>
    <row r="26015">
      <c r="A26015" s="4" t="s">
        <v>32742</v>
      </c>
      <c r="B26015" s="4" t="s">
        <v>32745</v>
      </c>
      <c r="C26015" s="5" t="str">
        <f>IFERROR(__xludf.DUMMYFUNCTION("GOOGLETRANSLATE(B26015,""en"",""it"")"),"Dopo ogni aggiunta, uno di loro salta e si trova in cima.")</f>
        <v>Dopo ogni aggiunta, uno di loro salta e si trova in cima.</v>
      </c>
    </row>
    <row r="26016">
      <c r="A26016" s="4" t="s">
        <v>32746</v>
      </c>
      <c r="B26016" s="4" t="s">
        <v>32747</v>
      </c>
      <c r="C26016" s="5" t="str">
        <f>IFERROR(__xludf.DUMMYFUNCTION("GOOGLETRANSLATE(B26016,""en"",""it"")"),"L'uomo è in una palestra Oofed che si allunga la gamba e si esercita davanti a una sedia.")</f>
        <v>L'uomo è in una palestra Oofed che si allunga la gamba e si esercita davanti a una sedia.</v>
      </c>
    </row>
    <row r="26017">
      <c r="A26017" s="4" t="s">
        <v>32746</v>
      </c>
      <c r="B26017" s="4" t="s">
        <v>32748</v>
      </c>
      <c r="C26017" s="5" t="str">
        <f>IFERROR(__xludf.DUMMYFUNCTION("GOOGLETRANSLATE(B26017,""en"",""it"")"),"L'uomo piega l'altra gamba e lo allunga.")</f>
        <v>L'uomo piega l'altra gamba e lo allunga.</v>
      </c>
    </row>
    <row r="26018">
      <c r="A26018" s="4" t="s">
        <v>32749</v>
      </c>
      <c r="B26018" s="4" t="s">
        <v>32750</v>
      </c>
      <c r="C26018" s="5" t="str">
        <f>IFERROR(__xludf.DUMMYFUNCTION("GOOGLETRANSLATE(B26018,""en"",""it"")"),"Un uomo si inginocchia per prendere un peso mentre un uomo lo guarda.")</f>
        <v>Un uomo si inginocchia per prendere un peso mentre un uomo lo guarda.</v>
      </c>
    </row>
    <row r="26019">
      <c r="A26019" s="4" t="s">
        <v>32749</v>
      </c>
      <c r="B26019" s="4" t="s">
        <v>32751</v>
      </c>
      <c r="C26019" s="5" t="str">
        <f>IFERROR(__xludf.DUMMYFUNCTION("GOOGLETRANSLATE(B26019,""en"",""it"")"),"Un uomo grasso in topless pratica il sollevamento in peso dietro l'uomo.")</f>
        <v>Un uomo grasso in topless pratica il sollevamento in peso dietro l'uomo.</v>
      </c>
    </row>
    <row r="26020">
      <c r="A26020" s="4" t="s">
        <v>32749</v>
      </c>
      <c r="B26020" s="4" t="s">
        <v>32752</v>
      </c>
      <c r="C26020" s="5" t="str">
        <f>IFERROR(__xludf.DUMMYFUNCTION("GOOGLETRANSLATE(B26020,""en"",""it"")"),"Una persona solleva un peso sul retro.")</f>
        <v>Una persona solleva un peso sul retro.</v>
      </c>
    </row>
    <row r="26021">
      <c r="A26021" s="4" t="s">
        <v>32749</v>
      </c>
      <c r="B26021" s="4" t="s">
        <v>32753</v>
      </c>
      <c r="C26021" s="5" t="str">
        <f>IFERROR(__xludf.DUMMYFUNCTION("GOOGLETRANSLATE(B26021,""en"",""it"")"),"Quindi, l'uomo solleva il peso, dopo aver lasciato cadere il peso sul pavimento.")</f>
        <v>Quindi, l'uomo solleva il peso, dopo aver lasciato cadere il peso sul pavimento.</v>
      </c>
    </row>
    <row r="26022">
      <c r="A26022" s="4" t="s">
        <v>32749</v>
      </c>
      <c r="B26022" s="4" t="s">
        <v>32754</v>
      </c>
      <c r="C26022" s="5" t="str">
        <f>IFERROR(__xludf.DUMMYFUNCTION("GOOGLETRANSLATE(B26022,""en"",""it"")"),"Ancora una volta, l'uomo si inginocchia di nuovo e solleva il peso sopra la sua testa e poi lascialo cadere.")</f>
        <v>Ancora una volta, l'uomo si inginocchia di nuovo e solleva il peso sopra la sua testa e poi lascialo cadere.</v>
      </c>
    </row>
    <row r="26023">
      <c r="A26023" s="4" t="s">
        <v>32755</v>
      </c>
      <c r="B26023" s="4" t="s">
        <v>32756</v>
      </c>
      <c r="C26023" s="5" t="str">
        <f>IFERROR(__xludf.DUMMYFUNCTION("GOOGLETRANSLATE(B26023,""en"",""it"")"),"Due uomini si siedono a un tavolo.")</f>
        <v>Due uomini si siedono a un tavolo.</v>
      </c>
    </row>
    <row r="26024">
      <c r="A26024" s="4" t="s">
        <v>32755</v>
      </c>
      <c r="B26024" s="4" t="s">
        <v>32757</v>
      </c>
      <c r="C26024" s="5" t="str">
        <f>IFERROR(__xludf.DUMMYFUNCTION("GOOGLETRANSLATE(B26024,""en"",""it"")"),"L'uomo più vicino agli uncinetti della telecamera.")</f>
        <v>L'uomo più vicino agli uncinetti della telecamera.</v>
      </c>
    </row>
    <row r="26025">
      <c r="A26025" s="4" t="s">
        <v>32755</v>
      </c>
      <c r="B26025" s="4" t="s">
        <v>32758</v>
      </c>
      <c r="C26025" s="5" t="str">
        <f>IFERROR(__xludf.DUMMYFUNCTION("GOOGLETRANSLATE(B26025,""en"",""it"")"),"L'uomo più vicino alla telecamera si gratta l'orecchio.")</f>
        <v>L'uomo più vicino alla telecamera si gratta l'orecchio.</v>
      </c>
    </row>
    <row r="26026">
      <c r="A26026" s="4" t="s">
        <v>32759</v>
      </c>
      <c r="B26026" s="4" t="s">
        <v>32760</v>
      </c>
      <c r="C26026" s="5" t="str">
        <f>IFERROR(__xludf.DUMMYFUNCTION("GOOGLETRANSLATE(B26026,""en"",""it"")"),"Una persona tiene un giavellotto e si prepara a lanciarlo.")</f>
        <v>Una persona tiene un giavellotto e si prepara a lanciarlo.</v>
      </c>
    </row>
    <row r="26027">
      <c r="A26027" s="4" t="s">
        <v>32759</v>
      </c>
      <c r="B26027" s="4" t="s">
        <v>32761</v>
      </c>
      <c r="C26027" s="5" t="str">
        <f>IFERROR(__xludf.DUMMYFUNCTION("GOOGLETRANSLATE(B26027,""en"",""it"")"),"Quindi, l'uomo corre e lancia il giavellotto.")</f>
        <v>Quindi, l'uomo corre e lancia il giavellotto.</v>
      </c>
    </row>
    <row r="26028">
      <c r="A26028" s="4" t="s">
        <v>32762</v>
      </c>
      <c r="B26028" s="4" t="s">
        <v>32763</v>
      </c>
      <c r="C26028" s="5" t="str">
        <f>IFERROR(__xludf.DUMMYFUNCTION("GOOGLETRANSLATE(B26028,""en"",""it"")"),"Una donna dimostra come applicare lo sfondo a un muro.")</f>
        <v>Una donna dimostra come applicare lo sfondo a un muro.</v>
      </c>
    </row>
    <row r="26029">
      <c r="A26029" s="4" t="s">
        <v>32762</v>
      </c>
      <c r="B26029" s="4" t="s">
        <v>32764</v>
      </c>
      <c r="C26029" s="5" t="str">
        <f>IFERROR(__xludf.DUMMYFUNCTION("GOOGLETRANSLATE(B26029,""en"",""it"")"),"Una donna regge i vari strumenti necessari per applicare lo sfondo.")</f>
        <v>Una donna regge i vari strumenti necessari per applicare lo sfondo.</v>
      </c>
    </row>
    <row r="26030">
      <c r="A26030" s="4" t="s">
        <v>32762</v>
      </c>
      <c r="B26030" s="6" t="s">
        <v>32765</v>
      </c>
      <c r="C26030" s="5" t="str">
        <f>IFERROR(__xludf.DUMMYFUNCTION("GOOGLETRANSLATE(B26030,""en"",""it"")"),"La donna dimostra il processo prima di applicare il documento in brevi segmenti dimostrativi.")</f>
        <v>La donna dimostra il processo prima di applicare il documento in brevi segmenti dimostrativi.</v>
      </c>
    </row>
    <row r="26031">
      <c r="A26031" s="4" t="s">
        <v>32762</v>
      </c>
      <c r="B26031" s="4" t="s">
        <v>32766</v>
      </c>
      <c r="C26031" s="5" t="str">
        <f>IFERROR(__xludf.DUMMYFUNCTION("GOOGLETRANSLATE(B26031,""en"",""it"")"),"La donna inizia quindi ad applicare lo sfondo a un muro passo dopo passo.")</f>
        <v>La donna inizia quindi ad applicare lo sfondo a un muro passo dopo passo.</v>
      </c>
    </row>
    <row r="26032">
      <c r="A26032" s="4" t="s">
        <v>32767</v>
      </c>
      <c r="B26032" s="4" t="s">
        <v>32768</v>
      </c>
      <c r="C26032" s="5" t="str">
        <f>IFERROR(__xludf.DUMMYFUNCTION("GOOGLETRANSLATE(B26032,""en"",""it"")"),"I piedi nudi di una persona sono mostrati a salire su una rampa di scale.")</f>
        <v>I piedi nudi di una persona sono mostrati a salire su una rampa di scale.</v>
      </c>
    </row>
    <row r="26033">
      <c r="A26033" s="4" t="s">
        <v>32767</v>
      </c>
      <c r="B26033" s="4" t="s">
        <v>32769</v>
      </c>
      <c r="C26033" s="5" t="str">
        <f>IFERROR(__xludf.DUMMYFUNCTION("GOOGLETRANSLATE(B26033,""en"",""it"")"),"Quindi uomini diversi vengono mostrati immersioni al rallentatore dalla tavola da immersione nell'acqua.")</f>
        <v>Quindi uomini diversi vengono mostrati immersioni al rallentatore dalla tavola da immersione nell'acqua.</v>
      </c>
    </row>
    <row r="26034">
      <c r="A26034" s="4" t="s">
        <v>32767</v>
      </c>
      <c r="B26034" s="4" t="s">
        <v>32770</v>
      </c>
      <c r="C26034" s="5" t="str">
        <f>IFERROR(__xludf.DUMMYFUNCTION("GOOGLETRANSLATE(B26034,""en"",""it"")"),"Anche donne e ragazzi saltano, ognuno di atterraggio in una piscina all'aperto.")</f>
        <v>Anche donne e ragazzi saltano, ognuno di atterraggio in una piscina all'aperto.</v>
      </c>
    </row>
    <row r="26035">
      <c r="A26035" s="4" t="s">
        <v>32771</v>
      </c>
      <c r="B26035" s="4" t="s">
        <v>32772</v>
      </c>
      <c r="C26035" s="5" t="str">
        <f>IFERROR(__xludf.DUMMYFUNCTION("GOOGLETRANSLATE(B26035,""en"",""it"")"),"Una femmina si sdraia sulla schiena che si esercita all'interno di una palestra.")</f>
        <v>Una femmina si sdraia sulla schiena che si esercita all'interno di una palestra.</v>
      </c>
    </row>
    <row r="26036">
      <c r="A26036" s="4" t="s">
        <v>32771</v>
      </c>
      <c r="B26036" s="4" t="s">
        <v>32773</v>
      </c>
      <c r="C26036" s="5" t="str">
        <f>IFERROR(__xludf.DUMMYFUNCTION("GOOGLETRANSLATE(B26036,""en"",""it"")"),"Indossa nero e rosa e sembra molto comoda mentre si allena.")</f>
        <v>Indossa nero e rosa e sembra molto comoda mentre si allena.</v>
      </c>
    </row>
    <row r="26037">
      <c r="A26037" s="4" t="s">
        <v>32771</v>
      </c>
      <c r="B26037" s="4" t="s">
        <v>32774</v>
      </c>
      <c r="C26037" s="5" t="str">
        <f>IFERROR(__xludf.DUMMYFUNCTION("GOOGLETRANSLATE(B26037,""en"",""it"")"),"Solleva le braccia e le gambe al centro del suo corpo.")</f>
        <v>Solleva le braccia e le gambe al centro del suo corpo.</v>
      </c>
    </row>
    <row r="26038">
      <c r="A26038" s="4" t="s">
        <v>32771</v>
      </c>
      <c r="B26038" s="4" t="s">
        <v>32775</v>
      </c>
      <c r="C26038" s="5" t="str">
        <f>IFERROR(__xludf.DUMMYFUNCTION("GOOGLETRANSLATE(B26038,""en"",""it"")"),"Lo fa ripetutamente per un po '.")</f>
        <v>Lo fa ripetutamente per un po '.</v>
      </c>
    </row>
    <row r="26039">
      <c r="A26039" s="4" t="s">
        <v>32776</v>
      </c>
      <c r="B26039" s="4" t="s">
        <v>19329</v>
      </c>
      <c r="C26039" s="5" t="str">
        <f>IFERROR(__xludf.DUMMYFUNCTION("GOOGLETRANSLATE(B26039,""en"",""it"")"),"Vediamo una partita di hockey giocata.")</f>
        <v>Vediamo una partita di hockey giocata.</v>
      </c>
    </row>
    <row r="26040">
      <c r="A26040" s="4" t="s">
        <v>32776</v>
      </c>
      <c r="B26040" s="4" t="s">
        <v>32777</v>
      </c>
      <c r="C26040" s="5" t="str">
        <f>IFERROR(__xludf.DUMMYFUNCTION("GOOGLETRANSLATE(B26040,""en"",""it"")"),"I giocatori si precipitano in campo e iniziano a combattere.")</f>
        <v>I giocatori si precipitano in campo e iniziano a combattere.</v>
      </c>
    </row>
    <row r="26041">
      <c r="A26041" s="4" t="s">
        <v>32776</v>
      </c>
      <c r="B26041" s="4" t="s">
        <v>32778</v>
      </c>
      <c r="C26041" s="5" t="str">
        <f>IFERROR(__xludf.DUMMYFUNCTION("GOOGLETRANSLATE(B26041,""en"",""it"")"),"Una persona dà un pugno a qualcuno in testa.")</f>
        <v>Una persona dà un pugno a qualcuno in testa.</v>
      </c>
    </row>
    <row r="26042">
      <c r="A26042" s="4" t="s">
        <v>32776</v>
      </c>
      <c r="B26042" s="4" t="s">
        <v>32779</v>
      </c>
      <c r="C26042" s="5" t="str">
        <f>IFERROR(__xludf.DUMMYFUNCTION("GOOGLETRANSLATE(B26042,""en"",""it"")"),"L'allenatore sta cercando di combattere un altro allenatore.")</f>
        <v>L'allenatore sta cercando di combattere un altro allenatore.</v>
      </c>
    </row>
    <row r="26043">
      <c r="A26043" s="4" t="s">
        <v>32776</v>
      </c>
      <c r="B26043" s="4" t="s">
        <v>32780</v>
      </c>
      <c r="C26043" s="5" t="str">
        <f>IFERROR(__xludf.DUMMYFUNCTION("GOOGLETRANSLATE(B26043,""en"",""it"")"),"Un uomo si arrampica sul balcone per cercare di combattere.")</f>
        <v>Un uomo si arrampica sul balcone per cercare di combattere.</v>
      </c>
    </row>
    <row r="26044">
      <c r="A26044" s="4" t="s">
        <v>32776</v>
      </c>
      <c r="B26044" s="4" t="s">
        <v>32781</v>
      </c>
      <c r="C26044" s="5" t="str">
        <f>IFERROR(__xludf.DUMMYFUNCTION("GOOGLETRANSLATE(B26044,""en"",""it"")"),"La squadra rossa si raccoglie e si abbraccia.")</f>
        <v>La squadra rossa si raccoglie e si abbraccia.</v>
      </c>
    </row>
    <row r="26045">
      <c r="A26045" s="4" t="s">
        <v>32782</v>
      </c>
      <c r="B26045" s="4" t="s">
        <v>32783</v>
      </c>
      <c r="C26045" s="5" t="str">
        <f>IFERROR(__xludf.DUMMYFUNCTION("GOOGLETRANSLATE(B26045,""en"",""it"")"),"Un allenatore di pallavolo si erge vicino a una rete che tiene una palla e parla.")</f>
        <v>Un allenatore di pallavolo si erge vicino a una rete che tiene una palla e parla.</v>
      </c>
    </row>
    <row r="26046">
      <c r="A26046" s="4" t="s">
        <v>32782</v>
      </c>
      <c r="B26046" s="4" t="s">
        <v>32784</v>
      </c>
      <c r="C26046" s="5" t="str">
        <f>IFERROR(__xludf.DUMMYFUNCTION("GOOGLETRANSLATE(B26046,""en"",""it"")"),"Due gruppi di ragazze finiscono nel mezzo di un campo per afferrare pallavolo.")</f>
        <v>Due gruppi di ragazze finiscono nel mezzo di un campo per afferrare pallavolo.</v>
      </c>
    </row>
    <row r="26047">
      <c r="A26047" s="4" t="s">
        <v>32782</v>
      </c>
      <c r="B26047" s="4" t="s">
        <v>32785</v>
      </c>
      <c r="C26047" s="5" t="str">
        <f>IFERROR(__xludf.DUMMYFUNCTION("GOOGLETRANSLATE(B26047,""en"",""it"")"),"Si lanciano le palle.")</f>
        <v>Si lanciano le palle.</v>
      </c>
    </row>
    <row r="26048">
      <c r="A26048" s="4" t="s">
        <v>32782</v>
      </c>
      <c r="B26048" s="4" t="s">
        <v>32786</v>
      </c>
      <c r="C26048" s="5" t="str">
        <f>IFERROR(__xludf.DUMMYFUNCTION("GOOGLETRANSLATE(B26048,""en"",""it"")"),"L'allenatore è visto dare istruzioni.")</f>
        <v>L'allenatore è visto dare istruzioni.</v>
      </c>
    </row>
    <row r="26049">
      <c r="A26049" s="4" t="s">
        <v>32782</v>
      </c>
      <c r="B26049" s="4" t="s">
        <v>32787</v>
      </c>
      <c r="C26049" s="5" t="str">
        <f>IFERROR(__xludf.DUMMYFUNCTION("GOOGLETRANSLATE(B26049,""en"",""it"")"),"Le ragazze continuano a lanciarsi le palle.")</f>
        <v>Le ragazze continuano a lanciarsi le palle.</v>
      </c>
    </row>
    <row r="26050">
      <c r="A26050" s="4" t="s">
        <v>32782</v>
      </c>
      <c r="B26050" s="4" t="s">
        <v>32788</v>
      </c>
      <c r="C26050" s="5" t="str">
        <f>IFERROR(__xludf.DUMMYFUNCTION("GOOGLETRANSLATE(B26050,""en"",""it"")"),"Due ragazze stanno a per via margine che parlano.")</f>
        <v>Due ragazze stanno a per via margine che parlano.</v>
      </c>
    </row>
    <row r="26051">
      <c r="A26051" s="4" t="s">
        <v>32789</v>
      </c>
      <c r="B26051" s="4" t="s">
        <v>32790</v>
      </c>
      <c r="C26051" s="5" t="str">
        <f>IFERROR(__xludf.DUMMYFUNCTION("GOOGLETRANSLATE(B26051,""en"",""it"")"),"Le persone sono annoiate in un salone.")</f>
        <v>Le persone sono annoiate in un salone.</v>
      </c>
    </row>
    <row r="26052">
      <c r="A26052" s="4" t="s">
        <v>32789</v>
      </c>
      <c r="B26052" s="4" t="s">
        <v>32791</v>
      </c>
      <c r="C26052" s="5" t="str">
        <f>IFERROR(__xludf.DUMMYFUNCTION("GOOGLETRANSLATE(B26052,""en"",""it"")"),"Un uomo cammina con un tavolo portatile di birra.")</f>
        <v>Un uomo cammina con un tavolo portatile di birra.</v>
      </c>
    </row>
    <row r="26053">
      <c r="A26053" s="4" t="s">
        <v>32789</v>
      </c>
      <c r="B26053" s="4" t="s">
        <v>32792</v>
      </c>
      <c r="C26053" s="5" t="str">
        <f>IFERROR(__xludf.DUMMYFUNCTION("GOOGLETRANSLATE(B26053,""en"",""it"")"),"La gente si eccita per lui.")</f>
        <v>La gente si eccita per lui.</v>
      </c>
    </row>
    <row r="26054">
      <c r="A26054" s="4" t="s">
        <v>32789</v>
      </c>
      <c r="B26054" s="4" t="s">
        <v>32793</v>
      </c>
      <c r="C26054" s="5" t="str">
        <f>IFERROR(__xludf.DUMMYFUNCTION("GOOGLETRANSLATE(B26054,""en"",""it"")"),"Giocano alcuni round di birra pong.")</f>
        <v>Giocano alcuni round di birra pong.</v>
      </c>
    </row>
    <row r="26055">
      <c r="A26055" s="4" t="s">
        <v>32789</v>
      </c>
      <c r="B26055" s="4" t="s">
        <v>32794</v>
      </c>
      <c r="C26055" s="5" t="str">
        <f>IFERROR(__xludf.DUMMYFUNCTION("GOOGLETRANSLATE(B26055,""en"",""it"")"),"Un uomo regge una palla da ping davanti a un gruppo di persone.")</f>
        <v>Un uomo regge una palla da ping davanti a un gruppo di persone.</v>
      </c>
    </row>
    <row r="26056">
      <c r="A26056" s="4" t="s">
        <v>32789</v>
      </c>
      <c r="B26056" s="4" t="s">
        <v>32795</v>
      </c>
      <c r="C26056" s="5" t="str">
        <f>IFERROR(__xludf.DUMMYFUNCTION("GOOGLETRANSLATE(B26056,""en"",""it"")"),"Il testo appare sullo schermo.")</f>
        <v>Il testo appare sullo schermo.</v>
      </c>
    </row>
    <row r="26057">
      <c r="A26057" s="4" t="s">
        <v>32796</v>
      </c>
      <c r="B26057" s="4" t="s">
        <v>32797</v>
      </c>
      <c r="C26057" s="5" t="str">
        <f>IFERROR(__xludf.DUMMYFUNCTION("GOOGLETRANSLATE(B26057,""en"",""it"")"),"Uno skateboarder arriva a rotolare lungo una strada ripida.")</f>
        <v>Uno skateboarder arriva a rotolare lungo una strada ripida.</v>
      </c>
    </row>
    <row r="26058">
      <c r="A26058" s="4" t="s">
        <v>32796</v>
      </c>
      <c r="B26058" s="4" t="s">
        <v>32798</v>
      </c>
      <c r="C26058" s="5" t="str">
        <f>IFERROR(__xludf.DUMMYFUNCTION("GOOGLETRANSLATE(B26058,""en"",""it"")"),"Gli skateboarder rotolano verso il centro delle strade pubbliche.")</f>
        <v>Gli skateboarder rotolano verso il centro delle strade pubbliche.</v>
      </c>
    </row>
    <row r="26059">
      <c r="A26059" s="4" t="s">
        <v>32796</v>
      </c>
      <c r="B26059" s="4" t="s">
        <v>32799</v>
      </c>
      <c r="C26059" s="5" t="str">
        <f>IFERROR(__xludf.DUMMYFUNCTION("GOOGLETRANSLATE(B26059,""en"",""it"")"),"Le parole ""Fair Oaks Longboarding"" insieme a crediti appaiono sui pattinatori.")</f>
        <v>Le parole "Fair Oaks Longboarding" insieme a crediti appaiono sui pattinatori.</v>
      </c>
    </row>
    <row r="26060">
      <c r="A26060" s="4" t="s">
        <v>32800</v>
      </c>
      <c r="B26060" s="4" t="s">
        <v>32801</v>
      </c>
      <c r="C26060" s="5" t="str">
        <f>IFERROR(__xludf.DUMMYFUNCTION("GOOGLETRANSLATE(B26060,""en"",""it"")"),"Un gatto sta sdraiato sulla schiena sul divano.")</f>
        <v>Un gatto sta sdraiato sulla schiena sul divano.</v>
      </c>
    </row>
    <row r="26061">
      <c r="A26061" s="4" t="s">
        <v>32800</v>
      </c>
      <c r="B26061" s="4" t="s">
        <v>32802</v>
      </c>
      <c r="C26061" s="5" t="str">
        <f>IFERROR(__xludf.DUMMYFUNCTION("GOOGLETRANSLATE(B26061,""en"",""it"")"),"Una persona raccoglie il gatto e lo posa in grembo.")</f>
        <v>Una persona raccoglie il gatto e lo posa in grembo.</v>
      </c>
    </row>
    <row r="26062">
      <c r="A26062" s="4" t="s">
        <v>32800</v>
      </c>
      <c r="B26062" s="4" t="s">
        <v>32803</v>
      </c>
      <c r="C26062" s="5" t="str">
        <f>IFERROR(__xludf.DUMMYFUNCTION("GOOGLETRANSLATE(B26062,""en"",""it"")"),"Iniziano a ritagliare le unghie dei gatti.")</f>
        <v>Iniziano a ritagliare le unghie dei gatti.</v>
      </c>
    </row>
    <row r="26063">
      <c r="A26063" s="4" t="s">
        <v>32804</v>
      </c>
      <c r="B26063" s="4" t="s">
        <v>32805</v>
      </c>
      <c r="C26063" s="5" t="str">
        <f>IFERROR(__xludf.DUMMYFUNCTION("GOOGLETRANSLATE(B26063,""en"",""it"")"),"C'è una donna in bikini che cammina oltre le persone con hula hoops.")</f>
        <v>C'è una donna in bikini che cammina oltre le persone con hula hoops.</v>
      </c>
    </row>
    <row r="26064">
      <c r="A26064" s="4" t="s">
        <v>32804</v>
      </c>
      <c r="B26064" s="6" t="s">
        <v>32806</v>
      </c>
      <c r="C26064" s="5" t="str">
        <f>IFERROR(__xludf.DUMMYFUNCTION("GOOGLETRANSLATE(B26064,""en"",""it"")"),"Va all'erba e inizia a tessere in cerchio, si sta davvero divertendo a ballare e tendere.")</f>
        <v>Va all'erba e inizia a tessere in cerchio, si sta davvero divertendo a ballare e tendere.</v>
      </c>
    </row>
    <row r="26065">
      <c r="A26065" s="4" t="s">
        <v>32804</v>
      </c>
      <c r="B26065" s="4" t="s">
        <v>32807</v>
      </c>
      <c r="C26065" s="5" t="str">
        <f>IFERROR(__xludf.DUMMYFUNCTION("GOOGLETRANSLATE(B26065,""en"",""it"")"),"Quindi, anche altre persone ballano in giro e tessicano, facendo trucchi e si godono la giornata.")</f>
        <v>Quindi, anche altre persone ballano in giro e tessicano, facendo trucchi e si godono la giornata.</v>
      </c>
    </row>
    <row r="26066">
      <c r="A26066" s="4" t="s">
        <v>32804</v>
      </c>
      <c r="B26066" s="4" t="s">
        <v>32808</v>
      </c>
      <c r="C26066" s="5" t="str">
        <f>IFERROR(__xludf.DUMMYFUNCTION("GOOGLETRANSLATE(B26066,""en"",""it"")"),"Tutti guardano mentre le due ragazze si occupano di fuori dal negozio.")</f>
        <v>Tutti guardano mentre le due ragazze si occupano di fuori dal negozio.</v>
      </c>
    </row>
    <row r="26067">
      <c r="A26067" s="4" t="s">
        <v>32809</v>
      </c>
      <c r="B26067" s="4" t="s">
        <v>32810</v>
      </c>
      <c r="C26067" s="5" t="str">
        <f>IFERROR(__xludf.DUMMYFUNCTION("GOOGLETRANSLATE(B26067,""en"",""it"")"),"Una bambina è fuori in una giornata nevosa.")</f>
        <v>Una bambina è fuori in una giornata nevosa.</v>
      </c>
    </row>
    <row r="26068">
      <c r="A26068" s="4" t="s">
        <v>32809</v>
      </c>
      <c r="B26068" s="4" t="s">
        <v>32811</v>
      </c>
      <c r="C26068" s="5" t="str">
        <f>IFERROR(__xludf.DUMMYFUNCTION("GOOGLETRANSLATE(B26068,""en"",""it"")"),"Sta giocando a Hopscotch che è disegnato sul vialetto.")</f>
        <v>Sta giocando a Hopscotch che è disegnato sul vialetto.</v>
      </c>
    </row>
    <row r="26069">
      <c r="A26069" s="4" t="s">
        <v>32809</v>
      </c>
      <c r="B26069" s="4" t="s">
        <v>32812</v>
      </c>
      <c r="C26069" s="5" t="str">
        <f>IFERROR(__xludf.DUMMYFUNCTION("GOOGLETRANSLATE(B26069,""en"",""it"")"),"Salta lungo ogni piazza, poi si gira e torna all'inizio.")</f>
        <v>Salta lungo ogni piazza, poi si gira e torna all'inizio.</v>
      </c>
    </row>
    <row r="26070">
      <c r="A26070" s="4" t="s">
        <v>32813</v>
      </c>
      <c r="B26070" s="4" t="s">
        <v>32814</v>
      </c>
      <c r="C26070" s="5" t="str">
        <f>IFERROR(__xludf.DUMMYFUNCTION("GOOGLETRANSLATE(B26070,""en"",""it"")"),"Un asciugamano e un bicchiere si trovano su un tavolo accanto a un pezzo di schiuma e metallo.")</f>
        <v>Un asciugamano e un bicchiere si trovano su un tavolo accanto a un pezzo di schiuma e metallo.</v>
      </c>
    </row>
    <row r="26071">
      <c r="A26071" s="4" t="s">
        <v>32813</v>
      </c>
      <c r="B26071" s="4" t="s">
        <v>32815</v>
      </c>
      <c r="C26071" s="5" t="str">
        <f>IFERROR(__xludf.DUMMYFUNCTION("GOOGLETRANSLATE(B26071,""en"",""it"")"),"Uno strumento viene mostrato da un uomo che lo tiene.")</f>
        <v>Uno strumento viene mostrato da un uomo che lo tiene.</v>
      </c>
    </row>
    <row r="26072">
      <c r="A26072" s="4" t="s">
        <v>32813</v>
      </c>
      <c r="B26072" s="4" t="s">
        <v>32816</v>
      </c>
      <c r="C26072" s="5" t="str">
        <f>IFERROR(__xludf.DUMMYFUNCTION("GOOGLETRANSLATE(B26072,""en"",""it"")"),"Il metallo viene usato per affinare un coltello davanti a lui.")</f>
        <v>Il metallo viene usato per affinare un coltello davanti a lui.</v>
      </c>
    </row>
    <row r="26073">
      <c r="A26073" s="4" t="s">
        <v>32817</v>
      </c>
      <c r="B26073" s="6" t="s">
        <v>32818</v>
      </c>
      <c r="C26073" s="5" t="str">
        <f>IFERROR(__xludf.DUMMYFUNCTION("GOOGLETRANSLATE(B26073,""en"",""it"")"),"Un gruppo di persone viene visto uscire in una zona con diverse in piedi intorno a una partita di birra.")</f>
        <v>Un gruppo di persone viene visto uscire in una zona con diverse in piedi intorno a una partita di birra.</v>
      </c>
    </row>
    <row r="26074">
      <c r="A26074" s="4" t="s">
        <v>32817</v>
      </c>
      <c r="B26074" s="4" t="s">
        <v>32819</v>
      </c>
      <c r="C26074" s="5" t="str">
        <f>IFERROR(__xludf.DUMMYFUNCTION("GOOGLETRANSLATE(B26074,""en"",""it"")"),"Le persone giocano a Beer Pong e quarto e una donna prende un drink alla fine che è disgustoso.")</f>
        <v>Le persone giocano a Beer Pong e quarto e una donna prende un drink alla fine che è disgustoso.</v>
      </c>
    </row>
    <row r="26075">
      <c r="A26075" s="4" t="s">
        <v>32820</v>
      </c>
      <c r="B26075" s="4" t="s">
        <v>32821</v>
      </c>
      <c r="C26075" s="5" t="str">
        <f>IFERROR(__xludf.DUMMYFUNCTION("GOOGLETRANSLATE(B26075,""en"",""it"")"),"Una lezione di danza sta coreografando una routine e tutti sono generalmente sincronizzati tra loro.")</f>
        <v>Una lezione di danza sta coreografando una routine e tutti sono generalmente sincronizzati tra loro.</v>
      </c>
    </row>
    <row r="26076">
      <c r="A26076" s="4" t="s">
        <v>32820</v>
      </c>
      <c r="B26076" s="4" t="s">
        <v>32822</v>
      </c>
      <c r="C26076" s="5" t="str">
        <f>IFERROR(__xludf.DUMMYFUNCTION("GOOGLETRANSLATE(B26076,""en"",""it"")"),"Si muovono avanti e indietro, su e giù e scuotono il petto.")</f>
        <v>Si muovono avanti e indietro, su e giù e scuotono il petto.</v>
      </c>
    </row>
    <row r="26077">
      <c r="A26077" s="4" t="s">
        <v>32823</v>
      </c>
      <c r="B26077" s="6" t="s">
        <v>32824</v>
      </c>
      <c r="C26077" s="5" t="str">
        <f>IFERROR(__xludf.DUMMYFUNCTION("GOOGLETRANSLATE(B26077,""en"",""it"")"),"Un uomo in un abito ispirato all'asiatico bianco si trova all'aperto, circondato da alberi, sull'erba e esegue diverse arti marziali lente e mosse di meditazione.")</f>
        <v>Un uomo in un abito ispirato all'asiatico bianco si trova all'aperto, circondato da alberi, sull'erba e esegue diverse arti marziali lente e mosse di meditazione.</v>
      </c>
    </row>
    <row r="26078">
      <c r="A26078" s="4" t="s">
        <v>32823</v>
      </c>
      <c r="B26078" s="6" t="s">
        <v>32825</v>
      </c>
      <c r="C26078" s="5" t="str">
        <f>IFERROR(__xludf.DUMMYFUNCTION("GOOGLETRANSLATE(B26078,""en"",""it"")"),"La scena inizia con una macchia verde nuda di erba tagliata circondata da alberi alti e un edificio sullo sfondo oltre il fogliame.")</f>
        <v>La scena inizia con una macchia verde nuda di erba tagliata circondata da alberi alti e un edificio sullo sfondo oltre il fogliame.</v>
      </c>
    </row>
    <row r="26079">
      <c r="A26079" s="4" t="s">
        <v>32823</v>
      </c>
      <c r="B26079" s="6" t="s">
        <v>32826</v>
      </c>
      <c r="C26079" s="5" t="str">
        <f>IFERROR(__xludf.DUMMYFUNCTION("GOOGLETRANSLATE(B26079,""en"",""it"")"),"L'uomo si imbatte nel telaio al centro dell'erba, si centra e fa un sollevamento delle gambe seguito da diversi movimenti lenti delle mani su e giù e intorno.")</f>
        <v>L'uomo si imbatte nel telaio al centro dell'erba, si centra e fa un sollevamento delle gambe seguito da diversi movimenti lenti delle mani su e giù e intorno.</v>
      </c>
    </row>
    <row r="26080">
      <c r="A26080" s="4" t="s">
        <v>32823</v>
      </c>
      <c r="B26080" s="6" t="s">
        <v>32827</v>
      </c>
      <c r="C26080" s="5" t="str">
        <f>IFERROR(__xludf.DUMMYFUNCTION("GOOGLETRANSLATE(B26080,""en"",""it"")"),"L'uomo continua a eseguire le mosse lente di arti marziali usando piedi, mani, ginocchia e spalle che si muovono attorno alla toppa dell'erba e talvolta calpesta i piedi a terra.")</f>
        <v>L'uomo continua a eseguire le mosse lente di arti marziali usando piedi, mani, ginocchia e spalle che si muovono attorno alla toppa dell'erba e talvolta calpesta i piedi a terra.</v>
      </c>
    </row>
    <row r="26081">
      <c r="A26081" s="4" t="s">
        <v>32828</v>
      </c>
      <c r="B26081" s="4" t="s">
        <v>32829</v>
      </c>
      <c r="C26081" s="5" t="str">
        <f>IFERROR(__xludf.DUMMYFUNCTION("GOOGLETRANSLATE(B26081,""en"",""it"")"),"Questo è un modo per filmare su come applicare un sigillo a un tetto.")</f>
        <v>Questo è un modo per filmare su come applicare un sigillo a un tetto.</v>
      </c>
    </row>
    <row r="26082">
      <c r="A26082" s="4" t="s">
        <v>32828</v>
      </c>
      <c r="B26082" s="4" t="s">
        <v>32830</v>
      </c>
      <c r="C26082" s="5" t="str">
        <f>IFERROR(__xludf.DUMMYFUNCTION("GOOGLETRANSLATE(B26082,""en"",""it"")"),"Le cose nere vengono messe sul lato del tetto.")</f>
        <v>Le cose nere vengono messe sul lato del tetto.</v>
      </c>
    </row>
    <row r="26083">
      <c r="A26083" s="4" t="s">
        <v>32828</v>
      </c>
      <c r="B26083" s="4" t="s">
        <v>32831</v>
      </c>
      <c r="C26083" s="5" t="str">
        <f>IFERROR(__xludf.DUMMYFUNCTION("GOOGLETRANSLATE(B26083,""en"",""it"")"),"Il tetto è sigillato.")</f>
        <v>Il tetto è sigillato.</v>
      </c>
    </row>
    <row r="26084">
      <c r="A26084" s="4" t="s">
        <v>32832</v>
      </c>
      <c r="B26084" s="6" t="s">
        <v>32833</v>
      </c>
      <c r="C26084" s="5" t="str">
        <f>IFERROR(__xludf.DUMMYFUNCTION("GOOGLETRANSLATE(B26084,""en"",""it"")"),"Un folto gruppo di persone viene visto giocare una partita di guerra l'uno con l'altro e si avvicina a una corda l'uno contro l'altro.")</f>
        <v>Un folto gruppo di persone viene visto giocare una partita di guerra l'uno con l'altro e si avvicina a una corda l'uno contro l'altro.</v>
      </c>
    </row>
    <row r="26085">
      <c r="A26085" s="4" t="s">
        <v>32832</v>
      </c>
      <c r="B26085" s="6" t="s">
        <v>32834</v>
      </c>
      <c r="C26085" s="5" t="str">
        <f>IFERROR(__xludf.DUMMYFUNCTION("GOOGLETRANSLATE(B26085,""en"",""it"")"),"Le persone continuano a giocare tra loro e finisce con una squadra che vince e la folla tifina.")</f>
        <v>Le persone continuano a giocare tra loro e finisce con una squadra che vince e la folla tifina.</v>
      </c>
    </row>
    <row r="26086">
      <c r="A26086" s="4" t="s">
        <v>32835</v>
      </c>
      <c r="B26086" s="4" t="s">
        <v>32836</v>
      </c>
      <c r="C26086" s="5" t="str">
        <f>IFERROR(__xludf.DUMMYFUNCTION("GOOGLETRANSLATE(B26086,""en"",""it"")"),"Una grafica si mostra sullo schermo per un sito Web su esercitazioni di basket.")</f>
        <v>Una grafica si mostra sullo schermo per un sito Web su esercitazioni di basket.</v>
      </c>
    </row>
    <row r="26087">
      <c r="A26087" s="4" t="s">
        <v>32835</v>
      </c>
      <c r="B26087" s="4" t="s">
        <v>32837</v>
      </c>
      <c r="C26087" s="5" t="str">
        <f>IFERROR(__xludf.DUMMYFUNCTION("GOOGLETRANSLATE(B26087,""en"",""it"")"),"Alcuni giovani su un campo da basket al coperto vengono mostrati facendo alcuni trapani da basket.")</f>
        <v>Alcuni giovani su un campo da basket al coperto vengono mostrati facendo alcuni trapani da basket.</v>
      </c>
    </row>
    <row r="26088">
      <c r="A26088" s="4" t="s">
        <v>32835</v>
      </c>
      <c r="B26088" s="6" t="s">
        <v>32838</v>
      </c>
      <c r="C26088" s="5" t="str">
        <f>IFERROR(__xludf.DUMMYFUNCTION("GOOGLETRANSLATE(B26088,""en"",""it"")"),"Un uomo più anziano inizia a spiegare le esercitazioni mentre vengono mostrati più filmati dei giocatori che li dimostrano.")</f>
        <v>Un uomo più anziano inizia a spiegare le esercitazioni mentre vengono mostrati più filmati dei giocatori che li dimostrano.</v>
      </c>
    </row>
    <row r="26089">
      <c r="A26089" s="4" t="s">
        <v>32835</v>
      </c>
      <c r="B26089" s="6" t="s">
        <v>32839</v>
      </c>
      <c r="C26089" s="5" t="str">
        <f>IFERROR(__xludf.DUMMYFUNCTION("GOOGLETRANSLATE(B26089,""en"",""it"")"),"Lo schermo diventa nero e più testo ricorda allo spettatore di visitare il sito Web per ulteriori informazioni.")</f>
        <v>Lo schermo diventa nero e più testo ricorda allo spettatore di visitare il sito Web per ulteriori informazioni.</v>
      </c>
    </row>
    <row r="26090">
      <c r="A26090" s="4" t="s">
        <v>32840</v>
      </c>
      <c r="B26090" s="6" t="s">
        <v>32841</v>
      </c>
      <c r="C26090" s="5" t="str">
        <f>IFERROR(__xludf.DUMMYFUNCTION("GOOGLETRANSLATE(B26090,""en"",""it"")"),"La donna sta parlando con un'altra in piedi davanti agli armadietti verdi in un corridoio, un uomo cammina verso le ragazze che tiene le rose gialle sulla mano.")</f>
        <v>La donna sta parlando con un'altra in piedi davanti agli armadietti verdi in un corridoio, un uomo cammina verso le ragazze che tiene le rose gialle sulla mano.</v>
      </c>
    </row>
    <row r="26091">
      <c r="A26091" s="4" t="s">
        <v>32840</v>
      </c>
      <c r="B26091" s="4" t="s">
        <v>32842</v>
      </c>
      <c r="C26091" s="5" t="str">
        <f>IFERROR(__xludf.DUMMYFUNCTION("GOOGLETRANSLATE(B26091,""en"",""it"")"),"Una donna cammina nella sala tenendo un collutorio e ne parla con la telecamera.")</f>
        <v>Una donna cammina nella sala tenendo un collutorio e ne parla con la telecamera.</v>
      </c>
    </row>
    <row r="26092">
      <c r="A26092" s="4" t="s">
        <v>32840</v>
      </c>
      <c r="B26092" s="4" t="s">
        <v>32843</v>
      </c>
      <c r="C26092" s="5" t="str">
        <f>IFERROR(__xludf.DUMMYFUNCTION("GOOGLETRANSLATE(B26092,""en"",""it"")"),"La donna è di fronte a un lavaggio a mano che pulisce la bocca con il collutorio.")</f>
        <v>La donna è di fronte a un lavaggio a mano che pulisce la bocca con il collutorio.</v>
      </c>
    </row>
    <row r="26093">
      <c r="A26093" s="4" t="s">
        <v>32840</v>
      </c>
      <c r="B26093" s="4" t="s">
        <v>32844</v>
      </c>
      <c r="C26093" s="5" t="str">
        <f>IFERROR(__xludf.DUMMYFUNCTION("GOOGLETRANSLATE(B26093,""en"",""it"")"),"La donna è nella sala e parla con i ragazzi e sembrano colpiti dal suo respiro fresco.")</f>
        <v>La donna è nella sala e parla con i ragazzi e sembrano colpiti dal suo respiro fresco.</v>
      </c>
    </row>
    <row r="26094">
      <c r="A26094" s="4" t="s">
        <v>32845</v>
      </c>
      <c r="B26094" s="4" t="s">
        <v>32846</v>
      </c>
      <c r="C26094" s="5" t="str">
        <f>IFERROR(__xludf.DUMMYFUNCTION("GOOGLETRANSLATE(B26094,""en"",""it"")"),"Viene mostrato un bambino con un casco.")</f>
        <v>Viene mostrato un bambino con un casco.</v>
      </c>
    </row>
    <row r="26095">
      <c r="A26095" s="4" t="s">
        <v>32845</v>
      </c>
      <c r="B26095" s="4" t="s">
        <v>32847</v>
      </c>
      <c r="C26095" s="5" t="str">
        <f>IFERROR(__xludf.DUMMYFUNCTION("GOOGLETRANSLATE(B26095,""en"",""it"")"),"Diversi altri bambini con i caschi in bici cavalcano da una rampa.")</f>
        <v>Diversi altri bambini con i caschi in bici cavalcano da una rampa.</v>
      </c>
    </row>
    <row r="26096">
      <c r="A26096" s="4" t="s">
        <v>32845</v>
      </c>
      <c r="B26096" s="4" t="s">
        <v>32848</v>
      </c>
      <c r="C26096" s="5" t="str">
        <f>IFERROR(__xludf.DUMMYFUNCTION("GOOGLETRANSLATE(B26096,""en"",""it"")"),"Un uomo corre a fianco di loro.")</f>
        <v>Un uomo corre a fianco di loro.</v>
      </c>
    </row>
    <row r="26097">
      <c r="A26097" s="4" t="s">
        <v>32845</v>
      </c>
      <c r="B26097" s="4" t="s">
        <v>32849</v>
      </c>
      <c r="C26097" s="5" t="str">
        <f>IFERROR(__xludf.DUMMYFUNCTION("GOOGLETRANSLATE(B26097,""en"",""it"")"),"La croce un traguardo.")</f>
        <v>La croce un traguardo.</v>
      </c>
    </row>
    <row r="26098">
      <c r="A26098" s="4" t="s">
        <v>32850</v>
      </c>
      <c r="B26098" s="6" t="s">
        <v>32851</v>
      </c>
      <c r="C26098" s="5" t="str">
        <f>IFERROR(__xludf.DUMMYFUNCTION("GOOGLETRANSLATE(B26098,""en"",""it"")"),"Un video a effetto speciale appare con qualcuno che corre su un tapis roulant e parole bianche nel mezzo dello schermo che legge ""CityNews Health"".")</f>
        <v>Un video a effetto speciale appare con qualcuno che corre su un tapis roulant e parole bianche nel mezzo dello schermo che legge "CityNews Health".</v>
      </c>
    </row>
    <row r="26099">
      <c r="A26099" s="4" t="s">
        <v>32850</v>
      </c>
      <c r="B26099" s="6" t="s">
        <v>32852</v>
      </c>
      <c r="C26099" s="5" t="str">
        <f>IFERROR(__xludf.DUMMYFUNCTION("GOOGLETRANSLATE(B26099,""en"",""it"")"),"Un giornalista di un uomo e una donna appaiono seduti su sgabelli, entrambi vestiti in abbigliamento da lavoro e parlando con la telecamera e tra loro.")</f>
        <v>Un giornalista di un uomo e una donna appaiono seduti su sgabelli, entrambi vestiti in abbigliamento da lavoro e parlando con la telecamera e tra loro.</v>
      </c>
    </row>
    <row r="26100">
      <c r="A26100" s="4" t="s">
        <v>32850</v>
      </c>
      <c r="B26100" s="6" t="s">
        <v>32853</v>
      </c>
      <c r="C26100" s="5" t="str">
        <f>IFERROR(__xludf.DUMMYFUNCTION("GOOGLETRANSLATE(B26100,""en"",""it"")"),"La donna di Newscaster è ora mostrata all'aperto e parla con le persone su una spiaggia e sono mostrati clip di persone che prendono il sole, applicando la lozione solare e diversi tipi di lozioni sottene.")</f>
        <v>La donna di Newscaster è ora mostrata all'aperto e parla con le persone su una spiaggia e sono mostrati clip di persone che prendono il sole, applicando la lozione solare e diversi tipi di lozioni sottene.</v>
      </c>
    </row>
    <row r="26101">
      <c r="A26101" s="4" t="s">
        <v>32850</v>
      </c>
      <c r="B26101" s="6" t="s">
        <v>32854</v>
      </c>
      <c r="C26101" s="5" t="str">
        <f>IFERROR(__xludf.DUMMYFUNCTION("GOOGLETRANSLATE(B26101,""en"",""it"")"),"La donna di Newscaster è ora seduta sulla spiaggia, con una bottiglia di lozione da sole e inizia ad applicare la lozione su tutto il braccio.")</f>
        <v>La donna di Newscaster è ora seduta sulla spiaggia, con una bottiglia di lozione da sole e inizia ad applicare la lozione su tutto il braccio.</v>
      </c>
    </row>
    <row r="26102">
      <c r="A26102" s="4" t="s">
        <v>32850</v>
      </c>
      <c r="B26102" s="6" t="s">
        <v>32855</v>
      </c>
      <c r="C26102" s="5" t="str">
        <f>IFERROR(__xludf.DUMMYFUNCTION("GOOGLETRANSLATE(B26102,""en"",""it"")"),"Viene visualizzata una nuova clip con la donna del giornalista che intervista un dottore, quindi una donna viene mostrata seduta su una sedia mentre il dottore si alza in piedi a parlarle, e lo stendardo in basso dice il suo nome ""Dr Paul Cohen Dermatolo"&amp;"go"" e varie clip di persone Giocare al sole gioca tra lui che parla.")</f>
        <v>Viene visualizzata una nuova clip con la donna del giornalista che intervista un dottore, quindi una donna viene mostrata seduta su una sedia mentre il dottore si alza in piedi a parlarle, e lo stendardo in basso dice il suo nome "Dr Paul Cohen Dermatologo" e varie clip di persone Giocare al sole gioca tra lui che parla.</v>
      </c>
    </row>
    <row r="26103">
      <c r="A26103" s="4" t="s">
        <v>32850</v>
      </c>
      <c r="B26103" s="6" t="s">
        <v>32856</v>
      </c>
      <c r="C26103" s="5" t="str">
        <f>IFERROR(__xludf.DUMMYFUNCTION("GOOGLETRANSLATE(B26103,""en"",""it"")"),"La donna di Newscaster è tornata in casa con l'uomo con cui è stato mostrato prima e finiscono con un sorriso.")</f>
        <v>La donna di Newscaster è tornata in casa con l'uomo con cui è stato mostrato prima e finiscono con un sorriso.</v>
      </c>
    </row>
    <row r="26104">
      <c r="A26104" s="4" t="s">
        <v>32857</v>
      </c>
      <c r="B26104" s="4" t="s">
        <v>32858</v>
      </c>
      <c r="C26104" s="5" t="str">
        <f>IFERROR(__xludf.DUMMYFUNCTION("GOOGLETRANSLATE(B26104,""en"",""it"")"),"Vengono mostrate diverse clip di uomini che si parlano e vanno su una bici da terra.")</f>
        <v>Vengono mostrate diverse clip di uomini che si parlano e vanno su una bici da terra.</v>
      </c>
    </row>
    <row r="26105">
      <c r="A26105" s="4" t="s">
        <v>32857</v>
      </c>
      <c r="B26105" s="4" t="s">
        <v>32859</v>
      </c>
      <c r="C26105" s="5" t="str">
        <f>IFERROR(__xludf.DUMMYFUNCTION("GOOGLETRANSLATE(B26105,""en"",""it"")"),"Vengono mostrate altre clip di persone che cavalcano e tirano l'una con l'altra.")</f>
        <v>Vengono mostrate altre clip di persone che cavalcano e tirano l'una con l'altra.</v>
      </c>
    </row>
    <row r="26106">
      <c r="A26106" s="4" t="s">
        <v>32857</v>
      </c>
      <c r="B26106" s="4" t="s">
        <v>32860</v>
      </c>
      <c r="C26106" s="5" t="str">
        <f>IFERROR(__xludf.DUMMYFUNCTION("GOOGLETRANSLATE(B26106,""en"",""it"")"),"I cavalieri continuano a girare in pista e alla fine metteno in mostra i salti.")</f>
        <v>I cavalieri continuano a girare in pista e alla fine metteno in mostra i salti.</v>
      </c>
    </row>
    <row r="26107">
      <c r="A26107" s="4" t="s">
        <v>32861</v>
      </c>
      <c r="B26107" s="4" t="s">
        <v>32862</v>
      </c>
      <c r="C26107" s="5" t="str">
        <f>IFERROR(__xludf.DUMMYFUNCTION("GOOGLETRANSLATE(B26107,""en"",""it"")"),"Un grande uffici è in un tavolo.")</f>
        <v>Un grande uffici è in un tavolo.</v>
      </c>
    </row>
    <row r="26108">
      <c r="A26108" s="4" t="s">
        <v>32861</v>
      </c>
      <c r="B26108" s="4" t="s">
        <v>32863</v>
      </c>
      <c r="C26108" s="5" t="str">
        <f>IFERROR(__xludf.DUMMYFUNCTION("GOOGLETRANSLATE(B26108,""en"",""it"")"),"La donna sta parlando con la levigatura della telecamera I davanti a un muro con molti sfondi.")</f>
        <v>La donna sta parlando con la levigatura della telecamera I davanti a un muro con molti sfondi.</v>
      </c>
    </row>
    <row r="26109">
      <c r="A26109" s="4" t="s">
        <v>32861</v>
      </c>
      <c r="B26109" s="6" t="s">
        <v>32864</v>
      </c>
      <c r="C26109" s="5" t="str">
        <f>IFERROR(__xludf.DUMMYFUNCTION("GOOGLETRANSLATE(B26109,""en"",""it"")"),"La donna afferra un sandwich e spalma il burro, quindi metti sottaceti, formaggio cheddar, marmellata e maiale, quindi se metti il ​​burro in cima e lo brinda, quando il sandwich è pronto viene tagliato nella metà e si serve in un piatto.")</f>
        <v>La donna afferra un sandwich e spalma il burro, quindi metti sottaceti, formaggio cheddar, marmellata e maiale, quindi se metti il ​​burro in cima e lo brinda, quando il sandwich è pronto viene tagliato nella metà e si serve in un piatto.</v>
      </c>
    </row>
    <row r="26110">
      <c r="A26110" s="4" t="s">
        <v>32865</v>
      </c>
      <c r="B26110" s="4" t="s">
        <v>32866</v>
      </c>
      <c r="C26110" s="5" t="str">
        <f>IFERROR(__xludf.DUMMYFUNCTION("GOOGLETRANSLATE(B26110,""en"",""it"")"),"Le persone cavalcano macchine per paraurti su un pavimento marrone.")</f>
        <v>Le persone cavalcano macchine per paraurti su un pavimento marrone.</v>
      </c>
    </row>
    <row r="26111">
      <c r="A26111" s="4" t="s">
        <v>32865</v>
      </c>
      <c r="B26111" s="4" t="s">
        <v>32867</v>
      </c>
      <c r="C26111" s="5" t="str">
        <f>IFERROR(__xludf.DUMMYFUNCTION("GOOGLETRANSLATE(B26111,""en"",""it"")"),"L'auto del paraurti rossa di un ragazzo si blocca sulla colonna.")</f>
        <v>L'auto del paraurti rossa di un ragazzo si blocca sulla colonna.</v>
      </c>
    </row>
    <row r="26112">
      <c r="A26112" s="4" t="s">
        <v>32865</v>
      </c>
      <c r="B26112" s="4" t="s">
        <v>32868</v>
      </c>
      <c r="C26112" s="5" t="str">
        <f>IFERROR(__xludf.DUMMYFUNCTION("GOOGLETRANSLATE(B26112,""en"",""it"")"),"Una signora in un jilbab nero ondate.")</f>
        <v>Una signora in un jilbab nero ondate.</v>
      </c>
    </row>
    <row r="26113">
      <c r="A26113" s="4" t="s">
        <v>32865</v>
      </c>
      <c r="B26113" s="4" t="s">
        <v>32869</v>
      </c>
      <c r="C26113" s="5" t="str">
        <f>IFERROR(__xludf.DUMMYFUNCTION("GOOGLETRANSLATE(B26113,""en"",""it"")"),"L'auto del paraurti Lady si scontra con un uomo.")</f>
        <v>L'auto del paraurti Lady si scontra con un uomo.</v>
      </c>
    </row>
    <row r="26114">
      <c r="A26114" s="4" t="s">
        <v>32865</v>
      </c>
      <c r="B26114" s="4" t="s">
        <v>32870</v>
      </c>
      <c r="C26114" s="5" t="str">
        <f>IFERROR(__xludf.DUMMYFUNCTION("GOOGLETRANSLATE(B26114,""en"",""it"")"),"Un ragazzo attraversa il pavimento marrone.")</f>
        <v>Un ragazzo attraversa il pavimento marrone.</v>
      </c>
    </row>
    <row r="26115">
      <c r="A26115" s="4" t="s">
        <v>32871</v>
      </c>
      <c r="B26115" s="6" t="s">
        <v>32872</v>
      </c>
      <c r="C26115" s="5" t="str">
        <f>IFERROR(__xludf.DUMMYFUNCTION("GOOGLETRANSLATE(B26115,""en"",""it"")"),"Un uomo viene visto mettere i prodotti nei capelli di una donna seguiti da un colpo che asciuga i capelli e lo spazzola.")</f>
        <v>Un uomo viene visto mettere i prodotti nei capelli di una donna seguiti da un colpo che asciuga i capelli e lo spazzola.</v>
      </c>
    </row>
    <row r="26116">
      <c r="A26116" s="4" t="s">
        <v>32871</v>
      </c>
      <c r="B26116" s="4" t="s">
        <v>32873</v>
      </c>
      <c r="C26116" s="5" t="str">
        <f>IFERROR(__xludf.DUMMYFUNCTION("GOOGLETRANSLATE(B26116,""en"",""it"")"),"La persona quindi taglia i capelli della donna diversi pollici mentre si muove più lentamente alla fine.")</f>
        <v>La persona quindi taglia i capelli della donna diversi pollici mentre si muove più lentamente alla fine.</v>
      </c>
    </row>
    <row r="26117">
      <c r="A26117" s="4" t="s">
        <v>32874</v>
      </c>
      <c r="B26117" s="4" t="s">
        <v>32875</v>
      </c>
      <c r="C26117" s="5" t="str">
        <f>IFERROR(__xludf.DUMMYFUNCTION("GOOGLETRANSLATE(B26117,""en"",""it"")"),"Un gruppo di modelli viene raccolto in un autolavaggio.")</f>
        <v>Un gruppo di modelli viene raccolto in un autolavaggio.</v>
      </c>
    </row>
    <row r="26118">
      <c r="A26118" s="4" t="s">
        <v>32874</v>
      </c>
      <c r="B26118" s="4" t="s">
        <v>32876</v>
      </c>
      <c r="C26118" s="5" t="str">
        <f>IFERROR(__xludf.DUMMYFUNCTION("GOOGLETRANSLATE(B26118,""en"",""it"")"),"Le auto si inseriscono e la donna usa il sapone per sapone per le auto.")</f>
        <v>Le auto si inseriscono e la donna usa il sapone per sapone per le auto.</v>
      </c>
    </row>
    <row r="26119">
      <c r="A26119" s="4" t="s">
        <v>32874</v>
      </c>
      <c r="B26119" s="4" t="s">
        <v>32877</v>
      </c>
      <c r="C26119" s="5" t="str">
        <f>IFERROR(__xludf.DUMMYFUNCTION("GOOGLETRANSLATE(B26119,""en"",""it"")"),"Quindi sciacquano e puliscono le auto pulite.")</f>
        <v>Quindi sciacquano e puliscono le auto pulite.</v>
      </c>
    </row>
    <row r="26120">
      <c r="A26120" s="4" t="s">
        <v>32878</v>
      </c>
      <c r="B26120" s="4" t="s">
        <v>32879</v>
      </c>
      <c r="C26120" s="5" t="str">
        <f>IFERROR(__xludf.DUMMYFUNCTION("GOOGLETRANSLATE(B26120,""en"",""it"")"),"Un ragazzino sta giocando nella palestra della giungla mentre un uomo gli parla e registra.")</f>
        <v>Un ragazzino sta giocando nella palestra della giungla mentre un uomo gli parla e registra.</v>
      </c>
    </row>
    <row r="26121">
      <c r="A26121" s="4" t="s">
        <v>32878</v>
      </c>
      <c r="B26121" s="4" t="s">
        <v>32880</v>
      </c>
      <c r="C26121" s="5" t="str">
        <f>IFERROR(__xludf.DUMMYFUNCTION("GOOGLETRANSLATE(B26121,""en"",""it"")"),"Sali le scale e scivola lungo la diapositiva più volte.")</f>
        <v>Sali le scale e scivola lungo la diapositiva più volte.</v>
      </c>
    </row>
    <row r="26122">
      <c r="A26122" s="4" t="s">
        <v>32878</v>
      </c>
      <c r="B26122" s="4" t="s">
        <v>32881</v>
      </c>
      <c r="C26122" s="5" t="str">
        <f>IFERROR(__xludf.DUMMYFUNCTION("GOOGLETRANSLATE(B26122,""en"",""it"")"),"Quando ha finito, si avvicina e abbraccia una signora su una sedia a rotelle.")</f>
        <v>Quando ha finito, si avvicina e abbraccia una signora su una sedia a rotelle.</v>
      </c>
    </row>
    <row r="26123">
      <c r="A26123" s="4" t="s">
        <v>32882</v>
      </c>
      <c r="B26123" s="4" t="s">
        <v>32883</v>
      </c>
      <c r="C26123" s="5" t="str">
        <f>IFERROR(__xludf.DUMMYFUNCTION("GOOGLETRANSLATE(B26123,""en"",""it"")"),"C'è uno specialista di miglioramento domestico che dimostra come rimuovere lo sfondo dalle pareti.")</f>
        <v>C'è uno specialista di miglioramento domestico che dimostra come rimuovere lo sfondo dalle pareti.</v>
      </c>
    </row>
    <row r="26124">
      <c r="A26124" s="4" t="s">
        <v>32882</v>
      </c>
      <c r="B26124" s="6" t="s">
        <v>32884</v>
      </c>
      <c r="C26124" s="5" t="str">
        <f>IFERROR(__xludf.DUMMYFUNCTION("GOOGLETRANSLATE(B26124,""en"",""it"")"),"Comincia preparando lo spazio allontanando i mobili dalle pareti e coprendo i mobili con fogli di plastica per la protezione.")</f>
        <v>Comincia preparando lo spazio allontanando i mobili dalle pareti e coprendo i mobili con fogli di plastica per la protezione.</v>
      </c>
    </row>
    <row r="26125">
      <c r="A26125" s="4" t="s">
        <v>32882</v>
      </c>
      <c r="B26125" s="4" t="s">
        <v>32885</v>
      </c>
      <c r="C26125" s="5" t="str">
        <f>IFERROR(__xludf.DUMMYFUNCTION("GOOGLETRANSLATE(B26125,""en"",""it"")"),"Rimuove anche i trattamenti della finestra da Windows.")</f>
        <v>Rimuove anche i trattamenti della finestra da Windows.</v>
      </c>
    </row>
    <row r="26126">
      <c r="A26126" s="4" t="s">
        <v>32882</v>
      </c>
      <c r="B26126" s="6" t="s">
        <v>32886</v>
      </c>
      <c r="C26126" s="5" t="str">
        <f>IFERROR(__xludf.DUMMYFUNCTION("GOOGLETRANSLATE(B26126,""en"",""it"")"),"Mostra come adottare misure precauzionali rispetto al cablaggio elettrico e agli interruttori e ai circuiti.")</f>
        <v>Mostra come adottare misure precauzionali rispetto al cablaggio elettrico e agli interruttori e ai circuiti.</v>
      </c>
    </row>
    <row r="26127">
      <c r="A26127" s="4" t="s">
        <v>32882</v>
      </c>
      <c r="B26127" s="4" t="s">
        <v>32887</v>
      </c>
      <c r="C26127" s="5" t="str">
        <f>IFERROR(__xludf.DUMMYFUNCTION("GOOGLETRANSLATE(B26127,""en"",""it"")"),"Quindi mostra come usare i fan per ventilare la stanza.")</f>
        <v>Quindi mostra come usare i fan per ventilare la stanza.</v>
      </c>
    </row>
    <row r="26128">
      <c r="A26128" s="4" t="s">
        <v>32882</v>
      </c>
      <c r="B26128" s="4" t="s">
        <v>32888</v>
      </c>
      <c r="C26128" s="5" t="str">
        <f>IFERROR(__xludf.DUMMYFUNCTION("GOOGLETRANSLATE(B26128,""en"",""it"")"),"Prende un flagello e inizia a setacciare la carta da toeletta.")</f>
        <v>Prende un flagello e inizia a setacciare la carta da toeletta.</v>
      </c>
    </row>
    <row r="26129">
      <c r="A26129" s="4" t="s">
        <v>32882</v>
      </c>
      <c r="B26129" s="4" t="s">
        <v>32889</v>
      </c>
      <c r="C26129" s="5" t="str">
        <f>IFERROR(__xludf.DUMMYFUNCTION("GOOGLETRANSLATE(B26129,""en"",""it"")"),"Usa un rullo di vernice per immergere la carta da parati per una facile rimozione.")</f>
        <v>Usa un rullo di vernice per immergere la carta da parati per una facile rimozione.</v>
      </c>
    </row>
    <row r="26130">
      <c r="A26130" s="4" t="s">
        <v>32882</v>
      </c>
      <c r="B26130" s="4" t="s">
        <v>32890</v>
      </c>
      <c r="C26130" s="5" t="str">
        <f>IFERROR(__xludf.DUMMYFUNCTION("GOOGLETRANSLATE(B26130,""en"",""it"")"),"Quindi dimostra come può essere usato anche il vapore per allentare la carta da parati.")</f>
        <v>Quindi dimostra come può essere usato anche il vapore per allentare la carta da parati.</v>
      </c>
    </row>
    <row r="26131">
      <c r="A26131" s="4" t="s">
        <v>32882</v>
      </c>
      <c r="B26131" s="4" t="s">
        <v>32891</v>
      </c>
      <c r="C26131" s="5" t="str">
        <f>IFERROR(__xludf.DUMMYFUNCTION("GOOGLETRANSLATE(B26131,""en"",""it"")"),"Quindi inizia a staccare lentamente la carta dal muro.")</f>
        <v>Quindi inizia a staccare lentamente la carta dal muro.</v>
      </c>
    </row>
    <row r="26132">
      <c r="A26132" s="4" t="s">
        <v>32882</v>
      </c>
      <c r="B26132" s="4" t="s">
        <v>32892</v>
      </c>
      <c r="C26132" s="5" t="str">
        <f>IFERROR(__xludf.DUMMYFUNCTION("GOOGLETRANSLATE(B26132,""en"",""it"")"),"Riemette la superficie e usa uno strumento piatto per rimuovere qualsiasi carta da parati ostinata.")</f>
        <v>Riemette la superficie e usa uno strumento piatto per rimuovere qualsiasi carta da parati ostinata.</v>
      </c>
    </row>
    <row r="26133">
      <c r="A26133" s="4" t="s">
        <v>32882</v>
      </c>
      <c r="B26133" s="4" t="s">
        <v>32893</v>
      </c>
      <c r="C26133" s="5" t="str">
        <f>IFERROR(__xludf.DUMMYFUNCTION("GOOGLETRANSLATE(B26133,""en"",""it"")"),"Alla fine usa una spugna e l'acqua di sapone per pulire il muro per rimuovere qualsiasi carta da parete residua.")</f>
        <v>Alla fine usa una spugna e l'acqua di sapone per pulire il muro per rimuovere qualsiasi carta da parete residua.</v>
      </c>
    </row>
    <row r="26134">
      <c r="A26134" s="4" t="s">
        <v>32882</v>
      </c>
      <c r="B26134" s="4" t="s">
        <v>32894</v>
      </c>
      <c r="C26134" s="5" t="str">
        <f>IFERROR(__xludf.DUMMYFUNCTION("GOOGLETRANSLATE(B26134,""en"",""it"")"),"Mostra come applicare il primer per preparare il muro per la pittura.")</f>
        <v>Mostra come applicare il primer per preparare il muro per la pittura.</v>
      </c>
    </row>
    <row r="26135">
      <c r="A26135" s="4" t="s">
        <v>32882</v>
      </c>
      <c r="B26135" s="4" t="s">
        <v>32895</v>
      </c>
      <c r="C26135" s="5" t="str">
        <f>IFERROR(__xludf.DUMMYFUNCTION("GOOGLETRANSLATE(B26135,""en"",""it"")"),"Le informazioni su come utilizzare queste tecniche sono fornite sul sito Web dell'azienda di Lowe.")</f>
        <v>Le informazioni su come utilizzare queste tecniche sono fornite sul sito Web dell'azienda di Lowe.</v>
      </c>
    </row>
    <row r="26136">
      <c r="A26136" s="4" t="s">
        <v>32896</v>
      </c>
      <c r="B26136" s="6" t="s">
        <v>32897</v>
      </c>
      <c r="C26136" s="5" t="str">
        <f>IFERROR(__xludf.DUMMYFUNCTION("GOOGLETRANSLATE(B26136,""en"",""it"")"),"Lo chef sta levigando davanti a un coutner con ingredienti tritati in diverse piastre e parla con la fotocamera.")</f>
        <v>Lo chef sta levigando davanti a un coutner con ingredienti tritati in diverse piastre e parla con la fotocamera.</v>
      </c>
    </row>
    <row r="26137">
      <c r="A26137" s="4" t="s">
        <v>32896</v>
      </c>
      <c r="B26137" s="4" t="s">
        <v>32898</v>
      </c>
      <c r="C26137" s="5" t="str">
        <f>IFERROR(__xludf.DUMMYFUNCTION("GOOGLETRANSLATE(B26137,""en"",""it"")"),"L'uomo spruzza olio sulla padella e aggiungi la miscela di uova e verdure.")</f>
        <v>L'uomo spruzza olio sulla padella e aggiungi la miscela di uova e verdure.</v>
      </c>
    </row>
    <row r="26138">
      <c r="A26138" s="4" t="s">
        <v>32896</v>
      </c>
      <c r="B26138" s="4" t="s">
        <v>32899</v>
      </c>
      <c r="C26138" s="5" t="str">
        <f>IFERROR(__xludf.DUMMYFUNCTION("GOOGLETRANSLATE(B26138,""en"",""it"")"),"L'uomo è in piedi in cucina a parlare con la telecamera dando una ricetta.")</f>
        <v>L'uomo è in piedi in cucina a parlare con la telecamera dando una ricetta.</v>
      </c>
    </row>
    <row r="26139">
      <c r="A26139" s="4" t="s">
        <v>32900</v>
      </c>
      <c r="B26139" s="4" t="s">
        <v>32901</v>
      </c>
      <c r="C26139" s="5" t="str">
        <f>IFERROR(__xludf.DUMMYFUNCTION("GOOGLETRANSLATE(B26139,""en"",""it"")"),"Due squadre sono sul campo di gioco che cercano di segnare.")</f>
        <v>Due squadre sono sul campo di gioco che cercano di segnare.</v>
      </c>
    </row>
    <row r="26140">
      <c r="A26140" s="4" t="s">
        <v>32900</v>
      </c>
      <c r="B26140" s="4" t="s">
        <v>32902</v>
      </c>
      <c r="C26140" s="5" t="str">
        <f>IFERROR(__xludf.DUMMYFUNCTION("GOOGLETRANSLATE(B26140,""en"",""it"")"),"Uno dei giocatori della squadra blu cade sul campo.")</f>
        <v>Uno dei giocatori della squadra blu cade sul campo.</v>
      </c>
    </row>
    <row r="26141">
      <c r="A26141" s="4" t="s">
        <v>32900</v>
      </c>
      <c r="B26141" s="6" t="s">
        <v>32903</v>
      </c>
      <c r="C26141" s="5" t="str">
        <f>IFERROR(__xludf.DUMMYFUNCTION("GOOGLETRANSLATE(B26141,""en"",""it"")"),"Un altro giocatore blu prende la palla da fuori dai limiti, la mette in linea e colpisce di nuovo in gioco.")</f>
        <v>Un altro giocatore blu prende la palla da fuori dai limiti, la mette in linea e colpisce di nuovo in gioco.</v>
      </c>
    </row>
    <row r="26142">
      <c r="A26142" s="4" t="s">
        <v>32900</v>
      </c>
      <c r="B26142" s="4" t="s">
        <v>32904</v>
      </c>
      <c r="C26142" s="5" t="str">
        <f>IFERROR(__xludf.DUMMYFUNCTION("GOOGLETRANSLATE(B26142,""en"",""it"")"),"Gli allenatori TE iniziano a saltare con gioia e i giocatori.")</f>
        <v>Gli allenatori TE iniziano a saltare con gioia e i giocatori.</v>
      </c>
    </row>
    <row r="26143">
      <c r="A26143" s="4" t="s">
        <v>32905</v>
      </c>
      <c r="B26143" s="4" t="s">
        <v>32906</v>
      </c>
      <c r="C26143" s="5" t="str">
        <f>IFERROR(__xludf.DUMMYFUNCTION("GOOGLETRANSLATE(B26143,""en"",""it"")"),"Due uomini mescolano scope attraverso un pavimento con un altro che lo tira su una corda.")</f>
        <v>Due uomini mescolano scope attraverso un pavimento con un altro che lo tira su una corda.</v>
      </c>
    </row>
    <row r="26144">
      <c r="A26144" s="4" t="s">
        <v>32905</v>
      </c>
      <c r="B26144" s="4" t="s">
        <v>32907</v>
      </c>
      <c r="C26144" s="5" t="str">
        <f>IFERROR(__xludf.DUMMYFUNCTION("GOOGLETRANSLATE(B26144,""en"",""it"")"),"Un uomo segue dietro e i due mescolanti alla fine muovono il disco in un buco.")</f>
        <v>Un uomo segue dietro e i due mescolanti alla fine muovono il disco in un buco.</v>
      </c>
    </row>
    <row r="26145">
      <c r="A26145" s="4" t="s">
        <v>32905</v>
      </c>
      <c r="B26145" s="4" t="s">
        <v>32908</v>
      </c>
      <c r="C26145" s="5" t="str">
        <f>IFERROR(__xludf.DUMMYFUNCTION("GOOGLETRANSLATE(B26145,""en"",""it"")"),"I tre uomini rallegrano l'uno con l'altro e si danno grandi abbracci.")</f>
        <v>I tre uomini rallegrano l'uno con l'altro e si danno grandi abbracci.</v>
      </c>
    </row>
    <row r="26146">
      <c r="A26146" s="4" t="s">
        <v>32909</v>
      </c>
      <c r="B26146" s="4" t="s">
        <v>32910</v>
      </c>
      <c r="C26146" s="5" t="str">
        <f>IFERROR(__xludf.DUMMYFUNCTION("GOOGLETRANSLATE(B26146,""en"",""it"")"),"Il video inizia con un primo piano di una gomma in un negozio di auto.")</f>
        <v>Il video inizia con un primo piano di una gomma in un negozio di auto.</v>
      </c>
    </row>
    <row r="26147">
      <c r="A26147" s="4" t="s">
        <v>32909</v>
      </c>
      <c r="B26147" s="4" t="s">
        <v>32911</v>
      </c>
      <c r="C26147" s="5" t="str">
        <f>IFERROR(__xludf.DUMMYFUNCTION("GOOGLETRANSLATE(B26147,""en"",""it"")"),"Il cameraman usa la mano per mostrare un punto specifico sul pneumatico e si zoom di più.")</f>
        <v>Il cameraman usa la mano per mostrare un punto specifico sul pneumatico e si zoom di più.</v>
      </c>
    </row>
    <row r="26148">
      <c r="A26148" s="4" t="s">
        <v>32909</v>
      </c>
      <c r="B26148" s="4" t="s">
        <v>32912</v>
      </c>
      <c r="C26148" s="5" t="str">
        <f>IFERROR(__xludf.DUMMYFUNCTION("GOOGLETRANSLATE(B26148,""en"",""it"")"),"L'uomo mette giù la fotocamera e inizia a lavorare sul pneumatico.")</f>
        <v>L'uomo mette giù la fotocamera e inizia a lavorare sul pneumatico.</v>
      </c>
    </row>
    <row r="26149">
      <c r="A26149" s="4" t="s">
        <v>32909</v>
      </c>
      <c r="B26149" s="4" t="s">
        <v>32913</v>
      </c>
      <c r="C26149" s="5" t="str">
        <f>IFERROR(__xludf.DUMMYFUNCTION("GOOGLETRANSLATE(B26149,""en"",""it"")"),"Afferra di nuovo la fotocamera per mostrare viti diverse.")</f>
        <v>Afferra di nuovo la fotocamera per mostrare viti diverse.</v>
      </c>
    </row>
    <row r="26150">
      <c r="A26150" s="4" t="s">
        <v>32909</v>
      </c>
      <c r="B26150" s="4" t="s">
        <v>32914</v>
      </c>
      <c r="C26150" s="5" t="str">
        <f>IFERROR(__xludf.DUMMYFUNCTION("GOOGLETRANSLATE(B26150,""en"",""it"")"),"Il video termina che mostra entrambi i lati del pneumatico.")</f>
        <v>Il video termina che mostra entrambi i lati del pneumatico.</v>
      </c>
    </row>
    <row r="26151">
      <c r="A26151" s="4" t="s">
        <v>32915</v>
      </c>
      <c r="B26151" s="4" t="s">
        <v>32916</v>
      </c>
      <c r="C26151" s="5" t="str">
        <f>IFERROR(__xludf.DUMMYFUNCTION("GOOGLETRANSLATE(B26151,""en"",""it"")"),"La fotocamera si panoramica sopra le pareti di una stalla della doccia.")</f>
        <v>La fotocamera si panoramica sopra le pareti di una stalla della doccia.</v>
      </c>
    </row>
    <row r="26152">
      <c r="A26152" s="4" t="s">
        <v>32915</v>
      </c>
      <c r="B26152" s="4" t="s">
        <v>32917</v>
      </c>
      <c r="C26152" s="5" t="str">
        <f>IFERROR(__xludf.DUMMYFUNCTION("GOOGLETRANSLATE(B26152,""en"",""it"")"),"Un uomo fa graffeonare e installa piastrelle sul muro.")</f>
        <v>Un uomo fa graffeonare e installa piastrelle sul muro.</v>
      </c>
    </row>
    <row r="26153">
      <c r="A26153" s="4" t="s">
        <v>32915</v>
      </c>
      <c r="B26153" s="4" t="s">
        <v>24144</v>
      </c>
      <c r="C26153" s="5" t="str">
        <f>IFERROR(__xludf.DUMMYFUNCTION("GOOGLETRANSLATE(B26153,""en"",""it"")"),"L'uomo parla alla telecamera.")</f>
        <v>L'uomo parla alla telecamera.</v>
      </c>
    </row>
    <row r="26154">
      <c r="A26154" s="4" t="s">
        <v>32915</v>
      </c>
      <c r="B26154" s="4" t="s">
        <v>32918</v>
      </c>
      <c r="C26154" s="5" t="str">
        <f>IFERROR(__xludf.DUMMYFUNCTION("GOOGLETRANSLATE(B26154,""en"",""it"")"),"L'uomo applica malta alle lacune tra le piastrelle.")</f>
        <v>L'uomo applica malta alle lacune tra le piastrelle.</v>
      </c>
    </row>
    <row r="26155">
      <c r="A26155" s="4" t="s">
        <v>32915</v>
      </c>
      <c r="B26155" s="4" t="s">
        <v>32919</v>
      </c>
      <c r="C26155" s="5" t="str">
        <f>IFERROR(__xludf.DUMMYFUNCTION("GOOGLETRANSLATE(B26155,""en"",""it"")"),"L'uomo misura e taglia una piastrella per l'installazione nella doccia.")</f>
        <v>L'uomo misura e taglia una piastrella per l'installazione nella doccia.</v>
      </c>
    </row>
    <row r="26156">
      <c r="A26156" s="4" t="s">
        <v>32915</v>
      </c>
      <c r="B26156" s="4" t="s">
        <v>32920</v>
      </c>
      <c r="C26156" s="5" t="str">
        <f>IFERROR(__xludf.DUMMYFUNCTION("GOOGLETRANSLATE(B26156,""en"",""it"")"),"L'uomo installa il piatto di sapone.")</f>
        <v>L'uomo installa il piatto di sapone.</v>
      </c>
    </row>
    <row r="26157">
      <c r="A26157" s="4" t="s">
        <v>32915</v>
      </c>
      <c r="B26157" s="4" t="s">
        <v>32921</v>
      </c>
      <c r="C26157" s="5" t="str">
        <f>IFERROR(__xludf.DUMMYFUNCTION("GOOGLETRANSLATE(B26157,""en"",""it"")"),"Il testo di scorrimento viene mostrato su uno schermo blu.")</f>
        <v>Il testo di scorrimento viene mostrato su uno schermo blu.</v>
      </c>
    </row>
    <row r="26158">
      <c r="A26158" s="4" t="s">
        <v>32922</v>
      </c>
      <c r="B26158" s="4" t="s">
        <v>32923</v>
      </c>
      <c r="C26158" s="5" t="str">
        <f>IFERROR(__xludf.DUMMYFUNCTION("GOOGLETRANSLATE(B26158,""en"",""it"")"),"C'è una struttura aperta solo per i giochi di birra in modo che le persone possano venire a giocare.")</f>
        <v>C'è una struttura aperta solo per i giochi di birra in modo che le persone possano venire a giocare.</v>
      </c>
    </row>
    <row r="26159">
      <c r="A26159" s="4" t="s">
        <v>32922</v>
      </c>
      <c r="B26159" s="4" t="s">
        <v>32924</v>
      </c>
      <c r="C26159" s="5" t="str">
        <f>IFERROR(__xludf.DUMMYFUNCTION("GOOGLETRANSLATE(B26159,""en"",""it"")"),"Tutti lo adorano ed sono entusiasti di essere lì con altre persone a cui piace giocare.")</f>
        <v>Tutti lo adorano ed sono entusiasti di essere lì con altre persone a cui piace giocare.</v>
      </c>
    </row>
    <row r="26160">
      <c r="A26160" s="4" t="s">
        <v>32922</v>
      </c>
      <c r="B26160" s="6" t="s">
        <v>32925</v>
      </c>
      <c r="C26160" s="5" t="str">
        <f>IFERROR(__xludf.DUMMYFUNCTION("GOOGLETRANSLATE(B26160,""en"",""it"")"),"Molti gruppi diversi ci stanno giocando e anche suonando le forbici di paper per vedere chi arriva per primo.")</f>
        <v>Molti gruppi diversi ci stanno giocando e anche suonando le forbici di paper per vedere chi arriva per primo.</v>
      </c>
    </row>
    <row r="26161">
      <c r="A26161" s="4" t="s">
        <v>32922</v>
      </c>
      <c r="B26161" s="4" t="s">
        <v>32926</v>
      </c>
      <c r="C26161" s="5" t="str">
        <f>IFERROR(__xludf.DUMMYFUNCTION("GOOGLETRANSLATE(B26161,""en"",""it"")"),"Chiunque sia il vincitore ottiene un assegno alla fine del gioco.")</f>
        <v>Chiunque sia il vincitore ottiene un assegno alla fine del gioco.</v>
      </c>
    </row>
    <row r="26162">
      <c r="A26162" s="4" t="s">
        <v>32927</v>
      </c>
      <c r="B26162" s="6" t="s">
        <v>32928</v>
      </c>
      <c r="C26162" s="5" t="str">
        <f>IFERROR(__xludf.DUMMYFUNCTION("GOOGLETRANSLATE(B26162,""en"",""it"")"),"Un folto gruppo di persone è in un centro commerciale e guardano le persone allestire un'area con un grande pavimento nero e una grande parete nera.")</f>
        <v>Un folto gruppo di persone è in un centro commerciale e guardano le persone allestire un'area con un grande pavimento nero e una grande parete nera.</v>
      </c>
    </row>
    <row r="26163">
      <c r="A26163" s="4" t="s">
        <v>32927</v>
      </c>
      <c r="B26163" s="6" t="s">
        <v>32929</v>
      </c>
      <c r="C26163" s="5" t="str">
        <f>IFERROR(__xludf.DUMMYFUNCTION("GOOGLETRANSLATE(B26163,""en"",""it"")"),"All'improvviso ci sono persone illuminate che indossano abiti leggeri che ballano nell'area nera e cambiano da 1-7 persone e alternano i colori del bianco, quindi in rosso e poi di nuovo al bianco.")</f>
        <v>All'improvviso ci sono persone illuminate che indossano abiti leggeri che ballano nell'area nera e cambiano da 1-7 persone e alternano i colori del bianco, quindi in rosso e poi di nuovo al bianco.</v>
      </c>
    </row>
    <row r="26164">
      <c r="A26164" s="4" t="s">
        <v>32927</v>
      </c>
      <c r="B26164" s="4" t="s">
        <v>32930</v>
      </c>
      <c r="C26164" s="5" t="str">
        <f>IFERROR(__xludf.DUMMYFUNCTION("GOOGLETRANSLATE(B26164,""en"",""it"")"),"I loro semi di luce si spengono e la danza è finita.")</f>
        <v>I loro semi di luce si spengono e la danza è finita.</v>
      </c>
    </row>
    <row r="26165">
      <c r="A26165" s="4" t="s">
        <v>32931</v>
      </c>
      <c r="B26165" s="4" t="s">
        <v>32932</v>
      </c>
      <c r="C26165" s="5" t="str">
        <f>IFERROR(__xludf.DUMMYFUNCTION("GOOGLETRANSLATE(B26165,""en"",""it"")"),"Un uomo che guida un trattore in movimento si avvicina e guarda verso la parte anteriore.")</f>
        <v>Un uomo che guida un trattore in movimento si avvicina e guarda verso la parte anteriore.</v>
      </c>
    </row>
    <row r="26166">
      <c r="A26166" s="4" t="s">
        <v>32931</v>
      </c>
      <c r="B26166" s="4" t="s">
        <v>32933</v>
      </c>
      <c r="C26166" s="5" t="str">
        <f>IFERROR(__xludf.DUMMYFUNCTION("GOOGLETRANSLATE(B26166,""en"",""it"")"),"Comincia a muoversi di nuovo sulla macchina tagliando l'erba e guidando lo strumento.")</f>
        <v>Comincia a muoversi di nuovo sulla macchina tagliando l'erba e guidando lo strumento.</v>
      </c>
    </row>
    <row r="26167">
      <c r="A26167" s="4" t="s">
        <v>32931</v>
      </c>
      <c r="B26167" s="4" t="s">
        <v>32934</v>
      </c>
      <c r="C26167" s="5" t="str">
        <f>IFERROR(__xludf.DUMMYFUNCTION("GOOGLETRANSLATE(B26167,""en"",""it"")"),"Un uomo in bici si guarda avanti e ride e l'uomo alla fine si distingue.")</f>
        <v>Un uomo in bici si guarda avanti e ride e l'uomo alla fine si distingue.</v>
      </c>
    </row>
    <row r="26168">
      <c r="A26168" s="4" t="s">
        <v>32935</v>
      </c>
      <c r="B26168" s="4" t="s">
        <v>32936</v>
      </c>
      <c r="C26168" s="5" t="str">
        <f>IFERROR(__xludf.DUMMYFUNCTION("GOOGLETRANSLATE(B26168,""en"",""it"")"),"Viene mostrato un artista di tatuaggi, intervallati dagli artisti che parlano alla telecamera, dando tatuaggi.")</f>
        <v>Viene mostrato un artista di tatuaggi, intervallati dagli artisti che parlano alla telecamera, dando tatuaggi.</v>
      </c>
    </row>
    <row r="26169">
      <c r="A26169" s="4" t="s">
        <v>32935</v>
      </c>
      <c r="B26169" s="6" t="s">
        <v>32937</v>
      </c>
      <c r="C26169" s="5" t="str">
        <f>IFERROR(__xludf.DUMMYFUNCTION("GOOGLETRANSLATE(B26169,""en"",""it"")"),"Mostrano varie immagini del loro lavoro finito insieme a iniettare abilmente inchiostro e realizzare disegni.")</f>
        <v>Mostrano varie immagini del loro lavoro finito insieme a iniettare abilmente inchiostro e realizzare disegni.</v>
      </c>
    </row>
    <row r="26170">
      <c r="A26170" s="4" t="s">
        <v>32938</v>
      </c>
      <c r="B26170" s="4" t="s">
        <v>32939</v>
      </c>
      <c r="C26170" s="5" t="str">
        <f>IFERROR(__xludf.DUMMYFUNCTION("GOOGLETRANSLATE(B26170,""en"",""it"")"),"Un ragazzo sta camminando sul palco con casco e spada.")</f>
        <v>Un ragazzo sta camminando sul palco con casco e spada.</v>
      </c>
    </row>
    <row r="26171">
      <c r="A26171" s="4" t="s">
        <v>32938</v>
      </c>
      <c r="B26171" s="4" t="s">
        <v>32940</v>
      </c>
      <c r="C26171" s="5" t="str">
        <f>IFERROR(__xludf.DUMMYFUNCTION("GOOGLETRANSLATE(B26171,""en"",""it"")"),"Il ragazzo incontra un altro ragazzo in cui i volti dei bambini vengono mostrati sui loro volti.")</f>
        <v>Il ragazzo incontra un altro ragazzo in cui i volti dei bambini vengono mostrati sui loro volti.</v>
      </c>
    </row>
    <row r="26172">
      <c r="A26172" s="4" t="s">
        <v>32938</v>
      </c>
      <c r="B26172" s="4" t="s">
        <v>32941</v>
      </c>
      <c r="C26172" s="5" t="str">
        <f>IFERROR(__xludf.DUMMYFUNCTION("GOOGLETRANSLATE(B26172,""en"",""it"")"),"Un uomo che mostra che sono calvo parole è sopra la sua testa.")</f>
        <v>Un uomo che mostra che sono calvo parole è sopra la sua testa.</v>
      </c>
    </row>
    <row r="26173">
      <c r="A26173" s="4" t="s">
        <v>32938</v>
      </c>
      <c r="B26173" s="4" t="s">
        <v>32942</v>
      </c>
      <c r="C26173" s="5" t="str">
        <f>IFERROR(__xludf.DUMMYFUNCTION("GOOGLETRANSLATE(B26173,""en"",""it"")"),"I ragazzi si separano mentre i segni interrogativi appaiono sopra la testa.")</f>
        <v>I ragazzi si separano mentre i segni interrogativi appaiono sopra la testa.</v>
      </c>
    </row>
    <row r="26174">
      <c r="A26174" s="4" t="s">
        <v>32938</v>
      </c>
      <c r="B26174" s="4" t="s">
        <v>32943</v>
      </c>
      <c r="C26174" s="5" t="str">
        <f>IFERROR(__xludf.DUMMYFUNCTION("GOOGLETRANSLATE(B26174,""en"",""it"")"),"Viene mostrata una descrizione del video.")</f>
        <v>Viene mostrata una descrizione del video.</v>
      </c>
    </row>
    <row r="26175">
      <c r="A26175" s="4" t="s">
        <v>32938</v>
      </c>
      <c r="B26175" s="4" t="s">
        <v>32944</v>
      </c>
      <c r="C26175" s="5" t="str">
        <f>IFERROR(__xludf.DUMMYFUNCTION("GOOGLETRANSLATE(B26175,""en"",""it"")"),"Il ragazzo continua continua a sparire sul palco.")</f>
        <v>Il ragazzo continua continua a sparire sul palco.</v>
      </c>
    </row>
    <row r="26176">
      <c r="A26176" s="4" t="s">
        <v>32938</v>
      </c>
      <c r="B26176" s="4" t="s">
        <v>32945</v>
      </c>
      <c r="C26176" s="5" t="str">
        <f>IFERROR(__xludf.DUMMYFUNCTION("GOOGLETRANSLATE(B26176,""en"",""it"")"),"Le pretendenti citazioni sono mostrate sopra la loro testa e continuano a fare sparta.")</f>
        <v>Le pretendenti citazioni sono mostrate sopra la loro testa e continuano a fare sparta.</v>
      </c>
    </row>
    <row r="26177">
      <c r="A26177" s="4" t="s">
        <v>32938</v>
      </c>
      <c r="B26177" s="4" t="s">
        <v>32946</v>
      </c>
      <c r="C26177" s="5" t="str">
        <f>IFERROR(__xludf.DUMMYFUNCTION("GOOGLETRANSLATE(B26177,""en"",""it"")"),"Il ragazzo a sinistra si trasforma in fiamme e si riposano e continuano a fare sparta.")</f>
        <v>Il ragazzo a sinistra si trasforma in fiamme e si riposano e continuano a fare sparta.</v>
      </c>
    </row>
    <row r="26178">
      <c r="A26178" s="4" t="s">
        <v>32938</v>
      </c>
      <c r="B26178" s="4" t="s">
        <v>32947</v>
      </c>
      <c r="C26178" s="5" t="str">
        <f>IFERROR(__xludf.DUMMYFUNCTION("GOOGLETRANSLATE(B26178,""en"",""it"")"),"Il palco si illumina verde e si separano e tornano a Spar.")</f>
        <v>Il palco si illumina verde e si separano e tornano a Spar.</v>
      </c>
    </row>
    <row r="26179">
      <c r="A26179" s="4" t="s">
        <v>32938</v>
      </c>
      <c r="B26179" s="4" t="s">
        <v>32948</v>
      </c>
      <c r="C26179" s="5" t="str">
        <f>IFERROR(__xludf.DUMMYFUNCTION("GOOGLETRANSLATE(B26179,""en"",""it"")"),"Il palco si illumina blu mentre le citazioni sciocche appaiono sul ragazzo sulla testa dei diritti.")</f>
        <v>Il palco si illumina blu mentre le citazioni sciocche appaiono sul ragazzo sulla testa dei diritti.</v>
      </c>
    </row>
    <row r="26180">
      <c r="A26180" s="4" t="s">
        <v>32949</v>
      </c>
      <c r="B26180" s="4" t="s">
        <v>32950</v>
      </c>
      <c r="C26180" s="5" t="str">
        <f>IFERROR(__xludf.DUMMYFUNCTION("GOOGLETRANSLATE(B26180,""en"",""it"")"),"Un uomo cavalca un cavallo in un'arena.")</f>
        <v>Un uomo cavalca un cavallo in un'arena.</v>
      </c>
    </row>
    <row r="26181">
      <c r="A26181" s="4" t="s">
        <v>32949</v>
      </c>
      <c r="B26181" s="4" t="s">
        <v>32951</v>
      </c>
      <c r="C26181" s="5" t="str">
        <f>IFERROR(__xludf.DUMMYFUNCTION("GOOGLETRANSLATE(B26181,""en"",""it"")"),"Salta giù dal cavallo e lega un vitello.")</f>
        <v>Salta giù dal cavallo e lega un vitello.</v>
      </c>
    </row>
    <row r="26182">
      <c r="A26182" s="4" t="s">
        <v>32949</v>
      </c>
      <c r="B26182" s="4" t="s">
        <v>32952</v>
      </c>
      <c r="C26182" s="5" t="str">
        <f>IFERROR(__xludf.DUMMYFUNCTION("GOOGLETRANSLATE(B26182,""en"",""it"")"),"Si alza e torna sul suo cavallo.")</f>
        <v>Si alza e torna sul suo cavallo.</v>
      </c>
    </row>
    <row r="26183">
      <c r="A26183" s="4" t="s">
        <v>32949</v>
      </c>
      <c r="B26183" s="4" t="s">
        <v>32953</v>
      </c>
      <c r="C26183" s="5" t="str">
        <f>IFERROR(__xludf.DUMMYFUNCTION("GOOGLETRANSLATE(B26183,""en"",""it"")"),"Due persone vengono e posano il vitello sull'arena.")</f>
        <v>Due persone vengono e posano il vitello sull'arena.</v>
      </c>
    </row>
    <row r="26184">
      <c r="A26184" s="4" t="s">
        <v>32954</v>
      </c>
      <c r="B26184" s="4" t="s">
        <v>32955</v>
      </c>
      <c r="C26184" s="5" t="str">
        <f>IFERROR(__xludf.DUMMYFUNCTION("GOOGLETRANSLATE(B26184,""en"",""it"")"),"Un uomo viene visto parlare alla telecamera mentre tiene un raschietto.")</f>
        <v>Un uomo viene visto parlare alla telecamera mentre tiene un raschietto.</v>
      </c>
    </row>
    <row r="26185">
      <c r="A26185" s="4" t="s">
        <v>32954</v>
      </c>
      <c r="B26185" s="4" t="s">
        <v>32956</v>
      </c>
      <c r="C26185" s="5" t="str">
        <f>IFERROR(__xludf.DUMMYFUNCTION("GOOGLETRANSLATE(B26185,""en"",""it"")"),"Spinge il raschietto lungo la macchina mentre parla alla telecamera.")</f>
        <v>Spinge il raschietto lungo la macchina mentre parla alla telecamera.</v>
      </c>
    </row>
    <row r="26186">
      <c r="A26186" s="4" t="s">
        <v>32954</v>
      </c>
      <c r="B26186" s="4" t="s">
        <v>32957</v>
      </c>
      <c r="C26186" s="5" t="str">
        <f>IFERROR(__xludf.DUMMYFUNCTION("GOOGLETRANSLATE(B26186,""en"",""it"")"),"Alla fine scivola giù nella neve.")</f>
        <v>Alla fine scivola giù nella neve.</v>
      </c>
    </row>
    <row r="26187">
      <c r="A26187" s="4" t="s">
        <v>32958</v>
      </c>
      <c r="B26187" s="4" t="s">
        <v>32959</v>
      </c>
      <c r="C26187" s="5" t="str">
        <f>IFERROR(__xludf.DUMMYFUNCTION("GOOGLETRANSLATE(B26187,""en"",""it"")"),"Un gruppo di individui si esibisce in un recital per il testimone per le vacanze.")</f>
        <v>Un gruppo di individui si esibisce in un recital per il testimone per le vacanze.</v>
      </c>
    </row>
    <row r="26188">
      <c r="A26188" s="4" t="s">
        <v>32958</v>
      </c>
      <c r="B26188" s="4" t="s">
        <v>32960</v>
      </c>
      <c r="C26188" s="5" t="str">
        <f>IFERROR(__xludf.DUMMYFUNCTION("GOOGLETRANSLATE(B26188,""en"",""it"")"),"Le ragazze continuano a ballare, muovendosi su e giù e roteando il testimone.")</f>
        <v>Le ragazze continuano a ballare, muovendosi su e giù e roteando il testimone.</v>
      </c>
    </row>
    <row r="26189">
      <c r="A26189" s="4" t="s">
        <v>32958</v>
      </c>
      <c r="B26189" s="4" t="s">
        <v>32961</v>
      </c>
      <c r="C26189" s="5" t="str">
        <f>IFERROR(__xludf.DUMMYFUNCTION("GOOGLETRANSLATE(B26189,""en"",""it"")"),"Le luci iniziano a tremolare e le ragazze formano una linea retta sul retro del palco.")</f>
        <v>Le luci iniziano a tremolare e le ragazze formano una linea retta sul retro del palco.</v>
      </c>
    </row>
    <row r="26190">
      <c r="A26190" s="4" t="s">
        <v>32958</v>
      </c>
      <c r="B26190" s="4" t="s">
        <v>32962</v>
      </c>
      <c r="C26190" s="5" t="str">
        <f>IFERROR(__xludf.DUMMYFUNCTION("GOOGLETRANSLATE(B26190,""en"",""it"")"),"Durante il recital, le ragazze fanno la stessa routine ma invece di una linea orizzontale ne formano una verticale.")</f>
        <v>Durante il recital, le ragazze fanno la stessa routine ma invece di una linea orizzontale ne formano una verticale.</v>
      </c>
    </row>
    <row r="26191">
      <c r="A26191" s="4" t="s">
        <v>32958</v>
      </c>
      <c r="B26191" s="4" t="s">
        <v>32963</v>
      </c>
      <c r="C26191" s="5" t="str">
        <f>IFERROR(__xludf.DUMMYFUNCTION("GOOGLETRANSLATE(B26191,""en"",""it"")"),"Una volta che hanno finito, si muovono verso il retro del palco e ballano dietro le tende.")</f>
        <v>Una volta che hanno finito, si muovono verso il retro del palco e ballano dietro le tende.</v>
      </c>
    </row>
    <row r="26192">
      <c r="A26192" s="4" t="s">
        <v>32964</v>
      </c>
      <c r="B26192" s="4" t="s">
        <v>32965</v>
      </c>
      <c r="C26192" s="5" t="str">
        <f>IFERROR(__xludf.DUMMYFUNCTION("GOOGLETRANSLATE(B26192,""en"",""it"")"),"Un uomo mette un vestito Matador in una stanza.")</f>
        <v>Un uomo mette un vestito Matador in una stanza.</v>
      </c>
    </row>
    <row r="26193">
      <c r="A26193" s="4" t="s">
        <v>32964</v>
      </c>
      <c r="B26193" s="4" t="s">
        <v>32966</v>
      </c>
      <c r="C26193" s="5" t="str">
        <f>IFERROR(__xludf.DUMMYFUNCTION("GOOGLETRANSLATE(B26193,""en"",""it"")"),"Un Matador combatte con una ciotola usando un mantello rosso in uno stadio.")</f>
        <v>Un Matador combatte con una ciotola usando un mantello rosso in uno stadio.</v>
      </c>
    </row>
    <row r="26194">
      <c r="A26194" s="4" t="s">
        <v>32964</v>
      </c>
      <c r="B26194" s="4" t="s">
        <v>32967</v>
      </c>
      <c r="C26194" s="5" t="str">
        <f>IFERROR(__xludf.DUMMYFUNCTION("GOOGLETRANSLATE(B26194,""en"",""it"")"),"I ragazzi si esercitano a usare il mantello rosso insieme nell'arena.")</f>
        <v>I ragazzi si esercitano a usare il mantello rosso insieme nell'arena.</v>
      </c>
    </row>
    <row r="26195">
      <c r="A26195" s="4" t="s">
        <v>32964</v>
      </c>
      <c r="B26195" s="6" t="s">
        <v>32968</v>
      </c>
      <c r="C26195" s="5" t="str">
        <f>IFERROR(__xludf.DUMMYFUNCTION("GOOGLETRANSLATE(B26195,""en"",""it"")"),"Le persone ricevono autografi dal Matador e sono visti in strada che intervistano sull'evento.")</f>
        <v>Le persone ricevono autografi dal Matador e sono visti in strada che intervistano sull'evento.</v>
      </c>
    </row>
    <row r="26196">
      <c r="A26196" s="4" t="s">
        <v>32964</v>
      </c>
      <c r="B26196" s="4" t="s">
        <v>32969</v>
      </c>
      <c r="C26196" s="5" t="str">
        <f>IFERROR(__xludf.DUMMYFUNCTION("GOOGLETRANSLATE(B26196,""en"",""it"")"),"Il toro corre e carica a poppa il matador a distanza.")</f>
        <v>Il toro corre e carica a poppa il matador a distanza.</v>
      </c>
    </row>
    <row r="26197">
      <c r="A26197" s="4" t="s">
        <v>32964</v>
      </c>
      <c r="B26197" s="4" t="s">
        <v>32970</v>
      </c>
      <c r="C26197" s="5" t="str">
        <f>IFERROR(__xludf.DUMMYFUNCTION("GOOGLETRANSLATE(B26197,""en"",""it"")"),"Il Matador applaude alla folla con la schiena di fronte al toro.")</f>
        <v>Il Matador applaude alla folla con la schiena di fronte al toro.</v>
      </c>
    </row>
    <row r="26198">
      <c r="A26198" s="4" t="s">
        <v>32971</v>
      </c>
      <c r="B26198" s="6" t="s">
        <v>32972</v>
      </c>
      <c r="C26198" s="5" t="str">
        <f>IFERROR(__xludf.DUMMYFUNCTION("GOOGLETRANSLATE(B26198,""en"",""it"")"),"Un uomo, in maglietta nera, si trova da solo in cucina, parla con una macchina fotografica in modo animato e prepara un burro di arachidi e un sandwich di gelatina.")</f>
        <v>Un uomo, in maglietta nera, si trova da solo in cucina, parla con una macchina fotografica in modo animato e prepara un burro di arachidi e un sandwich di gelatina.</v>
      </c>
    </row>
    <row r="26199">
      <c r="A26199" s="4" t="s">
        <v>32971</v>
      </c>
      <c r="B26199" s="6" t="s">
        <v>32973</v>
      </c>
      <c r="C26199" s="5" t="str">
        <f>IFERROR(__xludf.DUMMYFUNCTION("GOOGLETRANSLATE(B26199,""en"",""it"")"),"L'uomo solleva un barattolo di burro di arachidi e una bottiglia di gelatina dopo aver tirato fuori due pezzi di pane mentre era in piedi davanti a un piano di lavoro in cucina.")</f>
        <v>L'uomo solleva un barattolo di burro di arachidi e una bottiglia di gelatina dopo aver tirato fuori due pezzi di pane mentre era in piedi davanti a un piano di lavoro in cucina.</v>
      </c>
    </row>
    <row r="26200">
      <c r="A26200" s="4" t="s">
        <v>32971</v>
      </c>
      <c r="B26200" s="4" t="s">
        <v>32974</v>
      </c>
      <c r="C26200" s="5" t="str">
        <f>IFERROR(__xludf.DUMMYFUNCTION("GOOGLETRANSLATE(B26200,""en"",""it"")"),"L'uomo mette gelatina e burro di arachidi sul pane.")</f>
        <v>L'uomo mette gelatina e burro di arachidi sul pane.</v>
      </c>
    </row>
    <row r="26201">
      <c r="A26201" s="4" t="s">
        <v>32971</v>
      </c>
      <c r="B26201" s="6" t="s">
        <v>32975</v>
      </c>
      <c r="C26201" s="5" t="str">
        <f>IFERROR(__xludf.DUMMYFUNCTION("GOOGLETRANSLATE(B26201,""en"",""it"")"),"L'uomo morde il sandwich, ricomincia a parlare, sbatte il sandwich su un piatto e se ne va.")</f>
        <v>L'uomo morde il sandwich, ricomincia a parlare, sbatte il sandwich su un piatto e se ne va.</v>
      </c>
    </row>
    <row r="26202">
      <c r="A26202" s="4" t="s">
        <v>32976</v>
      </c>
      <c r="B26202" s="4" t="s">
        <v>32977</v>
      </c>
      <c r="C26202" s="5" t="str">
        <f>IFERROR(__xludf.DUMMYFUNCTION("GOOGLETRANSLATE(B26202,""en"",""it"")"),"Le persone vengono mostrate su un campo da pallavolo mentre si riscaldano.")</f>
        <v>Le persone vengono mostrate su un campo da pallavolo mentre si riscaldano.</v>
      </c>
    </row>
    <row r="26203">
      <c r="A26203" s="4" t="s">
        <v>32976</v>
      </c>
      <c r="B26203" s="4" t="s">
        <v>32978</v>
      </c>
      <c r="C26203" s="5" t="str">
        <f>IFERROR(__xludf.DUMMYFUNCTION("GOOGLETRANSLATE(B26203,""en"",""it"")"),"Le ragazze alimentano la palla avanti e indietro sopra la rete.")</f>
        <v>Le ragazze alimentano la palla avanti e indietro sopra la rete.</v>
      </c>
    </row>
    <row r="26204">
      <c r="A26204" s="4" t="s">
        <v>32976</v>
      </c>
      <c r="B26204" s="4" t="s">
        <v>32979</v>
      </c>
      <c r="C26204" s="5" t="str">
        <f>IFERROR(__xludf.DUMMYFUNCTION("GOOGLETRANSLATE(B26204,""en"",""it"")"),"Cercano di mantenere la palla dai loro avversari mentre il gioco inizia davvero.")</f>
        <v>Cercano di mantenere la palla dai loro avversari mentre il gioco inizia davvero.</v>
      </c>
    </row>
    <row r="26205">
      <c r="A26205" s="4" t="s">
        <v>32980</v>
      </c>
      <c r="B26205" s="6" t="s">
        <v>32981</v>
      </c>
      <c r="C26205" s="5" t="str">
        <f>IFERROR(__xludf.DUMMYFUNCTION("GOOGLETRANSLATE(B26205,""en"",""it"")"),"Viene vista una donna che parla alla telecamera che reggono vari mop e li presenta alla telecamera.")</f>
        <v>Viene vista una donna che parla alla telecamera che reggono vari mop e li presenta alla telecamera.</v>
      </c>
    </row>
    <row r="26206">
      <c r="A26206" s="4" t="s">
        <v>32980</v>
      </c>
      <c r="B26206" s="4" t="s">
        <v>32982</v>
      </c>
      <c r="C26206" s="5" t="str">
        <f>IFERROR(__xludf.DUMMYFUNCTION("GOOGLETRANSLATE(B26206,""en"",""it"")"),"Quindi immerge i mop in un secchio e li lava lungo il pavimento.")</f>
        <v>Quindi immerge i mop in un secchio e li lava lungo il pavimento.</v>
      </c>
    </row>
    <row r="26207">
      <c r="A26207" s="4" t="s">
        <v>32980</v>
      </c>
      <c r="B26207" s="6" t="s">
        <v>32983</v>
      </c>
      <c r="C26207" s="5" t="str">
        <f>IFERROR(__xludf.DUMMYFUNCTION("GOOGLETRANSLATE(B26207,""en"",""it"")"),"Continua a parlare mentre solleva i mop, oltre a smontare e mostrare come funzionano.")</f>
        <v>Continua a parlare mentre solleva i mop, oltre a smontare e mostrare come funzionano.</v>
      </c>
    </row>
    <row r="26208">
      <c r="A26208" s="4" t="s">
        <v>32984</v>
      </c>
      <c r="B26208" s="4" t="s">
        <v>32985</v>
      </c>
      <c r="C26208" s="5" t="str">
        <f>IFERROR(__xludf.DUMMYFUNCTION("GOOGLETRANSLATE(B26208,""en"",""it"")"),"Un gruppo di uomini e ragazzi è su una collina ricoperta di neve.")</f>
        <v>Un gruppo di uomini e ragazzi è su una collina ricoperta di neve.</v>
      </c>
    </row>
    <row r="26209">
      <c r="A26209" s="4" t="s">
        <v>32984</v>
      </c>
      <c r="B26209" s="4" t="s">
        <v>32986</v>
      </c>
      <c r="C26209" s="5" t="str">
        <f>IFERROR(__xludf.DUMMYFUNCTION("GOOGLETRANSLATE(B26209,""en"",""it"")"),"Lanciano le palle di neve e cavalcano le macchine, poi sciano giù per la collina.")</f>
        <v>Lanciano le palle di neve e cavalcano le macchine, poi sciano giù per la collina.</v>
      </c>
    </row>
    <row r="26210">
      <c r="A26210" s="4" t="s">
        <v>32984</v>
      </c>
      <c r="B26210" s="4" t="s">
        <v>32987</v>
      </c>
      <c r="C26210" s="5" t="str">
        <f>IFERROR(__xludf.DUMMYFUNCTION("GOOGLETRANSLATE(B26210,""en"",""it"")"),"Vengono mostrati sciare e eseguire molti trucchi, girare e girare mentre vanno.")</f>
        <v>Vengono mostrati sciare e eseguire molti trucchi, girare e girare mentre vanno.</v>
      </c>
    </row>
    <row r="26211">
      <c r="A26211" s="4" t="s">
        <v>32988</v>
      </c>
      <c r="B26211" s="4" t="s">
        <v>32989</v>
      </c>
      <c r="C26211" s="5" t="str">
        <f>IFERROR(__xludf.DUMMYFUNCTION("GOOGLETRANSLATE(B26211,""en"",""it"")"),"Vediamo un ragazzo che interpreta una fisarmonica.")</f>
        <v>Vediamo un ragazzo che interpreta una fisarmonica.</v>
      </c>
    </row>
    <row r="26212">
      <c r="A26212" s="4" t="s">
        <v>32988</v>
      </c>
      <c r="B26212" s="4" t="s">
        <v>32990</v>
      </c>
      <c r="C26212" s="5" t="str">
        <f>IFERROR(__xludf.DUMMYFUNCTION("GOOGLETRANSLATE(B26212,""en"",""it"")"),"Il ragazzo fa scivolare la mano attraverso le chiavi.")</f>
        <v>Il ragazzo fa scivolare la mano attraverso le chiavi.</v>
      </c>
    </row>
    <row r="26213">
      <c r="A26213" s="4" t="s">
        <v>32988</v>
      </c>
      <c r="B26213" s="4" t="s">
        <v>32991</v>
      </c>
      <c r="C26213" s="5" t="str">
        <f>IFERROR(__xludf.DUMMYFUNCTION("GOOGLETRANSLATE(B26213,""en"",""it"")"),"Un pezzo di carta entra in scena in basso a destra.")</f>
        <v>Un pezzo di carta entra in scena in basso a destra.</v>
      </c>
    </row>
    <row r="26214">
      <c r="A26214" s="4" t="s">
        <v>32988</v>
      </c>
      <c r="B26214" s="4" t="s">
        <v>32992</v>
      </c>
      <c r="C26214" s="5" t="str">
        <f>IFERROR(__xludf.DUMMYFUNCTION("GOOGLETRANSLATE(B26214,""en"",""it"")"),"Il ragazzo finisce e lo schermo diventa nero.")</f>
        <v>Il ragazzo finisce e lo schermo diventa nero.</v>
      </c>
    </row>
    <row r="26215">
      <c r="A26215" s="4" t="s">
        <v>32993</v>
      </c>
      <c r="B26215" s="4" t="s">
        <v>25249</v>
      </c>
      <c r="C26215" s="5" t="str">
        <f>IFERROR(__xludf.DUMMYFUNCTION("GOOGLETRANSLATE(B26215,""en"",""it"")"),"Vengono mostrati i crediti delle clip.")</f>
        <v>Vengono mostrati i crediti delle clip.</v>
      </c>
    </row>
    <row r="26216">
      <c r="A26216" s="4" t="s">
        <v>32993</v>
      </c>
      <c r="B26216" s="4" t="s">
        <v>32994</v>
      </c>
      <c r="C26216" s="5" t="str">
        <f>IFERROR(__xludf.DUMMYFUNCTION("GOOGLETRANSLATE(B26216,""en"",""it"")"),"La mano perfora un foro con uno strumento elettrico.")</f>
        <v>La mano perfora un foro con uno strumento elettrico.</v>
      </c>
    </row>
    <row r="26217">
      <c r="A26217" s="4" t="s">
        <v>32993</v>
      </c>
      <c r="B26217" s="4" t="s">
        <v>32995</v>
      </c>
      <c r="C26217" s="5" t="str">
        <f>IFERROR(__xludf.DUMMYFUNCTION("GOOGLETRANSLATE(B26217,""en"",""it"")"),"La mano avvita due unghie in fori con uno strumento elettrico.")</f>
        <v>La mano avvita due unghie in fori con uno strumento elettrico.</v>
      </c>
    </row>
    <row r="26218">
      <c r="A26218" s="4" t="s">
        <v>32993</v>
      </c>
      <c r="B26218" s="4" t="s">
        <v>32996</v>
      </c>
      <c r="C26218" s="5" t="str">
        <f>IFERROR(__xludf.DUMMYFUNCTION("GOOGLETRANSLATE(B26218,""en"",""it"")"),"La persona parte con lo strumento elettrico.")</f>
        <v>La persona parte con lo strumento elettrico.</v>
      </c>
    </row>
    <row r="26219">
      <c r="A26219" s="4" t="s">
        <v>32997</v>
      </c>
      <c r="B26219" s="4" t="s">
        <v>32998</v>
      </c>
      <c r="C26219" s="5" t="str">
        <f>IFERROR(__xludf.DUMMYFUNCTION("GOOGLETRANSLATE(B26219,""en"",""it"")"),"Diversi bambini sono in piscina giocando a una polo d'acqua.")</f>
        <v>Diversi bambini sono in piscina giocando a una polo d'acqua.</v>
      </c>
    </row>
    <row r="26220">
      <c r="A26220" s="4" t="s">
        <v>32997</v>
      </c>
      <c r="B26220" s="4" t="s">
        <v>32999</v>
      </c>
      <c r="C26220" s="5" t="str">
        <f>IFERROR(__xludf.DUMMYFUNCTION("GOOGLETRANSLATE(B26220,""en"",""it"")"),"Una delle ragazze prende la palla e fa un tiro in rete mentre la folla applaude.")</f>
        <v>Una delle ragazze prende la palla e fa un tiro in rete mentre la folla applaude.</v>
      </c>
    </row>
    <row r="26221">
      <c r="A26221" s="4" t="s">
        <v>32997</v>
      </c>
      <c r="B26221" s="4" t="s">
        <v>33000</v>
      </c>
      <c r="C26221" s="5" t="str">
        <f>IFERROR(__xludf.DUMMYFUNCTION("GOOGLETRANSLATE(B26221,""en"",""it"")"),"Il gioco si ripristina e le squadre ricominciano a giocare.")</f>
        <v>Il gioco si ripristina e le squadre ricominciano a giocare.</v>
      </c>
    </row>
    <row r="26222">
      <c r="A26222" s="4" t="s">
        <v>33001</v>
      </c>
      <c r="B26222" s="4" t="s">
        <v>33002</v>
      </c>
      <c r="C26222" s="5" t="str">
        <f>IFERROR(__xludf.DUMMYFUNCTION("GOOGLETRANSLATE(B26222,""en"",""it"")"),"Vengono mostrati due uomini che parlano a una festa suonando pong con altri due uomini.")</f>
        <v>Vengono mostrati due uomini che parlano a una festa suonando pong con altri due uomini.</v>
      </c>
    </row>
    <row r="26223">
      <c r="A26223" s="4" t="s">
        <v>33001</v>
      </c>
      <c r="B26223" s="6" t="s">
        <v>33003</v>
      </c>
      <c r="C26223" s="5" t="str">
        <f>IFERROR(__xludf.DUMMYFUNCTION("GOOGLETRANSLATE(B26223,""en"",""it"")"),"Gli uomini continuano a riportare le palle nelle tazze e quarto e uno salta sul retro dell'altro.")</f>
        <v>Gli uomini continuano a riportare le palle nelle tazze e quarto e uno salta sul retro dell'altro.</v>
      </c>
    </row>
    <row r="26224">
      <c r="A26224" s="4" t="s">
        <v>33004</v>
      </c>
      <c r="B26224" s="4" t="s">
        <v>33005</v>
      </c>
      <c r="C26224" s="5" t="str">
        <f>IFERROR(__xludf.DUMMYFUNCTION("GOOGLETRANSLATE(B26224,""en"",""it"")"),"Un lavandino è coperto di sporcizia.")</f>
        <v>Un lavandino è coperto di sporcizia.</v>
      </c>
    </row>
    <row r="26225">
      <c r="A26225" s="4" t="s">
        <v>33004</v>
      </c>
      <c r="B26225" s="4" t="s">
        <v>33006</v>
      </c>
      <c r="C26225" s="5" t="str">
        <f>IFERROR(__xludf.DUMMYFUNCTION("GOOGLETRANSLATE(B26225,""en"",""it"")"),"Una bottiglia è tenuta alla fotocamera.")</f>
        <v>Una bottiglia è tenuta alla fotocamera.</v>
      </c>
    </row>
    <row r="26226">
      <c r="A26226" s="4" t="s">
        <v>33004</v>
      </c>
      <c r="B26226" s="4" t="s">
        <v>33007</v>
      </c>
      <c r="C26226" s="5" t="str">
        <f>IFERROR(__xludf.DUMMYFUNCTION("GOOGLETRANSLATE(B26226,""en"",""it"")"),"L'acqua corre su una spugna.")</f>
        <v>L'acqua corre su una spugna.</v>
      </c>
    </row>
    <row r="26227">
      <c r="A26227" s="4" t="s">
        <v>33004</v>
      </c>
      <c r="B26227" s="4" t="s">
        <v>33008</v>
      </c>
      <c r="C26227" s="5" t="str">
        <f>IFERROR(__xludf.DUMMYFUNCTION("GOOGLETRANSLATE(B26227,""en"",""it"")"),"La soluzione viene versata sulla spugna e il lavandino viene pulito.")</f>
        <v>La soluzione viene versata sulla spugna e il lavandino viene pulito.</v>
      </c>
    </row>
    <row r="26228">
      <c r="A26228" s="4" t="s">
        <v>33009</v>
      </c>
      <c r="B26228" s="6" t="s">
        <v>33010</v>
      </c>
      <c r="C26228" s="5" t="str">
        <f>IFERROR(__xludf.DUMMYFUNCTION("GOOGLETRANSLATE(B26228,""en"",""it"")"),"Un adolescente che indossa una camicia bianca e pantaloni neri sta sparando a cerchi in un campo da basket all'aperto.")</f>
        <v>Un adolescente che indossa una camicia bianca e pantaloni neri sta sparando a cerchi in un campo da basket all'aperto.</v>
      </c>
    </row>
    <row r="26229">
      <c r="A26229" s="4" t="s">
        <v>33009</v>
      </c>
      <c r="B26229" s="4" t="s">
        <v>33011</v>
      </c>
      <c r="C26229" s="5" t="str">
        <f>IFERROR(__xludf.DUMMYFUNCTION("GOOGLETRANSLATE(B26229,""en"",""it"")"),"Ci sono alcuni coni organizzati in tribunale.")</f>
        <v>Ci sono alcuni coni organizzati in tribunale.</v>
      </c>
    </row>
    <row r="26230">
      <c r="A26230" s="4" t="s">
        <v>33009</v>
      </c>
      <c r="B26230" s="4" t="s">
        <v>33012</v>
      </c>
      <c r="C26230" s="5" t="str">
        <f>IFERROR(__xludf.DUMMYFUNCTION("GOOGLETRANSLATE(B26230,""en"",""it"")"),"Il ragazzo continua a correre, dribblare e sparare a cerchi con il basket.")</f>
        <v>Il ragazzo continua a correre, dribblare e sparare a cerchi con il basket.</v>
      </c>
    </row>
    <row r="26231">
      <c r="A26231" s="4" t="s">
        <v>33009</v>
      </c>
      <c r="B26231" s="4" t="s">
        <v>33013</v>
      </c>
      <c r="C26231" s="5" t="str">
        <f>IFERROR(__xludf.DUMMYFUNCTION("GOOGLETRANSLATE(B26231,""en"",""it"")"),"Colpisce un tiro e fa un cestino e poi smette di giocare.")</f>
        <v>Colpisce un tiro e fa un cestino e poi smette di giocare.</v>
      </c>
    </row>
    <row r="26232">
      <c r="A26232" s="4" t="s">
        <v>33014</v>
      </c>
      <c r="B26232" s="4" t="s">
        <v>33015</v>
      </c>
      <c r="C26232" s="5" t="str">
        <f>IFERROR(__xludf.DUMMYFUNCTION("GOOGLETRANSLATE(B26232,""en"",""it"")"),"Viene mostrata una mappa e quindi due grandi pesci sono mostrati nell'acqua mentre un uccello galleggia attraverso l'acqua.")</f>
        <v>Viene mostrata una mappa e quindi due grandi pesci sono mostrati nell'acqua mentre un uccello galleggia attraverso l'acqua.</v>
      </c>
    </row>
    <row r="26233">
      <c r="A26233" s="4" t="s">
        <v>33014</v>
      </c>
      <c r="B26233" s="4" t="s">
        <v>33016</v>
      </c>
      <c r="C26233" s="5" t="str">
        <f>IFERROR(__xludf.DUMMYFUNCTION("GOOGLETRANSLATE(B26233,""en"",""it"")"),"Due uomini sono su una barca e navigano attraverso l'acqua sul pesce.")</f>
        <v>Due uomini sono su una barca e navigano attraverso l'acqua sul pesce.</v>
      </c>
    </row>
    <row r="26234">
      <c r="A26234" s="4" t="s">
        <v>33014</v>
      </c>
      <c r="B26234" s="4" t="s">
        <v>33017</v>
      </c>
      <c r="C26234" s="5" t="str">
        <f>IFERROR(__xludf.DUMMYFUNCTION("GOOGLETRANSLATE(B26234,""en"",""it"")"),"Viene quindi mostrata una vista subacquea e puoi vedere il fondo del corpo delle anatre.")</f>
        <v>Viene quindi mostrata una vista subacquea e puoi vedere il fondo del corpo delle anatre.</v>
      </c>
    </row>
    <row r="26235">
      <c r="A26235" s="4" t="s">
        <v>33014</v>
      </c>
      <c r="B26235" s="4" t="s">
        <v>33018</v>
      </c>
      <c r="C26235" s="5" t="str">
        <f>IFERROR(__xludf.DUMMYFUNCTION("GOOGLETRANSLATE(B26235,""en"",""it"")"),"Vengono quindi mostrati diversi uomini e barche e una posta cattura un pesce.")</f>
        <v>Vengono quindi mostrati diversi uomini e barche e una posta cattura un pesce.</v>
      </c>
    </row>
    <row r="26236">
      <c r="A26236" s="4" t="s">
        <v>33014</v>
      </c>
      <c r="B26236" s="6" t="s">
        <v>33019</v>
      </c>
      <c r="C26236" s="5" t="str">
        <f>IFERROR(__xludf.DUMMYFUNCTION("GOOGLETRANSLATE(B26236,""en"",""it"")"),"Dopo, un uomo vestito con tutto il nero è sott'acqua e un elicottero d'acqua viene mostrato quindi l'uomo torna sott'acqua con la telecamera e giocando con pesce grande.")</f>
        <v>Dopo, un uomo vestito con tutto il nero è sott'acqua e un elicottero d'acqua viene mostrato quindi l'uomo torna sott'acqua con la telecamera e giocando con pesce grande.</v>
      </c>
    </row>
    <row r="26237">
      <c r="A26237" s="4" t="s">
        <v>33014</v>
      </c>
      <c r="B26237" s="6" t="s">
        <v>33020</v>
      </c>
      <c r="C26237" s="5" t="str">
        <f>IFERROR(__xludf.DUMMYFUNCTION("GOOGLETRANSLATE(B26237,""en"",""it"")"),"Vengono mostrati altri e i maschi continuano a saltare dalla barca e mostrano i loro risultati sott'acqua e scaricano acqua su se stessi e viene mostrata un'altra mappa.")</f>
        <v>Vengono mostrati altri e i maschi continuano a saltare dalla barca e mostrano i loro risultati sott'acqua e scaricano acqua su se stessi e viene mostrata un'altra mappa.</v>
      </c>
    </row>
    <row r="26238">
      <c r="A26238" s="4" t="s">
        <v>33021</v>
      </c>
      <c r="B26238" s="4" t="s">
        <v>33022</v>
      </c>
      <c r="C26238" s="5" t="str">
        <f>IFERROR(__xludf.DUMMYFUNCTION("GOOGLETRANSLATE(B26238,""en"",""it"")"),"Due persone stanno giocando a Racquetball.")</f>
        <v>Due persone stanno giocando a Racquetball.</v>
      </c>
    </row>
    <row r="26239">
      <c r="A26239" s="4" t="s">
        <v>33021</v>
      </c>
      <c r="B26239" s="4" t="s">
        <v>33023</v>
      </c>
      <c r="C26239" s="5" t="str">
        <f>IFERROR(__xludf.DUMMYFUNCTION("GOOGLETRANSLATE(B26239,""en"",""it"")"),"La palla arriva dietro i giocatori.")</f>
        <v>La palla arriva dietro i giocatori.</v>
      </c>
    </row>
    <row r="26240">
      <c r="A26240" s="4" t="s">
        <v>33021</v>
      </c>
      <c r="B26240" s="4" t="s">
        <v>33024</v>
      </c>
      <c r="C26240" s="5" t="str">
        <f>IFERROR(__xludf.DUMMYFUNCTION("GOOGLETRANSLATE(B26240,""en"",""it"")"),"Riprendono giocando e saltando.")</f>
        <v>Riprendono giocando e saltando.</v>
      </c>
    </row>
    <row r="26241">
      <c r="A26241" s="4" t="s">
        <v>33021</v>
      </c>
      <c r="B26241" s="4" t="s">
        <v>33025</v>
      </c>
      <c r="C26241" s="5" t="str">
        <f>IFERROR(__xludf.DUMMYFUNCTION("GOOGLETRANSLATE(B26241,""en"",""it"")"),"La palla riceve di nuovo i giocatori.")</f>
        <v>La palla riceve di nuovo i giocatori.</v>
      </c>
    </row>
    <row r="26242">
      <c r="A26242" s="4" t="s">
        <v>33021</v>
      </c>
      <c r="B26242" s="4" t="s">
        <v>33026</v>
      </c>
      <c r="C26242" s="5" t="str">
        <f>IFERROR(__xludf.DUMMYFUNCTION("GOOGLETRANSLATE(B26242,""en"",""it"")"),"L'uomo in giallo riavvia una nuova partita.")</f>
        <v>L'uomo in giallo riavvia una nuova partita.</v>
      </c>
    </row>
    <row r="26243">
      <c r="A26243" s="4" t="s">
        <v>33021</v>
      </c>
      <c r="B26243" s="4" t="s">
        <v>33027</v>
      </c>
      <c r="C26243" s="5" t="str">
        <f>IFERROR(__xludf.DUMMYFUNCTION("GOOGLETRANSLATE(B26243,""en"",""it"")"),"L'uomo in blu cammina verso la finestra e fa casino con un adesivo.")</f>
        <v>L'uomo in blu cammina verso la finestra e fa casino con un adesivo.</v>
      </c>
    </row>
    <row r="26244">
      <c r="A26244" s="4" t="s">
        <v>33021</v>
      </c>
      <c r="B26244" s="4" t="s">
        <v>33028</v>
      </c>
      <c r="C26244" s="5" t="str">
        <f>IFERROR(__xludf.DUMMYFUNCTION("GOOGLETRANSLATE(B26244,""en"",""it"")"),"L'uomo in giallo cerca di riavviare una nuova partita.")</f>
        <v>L'uomo in giallo cerca di riavviare una nuova partita.</v>
      </c>
    </row>
    <row r="26245">
      <c r="A26245" s="4" t="s">
        <v>33021</v>
      </c>
      <c r="B26245" s="4" t="s">
        <v>33029</v>
      </c>
      <c r="C26245" s="5" t="str">
        <f>IFERROR(__xludf.DUMMYFUNCTION("GOOGLETRANSLATE(B26245,""en"",""it"")"),"L'uomo in blu colpisce la palla nell'angolo e rotola indietro.")</f>
        <v>L'uomo in blu colpisce la palla nell'angolo e rotola indietro.</v>
      </c>
    </row>
    <row r="26246">
      <c r="A26246" s="4" t="s">
        <v>33021</v>
      </c>
      <c r="B26246" s="4" t="s">
        <v>33030</v>
      </c>
      <c r="C26246" s="5" t="str">
        <f>IFERROR(__xludf.DUMMYFUNCTION("GOOGLETRANSLATE(B26246,""en"",""it"")"),"Iniziano un altro giro di racquetball.")</f>
        <v>Iniziano un altro giro di racquetball.</v>
      </c>
    </row>
    <row r="26247">
      <c r="A26247" s="4" t="s">
        <v>33031</v>
      </c>
      <c r="B26247" s="4" t="s">
        <v>33032</v>
      </c>
      <c r="C26247" s="5" t="str">
        <f>IFERROR(__xludf.DUMMYFUNCTION("GOOGLETRANSLATE(B26247,""en"",""it"")"),"Una ragazza si sta facendo trafiggere il naso.")</f>
        <v>Una ragazza si sta facendo trafiggere il naso.</v>
      </c>
    </row>
    <row r="26248">
      <c r="A26248" s="4" t="s">
        <v>33031</v>
      </c>
      <c r="B26248" s="4" t="s">
        <v>33033</v>
      </c>
      <c r="C26248" s="5" t="str">
        <f>IFERROR(__xludf.DUMMYFUNCTION("GOOGLETRANSLATE(B26248,""en"",""it"")"),"Il naso viene pulito prima del piercing.")</f>
        <v>Il naso viene pulito prima del piercing.</v>
      </c>
    </row>
    <row r="26249">
      <c r="A26249" s="4" t="s">
        <v>33031</v>
      </c>
      <c r="B26249" s="4" t="s">
        <v>33034</v>
      </c>
      <c r="C26249" s="5" t="str">
        <f>IFERROR(__xludf.DUMMYFUNCTION("GOOGLETRANSLATE(B26249,""en"",""it"")"),"Parla con la telecamera.")</f>
        <v>Parla con la telecamera.</v>
      </c>
    </row>
    <row r="26250">
      <c r="A26250" s="4" t="s">
        <v>33031</v>
      </c>
      <c r="B26250" s="4" t="s">
        <v>33035</v>
      </c>
      <c r="C26250" s="5" t="str">
        <f>IFERROR(__xludf.DUMMYFUNCTION("GOOGLETRANSLATE(B26250,""en"",""it"")"),"L'uomo le trafigge il naso.")</f>
        <v>L'uomo le trafigge il naso.</v>
      </c>
    </row>
    <row r="26251">
      <c r="A26251" s="4" t="s">
        <v>33036</v>
      </c>
      <c r="B26251" s="4" t="s">
        <v>33037</v>
      </c>
      <c r="C26251" s="5" t="str">
        <f>IFERROR(__xludf.DUMMYFUNCTION("GOOGLETRANSLATE(B26251,""en"",""it"")"),"Viene mostrato uno scenario di una residenza.")</f>
        <v>Viene mostrato uno scenario di una residenza.</v>
      </c>
    </row>
    <row r="26252">
      <c r="A26252" s="4" t="s">
        <v>33036</v>
      </c>
      <c r="B26252" s="6" t="s">
        <v>33038</v>
      </c>
      <c r="C26252" s="5" t="str">
        <f>IFERROR(__xludf.DUMMYFUNCTION("GOOGLETRANSLATE(B26252,""en"",""it"")"),"Un uomo appare da dietro una siepe e tiene in mano una siepe verde lime e inizia a girare le sue siepi e inizia a tagliarli prima in alto, quindi si concentra sui lati e verso il fondo.")</f>
        <v>Un uomo appare da dietro una siepe e tiene in mano una siepe verde lime e inizia a girare le sue siepi e inizia a tagliarli prima in alto, quindi si concentra sui lati e verso il fondo.</v>
      </c>
    </row>
    <row r="26253">
      <c r="A26253" s="4" t="s">
        <v>33036</v>
      </c>
      <c r="B26253" s="4" t="s">
        <v>33039</v>
      </c>
      <c r="C26253" s="5" t="str">
        <f>IFERROR(__xludf.DUMMYFUNCTION("GOOGLETRANSLATE(B26253,""en"",""it"")"),"L'uomo quindi muove il suo cutter di siepe e si concentra sulla parte superiore delle siepi.")</f>
        <v>L'uomo quindi muove il suo cutter di siepe e si concentra sulla parte superiore delle siepi.</v>
      </c>
    </row>
    <row r="26254">
      <c r="A26254" s="4" t="s">
        <v>33040</v>
      </c>
      <c r="B26254" s="6" t="s">
        <v>33041</v>
      </c>
      <c r="C26254" s="5" t="str">
        <f>IFERROR(__xludf.DUMMYFUNCTION("GOOGLETRANSLATE(B26254,""en"",""it"")"),"Quattro persone sono viste colpire una palla intorno a una palestra e quarto dal muro con una racchetta da tennis.")</f>
        <v>Quattro persone sono viste colpire una palla intorno a una palestra e quarto dal muro con una racchetta da tennis.</v>
      </c>
    </row>
    <row r="26255">
      <c r="A26255" s="4" t="s">
        <v>33040</v>
      </c>
      <c r="B26255" s="4" t="s">
        <v>33042</v>
      </c>
      <c r="C26255" s="5" t="str">
        <f>IFERROR(__xludf.DUMMYFUNCTION("GOOGLETRANSLATE(B26255,""en"",""it"")"),"Gli uomini continuano a giocare tra loro e finiscono stringendosi la mano.")</f>
        <v>Gli uomini continuano a giocare tra loro e finiscono stringendosi la mano.</v>
      </c>
    </row>
    <row r="26256">
      <c r="A26256" s="4" t="s">
        <v>33043</v>
      </c>
      <c r="B26256" s="4" t="s">
        <v>33044</v>
      </c>
      <c r="C26256" s="5" t="str">
        <f>IFERROR(__xludf.DUMMYFUNCTION("GOOGLETRANSLATE(B26256,""en"",""it"")"),"Un uomo viene visto in piedi davanti alla fotocamera che tiene su un set di cornamusa.")</f>
        <v>Un uomo viene visto in piedi davanti alla fotocamera che tiene su un set di cornamusa.</v>
      </c>
    </row>
    <row r="26257">
      <c r="A26257" s="4" t="s">
        <v>33043</v>
      </c>
      <c r="B26257" s="4" t="s">
        <v>20772</v>
      </c>
      <c r="C26257" s="5" t="str">
        <f>IFERROR(__xludf.DUMMYFUNCTION("GOOGLETRANSLATE(B26257,""en"",""it"")"),"L'uomo inizia quindi a suonare lo strumento davanti alla telecamera.")</f>
        <v>L'uomo inizia quindi a suonare lo strumento davanti alla telecamera.</v>
      </c>
    </row>
    <row r="26258">
      <c r="A26258" s="4" t="s">
        <v>33043</v>
      </c>
      <c r="B26258" s="4" t="s">
        <v>33045</v>
      </c>
      <c r="C26258" s="5" t="str">
        <f>IFERROR(__xludf.DUMMYFUNCTION("GOOGLETRANSLATE(B26258,""en"",""it"")"),"L'uomo continua a suonare mentre fa pause qua e là e mostrando testo alla fine.")</f>
        <v>L'uomo continua a suonare mentre fa pause qua e là e mostrando testo alla fine.</v>
      </c>
    </row>
    <row r="26259">
      <c r="A26259" s="4" t="s">
        <v>33046</v>
      </c>
      <c r="B26259" s="4" t="s">
        <v>33047</v>
      </c>
      <c r="C26259" s="5" t="str">
        <f>IFERROR(__xludf.DUMMYFUNCTION("GOOGLETRANSLATE(B26259,""en"",""it"")"),"Una donna viene vista rastrellare foglie attorno a un prato mentre tre cani si trovano vicino a lei e tengono giocattoli.")</f>
        <v>Una donna viene vista rastrellare foglie attorno a un prato mentre tre cani si trovano vicino a lei e tengono giocattoli.</v>
      </c>
    </row>
    <row r="26260">
      <c r="A26260" s="4" t="s">
        <v>33046</v>
      </c>
      <c r="B26260" s="6" t="s">
        <v>33048</v>
      </c>
      <c r="C26260" s="5" t="str">
        <f>IFERROR(__xludf.DUMMYFUNCTION("GOOGLETRANSLATE(B26260,""en"",""it"")"),"La donna continua a rastrellare mentre il cane vagava intorno a lei con i giocattoli e lei li raccoglie gradualmente e li lancia per i cani.")</f>
        <v>La donna continua a rastrellare mentre il cane vagava intorno a lei con i giocattoli e lei li raccoglie gradualmente e li lancia per i cani.</v>
      </c>
    </row>
    <row r="26261">
      <c r="A26261" s="4" t="s">
        <v>33049</v>
      </c>
      <c r="B26261" s="4" t="s">
        <v>33050</v>
      </c>
      <c r="C26261" s="5" t="str">
        <f>IFERROR(__xludf.DUMMYFUNCTION("GOOGLETRANSLATE(B26261,""en"",""it"")"),"Ci sono diversi uomini che giocano a palline di foos in una stanza interna che ha pannelli di legno.")</f>
        <v>Ci sono diversi uomini che giocano a palline di foos in una stanza interna che ha pannelli di legno.</v>
      </c>
    </row>
    <row r="26262">
      <c r="A26262" s="4" t="s">
        <v>33049</v>
      </c>
      <c r="B26262" s="4" t="s">
        <v>33051</v>
      </c>
      <c r="C26262" s="5" t="str">
        <f>IFERROR(__xludf.DUMMYFUNCTION("GOOGLETRANSLATE(B26262,""en"",""it"")"),"Sono tutti assorbiti nel gioco mentre colpiscono la palla avanti e indietro.")</f>
        <v>Sono tutti assorbiti nel gioco mentre colpiscono la palla avanti e indietro.</v>
      </c>
    </row>
    <row r="26263">
      <c r="A26263" s="4" t="s">
        <v>33052</v>
      </c>
      <c r="B26263" s="6" t="s">
        <v>33053</v>
      </c>
      <c r="C26263" s="5" t="str">
        <f>IFERROR(__xludf.DUMMYFUNCTION("GOOGLETRANSLATE(B26263,""en"",""it"")"),"Una donna si piega in avanti che estende il braccio sinistro sinistro sulla parte anteriore e alza la gamba mentre ha la mano destra sopra la sua spalla.")</f>
        <v>Una donna si piega in avanti che estende il braccio sinistro sinistro sulla parte anteriore e alza la gamba mentre ha la mano destra sopra la sua spalla.</v>
      </c>
    </row>
    <row r="26264">
      <c r="A26264" s="4" t="s">
        <v>33052</v>
      </c>
      <c r="B26264" s="4" t="s">
        <v>33054</v>
      </c>
      <c r="C26264" s="5" t="str">
        <f>IFERROR(__xludf.DUMMYFUNCTION("GOOGLETRANSLATE(B26264,""en"",""it"")"),"Quindi, la donna si gira a sinistra e lancia una palla e gira il suo corpo.")</f>
        <v>Quindi, la donna si gira a sinistra e lancia una palla e gira il suo corpo.</v>
      </c>
    </row>
    <row r="26265">
      <c r="A26265" s="4" t="s">
        <v>33055</v>
      </c>
      <c r="B26265" s="4" t="s">
        <v>33056</v>
      </c>
      <c r="C26265" s="5" t="str">
        <f>IFERROR(__xludf.DUMMYFUNCTION("GOOGLETRANSLATE(B26265,""en"",""it"")"),"Una donna conduce una classe di ragazzi e ragazze in esercizio.")</f>
        <v>Una donna conduce una classe di ragazzi e ragazze in esercizio.</v>
      </c>
    </row>
    <row r="26266">
      <c r="A26266" s="4" t="s">
        <v>33055</v>
      </c>
      <c r="B26266" s="4" t="s">
        <v>33057</v>
      </c>
      <c r="C26266" s="5" t="str">
        <f>IFERROR(__xludf.DUMMYFUNCTION("GOOGLETRANSLATE(B26266,""en"",""it"")"),"Usano le stepper per saltare su e giù e da un lato all'altro.")</f>
        <v>Usano le stepper per saltare su e giù e da un lato all'altro.</v>
      </c>
    </row>
    <row r="26267">
      <c r="A26267" s="4" t="s">
        <v>33055</v>
      </c>
      <c r="B26267" s="4" t="s">
        <v>33058</v>
      </c>
      <c r="C26267" s="5" t="str">
        <f>IFERROR(__xludf.DUMMYFUNCTION("GOOGLETRANSLATE(B26267,""en"",""it"")"),"Quindi corrono sul posto, saltando dentro e fuori dalle stepper.")</f>
        <v>Quindi corrono sul posto, saltando dentro e fuori dalle stepper.</v>
      </c>
    </row>
    <row r="26268">
      <c r="A26268" s="4" t="s">
        <v>33055</v>
      </c>
      <c r="B26268" s="4" t="s">
        <v>33059</v>
      </c>
      <c r="C26268" s="5" t="str">
        <f>IFERROR(__xludf.DUMMYFUNCTION("GOOGLETRANSLATE(B26268,""en"",""it"")"),"Rallentano, raffreddandosi prima di applaudire.")</f>
        <v>Rallentano, raffreddandosi prima di applaudire.</v>
      </c>
    </row>
    <row r="26269">
      <c r="A26269" s="4" t="s">
        <v>33060</v>
      </c>
      <c r="B26269" s="4" t="s">
        <v>33061</v>
      </c>
      <c r="C26269" s="5" t="str">
        <f>IFERROR(__xludf.DUMMYFUNCTION("GOOGLETRANSLATE(B26269,""en"",""it"")"),"La donna è in Sea Subbadiving e un uomo è dietro di lei.")</f>
        <v>La donna è in Sea Subbadiving e un uomo è dietro di lei.</v>
      </c>
    </row>
    <row r="26270">
      <c r="A26270" s="4" t="s">
        <v>33060</v>
      </c>
      <c r="B26270" s="4" t="s">
        <v>33062</v>
      </c>
      <c r="C26270" s="5" t="str">
        <f>IFERROR(__xludf.DUMMYFUNCTION("GOOGLETRANSLATE(B26270,""en"",""it"")"),"Stanno guardando i pesci e i tronchi.")</f>
        <v>Stanno guardando i pesci e i tronchi.</v>
      </c>
    </row>
    <row r="26271">
      <c r="A26271" s="4" t="s">
        <v>33060</v>
      </c>
      <c r="B26271" s="4" t="s">
        <v>33063</v>
      </c>
      <c r="C26271" s="5" t="str">
        <f>IFERROR(__xludf.DUMMYFUNCTION("GOOGLETRANSLATE(B26271,""en"",""it"")"),"Gli uomini si immergono sotto il mare.")</f>
        <v>Gli uomini si immergono sotto il mare.</v>
      </c>
    </row>
    <row r="26272">
      <c r="A26272" s="4" t="s">
        <v>33064</v>
      </c>
      <c r="B26272" s="4" t="s">
        <v>33065</v>
      </c>
      <c r="C26272" s="5" t="str">
        <f>IFERROR(__xludf.DUMMYFUNCTION("GOOGLETRANSLATE(B26272,""en"",""it"")"),"Un gruppo di ragazzi è in fila, suonando la batteria.")</f>
        <v>Un gruppo di ragazzi è in fila, suonando la batteria.</v>
      </c>
    </row>
    <row r="26273">
      <c r="A26273" s="4" t="s">
        <v>33064</v>
      </c>
      <c r="B26273" s="4" t="s">
        <v>33066</v>
      </c>
      <c r="C26273" s="5" t="str">
        <f>IFERROR(__xludf.DUMMYFUNCTION("GOOGLETRANSLATE(B26273,""en"",""it"")"),"Un paio di squadre sono all'interno della piscina.")</f>
        <v>Un paio di squadre sono all'interno della piscina.</v>
      </c>
    </row>
    <row r="26274">
      <c r="A26274" s="4" t="s">
        <v>33064</v>
      </c>
      <c r="B26274" s="4" t="s">
        <v>27454</v>
      </c>
      <c r="C26274" s="5" t="str">
        <f>IFERROR(__xludf.DUMMYFUNCTION("GOOGLETRANSLATE(B26274,""en"",""it"")"),"Stanno giocando una partita ad acqua.")</f>
        <v>Stanno giocando una partita ad acqua.</v>
      </c>
    </row>
    <row r="26275">
      <c r="A26275" s="4" t="s">
        <v>33067</v>
      </c>
      <c r="B26275" s="4" t="s">
        <v>33068</v>
      </c>
      <c r="C26275" s="5" t="str">
        <f>IFERROR(__xludf.DUMMYFUNCTION("GOOGLETRANSLATE(B26275,""en"",""it"")"),"Viene vista una donna parlare con qualcuno fuori dalla telecamera e conduce a suonare la batteria.")</f>
        <v>Viene vista una donna parlare con qualcuno fuori dalla telecamera e conduce a suonare la batteria.</v>
      </c>
    </row>
    <row r="26276">
      <c r="A26276" s="4" t="s">
        <v>33067</v>
      </c>
      <c r="B26276" s="4" t="s">
        <v>33069</v>
      </c>
      <c r="C26276" s="5" t="str">
        <f>IFERROR(__xludf.DUMMYFUNCTION("GOOGLETRANSLATE(B26276,""en"",""it"")"),"Un altro uomo entra nella cornice e inizia a suonare la batteria con una donna.")</f>
        <v>Un altro uomo entra nella cornice e inizia a suonare la batteria con una donna.</v>
      </c>
    </row>
    <row r="26277">
      <c r="A26277" s="4" t="s">
        <v>33067</v>
      </c>
      <c r="B26277" s="6" t="s">
        <v>33070</v>
      </c>
      <c r="C26277" s="5" t="str">
        <f>IFERROR(__xludf.DUMMYFUNCTION("GOOGLETRANSLATE(B26277,""en"",""it"")"),"Un bambino piccolo appare un po 'che afferra la donna mentre lei e l'uomo suonano ancora la batteria.")</f>
        <v>Un bambino piccolo appare un po 'che afferra la donna mentre lei e l'uomo suonano ancora la batteria.</v>
      </c>
    </row>
    <row r="26278">
      <c r="A26278" s="4" t="s">
        <v>33071</v>
      </c>
      <c r="B26278" s="6" t="s">
        <v>33072</v>
      </c>
      <c r="C26278" s="5" t="str">
        <f>IFERROR(__xludf.DUMMYFUNCTION("GOOGLETRANSLATE(B26278,""en"",""it"")"),"Un folto gruppo di persone si vede giocare a Dodgeball l'uno contro l'altro e gettare la palla indietro e quarto.")</f>
        <v>Un folto gruppo di persone si vede giocare a Dodgeball l'uno contro l'altro e gettare la palla indietro e quarto.</v>
      </c>
    </row>
    <row r="26279">
      <c r="A26279" s="4" t="s">
        <v>33071</v>
      </c>
      <c r="B26279" s="6" t="s">
        <v>33073</v>
      </c>
      <c r="C26279" s="5" t="str">
        <f>IFERROR(__xludf.DUMMYFUNCTION("GOOGLETRANSLATE(B26279,""en"",""it"")"),"Molte persone guardano il gioco in disparte mentre le persone continuano a giocare mentre si trovano e entrano e vanno fuori dal telaio.")</f>
        <v>Molte persone guardano il gioco in disparte mentre le persone continuano a giocare mentre si trovano e entrano e vanno fuori dal telaio.</v>
      </c>
    </row>
    <row r="26280">
      <c r="A26280" s="4" t="s">
        <v>33074</v>
      </c>
      <c r="B26280" s="4" t="s">
        <v>33075</v>
      </c>
      <c r="C26280" s="5" t="str">
        <f>IFERROR(__xludf.DUMMYFUNCTION("GOOGLETRANSLATE(B26280,""en"",""it"")"),"Una donna asiatica è in piedi mentre tiene una carta che ha lettere d'oro sul retro.")</f>
        <v>Una donna asiatica è in piedi mentre tiene una carta che ha lettere d'oro sul retro.</v>
      </c>
    </row>
    <row r="26281">
      <c r="A26281" s="4" t="s">
        <v>33074</v>
      </c>
      <c r="B26281" s="6" t="s">
        <v>33076</v>
      </c>
      <c r="C26281" s="5" t="str">
        <f>IFERROR(__xludf.DUMMYFUNCTION("GOOGLETRANSLATE(B26281,""en"",""it"")"),"Una clip inizia a giocare e mostra vari uomini in un grande campo che giocano a croquet mentre gli spettatori si guardano.")</f>
        <v>Una clip inizia a giocare e mostra vari uomini in un grande campo che giocano a croquet mentre gli spettatori si guardano.</v>
      </c>
    </row>
    <row r="26282">
      <c r="A26282" s="4" t="s">
        <v>33074</v>
      </c>
      <c r="B26282" s="4" t="s">
        <v>33077</v>
      </c>
      <c r="C26282" s="5" t="str">
        <f>IFERROR(__xludf.DUMMYFUNCTION("GOOGLETRANSLATE(B26282,""en"",""it"")"),"A un giovane viene quindi presentato una grande tazza d'argento che gli viene consegnata da un uomo più anziano.")</f>
        <v>A un giovane viene quindi presentato una grande tazza d'argento che gli viene consegnata da un uomo più anziano.</v>
      </c>
    </row>
    <row r="26283">
      <c r="A26283" s="4" t="s">
        <v>33078</v>
      </c>
      <c r="B26283" s="4" t="s">
        <v>33079</v>
      </c>
      <c r="C26283" s="5" t="str">
        <f>IFERROR(__xludf.DUMMYFUNCTION("GOOGLETRANSLATE(B26283,""en"",""it"")"),"Una donna giace sulla schiena facendo addominali.")</f>
        <v>Una donna giace sulla schiena facendo addominali.</v>
      </c>
    </row>
    <row r="26284">
      <c r="A26284" s="4" t="s">
        <v>33078</v>
      </c>
      <c r="B26284" s="4" t="s">
        <v>33080</v>
      </c>
      <c r="C26284" s="5" t="str">
        <f>IFERROR(__xludf.DUMMYFUNCTION("GOOGLETRANSLATE(B26284,""en"",""it"")"),"La donna si alza il ginocchio sul petto e tira la testa con le mani.")</f>
        <v>La donna si alza il ginocchio sul petto e tira la testa con le mani.</v>
      </c>
    </row>
    <row r="26285">
      <c r="A26285" s="4" t="s">
        <v>33078</v>
      </c>
      <c r="B26285" s="4" t="s">
        <v>33081</v>
      </c>
      <c r="C26285" s="5" t="str">
        <f>IFERROR(__xludf.DUMMYFUNCTION("GOOGLETRANSLATE(B26285,""en"",""it"")"),"Quindi, la donna si ferma e un approccio a lei.")</f>
        <v>Quindi, la donna si ferma e un approccio a lei.</v>
      </c>
    </row>
    <row r="26286">
      <c r="A26286" s="4" t="s">
        <v>33082</v>
      </c>
      <c r="B26286" s="4" t="s">
        <v>33083</v>
      </c>
      <c r="C26286" s="5" t="str">
        <f>IFERROR(__xludf.DUMMYFUNCTION("GOOGLETRANSLATE(B26286,""en"",""it"")"),"Una giovane squadra di ragazzi è in palestra in una partita di karate.")</f>
        <v>Una giovane squadra di ragazzi è in palestra in una partita di karate.</v>
      </c>
    </row>
    <row r="26287">
      <c r="A26287" s="4" t="s">
        <v>33082</v>
      </c>
      <c r="B26287" s="6" t="s">
        <v>33084</v>
      </c>
      <c r="C26287" s="5" t="str">
        <f>IFERROR(__xludf.DUMMYFUNCTION("GOOGLETRANSLATE(B26287,""en"",""it"")"),"Una donna allontana suo figlio sul tappeto e inizia a riparare il tappetino e prepararlo ad affrontare il suo avversario.")</f>
        <v>Una donna allontana suo figlio sul tappeto e inizia a riparare il tappetino e prepararlo ad affrontare il suo avversario.</v>
      </c>
    </row>
    <row r="26288">
      <c r="A26288" s="4" t="s">
        <v>33082</v>
      </c>
      <c r="B26288" s="4" t="s">
        <v>33085</v>
      </c>
      <c r="C26288" s="5" t="str">
        <f>IFERROR(__xludf.DUMMYFUNCTION("GOOGLETRANSLATE(B26288,""en"",""it"")"),"Le due persone si avvicinano al tappeto e l'arbitro dà loro il segnale per iniziare.")</f>
        <v>Le due persone si avvicinano al tappeto e l'arbitro dà loro il segnale per iniziare.</v>
      </c>
    </row>
    <row r="26289">
      <c r="A26289" s="4" t="s">
        <v>33082</v>
      </c>
      <c r="B26289" s="4" t="s">
        <v>33086</v>
      </c>
      <c r="C26289" s="5" t="str">
        <f>IFERROR(__xludf.DUMMYFUNCTION("GOOGLETRANSLATE(B26289,""en"",""it"")"),"Mentre il ragazzo viene avvicinato, prende a calci il suo avversario in testa.")</f>
        <v>Mentre il ragazzo viene avvicinato, prende a calci il suo avversario in testa.</v>
      </c>
    </row>
    <row r="26290">
      <c r="A26290" s="4" t="s">
        <v>33082</v>
      </c>
      <c r="B26290" s="6" t="s">
        <v>33087</v>
      </c>
      <c r="C26290" s="5" t="str">
        <f>IFERROR(__xludf.DUMMYFUNCTION("GOOGLETRANSLATE(B26290,""en"",""it"")"),"Il ragazzo che viene preso a calci cade a terra e sua madre si precipita fuori per assicurarsi che stia bene mentre l'altro ragazzo prende un ginocchio.")</f>
        <v>Il ragazzo che viene preso a calci cade a terra e sua madre si precipita fuori per assicurarsi che stia bene mentre l'altro ragazzo prende un ginocchio.</v>
      </c>
    </row>
    <row r="26291">
      <c r="A26291" s="4" t="s">
        <v>33082</v>
      </c>
      <c r="B26291" s="6" t="s">
        <v>33088</v>
      </c>
      <c r="C26291" s="5" t="str">
        <f>IFERROR(__xludf.DUMMYFUNCTION("GOOGLETRANSLATE(B26291,""en"",""it"")"),"Una volta che il ragazzo va bene, l'arbitro inizia a fare diversi gesti delle mani e concludono la partita, il ragazzo va da sua madre e si fa strada a chi ha mai tenuto la telecamera.")</f>
        <v>Una volta che il ragazzo va bene, l'arbitro inizia a fare diversi gesti delle mani e concludono la partita, il ragazzo va da sua madre e si fa strada a chi ha mai tenuto la telecamera.</v>
      </c>
    </row>
    <row r="26292">
      <c r="A26292" s="4" t="s">
        <v>33089</v>
      </c>
      <c r="B26292" s="6" t="s">
        <v>33090</v>
      </c>
      <c r="C26292" s="5" t="str">
        <f>IFERROR(__xludf.DUMMYFUNCTION("GOOGLETRANSLATE(B26292,""en"",""it"")"),"Un uomo bendato è visto seduto a un tavolo con un timer che si trova accanto a lui che cerca di risolvere un cubo Rubix.")</f>
        <v>Un uomo bendato è visto seduto a un tavolo con un timer che si trova accanto a lui che cerca di risolvere un cubo Rubix.</v>
      </c>
    </row>
    <row r="26293">
      <c r="A26293" s="4" t="s">
        <v>33089</v>
      </c>
      <c r="B26293" s="4" t="s">
        <v>33091</v>
      </c>
      <c r="C26293" s="5" t="str">
        <f>IFERROR(__xludf.DUMMYFUNCTION("GOOGLETRANSLATE(B26293,""en"",""it"")"),"L'uomo finisce il cubo e il timer si ferma mentre una persona in piedi accanto a lui registra il suo tempo.")</f>
        <v>L'uomo finisce il cubo e il timer si ferma mentre una persona in piedi accanto a lui registra il suo tempo.</v>
      </c>
    </row>
    <row r="26294">
      <c r="A26294" s="4" t="s">
        <v>33089</v>
      </c>
      <c r="B26294" s="6" t="s">
        <v>33092</v>
      </c>
      <c r="C26294" s="5" t="str">
        <f>IFERROR(__xludf.DUMMYFUNCTION("GOOGLETRANSLATE(B26294,""en"",""it"")"),"Un altro uomo viene visto camminare sullo sfondo mentre la telecamera si muove a più persone che risolvono i cubi.")</f>
        <v>Un altro uomo viene visto camminare sullo sfondo mentre la telecamera si muove a più persone che risolvono i cubi.</v>
      </c>
    </row>
    <row r="26295">
      <c r="A26295" s="4" t="s">
        <v>33093</v>
      </c>
      <c r="B26295" s="4" t="s">
        <v>33094</v>
      </c>
      <c r="C26295" s="5" t="str">
        <f>IFERROR(__xludf.DUMMYFUNCTION("GOOGLETRANSLATE(B26295,""en"",""it"")"),"Una ragazza viene mostrata sul pavimento della ginnastica che si prepara a fare una routine di testimone.")</f>
        <v>Una ragazza viene mostrata sul pavimento della ginnastica che si prepara a fare una routine di testimone.</v>
      </c>
    </row>
    <row r="26296">
      <c r="A26296" s="4" t="s">
        <v>33093</v>
      </c>
      <c r="B26296" s="4" t="s">
        <v>33095</v>
      </c>
      <c r="C26296" s="5" t="str">
        <f>IFERROR(__xludf.DUMMYFUNCTION("GOOGLETRANSLATE(B26296,""en"",""it"")"),"La routine inizia mentre inizia a ballare sul pavimento e faceva roteare i suoi manganelli.")</f>
        <v>La routine inizia mentre inizia a ballare sul pavimento e faceva roteare i suoi manganelli.</v>
      </c>
    </row>
    <row r="26297">
      <c r="A26297" s="4" t="s">
        <v>33093</v>
      </c>
      <c r="B26297" s="4" t="s">
        <v>33096</v>
      </c>
      <c r="C26297" s="5" t="str">
        <f>IFERROR(__xludf.DUMMYFUNCTION("GOOGLETRANSLATE(B26297,""en"",""it"")"),"La routine termina e scappa dal palco mentre la folla esulta.")</f>
        <v>La routine termina e scappa dal palco mentre la folla esulta.</v>
      </c>
    </row>
    <row r="26298">
      <c r="A26298" s="4" t="s">
        <v>33097</v>
      </c>
      <c r="B26298" s="4" t="s">
        <v>33098</v>
      </c>
      <c r="C26298" s="5" t="str">
        <f>IFERROR(__xludf.DUMMYFUNCTION("GOOGLETRANSLATE(B26298,""en"",""it"")"),"Una persona si vede muoversi lungo l'acqua mentre viene anche mostrata al rallentatore.")</f>
        <v>Una persona si vede muoversi lungo l'acqua mentre viene anche mostrata al rallentatore.</v>
      </c>
    </row>
    <row r="26299">
      <c r="A26299" s="4" t="s">
        <v>33097</v>
      </c>
      <c r="B26299" s="4" t="s">
        <v>33099</v>
      </c>
      <c r="C26299" s="5" t="str">
        <f>IFERROR(__xludf.DUMMYFUNCTION("GOOGLETRANSLATE(B26299,""en"",""it"")"),"La persona si spinge sotto l'acqua e continua a muoversi sotto.")</f>
        <v>La persona si spinge sotto l'acqua e continua a muoversi sotto.</v>
      </c>
    </row>
    <row r="26300">
      <c r="A26300" s="4" t="s">
        <v>33097</v>
      </c>
      <c r="B26300" s="4" t="s">
        <v>33100</v>
      </c>
      <c r="C26300" s="5" t="str">
        <f>IFERROR(__xludf.DUMMYFUNCTION("GOOGLETRANSLATE(B26300,""en"",""it"")"),"La fotocamera cattura l'uomo da diversi angoli.")</f>
        <v>La fotocamera cattura l'uomo da diversi angoli.</v>
      </c>
    </row>
    <row r="26301">
      <c r="A26301" s="4" t="s">
        <v>33101</v>
      </c>
      <c r="B26301" s="4" t="s">
        <v>33102</v>
      </c>
      <c r="C26301" s="5" t="str">
        <f>IFERROR(__xludf.DUMMYFUNCTION("GOOGLETRANSLATE(B26301,""en"",""it"")"),"Ci sono scatti lontani di aree intorno a Los Angeles, Hollywood e aree circostanti.")</f>
        <v>Ci sono scatti lontani di aree intorno a Los Angeles, Hollywood e aree circostanti.</v>
      </c>
    </row>
    <row r="26302">
      <c r="A26302" s="4" t="s">
        <v>33101</v>
      </c>
      <c r="B26302" s="4" t="s">
        <v>33103</v>
      </c>
      <c r="C26302" s="5" t="str">
        <f>IFERROR(__xludf.DUMMYFUNCTION("GOOGLETRANSLATE(B26302,""en"",""it"")"),"Un uomo parla quindi dietro un tavolo pieno di ingredienti e utensili da cucina.")</f>
        <v>Un uomo parla quindi dietro un tavolo pieno di ingredienti e utensili da cucina.</v>
      </c>
    </row>
    <row r="26303">
      <c r="A26303" s="4" t="s">
        <v>33101</v>
      </c>
      <c r="B26303" s="4" t="s">
        <v>33104</v>
      </c>
      <c r="C26303" s="5" t="str">
        <f>IFERROR(__xludf.DUMMYFUNCTION("GOOGLETRANSLATE(B26303,""en"",""it"")"),"L'uomo quindi mostra alcune delle sue verdure e ingredienti e li odora.")</f>
        <v>L'uomo quindi mostra alcune delle sue verdure e ingredienti e li odora.</v>
      </c>
    </row>
    <row r="26304">
      <c r="A26304" s="4" t="s">
        <v>33101</v>
      </c>
      <c r="B26304" s="4" t="s">
        <v>33105</v>
      </c>
      <c r="C26304" s="5" t="str">
        <f>IFERROR(__xludf.DUMMYFUNCTION("GOOGLETRANSLATE(B26304,""en"",""it"")"),"Comincia a cucinare stringendo un limone in una ciotola di verdure imbevute.")</f>
        <v>Comincia a cucinare stringendo un limone in una ciotola di verdure imbevute.</v>
      </c>
    </row>
    <row r="26305">
      <c r="A26305" s="4" t="s">
        <v>33101</v>
      </c>
      <c r="B26305" s="6" t="s">
        <v>33106</v>
      </c>
      <c r="C26305" s="5" t="str">
        <f>IFERROR(__xludf.DUMMYFUNCTION("GOOGLETRANSLATE(B26305,""en"",""it"")"),"Quindi, mette cipolle, succo di limone, pepe, olio, che odora e alcune altre verdure su un piatto.")</f>
        <v>Quindi, mette cipolle, succo di limone, pepe, olio, che odora e alcune altre verdure su un piatto.</v>
      </c>
    </row>
    <row r="26306">
      <c r="A26306" s="4" t="s">
        <v>33101</v>
      </c>
      <c r="B26306" s="4" t="s">
        <v>33107</v>
      </c>
      <c r="C26306" s="5" t="str">
        <f>IFERROR(__xludf.DUMMYFUNCTION("GOOGLETRANSLATE(B26306,""en"",""it"")"),"Quindi distrugge il formaggio in un posto con un trituratore.")</f>
        <v>Quindi distrugge il formaggio in un posto con un trituratore.</v>
      </c>
    </row>
    <row r="26307">
      <c r="A26307" s="4" t="s">
        <v>33101</v>
      </c>
      <c r="B26307" s="4" t="s">
        <v>33108</v>
      </c>
      <c r="C26307" s="5" t="str">
        <f>IFERROR(__xludf.DUMMYFUNCTION("GOOGLETRANSLATE(B26307,""en"",""it"")"),"Mette il formaggio grattugiato sul piatto originale.")</f>
        <v>Mette il formaggio grattugiato sul piatto originale.</v>
      </c>
    </row>
    <row r="26308">
      <c r="A26308" s="4" t="s">
        <v>33101</v>
      </c>
      <c r="B26308" s="4" t="s">
        <v>33109</v>
      </c>
      <c r="C26308" s="5" t="str">
        <f>IFERROR(__xludf.DUMMYFUNCTION("GOOGLETRANSLATE(B26308,""en"",""it"")"),"Dopo, raccoglie alcune erbe e le pone su un piatto.")</f>
        <v>Dopo, raccoglie alcune erbe e le pone su un piatto.</v>
      </c>
    </row>
    <row r="26309">
      <c r="A26309" s="4" t="s">
        <v>33101</v>
      </c>
      <c r="B26309" s="4" t="s">
        <v>33110</v>
      </c>
      <c r="C26309" s="5" t="str">
        <f>IFERROR(__xludf.DUMMYFUNCTION("GOOGLETRANSLATE(B26309,""en"",""it"")"),"Quindi aggiunge sale e più pepe al piatto originale.")</f>
        <v>Quindi aggiunge sale e più pepe al piatto originale.</v>
      </c>
    </row>
    <row r="26310">
      <c r="A26310" s="4" t="s">
        <v>33101</v>
      </c>
      <c r="B26310" s="4" t="s">
        <v>33111</v>
      </c>
      <c r="C26310" s="5" t="str">
        <f>IFERROR(__xludf.DUMMYFUNCTION("GOOGLETRANSLATE(B26310,""en"",""it"")"),"Quindi parla di una bottiglia di olio e ne aggiunge un po 'al piatto originale.")</f>
        <v>Quindi parla di una bottiglia di olio e ne aggiunge un po 'al piatto originale.</v>
      </c>
    </row>
    <row r="26311">
      <c r="A26311" s="4" t="s">
        <v>33101</v>
      </c>
      <c r="B26311" s="4" t="s">
        <v>33112</v>
      </c>
      <c r="C26311" s="5" t="str">
        <f>IFERROR(__xludf.DUMMYFUNCTION("GOOGLETRANSLATE(B26311,""en"",""it"")"),"Aggiunge anche un diverso tipo di olio al piatto.")</f>
        <v>Aggiunge anche un diverso tipo di olio al piatto.</v>
      </c>
    </row>
    <row r="26312">
      <c r="A26312" s="4" t="s">
        <v>33101</v>
      </c>
      <c r="B26312" s="4" t="s">
        <v>33113</v>
      </c>
      <c r="C26312" s="5" t="str">
        <f>IFERROR(__xludf.DUMMYFUNCTION("GOOGLETRANSLATE(B26312,""en"",""it"")"),"Ci sono quindi diverse clip e angoli del piatto alimentare finito.")</f>
        <v>Ci sono quindi diverse clip e angoli del piatto alimentare finito.</v>
      </c>
    </row>
    <row r="26313">
      <c r="A26313" s="4" t="s">
        <v>33114</v>
      </c>
      <c r="B26313" s="4" t="s">
        <v>33115</v>
      </c>
      <c r="C26313" s="5" t="str">
        <f>IFERROR(__xludf.DUMMYFUNCTION("GOOGLETRANSLATE(B26313,""en"",""it"")"),"Un uomo completa un ampio set di flessioni e quindi introduce i concetti di Dodgeball.")</f>
        <v>Un uomo completa un ampio set di flessioni e quindi introduce i concetti di Dodgeball.</v>
      </c>
    </row>
    <row r="26314">
      <c r="A26314" s="4" t="s">
        <v>33114</v>
      </c>
      <c r="B26314" s="4" t="s">
        <v>33116</v>
      </c>
      <c r="C26314" s="5" t="str">
        <f>IFERROR(__xludf.DUMMYFUNCTION("GOOGLETRANSLATE(B26314,""en"",""it"")"),"Viene mostrato un grafico in tribunale.")</f>
        <v>Viene mostrato un grafico in tribunale.</v>
      </c>
    </row>
    <row r="26315">
      <c r="A26315" s="4" t="s">
        <v>33114</v>
      </c>
      <c r="B26315" s="4" t="s">
        <v>33117</v>
      </c>
      <c r="C26315" s="5" t="str">
        <f>IFERROR(__xludf.DUMMYFUNCTION("GOOGLETRANSLATE(B26315,""en"",""it"")"),"Le due squadre si schierano per giocare l'una contro l'altra.")</f>
        <v>Le due squadre si schierano per giocare l'una contro l'altra.</v>
      </c>
    </row>
    <row r="26316">
      <c r="A26316" s="4" t="s">
        <v>33114</v>
      </c>
      <c r="B26316" s="4" t="s">
        <v>33118</v>
      </c>
      <c r="C26316" s="5" t="str">
        <f>IFERROR(__xludf.DUMMYFUNCTION("GOOGLETRANSLATE(B26316,""en"",""it"")"),"Vengono introdotti i concetti di eliminare le persone e bloccare la palla.")</f>
        <v>Vengono introdotti i concetti di eliminare le persone e bloccare la palla.</v>
      </c>
    </row>
    <row r="26317">
      <c r="A26317" s="4" t="s">
        <v>33114</v>
      </c>
      <c r="B26317" s="4" t="s">
        <v>33119</v>
      </c>
      <c r="C26317" s="5" t="str">
        <f>IFERROR(__xludf.DUMMYFUNCTION("GOOGLETRANSLATE(B26317,""en"",""it"")"),"Le squadre si congratulano l'uno con l'altro, mostrando sportività.")</f>
        <v>Le squadre si congratulano l'uno con l'altro, mostrando sportività.</v>
      </c>
    </row>
    <row r="26318">
      <c r="A26318" s="4" t="s">
        <v>33114</v>
      </c>
      <c r="B26318" s="4" t="s">
        <v>33120</v>
      </c>
      <c r="C26318" s="5" t="str">
        <f>IFERROR(__xludf.DUMMYFUNCTION("GOOGLETRANSLATE(B26318,""en"",""it"")"),"Altre regole sono mostrate sullo schermo, evidenziando la sicurezza dei giocatori.")</f>
        <v>Altre regole sono mostrate sullo schermo, evidenziando la sicurezza dei giocatori.</v>
      </c>
    </row>
    <row r="26319">
      <c r="A26319" s="4" t="s">
        <v>33121</v>
      </c>
      <c r="B26319" s="6" t="s">
        <v>33122</v>
      </c>
      <c r="C26319" s="5" t="str">
        <f>IFERROR(__xludf.DUMMYFUNCTION("GOOGLETRANSLATE(B26319,""en"",""it"")"),"Una persona è vista in diversi colpi che eseguono trucchi lungo l'acqua mentre altri cavalcano intorno a lui.")</f>
        <v>Una persona è vista in diversi colpi che eseguono trucchi lungo l'acqua mentre altri cavalcano intorno a lui.</v>
      </c>
    </row>
    <row r="26320">
      <c r="A26320" s="4" t="s">
        <v>33121</v>
      </c>
      <c r="B26320" s="4" t="s">
        <v>33123</v>
      </c>
      <c r="C26320" s="5" t="str">
        <f>IFERROR(__xludf.DUMMYFUNCTION("GOOGLETRANSLATE(B26320,""en"",""it"")"),"L'uomo continua a eseguire trucchi lungo l'acqua e termina con il video che sbiadisce al nero.")</f>
        <v>L'uomo continua a eseguire trucchi lungo l'acqua e termina con il video che sbiadisce al nero.</v>
      </c>
    </row>
    <row r="26321">
      <c r="A26321" s="4" t="s">
        <v>33124</v>
      </c>
      <c r="B26321" s="4" t="s">
        <v>33125</v>
      </c>
      <c r="C26321" s="5" t="str">
        <f>IFERROR(__xludf.DUMMYFUNCTION("GOOGLETRANSLATE(B26321,""en"",""it"")"),"Una figure verdi cammina per strada.")</f>
        <v>Una figure verdi cammina per strada.</v>
      </c>
    </row>
    <row r="26322">
      <c r="A26322" s="4" t="s">
        <v>33124</v>
      </c>
      <c r="B26322" s="4" t="s">
        <v>33126</v>
      </c>
      <c r="C26322" s="5" t="str">
        <f>IFERROR(__xludf.DUMMYFUNCTION("GOOGLETRANSLATE(B26322,""en"",""it"")"),"Un flusso infinito di altre figure verdi appare.")</f>
        <v>Un flusso infinito di altre figure verdi appare.</v>
      </c>
    </row>
    <row r="26323">
      <c r="A26323" s="4" t="s">
        <v>33124</v>
      </c>
      <c r="B26323" s="4" t="s">
        <v>33127</v>
      </c>
      <c r="C26323" s="5" t="str">
        <f>IFERROR(__xludf.DUMMYFUNCTION("GOOGLETRANSLATE(B26323,""en"",""it"")"),"Ognuna delle figure sta camminando a un cane.")</f>
        <v>Ognuna delle figure sta camminando a un cane.</v>
      </c>
    </row>
    <row r="26324">
      <c r="A26324" s="4" t="s">
        <v>33124</v>
      </c>
      <c r="B26324" s="4" t="s">
        <v>33128</v>
      </c>
      <c r="C26324" s="5" t="str">
        <f>IFERROR(__xludf.DUMMYFUNCTION("GOOGLETRANSLATE(B26324,""en"",""it"")"),"La clip sembra essere un ciclo.")</f>
        <v>La clip sembra essere un ciclo.</v>
      </c>
    </row>
    <row r="26325">
      <c r="A26325" s="4" t="s">
        <v>33129</v>
      </c>
      <c r="B26325" s="4" t="s">
        <v>33130</v>
      </c>
      <c r="C26325" s="5" t="str">
        <f>IFERROR(__xludf.DUMMYFUNCTION("GOOGLETRANSLATE(B26325,""en"",""it"")"),"Le persone sono sedute in kayak su un fiume.")</f>
        <v>Le persone sono sedute in kayak su un fiume.</v>
      </c>
    </row>
    <row r="26326">
      <c r="A26326" s="4" t="s">
        <v>33129</v>
      </c>
      <c r="B26326" s="4" t="s">
        <v>33131</v>
      </c>
      <c r="C26326" s="5" t="str">
        <f>IFERROR(__xludf.DUMMYFUNCTION("GOOGLETRANSLATE(B26326,""en"",""it"")"),"Stanno remando i loro remi.")</f>
        <v>Stanno remando i loro remi.</v>
      </c>
    </row>
    <row r="26327">
      <c r="A26327" s="4" t="s">
        <v>33129</v>
      </c>
      <c r="B26327" s="4" t="s">
        <v>33132</v>
      </c>
      <c r="C26327" s="5" t="str">
        <f>IFERROR(__xludf.DUMMYFUNCTION("GOOGLETRANSLATE(B26327,""en"",""it"")"),"Le persone sono in piedi sulla spiaggia con medaglie intorno al collo.")</f>
        <v>Le persone sono in piedi sulla spiaggia con medaglie intorno al collo.</v>
      </c>
    </row>
    <row r="26328">
      <c r="A26328" s="4" t="s">
        <v>33133</v>
      </c>
      <c r="B26328" s="4" t="s">
        <v>33134</v>
      </c>
      <c r="C26328" s="5" t="str">
        <f>IFERROR(__xludf.DUMMYFUNCTION("GOOGLETRANSLATE(B26328,""en"",""it"")"),"Vediamo un uomo che corre su una pista.")</f>
        <v>Vediamo un uomo che corre su una pista.</v>
      </c>
    </row>
    <row r="26329">
      <c r="A26329" s="4" t="s">
        <v>33133</v>
      </c>
      <c r="B26329" s="4" t="s">
        <v>33135</v>
      </c>
      <c r="C26329" s="5" t="str">
        <f>IFERROR(__xludf.DUMMYFUNCTION("GOOGLETRANSLATE(B26329,""en"",""it"")"),"L'uomo usa un lungo bastone per eseguire un salto in lungo.")</f>
        <v>L'uomo usa un lungo bastone per eseguire un salto in lungo.</v>
      </c>
    </row>
    <row r="26330">
      <c r="A26330" s="4" t="s">
        <v>33133</v>
      </c>
      <c r="B26330" s="4" t="s">
        <v>33136</v>
      </c>
      <c r="C26330" s="5" t="str">
        <f>IFERROR(__xludf.DUMMYFUNCTION("GOOGLETRANSLATE(B26330,""en"",""it"")"),"Vediamo quindi l'uomo tentare e fallire ripetutamente il salto in lungo.")</f>
        <v>Vediamo quindi l'uomo tentare e fallire ripetutamente il salto in lungo.</v>
      </c>
    </row>
    <row r="26331">
      <c r="A26331" s="4" t="s">
        <v>33133</v>
      </c>
      <c r="B26331" s="4" t="s">
        <v>33137</v>
      </c>
      <c r="C26331" s="5" t="str">
        <f>IFERROR(__xludf.DUMMYFUNCTION("GOOGLETRANSLATE(B26331,""en"",""it"")"),"Vediamo che la maglietta dell'uomo si blocca sul palo.")</f>
        <v>Vediamo che la maglietta dell'uomo si blocca sul palo.</v>
      </c>
    </row>
    <row r="26332">
      <c r="A26332" s="4" t="s">
        <v>33138</v>
      </c>
      <c r="B26332" s="4" t="s">
        <v>33139</v>
      </c>
      <c r="C26332" s="5" t="str">
        <f>IFERROR(__xludf.DUMMYFUNCTION("GOOGLETRANSLATE(B26332,""en"",""it"")"),"Viene visto un primo piano di tamburi seguiti da una persona che cammina nel telaio.")</f>
        <v>Viene visto un primo piano di tamburi seguiti da una persona che cammina nel telaio.</v>
      </c>
    </row>
    <row r="26333">
      <c r="A26333" s="4" t="s">
        <v>33138</v>
      </c>
      <c r="B26333" s="4" t="s">
        <v>33140</v>
      </c>
      <c r="C26333" s="5" t="str">
        <f>IFERROR(__xludf.DUMMYFUNCTION("GOOGLETRANSLATE(B26333,""en"",""it"")"),"La persona si siede di fronte ai tamburi e inizia a suonarli continuamente.")</f>
        <v>La persona si siede di fronte ai tamburi e inizia a suonarli continuamente.</v>
      </c>
    </row>
    <row r="26334">
      <c r="A26334" s="4" t="s">
        <v>33138</v>
      </c>
      <c r="B26334" s="6" t="s">
        <v>33141</v>
      </c>
      <c r="C26334" s="5" t="str">
        <f>IFERROR(__xludf.DUMMYFUNCTION("GOOGLETRANSLATE(B26334,""en"",""it"")"),"L'uomo continua a suonare i tamburi sempre più velocemente mentre la telecamera cattura i suoi movimenti.")</f>
        <v>L'uomo continua a suonare i tamburi sempre più velocemente mentre la telecamera cattura i suoi movimenti.</v>
      </c>
    </row>
    <row r="26335">
      <c r="A26335" s="4" t="s">
        <v>33142</v>
      </c>
      <c r="B26335" s="4" t="s">
        <v>33143</v>
      </c>
      <c r="C26335" s="5" t="str">
        <f>IFERROR(__xludf.DUMMYFUNCTION("GOOGLETRANSLATE(B26335,""en"",""it"")"),"Un uomo viene visto spingere un tosaerba lungo un cortile e spostare la macchina intorno al cortile.")</f>
        <v>Un uomo viene visto spingere un tosaerba lungo un cortile e spostare la macchina intorno al cortile.</v>
      </c>
    </row>
    <row r="26336">
      <c r="A26336" s="4" t="s">
        <v>33142</v>
      </c>
      <c r="B26336" s="6" t="s">
        <v>33144</v>
      </c>
      <c r="C26336" s="5" t="str">
        <f>IFERROR(__xludf.DUMMYFUNCTION("GOOGLETRANSLATE(B26336,""en"",""it"")"),"Un altro uomo viene visto afferrare una macchina da un camion mentre l'altro uomo continua a falciare il prato.")</f>
        <v>Un altro uomo viene visto afferrare una macchina da un camion mentre l'altro uomo continua a falciare il prato.</v>
      </c>
    </row>
    <row r="26337">
      <c r="A26337" s="4" t="s">
        <v>33145</v>
      </c>
      <c r="B26337" s="4" t="s">
        <v>33146</v>
      </c>
      <c r="C26337" s="5" t="str">
        <f>IFERROR(__xludf.DUMMYFUNCTION("GOOGLETRANSLATE(B26337,""en"",""it"")"),"Una donna incinta si muove lentamente in una stanza.")</f>
        <v>Una donna incinta si muove lentamente in una stanza.</v>
      </c>
    </row>
    <row r="26338">
      <c r="A26338" s="4" t="s">
        <v>33145</v>
      </c>
      <c r="B26338" s="4" t="s">
        <v>33147</v>
      </c>
      <c r="C26338" s="5" t="str">
        <f>IFERROR(__xludf.DUMMYFUNCTION("GOOGLETRANSLATE(B26338,""en"",""it"")"),"Si muove di lato all'altra mentre va.")</f>
        <v>Si muove di lato all'altra mentre va.</v>
      </c>
    </row>
    <row r="26339">
      <c r="A26339" s="4" t="s">
        <v>33145</v>
      </c>
      <c r="B26339" s="4" t="s">
        <v>33148</v>
      </c>
      <c r="C26339" s="5" t="str">
        <f>IFERROR(__xludf.DUMMYFUNCTION("GOOGLETRANSLATE(B26339,""en"",""it"")"),"Solleva i piedi e le braccia, facendo diverse mosse di arti marziali.")</f>
        <v>Solleva i piedi e le braccia, facendo diverse mosse di arti marziali.</v>
      </c>
    </row>
    <row r="26340">
      <c r="A26340" s="4" t="s">
        <v>33149</v>
      </c>
      <c r="B26340" s="4" t="s">
        <v>33150</v>
      </c>
      <c r="C26340" s="5" t="str">
        <f>IFERROR(__xludf.DUMMYFUNCTION("GOOGLETRANSLATE(B26340,""en"",""it"")"),"Un uomo viene visto seduto su una sedia guardando nervosamente la telecamera mentre un altro uomo si siede dietro di lui.")</f>
        <v>Un uomo viene visto seduto su una sedia guardando nervosamente la telecamera mentre un altro uomo si siede dietro di lui.</v>
      </c>
    </row>
    <row r="26341">
      <c r="A26341" s="4" t="s">
        <v>33149</v>
      </c>
      <c r="B26341" s="6" t="s">
        <v>33151</v>
      </c>
      <c r="C26341" s="5" t="str">
        <f>IFERROR(__xludf.DUMMYFUNCTION("GOOGLETRANSLATE(B26341,""en"",""it"")"),"L'uomo inizia quindi i tatuaggi il petto dell'uomo e l'uomo alza la fotocamera ogni tanto.")</f>
        <v>L'uomo inizia quindi i tatuaggi il petto dell'uomo e l'uomo alza la fotocamera ogni tanto.</v>
      </c>
    </row>
    <row r="26342">
      <c r="A26342" s="4" t="s">
        <v>33152</v>
      </c>
      <c r="B26342" s="4" t="s">
        <v>33153</v>
      </c>
      <c r="C26342" s="5" t="str">
        <f>IFERROR(__xludf.DUMMYFUNCTION("GOOGLETRANSLATE(B26342,""en"",""it"")"),"C'è una donna mostrata che getta coltelli nel legno e li porta fuori.")</f>
        <v>C'è una donna mostrata che getta coltelli nel legno e li porta fuori.</v>
      </c>
    </row>
    <row r="26343">
      <c r="A26343" s="4" t="s">
        <v>33152</v>
      </c>
      <c r="B26343" s="4" t="s">
        <v>33154</v>
      </c>
      <c r="C26343" s="5" t="str">
        <f>IFERROR(__xludf.DUMMYFUNCTION("GOOGLETRANSLATE(B26343,""en"",""it"")"),"Alla fine le altre persone che sono lì si siedono e mangiano ghiaccioli.")</f>
        <v>Alla fine le altre persone che sono lì si siedono e mangiano ghiaccioli.</v>
      </c>
    </row>
    <row r="26344">
      <c r="A26344" s="4" t="s">
        <v>33155</v>
      </c>
      <c r="B26344" s="4" t="s">
        <v>33156</v>
      </c>
      <c r="C26344" s="5" t="str">
        <f>IFERROR(__xludf.DUMMYFUNCTION("GOOGLETRANSLATE(B26344,""en"",""it"")"),"Un uomo che indossa una maglietta grigia si trova su una scrivania con un monitor del computer che mostra un timer.")</f>
        <v>Un uomo che indossa una maglietta grigia si trova su una scrivania con un monitor del computer che mostra un timer.</v>
      </c>
    </row>
    <row r="26345">
      <c r="A26345" s="4" t="s">
        <v>33155</v>
      </c>
      <c r="B26345" s="4" t="s">
        <v>33157</v>
      </c>
      <c r="C26345" s="5" t="str">
        <f>IFERROR(__xludf.DUMMYFUNCTION("GOOGLETRANSLATE(B26345,""en"",""it"")"),"L'uomo detiene un cubo di Rubik e inizia il timer mentre inizia a risolvere il cubo di Rubik.")</f>
        <v>L'uomo detiene un cubo di Rubik e inizia il timer mentre inizia a risolvere il cubo di Rubik.</v>
      </c>
    </row>
    <row r="26346">
      <c r="A26346" s="4" t="s">
        <v>33155</v>
      </c>
      <c r="B26346" s="4" t="s">
        <v>33158</v>
      </c>
      <c r="C26346" s="5" t="str">
        <f>IFERROR(__xludf.DUMMYFUNCTION("GOOGLETRANSLATE(B26346,""en"",""it"")"),"Mentre l'uomo completa il cubo di Rubik, lascia cadere il puzzle e ferma il timer a 26 secondi.")</f>
        <v>Mentre l'uomo completa il cubo di Rubik, lascia cadere il puzzle e ferma il timer a 26 secondi.</v>
      </c>
    </row>
    <row r="26347">
      <c r="A26347" s="4" t="s">
        <v>33159</v>
      </c>
      <c r="B26347" s="4" t="s">
        <v>33160</v>
      </c>
      <c r="C26347" s="5" t="str">
        <f>IFERROR(__xludf.DUMMYFUNCTION("GOOGLETRANSLATE(B26347,""en"",""it"")"),"Vediamo una schermata del titolo di apertura nera.")</f>
        <v>Vediamo una schermata del titolo di apertura nera.</v>
      </c>
    </row>
    <row r="26348">
      <c r="A26348" s="4" t="s">
        <v>33159</v>
      </c>
      <c r="B26348" s="4" t="s">
        <v>33161</v>
      </c>
      <c r="C26348" s="5" t="str">
        <f>IFERROR(__xludf.DUMMYFUNCTION("GOOGLETRANSLATE(B26348,""en"",""it"")"),"Vediamo una barca che galleggia nell'oceano e la gente seduta sulla barca.")</f>
        <v>Vediamo una barca che galleggia nell'oceano e la gente seduta sulla barca.</v>
      </c>
    </row>
    <row r="26349">
      <c r="A26349" s="4" t="s">
        <v>33159</v>
      </c>
      <c r="B26349" s="4" t="s">
        <v>33162</v>
      </c>
      <c r="C26349" s="5" t="str">
        <f>IFERROR(__xludf.DUMMYFUNCTION("GOOGLETRANSLATE(B26349,""en"",""it"")"),"Tre persone sono sott'acqua nell'attrezzatura per immersioni guardando la sigife.")</f>
        <v>Tre persone sono sott'acqua nell'attrezzatura per immersioni guardando la sigife.</v>
      </c>
    </row>
    <row r="26350">
      <c r="A26350" s="4" t="s">
        <v>33159</v>
      </c>
      <c r="B26350" s="4" t="s">
        <v>33163</v>
      </c>
      <c r="C26350" s="5" t="str">
        <f>IFERROR(__xludf.DUMMYFUNCTION("GOOGLETRANSLATE(B26350,""en"",""it"")"),"Vediamo un uomo e una donna che nuotano insieme e la signora onde la telecamera.")</f>
        <v>Vediamo un uomo e una donna che nuotano insieme e la signora onde la telecamera.</v>
      </c>
    </row>
    <row r="26351">
      <c r="A26351" s="4" t="s">
        <v>33159</v>
      </c>
      <c r="B26351" s="4" t="s">
        <v>33164</v>
      </c>
      <c r="C26351" s="5" t="str">
        <f>IFERROR(__xludf.DUMMYFUNCTION("GOOGLETRANSLATE(B26351,""en"",""it"")"),"La signora fa un segno di esplosione con le mani e le onde.")</f>
        <v>La signora fa un segno di esplosione con le mani e le onde.</v>
      </c>
    </row>
    <row r="26352">
      <c r="A26352" s="4" t="s">
        <v>33159</v>
      </c>
      <c r="B26352" s="4" t="s">
        <v>33165</v>
      </c>
      <c r="C26352" s="5" t="str">
        <f>IFERROR(__xludf.DUMMYFUNCTION("GOOGLETRANSLATE(B26352,""en"",""it"")"),"La signora le toglie la bocca e scrolla le spalle.")</f>
        <v>La signora le toglie la bocca e scrolla le spalle.</v>
      </c>
    </row>
    <row r="26353">
      <c r="A26353" s="4" t="s">
        <v>33159</v>
      </c>
      <c r="B26353" s="4" t="s">
        <v>33166</v>
      </c>
      <c r="C26353" s="5" t="str">
        <f>IFERROR(__xludf.DUMMYFUNCTION("GOOGLETRANSLATE(B26353,""en"",""it"")"),"Vediamo le persone di nuovo sulla barca e l'uomo e la ragazza si abbracciano.")</f>
        <v>Vediamo le persone di nuovo sulla barca e l'uomo e la ragazza si abbracciano.</v>
      </c>
    </row>
    <row r="26354">
      <c r="A26354" s="4" t="s">
        <v>33159</v>
      </c>
      <c r="B26354" s="4" t="s">
        <v>33167</v>
      </c>
      <c r="C26354" s="5" t="str">
        <f>IFERROR(__xludf.DUMMYFUNCTION("GOOGLETRANSLATE(B26354,""en"",""it"")"),"Vediamo un pallone alto nel cielo.")</f>
        <v>Vediamo un pallone alto nel cielo.</v>
      </c>
    </row>
    <row r="26355">
      <c r="A26355" s="4" t="s">
        <v>33168</v>
      </c>
      <c r="B26355" s="4" t="s">
        <v>33169</v>
      </c>
      <c r="C26355" s="5" t="str">
        <f>IFERROR(__xludf.DUMMYFUNCTION("GOOGLETRANSLATE(B26355,""en"",""it"")"),"Tre uomini in bianco stanno facendo mosse di karate in una stanza.")</f>
        <v>Tre uomini in bianco stanno facendo mosse di karate in una stanza.</v>
      </c>
    </row>
    <row r="26356">
      <c r="A26356" s="4" t="s">
        <v>33168</v>
      </c>
      <c r="B26356" s="4" t="s">
        <v>33170</v>
      </c>
      <c r="C26356" s="5" t="str">
        <f>IFERROR(__xludf.DUMMYFUNCTION("GOOGLETRANSLATE(B26356,""en"",""it"")"),"Fanno qualche calcio in aria.")</f>
        <v>Fanno qualche calcio in aria.</v>
      </c>
    </row>
    <row r="26357">
      <c r="A26357" s="4" t="s">
        <v>33168</v>
      </c>
      <c r="B26357" s="4" t="s">
        <v>33171</v>
      </c>
      <c r="C26357" s="5" t="str">
        <f>IFERROR(__xludf.DUMMYFUNCTION("GOOGLETRANSLATE(B26357,""en"",""it"")"),"Due degli uomini iniziano a combattersi a vicenda.")</f>
        <v>Due degli uomini iniziano a combattersi a vicenda.</v>
      </c>
    </row>
    <row r="26358">
      <c r="A26358" s="4" t="s">
        <v>33172</v>
      </c>
      <c r="B26358" s="4" t="s">
        <v>33173</v>
      </c>
      <c r="C26358" s="5" t="str">
        <f>IFERROR(__xludf.DUMMYFUNCTION("GOOGLETRANSLATE(B26358,""en"",""it"")"),"Una grande palla blu viene lanciata in aria.")</f>
        <v>Una grande palla blu viene lanciata in aria.</v>
      </c>
    </row>
    <row r="26359">
      <c r="A26359" s="4" t="s">
        <v>33172</v>
      </c>
      <c r="B26359" s="4" t="s">
        <v>33174</v>
      </c>
      <c r="C26359" s="5" t="str">
        <f>IFERROR(__xludf.DUMMYFUNCTION("GOOGLETRANSLATE(B26359,""en"",""it"")"),"Un bambino corre per catturare una palla blu e grande.")</f>
        <v>Un bambino corre per catturare una palla blu e grande.</v>
      </c>
    </row>
    <row r="26360">
      <c r="A26360" s="4" t="s">
        <v>33172</v>
      </c>
      <c r="B26360" s="4" t="s">
        <v>33175</v>
      </c>
      <c r="C26360" s="5" t="str">
        <f>IFERROR(__xludf.DUMMYFUNCTION("GOOGLETRANSLATE(B26360,""en"",""it"")"),"Il bambino cade sul prato.")</f>
        <v>Il bambino cade sul prato.</v>
      </c>
    </row>
    <row r="26361">
      <c r="A26361" s="4" t="s">
        <v>33176</v>
      </c>
      <c r="B26361" s="4" t="s">
        <v>33177</v>
      </c>
      <c r="C26361" s="5" t="str">
        <f>IFERROR(__xludf.DUMMYFUNCTION("GOOGLETRANSLATE(B26361,""en"",""it"")"),"Una donna arriva sullo schermo per introdurre un video sull'allenamento.")</f>
        <v>Una donna arriva sullo schermo per introdurre un video sull'allenamento.</v>
      </c>
    </row>
    <row r="26362">
      <c r="A26362" s="4" t="s">
        <v>33176</v>
      </c>
      <c r="B26362" s="4" t="s">
        <v>33178</v>
      </c>
      <c r="C26362" s="5" t="str">
        <f>IFERROR(__xludf.DUMMYFUNCTION("GOOGLETRANSLATE(B26362,""en"",""it"")"),"La stessa donna viene mostrata mentre insegna una lezione di spin con diversi partecipanti.")</f>
        <v>La stessa donna viene mostrata mentre insegna una lezione di spin con diversi partecipanti.</v>
      </c>
    </row>
    <row r="26363">
      <c r="A26363" s="4" t="s">
        <v>33176</v>
      </c>
      <c r="B26363" s="4" t="s">
        <v>33179</v>
      </c>
      <c r="C26363" s="5" t="str">
        <f>IFERROR(__xludf.DUMMYFUNCTION("GOOGLETRANSLATE(B26363,""en"",""it"")"),"Si prende una pausa dalla bici e fa esercizi addominali sul pavimento.")</f>
        <v>Si prende una pausa dalla bici e fa esercizi addominali sul pavimento.</v>
      </c>
    </row>
    <row r="26364">
      <c r="A26364" s="4" t="s">
        <v>33176</v>
      </c>
      <c r="B26364" s="4" t="s">
        <v>33180</v>
      </c>
      <c r="C26364" s="5" t="str">
        <f>IFERROR(__xludf.DUMMYFUNCTION("GOOGLETRANSLATE(B26364,""en"",""it"")"),"Il video termina con il credito di chiusura mostrato alla fine.")</f>
        <v>Il video termina con il credito di chiusura mostrato alla fine.</v>
      </c>
    </row>
    <row r="26365">
      <c r="A26365" s="4" t="s">
        <v>33181</v>
      </c>
      <c r="B26365" s="4" t="s">
        <v>33182</v>
      </c>
      <c r="C26365" s="5" t="str">
        <f>IFERROR(__xludf.DUMMYFUNCTION("GOOGLETRANSLATE(B26365,""en"",""it"")"),"Una persona si siede sulla parte anteriore di un laptop e un puzzle del cubo.")</f>
        <v>Una persona si siede sulla parte anteriore di un laptop e un puzzle del cubo.</v>
      </c>
    </row>
    <row r="26366">
      <c r="A26366" s="4" t="s">
        <v>33181</v>
      </c>
      <c r="B26366" s="4" t="s">
        <v>33183</v>
      </c>
      <c r="C26366" s="5" t="str">
        <f>IFERROR(__xludf.DUMMYFUNCTION("GOOGLETRANSLATE(B26366,""en"",""it"")"),"Quindi, la persona risolve un puzzle del cubo.")</f>
        <v>Quindi, la persona risolve un puzzle del cubo.</v>
      </c>
    </row>
    <row r="26367">
      <c r="A26367" s="4" t="s">
        <v>33181</v>
      </c>
      <c r="B26367" s="4" t="s">
        <v>33184</v>
      </c>
      <c r="C26367" s="5" t="str">
        <f>IFERROR(__xludf.DUMMYFUNCTION("GOOGLETRANSLATE(B26367,""en"",""it"")"),"Dopo, la persona risolve il puzzle del cubo lo mette sul laptop.")</f>
        <v>Dopo, la persona risolve il puzzle del cubo lo mette sul laptop.</v>
      </c>
    </row>
    <row r="26368">
      <c r="A26368" s="4" t="s">
        <v>33185</v>
      </c>
      <c r="B26368" s="4" t="s">
        <v>33186</v>
      </c>
      <c r="C26368" s="5" t="str">
        <f>IFERROR(__xludf.DUMMYFUNCTION("GOOGLETRANSLATE(B26368,""en"",""it"")"),"Un gruppo di persone si sta esercitando in una lezione di aerobica.")</f>
        <v>Un gruppo di persone si sta esercitando in una lezione di aerobica.</v>
      </c>
    </row>
    <row r="26369">
      <c r="A26369" s="4" t="s">
        <v>33185</v>
      </c>
      <c r="B26369" s="4" t="s">
        <v>33187</v>
      </c>
      <c r="C26369" s="5" t="str">
        <f>IFERROR(__xludf.DUMMYFUNCTION("GOOGLETRANSLATE(B26369,""en"",""it"")"),"Stanno usando uno stepper, ballando e saltando dentro e fuori dall'attrezzatura.")</f>
        <v>Stanno usando uno stepper, ballando e saltando dentro e fuori dall'attrezzatura.</v>
      </c>
    </row>
    <row r="26370">
      <c r="A26370" s="4" t="s">
        <v>33188</v>
      </c>
      <c r="B26370" s="4" t="s">
        <v>33189</v>
      </c>
      <c r="C26370" s="5" t="str">
        <f>IFERROR(__xludf.DUMMYFUNCTION("GOOGLETRANSLATE(B26370,""en"",""it"")"),"Due bambini piccoli sono visti fuori da una swingset.")</f>
        <v>Due bambini piccoli sono visti fuori da una swingset.</v>
      </c>
    </row>
    <row r="26371">
      <c r="A26371" s="4" t="s">
        <v>33188</v>
      </c>
      <c r="B26371" s="4" t="s">
        <v>33190</v>
      </c>
      <c r="C26371" s="5" t="str">
        <f>IFERROR(__xludf.DUMMYFUNCTION("GOOGLETRANSLATE(B26371,""en"",""it"")"),"Uno oscilla indietro e quarto mentre l'altro si trova sul lato.")</f>
        <v>Uno oscilla indietro e quarto mentre l'altro si trova sul lato.</v>
      </c>
    </row>
    <row r="26372">
      <c r="A26372" s="4" t="s">
        <v>33188</v>
      </c>
      <c r="B26372" s="4" t="s">
        <v>33191</v>
      </c>
      <c r="C26372" s="5" t="str">
        <f>IFERROR(__xludf.DUMMYFUNCTION("GOOGLETRANSLATE(B26372,""en"",""it"")"),"Un uomo prende a calci l'altro ragazzo e si piega.")</f>
        <v>Un uomo prende a calci l'altro ragazzo e si piega.</v>
      </c>
    </row>
    <row r="26373">
      <c r="A26373" s="4" t="s">
        <v>33192</v>
      </c>
      <c r="B26373" s="4" t="s">
        <v>33193</v>
      </c>
      <c r="C26373" s="5" t="str">
        <f>IFERROR(__xludf.DUMMYFUNCTION("GOOGLETRANSLATE(B26373,""en"",""it"")"),"La birra e altri alcol sono mostrati su un bancone in cucina.")</f>
        <v>La birra e altri alcol sono mostrati su un bancone in cucina.</v>
      </c>
    </row>
    <row r="26374">
      <c r="A26374" s="4" t="s">
        <v>33192</v>
      </c>
      <c r="B26374" s="4" t="s">
        <v>33194</v>
      </c>
      <c r="C26374" s="5" t="str">
        <f>IFERROR(__xludf.DUMMYFUNCTION("GOOGLETRANSLATE(B26374,""en"",""it"")"),"Un uomo prende una brocca di birra e inizia a parlare con la telecamera.")</f>
        <v>Un uomo prende una brocca di birra e inizia a parlare con la telecamera.</v>
      </c>
    </row>
    <row r="26375">
      <c r="A26375" s="4" t="s">
        <v>33192</v>
      </c>
      <c r="B26375" s="4" t="s">
        <v>33195</v>
      </c>
      <c r="C26375" s="5" t="str">
        <f>IFERROR(__xludf.DUMMYFUNCTION("GOOGLETRANSLATE(B26375,""en"",""it"")"),"L'uomo procede a bere l'intero lanciatore di birra.")</f>
        <v>L'uomo procede a bere l'intero lanciatore di birra.</v>
      </c>
    </row>
    <row r="26376">
      <c r="A26376" s="4" t="s">
        <v>33196</v>
      </c>
      <c r="B26376" s="4" t="s">
        <v>33197</v>
      </c>
      <c r="C26376" s="5" t="str">
        <f>IFERROR(__xludf.DUMMYFUNCTION("GOOGLETRANSLATE(B26376,""en"",""it"")"),"Una signora parla in cucina con una medaglia sullo schermo e vediamo scatti di torta e cucinare.")</f>
        <v>Una signora parla in cucina con una medaglia sullo schermo e vediamo scatti di torta e cucinare.</v>
      </c>
    </row>
    <row r="26377">
      <c r="A26377" s="4" t="s">
        <v>33196</v>
      </c>
      <c r="B26377" s="4" t="s">
        <v>33198</v>
      </c>
      <c r="C26377" s="5" t="str">
        <f>IFERROR(__xludf.DUMMYFUNCTION("GOOGLETRANSLATE(B26377,""en"",""it"")"),"Vediamo la signora fare una torta e dare istruzioni.")</f>
        <v>Vediamo la signora fare una torta e dare istruzioni.</v>
      </c>
    </row>
    <row r="26378">
      <c r="A26378" s="4" t="s">
        <v>33196</v>
      </c>
      <c r="B26378" s="4" t="s">
        <v>33199</v>
      </c>
      <c r="C26378" s="5" t="str">
        <f>IFERROR(__xludf.DUMMYFUNCTION("GOOGLETRANSLATE(B26378,""en"",""it"")"),"La signora prende e prepara le sue padelle.")</f>
        <v>La signora prende e prepara le sue padelle.</v>
      </c>
    </row>
    <row r="26379">
      <c r="A26379" s="4" t="s">
        <v>33196</v>
      </c>
      <c r="B26379" s="6" t="s">
        <v>33200</v>
      </c>
      <c r="C26379" s="5" t="str">
        <f>IFERROR(__xludf.DUMMYFUNCTION("GOOGLETRANSLATE(B26379,""en"",""it"")"),"La signora mescola i suoi ingredienti secchi, quindi li mescola nel mixer con coloratura alimentare rosso e li versa in padelle di torta e li raffredda sugli scaffali.")</f>
        <v>La signora mescola i suoi ingredienti secchi, quindi li mescola nel mixer con coloratura alimentare rosso e li versa in padelle di torta e li raffredda sugli scaffali.</v>
      </c>
    </row>
    <row r="26380">
      <c r="A26380" s="4" t="s">
        <v>33196</v>
      </c>
      <c r="B26380" s="4" t="s">
        <v>33201</v>
      </c>
      <c r="C26380" s="5" t="str">
        <f>IFERROR(__xludf.DUMMYFUNCTION("GOOGLETRANSLATE(B26380,""en"",""it"")"),"La signora fa la glassa nel mixer e mette la glassa tra gli strati di torta e in cima.")</f>
        <v>La signora fa la glassa nel mixer e mette la glassa tra gli strati di torta e in cima.</v>
      </c>
    </row>
    <row r="26381">
      <c r="A26381" s="4" t="s">
        <v>33196</v>
      </c>
      <c r="B26381" s="4" t="s">
        <v>33202</v>
      </c>
      <c r="C26381" s="5" t="str">
        <f>IFERROR(__xludf.DUMMYFUNCTION("GOOGLETRANSLATE(B26381,""en"",""it"")"),"La signora taglia la torta e vediamo la schermata del titolo finale.")</f>
        <v>La signora taglia la torta e vediamo la schermata del titolo finale.</v>
      </c>
    </row>
    <row r="26382">
      <c r="A26382" s="4" t="s">
        <v>33203</v>
      </c>
      <c r="B26382" s="6" t="s">
        <v>33204</v>
      </c>
      <c r="C26382" s="5" t="str">
        <f>IFERROR(__xludf.DUMMYFUNCTION("GOOGLETRANSLATE(B26382,""en"",""it"")"),"Una donna che indossa un casco protettivo parla alla telecamera mentre si trova all'aperto vicino a una palma.")</f>
        <v>Una donna che indossa un casco protettivo parla alla telecamera mentre si trova all'aperto vicino a una palma.</v>
      </c>
    </row>
    <row r="26383">
      <c r="A26383" s="4" t="s">
        <v>33203</v>
      </c>
      <c r="B26383" s="4" t="s">
        <v>33205</v>
      </c>
      <c r="C26383" s="5" t="str">
        <f>IFERROR(__xludf.DUMMYFUNCTION("GOOGLETRANSLATE(B26383,""en"",""it"")"),"La donna è in piedi su un marciapiede che indossa rollerble e attrezzatura protettiva.")</f>
        <v>La donna è in piedi su un marciapiede che indossa rollerble e attrezzatura protettiva.</v>
      </c>
    </row>
    <row r="26384">
      <c r="A26384" s="4" t="s">
        <v>33203</v>
      </c>
      <c r="B26384" s="6" t="s">
        <v>33206</v>
      </c>
      <c r="C26384" s="5" t="str">
        <f>IFERROR(__xludf.DUMMYFUNCTION("GOOGLETRANSLATE(B26384,""en"",""it"")"),"La donna parla alla telecamera e dimostra diverse tecniche di pattinaggio sul marciapiede.")</f>
        <v>La donna parla alla telecamera e dimostra diverse tecniche di pattinaggio sul marciapiede.</v>
      </c>
    </row>
    <row r="26385">
      <c r="A26385" s="4" t="s">
        <v>33207</v>
      </c>
      <c r="B26385" s="4" t="s">
        <v>33208</v>
      </c>
      <c r="C26385" s="5" t="str">
        <f>IFERROR(__xludf.DUMMYFUNCTION("GOOGLETRANSLATE(B26385,""en"",""it"")"),"Vediamo due ragazzi su un treno parlare.")</f>
        <v>Vediamo due ragazzi su un treno parlare.</v>
      </c>
    </row>
    <row r="26386">
      <c r="A26386" s="4" t="s">
        <v>33207</v>
      </c>
      <c r="B26386" s="4" t="s">
        <v>33209</v>
      </c>
      <c r="C26386" s="5" t="str">
        <f>IFERROR(__xludf.DUMMYFUNCTION("GOOGLETRANSLATE(B26386,""en"",""it"")"),"Diventa buio in un tunnel.")</f>
        <v>Diventa buio in un tunnel.</v>
      </c>
    </row>
    <row r="26387">
      <c r="A26387" s="4" t="s">
        <v>33207</v>
      </c>
      <c r="B26387" s="4" t="s">
        <v>33210</v>
      </c>
      <c r="C26387" s="5" t="str">
        <f>IFERROR(__xludf.DUMMYFUNCTION("GOOGLETRANSLATE(B26387,""en"",""it"")"),"Qualcuno lancia qualcosa a un ragazzo.")</f>
        <v>Qualcuno lancia qualcosa a un ragazzo.</v>
      </c>
    </row>
    <row r="26388">
      <c r="A26388" s="4" t="s">
        <v>33207</v>
      </c>
      <c r="B26388" s="4" t="s">
        <v>33211</v>
      </c>
      <c r="C26388" s="5" t="str">
        <f>IFERROR(__xludf.DUMMYFUNCTION("GOOGLETRANSLATE(B26388,""en"",""it"")"),"Vediamo i ragazzi che cavalcano skateboard lungo una strada residenziale.")</f>
        <v>Vediamo i ragazzi che cavalcano skateboard lungo una strada residenziale.</v>
      </c>
    </row>
    <row r="26389">
      <c r="A26389" s="4" t="s">
        <v>33207</v>
      </c>
      <c r="B26389" s="4" t="s">
        <v>33212</v>
      </c>
      <c r="C26389" s="5" t="str">
        <f>IFERROR(__xludf.DUMMYFUNCTION("GOOGLETRANSLATE(B26389,""en"",""it"")"),"Un uomo cavalca in discesa all'indietro.")</f>
        <v>Un uomo cavalca in discesa all'indietro.</v>
      </c>
    </row>
    <row r="26390">
      <c r="A26390" s="4" t="s">
        <v>33207</v>
      </c>
      <c r="B26390" s="4" t="s">
        <v>33213</v>
      </c>
      <c r="C26390" s="5" t="str">
        <f>IFERROR(__xludf.DUMMYFUNCTION("GOOGLETRANSLATE(B26390,""en"",""it"")"),"Vediamo un ragazzo cadere dal suo skateboard.")</f>
        <v>Vediamo un ragazzo cadere dal suo skateboard.</v>
      </c>
    </row>
    <row r="26391">
      <c r="A26391" s="4" t="s">
        <v>33207</v>
      </c>
      <c r="B26391" s="4" t="s">
        <v>33214</v>
      </c>
      <c r="C26391" s="5" t="str">
        <f>IFERROR(__xludf.DUMMYFUNCTION("GOOGLETRANSLATE(B26391,""en"",""it"")"),"Vediamo un numero tre su un muro.")</f>
        <v>Vediamo un numero tre su un muro.</v>
      </c>
    </row>
    <row r="26392">
      <c r="A26392" s="4" t="s">
        <v>33207</v>
      </c>
      <c r="B26392" s="4" t="s">
        <v>33215</v>
      </c>
      <c r="C26392" s="5" t="str">
        <f>IFERROR(__xludf.DUMMYFUNCTION("GOOGLETRANSLATE(B26392,""en"",""it"")"),"Vediamo una persona saltare dal loro skateboard.")</f>
        <v>Vediamo una persona saltare dal loro skateboard.</v>
      </c>
    </row>
    <row r="26393">
      <c r="A26393" s="4" t="s">
        <v>33216</v>
      </c>
      <c r="B26393" s="4" t="s">
        <v>33217</v>
      </c>
      <c r="C26393" s="5" t="str">
        <f>IFERROR(__xludf.DUMMYFUNCTION("GOOGLETRANSLATE(B26393,""en"",""it"")"),"Un'introduzione conduce a una donna che si guarda allo specchio e si trucca.")</f>
        <v>Un'introduzione conduce a una donna che si guarda allo specchio e si trucca.</v>
      </c>
    </row>
    <row r="26394">
      <c r="A26394" s="4" t="s">
        <v>33216</v>
      </c>
      <c r="B26394" s="4" t="s">
        <v>33218</v>
      </c>
      <c r="C26394" s="5" t="str">
        <f>IFERROR(__xludf.DUMMYFUNCTION("GOOGLETRANSLATE(B26394,""en"",""it"")"),"Mette gli occhiali e guarda lo specchio.")</f>
        <v>Mette gli occhiali e guarda lo specchio.</v>
      </c>
    </row>
    <row r="26395">
      <c r="A26395" s="4" t="s">
        <v>33216</v>
      </c>
      <c r="B26395" s="4" t="s">
        <v>33219</v>
      </c>
      <c r="C26395" s="5" t="str">
        <f>IFERROR(__xludf.DUMMYFUNCTION("GOOGLETRANSLATE(B26395,""en"",""it"")"),"Si allontana e termina con un logo mostrato.")</f>
        <v>Si allontana e termina con un logo mostrato.</v>
      </c>
    </row>
    <row r="26396">
      <c r="A26396" s="4" t="s">
        <v>33220</v>
      </c>
      <c r="B26396" s="4" t="s">
        <v>33221</v>
      </c>
      <c r="C26396" s="5" t="str">
        <f>IFERROR(__xludf.DUMMYFUNCTION("GOOGLETRANSLATE(B26396,""en"",""it"")"),"Un gruppo di giocatori di lacrosse è mostrato su un campo.")</f>
        <v>Un gruppo di giocatori di lacrosse è mostrato su un campo.</v>
      </c>
    </row>
    <row r="26397">
      <c r="A26397" s="4" t="s">
        <v>33220</v>
      </c>
      <c r="B26397" s="4" t="s">
        <v>33222</v>
      </c>
      <c r="C26397" s="5" t="str">
        <f>IFERROR(__xludf.DUMMYFUNCTION("GOOGLETRANSLATE(B26397,""en"",""it"")"),"Corrono in giro, cercando di allontanare la palla l'uno dall'altro.")</f>
        <v>Corrono in giro, cercando di allontanare la palla l'uno dall'altro.</v>
      </c>
    </row>
    <row r="26398">
      <c r="A26398" s="4" t="s">
        <v>33220</v>
      </c>
      <c r="B26398" s="4" t="s">
        <v>33223</v>
      </c>
      <c r="C26398" s="5" t="str">
        <f>IFERROR(__xludf.DUMMYFUNCTION("GOOGLETRANSLATE(B26398,""en"",""it"")"),"Vengono mostrati giocando al rallentatore.")</f>
        <v>Vengono mostrati giocando al rallentatore.</v>
      </c>
    </row>
    <row r="26399">
      <c r="A26399" s="4" t="s">
        <v>33224</v>
      </c>
      <c r="B26399" s="4" t="s">
        <v>33225</v>
      </c>
      <c r="C26399" s="5" t="str">
        <f>IFERROR(__xludf.DUMMYFUNCTION("GOOGLETRANSLATE(B26399,""en"",""it"")"),"Viene mostrato un uomo che indossa una testa di plastica che mangia il gelato.")</f>
        <v>Viene mostrato un uomo che indossa una testa di plastica che mangia il gelato.</v>
      </c>
    </row>
    <row r="26400">
      <c r="A26400" s="4" t="s">
        <v>33224</v>
      </c>
      <c r="B26400" s="6" t="s">
        <v>33226</v>
      </c>
      <c r="C26400" s="5" t="str">
        <f>IFERROR(__xludf.DUMMYFUNCTION("GOOGLETRANSLATE(B26400,""en"",""it"")"),"Vediamo l'interno di una pianta, dove i biscotti vengono schiacciati e messi in contenitori di gelato alla vaniglia, quindi ordinati.")</f>
        <v>Vediamo l'interno di una pianta, dove i biscotti vengono schiacciati e messi in contenitori di gelato alla vaniglia, quindi ordinati.</v>
      </c>
    </row>
    <row r="26401">
      <c r="A26401" s="4" t="s">
        <v>33224</v>
      </c>
      <c r="B26401" s="6" t="s">
        <v>33227</v>
      </c>
      <c r="C26401" s="5" t="str">
        <f>IFERROR(__xludf.DUMMYFUNCTION("GOOGLETRANSLATE(B26401,""en"",""it"")"),"Il gelato riempie le pinte e viene miscelato in una volta gigante prima che vengano aggiunti altri ingredienti e le pinte riempite.")</f>
        <v>Il gelato riempie le pinte e viene miscelato in una volta gigante prima che vengano aggiunti altri ingredienti e le pinte riempite.</v>
      </c>
    </row>
    <row r="26402">
      <c r="A26402" s="4" t="s">
        <v>33224</v>
      </c>
      <c r="B26402" s="4" t="s">
        <v>33228</v>
      </c>
      <c r="C26402" s="5" t="str">
        <f>IFERROR(__xludf.DUMMYFUNCTION("GOOGLETRANSLATE(B26402,""en"",""it"")"),"Quindi vediamo i ghiaccioli creare, prima che un uomo e una donna vengano mostrati a mangiare le prelibatezze.")</f>
        <v>Quindi vediamo i ghiaccioli creare, prima che un uomo e una donna vengano mostrati a mangiare le prelibatezze.</v>
      </c>
    </row>
    <row r="26403">
      <c r="A26403" s="4" t="s">
        <v>33229</v>
      </c>
      <c r="B26403" s="4" t="s">
        <v>33230</v>
      </c>
      <c r="C26403" s="5" t="str">
        <f>IFERROR(__xludf.DUMMYFUNCTION("GOOGLETRANSLATE(B26403,""en"",""it"")"),"Un uomo che indossa i guanti tiene un paio di pinze e mette un oggetto in mezzo.")</f>
        <v>Un uomo che indossa i guanti tiene un paio di pinze e mette un oggetto in mezzo.</v>
      </c>
    </row>
    <row r="26404">
      <c r="A26404" s="4" t="s">
        <v>33229</v>
      </c>
      <c r="B26404" s="4" t="s">
        <v>33231</v>
      </c>
      <c r="C26404" s="5" t="str">
        <f>IFERROR(__xludf.DUMMYFUNCTION("GOOGLETRANSLATE(B26404,""en"",""it"")"),"Sparca l'oggetto per creare una fiamma e mette la maschera per proteggersi.")</f>
        <v>Sparca l'oggetto per creare una fiamma e mette la maschera per proteggersi.</v>
      </c>
    </row>
    <row r="26405">
      <c r="A26405" s="4" t="s">
        <v>33229</v>
      </c>
      <c r="B26405" s="4" t="s">
        <v>33232</v>
      </c>
      <c r="C26405" s="5" t="str">
        <f>IFERROR(__xludf.DUMMYFUNCTION("GOOGLETRANSLATE(B26405,""en"",""it"")"),"Continua a infiammare l'oggetto e mostra ciò che ha bruciato.")</f>
        <v>Continua a infiammare l'oggetto e mostra ciò che ha bruciato.</v>
      </c>
    </row>
    <row r="26406">
      <c r="A26406" s="4" t="s">
        <v>33233</v>
      </c>
      <c r="B26406" s="4" t="s">
        <v>33234</v>
      </c>
      <c r="C26406" s="5" t="str">
        <f>IFERROR(__xludf.DUMMYFUNCTION("GOOGLETRANSLATE(B26406,""en"",""it"")"),"Un ragazzo salta su una tavola da immersione in alto.")</f>
        <v>Un ragazzo salta su una tavola da immersione in alto.</v>
      </c>
    </row>
    <row r="26407">
      <c r="A26407" s="4" t="s">
        <v>33233</v>
      </c>
      <c r="B26407" s="4" t="s">
        <v>33235</v>
      </c>
      <c r="C26407" s="5" t="str">
        <f>IFERROR(__xludf.DUMMYFUNCTION("GOOGLETRANSLATE(B26407,""en"",""it"")"),"Quindi, il ragazzo salta e gira tre volte, ma cade sulla schiena facendo un grosso tuffo.")</f>
        <v>Quindi, il ragazzo salta e gira tre volte, ma cade sulla schiena facendo un grosso tuffo.</v>
      </c>
    </row>
    <row r="26408">
      <c r="A26408" s="4" t="s">
        <v>33236</v>
      </c>
      <c r="B26408" s="4" t="s">
        <v>33237</v>
      </c>
      <c r="C26408" s="5" t="str">
        <f>IFERROR(__xludf.DUMMYFUNCTION("GOOGLETRANSLATE(B26408,""en"",""it"")"),"Un giovane fa un problema con una camicia su una tavola da stiro in un corridoio.")</f>
        <v>Un giovane fa un problema con una camicia su una tavola da stiro in un corridoio.</v>
      </c>
    </row>
    <row r="26409">
      <c r="A26409" s="4" t="s">
        <v>33236</v>
      </c>
      <c r="B26409" s="4" t="s">
        <v>33238</v>
      </c>
      <c r="C26409" s="5" t="str">
        <f>IFERROR(__xludf.DUMMYFUNCTION("GOOGLETRANSLATE(B26409,""en"",""it"")"),"L'uomo regola la fotocamera e ritorna alla stiratura.")</f>
        <v>L'uomo regola la fotocamera e ritorna alla stiratura.</v>
      </c>
    </row>
    <row r="26410">
      <c r="A26410" s="4" t="s">
        <v>33236</v>
      </c>
      <c r="B26410" s="4" t="s">
        <v>33239</v>
      </c>
      <c r="C26410" s="5" t="str">
        <f>IFERROR(__xludf.DUMMYFUNCTION("GOOGLETRANSLATE(B26410,""en"",""it"")"),"L'uomo finisce di stirare e allontana la fotocamera.")</f>
        <v>L'uomo finisce di stirare e allontana la fotocamera.</v>
      </c>
    </row>
    <row r="26411">
      <c r="A26411" s="4" t="s">
        <v>33240</v>
      </c>
      <c r="B26411" s="4" t="s">
        <v>33241</v>
      </c>
      <c r="C26411" s="5" t="str">
        <f>IFERROR(__xludf.DUMMYFUNCTION("GOOGLETRANSLATE(B26411,""en"",""it"")"),"Un uomo con una camicia rossa si inginocchia.")</f>
        <v>Un uomo con una camicia rossa si inginocchia.</v>
      </c>
    </row>
    <row r="26412">
      <c r="A26412" s="4" t="s">
        <v>33240</v>
      </c>
      <c r="B26412" s="4" t="s">
        <v>33242</v>
      </c>
      <c r="C26412" s="5" t="str">
        <f>IFERROR(__xludf.DUMMYFUNCTION("GOOGLETRANSLATE(B26412,""en"",""it"")"),"Un altro uomo con una camicia nera si alza di fronte a lui.")</f>
        <v>Un altro uomo con una camicia nera si alza di fronte a lui.</v>
      </c>
    </row>
    <row r="26413">
      <c r="A26413" s="4" t="s">
        <v>33240</v>
      </c>
      <c r="B26413" s="4" t="s">
        <v>33243</v>
      </c>
      <c r="C26413" s="5" t="str">
        <f>IFERROR(__xludf.DUMMYFUNCTION("GOOGLETRANSLATE(B26413,""en"",""it"")"),"Stanno sistemando qualcosa su una bici.")</f>
        <v>Stanno sistemando qualcosa su una bici.</v>
      </c>
    </row>
    <row r="26414">
      <c r="A26414" s="4" t="s">
        <v>33244</v>
      </c>
      <c r="B26414" s="4" t="s">
        <v>33245</v>
      </c>
      <c r="C26414" s="5" t="str">
        <f>IFERROR(__xludf.DUMMYFUNCTION("GOOGLETRANSLATE(B26414,""en"",""it"")"),"Una donna spiega come avvolgere una scatola con carta regalo.")</f>
        <v>Una donna spiega come avvolgere una scatola con carta regalo.</v>
      </c>
    </row>
    <row r="26415">
      <c r="A26415" s="4" t="s">
        <v>33244</v>
      </c>
      <c r="B26415" s="4" t="s">
        <v>33246</v>
      </c>
      <c r="C26415" s="5" t="str">
        <f>IFERROR(__xludf.DUMMYFUNCTION("GOOGLETRANSLATE(B26415,""en"",""it"")"),"Quindi, la donna taglia la carta e si avvolge attorno alla scatola usando il nastro.")</f>
        <v>Quindi, la donna taglia la carta e si avvolge attorno alla scatola usando il nastro.</v>
      </c>
    </row>
    <row r="26416">
      <c r="A26416" s="4" t="s">
        <v>33244</v>
      </c>
      <c r="B26416" s="6" t="s">
        <v>33247</v>
      </c>
      <c r="C26416" s="5" t="str">
        <f>IFERROR(__xludf.DUMMYFUNCTION("GOOGLETRANSLATE(B26416,""en"",""it"")"),"Dopo, la donna piega i lati della carta e tagliando un pezzo per adattarsi alla scatola, quindi mette il nastro per giungere alle estremità mentre spiega.")</f>
        <v>Dopo, la donna piega i lati della carta e tagliando un pezzo per adattarsi alla scatola, quindi mette il nastro per giungere alle estremità mentre spiega.</v>
      </c>
    </row>
    <row r="26417">
      <c r="A26417" s="4" t="s">
        <v>33248</v>
      </c>
      <c r="B26417" s="4" t="s">
        <v>33249</v>
      </c>
      <c r="C26417" s="5" t="str">
        <f>IFERROR(__xludf.DUMMYFUNCTION("GOOGLETRANSLATE(B26417,""en"",""it"")"),"Una ragazza viene vista leccare un cono gelato mentre la telecamera la guarda mangiare.")</f>
        <v>Una ragazza viene vista leccare un cono gelato mentre la telecamera la guarda mangiare.</v>
      </c>
    </row>
    <row r="26418">
      <c r="A26418" s="4" t="s">
        <v>33248</v>
      </c>
      <c r="B26418" s="4" t="s">
        <v>33250</v>
      </c>
      <c r="C26418" s="5" t="str">
        <f>IFERROR(__xludf.DUMMYFUNCTION("GOOGLETRANSLATE(B26418,""en"",""it"")"),"Continua a mangiare il cono del gelato e guardando in lontananza.")</f>
        <v>Continua a mangiare il cono del gelato e guardando in lontananza.</v>
      </c>
    </row>
    <row r="26419">
      <c r="A26419" s="4" t="s">
        <v>33251</v>
      </c>
      <c r="B26419" s="4" t="s">
        <v>33252</v>
      </c>
      <c r="C26419" s="5" t="str">
        <f>IFERROR(__xludf.DUMMYFUNCTION("GOOGLETRANSLATE(B26419,""en"",""it"")"),"Un uomo in jeans e maglietta rotola un rullo di vernice nel vassoio.")</f>
        <v>Un uomo in jeans e maglietta rotola un rullo di vernice nel vassoio.</v>
      </c>
    </row>
    <row r="26420">
      <c r="A26420" s="4" t="s">
        <v>33251</v>
      </c>
      <c r="B26420" s="6" t="s">
        <v>33253</v>
      </c>
      <c r="C26420" s="5" t="str">
        <f>IFERROR(__xludf.DUMMYFUNCTION("GOOGLETRANSLATE(B26420,""en"",""it"")"),"L'uomo applica più vernice alla recinzione con un rullo e ottenendo più vernice fino a quando non solleva il rullo ed è contento.")</f>
        <v>L'uomo applica più vernice alla recinzione con un rullo e ottenendo più vernice fino a quando non solleva il rullo ed è contento.</v>
      </c>
    </row>
    <row r="26421">
      <c r="A26421" s="4" t="s">
        <v>33251</v>
      </c>
      <c r="B26421" s="4" t="s">
        <v>33254</v>
      </c>
      <c r="C26421" s="5" t="str">
        <f>IFERROR(__xludf.DUMMYFUNCTION("GOOGLETRANSLATE(B26421,""en"",""it"")"),"L'uomo ottiene più vernice sul suo pennello dal vassoio.")</f>
        <v>L'uomo ottiene più vernice sul suo pennello dal vassoio.</v>
      </c>
    </row>
    <row r="26422">
      <c r="A26422" s="4" t="s">
        <v>33251</v>
      </c>
      <c r="B26422" s="4" t="s">
        <v>33255</v>
      </c>
      <c r="C26422" s="5" t="str">
        <f>IFERROR(__xludf.DUMMYFUNCTION("GOOGLETRANSLATE(B26422,""en"",""it"")"),"L'uomo finisce di dipingere la sezione della recinzione e poi pose il rullo.")</f>
        <v>L'uomo finisce di dipingere la sezione della recinzione e poi pose il rullo.</v>
      </c>
    </row>
    <row r="26423">
      <c r="A26423" s="4" t="s">
        <v>33256</v>
      </c>
      <c r="B26423" s="4" t="s">
        <v>33257</v>
      </c>
      <c r="C26423" s="5" t="str">
        <f>IFERROR(__xludf.DUMMYFUNCTION("GOOGLETRANSLATE(B26423,""en"",""it"")"),"Diverse persone sono longboard e vanno in bicicletta giù per una collina.")</f>
        <v>Diverse persone sono longboard e vanno in bicicletta giù per una collina.</v>
      </c>
    </row>
    <row r="26424">
      <c r="A26424" s="4" t="s">
        <v>33256</v>
      </c>
      <c r="B26424" s="4" t="s">
        <v>33258</v>
      </c>
      <c r="C26424" s="5" t="str">
        <f>IFERROR(__xludf.DUMMYFUNCTION("GOOGLETRANSLATE(B26424,""en"",""it"")"),"Una persona ha un guanto bianco e si tiene sulla persona di fronte a loro.")</f>
        <v>Una persona ha un guanto bianco e si tiene sulla persona di fronte a loro.</v>
      </c>
    </row>
    <row r="26425">
      <c r="A26425" s="4" t="s">
        <v>33256</v>
      </c>
      <c r="B26425" s="4" t="s">
        <v>33259</v>
      </c>
      <c r="C26425" s="5" t="str">
        <f>IFERROR(__xludf.DUMMYFUNCTION("GOOGLETRANSLATE(B26425,""en"",""it"")"),"Le parole vanno sullo schermo alla fine.")</f>
        <v>Le parole vanno sullo schermo alla fine.</v>
      </c>
    </row>
    <row r="26426">
      <c r="A26426" s="4" t="s">
        <v>33260</v>
      </c>
      <c r="B26426" s="4" t="s">
        <v>33261</v>
      </c>
      <c r="C26426" s="5" t="str">
        <f>IFERROR(__xludf.DUMMYFUNCTION("GOOGLETRANSLATE(B26426,""en"",""it"")"),"L'uomo sta snowboard che scende giù da una collina scivolando in zigzag che passano piccole bandiere.")</f>
        <v>L'uomo sta snowboard che scende giù da una collina scivolando in zigzag che passano piccole bandiere.</v>
      </c>
    </row>
    <row r="26427">
      <c r="A26427" s="4" t="s">
        <v>33260</v>
      </c>
      <c r="B26427" s="4" t="s">
        <v>33262</v>
      </c>
      <c r="C26427" s="5" t="str">
        <f>IFERROR(__xludf.DUMMYFUNCTION("GOOGLETRANSLATE(B26427,""en"",""it"")"),"L'uomo sta parlando con la telecamera in una stanza buia.")</f>
        <v>L'uomo sta parlando con la telecamera in una stanza buia.</v>
      </c>
    </row>
    <row r="26428">
      <c r="A26428" s="4" t="s">
        <v>33260</v>
      </c>
      <c r="B26428" s="6" t="s">
        <v>33263</v>
      </c>
      <c r="C26428" s="5" t="str">
        <f>IFERROR(__xludf.DUMMYFUNCTION("GOOGLETRANSLATE(B26428,""en"",""it"")"),"L'uomo sta snowboard sul pendio innevato e un video mostra la giusta posizione del corpo quando si sta andando a lato.")</f>
        <v>L'uomo sta snowboard sul pendio innevato e un video mostra la giusta posizione del corpo quando si sta andando a lato.</v>
      </c>
    </row>
    <row r="26429">
      <c r="A26429" s="4" t="s">
        <v>33264</v>
      </c>
      <c r="B26429" s="4" t="s">
        <v>33265</v>
      </c>
      <c r="C26429" s="5" t="str">
        <f>IFERROR(__xludf.DUMMYFUNCTION("GOOGLETRANSLATE(B26429,""en"",""it"")"),"Un uomo e una figlia sono visti scivolare nella cornice indossando solo calzini e una camicia lunga.")</f>
        <v>Un uomo e una figlia sono visti scivolare nella cornice indossando solo calzini e una camicia lunga.</v>
      </c>
    </row>
    <row r="26430">
      <c r="A26430" s="4" t="s">
        <v>33264</v>
      </c>
      <c r="B26430" s="4" t="s">
        <v>33266</v>
      </c>
      <c r="C26430" s="5" t="str">
        <f>IFERROR(__xludf.DUMMYFUNCTION("GOOGLETRANSLATE(B26430,""en"",""it"")"),"I due sono visti con in mano e iniziano a cantare l'uno con l'altro.")</f>
        <v>I due sono visti con in mano e iniziano a cantare l'uno con l'altro.</v>
      </c>
    </row>
    <row r="26431">
      <c r="A26431" s="4" t="s">
        <v>33264</v>
      </c>
      <c r="B26431" s="4" t="s">
        <v>33267</v>
      </c>
      <c r="C26431" s="5" t="str">
        <f>IFERROR(__xludf.DUMMYFUNCTION("GOOGLETRANSLATE(B26431,""en"",""it"")"),"I due continuano a ballare e cantano l'uno con l'altro.")</f>
        <v>I due continuano a ballare e cantano l'uno con l'altro.</v>
      </c>
    </row>
    <row r="26432">
      <c r="A26432" s="4" t="s">
        <v>33268</v>
      </c>
      <c r="B26432" s="4" t="s">
        <v>33269</v>
      </c>
      <c r="C26432" s="5" t="str">
        <f>IFERROR(__xludf.DUMMYFUNCTION("GOOGLETRANSLATE(B26432,""en"",""it"")"),"Il subacqueo subacqueo nuota e scivola sott'acqua nell'oceano vicino a una parete di roccia.")</f>
        <v>Il subacqueo subacqueo nuota e scivola sott'acqua nell'oceano vicino a una parete di roccia.</v>
      </c>
    </row>
    <row r="26433">
      <c r="A26433" s="4" t="s">
        <v>33268</v>
      </c>
      <c r="B26433" s="4" t="s">
        <v>33270</v>
      </c>
      <c r="C26433" s="5" t="str">
        <f>IFERROR(__xludf.DUMMYFUNCTION("GOOGLETRANSLATE(B26433,""en"",""it"")"),"I subacquei subacquei fanno gesti delle mani e scherzi.")</f>
        <v>I subacquei subacquei fanno gesti delle mani e scherzi.</v>
      </c>
    </row>
    <row r="26434">
      <c r="A26434" s="4" t="s">
        <v>33268</v>
      </c>
      <c r="B26434" s="4" t="s">
        <v>33271</v>
      </c>
      <c r="C26434" s="5" t="str">
        <f>IFERROR(__xludf.DUMMYFUNCTION("GOOGLETRANSLATE(B26434,""en"",""it"")"),"Gli uomini nuotano da vicino.")</f>
        <v>Gli uomini nuotano da vicino.</v>
      </c>
    </row>
    <row r="26435">
      <c r="A26435" s="4" t="s">
        <v>33272</v>
      </c>
      <c r="B26435" s="6" t="s">
        <v>33273</v>
      </c>
      <c r="C26435" s="5" t="str">
        <f>IFERROR(__xludf.DUMMYFUNCTION("GOOGLETRANSLATE(B26435,""en"",""it"")"),"Viene mostrato un primo piano di sci, seguito da una persona che si spinge insieme usando bastoncini e sciare giù per la montagna.")</f>
        <v>Viene mostrato un primo piano di sci, seguito da una persona che si spinge insieme usando bastoncini e sciare giù per la montagna.</v>
      </c>
    </row>
    <row r="26436">
      <c r="A26436" s="4" t="s">
        <v>33272</v>
      </c>
      <c r="B26436" s="6" t="s">
        <v>33274</v>
      </c>
      <c r="C26436" s="5" t="str">
        <f>IFERROR(__xludf.DUMMYFUNCTION("GOOGLETRANSLATE(B26436,""en"",""it"")"),"La persona cavalcò continuamente sulla montagna usando gli sci e ingrandisce le persone e si ferma in fondo.")</f>
        <v>La persona cavalcò continuamente sulla montagna usando gli sci e ingrandisce le persone e si ferma in fondo.</v>
      </c>
    </row>
    <row r="26437">
      <c r="A26437" s="4" t="s">
        <v>33275</v>
      </c>
      <c r="B26437" s="4" t="s">
        <v>33276</v>
      </c>
      <c r="C26437" s="5" t="str">
        <f>IFERROR(__xludf.DUMMYFUNCTION("GOOGLETRANSLATE(B26437,""en"",""it"")"),"Un uomo è visto in piedi e alza le braccia ai lati.")</f>
        <v>Un uomo è visto in piedi e alza le braccia ai lati.</v>
      </c>
    </row>
    <row r="26438">
      <c r="A26438" s="4" t="s">
        <v>33275</v>
      </c>
      <c r="B26438" s="4" t="s">
        <v>33277</v>
      </c>
      <c r="C26438" s="5" t="str">
        <f>IFERROR(__xludf.DUMMYFUNCTION("GOOGLETRANSLATE(B26438,""en"",""it"")"),"L'uomo salta quindi su una serie di barre irregolari e inizia a eseguire una routine di ginnastica.")</f>
        <v>L'uomo salta quindi su una serie di barre irregolari e inizia a eseguire una routine di ginnastica.</v>
      </c>
    </row>
    <row r="26439">
      <c r="A26439" s="4" t="s">
        <v>33275</v>
      </c>
      <c r="B26439" s="4" t="s">
        <v>33278</v>
      </c>
      <c r="C26439" s="5" t="str">
        <f>IFERROR(__xludf.DUMMYFUNCTION("GOOGLETRANSLATE(B26439,""en"",""it"")"),"L'uomo si gira tutt'intorno e termina saltando di lato con le braccia in alto.")</f>
        <v>L'uomo si gira tutt'intorno e termina saltando di lato con le braccia in alto.</v>
      </c>
    </row>
    <row r="26440">
      <c r="A26440" s="4" t="s">
        <v>33279</v>
      </c>
      <c r="B26440" s="4" t="s">
        <v>33280</v>
      </c>
      <c r="C26440" s="5" t="str">
        <f>IFERROR(__xludf.DUMMYFUNCTION("GOOGLETRANSLATE(B26440,""en"",""it"")"),"Due donne stanno lavando i piatti in cucina.")</f>
        <v>Due donne stanno lavando i piatti in cucina.</v>
      </c>
    </row>
    <row r="26441">
      <c r="A26441" s="4" t="s">
        <v>33279</v>
      </c>
      <c r="B26441" s="4" t="s">
        <v>33281</v>
      </c>
      <c r="C26441" s="5" t="str">
        <f>IFERROR(__xludf.DUMMYFUNCTION("GOOGLETRANSLATE(B26441,""en"",""it"")"),"Vanno avanti e indietro sopra la cucina.")</f>
        <v>Vanno avanti e indietro sopra la cucina.</v>
      </c>
    </row>
    <row r="26442">
      <c r="A26442" s="4" t="s">
        <v>33279</v>
      </c>
      <c r="B26442" s="4" t="s">
        <v>33282</v>
      </c>
      <c r="C26442" s="5" t="str">
        <f>IFERROR(__xludf.DUMMYFUNCTION("GOOGLETRANSLATE(B26442,""en"",""it"")"),"La scena è in movimento molto veloce.")</f>
        <v>La scena è in movimento molto veloce.</v>
      </c>
    </row>
    <row r="26443">
      <c r="A26443" s="4" t="s">
        <v>33283</v>
      </c>
      <c r="B26443" s="4" t="s">
        <v>33284</v>
      </c>
      <c r="C26443" s="5" t="str">
        <f>IFERROR(__xludf.DUMMYFUNCTION("GOOGLETRANSLATE(B26443,""en"",""it"")"),"Un uomo e una donna sono seduti su un palco insieme.")</f>
        <v>Un uomo e una donna sono seduti su un palco insieme.</v>
      </c>
    </row>
    <row r="26444">
      <c r="A26444" s="4" t="s">
        <v>33283</v>
      </c>
      <c r="B26444" s="4" t="s">
        <v>33285</v>
      </c>
      <c r="C26444" s="5" t="str">
        <f>IFERROR(__xludf.DUMMYFUNCTION("GOOGLETRANSLATE(B26444,""en"",""it"")"),"Stanno parlando della danza del tango.")</f>
        <v>Stanno parlando della danza del tango.</v>
      </c>
    </row>
    <row r="26445">
      <c r="A26445" s="4" t="s">
        <v>33283</v>
      </c>
      <c r="B26445" s="4" t="s">
        <v>33286</v>
      </c>
      <c r="C26445" s="5" t="str">
        <f>IFERROR(__xludf.DUMMYFUNCTION("GOOGLETRANSLATE(B26445,""en"",""it"")"),"Girano e girano davanti a un pubblico.")</f>
        <v>Girano e girano davanti a un pubblico.</v>
      </c>
    </row>
    <row r="26446">
      <c r="A26446" s="4" t="s">
        <v>33287</v>
      </c>
      <c r="B26446" s="4" t="s">
        <v>33288</v>
      </c>
      <c r="C26446" s="5" t="str">
        <f>IFERROR(__xludf.DUMMYFUNCTION("GOOGLETRANSLATE(B26446,""en"",""it"")"),"Viene data una notizia sul camminare su una slackline.")</f>
        <v>Viene data una notizia sul camminare su una slackline.</v>
      </c>
    </row>
    <row r="26447">
      <c r="A26447" s="4" t="s">
        <v>33287</v>
      </c>
      <c r="B26447" s="4" t="s">
        <v>33289</v>
      </c>
      <c r="C26447" s="5" t="str">
        <f>IFERROR(__xludf.DUMMYFUNCTION("GOOGLETRANSLATE(B26447,""en"",""it"")"),"Persone di tutti i livelli camminano, mentono e meditano sulla corda.")</f>
        <v>Persone di tutti i livelli camminano, mentono e meditano sulla corda.</v>
      </c>
    </row>
    <row r="26448">
      <c r="A26448" s="4" t="s">
        <v>33287</v>
      </c>
      <c r="B26448" s="4" t="s">
        <v>33290</v>
      </c>
      <c r="C26448" s="5" t="str">
        <f>IFERROR(__xludf.DUMMYFUNCTION("GOOGLETRANSLATE(B26448,""en"",""it"")"),"Alcune persone camminano su canori in arrivo.")</f>
        <v>Alcune persone camminano su canori in arrivo.</v>
      </c>
    </row>
    <row r="26449">
      <c r="A26449" s="4" t="s">
        <v>33291</v>
      </c>
      <c r="B26449" s="4" t="s">
        <v>33292</v>
      </c>
      <c r="C26449" s="5" t="str">
        <f>IFERROR(__xludf.DUMMYFUNCTION("GOOGLETRANSLATE(B26449,""en"",""it"")"),"Una donna si mise il rossetto sulle labbra sul davanti uno specchio.")</f>
        <v>Una donna si mise il rossetto sulle labbra sul davanti uno specchio.</v>
      </c>
    </row>
    <row r="26450">
      <c r="A26450" s="4" t="s">
        <v>33291</v>
      </c>
      <c r="B26450" s="4" t="s">
        <v>33293</v>
      </c>
      <c r="C26450" s="5" t="str">
        <f>IFERROR(__xludf.DUMMYFUNCTION("GOOGLETRANSLATE(B26450,""en"",""it"")"),"Poi ride con altri adolescenti accanto a lei.")</f>
        <v>Poi ride con altri adolescenti accanto a lei.</v>
      </c>
    </row>
    <row r="26451">
      <c r="A26451" s="4" t="s">
        <v>33294</v>
      </c>
      <c r="B26451" s="4" t="s">
        <v>33295</v>
      </c>
      <c r="C26451" s="5" t="str">
        <f>IFERROR(__xludf.DUMMYFUNCTION("GOOGLETRANSLATE(B26451,""en"",""it"")"),"Un uomo sta parlando con una macchina fotografica nel suo bagno.")</f>
        <v>Un uomo sta parlando con una macchina fotografica nel suo bagno.</v>
      </c>
    </row>
    <row r="26452">
      <c r="A26452" s="4" t="s">
        <v>33294</v>
      </c>
      <c r="B26452" s="4" t="s">
        <v>33296</v>
      </c>
      <c r="C26452" s="5" t="str">
        <f>IFERROR(__xludf.DUMMYFUNCTION("GOOGLETRANSLATE(B26452,""en"",""it"")"),"Viene quindi mostrato spazzolare, spruzzare e acconciare i capelli di una donna prima di intrecciarli.")</f>
        <v>Viene quindi mostrato spazzolare, spruzzare e acconciare i capelli di una donna prima di intrecciarli.</v>
      </c>
    </row>
    <row r="26453">
      <c r="A26453" s="4" t="s">
        <v>33294</v>
      </c>
      <c r="B26453" s="4" t="s">
        <v>33297</v>
      </c>
      <c r="C26453" s="5" t="str">
        <f>IFERROR(__xludf.DUMMYFUNCTION("GOOGLETRANSLATE(B26453,""en"",""it"")"),"Lei pone per la telecamera quando ha finito.")</f>
        <v>Lei pone per la telecamera quando ha finito.</v>
      </c>
    </row>
    <row r="26454">
      <c r="A26454" s="4" t="s">
        <v>33298</v>
      </c>
      <c r="B26454" s="4" t="s">
        <v>33299</v>
      </c>
      <c r="C26454" s="5" t="str">
        <f>IFERROR(__xludf.DUMMYFUNCTION("GOOGLETRANSLATE(B26454,""en"",""it"")"),"L'uomo istruisce quattro donne a cucinare.")</f>
        <v>L'uomo istruisce quattro donne a cucinare.</v>
      </c>
    </row>
    <row r="26455">
      <c r="A26455" s="4" t="s">
        <v>33298</v>
      </c>
      <c r="B26455" s="4" t="s">
        <v>33300</v>
      </c>
      <c r="C26455" s="5" t="str">
        <f>IFERROR(__xludf.DUMMYFUNCTION("GOOGLETRANSLATE(B26455,""en"",""it"")"),"L'uomo aggiunge olio, cipolle, aglio e peperoni in una pentola.")</f>
        <v>L'uomo aggiunge olio, cipolle, aglio e peperoni in una pentola.</v>
      </c>
    </row>
    <row r="26456">
      <c r="A26456" s="4" t="s">
        <v>33298</v>
      </c>
      <c r="B26456" s="4" t="s">
        <v>33301</v>
      </c>
      <c r="C26456" s="5" t="str">
        <f>IFERROR(__xludf.DUMMYFUNCTION("GOOGLETRANSLATE(B26456,""en"",""it"")"),"L'uomo aggiunge vongole alla pentola.")</f>
        <v>L'uomo aggiunge vongole alla pentola.</v>
      </c>
    </row>
    <row r="26457">
      <c r="A26457" s="4" t="s">
        <v>33298</v>
      </c>
      <c r="B26457" s="4" t="s">
        <v>33302</v>
      </c>
      <c r="C26457" s="5" t="str">
        <f>IFERROR(__xludf.DUMMYFUNCTION("GOOGLETRANSLATE(B26457,""en"",""it"")"),"L'uomo aggiunge brodo alla pentola.")</f>
        <v>L'uomo aggiunge brodo alla pentola.</v>
      </c>
    </row>
    <row r="26458">
      <c r="A26458" s="4" t="s">
        <v>33298</v>
      </c>
      <c r="B26458" s="4" t="s">
        <v>33303</v>
      </c>
      <c r="C26458" s="5" t="str">
        <f>IFERROR(__xludf.DUMMYFUNCTION("GOOGLETRANSLATE(B26458,""en"",""it"")"),"L'uomo bolle la pasta in una pentola separata.")</f>
        <v>L'uomo bolle la pasta in una pentola separata.</v>
      </c>
    </row>
    <row r="26459">
      <c r="A26459" s="4" t="s">
        <v>33298</v>
      </c>
      <c r="B26459" s="4" t="s">
        <v>33304</v>
      </c>
      <c r="C26459" s="5" t="str">
        <f>IFERROR(__xludf.DUMMYFUNCTION("GOOGLETRANSLATE(B26459,""en"",""it"")"),"Le donne si radunano intorno a una pentola per vedere la pasta.")</f>
        <v>Le donne si radunano intorno a una pentola per vedere la pasta.</v>
      </c>
    </row>
    <row r="26460">
      <c r="A26460" s="4" t="s">
        <v>33298</v>
      </c>
      <c r="B26460" s="4" t="s">
        <v>33305</v>
      </c>
      <c r="C26460" s="5" t="str">
        <f>IFERROR(__xludf.DUMMYFUNCTION("GOOGLETRANSLATE(B26460,""en"",""it"")"),"L'uomo finisce la salsa e la versa in una pentola.")</f>
        <v>L'uomo finisce la salsa e la versa in una pentola.</v>
      </c>
    </row>
    <row r="26461">
      <c r="A26461" s="4" t="s">
        <v>33298</v>
      </c>
      <c r="B26461" s="4" t="s">
        <v>33306</v>
      </c>
      <c r="C26461" s="5" t="str">
        <f>IFERROR(__xludf.DUMMYFUNCTION("GOOGLETRANSLATE(B26461,""en"",""it"")"),"L'uomo aggiunge la pasta.")</f>
        <v>L'uomo aggiunge la pasta.</v>
      </c>
    </row>
    <row r="26462">
      <c r="A26462" s="4" t="s">
        <v>33298</v>
      </c>
      <c r="B26462" s="4" t="s">
        <v>33307</v>
      </c>
      <c r="C26462" s="5" t="str">
        <f>IFERROR(__xludf.DUMMYFUNCTION("GOOGLETRANSLATE(B26462,""en"",""it"")"),"L'uomo aggiunge la pasta al piatto.")</f>
        <v>L'uomo aggiunge la pasta al piatto.</v>
      </c>
    </row>
    <row r="26463">
      <c r="A26463" s="4" t="s">
        <v>33298</v>
      </c>
      <c r="B26463" s="4" t="s">
        <v>33308</v>
      </c>
      <c r="C26463" s="5" t="str">
        <f>IFERROR(__xludf.DUMMYFUNCTION("GOOGLETRANSLATE(B26463,""en"",""it"")"),"Le donne provano il piatto di pasta.")</f>
        <v>Le donne provano il piatto di pasta.</v>
      </c>
    </row>
    <row r="26464">
      <c r="A26464" s="4" t="s">
        <v>33298</v>
      </c>
      <c r="B26464" s="4" t="s">
        <v>33309</v>
      </c>
      <c r="C26464" s="5" t="str">
        <f>IFERROR(__xludf.DUMMYFUNCTION("GOOGLETRANSLATE(B26464,""en"",""it"")"),"Tutti ridono e sembrano felici.")</f>
        <v>Tutti ridono e sembrano felici.</v>
      </c>
    </row>
    <row r="26465">
      <c r="A26465" s="4" t="s">
        <v>33298</v>
      </c>
      <c r="B26465" s="4" t="s">
        <v>33310</v>
      </c>
      <c r="C26465" s="5" t="str">
        <f>IFERROR(__xludf.DUMMYFUNCTION("GOOGLETRANSLATE(B26465,""en"",""it"")"),"L'uomo inizia a chiamare i biglietti.")</f>
        <v>L'uomo inizia a chiamare i biglietti.</v>
      </c>
    </row>
    <row r="26466">
      <c r="A26466" s="4" t="s">
        <v>33298</v>
      </c>
      <c r="B26466" s="4" t="s">
        <v>33311</v>
      </c>
      <c r="C26466" s="5" t="str">
        <f>IFERROR(__xludf.DUMMYFUNCTION("GOOGLETRANSLATE(B26466,""en"",""it"")"),"Le donne cuociono il piatto che l'uomo aveva appena insegnato loro a fare.")</f>
        <v>Le donne cuociono il piatto che l'uomo aveva appena insegnato loro a fare.</v>
      </c>
    </row>
    <row r="26467">
      <c r="A26467" s="4" t="s">
        <v>33298</v>
      </c>
      <c r="B26467" s="4" t="s">
        <v>33312</v>
      </c>
      <c r="C26467" s="5" t="str">
        <f>IFERROR(__xludf.DUMMYFUNCTION("GOOGLETRANSLATE(B26467,""en"",""it"")"),"L'uomo li aiuta e dà loro suggerimenti.")</f>
        <v>L'uomo li aiuta e dà loro suggerimenti.</v>
      </c>
    </row>
    <row r="26468">
      <c r="A26468" s="4" t="s">
        <v>33298</v>
      </c>
      <c r="B26468" s="4" t="s">
        <v>33313</v>
      </c>
      <c r="C26468" s="5" t="str">
        <f>IFERROR(__xludf.DUMMYFUNCTION("GOOGLETRANSLATE(B26468,""en"",""it"")"),"Le donne sembrano ansiose mentre cercano di cucinare.")</f>
        <v>Le donne sembrano ansiose mentre cercano di cucinare.</v>
      </c>
    </row>
    <row r="26469">
      <c r="A26469" s="4" t="s">
        <v>33298</v>
      </c>
      <c r="B26469" s="4" t="s">
        <v>33314</v>
      </c>
      <c r="C26469" s="5" t="str">
        <f>IFERROR(__xludf.DUMMYFUNCTION("GOOGLETRANSLATE(B26469,""en"",""it"")"),"I camerieri iniziano a servire le piastre.")</f>
        <v>I camerieri iniziano a servire le piastre.</v>
      </c>
    </row>
    <row r="26470">
      <c r="A26470" s="4" t="s">
        <v>33315</v>
      </c>
      <c r="B26470" s="4" t="s">
        <v>33316</v>
      </c>
      <c r="C26470" s="5" t="str">
        <f>IFERROR(__xludf.DUMMYFUNCTION("GOOGLETRANSLATE(B26470,""en"",""it"")"),"Un operaio edile si trova in un edificio, con un mop e un secchio.")</f>
        <v>Un operaio edile si trova in un edificio, con un mop e un secchio.</v>
      </c>
    </row>
    <row r="26471">
      <c r="A26471" s="4" t="s">
        <v>33315</v>
      </c>
      <c r="B26471" s="4" t="s">
        <v>33317</v>
      </c>
      <c r="C26471" s="5" t="str">
        <f>IFERROR(__xludf.DUMMYFUNCTION("GOOGLETRANSLATE(B26471,""en"",""it"")"),"Mostra il secchio e la soluzione, quindi fa il pavimento in una dimostrazione.")</f>
        <v>Mostra il secchio e la soluzione, quindi fa il pavimento in una dimostrazione.</v>
      </c>
    </row>
    <row r="26472">
      <c r="A26472" s="4" t="s">
        <v>33315</v>
      </c>
      <c r="B26472" s="4" t="s">
        <v>33318</v>
      </c>
      <c r="C26472" s="5" t="str">
        <f>IFERROR(__xludf.DUMMYFUNCTION("GOOGLETRANSLATE(B26472,""en"",""it"")"),"Prende il pavimento completamente pulito e lucido prima di stare da un lato.")</f>
        <v>Prende il pavimento completamente pulito e lucido prima di stare da un lato.</v>
      </c>
    </row>
    <row r="26473">
      <c r="A26473" s="4" t="s">
        <v>33319</v>
      </c>
      <c r="B26473" s="4" t="s">
        <v>33320</v>
      </c>
      <c r="C26473" s="5" t="str">
        <f>IFERROR(__xludf.DUMMYFUNCTION("GOOGLETRANSLATE(B26473,""en"",""it"")"),"La donna è in piedi in un soggiorno con in mano un ferro.")</f>
        <v>La donna è in piedi in un soggiorno con in mano un ferro.</v>
      </c>
    </row>
    <row r="26474">
      <c r="A26474" s="4" t="s">
        <v>33319</v>
      </c>
      <c r="B26474" s="4" t="s">
        <v>33321</v>
      </c>
      <c r="C26474" s="5" t="str">
        <f>IFERROR(__xludf.DUMMYFUNCTION("GOOGLETRANSLATE(B26474,""en"",""it"")"),"La donna che indossa una camicia rosa sta stipulando una camicia blu.")</f>
        <v>La donna che indossa una camicia rosa sta stipulando una camicia blu.</v>
      </c>
    </row>
    <row r="26475">
      <c r="A26475" s="4" t="s">
        <v>33319</v>
      </c>
      <c r="B26475" s="4" t="s">
        <v>33322</v>
      </c>
      <c r="C26475" s="5" t="str">
        <f>IFERROR(__xludf.DUMMYFUNCTION("GOOGLETRANSLATE(B26475,""en"",""it"")"),"Il soggiorno tranquillo è con vecchi mobili.")</f>
        <v>Il soggiorno tranquillo è con vecchi mobili.</v>
      </c>
    </row>
    <row r="26476">
      <c r="A26476" s="4" t="s">
        <v>33323</v>
      </c>
      <c r="B26476" s="4" t="s">
        <v>33324</v>
      </c>
      <c r="C26476" s="5" t="str">
        <f>IFERROR(__xludf.DUMMYFUNCTION("GOOGLETRANSLATE(B26476,""en"",""it"")"),"Una donna sta rastrellando le foglie in una pila grande.")</f>
        <v>Una donna sta rastrellando le foglie in una pila grande.</v>
      </c>
    </row>
    <row r="26477">
      <c r="A26477" s="4" t="s">
        <v>33323</v>
      </c>
      <c r="B26477" s="4" t="s">
        <v>33325</v>
      </c>
      <c r="C26477" s="5" t="str">
        <f>IFERROR(__xludf.DUMMYFUNCTION("GOOGLETRANSLATE(B26477,""en"",""it"")"),"Un uomo gestisce un tosaerba sopra le foglie.")</f>
        <v>Un uomo gestisce un tosaerba sopra le foglie.</v>
      </c>
    </row>
    <row r="26478">
      <c r="A26478" s="4" t="s">
        <v>33323</v>
      </c>
      <c r="B26478" s="4" t="s">
        <v>33326</v>
      </c>
      <c r="C26478" s="5" t="str">
        <f>IFERROR(__xludf.DUMMYFUNCTION("GOOGLETRANSLATE(B26478,""en"",""it"")"),"Mette alcune foglie in un letto da giardino.")</f>
        <v>Mette alcune foglie in un letto da giardino.</v>
      </c>
    </row>
    <row r="26479">
      <c r="A26479" s="4" t="s">
        <v>33327</v>
      </c>
      <c r="B26479" s="4" t="s">
        <v>33328</v>
      </c>
      <c r="C26479" s="5" t="str">
        <f>IFERROR(__xludf.DUMMYFUNCTION("GOOGLETRANSLATE(B26479,""en"",""it"")"),"Viene vista una donna parlare alla telecamera e conduce a stirare un paio di pantaloni.")</f>
        <v>Viene vista una donna parlare alla telecamera e conduce a stirare un paio di pantaloni.</v>
      </c>
    </row>
    <row r="26480">
      <c r="A26480" s="4" t="s">
        <v>33327</v>
      </c>
      <c r="B26480" s="4" t="s">
        <v>33329</v>
      </c>
      <c r="C26480" s="5" t="str">
        <f>IFERROR(__xludf.DUMMYFUNCTION("GOOGLETRANSLATE(B26480,""en"",""it"")"),"La donna continua a stirare i pantaloni mentre si muove il ferro su e giù.")</f>
        <v>La donna continua a stirare i pantaloni mentre si muove il ferro su e giù.</v>
      </c>
    </row>
    <row r="26481">
      <c r="A26481" s="4" t="s">
        <v>33330</v>
      </c>
      <c r="B26481" s="4" t="s">
        <v>33331</v>
      </c>
      <c r="C26481" s="5" t="str">
        <f>IFERROR(__xludf.DUMMYFUNCTION("GOOGLETRANSLATE(B26481,""en"",""it"")"),"Vediamo un sacco di piatti di cibo elegante.")</f>
        <v>Vediamo un sacco di piatti di cibo elegante.</v>
      </c>
    </row>
    <row r="26482">
      <c r="A26482" s="4" t="s">
        <v>33330</v>
      </c>
      <c r="B26482" s="4" t="s">
        <v>33332</v>
      </c>
      <c r="C26482" s="5" t="str">
        <f>IFERROR(__xludf.DUMMYFUNCTION("GOOGLETRANSLATE(B26482,""en"",""it"")"),"Quindi ingrandiamo le piastre.")</f>
        <v>Quindi ingrandiamo le piastre.</v>
      </c>
    </row>
    <row r="26483">
      <c r="A26483" s="4" t="s">
        <v>33330</v>
      </c>
      <c r="B26483" s="4" t="s">
        <v>33333</v>
      </c>
      <c r="C26483" s="5" t="str">
        <f>IFERROR(__xludf.DUMMYFUNCTION("GOOGLETRANSLATE(B26483,""en"",""it"")"),"Vediamo un'ombra sui piatti.")</f>
        <v>Vediamo un'ombra sui piatti.</v>
      </c>
    </row>
    <row r="26484">
      <c r="A26484" s="4" t="s">
        <v>33330</v>
      </c>
      <c r="B26484" s="4" t="s">
        <v>33334</v>
      </c>
      <c r="C26484" s="5" t="str">
        <f>IFERROR(__xludf.DUMMYFUNCTION("GOOGLETRANSLATE(B26484,""en"",""it"")"),"Un uomo sulla destra raccoglie alcuni piatti.")</f>
        <v>Un uomo sulla destra raccoglie alcuni piatti.</v>
      </c>
    </row>
    <row r="26485">
      <c r="A26485" s="4" t="s">
        <v>33335</v>
      </c>
      <c r="B26485" s="4" t="s">
        <v>33336</v>
      </c>
      <c r="C26485" s="5" t="str">
        <f>IFERROR(__xludf.DUMMYFUNCTION("GOOGLETRANSLATE(B26485,""en"",""it"")"),"Una donna che indossa attrezzatura da allenamento è in piedi e appeso a un sacchetto da boxe molto lungo.")</f>
        <v>Una donna che indossa attrezzatura da allenamento è in piedi e appeso a un sacchetto da boxe molto lungo.</v>
      </c>
    </row>
    <row r="26486">
      <c r="A26486" s="4" t="s">
        <v>33335</v>
      </c>
      <c r="B26486" s="4" t="s">
        <v>33337</v>
      </c>
      <c r="C26486" s="5" t="str">
        <f>IFERROR(__xludf.DUMMYFUNCTION("GOOGLETRANSLATE(B26486,""en"",""it"")"),"All'improvviso la donna salta su e si trova a cavallo della borsa.")</f>
        <v>All'improvviso la donna salta su e si trova a cavallo della borsa.</v>
      </c>
    </row>
    <row r="26487">
      <c r="A26487" s="4" t="s">
        <v>33335</v>
      </c>
      <c r="B26487" s="6" t="s">
        <v>33338</v>
      </c>
      <c r="C26487" s="5" t="str">
        <f>IFERROR(__xludf.DUMMYFUNCTION("GOOGLETRANSLATE(B26487,""en"",""it"")"),"Lentamente, la donna lascia cadere la metà superiore del suo corpo mentre ancora a cavallo della borsa e fa 5 sit up mentre la borsa oscilla con lei.")</f>
        <v>Lentamente, la donna lascia cadere la metà superiore del suo corpo mentre ancora a cavallo della borsa e fa 5 sit up mentre la borsa oscilla con lei.</v>
      </c>
    </row>
    <row r="26488">
      <c r="A26488" s="4" t="s">
        <v>33335</v>
      </c>
      <c r="B26488" s="4" t="s">
        <v>33339</v>
      </c>
      <c r="C26488" s="5" t="str">
        <f>IFERROR(__xludf.DUMMYFUNCTION("GOOGLETRANSLATE(B26488,""en"",""it"")"),"La donna tiene sulla borsa, sorride, quindi salta via.")</f>
        <v>La donna tiene sulla borsa, sorride, quindi salta via.</v>
      </c>
    </row>
    <row r="26489">
      <c r="A26489" s="4" t="s">
        <v>33340</v>
      </c>
      <c r="B26489" s="4" t="s">
        <v>33341</v>
      </c>
      <c r="C26489" s="5" t="str">
        <f>IFERROR(__xludf.DUMMYFUNCTION("GOOGLETRANSLATE(B26489,""en"",""it"")"),"Una donna e una ragazza nuotano in una piscina.")</f>
        <v>Una donna e una ragazza nuotano in una piscina.</v>
      </c>
    </row>
    <row r="26490">
      <c r="A26490" s="4" t="s">
        <v>33340</v>
      </c>
      <c r="B26490" s="4" t="s">
        <v>33342</v>
      </c>
      <c r="C26490" s="5" t="str">
        <f>IFERROR(__xludf.DUMMYFUNCTION("GOOGLETRANSLATE(B26490,""en"",""it"")"),"La ragazza si aggrappa alla donna mentre nuota.")</f>
        <v>La ragazza si aggrappa alla donna mentre nuota.</v>
      </c>
    </row>
    <row r="26491">
      <c r="A26491" s="4" t="s">
        <v>33340</v>
      </c>
      <c r="B26491" s="4" t="s">
        <v>33343</v>
      </c>
      <c r="C26491" s="5" t="str">
        <f>IFERROR(__xludf.DUMMYFUNCTION("GOOGLETRANSLATE(B26491,""en"",""it"")"),"La ragazza lascia andare e nuota vicino alla donna.")</f>
        <v>La ragazza lascia andare e nuota vicino alla donna.</v>
      </c>
    </row>
    <row r="26492">
      <c r="A26492" s="4" t="s">
        <v>33340</v>
      </c>
      <c r="B26492" s="4" t="s">
        <v>33344</v>
      </c>
      <c r="C26492" s="5" t="str">
        <f>IFERROR(__xludf.DUMMYFUNCTION("GOOGLETRANSLATE(B26492,""en"",""it"")"),"La ragazza e la donna si tengono per mano e nuotano sulla superficie della piscina.")</f>
        <v>La ragazza e la donna si tengono per mano e nuotano sulla superficie della piscina.</v>
      </c>
    </row>
    <row r="26493">
      <c r="A26493" s="4" t="s">
        <v>33340</v>
      </c>
      <c r="B26493" s="4" t="s">
        <v>33345</v>
      </c>
      <c r="C26493" s="5" t="str">
        <f>IFERROR(__xludf.DUMMYFUNCTION("GOOGLETRANSLATE(B26493,""en"",""it"")"),"La donna si aggrappa alla ragazza.")</f>
        <v>La donna si aggrappa alla ragazza.</v>
      </c>
    </row>
    <row r="26494">
      <c r="A26494" s="4" t="s">
        <v>33346</v>
      </c>
      <c r="B26494" s="4" t="s">
        <v>33347</v>
      </c>
      <c r="C26494" s="5" t="str">
        <f>IFERROR(__xludf.DUMMYFUNCTION("GOOGLETRANSLATE(B26494,""en"",""it"")"),"Un folto gruppo di persone si vede correre intorno a una fossa sabbiosa che calcia un pallone da calcio.")</f>
        <v>Un folto gruppo di persone si vede correre intorno a una fossa sabbiosa che calcia un pallone da calcio.</v>
      </c>
    </row>
    <row r="26495">
      <c r="A26495" s="4" t="s">
        <v>33346</v>
      </c>
      <c r="B26495" s="4" t="s">
        <v>33348</v>
      </c>
      <c r="C26495" s="5" t="str">
        <f>IFERROR(__xludf.DUMMYFUNCTION("GOOGLETRANSLATE(B26495,""en"",""it"")"),"Le persone continuano a giocare a calcio tra loro e aspettano una chiamata alla fine.")</f>
        <v>Le persone continuano a giocare a calcio tra loro e aspettano una chiamata alla fine.</v>
      </c>
    </row>
    <row r="26496">
      <c r="A26496" s="4" t="s">
        <v>33349</v>
      </c>
      <c r="B26496" s="4" t="s">
        <v>33350</v>
      </c>
      <c r="C26496" s="5" t="str">
        <f>IFERROR(__xludf.DUMMYFUNCTION("GOOGLETRANSLATE(B26496,""en"",""it"")"),"Una donna tiene un gattino in grembo.")</f>
        <v>Una donna tiene un gattino in grembo.</v>
      </c>
    </row>
    <row r="26497">
      <c r="A26497" s="4" t="s">
        <v>33349</v>
      </c>
      <c r="B26497" s="4" t="s">
        <v>33351</v>
      </c>
      <c r="C26497" s="5" t="str">
        <f>IFERROR(__xludf.DUMMYFUNCTION("GOOGLETRANSLATE(B26497,""en"",""it"")"),"Un ragazzo sta ritagliando le unghie sul gatto.")</f>
        <v>Un ragazzo sta ritagliando le unghie sul gatto.</v>
      </c>
    </row>
    <row r="26498">
      <c r="A26498" s="4" t="s">
        <v>33352</v>
      </c>
      <c r="B26498" s="4" t="s">
        <v>33353</v>
      </c>
      <c r="C26498" s="5" t="str">
        <f>IFERROR(__xludf.DUMMYFUNCTION("GOOGLETRANSLATE(B26498,""en"",""it"")"),"Due donne del bodybuilder sono sedute a un tavolo.")</f>
        <v>Due donne del bodybuilder sono sedute a un tavolo.</v>
      </c>
    </row>
    <row r="26499">
      <c r="A26499" s="4" t="s">
        <v>33352</v>
      </c>
      <c r="B26499" s="4" t="s">
        <v>33354</v>
      </c>
      <c r="C26499" s="5" t="str">
        <f>IFERROR(__xludf.DUMMYFUNCTION("GOOGLETRANSLATE(B26499,""en"",""it"")"),"Sono il wrestling del braccio, vincolando per vincere.")</f>
        <v>Sono il wrestling del braccio, vincolando per vincere.</v>
      </c>
    </row>
    <row r="26500">
      <c r="A26500" s="4" t="s">
        <v>33352</v>
      </c>
      <c r="B26500" s="4" t="s">
        <v>33355</v>
      </c>
      <c r="C26500" s="5" t="str">
        <f>IFERROR(__xludf.DUMMYFUNCTION("GOOGLETRANSLATE(B26500,""en"",""it"")"),"Quando c'è un vincitore, le due donne si stringono la mano.")</f>
        <v>Quando c'è un vincitore, le due donne si stringono la mano.</v>
      </c>
    </row>
    <row r="26501">
      <c r="A26501" s="4" t="s">
        <v>33356</v>
      </c>
      <c r="B26501" s="4" t="s">
        <v>33357</v>
      </c>
      <c r="C26501" s="5" t="str">
        <f>IFERROR(__xludf.DUMMYFUNCTION("GOOGLETRANSLATE(B26501,""en"",""it"")"),"La squadra verde e bianca scende dal pavimento.")</f>
        <v>La squadra verde e bianca scende dal pavimento.</v>
      </c>
    </row>
    <row r="26502">
      <c r="A26502" s="4" t="s">
        <v>33356</v>
      </c>
      <c r="B26502" s="4" t="s">
        <v>33358</v>
      </c>
      <c r="C26502" s="5" t="str">
        <f>IFERROR(__xludf.DUMMYFUNCTION("GOOGLETRANSLATE(B26502,""en"",""it"")"),"La squadra verde e bianca sta tirando la corda in un concorso di rimorchiatore.")</f>
        <v>La squadra verde e bianca sta tirando la corda in un concorso di rimorchiatore.</v>
      </c>
    </row>
    <row r="26503">
      <c r="A26503" s="4" t="s">
        <v>33356</v>
      </c>
      <c r="B26503" s="4" t="s">
        <v>33359</v>
      </c>
      <c r="C26503" s="5" t="str">
        <f>IFERROR(__xludf.DUMMYFUNCTION("GOOGLETRANSLATE(B26503,""en"",""it"")"),"La squadra rossa e nera sta tirando la corda in un concorso di rimorchiatore.")</f>
        <v>La squadra rossa e nera sta tirando la corda in un concorso di rimorchiatore.</v>
      </c>
    </row>
    <row r="26504">
      <c r="A26504" s="4" t="s">
        <v>33356</v>
      </c>
      <c r="B26504" s="4" t="s">
        <v>33360</v>
      </c>
      <c r="C26504" s="5" t="str">
        <f>IFERROR(__xludf.DUMMYFUNCTION("GOOGLETRANSLATE(B26504,""en"",""it"")"),"La squadra verde e bianca sta facendo ripetutamente passi e il pubblico è incoraggiante.")</f>
        <v>La squadra verde e bianca sta facendo ripetutamente passi e il pubblico è incoraggiante.</v>
      </c>
    </row>
    <row r="26505">
      <c r="A26505" s="4" t="s">
        <v>33356</v>
      </c>
      <c r="B26505" s="4" t="s">
        <v>33361</v>
      </c>
      <c r="C26505" s="5" t="str">
        <f>IFERROR(__xludf.DUMMYFUNCTION("GOOGLETRANSLATE(B26505,""en"",""it"")"),"La squadra verde e bianca è in piedi con la corda.")</f>
        <v>La squadra verde e bianca è in piedi con la corda.</v>
      </c>
    </row>
    <row r="26506">
      <c r="A26506" s="4" t="s">
        <v>33362</v>
      </c>
      <c r="B26506" s="4" t="s">
        <v>33363</v>
      </c>
      <c r="C26506" s="5" t="str">
        <f>IFERROR(__xludf.DUMMYFUNCTION("GOOGLETRANSLATE(B26506,""en"",""it"")"),"Un uomo con una camicia gialla è in ginocchio a strati di cemento sul pavimento.")</f>
        <v>Un uomo con una camicia gialla è in ginocchio a strati di cemento sul pavimento.</v>
      </c>
    </row>
    <row r="26507">
      <c r="A26507" s="4" t="s">
        <v>33362</v>
      </c>
      <c r="B26507" s="4" t="s">
        <v>33364</v>
      </c>
      <c r="C26507" s="5" t="str">
        <f>IFERROR(__xludf.DUMMYFUNCTION("GOOGLETRANSLATE(B26507,""en"",""it"")"),"Si ferma per un secondo e alza lo sguardo.")</f>
        <v>Si ferma per un secondo e alza lo sguardo.</v>
      </c>
    </row>
    <row r="26508">
      <c r="A26508" s="4" t="s">
        <v>33362</v>
      </c>
      <c r="B26508" s="4" t="s">
        <v>33365</v>
      </c>
      <c r="C26508" s="5" t="str">
        <f>IFERROR(__xludf.DUMMYFUNCTION("GOOGLETRANSLATE(B26508,""en"",""it"")"),"L'uomo torna a stratificare il pavimento con cemento.")</f>
        <v>L'uomo torna a stratificare il pavimento con cemento.</v>
      </c>
    </row>
    <row r="26509">
      <c r="A26509" s="4" t="s">
        <v>33366</v>
      </c>
      <c r="B26509" s="6" t="s">
        <v>33367</v>
      </c>
      <c r="C26509" s="5" t="str">
        <f>IFERROR(__xludf.DUMMYFUNCTION("GOOGLETRANSLATE(B26509,""en"",""it"")"),"Viene visto un ragazzo che tira fuori una scopa da un secchio seguito da lui che spinge la scopa sul pavimento.")</f>
        <v>Viene visto un ragazzo che tira fuori una scopa da un secchio seguito da lui che spinge la scopa sul pavimento.</v>
      </c>
    </row>
    <row r="26510">
      <c r="A26510" s="4" t="s">
        <v>33366</v>
      </c>
      <c r="B26510" s="6" t="s">
        <v>33368</v>
      </c>
      <c r="C26510" s="5" t="str">
        <f>IFERROR(__xludf.DUMMYFUNCTION("GOOGLETRANSLATE(B26510,""en"",""it"")"),"La telecamera si muove verso una donna in lontananza e il ragazzo continua a spingere la scopa lungo il pavimento.")</f>
        <v>La telecamera si muove verso una donna in lontananza e il ragazzo continua a spingere la scopa lungo il pavimento.</v>
      </c>
    </row>
    <row r="26511">
      <c r="A26511" s="4" t="s">
        <v>33369</v>
      </c>
      <c r="B26511" s="4" t="s">
        <v>33370</v>
      </c>
      <c r="C26511" s="5" t="str">
        <f>IFERROR(__xludf.DUMMYFUNCTION("GOOGLETRANSLATE(B26511,""en"",""it"")"),"Una persona diffonde i rami su un albero di Natale.")</f>
        <v>Una persona diffonde i rami su un albero di Natale.</v>
      </c>
    </row>
    <row r="26512">
      <c r="A26512" s="4" t="s">
        <v>33369</v>
      </c>
      <c r="B26512" s="4" t="s">
        <v>33371</v>
      </c>
      <c r="C26512" s="5" t="str">
        <f>IFERROR(__xludf.DUMMYFUNCTION("GOOGLETRANSLATE(B26512,""en"",""it"")"),"La persona avvolge i fili di stani luccicanti attorno all'albero.")</f>
        <v>La persona avvolge i fili di stani luccicanti attorno all'albero.</v>
      </c>
    </row>
    <row r="26513">
      <c r="A26513" s="4" t="s">
        <v>33369</v>
      </c>
      <c r="B26513" s="4" t="s">
        <v>33372</v>
      </c>
      <c r="C26513" s="5" t="str">
        <f>IFERROR(__xludf.DUMMYFUNCTION("GOOGLETRANSLATE(B26513,""en"",""it"")"),"La persona pende i bulbi natalizi sull'albero.")</f>
        <v>La persona pende i bulbi natalizi sull'albero.</v>
      </c>
    </row>
    <row r="26514">
      <c r="A26514" s="4" t="s">
        <v>33369</v>
      </c>
      <c r="B26514" s="4" t="s">
        <v>33373</v>
      </c>
      <c r="C26514" s="5" t="str">
        <f>IFERROR(__xludf.DUMMYFUNCTION("GOOGLETRANSLATE(B26514,""en"",""it"")"),"Un bambino viene e guarda la persona che decora l'albero poi corre giocando.")</f>
        <v>Un bambino viene e guarda la persona che decora l'albero poi corre giocando.</v>
      </c>
    </row>
    <row r="26515">
      <c r="A26515" s="4" t="s">
        <v>33369</v>
      </c>
      <c r="B26515" s="4" t="s">
        <v>33374</v>
      </c>
      <c r="C26515" s="5" t="str">
        <f>IFERROR(__xludf.DUMMYFUNCTION("GOOGLETRANSLATE(B26515,""en"",""it"")"),"La persona arrotola un pezzo di tessuto trasparente da mettere via.")</f>
        <v>La persona arrotola un pezzo di tessuto trasparente da mettere via.</v>
      </c>
    </row>
    <row r="26516">
      <c r="A26516" s="4" t="s">
        <v>33375</v>
      </c>
      <c r="B26516" s="4" t="s">
        <v>33376</v>
      </c>
      <c r="C26516" s="5" t="str">
        <f>IFERROR(__xludf.DUMMYFUNCTION("GOOGLETRANSLATE(B26516,""en"",""it"")"),"Vengono mostrate varie scene di folla in un'arena di corrida.")</f>
        <v>Vengono mostrate varie scene di folla in un'arena di corrida.</v>
      </c>
    </row>
    <row r="26517">
      <c r="A26517" s="4" t="s">
        <v>33375</v>
      </c>
      <c r="B26517" s="4" t="s">
        <v>33377</v>
      </c>
      <c r="C26517" s="5" t="str">
        <f>IFERROR(__xludf.DUMMYFUNCTION("GOOGLETRANSLATE(B26517,""en"",""it"")"),"Matadors escono nella zona dell'anello.")</f>
        <v>Matadors escono nella zona dell'anello.</v>
      </c>
    </row>
    <row r="26518">
      <c r="A26518" s="4" t="s">
        <v>33375</v>
      </c>
      <c r="B26518" s="4" t="s">
        <v>33378</v>
      </c>
      <c r="C26518" s="5" t="str">
        <f>IFERROR(__xludf.DUMMYFUNCTION("GOOGLETRANSLATE(B26518,""en"",""it"")"),"Viene mostrata una sfilata di cavalli e ciclisti.")</f>
        <v>Viene mostrata una sfilata di cavalli e ciclisti.</v>
      </c>
    </row>
    <row r="26519">
      <c r="A26519" s="4" t="s">
        <v>33375</v>
      </c>
      <c r="B26519" s="4" t="s">
        <v>33379</v>
      </c>
      <c r="C26519" s="5" t="str">
        <f>IFERROR(__xludf.DUMMYFUNCTION("GOOGLETRANSLATE(B26519,""en"",""it"")"),"Vengono mostrate scene di matadors che interagiscono con i tori.")</f>
        <v>Vengono mostrate scene di matadors che interagiscono con i tori.</v>
      </c>
    </row>
    <row r="26520">
      <c r="A26520" s="4" t="s">
        <v>33375</v>
      </c>
      <c r="B26520" s="4" t="s">
        <v>33380</v>
      </c>
      <c r="C26520" s="5" t="str">
        <f>IFERROR(__xludf.DUMMYFUNCTION("GOOGLETRANSLATE(B26520,""en"",""it"")"),"La folla esercita per un matador.")</f>
        <v>La folla esercita per un matador.</v>
      </c>
    </row>
    <row r="26521">
      <c r="A26521" s="4" t="s">
        <v>33375</v>
      </c>
      <c r="B26521" s="4" t="s">
        <v>33381</v>
      </c>
      <c r="C26521" s="5" t="str">
        <f>IFERROR(__xludf.DUMMYFUNCTION("GOOGLETRANSLATE(B26521,""en"",""it"")"),"I matadors sono issati sulle spalle delle persone e sfilate.")</f>
        <v>I matadors sono issati sulle spalle delle persone e sfilate.</v>
      </c>
    </row>
    <row r="26522">
      <c r="A26522" s="4" t="s">
        <v>33382</v>
      </c>
      <c r="B26522" s="4" t="s">
        <v>33383</v>
      </c>
      <c r="C26522" s="5" t="str">
        <f>IFERROR(__xludf.DUMMYFUNCTION("GOOGLETRANSLATE(B26522,""en"",""it"")"),"La donna si sporge sul tavolo da biliardo concentrandosi sulla palla.")</f>
        <v>La donna si sporge sul tavolo da biliardo concentrandosi sulla palla.</v>
      </c>
    </row>
    <row r="26523">
      <c r="A26523" s="4" t="s">
        <v>33382</v>
      </c>
      <c r="B26523" s="4" t="s">
        <v>33384</v>
      </c>
      <c r="C26523" s="5" t="str">
        <f>IFERROR(__xludf.DUMMYFUNCTION("GOOGLETRANSLATE(B26523,""en"",""it"")"),"La donna ha colpito la palla e applaudita.")</f>
        <v>La donna ha colpito la palla e applaudita.</v>
      </c>
    </row>
    <row r="26524">
      <c r="A26524" s="4" t="s">
        <v>33382</v>
      </c>
      <c r="B26524" s="4" t="s">
        <v>33385</v>
      </c>
      <c r="C26524" s="5" t="str">
        <f>IFERROR(__xludf.DUMMYFUNCTION("GOOGLETRANSLATE(B26524,""en"",""it"")"),"La donna colpì di nuovo la palla e iniziò a saltare.")</f>
        <v>La donna colpì di nuovo la palla e iniziò a saltare.</v>
      </c>
    </row>
    <row r="26525">
      <c r="A26525" s="4" t="s">
        <v>33386</v>
      </c>
      <c r="B26525" s="4" t="s">
        <v>33387</v>
      </c>
      <c r="C26525" s="5" t="str">
        <f>IFERROR(__xludf.DUMMYFUNCTION("GOOGLETRANSLATE(B26525,""en"",""it"")"),"Un uomo in un body sta soffiando tra le mani facendosi scaldare per iniziare a correre.")</f>
        <v>Un uomo in un body sta soffiando tra le mani facendosi scaldare per iniziare a correre.</v>
      </c>
    </row>
    <row r="26526">
      <c r="A26526" s="4" t="s">
        <v>33386</v>
      </c>
      <c r="B26526" s="4" t="s">
        <v>33388</v>
      </c>
      <c r="C26526" s="5" t="str">
        <f>IFERROR(__xludf.DUMMYFUNCTION("GOOGLETRANSLATE(B26526,""en"",""it"")"),"Una volta che inizia, va molto velocemente saltando su e nella sabbia.")</f>
        <v>Una volta che inizia, va molto velocemente saltando su e nella sabbia.</v>
      </c>
    </row>
    <row r="26527">
      <c r="A26527" s="4" t="s">
        <v>33386</v>
      </c>
      <c r="B26527" s="4" t="s">
        <v>33389</v>
      </c>
      <c r="C26527" s="5" t="str">
        <f>IFERROR(__xludf.DUMMYFUNCTION("GOOGLETRANSLATE(B26527,""en"",""it"")"),"Mostrano un replay della sua corsa e atterrano al rallentatore.")</f>
        <v>Mostrano un replay della sua corsa e atterrano al rallentatore.</v>
      </c>
    </row>
    <row r="26528">
      <c r="A26528" s="4" t="s">
        <v>33386</v>
      </c>
      <c r="B26528" s="4" t="s">
        <v>33390</v>
      </c>
      <c r="C26528" s="5" t="str">
        <f>IFERROR(__xludf.DUMMYFUNCTION("GOOGLETRANSLATE(B26528,""en"",""it"")"),"Quando ha finito, cammina per l'arena mentre viene seguito da una macchina fotografica.")</f>
        <v>Quando ha finito, cammina per l'arena mentre viene seguito da una macchina fotografica.</v>
      </c>
    </row>
    <row r="26529">
      <c r="A26529" s="4" t="s">
        <v>33391</v>
      </c>
      <c r="B26529" s="6" t="s">
        <v>33392</v>
      </c>
      <c r="C26529" s="5" t="str">
        <f>IFERROR(__xludf.DUMMYFUNCTION("GOOGLETRANSLATE(B26529,""en"",""it"")"),"Una bambina è in piedi in cucina e inizia a spremere un limone in una ciotola d'acqua, una persona è al suo fianco.")</f>
        <v>Una bambina è in piedi in cucina e inizia a spremere un limone in una ciotola d'acqua, una persona è al suo fianco.</v>
      </c>
    </row>
    <row r="26530">
      <c r="A26530" s="4" t="s">
        <v>33391</v>
      </c>
      <c r="B26530" s="6" t="s">
        <v>33393</v>
      </c>
      <c r="C26530" s="5" t="str">
        <f>IFERROR(__xludf.DUMMYFUNCTION("GOOGLETRANSLATE(B26530,""en"",""it"")"),"La ragazza di Lttle si succhia il dito e sorride mentre una donna cammina per la cucina e mette qualcosa nel bancone.")</f>
        <v>La ragazza di Lttle si succhia il dito e sorride mentre una donna cammina per la cucina e mette qualcosa nel bancone.</v>
      </c>
    </row>
    <row r="26531">
      <c r="A26531" s="4" t="s">
        <v>33391</v>
      </c>
      <c r="B26531" s="4" t="s">
        <v>33394</v>
      </c>
      <c r="C26531" s="5" t="str">
        <f>IFERROR(__xludf.DUMMYFUNCTION("GOOGLETRANSLATE(B26531,""en"",""it"")"),"La bambina è in cucina con la bocca aperta e gioca con i capelli.")</f>
        <v>La bambina è in cucina con la bocca aperta e gioca con i capelli.</v>
      </c>
    </row>
    <row r="26532">
      <c r="A26532" s="4" t="s">
        <v>33391</v>
      </c>
      <c r="B26532" s="6" t="s">
        <v>33395</v>
      </c>
      <c r="C26532" s="5" t="str">
        <f>IFERROR(__xludf.DUMMYFUNCTION("GOOGLETRANSLATE(B26532,""en"",""it"")"),"La ragazza inizia a camminare in un sedere tra i fronti di un bancone con una ciotola di frutta e parlare con la telecamera, cammina di nuovo in cucina e mantieni i limoni di acquee nella ciotola d'acqua, la donna inizia ad aiutarla.")</f>
        <v>La ragazza inizia a camminare in un sedere tra i fronti di un bancone con una ciotola di frutta e parlare con la telecamera, cammina di nuovo in cucina e mantieni i limoni di acquee nella ciotola d'acqua, la donna inizia ad aiutarla.</v>
      </c>
    </row>
    <row r="26533">
      <c r="A26533" s="4" t="s">
        <v>33391</v>
      </c>
      <c r="B26533" s="6" t="s">
        <v>33396</v>
      </c>
      <c r="C26533" s="5" t="str">
        <f>IFERROR(__xludf.DUMMYFUNCTION("GOOGLETRANSLATE(B26533,""en"",""it"")"),"La donna pulisce le mani nel lavandino e la ragazza cammina in cucina e continua a spremere i limoni.")</f>
        <v>La donna pulisce le mani nel lavandino e la ragazza cammina in cucina e continua a spremere i limoni.</v>
      </c>
    </row>
    <row r="26534">
      <c r="A26534" s="4" t="s">
        <v>33397</v>
      </c>
      <c r="B26534" s="4" t="s">
        <v>33398</v>
      </c>
      <c r="C26534" s="5" t="str">
        <f>IFERROR(__xludf.DUMMYFUNCTION("GOOGLETRANSLATE(B26534,""en"",""it"")"),"Viene visto un uomo che posa a terra usando una macchina e altri che aiutano.")</f>
        <v>Viene visto un uomo che posa a terra usando una macchina e altri che aiutano.</v>
      </c>
    </row>
    <row r="26535">
      <c r="A26535" s="4" t="s">
        <v>33397</v>
      </c>
      <c r="B26535" s="6" t="s">
        <v>33399</v>
      </c>
      <c r="C26535" s="5" t="str">
        <f>IFERROR(__xludf.DUMMYFUNCTION("GOOGLETRANSLATE(B26535,""en"",""it"")"),"Vengono mostrati diversi scatti degli uomini che spingono giù per il pavimento e usano una torcia sotto per mantenerlo in posizione.")</f>
        <v>Vengono mostrati diversi scatti degli uomini che spingono giù per il pavimento e usano una torcia sotto per mantenerlo in posizione.</v>
      </c>
    </row>
    <row r="26536">
      <c r="A26536" s="4" t="s">
        <v>33397</v>
      </c>
      <c r="B26536" s="6" t="s">
        <v>33400</v>
      </c>
      <c r="C26536" s="5" t="str">
        <f>IFERROR(__xludf.DUMMYFUNCTION("GOOGLETRANSLATE(B26536,""en"",""it"")"),"L'uomo continua a lavorare mentre mostra il vapore sui tappetini caldi e il tetto finito.")</f>
        <v>L'uomo continua a lavorare mentre mostra il vapore sui tappetini caldi e il tetto finito.</v>
      </c>
    </row>
    <row r="26537">
      <c r="A26537" s="4" t="s">
        <v>33401</v>
      </c>
      <c r="B26537" s="4" t="s">
        <v>33402</v>
      </c>
      <c r="C26537" s="5" t="str">
        <f>IFERROR(__xludf.DUMMYFUNCTION("GOOGLETRANSLATE(B26537,""en"",""it"")"),"Una grande ondata si sta schiantando verso la riva.")</f>
        <v>Una grande ondata si sta schiantando verso la riva.</v>
      </c>
    </row>
    <row r="26538">
      <c r="A26538" s="4" t="s">
        <v>33401</v>
      </c>
      <c r="B26538" s="4" t="s">
        <v>33403</v>
      </c>
      <c r="C26538" s="5" t="str">
        <f>IFERROR(__xludf.DUMMYFUNCTION("GOOGLETRANSLATE(B26538,""en"",""it"")"),"Viene mostrato un surfista che lacera attraverso l'acqua.")</f>
        <v>Viene mostrato un surfista che lacera attraverso l'acqua.</v>
      </c>
    </row>
    <row r="26539">
      <c r="A26539" s="4" t="s">
        <v>33401</v>
      </c>
      <c r="B26539" s="4" t="s">
        <v>33404</v>
      </c>
      <c r="C26539" s="5" t="str">
        <f>IFERROR(__xludf.DUMMYFUNCTION("GOOGLETRANSLATE(B26539,""en"",""it"")"),"Appare un arcobaleno, quindi vediamo barche sulla spiaggia e più surfisti tra le onde.")</f>
        <v>Appare un arcobaleno, quindi vediamo barche sulla spiaggia e più surfisti tra le onde.</v>
      </c>
    </row>
    <row r="26540">
      <c r="A26540" s="4" t="s">
        <v>33405</v>
      </c>
      <c r="B26540" s="4" t="s">
        <v>33406</v>
      </c>
      <c r="C26540" s="5" t="str">
        <f>IFERROR(__xludf.DUMMYFUNCTION("GOOGLETRANSLATE(B26540,""en"",""it"")"),"Un giornalista sta parlando di un allevatore di fondi locali tenuto da una scuola materna.")</f>
        <v>Un giornalista sta parlando di un allevatore di fondi locali tenuto da una scuola materna.</v>
      </c>
    </row>
    <row r="26541">
      <c r="A26541" s="4" t="s">
        <v>33405</v>
      </c>
      <c r="B26541" s="4" t="s">
        <v>33407</v>
      </c>
      <c r="C26541" s="5" t="str">
        <f>IFERROR(__xludf.DUMMYFUNCTION("GOOGLETRANSLATE(B26541,""en"",""it"")"),"Ci sono diverse persone raccolte per sostenere la causa.")</f>
        <v>Ci sono diverse persone raccolte per sostenere la causa.</v>
      </c>
    </row>
    <row r="26542">
      <c r="A26542" s="4" t="s">
        <v>33405</v>
      </c>
      <c r="B26542" s="6" t="s">
        <v>33408</v>
      </c>
      <c r="C26542" s="5" t="str">
        <f>IFERROR(__xludf.DUMMYFUNCTION("GOOGLETRANSLATE(B26542,""en"",""it"")"),"C'è un supporto per limonata in cui le persone acquistano limonata per donare denaro per una causa.")</f>
        <v>C'è un supporto per limonata in cui le persone acquistano limonata per donare denaro per una causa.</v>
      </c>
    </row>
    <row r="26543">
      <c r="A26543" s="4" t="s">
        <v>33405</v>
      </c>
      <c r="B26543" s="4" t="s">
        <v>33409</v>
      </c>
      <c r="C26543" s="5" t="str">
        <f>IFERROR(__xludf.DUMMYFUNCTION("GOOGLETRANSLATE(B26543,""en"",""it"")"),"Uno dei genitori sta parlando con il giornalista della raccolta fondi.")</f>
        <v>Uno dei genitori sta parlando con il giornalista della raccolta fondi.</v>
      </c>
    </row>
    <row r="26544">
      <c r="A26544" s="4" t="s">
        <v>33405</v>
      </c>
      <c r="B26544" s="4" t="s">
        <v>33410</v>
      </c>
      <c r="C26544" s="5" t="str">
        <f>IFERROR(__xludf.DUMMYFUNCTION("GOOGLETRANSLATE(B26544,""en"",""it"")"),"Altri tre genitori stanno chiacchierando mentre sorseggiano la limonata.")</f>
        <v>Altri tre genitori stanno chiacchierando mentre sorseggiano la limonata.</v>
      </c>
    </row>
    <row r="26545">
      <c r="A26545" s="4" t="s">
        <v>33405</v>
      </c>
      <c r="B26545" s="4" t="s">
        <v>33411</v>
      </c>
      <c r="C26545" s="5" t="str">
        <f>IFERROR(__xludf.DUMMYFUNCTION("GOOGLETRANSLATE(B26545,""en"",""it"")"),"Una foto della ragazza, viene mostrata Hannah per la quale si è tenuta la raccolta fondi.")</f>
        <v>Una foto della ragazza, viene mostrata Hannah per la quale si è tenuta la raccolta fondi.</v>
      </c>
    </row>
    <row r="26546">
      <c r="A26546" s="4" t="s">
        <v>33412</v>
      </c>
      <c r="B26546" s="4" t="s">
        <v>33413</v>
      </c>
      <c r="C26546" s="5" t="str">
        <f>IFERROR(__xludf.DUMMYFUNCTION("GOOGLETRANSLATE(B26546,""en"",""it"")"),"Le cheerleader con le mani in allegria.")</f>
        <v>Le cheerleader con le mani in allegria.</v>
      </c>
    </row>
    <row r="26547">
      <c r="A26547" s="4" t="s">
        <v>33412</v>
      </c>
      <c r="B26547" s="4" t="s">
        <v>33414</v>
      </c>
      <c r="C26547" s="5" t="str">
        <f>IFERROR(__xludf.DUMMYFUNCTION("GOOGLETRANSLATE(B26547,""en"",""it"")"),"Vanno sul pavimento e si fermano.")</f>
        <v>Vanno sul pavimento e si fermano.</v>
      </c>
    </row>
    <row r="26548">
      <c r="A26548" s="4" t="s">
        <v>33412</v>
      </c>
      <c r="B26548" s="4" t="s">
        <v>33415</v>
      </c>
      <c r="C26548" s="5" t="str">
        <f>IFERROR(__xludf.DUMMYFUNCTION("GOOGLETRANSLATE(B26548,""en"",""it"")"),"Eseguono una routine di allegria.")</f>
        <v>Eseguono una routine di allegria.</v>
      </c>
    </row>
    <row r="26549">
      <c r="A26549" s="4" t="s">
        <v>33412</v>
      </c>
      <c r="B26549" s="4" t="s">
        <v>33416</v>
      </c>
      <c r="C26549" s="5" t="str">
        <f>IFERROR(__xludf.DUMMYFUNCTION("GOOGLETRANSLATE(B26549,""en"",""it"")"),"Quattro ragazze vengono sollevate e tengono le gambe.")</f>
        <v>Quattro ragazze vengono sollevate e tengono le gambe.</v>
      </c>
    </row>
    <row r="26550">
      <c r="A26550" s="4" t="s">
        <v>33412</v>
      </c>
      <c r="B26550" s="4" t="s">
        <v>33417</v>
      </c>
      <c r="C26550" s="5" t="str">
        <f>IFERROR(__xludf.DUMMYFUNCTION("GOOGLETRANSLATE(B26550,""en"",""it"")"),"Due ragazze vengono sollevate in aria e due ragazze vengono lanciate, quindi due ragazze sollevano le due ragazze.")</f>
        <v>Due ragazze vengono sollevate in aria e due ragazze vengono lanciate, quindi due ragazze sollevano le due ragazze.</v>
      </c>
    </row>
    <row r="26551">
      <c r="A26551" s="4" t="s">
        <v>33412</v>
      </c>
      <c r="B26551" s="4" t="s">
        <v>33418</v>
      </c>
      <c r="C26551" s="5" t="str">
        <f>IFERROR(__xludf.DUMMYFUNCTION("GOOGLETRANSLATE(B26551,""en"",""it"")"),"Quattro ragazze vengono sollevate e tengono altre due ragazze e viene aggiunta una terza.")</f>
        <v>Quattro ragazze vengono sollevate e tengono altre due ragazze e viene aggiunta una terza.</v>
      </c>
    </row>
    <row r="26552">
      <c r="A26552" s="4" t="s">
        <v>33412</v>
      </c>
      <c r="B26552" s="4" t="s">
        <v>33419</v>
      </c>
      <c r="C26552" s="5" t="str">
        <f>IFERROR(__xludf.DUMMYFUNCTION("GOOGLETRANSLATE(B26552,""en"",""it"")"),"Due ragazze nella parte anteriore hanno sollevato un segno rosso.")</f>
        <v>Due ragazze nella parte anteriore hanno sollevato un segno rosso.</v>
      </c>
    </row>
    <row r="26553">
      <c r="A26553" s="4" t="s">
        <v>33412</v>
      </c>
      <c r="B26553" s="4" t="s">
        <v>33420</v>
      </c>
      <c r="C26553" s="5" t="str">
        <f>IFERROR(__xludf.DUMMYFUNCTION("GOOGLETRANSLATE(B26553,""en"",""it"")"),"Tre ragazze vengono sollevate e ognuna tengono un'altra ragazza sulle spalle.")</f>
        <v>Tre ragazze vengono sollevate e ognuna tengono un'altra ragazza sulle spalle.</v>
      </c>
    </row>
    <row r="26554">
      <c r="A26554" s="4" t="s">
        <v>33421</v>
      </c>
      <c r="B26554" s="4" t="s">
        <v>33422</v>
      </c>
      <c r="C26554" s="5" t="str">
        <f>IFERROR(__xludf.DUMMYFUNCTION("GOOGLETRANSLATE(B26554,""en"",""it"")"),"Diverse persone giocano l'una contro l'altra in una partita di calcio da tavolo.")</f>
        <v>Diverse persone giocano l'una contro l'altra in una partita di calcio da tavolo.</v>
      </c>
    </row>
    <row r="26555">
      <c r="A26555" s="4" t="s">
        <v>33421</v>
      </c>
      <c r="B26555" s="4" t="s">
        <v>33423</v>
      </c>
      <c r="C26555" s="5" t="str">
        <f>IFERROR(__xludf.DUMMYFUNCTION("GOOGLETRANSLATE(B26555,""en"",""it"")"),"Due individui passano in background.")</f>
        <v>Due individui passano in background.</v>
      </c>
    </row>
    <row r="26556">
      <c r="A26556" s="4" t="s">
        <v>33421</v>
      </c>
      <c r="B26556" s="4" t="s">
        <v>33424</v>
      </c>
      <c r="C26556" s="5" t="str">
        <f>IFERROR(__xludf.DUMMYFUNCTION("GOOGLETRANSLATE(B26556,""en"",""it"")"),"Altre due persone passano in background.")</f>
        <v>Altre due persone passano in background.</v>
      </c>
    </row>
    <row r="26557">
      <c r="A26557" s="4" t="s">
        <v>33425</v>
      </c>
      <c r="B26557" s="4" t="s">
        <v>33426</v>
      </c>
      <c r="C26557" s="5" t="str">
        <f>IFERROR(__xludf.DUMMYFUNCTION("GOOGLETRANSLATE(B26557,""en"",""it"")"),"Due bambini sono sua madre in piedi in una cucina a lavare i piatti.")</f>
        <v>Due bambini sono sua madre in piedi in una cucina a lavare i piatti.</v>
      </c>
    </row>
    <row r="26558">
      <c r="A26558" s="4" t="s">
        <v>33425</v>
      </c>
      <c r="B26558" s="4" t="s">
        <v>33427</v>
      </c>
      <c r="C26558" s="5" t="str">
        <f>IFERROR(__xludf.DUMMYFUNCTION("GOOGLETRANSLATE(B26558,""en"",""it"")"),"La bambina prende una spugna blu pulisce il suo piatto e poi scende e inizia a camminare.")</f>
        <v>La bambina prende una spugna blu pulisce il suo piatto e poi scende e inizia a camminare.</v>
      </c>
    </row>
    <row r="26559">
      <c r="A26559" s="4" t="s">
        <v>33425</v>
      </c>
      <c r="B26559" s="6" t="s">
        <v>33428</v>
      </c>
      <c r="C26559" s="5" t="str">
        <f>IFERROR(__xludf.DUMMYFUNCTION("GOOGLETRANSLATE(B26559,""en"",""it"")"),"Sia la madre che il figlio sono ancora nel lavandino e lei si alza oltre a lui e lo aiuta anche a pulire il suo piatto.")</f>
        <v>Sia la madre che il figlio sono ancora nel lavandino e lei si alza oltre a lui e lo aiuta anche a pulire il suo piatto.</v>
      </c>
    </row>
    <row r="26560">
      <c r="A26560" s="4" t="s">
        <v>33429</v>
      </c>
      <c r="B26560" s="6" t="s">
        <v>33430</v>
      </c>
      <c r="C26560" s="5" t="str">
        <f>IFERROR(__xludf.DUMMYFUNCTION("GOOGLETRANSLATE(B26560,""en"",""it"")"),"Un gruppo di persone, bambini e famiglie vivono, viaggiano e pesci di ghiaccio su un vasto pezzo di terra di ghiaccio e neve.")</f>
        <v>Un gruppo di persone, bambini e famiglie vivono, viaggiano e pesci di ghiaccio su un vasto pezzo di terra di ghiaccio e neve.</v>
      </c>
    </row>
    <row r="26561">
      <c r="A26561" s="4" t="s">
        <v>33429</v>
      </c>
      <c r="B26561" s="6" t="s">
        <v>33431</v>
      </c>
      <c r="C26561" s="5" t="str">
        <f>IFERROR(__xludf.DUMMYFUNCTION("GOOGLETRANSLATE(B26561,""en"",""it"")"),"Un gruppo di uomini e una donna parlano con una macchina fotografica mentre mostravano pesci catturati e vivi a pescare in buche di ghiaccio su un terreno coperto di neve e ghiaccio.")</f>
        <v>Un gruppo di uomini e una donna parlano con una macchina fotografica mentre mostravano pesci catturati e vivi a pescare in buche di ghiaccio su un terreno coperto di neve e ghiaccio.</v>
      </c>
    </row>
    <row r="26562">
      <c r="A26562" s="4" t="s">
        <v>33429</v>
      </c>
      <c r="B26562" s="4" t="s">
        <v>33432</v>
      </c>
      <c r="C26562" s="5" t="str">
        <f>IFERROR(__xludf.DUMMYFUNCTION("GOOGLETRANSLATE(B26562,""en"",""it"")"),"Diverse persone pescano in buche di ghiaccio con bambini nelle vicinanze mentre altri guidano sul terreno del ghiaccio.")</f>
        <v>Diverse persone pescano in buche di ghiaccio con bambini nelle vicinanze mentre altri guidano sul terreno del ghiaccio.</v>
      </c>
    </row>
    <row r="26563">
      <c r="A26563" s="4" t="s">
        <v>33429</v>
      </c>
      <c r="B26563" s="6" t="s">
        <v>33433</v>
      </c>
      <c r="C26563" s="5" t="str">
        <f>IFERROR(__xludf.DUMMYFUNCTION("GOOGLETRANSLATE(B26563,""en"",""it"")"),"Vengono mostrati i pesci, animali locali originari della zona, servizi igienici, macchine sul ghiaccio, bambini, persone che tengono pesci appena catturati e buche di ghiaccio da cui provengono il pesce insieme ai cani che tirano le slitte da neve.")</f>
        <v>Vengono mostrati i pesci, animali locali originari della zona, servizi igienici, macchine sul ghiaccio, bambini, persone che tengono pesci appena catturati e buche di ghiaccio da cui provengono il pesce insieme ai cani che tirano le slitte da neve.</v>
      </c>
    </row>
    <row r="26564">
      <c r="A26564" s="4" t="s">
        <v>33434</v>
      </c>
      <c r="B26564" s="4" t="s">
        <v>33435</v>
      </c>
      <c r="C26564" s="5" t="str">
        <f>IFERROR(__xludf.DUMMYFUNCTION("GOOGLETRANSLATE(B26564,""en"",""it"")"),"Una ragazza viene vista seduta all'aperto e solleva una bottiglia di crema solare mentre parla alla telecamera.")</f>
        <v>Una ragazza viene vista seduta all'aperto e solleva una bottiglia di crema solare mentre parla alla telecamera.</v>
      </c>
    </row>
    <row r="26565">
      <c r="A26565" s="4" t="s">
        <v>33434</v>
      </c>
      <c r="B26565" s="4" t="s">
        <v>33436</v>
      </c>
      <c r="C26565" s="5" t="str">
        <f>IFERROR(__xludf.DUMMYFUNCTION("GOOGLETRANSLATE(B26565,""en"",""it"")"),"La ragazza poi scuote la bottiglia, la versa tra le mani e la strofina su tutto il corpo.")</f>
        <v>La ragazza poi scuote la bottiglia, la versa tra le mani e la strofina su tutto il corpo.</v>
      </c>
    </row>
    <row r="26566">
      <c r="A26566" s="4" t="s">
        <v>33437</v>
      </c>
      <c r="B26566" s="4" t="s">
        <v>33438</v>
      </c>
      <c r="C26566" s="5" t="str">
        <f>IFERROR(__xludf.DUMMYFUNCTION("GOOGLETRANSLATE(B26566,""en"",""it"")"),"Una grande pista è mostrata con diverse persone che cavalcano contemporaneamente i tubi.")</f>
        <v>Una grande pista è mostrata con diverse persone che cavalcano contemporaneamente i tubi.</v>
      </c>
    </row>
    <row r="26567">
      <c r="A26567" s="4" t="s">
        <v>33437</v>
      </c>
      <c r="B26567" s="4" t="s">
        <v>33439</v>
      </c>
      <c r="C26567" s="5" t="str">
        <f>IFERROR(__xludf.DUMMYFUNCTION("GOOGLETRANSLATE(B26567,""en"",""it"")"),"Un uomo registra un primo piano di un tubo e lo spinge in una donna in piedi sulla neve.")</f>
        <v>Un uomo registra un primo piano di un tubo e lo spinge in una donna in piedi sulla neve.</v>
      </c>
    </row>
    <row r="26568">
      <c r="A26568" s="4" t="s">
        <v>33437</v>
      </c>
      <c r="B26568" s="4" t="s">
        <v>33440</v>
      </c>
      <c r="C26568" s="5" t="str">
        <f>IFERROR(__xludf.DUMMYFUNCTION("GOOGLETRANSLATE(B26568,""en"",""it"")"),"Comincia a parlare sul suo telefono e la stessa clip viene nuovamente mostrata al rallentatore.")</f>
        <v>Comincia a parlare sul suo telefono e la stessa clip viene nuovamente mostrata al rallentatore.</v>
      </c>
    </row>
    <row r="26569">
      <c r="A26569" s="4" t="s">
        <v>33441</v>
      </c>
      <c r="B26569" s="4" t="s">
        <v>33442</v>
      </c>
      <c r="C26569" s="5" t="str">
        <f>IFERROR(__xludf.DUMMYFUNCTION("GOOGLETRANSLATE(B26569,""en"",""it"")"),"Una donna parla che mostra una scarpa, poi la pulisce con un panno.")</f>
        <v>Una donna parla che mostra una scarpa, poi la pulisce con un panno.</v>
      </c>
    </row>
    <row r="26570">
      <c r="A26570" s="4" t="s">
        <v>33441</v>
      </c>
      <c r="B26570" s="4" t="s">
        <v>33443</v>
      </c>
      <c r="C26570" s="5" t="str">
        <f>IFERROR(__xludf.DUMMYFUNCTION("GOOGLETRANSLATE(B26570,""en"",""it"")"),"La donna mette olio in un panno e lucida la scarpa.")</f>
        <v>La donna mette olio in un panno e lucida la scarpa.</v>
      </c>
    </row>
    <row r="26571">
      <c r="A26571" s="4" t="s">
        <v>33441</v>
      </c>
      <c r="B26571" s="4" t="s">
        <v>33444</v>
      </c>
      <c r="C26571" s="5" t="str">
        <f>IFERROR(__xludf.DUMMYFUNCTION("GOOGLETRANSLATE(B26571,""en"",""it"")"),"Quindi, la donna prende lo lucido da scarpe e si applica alla scarpa.")</f>
        <v>Quindi, la donna prende lo lucido da scarpe e si applica alla scarpa.</v>
      </c>
    </row>
    <row r="26572">
      <c r="A26572" s="4" t="s">
        <v>33445</v>
      </c>
      <c r="B26572" s="4" t="s">
        <v>33446</v>
      </c>
      <c r="C26572" s="5" t="str">
        <f>IFERROR(__xludf.DUMMYFUNCTION("GOOGLETRANSLATE(B26572,""en"",""it"")"),"Una donna è paralizzante nell'oceano.")</f>
        <v>Una donna è paralizzante nell'oceano.</v>
      </c>
    </row>
    <row r="26573">
      <c r="A26573" s="4" t="s">
        <v>33445</v>
      </c>
      <c r="B26573" s="4" t="s">
        <v>33447</v>
      </c>
      <c r="C26573" s="5" t="str">
        <f>IFERROR(__xludf.DUMMYFUNCTION("GOOGLETRANSLATE(B26573,""en"",""it"")"),"Passa a onde difficili.")</f>
        <v>Passa a onde difficili.</v>
      </c>
    </row>
    <row r="26574">
      <c r="A26574" s="4" t="s">
        <v>33445</v>
      </c>
      <c r="B26574" s="4" t="s">
        <v>33448</v>
      </c>
      <c r="C26574" s="5" t="str">
        <f>IFERROR(__xludf.DUMMYFUNCTION("GOOGLETRANSLATE(B26574,""en"",""it"")"),"Supera una grande ondata, il che la fa cadere.")</f>
        <v>Supera una grande ondata, il che la fa cadere.</v>
      </c>
    </row>
    <row r="26575">
      <c r="A26575" s="4" t="s">
        <v>33449</v>
      </c>
      <c r="B26575" s="4" t="s">
        <v>33450</v>
      </c>
      <c r="C26575" s="5" t="str">
        <f>IFERROR(__xludf.DUMMYFUNCTION("GOOGLETRANSLATE(B26575,""en"",""it"")"),"Una giovane donna è vista in piedi su un campo che indossa un cappello e tiene una racchetta da tennis.")</f>
        <v>Una giovane donna è vista in piedi su un campo che indossa un cappello e tiene una racchetta da tennis.</v>
      </c>
    </row>
    <row r="26576">
      <c r="A26576" s="4" t="s">
        <v>33449</v>
      </c>
      <c r="B26576" s="4" t="s">
        <v>33451</v>
      </c>
      <c r="C26576" s="5" t="str">
        <f>IFERROR(__xludf.DUMMYFUNCTION("GOOGLETRANSLATE(B26576,""en"",""it"")"),"La ragazza quindi lancia la palla in aria e la colpisce in lontananza.")</f>
        <v>La ragazza quindi lancia la palla in aria e la colpisce in lontananza.</v>
      </c>
    </row>
    <row r="26577">
      <c r="A26577" s="4" t="s">
        <v>33449</v>
      </c>
      <c r="B26577" s="4" t="s">
        <v>33452</v>
      </c>
      <c r="C26577" s="5" t="str">
        <f>IFERROR(__xludf.DUMMYFUNCTION("GOOGLETRANSLATE(B26577,""en"",""it"")"),"Guarda indietro e sorride alla telecamera.")</f>
        <v>Guarda indietro e sorride alla telecamera.</v>
      </c>
    </row>
    <row r="26578">
      <c r="A26578" s="4" t="s">
        <v>33453</v>
      </c>
      <c r="B26578" s="4" t="s">
        <v>33454</v>
      </c>
      <c r="C26578" s="5" t="str">
        <f>IFERROR(__xludf.DUMMYFUNCTION("GOOGLETRANSLATE(B26578,""en"",""it"")"),"Si vede un primo piano di un'auto seguito da persone che camminano in cornice e lavano la macchina.")</f>
        <v>Si vede un primo piano di un'auto seguito da persone che camminano in cornice e lavano la macchina.</v>
      </c>
    </row>
    <row r="26579">
      <c r="A26579" s="4" t="s">
        <v>33453</v>
      </c>
      <c r="B26579" s="4" t="s">
        <v>33455</v>
      </c>
      <c r="C26579" s="5" t="str">
        <f>IFERROR(__xludf.DUMMYFUNCTION("GOOGLETRANSLATE(B26579,""en"",""it"")"),"Le persone puliscono l'esterno e gli interni e rotolano l'auto fuori.")</f>
        <v>Le persone puliscono l'esterno e gli interni e rotolano l'auto fuori.</v>
      </c>
    </row>
    <row r="26580">
      <c r="A26580" s="4" t="s">
        <v>33453</v>
      </c>
      <c r="B26580" s="4" t="s">
        <v>33456</v>
      </c>
      <c r="C26580" s="5" t="str">
        <f>IFERROR(__xludf.DUMMYFUNCTION("GOOGLETRANSLATE(B26580,""en"",""it"")"),"Parcheggiano la macchina e continuano a pulirla seguita da asciugarla alla fine.")</f>
        <v>Parcheggiano la macchina e continuano a pulirla seguita da asciugarla alla fine.</v>
      </c>
    </row>
    <row r="26581">
      <c r="A26581" s="4" t="s">
        <v>33457</v>
      </c>
      <c r="B26581" s="4" t="s">
        <v>33458</v>
      </c>
      <c r="C26581" s="5" t="str">
        <f>IFERROR(__xludf.DUMMYFUNCTION("GOOGLETRANSLATE(B26581,""en"",""it"")"),"Le persone su una riva del fiume salgono su barche gonfiate e zattere in un fiume con acque mosse.")</f>
        <v>Le persone su una riva del fiume salgono su barche gonfiate e zattere in un fiume con acque mosse.</v>
      </c>
    </row>
    <row r="26582">
      <c r="A26582" s="4" t="s">
        <v>33457</v>
      </c>
      <c r="B26582" s="4" t="s">
        <v>33459</v>
      </c>
      <c r="C26582" s="5" t="str">
        <f>IFERROR(__xludf.DUMMYFUNCTION("GOOGLETRANSLATE(B26582,""en"",""it"")"),"Due uomini sono su una canoa rossa.")</f>
        <v>Due uomini sono su una canoa rossa.</v>
      </c>
    </row>
    <row r="26583">
      <c r="A26583" s="4" t="s">
        <v>33457</v>
      </c>
      <c r="B26583" s="4" t="s">
        <v>33460</v>
      </c>
      <c r="C26583" s="5" t="str">
        <f>IFERROR(__xludf.DUMMYFUNCTION("GOOGLETRANSLATE(B26583,""en"",""it"")"),"Un gruppo di travi scende lungo il fiume mentre, anche persone in zattera delle canoe.")</f>
        <v>Un gruppo di travi scende lungo il fiume mentre, anche persone in zattera delle canoe.</v>
      </c>
    </row>
    <row r="26584">
      <c r="A26584" s="4" t="s">
        <v>33457</v>
      </c>
      <c r="B26584" s="4" t="s">
        <v>33461</v>
      </c>
      <c r="C26584" s="5" t="str">
        <f>IFERROR(__xludf.DUMMYFUNCTION("GOOGLETRANSLATE(B26584,""en"",""it"")"),"Le travi arrivano a Calm Waters, poi una squadra celebra una vittoria.")</f>
        <v>Le travi arrivano a Calm Waters, poi una squadra celebra una vittoria.</v>
      </c>
    </row>
    <row r="26585">
      <c r="A26585" s="4" t="s">
        <v>33462</v>
      </c>
      <c r="B26585" s="4" t="s">
        <v>33463</v>
      </c>
      <c r="C26585" s="5" t="str">
        <f>IFERROR(__xludf.DUMMYFUNCTION("GOOGLETRANSLATE(B26585,""en"",""it"")"),"Una telecamera si avvicina a un uomo seduto e fumando una sigaretta.")</f>
        <v>Una telecamera si avvicina a un uomo seduto e fumando una sigaretta.</v>
      </c>
    </row>
    <row r="26586">
      <c r="A26586" s="4" t="s">
        <v>33462</v>
      </c>
      <c r="B26586" s="4" t="s">
        <v>33464</v>
      </c>
      <c r="C26586" s="5" t="str">
        <f>IFERROR(__xludf.DUMMYFUNCTION("GOOGLETRANSLATE(B26586,""en"",""it"")"),"Un altro uomo si avvicina con un carrello e inizia a scavare attraverso la spazzatura.")</f>
        <v>Un altro uomo si avvicina con un carrello e inizia a scavare attraverso la spazzatura.</v>
      </c>
    </row>
    <row r="26587">
      <c r="A26587" s="4" t="s">
        <v>33462</v>
      </c>
      <c r="B26587" s="6" t="s">
        <v>33465</v>
      </c>
      <c r="C26587" s="5" t="str">
        <f>IFERROR(__xludf.DUMMYFUNCTION("GOOGLETRANSLATE(B26587,""en"",""it"")"),"L'uomo che fuma le sigarette inizia a parlare con il senzatetto di come la vita fa schifo e di come può relazionarsi con il senzatetto.")</f>
        <v>L'uomo che fuma le sigarette inizia a parlare con il senzatetto di come la vita fa schifo e di come può relazionarsi con il senzatetto.</v>
      </c>
    </row>
    <row r="26588">
      <c r="A26588" s="4" t="s">
        <v>33466</v>
      </c>
      <c r="B26588" s="4" t="s">
        <v>33467</v>
      </c>
      <c r="C26588" s="5" t="str">
        <f>IFERROR(__xludf.DUMMYFUNCTION("GOOGLETRANSLATE(B26588,""en"",""it"")"),"Vediamo immagini all'aperto e poi un uomo in cucina.")</f>
        <v>Vediamo immagini all'aperto e poi un uomo in cucina.</v>
      </c>
    </row>
    <row r="26589">
      <c r="A26589" s="4" t="s">
        <v>33466</v>
      </c>
      <c r="B26589" s="4" t="s">
        <v>33468</v>
      </c>
      <c r="C26589" s="5" t="str">
        <f>IFERROR(__xludf.DUMMYFUNCTION("GOOGLETRANSLATE(B26589,""en"",""it"")"),"Vediamo ingredienti su un tavolo.")</f>
        <v>Vediamo ingredienti su un tavolo.</v>
      </c>
    </row>
    <row r="26590">
      <c r="A26590" s="4" t="s">
        <v>33466</v>
      </c>
      <c r="B26590" s="4" t="s">
        <v>33469</v>
      </c>
      <c r="C26590" s="5" t="str">
        <f>IFERROR(__xludf.DUMMYFUNCTION("GOOGLETRANSLATE(B26590,""en"",""it"")"),"L'uomo mescola gli ingredienti in una ciotola del mixer.")</f>
        <v>L'uomo mescola gli ingredienti in una ciotola del mixer.</v>
      </c>
    </row>
    <row r="26591">
      <c r="A26591" s="4" t="s">
        <v>33466</v>
      </c>
      <c r="B26591" s="4" t="s">
        <v>33470</v>
      </c>
      <c r="C26591" s="5" t="str">
        <f>IFERROR(__xludf.DUMMYFUNCTION("GOOGLETRANSLATE(B26591,""en"",""it"")"),"L'uomo mescola il mix, quindi riaccende il mixer.")</f>
        <v>L'uomo mescola il mix, quindi riaccende il mixer.</v>
      </c>
    </row>
    <row r="26592">
      <c r="A26592" s="4" t="s">
        <v>33466</v>
      </c>
      <c r="B26592" s="4" t="s">
        <v>33471</v>
      </c>
      <c r="C26592" s="5" t="str">
        <f>IFERROR(__xludf.DUMMYFUNCTION("GOOGLETRANSLATE(B26592,""en"",""it"")"),"L'uomo mescola il mix e lo versa in padelle.")</f>
        <v>L'uomo mescola il mix e lo versa in padelle.</v>
      </c>
    </row>
    <row r="26593">
      <c r="A26593" s="4" t="s">
        <v>33466</v>
      </c>
      <c r="B26593" s="4" t="s">
        <v>33472</v>
      </c>
      <c r="C26593" s="5" t="str">
        <f>IFERROR(__xludf.DUMMYFUNCTION("GOOGLETRANSLATE(B26593,""en"",""it"")"),"L'uomo tocca le padelle quindi mette la torta nel forno.")</f>
        <v>L'uomo tocca le padelle quindi mette la torta nel forno.</v>
      </c>
    </row>
    <row r="26594">
      <c r="A26594" s="4" t="s">
        <v>33466</v>
      </c>
      <c r="B26594" s="4" t="s">
        <v>33473</v>
      </c>
      <c r="C26594" s="5" t="str">
        <f>IFERROR(__xludf.DUMMYFUNCTION("GOOGLETRANSLATE(B26594,""en"",""it"")"),"Vediamo pentole, cupcakes e l'uomo che cucina.")</f>
        <v>Vediamo pentole, cupcakes e l'uomo che cucina.</v>
      </c>
    </row>
    <row r="26595">
      <c r="A26595" s="4" t="s">
        <v>33466</v>
      </c>
      <c r="B26595" s="4" t="s">
        <v>33474</v>
      </c>
      <c r="C26595" s="5" t="str">
        <f>IFERROR(__xludf.DUMMYFUNCTION("GOOGLETRANSLATE(B26595,""en"",""it"")"),"Quindi vedere lo schermo finale luminoso.")</f>
        <v>Quindi vedere lo schermo finale luminoso.</v>
      </c>
    </row>
    <row r="26596">
      <c r="A26596" s="4" t="s">
        <v>33475</v>
      </c>
      <c r="B26596" s="6" t="s">
        <v>33476</v>
      </c>
      <c r="C26596" s="5" t="str">
        <f>IFERROR(__xludf.DUMMYFUNCTION("GOOGLETRANSLATE(B26596,""en"",""it"")"),"Viene visualizzata una schermata introduttiva nera e contiene parole bianche che dicono ""bar in ginnastica nominate barre parallele"", poi ""musica: nightwish dove eri ieri sera"", e l'ultima schermata include parole straniere un'e -mail e un sito web.")</f>
        <v>Viene visualizzata una schermata introduttiva nera e contiene parole bianche che dicono "bar in ginnastica nominate barre parallele", poi "musica: nightwish dove eri ieri sera", e l'ultima schermata include parole straniere un'e -mail e un sito web.</v>
      </c>
    </row>
    <row r="26597">
      <c r="A26597" s="4" t="s">
        <v>33475</v>
      </c>
      <c r="B26597" s="6" t="s">
        <v>33477</v>
      </c>
      <c r="C26597" s="5" t="str">
        <f>IFERROR(__xludf.DUMMYFUNCTION("GOOGLETRANSLATE(B26597,""en"",""it"")"),"Varie brevi clip di diversi uomini su diversi bar paralleli in palestra stanno facendo a piedi, oscillando su di essi e facendo vari altri trucchi mentre gli spettatori guardano.")</f>
        <v>Varie brevi clip di diversi uomini su diversi bar paralleli in palestra stanno facendo a piedi, oscillando su di essi e facendo vari altri trucchi mentre gli spettatori guardano.</v>
      </c>
    </row>
    <row r="26598">
      <c r="A26598" s="4" t="s">
        <v>33475</v>
      </c>
      <c r="B26598" s="6" t="s">
        <v>33478</v>
      </c>
      <c r="C26598" s="5" t="str">
        <f>IFERROR(__xludf.DUMMYFUNCTION("GOOGLETRANSLATE(B26598,""en"",""it"")"),"L'ultimo uomo sulle barre parallele sembra esercitarsi in palestra senza un grande gruppo di spettatori che guardano.")</f>
        <v>L'ultimo uomo sulle barre parallele sembra esercitarsi in palestra senza un grande gruppo di spettatori che guardano.</v>
      </c>
    </row>
    <row r="26599">
      <c r="A26599" s="4" t="s">
        <v>33479</v>
      </c>
      <c r="B26599" s="4" t="s">
        <v>33480</v>
      </c>
      <c r="C26599" s="5" t="str">
        <f>IFERROR(__xludf.DUMMYFUNCTION("GOOGLETRANSLATE(B26599,""en"",""it"")"),"Un gruppo di persone eseguono aerobica semplice in una giornata di sole.")</f>
        <v>Un gruppo di persone eseguono aerobica semplice in una giornata di sole.</v>
      </c>
    </row>
    <row r="26600">
      <c r="A26600" s="4" t="s">
        <v>33479</v>
      </c>
      <c r="B26600" s="6" t="s">
        <v>33481</v>
      </c>
      <c r="C26600" s="5" t="str">
        <f>IFERROR(__xludf.DUMMYFUNCTION("GOOGLETRANSLATE(B26600,""en"",""it"")"),"L'istruttore di aerobica ha il passaggio di classe a una nuova mossa di aerobica in cui il gruppo balla le braccia di fronte a loro e incorpora applausi mentre prendono passi.")</f>
        <v>L'istruttore di aerobica ha il passaggio di classe a una nuova mossa di aerobica in cui il gruppo balla le braccia di fronte a loro e incorpora applausi mentre prendono passi.</v>
      </c>
    </row>
    <row r="26601">
      <c r="A26601" s="4" t="s">
        <v>33479</v>
      </c>
      <c r="B26601" s="4" t="s">
        <v>33482</v>
      </c>
      <c r="C26601" s="5" t="str">
        <f>IFERROR(__xludf.DUMMYFUNCTION("GOOGLETRANSLATE(B26601,""en"",""it"")"),"La loro prossima mossa sta mettendo le mani verso il cielo mentre fanno un passo.")</f>
        <v>La loro prossima mossa sta mettendo le mani verso il cielo mentre fanno un passo.</v>
      </c>
    </row>
    <row r="26602">
      <c r="A26602" s="4" t="s">
        <v>33483</v>
      </c>
      <c r="B26602" s="4" t="s">
        <v>33484</v>
      </c>
      <c r="C26602" s="5" t="str">
        <f>IFERROR(__xludf.DUMMYFUNCTION("GOOGLETRANSLATE(B26602,""en"",""it"")"),"L'uomo è in piedi davanti a uno schermo che parla con la fotocamera.")</f>
        <v>L'uomo è in piedi davanti a uno schermo che parla con la fotocamera.</v>
      </c>
    </row>
    <row r="26603">
      <c r="A26603" s="4" t="s">
        <v>33483</v>
      </c>
      <c r="B26603" s="4" t="s">
        <v>33485</v>
      </c>
      <c r="C26603" s="5" t="str">
        <f>IFERROR(__xludf.DUMMYFUNCTION("GOOGLETRANSLATE(B26603,""en"",""it"")"),"Una donna sta giocando con un gatto ed è a tavola con un clipper unghie che taglia le unghie del gatto.")</f>
        <v>Una donna sta giocando con un gatto ed è a tavola con un clipper unghie che taglia le unghie del gatto.</v>
      </c>
    </row>
    <row r="26604">
      <c r="A26604" s="4" t="s">
        <v>33486</v>
      </c>
      <c r="B26604" s="4" t="s">
        <v>33487</v>
      </c>
      <c r="C26604" s="5" t="str">
        <f>IFERROR(__xludf.DUMMYFUNCTION("GOOGLETRANSLATE(B26604,""en"",""it"")"),"Una donna viene vista cavalcare un toro quando il toro la fa cadere e altri corrono per aiutare.")</f>
        <v>Una donna viene vista cavalcare un toro quando il toro la fa cadere e altri corrono per aiutare.</v>
      </c>
    </row>
    <row r="26605">
      <c r="A26605" s="4" t="s">
        <v>33486</v>
      </c>
      <c r="B26605" s="6" t="s">
        <v>33488</v>
      </c>
      <c r="C26605" s="5" t="str">
        <f>IFERROR(__xludf.DUMMYFUNCTION("GOOGLETRANSLATE(B26605,""en"",""it"")"),"Diverse altre persone vengono mostrate nel tentativo di provocare il toro e finire farsi male e altri aiutando.")</f>
        <v>Diverse altre persone vengono mostrate nel tentativo di provocare il toro e finire farsi male e altri aiutando.</v>
      </c>
    </row>
    <row r="26606">
      <c r="A26606" s="4" t="s">
        <v>33489</v>
      </c>
      <c r="B26606" s="6" t="s">
        <v>33490</v>
      </c>
      <c r="C26606" s="5" t="str">
        <f>IFERROR(__xludf.DUMMYFUNCTION("GOOGLETRANSLATE(B26606,""en"",""it"")"),"Viene mostrato un primo piano di uno strumento, seguito da una donna seduta nel telaio e che parla alla telecamera.")</f>
        <v>Viene mostrato un primo piano di uno strumento, seguito da una donna seduta nel telaio e che parla alla telecamera.</v>
      </c>
    </row>
    <row r="26607">
      <c r="A26607" s="4" t="s">
        <v>33489</v>
      </c>
      <c r="B26607" s="4" t="s">
        <v>33491</v>
      </c>
      <c r="C26607" s="5" t="str">
        <f>IFERROR(__xludf.DUMMYFUNCTION("GOOGLETRANSLATE(B26607,""en"",""it"")"),"Poi raccoglie il flauto e inizia a suonarlo e si ferma per parlare nel mezzo.")</f>
        <v>Poi raccoglie il flauto e inizia a suonarlo e si ferma per parlare nel mezzo.</v>
      </c>
    </row>
    <row r="26608">
      <c r="A26608" s="4" t="s">
        <v>33489</v>
      </c>
      <c r="B26608" s="4" t="s">
        <v>33492</v>
      </c>
      <c r="C26608" s="5" t="str">
        <f>IFERROR(__xludf.DUMMYFUNCTION("GOOGLETRANSLATE(B26608,""en"",""it"")"),"Suona di nuovo lo strumento e fa una pausa per metterlo giù e parlare alla telecamera.")</f>
        <v>Suona di nuovo lo strumento e fa una pausa per metterlo giù e parlare alla telecamera.</v>
      </c>
    </row>
    <row r="26609">
      <c r="A26609" s="4" t="s">
        <v>33493</v>
      </c>
      <c r="B26609" s="6" t="s">
        <v>33494</v>
      </c>
      <c r="C26609" s="5" t="str">
        <f>IFERROR(__xludf.DUMMYFUNCTION("GOOGLETRANSLATE(B26609,""en"",""it"")"),"Appare uno schermo nero e le parole bianche rapidamente volano su di esso e dicono ""ecco che arriva per lo schermo intero"".")</f>
        <v>Appare uno schermo nero e le parole bianche rapidamente volano su di esso e dicono "ecco che arriva per lo schermo intero".</v>
      </c>
    </row>
    <row r="26610">
      <c r="A26610" s="4" t="s">
        <v>33493</v>
      </c>
      <c r="B26610" s="6" t="s">
        <v>33495</v>
      </c>
      <c r="C26610" s="5" t="str">
        <f>IFERROR(__xludf.DUMMYFUNCTION("GOOGLETRANSLATE(B26610,""en"",""it"")"),"Appare un'immagine di una montagna innevata e le parole bianche sullo schermo dicono ""Hartel Productions"".")</f>
        <v>Appare un'immagine di una montagna innevata e le parole bianche sullo schermo dicono "Hartel Productions".</v>
      </c>
    </row>
    <row r="26611">
      <c r="A26611" s="4" t="s">
        <v>33493</v>
      </c>
      <c r="B26611" s="6" t="s">
        <v>33496</v>
      </c>
      <c r="C26611" s="5" t="str">
        <f>IFERROR(__xludf.DUMMYFUNCTION("GOOGLETRANSLATE(B26611,""en"",""it"")"),"Una tavola di legno appare in una zona all'aperto e ""Clam Beach County Park Welcome North Day Parking"", poi in giallo sembra un testo che dice ""The Dog Walk"".")</f>
        <v>Una tavola di legno appare in una zona all'aperto e "Clam Beach County Park Welcome North Day Parking", poi in giallo sembra un testo che dice "The Dog Walk".</v>
      </c>
    </row>
    <row r="26612">
      <c r="A26612" s="4" t="s">
        <v>33493</v>
      </c>
      <c r="B26612" s="6" t="s">
        <v>33497</v>
      </c>
      <c r="C26612" s="5" t="str">
        <f>IFERROR(__xludf.DUMMYFUNCTION("GOOGLETRANSLATE(B26612,""en"",""it"")"),"Vari colpi ancora di persone che camminano con cani o camminano da soli lungo una strada appaiono insieme a vari colpi della zona e titoli di ciò che sono.")</f>
        <v>Vari colpi ancora di persone che camminano con cani o camminano da soli lungo una strada appaiono insieme a vari colpi della zona e titoli di ciò che sono.</v>
      </c>
    </row>
    <row r="26613">
      <c r="A26613" s="4" t="s">
        <v>33493</v>
      </c>
      <c r="B26613" s="6" t="s">
        <v>33498</v>
      </c>
      <c r="C26613" s="5" t="str">
        <f>IFERROR(__xludf.DUMMYFUNCTION("GOOGLETRANSLATE(B26613,""en"",""it"")"),"Alla fine ci sono ancora colpi di cani che vengono carichi in un'auto, i cani in macchina, un uomo che carica la macchina con il suo deambulatore, un cartello di chiusura e poi le parole gialle sembrano dire ""la fine"" e svanisce al nero.")</f>
        <v>Alla fine ci sono ancora colpi di cani che vengono carichi in un'auto, i cani in macchina, un uomo che carica la macchina con il suo deambulatore, un cartello di chiusura e poi le parole gialle sembrano dire "la fine" e svanisce al nero.</v>
      </c>
    </row>
    <row r="26614">
      <c r="A26614" s="4" t="s">
        <v>33499</v>
      </c>
      <c r="B26614" s="4" t="s">
        <v>33500</v>
      </c>
      <c r="C26614" s="5" t="str">
        <f>IFERROR(__xludf.DUMMYFUNCTION("GOOGLETRANSLATE(B26614,""en"",""it"")"),"Una signora si inginocchia davanti a cespugli e parla.")</f>
        <v>Una signora si inginocchia davanti a cespugli e parla.</v>
      </c>
    </row>
    <row r="26615">
      <c r="A26615" s="4" t="s">
        <v>33499</v>
      </c>
      <c r="B26615" s="4" t="s">
        <v>33501</v>
      </c>
      <c r="C26615" s="5" t="str">
        <f>IFERROR(__xludf.DUMMYFUNCTION("GOOGLETRANSLATE(B26615,""en"",""it"")"),"La signora usa cesoie per il giardinaggio per tagliare il cespuglio.")</f>
        <v>La signora usa cesoie per il giardinaggio per tagliare il cespuglio.</v>
      </c>
    </row>
    <row r="26616">
      <c r="A26616" s="4" t="s">
        <v>33499</v>
      </c>
      <c r="B26616" s="4" t="s">
        <v>33502</v>
      </c>
      <c r="C26616" s="5" t="str">
        <f>IFERROR(__xludf.DUMMYFUNCTION("GOOGLETRANSLATE(B26616,""en"",""it"")"),"La signora si alza e taglia i cespugli.")</f>
        <v>La signora si alza e taglia i cespugli.</v>
      </c>
    </row>
    <row r="26617">
      <c r="A26617" s="4" t="s">
        <v>33499</v>
      </c>
      <c r="B26617" s="4" t="s">
        <v>33503</v>
      </c>
      <c r="C26617" s="5" t="str">
        <f>IFERROR(__xludf.DUMMYFUNCTION("GOOGLETRANSLATE(B26617,""en"",""it"")"),"La signora si inginocchia di nuovo e continua a parlare con la telecamera.")</f>
        <v>La signora si inginocchia di nuovo e continua a parlare con la telecamera.</v>
      </c>
    </row>
    <row r="26618">
      <c r="A26618" s="4" t="s">
        <v>33504</v>
      </c>
      <c r="B26618" s="6" t="s">
        <v>33505</v>
      </c>
      <c r="C26618" s="5" t="str">
        <f>IFERROR(__xludf.DUMMYFUNCTION("GOOGLETRANSLATE(B26618,""en"",""it"")"),"Una bambina è in piedi nel suo bagno e dimostra come si sciacqua la bocca con il lavaggio della bocca.")</f>
        <v>Una bambina è in piedi nel suo bagno e dimostra come si sciacqua la bocca con il lavaggio della bocca.</v>
      </c>
    </row>
    <row r="26619">
      <c r="A26619" s="4" t="s">
        <v>33504</v>
      </c>
      <c r="B26619" s="6" t="s">
        <v>33506</v>
      </c>
      <c r="C26619" s="5" t="str">
        <f>IFERROR(__xludf.DUMMYFUNCTION("GOOGLETRANSLATE(B26619,""en"",""it"")"),"Prende un sorso di bocca di listerine proveniva dalla sua tazza e se la tiene in bocca per diversi secondi mentre suo fratello maggiore la registra.")</f>
        <v>Prende un sorso di bocca di listerine proveniva dalla sua tazza e se la tiene in bocca per diversi secondi mentre suo fratello maggiore la registra.</v>
      </c>
    </row>
    <row r="26620">
      <c r="A26620" s="4" t="s">
        <v>33504</v>
      </c>
      <c r="B26620" s="4" t="s">
        <v>33507</v>
      </c>
      <c r="C26620" s="5" t="str">
        <f>IFERROR(__xludf.DUMMYFUNCTION("GOOGLETRANSLATE(B26620,""en"",""it"")"),"Un'altra bambina le cammina dietro e le osserva risciacquo.")</f>
        <v>Un'altra bambina le cammina dietro e le osserva risciacquo.</v>
      </c>
    </row>
    <row r="26621">
      <c r="A26621" s="4" t="s">
        <v>33504</v>
      </c>
      <c r="B26621" s="4" t="s">
        <v>33508</v>
      </c>
      <c r="C26621" s="5" t="str">
        <f>IFERROR(__xludf.DUMMYFUNCTION("GOOGLETRANSLATE(B26621,""en"",""it"")"),"Tiene il lavaggio della bocca in bocca per molto tempo e poi lo sputa nel lavandino.")</f>
        <v>Tiene il lavaggio della bocca in bocca per molto tempo e poi lo sputa nel lavandino.</v>
      </c>
    </row>
    <row r="26622">
      <c r="A26622" s="4" t="s">
        <v>33509</v>
      </c>
      <c r="B26622" s="4" t="s">
        <v>33510</v>
      </c>
      <c r="C26622" s="5" t="str">
        <f>IFERROR(__xludf.DUMMYFUNCTION("GOOGLETRANSLATE(B26622,""en"",""it"")"),"Un uomo viene visto parlare con una macchina fotografica molto vicina al suo viso.")</f>
        <v>Un uomo viene visto parlare con una macchina fotografica molto vicina al suo viso.</v>
      </c>
    </row>
    <row r="26623">
      <c r="A26623" s="4" t="s">
        <v>33509</v>
      </c>
      <c r="B26623" s="4" t="s">
        <v>33511</v>
      </c>
      <c r="C26623" s="5" t="str">
        <f>IFERROR(__xludf.DUMMYFUNCTION("GOOGLETRANSLATE(B26623,""en"",""it"")"),"Un altro uomo con un elmetto è in piedi vicino.")</f>
        <v>Un altro uomo con un elmetto è in piedi vicino.</v>
      </c>
    </row>
    <row r="26624">
      <c r="A26624" s="4" t="s">
        <v>33509</v>
      </c>
      <c r="B26624" s="4" t="s">
        <v>33512</v>
      </c>
      <c r="C26624" s="5" t="str">
        <f>IFERROR(__xludf.DUMMYFUNCTION("GOOGLETRANSLATE(B26624,""en"",""it"")"),"Un terzo uomo è visto in un'auto accanto all'uomo che parla.")</f>
        <v>Un terzo uomo è visto in un'auto accanto all'uomo che parla.</v>
      </c>
    </row>
    <row r="26625">
      <c r="A26625" s="4" t="s">
        <v>33509</v>
      </c>
      <c r="B26625" s="4" t="s">
        <v>33513</v>
      </c>
      <c r="C26625" s="5" t="str">
        <f>IFERROR(__xludf.DUMMYFUNCTION("GOOGLETRANSLATE(B26625,""en"",""it"")"),"L'uomo che indossa il casco inizia lungo la strada su uno skateboard.")</f>
        <v>L'uomo che indossa il casco inizia lungo la strada su uno skateboard.</v>
      </c>
    </row>
    <row r="26626">
      <c r="A26626" s="4" t="s">
        <v>33509</v>
      </c>
      <c r="B26626" s="4" t="s">
        <v>33514</v>
      </c>
      <c r="C26626" s="5" t="str">
        <f>IFERROR(__xludf.DUMMYFUNCTION("GOOGLETRANSLATE(B26626,""en"",""it"")"),"L'uomo scende alcune colline molto ripide sul suo skateboard.")</f>
        <v>L'uomo scende alcune colline molto ripide sul suo skateboard.</v>
      </c>
    </row>
    <row r="26627">
      <c r="A26627" s="4" t="s">
        <v>33509</v>
      </c>
      <c r="B26627" s="4" t="s">
        <v>33515</v>
      </c>
      <c r="C26627" s="5" t="str">
        <f>IFERROR(__xludf.DUMMYFUNCTION("GOOGLETRANSLATE(B26627,""en"",""it"")"),"L'uomo supera un segnale di stop.")</f>
        <v>L'uomo supera un segnale di stop.</v>
      </c>
    </row>
    <row r="26628">
      <c r="A26628" s="4" t="s">
        <v>33509</v>
      </c>
      <c r="B26628" s="4" t="s">
        <v>33516</v>
      </c>
      <c r="C26628" s="5" t="str">
        <f>IFERROR(__xludf.DUMMYFUNCTION("GOOGLETRANSLATE(B26628,""en"",""it"")"),"L'uomo con la telecamera e l'uomo in macchina seguono le riprese dell'uomo sullo skateboard.")</f>
        <v>L'uomo con la telecamera e l'uomo in macchina seguono le riprese dell'uomo sullo skateboard.</v>
      </c>
    </row>
    <row r="26629">
      <c r="A26629" s="4" t="s">
        <v>33509</v>
      </c>
      <c r="B26629" s="4" t="s">
        <v>33517</v>
      </c>
      <c r="C26629" s="5" t="str">
        <f>IFERROR(__xludf.DUMMYFUNCTION("GOOGLETRANSLATE(B26629,""en"",""it"")"),"Dopo il segnale di stop, l'auto passa l'uomo sullo skateboard.")</f>
        <v>Dopo il segnale di stop, l'auto passa l'uomo sullo skateboard.</v>
      </c>
    </row>
    <row r="26630">
      <c r="A26630" s="4" t="s">
        <v>33509</v>
      </c>
      <c r="B26630" s="4" t="s">
        <v>33518</v>
      </c>
      <c r="C26630" s="5" t="str">
        <f>IFERROR(__xludf.DUMMYFUNCTION("GOOGLETRANSLATE(B26630,""en"",""it"")"),"L'auto si ferma e l'uomo sullo skateboard si ferma appena oltre e raccoglie il suo skateboard.")</f>
        <v>L'auto si ferma e l'uomo sullo skateboard si ferma appena oltre e raccoglie il suo skateboard.</v>
      </c>
    </row>
    <row r="26631">
      <c r="A26631" s="4" t="s">
        <v>33519</v>
      </c>
      <c r="B26631" s="4" t="s">
        <v>33520</v>
      </c>
      <c r="C26631" s="5" t="str">
        <f>IFERROR(__xludf.DUMMYFUNCTION("GOOGLETRANSLATE(B26631,""en"",""it"")"),"Un uomo con una chitarra e un microfono esegue un brano musicale.")</f>
        <v>Un uomo con una chitarra e un microfono esegue un brano musicale.</v>
      </c>
    </row>
    <row r="26632">
      <c r="A26632" s="4" t="s">
        <v>33519</v>
      </c>
      <c r="B26632" s="4" t="s">
        <v>33521</v>
      </c>
      <c r="C26632" s="5" t="str">
        <f>IFERROR(__xludf.DUMMYFUNCTION("GOOGLETRANSLATE(B26632,""en"",""it"")"),"Appare uno schermo nero con una grafica di una chitarra bianca e un sito web.")</f>
        <v>Appare uno schermo nero con una grafica di una chitarra bianca e un sito web.</v>
      </c>
    </row>
    <row r="26633">
      <c r="A26633" s="4" t="s">
        <v>33519</v>
      </c>
      <c r="B26633" s="4" t="s">
        <v>33522</v>
      </c>
      <c r="C26633" s="5" t="str">
        <f>IFERROR(__xludf.DUMMYFUNCTION("GOOGLETRANSLATE(B26633,""en"",""it"")"),"L'uomo smette di suonare, quindi lo schermo nero con chitarra bianca e sito Web appaiono di nuovo.")</f>
        <v>L'uomo smette di suonare, quindi lo schermo nero con chitarra bianca e sito Web appaiono di nuovo.</v>
      </c>
    </row>
    <row r="26634">
      <c r="A26634" s="4" t="s">
        <v>33523</v>
      </c>
      <c r="B26634" s="4" t="s">
        <v>33524</v>
      </c>
      <c r="C26634" s="5" t="str">
        <f>IFERROR(__xludf.DUMMYFUNCTION("GOOGLETRANSLATE(B26634,""en"",""it"")"),"Un atleta viene visto camminare in un cerchio e prepararsi a lanciare un tiro.")</f>
        <v>Un atleta viene visto camminare in un cerchio e prepararsi a lanciare un tiro.</v>
      </c>
    </row>
    <row r="26635">
      <c r="A26635" s="4" t="s">
        <v>33523</v>
      </c>
      <c r="B26635" s="6" t="s">
        <v>33525</v>
      </c>
      <c r="C26635" s="5" t="str">
        <f>IFERROR(__xludf.DUMMYFUNCTION("GOOGLETRANSLATE(B26635,""en"",""it"")"),"L'uomo lancia l'oggetto più volte dopo aver girato e diverse persone che guardano a margine.")</f>
        <v>L'uomo lancia l'oggetto più volte dopo aver girato e diverse persone che guardano a margine.</v>
      </c>
    </row>
    <row r="26636">
      <c r="A26636" s="4" t="s">
        <v>33526</v>
      </c>
      <c r="B26636" s="4" t="s">
        <v>33527</v>
      </c>
      <c r="C26636" s="5" t="str">
        <f>IFERROR(__xludf.DUMMYFUNCTION("GOOGLETRANSLATE(B26636,""en"",""it"")"),"Un logo e le parole Master Lube TV mostrano su uno schermo nero.")</f>
        <v>Un logo e le parole Master Lube TV mostrano su uno schermo nero.</v>
      </c>
    </row>
    <row r="26637">
      <c r="A26637" s="4" t="s">
        <v>33526</v>
      </c>
      <c r="B26637" s="6" t="s">
        <v>33528</v>
      </c>
      <c r="C26637" s="5" t="str">
        <f>IFERROR(__xludf.DUMMYFUNCTION("GOOGLETRANSLATE(B26637,""en"",""it"")"),"Un giovane è in piedi e parla in un'azienda mentre altri giovani puliscono e descrivono in dettaglio l'interno e l'esterno di un veicolo d'argento.")</f>
        <v>Un giovane è in piedi e parla in un'azienda mentre altri giovani puliscono e descrivono in dettaglio l'interno e l'esterno di un veicolo d'argento.</v>
      </c>
    </row>
    <row r="26638">
      <c r="A26638" s="4" t="s">
        <v>33526</v>
      </c>
      <c r="B26638" s="4" t="s">
        <v>33529</v>
      </c>
      <c r="C26638" s="5" t="str">
        <f>IFERROR(__xludf.DUMMYFUNCTION("GOOGLETRANSLATE(B26638,""en"",""it"")"),"Il veicolo ormai pulito si esce dal garage e si allontana dal business.")</f>
        <v>Il veicolo ormai pulito si esce dal garage e si allontana dal business.</v>
      </c>
    </row>
    <row r="26639">
      <c r="A26639" s="4" t="s">
        <v>33526</v>
      </c>
      <c r="B26639" s="4" t="s">
        <v>33530</v>
      </c>
      <c r="C26639" s="5" t="str">
        <f>IFERROR(__xludf.DUMMYFUNCTION("GOOGLETRANSLATE(B26639,""en"",""it"")"),"Il veicolo è ora parcheggiato e due giovani lo si puliranno con un panno asciutto.")</f>
        <v>Il veicolo è ora parcheggiato e due giovani lo si puliranno con un panno asciutto.</v>
      </c>
    </row>
    <row r="26640">
      <c r="A26640" s="4" t="s">
        <v>33526</v>
      </c>
      <c r="B26640" s="4" t="s">
        <v>33531</v>
      </c>
      <c r="C26640" s="5" t="str">
        <f>IFERROR(__xludf.DUMMYFUNCTION("GOOGLETRANSLATE(B26640,""en"",""it"")"),"Altre clip del giovane parlavano da solo e tutte le pulizie che hanno fatto in precedenza.")</f>
        <v>Altre clip del giovane parlavano da solo e tutte le pulizie che hanno fatto in precedenza.</v>
      </c>
    </row>
    <row r="26641">
      <c r="A26641" s="4" t="s">
        <v>33526</v>
      </c>
      <c r="B26641" s="4" t="s">
        <v>33532</v>
      </c>
      <c r="C26641" s="5" t="str">
        <f>IFERROR(__xludf.DUMMYFUNCTION("GOOGLETRANSLATE(B26641,""en"",""it"")"),"Una bandiera rossa, bianca e blu con le parole ""autolavaggio a mano"" soffia nel vento.")</f>
        <v>Una bandiera rossa, bianca e blu con le parole "autolavaggio a mano" soffia nel vento.</v>
      </c>
    </row>
    <row r="26642">
      <c r="A26642" s="4" t="s">
        <v>33526</v>
      </c>
      <c r="B26642" s="6" t="s">
        <v>33533</v>
      </c>
      <c r="C26642" s="5" t="str">
        <f>IFERROR(__xludf.DUMMYFUNCTION("GOOGLETRANSLATE(B26642,""en"",""it"")"),"Altre clip del giovane che parlano da solo e replay dei cicli di pulizia mentre le parole sotto l'uomo si presentano e leggono ""Masterlube Auto-lavaggio a mano 750 Broadwater Ave (406) 294-5530.")</f>
        <v>Altre clip del giovane che parlano da solo e replay dei cicli di pulizia mentre le parole sotto l'uomo si presentano e leggono "Masterlube Auto-lavaggio a mano 750 Broadwater Ave (406) 294-5530.</v>
      </c>
    </row>
    <row r="26643">
      <c r="A26643" s="4" t="s">
        <v>33526</v>
      </c>
      <c r="B26643" s="4" t="s">
        <v>33534</v>
      </c>
      <c r="C26643" s="5" t="str">
        <f>IFERROR(__xludf.DUMMYFUNCTION("GOOGLETRANSLATE(B26643,""en"",""it"")"),"Le bandiere sono di nuovo mostrate e si sfuma su uno schermo nero con un logo e le parole MasterLube.")</f>
        <v>Le bandiere sono di nuovo mostrate e si sfuma su uno schermo nero con un logo e le parole MasterLube.</v>
      </c>
    </row>
    <row r="26644">
      <c r="A26644" s="4" t="s">
        <v>33535</v>
      </c>
      <c r="B26644" s="6" t="s">
        <v>33536</v>
      </c>
      <c r="C26644" s="5" t="str">
        <f>IFERROR(__xludf.DUMMYFUNCTION("GOOGLETRANSLATE(B26644,""en"",""it"")"),"Numerose immagini diverse di persone di fitness lampeggiano sullo schermo e il logo La muscolare lampeggia rapidamente.")</f>
        <v>Numerose immagini diverse di persone di fitness lampeggiano sullo schermo e il logo La muscolare lampeggia rapidamente.</v>
      </c>
    </row>
    <row r="26645">
      <c r="A26645" s="4" t="s">
        <v>33535</v>
      </c>
      <c r="B26645" s="6" t="s">
        <v>33537</v>
      </c>
      <c r="C26645" s="5" t="str">
        <f>IFERROR(__xludf.DUMMYFUNCTION("GOOGLETRANSLATE(B26645,""en"",""it"")"),"Un gruppo di persone appaiono e sono in bicicletta a pedalare e stanno facendo un seminario cardio mentre l'uomo davanti indossa una fascia sta parlando tutto il tempo.")</f>
        <v>Un gruppo di persone appaiono e sono in bicicletta a pedalare e stanno facendo un seminario cardio mentre l'uomo davanti indossa una fascia sta parlando tutto il tempo.</v>
      </c>
    </row>
    <row r="26646">
      <c r="A26646" s="4" t="s">
        <v>33535</v>
      </c>
      <c r="B26646" s="6" t="s">
        <v>33538</v>
      </c>
      <c r="C26646" s="5" t="str">
        <f>IFERROR(__xludf.DUMMYFUNCTION("GOOGLETRANSLATE(B26646,""en"",""it"")"),"Viene visualizzato lo schermo di overlo ed è uno schermo bianco che scarica il logo muscolare di Los Angeles come ha fatto all'inizio e le parole ""Per ulteriori informazioni sulla TV di Visita Lamuscle Dot"".")</f>
        <v>Viene visualizzato lo schermo di overlo ed è uno schermo bianco che scarica il logo muscolare di Los Angeles come ha fatto all'inizio e le parole "Per ulteriori informazioni sulla TV di Visita Lamuscle Dot".</v>
      </c>
    </row>
    <row r="26647">
      <c r="A26647" s="4" t="s">
        <v>33539</v>
      </c>
      <c r="B26647" s="4" t="s">
        <v>33540</v>
      </c>
      <c r="C26647" s="5" t="str">
        <f>IFERROR(__xludf.DUMMYFUNCTION("GOOGLETRANSLATE(B26647,""en"",""it"")"),"Un uomo sta completando un cubo Rubiks.")</f>
        <v>Un uomo sta completando un cubo Rubiks.</v>
      </c>
    </row>
    <row r="26648">
      <c r="A26648" s="4" t="s">
        <v>33539</v>
      </c>
      <c r="B26648" s="4" t="s">
        <v>33541</v>
      </c>
      <c r="C26648" s="5" t="str">
        <f>IFERROR(__xludf.DUMMYFUNCTION("GOOGLETRANSLATE(B26648,""en"",""it"")"),"Un timer è seduto sul tavolo accanto a lui.")</f>
        <v>Un timer è seduto sul tavolo accanto a lui.</v>
      </c>
    </row>
    <row r="26649">
      <c r="A26649" s="4" t="s">
        <v>33539</v>
      </c>
      <c r="B26649" s="4" t="s">
        <v>33542</v>
      </c>
      <c r="C26649" s="5" t="str">
        <f>IFERROR(__xludf.DUMMYFUNCTION("GOOGLETRANSLATE(B26649,""en"",""it"")"),"Imposta il cubo di Rubiks completato sul tavolo.")</f>
        <v>Imposta il cubo di Rubiks completato sul tavolo.</v>
      </c>
    </row>
    <row r="26650">
      <c r="A26650" s="4" t="s">
        <v>33543</v>
      </c>
      <c r="B26650" s="4" t="s">
        <v>33544</v>
      </c>
      <c r="C26650" s="5" t="str">
        <f>IFERROR(__xludf.DUMMYFUNCTION("GOOGLETRANSLATE(B26650,""en"",""it"")"),"Persone che corrono in spiaggia molto rapidamente.")</f>
        <v>Persone che corrono in spiaggia molto rapidamente.</v>
      </c>
    </row>
    <row r="26651">
      <c r="A26651" s="4" t="s">
        <v>33543</v>
      </c>
      <c r="B26651" s="4" t="s">
        <v>33545</v>
      </c>
      <c r="C26651" s="5" t="str">
        <f>IFERROR(__xludf.DUMMYFUNCTION("GOOGLETRANSLATE(B26651,""en"",""it"")"),"Quindi iniziano a fare strane facce verso la fotocamera.")</f>
        <v>Quindi iniziano a fare strane facce verso la fotocamera.</v>
      </c>
    </row>
    <row r="26652">
      <c r="A26652" s="4" t="s">
        <v>33543</v>
      </c>
      <c r="B26652" s="4" t="s">
        <v>33546</v>
      </c>
      <c r="C26652" s="5" t="str">
        <f>IFERROR(__xludf.DUMMYFUNCTION("GOOGLETRANSLATE(B26652,""en"",""it"")"),"Iniziano a rimbalzare e fare trucchi su una sorta di corda rimbalzante.")</f>
        <v>Iniziano a rimbalzare e fare trucchi su una sorta di corda rimbalzante.</v>
      </c>
    </row>
    <row r="26653">
      <c r="A26653" s="4" t="s">
        <v>33543</v>
      </c>
      <c r="B26653" s="4" t="s">
        <v>33547</v>
      </c>
      <c r="C26653" s="5" t="str">
        <f>IFERROR(__xludf.DUMMYFUNCTION("GOOGLETRANSLATE(B26653,""en"",""it"")"),"Alcuni dei trucchi sembrano molto estremi.")</f>
        <v>Alcuni dei trucchi sembrano molto estremi.</v>
      </c>
    </row>
    <row r="26654">
      <c r="A26654" s="4" t="s">
        <v>33548</v>
      </c>
      <c r="B26654" s="6" t="s">
        <v>33549</v>
      </c>
      <c r="C26654" s="5" t="str">
        <f>IFERROR(__xludf.DUMMYFUNCTION("GOOGLETRANSLATE(B26654,""en"",""it"")"),"Una donna viene vista in piedi dietro una tavola da stiro stirare una camicia mentre parla alla telecamera ogni tanto.")</f>
        <v>Una donna viene vista in piedi dietro una tavola da stiro stirare una camicia mentre parla alla telecamera ogni tanto.</v>
      </c>
    </row>
    <row r="26655">
      <c r="A26655" s="4" t="s">
        <v>33548</v>
      </c>
      <c r="B26655" s="4" t="s">
        <v>33550</v>
      </c>
      <c r="C26655" s="5" t="str">
        <f>IFERROR(__xludf.DUMMYFUNCTION("GOOGLETRANSLATE(B26655,""en"",""it"")"),"Le muovono la camicia intorno al tavolo stirandola e tenendola alla fine per presentare.")</f>
        <v>Le muovono la camicia intorno al tavolo stirandola e tenendola alla fine per presentare.</v>
      </c>
    </row>
    <row r="26656">
      <c r="A26656" s="4" t="s">
        <v>33551</v>
      </c>
      <c r="B26656" s="4" t="s">
        <v>33552</v>
      </c>
      <c r="C26656" s="5" t="str">
        <f>IFERROR(__xludf.DUMMYFUNCTION("GOOGLETRANSLATE(B26656,""en"",""it"")"),"Una donna con capelli lunghi, neri e ricci indossa abiti casual, parlando e accovacciati su un tetto.")</f>
        <v>Una donna con capelli lunghi, neri e ricci indossa abiti casual, parlando e accovacciati su un tetto.</v>
      </c>
    </row>
    <row r="26657">
      <c r="A26657" s="4" t="s">
        <v>33551</v>
      </c>
      <c r="B26657" s="6" t="s">
        <v>33553</v>
      </c>
      <c r="C26657" s="5" t="str">
        <f>IFERROR(__xludf.DUMMYFUNCTION("GOOGLETRANSLATE(B26657,""en"",""it"")"),"La donna si alza quindi e cammina verso una parte del tetto dove solleva una ghiaia nera sul tetto.")</f>
        <v>La donna si alza quindi e cammina verso una parte del tetto dove solleva una ghiaia nera sul tetto.</v>
      </c>
    </row>
    <row r="26658">
      <c r="A26658" s="4" t="s">
        <v>33551</v>
      </c>
      <c r="B26658" s="4" t="s">
        <v>33554</v>
      </c>
      <c r="C26658" s="5" t="str">
        <f>IFERROR(__xludf.DUMMYFUNCTION("GOOGLETRANSLATE(B26658,""en"",""it"")"),"La donna è ora in piedi a terra di fronte alla casa sorridendo e parla.")</f>
        <v>La donna è ora in piedi a terra di fronte alla casa sorridendo e parla.</v>
      </c>
    </row>
    <row r="26659">
      <c r="A26659" s="4" t="s">
        <v>33551</v>
      </c>
      <c r="B26659" s="4" t="s">
        <v>33555</v>
      </c>
      <c r="C26659" s="5" t="str">
        <f>IFERROR(__xludf.DUMMYFUNCTION("GOOGLETRANSLATE(B26659,""en"",""it"")"),"Un grande camion si avvicina alla casa e un uomo inizia a scaricare tegole sul tetto.")</f>
        <v>Un grande camion si avvicina alla casa e un uomo inizia a scaricare tegole sul tetto.</v>
      </c>
    </row>
    <row r="26660">
      <c r="A26660" s="4" t="s">
        <v>33551</v>
      </c>
      <c r="B26660" s="6" t="s">
        <v>33556</v>
      </c>
      <c r="C26660" s="5" t="str">
        <f>IFERROR(__xludf.DUMMYFUNCTION("GOOGLETRANSLATE(B26660,""en"",""it"")"),"La donna è tornata sul tetto con una pala e sta spalando tutte le vecchie tegole, quindi le scarica in un grande cassonetto.")</f>
        <v>La donna è tornata sul tetto con una pala e sta spalando tutte le vecchie tegole, quindi le scarica in un grande cassonetto.</v>
      </c>
    </row>
    <row r="26661">
      <c r="A26661" s="4" t="s">
        <v>33551</v>
      </c>
      <c r="B26661" s="6" t="s">
        <v>33557</v>
      </c>
      <c r="C26661" s="5" t="str">
        <f>IFERROR(__xludf.DUMMYFUNCTION("GOOGLETRANSLATE(B26661,""en"",""it"")"),"Gli uomini ora stanno gettando lunghi pezzi di materiale nero e li inchiodano sul tetto, oltre a inchiodare le tegole.")</f>
        <v>Gli uomini ora stanno gettando lunghi pezzi di materiale nero e li inchiodano sul tetto, oltre a inchiodare le tegole.</v>
      </c>
    </row>
    <row r="26662">
      <c r="A26662" s="4" t="s">
        <v>33551</v>
      </c>
      <c r="B26662" s="4" t="s">
        <v>33558</v>
      </c>
      <c r="C26662" s="5" t="str">
        <f>IFERROR(__xludf.DUMMYFUNCTION("GOOGLETRANSLATE(B26662,""en"",""it"")"),"Il tetto è fatto e viene mostrata una vista dell'intera casa per sfoggiare il tetto finito.")</f>
        <v>Il tetto è fatto e viene mostrata una vista dell'intera casa per sfoggiare il tetto finito.</v>
      </c>
    </row>
    <row r="26663">
      <c r="A26663" s="4" t="s">
        <v>33551</v>
      </c>
      <c r="B26663" s="4" t="s">
        <v>33559</v>
      </c>
      <c r="C26663" s="5" t="str">
        <f>IFERROR(__xludf.DUMMYFUNCTION("GOOGLETRANSLATE(B26663,""en"",""it"")"),"La donna è in piedi davanti alla casa, sorridendo mentre parla.")</f>
        <v>La donna è in piedi davanti alla casa, sorridendo mentre parla.</v>
      </c>
    </row>
    <row r="26664">
      <c r="A26664" s="4" t="s">
        <v>33560</v>
      </c>
      <c r="B26664" s="4" t="s">
        <v>33561</v>
      </c>
      <c r="C26664" s="5" t="str">
        <f>IFERROR(__xludf.DUMMYFUNCTION("GOOGLETRANSLATE(B26664,""en"",""it"")"),"Una fotocamera ingrandisce due persone che cavalcano insieme una canoa.")</f>
        <v>Una fotocamera ingrandisce due persone che cavalcano insieme una canoa.</v>
      </c>
    </row>
    <row r="26665">
      <c r="A26665" s="4" t="s">
        <v>33560</v>
      </c>
      <c r="B26665" s="4" t="s">
        <v>33562</v>
      </c>
      <c r="C26665" s="5" t="str">
        <f>IFERROR(__xludf.DUMMYFUNCTION("GOOGLETRANSLATE(B26665,""en"",""it"")"),"La fotocamera si avvicina e cattura la gente che remava più lungo il fiume.")</f>
        <v>La fotocamera si avvicina e cattura la gente che remava più lungo il fiume.</v>
      </c>
    </row>
    <row r="26666">
      <c r="A26666" s="4" t="s">
        <v>33563</v>
      </c>
      <c r="B26666" s="4" t="s">
        <v>33564</v>
      </c>
      <c r="C26666" s="5" t="str">
        <f>IFERROR(__xludf.DUMMYFUNCTION("GOOGLETRANSLATE(B26666,""en"",""it"")"),"Vediamo un uomo che si trova e tiene in mano un tamburo.")</f>
        <v>Vediamo un uomo che si trova e tiene in mano un tamburo.</v>
      </c>
    </row>
    <row r="26667">
      <c r="A26667" s="4" t="s">
        <v>33563</v>
      </c>
      <c r="B26667" s="4" t="s">
        <v>33565</v>
      </c>
      <c r="C26667" s="5" t="str">
        <f>IFERROR(__xludf.DUMMYFUNCTION("GOOGLETRANSLATE(B26667,""en"",""it"")"),"Vediamo quindi l'uomo suonare al tamburo.")</f>
        <v>Vediamo quindi l'uomo suonare al tamburo.</v>
      </c>
    </row>
    <row r="26668">
      <c r="A26668" s="4" t="s">
        <v>33563</v>
      </c>
      <c r="B26668" s="4" t="s">
        <v>33566</v>
      </c>
      <c r="C26668" s="5" t="str">
        <f>IFERROR(__xludf.DUMMYFUNCTION("GOOGLETRANSLATE(B26668,""en"",""it"")"),"L'uomo colpisce un tamburo dalla fotocamera a sinistra.")</f>
        <v>L'uomo colpisce un tamburo dalla fotocamera a sinistra.</v>
      </c>
    </row>
    <row r="26669">
      <c r="A26669" s="4" t="s">
        <v>33563</v>
      </c>
      <c r="B26669" s="4" t="s">
        <v>33567</v>
      </c>
      <c r="C26669" s="5" t="str">
        <f>IFERROR(__xludf.DUMMYFUNCTION("GOOGLETRANSLATE(B26669,""en"",""it"")"),"L'uomo mescola le mani sul tamburo.")</f>
        <v>L'uomo mescola le mani sul tamburo.</v>
      </c>
    </row>
    <row r="26670">
      <c r="A26670" s="4" t="s">
        <v>33563</v>
      </c>
      <c r="B26670" s="4" t="s">
        <v>33568</v>
      </c>
      <c r="C26670" s="5" t="str">
        <f>IFERROR(__xludf.DUMMYFUNCTION("GOOGLETRANSLATE(B26670,""en"",""it"")"),"L'uomo smette di pagare i tamburi.")</f>
        <v>L'uomo smette di pagare i tamburi.</v>
      </c>
    </row>
    <row r="26671">
      <c r="A26671" s="4" t="s">
        <v>33569</v>
      </c>
      <c r="B26671" s="4" t="s">
        <v>33570</v>
      </c>
      <c r="C26671" s="5" t="str">
        <f>IFERROR(__xludf.DUMMYFUNCTION("GOOGLETRANSLATE(B26671,""en"",""it"")"),"Un bambino aiuta a spingere un tosaerba con un adulto a tagliare l'erba.")</f>
        <v>Un bambino aiuta a spingere un tosaerba con un adulto a tagliare l'erba.</v>
      </c>
    </row>
    <row r="26672">
      <c r="A26672" s="4" t="s">
        <v>33569</v>
      </c>
      <c r="B26672" s="4" t="s">
        <v>33571</v>
      </c>
      <c r="C26672" s="5" t="str">
        <f>IFERROR(__xludf.DUMMYFUNCTION("GOOGLETRANSLATE(B26672,""en"",""it"")"),"Un uomo falcia il prato di un grande cortile insieme a un bambino che guarda nelle vicinanze.")</f>
        <v>Un uomo falcia il prato di un grande cortile insieme a un bambino che guarda nelle vicinanze.</v>
      </c>
    </row>
    <row r="26673">
      <c r="A26673" s="4" t="s">
        <v>33569</v>
      </c>
      <c r="B26673" s="6" t="s">
        <v>33572</v>
      </c>
      <c r="C26673" s="5" t="str">
        <f>IFERROR(__xludf.DUMMYFUNCTION("GOOGLETRANSLATE(B26673,""en"",""it"")"),"L'uomo svuota la borsa della collezione sul tosaerba e la svuota in un cestino e la ruota via.")</f>
        <v>L'uomo svuota la borsa della collezione sul tosaerba e la svuota in un cestino e la ruota via.</v>
      </c>
    </row>
    <row r="26674">
      <c r="A26674" s="4" t="s">
        <v>33569</v>
      </c>
      <c r="B26674" s="4" t="s">
        <v>33573</v>
      </c>
      <c r="C26674" s="5" t="str">
        <f>IFERROR(__xludf.DUMMYFUNCTION("GOOGLETRANSLATE(B26674,""en"",""it"")"),"Il bambino gioca con il tosaerba mentre spento.")</f>
        <v>Il bambino gioca con il tosaerba mentre spento.</v>
      </c>
    </row>
    <row r="26675">
      <c r="A26675" s="4" t="s">
        <v>33574</v>
      </c>
      <c r="B26675" s="4" t="s">
        <v>33575</v>
      </c>
      <c r="C26675" s="5" t="str">
        <f>IFERROR(__xludf.DUMMYFUNCTION("GOOGLETRANSLATE(B26675,""en"",""it"")"),"Una persona sta gettando una palla da tennis in aria e colpisce la palla.")</f>
        <v>Una persona sta gettando una palla da tennis in aria e colpisce la palla.</v>
      </c>
    </row>
    <row r="26676">
      <c r="A26676" s="4" t="s">
        <v>33574</v>
      </c>
      <c r="B26676" s="4" t="s">
        <v>33576</v>
      </c>
      <c r="C26676" s="5" t="str">
        <f>IFERROR(__xludf.DUMMYFUNCTION("GOOGLETRANSLATE(B26676,""en"",""it"")"),"Due uomini iniziano a parlare di questa mossa di tennis e di come dovresti tenere correttamente la tua racchetta.")</f>
        <v>Due uomini iniziano a parlare di questa mossa di tennis e di come dovresti tenere correttamente la tua racchetta.</v>
      </c>
    </row>
    <row r="26677">
      <c r="A26677" s="4" t="s">
        <v>33574</v>
      </c>
      <c r="B26677" s="4" t="s">
        <v>33577</v>
      </c>
      <c r="C26677" s="5" t="str">
        <f>IFERROR(__xludf.DUMMYFUNCTION("GOOGLETRANSLATE(B26677,""en"",""it"")"),"L'uomo dimostra come lanciare la palla e come oscillare.")</f>
        <v>L'uomo dimostra come lanciare la palla e come oscillare.</v>
      </c>
    </row>
    <row r="26678">
      <c r="A26678" s="4" t="s">
        <v>33574</v>
      </c>
      <c r="B26678" s="4" t="s">
        <v>33578</v>
      </c>
      <c r="C26678" s="5" t="str">
        <f>IFERROR(__xludf.DUMMYFUNCTION("GOOGLETRANSLATE(B26678,""en"",""it"")"),"L'uomo continua a discutere quando colpire la palla per questa mossa e come eseguirla correttamente.")</f>
        <v>L'uomo continua a discutere quando colpire la palla per questa mossa e come eseguirla correttamente.</v>
      </c>
    </row>
    <row r="26679">
      <c r="A26679" s="4" t="s">
        <v>33579</v>
      </c>
      <c r="B26679" s="6" t="s">
        <v>33580</v>
      </c>
      <c r="C26679" s="5" t="str">
        <f>IFERROR(__xludf.DUMMYFUNCTION("GOOGLETRANSLATE(B26679,""en"",""it"")"),"Un uomo che indossa un vestito di scherma bianca si avvicina a una donna in pelle con le mani legate insieme.")</f>
        <v>Un uomo che indossa un vestito di scherma bianca si avvicina a una donna in pelle con le mani legate insieme.</v>
      </c>
    </row>
    <row r="26680">
      <c r="A26680" s="4" t="s">
        <v>33579</v>
      </c>
      <c r="B26680" s="4" t="s">
        <v>33581</v>
      </c>
      <c r="C26680" s="5" t="str">
        <f>IFERROR(__xludf.DUMMYFUNCTION("GOOGLETRANSLATE(B26680,""en"",""it"")"),"Le tiene la vita e le parla mentre guarda gli uomini allevare dietro di loro.")</f>
        <v>Le tiene la vita e le parla mentre guarda gli uomini allevare dietro di loro.</v>
      </c>
    </row>
    <row r="26681">
      <c r="A26681" s="4" t="s">
        <v>33579</v>
      </c>
      <c r="B26681" s="4" t="s">
        <v>33582</v>
      </c>
      <c r="C26681" s="5" t="str">
        <f>IFERROR(__xludf.DUMMYFUNCTION("GOOGLETRANSLATE(B26681,""en"",""it"")"),"Parlano con un'altra coppia con aria di sfida e gli uomini si preparano a combattere.")</f>
        <v>Parlano con un'altra coppia con aria di sfida e gli uomini si preparano a combattere.</v>
      </c>
    </row>
    <row r="26682">
      <c r="A26682" s="4" t="s">
        <v>33579</v>
      </c>
      <c r="B26682" s="4" t="s">
        <v>33583</v>
      </c>
      <c r="C26682" s="5" t="str">
        <f>IFERROR(__xludf.DUMMYFUNCTION("GOOGLETRANSLATE(B26682,""en"",""it"")"),"Gli uomini recingono indietro e quarto quando il più vecchio gentiluomo si pizzica gli occhi e combattono di nuovo.")</f>
        <v>Gli uomini recingono indietro e quarto quando il più vecchio gentiluomo si pizzica gli occhi e combattono di nuovo.</v>
      </c>
    </row>
    <row r="26683">
      <c r="A26683" s="4" t="s">
        <v>33579</v>
      </c>
      <c r="B26683" s="4" t="s">
        <v>33584</v>
      </c>
      <c r="C26683" s="5" t="str">
        <f>IFERROR(__xludf.DUMMYFUNCTION("GOOGLETRANSLATE(B26683,""en"",""it"")"),"Gli uomini diventano agitati e uno se ne va con la camicia.")</f>
        <v>Gli uomini diventano agitati e uno se ne va con la camicia.</v>
      </c>
    </row>
    <row r="26684">
      <c r="A26684" s="4" t="s">
        <v>33585</v>
      </c>
      <c r="B26684" s="4" t="s">
        <v>33586</v>
      </c>
      <c r="C26684" s="5" t="str">
        <f>IFERROR(__xludf.DUMMYFUNCTION("GOOGLETRANSLATE(B26684,""en"",""it"")"),"Si vede un uomo che indossa un cappello con in mano una racchetta da tennis e rimbalza su una palla su e giù.")</f>
        <v>Si vede un uomo che indossa un cappello con in mano una racchetta da tennis e rimbalza su una palla su e giù.</v>
      </c>
    </row>
    <row r="26685">
      <c r="A26685" s="4" t="s">
        <v>33585</v>
      </c>
      <c r="B26685" s="4" t="s">
        <v>33587</v>
      </c>
      <c r="C26685" s="5" t="str">
        <f>IFERROR(__xludf.DUMMYFUNCTION("GOOGLETRANSLATE(B26685,""en"",""it"")"),"L'uomo quindi serve la palla e conduce in una partita di tennis tra quattro persone.")</f>
        <v>L'uomo quindi serve la palla e conduce in una partita di tennis tra quattro persone.</v>
      </c>
    </row>
    <row r="26686">
      <c r="A26686" s="4" t="s">
        <v>33585</v>
      </c>
      <c r="B26686" s="6" t="s">
        <v>33588</v>
      </c>
      <c r="C26686" s="5" t="str">
        <f>IFERROR(__xludf.DUMMYFUNCTION("GOOGLETRANSLATE(B26686,""en"",""it"")"),"L'annunciatore ride mentre gli altri compagni di squadra si parlano e mostrano di nuovo il suo colpo al rallentatore.")</f>
        <v>L'annunciatore ride mentre gli altri compagni di squadra si parlano e mostrano di nuovo il suo colpo al rallentatore.</v>
      </c>
    </row>
    <row r="26687">
      <c r="A26687" s="4" t="s">
        <v>33589</v>
      </c>
      <c r="B26687" s="4" t="s">
        <v>33590</v>
      </c>
      <c r="C26687" s="5" t="str">
        <f>IFERROR(__xludf.DUMMYFUNCTION("GOOGLETRANSLATE(B26687,""en"",""it"")"),"È raffigurata una squadra di hockey di squadra verde e gialla e la posizione è mostrata su una mappa.")</f>
        <v>È raffigurata una squadra di hockey di squadra verde e gialla e la posizione è mostrata su una mappa.</v>
      </c>
    </row>
    <row r="26688">
      <c r="A26688" s="4" t="s">
        <v>33589</v>
      </c>
      <c r="B26688" s="4" t="s">
        <v>33591</v>
      </c>
      <c r="C26688" s="5" t="str">
        <f>IFERROR(__xludf.DUMMYFUNCTION("GOOGLETRANSLATE(B26688,""en"",""it"")"),"Il video torna quindi al gioco e mostra il luogo in cui le squadre stanno giocando.")</f>
        <v>Il video torna quindi al gioco e mostra il luogo in cui le squadre stanno giocando.</v>
      </c>
    </row>
    <row r="26689">
      <c r="A26689" s="4" t="s">
        <v>33589</v>
      </c>
      <c r="B26689" s="6" t="s">
        <v>33592</v>
      </c>
      <c r="C26689" s="5" t="str">
        <f>IFERROR(__xludf.DUMMYFUNCTION("GOOGLETRANSLATE(B26689,""en"",""it"")"),"Dopo, diversi giocatori vengono mostrati pattinarsi attorno alla pista e poi un maschio caucasico calvo viene mostrato vestito con una polo nera inizia a parlare con la telecamera.")</f>
        <v>Dopo, diversi giocatori vengono mostrati pattinarsi attorno alla pista e poi un maschio caucasico calvo viene mostrato vestito con una polo nera inizia a parlare con la telecamera.</v>
      </c>
    </row>
    <row r="26690">
      <c r="A26690" s="4" t="s">
        <v>33589</v>
      </c>
      <c r="B26690" s="6" t="s">
        <v>33593</v>
      </c>
      <c r="C26690" s="5" t="str">
        <f>IFERROR(__xludf.DUMMYFUNCTION("GOOGLETRANSLATE(B26690,""en"",""it"")"),"Una volta terminata, la panchina viene ansato e il gioco inizia con l'arbitro in piedi tra le due squadre e iniziano a giocare.")</f>
        <v>Una volta terminata, la panchina viene ansato e il gioco inizia con l'arbitro in piedi tra le due squadre e iniziano a giocare.</v>
      </c>
    </row>
    <row r="26691">
      <c r="A26691" s="4" t="s">
        <v>33589</v>
      </c>
      <c r="B26691" s="6" t="s">
        <v>33594</v>
      </c>
      <c r="C26691" s="5" t="str">
        <f>IFERROR(__xludf.DUMMYFUNCTION("GOOGLETRANSLATE(B26691,""en"",""it"")"),"Mentre continuano, l'uomo calvo è spettacoli e continua a parlare e continuano a lampeggiare tra lui, i giocatori e i giochi.")</f>
        <v>Mentre continuano, l'uomo calvo è spettacoli e continua a parlare e continuano a lampeggiare tra lui, i giocatori e i giochi.</v>
      </c>
    </row>
    <row r="26692">
      <c r="A26692" s="4" t="s">
        <v>33595</v>
      </c>
      <c r="B26692" s="6" t="s">
        <v>33596</v>
      </c>
      <c r="C26692" s="5" t="str">
        <f>IFERROR(__xludf.DUMMYFUNCTION("GOOGLETRANSLATE(B26692,""en"",""it"")"),"Vari atleti sono visti in piedi insieme nel mezzo di un grande stadio e conducono in una donna che lancia un tiro e poi si allontana.")</f>
        <v>Vari atleti sono visti in piedi insieme nel mezzo di un grande stadio e conducono in una donna che lancia un tiro e poi si allontana.</v>
      </c>
    </row>
    <row r="26693">
      <c r="A26693" s="4" t="s">
        <v>33595</v>
      </c>
      <c r="B26693" s="6" t="s">
        <v>33597</v>
      </c>
      <c r="C26693" s="5" t="str">
        <f>IFERROR(__xludf.DUMMYFUNCTION("GOOGLETRANSLATE(B26693,""en"",""it"")"),"Diverse altre persone vengono viste camminare e gettare l'oggetto con una donna che corre con la bandiera americana e in piedi su un podio con gli altri.")</f>
        <v>Diverse altre persone vengono viste camminare e gettare l'oggetto con una donna che corre con la bandiera americana e in piedi su un podio con gli altri.</v>
      </c>
    </row>
    <row r="26694">
      <c r="A26694" s="4" t="s">
        <v>33598</v>
      </c>
      <c r="B26694" s="6" t="s">
        <v>33599</v>
      </c>
      <c r="C26694" s="5" t="str">
        <f>IFERROR(__xludf.DUMMYFUNCTION("GOOGLETRANSLATE(B26694,""en"",""it"")"),"La fotocamera si ingrandisce su uno chef che gira intorno a una spatola in una padella e mette più ingredienti nella padella.")</f>
        <v>La fotocamera si ingrandisce su uno chef che gira intorno a una spatola in una padella e mette più ingredienti nella padella.</v>
      </c>
    </row>
    <row r="26695">
      <c r="A26695" s="4" t="s">
        <v>33598</v>
      </c>
      <c r="B26695" s="4" t="s">
        <v>33600</v>
      </c>
      <c r="C26695" s="5" t="str">
        <f>IFERROR(__xludf.DUMMYFUNCTION("GOOGLETRANSLATE(B26695,""en"",""it"")"),"Si muove attorno alla miscela e la preme di lato mentre si imposta la spatola.")</f>
        <v>Si muove attorno alla miscela e la preme di lato mentre si imposta la spatola.</v>
      </c>
    </row>
    <row r="26696">
      <c r="A26696" s="4" t="s">
        <v>33601</v>
      </c>
      <c r="B26696" s="4" t="s">
        <v>33602</v>
      </c>
      <c r="C26696" s="5" t="str">
        <f>IFERROR(__xludf.DUMMYFUNCTION("GOOGLETRANSLATE(B26696,""en"",""it"")"),"Sono visti due fili disposti e tavolo con una persona che mette una scatola in cima.")</f>
        <v>Sono visti due fili disposti e tavolo con una persona che mette una scatola in cima.</v>
      </c>
    </row>
    <row r="26697">
      <c r="A26697" s="4" t="s">
        <v>33601</v>
      </c>
      <c r="B26697" s="4" t="s">
        <v>33603</v>
      </c>
      <c r="C26697" s="5" t="str">
        <f>IFERROR(__xludf.DUMMYFUNCTION("GOOGLETRANSLATE(B26697,""en"",""it"")"),"La persona avvolge la scatola con fili e lega un arco in cima.")</f>
        <v>La persona avvolge la scatola con fili e lega un arco in cima.</v>
      </c>
    </row>
    <row r="26698">
      <c r="A26698" s="4" t="s">
        <v>33601</v>
      </c>
      <c r="B26698" s="4" t="s">
        <v>33604</v>
      </c>
      <c r="C26698" s="5" t="str">
        <f>IFERROR(__xludf.DUMMYFUNCTION("GOOGLETRANSLATE(B26698,""en"",""it"")"),"La persona lega una canna da zucchero con la scatola e la mostra alla fotocamera.")</f>
        <v>La persona lega una canna da zucchero con la scatola e la mostra alla fotocamera.</v>
      </c>
    </row>
    <row r="26699">
      <c r="A26699" s="4" t="s">
        <v>33605</v>
      </c>
      <c r="B26699" s="4" t="s">
        <v>33606</v>
      </c>
      <c r="C26699" s="5" t="str">
        <f>IFERROR(__xludf.DUMMYFUNCTION("GOOGLETRANSLATE(B26699,""en"",""it"")"),"Viene visto un uomo con un trapano elettrico con una patata alla fine e la gente si stacca intorno a lui.")</f>
        <v>Viene visto un uomo con un trapano elettrico con una patata alla fine e la gente si stacca intorno a lui.</v>
      </c>
    </row>
    <row r="26700">
      <c r="A26700" s="4" t="s">
        <v>33605</v>
      </c>
      <c r="B26700" s="4" t="s">
        <v>33607</v>
      </c>
      <c r="C26700" s="5" t="str">
        <f>IFERROR(__xludf.DUMMYFUNCTION("GOOGLETRANSLATE(B26700,""en"",""it"")"),"L'uomo gira il trapano e sta puzza la patata con un'altra persona che punta sul lato.")</f>
        <v>L'uomo gira il trapano e sta puzza la patata con un'altra persona che punta sul lato.</v>
      </c>
    </row>
    <row r="26701">
      <c r="A26701" s="4" t="s">
        <v>33608</v>
      </c>
      <c r="B26701" s="6" t="s">
        <v>33609</v>
      </c>
      <c r="C26701" s="5" t="str">
        <f>IFERROR(__xludf.DUMMYFUNCTION("GOOGLETRANSLATE(B26701,""en"",""it"")"),"Si vedono due uomini che si tiene le braccia reciprocamente e conducono negli uomini che eseguono una partita di wrestling del braccio.")</f>
        <v>Si vedono due uomini che si tiene le braccia reciprocamente e conducono negli uomini che eseguono una partita di wrestling del braccio.</v>
      </c>
    </row>
    <row r="26702">
      <c r="A26702" s="4" t="s">
        <v>33608</v>
      </c>
      <c r="B26702" s="6" t="s">
        <v>33610</v>
      </c>
      <c r="C26702" s="5" t="str">
        <f>IFERROR(__xludf.DUMMYFUNCTION("GOOGLETRANSLATE(B26702,""en"",""it"")"),"Un uomo fuma una sigaretta mentre continuano a giocare e quell'uomo si snoda mentre tiene le braccia.")</f>
        <v>Un uomo fuma una sigaretta mentre continuano a giocare e quell'uomo si snoda mentre tiene le braccia.</v>
      </c>
    </row>
    <row r="26703">
      <c r="A26703" s="4" t="s">
        <v>33611</v>
      </c>
      <c r="B26703" s="4" t="s">
        <v>33612</v>
      </c>
      <c r="C26703" s="5" t="str">
        <f>IFERROR(__xludf.DUMMYFUNCTION("GOOGLETRANSLATE(B26703,""en"",""it"")"),"Un uomo è visto con un palo grande.")</f>
        <v>Un uomo è visto con un palo grande.</v>
      </c>
    </row>
    <row r="26704">
      <c r="A26704" s="4" t="s">
        <v>33611</v>
      </c>
      <c r="B26704" s="4" t="s">
        <v>33613</v>
      </c>
      <c r="C26704" s="5" t="str">
        <f>IFERROR(__xludf.DUMMYFUNCTION("GOOGLETRANSLATE(B26704,""en"",""it"")"),"Una grande folla è sugli spalti sullo sfondo.")</f>
        <v>Una grande folla è sugli spalti sullo sfondo.</v>
      </c>
    </row>
    <row r="26705">
      <c r="A26705" s="4" t="s">
        <v>33611</v>
      </c>
      <c r="B26705" s="4" t="s">
        <v>33614</v>
      </c>
      <c r="C26705" s="5" t="str">
        <f>IFERROR(__xludf.DUMMYFUNCTION("GOOGLETRANSLATE(B26705,""en"",""it"")"),"L'uomo con il palo corre e lo lancia e poi colpisce il terreno.")</f>
        <v>L'uomo con il palo corre e lo lancia e poi colpisce il terreno.</v>
      </c>
    </row>
    <row r="26706">
      <c r="A26706" s="4" t="s">
        <v>33611</v>
      </c>
      <c r="B26706" s="4" t="s">
        <v>33615</v>
      </c>
      <c r="C26706" s="5" t="str">
        <f>IFERROR(__xludf.DUMMYFUNCTION("GOOGLETRANSLATE(B26706,""en"",""it"")"),"Il palo vola attraverso l'aria e atterra appena oltre il numero 85 su un campo.")</f>
        <v>Il palo vola attraverso l'aria e atterra appena oltre il numero 85 su un campo.</v>
      </c>
    </row>
    <row r="26707">
      <c r="A26707" s="4" t="s">
        <v>33611</v>
      </c>
      <c r="B26707" s="4" t="s">
        <v>33616</v>
      </c>
      <c r="C26707" s="5" t="str">
        <f>IFERROR(__xludf.DUMMYFUNCTION("GOOGLETRANSLATE(B26707,""en"",""it"")"),"Diversi uomini corrono al palo.")</f>
        <v>Diversi uomini corrono al palo.</v>
      </c>
    </row>
    <row r="26708">
      <c r="A26708" s="4" t="s">
        <v>33611</v>
      </c>
      <c r="B26708" s="4" t="s">
        <v>33617</v>
      </c>
      <c r="C26708" s="5" t="str">
        <f>IFERROR(__xludf.DUMMYFUNCTION("GOOGLETRANSLATE(B26708,""en"",""it"")"),"Gli uomini sono visti negli spicchi applausi.")</f>
        <v>Gli uomini sono visti negli spicchi applausi.</v>
      </c>
    </row>
    <row r="26709">
      <c r="A26709" s="4" t="s">
        <v>33611</v>
      </c>
      <c r="B26709" s="4" t="s">
        <v>33618</v>
      </c>
      <c r="C26709" s="5" t="str">
        <f>IFERROR(__xludf.DUMMYFUNCTION("GOOGLETRANSLATE(B26709,""en"",""it"")"),"L'uomo che ha lanciato il palo è visto mettere una giacca.")</f>
        <v>L'uomo che ha lanciato il palo è visto mettere una giacca.</v>
      </c>
    </row>
    <row r="26710">
      <c r="A26710" s="4" t="s">
        <v>33611</v>
      </c>
      <c r="B26710" s="4" t="s">
        <v>33619</v>
      </c>
      <c r="C26710" s="5" t="str">
        <f>IFERROR(__xludf.DUMMYFUNCTION("GOOGLETRANSLATE(B26710,""en"",""it"")"),"Molte persone vanno in giro e si siedono sul campo.")</f>
        <v>Molte persone vanno in giro e si siedono sul campo.</v>
      </c>
    </row>
    <row r="26711">
      <c r="A26711" s="4" t="s">
        <v>33611</v>
      </c>
      <c r="B26711" s="4" t="s">
        <v>33620</v>
      </c>
      <c r="C26711" s="5" t="str">
        <f>IFERROR(__xludf.DUMMYFUNCTION("GOOGLETRANSLATE(B26711,""en"",""it"")"),"L'uomo viene visto gettare di nuovo il palo.")</f>
        <v>L'uomo viene visto gettare di nuovo il palo.</v>
      </c>
    </row>
    <row r="26712">
      <c r="A26712" s="4" t="s">
        <v>33621</v>
      </c>
      <c r="B26712" s="6" t="s">
        <v>33622</v>
      </c>
      <c r="C26712" s="5" t="str">
        <f>IFERROR(__xludf.DUMMYFUNCTION("GOOGLETRANSLATE(B26712,""en"",""it"")"),"Viene mostrato un primo piano di una macchina e conduce a persone che lavorano intorno all'immagine.")</f>
        <v>Viene mostrato un primo piano di una macchina e conduce a persone che lavorano intorno all'immagine.</v>
      </c>
    </row>
    <row r="26713">
      <c r="A26713" s="4" t="s">
        <v>33621</v>
      </c>
      <c r="B26713" s="6" t="s">
        <v>33623</v>
      </c>
      <c r="C26713" s="5" t="str">
        <f>IFERROR(__xludf.DUMMYFUNCTION("GOOGLETRANSLATE(B26713,""en"",""it"")"),"Le persone continuano a lavorare con la macchina che mettono la carta e misurandola e mettendola su un tavolo.")</f>
        <v>Le persone continuano a lavorare con la macchina che mettono la carta e misurandola e mettendola su un tavolo.</v>
      </c>
    </row>
    <row r="26714">
      <c r="A26714" s="4" t="s">
        <v>33621</v>
      </c>
      <c r="B26714" s="4" t="s">
        <v>33624</v>
      </c>
      <c r="C26714" s="5" t="str">
        <f>IFERROR(__xludf.DUMMYFUNCTION("GOOGLETRANSLATE(B26714,""en"",""it"")"),"La gente viene quindi vista appendere la carta su un muro e presentarlo alla fine.")</f>
        <v>La gente viene quindi vista appendere la carta su un muro e presentarlo alla fine.</v>
      </c>
    </row>
    <row r="26715">
      <c r="A26715" s="4" t="s">
        <v>33625</v>
      </c>
      <c r="B26715" s="4" t="s">
        <v>33626</v>
      </c>
      <c r="C26715" s="5" t="str">
        <f>IFERROR(__xludf.DUMMYFUNCTION("GOOGLETRANSLATE(B26715,""en"",""it"")"),"La corsa in auto paraurti è piena di persone, già molti si stanno schiantando.")</f>
        <v>La corsa in auto paraurti è piena di persone, già molti si stanno schiantando.</v>
      </c>
    </row>
    <row r="26716">
      <c r="A26716" s="4" t="s">
        <v>33625</v>
      </c>
      <c r="B26716" s="4" t="s">
        <v>33627</v>
      </c>
      <c r="C26716" s="5" t="str">
        <f>IFERROR(__xludf.DUMMYFUNCTION("GOOGLETRANSLATE(B26716,""en"",""it"")"),"Un uomo lampeggia il cartello di pace alla telecamera, divertendosi.")</f>
        <v>Un uomo lampeggia il cartello di pace alla telecamera, divertendosi.</v>
      </c>
    </row>
    <row r="26717">
      <c r="A26717" s="4" t="s">
        <v>33625</v>
      </c>
      <c r="B26717" s="4" t="s">
        <v>33628</v>
      </c>
      <c r="C26717" s="5" t="str">
        <f>IFERROR(__xludf.DUMMYFUNCTION("GOOGLETRANSLATE(B26717,""en"",""it"")"),"L'auto 9 è finalmente iniziata, ma si sta schiantando a destra e a destra.")</f>
        <v>L'auto 9 è finalmente iniziata, ma si sta schiantando a destra e a destra.</v>
      </c>
    </row>
    <row r="26718">
      <c r="A26718" s="4" t="s">
        <v>33625</v>
      </c>
      <c r="B26718" s="4" t="s">
        <v>33629</v>
      </c>
      <c r="C26718" s="5" t="str">
        <f>IFERROR(__xludf.DUMMYFUNCTION("GOOGLETRANSLATE(B26718,""en"",""it"")"),"Un uomo si inverte in un'altra macchina dietro di lui.")</f>
        <v>Un uomo si inverte in un'altra macchina dietro di lui.</v>
      </c>
    </row>
    <row r="26719">
      <c r="A26719" s="4" t="s">
        <v>33625</v>
      </c>
      <c r="B26719" s="4" t="s">
        <v>33630</v>
      </c>
      <c r="C26719" s="5" t="str">
        <f>IFERROR(__xludf.DUMMYFUNCTION("GOOGLETRANSLATE(B26719,""en"",""it"")"),"Un grande accumulo si verifica nel mezzo della pista.")</f>
        <v>Un grande accumulo si verifica nel mezzo della pista.</v>
      </c>
    </row>
    <row r="26720">
      <c r="A26720" s="4" t="s">
        <v>33631</v>
      </c>
      <c r="B26720" s="4" t="s">
        <v>33632</v>
      </c>
      <c r="C26720" s="5" t="str">
        <f>IFERROR(__xludf.DUMMYFUNCTION("GOOGLETRANSLATE(B26720,""en"",""it"")"),"Un uomo è visto seduto dietro un tamburo suonare alla batteria.")</f>
        <v>Un uomo è visto seduto dietro un tamburo suonare alla batteria.</v>
      </c>
    </row>
    <row r="26721">
      <c r="A26721" s="4" t="s">
        <v>33631</v>
      </c>
      <c r="B26721" s="4" t="s">
        <v>33633</v>
      </c>
      <c r="C26721" s="5" t="str">
        <f>IFERROR(__xludf.DUMMYFUNCTION("GOOGLETRANSLATE(B26721,""en"",""it"")"),"La telecamera si muove intorno ai suoi movimenti mentre parla alla telecamera.")</f>
        <v>La telecamera si muove intorno ai suoi movimenti mentre parla alla telecamera.</v>
      </c>
    </row>
    <row r="26722">
      <c r="A26722" s="4" t="s">
        <v>33631</v>
      </c>
      <c r="B26722" s="6" t="s">
        <v>33634</v>
      </c>
      <c r="C26722" s="5" t="str">
        <f>IFERROR(__xludf.DUMMYFUNCTION("GOOGLETRANSLATE(B26722,""en"",""it"")"),"Vengono mostrati altri colpi che suonavano e cantano e altre persone che suonano strumenti intorno a lui.")</f>
        <v>Vengono mostrati altri colpi che suonavano e cantano e altre persone che suonano strumenti intorno a lui.</v>
      </c>
    </row>
    <row r="26723">
      <c r="A26723" s="4" t="s">
        <v>33635</v>
      </c>
      <c r="B26723" s="4" t="s">
        <v>33636</v>
      </c>
      <c r="C26723" s="5" t="str">
        <f>IFERROR(__xludf.DUMMYFUNCTION("GOOGLETRANSLATE(B26723,""en"",""it"")"),"Un ragazzo si prepara a fare un salto in alto in palestra.")</f>
        <v>Un ragazzo si prepara a fare un salto in alto in palestra.</v>
      </c>
    </row>
    <row r="26724">
      <c r="A26724" s="4" t="s">
        <v>33635</v>
      </c>
      <c r="B26724" s="4" t="s">
        <v>33637</v>
      </c>
      <c r="C26724" s="5" t="str">
        <f>IFERROR(__xludf.DUMMYFUNCTION("GOOGLETRANSLATE(B26724,""en"",""it"")"),"Si toglie correndo con il salto in alto.")</f>
        <v>Si toglie correndo con il salto in alto.</v>
      </c>
    </row>
    <row r="26725">
      <c r="A26725" s="4" t="s">
        <v>33635</v>
      </c>
      <c r="B26725" s="4" t="s">
        <v>33638</v>
      </c>
      <c r="C26725" s="5" t="str">
        <f>IFERROR(__xludf.DUMMYFUNCTION("GOOGLETRANSLATE(B26725,""en"",""it"")"),"Fa il salto e atterra sui pad di sicurezza.")</f>
        <v>Fa il salto e atterra sui pad di sicurezza.</v>
      </c>
    </row>
    <row r="26726">
      <c r="A26726" s="4" t="s">
        <v>33639</v>
      </c>
      <c r="B26726" s="4" t="s">
        <v>33640</v>
      </c>
      <c r="C26726" s="5" t="str">
        <f>IFERROR(__xludf.DUMMYFUNCTION("GOOGLETRANSLATE(B26726,""en"",""it"")"),"Le mani di una persona con unghie sono mostrate seguite da due donne che parlano con la telecamera.")</f>
        <v>Le mani di una persona con unghie sono mostrate seguite da due donne che parlano con la telecamera.</v>
      </c>
    </row>
    <row r="26727">
      <c r="A26727" s="4" t="s">
        <v>33639</v>
      </c>
      <c r="B26727" s="6" t="s">
        <v>33641</v>
      </c>
      <c r="C26727" s="5" t="str">
        <f>IFERROR(__xludf.DUMMYFUNCTION("GOOGLETRANSLATE(B26727,""en"",""it"")"),"Vengono mostrati diversi oggetti su carta mentre le donne continuano a parlare e si iniziano a realizzare disegni sulle unghie.")</f>
        <v>Vengono mostrati diversi oggetti su carta mentre le donne continuano a parlare e si iniziano a realizzare disegni sulle unghie.</v>
      </c>
    </row>
    <row r="26728">
      <c r="A26728" s="4" t="s">
        <v>33642</v>
      </c>
      <c r="B26728" s="4" t="s">
        <v>6958</v>
      </c>
      <c r="C26728" s="5" t="str">
        <f>IFERROR(__xludf.DUMMYFUNCTION("GOOGLETRANSLATE(B26728,""en"",""it"")"),"Vediamo uno schermo di apertura bianco.")</f>
        <v>Vediamo uno schermo di apertura bianco.</v>
      </c>
    </row>
    <row r="26729">
      <c r="A26729" s="4" t="s">
        <v>33642</v>
      </c>
      <c r="B26729" s="4" t="s">
        <v>33643</v>
      </c>
      <c r="C26729" s="5" t="str">
        <f>IFERROR(__xludf.DUMMYFUNCTION("GOOGLETRANSLATE(B26729,""en"",""it"")"),"Vediamo quindi un uomo che tiene qualcosa avvolto in un sacchetto di plastica.")</f>
        <v>Vediamo quindi un uomo che tiene qualcosa avvolto in un sacchetto di plastica.</v>
      </c>
    </row>
    <row r="26730">
      <c r="A26730" s="4" t="s">
        <v>33642</v>
      </c>
      <c r="B26730" s="4" t="s">
        <v>33644</v>
      </c>
      <c r="C26730" s="5" t="str">
        <f>IFERROR(__xludf.DUMMYFUNCTION("GOOGLETRANSLATE(B26730,""en"",""it"")"),"Una donna si unisce all'uomo.")</f>
        <v>Una donna si unisce all'uomo.</v>
      </c>
    </row>
    <row r="26731">
      <c r="A26731" s="4" t="s">
        <v>33642</v>
      </c>
      <c r="B26731" s="4" t="s">
        <v>33645</v>
      </c>
      <c r="C26731" s="5" t="str">
        <f>IFERROR(__xludf.DUMMYFUNCTION("GOOGLETRANSLATE(B26731,""en"",""it"")"),"L'uomo apre il sacchetto di plastica.")</f>
        <v>L'uomo apre il sacchetto di plastica.</v>
      </c>
    </row>
    <row r="26732">
      <c r="A26732" s="4" t="s">
        <v>33642</v>
      </c>
      <c r="B26732" s="4" t="s">
        <v>33646</v>
      </c>
      <c r="C26732" s="5" t="str">
        <f>IFERROR(__xludf.DUMMYFUNCTION("GOOGLETRANSLATE(B26732,""en"",""it"")"),"La signora regalo avvolge la scatola per l'uomo.")</f>
        <v>La signora regalo avvolge la scatola per l'uomo.</v>
      </c>
    </row>
    <row r="26733">
      <c r="A26733" s="4" t="s">
        <v>33642</v>
      </c>
      <c r="B26733" s="4" t="s">
        <v>33647</v>
      </c>
      <c r="C26733" s="5" t="str">
        <f>IFERROR(__xludf.DUMMYFUNCTION("GOOGLETRANSLATE(B26733,""en"",""it"")"),"L'uomo fa un colpo al confezionamento del regalo.")</f>
        <v>L'uomo fa un colpo al confezionamento del regalo.</v>
      </c>
    </row>
    <row r="26734">
      <c r="A26734" s="4" t="s">
        <v>33642</v>
      </c>
      <c r="B26734" s="4" t="s">
        <v>33648</v>
      </c>
      <c r="C26734" s="5" t="str">
        <f>IFERROR(__xludf.DUMMYFUNCTION("GOOGLETRANSLATE(B26734,""en"",""it"")"),"La signora finisce avvolgendo il regalo.")</f>
        <v>La signora finisce avvolgendo il regalo.</v>
      </c>
    </row>
    <row r="26735">
      <c r="A26735" s="4" t="s">
        <v>33642</v>
      </c>
      <c r="B26735" s="4" t="s">
        <v>33649</v>
      </c>
      <c r="C26735" s="5" t="str">
        <f>IFERROR(__xludf.DUMMYFUNCTION("GOOGLETRANSLATE(B26735,""en"",""it"")"),"L'uomo piega un bordo e la signora lo registra.")</f>
        <v>L'uomo piega un bordo e la signora lo registra.</v>
      </c>
    </row>
    <row r="26736">
      <c r="A26736" s="4" t="s">
        <v>33642</v>
      </c>
      <c r="B26736" s="4" t="s">
        <v>33650</v>
      </c>
      <c r="C26736" s="5" t="str">
        <f>IFERROR(__xludf.DUMMYFUNCTION("GOOGLETRANSLATE(B26736,""en"",""it"")"),"L'uomo presenta la scatola alla telecamera e parla.")</f>
        <v>L'uomo presenta la scatola alla telecamera e parla.</v>
      </c>
    </row>
    <row r="26737">
      <c r="A26737" s="4" t="s">
        <v>33642</v>
      </c>
      <c r="B26737" s="4" t="s">
        <v>33651</v>
      </c>
      <c r="C26737" s="5" t="str">
        <f>IFERROR(__xludf.DUMMYFUNCTION("GOOGLETRANSLATE(B26737,""en"",""it"")"),"Lo schermo di chiusura viene quindi visto e diventa nero.")</f>
        <v>Lo schermo di chiusura viene quindi visto e diventa nero.</v>
      </c>
    </row>
    <row r="26738">
      <c r="A26738" s="4" t="s">
        <v>33652</v>
      </c>
      <c r="B26738" s="4" t="s">
        <v>4448</v>
      </c>
      <c r="C26738" s="5" t="str">
        <f>IFERROR(__xludf.DUMMYFUNCTION("GOOGLETRANSLATE(B26738,""en"",""it"")"),"Vediamo la schermata del titolo di apertura.")</f>
        <v>Vediamo la schermata del titolo di apertura.</v>
      </c>
    </row>
    <row r="26739">
      <c r="A26739" s="4" t="s">
        <v>33652</v>
      </c>
      <c r="B26739" s="4" t="s">
        <v>33653</v>
      </c>
      <c r="C26739" s="5" t="str">
        <f>IFERROR(__xludf.DUMMYFUNCTION("GOOGLETRANSLATE(B26739,""en"",""it"")"),"Vediamo un uomo che lavora su un pezzo di attrezzatura.")</f>
        <v>Vediamo un uomo che lavora su un pezzo di attrezzatura.</v>
      </c>
    </row>
    <row r="26740">
      <c r="A26740" s="4" t="s">
        <v>33652</v>
      </c>
      <c r="B26740" s="4" t="s">
        <v>33654</v>
      </c>
      <c r="C26740" s="5" t="str">
        <f>IFERROR(__xludf.DUMMYFUNCTION("GOOGLETRANSLATE(B26740,""en"",""it"")"),"L'uomo riscalda il mastice e lo graffia.")</f>
        <v>L'uomo riscalda il mastice e lo graffia.</v>
      </c>
    </row>
    <row r="26741">
      <c r="A26741" s="4" t="s">
        <v>33652</v>
      </c>
      <c r="B26741" s="4" t="s">
        <v>33655</v>
      </c>
      <c r="C26741" s="5" t="str">
        <f>IFERROR(__xludf.DUMMYFUNCTION("GOOGLETRANSLATE(B26741,""en"",""it"")"),"Lo schermo lampeggia e l'uomo mette un nuovo mastice.")</f>
        <v>Lo schermo lampeggia e l'uomo mette un nuovo mastice.</v>
      </c>
    </row>
    <row r="26742">
      <c r="A26742" s="4" t="s">
        <v>33652</v>
      </c>
      <c r="B26742" s="4" t="s">
        <v>33656</v>
      </c>
      <c r="C26742" s="5" t="str">
        <f>IFERROR(__xludf.DUMMYFUNCTION("GOOGLETRANSLATE(B26742,""en"",""it"")"),"L'uomo si ferma e indica il mastice della scena finale.")</f>
        <v>L'uomo si ferma e indica il mastice della scena finale.</v>
      </c>
    </row>
    <row r="26743">
      <c r="A26743" s="4" t="s">
        <v>33657</v>
      </c>
      <c r="B26743" s="4" t="s">
        <v>33658</v>
      </c>
      <c r="C26743" s="5" t="str">
        <f>IFERROR(__xludf.DUMMYFUNCTION("GOOGLETRANSLATE(B26743,""en"",""it"")"),"L'uomo indossa un kimono nero e movimenti yoga di Isoing.")</f>
        <v>L'uomo indossa un kimono nero e movimenti yoga di Isoing.</v>
      </c>
    </row>
    <row r="26744">
      <c r="A26744" s="4" t="s">
        <v>33657</v>
      </c>
      <c r="B26744" s="4" t="s">
        <v>33659</v>
      </c>
      <c r="C26744" s="5" t="str">
        <f>IFERROR(__xludf.DUMMYFUNCTION("GOOGLETRANSLATE(B26744,""en"",""it"")"),"L'uomo è in piedi in un grande campo erboso verde.")</f>
        <v>L'uomo è in piedi in un grande campo erboso verde.</v>
      </c>
    </row>
    <row r="26745">
      <c r="A26745" s="4" t="s">
        <v>33657</v>
      </c>
      <c r="B26745" s="4" t="s">
        <v>33660</v>
      </c>
      <c r="C26745" s="5" t="str">
        <f>IFERROR(__xludf.DUMMYFUNCTION("GOOGLETRANSLATE(B26745,""en"",""it"")"),"L'uomo sta lentamente camminando praticando i movimenti di boxe.")</f>
        <v>L'uomo sta lentamente camminando praticando i movimenti di boxe.</v>
      </c>
    </row>
    <row r="26746">
      <c r="A26746" s="4" t="s">
        <v>33661</v>
      </c>
      <c r="B26746" s="4" t="s">
        <v>33662</v>
      </c>
      <c r="C26746" s="5" t="str">
        <f>IFERROR(__xludf.DUMMYFUNCTION("GOOGLETRANSLATE(B26746,""en"",""it"")"),"Una donna e un uomo vengono mostrati nuotando all'indietro nell'acqua di una piscina.")</f>
        <v>Una donna e un uomo vengono mostrati nuotando all'indietro nell'acqua di una piscina.</v>
      </c>
    </row>
    <row r="26747">
      <c r="A26747" s="4" t="s">
        <v>33661</v>
      </c>
      <c r="B26747" s="4" t="s">
        <v>33663</v>
      </c>
      <c r="C26747" s="5" t="str">
        <f>IFERROR(__xludf.DUMMYFUNCTION("GOOGLETRANSLATE(B26747,""en"",""it"")"),"Dimostrano tecniche diverse come nuoto.")</f>
        <v>Dimostrano tecniche diverse come nuoto.</v>
      </c>
    </row>
    <row r="26748">
      <c r="A26748" s="4" t="s">
        <v>33661</v>
      </c>
      <c r="B26748" s="4" t="s">
        <v>33664</v>
      </c>
      <c r="C26748" s="5" t="str">
        <f>IFERROR(__xludf.DUMMYFUNCTION("GOOGLETRANSLATE(B26748,""en"",""it"")"),"I nomi dei vari metodi compaiono sullo schermo tra gli esempi.")</f>
        <v>I nomi dei vari metodi compaiono sullo schermo tra gli esempi.</v>
      </c>
    </row>
    <row r="26749">
      <c r="A26749" s="4" t="s">
        <v>33665</v>
      </c>
      <c r="B26749" s="4" t="s">
        <v>33666</v>
      </c>
      <c r="C26749" s="5" t="str">
        <f>IFERROR(__xludf.DUMMYFUNCTION("GOOGLETRANSLATE(B26749,""en"",""it"")"),"Manis indossa una camicia bianca e cammina in un'erba verde che trasporta un tosaerba.")</f>
        <v>Manis indossa una camicia bianca e cammina in un'erba verde che trasporta un tosaerba.</v>
      </c>
    </row>
    <row r="26750">
      <c r="A26750" s="4" t="s">
        <v>33665</v>
      </c>
      <c r="B26750" s="4" t="s">
        <v>33667</v>
      </c>
      <c r="C26750" s="5" t="str">
        <f>IFERROR(__xludf.DUMMYFUNCTION("GOOGLETRANSLATE(B26750,""en"",""it"")"),"Kid è in piedi sul campo a guardare l'uomo con il tosaerba.")</f>
        <v>Kid è in piedi sul campo a guardare l'uomo con il tosaerba.</v>
      </c>
    </row>
    <row r="26751">
      <c r="A26751" s="4" t="s">
        <v>33665</v>
      </c>
      <c r="B26751" s="4" t="s">
        <v>33668</v>
      </c>
      <c r="C26751" s="5" t="str">
        <f>IFERROR(__xludf.DUMMYFUNCTION("GOOGLETRANSLATE(B26751,""en"",""it"")"),"L'uomo si alza e estende la mano per tenere il bambino.")</f>
        <v>L'uomo si alza e estende la mano per tenere il bambino.</v>
      </c>
    </row>
    <row r="26752">
      <c r="A26752" s="4" t="s">
        <v>33669</v>
      </c>
      <c r="B26752" s="4" t="s">
        <v>33670</v>
      </c>
      <c r="C26752" s="5" t="str">
        <f>IFERROR(__xludf.DUMMYFUNCTION("GOOGLETRANSLATE(B26752,""en"",""it"")"),"Viene vista una donna parlare alla telecamera mentre si abbassa un testimone tra le mani.")</f>
        <v>Viene vista una donna parlare alla telecamera mentre si abbassa un testimone tra le mani.</v>
      </c>
    </row>
    <row r="26753">
      <c r="A26753" s="4" t="s">
        <v>33669</v>
      </c>
      <c r="B26753" s="4" t="s">
        <v>33671</v>
      </c>
      <c r="C26753" s="5" t="str">
        <f>IFERROR(__xludf.DUMMYFUNCTION("GOOGLETRANSLATE(B26753,""en"",""it"")"),"Continua a parlare con la telecamera mentre gira intorno al testimone.")</f>
        <v>Continua a parlare con la telecamera mentre gira intorno al testimone.</v>
      </c>
    </row>
    <row r="26754">
      <c r="A26754" s="4" t="s">
        <v>33669</v>
      </c>
      <c r="B26754" s="4" t="s">
        <v>33672</v>
      </c>
      <c r="C26754" s="5" t="str">
        <f>IFERROR(__xludf.DUMMYFUNCTION("GOOGLETRANSLATE(B26754,""en"",""it"")"),"Continua a girare attorno al testimone e dimostrare come farsi girare correttamente.")</f>
        <v>Continua a girare attorno al testimone e dimostrare come farsi girare correttamente.</v>
      </c>
    </row>
    <row r="26755">
      <c r="A26755" s="4" t="s">
        <v>33673</v>
      </c>
      <c r="B26755" s="4" t="s">
        <v>33674</v>
      </c>
      <c r="C26755" s="5" t="str">
        <f>IFERROR(__xludf.DUMMYFUNCTION("GOOGLETRANSLATE(B26755,""en"",""it"")"),"Una signora e un uomo si inginocchiano su un anello di arricciatura.")</f>
        <v>Una signora e un uomo si inginocchiano su un anello di arricciatura.</v>
      </c>
    </row>
    <row r="26756">
      <c r="A26756" s="4" t="s">
        <v>33673</v>
      </c>
      <c r="B26756" s="4" t="s">
        <v>33675</v>
      </c>
      <c r="C26756" s="5" t="str">
        <f>IFERROR(__xludf.DUMMYFUNCTION("GOOGLETRANSLATE(B26756,""en"",""it"")"),"Parlano tra loro e una scopa entra in scena.")</f>
        <v>Parlano tra loro e una scopa entra in scena.</v>
      </c>
    </row>
    <row r="26757">
      <c r="A26757" s="4" t="s">
        <v>33673</v>
      </c>
      <c r="B26757" s="4" t="s">
        <v>33676</v>
      </c>
      <c r="C26757" s="5" t="str">
        <f>IFERROR(__xludf.DUMMYFUNCTION("GOOGLETRANSLATE(B26757,""en"",""it"")"),"Iniziano ad andare avanti.")</f>
        <v>Iniziano ad andare avanti.</v>
      </c>
    </row>
    <row r="26758">
      <c r="A26758" s="4" t="s">
        <v>33673</v>
      </c>
      <c r="B26758" s="4" t="s">
        <v>33677</v>
      </c>
      <c r="C26758" s="5" t="str">
        <f>IFERROR(__xludf.DUMMYFUNCTION("GOOGLETRANSLATE(B26758,""en"",""it"")"),"L'uomo si ferma e la signora inciampa.")</f>
        <v>L'uomo si ferma e la signora inciampa.</v>
      </c>
    </row>
    <row r="26759">
      <c r="A26759" s="4" t="s">
        <v>33678</v>
      </c>
      <c r="B26759" s="6" t="s">
        <v>33679</v>
      </c>
      <c r="C26759" s="5" t="str">
        <f>IFERROR(__xludf.DUMMYFUNCTION("GOOGLETRANSLATE(B26759,""en"",""it"")"),"Un uomo si trova in casa, su una piattaforma, davanti a tre spettatori e solleva una campana da bar fortemente ponderata.")</f>
        <v>Un uomo si trova in casa, su una piattaforma, davanti a tre spettatori e solleva una campana da bar fortemente ponderata.</v>
      </c>
    </row>
    <row r="26760">
      <c r="A26760" s="4" t="s">
        <v>33678</v>
      </c>
      <c r="B26760" s="4" t="s">
        <v>33680</v>
      </c>
      <c r="C26760" s="5" t="str">
        <f>IFERROR(__xludf.DUMMYFUNCTION("GOOGLETRANSLATE(B26760,""en"",""it"")"),"Un uomo si avvicina a un bilanciere sul pavimento e si trova prima che si prepara a sollevarlo.")</f>
        <v>Un uomo si avvicina a un bilanciere sul pavimento e si trova prima che si prepara a sollevarlo.</v>
      </c>
    </row>
    <row r="26761">
      <c r="A26761" s="4" t="s">
        <v>33678</v>
      </c>
      <c r="B26761" s="4" t="s">
        <v>33681</v>
      </c>
      <c r="C26761" s="5" t="str">
        <f>IFERROR(__xludf.DUMMYFUNCTION("GOOGLETRANSLATE(B26761,""en"",""it"")"),"L'uomo poi si piega alle ginocchia e mette le mani sulla parte del peso.")</f>
        <v>L'uomo poi si piega alle ginocchia e mette le mani sulla parte del peso.</v>
      </c>
    </row>
    <row r="26762">
      <c r="A26762" s="4" t="s">
        <v>33678</v>
      </c>
      <c r="B26762" s="6" t="s">
        <v>33682</v>
      </c>
      <c r="C26762" s="5" t="str">
        <f>IFERROR(__xludf.DUMMYFUNCTION("GOOGLETRANSLATE(B26762,""en"",""it"")"),"L'uomo quindi solleva la campana sopra la sua testa e poi lascia cadere la campana sul pavimento dove rimbalza un po 'all'atterraggio mentre l'uomo si gira e si allontana dal peso.")</f>
        <v>L'uomo quindi solleva la campana sopra la sua testa e poi lascia cadere la campana sul pavimento dove rimbalza un po 'all'atterraggio mentre l'uomo si gira e si allontana dal peso.</v>
      </c>
    </row>
    <row r="26763">
      <c r="A26763" s="4" t="s">
        <v>33683</v>
      </c>
      <c r="B26763" s="6" t="s">
        <v>33684</v>
      </c>
      <c r="C26763" s="5" t="str">
        <f>IFERROR(__xludf.DUMMYFUNCTION("GOOGLETRANSLATE(B26763,""en"",""it"")"),"Due uomini descrivono l'arrampicata da piombo mentre un uomo in una camicia verde brillante sale una parete di arrampicata L'altro uomo che indossa una camicia verde scuro tiene la linea di piombo e spiega il processo.")</f>
        <v>Due uomini descrivono l'arrampicata da piombo mentre un uomo in una camicia verde brillante sale una parete di arrampicata L'altro uomo che indossa una camicia verde scuro tiene la linea di piombo e spiega il processo.</v>
      </c>
    </row>
    <row r="26764">
      <c r="A26764" s="4" t="s">
        <v>33683</v>
      </c>
      <c r="B26764" s="6" t="s">
        <v>33685</v>
      </c>
      <c r="C26764" s="5" t="str">
        <f>IFERROR(__xludf.DUMMYFUNCTION("GOOGLETRANSLATE(B26764,""en"",""it"")"),"L'uomo nella camicia verde scuro mette un cinturino e si collega alla parete di arrampicata e si supera una corda attraverso la clip.")</f>
        <v>L'uomo nella camicia verde scuro mette un cinturino e si collega alla parete di arrampicata e si supera una corda attraverso la clip.</v>
      </c>
    </row>
    <row r="26765">
      <c r="A26765" s="4" t="s">
        <v>33683</v>
      </c>
      <c r="B26765" s="4" t="s">
        <v>33686</v>
      </c>
      <c r="C26765" s="5" t="str">
        <f>IFERROR(__xludf.DUMMYFUNCTION("GOOGLETRANSLATE(B26765,""en"",""it"")"),"L'uomo inverte la posizione del cinturino e si aggira la corda attraverso il collegamento oculare del cinturino.")</f>
        <v>L'uomo inverte la posizione del cinturino e si aggira la corda attraverso il collegamento oculare del cinturino.</v>
      </c>
    </row>
    <row r="26766">
      <c r="A26766" s="4" t="s">
        <v>33683</v>
      </c>
      <c r="B26766" s="4" t="s">
        <v>33687</v>
      </c>
      <c r="C26766" s="5" t="str">
        <f>IFERROR(__xludf.DUMMYFUNCTION("GOOGLETRANSLATE(B26766,""en"",""it"")"),"L'uomo con la camicia verde brillante continua a salire sulla cima del muro.")</f>
        <v>L'uomo con la camicia verde brillante continua a salire sulla cima del muro.</v>
      </c>
    </row>
    <row r="26767">
      <c r="A26767" s="4" t="s">
        <v>33683</v>
      </c>
      <c r="B26767" s="4" t="s">
        <v>33688</v>
      </c>
      <c r="C26767" s="5" t="str">
        <f>IFERROR(__xludf.DUMMYFUNCTION("GOOGLETRANSLATE(B26767,""en"",""it"")"),"L'uomo nella camicia verde scuro continua a parlare con la telecamera.")</f>
        <v>L'uomo nella camicia verde scuro continua a parlare con la telecamera.</v>
      </c>
    </row>
    <row r="26768">
      <c r="A26768" s="4" t="s">
        <v>33689</v>
      </c>
      <c r="B26768" s="4" t="s">
        <v>33690</v>
      </c>
      <c r="C26768" s="5" t="str">
        <f>IFERROR(__xludf.DUMMYFUNCTION("GOOGLETRANSLATE(B26768,""en"",""it"")"),"Una donna lancia qualcosa all'altra.")</f>
        <v>Una donna lancia qualcosa all'altra.</v>
      </c>
    </row>
    <row r="26769">
      <c r="A26769" s="4" t="s">
        <v>33689</v>
      </c>
      <c r="B26769" s="4" t="s">
        <v>33691</v>
      </c>
      <c r="C26769" s="5" t="str">
        <f>IFERROR(__xludf.DUMMYFUNCTION("GOOGLETRANSLATE(B26769,""en"",""it"")"),"Quindi, le due donne giocano a Hopscotch.")</f>
        <v>Quindi, le due donne giocano a Hopscotch.</v>
      </c>
    </row>
    <row r="26770">
      <c r="A26770" s="4" t="s">
        <v>33692</v>
      </c>
      <c r="B26770" s="4" t="s">
        <v>33693</v>
      </c>
      <c r="C26770" s="5" t="str">
        <f>IFERROR(__xludf.DUMMYFUNCTION("GOOGLETRANSLATE(B26770,""en"",""it"")"),"Una donna è seduta dietro una scrivania a parlare con la telecamera.")</f>
        <v>Una donna è seduta dietro una scrivania a parlare con la telecamera.</v>
      </c>
    </row>
    <row r="26771">
      <c r="A26771" s="4" t="s">
        <v>33692</v>
      </c>
      <c r="B26771" s="4" t="s">
        <v>33694</v>
      </c>
      <c r="C26771" s="5" t="str">
        <f>IFERROR(__xludf.DUMMYFUNCTION("GOOGLETRANSLATE(B26771,""en"",""it"")"),"Una donna entra in una stanza e si siede in un banco.")</f>
        <v>Una donna entra in una stanza e si siede in un banco.</v>
      </c>
    </row>
    <row r="26772">
      <c r="A26772" s="4" t="s">
        <v>33692</v>
      </c>
      <c r="B26772" s="4" t="s">
        <v>33695</v>
      </c>
      <c r="C26772" s="5" t="str">
        <f>IFERROR(__xludf.DUMMYFUNCTION("GOOGLETRANSLATE(B26772,""en"",""it"")"),"La donna inizia a lavorare a maglia.")</f>
        <v>La donna inizia a lavorare a maglia.</v>
      </c>
    </row>
    <row r="26773">
      <c r="A26773" s="4" t="s">
        <v>33692</v>
      </c>
      <c r="B26773" s="4" t="s">
        <v>33696</v>
      </c>
      <c r="C26773" s="5" t="str">
        <f>IFERROR(__xludf.DUMMYFUNCTION("GOOGLETRANSLATE(B26773,""en"",""it"")"),"La donna parla quindi con la telecamera.")</f>
        <v>La donna parla quindi con la telecamera.</v>
      </c>
    </row>
    <row r="26774">
      <c r="A26774" s="4" t="s">
        <v>33697</v>
      </c>
      <c r="B26774" s="4" t="s">
        <v>33698</v>
      </c>
      <c r="C26774" s="5" t="str">
        <f>IFERROR(__xludf.DUMMYFUNCTION("GOOGLETRANSLATE(B26774,""en"",""it"")"),"I bambini saltano in palestra.")</f>
        <v>I bambini saltano in palestra.</v>
      </c>
    </row>
    <row r="26775">
      <c r="A26775" s="4" t="s">
        <v>33697</v>
      </c>
      <c r="B26775" s="4" t="s">
        <v>33699</v>
      </c>
      <c r="C26775" s="5" t="str">
        <f>IFERROR(__xludf.DUMMYFUNCTION("GOOGLETRANSLATE(B26775,""en"",""it"")"),"Si girano l'uno sull'altro.")</f>
        <v>Si girano l'uno sull'altro.</v>
      </c>
    </row>
    <row r="26776">
      <c r="A26776" s="4" t="s">
        <v>33697</v>
      </c>
      <c r="B26776" s="4" t="s">
        <v>33700</v>
      </c>
      <c r="C26776" s="5" t="str">
        <f>IFERROR(__xludf.DUMMYFUNCTION("GOOGLETRANSLATE(B26776,""en"",""it"")"),"Alla fine le persone del pubblico applauvano per loro.")</f>
        <v>Alla fine le persone del pubblico applauvano per loro.</v>
      </c>
    </row>
    <row r="26777">
      <c r="A26777" s="4" t="s">
        <v>33701</v>
      </c>
      <c r="B26777" s="4" t="s">
        <v>33702</v>
      </c>
      <c r="C26777" s="5" t="str">
        <f>IFERROR(__xludf.DUMMYFUNCTION("GOOGLETRANSLATE(B26777,""en"",""it"")"),"Sono visti un primo piano dei piedi di una persona e il testo sullo schermo.")</f>
        <v>Sono visti un primo piano dei piedi di una persona e il testo sullo schermo.</v>
      </c>
    </row>
    <row r="26778">
      <c r="A26778" s="4" t="s">
        <v>33701</v>
      </c>
      <c r="B26778" s="4" t="s">
        <v>33703</v>
      </c>
      <c r="C26778" s="5" t="str">
        <f>IFERROR(__xludf.DUMMYFUNCTION("GOOGLETRANSLATE(B26778,""en"",""it"")"),"La persona viene vista togliersi i lacci e correre le scarpe sott'acqua.")</f>
        <v>La persona viene vista togliersi i lacci e correre le scarpe sott'acqua.</v>
      </c>
    </row>
    <row r="26779">
      <c r="A26779" s="4" t="s">
        <v>33701</v>
      </c>
      <c r="B26779" s="4" t="s">
        <v>33704</v>
      </c>
      <c r="C26779" s="5" t="str">
        <f>IFERROR(__xludf.DUMMYFUNCTION("GOOGLETRANSLATE(B26779,""en"",""it"")"),"La persona mescola gli ingredienti in una ciotola e strofina le scarpe usando il pennello per denti.")</f>
        <v>La persona mescola gli ingredienti in una ciotola e strofina le scarpe usando il pennello per denti.</v>
      </c>
    </row>
    <row r="26780">
      <c r="A26780" s="4" t="s">
        <v>33701</v>
      </c>
      <c r="B26780" s="4" t="s">
        <v>33705</v>
      </c>
      <c r="C26780" s="5" t="str">
        <f>IFERROR(__xludf.DUMMYFUNCTION("GOOGLETRANSLATE(B26780,""en"",""it"")"),"Quindi attacca le scarpe nel lavaggio e le mostra dopo.")</f>
        <v>Quindi attacca le scarpe nel lavaggio e le mostra dopo.</v>
      </c>
    </row>
    <row r="26781">
      <c r="A26781" s="4" t="s">
        <v>33706</v>
      </c>
      <c r="B26781" s="4" t="s">
        <v>33707</v>
      </c>
      <c r="C26781" s="5" t="str">
        <f>IFERROR(__xludf.DUMMYFUNCTION("GOOGLETRANSLATE(B26781,""en"",""it"")"),"Vediamo un uomo che si prepara a gettare un martello in pista e campo.")</f>
        <v>Vediamo un uomo che si prepara a gettare un martello in pista e campo.</v>
      </c>
    </row>
    <row r="26782">
      <c r="A26782" s="4" t="s">
        <v>33706</v>
      </c>
      <c r="B26782" s="4" t="s">
        <v>33708</v>
      </c>
      <c r="C26782" s="5" t="str">
        <f>IFERROR(__xludf.DUMMYFUNCTION("GOOGLETRANSLATE(B26782,""en"",""it"")"),"L'uomo scuote le gambe e cammina sul campo.")</f>
        <v>L'uomo scuote le gambe e cammina sul campo.</v>
      </c>
    </row>
    <row r="26783">
      <c r="A26783" s="4" t="s">
        <v>33706</v>
      </c>
      <c r="B26783" s="4" t="s">
        <v>33709</v>
      </c>
      <c r="C26783" s="5" t="str">
        <f>IFERROR(__xludf.DUMMYFUNCTION("GOOGLETRANSLATE(B26783,""en"",""it"")"),"L'uomo gira forte e lancia il martello.")</f>
        <v>L'uomo gira forte e lancia il martello.</v>
      </c>
    </row>
    <row r="26784">
      <c r="A26784" s="4" t="s">
        <v>33706</v>
      </c>
      <c r="B26784" s="4" t="s">
        <v>33710</v>
      </c>
      <c r="C26784" s="5" t="str">
        <f>IFERROR(__xludf.DUMMYFUNCTION("GOOGLETRANSLATE(B26784,""en"",""it"")"),"Vediamo il martello mentre vola attraverso la pista.")</f>
        <v>Vediamo il martello mentre vola attraverso la pista.</v>
      </c>
    </row>
    <row r="26785">
      <c r="A26785" s="4" t="s">
        <v>33711</v>
      </c>
      <c r="B26785" s="4" t="s">
        <v>33712</v>
      </c>
      <c r="C26785" s="5" t="str">
        <f>IFERROR(__xludf.DUMMYFUNCTION("GOOGLETRANSLATE(B26785,""en"",""it"")"),"Due uomini eseguono una mossa di lancio su un parco giochi che porta a uno che viene lasciato cadere a terra.")</f>
        <v>Due uomini eseguono una mossa di lancio su un parco giochi che porta a uno che viene lasciato cadere a terra.</v>
      </c>
    </row>
    <row r="26786">
      <c r="A26786" s="4" t="s">
        <v>33711</v>
      </c>
      <c r="B26786" s="4" t="s">
        <v>33713</v>
      </c>
      <c r="C26786" s="5" t="str">
        <f>IFERROR(__xludf.DUMMYFUNCTION("GOOGLETRANSLATE(B26786,""en"",""it"")"),"La telecamera ingrandisce l'uomo caduto mentre tutti ridono insieme.")</f>
        <v>La telecamera ingrandisce l'uomo caduto mentre tutti ridono insieme.</v>
      </c>
    </row>
    <row r="26787">
      <c r="A26787" s="4" t="s">
        <v>33714</v>
      </c>
      <c r="B26787" s="6" t="s">
        <v>33715</v>
      </c>
      <c r="C26787" s="5" t="str">
        <f>IFERROR(__xludf.DUMMYFUNCTION("GOOGLETRANSLATE(B26787,""en"",""it"")"),"Una ragazza sta cavalcando su un cavallo bianco che si trova in un percorso ad ostacoli chiuso, ma sta solo camminando, trotterella e correndo intorno al perimetro facendo giri.")</f>
        <v>Una ragazza sta cavalcando su un cavallo bianco che si trova in un percorso ad ostacoli chiuso, ma sta solo camminando, trotterella e correndo intorno al perimetro facendo giri.</v>
      </c>
    </row>
    <row r="26788">
      <c r="A26788" s="4" t="s">
        <v>33714</v>
      </c>
      <c r="B26788" s="6" t="s">
        <v>33716</v>
      </c>
      <c r="C26788" s="5" t="str">
        <f>IFERROR(__xludf.DUMMYFUNCTION("GOOGLETRANSLATE(B26788,""en"",""it"")"),"Un'altra ragazza è ora al centro e sta cavalcando un cavallo marrone più alto che inizia a camminare, trotterella e rimangono anche sul perimetro della zona.")</f>
        <v>Un'altra ragazza è ora al centro e sta cavalcando un cavallo marrone più alto che inizia a camminare, trotterella e rimangono anche sul perimetro della zona.</v>
      </c>
    </row>
    <row r="26789">
      <c r="A26789" s="4" t="s">
        <v>33714</v>
      </c>
      <c r="B26789" s="6" t="s">
        <v>33717</v>
      </c>
      <c r="C26789" s="5" t="str">
        <f>IFERROR(__xludf.DUMMYFUNCTION("GOOGLETRANSLATE(B26789,""en"",""it"")"),"Quando il cavallo marrone ha finito di andare in giro in giri, si avvicina al cavallo bianco che ora è nel mezzo della zona e si ferma.")</f>
        <v>Quando il cavallo marrone ha finito di andare in giro in giri, si avvicina al cavallo bianco che ora è nel mezzo della zona e si ferma.</v>
      </c>
    </row>
    <row r="26790">
      <c r="A26790" s="4" t="s">
        <v>33718</v>
      </c>
      <c r="B26790" s="4" t="s">
        <v>33719</v>
      </c>
      <c r="C26790" s="5" t="str">
        <f>IFERROR(__xludf.DUMMYFUNCTION("GOOGLETRANSLATE(B26790,""en"",""it"")"),"Ci sono diverse ragazze pronte con le loro corde di salto in una palestra interna.")</f>
        <v>Ci sono diverse ragazze pronte con le loro corde di salto in una palestra interna.</v>
      </c>
    </row>
    <row r="26791">
      <c r="A26791" s="4" t="s">
        <v>33718</v>
      </c>
      <c r="B26791" s="4" t="s">
        <v>33720</v>
      </c>
      <c r="C26791" s="5" t="str">
        <f>IFERROR(__xludf.DUMMYFUNCTION("GOOGLETRANSLATE(B26791,""en"",""it"")"),"Sono pronti a competere in competizione.")</f>
        <v>Sono pronti a competere in competizione.</v>
      </c>
    </row>
    <row r="26792">
      <c r="A26792" s="4" t="s">
        <v>33718</v>
      </c>
      <c r="B26792" s="4" t="s">
        <v>33721</v>
      </c>
      <c r="C26792" s="5" t="str">
        <f>IFERROR(__xludf.DUMMYFUNCTION("GOOGLETRANSLATE(B26792,""en"",""it"")"),"Ci sono diverse persone sedute e in piedi che stanno guardando le ragazze mentre saltano la corda.")</f>
        <v>Ci sono diverse persone sedute e in piedi che stanno guardando le ragazze mentre saltano la corda.</v>
      </c>
    </row>
    <row r="26793">
      <c r="A26793" s="4" t="s">
        <v>33718</v>
      </c>
      <c r="B26793" s="4" t="s">
        <v>33722</v>
      </c>
      <c r="C26793" s="5" t="str">
        <f>IFERROR(__xludf.DUMMYFUNCTION("GOOGLETRANSLATE(B26793,""en"",""it"")"),"Le ragazze si alternano e saltano la corda in modo relè.")</f>
        <v>Le ragazze si alternano e saltano la corda in modo relè.</v>
      </c>
    </row>
    <row r="26794">
      <c r="A26794" s="4" t="s">
        <v>33718</v>
      </c>
      <c r="B26794" s="6" t="s">
        <v>33723</v>
      </c>
      <c r="C26794" s="5" t="str">
        <f>IFERROR(__xludf.DUMMYFUNCTION("GOOGLETRANSLATE(B26794,""en"",""it"")"),"Passano tra i concorrenti e si spostano dal salto rapido a un salto più lento e stabile.")</f>
        <v>Passano tra i concorrenti e si spostano dal salto rapido a un salto più lento e stabile.</v>
      </c>
    </row>
    <row r="26795">
      <c r="A26795" s="4" t="s">
        <v>33718</v>
      </c>
      <c r="B26795" s="4" t="s">
        <v>33724</v>
      </c>
      <c r="C26795" s="5" t="str">
        <f>IFERROR(__xludf.DUMMYFUNCTION("GOOGLETRANSLATE(B26795,""en"",""it"")"),"Si alternano mentre saltano.")</f>
        <v>Si alternano mentre saltano.</v>
      </c>
    </row>
    <row r="26796">
      <c r="A26796" s="4" t="s">
        <v>33718</v>
      </c>
      <c r="B26796" s="4" t="s">
        <v>33725</v>
      </c>
      <c r="C26796" s="5" t="str">
        <f>IFERROR(__xludf.DUMMYFUNCTION("GOOGLETRANSLATE(B26796,""en"",""it"")"),"Dopo essersi fermati, la folla applaude e applausi.")</f>
        <v>Dopo essersi fermati, la folla applaude e applausi.</v>
      </c>
    </row>
    <row r="26797">
      <c r="A26797" s="4" t="s">
        <v>33726</v>
      </c>
      <c r="B26797" s="4" t="s">
        <v>33727</v>
      </c>
      <c r="C26797" s="5" t="str">
        <f>IFERROR(__xludf.DUMMYFUNCTION("GOOGLETRANSLATE(B26797,""en"",""it"")"),"Un gruppo di persone si è riunito in un campo all'aperto.")</f>
        <v>Un gruppo di persone si è riunito in un campo all'aperto.</v>
      </c>
    </row>
    <row r="26798">
      <c r="A26798" s="4" t="s">
        <v>33726</v>
      </c>
      <c r="B26798" s="4" t="s">
        <v>33728</v>
      </c>
      <c r="C26798" s="5" t="str">
        <f>IFERROR(__xludf.DUMMYFUNCTION("GOOGLETRANSLATE(B26798,""en"",""it"")"),"Sono coinvolti in un gioco di curling.")</f>
        <v>Sono coinvolti in un gioco di curling.</v>
      </c>
    </row>
    <row r="26799">
      <c r="A26799" s="4" t="s">
        <v>33726</v>
      </c>
      <c r="B26799" s="4" t="s">
        <v>33729</v>
      </c>
      <c r="C26799" s="5" t="str">
        <f>IFERROR(__xludf.DUMMYFUNCTION("GOOGLETRANSLATE(B26799,""en"",""it"")"),"Ogni persona usa il bastone per spingere il disco mentre una ragazza parla alla telecamera.")</f>
        <v>Ogni persona usa il bastone per spingere il disco mentre una ragazza parla alla telecamera.</v>
      </c>
    </row>
    <row r="26800">
      <c r="A26800" s="4" t="s">
        <v>33730</v>
      </c>
      <c r="B26800" s="4" t="s">
        <v>33731</v>
      </c>
      <c r="C26800" s="5" t="str">
        <f>IFERROR(__xludf.DUMMYFUNCTION("GOOGLETRANSLATE(B26800,""en"",""it"")"),"I bambini si trovano in un campo erboso verde aquiloni.")</f>
        <v>I bambini si trovano in un campo erboso verde aquiloni.</v>
      </c>
    </row>
    <row r="26801">
      <c r="A26801" s="4" t="s">
        <v>33730</v>
      </c>
      <c r="B26801" s="4" t="s">
        <v>33732</v>
      </c>
      <c r="C26801" s="5" t="str">
        <f>IFERROR(__xludf.DUMMYFUNCTION("GOOGLETRANSLATE(B26801,""en"",""it"")"),"L'uomo che indossa una camicia bianca sta pilotando l'aquilone in un campo per le facce.")</f>
        <v>L'uomo che indossa una camicia bianca sta pilotando l'aquilone in un campo per le facce.</v>
      </c>
    </row>
    <row r="26802">
      <c r="A26802" s="4" t="s">
        <v>33730</v>
      </c>
      <c r="B26802" s="4" t="s">
        <v>33733</v>
      </c>
      <c r="C26802" s="5" t="str">
        <f>IFERROR(__xludf.DUMMYFUNCTION("GOOGLETRANSLATE(B26802,""en"",""it"")"),"Litle Kid che indossa una camicia arancione sta guardando l'uomo.")</f>
        <v>Litle Kid che indossa una camicia arancione sta guardando l'uomo.</v>
      </c>
    </row>
    <row r="26803">
      <c r="A26803" s="4" t="s">
        <v>33734</v>
      </c>
      <c r="B26803" s="6" t="s">
        <v>33735</v>
      </c>
      <c r="C26803" s="5" t="str">
        <f>IFERROR(__xludf.DUMMYFUNCTION("GOOGLETRANSLATE(B26803,""en"",""it"")"),"Il video conduce in diverse clip di un giocatore di hockey che si muove intorno al ghiaccio e giocatori che parlano alla telecamera.")</f>
        <v>Il video conduce in diverse clip di un giocatore di hockey che si muove intorno al ghiaccio e giocatori che parlano alla telecamera.</v>
      </c>
    </row>
    <row r="26804">
      <c r="A26804" s="4" t="s">
        <v>33734</v>
      </c>
      <c r="B26804" s="6" t="s">
        <v>33736</v>
      </c>
      <c r="C26804" s="5" t="str">
        <f>IFERROR(__xludf.DUMMYFUNCTION("GOOGLETRANSLATE(B26804,""en"",""it"")"),"Le persone continuano a pattinare sul ghiaccio mentre si esercitano mentre i giocatori intervengono per parlare alla telecamera.")</f>
        <v>Le persone continuano a pattinare sul ghiaccio mentre si esercitano mentre i giocatori intervengono per parlare alla telecamera.</v>
      </c>
    </row>
    <row r="26805">
      <c r="A26805" s="4" t="s">
        <v>33737</v>
      </c>
      <c r="B26805" s="4" t="s">
        <v>33738</v>
      </c>
      <c r="C26805" s="5" t="str">
        <f>IFERROR(__xludf.DUMMYFUNCTION("GOOGLETRANSLATE(B26805,""en"",""it"")"),"Un'introduzione al testo conduce in diversi scatti di un magazzino e persone che lavorano con le torce.")</f>
        <v>Un'introduzione al testo conduce in diversi scatti di un magazzino e persone che lavorano con le torce.</v>
      </c>
    </row>
    <row r="26806">
      <c r="A26806" s="4" t="s">
        <v>33737</v>
      </c>
      <c r="B26806" s="4" t="s">
        <v>33739</v>
      </c>
      <c r="C26806" s="5" t="str">
        <f>IFERROR(__xludf.DUMMYFUNCTION("GOOGLETRANSLATE(B26806,""en"",""it"")"),"Le persone sono viste usando computer e magneti che conducono a persone che fanno torte.")</f>
        <v>Le persone sono viste usando computer e magneti che conducono a persone che fanno torte.</v>
      </c>
    </row>
    <row r="26807">
      <c r="A26807" s="4" t="s">
        <v>33737</v>
      </c>
      <c r="B26807" s="6" t="s">
        <v>33740</v>
      </c>
      <c r="C26807" s="5" t="str">
        <f>IFERROR(__xludf.DUMMYFUNCTION("GOOGLETRANSLATE(B26807,""en"",""it"")"),"Le persone usano diversi strumenti e materiali per fare una grande torta che si muove e la porta in una mostra alla fine.")</f>
        <v>Le persone usano diversi strumenti e materiali per fare una grande torta che si muove e la porta in una mostra alla fine.</v>
      </c>
    </row>
    <row r="26808">
      <c r="A26808" s="4" t="s">
        <v>33741</v>
      </c>
      <c r="B26808" s="4" t="s">
        <v>33742</v>
      </c>
      <c r="C26808" s="5" t="str">
        <f>IFERROR(__xludf.DUMMYFUNCTION("GOOGLETRANSLATE(B26808,""en"",""it"")"),"Un gruppo di amici si siede insieme contro una recinzione in uno skate park.")</f>
        <v>Un gruppo di amici si siede insieme contro una recinzione in uno skate park.</v>
      </c>
    </row>
    <row r="26809">
      <c r="A26809" s="4" t="s">
        <v>33741</v>
      </c>
      <c r="B26809" s="4" t="s">
        <v>33743</v>
      </c>
      <c r="C26809" s="5" t="str">
        <f>IFERROR(__xludf.DUMMYFUNCTION("GOOGLETRANSLATE(B26809,""en"",""it"")"),"Le persone su pale a rulli fanno trucchi su una rampa sui gradini.")</f>
        <v>Le persone su pale a rulli fanno trucchi su una rampa sui gradini.</v>
      </c>
    </row>
    <row r="26810">
      <c r="A26810" s="4" t="s">
        <v>33741</v>
      </c>
      <c r="B26810" s="4" t="s">
        <v>33744</v>
      </c>
      <c r="C26810" s="5" t="str">
        <f>IFERROR(__xludf.DUMMYFUNCTION("GOOGLETRANSLATE(B26810,""en"",""it"")"),"Le persone su pale a rulli fanno trucchi su una panchina allo skate park.")</f>
        <v>Le persone su pale a rulli fanno trucchi su una panchina allo skate park.</v>
      </c>
    </row>
    <row r="26811">
      <c r="A26811" s="4" t="s">
        <v>33741</v>
      </c>
      <c r="B26811" s="4" t="s">
        <v>33745</v>
      </c>
      <c r="C26811" s="5" t="str">
        <f>IFERROR(__xludf.DUMMYFUNCTION("GOOGLETRANSLATE(B26811,""en"",""it"")"),"La gente fa camion su una ringhiera lungo una rampa allo skate park.")</f>
        <v>La gente fa camion su una ringhiera lungo una rampa allo skate park.</v>
      </c>
    </row>
    <row r="26812">
      <c r="A26812" s="4" t="s">
        <v>33741</v>
      </c>
      <c r="B26812" s="4" t="s">
        <v>33746</v>
      </c>
      <c r="C26812" s="5" t="str">
        <f>IFERROR(__xludf.DUMMYFUNCTION("GOOGLETRANSLATE(B26812,""en"",""it"")"),"I pattini a rulli cavalcano le rampe a mezzo tubo.")</f>
        <v>I pattini a rulli cavalcano le rampe a mezzo tubo.</v>
      </c>
    </row>
    <row r="26813">
      <c r="A26813" s="4" t="s">
        <v>33747</v>
      </c>
      <c r="B26813" s="4" t="s">
        <v>33748</v>
      </c>
      <c r="C26813" s="5" t="str">
        <f>IFERROR(__xludf.DUMMYFUNCTION("GOOGLETRANSLATE(B26813,""en"",""it"")"),"Un ragazzo si arrampica su per le scale portando un amplificatore nero.")</f>
        <v>Un ragazzo si arrampica su per le scale portando un amplificatore nero.</v>
      </c>
    </row>
    <row r="26814">
      <c r="A26814" s="4" t="s">
        <v>33747</v>
      </c>
      <c r="B26814" s="4" t="s">
        <v>33749</v>
      </c>
      <c r="C26814" s="5" t="str">
        <f>IFERROR(__xludf.DUMMYFUNCTION("GOOGLETRANSLATE(B26814,""en"",""it"")"),"Il ragazzo cammina attraverso una porta che ha aperto.")</f>
        <v>Il ragazzo cammina attraverso una porta che ha aperto.</v>
      </c>
    </row>
    <row r="26815">
      <c r="A26815" s="4" t="s">
        <v>33747</v>
      </c>
      <c r="B26815" s="4" t="s">
        <v>33750</v>
      </c>
      <c r="C26815" s="5" t="str">
        <f>IFERROR(__xludf.DUMMYFUNCTION("GOOGLETRANSLATE(B26815,""en"",""it"")"),"Il ragazzo gioca un'armonica con un microfono in una mano.")</f>
        <v>Il ragazzo gioca un'armonica con un microfono in una mano.</v>
      </c>
    </row>
    <row r="26816">
      <c r="A26816" s="4" t="s">
        <v>33747</v>
      </c>
      <c r="B26816" s="4" t="s">
        <v>33751</v>
      </c>
      <c r="C26816" s="5" t="str">
        <f>IFERROR(__xludf.DUMMYFUNCTION("GOOGLETRANSLATE(B26816,""en"",""it"")"),"Il ragazzo suona la chitarra.")</f>
        <v>Il ragazzo suona la chitarra.</v>
      </c>
    </row>
    <row r="26817">
      <c r="A26817" s="4" t="s">
        <v>33747</v>
      </c>
      <c r="B26817" s="4" t="s">
        <v>33752</v>
      </c>
      <c r="C26817" s="5" t="str">
        <f>IFERROR(__xludf.DUMMYFUNCTION("GOOGLETRANSLATE(B26817,""en"",""it"")"),"L'amplificatore nero viene visualizzato su un tavolo.")</f>
        <v>L'amplificatore nero viene visualizzato su un tavolo.</v>
      </c>
    </row>
    <row r="26818">
      <c r="A26818" s="4" t="s">
        <v>33747</v>
      </c>
      <c r="B26818" s="4" t="s">
        <v>33753</v>
      </c>
      <c r="C26818" s="5" t="str">
        <f>IFERROR(__xludf.DUMMYFUNCTION("GOOGLETRANSLATE(B26818,""en"",""it"")"),"L'amplificatore viene visualizzato su un tavolo.")</f>
        <v>L'amplificatore viene visualizzato su un tavolo.</v>
      </c>
    </row>
    <row r="26819">
      <c r="A26819" s="4" t="s">
        <v>33754</v>
      </c>
      <c r="B26819" s="4" t="s">
        <v>33755</v>
      </c>
      <c r="C26819" s="5" t="str">
        <f>IFERROR(__xludf.DUMMYFUNCTION("GOOGLETRANSLATE(B26819,""en"",""it"")"),"Viene vista una donna parlare alla telecamera con vari ingredienti disposti e la sua pulizia.")</f>
        <v>Viene vista una donna parlare alla telecamera con vari ingredienti disposti e la sua pulizia.</v>
      </c>
    </row>
    <row r="26820">
      <c r="A26820" s="4" t="s">
        <v>33754</v>
      </c>
      <c r="B26820" s="4" t="s">
        <v>33756</v>
      </c>
      <c r="C26820" s="5" t="str">
        <f>IFERROR(__xludf.DUMMYFUNCTION("GOOGLETRANSLATE(B26820,""en"",""it"")"),"Dispone un giornale e mescola vari ingredienti in un flacone spray.")</f>
        <v>Dispone un giornale e mescola vari ingredienti in un flacone spray.</v>
      </c>
    </row>
    <row r="26821">
      <c r="A26821" s="4" t="s">
        <v>33754</v>
      </c>
      <c r="B26821" s="4" t="s">
        <v>33757</v>
      </c>
      <c r="C26821" s="5" t="str">
        <f>IFERROR(__xludf.DUMMYFUNCTION("GOOGLETRANSLATE(B26821,""en"",""it"")"),"Mette i guanti e usando il giornale per pulire una finestra dopo averlo spruzzato.")</f>
        <v>Mette i guanti e usando il giornale per pulire una finestra dopo averlo spruzzato.</v>
      </c>
    </row>
    <row r="26822">
      <c r="A26822" s="4" t="s">
        <v>33754</v>
      </c>
      <c r="B26822" s="4" t="s">
        <v>33758</v>
      </c>
      <c r="C26822" s="5" t="str">
        <f>IFERROR(__xludf.DUMMYFUNCTION("GOOGLETRANSLATE(B26822,""en"",""it"")"),"Continua a pulire la finestra mentre parla alla telecamera.")</f>
        <v>Continua a pulire la finestra mentre parla alla telecamera.</v>
      </c>
    </row>
    <row r="26823">
      <c r="A26823" s="4" t="s">
        <v>33759</v>
      </c>
      <c r="B26823" s="4" t="s">
        <v>33760</v>
      </c>
      <c r="C26823" s="5" t="str">
        <f>IFERROR(__xludf.DUMMYFUNCTION("GOOGLETRANSLATE(B26823,""en"",""it"")"),"Una ragazza si sta riscaldando e si allunga e afferra 2 corde grandi.")</f>
        <v>Una ragazza si sta riscaldando e si allunga e afferra 2 corde grandi.</v>
      </c>
    </row>
    <row r="26824">
      <c r="A26824" s="4" t="s">
        <v>33759</v>
      </c>
      <c r="B26824" s="4" t="s">
        <v>33761</v>
      </c>
      <c r="C26824" s="5" t="str">
        <f>IFERROR(__xludf.DUMMYFUNCTION("GOOGLETRANSLATE(B26824,""en"",""it"")"),"Due donne tengono ogni corda e la ragazza cerca di tirare entrambe le corde contemporaneamente.")</f>
        <v>Due donne tengono ogni corda e la ragazza cerca di tirare entrambe le corde contemporaneamente.</v>
      </c>
    </row>
    <row r="26825">
      <c r="A26825" s="4" t="s">
        <v>33759</v>
      </c>
      <c r="B26825" s="4" t="s">
        <v>33762</v>
      </c>
      <c r="C26825" s="5" t="str">
        <f>IFERROR(__xludf.DUMMYFUNCTION("GOOGLETRANSLATE(B26825,""en"",""it"")"),"Continua a tirare la corda e riesce a avvicinare le due donne a lei.")</f>
        <v>Continua a tirare la corda e riesce a avvicinare le due donne a lei.</v>
      </c>
    </row>
    <row r="26826">
      <c r="A26826" s="4" t="s">
        <v>33763</v>
      </c>
      <c r="B26826" s="4" t="s">
        <v>33764</v>
      </c>
      <c r="C26826" s="5" t="str">
        <f>IFERROR(__xludf.DUMMYFUNCTION("GOOGLETRANSLATE(B26826,""en"",""it"")"),"Le mucche stanno attraversando i campi con uomini che li inseguono con bastoncini.")</f>
        <v>Le mucche stanno attraversando i campi con uomini che li inseguono con bastoncini.</v>
      </c>
    </row>
    <row r="26827">
      <c r="A26827" s="4" t="s">
        <v>33763</v>
      </c>
      <c r="B26827" s="4" t="s">
        <v>33765</v>
      </c>
      <c r="C26827" s="5" t="str">
        <f>IFERROR(__xludf.DUMMYFUNCTION("GOOGLETRANSLATE(B26827,""en"",""it"")"),"Gli uomini stanno agitando le mucche e fanno combattere l'uno con l'altro.")</f>
        <v>Gli uomini stanno agitando le mucche e fanno combattere l'uno con l'altro.</v>
      </c>
    </row>
    <row r="26828">
      <c r="A26828" s="4" t="s">
        <v>33763</v>
      </c>
      <c r="B26828" s="4" t="s">
        <v>33766</v>
      </c>
      <c r="C26828" s="5" t="str">
        <f>IFERROR(__xludf.DUMMYFUNCTION("GOOGLETRANSLATE(B26828,""en"",""it"")"),"Gli uomini cantano e ballano intorno alle mucche.")</f>
        <v>Gli uomini cantano e ballano intorno alle mucche.</v>
      </c>
    </row>
    <row r="26829">
      <c r="A26829" s="4" t="s">
        <v>33763</v>
      </c>
      <c r="B26829" s="4" t="s">
        <v>33767</v>
      </c>
      <c r="C26829" s="5" t="str">
        <f>IFERROR(__xludf.DUMMYFUNCTION("GOOGLETRANSLATE(B26829,""en"",""it"")"),"I media intervistano gli uomini dalla folla.")</f>
        <v>I media intervistano gli uomini dalla folla.</v>
      </c>
    </row>
    <row r="26830">
      <c r="A26830" s="4" t="s">
        <v>33763</v>
      </c>
      <c r="B26830" s="4" t="s">
        <v>33768</v>
      </c>
      <c r="C26830" s="5" t="str">
        <f>IFERROR(__xludf.DUMMYFUNCTION("GOOGLETRANSLATE(B26830,""en"",""it"")"),"Una giornalista sta tenendo un microfono mentre fa un rapporto di notizie.")</f>
        <v>Una giornalista sta tenendo un microfono mentre fa un rapporto di notizie.</v>
      </c>
    </row>
    <row r="26831">
      <c r="A26831" s="4" t="s">
        <v>33763</v>
      </c>
      <c r="B26831" s="4" t="s">
        <v>33769</v>
      </c>
      <c r="C26831" s="5" t="str">
        <f>IFERROR(__xludf.DUMMYFUNCTION("GOOGLETRANSLATE(B26831,""en"",""it"")"),"Una grande folla di uomini la sta seguendo.")</f>
        <v>Una grande folla di uomini la sta seguendo.</v>
      </c>
    </row>
    <row r="26832">
      <c r="A26832" s="4" t="s">
        <v>33770</v>
      </c>
      <c r="B26832" s="4" t="s">
        <v>33771</v>
      </c>
      <c r="C26832" s="5" t="str">
        <f>IFERROR(__xludf.DUMMYFUNCTION("GOOGLETRANSLATE(B26832,""en"",""it"")"),"Diverse persone sono viste in ginocchio su una spiaggia per aiutare un bambino a fare castelli di sabbia.")</f>
        <v>Diverse persone sono viste in ginocchio su una spiaggia per aiutare un bambino a fare castelli di sabbia.</v>
      </c>
    </row>
    <row r="26833">
      <c r="A26833" s="4" t="s">
        <v>33770</v>
      </c>
      <c r="B26833" s="6" t="s">
        <v>33772</v>
      </c>
      <c r="C26833" s="5" t="str">
        <f>IFERROR(__xludf.DUMMYFUNCTION("GOOGLETRANSLATE(B26833,""en"",""it"")"),"Molte persone vengono viste passeggiare per la spiaggia mentre il ragazzo e la donna anziana continuano a fare castelli di sabbia.")</f>
        <v>Molte persone vengono viste passeggiare per la spiaggia mentre il ragazzo e la donna anziana continuano a fare castelli di sabbia.</v>
      </c>
    </row>
    <row r="26834">
      <c r="A26834" s="4" t="s">
        <v>33773</v>
      </c>
      <c r="B26834" s="4" t="s">
        <v>33774</v>
      </c>
      <c r="C26834" s="5" t="str">
        <f>IFERROR(__xludf.DUMMYFUNCTION("GOOGLETRANSLATE(B26834,""en"",""it"")"),"Un paio di grandi palloncini fluttuano sull'acqua dell'oceano.")</f>
        <v>Un paio di grandi palloncini fluttuano sull'acqua dell'oceano.</v>
      </c>
    </row>
    <row r="26835">
      <c r="A26835" s="4" t="s">
        <v>33773</v>
      </c>
      <c r="B26835" s="4" t="s">
        <v>33775</v>
      </c>
      <c r="C26835" s="5" t="str">
        <f>IFERROR(__xludf.DUMMYFUNCTION("GOOGLETRANSLATE(B26835,""en"",""it"")"),"I diparratatori della concorrenza vengono mostrati correre in acqua.")</f>
        <v>I diparratatori della concorrenza vengono mostrati correre in acqua.</v>
      </c>
    </row>
    <row r="26836">
      <c r="A26836" s="4" t="s">
        <v>33773</v>
      </c>
      <c r="B26836" s="4" t="s">
        <v>33776</v>
      </c>
      <c r="C26836" s="5" t="str">
        <f>IFERROR(__xludf.DUMMYFUNCTION("GOOGLETRANSLATE(B26836,""en"",""it"")"),"Pagcano rapidamente verso il traguardo.")</f>
        <v>Pagcano rapidamente verso il traguardo.</v>
      </c>
    </row>
    <row r="26837">
      <c r="A26837" s="4" t="s">
        <v>33777</v>
      </c>
      <c r="B26837" s="4" t="s">
        <v>33778</v>
      </c>
      <c r="C26837" s="5" t="str">
        <f>IFERROR(__xludf.DUMMYFUNCTION("GOOGLETRANSLATE(B26837,""en"",""it"")"),"Una ragazza corre lungo una pista al rallentatore.")</f>
        <v>Una ragazza corre lungo una pista al rallentatore.</v>
      </c>
    </row>
    <row r="26838">
      <c r="A26838" s="4" t="s">
        <v>33777</v>
      </c>
      <c r="B26838" s="4" t="s">
        <v>33779</v>
      </c>
      <c r="C26838" s="5" t="str">
        <f>IFERROR(__xludf.DUMMYFUNCTION("GOOGLETRANSLATE(B26838,""en"",""it"")"),"Fa un enorme salto, lanciandosi su un bar.")</f>
        <v>Fa un enorme salto, lanciandosi su un bar.</v>
      </c>
    </row>
    <row r="26839">
      <c r="A26839" s="4" t="s">
        <v>33777</v>
      </c>
      <c r="B26839" s="4" t="s">
        <v>33780</v>
      </c>
      <c r="C26839" s="5" t="str">
        <f>IFERROR(__xludf.DUMMYFUNCTION("GOOGLETRANSLATE(B26839,""en"",""it"")"),"Viene mostrata eseguire di nuovo l'atto al rallentatore.")</f>
        <v>Viene mostrata eseguire di nuovo l'atto al rallentatore.</v>
      </c>
    </row>
    <row r="26840">
      <c r="A26840" s="4" t="s">
        <v>33781</v>
      </c>
      <c r="B26840" s="4" t="s">
        <v>33782</v>
      </c>
      <c r="C26840" s="5" t="str">
        <f>IFERROR(__xludf.DUMMYFUNCTION("GOOGLETRANSLATE(B26840,""en"",""it"")"),"Una ragazza bussa a una porta ma nessuno risponde.")</f>
        <v>Una ragazza bussa a una porta ma nessuno risponde.</v>
      </c>
    </row>
    <row r="26841">
      <c r="A26841" s="4" t="s">
        <v>33781</v>
      </c>
      <c r="B26841" s="4" t="s">
        <v>33783</v>
      </c>
      <c r="C26841" s="5" t="str">
        <f>IFERROR(__xludf.DUMMYFUNCTION("GOOGLETRANSLATE(B26841,""en"",""it"")"),"Balla e prepara il cibo davanti alla stufa con un'altra donna.")</f>
        <v>Balla e prepara il cibo davanti alla stufa con un'altra donna.</v>
      </c>
    </row>
    <row r="26842">
      <c r="A26842" s="4" t="s">
        <v>33781</v>
      </c>
      <c r="B26842" s="4" t="s">
        <v>33784</v>
      </c>
      <c r="C26842" s="5" t="str">
        <f>IFERROR(__xludf.DUMMYFUNCTION("GOOGLETRANSLATE(B26842,""en"",""it"")"),"Combatte e poi entrambe le ragazze si separano.")</f>
        <v>Combatte e poi entrambe le ragazze si separano.</v>
      </c>
    </row>
    <row r="26843">
      <c r="A26843" s="4" t="s">
        <v>33785</v>
      </c>
      <c r="B26843" s="4" t="s">
        <v>33786</v>
      </c>
      <c r="C26843" s="5" t="str">
        <f>IFERROR(__xludf.DUMMYFUNCTION("GOOGLETRANSLATE(B26843,""en"",""it"")"),"Le persone sono in piscina giocando ad acqua.")</f>
        <v>Le persone sono in piscina giocando ad acqua.</v>
      </c>
    </row>
    <row r="26844">
      <c r="A26844" s="4" t="s">
        <v>33785</v>
      </c>
      <c r="B26844" s="4" t="s">
        <v>33787</v>
      </c>
      <c r="C26844" s="5" t="str">
        <f>IFERROR(__xludf.DUMMYFUNCTION("GOOGLETRANSLATE(B26844,""en"",""it"")"),"Una donna sta camminando fuori dalla piscina.")</f>
        <v>Una donna sta camminando fuori dalla piscina.</v>
      </c>
    </row>
    <row r="26845">
      <c r="A26845" s="4" t="s">
        <v>33785</v>
      </c>
      <c r="B26845" s="4" t="s">
        <v>33788</v>
      </c>
      <c r="C26845" s="5" t="str">
        <f>IFERROR(__xludf.DUMMYFUNCTION("GOOGLETRANSLATE(B26845,""en"",""it"")"),"Un uomo si strofina il viso mentre era in acqua prima di uscire dall'acqua.")</f>
        <v>Un uomo si strofina il viso mentre era in acqua prima di uscire dall'acqua.</v>
      </c>
    </row>
    <row r="26846">
      <c r="A26846" s="4" t="s">
        <v>33789</v>
      </c>
      <c r="B26846" s="4" t="s">
        <v>33790</v>
      </c>
      <c r="C26846" s="5" t="str">
        <f>IFERROR(__xludf.DUMMYFUNCTION("GOOGLETRANSLATE(B26846,""en"",""it"")"),"Le statistiche video che spiegano come preparare muffin di frittata.")</f>
        <v>Le statistiche video che spiegano come preparare muffin di frittata.</v>
      </c>
    </row>
    <row r="26847">
      <c r="A26847" s="4" t="s">
        <v>33789</v>
      </c>
      <c r="B26847" s="4" t="s">
        <v>33791</v>
      </c>
      <c r="C26847" s="5" t="str">
        <f>IFERROR(__xludf.DUMMYFUNCTION("GOOGLETRANSLATE(B26847,""en"",""it"")"),"Mostra gli ingredienti e dice a cosa impostare il forno.")</f>
        <v>Mostra gli ingredienti e dice a cosa impostare il forno.</v>
      </c>
    </row>
    <row r="26848">
      <c r="A26848" s="4" t="s">
        <v>33789</v>
      </c>
      <c r="B26848" s="4" t="s">
        <v>33792</v>
      </c>
      <c r="C26848" s="5" t="str">
        <f>IFERROR(__xludf.DUMMYFUNCTION("GOOGLETRANSLATE(B26848,""en"",""it"")"),"Mescola tutto insieme e lo agita con il condimento.")</f>
        <v>Mescola tutto insieme e lo agita con il condimento.</v>
      </c>
    </row>
    <row r="26849">
      <c r="A26849" s="4" t="s">
        <v>33789</v>
      </c>
      <c r="B26849" s="4" t="s">
        <v>33793</v>
      </c>
      <c r="C26849" s="5" t="str">
        <f>IFERROR(__xludf.DUMMYFUNCTION("GOOGLETRANSLATE(B26849,""en"",""it"")"),"Quindi lo mette nel vassoio e nel forno per cuocere.")</f>
        <v>Quindi lo mette nel vassoio e nel forno per cuocere.</v>
      </c>
    </row>
    <row r="26850">
      <c r="A26850" s="4" t="s">
        <v>33789</v>
      </c>
      <c r="B26850" s="4" t="s">
        <v>33794</v>
      </c>
      <c r="C26850" s="5" t="str">
        <f>IFERROR(__xludf.DUMMYFUNCTION("GOOGLETRANSLATE(B26850,""en"",""it"")"),"Successivamente lo tira fuori e mostra il prodotto finito.")</f>
        <v>Successivamente lo tira fuori e mostra il prodotto finito.</v>
      </c>
    </row>
    <row r="26851">
      <c r="A26851" s="4" t="s">
        <v>33795</v>
      </c>
      <c r="B26851" s="4" t="s">
        <v>33796</v>
      </c>
      <c r="C26851" s="5" t="str">
        <f>IFERROR(__xludf.DUMMYFUNCTION("GOOGLETRANSLATE(B26851,""en"",""it"")"),"Viene mostrata le immagini dei capelli delle persone.")</f>
        <v>Viene mostrata le immagini dei capelli delle persone.</v>
      </c>
    </row>
    <row r="26852">
      <c r="A26852" s="4" t="s">
        <v>33795</v>
      </c>
      <c r="B26852" s="4" t="s">
        <v>33797</v>
      </c>
      <c r="C26852" s="5" t="str">
        <f>IFERROR(__xludf.DUMMYFUNCTION("GOOGLETRANSLATE(B26852,""en"",""it"")"),"Una donna con una camicia rosa ha foto dei suoi capelli.")</f>
        <v>Una donna con una camicia rosa ha foto dei suoi capelli.</v>
      </c>
    </row>
    <row r="26853">
      <c r="A26853" s="4" t="s">
        <v>33795</v>
      </c>
      <c r="B26853" s="4" t="s">
        <v>33798</v>
      </c>
      <c r="C26853" s="5" t="str">
        <f>IFERROR(__xludf.DUMMYFUNCTION("GOOGLETRANSLATE(B26853,""en"",""it"")"),"Le parole arrivano sullo schermo alla fine.")</f>
        <v>Le parole arrivano sullo schermo alla fine.</v>
      </c>
    </row>
    <row r="26854">
      <c r="A26854" s="4" t="s">
        <v>33799</v>
      </c>
      <c r="B26854" s="4" t="s">
        <v>33800</v>
      </c>
      <c r="C26854" s="5" t="str">
        <f>IFERROR(__xludf.DUMMYFUNCTION("GOOGLETRANSLATE(B26854,""en"",""it"")"),"Un gruppo di ginnasta entra davanti a un lato di uno stadio.")</f>
        <v>Un gruppo di ginnasta entra davanti a un lato di uno stadio.</v>
      </c>
    </row>
    <row r="26855">
      <c r="A26855" s="4" t="s">
        <v>33799</v>
      </c>
      <c r="B26855" s="6" t="s">
        <v>33801</v>
      </c>
      <c r="C26855" s="5" t="str">
        <f>IFERROR(__xludf.DUMMYFUNCTION("GOOGLETRANSLATE(B26855,""en"",""it"")"),"Successivamente, una ginnasta viene mostrata sul bar e fa più trucchi costituiti da lanci e a piedi, quindi si sposta per atterrare e camminare.")</f>
        <v>Successivamente, una ginnasta viene mostrata sul bar e fa più trucchi costituiti da lanci e a piedi, quindi si sposta per atterrare e camminare.</v>
      </c>
    </row>
    <row r="26856">
      <c r="A26856" s="4" t="s">
        <v>33799</v>
      </c>
      <c r="B26856" s="6" t="s">
        <v>33802</v>
      </c>
      <c r="C26856" s="5" t="str">
        <f>IFERROR(__xludf.DUMMYFUNCTION("GOOGLETRANSLATE(B26856,""en"",""it"")"),"Mentre un uomo corre vicino a lui, viene mostrato un replay dei casi in cui ha incasinato e poi viene mostrato il suo punteggio.")</f>
        <v>Mentre un uomo corre vicino a lui, viene mostrato un replay dei casi in cui ha incasinato e poi viene mostrato il suo punteggio.</v>
      </c>
    </row>
    <row r="26857">
      <c r="A26857" s="4" t="s">
        <v>33799</v>
      </c>
      <c r="B26857" s="6" t="s">
        <v>33803</v>
      </c>
      <c r="C26857" s="5" t="str">
        <f>IFERROR(__xludf.DUMMYFUNCTION("GOOGLETRANSLATE(B26857,""en"",""it"")"),"Un altro uomo viene mostrato facendo vari trucchi e lancia, ma invece di essere sopra la barra, inizia sotto la barra e arriva in cima per fare un supporto per le mani prima di girare finalmente.")</f>
        <v>Un altro uomo viene mostrato facendo vari trucchi e lancia, ma invece di essere sopra la barra, inizia sotto la barra e arriva in cima per fare un supporto per le mani prima di girare finalmente.</v>
      </c>
    </row>
    <row r="26858">
      <c r="A26858" s="4" t="s">
        <v>33799</v>
      </c>
      <c r="B26858" s="6" t="s">
        <v>33804</v>
      </c>
      <c r="C26858" s="5" t="str">
        <f>IFERROR(__xludf.DUMMYFUNCTION("GOOGLETRANSLATE(B26858,""en"",""it"")"),"Diverse altre squadre si avvicinano al bar e anche loro iniziano a fare gli stessi trucchi nella loro competizione.")</f>
        <v>Diverse altre squadre si avvicinano al bar e anche loro iniziano a fare gli stessi trucchi nella loro competizione.</v>
      </c>
    </row>
    <row r="26859">
      <c r="A26859" s="4" t="s">
        <v>33799</v>
      </c>
      <c r="B26859" s="4" t="s">
        <v>33805</v>
      </c>
      <c r="C26859" s="5" t="str">
        <f>IFERROR(__xludf.DUMMYFUNCTION("GOOGLETRANSLATE(B26859,""en"",""it"")"),"Il vincitore inizia quindi a sventolare la sua bandiera e agitare la mano alla folla.")</f>
        <v>Il vincitore inizia quindi a sventolare la sua bandiera e agitare la mano alla folla.</v>
      </c>
    </row>
    <row r="26860">
      <c r="A26860" s="4" t="s">
        <v>33806</v>
      </c>
      <c r="B26860" s="4" t="s">
        <v>33807</v>
      </c>
      <c r="C26860" s="5" t="str">
        <f>IFERROR(__xludf.DUMMYFUNCTION("GOOGLETRANSLATE(B26860,""en"",""it"")"),"Vediamo un uomo in una stanza di fronte a uno scaffale con un biscotto.")</f>
        <v>Vediamo un uomo in una stanza di fronte a uno scaffale con un biscotto.</v>
      </c>
    </row>
    <row r="26861">
      <c r="A26861" s="4" t="s">
        <v>33806</v>
      </c>
      <c r="B26861" s="4" t="s">
        <v>33808</v>
      </c>
      <c r="C26861" s="5" t="str">
        <f>IFERROR(__xludf.DUMMYFUNCTION("GOOGLETRANSLATE(B26861,""en"",""it"")"),"Il biscotto è strappato dall'uomo.")</f>
        <v>Il biscotto è strappato dall'uomo.</v>
      </c>
    </row>
    <row r="26862">
      <c r="A26862" s="4" t="s">
        <v>33806</v>
      </c>
      <c r="B26862" s="4" t="s">
        <v>33809</v>
      </c>
      <c r="C26862" s="5" t="str">
        <f>IFERROR(__xludf.DUMMYFUNCTION("GOOGLETRANSLATE(B26862,""en"",""it"")"),"Vediamo il volto di un ragazzo.")</f>
        <v>Vediamo il volto di un ragazzo.</v>
      </c>
    </row>
    <row r="26863">
      <c r="A26863" s="4" t="s">
        <v>33806</v>
      </c>
      <c r="B26863" s="4" t="s">
        <v>33810</v>
      </c>
      <c r="C26863" s="5" t="str">
        <f>IFERROR(__xludf.DUMMYFUNCTION("GOOGLETRANSLATE(B26863,""en"",""it"")"),"Vediamo ingredienti aggiunti a una ciotola.")</f>
        <v>Vediamo ingredienti aggiunti a una ciotola.</v>
      </c>
    </row>
    <row r="26864">
      <c r="A26864" s="4" t="s">
        <v>33806</v>
      </c>
      <c r="B26864" s="4" t="s">
        <v>33811</v>
      </c>
      <c r="C26864" s="5" t="str">
        <f>IFERROR(__xludf.DUMMYFUNCTION("GOOGLETRANSLATE(B26864,""en"",""it"")"),"Cambiamo e vediamo un gatto.")</f>
        <v>Cambiamo e vediamo un gatto.</v>
      </c>
    </row>
    <row r="26865">
      <c r="A26865" s="4" t="s">
        <v>33806</v>
      </c>
      <c r="B26865" s="4" t="s">
        <v>33812</v>
      </c>
      <c r="C26865" s="5" t="str">
        <f>IFERROR(__xludf.DUMMYFUNCTION("GOOGLETRANSLATE(B26865,""en"",""it"")"),"Vediamo gli ingredienti in un mixer, quindi versato in una ciotola, quindi refrigerati.")</f>
        <v>Vediamo gli ingredienti in un mixer, quindi versato in una ciotola, quindi refrigerati.</v>
      </c>
    </row>
    <row r="26866">
      <c r="A26866" s="4" t="s">
        <v>33806</v>
      </c>
      <c r="B26866" s="4" t="s">
        <v>33813</v>
      </c>
      <c r="C26866" s="5" t="str">
        <f>IFERROR(__xludf.DUMMYFUNCTION("GOOGLETRANSLATE(B26866,""en"",""it"")"),"Vediamo di nuovo il gatto.")</f>
        <v>Vediamo di nuovo il gatto.</v>
      </c>
    </row>
    <row r="26867">
      <c r="A26867" s="4" t="s">
        <v>33806</v>
      </c>
      <c r="B26867" s="4" t="s">
        <v>33814</v>
      </c>
      <c r="C26867" s="5" t="str">
        <f>IFERROR(__xludf.DUMMYFUNCTION("GOOGLETRANSLATE(B26867,""en"",""it"")"),"Una persona modella le palline e le ricopre nello zucchero a velo.")</f>
        <v>Una persona modella le palline e le ricopre nello zucchero a velo.</v>
      </c>
    </row>
    <row r="26868">
      <c r="A26868" s="4" t="s">
        <v>33806</v>
      </c>
      <c r="B26868" s="4" t="s">
        <v>33815</v>
      </c>
      <c r="C26868" s="5" t="str">
        <f>IFERROR(__xludf.DUMMYFUNCTION("GOOGLETRANSLATE(B26868,""en"",""it"")"),"I biscotti sono cotti.")</f>
        <v>I biscotti sono cotti.</v>
      </c>
    </row>
    <row r="26869">
      <c r="A26869" s="4" t="s">
        <v>33806</v>
      </c>
      <c r="B26869" s="4" t="s">
        <v>33816</v>
      </c>
      <c r="C26869" s="5" t="str">
        <f>IFERROR(__xludf.DUMMYFUNCTION("GOOGLETRANSLATE(B26869,""en"",""it"")"),"Vediamo l'uomo parlare con una ragazza.")</f>
        <v>Vediamo l'uomo parlare con una ragazza.</v>
      </c>
    </row>
    <row r="26870">
      <c r="A26870" s="4" t="s">
        <v>33806</v>
      </c>
      <c r="B26870" s="4" t="s">
        <v>33817</v>
      </c>
      <c r="C26870" s="5" t="str">
        <f>IFERROR(__xludf.DUMMYFUNCTION("GOOGLETRANSLATE(B26870,""en"",""it"")"),"Vediamo i biscotti e le due tazze.")</f>
        <v>Vediamo i biscotti e le due tazze.</v>
      </c>
    </row>
    <row r="26871">
      <c r="A26871" s="4" t="s">
        <v>33806</v>
      </c>
      <c r="B26871" s="4" t="s">
        <v>33818</v>
      </c>
      <c r="C26871" s="5" t="str">
        <f>IFERROR(__xludf.DUMMYFUNCTION("GOOGLETRANSLATE(B26871,""en"",""it"")"),"Vediamo l'uomo con due bambini.")</f>
        <v>Vediamo l'uomo con due bambini.</v>
      </c>
    </row>
    <row r="26872">
      <c r="A26872" s="4" t="s">
        <v>33819</v>
      </c>
      <c r="B26872" s="4" t="s">
        <v>33820</v>
      </c>
      <c r="C26872" s="5" t="str">
        <f>IFERROR(__xludf.DUMMYFUNCTION("GOOGLETRANSLATE(B26872,""en"",""it"")"),"Viene vista una donna suonare una serie di cornamuse mentre le persone si siedono intorno a lei e guardano.")</f>
        <v>Viene vista una donna suonare una serie di cornamuse mentre le persone si siedono intorno a lei e guardano.</v>
      </c>
    </row>
    <row r="26873">
      <c r="A26873" s="4" t="s">
        <v>33819</v>
      </c>
      <c r="B26873" s="6" t="s">
        <v>33821</v>
      </c>
      <c r="C26873" s="5" t="str">
        <f>IFERROR(__xludf.DUMMYFUNCTION("GOOGLETRANSLATE(B26873,""en"",""it"")"),"La ragazza continua a suonare mentre la telecamera la guarda spostare le mani lungo lo strumento e un uomo in piedi accanto a lei per posare e lanciare un cambiamento.")</f>
        <v>La ragazza continua a suonare mentre la telecamera la guarda spostare le mani lungo lo strumento e un uomo in piedi accanto a lei per posare e lanciare un cambiamento.</v>
      </c>
    </row>
    <row r="26874">
      <c r="A26874" s="4" t="s">
        <v>33822</v>
      </c>
      <c r="B26874" s="4" t="s">
        <v>33823</v>
      </c>
      <c r="C26874" s="5" t="str">
        <f>IFERROR(__xludf.DUMMYFUNCTION("GOOGLETRANSLATE(B26874,""en"",""it"")"),"Un uomo viene visto in piedi davanti a un grande tronco che tiene in mano un'ascia.")</f>
        <v>Un uomo viene visto in piedi davanti a un grande tronco che tiene in mano un'ascia.</v>
      </c>
    </row>
    <row r="26875">
      <c r="A26875" s="4" t="s">
        <v>33822</v>
      </c>
      <c r="B26875" s="4" t="s">
        <v>33824</v>
      </c>
      <c r="C26875" s="5" t="str">
        <f>IFERROR(__xludf.DUMMYFUNCTION("GOOGLETRANSLATE(B26875,""en"",""it"")"),"Tiene l'ascia sopra la sua testa mentre guarda ancora il tronco.")</f>
        <v>Tiene l'ascia sopra la sua testa mentre guarda ancora il tronco.</v>
      </c>
    </row>
    <row r="26876">
      <c r="A26876" s="4" t="s">
        <v>33822</v>
      </c>
      <c r="B26876" s="4" t="s">
        <v>33825</v>
      </c>
      <c r="C26876" s="5" t="str">
        <f>IFERROR(__xludf.DUMMYFUNCTION("GOOGLETRANSLATE(B26876,""en"",""it"")"),"Sfalda l'ascia e taglia il tronco a metà.")</f>
        <v>Sfalda l'ascia e taglia il tronco a metà.</v>
      </c>
    </row>
    <row r="26877">
      <c r="A26877" s="4" t="s">
        <v>33826</v>
      </c>
      <c r="B26877" s="4" t="s">
        <v>33827</v>
      </c>
      <c r="C26877" s="5" t="str">
        <f>IFERROR(__xludf.DUMMYFUNCTION("GOOGLETRANSLATE(B26877,""en"",""it"")"),"Le persone sono in una stanza a parlare tra loro.")</f>
        <v>Le persone sono in una stanza a parlare tra loro.</v>
      </c>
    </row>
    <row r="26878">
      <c r="A26878" s="4" t="s">
        <v>33826</v>
      </c>
      <c r="B26878" s="4" t="s">
        <v>33828</v>
      </c>
      <c r="C26878" s="5" t="str">
        <f>IFERROR(__xludf.DUMMYFUNCTION("GOOGLETRANSLATE(B26878,""en"",""it"")"),"Quindi, gli uomini competono il wrestling del braccio e il vincitore sembra felici, mentre le persone
 applaudire.")</f>
        <v>Quindi, gli uomini competono il wrestling del braccio e il vincitore sembra felici, mentre le persone
 applaudire.</v>
      </c>
    </row>
    <row r="26879">
      <c r="A26879" s="4" t="s">
        <v>33826</v>
      </c>
      <c r="B26879" s="4" t="s">
        <v>33829</v>
      </c>
      <c r="C26879" s="5" t="str">
        <f>IFERROR(__xludf.DUMMYFUNCTION("GOOGLETRANSLATE(B26879,""en"",""it"")"),"Un uomo beve birra da una bottiglia.")</f>
        <v>Un uomo beve birra da una bottiglia.</v>
      </c>
    </row>
    <row r="26880">
      <c r="A26880" s="4" t="s">
        <v>33830</v>
      </c>
      <c r="B26880" s="6" t="s">
        <v>33831</v>
      </c>
      <c r="C26880" s="5" t="str">
        <f>IFERROR(__xludf.DUMMYFUNCTION("GOOGLETRANSLATE(B26880,""en"",""it"")"),"Una persona viene vista camminare per un percorso di paintball e conduce a clip di persone che giocano a paintball e parlano tra loro.")</f>
        <v>Una persona viene vista camminare per un percorso di paintball e conduce a clip di persone che giocano a paintball e parlano tra loro.</v>
      </c>
    </row>
    <row r="26881">
      <c r="A26881" s="4" t="s">
        <v>33830</v>
      </c>
      <c r="B26881" s="6" t="s">
        <v>33832</v>
      </c>
      <c r="C26881" s="5" t="str">
        <f>IFERROR(__xludf.DUMMYFUNCTION("GOOGLETRANSLATE(B26881,""en"",""it"")"),"Un uomo indica la telecamera e conduce a più colpi di persone che giocano e lavorano tra loro.")</f>
        <v>Un uomo indica la telecamera e conduce a più colpi di persone che giocano e lavorano tra loro.</v>
      </c>
    </row>
    <row r="26882">
      <c r="A26882" s="4" t="s">
        <v>33833</v>
      </c>
      <c r="B26882" s="4" t="s">
        <v>33834</v>
      </c>
      <c r="C26882" s="5" t="str">
        <f>IFERROR(__xludf.DUMMYFUNCTION("GOOGLETRANSLATE(B26882,""en"",""it"")"),"Viene mostrato un primo piano di un panino seguito da ingredienti e una donna che parla alla telecamera.")</f>
        <v>Viene mostrato un primo piano di un panino seguito da ingredienti e una donna che parla alla telecamera.</v>
      </c>
    </row>
    <row r="26883">
      <c r="A26883" s="4" t="s">
        <v>33833</v>
      </c>
      <c r="B26883" s="6" t="s">
        <v>33835</v>
      </c>
      <c r="C26883" s="5" t="str">
        <f>IFERROR(__xludf.DUMMYFUNCTION("GOOGLETRANSLATE(B26883,""en"",""it"")"),"Diversi ingredienti vengono disposti e mostrati da vicino uno ad uno mentre la donna li mescola tutti insieme in una ciotola.")</f>
        <v>Diversi ingredienti vengono disposti e mostrati da vicino uno ad uno mentre la donna li mescola tutti insieme in una ciotola.</v>
      </c>
    </row>
    <row r="26884">
      <c r="A26884" s="4" t="s">
        <v>33833</v>
      </c>
      <c r="B26884" s="6" t="s">
        <v>33836</v>
      </c>
      <c r="C26884" s="5" t="str">
        <f>IFERROR(__xludf.DUMMYFUNCTION("GOOGLETRANSLATE(B26884,""en"",""it"")"),"Quindi versa la miscela su una fetta di rottura e lo presenta su un piatto mentre parla continuamente.")</f>
        <v>Quindi versa la miscela su una fetta di rottura e lo presenta su un piatto mentre parla continuamente.</v>
      </c>
    </row>
    <row r="26885">
      <c r="A26885" s="4" t="s">
        <v>33837</v>
      </c>
      <c r="B26885" s="6" t="s">
        <v>33838</v>
      </c>
      <c r="C26885" s="5" t="str">
        <f>IFERROR(__xludf.DUMMYFUNCTION("GOOGLETRANSLATE(B26885,""en"",""it"")"),"Un uomo sta mettendo la carta da toeletta sul muro, sta cercando di misurarlo bene in modo che sia anche con il resto.")</f>
        <v>Un uomo sta mettendo la carta da toeletta sul muro, sta cercando di misurarlo bene in modo che sia anche con il resto.</v>
      </c>
    </row>
    <row r="26886">
      <c r="A26886" s="4" t="s">
        <v>33837</v>
      </c>
      <c r="B26886" s="6" t="s">
        <v>33839</v>
      </c>
      <c r="C26886" s="5" t="str">
        <f>IFERROR(__xludf.DUMMYFUNCTION("GOOGLETRANSLATE(B26886,""en"",""it"")"),"Taglia un po 'di carta e toglie la parte di plastica dal retro in modo che sia appiccicoso e inizi a premere il lato adesivo verso il basso sul muro.")</f>
        <v>Taglia un po 'di carta e toglie la parte di plastica dal retro in modo che sia appiccicoso e inizi a premere il lato adesivo verso il basso sul muro.</v>
      </c>
    </row>
    <row r="26887">
      <c r="A26887" s="4" t="s">
        <v>33837</v>
      </c>
      <c r="B26887" s="4" t="s">
        <v>33840</v>
      </c>
      <c r="C26887" s="5" t="str">
        <f>IFERROR(__xludf.DUMMYFUNCTION("GOOGLETRANSLATE(B26887,""en"",""it"")"),"Comincia ad aggiungere pressione in modo che le bolle escano e sembrano belle e persino.")</f>
        <v>Comincia ad aggiungere pressione in modo che le bolle escano e sembrano belle e persino.</v>
      </c>
    </row>
    <row r="26888">
      <c r="A26888" s="4" t="s">
        <v>33837</v>
      </c>
      <c r="B26888" s="6" t="s">
        <v>33841</v>
      </c>
      <c r="C26888" s="5" t="str">
        <f>IFERROR(__xludf.DUMMYFUNCTION("GOOGLETRANSLATE(B26888,""en"",""it"")"),"Si trova indietro per guardare il muro e assicurarsi che abbia un bell'aspetto, quindi mostra una foto prima e dopo.")</f>
        <v>Si trova indietro per guardare il muro e assicurarsi che abbia un bell'aspetto, quindi mostra una foto prima e dopo.</v>
      </c>
    </row>
    <row r="26889">
      <c r="A26889" s="4" t="s">
        <v>33842</v>
      </c>
      <c r="B26889" s="4" t="s">
        <v>33843</v>
      </c>
      <c r="C26889" s="5" t="str">
        <f>IFERROR(__xludf.DUMMYFUNCTION("GOOGLETRANSLATE(B26889,""en"",""it"")"),"Un uomo si inginocchia su un campo.")</f>
        <v>Un uomo si inginocchia su un campo.</v>
      </c>
    </row>
    <row r="26890">
      <c r="A26890" s="4" t="s">
        <v>33842</v>
      </c>
      <c r="B26890" s="4" t="s">
        <v>33844</v>
      </c>
      <c r="C26890" s="5" t="str">
        <f>IFERROR(__xludf.DUMMYFUNCTION("GOOGLETRANSLATE(B26890,""en"",""it"")"),"Raccoglie una palla pesante e la usa per eseguire numerose tecniche di esercizio.")</f>
        <v>Raccoglie una palla pesante e la usa per eseguire numerose tecniche di esercizio.</v>
      </c>
    </row>
    <row r="26891">
      <c r="A26891" s="4" t="s">
        <v>33842</v>
      </c>
      <c r="B26891" s="4" t="s">
        <v>33845</v>
      </c>
      <c r="C26891" s="5" t="str">
        <f>IFERROR(__xludf.DUMMYFUNCTION("GOOGLETRANSLATE(B26891,""en"",""it"")"),"Quindi lo mette di nuovo sull'erba.")</f>
        <v>Quindi lo mette di nuovo sull'erba.</v>
      </c>
    </row>
    <row r="26892">
      <c r="A26892" s="4" t="s">
        <v>33846</v>
      </c>
      <c r="B26892" s="4" t="s">
        <v>33847</v>
      </c>
      <c r="C26892" s="5" t="str">
        <f>IFERROR(__xludf.DUMMYFUNCTION("GOOGLETRANSLATE(B26892,""en"",""it"")"),"Viene vista una barca che cavalca lungo l'acqua con un uomo che guida gli altri.")</f>
        <v>Viene vista una barca che cavalca lungo l'acqua con un uomo che guida gli altri.</v>
      </c>
    </row>
    <row r="26893">
      <c r="A26893" s="4" t="s">
        <v>33846</v>
      </c>
      <c r="B26893" s="4" t="s">
        <v>33848</v>
      </c>
      <c r="C26893" s="5" t="str">
        <f>IFERROR(__xludf.DUMMYFUNCTION("GOOGLETRANSLATE(B26893,""en"",""it"")"),"Una persona viene vista cavalcare sul retro facendo diversi lanci e trucchi sulla sua tavola.")</f>
        <v>Una persona viene vista cavalcare sul retro facendo diversi lanci e trucchi sulla sua tavola.</v>
      </c>
    </row>
    <row r="26894">
      <c r="A26894" s="4" t="s">
        <v>33846</v>
      </c>
      <c r="B26894" s="6" t="s">
        <v>33849</v>
      </c>
      <c r="C26894" s="5" t="str">
        <f>IFERROR(__xludf.DUMMYFUNCTION("GOOGLETRANSLATE(B26894,""en"",""it"")"),"Le persone guardano l'uomo e la telecamera mentre continua a girare e guardando indietro alla telecamera.")</f>
        <v>Le persone guardano l'uomo e la telecamera mentre continua a girare e guardando indietro alla telecamera.</v>
      </c>
    </row>
    <row r="26895">
      <c r="A26895" s="4" t="s">
        <v>33850</v>
      </c>
      <c r="B26895" s="4" t="s">
        <v>33851</v>
      </c>
      <c r="C26895" s="5" t="str">
        <f>IFERROR(__xludf.DUMMYFUNCTION("GOOGLETRANSLATE(B26895,""en"",""it"")"),"Un uomo sta snowboard lungo una collina di neve.")</f>
        <v>Un uomo sta snowboard lungo una collina di neve.</v>
      </c>
    </row>
    <row r="26896">
      <c r="A26896" s="4" t="s">
        <v>33850</v>
      </c>
      <c r="B26896" s="4" t="s">
        <v>33852</v>
      </c>
      <c r="C26896" s="5" t="str">
        <f>IFERROR(__xludf.DUMMYFUNCTION("GOOGLETRANSLATE(B26896,""en"",""it"")"),"Sta saltando in aria e fa trucchi dalle tubi.")</f>
        <v>Sta saltando in aria e fa trucchi dalle tubi.</v>
      </c>
    </row>
    <row r="26897">
      <c r="A26897" s="4" t="s">
        <v>33853</v>
      </c>
      <c r="B26897" s="4" t="s">
        <v>33854</v>
      </c>
      <c r="C26897" s="5" t="str">
        <f>IFERROR(__xludf.DUMMYFUNCTION("GOOGLETRANSLATE(B26897,""en"",""it"")"),"Un uomo va in giro mentre si aggiusta una cintura, con molte altre persone nella stanza.")</f>
        <v>Un uomo va in giro mentre si aggiusta una cintura, con molte altre persone nella stanza.</v>
      </c>
    </row>
    <row r="26898">
      <c r="A26898" s="4" t="s">
        <v>33853</v>
      </c>
      <c r="B26898" s="4" t="s">
        <v>33855</v>
      </c>
      <c r="C26898" s="5" t="str">
        <f>IFERROR(__xludf.DUMMYFUNCTION("GOOGLETRANSLATE(B26898,""en"",""it"")"),"L'uomo cammina attraverso un tunnel affiancato da molti altri uomini.")</f>
        <v>L'uomo cammina attraverso un tunnel affiancato da molti altri uomini.</v>
      </c>
    </row>
    <row r="26899">
      <c r="A26899" s="4" t="s">
        <v>33853</v>
      </c>
      <c r="B26899" s="4" t="s">
        <v>33856</v>
      </c>
      <c r="C26899" s="5" t="str">
        <f>IFERROR(__xludf.DUMMYFUNCTION("GOOGLETRANSLATE(B26899,""en"",""it"")"),"L'uomo sale su un palcoscenico e si alza le mani.")</f>
        <v>L'uomo sale su un palcoscenico e si alza le mani.</v>
      </c>
    </row>
    <row r="26900">
      <c r="A26900" s="4" t="s">
        <v>33853</v>
      </c>
      <c r="B26900" s="4" t="s">
        <v>33857</v>
      </c>
      <c r="C26900" s="5" t="str">
        <f>IFERROR(__xludf.DUMMYFUNCTION("GOOGLETRANSLATE(B26900,""en"",""it"")"),"L'uomo cammina davanti a un bilanciere con pesi.")</f>
        <v>L'uomo cammina davanti a un bilanciere con pesi.</v>
      </c>
    </row>
    <row r="26901">
      <c r="A26901" s="4" t="s">
        <v>33853</v>
      </c>
      <c r="B26901" s="4" t="s">
        <v>33858</v>
      </c>
      <c r="C26901" s="5" t="str">
        <f>IFERROR(__xludf.DUMMYFUNCTION("GOOGLETRANSLATE(B26901,""en"",""it"")"),"L'uomo solleva i pesi.")</f>
        <v>L'uomo solleva i pesi.</v>
      </c>
    </row>
    <row r="26902">
      <c r="A26902" s="4" t="s">
        <v>33853</v>
      </c>
      <c r="B26902" s="4" t="s">
        <v>33859</v>
      </c>
      <c r="C26902" s="5" t="str">
        <f>IFERROR(__xludf.DUMMYFUNCTION("GOOGLETRANSLATE(B26902,""en"",""it"")"),"L'uomo lascia cadere i pesi.")</f>
        <v>L'uomo lascia cadere i pesi.</v>
      </c>
    </row>
    <row r="26903">
      <c r="A26903" s="4" t="s">
        <v>33853</v>
      </c>
      <c r="B26903" s="4" t="s">
        <v>33860</v>
      </c>
      <c r="C26903" s="5" t="str">
        <f>IFERROR(__xludf.DUMMYFUNCTION("GOOGLETRANSLATE(B26903,""en"",""it"")"),"L'uomo esce dal palco mentre gli assistenti passano al peso sul palco.")</f>
        <v>L'uomo esce dal palco mentre gli assistenti passano al peso sul palco.</v>
      </c>
    </row>
    <row r="26904">
      <c r="A26904" s="4" t="s">
        <v>33853</v>
      </c>
      <c r="B26904" s="4" t="s">
        <v>33861</v>
      </c>
      <c r="C26904" s="5" t="str">
        <f>IFERROR(__xludf.DUMMYFUNCTION("GOOGLETRANSLATE(B26904,""en"",""it"")"),"Un replay dell'ascensore è mostrato da un angolo diverso.")</f>
        <v>Un replay dell'ascensore è mostrato da un angolo diverso.</v>
      </c>
    </row>
    <row r="26905">
      <c r="A26905" s="4" t="s">
        <v>33862</v>
      </c>
      <c r="B26905" s="4" t="s">
        <v>33863</v>
      </c>
      <c r="C26905" s="5" t="str">
        <f>IFERROR(__xludf.DUMMYFUNCTION("GOOGLETRANSLATE(B26905,""en"",""it"")"),"Una signora è in piedi al tavolo con ingredienti sul tavolo.")</f>
        <v>Una signora è in piedi al tavolo con ingredienti sul tavolo.</v>
      </c>
    </row>
    <row r="26906">
      <c r="A26906" s="4" t="s">
        <v>33862</v>
      </c>
      <c r="B26906" s="6" t="s">
        <v>33864</v>
      </c>
      <c r="C26906" s="5" t="str">
        <f>IFERROR(__xludf.DUMMYFUNCTION("GOOGLETRANSLATE(B26906,""en"",""it"")"),"La donna puntava gli ingredienti come peperoni rossi, sedano, carote, petto di pollo, olive, gherkin in salamoia, olio d'oliva nella bottiglia, vino bianco nella bottiglia, maionese, senape e groviera, sale e pepe.")</f>
        <v>La donna puntava gli ingredienti come peperoni rossi, sedano, carote, petto di pollo, olive, gherkin in salamoia, olio d'oliva nella bottiglia, vino bianco nella bottiglia, maionese, senape e groviera, sale e pepe.</v>
      </c>
    </row>
    <row r="26907">
      <c r="A26907" s="4" t="s">
        <v>33862</v>
      </c>
      <c r="B26907" s="6" t="s">
        <v>33865</v>
      </c>
      <c r="C26907" s="5" t="str">
        <f>IFERROR(__xludf.DUMMYFUNCTION("GOOGLETRANSLATE(B26907,""en"",""it"")"),"La signora ha toccato gli ingredienti nei piatti, poi ha tagliato il pollo, ha messo la senape, la maionese e l'olio d'oliva in una ciotola, quindi ha aggiunto le verdure e quindi il piatto è mostrato con l'insalata di pollo.")</f>
        <v>La signora ha toccato gli ingredienti nei piatti, poi ha tagliato il pollo, ha messo la senape, la maionese e l'olio d'oliva in una ciotola, quindi ha aggiunto le verdure e quindi il piatto è mostrato con l'insalata di pollo.</v>
      </c>
    </row>
    <row r="26908">
      <c r="A26908" s="4" t="s">
        <v>33866</v>
      </c>
      <c r="B26908" s="4" t="s">
        <v>33867</v>
      </c>
      <c r="C26908" s="5" t="str">
        <f>IFERROR(__xludf.DUMMYFUNCTION("GOOGLETRANSLATE(B26908,""en"",""it"")"),"Un pilota di kayak paga contro la corrente e manovre avanti e indietro con i fianchi e la pagaia.")</f>
        <v>Un pilota di kayak paga contro la corrente e manovre avanti e indietro con i fianchi e la pagaia.</v>
      </c>
    </row>
    <row r="26909">
      <c r="A26909" s="4" t="s">
        <v>33866</v>
      </c>
      <c r="B26909" s="4" t="s">
        <v>33868</v>
      </c>
      <c r="C26909" s="5" t="str">
        <f>IFERROR(__xludf.DUMMYFUNCTION("GOOGLETRANSLATE(B26909,""en"",""it"")"),"Il pilota di kayak si tuffa nell'acqua e si riprende.")</f>
        <v>Il pilota di kayak si tuffa nell'acqua e si riprende.</v>
      </c>
    </row>
    <row r="26910">
      <c r="A26910" s="4" t="s">
        <v>33869</v>
      </c>
      <c r="B26910" s="4" t="s">
        <v>33870</v>
      </c>
      <c r="C26910" s="5" t="str">
        <f>IFERROR(__xludf.DUMMYFUNCTION("GOOGLETRANSLATE(B26910,""en"",""it"")"),"Si sta svolgendo un gioco tra Argentina e Perù.")</f>
        <v>Si sta svolgendo un gioco tra Argentina e Perù.</v>
      </c>
    </row>
    <row r="26911">
      <c r="A26911" s="4" t="s">
        <v>33869</v>
      </c>
      <c r="B26911" s="4" t="s">
        <v>33871</v>
      </c>
      <c r="C26911" s="5" t="str">
        <f>IFERROR(__xludf.DUMMYFUNCTION("GOOGLETRANSLATE(B26911,""en"",""it"")"),"Le persone negli stand affollati si radunano e si disperdono.")</f>
        <v>Le persone negli stand affollati si radunano e si disperdono.</v>
      </c>
    </row>
    <row r="26912">
      <c r="A26912" s="4" t="s">
        <v>33869</v>
      </c>
      <c r="B26912" s="4" t="s">
        <v>33872</v>
      </c>
      <c r="C26912" s="5" t="str">
        <f>IFERROR(__xludf.DUMMYFUNCTION("GOOGLETRANSLATE(B26912,""en"",""it"")"),"Gli uomini vengono mostrati in campo, giocando e calciando la palla.")</f>
        <v>Gli uomini vengono mostrati in campo, giocando e calciando la palla.</v>
      </c>
    </row>
    <row r="26913">
      <c r="A26913" s="4" t="s">
        <v>33869</v>
      </c>
      <c r="B26913" s="4" t="s">
        <v>33873</v>
      </c>
      <c r="C26913" s="5" t="str">
        <f>IFERROR(__xludf.DUMMYFUNCTION("GOOGLETRANSLATE(B26913,""en"",""it"")"),"Il tabellone viene mostrato per il confronto alla fine del gioco.")</f>
        <v>Il tabellone viene mostrato per il confronto alla fine del gioco.</v>
      </c>
    </row>
    <row r="26914">
      <c r="A26914" s="4" t="s">
        <v>33874</v>
      </c>
      <c r="B26914" s="4" t="s">
        <v>33875</v>
      </c>
      <c r="C26914" s="5" t="str">
        <f>IFERROR(__xludf.DUMMYFUNCTION("GOOGLETRANSLATE(B26914,""en"",""it"")"),"Un grande tetto si vede da vicino seguito da una persona in piedi su una scala e spingendo giù piastrelle.")</f>
        <v>Un grande tetto si vede da vicino seguito da una persona in piedi su una scala e spingendo giù piastrelle.</v>
      </c>
    </row>
    <row r="26915">
      <c r="A26915" s="4" t="s">
        <v>33874</v>
      </c>
      <c r="B26915" s="6" t="s">
        <v>33876</v>
      </c>
      <c r="C26915" s="5" t="str">
        <f>IFERROR(__xludf.DUMMYFUNCTION("GOOGLETRANSLATE(B26915,""en"",""it"")"),"Si vedono più persone che lavorano sul tetto che martellano le piastrelle e le spingono via e parlano alla telecamera.")</f>
        <v>Si vedono più persone che lavorano sul tetto che martellano le piastrelle e le spingono via e parlano alla telecamera.</v>
      </c>
    </row>
    <row r="26916">
      <c r="A26916" s="4" t="s">
        <v>33874</v>
      </c>
      <c r="B26916" s="6" t="s">
        <v>33877</v>
      </c>
      <c r="C26916" s="5" t="str">
        <f>IFERROR(__xludf.DUMMYFUNCTION("GOOGLETRANSLATE(B26916,""en"",""it"")"),"La fotocamera continua a panoramica intorno al tetto e edifici intorno a loro e gli uomini che continuano a lavorare.")</f>
        <v>La fotocamera continua a panoramica intorno al tetto e edifici intorno a loro e gli uomini che continuano a lavorare.</v>
      </c>
    </row>
    <row r="26917">
      <c r="A26917" s="4" t="s">
        <v>33878</v>
      </c>
      <c r="B26917" s="4" t="s">
        <v>33879</v>
      </c>
      <c r="C26917" s="5" t="str">
        <f>IFERROR(__xludf.DUMMYFUNCTION("GOOGLETRANSLATE(B26917,""en"",""it"")"),"Una ragazza è seduta davanti a un divano.")</f>
        <v>Una ragazza è seduta davanti a un divano.</v>
      </c>
    </row>
    <row r="26918">
      <c r="A26918" s="4" t="s">
        <v>33878</v>
      </c>
      <c r="B26918" s="4" t="s">
        <v>33880</v>
      </c>
      <c r="C26918" s="5" t="str">
        <f>IFERROR(__xludf.DUMMYFUNCTION("GOOGLETRANSLATE(B26918,""en"",""it"")"),"Comincia a suonare un flauto.")</f>
        <v>Comincia a suonare un flauto.</v>
      </c>
    </row>
    <row r="26919">
      <c r="A26919" s="4" t="s">
        <v>33878</v>
      </c>
      <c r="B26919" s="4" t="s">
        <v>33881</v>
      </c>
      <c r="C26919" s="5" t="str">
        <f>IFERROR(__xludf.DUMMYFUNCTION("GOOGLETRANSLATE(B26919,""en"",""it"")"),"Continua a suonare il bianco flauto guardando in basso.")</f>
        <v>Continua a suonare il bianco flauto guardando in basso.</v>
      </c>
    </row>
    <row r="26920">
      <c r="A26920" s="4" t="s">
        <v>33882</v>
      </c>
      <c r="B26920" s="4" t="s">
        <v>33883</v>
      </c>
      <c r="C26920" s="5" t="str">
        <f>IFERROR(__xludf.DUMMYFUNCTION("GOOGLETRANSLATE(B26920,""en"",""it"")"),"Un uomo si trova di fronte a un muro pieno di prodotti per capelli.")</f>
        <v>Un uomo si trova di fronte a un muro pieno di prodotti per capelli.</v>
      </c>
    </row>
    <row r="26921">
      <c r="A26921" s="4" t="s">
        <v>33882</v>
      </c>
      <c r="B26921" s="4" t="s">
        <v>33884</v>
      </c>
      <c r="C26921" s="5" t="str">
        <f>IFERROR(__xludf.DUMMYFUNCTION("GOOGLETRANSLATE(B26921,""en"",""it"")"),"Varie forbici e pettini sono disposti su un tappetino.")</f>
        <v>Varie forbici e pettini sono disposti su un tappetino.</v>
      </c>
    </row>
    <row r="26922">
      <c r="A26922" s="4" t="s">
        <v>33882</v>
      </c>
      <c r="B26922" s="4" t="s">
        <v>33885</v>
      </c>
      <c r="C26922" s="5" t="str">
        <f>IFERROR(__xludf.DUMMYFUNCTION("GOOGLETRANSLATE(B26922,""en"",""it"")"),"Lo stilista del salone si strofina quindi i prodotti per capelli tra i capelli dell'uomo con le mani.")</f>
        <v>Lo stilista del salone si strofina quindi i prodotti per capelli tra i capelli dell'uomo con le mani.</v>
      </c>
    </row>
    <row r="26923">
      <c r="A26923" s="4" t="s">
        <v>33882</v>
      </c>
      <c r="B26923" s="4" t="s">
        <v>33886</v>
      </c>
      <c r="C26923" s="5" t="str">
        <f>IFERROR(__xludf.DUMMYFUNCTION("GOOGLETRANSLATE(B26923,""en"",""it"")"),"Lo stilista elimina i capelli e lo taglia con le forbici.")</f>
        <v>Lo stilista elimina i capelli e lo taglia con le forbici.</v>
      </c>
    </row>
    <row r="26924">
      <c r="A26924" s="4" t="s">
        <v>33882</v>
      </c>
      <c r="B26924" s="4" t="s">
        <v>33887</v>
      </c>
      <c r="C26924" s="5" t="str">
        <f>IFERROR(__xludf.DUMMYFUNCTION("GOOGLETRANSLATE(B26924,""en"",""it"")"),"Lo stilista taglia le basette e intorno alle orecchie.")</f>
        <v>Lo stilista taglia le basette e intorno alle orecchie.</v>
      </c>
    </row>
    <row r="26925">
      <c r="A26925" s="4" t="s">
        <v>33882</v>
      </c>
      <c r="B26925" s="6" t="s">
        <v>33888</v>
      </c>
      <c r="C26925" s="5" t="str">
        <f>IFERROR(__xludf.DUMMYFUNCTION("GOOGLETRANSLATE(B26925,""en"",""it"")"),"Lo stilista usa le mani per modellare i capelli e soffiare quando è finito di tagliare la persona.")</f>
        <v>Lo stilista usa le mani per modellare i capelli e soffiare quando è finito di tagliare la persona.</v>
      </c>
    </row>
    <row r="26926">
      <c r="A26926" s="4" t="s">
        <v>33889</v>
      </c>
      <c r="B26926" s="4" t="s">
        <v>33890</v>
      </c>
      <c r="C26926" s="5" t="str">
        <f>IFERROR(__xludf.DUMMYFUNCTION("GOOGLETRANSLATE(B26926,""en"",""it"")"),"Vediamo un uomo sorridente con crediti in esecuzione sullo schermo.")</f>
        <v>Vediamo un uomo sorridente con crediti in esecuzione sullo schermo.</v>
      </c>
    </row>
    <row r="26927">
      <c r="A26927" s="4" t="s">
        <v>33889</v>
      </c>
      <c r="B26927" s="4" t="s">
        <v>33891</v>
      </c>
      <c r="C26927" s="5" t="str">
        <f>IFERROR(__xludf.DUMMYFUNCTION("GOOGLETRANSLATE(B26927,""en"",""it"")"),"Vediamo uno schermo didattico.")</f>
        <v>Vediamo uno schermo didattico.</v>
      </c>
    </row>
    <row r="26928">
      <c r="A26928" s="4" t="s">
        <v>33889</v>
      </c>
      <c r="B26928" s="4" t="s">
        <v>33892</v>
      </c>
      <c r="C26928" s="5" t="str">
        <f>IFERROR(__xludf.DUMMYFUNCTION("GOOGLETRANSLATE(B26928,""en"",""it"")"),"Vediamo due uomini che giocano una partita di zucca.")</f>
        <v>Vediamo due uomini che giocano una partita di zucca.</v>
      </c>
    </row>
    <row r="26929">
      <c r="A26929" s="4" t="s">
        <v>33889</v>
      </c>
      <c r="B26929" s="4" t="s">
        <v>5107</v>
      </c>
      <c r="C26929" s="5" t="str">
        <f>IFERROR(__xludf.DUMMYFUNCTION("GOOGLETRANSLATE(B26929,""en"",""it"")"),"Vediamo quindi la schermata del titolo finale.")</f>
        <v>Vediamo quindi la schermata del titolo finale.</v>
      </c>
    </row>
    <row r="26930">
      <c r="A26930" s="4" t="s">
        <v>33893</v>
      </c>
      <c r="B26930" s="6" t="s">
        <v>33894</v>
      </c>
      <c r="C26930" s="5" t="str">
        <f>IFERROR(__xludf.DUMMYFUNCTION("GOOGLETRANSLATE(B26930,""en"",""it"")"),"La donna sta mangiando fiocchi di crusca e mette un po 'di mascara, lavando i denti e pulisce la bocca con il collutorio.")</f>
        <v>La donna sta mangiando fiocchi di crusca e mette un po 'di mascara, lavando i denti e pulisce la bocca con il collutorio.</v>
      </c>
    </row>
    <row r="26931">
      <c r="A26931" s="4" t="s">
        <v>33893</v>
      </c>
      <c r="B26931" s="4" t="s">
        <v>33895</v>
      </c>
      <c r="C26931" s="5" t="str">
        <f>IFERROR(__xludf.DUMMYFUNCTION("GOOGLETRANSLATE(B26931,""en"",""it"")"),"I giornalisti stanno parlando nelle notizie.")</f>
        <v>I giornalisti stanno parlando nelle notizie.</v>
      </c>
    </row>
    <row r="26932">
      <c r="A26932" s="4" t="s">
        <v>33896</v>
      </c>
      <c r="B26932" s="4" t="s">
        <v>33897</v>
      </c>
      <c r="C26932" s="5" t="str">
        <f>IFERROR(__xludf.DUMMYFUNCTION("GOOGLETRANSLATE(B26932,""en"",""it"")"),"Una donna sta lavando le mani su un lavandino.")</f>
        <v>Una donna sta lavando le mani su un lavandino.</v>
      </c>
    </row>
    <row r="26933">
      <c r="A26933" s="4" t="s">
        <v>33896</v>
      </c>
      <c r="B26933" s="4" t="s">
        <v>33898</v>
      </c>
      <c r="C26933" s="5" t="str">
        <f>IFERROR(__xludf.DUMMYFUNCTION("GOOGLETRANSLATE(B26933,""en"",""it"")"),"Sciacquava le mani nel lavandino.")</f>
        <v>Sciacquava le mani nel lavandino.</v>
      </c>
    </row>
    <row r="26934">
      <c r="A26934" s="4" t="s">
        <v>33896</v>
      </c>
      <c r="B26934" s="4" t="s">
        <v>33899</v>
      </c>
      <c r="C26934" s="5" t="str">
        <f>IFERROR(__xludf.DUMMYFUNCTION("GOOGLETRANSLATE(B26934,""en"",""it"")"),"Afferra un tovagliolo di carta e si asciuga le mani.")</f>
        <v>Afferra un tovagliolo di carta e si asciuga le mani.</v>
      </c>
    </row>
    <row r="26935">
      <c r="A26935" s="4" t="s">
        <v>33900</v>
      </c>
      <c r="B26935" s="4" t="s">
        <v>33901</v>
      </c>
      <c r="C26935" s="5" t="str">
        <f>IFERROR(__xludf.DUMMYFUNCTION("GOOGLETRANSLATE(B26935,""en"",""it"")"),"Vediamo la schermata del titolo su Gray.")</f>
        <v>Vediamo la schermata del titolo su Gray.</v>
      </c>
    </row>
    <row r="26936">
      <c r="A26936" s="4" t="s">
        <v>33900</v>
      </c>
      <c r="B26936" s="4" t="s">
        <v>33902</v>
      </c>
      <c r="C26936" s="5" t="str">
        <f>IFERROR(__xludf.DUMMYFUNCTION("GOOGLETRANSLATE(B26936,""en"",""it"")"),"Due uomini giocano a squash.")</f>
        <v>Due uomini giocano a squash.</v>
      </c>
    </row>
    <row r="26937">
      <c r="A26937" s="4" t="s">
        <v>33900</v>
      </c>
      <c r="B26937" s="4" t="s">
        <v>33903</v>
      </c>
      <c r="C26937" s="5" t="str">
        <f>IFERROR(__xludf.DUMMYFUNCTION("GOOGLETRANSLATE(B26937,""en"",""it"")"),"Vediamo una transizione che esorta la pratica.")</f>
        <v>Vediamo una transizione che esorta la pratica.</v>
      </c>
    </row>
    <row r="26938">
      <c r="A26938" s="4" t="s">
        <v>33900</v>
      </c>
      <c r="B26938" s="4" t="s">
        <v>33904</v>
      </c>
      <c r="C26938" s="5" t="str">
        <f>IFERROR(__xludf.DUMMYFUNCTION("GOOGLETRANSLATE(B26938,""en"",""it"")"),"Una transizione inizia ma non cambia in nulla.")</f>
        <v>Una transizione inizia ma non cambia in nulla.</v>
      </c>
    </row>
    <row r="26939">
      <c r="A26939" s="4" t="s">
        <v>33900</v>
      </c>
      <c r="B26939" s="4" t="s">
        <v>33905</v>
      </c>
      <c r="C26939" s="5" t="str">
        <f>IFERROR(__xludf.DUMMYFUNCTION("GOOGLETRANSLATE(B26939,""en"",""it"")"),"L'uomo in bianco si asciuga la fronte con la manica.")</f>
        <v>L'uomo in bianco si asciuga la fronte con la manica.</v>
      </c>
    </row>
    <row r="26940">
      <c r="A26940" s="4" t="s">
        <v>33900</v>
      </c>
      <c r="B26940" s="4" t="s">
        <v>33906</v>
      </c>
      <c r="C26940" s="5" t="str">
        <f>IFERROR(__xludf.DUMMYFUNCTION("GOOGLETRANSLATE(B26940,""en"",""it"")"),"I crediti finali eseguono lo schermo.")</f>
        <v>I crediti finali eseguono lo schermo.</v>
      </c>
    </row>
    <row r="26941">
      <c r="A26941" s="4" t="s">
        <v>33907</v>
      </c>
      <c r="B26941" s="4" t="s">
        <v>33908</v>
      </c>
      <c r="C26941" s="5" t="str">
        <f>IFERROR(__xludf.DUMMYFUNCTION("GOOGLETRANSLATE(B26941,""en"",""it"")"),"Una donna si inginocchia a terra accanto a una scrivania.")</f>
        <v>Una donna si inginocchia a terra accanto a una scrivania.</v>
      </c>
    </row>
    <row r="26942">
      <c r="A26942" s="4" t="s">
        <v>33907</v>
      </c>
      <c r="B26942" s="4" t="s">
        <v>33909</v>
      </c>
      <c r="C26942" s="5" t="str">
        <f>IFERROR(__xludf.DUMMYFUNCTION("GOOGLETRANSLATE(B26942,""en"",""it"")"),"Comincia a dipingere la scrivania bianca con un pennello.")</f>
        <v>Comincia a dipingere la scrivania bianca con un pennello.</v>
      </c>
    </row>
    <row r="26943">
      <c r="A26943" s="4" t="s">
        <v>33907</v>
      </c>
      <c r="B26943" s="4" t="s">
        <v>33910</v>
      </c>
      <c r="C26943" s="5" t="str">
        <f>IFERROR(__xludf.DUMMYFUNCTION("GOOGLETRANSLATE(B26943,""en"",""it"")"),"Quindi inizia a dipingere due cassetti arancione.")</f>
        <v>Quindi inizia a dipingere due cassetti arancione.</v>
      </c>
    </row>
    <row r="26944">
      <c r="A26944" s="4" t="s">
        <v>33911</v>
      </c>
      <c r="B26944" s="4" t="s">
        <v>33912</v>
      </c>
      <c r="C26944" s="5" t="str">
        <f>IFERROR(__xludf.DUMMYFUNCTION("GOOGLETRANSLATE(B26944,""en"",""it"")"),"Gli uomini a turno gettano freccette in una tavola da darda.")</f>
        <v>Gli uomini a turno gettano freccette in una tavola da darda.</v>
      </c>
    </row>
    <row r="26945">
      <c r="A26945" s="4" t="s">
        <v>33911</v>
      </c>
      <c r="B26945" s="4" t="s">
        <v>33913</v>
      </c>
      <c r="C26945" s="5" t="str">
        <f>IFERROR(__xludf.DUMMYFUNCTION("GOOGLETRANSLATE(B26945,""en"",""it"")"),"Una donna tra la folla applaude per loro.")</f>
        <v>Una donna tra la folla applaude per loro.</v>
      </c>
    </row>
    <row r="26946">
      <c r="A26946" s="4" t="s">
        <v>33911</v>
      </c>
      <c r="B26946" s="4" t="s">
        <v>33914</v>
      </c>
      <c r="C26946" s="5" t="str">
        <f>IFERROR(__xludf.DUMMYFUNCTION("GOOGLETRANSLATE(B26946,""en"",""it"")"),"Un uomo prende un drink da un bicchiere.")</f>
        <v>Un uomo prende un drink da un bicchiere.</v>
      </c>
    </row>
    <row r="26947">
      <c r="A26947" s="4" t="s">
        <v>33915</v>
      </c>
      <c r="B26947" s="4" t="s">
        <v>33916</v>
      </c>
      <c r="C26947" s="5" t="str">
        <f>IFERROR(__xludf.DUMMYFUNCTION("GOOGLETRANSLATE(B26947,""en"",""it"")"),"Una persona sta remando ai margini di una barca.")</f>
        <v>Una persona sta remando ai margini di una barca.</v>
      </c>
    </row>
    <row r="26948">
      <c r="A26948" s="4" t="s">
        <v>33915</v>
      </c>
      <c r="B26948" s="4" t="s">
        <v>33917</v>
      </c>
      <c r="C26948" s="5" t="str">
        <f>IFERROR(__xludf.DUMMYFUNCTION("GOOGLETRANSLATE(B26948,""en"",""it"")"),"La persona tira fuori un gancio di pesca.")</f>
        <v>La persona tira fuori un gancio di pesca.</v>
      </c>
    </row>
    <row r="26949">
      <c r="A26949" s="4" t="s">
        <v>33915</v>
      </c>
      <c r="B26949" s="4" t="s">
        <v>33918</v>
      </c>
      <c r="C26949" s="5" t="str">
        <f>IFERROR(__xludf.DUMMYFUNCTION("GOOGLETRANSLATE(B26949,""en"",""it"")"),"La persona inizia a pescare al suo limite.")</f>
        <v>La persona inizia a pescare al suo limite.</v>
      </c>
    </row>
    <row r="26950">
      <c r="A26950" s="4" t="s">
        <v>33919</v>
      </c>
      <c r="B26950" s="6" t="s">
        <v>33920</v>
      </c>
      <c r="C26950" s="5" t="str">
        <f>IFERROR(__xludf.DUMMYFUNCTION("GOOGLETRANSLATE(B26950,""en"",""it"")"),"Una donna viene vista eseguire una routine di danza del ventre su un grande palcoscenico con altre persone che guardano sui lati.")</f>
        <v>Una donna viene vista eseguire una routine di danza del ventre su un grande palcoscenico con altre persone che guardano sui lati.</v>
      </c>
    </row>
    <row r="26951">
      <c r="A26951" s="4" t="s">
        <v>33919</v>
      </c>
      <c r="B26951" s="6" t="s">
        <v>33921</v>
      </c>
      <c r="C26951" s="5" t="str">
        <f>IFERROR(__xludf.DUMMYFUNCTION("GOOGLETRANSLATE(B26951,""en"",""it"")"),"La donna continua a ballare e girare sul palco e termina con la sua posa e cammina.")</f>
        <v>La donna continua a ballare e girare sul palco e termina con la sua posa e cammina.</v>
      </c>
    </row>
    <row r="26952">
      <c r="A26952" s="4" t="s">
        <v>33922</v>
      </c>
      <c r="B26952" s="4" t="s">
        <v>33923</v>
      </c>
      <c r="C26952" s="5" t="str">
        <f>IFERROR(__xludf.DUMMYFUNCTION("GOOGLETRANSLATE(B26952,""en"",""it"")"),"C'è un gruppo di studenti della band di marcia che suonano le trombe.")</f>
        <v>C'è un gruppo di studenti della band di marcia che suonano le trombe.</v>
      </c>
    </row>
    <row r="26953">
      <c r="A26953" s="4" t="s">
        <v>33922</v>
      </c>
      <c r="B26953" s="4" t="s">
        <v>33924</v>
      </c>
      <c r="C26953" s="5" t="str">
        <f>IFERROR(__xludf.DUMMYFUNCTION("GOOGLETRANSLATE(B26953,""en"",""it"")"),"Sono vestiti con uniformi marrone e color giallo e cappelli bianchi.")</f>
        <v>Sono vestiti con uniformi marrone e color giallo e cappelli bianchi.</v>
      </c>
    </row>
    <row r="26954">
      <c r="A26954" s="4" t="s">
        <v>33922</v>
      </c>
      <c r="B26954" s="4" t="s">
        <v>33925</v>
      </c>
      <c r="C26954" s="5" t="str">
        <f>IFERROR(__xludf.DUMMYFUNCTION("GOOGLETRANSLATE(B26954,""en"",""it"")"),"Ci sono alcuni studenti che suonano la batteria e alcuni studenti che suonano la tromba.")</f>
        <v>Ci sono alcuni studenti che suonano la batteria e alcuni studenti che suonano la tromba.</v>
      </c>
    </row>
    <row r="26955">
      <c r="A26955" s="4" t="s">
        <v>33922</v>
      </c>
      <c r="B26955" s="4" t="s">
        <v>33926</v>
      </c>
      <c r="C26955" s="5" t="str">
        <f>IFERROR(__xludf.DUMMYFUNCTION("GOOGLETRANSLATE(B26955,""en"",""it"")"),"Continuano a suonare la band mentre marciano per le strade.")</f>
        <v>Continuano a suonare la band mentre marciano per le strade.</v>
      </c>
    </row>
    <row r="26956">
      <c r="A26956" s="4" t="s">
        <v>33927</v>
      </c>
      <c r="B26956" s="4" t="s">
        <v>33928</v>
      </c>
      <c r="C26956" s="5" t="str">
        <f>IFERROR(__xludf.DUMMYFUNCTION("GOOGLETRANSLATE(B26956,""en"",""it"")"),"Un lottatore sta uscendo ed entra sul ring.")</f>
        <v>Un lottatore sta uscendo ed entra sul ring.</v>
      </c>
    </row>
    <row r="26957">
      <c r="A26957" s="4" t="s">
        <v>33927</v>
      </c>
      <c r="B26957" s="4" t="s">
        <v>33929</v>
      </c>
      <c r="C26957" s="5" t="str">
        <f>IFERROR(__xludf.DUMMYFUNCTION("GOOGLETRANSLATE(B26957,""en"",""it"")"),"Qualcuno sta sdraiando sullo stomaco facendo un tatuaggio sulla schiena.")</f>
        <v>Qualcuno sta sdraiando sullo stomaco facendo un tatuaggio sulla schiena.</v>
      </c>
    </row>
    <row r="26958">
      <c r="A26958" s="4" t="s">
        <v>33927</v>
      </c>
      <c r="B26958" s="4" t="s">
        <v>33930</v>
      </c>
      <c r="C26958" s="5" t="str">
        <f>IFERROR(__xludf.DUMMYFUNCTION("GOOGLETRANSLATE(B26958,""en"",""it"")"),"Un uomo con una camicia rossa sta tatuando l'uomo sdraiato.")</f>
        <v>Un uomo con una camicia rossa sta tatuando l'uomo sdraiato.</v>
      </c>
    </row>
    <row r="26959">
      <c r="A26959" s="4" t="s">
        <v>33927</v>
      </c>
      <c r="B26959" s="4" t="s">
        <v>33931</v>
      </c>
      <c r="C26959" s="5" t="str">
        <f>IFERROR(__xludf.DUMMYFUNCTION("GOOGLETRANSLATE(B26959,""en"",""it"")"),"Il lottatore viene nuovamente mostrato.")</f>
        <v>Il lottatore viene nuovamente mostrato.</v>
      </c>
    </row>
    <row r="26960">
      <c r="A26960" s="4" t="s">
        <v>33932</v>
      </c>
      <c r="B26960" s="6" t="s">
        <v>33933</v>
      </c>
      <c r="C26960" s="5" t="str">
        <f>IFERROR(__xludf.DUMMYFUNCTION("GOOGLETRANSLATE(B26960,""en"",""it"")"),"Un attore, Jason Stathom, è seduto su una sedia blu reclinabile che parla di un ospite televisivo a tarda notte di nome Jimmy Fallon che è seduto dietro una scrivania.")</f>
        <v>Un attore, Jason Stathom, è seduto su una sedia blu reclinabile che parla di un ospite televisivo a tarda notte di nome Jimmy Fallon che è seduto dietro una scrivania.</v>
      </c>
    </row>
    <row r="26961">
      <c r="A26961" s="4" t="s">
        <v>33932</v>
      </c>
      <c r="B26961" s="4" t="s">
        <v>33934</v>
      </c>
      <c r="C26961" s="5" t="str">
        <f>IFERROR(__xludf.DUMMYFUNCTION("GOOGLETRANSLATE(B26961,""en"",""it"")"),"I due continuano a parlare, quindi si alzano entrambi in modo scherzoso e si avvicinano a un tavolo.")</f>
        <v>I due continuano a parlare, quindi si alzano entrambi in modo scherzoso e si avvicinano a un tavolo.</v>
      </c>
    </row>
    <row r="26962">
      <c r="A26962" s="4" t="s">
        <v>33932</v>
      </c>
      <c r="B26962" s="4" t="s">
        <v>33935</v>
      </c>
      <c r="C26962" s="5" t="str">
        <f>IFERROR(__xludf.DUMMYFUNCTION("GOOGLETRANSLATE(B26962,""en"",""it"")"),"Entrambi stanno alle estremità del tavolo e iniziano il braccio di wrestling e parlare.")</f>
        <v>Entrambi stanno alle estremità del tavolo e iniziano il braccio di wrestling e parlare.</v>
      </c>
    </row>
    <row r="26963">
      <c r="A26963" s="4" t="s">
        <v>33932</v>
      </c>
      <c r="B26963" s="4" t="s">
        <v>33936</v>
      </c>
      <c r="C26963" s="5" t="str">
        <f>IFERROR(__xludf.DUMMYFUNCTION("GOOGLETRANSLATE(B26963,""en"",""it"")"),"Dopo un lungo periodo di tempo, l'attore vince e inizia a fare il tifo per se stesso.")</f>
        <v>Dopo un lungo periodo di tempo, l'attore vince e inizia a fare il tifo per se stesso.</v>
      </c>
    </row>
    <row r="26964">
      <c r="A26964" s="4" t="s">
        <v>33937</v>
      </c>
      <c r="B26964" s="4" t="s">
        <v>33938</v>
      </c>
      <c r="C26964" s="5" t="str">
        <f>IFERROR(__xludf.DUMMYFUNCTION("GOOGLETRANSLATE(B26964,""en"",""it"")"),"Una donna con camicia bianca si posa con i capelli corti.")</f>
        <v>Una donna con camicia bianca si posa con i capelli corti.</v>
      </c>
    </row>
    <row r="26965">
      <c r="A26965" s="4" t="s">
        <v>33937</v>
      </c>
      <c r="B26965" s="6" t="s">
        <v>33939</v>
      </c>
      <c r="C26965" s="5" t="str">
        <f>IFERROR(__xludf.DUMMYFUNCTION("GOOGLETRANSLATE(B26965,""en"",""it"")"),"Un uomo con camicia bianca sta tagliando i capelli della ragazza in uno studio con sfondo bianco, quindi intrecciava la parte posteriore dei capelli, quindi continua a tagliare e modellare i capelli della ragazza.")</f>
        <v>Un uomo con camicia bianca sta tagliando i capelli della ragazza in uno studio con sfondo bianco, quindi intrecciava la parte posteriore dei capelli, quindi continua a tagliare e modellare i capelli della ragazza.</v>
      </c>
    </row>
    <row r="26966">
      <c r="A26966" s="4" t="s">
        <v>33940</v>
      </c>
      <c r="B26966" s="6" t="s">
        <v>33941</v>
      </c>
      <c r="C26966" s="5" t="str">
        <f>IFERROR(__xludf.DUMMYFUNCTION("GOOGLETRANSLATE(B26966,""en"",""it"")"),"Viene visto un uomo in ginocchio su un pavimento seguito da colpi di lui che mettono in gesso e piastrelle.")</f>
        <v>Viene visto un uomo in ginocchio su un pavimento seguito da colpi di lui che mettono in gesso e piastrelle.</v>
      </c>
    </row>
    <row r="26967">
      <c r="A26967" s="4" t="s">
        <v>33940</v>
      </c>
      <c r="B26967" s="6" t="s">
        <v>33942</v>
      </c>
      <c r="C26967" s="5" t="str">
        <f>IFERROR(__xludf.DUMMYFUNCTION("GOOGLETRANSLATE(B26967,""en"",""it"")"),"Quindi elimina un secchio e pone l'intonaco, oltre a mettere di nuovo piastrelle sul pavimento e mostrando più colpi di lui che lavora alla fine.")</f>
        <v>Quindi elimina un secchio e pone l'intonaco, oltre a mettere di nuovo piastrelle sul pavimento e mostrando più colpi di lui che lavora alla fine.</v>
      </c>
    </row>
    <row r="26968">
      <c r="A26968" s="4" t="s">
        <v>33943</v>
      </c>
      <c r="B26968" s="4" t="s">
        <v>33944</v>
      </c>
      <c r="C26968" s="5" t="str">
        <f>IFERROR(__xludf.DUMMYFUNCTION("GOOGLETRANSLATE(B26968,""en"",""it"")"),"Kid è in piedi davanti al palcoscenico suonando Congas.")</f>
        <v>Kid è in piedi davanti al palcoscenico suonando Congas.</v>
      </c>
    </row>
    <row r="26969">
      <c r="A26969" s="4" t="s">
        <v>33943</v>
      </c>
      <c r="B26969" s="4" t="s">
        <v>33945</v>
      </c>
      <c r="C26969" s="5" t="str">
        <f>IFERROR(__xludf.DUMMYFUNCTION("GOOGLETRANSLATE(B26969,""en"",""it"")"),"Dietro di lui c'è una ragazza che interpreta il tamburello e un ragazzo che suona il triangolo.")</f>
        <v>Dietro di lui c'è una ragazza che interpreta il tamburello e un ragazzo che suona il triangolo.</v>
      </c>
    </row>
    <row r="26970">
      <c r="A26970" s="4" t="s">
        <v>33943</v>
      </c>
      <c r="B26970" s="4" t="s">
        <v>33946</v>
      </c>
      <c r="C26970" s="5" t="str">
        <f>IFERROR(__xludf.DUMMYFUNCTION("GOOGLETRANSLATE(B26970,""en"",""it"")"),"Sul background i bambini in piedi sul palco suonano la batteria.")</f>
        <v>Sul background i bambini in piedi sul palco suonano la batteria.</v>
      </c>
    </row>
    <row r="26971">
      <c r="A26971" s="4" t="s">
        <v>33947</v>
      </c>
      <c r="B26971" s="4" t="s">
        <v>33948</v>
      </c>
      <c r="C26971" s="5" t="str">
        <f>IFERROR(__xludf.DUMMYFUNCTION("GOOGLETRANSLATE(B26971,""en"",""it"")"),"Un uomo è seduto a un tavolo.")</f>
        <v>Un uomo è seduto a un tavolo.</v>
      </c>
    </row>
    <row r="26972">
      <c r="A26972" s="4" t="s">
        <v>33947</v>
      </c>
      <c r="B26972" s="4" t="s">
        <v>33949</v>
      </c>
      <c r="C26972" s="5" t="str">
        <f>IFERROR(__xludf.DUMMYFUNCTION("GOOGLETRANSLATE(B26972,""en"",""it"")"),"Una donna si avvicina al tavolo e cade tra le braccia.")</f>
        <v>Una donna si avvicina al tavolo e cade tra le braccia.</v>
      </c>
    </row>
    <row r="26973">
      <c r="A26973" s="4" t="s">
        <v>33947</v>
      </c>
      <c r="B26973" s="4" t="s">
        <v>33950</v>
      </c>
      <c r="C26973" s="5" t="str">
        <f>IFERROR(__xludf.DUMMYFUNCTION("GOOGLETRANSLATE(B26973,""en"",""it"")"),"Lei fa una parte posteriore da lui sul pavimento.")</f>
        <v>Lei fa una parte posteriore da lui sul pavimento.</v>
      </c>
    </row>
    <row r="26974">
      <c r="A26974" s="4" t="s">
        <v>33947</v>
      </c>
      <c r="B26974" s="4" t="s">
        <v>33951</v>
      </c>
      <c r="C26974" s="5" t="str">
        <f>IFERROR(__xludf.DUMMYFUNCTION("GOOGLETRANSLATE(B26974,""en"",""it"")"),"Cominciano a ballare sulla pista da ballo.")</f>
        <v>Cominciano a ballare sulla pista da ballo.</v>
      </c>
    </row>
    <row r="26975">
      <c r="A26975" s="4" t="s">
        <v>33952</v>
      </c>
      <c r="B26975" s="4" t="s">
        <v>33953</v>
      </c>
      <c r="C26975" s="5" t="str">
        <f>IFERROR(__xludf.DUMMYFUNCTION("GOOGLETRANSLATE(B26975,""en"",""it"")"),"Un uomo viene visto appoggiarsi a una recinzione e piegarsi continuamente per immergere la vernice in un secchio.")</f>
        <v>Un uomo viene visto appoggiarsi a una recinzione e piegarsi continuamente per immergere la vernice in un secchio.</v>
      </c>
    </row>
    <row r="26976">
      <c r="A26976" s="4" t="s">
        <v>33952</v>
      </c>
      <c r="B26976" s="6" t="s">
        <v>33954</v>
      </c>
      <c r="C26976" s="5" t="str">
        <f>IFERROR(__xludf.DUMMYFUNCTION("GOOGLETRANSLATE(B26976,""en"",""it"")"),"La donna spazzola la recinzione continuamente di fronte a lei mentre la telecamera la cattura da dietro.")</f>
        <v>La donna spazzola la recinzione continuamente di fronte a lei mentre la telecamera la cattura da dietro.</v>
      </c>
    </row>
    <row r="26977">
      <c r="A26977" s="4" t="s">
        <v>33955</v>
      </c>
      <c r="B26977" s="4" t="s">
        <v>33956</v>
      </c>
      <c r="C26977" s="5" t="str">
        <f>IFERROR(__xludf.DUMMYFUNCTION("GOOGLETRANSLATE(B26977,""en"",""it"")"),"Le auto e il camper siedono fuori da un centro rodeo.")</f>
        <v>Le auto e il camper siedono fuori da un centro rodeo.</v>
      </c>
    </row>
    <row r="26978">
      <c r="A26978" s="4" t="s">
        <v>33955</v>
      </c>
      <c r="B26978" s="4" t="s">
        <v>33957</v>
      </c>
      <c r="C26978" s="5" t="str">
        <f>IFERROR(__xludf.DUMMYFUNCTION("GOOGLETRANSLATE(B26978,""en"",""it"")"),"I cowboy praticano il loro lavoro di lazo.")</f>
        <v>I cowboy praticano il loro lavoro di lazo.</v>
      </c>
    </row>
    <row r="26979">
      <c r="A26979" s="4" t="s">
        <v>33955</v>
      </c>
      <c r="B26979" s="4" t="s">
        <v>33958</v>
      </c>
      <c r="C26979" s="5" t="str">
        <f>IFERROR(__xludf.DUMMYFUNCTION("GOOGLETRANSLATE(B26979,""en"",""it"")"),"Le persone acquistano all'interno del negozio del Rodeo Center.")</f>
        <v>Le persone acquistano all'interno del negozio del Rodeo Center.</v>
      </c>
    </row>
    <row r="26980">
      <c r="A26980" s="4" t="s">
        <v>33955</v>
      </c>
      <c r="B26980" s="4" t="s">
        <v>33959</v>
      </c>
      <c r="C26980" s="5" t="str">
        <f>IFERROR(__xludf.DUMMYFUNCTION("GOOGLETRANSLATE(B26980,""en"",""it"")"),"Un bambino cattura un vitello.")</f>
        <v>Un bambino cattura un vitello.</v>
      </c>
    </row>
    <row r="26981">
      <c r="A26981" s="4" t="s">
        <v>33955</v>
      </c>
      <c r="B26981" s="4" t="s">
        <v>33960</v>
      </c>
      <c r="C26981" s="5" t="str">
        <f>IFERROR(__xludf.DUMMYFUNCTION("GOOGLETRANSLATE(B26981,""en"",""it"")"),"Un cowboy salta da cavallo per controllare il vitello che ha catturato.")</f>
        <v>Un cowboy salta da cavallo per controllare il vitello che ha catturato.</v>
      </c>
    </row>
    <row r="26982">
      <c r="A26982" s="4" t="s">
        <v>33955</v>
      </c>
      <c r="B26982" s="4" t="s">
        <v>33961</v>
      </c>
      <c r="C26982" s="5" t="str">
        <f>IFERROR(__xludf.DUMMYFUNCTION("GOOGLETRANSLATE(B26982,""en"",""it"")"),"Un altro cowboy in una camicia nera salta da cavallo.")</f>
        <v>Un altro cowboy in una camicia nera salta da cavallo.</v>
      </c>
    </row>
    <row r="26983">
      <c r="A26983" s="4" t="s">
        <v>33955</v>
      </c>
      <c r="B26983" s="4" t="s">
        <v>33962</v>
      </c>
      <c r="C26983" s="5" t="str">
        <f>IFERROR(__xludf.DUMMYFUNCTION("GOOGLETRANSLATE(B26983,""en"",""it"")"),"Un uomo con una camicia rosa lassos un polpaccio.")</f>
        <v>Un uomo con una camicia rosa lassos un polpaccio.</v>
      </c>
    </row>
    <row r="26984">
      <c r="A26984" s="4" t="s">
        <v>33955</v>
      </c>
      <c r="B26984" s="4" t="s">
        <v>33963</v>
      </c>
      <c r="C26984" s="5" t="str">
        <f>IFERROR(__xludf.DUMMYFUNCTION("GOOGLETRANSLATE(B26984,""en"",""it"")"),"Una donna su un cavallo cattura un vitello.")</f>
        <v>Una donna su un cavallo cattura un vitello.</v>
      </c>
    </row>
    <row r="26985">
      <c r="A26985" s="4" t="s">
        <v>33955</v>
      </c>
      <c r="B26985" s="4" t="s">
        <v>33964</v>
      </c>
      <c r="C26985" s="5" t="str">
        <f>IFERROR(__xludf.DUMMYFUNCTION("GOOGLETRANSLATE(B26985,""en"",""it"")"),"Un altro uomo salta giù dal suo cavallo marrone per controllare il vitello che ha catturato.")</f>
        <v>Un altro uomo salta giù dal suo cavallo marrone per controllare il vitello che ha catturato.</v>
      </c>
    </row>
    <row r="26986">
      <c r="A26986" s="4" t="s">
        <v>33965</v>
      </c>
      <c r="B26986" s="4" t="s">
        <v>33966</v>
      </c>
      <c r="C26986" s="5" t="str">
        <f>IFERROR(__xludf.DUMMYFUNCTION("GOOGLETRANSLATE(B26986,""en"",""it"")"),"Un uomo solleva un grande peso da terra.")</f>
        <v>Un uomo solleva un grande peso da terra.</v>
      </c>
    </row>
    <row r="26987">
      <c r="A26987" s="4" t="s">
        <v>33965</v>
      </c>
      <c r="B26987" s="4" t="s">
        <v>33967</v>
      </c>
      <c r="C26987" s="5" t="str">
        <f>IFERROR(__xludf.DUMMYFUNCTION("GOOGLETRANSLATE(B26987,""en"",""it"")"),"Lo spinge sopra la testa prima di lasciarlo cadere a terra.")</f>
        <v>Lo spinge sopra la testa prima di lasciarlo cadere a terra.</v>
      </c>
    </row>
    <row r="26988">
      <c r="A26988" s="4" t="s">
        <v>33968</v>
      </c>
      <c r="B26988" s="4" t="s">
        <v>33969</v>
      </c>
      <c r="C26988" s="5" t="str">
        <f>IFERROR(__xludf.DUMMYFUNCTION("GOOGLETRANSLATE(B26988,""en"",""it"")"),"Un uomo lancia una palla a suo figlio, che la prende con un bastone di lacrosse.")</f>
        <v>Un uomo lancia una palla a suo figlio, che la prende con un bastone di lacrosse.</v>
      </c>
    </row>
    <row r="26989">
      <c r="A26989" s="4" t="s">
        <v>33968</v>
      </c>
      <c r="B26989" s="4" t="s">
        <v>33970</v>
      </c>
      <c r="C26989" s="5" t="str">
        <f>IFERROR(__xludf.DUMMYFUNCTION("GOOGLETRANSLATE(B26989,""en"",""it"")"),"Il ragazzo lo lancia indietro e naviga a destra dell'uomo.")</f>
        <v>Il ragazzo lo lancia indietro e naviga a destra dell'uomo.</v>
      </c>
    </row>
    <row r="26990">
      <c r="A26990" s="4" t="s">
        <v>33971</v>
      </c>
      <c r="B26990" s="6" t="s">
        <v>33972</v>
      </c>
      <c r="C26990" s="5" t="str">
        <f>IFERROR(__xludf.DUMMYFUNCTION("GOOGLETRANSLATE(B26990,""en"",""it"")"),"Una donna viene mostrata da vari angoli che si muove su una macchina da esercizio e conduce nella rotazione della Terra.")</f>
        <v>Una donna viene mostrata da vari angoli che si muove su una macchina da esercizio e conduce nella rotazione della Terra.</v>
      </c>
    </row>
    <row r="26991">
      <c r="A26991" s="4" t="s">
        <v>33971</v>
      </c>
      <c r="B26991" s="4" t="s">
        <v>33973</v>
      </c>
      <c r="C26991" s="5" t="str">
        <f>IFERROR(__xludf.DUMMYFUNCTION("GOOGLETRANSLATE(B26991,""en"",""it"")"),"Pone un oggetto sulla macchina e vengono mostrate diverse immagini di salute.")</f>
        <v>Pone un oggetto sulla macchina e vengono mostrate diverse immagini di salute.</v>
      </c>
    </row>
    <row r="26992">
      <c r="A26992" s="4" t="s">
        <v>33971</v>
      </c>
      <c r="B26992" s="4" t="s">
        <v>33974</v>
      </c>
      <c r="C26992" s="5" t="str">
        <f>IFERROR(__xludf.DUMMYFUNCTION("GOOGLETRANSLATE(B26992,""en"",""it"")"),"È di nuovo sulla macchina e infine piega la macchina alla fine.")</f>
        <v>È di nuovo sulla macchina e infine piega la macchina alla fine.</v>
      </c>
    </row>
    <row r="26993">
      <c r="A26993" s="4" t="s">
        <v>33975</v>
      </c>
      <c r="B26993" s="4" t="s">
        <v>33976</v>
      </c>
      <c r="C26993" s="5" t="str">
        <f>IFERROR(__xludf.DUMMYFUNCTION("GOOGLETRANSLATE(B26993,""en"",""it"")"),"Un uomo sta parlando di fronte a una rete.")</f>
        <v>Un uomo sta parlando di fronte a una rete.</v>
      </c>
    </row>
    <row r="26994">
      <c r="A26994" s="4" t="s">
        <v>33975</v>
      </c>
      <c r="B26994" s="4" t="s">
        <v>33977</v>
      </c>
      <c r="C26994" s="5" t="str">
        <f>IFERROR(__xludf.DUMMYFUNCTION("GOOGLETRANSLATE(B26994,""en"",""it"")"),"Si accovaccia a terra, incrociando le caviglie.")</f>
        <v>Si accovaccia a terra, incrociando le caviglie.</v>
      </c>
    </row>
    <row r="26995">
      <c r="A26995" s="4" t="s">
        <v>33975</v>
      </c>
      <c r="B26995" s="4" t="s">
        <v>33978</v>
      </c>
      <c r="C26995" s="5" t="str">
        <f>IFERROR(__xludf.DUMMYFUNCTION("GOOGLETRANSLATE(B26995,""en"",""it"")"),"Quindi va avanti e indietro più volte, allungando.")</f>
        <v>Quindi va avanti e indietro più volte, allungando.</v>
      </c>
    </row>
    <row r="26996">
      <c r="A26996" s="4" t="s">
        <v>33979</v>
      </c>
      <c r="B26996" s="4" t="s">
        <v>33980</v>
      </c>
      <c r="C26996" s="5" t="str">
        <f>IFERROR(__xludf.DUMMYFUNCTION("GOOGLETRANSLATE(B26996,""en"",""it"")"),"Un uomo si siede in una stanza e discute.")</f>
        <v>Un uomo si siede in una stanza e discute.</v>
      </c>
    </row>
    <row r="26997">
      <c r="A26997" s="4" t="s">
        <v>33979</v>
      </c>
      <c r="B26997" s="4" t="s">
        <v>33981</v>
      </c>
      <c r="C26997" s="5" t="str">
        <f>IFERROR(__xludf.DUMMYFUNCTION("GOOGLETRANSLATE(B26997,""en"",""it"")"),"L'uomo regge una tazza di caffè mentre parla.")</f>
        <v>L'uomo regge una tazza di caffè mentre parla.</v>
      </c>
    </row>
    <row r="26998">
      <c r="A26998" s="4" t="s">
        <v>33979</v>
      </c>
      <c r="B26998" s="4" t="s">
        <v>33982</v>
      </c>
      <c r="C26998" s="5" t="str">
        <f>IFERROR(__xludf.DUMMYFUNCTION("GOOGLETRANSLATE(B26998,""en"",""it"")"),"L'uomo prende qualche drink dalla tazza di caffè.")</f>
        <v>L'uomo prende qualche drink dalla tazza di caffè.</v>
      </c>
    </row>
    <row r="26999">
      <c r="A26999" s="4" t="s">
        <v>33983</v>
      </c>
      <c r="B26999" s="4" t="s">
        <v>33984</v>
      </c>
      <c r="C26999" s="5" t="str">
        <f>IFERROR(__xludf.DUMMYFUNCTION("GOOGLETRANSLATE(B26999,""en"",""it"")"),"Un bambino è seduto davanti a un tavolo, con il suo gioco truccato sul tavolo.")</f>
        <v>Un bambino è seduto davanti a un tavolo, con il suo gioco truccato sul tavolo.</v>
      </c>
    </row>
    <row r="27000">
      <c r="A27000" s="4" t="s">
        <v>33983</v>
      </c>
      <c r="B27000" s="4" t="s">
        <v>33985</v>
      </c>
      <c r="C27000" s="5" t="str">
        <f>IFERROR(__xludf.DUMMYFUNCTION("GOOGLETRANSLATE(B27000,""en"",""it"")"),"Quindi prende le sue fondamenta e se la mette attorno al viso.")</f>
        <v>Quindi prende le sue fondamenta e se la mette attorno al viso.</v>
      </c>
    </row>
    <row r="27001">
      <c r="A27001" s="4" t="s">
        <v>33983</v>
      </c>
      <c r="B27001" s="6" t="s">
        <v>33986</v>
      </c>
      <c r="C27001" s="5" t="str">
        <f>IFERROR(__xludf.DUMMYFUNCTION("GOOGLETRANSLATE(B27001,""en"",""it"")"),"Successivamente arriva il suo ombretto, poi le sue labbra, ma finisce per lasciarlo cadere sul pavimento e deve andare sotto il tavolo per ottenerlo.")</f>
        <v>Successivamente arriva il suo ombretto, poi le sue labbra, ma finisce per lasciarlo cadere sul pavimento e deve andare sotto il tavolo per ottenerlo.</v>
      </c>
    </row>
    <row r="27002">
      <c r="A27002" s="4" t="s">
        <v>33983</v>
      </c>
      <c r="B27002" s="6" t="s">
        <v>33987</v>
      </c>
      <c r="C27002" s="5" t="str">
        <f>IFERROR(__xludf.DUMMYFUNCTION("GOOGLETRANSLATE(B27002,""en"",""it"")"),"Alla fine, torna e aggiunge gli ultimi ritocchi sulle labbra, finisce le labbra e aggiunge più colore alle guance.")</f>
        <v>Alla fine, torna e aggiunge gli ultimi ritocchi sulle labbra, finisce le labbra e aggiunge più colore alle guance.</v>
      </c>
    </row>
    <row r="27003">
      <c r="A27003" s="4" t="s">
        <v>33988</v>
      </c>
      <c r="B27003" s="4" t="s">
        <v>33989</v>
      </c>
      <c r="C27003" s="5" t="str">
        <f>IFERROR(__xludf.DUMMYFUNCTION("GOOGLETRANSLATE(B27003,""en"",""it"")"),"Vediamo immagini che sono state scattate intorno a DC.")</f>
        <v>Vediamo immagini che sono state scattate intorno a DC.</v>
      </c>
    </row>
    <row r="27004">
      <c r="A27004" s="4" t="s">
        <v>33988</v>
      </c>
      <c r="B27004" s="4" t="s">
        <v>33990</v>
      </c>
      <c r="C27004" s="5" t="str">
        <f>IFERROR(__xludf.DUMMYFUNCTION("GOOGLETRANSLATE(B27004,""en"",""it"")"),"Vediamo un uomo parlare e scatti di skateboard mentre le persone si riuniscono in una stanza.")</f>
        <v>Vediamo un uomo parlare e scatti di skateboard mentre le persone si riuniscono in una stanza.</v>
      </c>
    </row>
    <row r="27005">
      <c r="A27005" s="4" t="s">
        <v>33988</v>
      </c>
      <c r="B27005" s="4" t="s">
        <v>33991</v>
      </c>
      <c r="C27005" s="5" t="str">
        <f>IFERROR(__xludf.DUMMYFUNCTION("GOOGLETRANSLATE(B27005,""en"",""it"")"),"Vediamo Tony Hawk che indica altre persone.")</f>
        <v>Vediamo Tony Hawk che indica altre persone.</v>
      </c>
    </row>
    <row r="27006">
      <c r="A27006" s="4" t="s">
        <v>33988</v>
      </c>
      <c r="B27006" s="4" t="s">
        <v>33992</v>
      </c>
      <c r="C27006" s="5" t="str">
        <f>IFERROR(__xludf.DUMMYFUNCTION("GOOGLETRANSLATE(B27006,""en"",""it"")"),"Vediamo persone che skateboard per strada e intorno alla DC.")</f>
        <v>Vediamo persone che skateboard per strada e intorno alla DC.</v>
      </c>
    </row>
    <row r="27007">
      <c r="A27007" s="4" t="s">
        <v>33988</v>
      </c>
      <c r="B27007" s="4" t="s">
        <v>33993</v>
      </c>
      <c r="C27007" s="5" t="str">
        <f>IFERROR(__xludf.DUMMYFUNCTION("GOOGLETRANSLATE(B27007,""en"",""it"")"),"Vediamo un pattinatore di nome Shaun Gregoie.")</f>
        <v>Vediamo un pattinatore di nome Shaun Gregoie.</v>
      </c>
    </row>
    <row r="27008">
      <c r="A27008" s="4" t="s">
        <v>33988</v>
      </c>
      <c r="B27008" s="4" t="s">
        <v>33994</v>
      </c>
      <c r="C27008" s="5" t="str">
        <f>IFERROR(__xludf.DUMMYFUNCTION("GOOGLETRANSLATE(B27008,""en"",""it"")"),"Una signora regge una bandiera degli Stati Uniti e parla.")</f>
        <v>Una signora regge una bandiera degli Stati Uniti e parla.</v>
      </c>
    </row>
    <row r="27009">
      <c r="A27009" s="4" t="s">
        <v>33988</v>
      </c>
      <c r="B27009" s="4" t="s">
        <v>33995</v>
      </c>
      <c r="C27009" s="5" t="str">
        <f>IFERROR(__xludf.DUMMYFUNCTION("GOOGLETRANSLATE(B27009,""en"",""it"")"),"Vediamo un'auto da poliziotto per strada.")</f>
        <v>Vediamo un'auto da poliziotto per strada.</v>
      </c>
    </row>
    <row r="27010">
      <c r="A27010" s="4" t="s">
        <v>33988</v>
      </c>
      <c r="B27010" s="4" t="s">
        <v>33996</v>
      </c>
      <c r="C27010" s="5" t="str">
        <f>IFERROR(__xludf.DUMMYFUNCTION("GOOGLETRANSLATE(B27010,""en"",""it"")"),"Vediamo Anthony Shetler sedersi e parlare prima di pattinare per strada.")</f>
        <v>Vediamo Anthony Shetler sedersi e parlare prima di pattinare per strada.</v>
      </c>
    </row>
    <row r="27011">
      <c r="A27011" s="4" t="s">
        <v>33988</v>
      </c>
      <c r="B27011" s="4" t="s">
        <v>33997</v>
      </c>
      <c r="C27011" s="5" t="str">
        <f>IFERROR(__xludf.DUMMYFUNCTION("GOOGLETRANSLATE(B27011,""en"",""it"")"),"Un uomo salta le scale e cade.")</f>
        <v>Un uomo salta le scale e cade.</v>
      </c>
    </row>
    <row r="27012">
      <c r="A27012" s="4" t="s">
        <v>33988</v>
      </c>
      <c r="B27012" s="4" t="s">
        <v>19168</v>
      </c>
      <c r="C27012" s="5" t="str">
        <f>IFERROR(__xludf.DUMMYFUNCTION("GOOGLETRANSLATE(B27012,""en"",""it"")"),"Vediamo i crediti finali per il video.")</f>
        <v>Vediamo i crediti finali per il video.</v>
      </c>
    </row>
    <row r="27013">
      <c r="A27013" s="4" t="s">
        <v>33998</v>
      </c>
      <c r="B27013" s="4" t="s">
        <v>33999</v>
      </c>
      <c r="C27013" s="5" t="str">
        <f>IFERROR(__xludf.DUMMYFUNCTION("GOOGLETRANSLATE(B27013,""en"",""it"")"),"Un uomo viene visto seduto in un'auto paraurti che tiene un pollice in su e poi inizia a guidare.")</f>
        <v>Un uomo viene visto seduto in un'auto paraurti che tiene un pollice in su e poi inizia a guidare.</v>
      </c>
    </row>
    <row r="27014">
      <c r="A27014" s="4" t="s">
        <v>33998</v>
      </c>
      <c r="B27014" s="4" t="s">
        <v>34000</v>
      </c>
      <c r="C27014" s="5" t="str">
        <f>IFERROR(__xludf.DUMMYFUNCTION("GOOGLETRANSLATE(B27014,""en"",""it"")"),"Le persone continuano a guidare intorno a sbattere l'uno nell'altro e finisce con loro in piedi.")</f>
        <v>Le persone continuano a guidare intorno a sbattere l'uno nell'altro e finisce con loro in piedi.</v>
      </c>
    </row>
    <row r="27015">
      <c r="A27015" s="4" t="s">
        <v>34001</v>
      </c>
      <c r="B27015" s="4" t="s">
        <v>34002</v>
      </c>
      <c r="C27015" s="5" t="str">
        <f>IFERROR(__xludf.DUMMYFUNCTION("GOOGLETRANSLATE(B27015,""en"",""it"")"),"I giovani ragazzi vengono mostrati a fare una demo di karate di fronte ai giudici.")</f>
        <v>I giovani ragazzi vengono mostrati a fare una demo di karate di fronte ai giudici.</v>
      </c>
    </row>
    <row r="27016">
      <c r="A27016" s="4" t="s">
        <v>34001</v>
      </c>
      <c r="B27016" s="4" t="s">
        <v>34003</v>
      </c>
      <c r="C27016" s="5" t="str">
        <f>IFERROR(__xludf.DUMMYFUNCTION("GOOGLETRANSLATE(B27016,""en"",""it"")"),"Si muovono avanti e indietro e davanti a schiena eseguendo vari pugni.")</f>
        <v>Si muovono avanti e indietro e davanti a schiena eseguendo vari pugni.</v>
      </c>
    </row>
    <row r="27017">
      <c r="A27017" s="4" t="s">
        <v>34001</v>
      </c>
      <c r="B27017" s="4" t="s">
        <v>34004</v>
      </c>
      <c r="C27017" s="5" t="str">
        <f>IFERROR(__xludf.DUMMYFUNCTION("GOOGLETRANSLATE(B27017,""en"",""it"")"),"Quindi si rilassano e si inchinano mentre le persone dietro di loro applaudono.")</f>
        <v>Quindi si rilassano e si inchinano mentre le persone dietro di loro applaudono.</v>
      </c>
    </row>
    <row r="27018">
      <c r="A27018" s="4" t="s">
        <v>34001</v>
      </c>
      <c r="B27018" s="4" t="s">
        <v>34005</v>
      </c>
      <c r="C27018" s="5" t="str">
        <f>IFERROR(__xludf.DUMMYFUNCTION("GOOGLETRANSLATE(B27018,""en"",""it"")"),"Continuano quindi con la loro routine di combattimenti.")</f>
        <v>Continuano quindi con la loro routine di combattimenti.</v>
      </c>
    </row>
    <row r="27019">
      <c r="A27019" s="4" t="s">
        <v>34001</v>
      </c>
      <c r="B27019" s="4" t="s">
        <v>34006</v>
      </c>
      <c r="C27019" s="5" t="str">
        <f>IFERROR(__xludf.DUMMYFUNCTION("GOOGLETRANSLATE(B27019,""en"",""it"")"),"Questo continua fino a quando il ragazzo termina la loro routine per applaudire e poi sedersi.")</f>
        <v>Questo continua fino a quando il ragazzo termina la loro routine per applaudire e poi sedersi.</v>
      </c>
    </row>
    <row r="27020">
      <c r="A27020" s="4" t="s">
        <v>34007</v>
      </c>
      <c r="B27020" s="4" t="s">
        <v>34008</v>
      </c>
      <c r="C27020" s="5" t="str">
        <f>IFERROR(__xludf.DUMMYFUNCTION("GOOGLETRANSLATE(B27020,""en"",""it"")"),"Un uomo indossa occhiali da sole all'interno di un edificio.")</f>
        <v>Un uomo indossa occhiali da sole all'interno di un edificio.</v>
      </c>
    </row>
    <row r="27021">
      <c r="A27021" s="4" t="s">
        <v>34007</v>
      </c>
      <c r="B27021" s="4" t="s">
        <v>34009</v>
      </c>
      <c r="C27021" s="5" t="str">
        <f>IFERROR(__xludf.DUMMYFUNCTION("GOOGLETRANSLATE(B27021,""en"",""it"")"),"Vediamo un gruppo di persone nell'edificio mentre ballano aerobicamente.")</f>
        <v>Vediamo un gruppo di persone nell'edificio mentre ballano aerobicamente.</v>
      </c>
    </row>
    <row r="27022">
      <c r="A27022" s="4" t="s">
        <v>34007</v>
      </c>
      <c r="B27022" s="4" t="s">
        <v>34010</v>
      </c>
      <c r="C27022" s="5" t="str">
        <f>IFERROR(__xludf.DUMMYFUNCTION("GOOGLETRANSLATE(B27022,""en"",""it"")"),"Si scuotono all'unisono, andando avanti e indietro e da un lato all'altro.")</f>
        <v>Si scuotono all'unisono, andando avanti e indietro e da un lato all'altro.</v>
      </c>
    </row>
    <row r="27023">
      <c r="A27023" s="4" t="s">
        <v>34011</v>
      </c>
      <c r="B27023" s="4" t="s">
        <v>34012</v>
      </c>
      <c r="C27023" s="5" t="str">
        <f>IFERROR(__xludf.DUMMYFUNCTION("GOOGLETRANSLATE(B27023,""en"",""it"")"),"Le persone stanno fuori giocando a pallavolo.")</f>
        <v>Le persone stanno fuori giocando a pallavolo.</v>
      </c>
    </row>
    <row r="27024">
      <c r="A27024" s="4" t="s">
        <v>34011</v>
      </c>
      <c r="B27024" s="4" t="s">
        <v>34013</v>
      </c>
      <c r="C27024" s="5" t="str">
        <f>IFERROR(__xludf.DUMMYFUNCTION("GOOGLETRANSLATE(B27024,""en"",""it"")"),"Un uomo con una camicia nera sta parlando con qualcuno.")</f>
        <v>Un uomo con una camicia nera sta parlando con qualcuno.</v>
      </c>
    </row>
    <row r="27025">
      <c r="A27025" s="4" t="s">
        <v>34011</v>
      </c>
      <c r="B27025" s="4" t="s">
        <v>34014</v>
      </c>
      <c r="C27025" s="5" t="str">
        <f>IFERROR(__xludf.DUMMYFUNCTION("GOOGLETRANSLATE(B27025,""en"",""it"")"),"Un uomo con una camicia grigia ha le mani sui fianchi.")</f>
        <v>Un uomo con una camicia grigia ha le mani sui fianchi.</v>
      </c>
    </row>
    <row r="27026">
      <c r="A27026" s="4" t="s">
        <v>34015</v>
      </c>
      <c r="B27026" s="4" t="s">
        <v>34016</v>
      </c>
      <c r="C27026" s="5" t="str">
        <f>IFERROR(__xludf.DUMMYFUNCTION("GOOGLETRANSLATE(B27026,""en"",""it"")"),"Un uomo si inginocchia sul terreno levigando un muro con un utensile d'argento.")</f>
        <v>Un uomo si inginocchia sul terreno levigando un muro con un utensile d'argento.</v>
      </c>
    </row>
    <row r="27027">
      <c r="A27027" s="4" t="s">
        <v>34015</v>
      </c>
      <c r="B27027" s="4" t="s">
        <v>34017</v>
      </c>
      <c r="C27027" s="5" t="str">
        <f>IFERROR(__xludf.DUMMYFUNCTION("GOOGLETRANSLATE(B27027,""en"",""it"")"),"L'uomo si alza, guarda indietro alla telecamera e continua a svolgere il suo compito.")</f>
        <v>L'uomo si alza, guarda indietro alla telecamera e continua a svolgere il suo compito.</v>
      </c>
    </row>
    <row r="27028">
      <c r="A27028" s="4" t="s">
        <v>34015</v>
      </c>
      <c r="B27028" s="4" t="s">
        <v>34018</v>
      </c>
      <c r="C27028" s="5" t="str">
        <f>IFERROR(__xludf.DUMMYFUNCTION("GOOGLETRANSLATE(B27028,""en"",""it"")"),"Ora l'uomo è tornato in ginocchio e continua a fare quello che stava facendo all'inizio.")</f>
        <v>Ora l'uomo è tornato in ginocchio e continua a fare quello che stava facendo all'inizio.</v>
      </c>
    </row>
    <row r="27029">
      <c r="A27029" s="4" t="s">
        <v>34019</v>
      </c>
      <c r="B27029" s="4" t="s">
        <v>34020</v>
      </c>
      <c r="C27029" s="5" t="str">
        <f>IFERROR(__xludf.DUMMYFUNCTION("GOOGLETRANSLATE(B27029,""en"",""it"")"),"Una donna è vista in piedi in un bagno avvolto in un asciugamano.")</f>
        <v>Una donna è vista in piedi in un bagno avvolto in un asciugamano.</v>
      </c>
    </row>
    <row r="27030">
      <c r="A27030" s="4" t="s">
        <v>34019</v>
      </c>
      <c r="B27030" s="4" t="s">
        <v>34021</v>
      </c>
      <c r="C27030" s="5" t="str">
        <f>IFERROR(__xludf.DUMMYFUNCTION("GOOGLETRANSLATE(B27030,""en"",""it"")"),"La ragazza alza i capelli con una mano e si strofina il trucco con l'altra.")</f>
        <v>La ragazza alza i capelli con una mano e si strofina il trucco con l'altra.</v>
      </c>
    </row>
    <row r="27031">
      <c r="A27031" s="4" t="s">
        <v>34022</v>
      </c>
      <c r="B27031" s="6" t="s">
        <v>34023</v>
      </c>
      <c r="C27031" s="5" t="str">
        <f>IFERROR(__xludf.DUMMYFUNCTION("GOOGLETRANSLATE(B27031,""en"",""it"")"),"C'è un uomo calvo con una barba di pizzetto in piedi nel suo bagno davanti a un grande specchio con un rasoio elettrico in mano.")</f>
        <v>C'è un uomo calvo con una barba di pizzetto in piedi nel suo bagno davanti a un grande specchio con un rasoio elettrico in mano.</v>
      </c>
    </row>
    <row r="27032">
      <c r="A27032" s="4" t="s">
        <v>34022</v>
      </c>
      <c r="B27032" s="4" t="s">
        <v>34024</v>
      </c>
      <c r="C27032" s="5" t="str">
        <f>IFERROR(__xludf.DUMMYFUNCTION("GOOGLETRANSLATE(B27032,""en"",""it"")"),"Sta dimostrando come radersi la barba e mantenerla.")</f>
        <v>Sta dimostrando come radersi la barba e mantenerla.</v>
      </c>
    </row>
    <row r="27033">
      <c r="A27033" s="4" t="s">
        <v>34022</v>
      </c>
      <c r="B27033" s="4" t="s">
        <v>34025</v>
      </c>
      <c r="C27033" s="5" t="str">
        <f>IFERROR(__xludf.DUMMYFUNCTION("GOOGLETRANSLATE(B27033,""en"",""it"")"),"Quindi inizia a mostrare come usare il trimmer per la barba regolando la dimensione del clipper.")</f>
        <v>Quindi inizia a mostrare come usare il trimmer per la barba regolando la dimensione del clipper.</v>
      </c>
    </row>
    <row r="27034">
      <c r="A27034" s="4" t="s">
        <v>34022</v>
      </c>
      <c r="B27034" s="4" t="s">
        <v>34026</v>
      </c>
      <c r="C27034" s="5" t="str">
        <f>IFERROR(__xludf.DUMMYFUNCTION("GOOGLETRANSLATE(B27034,""en"",""it"")"),"Si rade completamente la barba.")</f>
        <v>Si rade completamente la barba.</v>
      </c>
    </row>
    <row r="27035">
      <c r="A27035" s="4" t="s">
        <v>34022</v>
      </c>
      <c r="B27035" s="4" t="s">
        <v>34027</v>
      </c>
      <c r="C27035" s="5" t="str">
        <f>IFERROR(__xludf.DUMMYFUNCTION("GOOGLETRANSLATE(B27035,""en"",""it"")"),"Quindi tocca la sua pelle per vedere quanto sia pulita la rasatura.")</f>
        <v>Quindi tocca la sua pelle per vedere quanto sia pulita la rasatura.</v>
      </c>
    </row>
    <row r="27036">
      <c r="A27036" s="4" t="s">
        <v>34022</v>
      </c>
      <c r="B27036" s="4" t="s">
        <v>34028</v>
      </c>
      <c r="C27036" s="5" t="str">
        <f>IFERROR(__xludf.DUMMYFUNCTION("GOOGLETRANSLATE(B27036,""en"",""it"")"),"Rimuove i capelli dal rasoio e li pulisce.")</f>
        <v>Rimuove i capelli dal rasoio e li pulisce.</v>
      </c>
    </row>
    <row r="27037">
      <c r="A27037" s="4" t="s">
        <v>34029</v>
      </c>
      <c r="B27037" s="4" t="s">
        <v>34030</v>
      </c>
      <c r="C27037" s="5" t="str">
        <f>IFERROR(__xludf.DUMMYFUNCTION("GOOGLETRANSLATE(B27037,""en"",""it"")"),"Un uomo con una giacca bianca raccoglie un ferro.")</f>
        <v>Un uomo con una giacca bianca raccoglie un ferro.</v>
      </c>
    </row>
    <row r="27038">
      <c r="A27038" s="4" t="s">
        <v>34029</v>
      </c>
      <c r="B27038" s="4" t="s">
        <v>34031</v>
      </c>
      <c r="C27038" s="5" t="str">
        <f>IFERROR(__xludf.DUMMYFUNCTION("GOOGLETRANSLATE(B27038,""en"",""it"")"),"Posa la foglio di stagno su un tavolo.")</f>
        <v>Posa la foglio di stagno su un tavolo.</v>
      </c>
    </row>
    <row r="27039">
      <c r="A27039" s="4" t="s">
        <v>34029</v>
      </c>
      <c r="B27039" s="4" t="s">
        <v>34032</v>
      </c>
      <c r="C27039" s="5" t="str">
        <f>IFERROR(__xludf.DUMMYFUNCTION("GOOGLETRANSLATE(B27039,""en"",""it"")"),"Mette il pane sul foglio di stagno con burro e formaggio.")</f>
        <v>Mette il pane sul foglio di stagno con burro e formaggio.</v>
      </c>
    </row>
    <row r="27040">
      <c r="A27040" s="4" t="s">
        <v>34029</v>
      </c>
      <c r="B27040" s="4" t="s">
        <v>34033</v>
      </c>
      <c r="C27040" s="5" t="str">
        <f>IFERROR(__xludf.DUMMYFUNCTION("GOOGLETRANSLATE(B27040,""en"",""it"")"),"Mette il ferro sul sandwich.")</f>
        <v>Mette il ferro sul sandwich.</v>
      </c>
    </row>
    <row r="27041">
      <c r="A27041" s="4" t="s">
        <v>34029</v>
      </c>
      <c r="B27041" s="4" t="s">
        <v>34034</v>
      </c>
      <c r="C27041" s="5" t="str">
        <f>IFERROR(__xludf.DUMMYFUNCTION("GOOGLETRANSLATE(B27041,""en"",""it"")"),"Apre il foglio di stagno e taglia il sandwich a metà.")</f>
        <v>Apre il foglio di stagno e taglia il sandwich a metà.</v>
      </c>
    </row>
    <row r="27042">
      <c r="A27042" s="4" t="s">
        <v>34029</v>
      </c>
      <c r="B27042" s="4" t="s">
        <v>34035</v>
      </c>
      <c r="C27042" s="5" t="str">
        <f>IFERROR(__xludf.DUMMYFUNCTION("GOOGLETRANSLATE(B27042,""en"",""it"")"),"Prende un po 'di sandwich.")</f>
        <v>Prende un po 'di sandwich.</v>
      </c>
    </row>
    <row r="27043">
      <c r="A27043" s="4" t="s">
        <v>34036</v>
      </c>
      <c r="B27043" s="6" t="s">
        <v>34037</v>
      </c>
      <c r="C27043" s="5" t="str">
        <f>IFERROR(__xludf.DUMMYFUNCTION("GOOGLETRANSLATE(B27043,""en"",""it"")"),"Un atleta viene visto camminare su una piattaforma e inizia a girare e gettare un oggetto in lontananza.")</f>
        <v>Un atleta viene visto camminare su una piattaforma e inizia a girare e gettare un oggetto in lontananza.</v>
      </c>
    </row>
    <row r="27044">
      <c r="A27044" s="4" t="s">
        <v>34036</v>
      </c>
      <c r="B27044" s="6" t="s">
        <v>34038</v>
      </c>
      <c r="C27044" s="5" t="str">
        <f>IFERROR(__xludf.DUMMYFUNCTION("GOOGLETRANSLATE(B27044,""en"",""it"")"),"Il suo tiro viene mostrato di nuovo al rallentatore e un altro uomo viene visto girare intorno, quindi alzando l'oggetto con le mani in seguito.")</f>
        <v>Il suo tiro viene mostrato di nuovo al rallentatore e un altro uomo viene visto girare intorno, quindi alzando l'oggetto con le mani in seguito.</v>
      </c>
    </row>
    <row r="27045">
      <c r="A27045" s="4" t="s">
        <v>34039</v>
      </c>
      <c r="B27045" s="6" t="s">
        <v>34040</v>
      </c>
      <c r="C27045" s="5" t="str">
        <f>IFERROR(__xludf.DUMMYFUNCTION("GOOGLETRANSLATE(B27045,""en"",""it"")"),"Un uomo viene visto seduto su un pezzo di attrezzatura di esercizio e remarsi indietro e quarto su una macchina.")</f>
        <v>Un uomo viene visto seduto su un pezzo di attrezzatura di esercizio e remarsi indietro e quarto su una macchina.</v>
      </c>
    </row>
    <row r="27046">
      <c r="A27046" s="4" t="s">
        <v>34039</v>
      </c>
      <c r="B27046" s="6" t="s">
        <v>34041</v>
      </c>
      <c r="C27046" s="5" t="str">
        <f>IFERROR(__xludf.DUMMYFUNCTION("GOOGLETRANSLATE(B27046,""en"",""it"")"),"L'uomo continua a spostarsi indietro e quarto mentre la telecamera lo cattura da diversi angoli.")</f>
        <v>L'uomo continua a spostarsi indietro e quarto mentre la telecamera lo cattura da diversi angoli.</v>
      </c>
    </row>
    <row r="27047">
      <c r="A27047" s="4" t="s">
        <v>34042</v>
      </c>
      <c r="B27047" s="4" t="s">
        <v>34043</v>
      </c>
      <c r="C27047" s="5" t="str">
        <f>IFERROR(__xludf.DUMMYFUNCTION("GOOGLETRANSLATE(B27047,""en"",""it"")"),"L'uomo è in piedi in una pista e corre per fare un salto e la gente è in piedi intorno a lui.")</f>
        <v>L'uomo è in piedi in una pista e corre per fare un salto e la gente è in piedi intorno a lui.</v>
      </c>
    </row>
    <row r="27048">
      <c r="A27048" s="4" t="s">
        <v>34042</v>
      </c>
      <c r="B27048" s="4" t="s">
        <v>34044</v>
      </c>
      <c r="C27048" s="5" t="str">
        <f>IFERROR(__xludf.DUMMYFUNCTION("GOOGLETRANSLATE(B27048,""en"",""it"")"),"L'uomo è seduto in una stanza a parlare con la telecamera.")</f>
        <v>L'uomo è seduto in una stanza a parlare con la telecamera.</v>
      </c>
    </row>
    <row r="27049">
      <c r="A27049" s="4" t="s">
        <v>34042</v>
      </c>
      <c r="B27049" s="4" t="s">
        <v>34045</v>
      </c>
      <c r="C27049" s="5" t="str">
        <f>IFERROR(__xludf.DUMMYFUNCTION("GOOGLETRANSLATE(B27049,""en"",""it"")"),"L'uomo corre in una pista e salta nella polvere e l'uomo è seduto in una stanza a parlare.")</f>
        <v>L'uomo corre in una pista e salta nella polvere e l'uomo è seduto in una stanza a parlare.</v>
      </c>
    </row>
    <row r="27050">
      <c r="A27050" s="4" t="s">
        <v>34042</v>
      </c>
      <c r="B27050" s="4" t="s">
        <v>34046</v>
      </c>
      <c r="C27050" s="5" t="str">
        <f>IFERROR(__xludf.DUMMYFUNCTION("GOOGLETRANSLATE(B27050,""en"",""it"")"),"I giocatori corrono giocando a calcio americano e gli spettatori sono nelle terrazze.")</f>
        <v>I giocatori corrono giocando a calcio americano e gli spettatori sono nelle terrazze.</v>
      </c>
    </row>
    <row r="27051">
      <c r="A27051" s="4" t="s">
        <v>34042</v>
      </c>
      <c r="B27051" s="4" t="s">
        <v>34047</v>
      </c>
      <c r="C27051" s="5" t="str">
        <f>IFERROR(__xludf.DUMMYFUNCTION("GOOGLETRANSLATE(B27051,""en"",""it"")"),"Il vecchio sta parlando nella stanza e l'uomo nella pista di gara sta correndo e praticando il salto.")</f>
        <v>Il vecchio sta parlando nella stanza e l'uomo nella pista di gara sta correndo e praticando il salto.</v>
      </c>
    </row>
    <row r="27052">
      <c r="A27052" s="4" t="s">
        <v>34048</v>
      </c>
      <c r="B27052" s="6" t="s">
        <v>34049</v>
      </c>
      <c r="C27052" s="5" t="str">
        <f>IFERROR(__xludf.DUMMYFUNCTION("GOOGLETRANSLATE(B27052,""en"",""it"")"),"Sono mostrati due grandi pezzi di carta da costruzione decorata con le parole Happy Birthday dappertutto.")</f>
        <v>Sono mostrati due grandi pezzi di carta da costruzione decorata con le parole Happy Birthday dappertutto.</v>
      </c>
    </row>
    <row r="27053">
      <c r="A27053" s="4" t="s">
        <v>34048</v>
      </c>
      <c r="B27053" s="4" t="s">
        <v>34050</v>
      </c>
      <c r="C27053" s="5" t="str">
        <f>IFERROR(__xludf.DUMMYFUNCTION("GOOGLETRANSLATE(B27053,""en"",""it"")"),"Vediamo quindi regali avvolti con la stessa formulazione.")</f>
        <v>Vediamo quindi regali avvolti con la stessa formulazione.</v>
      </c>
    </row>
    <row r="27054">
      <c r="A27054" s="4" t="s">
        <v>34051</v>
      </c>
      <c r="B27054" s="4" t="s">
        <v>34052</v>
      </c>
      <c r="C27054" s="5" t="str">
        <f>IFERROR(__xludf.DUMMYFUNCTION("GOOGLETRANSLATE(B27054,""en"",""it"")"),"Viene mostrato un paio di scarpe da vicino seguite da varie istruzioni e strumenti di testo.")</f>
        <v>Viene mostrato un paio di scarpe da vicino seguite da varie istruzioni e strumenti di testo.</v>
      </c>
    </row>
    <row r="27055">
      <c r="A27055" s="4" t="s">
        <v>34051</v>
      </c>
      <c r="B27055" s="6" t="s">
        <v>34053</v>
      </c>
      <c r="C27055" s="5" t="str">
        <f>IFERROR(__xludf.DUMMYFUNCTION("GOOGLETRANSLATE(B27055,""en"",""it"")"),"Una persona viene quindi vista strofinare lo spettacolo con uno straccio usando diversi ingredienti e ingrandire il paio di scarpe pulite.")</f>
        <v>Una persona viene quindi vista strofinare lo spettacolo con uno straccio usando diversi ingredienti e ingrandire il paio di scarpe pulite.</v>
      </c>
    </row>
    <row r="27056">
      <c r="A27056" s="4" t="s">
        <v>34054</v>
      </c>
      <c r="B27056" s="4" t="s">
        <v>34055</v>
      </c>
      <c r="C27056" s="5" t="str">
        <f>IFERROR(__xludf.DUMMYFUNCTION("GOOGLETRANSLATE(B27056,""en"",""it"")"),"Una donna è in piedi su un pavimento di legno.")</f>
        <v>Una donna è in piedi su un pavimento di legno.</v>
      </c>
    </row>
    <row r="27057">
      <c r="A27057" s="4" t="s">
        <v>34054</v>
      </c>
      <c r="B27057" s="4" t="s">
        <v>34056</v>
      </c>
      <c r="C27057" s="5" t="str">
        <f>IFERROR(__xludf.DUMMYFUNCTION("GOOGLETRANSLATE(B27057,""en"",""it"")"),"Sta sollevando e abbassando le braccia, cambiando in diverse posizioni.")</f>
        <v>Sta sollevando e abbassando le braccia, cambiando in diverse posizioni.</v>
      </c>
    </row>
    <row r="27058">
      <c r="A27058" s="4" t="s">
        <v>34054</v>
      </c>
      <c r="B27058" s="4" t="s">
        <v>34057</v>
      </c>
      <c r="C27058" s="5" t="str">
        <f>IFERROR(__xludf.DUMMYFUNCTION("GOOGLETRANSLATE(B27058,""en"",""it"")"),"Sta mostrando atti di tai chai per la telecamera.")</f>
        <v>Sta mostrando atti di tai chai per la telecamera.</v>
      </c>
    </row>
    <row r="27059">
      <c r="A27059" s="4" t="s">
        <v>34058</v>
      </c>
      <c r="B27059" s="4" t="s">
        <v>34059</v>
      </c>
      <c r="C27059" s="5" t="str">
        <f>IFERROR(__xludf.DUMMYFUNCTION("GOOGLETRANSLATE(B27059,""en"",""it"")"),"Un uomo viene mostrato su un palco, suonando una serie di tamburi.")</f>
        <v>Un uomo viene mostrato su un palco, suonando una serie di tamburi.</v>
      </c>
    </row>
    <row r="27060">
      <c r="A27060" s="4" t="s">
        <v>34058</v>
      </c>
      <c r="B27060" s="4" t="s">
        <v>34060</v>
      </c>
      <c r="C27060" s="5" t="str">
        <f>IFERROR(__xludf.DUMMYFUNCTION("GOOGLETRANSLATE(B27060,""en"",""it"")"),"La donna da una parte sta giocando a Maracas.")</f>
        <v>La donna da una parte sta giocando a Maracas.</v>
      </c>
    </row>
    <row r="27061">
      <c r="A27061" s="4" t="s">
        <v>34058</v>
      </c>
      <c r="B27061" s="4" t="s">
        <v>34061</v>
      </c>
      <c r="C27061" s="5" t="str">
        <f>IFERROR(__xludf.DUMMYFUNCTION("GOOGLETRANSLATE(B27061,""en"",""it"")"),"L'uomo dall'altra parte suona una chitarra elettrica.")</f>
        <v>L'uomo dall'altra parte suona una chitarra elettrica.</v>
      </c>
    </row>
    <row r="27062">
      <c r="A27062" s="4" t="s">
        <v>34062</v>
      </c>
      <c r="B27062" s="4" t="s">
        <v>34063</v>
      </c>
      <c r="C27062" s="5" t="str">
        <f>IFERROR(__xludf.DUMMYFUNCTION("GOOGLETRANSLATE(B27062,""en"",""it"")"),"Viene mostrato un uomo che entra in un'area in gabbia circolare con un lato aperto.")</f>
        <v>Viene mostrato un uomo che entra in un'area in gabbia circolare con un lato aperto.</v>
      </c>
    </row>
    <row r="27063">
      <c r="A27063" s="4" t="s">
        <v>34062</v>
      </c>
      <c r="B27063" s="4" t="s">
        <v>34064</v>
      </c>
      <c r="C27063" s="5" t="str">
        <f>IFERROR(__xludf.DUMMYFUNCTION("GOOGLETRANSLATE(B27063,""en"",""it"")"),"L'uomo inizia a ruotare una palla che è attaccata a una corda intorno a lui.")</f>
        <v>L'uomo inizia a ruotare una palla che è attaccata a una corda intorno a lui.</v>
      </c>
    </row>
    <row r="27064">
      <c r="A27064" s="4" t="s">
        <v>34062</v>
      </c>
      <c r="B27064" s="4" t="s">
        <v>34065</v>
      </c>
      <c r="C27064" s="5" t="str">
        <f>IFERROR(__xludf.DUMMYFUNCTION("GOOGLETRANSLATE(B27064,""en"",""it"")"),"L'uomo inizia a girare rapidamente il suo corpo in cerchio.")</f>
        <v>L'uomo inizia a girare rapidamente il suo corpo in cerchio.</v>
      </c>
    </row>
    <row r="27065">
      <c r="A27065" s="4" t="s">
        <v>34062</v>
      </c>
      <c r="B27065" s="4" t="s">
        <v>34066</v>
      </c>
      <c r="C27065" s="5" t="str">
        <f>IFERROR(__xludf.DUMMYFUNCTION("GOOGLETRANSLATE(B27065,""en"",""it"")"),"L'uomo lascia andare la corda e la palla vola attraverso l'aria.")</f>
        <v>L'uomo lascia andare la corda e la palla vola attraverso l'aria.</v>
      </c>
    </row>
    <row r="27066">
      <c r="A27066" s="4" t="s">
        <v>34067</v>
      </c>
      <c r="B27066" s="4" t="s">
        <v>34068</v>
      </c>
      <c r="C27066" s="5" t="str">
        <f>IFERROR(__xludf.DUMMYFUNCTION("GOOGLETRANSLATE(B27066,""en"",""it"")"),"Due squadre giocano a polo con in mano per calciare una palla davanti a una folla in un campo.")</f>
        <v>Due squadre giocano a polo con in mano per calciare una palla davanti a una folla in un campo.</v>
      </c>
    </row>
    <row r="27067">
      <c r="A27067" s="4" t="s">
        <v>34067</v>
      </c>
      <c r="B27067" s="4" t="s">
        <v>34069</v>
      </c>
      <c r="C27067" s="5" t="str">
        <f>IFERROR(__xludf.DUMMYFUNCTION("GOOGLETRANSLATE(B27067,""en"",""it"")"),"Le persone si trovano accanto alle schede dei punteggi.")</f>
        <v>Le persone si trovano accanto alle schede dei punteggi.</v>
      </c>
    </row>
    <row r="27068">
      <c r="A27068" s="4" t="s">
        <v>34067</v>
      </c>
      <c r="B27068" s="6" t="s">
        <v>34070</v>
      </c>
      <c r="C27068" s="5" t="str">
        <f>IFERROR(__xludf.DUMMYFUNCTION("GOOGLETRANSLATE(B27068,""en"",""it"")"),"Quindi, un giocatore alza il palco per ricevere un trofeo, dopo che una donna ha baciato il vincitore e altri giocatori sul palco e tutti sorgono il trofeo.")</f>
        <v>Quindi, un giocatore alza il palco per ricevere un trofeo, dopo che una donna ha baciato il vincitore e altri giocatori sul palco e tutti sorgono il trofeo.</v>
      </c>
    </row>
    <row r="27069">
      <c r="A27069" s="4" t="s">
        <v>34071</v>
      </c>
      <c r="B27069" s="4" t="s">
        <v>4448</v>
      </c>
      <c r="C27069" s="5" t="str">
        <f>IFERROR(__xludf.DUMMYFUNCTION("GOOGLETRANSLATE(B27069,""en"",""it"")"),"Vediamo la schermata del titolo di apertura.")</f>
        <v>Vediamo la schermata del titolo di apertura.</v>
      </c>
    </row>
    <row r="27070">
      <c r="A27070" s="4" t="s">
        <v>34071</v>
      </c>
      <c r="B27070" s="4" t="s">
        <v>34072</v>
      </c>
      <c r="C27070" s="5" t="str">
        <f>IFERROR(__xludf.DUMMYFUNCTION("GOOGLETRANSLATE(B27070,""en"",""it"")"),"Un uomo regge una panchina e apre le parti in modo da poterlo installare.")</f>
        <v>Un uomo regge una panchina e apre le parti in modo da poterlo installare.</v>
      </c>
    </row>
    <row r="27071">
      <c r="A27071" s="4" t="s">
        <v>34071</v>
      </c>
      <c r="B27071" s="4" t="s">
        <v>34073</v>
      </c>
      <c r="C27071" s="5" t="str">
        <f>IFERROR(__xludf.DUMMYFUNCTION("GOOGLETRANSLATE(B27071,""en"",""it"")"),"Incolla un perno e fa scattare il suo sci.")</f>
        <v>Incolla un perno e fa scattare il suo sci.</v>
      </c>
    </row>
    <row r="27072">
      <c r="A27072" s="4" t="s">
        <v>34071</v>
      </c>
      <c r="B27072" s="4" t="s">
        <v>34074</v>
      </c>
      <c r="C27072" s="5" t="str">
        <f>IFERROR(__xludf.DUMMYFUNCTION("GOOGLETRANSLATE(B27072,""en"",""it"")"),"Quindi fa la ceretta lo sci e rimuove il perno.")</f>
        <v>Quindi fa la ceretta lo sci e rimuove il perno.</v>
      </c>
    </row>
    <row r="27073">
      <c r="A27073" s="4" t="s">
        <v>34071</v>
      </c>
      <c r="B27073" s="4" t="s">
        <v>34075</v>
      </c>
      <c r="C27073" s="5" t="str">
        <f>IFERROR(__xludf.DUMMYFUNCTION("GOOGLETRANSLATE(B27073,""en"",""it"")"),"Regola le parti della panchina.")</f>
        <v>Regola le parti della panchina.</v>
      </c>
    </row>
    <row r="27074">
      <c r="A27074" s="4" t="s">
        <v>34071</v>
      </c>
      <c r="B27074" s="4" t="s">
        <v>34076</v>
      </c>
      <c r="C27074" s="5" t="str">
        <f>IFERROR(__xludf.DUMMYFUNCTION("GOOGLETRANSLATE(B27074,""en"",""it"")"),"Vediamo la panchina nei colpi con i titoli di coda.")</f>
        <v>Vediamo la panchina nei colpi con i titoli di coda.</v>
      </c>
    </row>
    <row r="27075">
      <c r="A27075" s="4" t="s">
        <v>34077</v>
      </c>
      <c r="B27075" s="4" t="s">
        <v>34078</v>
      </c>
      <c r="C27075" s="5" t="str">
        <f>IFERROR(__xludf.DUMMYFUNCTION("GOOGLETRANSLATE(B27075,""en"",""it"")"),"Un uomo serve una palla da tennis quando gioca a tennis con una persona in un campo da tennis.")</f>
        <v>Un uomo serve una palla da tennis quando gioca a tennis con una persona in un campo da tennis.</v>
      </c>
    </row>
    <row r="27076">
      <c r="A27076" s="4" t="s">
        <v>34077</v>
      </c>
      <c r="B27076" s="4" t="s">
        <v>34079</v>
      </c>
      <c r="C27076" s="5" t="str">
        <f>IFERROR(__xludf.DUMMYFUNCTION("GOOGLETRANSLATE(B27076,""en"",""it"")"),"Quindi, l'uomo serve di nuovo a una persona dietro la rete, mentre un giocatore sta accanto a lui.")</f>
        <v>Quindi, l'uomo serve di nuovo a una persona dietro la rete, mentre un giocatore sta accanto a lui.</v>
      </c>
    </row>
    <row r="27077">
      <c r="A27077" s="4" t="s">
        <v>34077</v>
      </c>
      <c r="B27077" s="4" t="s">
        <v>34080</v>
      </c>
      <c r="C27077" s="5" t="str">
        <f>IFERROR(__xludf.DUMMYFUNCTION("GOOGLETRANSLATE(B27077,""en"",""it"")"),"Dopo, l'uomo serve una palla ma nessuno è dietro la rete.")</f>
        <v>Dopo, l'uomo serve una palla ma nessuno è dietro la rete.</v>
      </c>
    </row>
    <row r="27078">
      <c r="A27078" s="4" t="s">
        <v>34081</v>
      </c>
      <c r="B27078" s="6" t="s">
        <v>34082</v>
      </c>
      <c r="C27078" s="5" t="str">
        <f>IFERROR(__xludf.DUMMYFUNCTION("GOOGLETRANSLATE(B27078,""en"",""it"")"),"Un uomo che cavalca un cavallo e oscilla una corda intorno viene visto inseguire un vitello e alla fine afferrare l'animale con la sua corda.")</f>
        <v>Un uomo che cavalca un cavallo e oscilla una corda intorno viene visto inseguire un vitello e alla fine afferrare l'animale con la sua corda.</v>
      </c>
    </row>
    <row r="27079">
      <c r="A27079" s="4" t="s">
        <v>34081</v>
      </c>
      <c r="B27079" s="4" t="s">
        <v>34083</v>
      </c>
      <c r="C27079" s="5" t="str">
        <f>IFERROR(__xludf.DUMMYFUNCTION("GOOGLETRANSLATE(B27079,""en"",""it"")"),"Tiene il vitello verso il basso e un altro uomo esce per aiutare l'uomo a legare il vitello.")</f>
        <v>Tiene il vitello verso il basso e un altro uomo esce per aiutare l'uomo a legare il vitello.</v>
      </c>
    </row>
    <row r="27080">
      <c r="A27080" s="4" t="s">
        <v>34081</v>
      </c>
      <c r="B27080" s="4" t="s">
        <v>34084</v>
      </c>
      <c r="C27080" s="5" t="str">
        <f>IFERROR(__xludf.DUMMYFUNCTION("GOOGLETRANSLATE(B27080,""en"",""it"")"),"Quindi afferra la sua corda e cavalca dall'arena sul suo cavallo.")</f>
        <v>Quindi afferra la sua corda e cavalca dall'arena sul suo cavallo.</v>
      </c>
    </row>
    <row r="27081">
      <c r="A27081" s="4" t="s">
        <v>34085</v>
      </c>
      <c r="B27081" s="4" t="s">
        <v>34086</v>
      </c>
      <c r="C27081" s="5" t="str">
        <f>IFERROR(__xludf.DUMMYFUNCTION("GOOGLETRANSLATE(B27081,""en"",""it"")"),"Si vedono pezzi di mobili tra cui armadi e tavoli.")</f>
        <v>Si vedono pezzi di mobili tra cui armadi e tavoli.</v>
      </c>
    </row>
    <row r="27082">
      <c r="A27082" s="4" t="s">
        <v>34085</v>
      </c>
      <c r="B27082" s="4" t="s">
        <v>34087</v>
      </c>
      <c r="C27082" s="5" t="str">
        <f>IFERROR(__xludf.DUMMYFUNCTION("GOOGLETRANSLATE(B27082,""en"",""it"")"),"Una persona leviga un pezzo di legno con una levigatrice elettrica.")</f>
        <v>Una persona leviga un pezzo di legno con una levigatrice elettrica.</v>
      </c>
    </row>
    <row r="27083">
      <c r="A27083" s="4" t="s">
        <v>34085</v>
      </c>
      <c r="B27083" s="4" t="s">
        <v>34088</v>
      </c>
      <c r="C27083" s="5" t="str">
        <f>IFERROR(__xludf.DUMMYFUNCTION("GOOGLETRANSLATE(B27083,""en"",""it"")"),"Una persona leviga a mano un pezzo di legno.")</f>
        <v>Una persona leviga a mano un pezzo di legno.</v>
      </c>
    </row>
    <row r="27084">
      <c r="A27084" s="4" t="s">
        <v>34089</v>
      </c>
      <c r="B27084" s="4" t="s">
        <v>34090</v>
      </c>
      <c r="C27084" s="5" t="str">
        <f>IFERROR(__xludf.DUMMYFUNCTION("GOOGLETRANSLATE(B27084,""en"",""it"")"),"Le persone stanno andando in bicicletta su una pista.")</f>
        <v>Le persone stanno andando in bicicletta su una pista.</v>
      </c>
    </row>
    <row r="27085">
      <c r="A27085" s="4" t="s">
        <v>34089</v>
      </c>
      <c r="B27085" s="4" t="s">
        <v>34091</v>
      </c>
      <c r="C27085" s="5" t="str">
        <f>IFERROR(__xludf.DUMMYFUNCTION("GOOGLETRANSLATE(B27085,""en"",""it"")"),"Un uomo si schianta e atterra in pista.")</f>
        <v>Un uomo si schianta e atterra in pista.</v>
      </c>
    </row>
    <row r="27086">
      <c r="A27086" s="4" t="s">
        <v>34089</v>
      </c>
      <c r="B27086" s="4" t="s">
        <v>34092</v>
      </c>
      <c r="C27086" s="5" t="str">
        <f>IFERROR(__xludf.DUMMYFUNCTION("GOOGLETRANSLATE(B27086,""en"",""it"")"),"Un uomo con un cappello sta parlando con la telecamera.")</f>
        <v>Un uomo con un cappello sta parlando con la telecamera.</v>
      </c>
    </row>
    <row r="27087">
      <c r="A27087" s="4" t="s">
        <v>34089</v>
      </c>
      <c r="B27087" s="4" t="s">
        <v>34093</v>
      </c>
      <c r="C27087" s="5" t="str">
        <f>IFERROR(__xludf.DUMMYFUNCTION("GOOGLETRANSLATE(B27087,""en"",""it"")"),"Le persone continuano a andare in bici in pista e schiantarsi.")</f>
        <v>Le persone continuano a andare in bici in pista e schiantarsi.</v>
      </c>
    </row>
    <row r="27088">
      <c r="A27088" s="4" t="s">
        <v>34094</v>
      </c>
      <c r="B27088" s="4" t="s">
        <v>34095</v>
      </c>
      <c r="C27088" s="5" t="str">
        <f>IFERROR(__xludf.DUMMYFUNCTION("GOOGLETRANSLATE(B27088,""en"",""it"")"),"Una telecamera ingrandisce un peso con una persona in piedi vicino.")</f>
        <v>Una telecamera ingrandisce un peso con una persona in piedi vicino.</v>
      </c>
    </row>
    <row r="27089">
      <c r="A27089" s="4" t="s">
        <v>34094</v>
      </c>
      <c r="B27089" s="4" t="s">
        <v>34096</v>
      </c>
      <c r="C27089" s="5" t="str">
        <f>IFERROR(__xludf.DUMMYFUNCTION("GOOGLETRANSLATE(B27089,""en"",""it"")"),"Una donna è quindi in piedi con pesi tra le mani e fa affondare.")</f>
        <v>Una donna è quindi in piedi con pesi tra le mani e fa affondare.</v>
      </c>
    </row>
    <row r="27090">
      <c r="A27090" s="4" t="s">
        <v>34094</v>
      </c>
      <c r="B27090" s="4" t="s">
        <v>34097</v>
      </c>
      <c r="C27090" s="5" t="str">
        <f>IFERROR(__xludf.DUMMYFUNCTION("GOOGLETRANSLATE(B27090,""en"",""it"")"),"Arriva una seconda donna e un uomo che fa varie mosse di sollevamento pesi.")</f>
        <v>Arriva una seconda donna e un uomo che fa varie mosse di sollevamento pesi.</v>
      </c>
    </row>
    <row r="27091">
      <c r="A27091" s="4" t="s">
        <v>34098</v>
      </c>
      <c r="B27091" s="4" t="s">
        <v>34099</v>
      </c>
      <c r="C27091" s="5" t="str">
        <f>IFERROR(__xludf.DUMMYFUNCTION("GOOGLETRANSLATE(B27091,""en"",""it"")"),"Un bambino sta cavalcando un swing nel parco giochi.")</f>
        <v>Un bambino sta cavalcando un swing nel parco giochi.</v>
      </c>
    </row>
    <row r="27092">
      <c r="A27092" s="4" t="s">
        <v>34098</v>
      </c>
      <c r="B27092" s="4" t="s">
        <v>34100</v>
      </c>
      <c r="C27092" s="5" t="str">
        <f>IFERROR(__xludf.DUMMYFUNCTION("GOOGLETRANSLATE(B27092,""en"",""it"")"),"Una mano la spinge mentre le piace la corsa.")</f>
        <v>Una mano la spinge mentre le piace la corsa.</v>
      </c>
    </row>
    <row r="27093">
      <c r="A27093" s="4" t="s">
        <v>34098</v>
      </c>
      <c r="B27093" s="4" t="s">
        <v>34101</v>
      </c>
      <c r="C27093" s="5" t="str">
        <f>IFERROR(__xludf.DUMMYFUNCTION("GOOGLETRANSLATE(B27093,""en"",""it"")"),"L'uomo inizia a giocare con lei.")</f>
        <v>L'uomo inizia a giocare con lei.</v>
      </c>
    </row>
    <row r="27094">
      <c r="A27094" s="4" t="s">
        <v>34102</v>
      </c>
      <c r="B27094" s="4" t="s">
        <v>34103</v>
      </c>
      <c r="C27094" s="5" t="str">
        <f>IFERROR(__xludf.DUMMYFUNCTION("GOOGLETRANSLATE(B27094,""en"",""it"")"),"La gente corre in una maratona per strada.")</f>
        <v>La gente corre in una maratona per strada.</v>
      </c>
    </row>
    <row r="27095">
      <c r="A27095" s="4" t="s">
        <v>34102</v>
      </c>
      <c r="B27095" s="4" t="s">
        <v>34104</v>
      </c>
      <c r="C27095" s="5" t="str">
        <f>IFERROR(__xludf.DUMMYFUNCTION("GOOGLETRANSLATE(B27095,""en"",""it"")"),"Un uomo dirige la gara e corre da solo in strada.")</f>
        <v>Un uomo dirige la gara e corre da solo in strada.</v>
      </c>
    </row>
    <row r="27096">
      <c r="A27096" s="4" t="s">
        <v>34102</v>
      </c>
      <c r="B27096" s="4" t="s">
        <v>34105</v>
      </c>
      <c r="C27096" s="5" t="str">
        <f>IFERROR(__xludf.DUMMYFUNCTION("GOOGLETRANSLATE(B27096,""en"",""it"")"),"Improvvisamente, l'uomo si schianta contro l'auto e cade.")</f>
        <v>Improvvisamente, l'uomo si schianta contro l'auto e cade.</v>
      </c>
    </row>
    <row r="27097">
      <c r="A27097" s="4" t="s">
        <v>34106</v>
      </c>
      <c r="B27097" s="4" t="s">
        <v>34107</v>
      </c>
      <c r="C27097" s="5" t="str">
        <f>IFERROR(__xludf.DUMMYFUNCTION("GOOGLETRANSLATE(B27097,""en"",""it"")"),"C'è un uomo in una camicia blu che cammina in un edificio alto dove c'è un'arena di scherma indoor.")</f>
        <v>C'è un uomo in una camicia blu che cammina in un edificio alto dove c'è un'arena di scherma indoor.</v>
      </c>
    </row>
    <row r="27098">
      <c r="A27098" s="4" t="s">
        <v>34106</v>
      </c>
      <c r="B27098" s="4" t="s">
        <v>34108</v>
      </c>
      <c r="C27098" s="5" t="str">
        <f>IFERROR(__xludf.DUMMYFUNCTION("GOOGLETRANSLATE(B27098,""en"",""it"")"),"Entra nell'arena e parla con due schermitori.")</f>
        <v>Entra nell'arena e parla con due schermitori.</v>
      </c>
    </row>
    <row r="27099">
      <c r="A27099" s="4" t="s">
        <v>34106</v>
      </c>
      <c r="B27099" s="4" t="s">
        <v>34109</v>
      </c>
      <c r="C27099" s="5" t="str">
        <f>IFERROR(__xludf.DUMMYFUNCTION("GOOGLETRANSLATE(B27099,""en"",""it"")"),"Uno degli schermitori mette un abito di scherma sull'uomo.")</f>
        <v>Uno degli schermitori mette un abito di scherma sull'uomo.</v>
      </c>
    </row>
    <row r="27100">
      <c r="A27100" s="4" t="s">
        <v>34106</v>
      </c>
      <c r="B27100" s="4" t="s">
        <v>34110</v>
      </c>
      <c r="C27100" s="5" t="str">
        <f>IFERROR(__xludf.DUMMYFUNCTION("GOOGLETRANSLATE(B27100,""en"",""it"")"),"Lo scherzoso dimostra quindi e dà all'uomo una lezione di scherma.")</f>
        <v>Lo scherzoso dimostra quindi e dà all'uomo una lezione di scherma.</v>
      </c>
    </row>
    <row r="27101">
      <c r="A27101" s="4" t="s">
        <v>34106</v>
      </c>
      <c r="B27101" s="4" t="s">
        <v>34111</v>
      </c>
      <c r="C27101" s="5" t="str">
        <f>IFERROR(__xludf.DUMMYFUNCTION("GOOGLETRANSLATE(B27101,""en"",""it"")"),"Mostra all'uomo le varie abilità coinvolte nella scherma.")</f>
        <v>Mostra all'uomo le varie abilità coinvolte nella scherma.</v>
      </c>
    </row>
    <row r="27102">
      <c r="A27102" s="4" t="s">
        <v>34106</v>
      </c>
      <c r="B27102" s="4" t="s">
        <v>34112</v>
      </c>
      <c r="C27102" s="5" t="str">
        <f>IFERROR(__xludf.DUMMYFUNCTION("GOOGLETRANSLATE(B27102,""en"",""it"")"),"L'uomo è in grado di perdere ed eludere ogni mossa dello schermiere mentre si toccava dalla spada.")</f>
        <v>L'uomo è in grado di perdere ed eludere ogni mossa dello schermiere mentre si toccava dalla spada.</v>
      </c>
    </row>
    <row r="27103">
      <c r="A27103" s="4" t="s">
        <v>34106</v>
      </c>
      <c r="B27103" s="4" t="s">
        <v>34113</v>
      </c>
      <c r="C27103" s="5" t="str">
        <f>IFERROR(__xludf.DUMMYFUNCTION("GOOGLETRANSLATE(B27103,""en"",""it"")"),"Quindi entrambi gli schermieri rimuovono le maschere e si stringono la mano.")</f>
        <v>Quindi entrambi gli schermieri rimuovono le maschere e si stringono la mano.</v>
      </c>
    </row>
    <row r="27104">
      <c r="A27104" s="4" t="s">
        <v>34106</v>
      </c>
      <c r="B27104" s="4" t="s">
        <v>34114</v>
      </c>
      <c r="C27104" s="5" t="str">
        <f>IFERROR(__xludf.DUMMYFUNCTION("GOOGLETRANSLATE(B27104,""en"",""it"")"),"Lo scheggiatore parla della sua esperienza con il maestro schermario.")</f>
        <v>Lo scheggiatore parla della sua esperienza con il maestro schermario.</v>
      </c>
    </row>
    <row r="27105">
      <c r="A27105" s="4" t="s">
        <v>34115</v>
      </c>
      <c r="B27105" s="6" t="s">
        <v>34116</v>
      </c>
      <c r="C27105" s="5" t="str">
        <f>IFERROR(__xludf.DUMMYFUNCTION("GOOGLETRANSLATE(B27105,""en"",""it"")"),"Inizia un gioco di lacrosse e un ragazzo di nome Chase Madrid è la luce di fare scene durante il gioco.")</f>
        <v>Inizia un gioco di lacrosse e un ragazzo di nome Chase Madrid è la luce di fare scene durante il gioco.</v>
      </c>
    </row>
    <row r="27106">
      <c r="A27106" s="4" t="s">
        <v>34115</v>
      </c>
      <c r="B27106" s="6" t="s">
        <v>34117</v>
      </c>
      <c r="C27106" s="5" t="str">
        <f>IFERROR(__xludf.DUMMYFUNCTION("GOOGLETRANSLATE(B27106,""en"",""it"")"),"Diversi giochi diversi iniziano e un cerchio giallo viene disegnato attorno a lui per ogni gioco quando corre avanti e indietro.")</f>
        <v>Diversi giochi diversi iniziano e un cerchio giallo viene disegnato attorno a lui per ogni gioco quando corre avanti e indietro.</v>
      </c>
    </row>
    <row r="27107">
      <c r="A27107" s="4" t="s">
        <v>34115</v>
      </c>
      <c r="B27107" s="6" t="s">
        <v>34118</v>
      </c>
      <c r="C27107" s="5" t="str">
        <f>IFERROR(__xludf.DUMMYFUNCTION("GOOGLETRANSLATE(B27107,""en"",""it"")"),"Quando la bobina di evidenziazione è finita, appare uno schermo nero e mostra il liceo e il nome per il giocatore.")</f>
        <v>Quando la bobina di evidenziazione è finita, appare uno schermo nero e mostra il liceo e il nome per il giocatore.</v>
      </c>
    </row>
    <row r="27108">
      <c r="A27108" s="4" t="s">
        <v>34119</v>
      </c>
      <c r="B27108" s="6" t="s">
        <v>34120</v>
      </c>
      <c r="C27108" s="5" t="str">
        <f>IFERROR(__xludf.DUMMYFUNCTION("GOOGLETRANSLATE(B27108,""en"",""it"")"),"Un uomo è in un parco, dove lui e sua moglie, che tengono un bambino, spingono due bambini piccoli sulle oscillazioni.")</f>
        <v>Un uomo è in un parco, dove lui e sua moglie, che tengono un bambino, spingono due bambini piccoli sulle oscillazioni.</v>
      </c>
    </row>
    <row r="27109">
      <c r="A27109" s="4" t="s">
        <v>34119</v>
      </c>
      <c r="B27109" s="4" t="s">
        <v>34121</v>
      </c>
      <c r="C27109" s="5" t="str">
        <f>IFERROR(__xludf.DUMMYFUNCTION("GOOGLETRANSLATE(B27109,""en"",""it"")"),"La donna scompare mentre l'uomo continua a spingere.")</f>
        <v>La donna scompare mentre l'uomo continua a spingere.</v>
      </c>
    </row>
    <row r="27110">
      <c r="A27110" s="4" t="s">
        <v>34122</v>
      </c>
      <c r="B27110" s="4" t="s">
        <v>34123</v>
      </c>
      <c r="C27110" s="5" t="str">
        <f>IFERROR(__xludf.DUMMYFUNCTION("GOOGLETRANSLATE(B27110,""en"",""it"")"),"Un piccolo gruppo di bambini viene visto muoversi in una palestra che lancia palle.")</f>
        <v>Un piccolo gruppo di bambini viene visto muoversi in una palestra che lancia palle.</v>
      </c>
    </row>
    <row r="27111">
      <c r="A27111" s="4" t="s">
        <v>34122</v>
      </c>
      <c r="B27111" s="4" t="s">
        <v>34124</v>
      </c>
      <c r="C27111" s="5" t="str">
        <f>IFERROR(__xludf.DUMMYFUNCTION("GOOGLETRANSLATE(B27111,""en"",""it"")"),"I bambini si lanciano tra loro mentre giocano.")</f>
        <v>I bambini si lanciano tra loro mentre giocano.</v>
      </c>
    </row>
    <row r="27112">
      <c r="A27112" s="4" t="s">
        <v>34122</v>
      </c>
      <c r="B27112" s="4" t="s">
        <v>34125</v>
      </c>
      <c r="C27112" s="5" t="str">
        <f>IFERROR(__xludf.DUMMYFUNCTION("GOOGLETRANSLATE(B27112,""en"",""it"")"),"Il gioco continua mentre i bambini saltano e giù.")</f>
        <v>Il gioco continua mentre i bambini saltano e giù.</v>
      </c>
    </row>
    <row r="27113">
      <c r="A27113" s="4" t="s">
        <v>34126</v>
      </c>
      <c r="B27113" s="4" t="s">
        <v>34127</v>
      </c>
      <c r="C27113" s="5" t="str">
        <f>IFERROR(__xludf.DUMMYFUNCTION("GOOGLETRANSLATE(B27113,""en"",""it"")"),"Un uomo balla in una grande stanza.")</f>
        <v>Un uomo balla in una grande stanza.</v>
      </c>
    </row>
    <row r="27114">
      <c r="A27114" s="4" t="s">
        <v>34126</v>
      </c>
      <c r="B27114" s="4" t="s">
        <v>34128</v>
      </c>
      <c r="C27114" s="5" t="str">
        <f>IFERROR(__xludf.DUMMYFUNCTION("GOOGLETRANSLATE(B27114,""en"",""it"")"),"Mentre fa la danza spiega come farlo.")</f>
        <v>Mentre fa la danza spiega come farlo.</v>
      </c>
    </row>
    <row r="27115">
      <c r="A27115" s="4" t="s">
        <v>34129</v>
      </c>
      <c r="B27115" s="6" t="s">
        <v>34130</v>
      </c>
      <c r="C27115" s="5" t="str">
        <f>IFERROR(__xludf.DUMMYFUNCTION("GOOGLETRANSLATE(B27115,""en"",""it"")"),"Questi cavalli camminano in una zona erbosa da soli e poi una donna viene mostrata a spazzolare i capelli del cavallo.")</f>
        <v>Questi cavalli camminano in una zona erbosa da soli e poi una donna viene mostrata a spazzolare i capelli del cavallo.</v>
      </c>
    </row>
    <row r="27116">
      <c r="A27116" s="4" t="s">
        <v>34129</v>
      </c>
      <c r="B27116" s="6" t="s">
        <v>34131</v>
      </c>
      <c r="C27116" s="5" t="str">
        <f>IFERROR(__xludf.DUMMYFUNCTION("GOOGLETRANSLATE(B27116,""en"",""it"")"),"La telecamera ingrandisce per mostra il naso del cavallo e poi la donna si arrampica sulla sella del cavallo per cavalcarlo da qualche parte.")</f>
        <v>La telecamera ingrandisce per mostra il naso del cavallo e poi la donna si arrampica sulla sella del cavallo per cavalcarlo da qualche parte.</v>
      </c>
    </row>
    <row r="27117">
      <c r="A27117" s="4" t="s">
        <v>34129</v>
      </c>
      <c r="B27117" s="4" t="s">
        <v>34132</v>
      </c>
      <c r="C27117" s="5" t="str">
        <f>IFERROR(__xludf.DUMMYFUNCTION("GOOGLETRANSLATE(B27117,""en"",""it"")"),"Quindi altre due persone sono Hsown che cavalcano il cavallo in diverse impostazioni.")</f>
        <v>Quindi altre due persone sono Hsown che cavalcano il cavallo in diverse impostazioni.</v>
      </c>
    </row>
    <row r="27118">
      <c r="A27118" s="4" t="s">
        <v>34133</v>
      </c>
      <c r="B27118" s="4" t="s">
        <v>34134</v>
      </c>
      <c r="C27118" s="5" t="str">
        <f>IFERROR(__xludf.DUMMYFUNCTION("GOOGLETRANSLATE(B27118,""en"",""it"")"),"Due ragazze si trovano fuori a parlare con i piedi incrociati.")</f>
        <v>Due ragazze si trovano fuori a parlare con i piedi incrociati.</v>
      </c>
    </row>
    <row r="27119">
      <c r="A27119" s="4" t="s">
        <v>34133</v>
      </c>
      <c r="B27119" s="6" t="s">
        <v>34135</v>
      </c>
      <c r="C27119" s="5" t="str">
        <f>IFERROR(__xludf.DUMMYFUNCTION("GOOGLETRANSLATE(B27119,""en"",""it"")"),"Una delle ragazze consegna l'altra un contenitore che tira fuori una piccola carta che le dice cosa fare.")</f>
        <v>Una delle ragazze consegna l'altra un contenitore che tira fuori una piccola carta che le dice cosa fare.</v>
      </c>
    </row>
    <row r="27120">
      <c r="A27120" s="4" t="s">
        <v>34133</v>
      </c>
      <c r="B27120" s="4" t="s">
        <v>34136</v>
      </c>
      <c r="C27120" s="5" t="str">
        <f>IFERROR(__xludf.DUMMYFUNCTION("GOOGLETRANSLATE(B27120,""en"",""it"")"),"Lo legge e poi fa quello che dice il documento.")</f>
        <v>Lo legge e poi fa quello che dice il documento.</v>
      </c>
    </row>
    <row r="27121">
      <c r="A27121" s="4" t="s">
        <v>34133</v>
      </c>
      <c r="B27121" s="6" t="s">
        <v>34137</v>
      </c>
      <c r="C27121" s="5" t="str">
        <f>IFERROR(__xludf.DUMMYFUNCTION("GOOGLETRANSLATE(B27121,""en"",""it"")"),"Si alternano facendo questo, scelgono una nota e poi svolgono il compito che dice di fare e si stanno divertendo mentre lo fanno.")</f>
        <v>Si alternano facendo questo, scelgono una nota e poi svolgono il compito che dice di fare e si stanno divertendo mentre lo fanno.</v>
      </c>
    </row>
    <row r="27122">
      <c r="A27122" s="4" t="s">
        <v>34138</v>
      </c>
      <c r="B27122" s="4" t="s">
        <v>34139</v>
      </c>
      <c r="C27122" s="5" t="str">
        <f>IFERROR(__xludf.DUMMYFUNCTION("GOOGLETRANSLATE(B27122,""en"",""it"")"),"Acqua che schizza su una torre di orologi.")</f>
        <v>Acqua che schizza su una torre di orologi.</v>
      </c>
    </row>
    <row r="27123">
      <c r="A27123" s="4" t="s">
        <v>34138</v>
      </c>
      <c r="B27123" s="4" t="s">
        <v>34140</v>
      </c>
      <c r="C27123" s="5" t="str">
        <f>IFERROR(__xludf.DUMMYFUNCTION("GOOGLETRANSLATE(B27123,""en"",""it"")"),"Persone sedute sulla spiaggia in una barca.")</f>
        <v>Persone sedute sulla spiaggia in una barca.</v>
      </c>
    </row>
    <row r="27124">
      <c r="A27124" s="4" t="s">
        <v>34138</v>
      </c>
      <c r="B27124" s="4" t="s">
        <v>34141</v>
      </c>
      <c r="C27124" s="5" t="str">
        <f>IFERROR(__xludf.DUMMYFUNCTION("GOOGLETRANSLATE(B27124,""en"",""it"")"),"La musica suona in sottofondo in quanto persone diverse navigano durante diverse clip.")</f>
        <v>La musica suona in sottofondo in quanto persone diverse navigano durante diverse clip.</v>
      </c>
    </row>
    <row r="27125">
      <c r="A27125" s="4" t="s">
        <v>34142</v>
      </c>
      <c r="B27125" s="4" t="s">
        <v>34143</v>
      </c>
      <c r="C27125" s="5" t="str">
        <f>IFERROR(__xludf.DUMMYFUNCTION("GOOGLETRANSLATE(B27125,""en"",""it"")"),"Due ragazzi con i pantaloni di karate si combattono l'un l'altro sullo sfondo.")</f>
        <v>Due ragazzi con i pantaloni di karate si combattono l'un l'altro sullo sfondo.</v>
      </c>
    </row>
    <row r="27126">
      <c r="A27126" s="4" t="s">
        <v>34142</v>
      </c>
      <c r="B27126" s="4" t="s">
        <v>34144</v>
      </c>
      <c r="C27126" s="5" t="str">
        <f>IFERROR(__xludf.DUMMYFUNCTION("GOOGLETRANSLATE(B27126,""en"",""it"")"),"Il gruppo forma un cerchio e due dei ragazzi iniziano a spargere in una pratica di arti marziali.")</f>
        <v>Il gruppo forma un cerchio e due dei ragazzi iniziano a spargere in una pratica di arti marziali.</v>
      </c>
    </row>
    <row r="27127">
      <c r="A27127" s="4" t="s">
        <v>34142</v>
      </c>
      <c r="B27127" s="4" t="s">
        <v>34145</v>
      </c>
      <c r="C27127" s="5" t="str">
        <f>IFERROR(__xludf.DUMMYFUNCTION("GOOGLETRANSLATE(B27127,""en"",""it"")"),"Il ragazzo in top rosa fa un calcio rotante.")</f>
        <v>Il ragazzo in top rosa fa un calcio rotante.</v>
      </c>
    </row>
    <row r="27128">
      <c r="A27128" s="4" t="s">
        <v>34146</v>
      </c>
      <c r="B27128" s="4" t="s">
        <v>34147</v>
      </c>
      <c r="C27128" s="5" t="str">
        <f>IFERROR(__xludf.DUMMYFUNCTION("GOOGLETRANSLATE(B27128,""en"",""it"")"),"Una band suona musica sul palco.")</f>
        <v>Una band suona musica sul palco.</v>
      </c>
    </row>
    <row r="27129">
      <c r="A27129" s="4" t="s">
        <v>34146</v>
      </c>
      <c r="B27129" s="4" t="s">
        <v>34148</v>
      </c>
      <c r="C27129" s="5" t="str">
        <f>IFERROR(__xludf.DUMMYFUNCTION("GOOGLETRANSLATE(B27129,""en"",""it"")"),"Un uomo suona intensamente i tamburi.")</f>
        <v>Un uomo suona intensamente i tamburi.</v>
      </c>
    </row>
    <row r="27130">
      <c r="A27130" s="4" t="s">
        <v>34146</v>
      </c>
      <c r="B27130" s="4" t="s">
        <v>34149</v>
      </c>
      <c r="C27130" s="5" t="str">
        <f>IFERROR(__xludf.DUMMYFUNCTION("GOOGLETRANSLATE(B27130,""en"",""it"")"),"Un grande schermo mostra la banda sopra.")</f>
        <v>Un grande schermo mostra la banda sopra.</v>
      </c>
    </row>
    <row r="27131">
      <c r="A27131" s="4" t="s">
        <v>34146</v>
      </c>
      <c r="B27131" s="4" t="s">
        <v>34150</v>
      </c>
      <c r="C27131" s="5" t="str">
        <f>IFERROR(__xludf.DUMMYFUNCTION("GOOGLETRANSLATE(B27131,""en"",""it"")"),"Le persone suonano la chitarra sul palco.")</f>
        <v>Le persone suonano la chitarra sul palco.</v>
      </c>
    </row>
    <row r="27132">
      <c r="A27132" s="4" t="s">
        <v>34151</v>
      </c>
      <c r="B27132" s="4" t="s">
        <v>34152</v>
      </c>
      <c r="C27132" s="5" t="str">
        <f>IFERROR(__xludf.DUMMYFUNCTION("GOOGLETRANSLATE(B27132,""en"",""it"")"),"I giocatori corrono in giro giocando a lacrosse su un campo d'erba.")</f>
        <v>I giocatori corrono in giro giocando a lacrosse su un campo d'erba.</v>
      </c>
    </row>
    <row r="27133">
      <c r="A27133" s="4" t="s">
        <v>34151</v>
      </c>
      <c r="B27133" s="4" t="s">
        <v>34153</v>
      </c>
      <c r="C27133" s="5" t="str">
        <f>IFERROR(__xludf.DUMMYFUNCTION("GOOGLETRANSLATE(B27133,""en"",""it"")"),"Il pubblico sta guardando e applaudendo per loro.")</f>
        <v>Il pubblico sta guardando e applaudendo per loro.</v>
      </c>
    </row>
    <row r="27134">
      <c r="A27134" s="4" t="s">
        <v>34154</v>
      </c>
      <c r="B27134" s="4" t="s">
        <v>34155</v>
      </c>
      <c r="C27134" s="5" t="str">
        <f>IFERROR(__xludf.DUMMYFUNCTION("GOOGLETRANSLATE(B27134,""en"",""it"")"),"Un uomo calvo viene visto parlare con una macchina fotografica mentre si strofina la testa e fa volti smorfie.")</f>
        <v>Un uomo calvo viene visto parlare con una macchina fotografica mentre si strofina la testa e fa volti smorfie.</v>
      </c>
    </row>
    <row r="27135">
      <c r="A27135" s="4" t="s">
        <v>34154</v>
      </c>
      <c r="B27135" s="6" t="s">
        <v>34156</v>
      </c>
      <c r="C27135" s="5" t="str">
        <f>IFERROR(__xludf.DUMMYFUNCTION("GOOGLETRANSLATE(B27135,""en"",""it"")"),"Continua a parlare con la telecamera e il video termina con lui agitando e spegne la fotocamera.")</f>
        <v>Continua a parlare con la telecamera e il video termina con lui agitando e spegne la fotocamera.</v>
      </c>
    </row>
    <row r="27136">
      <c r="A27136" s="4" t="s">
        <v>34157</v>
      </c>
      <c r="B27136" s="4" t="s">
        <v>34158</v>
      </c>
      <c r="C27136" s="5" t="str">
        <f>IFERROR(__xludf.DUMMYFUNCTION("GOOGLETRANSLATE(B27136,""en"",""it"")"),"Un gruppo viene mostrato insieme e correndo su bici BMX in una serie di foto.")</f>
        <v>Un gruppo viene mostrato insieme e correndo su bici BMX in una serie di foto.</v>
      </c>
    </row>
    <row r="27137">
      <c r="A27137" s="4" t="s">
        <v>34157</v>
      </c>
      <c r="B27137" s="4" t="s">
        <v>34159</v>
      </c>
      <c r="C27137" s="5" t="str">
        <f>IFERROR(__xludf.DUMMYFUNCTION("GOOGLETRANSLATE(B27137,""en"",""it"")"),"Poi vediamo persone in bici, esibirsi in acrobazie, girare un anello e saltare le colline.")</f>
        <v>Poi vediamo persone in bici, esibirsi in acrobazie, girare un anello e saltare le colline.</v>
      </c>
    </row>
    <row r="27138">
      <c r="A27138" s="4" t="s">
        <v>34157</v>
      </c>
      <c r="B27138" s="4" t="s">
        <v>34160</v>
      </c>
      <c r="C27138" s="5" t="str">
        <f>IFERROR(__xludf.DUMMYFUNCTION("GOOGLETRANSLATE(B27138,""en"",""it"")"),"Un motociclista vola in aria, quindi vediamo un'ultima foto dei vincitori con le loro medaglie.")</f>
        <v>Un motociclista vola in aria, quindi vediamo un'ultima foto dei vincitori con le loro medaglie.</v>
      </c>
    </row>
    <row r="27139">
      <c r="A27139" s="4" t="s">
        <v>34161</v>
      </c>
      <c r="B27139" s="4" t="s">
        <v>34162</v>
      </c>
      <c r="C27139" s="5" t="str">
        <f>IFERROR(__xludf.DUMMYFUNCTION("GOOGLETRANSLATE(B27139,""en"",""it"")"),"Un uomo in un cortile inizia il suo tosaerba.")</f>
        <v>Un uomo in un cortile inizia il suo tosaerba.</v>
      </c>
    </row>
    <row r="27140">
      <c r="A27140" s="4" t="s">
        <v>34161</v>
      </c>
      <c r="B27140" s="4" t="s">
        <v>34163</v>
      </c>
      <c r="C27140" s="5" t="str">
        <f>IFERROR(__xludf.DUMMYFUNCTION("GOOGLETRANSLATE(B27140,""en"",""it"")"),"L'uomo falcia il prato con le cuffie sulle orecchie mentre il suo cane cammina per il cortile.")</f>
        <v>L'uomo falcia il prato con le cuffie sulle orecchie mentre il suo cane cammina per il cortile.</v>
      </c>
    </row>
    <row r="27141">
      <c r="A27141" s="4" t="s">
        <v>34161</v>
      </c>
      <c r="B27141" s="4" t="s">
        <v>34164</v>
      </c>
      <c r="C27141" s="5" t="str">
        <f>IFERROR(__xludf.DUMMYFUNCTION("GOOGLETRANSLATE(B27141,""en"",""it"")"),"Il cane corre per togliersi di mezzo del tosaerba e lascia la scena.")</f>
        <v>Il cane corre per togliersi di mezzo del tosaerba e lascia la scena.</v>
      </c>
    </row>
    <row r="27142">
      <c r="A27142" s="4" t="s">
        <v>34165</v>
      </c>
      <c r="B27142" s="4" t="s">
        <v>34166</v>
      </c>
      <c r="C27142" s="5" t="str">
        <f>IFERROR(__xludf.DUMMYFUNCTION("GOOGLETRANSLATE(B27142,""en"",""it"")"),"Un gatto viene visto leccare se stesso su un letto mentre una persona tenta continuamente di tagliare i suoi artigli.")</f>
        <v>Un gatto viene visto leccare se stesso su un letto mentre una persona tenta continuamente di tagliare i suoi artigli.</v>
      </c>
    </row>
    <row r="27143">
      <c r="A27143" s="4" t="s">
        <v>34165</v>
      </c>
      <c r="B27143" s="4" t="s">
        <v>34167</v>
      </c>
      <c r="C27143" s="5" t="str">
        <f>IFERROR(__xludf.DUMMYFUNCTION("GOOGLETRANSLATE(B27143,""en"",""it"")"),"La persona graffia il gatto mentre continua a leccarsi e tenta di nuovo di tagliare i suoi artigli.")</f>
        <v>La persona graffia il gatto mentre continua a leccarsi e tenta di nuovo di tagliare i suoi artigli.</v>
      </c>
    </row>
    <row r="27144">
      <c r="A27144" s="4" t="s">
        <v>34165</v>
      </c>
      <c r="B27144" s="4" t="s">
        <v>34168</v>
      </c>
      <c r="C27144" s="5" t="str">
        <f>IFERROR(__xludf.DUMMYFUNCTION("GOOGLETRANSLATE(B27144,""en"",""it"")"),"Alla fine la persona gioca con il gatto e l'auto continua a leccare.")</f>
        <v>Alla fine la persona gioca con il gatto e l'auto continua a leccare.</v>
      </c>
    </row>
    <row r="27145">
      <c r="A27145" s="4" t="s">
        <v>34169</v>
      </c>
      <c r="B27145" s="4" t="s">
        <v>34170</v>
      </c>
      <c r="C27145" s="5" t="str">
        <f>IFERROR(__xludf.DUMMYFUNCTION("GOOGLETRANSLATE(B27145,""en"",""it"")"),"Un ragazzo sta razzando la gamba di un maschio.")</f>
        <v>Un ragazzo sta razzando la gamba di un maschio.</v>
      </c>
    </row>
    <row r="27146">
      <c r="A27146" s="4" t="s">
        <v>34169</v>
      </c>
      <c r="B27146" s="4" t="s">
        <v>34171</v>
      </c>
      <c r="C27146" s="5" t="str">
        <f>IFERROR(__xludf.DUMMYFUNCTION("GOOGLETRANSLATE(B27146,""en"",""it"")"),"Il maschio ride e confonde con i suoi pantaloncini.")</f>
        <v>Il maschio ride e confonde con i suoi pantaloncini.</v>
      </c>
    </row>
    <row r="27147">
      <c r="A27147" s="4" t="s">
        <v>34169</v>
      </c>
      <c r="B27147" s="4" t="s">
        <v>34172</v>
      </c>
      <c r="C27147" s="5" t="str">
        <f>IFERROR(__xludf.DUMMYFUNCTION("GOOGLETRANSLATE(B27147,""en"",""it"")"),"Il ragazzo sciacqua il rasoio in una ciotola blu piena di liquido insaposo.")</f>
        <v>Il ragazzo sciacqua il rasoio in una ciotola blu piena di liquido insaposo.</v>
      </c>
    </row>
    <row r="27148">
      <c r="A27148" s="4" t="s">
        <v>34173</v>
      </c>
      <c r="B27148" s="4" t="s">
        <v>34174</v>
      </c>
      <c r="C27148" s="5" t="str">
        <f>IFERROR(__xludf.DUMMYFUNCTION("GOOGLETRANSLATE(B27148,""en"",""it"")"),"Un uomo tiene una pallavolo mentre si trova su un campo e parla.")</f>
        <v>Un uomo tiene una pallavolo mentre si trova su un campo e parla.</v>
      </c>
    </row>
    <row r="27149">
      <c r="A27149" s="4" t="s">
        <v>34173</v>
      </c>
      <c r="B27149" s="4" t="s">
        <v>34175</v>
      </c>
      <c r="C27149" s="5" t="str">
        <f>IFERROR(__xludf.DUMMYFUNCTION("GOOGLETRANSLATE(B27149,""en"",""it"")"),"Le giocatrici si allenano e si allenano dietro di lui mentre parla.")</f>
        <v>Le giocatrici si allenano e si allenano dietro di lui mentre parla.</v>
      </c>
    </row>
    <row r="27150">
      <c r="A27150" s="4" t="s">
        <v>34176</v>
      </c>
      <c r="B27150" s="4" t="s">
        <v>34177</v>
      </c>
      <c r="C27150" s="5" t="str">
        <f>IFERROR(__xludf.DUMMYFUNCTION("GOOGLETRANSLATE(B27150,""en"",""it"")"),"Due bambini in pigiama pendono gli ornamenti natalizi da un albero.")</f>
        <v>Due bambini in pigiama pendono gli ornamenti natalizi da un albero.</v>
      </c>
    </row>
    <row r="27151">
      <c r="A27151" s="4" t="s">
        <v>34176</v>
      </c>
      <c r="B27151" s="4" t="s">
        <v>34178</v>
      </c>
      <c r="C27151" s="5" t="str">
        <f>IFERROR(__xludf.DUMMYFUNCTION("GOOGLETRANSLATE(B27151,""en"",""it"")"),"Una mazza finta esplode dall'albero di Natale e spaventa i bambini.")</f>
        <v>Una mazza finta esplode dall'albero di Natale e spaventa i bambini.</v>
      </c>
    </row>
    <row r="27152">
      <c r="A27152" s="4" t="s">
        <v>34179</v>
      </c>
      <c r="B27152" s="4" t="s">
        <v>34180</v>
      </c>
      <c r="C27152" s="5" t="str">
        <f>IFERROR(__xludf.DUMMYFUNCTION("GOOGLETRANSLATE(B27152,""en"",""it"")"),"Un uomo è in piedi fuori da un rimorchio.")</f>
        <v>Un uomo è in piedi fuori da un rimorchio.</v>
      </c>
    </row>
    <row r="27153">
      <c r="A27153" s="4" t="s">
        <v>34179</v>
      </c>
      <c r="B27153" s="4" t="s">
        <v>34181</v>
      </c>
      <c r="C27153" s="5" t="str">
        <f>IFERROR(__xludf.DUMMYFUNCTION("GOOGLETRANSLATE(B27153,""en"",""it"")"),"Comincia a spalare la neve di fronte al trailer.")</f>
        <v>Comincia a spalare la neve di fronte al trailer.</v>
      </c>
    </row>
    <row r="27154">
      <c r="A27154" s="4" t="s">
        <v>34179</v>
      </c>
      <c r="B27154" s="4" t="s">
        <v>34182</v>
      </c>
      <c r="C27154" s="5" t="str">
        <f>IFERROR(__xludf.DUMMYFUNCTION("GOOGLETRANSLATE(B27154,""en"",""it"")"),"Mette la pala della neve sulla neve e continua a parlare.")</f>
        <v>Mette la pala della neve sulla neve e continua a parlare.</v>
      </c>
    </row>
    <row r="27155">
      <c r="A27155" s="4" t="s">
        <v>34183</v>
      </c>
      <c r="B27155" s="4" t="s">
        <v>34184</v>
      </c>
      <c r="C27155" s="5" t="str">
        <f>IFERROR(__xludf.DUMMYFUNCTION("GOOGLETRANSLATE(B27155,""en"",""it"")"),"Un bambino piccolo viene visto seduto in un tubo mentre altri lo stanno intorno.")</f>
        <v>Un bambino piccolo viene visto seduto in un tubo mentre altri lo stanno intorno.</v>
      </c>
    </row>
    <row r="27156">
      <c r="A27156" s="4" t="s">
        <v>34183</v>
      </c>
      <c r="B27156" s="4" t="s">
        <v>34185</v>
      </c>
      <c r="C27156" s="5" t="str">
        <f>IFERROR(__xludf.DUMMYFUNCTION("GOOGLETRANSLATE(B27156,""en"",""it"")"),"Il ragazzo inizia quindi a cavalcare una collina innevata nel tubo.")</f>
        <v>Il ragazzo inizia quindi a cavalcare una collina innevata nel tubo.</v>
      </c>
    </row>
    <row r="27157">
      <c r="A27157" s="4" t="s">
        <v>34183</v>
      </c>
      <c r="B27157" s="4" t="s">
        <v>34186</v>
      </c>
      <c r="C27157" s="5" t="str">
        <f>IFERROR(__xludf.DUMMYFUNCTION("GOOGLETRANSLATE(B27157,""en"",""it"")"),"Il ragazzo continua a cavalcare fino a raggiungere il fondo.")</f>
        <v>Il ragazzo continua a cavalcare fino a raggiungere il fondo.</v>
      </c>
    </row>
    <row r="27158">
      <c r="A27158" s="4" t="s">
        <v>34187</v>
      </c>
      <c r="B27158" s="4" t="s">
        <v>34188</v>
      </c>
      <c r="C27158" s="5" t="str">
        <f>IFERROR(__xludf.DUMMYFUNCTION("GOOGLETRANSLATE(B27158,""en"",""it"")"),"Una donna sta accanto a un lavandino mentre parla.")</f>
        <v>Una donna sta accanto a un lavandino mentre parla.</v>
      </c>
    </row>
    <row r="27159">
      <c r="A27159" s="4" t="s">
        <v>34187</v>
      </c>
      <c r="B27159" s="4" t="s">
        <v>34189</v>
      </c>
      <c r="C27159" s="5" t="str">
        <f>IFERROR(__xludf.DUMMYFUNCTION("GOOGLETRANSLATE(B27159,""en"",""it"")"),"Accende il rubinetto e bagna il lavandino.")</f>
        <v>Accende il rubinetto e bagna il lavandino.</v>
      </c>
    </row>
    <row r="27160">
      <c r="A27160" s="4" t="s">
        <v>34187</v>
      </c>
      <c r="B27160" s="4" t="s">
        <v>34190</v>
      </c>
      <c r="C27160" s="5" t="str">
        <f>IFERROR(__xludf.DUMMYFUNCTION("GOOGLETRANSLATE(B27160,""en"",""it"")"),"Spruzza il lavandino con un detergente.")</f>
        <v>Spruzza il lavandino con un detergente.</v>
      </c>
    </row>
    <row r="27161">
      <c r="A27161" s="4" t="s">
        <v>34187</v>
      </c>
      <c r="B27161" s="4" t="s">
        <v>34191</v>
      </c>
      <c r="C27161" s="5" t="str">
        <f>IFERROR(__xludf.DUMMYFUNCTION("GOOGLETRANSLATE(B27161,""en"",""it"")"),"Afferra un tovagliolo di carta e asciuga il lavandino.")</f>
        <v>Afferra un tovagliolo di carta e asciuga il lavandino.</v>
      </c>
    </row>
    <row r="27162">
      <c r="A27162" s="4" t="s">
        <v>34187</v>
      </c>
      <c r="B27162" s="4" t="s">
        <v>34192</v>
      </c>
      <c r="C27162" s="5" t="str">
        <f>IFERROR(__xludf.DUMMYFUNCTION("GOOGLETRANSLATE(B27162,""en"",""it"")"),"Accende l'acqua e bagna il lavandino.")</f>
        <v>Accende l'acqua e bagna il lavandino.</v>
      </c>
    </row>
    <row r="27163">
      <c r="A27163" s="4" t="s">
        <v>34187</v>
      </c>
      <c r="B27163" s="4" t="s">
        <v>34193</v>
      </c>
      <c r="C27163" s="5" t="str">
        <f>IFERROR(__xludf.DUMMYFUNCTION("GOOGLETRANSLATE(B27163,""en"",""it"")"),"Afferra un altro tovagliolo di carta e asciuga il lavandino.")</f>
        <v>Afferra un altro tovagliolo di carta e asciuga il lavandino.</v>
      </c>
    </row>
    <row r="27164">
      <c r="A27164" s="4" t="s">
        <v>34187</v>
      </c>
      <c r="B27164" s="4" t="s">
        <v>34194</v>
      </c>
      <c r="C27164" s="5" t="str">
        <f>IFERROR(__xludf.DUMMYFUNCTION("GOOGLETRANSLATE(B27164,""en"",""it"")"),"Termina la pulizia del lavandino e parla.")</f>
        <v>Termina la pulizia del lavandino e parla.</v>
      </c>
    </row>
    <row r="27165">
      <c r="A27165" s="4" t="s">
        <v>34195</v>
      </c>
      <c r="B27165" s="4" t="s">
        <v>34196</v>
      </c>
      <c r="C27165" s="5" t="str">
        <f>IFERROR(__xludf.DUMMYFUNCTION("GOOGLETRANSLATE(B27165,""en"",""it"")"),"Una squadra sta giocando a basket contro un'altra squadra.")</f>
        <v>Una squadra sta giocando a basket contro un'altra squadra.</v>
      </c>
    </row>
    <row r="27166">
      <c r="A27166" s="4" t="s">
        <v>34195</v>
      </c>
      <c r="B27166" s="4" t="s">
        <v>34197</v>
      </c>
      <c r="C27166" s="5" t="str">
        <f>IFERROR(__xludf.DUMMYFUNCTION("GOOGLETRANSLATE(B27166,""en"",""it"")"),"Inseguono la palla in tutto il campo.")</f>
        <v>Inseguono la palla in tutto il campo.</v>
      </c>
    </row>
    <row r="27167">
      <c r="A27167" s="4" t="s">
        <v>34195</v>
      </c>
      <c r="B27167" s="4" t="s">
        <v>34198</v>
      </c>
      <c r="C27167" s="5" t="str">
        <f>IFERROR(__xludf.DUMMYFUNCTION("GOOGLETRANSLATE(B27167,""en"",""it"")"),"Cercano di tenere la palla lontana dal loro avversario, facendo cestini mentre vanno.")</f>
        <v>Cercano di tenere la palla lontana dal loro avversario, facendo cestini mentre vanno.</v>
      </c>
    </row>
    <row r="27168">
      <c r="A27168" s="4" t="s">
        <v>34199</v>
      </c>
      <c r="B27168" s="4" t="s">
        <v>34200</v>
      </c>
      <c r="C27168" s="5" t="str">
        <f>IFERROR(__xludf.DUMMYFUNCTION("GOOGLETRANSLATE(B27168,""en"",""it"")"),"Due uomini si preparano per una gara facendo rocce di forbici di carta per vedere chi va per primo.")</f>
        <v>Due uomini si preparano per una gara facendo rocce di forbici di carta per vedere chi va per primo.</v>
      </c>
    </row>
    <row r="27169">
      <c r="A27169" s="4" t="s">
        <v>34199</v>
      </c>
      <c r="B27169" s="4" t="s">
        <v>34201</v>
      </c>
      <c r="C27169" s="5" t="str">
        <f>IFERROR(__xludf.DUMMYFUNCTION("GOOGLETRANSLATE(B27169,""en"",""it"")"),"Gli uomini si incrociano le braccia e iniziarono a bere i liquidi durante la gara.")</f>
        <v>Gli uomini si incrociano le braccia e iniziarono a bere i liquidi durante la gara.</v>
      </c>
    </row>
    <row r="27170">
      <c r="A27170" s="4" t="s">
        <v>34202</v>
      </c>
      <c r="B27170" s="4" t="s">
        <v>34203</v>
      </c>
      <c r="C27170" s="5" t="str">
        <f>IFERROR(__xludf.DUMMYFUNCTION("GOOGLETRANSLATE(B27170,""en"",""it"")"),"Una cheesecake Oreo è in cima a un tavolo.")</f>
        <v>Una cheesecake Oreo è in cima a un tavolo.</v>
      </c>
    </row>
    <row r="27171">
      <c r="A27171" s="4" t="s">
        <v>34202</v>
      </c>
      <c r="B27171" s="6" t="s">
        <v>34204</v>
      </c>
      <c r="C27171" s="5" t="str">
        <f>IFERROR(__xludf.DUMMYFUNCTION("GOOGLETRANSLATE(B27171,""en"",""it"")"),"Gli Oreo sono in una ciotola e il fornello li sta schiacciando e sciolto il burro e si mescola e lo mette in una padella.")</f>
        <v>Gli Oreo sono in una ciotola e il fornello li sta schiacciando e sciolto il burro e si mescola e lo mette in una padella.</v>
      </c>
    </row>
    <row r="27172">
      <c r="A27172" s="4" t="s">
        <v>34202</v>
      </c>
      <c r="B27172" s="4" t="s">
        <v>34205</v>
      </c>
      <c r="C27172" s="5" t="str">
        <f>IFERROR(__xludf.DUMMYFUNCTION("GOOGLETRANSLATE(B27172,""en"",""it"")"),"La panna da montare viene fusi in una ciotola e battere fino al doppio del suo volume.")</f>
        <v>La panna da montare viene fusi in una ciotola e battere fino al doppio del suo volume.</v>
      </c>
    </row>
    <row r="27173">
      <c r="A27173" s="4" t="s">
        <v>34202</v>
      </c>
      <c r="B27173" s="6" t="s">
        <v>34206</v>
      </c>
      <c r="C27173" s="5" t="str">
        <f>IFERROR(__xludf.DUMMYFUNCTION("GOOGLETRANSLATE(B27173,""en"",""it"")"),"In un'altra ciotola una crema di formaggio viene mescolata con zucchero e vaniglia e rompere i biscotti Oreo in una ciotola e mescolarlo insieme e poi lasciarlo cadere nella padella e completarlo con biscotti Oreo.")</f>
        <v>In un'altra ciotola una crema di formaggio viene mescolata con zucchero e vaniglia e rompere i biscotti Oreo in una ciotola e mescolarlo insieme e poi lasciarlo cadere nella padella e completarlo con biscotti Oreo.</v>
      </c>
    </row>
    <row r="27174">
      <c r="A27174" s="4" t="s">
        <v>34207</v>
      </c>
      <c r="B27174" s="6" t="s">
        <v>34208</v>
      </c>
      <c r="C27174" s="5" t="str">
        <f>IFERROR(__xludf.DUMMYFUNCTION("GOOGLETRANSLATE(B27174,""en"",""it"")"),"Una donna viene vista parlare in un microfono e conduce a lanciare freccette alla testa di una persona dopo aver girato.")</f>
        <v>Una donna viene vista parlare in un microfono e conduce a lanciare freccette alla testa di una persona dopo aver girato.</v>
      </c>
    </row>
    <row r="27175">
      <c r="A27175" s="4" t="s">
        <v>34207</v>
      </c>
      <c r="B27175" s="4" t="s">
        <v>34209</v>
      </c>
      <c r="C27175" s="5" t="str">
        <f>IFERROR(__xludf.DUMMYFUNCTION("GOOGLETRANSLATE(B27175,""en"",""it"")"),"La persona indossa una testa di zucca e si vedono più persone che tentano di lanciare freccette.")</f>
        <v>La persona indossa una testa di zucca e si vedono più persone che tentano di lanciare freccette.</v>
      </c>
    </row>
    <row r="27176">
      <c r="A27176" s="4" t="s">
        <v>34207</v>
      </c>
      <c r="B27176" s="4" t="s">
        <v>34210</v>
      </c>
      <c r="C27176" s="5" t="str">
        <f>IFERROR(__xludf.DUMMYFUNCTION("GOOGLETRANSLATE(B27176,""en"",""it"")"),"Alla fine l'uomo gli toglie la zucca dalla testa.")</f>
        <v>Alla fine l'uomo gli toglie la zucca dalla testa.</v>
      </c>
    </row>
    <row r="27177">
      <c r="A27177" s="4" t="s">
        <v>34211</v>
      </c>
      <c r="B27177" s="4" t="s">
        <v>34212</v>
      </c>
      <c r="C27177" s="5" t="str">
        <f>IFERROR(__xludf.DUMMYFUNCTION("GOOGLETRANSLATE(B27177,""en"",""it"")"),"Un uomo viene mostrato seduto davanti a un albero che mescola le carte quando qualcuno gli consegna un drink.")</f>
        <v>Un uomo viene mostrato seduto davanti a un albero che mescola le carte quando qualcuno gli consegna un drink.</v>
      </c>
    </row>
    <row r="27178">
      <c r="A27178" s="4" t="s">
        <v>34211</v>
      </c>
      <c r="B27178" s="4" t="s">
        <v>34213</v>
      </c>
      <c r="C27178" s="5" t="str">
        <f>IFERROR(__xludf.DUMMYFUNCTION("GOOGLETRANSLATE(B27178,""en"",""it"")"),"Quindi soffoca la bevanda molto rapidamente e indica quello che ha lanciato la bevanda.")</f>
        <v>Quindi soffoca la bevanda molto rapidamente e indica quello che ha lanciato la bevanda.</v>
      </c>
    </row>
    <row r="27179">
      <c r="A27179" s="4" t="s">
        <v>34214</v>
      </c>
      <c r="B27179" s="6" t="s">
        <v>34215</v>
      </c>
      <c r="C27179" s="5" t="str">
        <f>IFERROR(__xludf.DUMMYFUNCTION("GOOGLETRANSLATE(B27179,""en"",""it"")"),"Vengono mostrate diverse immagini di una panetteria e uno chef e poi arriva un piccolo ragazzo animato che mostra ciò che sarà il video.")</f>
        <v>Vengono mostrate diverse immagini di una panetteria e uno chef e poi arriva un piccolo ragazzo animato che mostra ciò che sarà il video.</v>
      </c>
    </row>
    <row r="27180">
      <c r="A27180" s="4" t="s">
        <v>34214</v>
      </c>
      <c r="B27180" s="4" t="s">
        <v>34216</v>
      </c>
      <c r="C27180" s="5" t="str">
        <f>IFERROR(__xludf.DUMMYFUNCTION("GOOGLETRANSLATE(B27180,""en"",""it"")"),"Appare quindi un vero chef e inizia a tagliare piccoli strati di torte e aggiungerle insieme.")</f>
        <v>Appare quindi un vero chef e inizia a tagliare piccoli strati di torte e aggiungerle insieme.</v>
      </c>
    </row>
    <row r="27181">
      <c r="A27181" s="4" t="s">
        <v>34214</v>
      </c>
      <c r="B27181" s="6" t="s">
        <v>34217</v>
      </c>
      <c r="C27181" s="5" t="str">
        <f>IFERROR(__xludf.DUMMYFUNCTION("GOOGLETRANSLATE(B27181,""en"",""it"")"),"Una volta che tutti gli strati della torta vengono tagliati e ghiacciati insieme, il fondente viene posizionato sulla torta e la glassa e il deserto è completo.")</f>
        <v>Una volta che tutti gli strati della torta vengono tagliati e ghiacciati insieme, il fondente viene posizionato sulla torta e la glassa e il deserto è completo.</v>
      </c>
    </row>
    <row r="27182">
      <c r="A27182" s="4" t="s">
        <v>34218</v>
      </c>
      <c r="B27182" s="6" t="s">
        <v>34219</v>
      </c>
      <c r="C27182" s="5" t="str">
        <f>IFERROR(__xludf.DUMMYFUNCTION("GOOGLETRANSLATE(B27182,""en"",""it"")"),"Un gruppo di uomini senza camicia si vede in piedi all'esterno di una casa quando si afferrano vari strumenti e le mani di più a un altro.")</f>
        <v>Un gruppo di uomini senza camicia si vede in piedi all'esterno di una casa quando si afferrano vari strumenti e le mani di più a un altro.</v>
      </c>
    </row>
    <row r="27183">
      <c r="A27183" s="4" t="s">
        <v>34218</v>
      </c>
      <c r="B27183" s="6" t="s">
        <v>34220</v>
      </c>
      <c r="C27183" s="5" t="str">
        <f>IFERROR(__xludf.DUMMYFUNCTION("GOOGLETRANSLATE(B27183,""en"",""it"")"),"Gli uomini hanno quindi colpito una palla intorno al cortile attraverso gli stand sporgendosi e si parlano mentre beve acqua.")</f>
        <v>Gli uomini hanno quindi colpito una palla intorno al cortile attraverso gli stand sporgendosi e si parlano mentre beve acqua.</v>
      </c>
    </row>
    <row r="27184">
      <c r="A27184" s="4" t="s">
        <v>34218</v>
      </c>
      <c r="B27184" s="4" t="s">
        <v>34221</v>
      </c>
      <c r="C27184" s="5" t="str">
        <f>IFERROR(__xludf.DUMMYFUNCTION("GOOGLETRANSLATE(B27184,""en"",""it"")"),"Gli uomini colpiscono la palla qualche volta e continuano a parlarsi.")</f>
        <v>Gli uomini colpiscono la palla qualche volta e continuano a parlarsi.</v>
      </c>
    </row>
    <row r="27185">
      <c r="A27185" s="4" t="s">
        <v>34222</v>
      </c>
      <c r="B27185" s="4" t="s">
        <v>34223</v>
      </c>
      <c r="C27185" s="5" t="str">
        <f>IFERROR(__xludf.DUMMYFUNCTION("GOOGLETRANSLATE(B27185,""en"",""it"")"),"Una ragazza viene mostrata prendendo vestiti bagnati il ​​nostro secchio.")</f>
        <v>Una ragazza viene mostrata prendendo vestiti bagnati il ​​nostro secchio.</v>
      </c>
    </row>
    <row r="27186">
      <c r="A27186" s="4" t="s">
        <v>34222</v>
      </c>
      <c r="B27186" s="4" t="s">
        <v>34224</v>
      </c>
      <c r="C27186" s="5" t="str">
        <f>IFERROR(__xludf.DUMMYFUNCTION("GOOGLETRANSLATE(B27186,""en"",""it"")"),"Diverse persone sono in giro per lavare i vestiti e tendersi a loro.")</f>
        <v>Diverse persone sono in giro per lavare i vestiti e tendersi a loro.</v>
      </c>
    </row>
    <row r="27187">
      <c r="A27187" s="4" t="s">
        <v>34222</v>
      </c>
      <c r="B27187" s="4" t="s">
        <v>34225</v>
      </c>
      <c r="C27187" s="5" t="str">
        <f>IFERROR(__xludf.DUMMYFUNCTION("GOOGLETRANSLATE(B27187,""en"",""it"")"),"Guarda indietro alla telecamera e sembra divertirsi.")</f>
        <v>Guarda indietro alla telecamera e sembra divertirsi.</v>
      </c>
    </row>
    <row r="27188">
      <c r="A27188" s="4" t="s">
        <v>34222</v>
      </c>
      <c r="B27188" s="4" t="s">
        <v>34226</v>
      </c>
      <c r="C27188" s="5" t="str">
        <f>IFERROR(__xludf.DUMMYFUNCTION("GOOGLETRANSLATE(B27188,""en"",""it"")"),"Un giovane ragazzo salta davanti alla telecamera e sorride.")</f>
        <v>Un giovane ragazzo salta davanti alla telecamera e sorride.</v>
      </c>
    </row>
    <row r="27189">
      <c r="A27189" s="4" t="s">
        <v>34222</v>
      </c>
      <c r="B27189" s="6" t="s">
        <v>34227</v>
      </c>
      <c r="C27189" s="5" t="str">
        <f>IFERROR(__xludf.DUMMYFUNCTION("GOOGLETRANSLATE(B27189,""en"",""it"")"),"Le bambine continuano a sciacquare i vestiti nel secchio mentre il ragazzo gira le spalle alla telecamera.")</f>
        <v>Le bambine continuano a sciacquare i vestiti nel secchio mentre il ragazzo gira le spalle alla telecamera.</v>
      </c>
    </row>
    <row r="27190">
      <c r="A27190" s="4" t="s">
        <v>34222</v>
      </c>
      <c r="B27190" s="4" t="s">
        <v>34228</v>
      </c>
      <c r="C27190" s="5" t="str">
        <f>IFERROR(__xludf.DUMMYFUNCTION("GOOGLETRANSLATE(B27190,""en"",""it"")"),"La ragazza continua con il suo lavoro e viene mostrata molto concentrata nel suo compito.")</f>
        <v>La ragazza continua con il suo lavoro e viene mostrata molto concentrata nel suo compito.</v>
      </c>
    </row>
    <row r="27191">
      <c r="A27191" s="4" t="s">
        <v>34229</v>
      </c>
      <c r="B27191" s="4" t="s">
        <v>34230</v>
      </c>
      <c r="C27191" s="5" t="str">
        <f>IFERROR(__xludf.DUMMYFUNCTION("GOOGLETRANSLATE(B27191,""en"",""it"")"),"L'acqua cade mentre un uomo si trova su un jet ski.")</f>
        <v>L'acqua cade mentre un uomo si trova su un jet ski.</v>
      </c>
    </row>
    <row r="27192">
      <c r="A27192" s="4" t="s">
        <v>34229</v>
      </c>
      <c r="B27192" s="4" t="s">
        <v>34231</v>
      </c>
      <c r="C27192" s="5" t="str">
        <f>IFERROR(__xludf.DUMMYFUNCTION("GOOGLETRANSLATE(B27192,""en"",""it"")"),"Vediamo il getto da uomo e suonare salti su un lago.")</f>
        <v>Vediamo il getto da uomo e suonare salti su un lago.</v>
      </c>
    </row>
    <row r="27193">
      <c r="A27193" s="4" t="s">
        <v>34229</v>
      </c>
      <c r="B27193" s="4" t="s">
        <v>34232</v>
      </c>
      <c r="C27193" s="5" t="str">
        <f>IFERROR(__xludf.DUMMYFUNCTION("GOOGLETRANSLATE(B27193,""en"",""it"")"),"L'uomo sci con la mano in acqua mentre si china.")</f>
        <v>L'uomo sci con la mano in acqua mentre si china.</v>
      </c>
    </row>
    <row r="27194">
      <c r="A27194" s="4" t="s">
        <v>34229</v>
      </c>
      <c r="B27194" s="4" t="s">
        <v>34233</v>
      </c>
      <c r="C27194" s="5" t="str">
        <f>IFERROR(__xludf.DUMMYFUNCTION("GOOGLETRANSLATE(B27194,""en"",""it"")"),"Vediamo la barca passare con lo sciatore in aria.")</f>
        <v>Vediamo la barca passare con lo sciatore in aria.</v>
      </c>
    </row>
    <row r="27195">
      <c r="A27195" s="4" t="s">
        <v>34234</v>
      </c>
      <c r="B27195" s="4" t="s">
        <v>34235</v>
      </c>
      <c r="C27195" s="5" t="str">
        <f>IFERROR(__xludf.DUMMYFUNCTION("GOOGLETRANSLATE(B27195,""en"",""it"")"),"Due donne e un uomo camminano nel corridoio guardando i tappeti in mostra.")</f>
        <v>Due donne e un uomo camminano nel corridoio guardando i tappeti in mostra.</v>
      </c>
    </row>
    <row r="27196">
      <c r="A27196" s="4" t="s">
        <v>34234</v>
      </c>
      <c r="B27196" s="6" t="s">
        <v>34236</v>
      </c>
      <c r="C27196" s="5" t="str">
        <f>IFERROR(__xludf.DUMMYFUNCTION("GOOGLETRANSLATE(B27196,""en"",""it"")"),"Passò un furgone rosso guidato da un uomo, poi un uomo camminò verso la casa, poi un uomo si accovaccia sul pavimento in moquette tagliando un pezzo o un tappeto marrone, stirare il tappeto, premere il tappeto con pesante metallo.")</f>
        <v>Passò un furgone rosso guidato da un uomo, poi un uomo camminò verso la casa, poi un uomo si accovaccia sul pavimento in moquette tagliando un pezzo o un tappeto marrone, stirare il tappeto, premere il tappeto con pesante metallo.</v>
      </c>
    </row>
    <row r="27197">
      <c r="A27197" s="4" t="s">
        <v>34237</v>
      </c>
      <c r="B27197" s="6" t="s">
        <v>34238</v>
      </c>
      <c r="C27197" s="5" t="str">
        <f>IFERROR(__xludf.DUMMYFUNCTION("GOOGLETRANSLATE(B27197,""en"",""it"")"),"Un uomo e una donna raschiano il gelo dalle vetrine di un'auto parcheggiata, il parabrezza e le lame del tergicristallo mentre una seconda donna parla con loro dal lato dell'auto nella neve.")</f>
        <v>Un uomo e una donna raschiano il gelo dalle vetrine di un'auto parcheggiata, il parabrezza e le lame del tergicristallo mentre una seconda donna parla con loro dal lato dell'auto nella neve.</v>
      </c>
    </row>
    <row r="27198">
      <c r="A27198" s="4" t="s">
        <v>34237</v>
      </c>
      <c r="B27198" s="6" t="s">
        <v>34239</v>
      </c>
      <c r="C27198" s="5" t="str">
        <f>IFERROR(__xludf.DUMMYFUNCTION("GOOGLETRANSLATE(B27198,""en"",""it"")"),"Un uomo con un lungo cappotto di lana nera raschia il ghiaccio dal parabrezza di un'auto blu mentre una donna in pelliccia nera gli parla dal lato della macchina.")</f>
        <v>Un uomo con un lungo cappotto di lana nera raschia il ghiaccio dal parabrezza di un'auto blu mentre una donna in pelliccia nera gli parla dal lato della macchina.</v>
      </c>
    </row>
    <row r="27199">
      <c r="A27199" s="4" t="s">
        <v>34237</v>
      </c>
      <c r="B27199" s="6" t="s">
        <v>34240</v>
      </c>
      <c r="C27199" s="5" t="str">
        <f>IFERROR(__xludf.DUMMYFUNCTION("GOOGLETRANSLATE(B27199,""en"",""it"")"),"Una seconda donna inizia a cancellare la neve dai tergicristalli del parabrezza dell'auto mentre parla con la donna con il cappotto con cappuccio di pelliccia.")</f>
        <v>Una seconda donna inizia a cancellare la neve dai tergicristalli del parabrezza dell'auto mentre parla con la donna con il cappotto con cappuccio di pelliccia.</v>
      </c>
    </row>
    <row r="27200">
      <c r="A27200" s="4" t="s">
        <v>34237</v>
      </c>
      <c r="B27200" s="6" t="s">
        <v>34241</v>
      </c>
      <c r="C27200" s="5" t="str">
        <f>IFERROR(__xludf.DUMMYFUNCTION("GOOGLETRANSLATE(B27200,""en"",""it"")"),"L'uomo si alza sul sedile posteriore della macchina e chiude la porta dietro di lui mentre la donna con il cappotto con cappuccio di pelliccia ondeva l'altra donna che si muove verso la porta della macchina laterale del conducente.")</f>
        <v>L'uomo si alza sul sedile posteriore della macchina e chiude la porta dietro di lui mentre la donna con il cappotto con cappuccio di pelliccia ondeva l'altra donna che si muove verso la porta della macchina laterale del conducente.</v>
      </c>
    </row>
    <row r="27201">
      <c r="A27201" s="4" t="s">
        <v>34242</v>
      </c>
      <c r="B27201" s="4" t="s">
        <v>34243</v>
      </c>
      <c r="C27201" s="5" t="str">
        <f>IFERROR(__xludf.DUMMYFUNCTION("GOOGLETRANSLATE(B27201,""en"",""it"")"),"Ci sono alcune ragazze che fanno ginnastica in palestra.")</f>
        <v>Ci sono alcune ragazze che fanno ginnastica in palestra.</v>
      </c>
    </row>
    <row r="27202">
      <c r="A27202" s="4" t="s">
        <v>34242</v>
      </c>
      <c r="B27202" s="4" t="s">
        <v>34244</v>
      </c>
      <c r="C27202" s="5" t="str">
        <f>IFERROR(__xludf.DUMMYFUNCTION("GOOGLETRANSLATE(B27202,""en"",""it"")"),"C'è una ragazza che indossa una canotta atletica e pantaloncini che fa giri nel suo cortile.")</f>
        <v>C'è una ragazza che indossa una canotta atletica e pantaloncini che fa giri nel suo cortile.</v>
      </c>
    </row>
    <row r="27203">
      <c r="A27203" s="4" t="s">
        <v>34242</v>
      </c>
      <c r="B27203" s="4" t="s">
        <v>34245</v>
      </c>
      <c r="C27203" s="5" t="str">
        <f>IFERROR(__xludf.DUMMYFUNCTION("GOOGLETRANSLATE(B27203,""en"",""it"")"),"Continua a sostenere le lance in modo veloce.")</f>
        <v>Continua a sostenere le lance in modo veloce.</v>
      </c>
    </row>
    <row r="27204">
      <c r="A27204" s="4" t="s">
        <v>34242</v>
      </c>
      <c r="B27204" s="4" t="s">
        <v>34246</v>
      </c>
      <c r="C27204" s="5" t="str">
        <f>IFERROR(__xludf.DUMMYFUNCTION("GOOGLETRANSLATE(B27204,""en"",""it"")"),"Fa anche un capovolgimento sulla spiaggia.")</f>
        <v>Fa anche un capovolgimento sulla spiaggia.</v>
      </c>
    </row>
    <row r="27205">
      <c r="A27205" s="4" t="s">
        <v>34242</v>
      </c>
      <c r="B27205" s="4" t="s">
        <v>34247</v>
      </c>
      <c r="C27205" s="5" t="str">
        <f>IFERROR(__xludf.DUMMYFUNCTION("GOOGLETRANSLATE(B27205,""en"",""it"")"),"Quindi fa un po 'più di schiena nel suo cortile e in un parco.")</f>
        <v>Quindi fa un po 'più di schiena nel suo cortile e in un parco.</v>
      </c>
    </row>
    <row r="27206">
      <c r="A27206" s="4" t="s">
        <v>34242</v>
      </c>
      <c r="B27206" s="4" t="s">
        <v>34248</v>
      </c>
      <c r="C27206" s="5" t="str">
        <f>IFERROR(__xludf.DUMMYFUNCTION("GOOGLETRANSLATE(B27206,""en"",""it"")"),"La ragazza quindi allunga la gamba verso la parte posteriore della testa per farle toccare le dita dei piedi.")</f>
        <v>La ragazza quindi allunga la gamba verso la parte posteriore della testa per farle toccare le dita dei piedi.</v>
      </c>
    </row>
    <row r="27207">
      <c r="A27207" s="4" t="s">
        <v>34242</v>
      </c>
      <c r="B27207" s="6" t="s">
        <v>34249</v>
      </c>
      <c r="C27207" s="5" t="str">
        <f>IFERROR(__xludf.DUMMYFUNCTION("GOOGLETRANSLATE(B27207,""en"",""it"")"),"Vengono mostrate diverse foto della ragazza in cui ha partecipato come cheerleader e in molti eventi ginnastici.")</f>
        <v>Vengono mostrate diverse foto della ragazza in cui ha partecipato come cheerleader e in molti eventi ginnastici.</v>
      </c>
    </row>
    <row r="27208">
      <c r="A27208" s="4" t="s">
        <v>34250</v>
      </c>
      <c r="B27208" s="4" t="s">
        <v>34251</v>
      </c>
      <c r="C27208" s="5" t="str">
        <f>IFERROR(__xludf.DUMMYFUNCTION("GOOGLETRANSLATE(B27208,""en"",""it"")"),"Una donna viene vista parlare alla telecamera mentre vengono mostrati scatti di case.")</f>
        <v>Una donna viene vista parlare alla telecamera mentre vengono mostrati scatti di case.</v>
      </c>
    </row>
    <row r="27209">
      <c r="A27209" s="4" t="s">
        <v>34250</v>
      </c>
      <c r="B27209" s="4" t="s">
        <v>34252</v>
      </c>
      <c r="C27209" s="5" t="str">
        <f>IFERROR(__xludf.DUMMYFUNCTION("GOOGLETRANSLATE(B27209,""en"",""it"")"),"Le persone vengono quindi viste a prendere in giro i cani e reggere i premi.")</f>
        <v>Le persone vengono quindi viste a prendere in giro i cani e reggere i premi.</v>
      </c>
    </row>
    <row r="27210">
      <c r="A27210" s="4" t="s">
        <v>34250</v>
      </c>
      <c r="B27210" s="4" t="s">
        <v>34253</v>
      </c>
      <c r="C27210" s="5" t="str">
        <f>IFERROR(__xludf.DUMMYFUNCTION("GOOGLETRANSLATE(B27210,""en"",""it"")"),"La donna continua a parlare con la telecamera mentre i cani continuano a essere curati dietro di lei.")</f>
        <v>La donna continua a parlare con la telecamera mentre i cani continuano a essere curati dietro di lei.</v>
      </c>
    </row>
    <row r="27211">
      <c r="A27211" s="4" t="s">
        <v>34254</v>
      </c>
      <c r="B27211" s="6" t="s">
        <v>34255</v>
      </c>
      <c r="C27211" s="5" t="str">
        <f>IFERROR(__xludf.DUMMYFUNCTION("GOOGLETRANSLATE(B27211,""en"",""it"")"),"Un uomo parlante vestito con attrezzatura atletica è in piedi su un campo molto verde e le parole in basso a sinistra dicono che il suo nome è Neil Macmillan e il suo titolo è il capo allenatore.")</f>
        <v>Un uomo parlante vestito con attrezzatura atletica è in piedi su un campo molto verde e le parole in basso a sinistra dicono che il suo nome è Neil Macmillan e il suo titolo è il capo allenatore.</v>
      </c>
    </row>
    <row r="27212">
      <c r="A27212" s="4" t="s">
        <v>34254</v>
      </c>
      <c r="B27212" s="6" t="s">
        <v>34256</v>
      </c>
      <c r="C27212" s="5" t="str">
        <f>IFERROR(__xludf.DUMMYFUNCTION("GOOGLETRANSLATE(B27212,""en"",""it"")"),"Un grande gruppo di ragazze vestite con attrezzatura atletica viene mostrata giocando a terra di hockey e le persone che non giocano sono vestite per il freddo.")</f>
        <v>Un grande gruppo di ragazze vestite con attrezzatura atletica viene mostrata giocando a terra di hockey e le persone che non giocano sono vestite per il freddo.</v>
      </c>
    </row>
    <row r="27213">
      <c r="A27213" s="4" t="s">
        <v>34254</v>
      </c>
      <c r="B27213" s="6" t="s">
        <v>34257</v>
      </c>
      <c r="C27213" s="5" t="str">
        <f>IFERROR(__xludf.DUMMYFUNCTION("GOOGLETRANSLATE(B27213,""en"",""it"")"),"Le clip dell'uomo continuano a giocare e ruotano dal mostrare l'uomo e le ragazze che giocano a hockey sulla terra fino a quando non hanno finito di giocare.")</f>
        <v>Le clip dell'uomo continuano a giocare e ruotano dal mostrare l'uomo e le ragazze che giocano a hockey sulla terra fino a quando non hanno finito di giocare.</v>
      </c>
    </row>
    <row r="27214">
      <c r="A27214" s="4" t="s">
        <v>34258</v>
      </c>
      <c r="B27214" s="4" t="s">
        <v>34259</v>
      </c>
      <c r="C27214" s="5" t="str">
        <f>IFERROR(__xludf.DUMMYFUNCTION("GOOGLETRANSLATE(B27214,""en"",""it"")"),"Un ragazzo salda su un pezzo di metallo che produce scintille.")</f>
        <v>Un ragazzo salda su un pezzo di metallo che produce scintille.</v>
      </c>
    </row>
    <row r="27215">
      <c r="A27215" s="4" t="s">
        <v>34258</v>
      </c>
      <c r="B27215" s="4" t="s">
        <v>34260</v>
      </c>
      <c r="C27215" s="5" t="str">
        <f>IFERROR(__xludf.DUMMYFUNCTION("GOOGLETRANSLATE(B27215,""en"",""it"")"),"Quindi, il ragazzo solleva il casco e parla.")</f>
        <v>Quindi, il ragazzo solleva il casco e parla.</v>
      </c>
    </row>
    <row r="27216">
      <c r="A27216" s="4" t="s">
        <v>34261</v>
      </c>
      <c r="B27216" s="4" t="s">
        <v>34262</v>
      </c>
      <c r="C27216" s="5" t="str">
        <f>IFERROR(__xludf.DUMMYFUNCTION("GOOGLETRANSLATE(B27216,""en"",""it"")"),"Una donna apre la bocca e sorride alla telecamera.")</f>
        <v>Una donna apre la bocca e sorride alla telecamera.</v>
      </c>
    </row>
    <row r="27217">
      <c r="A27217" s="4" t="s">
        <v>34261</v>
      </c>
      <c r="B27217" s="4" t="s">
        <v>34263</v>
      </c>
      <c r="C27217" s="5" t="str">
        <f>IFERROR(__xludf.DUMMYFUNCTION("GOOGLETRANSLATE(B27217,""en"",""it"")"),"Le persone stanno passando, navigazione in acqua.")</f>
        <v>Le persone stanno passando, navigazione in acqua.</v>
      </c>
    </row>
    <row r="27218">
      <c r="A27218" s="4" t="s">
        <v>34261</v>
      </c>
      <c r="B27218" s="4" t="s">
        <v>34264</v>
      </c>
      <c r="C27218" s="5" t="str">
        <f>IFERROR(__xludf.DUMMYFUNCTION("GOOGLETRANSLATE(B27218,""en"",""it"")"),"Girano e girano in acqua mentre navigano.")</f>
        <v>Girano e girano in acqua mentre navigano.</v>
      </c>
    </row>
    <row r="27219">
      <c r="A27219" s="4" t="s">
        <v>34265</v>
      </c>
      <c r="B27219" s="4" t="s">
        <v>34266</v>
      </c>
      <c r="C27219" s="5" t="str">
        <f>IFERROR(__xludf.DUMMYFUNCTION("GOOGLETRANSLATE(B27219,""en"",""it"")"),"Un uomo che chiude la porta di casa e poi apre la porta della macchina.")</f>
        <v>Un uomo che chiude la porta di casa e poi apre la porta della macchina.</v>
      </c>
    </row>
    <row r="27220">
      <c r="A27220" s="4" t="s">
        <v>34265</v>
      </c>
      <c r="B27220" s="6" t="s">
        <v>34267</v>
      </c>
      <c r="C27220" s="5" t="str">
        <f>IFERROR(__xludf.DUMMYFUNCTION("GOOGLETRANSLATE(B27220,""en"",""it"")"),"Entra in macchina e mette le chiavi nell'accensione e inizia a guidare lungo l'autostrada fino al suo negozio.")</f>
        <v>Entra in macchina e mette le chiavi nell'accensione e inizia a guidare lungo l'autostrada fino al suo negozio.</v>
      </c>
    </row>
    <row r="27221">
      <c r="A27221" s="4" t="s">
        <v>34265</v>
      </c>
      <c r="B27221" s="4" t="s">
        <v>34268</v>
      </c>
      <c r="C27221" s="5" t="str">
        <f>IFERROR(__xludf.DUMMYFUNCTION("GOOGLETRANSLATE(B27221,""en"",""it"")"),"Ottiene alcune assi e inizia a levigarle a logorarle.")</f>
        <v>Ottiene alcune assi e inizia a levigarle a logorarle.</v>
      </c>
    </row>
    <row r="27222">
      <c r="A27222" s="4" t="s">
        <v>34265</v>
      </c>
      <c r="B27222" s="4" t="s">
        <v>34269</v>
      </c>
      <c r="C27222" s="5" t="str">
        <f>IFERROR(__xludf.DUMMYFUNCTION("GOOGLETRANSLATE(B27222,""en"",""it"")"),"Quando la giornata è finita spegne le luci e si prepara per il lavoro.")</f>
        <v>Quando la giornata è finita spegne le luci e si prepara per il lavoro.</v>
      </c>
    </row>
    <row r="27223">
      <c r="A27223" s="4" t="s">
        <v>34270</v>
      </c>
      <c r="B27223" s="6" t="s">
        <v>34271</v>
      </c>
      <c r="C27223" s="5" t="str">
        <f>IFERROR(__xludf.DUMMYFUNCTION("GOOGLETRANSLATE(B27223,""en"",""it"")"),"Un uomo è in piedi sul ghiaccio con in mano un palo da pesca nella mano destra e c'è un buco molto piccolo nel ghiaccio davanti a lui e lascia cadere il gancio nel buco e si trascina sul palo.")</f>
        <v>Un uomo è in piedi sul ghiaccio con in mano un palo da pesca nella mano destra e c'è un buco molto piccolo nel ghiaccio davanti a lui e lascia cadere il gancio nel buco e si trascina sul palo.</v>
      </c>
    </row>
    <row r="27224">
      <c r="A27224" s="4" t="s">
        <v>34270</v>
      </c>
      <c r="B27224" s="6" t="s">
        <v>34272</v>
      </c>
      <c r="C27224" s="5" t="str">
        <f>IFERROR(__xludf.DUMMYFUNCTION("GOOGLETRANSLATE(B27224,""en"",""it"")"),"L'uomo quindi tira il filo di pesca alcune volte e si trova lì con la canna da pesca, spostandolo e avvolgendolo di tanto in tanto.")</f>
        <v>L'uomo quindi tira il filo di pesca alcune volte e si trova lì con la canna da pesca, spostandolo e avvolgendolo di tanto in tanto.</v>
      </c>
    </row>
    <row r="27225">
      <c r="A27225" s="4" t="s">
        <v>34270</v>
      </c>
      <c r="B27225" s="6" t="s">
        <v>34273</v>
      </c>
      <c r="C27225" s="5" t="str">
        <f>IFERROR(__xludf.DUMMYFUNCTION("GOOGLETRANSLATE(B27225,""en"",""it"")"),"L'estremità del palo inizia a piegarsi e l'uomo inizia a tirare il palo e avvolgendolo e tira fuori un pesce dal buco e atterra sul ghiaccio.")</f>
        <v>L'estremità del palo inizia a piegarsi e l'uomo inizia a tirare il palo e avvolgendolo e tira fuori un pesce dal buco e atterra sul ghiaccio.</v>
      </c>
    </row>
    <row r="27226">
      <c r="A27226" s="4" t="s">
        <v>34270</v>
      </c>
      <c r="B27226" s="6" t="s">
        <v>34274</v>
      </c>
      <c r="C27226" s="5" t="str">
        <f>IFERROR(__xludf.DUMMYFUNCTION("GOOGLETRANSLATE(B27226,""en"",""it"")"),"L'uomo afferra il pesce dal ghiaccio e lo rimette nel buco da cui lo ha appena tirato fuori mentre è ancora attaccato al gancio e al suo filo.")</f>
        <v>L'uomo afferra il pesce dal ghiaccio e lo rimette nel buco da cui lo ha appena tirato fuori mentre è ancora attaccato al gancio e al suo filo.</v>
      </c>
    </row>
    <row r="27227">
      <c r="A27227" s="4" t="s">
        <v>34270</v>
      </c>
      <c r="B27227" s="6" t="s">
        <v>34275</v>
      </c>
      <c r="C27227" s="5" t="str">
        <f>IFERROR(__xludf.DUMMYFUNCTION("GOOGLETRANSLATE(B27227,""en"",""it"")"),"L'uomo inizia quindi a tirare il filo di pesca, solleva il palo su e giù alcune volte, quindi regola la fotocamera.")</f>
        <v>L'uomo inizia quindi a tirare il filo di pesca, solleva il palo su e giù alcune volte, quindi regola la fotocamera.</v>
      </c>
    </row>
    <row r="27228">
      <c r="A27228" s="4" t="s">
        <v>34276</v>
      </c>
      <c r="B27228" s="4" t="s">
        <v>34277</v>
      </c>
      <c r="C27228" s="5" t="str">
        <f>IFERROR(__xludf.DUMMYFUNCTION("GOOGLETRANSLATE(B27228,""en"",""it"")"),"La schermata delle piastrelle viene visualizzata con alcuni nomi.")</f>
        <v>La schermata delle piastrelle viene visualizzata con alcuni nomi.</v>
      </c>
    </row>
    <row r="27229">
      <c r="A27229" s="4" t="s">
        <v>34276</v>
      </c>
      <c r="B27229" s="4" t="s">
        <v>34278</v>
      </c>
      <c r="C27229" s="5" t="str">
        <f>IFERROR(__xludf.DUMMYFUNCTION("GOOGLETRANSLATE(B27229,""en"",""it"")"),"Un uomo inizia a lanciare un tiro più volte diverse mentre i nomi scorrono in fondo.")</f>
        <v>Un uomo inizia a lanciare un tiro più volte diverse mentre i nomi scorrono in fondo.</v>
      </c>
    </row>
    <row r="27230">
      <c r="A27230" s="4" t="s">
        <v>34276</v>
      </c>
      <c r="B27230" s="4" t="s">
        <v>34279</v>
      </c>
      <c r="C27230" s="5" t="str">
        <f>IFERROR(__xludf.DUMMYFUNCTION("GOOGLETRANSLATE(B27230,""en"",""it"")"),"Un gruppo può essere visto dietro guardarlo.")</f>
        <v>Un gruppo può essere visto dietro guardarlo.</v>
      </c>
    </row>
    <row r="27231">
      <c r="A27231" s="4" t="s">
        <v>34276</v>
      </c>
      <c r="B27231" s="4" t="s">
        <v>34280</v>
      </c>
      <c r="C27231" s="5" t="str">
        <f>IFERROR(__xludf.DUMMYFUNCTION("GOOGLETRANSLATE(B27231,""en"",""it"")"),"Un uomo è dietro l'ultimo gettato.")</f>
        <v>Un uomo è dietro l'ultimo gettato.</v>
      </c>
    </row>
    <row r="27232">
      <c r="A27232" s="4" t="s">
        <v>34281</v>
      </c>
      <c r="B27232" s="4" t="s">
        <v>34282</v>
      </c>
      <c r="C27232" s="5" t="str">
        <f>IFERROR(__xludf.DUMMYFUNCTION("GOOGLETRANSLATE(B27232,""en"",""it"")"),"Le parole appaiono sullo schermo prima che diventi nero.")</f>
        <v>Le parole appaiono sullo schermo prima che diventi nero.</v>
      </c>
    </row>
    <row r="27233">
      <c r="A27233" s="4" t="s">
        <v>34281</v>
      </c>
      <c r="B27233" s="4" t="s">
        <v>34283</v>
      </c>
      <c r="C27233" s="5" t="str">
        <f>IFERROR(__xludf.DUMMYFUNCTION("GOOGLETRANSLATE(B27233,""en"",""it"")"),"Appare un uomo, che usa gli spremere per lavare una finestra davanti a lui mentre parla.")</f>
        <v>Appare un uomo, che usa gli spremere per lavare una finestra davanti a lui mentre parla.</v>
      </c>
    </row>
    <row r="27234">
      <c r="A27234" s="4" t="s">
        <v>34281</v>
      </c>
      <c r="B27234" s="4" t="s">
        <v>34284</v>
      </c>
      <c r="C27234" s="5" t="str">
        <f>IFERROR(__xludf.DUMMYFUNCTION("GOOGLETRANSLATE(B27234,""en"",""it"")"),"Applica il sapone liberamente prima di scorrerlo con il rastrello.")</f>
        <v>Applica il sapone liberamente prima di scorrerlo con il rastrello.</v>
      </c>
    </row>
    <row r="27235">
      <c r="A27235" s="4" t="s">
        <v>34281</v>
      </c>
      <c r="B27235" s="4" t="s">
        <v>34285</v>
      </c>
      <c r="C27235" s="5" t="str">
        <f>IFERROR(__xludf.DUMMYFUNCTION("GOOGLETRANSLATE(B27235,""en"",""it"")"),"Smette di pulire la finestra e dice alcune parole in chiusura.")</f>
        <v>Smette di pulire la finestra e dice alcune parole in chiusura.</v>
      </c>
    </row>
    <row r="27236">
      <c r="A27236" s="4" t="s">
        <v>34286</v>
      </c>
      <c r="B27236" s="4" t="s">
        <v>34287</v>
      </c>
      <c r="C27236" s="5" t="str">
        <f>IFERROR(__xludf.DUMMYFUNCTION("GOOGLETRANSLATE(B27236,""en"",""it"")"),"Un atleta si avvicina a un raggio.")</f>
        <v>Un atleta si avvicina a un raggio.</v>
      </c>
    </row>
    <row r="27237">
      <c r="A27237" s="4" t="s">
        <v>34286</v>
      </c>
      <c r="B27237" s="6" t="s">
        <v>34288</v>
      </c>
      <c r="C27237" s="5" t="str">
        <f>IFERROR(__xludf.DUMMYFUNCTION("GOOGLETRANSLATE(B27237,""en"",""it"")"),"Si avvicina rapidamente, girando e girando intorno e saltando tra le due barre più volte.")</f>
        <v>Si avvicina rapidamente, girando e girando intorno e saltando tra le due barre più volte.</v>
      </c>
    </row>
    <row r="27238">
      <c r="A27238" s="4" t="s">
        <v>34286</v>
      </c>
      <c r="B27238" s="4" t="s">
        <v>34289</v>
      </c>
      <c r="C27238" s="5" t="str">
        <f>IFERROR(__xludf.DUMMYFUNCTION("GOOGLETRANSLATE(B27238,""en"",""it"")"),"Alla fine smonta, gettando le braccia in aria prima di andarsene.")</f>
        <v>Alla fine smonta, gettando le braccia in aria prima di andarsene.</v>
      </c>
    </row>
    <row r="27239">
      <c r="A27239" s="4" t="s">
        <v>34290</v>
      </c>
      <c r="B27239" s="4" t="s">
        <v>34291</v>
      </c>
      <c r="C27239" s="5" t="str">
        <f>IFERROR(__xludf.DUMMYFUNCTION("GOOGLETRANSLATE(B27239,""en"",""it"")"),"Un uomo fa tatuaggi sulla testa posteriore e sul collo di una persona.")</f>
        <v>Un uomo fa tatuaggi sulla testa posteriore e sul collo di una persona.</v>
      </c>
    </row>
    <row r="27240">
      <c r="A27240" s="4" t="s">
        <v>34290</v>
      </c>
      <c r="B27240" s="4" t="s">
        <v>34292</v>
      </c>
      <c r="C27240" s="5" t="str">
        <f>IFERROR(__xludf.DUMMYFUNCTION("GOOGLETRANSLATE(B27240,""en"",""it"")"),"Quindi, l'uomo pulisce la testa e il collo con un tessuto bianco.")</f>
        <v>Quindi, l'uomo pulisce la testa e il collo con un tessuto bianco.</v>
      </c>
    </row>
    <row r="27241">
      <c r="A27241" s="4" t="s">
        <v>34290</v>
      </c>
      <c r="B27241" s="4" t="s">
        <v>34293</v>
      </c>
      <c r="C27241" s="5" t="str">
        <f>IFERROR(__xludf.DUMMYFUNCTION("GOOGLETRANSLATE(B27241,""en"",""it"")"),"Dopo, l'uomo continua a fare il tatuaggio sul lato della testa mentre puliva la vernice.")</f>
        <v>Dopo, l'uomo continua a fare il tatuaggio sul lato della testa mentre puliva la vernice.</v>
      </c>
    </row>
    <row r="27242">
      <c r="A27242" s="4" t="s">
        <v>34294</v>
      </c>
      <c r="B27242" s="4" t="s">
        <v>34295</v>
      </c>
      <c r="C27242" s="5" t="str">
        <f>IFERROR(__xludf.DUMMYFUNCTION("GOOGLETRANSLATE(B27242,""en"",""it"")"),"Una donna in un body nero sta parlando su un palco.")</f>
        <v>Una donna in un body nero sta parlando su un palco.</v>
      </c>
    </row>
    <row r="27243">
      <c r="A27243" s="4" t="s">
        <v>34294</v>
      </c>
      <c r="B27243" s="4" t="s">
        <v>34296</v>
      </c>
      <c r="C27243" s="5" t="str">
        <f>IFERROR(__xludf.DUMMYFUNCTION("GOOGLETRANSLATE(B27243,""en"",""it"")"),"Comincia a ballare per la telecamera.")</f>
        <v>Comincia a ballare per la telecamera.</v>
      </c>
    </row>
    <row r="27244">
      <c r="A27244" s="4" t="s">
        <v>34294</v>
      </c>
      <c r="B27244" s="4" t="s">
        <v>34297</v>
      </c>
      <c r="C27244" s="5" t="str">
        <f>IFERROR(__xludf.DUMMYFUNCTION("GOOGLETRANSLATE(B27244,""en"",""it"")"),"Mostra diverse mosse di danza mentre le fa.")</f>
        <v>Mostra diverse mosse di danza mentre le fa.</v>
      </c>
    </row>
    <row r="27245">
      <c r="A27245" s="4" t="s">
        <v>34298</v>
      </c>
      <c r="B27245" s="4" t="s">
        <v>34299</v>
      </c>
      <c r="C27245" s="5" t="str">
        <f>IFERROR(__xludf.DUMMYFUNCTION("GOOGLETRANSLATE(B27245,""en"",""it"")"),"Due persone stanno giocando a un gioco di lacrosse.")</f>
        <v>Due persone stanno giocando a un gioco di lacrosse.</v>
      </c>
    </row>
    <row r="27246">
      <c r="A27246" s="4" t="s">
        <v>34298</v>
      </c>
      <c r="B27246" s="4" t="s">
        <v>34300</v>
      </c>
      <c r="C27246" s="5" t="str">
        <f>IFERROR(__xludf.DUMMYFUNCTION("GOOGLETRANSLATE(B27246,""en"",""it"")"),"Sparano all'obiettivo e fanno il punto.")</f>
        <v>Sparano all'obiettivo e fanno il punto.</v>
      </c>
    </row>
    <row r="27247">
      <c r="A27247" s="4" t="s">
        <v>34301</v>
      </c>
      <c r="B27247" s="4" t="s">
        <v>34302</v>
      </c>
      <c r="C27247" s="5" t="str">
        <f>IFERROR(__xludf.DUMMYFUNCTION("GOOGLETRANSLATE(B27247,""en"",""it"")"),"Una bambina in una stanza in piedi davanti ad alcune sedie sta colpendo una Dora Pinata.")</f>
        <v>Una bambina in una stanza in piedi davanti ad alcune sedie sta colpendo una Dora Pinata.</v>
      </c>
    </row>
    <row r="27248">
      <c r="A27248" s="4" t="s">
        <v>34301</v>
      </c>
      <c r="B27248" s="4" t="s">
        <v>34303</v>
      </c>
      <c r="C27248" s="5" t="str">
        <f>IFERROR(__xludf.DUMMYFUNCTION("GOOGLETRANSLATE(B27248,""en"",""it"")"),"Lo colpisce alcune volte e poi è il turno di qualcun altro.")</f>
        <v>Lo colpisce alcune volte e poi è il turno di qualcun altro.</v>
      </c>
    </row>
    <row r="27249">
      <c r="A27249" s="4" t="s">
        <v>34301</v>
      </c>
      <c r="B27249" s="6" t="s">
        <v>34304</v>
      </c>
      <c r="C27249" s="5" t="str">
        <f>IFERROR(__xludf.DUMMYFUNCTION("GOOGLETRANSLATE(B27249,""en"",""it"")"),"Una ragazza più grande lo colpisce così duramente che non si rompe, ma l'intera pinata cade e gli adulti devono rimetterlo.")</f>
        <v>Una ragazza più grande lo colpisce così duramente che non si rompe, ma l'intera pinata cade e gli adulti devono rimetterlo.</v>
      </c>
    </row>
    <row r="27250">
      <c r="A27250" s="4" t="s">
        <v>34301</v>
      </c>
      <c r="B27250" s="6" t="s">
        <v>34305</v>
      </c>
      <c r="C27250" s="5" t="str">
        <f>IFERROR(__xludf.DUMMYFUNCTION("GOOGLETRANSLATE(B27250,""en"",""it"")"),"Dopo che tutti hanno preso il loro tun, la bambina riesce a andare di nuovo, quando il colpo non funziona tutti afferrano un pezzo di spago e lo tirano.")</f>
        <v>Dopo che tutti hanno preso il loro tun, la bambina riesce a andare di nuovo, quando il colpo non funziona tutti afferrano un pezzo di spago e lo tirano.</v>
      </c>
    </row>
    <row r="27251">
      <c r="A27251" s="4" t="s">
        <v>34306</v>
      </c>
      <c r="B27251" s="4" t="s">
        <v>34307</v>
      </c>
      <c r="C27251" s="5" t="str">
        <f>IFERROR(__xludf.DUMMYFUNCTION("GOOGLETRANSLATE(B27251,""en"",""it"")"),"La gente è in un campo che si estende e fa esercizio fisico, salta la corda e sollevando pesi.")</f>
        <v>La gente è in un campo che si estende e fa esercizio fisico, salta la corda e sollevando pesi.</v>
      </c>
    </row>
    <row r="27252">
      <c r="A27252" s="4" t="s">
        <v>34306</v>
      </c>
      <c r="B27252" s="6" t="s">
        <v>34308</v>
      </c>
      <c r="C27252" s="5" t="str">
        <f>IFERROR(__xludf.DUMMYFUNCTION("GOOGLETRANSLATE(B27252,""en"",""it"")"),"L'uomo sta parlando con la telecamera e le persone che praticano Capoeira, facendo suicidi e il sollevamento pesi si allenano.")</f>
        <v>L'uomo sta parlando con la telecamera e le persone che praticano Capoeira, facendo suicidi e il sollevamento pesi si allenano.</v>
      </c>
    </row>
    <row r="27253">
      <c r="A27253" s="4" t="s">
        <v>34309</v>
      </c>
      <c r="B27253" s="4" t="s">
        <v>34310</v>
      </c>
      <c r="C27253" s="5" t="str">
        <f>IFERROR(__xludf.DUMMYFUNCTION("GOOGLETRANSLATE(B27253,""en"",""it"")"),"Un uomo e un'ancora di donna stanno parlando dietro una scrivania e diversi televisori.")</f>
        <v>Un uomo e un'ancora di donna stanno parlando dietro una scrivania e diversi televisori.</v>
      </c>
    </row>
    <row r="27254">
      <c r="A27254" s="4" t="s">
        <v>34309</v>
      </c>
      <c r="B27254" s="4" t="s">
        <v>34311</v>
      </c>
      <c r="C27254" s="5" t="str">
        <f>IFERROR(__xludf.DUMMYFUNCTION("GOOGLETRANSLATE(B27254,""en"",""it"")"),"La donna viene quindi mostrata da sola e inizia a parlare.")</f>
        <v>La donna viene quindi mostrata da sola e inizia a parlare.</v>
      </c>
    </row>
    <row r="27255">
      <c r="A27255" s="4" t="s">
        <v>34309</v>
      </c>
      <c r="B27255" s="6" t="s">
        <v>34312</v>
      </c>
      <c r="C27255" s="5" t="str">
        <f>IFERROR(__xludf.DUMMYFUNCTION("GOOGLETRANSLATE(B27255,""en"",""it"")"),"Appare quindi una pista di pattinaggio e una donna inizia a allenare un uomo su tecniche specifiche per una partita.")</f>
        <v>Appare quindi una pista di pattinaggio e una donna inizia a allenare un uomo su tecniche specifiche per una partita.</v>
      </c>
    </row>
    <row r="27256">
      <c r="A27256" s="4" t="s">
        <v>34309</v>
      </c>
      <c r="B27256" s="4" t="s">
        <v>34313</v>
      </c>
      <c r="C27256" s="5" t="str">
        <f>IFERROR(__xludf.DUMMYFUNCTION("GOOGLETRANSLATE(B27256,""en"",""it"")"),"Ha una breve intervista e continua a allenare le persone sul curling.")</f>
        <v>Ha una breve intervista e continua a allenare le persone sul curling.</v>
      </c>
    </row>
    <row r="27257">
      <c r="A27257" s="4" t="s">
        <v>34309</v>
      </c>
      <c r="B27257" s="6" t="s">
        <v>34314</v>
      </c>
      <c r="C27257" s="5" t="str">
        <f>IFERROR(__xludf.DUMMYFUNCTION("GOOGLETRANSLATE(B27257,""en"",""it"")"),"Più persone sono in palestra e continuano a curling e più istruttori iniziano a fare interviste.")</f>
        <v>Più persone sono in palestra e continuano a curling e più istruttori iniziano a fare interviste.</v>
      </c>
    </row>
    <row r="27258">
      <c r="A27258" s="4" t="s">
        <v>34309</v>
      </c>
      <c r="B27258" s="4" t="s">
        <v>34315</v>
      </c>
      <c r="C27258" s="5" t="str">
        <f>IFERROR(__xludf.DUMMYFUNCTION("GOOGLETRANSLATE(B27258,""en"",""it"")"),"Le clip sono mostrate da una vera partita di curling e le persone iniziano ad aspettare contro il muro.")</f>
        <v>Le clip sono mostrate da una vera partita di curling e le persone iniziano ad aspettare contro il muro.</v>
      </c>
    </row>
    <row r="27259">
      <c r="A27259" s="4" t="s">
        <v>34316</v>
      </c>
      <c r="B27259" s="4" t="s">
        <v>34317</v>
      </c>
      <c r="C27259" s="5" t="str">
        <f>IFERROR(__xludf.DUMMYFUNCTION("GOOGLETRANSLATE(B27259,""en"",""it"")"),"C'è un campo con un aquilone che vi pone.")</f>
        <v>C'è un campo con un aquilone che vi pone.</v>
      </c>
    </row>
    <row r="27260">
      <c r="A27260" s="4" t="s">
        <v>34316</v>
      </c>
      <c r="B27260" s="4" t="s">
        <v>34318</v>
      </c>
      <c r="C27260" s="5" t="str">
        <f>IFERROR(__xludf.DUMMYFUNCTION("GOOGLETRANSLATE(B27260,""en"",""it"")"),"Un uomo si sta preparando a far volare l'aquilone.")</f>
        <v>Un uomo si sta preparando a far volare l'aquilone.</v>
      </c>
    </row>
    <row r="27261">
      <c r="A27261" s="4" t="s">
        <v>34316</v>
      </c>
      <c r="B27261" s="4" t="s">
        <v>34319</v>
      </c>
      <c r="C27261" s="5" t="str">
        <f>IFERROR(__xludf.DUMMYFUNCTION("GOOGLETRANSLATE(B27261,""en"",""it"")"),"L'aquilone diventa dispersa nell'aria e sale.")</f>
        <v>L'aquilone diventa dispersa nell'aria e sale.</v>
      </c>
    </row>
    <row r="27262">
      <c r="A27262" s="4" t="s">
        <v>34320</v>
      </c>
      <c r="B27262" s="6" t="s">
        <v>34321</v>
      </c>
      <c r="C27262" s="5" t="str">
        <f>IFERROR(__xludf.DUMMYFUNCTION("GOOGLETRANSLATE(B27262,""en"",""it"")"),"Un uomo che indossa gli occhiali molto grandi sta parlando in un microfono nero mentre le persone dietro di lui ballano fino a quando non punta nella loro direzione e si disperdono tutti dalla pista da ballo.")</f>
        <v>Un uomo che indossa gli occhiali molto grandi sta parlando in un microfono nero mentre le persone dietro di lui ballano fino a quando non punta nella loro direzione e si disperdono tutti dalla pista da ballo.</v>
      </c>
    </row>
    <row r="27263">
      <c r="A27263" s="4" t="s">
        <v>34320</v>
      </c>
      <c r="B27263" s="6" t="s">
        <v>34322</v>
      </c>
      <c r="C27263" s="5" t="str">
        <f>IFERROR(__xludf.DUMMYFUNCTION("GOOGLETRANSLATE(B27263,""en"",""it"")"),"Gli uomini sono vestiti in abiti rossi e ognuno di essi si svolgono a turno che balla da soli mentre le parole sullo schermo stanno probabilmente nominando la ballerina.")</f>
        <v>Gli uomini sono vestiti in abiti rossi e ognuno di essi si svolgono a turno che balla da soli mentre le parole sullo schermo stanno probabilmente nominando la ballerina.</v>
      </c>
    </row>
    <row r="27264">
      <c r="A27264" s="4" t="s">
        <v>34320</v>
      </c>
      <c r="B27264" s="6" t="s">
        <v>34323</v>
      </c>
      <c r="C27264" s="5" t="str">
        <f>IFERROR(__xludf.DUMMYFUNCTION("GOOGLETRANSLATE(B27264,""en"",""it"")"),"Quando l'ultimo uomo balla, si fermano tutti e colpiscono una posa e un DJ che suona tutto questo tempo continua a suonare musica nella sua stazione di DJ.")</f>
        <v>Quando l'ultimo uomo balla, si fermano tutti e colpiscono una posa e un DJ che suona tutto questo tempo continua a suonare musica nella sua stazione di DJ.</v>
      </c>
    </row>
    <row r="27265">
      <c r="A27265" s="4" t="s">
        <v>34324</v>
      </c>
      <c r="B27265" s="4" t="s">
        <v>34325</v>
      </c>
      <c r="C27265" s="5" t="str">
        <f>IFERROR(__xludf.DUMMYFUNCTION("GOOGLETRANSLATE(B27265,""en"",""it"")"),"Una donna e un uomo eseguono il wrestling del braccio.")</f>
        <v>Una donna e un uomo eseguono il wrestling del braccio.</v>
      </c>
    </row>
    <row r="27266">
      <c r="A27266" s="4" t="s">
        <v>34324</v>
      </c>
      <c r="B27266" s="4" t="s">
        <v>34326</v>
      </c>
      <c r="C27266" s="5" t="str">
        <f>IFERROR(__xludf.DUMMYFUNCTION("GOOGLETRANSLATE(B27266,""en"",""it"")"),"L'uomo alza la manica della maglietta fino alla spalla.")</f>
        <v>L'uomo alza la manica della maglietta fino alla spalla.</v>
      </c>
    </row>
    <row r="27267">
      <c r="A27267" s="4" t="s">
        <v>34324</v>
      </c>
      <c r="B27267" s="4" t="s">
        <v>34327</v>
      </c>
      <c r="C27267" s="5" t="str">
        <f>IFERROR(__xludf.DUMMYFUNCTION("GOOGLETRANSLATE(B27267,""en"",""it"")"),"Un uomo cammina in una stanza dietro i lottatori.")</f>
        <v>Un uomo cammina in una stanza dietro i lottatori.</v>
      </c>
    </row>
    <row r="27268">
      <c r="A27268" s="4" t="s">
        <v>34324</v>
      </c>
      <c r="B27268" s="6" t="s">
        <v>34328</v>
      </c>
      <c r="C27268" s="5" t="str">
        <f>IFERROR(__xludf.DUMMYFUNCTION("GOOGLETRANSLATE(B27268,""en"",""it"")"),"L'uomo piegò il braccio della donna, ma la donna drive il braccio e piega il braccio dell'uomo e vince.")</f>
        <v>L'uomo piegò il braccio della donna, ma la donna drive il braccio e piega il braccio dell'uomo e vince.</v>
      </c>
    </row>
    <row r="27269">
      <c r="A27269" s="4" t="s">
        <v>34329</v>
      </c>
      <c r="B27269" s="4" t="s">
        <v>34330</v>
      </c>
      <c r="C27269" s="5" t="str">
        <f>IFERROR(__xludf.DUMMYFUNCTION("GOOGLETRANSLATE(B27269,""en"",""it"")"),"Un uomo prunes di rami morti da steli della pianta del cuscinetto di frutta in inverno.")</f>
        <v>Un uomo prunes di rami morti da steli della pianta del cuscinetto di frutta in inverno.</v>
      </c>
    </row>
    <row r="27270">
      <c r="A27270" s="4" t="s">
        <v>34329</v>
      </c>
      <c r="B27270" s="6" t="s">
        <v>34331</v>
      </c>
      <c r="C27270" s="5" t="str">
        <f>IFERROR(__xludf.DUMMYFUNCTION("GOOGLETRANSLATE(B27270,""en"",""it"")"),"Un uomo, in un campo di colture di terra e frutta con rami nudi dall'inverno, inizia a potare i rami morti dalle piante di frutta con uno strumento di potatura e un ascia.")</f>
        <v>Un uomo, in un campo di colture di terra e frutta con rami nudi dall'inverno, inizia a potare i rami morti dalle piante di frutta con uno strumento di potatura e un ascia.</v>
      </c>
    </row>
    <row r="27271">
      <c r="A27271" s="4" t="s">
        <v>34329</v>
      </c>
      <c r="B27271" s="6" t="s">
        <v>34332</v>
      </c>
      <c r="C27271" s="5" t="str">
        <f>IFERROR(__xludf.DUMMYFUNCTION("GOOGLETRANSLATE(B27271,""en"",""it"")"),"Un'immagine delle piante nei mesi di frutta appare prima di tornare all'uomo sul campo potando i rami morti.")</f>
        <v>Un'immagine delle piante nei mesi di frutta appare prima di tornare all'uomo sul campo potando i rami morti.</v>
      </c>
    </row>
    <row r="27272">
      <c r="A27272" s="4" t="s">
        <v>34333</v>
      </c>
      <c r="B27272" s="6" t="s">
        <v>34334</v>
      </c>
      <c r="C27272" s="5" t="str">
        <f>IFERROR(__xludf.DUMMYFUNCTION("GOOGLETRANSLATE(B27272,""en"",""it"")"),"Una persona viene mostrata che si fa un'immersione da un tabellone mentre un paio di persone guardano a margine e allettano.")</f>
        <v>Una persona viene mostrata che si fa un'immersione da un tabellone mentre un paio di persone guardano a margine e allettano.</v>
      </c>
    </row>
    <row r="27273">
      <c r="A27273" s="4" t="s">
        <v>34333</v>
      </c>
      <c r="B27273" s="6" t="s">
        <v>34335</v>
      </c>
      <c r="C27273" s="5" t="str">
        <f>IFERROR(__xludf.DUMMYFUNCTION("GOOGLETRANSLATE(B27273,""en"",""it"")"),"La persona esegue molti altri trucchi dall'immersione alta mentre più persone guardano sui lati.")</f>
        <v>La persona esegue molti altri trucchi dall'immersione alta mentre più persone guardano sui lati.</v>
      </c>
    </row>
    <row r="27274">
      <c r="A27274" s="4" t="s">
        <v>34336</v>
      </c>
      <c r="B27274" s="4" t="s">
        <v>34337</v>
      </c>
      <c r="C27274" s="5" t="str">
        <f>IFERROR(__xludf.DUMMYFUNCTION("GOOGLETRANSLATE(B27274,""en"",""it"")"),"I bambini guidano le auto del paraurti in un carnevale.")</f>
        <v>I bambini guidano le auto del paraurti in un carnevale.</v>
      </c>
    </row>
    <row r="27275">
      <c r="A27275" s="4" t="s">
        <v>34336</v>
      </c>
      <c r="B27275" s="6" t="s">
        <v>34338</v>
      </c>
      <c r="C27275" s="5" t="str">
        <f>IFERROR(__xludf.DUMMYFUNCTION("GOOGLETRANSLATE(B27275,""en"",""it"")"),"Una bambina si urta sul muro e si blocca con altre macchine, quindi la ragazza si libera e continua a cavalcare.")</f>
        <v>Una bambina si urta sul muro e si blocca con altre macchine, quindi la ragazza si libera e continua a cavalcare.</v>
      </c>
    </row>
    <row r="27276">
      <c r="A27276" s="4" t="s">
        <v>34336</v>
      </c>
      <c r="B27276" s="4" t="s">
        <v>34339</v>
      </c>
      <c r="C27276" s="5" t="str">
        <f>IFERROR(__xludf.DUMMYFUNCTION("GOOGLETRANSLATE(B27276,""en"",""it"")"),"La bambina rimane bloccata con altri bambini, poi si libera e poi cavalca l'auto del paraurti.")</f>
        <v>La bambina rimane bloccata con altri bambini, poi si libera e poi cavalca l'auto del paraurti.</v>
      </c>
    </row>
    <row r="27277">
      <c r="A27277" s="4" t="s">
        <v>34340</v>
      </c>
      <c r="B27277" s="4" t="s">
        <v>34341</v>
      </c>
      <c r="C27277" s="5" t="str">
        <f>IFERROR(__xludf.DUMMYFUNCTION("GOOGLETRANSLATE(B27277,""en"",""it"")"),"Una persona dimostra come preparare un mini piatto di sandwich di carne e formaggio con contorno.")</f>
        <v>Una persona dimostra come preparare un mini piatto di sandwich di carne e formaggio con contorno.</v>
      </c>
    </row>
    <row r="27278">
      <c r="A27278" s="4" t="s">
        <v>34340</v>
      </c>
      <c r="B27278" s="4" t="s">
        <v>34342</v>
      </c>
      <c r="C27278" s="5" t="str">
        <f>IFERROR(__xludf.DUMMYFUNCTION("GOOGLETRANSLATE(B27278,""en"",""it"")"),"Un grande piatto di display sandwich preparati.")</f>
        <v>Un grande piatto di display sandwich preparati.</v>
      </c>
    </row>
    <row r="27279">
      <c r="A27279" s="4" t="s">
        <v>34340</v>
      </c>
      <c r="B27279" s="6" t="s">
        <v>34343</v>
      </c>
      <c r="C27279" s="5" t="str">
        <f>IFERROR(__xludf.DUMMYFUNCTION("GOOGLETRANSLATE(B27279,""en"",""it"")"),"Le mani di persone si vedono lanciare diversi sandwich che producono ingredienti in un carrello all'interno di un negozio di alimentari, gli ingredienti includono involtini e carne per il pranzo.")</f>
        <v>Le mani di persone si vedono lanciare diversi sandwich che producono ingredienti in un carrello all'interno di un negozio di alimentari, gli ingredienti includono involtini e carne per il pranzo.</v>
      </c>
    </row>
    <row r="27280">
      <c r="A27280" s="4" t="s">
        <v>34340</v>
      </c>
      <c r="B27280" s="6" t="s">
        <v>34344</v>
      </c>
      <c r="C27280" s="5" t="str">
        <f>IFERROR(__xludf.DUMMYFUNCTION("GOOGLETRANSLATE(B27280,""en"",""it"")"),"Viene quindi vista una persona mettere un panino di formaggio e carne su panini bianchi con lattuga su un ripiano.")</f>
        <v>Viene quindi vista una persona mettere un panino di formaggio e carne su panini bianchi con lattuga su un ripiano.</v>
      </c>
    </row>
    <row r="27281">
      <c r="A27281" s="4" t="s">
        <v>34340</v>
      </c>
      <c r="B27281" s="6" t="s">
        <v>34345</v>
      </c>
      <c r="C27281" s="5" t="str">
        <f>IFERROR(__xludf.DUMMYFUNCTION("GOOGLETRANSLATE(B27281,""en"",""it"")"),"La persona taglia i rotoli per preparare singoli panini e quindi aggiunge stuzzicadenti e fragole insieme a guarnizioni di lattuga al piatto che viene poi focalizzato dalla fotocamera come prodotto finito.")</f>
        <v>La persona taglia i rotoli per preparare singoli panini e quindi aggiunge stuzzicadenti e fragole insieme a guarnizioni di lattuga al piatto che viene poi focalizzato dalla fotocamera come prodotto finito.</v>
      </c>
    </row>
    <row r="27282">
      <c r="A27282" s="4" t="s">
        <v>34346</v>
      </c>
      <c r="B27282" s="4" t="s">
        <v>34347</v>
      </c>
      <c r="C27282" s="5" t="str">
        <f>IFERROR(__xludf.DUMMYFUNCTION("GOOGLETRANSLATE(B27282,""en"",""it"")"),"Vediamo un cartello con il nome di un uomo.")</f>
        <v>Vediamo un cartello con il nome di un uomo.</v>
      </c>
    </row>
    <row r="27283">
      <c r="A27283" s="4" t="s">
        <v>34346</v>
      </c>
      <c r="B27283" s="6" t="s">
        <v>34348</v>
      </c>
      <c r="C27283" s="5" t="str">
        <f>IFERROR(__xludf.DUMMYFUNCTION("GOOGLETRANSLATE(B27283,""en"",""it"")"),"Vediamo un uomo correre e fare un salto in lungo su tracce diverse ripetutamente con il suo nome su un cartello di tanto in tanto.")</f>
        <v>Vediamo un uomo correre e fare un salto in lungo su tracce diverse ripetutamente con il suo nome su un cartello di tanto in tanto.</v>
      </c>
    </row>
    <row r="27284">
      <c r="A27284" s="4" t="s">
        <v>34346</v>
      </c>
      <c r="B27284" s="4" t="s">
        <v>34349</v>
      </c>
      <c r="C27284" s="5" t="str">
        <f>IFERROR(__xludf.DUMMYFUNCTION("GOOGLETRANSLATE(B27284,""en"",""it"")"),"Vediamo l'uomo su una pista blu con cartelli pubblicitari.")</f>
        <v>Vediamo l'uomo su una pista blu con cartelli pubblicitari.</v>
      </c>
    </row>
    <row r="27285">
      <c r="A27285" s="4" t="s">
        <v>34346</v>
      </c>
      <c r="B27285" s="4" t="s">
        <v>34350</v>
      </c>
      <c r="C27285" s="5" t="str">
        <f>IFERROR(__xludf.DUMMYFUNCTION("GOOGLETRANSLATE(B27285,""en"",""it"")"),"L'uomo cade sul suo atterraggio.")</f>
        <v>L'uomo cade sul suo atterraggio.</v>
      </c>
    </row>
    <row r="27286">
      <c r="A27286" s="4" t="s">
        <v>34346</v>
      </c>
      <c r="B27286" s="4" t="s">
        <v>34351</v>
      </c>
      <c r="C27286" s="5" t="str">
        <f>IFERROR(__xludf.DUMMYFUNCTION("GOOGLETRANSLATE(B27286,""en"",""it"")"),"L'uomo atterra sulla schiena.")</f>
        <v>L'uomo atterra sulla schiena.</v>
      </c>
    </row>
    <row r="27287">
      <c r="A27287" s="4" t="s">
        <v>34346</v>
      </c>
      <c r="B27287" s="4" t="s">
        <v>34352</v>
      </c>
      <c r="C27287" s="5" t="str">
        <f>IFERROR(__xludf.DUMMYFUNCTION("GOOGLETRANSLATE(B27287,""en"",""it"")"),"Lo schermo si attenua al nero.")</f>
        <v>Lo schermo si attenua al nero.</v>
      </c>
    </row>
    <row r="27288">
      <c r="A27288" s="4" t="s">
        <v>34353</v>
      </c>
      <c r="B27288" s="4" t="s">
        <v>34354</v>
      </c>
      <c r="C27288" s="5" t="str">
        <f>IFERROR(__xludf.DUMMYFUNCTION("GOOGLETRANSLATE(B27288,""en"",""it"")"),"Un uomo affonda sott'acqua in una piscina.")</f>
        <v>Un uomo affonda sott'acqua in una piscina.</v>
      </c>
    </row>
    <row r="27289">
      <c r="A27289" s="4" t="s">
        <v>34353</v>
      </c>
      <c r="B27289" s="4" t="s">
        <v>34355</v>
      </c>
      <c r="C27289" s="5" t="str">
        <f>IFERROR(__xludf.DUMMYFUNCTION("GOOGLETRANSLATE(B27289,""en"",""it"")"),"L'uomo affonda sott'acqua in una piscina all'indietro.")</f>
        <v>L'uomo affonda sott'acqua in una piscina all'indietro.</v>
      </c>
    </row>
    <row r="27290">
      <c r="A27290" s="4" t="s">
        <v>34353</v>
      </c>
      <c r="B27290" s="4" t="s">
        <v>34356</v>
      </c>
      <c r="C27290" s="5" t="str">
        <f>IFERROR(__xludf.DUMMYFUNCTION("GOOGLETRANSLATE(B27290,""en"",""it"")"),"Il testo è mostrato su uno schermo nero.")</f>
        <v>Il testo è mostrato su uno schermo nero.</v>
      </c>
    </row>
    <row r="27291">
      <c r="A27291" s="4" t="s">
        <v>34357</v>
      </c>
      <c r="B27291" s="4" t="s">
        <v>34358</v>
      </c>
      <c r="C27291" s="5" t="str">
        <f>IFERROR(__xludf.DUMMYFUNCTION("GOOGLETRANSLATE(B27291,""en"",""it"")"),"La donna è seduta su una panchina di legno a parlare con la telecamera.")</f>
        <v>La donna è seduta su una panchina di legno a parlare con la telecamera.</v>
      </c>
    </row>
    <row r="27292">
      <c r="A27292" s="4" t="s">
        <v>34357</v>
      </c>
      <c r="B27292" s="4" t="s">
        <v>34359</v>
      </c>
      <c r="C27292" s="5" t="str">
        <f>IFERROR(__xludf.DUMMYFUNCTION("GOOGLETRANSLATE(B27292,""en"",""it"")"),"La donna sta facendo capriole su un grande campo erboso verde.")</f>
        <v>La donna sta facendo capriole su un grande campo erboso verde.</v>
      </c>
    </row>
    <row r="27293">
      <c r="A27293" s="4" t="s">
        <v>34357</v>
      </c>
      <c r="B27293" s="4" t="s">
        <v>34360</v>
      </c>
      <c r="C27293" s="5" t="str">
        <f>IFERROR(__xludf.DUMMYFUNCTION("GOOGLETRANSLATE(B27293,""en"",""it"")"),"La donna sta facendo un salto, scivola e cadde nell'erba.")</f>
        <v>La donna sta facendo un salto, scivola e cadde nell'erba.</v>
      </c>
    </row>
    <row r="27294">
      <c r="A27294" s="4" t="s">
        <v>34361</v>
      </c>
      <c r="B27294" s="4" t="s">
        <v>34362</v>
      </c>
      <c r="C27294" s="5" t="str">
        <f>IFERROR(__xludf.DUMMYFUNCTION("GOOGLETRANSLATE(B27294,""en"",""it"")"),"Viene mostrato un video di skateboarder in uno skatepark all'aperto.")</f>
        <v>Viene mostrato un video di skateboarder in uno skatepark all'aperto.</v>
      </c>
    </row>
    <row r="27295">
      <c r="A27295" s="4" t="s">
        <v>34361</v>
      </c>
      <c r="B27295" s="4" t="s">
        <v>34363</v>
      </c>
      <c r="C27295" s="5" t="str">
        <f>IFERROR(__xludf.DUMMYFUNCTION("GOOGLETRANSLATE(B27295,""en"",""it"")"),"Vengono mostrate interviste e quindi alcune gare sono mostrate.")</f>
        <v>Vengono mostrate interviste e quindi alcune gare sono mostrate.</v>
      </c>
    </row>
    <row r="27296">
      <c r="A27296" s="4" t="s">
        <v>34364</v>
      </c>
      <c r="B27296" s="6" t="s">
        <v>34365</v>
      </c>
      <c r="C27296" s="5" t="str">
        <f>IFERROR(__xludf.DUMMYFUNCTION("GOOGLETRANSLATE(B27296,""en"",""it"")"),"Un bambino piccolo seduto a un tavolo mangia un gelato con un cucchiaio mentre le persone camminano sullo sfondo.")</f>
        <v>Un bambino piccolo seduto a un tavolo mangia un gelato con un cucchiaio mentre le persone camminano sullo sfondo.</v>
      </c>
    </row>
    <row r="27297">
      <c r="A27297" s="4" t="s">
        <v>34364</v>
      </c>
      <c r="B27297" s="4" t="s">
        <v>34366</v>
      </c>
      <c r="C27297" s="5" t="str">
        <f>IFERROR(__xludf.DUMMYFUNCTION("GOOGLETRANSLATE(B27297,""en"",""it"")"),"Un paio di mani adulte entrano brevemente nel telaio della fotocamera in primo piano.")</f>
        <v>Un paio di mani adulte entrano brevemente nel telaio della fotocamera in primo piano.</v>
      </c>
    </row>
    <row r="27298">
      <c r="A27298" s="4" t="s">
        <v>34364</v>
      </c>
      <c r="B27298" s="4" t="s">
        <v>34367</v>
      </c>
      <c r="C27298" s="5" t="str">
        <f>IFERROR(__xludf.DUMMYFUNCTION("GOOGLETRANSLATE(B27298,""en"",""it"")"),"Il bambino inserisce il suo cucchiaio nel suo contenitore per il gelato sul tavolo.")</f>
        <v>Il bambino inserisce il suo cucchiaio nel suo contenitore per il gelato sul tavolo.</v>
      </c>
    </row>
    <row r="27299">
      <c r="A27299" s="4" t="s">
        <v>34364</v>
      </c>
      <c r="B27299" s="4" t="s">
        <v>34368</v>
      </c>
      <c r="C27299" s="5" t="str">
        <f>IFERROR(__xludf.DUMMYFUNCTION("GOOGLETRANSLATE(B27299,""en"",""it"")"),"Il bambino si lamenta di qualcosa.")</f>
        <v>Il bambino si lamenta di qualcosa.</v>
      </c>
    </row>
    <row r="27300">
      <c r="A27300" s="4" t="s">
        <v>34364</v>
      </c>
      <c r="B27300" s="4" t="s">
        <v>34369</v>
      </c>
      <c r="C27300" s="5" t="str">
        <f>IFERROR(__xludf.DUMMYFUNCTION("GOOGLETRANSLATE(B27300,""en"",""it"")"),"La fotocamera ingrandisce il gelato.")</f>
        <v>La fotocamera ingrandisce il gelato.</v>
      </c>
    </row>
    <row r="27301">
      <c r="A27301" s="4" t="s">
        <v>34370</v>
      </c>
      <c r="B27301" s="4" t="s">
        <v>34371</v>
      </c>
      <c r="C27301" s="5" t="str">
        <f>IFERROR(__xludf.DUMMYFUNCTION("GOOGLETRANSLATE(B27301,""en"",""it"")"),"Una persona è vista in piedi su un campo che indossa palafitte in piedi.")</f>
        <v>Una persona è vista in piedi su un campo che indossa palafitte in piedi.</v>
      </c>
    </row>
    <row r="27302">
      <c r="A27302" s="4" t="s">
        <v>34370</v>
      </c>
      <c r="B27302" s="4" t="s">
        <v>34372</v>
      </c>
      <c r="C27302" s="5" t="str">
        <f>IFERROR(__xludf.DUMMYFUNCTION("GOOGLETRANSLATE(B27302,""en"",""it"")"),"Il ragazzo inizia quindi a correre lungo il campo sulle passioni.")</f>
        <v>Il ragazzo inizia quindi a correre lungo il campo sulle passioni.</v>
      </c>
    </row>
    <row r="27303">
      <c r="A27303" s="4" t="s">
        <v>34370</v>
      </c>
      <c r="B27303" s="4" t="s">
        <v>34373</v>
      </c>
      <c r="C27303" s="5" t="str">
        <f>IFERROR(__xludf.DUMMYFUNCTION("GOOGLETRANSLATE(B27303,""en"",""it"")"),"Il ragazzo schiaccia una palla nel cestino e torna indietro per afferrarlo.")</f>
        <v>Il ragazzo schiaccia una palla nel cestino e torna indietro per afferrarlo.</v>
      </c>
    </row>
    <row r="27304">
      <c r="A27304" s="4" t="s">
        <v>34374</v>
      </c>
      <c r="B27304" s="4" t="s">
        <v>34375</v>
      </c>
      <c r="C27304" s="5" t="str">
        <f>IFERROR(__xludf.DUMMYFUNCTION("GOOGLETRANSLATE(B27304,""en"",""it"")"),"Un uomo viene visto usando un trapano elettrico in una grande ciotola piena di cioccolato.")</f>
        <v>Un uomo viene visto usando un trapano elettrico in una grande ciotola piena di cioccolato.</v>
      </c>
    </row>
    <row r="27305">
      <c r="A27305" s="4" t="s">
        <v>34374</v>
      </c>
      <c r="B27305" s="4" t="s">
        <v>34376</v>
      </c>
      <c r="C27305" s="5" t="str">
        <f>IFERROR(__xludf.DUMMYFUNCTION("GOOGLETRANSLATE(B27305,""en"",""it"")"),"Un'altra persona gli consegna un frullatore ma l'uomo continua a usare il trapano nella ciotola.")</f>
        <v>Un'altra persona gli consegna un frullatore ma l'uomo continua a usare il trapano nella ciotola.</v>
      </c>
    </row>
    <row r="27306">
      <c r="A27306" s="4" t="s">
        <v>34377</v>
      </c>
      <c r="B27306" s="4" t="s">
        <v>34378</v>
      </c>
      <c r="C27306" s="5" t="str">
        <f>IFERROR(__xludf.DUMMYFUNCTION("GOOGLETRANSLATE(B27306,""en"",""it"")"),"Una giovane donna è vista in piedi dietro un tosaerba in un cortile.")</f>
        <v>Una giovane donna è vista in piedi dietro un tosaerba in un cortile.</v>
      </c>
    </row>
    <row r="27307">
      <c r="A27307" s="4" t="s">
        <v>34377</v>
      </c>
      <c r="B27307" s="4" t="s">
        <v>34379</v>
      </c>
      <c r="C27307" s="5" t="str">
        <f>IFERROR(__xludf.DUMMYFUNCTION("GOOGLETRANSLATE(B27307,""en"",""it"")"),"Comincia a spingere il tosaerba lungo il cortile.")</f>
        <v>Comincia a spingere il tosaerba lungo il cortile.</v>
      </c>
    </row>
    <row r="27308">
      <c r="A27308" s="4" t="s">
        <v>34377</v>
      </c>
      <c r="B27308" s="4" t="s">
        <v>34380</v>
      </c>
      <c r="C27308" s="5" t="str">
        <f>IFERROR(__xludf.DUMMYFUNCTION("GOOGLETRANSLATE(B27308,""en"",""it"")"),"Si sposta sul prato e guarda nella telecamera.")</f>
        <v>Si sposta sul prato e guarda nella telecamera.</v>
      </c>
    </row>
    <row r="27309">
      <c r="A27309" s="4" t="s">
        <v>34381</v>
      </c>
      <c r="B27309" s="4" t="s">
        <v>34382</v>
      </c>
      <c r="C27309" s="5" t="str">
        <f>IFERROR(__xludf.DUMMYFUNCTION("GOOGLETRANSLATE(B27309,""en"",""it"")"),"Una ginnasta esegue una routine sulle barre orizzontali.")</f>
        <v>Una ginnasta esegue una routine sulle barre orizzontali.</v>
      </c>
    </row>
    <row r="27310">
      <c r="A27310" s="4" t="s">
        <v>34381</v>
      </c>
      <c r="B27310" s="4" t="s">
        <v>34383</v>
      </c>
      <c r="C27310" s="5" t="str">
        <f>IFERROR(__xludf.DUMMYFUNCTION("GOOGLETRANSLATE(B27310,""en"",""it"")"),"La ginnasta gira e si gira da una barra all'altra, anche da un lato.")</f>
        <v>La ginnasta gira e si gira da una barra all'altra, anche da un lato.</v>
      </c>
    </row>
    <row r="27311">
      <c r="A27311" s="4" t="s">
        <v>34381</v>
      </c>
      <c r="B27311" s="6" t="s">
        <v>34384</v>
      </c>
      <c r="C27311" s="5" t="str">
        <f>IFERROR(__xludf.DUMMYFUNCTION("GOOGLETRANSLATE(B27311,""en"",""it"")"),"Quindi, la ginnasta gira e salta in piedi sul pavimento, quindi viene presentato un flashback della routine.")</f>
        <v>Quindi, la ginnasta gira e salta in piedi sul pavimento, quindi viene presentato un flashback della routine.</v>
      </c>
    </row>
    <row r="27312">
      <c r="A27312" s="4" t="s">
        <v>34385</v>
      </c>
      <c r="B27312" s="4" t="s">
        <v>34386</v>
      </c>
      <c r="C27312" s="5" t="str">
        <f>IFERROR(__xludf.DUMMYFUNCTION("GOOGLETRANSLATE(B27312,""en"",""it"")"),"Un uomo e una donna stanno andando in bicicletta rapidamente lungo una strada asfaltata.")</f>
        <v>Un uomo e una donna stanno andando in bicicletta rapidamente lungo una strada asfaltata.</v>
      </c>
    </row>
    <row r="27313">
      <c r="A27313" s="4" t="s">
        <v>34385</v>
      </c>
      <c r="B27313" s="4" t="s">
        <v>34387</v>
      </c>
      <c r="C27313" s="5" t="str">
        <f>IFERROR(__xludf.DUMMYFUNCTION("GOOGLETRANSLATE(B27313,""en"",""it"")"),"Si fermano, pompando aria nelle loro gomme.")</f>
        <v>Si fermano, pompando aria nelle loro gomme.</v>
      </c>
    </row>
    <row r="27314">
      <c r="A27314" s="4" t="s">
        <v>34385</v>
      </c>
      <c r="B27314" s="4" t="s">
        <v>34388</v>
      </c>
      <c r="C27314" s="5" t="str">
        <f>IFERROR(__xludf.DUMMYFUNCTION("GOOGLETRANSLATE(B27314,""en"",""it"")"),"Quindi sostituiscono i tubi e tornano in bici.")</f>
        <v>Quindi sostituiscono i tubi e tornano in bici.</v>
      </c>
    </row>
    <row r="27315">
      <c r="A27315" s="4" t="s">
        <v>34385</v>
      </c>
      <c r="B27315" s="4" t="s">
        <v>34389</v>
      </c>
      <c r="C27315" s="5" t="str">
        <f>IFERROR(__xludf.DUMMYFUNCTION("GOOGLETRANSLATE(B27315,""en"",""it"")"),"Continuano a cavalcare lungo la strada.")</f>
        <v>Continuano a cavalcare lungo la strada.</v>
      </c>
    </row>
    <row r="27316">
      <c r="A27316" s="4" t="s">
        <v>34390</v>
      </c>
      <c r="B27316" s="4" t="s">
        <v>34391</v>
      </c>
      <c r="C27316" s="5" t="str">
        <f>IFERROR(__xludf.DUMMYFUNCTION("GOOGLETRANSLATE(B27316,""en"",""it"")"),"Una donna è in piedi nella vasca da bagno usando la doccia per lavarsi i vestiti.")</f>
        <v>Una donna è in piedi nella vasca da bagno usando la doccia per lavarsi i vestiti.</v>
      </c>
    </row>
    <row r="27317">
      <c r="A27317" s="4" t="s">
        <v>34390</v>
      </c>
      <c r="B27317" s="4" t="s">
        <v>34392</v>
      </c>
      <c r="C27317" s="5" t="str">
        <f>IFERROR(__xludf.DUMMYFUNCTION("GOOGLETRANSLATE(B27317,""en"",""it"")"),"Prende a calci i vestiti e si avvicina e si balla su di loro.")</f>
        <v>Prende a calci i vestiti e si avvicina e si balla su di loro.</v>
      </c>
    </row>
    <row r="27318">
      <c r="A27318" s="4" t="s">
        <v>34390</v>
      </c>
      <c r="B27318" s="4" t="s">
        <v>34393</v>
      </c>
      <c r="C27318" s="5" t="str">
        <f>IFERROR(__xludf.DUMMYFUNCTION("GOOGLETRANSLATE(B27318,""en"",""it"")"),"Il suo ragazzo sta registrando lei e se stesso allo specchio.")</f>
        <v>Il suo ragazzo sta registrando lei e se stesso allo specchio.</v>
      </c>
    </row>
    <row r="27319">
      <c r="A27319" s="4" t="s">
        <v>34390</v>
      </c>
      <c r="B27319" s="6" t="s">
        <v>34394</v>
      </c>
      <c r="C27319" s="5" t="str">
        <f>IFERROR(__xludf.DUMMYFUNCTION("GOOGLETRANSLATE(B27319,""en"",""it"")"),"Continua a guardarla mentre si avvicinava ai vestiti, e poi gira la telecamera verso sua madre.")</f>
        <v>Continua a guardarla mentre si avvicinava ai vestiti, e poi gira la telecamera verso sua madre.</v>
      </c>
    </row>
    <row r="27320">
      <c r="A27320" s="4" t="s">
        <v>34395</v>
      </c>
      <c r="B27320" s="4" t="s">
        <v>34396</v>
      </c>
      <c r="C27320" s="5" t="str">
        <f>IFERROR(__xludf.DUMMYFUNCTION("GOOGLETRANSLATE(B27320,""en"",""it"")"),"Diverse persone si trovano in una piccola stanza vestita con abiti da allenamento che salgono e sul gradino delle scale.")</f>
        <v>Diverse persone si trovano in una piccola stanza vestita con abiti da allenamento che salgono e sul gradino delle scale.</v>
      </c>
    </row>
    <row r="27321">
      <c r="A27321" s="4" t="s">
        <v>34395</v>
      </c>
      <c r="B27321" s="4" t="s">
        <v>34397</v>
      </c>
      <c r="C27321" s="5" t="str">
        <f>IFERROR(__xludf.DUMMYFUNCTION("GOOGLETRANSLATE(B27321,""en"",""it"")"),"Quindi si girano e iniziano a ballare sul passo delle scale e intensificando l'allenamento.")</f>
        <v>Quindi si girano e iniziano a ballare sul passo delle scale e intensificando l'allenamento.</v>
      </c>
    </row>
    <row r="27322">
      <c r="A27322" s="4" t="s">
        <v>34395</v>
      </c>
      <c r="B27322" s="4" t="s">
        <v>34398</v>
      </c>
      <c r="C27322" s="5" t="str">
        <f>IFERROR(__xludf.DUMMYFUNCTION("GOOGLETRANSLATE(B27322,""en"",""it"")"),"A metà, l'istruttore scende e cammina mentre il resto della classe continua.")</f>
        <v>A metà, l'istruttore scende e cammina mentre il resto della classe continua.</v>
      </c>
    </row>
    <row r="27323">
      <c r="A27323" s="4" t="s">
        <v>34395</v>
      </c>
      <c r="B27323" s="6" t="s">
        <v>34399</v>
      </c>
      <c r="C27323" s="5" t="str">
        <f>IFERROR(__xludf.DUMMYFUNCTION("GOOGLETRANSLATE(B27323,""en"",""it"")"),"Dopo, afferra il gradino delle scale, mettilo contro il muro e torna ai loro punti per il resto dell'allenamento.")</f>
        <v>Dopo, afferra il gradino delle scale, mettilo contro il muro e torna ai loro punti per il resto dell'allenamento.</v>
      </c>
    </row>
    <row r="27324">
      <c r="A27324" s="4" t="s">
        <v>34400</v>
      </c>
      <c r="B27324" s="6" t="s">
        <v>34401</v>
      </c>
      <c r="C27324" s="5" t="str">
        <f>IFERROR(__xludf.DUMMYFUNCTION("GOOGLETRANSLATE(B27324,""en"",""it"")"),"Steven Richardson, un responsabile del negozio, discute l'argomento della cura dei pneumatici per i veicoli con una trazione a 4 ruote.")</f>
        <v>Steven Richardson, un responsabile del negozio, discute l'argomento della cura dei pneumatici per i veicoli con una trazione a 4 ruote.</v>
      </c>
    </row>
    <row r="27325">
      <c r="A27325" s="4" t="s">
        <v>34400</v>
      </c>
      <c r="B27325" s="4" t="s">
        <v>34402</v>
      </c>
      <c r="C27325" s="5" t="str">
        <f>IFERROR(__xludf.DUMMYFUNCTION("GOOGLETRANSLATE(B27325,""en"",""it"")"),"Spiega che le gomme non corrispondenti su veicoli a 4 ruote motrici causano usura.")</f>
        <v>Spiega che le gomme non corrispondenti su veicoli a 4 ruote motrici causano usura.</v>
      </c>
    </row>
    <row r="27326">
      <c r="A27326" s="4" t="s">
        <v>34400</v>
      </c>
      <c r="B27326" s="4" t="s">
        <v>34403</v>
      </c>
      <c r="C27326" s="5" t="str">
        <f>IFERROR(__xludf.DUMMYFUNCTION("GOOGLETRANSLATE(B27326,""en"",""it"")"),"Raccomanda che tutte e 4 le gomme debbano essere sostituite contemporaneamente.")</f>
        <v>Raccomanda che tutte e 4 le gomme debbano essere sostituite contemporaneamente.</v>
      </c>
    </row>
    <row r="27327">
      <c r="A27327" s="4" t="s">
        <v>34400</v>
      </c>
      <c r="B27327" s="4" t="s">
        <v>34404</v>
      </c>
      <c r="C27327" s="5" t="str">
        <f>IFERROR(__xludf.DUMMYFUNCTION("GOOGLETRANSLATE(B27327,""en"",""it"")"),"Pubblicizza il sito Web Belletire Dot Com e dice di usarlo per trovare una posizione vicino a te.")</f>
        <v>Pubblicizza il sito Web Belletire Dot Com e dice di usarlo per trovare una posizione vicino a te.</v>
      </c>
    </row>
    <row r="27328">
      <c r="A27328" s="4" t="s">
        <v>34405</v>
      </c>
      <c r="B27328" s="4" t="s">
        <v>34406</v>
      </c>
      <c r="C27328" s="5" t="str">
        <f>IFERROR(__xludf.DUMMYFUNCTION("GOOGLETRANSLATE(B27328,""en"",""it"")"),"Una ballerina viene vista uscire su un palco e conduce a eseguire una routine di balletto.")</f>
        <v>Una ballerina viene vista uscire su un palco e conduce a eseguire una routine di balletto.</v>
      </c>
    </row>
    <row r="27329">
      <c r="A27329" s="4" t="s">
        <v>34405</v>
      </c>
      <c r="B27329" s="4" t="s">
        <v>34407</v>
      </c>
      <c r="C27329" s="5" t="str">
        <f>IFERROR(__xludf.DUMMYFUNCTION("GOOGLETRANSLATE(B27329,""en"",""it"")"),"La ragazza si gira sulle sue scarpe mentre il pubblico la guarda.")</f>
        <v>La ragazza si gira sulle sue scarpe mentre il pubblico la guarda.</v>
      </c>
    </row>
    <row r="27330">
      <c r="A27330" s="4" t="s">
        <v>34405</v>
      </c>
      <c r="B27330" s="4" t="s">
        <v>34408</v>
      </c>
      <c r="C27330" s="5" t="str">
        <f>IFERROR(__xludf.DUMMYFUNCTION("GOOGLETRANSLATE(B27330,""en"",""it"")"),"Continua a girare e roteare in giro e termina tenendo una posa e inchinandosi.")</f>
        <v>Continua a girare e roteare in giro e termina tenendo una posa e inchinandosi.</v>
      </c>
    </row>
    <row r="27331">
      <c r="A27331" s="4" t="s">
        <v>34409</v>
      </c>
      <c r="B27331" s="4" t="s">
        <v>34410</v>
      </c>
      <c r="C27331" s="5" t="str">
        <f>IFERROR(__xludf.DUMMYFUNCTION("GOOGLETRANSLATE(B27331,""en"",""it"")"),"Un uomo a piedi nudi sta ritoccando un pezzo di mobili in legno con un pennello.")</f>
        <v>Un uomo a piedi nudi sta ritoccando un pezzo di mobili in legno con un pennello.</v>
      </c>
    </row>
    <row r="27332">
      <c r="A27332" s="4" t="s">
        <v>34409</v>
      </c>
      <c r="B27332" s="4" t="s">
        <v>34411</v>
      </c>
      <c r="C27332" s="5" t="str">
        <f>IFERROR(__xludf.DUMMYFUNCTION("GOOGLETRANSLATE(B27332,""en"",""it"")"),"Quindi muove il pezzo in giro per mostrare gli sfregamenti e li soffia con un pennello.")</f>
        <v>Quindi muove il pezzo in giro per mostrare gli sfregamenti e li soffia con un pennello.</v>
      </c>
    </row>
    <row r="27333">
      <c r="A27333" s="4" t="s">
        <v>34409</v>
      </c>
      <c r="B27333" s="4" t="s">
        <v>34412</v>
      </c>
      <c r="C27333" s="5" t="str">
        <f>IFERROR(__xludf.DUMMYFUNCTION("GOOGLETRANSLATE(B27333,""en"",""it"")"),"L'uomo mostra i bordi puliti con le dita.")</f>
        <v>L'uomo mostra i bordi puliti con le dita.</v>
      </c>
    </row>
    <row r="27334">
      <c r="A27334" s="4" t="s">
        <v>34413</v>
      </c>
      <c r="B27334" s="4" t="s">
        <v>34414</v>
      </c>
      <c r="C27334" s="5" t="str">
        <f>IFERROR(__xludf.DUMMYFUNCTION("GOOGLETRANSLATE(B27334,""en"",""it"")"),"Un paio di bambini tifano in una pista da bowling.")</f>
        <v>Un paio di bambini tifano in una pista da bowling.</v>
      </c>
    </row>
    <row r="27335">
      <c r="A27335" s="4" t="s">
        <v>34413</v>
      </c>
      <c r="B27335" s="4" t="s">
        <v>34415</v>
      </c>
      <c r="C27335" s="5" t="str">
        <f>IFERROR(__xludf.DUMMYFUNCTION("GOOGLETRANSLATE(B27335,""en"",""it"")"),"Si uniscono ad altri bambini, discutendo su una palla da bowling.")</f>
        <v>Si uniscono ad altri bambini, discutendo su una palla da bowling.</v>
      </c>
    </row>
    <row r="27336">
      <c r="A27336" s="4" t="s">
        <v>34413</v>
      </c>
      <c r="B27336" s="4" t="s">
        <v>34416</v>
      </c>
      <c r="C27336" s="5" t="str">
        <f>IFERROR(__xludf.DUMMYFUNCTION("GOOGLETRANSLATE(B27336,""en"",""it"")"),"Scegliano una palla, poi la lanciano lungo la corsia.")</f>
        <v>Scegliano una palla, poi la lanciano lungo la corsia.</v>
      </c>
    </row>
    <row r="27337">
      <c r="A27337" s="4" t="s">
        <v>34417</v>
      </c>
      <c r="B27337" s="4" t="s">
        <v>34418</v>
      </c>
      <c r="C27337" s="5" t="str">
        <f>IFERROR(__xludf.DUMMYFUNCTION("GOOGLETRANSLATE(B27337,""en"",""it"")"),"Un gruppo di persone balla l'uno intorno all'altro.")</f>
        <v>Un gruppo di persone balla l'uno intorno all'altro.</v>
      </c>
    </row>
    <row r="27338">
      <c r="A27338" s="4" t="s">
        <v>34417</v>
      </c>
      <c r="B27338" s="4" t="s">
        <v>34419</v>
      </c>
      <c r="C27338" s="5" t="str">
        <f>IFERROR(__xludf.DUMMYFUNCTION("GOOGLETRANSLATE(B27338,""en"",""it"")"),"Una ragazza si muove con un cerchio di hula facendo vari movimenti.")</f>
        <v>Una ragazza si muove con un cerchio di hula facendo vari movimenti.</v>
      </c>
    </row>
    <row r="27339">
      <c r="A27339" s="4" t="s">
        <v>34417</v>
      </c>
      <c r="B27339" s="4" t="s">
        <v>34420</v>
      </c>
      <c r="C27339" s="5" t="str">
        <f>IFERROR(__xludf.DUMMYFUNCTION("GOOGLETRANSLATE(B27339,""en"",""it"")"),"La gente continua a ballare intorno a lei con vari movimenti.")</f>
        <v>La gente continua a ballare intorno a lei con vari movimenti.</v>
      </c>
    </row>
    <row r="27340">
      <c r="A27340" s="4" t="s">
        <v>34417</v>
      </c>
      <c r="B27340" s="4" t="s">
        <v>34421</v>
      </c>
      <c r="C27340" s="5" t="str">
        <f>IFERROR(__xludf.DUMMYFUNCTION("GOOGLETRANSLATE(B27340,""en"",""it"")"),"La ragazza le gira il telaio hula attorno alla testa.")</f>
        <v>La ragazza le gira il telaio hula attorno alla testa.</v>
      </c>
    </row>
    <row r="27341">
      <c r="A27341" s="4" t="s">
        <v>34422</v>
      </c>
      <c r="B27341" s="6" t="s">
        <v>34423</v>
      </c>
      <c r="C27341" s="5" t="str">
        <f>IFERROR(__xludf.DUMMYFUNCTION("GOOGLETRANSLATE(B27341,""en"",""it"")"),"Due ragazze vengono viste parlare e salutare la telecamera che conducono in loro eseguendo diversi salti e trucchi su un tappetino.")</f>
        <v>Due ragazze vengono viste parlare e salutare la telecamera che conducono in loro eseguendo diversi salti e trucchi su un tappetino.</v>
      </c>
    </row>
    <row r="27342">
      <c r="A27342" s="4" t="s">
        <v>34422</v>
      </c>
      <c r="B27342" s="6" t="s">
        <v>34424</v>
      </c>
      <c r="C27342" s="5" t="str">
        <f>IFERROR(__xludf.DUMMYFUNCTION("GOOGLETRANSLATE(B27342,""en"",""it"")"),"Le ragazze continuano a turno a girare intorno al tappetino nella zona, nonché a parlare con la telecamera e ad agitarsi.")</f>
        <v>Le ragazze continuano a turno a girare intorno al tappetino nella zona, nonché a parlare con la telecamera e ad agitarsi.</v>
      </c>
    </row>
    <row r="27343">
      <c r="A27343" s="4" t="s">
        <v>34425</v>
      </c>
      <c r="B27343" s="4" t="s">
        <v>34426</v>
      </c>
      <c r="C27343" s="5" t="str">
        <f>IFERROR(__xludf.DUMMYFUNCTION("GOOGLETRANSLATE(B27343,""en"",""it"")"),"Una donna è in piedi con una palla su una corda.")</f>
        <v>Una donna è in piedi con una palla su una corda.</v>
      </c>
    </row>
    <row r="27344">
      <c r="A27344" s="4" t="s">
        <v>34425</v>
      </c>
      <c r="B27344" s="4" t="s">
        <v>34427</v>
      </c>
      <c r="C27344" s="5" t="str">
        <f>IFERROR(__xludf.DUMMYFUNCTION("GOOGLETRANSLATE(B27344,""en"",""it"")"),"È in competizione per l'atletica.")</f>
        <v>È in competizione per l'atletica.</v>
      </c>
    </row>
    <row r="27345">
      <c r="A27345" s="4" t="s">
        <v>34425</v>
      </c>
      <c r="B27345" s="4" t="s">
        <v>34428</v>
      </c>
      <c r="C27345" s="5" t="str">
        <f>IFERROR(__xludf.DUMMYFUNCTION("GOOGLETRANSLATE(B27345,""en"",""it"")"),"Orlza la palla numerose volte, poi le gambe vanno e applaude mentre atterra lontano nel campo.")</f>
        <v>Orlza la palla numerose volte, poi le gambe vanno e applaude mentre atterra lontano nel campo.</v>
      </c>
    </row>
    <row r="27346">
      <c r="A27346" s="4" t="s">
        <v>34429</v>
      </c>
      <c r="B27346" s="6" t="s">
        <v>34430</v>
      </c>
      <c r="C27346" s="5" t="str">
        <f>IFERROR(__xludf.DUMMYFUNCTION("GOOGLETRANSLATE(B27346,""en"",""it"")"),"Un atleta viene visto in piedi pronto nel mezzo di un piccolo cerchio e poi lancia un tiro rimandato in lontananza.")</f>
        <v>Un atleta viene visto in piedi pronto nel mezzo di un piccolo cerchio e poi lancia un tiro rimandato in lontananza.</v>
      </c>
    </row>
    <row r="27347">
      <c r="A27347" s="4" t="s">
        <v>34429</v>
      </c>
      <c r="B27347" s="4" t="s">
        <v>34431</v>
      </c>
      <c r="C27347" s="5" t="str">
        <f>IFERROR(__xludf.DUMMYFUNCTION("GOOGLETRANSLATE(B27347,""en"",""it"")"),"L'uomo si allontana scuotendo le braccia e il suo tiro viene mostrato di nuovo più volte.")</f>
        <v>L'uomo si allontana scuotendo le braccia e il suo tiro viene mostrato di nuovo più volte.</v>
      </c>
    </row>
    <row r="27348">
      <c r="A27348" s="4" t="s">
        <v>34429</v>
      </c>
      <c r="B27348" s="6" t="s">
        <v>34432</v>
      </c>
      <c r="C27348" s="5" t="str">
        <f>IFERROR(__xludf.DUMMYFUNCTION("GOOGLETRANSLATE(B27348,""en"",""it"")"),"Vengono mostrati molti altri atleti che si avvicinano alla piattaforma lanciando il tiro messo e finendo con un uomo con un cappello che parla al pubblico.")</f>
        <v>Vengono mostrati molti altri atleti che si avvicinano alla piattaforma lanciando il tiro messo e finendo con un uomo con un cappello che parla al pubblico.</v>
      </c>
    </row>
    <row r="27349">
      <c r="A27349" s="4" t="s">
        <v>34433</v>
      </c>
      <c r="B27349" s="4" t="s">
        <v>34434</v>
      </c>
      <c r="C27349" s="5" t="str">
        <f>IFERROR(__xludf.DUMMYFUNCTION("GOOGLETRANSLATE(B27349,""en"",""it"")"),"Una signora in un reggiseno e le mutandine afferra e lancia uno scatto.")</f>
        <v>Una signora in un reggiseno e le mutandine afferra e lancia uno scatto.</v>
      </c>
    </row>
    <row r="27350">
      <c r="A27350" s="4" t="s">
        <v>34433</v>
      </c>
      <c r="B27350" s="4" t="s">
        <v>34435</v>
      </c>
      <c r="C27350" s="5" t="str">
        <f>IFERROR(__xludf.DUMMYFUNCTION("GOOGLETRANSLATE(B27350,""en"",""it"")"),"Passa attraverso una finestra su una casa e un gatto corre.")</f>
        <v>Passa attraverso una finestra su una casa e un gatto corre.</v>
      </c>
    </row>
    <row r="27351">
      <c r="A27351" s="4" t="s">
        <v>34433</v>
      </c>
      <c r="B27351" s="4" t="s">
        <v>34436</v>
      </c>
      <c r="C27351" s="5" t="str">
        <f>IFERROR(__xludf.DUMMYFUNCTION("GOOGLETRANSLATE(B27351,""en"",""it"")"),"L'uomo guarda fuori e vede la signora.")</f>
        <v>L'uomo guarda fuori e vede la signora.</v>
      </c>
    </row>
    <row r="27352">
      <c r="A27352" s="4" t="s">
        <v>34433</v>
      </c>
      <c r="B27352" s="4" t="s">
        <v>34437</v>
      </c>
      <c r="C27352" s="5" t="str">
        <f>IFERROR(__xludf.DUMMYFUNCTION("GOOGLETRANSLATE(B27352,""en"",""it"")"),"La signora usa un palo per polare la caveau nella finestra della seconda storia e salta sull'uomo.")</f>
        <v>La signora usa un palo per polare la caveau nella finestra della seconda storia e salta sull'uomo.</v>
      </c>
    </row>
    <row r="27353">
      <c r="A27353" s="4" t="s">
        <v>34433</v>
      </c>
      <c r="B27353" s="4" t="s">
        <v>34438</v>
      </c>
      <c r="C27353" s="5" t="str">
        <f>IFERROR(__xludf.DUMMYFUNCTION("GOOGLETRANSLATE(B27353,""en"",""it"")"),"Vediamo la schermata del titolo e i pantaloni dell'uomo volare fuori dalla finestra.")</f>
        <v>Vediamo la schermata del titolo e i pantaloni dell'uomo volare fuori dalla finestra.</v>
      </c>
    </row>
    <row r="27354">
      <c r="A27354" s="4" t="s">
        <v>34439</v>
      </c>
      <c r="B27354" s="4" t="s">
        <v>34440</v>
      </c>
      <c r="C27354" s="5" t="str">
        <f>IFERROR(__xludf.DUMMYFUNCTION("GOOGLETRANSLATE(B27354,""en"",""it"")"),"Una persona che tiene una scopa pulisce il pavimento avanti e indietro.")</f>
        <v>Una persona che tiene una scopa pulisce il pavimento avanti e indietro.</v>
      </c>
    </row>
    <row r="27355">
      <c r="A27355" s="4" t="s">
        <v>34439</v>
      </c>
      <c r="B27355" s="4" t="s">
        <v>34441</v>
      </c>
      <c r="C27355" s="5" t="str">
        <f>IFERROR(__xludf.DUMMYFUNCTION("GOOGLETRANSLATE(B27355,""en"",""it"")"),"La persona gira la scopa per raccogliere la polvere.")</f>
        <v>La persona gira la scopa per raccogliere la polvere.</v>
      </c>
    </row>
    <row r="27356">
      <c r="A27356" s="4" t="s">
        <v>34442</v>
      </c>
      <c r="B27356" s="4" t="s">
        <v>34443</v>
      </c>
      <c r="C27356" s="5" t="str">
        <f>IFERROR(__xludf.DUMMYFUNCTION("GOOGLETRANSLATE(B27356,""en"",""it"")"),"Gli atleti corrono su una pista all'aperto di un campo e un polo durante le prove.")</f>
        <v>Gli atleti corrono su una pista all'aperto di un campo e un polo durante le prove.</v>
      </c>
    </row>
    <row r="27357">
      <c r="A27357" s="4" t="s">
        <v>34442</v>
      </c>
      <c r="B27357" s="4" t="s">
        <v>34444</v>
      </c>
      <c r="C27357" s="5" t="str">
        <f>IFERROR(__xludf.DUMMYFUNCTION("GOOGLETRANSLATE(B27357,""en"",""it"")"),"Un atleta corre e volte a palo durante una competizione olimpica in uno stadio.")</f>
        <v>Un atleta corre e volte a palo durante una competizione olimpica in uno stadio.</v>
      </c>
    </row>
    <row r="27358">
      <c r="A27358" s="4" t="s">
        <v>34442</v>
      </c>
      <c r="B27358" s="4" t="s">
        <v>34445</v>
      </c>
      <c r="C27358" s="5" t="str">
        <f>IFERROR(__xludf.DUMMYFUNCTION("GOOGLETRANSLATE(B27358,""en"",""it"")"),"Gli atleti fanno salti di pratica e si tuffano sotto la corda e sul tappetino.")</f>
        <v>Gli atleti fanno salti di pratica e si tuffano sotto la corda e sul tappetino.</v>
      </c>
    </row>
    <row r="27359">
      <c r="A27359" s="4" t="s">
        <v>34446</v>
      </c>
      <c r="B27359" s="4" t="s">
        <v>34447</v>
      </c>
      <c r="C27359" s="5" t="str">
        <f>IFERROR(__xludf.DUMMYFUNCTION("GOOGLETRANSLATE(B27359,""en"",""it"")"),"Un bambino sta riempiendo un cono gelato di gelato.")</f>
        <v>Un bambino sta riempiendo un cono gelato di gelato.</v>
      </c>
    </row>
    <row r="27360">
      <c r="A27360" s="4" t="s">
        <v>34446</v>
      </c>
      <c r="B27360" s="4" t="s">
        <v>34448</v>
      </c>
      <c r="C27360" s="5" t="str">
        <f>IFERROR(__xludf.DUMMYFUNCTION("GOOGLETRANSLATE(B27360,""en"",""it"")"),"Lecca il cono del gelato.")</f>
        <v>Lecca il cono del gelato.</v>
      </c>
    </row>
    <row r="27361">
      <c r="A27361" s="4" t="s">
        <v>34446</v>
      </c>
      <c r="B27361" s="4" t="s">
        <v>34449</v>
      </c>
      <c r="C27361" s="5" t="str">
        <f>IFERROR(__xludf.DUMMYFUNCTION("GOOGLETRANSLATE(B27361,""en"",""it"")"),"Solleva il cono del gelato per mostrare la telecamera.")</f>
        <v>Solleva il cono del gelato per mostrare la telecamera.</v>
      </c>
    </row>
    <row r="27362">
      <c r="A27362" s="4" t="s">
        <v>34450</v>
      </c>
      <c r="B27362" s="4" t="s">
        <v>34451</v>
      </c>
      <c r="C27362" s="5" t="str">
        <f>IFERROR(__xludf.DUMMYFUNCTION("GOOGLETRANSLATE(B27362,""en"",""it"")"),"Una ragazza ha un palo ed è bendata.")</f>
        <v>Una ragazza ha un palo ed è bendata.</v>
      </c>
    </row>
    <row r="27363">
      <c r="A27363" s="4" t="s">
        <v>34450</v>
      </c>
      <c r="B27363" s="4" t="s">
        <v>34452</v>
      </c>
      <c r="C27363" s="5" t="str">
        <f>IFERROR(__xludf.DUMMYFUNCTION("GOOGLETRANSLATE(B27363,""en"",""it"")"),"Oscilla a una pinata e manca.")</f>
        <v>Oscilla a una pinata e manca.</v>
      </c>
    </row>
    <row r="27364">
      <c r="A27364" s="4" t="s">
        <v>34450</v>
      </c>
      <c r="B27364" s="4" t="s">
        <v>34453</v>
      </c>
      <c r="C27364" s="5" t="str">
        <f>IFERROR(__xludf.DUMMYFUNCTION("GOOGLETRANSLATE(B27364,""en"",""it"")"),"Si avvicina e prova di nuovo, colpendolo questa volta.")</f>
        <v>Si avvicina e prova di nuovo, colpendolo questa volta.</v>
      </c>
    </row>
    <row r="27365">
      <c r="A27365" s="4" t="s">
        <v>34450</v>
      </c>
      <c r="B27365" s="4" t="s">
        <v>34454</v>
      </c>
      <c r="C27365" s="5" t="str">
        <f>IFERROR(__xludf.DUMMYFUNCTION("GOOGLETRANSLATE(B27365,""en"",""it"")"),"Fa il backup mentre un cane entra in scena.")</f>
        <v>Fa il backup mentre un cane entra in scena.</v>
      </c>
    </row>
    <row r="27366">
      <c r="A27366" s="4" t="s">
        <v>34450</v>
      </c>
      <c r="B27366" s="4" t="s">
        <v>34455</v>
      </c>
      <c r="C27366" s="5" t="str">
        <f>IFERROR(__xludf.DUMMYFUNCTION("GOOGLETRANSLATE(B27366,""en"",""it"")"),"Continua a oscillare per perdere.")</f>
        <v>Continua a oscillare per perdere.</v>
      </c>
    </row>
    <row r="27367">
      <c r="A27367" s="4" t="s">
        <v>34450</v>
      </c>
      <c r="B27367" s="4" t="s">
        <v>34456</v>
      </c>
      <c r="C27367" s="5" t="str">
        <f>IFERROR(__xludf.DUMMYFUNCTION("GOOGLETRANSLATE(B27367,""en"",""it"")"),"Si ferma per il momento, fa uno swing duro e lo colpisce.")</f>
        <v>Si ferma per il momento, fa uno swing duro e lo colpisce.</v>
      </c>
    </row>
    <row r="27368">
      <c r="A27368" s="4" t="s">
        <v>34457</v>
      </c>
      <c r="B27368" s="6" t="s">
        <v>34458</v>
      </c>
      <c r="C27368" s="5" t="str">
        <f>IFERROR(__xludf.DUMMYFUNCTION("GOOGLETRANSLATE(B27368,""en"",""it"")"),"Vari testo vengono mostrati sullo schermo e conducono in un uomo che parla e più strumenti mostrati.")</f>
        <v>Vari testo vengono mostrati sullo schermo e conducono in un uomo che parla e più strumenti mostrati.</v>
      </c>
    </row>
    <row r="27369">
      <c r="A27369" s="4" t="s">
        <v>34457</v>
      </c>
      <c r="B27369" s="4" t="s">
        <v>34459</v>
      </c>
      <c r="C27369" s="5" t="str">
        <f>IFERROR(__xludf.DUMMYFUNCTION("GOOGLETRANSLATE(B27369,""en"",""it"")"),"L'uomo strofina gli strumenti lungo la sua pelle e indica e quarto al vuoto mentre parla.")</f>
        <v>L'uomo strofina gli strumenti lungo la sua pelle e indica e quarto al vuoto mentre parla.</v>
      </c>
    </row>
    <row r="27370">
      <c r="A27370" s="4" t="s">
        <v>34460</v>
      </c>
      <c r="B27370" s="4" t="s">
        <v>34461</v>
      </c>
      <c r="C27370" s="5" t="str">
        <f>IFERROR(__xludf.DUMMYFUNCTION("GOOGLETRANSLATE(B27370,""en"",""it"")"),"La ghiaia superiore di un tetto pende non garantito.")</f>
        <v>La ghiaia superiore di un tetto pende non garantito.</v>
      </c>
    </row>
    <row r="27371">
      <c r="A27371" s="4" t="s">
        <v>34460</v>
      </c>
      <c r="B27371" s="4" t="s">
        <v>34462</v>
      </c>
      <c r="C27371" s="5" t="str">
        <f>IFERROR(__xludf.DUMMYFUNCTION("GOOGLETRANSLATE(B27371,""en"",""it"")"),"Un uomo su un tetto martella un chiodo nella ghiaia, assicurando la ghiaia.")</f>
        <v>Un uomo su un tetto martella un chiodo nella ghiaia, assicurando la ghiaia.</v>
      </c>
    </row>
    <row r="27372">
      <c r="A27372" s="4" t="s">
        <v>34463</v>
      </c>
      <c r="B27372" s="6" t="s">
        <v>34464</v>
      </c>
      <c r="C27372" s="5" t="str">
        <f>IFERROR(__xludf.DUMMYFUNCTION("GOOGLETRANSLATE(B27372,""en"",""it"")"),"Vergono varie persone che camminano per una spiaggia che portano a uomini che stringono una corda e rimbalzano sulla corda.")</f>
        <v>Vergono varie persone che camminano per una spiaggia che portano a uomini che stringono una corda e rimbalzano sulla corda.</v>
      </c>
    </row>
    <row r="27373">
      <c r="A27373" s="4" t="s">
        <v>34463</v>
      </c>
      <c r="B27373" s="6" t="s">
        <v>34465</v>
      </c>
      <c r="C27373" s="5" t="str">
        <f>IFERROR(__xludf.DUMMYFUNCTION("GOOGLETRANSLATE(B27373,""en"",""it"")"),"Diverse persone eseguono molti trucchi e salti sulla corda mentre altri si trovano e guardano sul lato.")</f>
        <v>Diverse persone eseguono molti trucchi e salti sulla corda mentre altri si trovano e guardano sul lato.</v>
      </c>
    </row>
    <row r="27374">
      <c r="A27374" s="4" t="s">
        <v>34466</v>
      </c>
      <c r="B27374" s="4" t="s">
        <v>34467</v>
      </c>
      <c r="C27374" s="5" t="str">
        <f>IFERROR(__xludf.DUMMYFUNCTION("GOOGLETRANSLATE(B27374,""en"",""it"")"),"Una persona viene vista cavalcare in un tubo lungo un fiume mentre la telecamera si ingrandisce sui piedi delle persone.")</f>
        <v>Una persona viene vista cavalcare in un tubo lungo un fiume mentre la telecamera si ingrandisce sui piedi delle persone.</v>
      </c>
    </row>
    <row r="27375">
      <c r="A27375" s="4" t="s">
        <v>34466</v>
      </c>
      <c r="B27375" s="4" t="s">
        <v>34468</v>
      </c>
      <c r="C27375" s="5" t="str">
        <f>IFERROR(__xludf.DUMMYFUNCTION("GOOGLETRANSLATE(B27375,""en"",""it"")"),"Le persone in tubi attraversano gli altri nell'acqua.")</f>
        <v>Le persone in tubi attraversano gli altri nell'acqua.</v>
      </c>
    </row>
    <row r="27376">
      <c r="A27376" s="4" t="s">
        <v>34466</v>
      </c>
      <c r="B27376" s="4" t="s">
        <v>34469</v>
      </c>
      <c r="C27376" s="5" t="str">
        <f>IFERROR(__xludf.DUMMYFUNCTION("GOOGLETRANSLATE(B27376,""en"",""it"")"),"Più persone sono viste cavalcare lungo il fiume nei tubi.")</f>
        <v>Più persone sono viste cavalcare lungo il fiume nei tubi.</v>
      </c>
    </row>
    <row r="27377">
      <c r="A27377" s="4" t="s">
        <v>34470</v>
      </c>
      <c r="B27377" s="6" t="s">
        <v>34471</v>
      </c>
      <c r="C27377" s="5" t="str">
        <f>IFERROR(__xludf.DUMMYFUNCTION("GOOGLETRANSLATE(B27377,""en"",""it"")"),"Una serie di clip della stessa donna che esegue volte a palo in diversi eventi atletici professionisti.")</f>
        <v>Una serie di clip della stessa donna che esegue volte a palo in diversi eventi atletici professionisti.</v>
      </c>
    </row>
    <row r="27378">
      <c r="A27378" s="4" t="s">
        <v>34470</v>
      </c>
      <c r="B27378" s="6" t="s">
        <v>34472</v>
      </c>
      <c r="C27378" s="5" t="str">
        <f>IFERROR(__xludf.DUMMYFUNCTION("GOOGLETRANSLATE(B27378,""en"",""it"")"),"Una donna che tiene un palo corre su una pista verso una linea di porta ed esegue una volta di fronte agli spettatori e ai sostenitori di eventi.")</f>
        <v>Una donna che tiene un palo corre su una pista verso una linea di porta ed esegue una volta di fronte agli spettatori e ai sostenitori di eventi.</v>
      </c>
    </row>
    <row r="27379">
      <c r="A27379" s="4" t="s">
        <v>34470</v>
      </c>
      <c r="B27379" s="6" t="s">
        <v>34473</v>
      </c>
      <c r="C27379" s="5" t="str">
        <f>IFERROR(__xludf.DUMMYFUNCTION("GOOGLETRANSLATE(B27379,""en"",""it"")"),"La donna viene quindi mostrata a altri due eventi che eseguono lo stesso salto con l'asta circondata da curiosi e abbondanti.")</f>
        <v>La donna viene quindi mostrata a altri due eventi che eseguono lo stesso salto con l'asta circondata da curiosi e abbondanti.</v>
      </c>
    </row>
    <row r="27380">
      <c r="A27380" s="4" t="s">
        <v>34474</v>
      </c>
      <c r="B27380" s="6" t="s">
        <v>34475</v>
      </c>
      <c r="C27380" s="5" t="str">
        <f>IFERROR(__xludf.DUMMYFUNCTION("GOOGLETRANSLATE(B27380,""en"",""it"")"),"Una donna si trova di fronte a uno specchio e si sciacqua la bocca prima di avvicinare il viso allo specchio e guardare i denti da un angolo ravvicinato.")</f>
        <v>Una donna si trova di fronte a uno specchio e si sciacqua la bocca prima di avvicinare il viso allo specchio e guardare i denti da un angolo ravvicinato.</v>
      </c>
    </row>
    <row r="27381">
      <c r="A27381" s="4" t="s">
        <v>34474</v>
      </c>
      <c r="B27381" s="4" t="s">
        <v>34476</v>
      </c>
      <c r="C27381" s="5" t="str">
        <f>IFERROR(__xludf.DUMMYFUNCTION("GOOGLETRANSLATE(B27381,""en"",""it"")"),"Una donna si siede di fronte a uno specchio del bagno che gli schiaccia l'acqua in bocca, come se si sciavesse la bocca.")</f>
        <v>Una donna si siede di fronte a uno specchio del bagno che gli schiaccia l'acqua in bocca, come se si sciavesse la bocca.</v>
      </c>
    </row>
    <row r="27382">
      <c r="A27382" s="4" t="s">
        <v>34474</v>
      </c>
      <c r="B27382" s="6" t="s">
        <v>34477</v>
      </c>
      <c r="C27382" s="5" t="str">
        <f>IFERROR(__xludf.DUMMYFUNCTION("GOOGLETRANSLATE(B27382,""en"",""it"")"),"La donna quindi sputa l'acqua nel lavandino e si guarda i denti molto vicini allo specchio prima che la scena svanisca.")</f>
        <v>La donna quindi sputa l'acqua nel lavandino e si guarda i denti molto vicini allo specchio prima che la scena svanisca.</v>
      </c>
    </row>
    <row r="27383">
      <c r="A27383" s="4" t="s">
        <v>34478</v>
      </c>
      <c r="B27383" s="4" t="s">
        <v>34479</v>
      </c>
      <c r="C27383" s="5" t="str">
        <f>IFERROR(__xludf.DUMMYFUNCTION("GOOGLETRANSLATE(B27383,""en"",""it"")"),"Vediamo persone sugli sci che cadono duramente.")</f>
        <v>Vediamo persone sugli sci che cadono duramente.</v>
      </c>
    </row>
    <row r="27384">
      <c r="A27384" s="4" t="s">
        <v>34478</v>
      </c>
      <c r="B27384" s="4" t="s">
        <v>34480</v>
      </c>
      <c r="C27384" s="5" t="str">
        <f>IFERROR(__xludf.DUMMYFUNCTION("GOOGLETRANSLATE(B27384,""en"",""it"")"),"Vediamo una persona volare in una pila di neve.")</f>
        <v>Vediamo una persona volare in una pila di neve.</v>
      </c>
    </row>
    <row r="27385">
      <c r="A27385" s="4" t="s">
        <v>34478</v>
      </c>
      <c r="B27385" s="4" t="s">
        <v>34481</v>
      </c>
      <c r="C27385" s="5" t="str">
        <f>IFERROR(__xludf.DUMMYFUNCTION("GOOGLETRANSLATE(B27385,""en"",""it"")"),"Una persona sci e cade mentre salta attraverso una strada.")</f>
        <v>Una persona sci e cade mentre salta attraverso una strada.</v>
      </c>
    </row>
    <row r="27386">
      <c r="A27386" s="4" t="s">
        <v>34478</v>
      </c>
      <c r="B27386" s="6" t="s">
        <v>34482</v>
      </c>
      <c r="C27386" s="5" t="str">
        <f>IFERROR(__xludf.DUMMYFUNCTION("GOOGLETRANSLATE(B27386,""en"",""it"")"),"Una persona su sci tiene una linea e cade, quindi una persona in bianco si schianta contro un'altra ed entrambi cadono.")</f>
        <v>Una persona su sci tiene una linea e cade, quindi una persona in bianco si schianta contro un'altra ed entrambi cadono.</v>
      </c>
    </row>
    <row r="27387">
      <c r="A27387" s="4" t="s">
        <v>34478</v>
      </c>
      <c r="B27387" s="4" t="s">
        <v>34483</v>
      </c>
      <c r="C27387" s="5" t="str">
        <f>IFERROR(__xludf.DUMMYFUNCTION("GOOGLETRANSLATE(B27387,""en"",""it"")"),"Uno snowboarder non può tenere la linea e bussa a una persona che aiuta e cade.")</f>
        <v>Uno snowboarder non può tenere la linea e bussa a una persona che aiuta e cade.</v>
      </c>
    </row>
    <row r="27388">
      <c r="A27388" s="4" t="s">
        <v>34484</v>
      </c>
      <c r="B27388" s="4" t="s">
        <v>34485</v>
      </c>
      <c r="C27388" s="5" t="str">
        <f>IFERROR(__xludf.DUMMYFUNCTION("GOOGLETRANSLATE(B27388,""en"",""it"")"),"Un fiume circondato da rocce apere.")</f>
        <v>Un fiume circondato da rocce apere.</v>
      </c>
    </row>
    <row r="27389">
      <c r="A27389" s="4" t="s">
        <v>34484</v>
      </c>
      <c r="B27389" s="4" t="s">
        <v>34486</v>
      </c>
      <c r="C27389" s="5" t="str">
        <f>IFERROR(__xludf.DUMMYFUNCTION("GOOGLETRANSLATE(B27389,""en"",""it"")"),"Diverse persone fluttuano attraverso di esso in intertorubi.")</f>
        <v>Diverse persone fluttuano attraverso di esso in intertorubi.</v>
      </c>
    </row>
    <row r="27390">
      <c r="A27390" s="4" t="s">
        <v>34484</v>
      </c>
      <c r="B27390" s="4" t="s">
        <v>34487</v>
      </c>
      <c r="C27390" s="5" t="str">
        <f>IFERROR(__xludf.DUMMYFUNCTION("GOOGLETRANSLATE(B27390,""en"",""it"")"),"Fluttuano lungo il fiume attraverso le rapide.")</f>
        <v>Fluttuano lungo il fiume attraverso le rapide.</v>
      </c>
    </row>
    <row r="27391">
      <c r="A27391" s="4" t="s">
        <v>34488</v>
      </c>
      <c r="B27391" s="6" t="s">
        <v>34489</v>
      </c>
      <c r="C27391" s="5" t="str">
        <f>IFERROR(__xludf.DUMMYFUNCTION("GOOGLETRANSLATE(B27391,""en"",""it"")"),"Un uomo e un uomo con camicia verde stanno decorando l'albero di Natale con il suo bambino con una camicia grigia, stanno mettendo le decorazioni mentre la donna è seduta su una sedia accanto all'albero e mettono i decori sul tavolo blu.")</f>
        <v>Un uomo e un uomo con camicia verde stanno decorando l'albero di Natale con il suo bambino con una camicia grigia, stanno mettendo le decorazioni mentre la donna è seduta su una sedia accanto all'albero e mettono i decori sul tavolo blu.</v>
      </c>
    </row>
    <row r="27392">
      <c r="A27392" s="4" t="s">
        <v>34488</v>
      </c>
      <c r="B27392" s="6" t="s">
        <v>34490</v>
      </c>
      <c r="C27392" s="5" t="str">
        <f>IFERROR(__xludf.DUMMYFUNCTION("GOOGLETRANSLATE(B27392,""en"",""it"")"),"La signora aiutò l'uomo e il bambino ad appendere l'arredamento nell'albero di Natale, l'uomo consegnò alcune decorazioni alla signora e lei lo mise sull'albero.")</f>
        <v>La signora aiutò l'uomo e il bambino ad appendere l'arredamento nell'albero di Natale, l'uomo consegnò alcune decorazioni alla signora e lei lo mise sull'albero.</v>
      </c>
    </row>
    <row r="27393">
      <c r="A27393" s="4" t="s">
        <v>34488</v>
      </c>
      <c r="B27393" s="6" t="s">
        <v>34491</v>
      </c>
      <c r="C27393" s="5" t="str">
        <f>IFERROR(__xludf.DUMMYFUNCTION("GOOGLETRANSLATE(B27393,""en"",""it"")"),"La donna si sedette sulla sedia per organizzare la palla di Natale sul tavolo e li aiutò con le decorazioni.")</f>
        <v>La donna si sedette sulla sedia per organizzare la palla di Natale sul tavolo e li aiutò con le decorazioni.</v>
      </c>
    </row>
    <row r="27394">
      <c r="A27394" s="4" t="s">
        <v>34488</v>
      </c>
      <c r="B27394" s="4" t="s">
        <v>34492</v>
      </c>
      <c r="C27394" s="5" t="str">
        <f>IFERROR(__xludf.DUMMYFUNCTION("GOOGLETRANSLATE(B27394,""en"",""it"")"),"Una signora in top nero ha messo più decorazioni all'albero di Natale.")</f>
        <v>Una signora in top nero ha messo più decorazioni all'albero di Natale.</v>
      </c>
    </row>
    <row r="27395">
      <c r="A27395" s="4" t="s">
        <v>34493</v>
      </c>
      <c r="B27395" s="4" t="s">
        <v>34494</v>
      </c>
      <c r="C27395" s="5" t="str">
        <f>IFERROR(__xludf.DUMMYFUNCTION("GOOGLETRANSLATE(B27395,""en"",""it"")"),"Un ragazzo si avvicina a un post su un campo da interno molto grande.")</f>
        <v>Un ragazzo si avvicina a un post su un campo da interno molto grande.</v>
      </c>
    </row>
    <row r="27396">
      <c r="A27396" s="4" t="s">
        <v>34493</v>
      </c>
      <c r="B27396" s="4" t="s">
        <v>34495</v>
      </c>
      <c r="C27396" s="5" t="str">
        <f>IFERROR(__xludf.DUMMYFUNCTION("GOOGLETRANSLATE(B27396,""en"",""it"")"),"Si prepara, muovendo le braccia.")</f>
        <v>Si prepara, muovendo le braccia.</v>
      </c>
    </row>
    <row r="27397">
      <c r="A27397" s="4" t="s">
        <v>34493</v>
      </c>
      <c r="B27397" s="4" t="s">
        <v>34496</v>
      </c>
      <c r="C27397" s="5" t="str">
        <f>IFERROR(__xludf.DUMMYFUNCTION("GOOGLETRANSLATE(B27397,""en"",""it"")"),"Comincia a girare molto rapidamente.")</f>
        <v>Comincia a girare molto rapidamente.</v>
      </c>
    </row>
    <row r="27398">
      <c r="A27398" s="4" t="s">
        <v>34493</v>
      </c>
      <c r="B27398" s="4" t="s">
        <v>34497</v>
      </c>
      <c r="C27398" s="5" t="str">
        <f>IFERROR(__xludf.DUMMYFUNCTION("GOOGLETRANSLATE(B27398,""en"",""it"")"),"Finalmente lasciando andare a lanciare la palla.")</f>
        <v>Finalmente lasciando andare a lanciare la palla.</v>
      </c>
    </row>
    <row r="27399">
      <c r="A27399" s="4" t="s">
        <v>34498</v>
      </c>
      <c r="B27399" s="4" t="s">
        <v>34499</v>
      </c>
      <c r="C27399" s="5" t="str">
        <f>IFERROR(__xludf.DUMMYFUNCTION("GOOGLETRANSLATE(B27399,""en"",""it"")"),"Una donna schiaffeggia la guancia mentre si prepara su un campo.")</f>
        <v>Una donna schiaffeggia la guancia mentre si prepara su un campo.</v>
      </c>
    </row>
    <row r="27400">
      <c r="A27400" s="4" t="s">
        <v>34498</v>
      </c>
      <c r="B27400" s="4" t="s">
        <v>34500</v>
      </c>
      <c r="C27400" s="5" t="str">
        <f>IFERROR(__xludf.DUMMYFUNCTION("GOOGLETRANSLATE(B27400,""en"",""it"")"),"Infarca una palla più volte.")</f>
        <v>Infarca una palla più volte.</v>
      </c>
    </row>
    <row r="27401">
      <c r="A27401" s="4" t="s">
        <v>34498</v>
      </c>
      <c r="B27401" s="4" t="s">
        <v>34501</v>
      </c>
      <c r="C27401" s="5" t="str">
        <f>IFERROR(__xludf.DUMMYFUNCTION("GOOGLETRANSLATE(B27401,""en"",""it"")"),"Lei lascia andare, lasciando che la palla voli in aria.")</f>
        <v>Lei lascia andare, lasciando che la palla voli in aria.</v>
      </c>
    </row>
    <row r="27402">
      <c r="A27402" s="4" t="s">
        <v>34502</v>
      </c>
      <c r="B27402" s="6" t="s">
        <v>34503</v>
      </c>
      <c r="C27402" s="5" t="str">
        <f>IFERROR(__xludf.DUMMYFUNCTION("GOOGLETRANSLATE(B27402,""en"",""it"")"),"Una donna che indossa un top nero e con capelli castani ricci e luci in bronzo sta dimostrando come usare un diffusore per asciugare i capelli.")</f>
        <v>Una donna che indossa un top nero e con capelli castani ricci e luci in bronzo sta dimostrando come usare un diffusore per asciugare i capelli.</v>
      </c>
    </row>
    <row r="27403">
      <c r="A27403" s="4" t="s">
        <v>34502</v>
      </c>
      <c r="B27403" s="4" t="s">
        <v>34504</v>
      </c>
      <c r="C27403" s="5" t="str">
        <f>IFERROR(__xludf.DUMMYFUNCTION("GOOGLETRANSLATE(B27403,""en"",""it"")"),"Sta usando l'asciugacapelli a fuoco medio per asciugare i capelli.")</f>
        <v>Sta usando l'asciugacapelli a fuoco medio per asciugare i capelli.</v>
      </c>
    </row>
    <row r="27404">
      <c r="A27404" s="4" t="s">
        <v>34502</v>
      </c>
      <c r="B27404" s="4" t="s">
        <v>34505</v>
      </c>
      <c r="C27404" s="5" t="str">
        <f>IFERROR(__xludf.DUMMYFUNCTION("GOOGLETRANSLATE(B27404,""en"",""it"")"),"Solleva asciuga i riccioli fino a quando l'umidità dai capelli non è sparita.")</f>
        <v>Solleva asciuga i riccioli fino a quando l'umidità dai capelli non è sparita.</v>
      </c>
    </row>
    <row r="27405">
      <c r="A27405" s="4" t="s">
        <v>34502</v>
      </c>
      <c r="B27405" s="4" t="s">
        <v>34506</v>
      </c>
      <c r="C27405" s="5" t="str">
        <f>IFERROR(__xludf.DUMMYFUNCTION("GOOGLETRANSLATE(B27405,""en"",""it"")"),"Dopo aver finito di usare l'asciugacapelli, usa un pettine a dente largo per pettinare i ricci.")</f>
        <v>Dopo aver finito di usare l'asciugacapelli, usa un pettine a dente largo per pettinare i ricci.</v>
      </c>
    </row>
    <row r="27406">
      <c r="A27406" s="4" t="s">
        <v>34502</v>
      </c>
      <c r="B27406" s="4" t="s">
        <v>34507</v>
      </c>
      <c r="C27406" s="5" t="str">
        <f>IFERROR(__xludf.DUMMYFUNCTION("GOOGLETRANSLATE(B27406,""en"",""it"")"),"Poi si muove i capelli e mostra i suoi succulenti riccioli.")</f>
        <v>Poi si muove i capelli e mostra i suoi succulenti riccioli.</v>
      </c>
    </row>
    <row r="27407">
      <c r="A27407" s="4" t="s">
        <v>34508</v>
      </c>
      <c r="B27407" s="4" t="s">
        <v>34509</v>
      </c>
      <c r="C27407" s="5" t="str">
        <f>IFERROR(__xludf.DUMMYFUNCTION("GOOGLETRANSLATE(B27407,""en"",""it"")"),"Un elicottero vola in alcune persone che iniziano a giocare a paintball.")</f>
        <v>Un elicottero vola in alcune persone che iniziano a giocare a paintball.</v>
      </c>
    </row>
    <row r="27408">
      <c r="A27408" s="4" t="s">
        <v>34508</v>
      </c>
      <c r="B27408" s="4" t="s">
        <v>34510</v>
      </c>
      <c r="C27408" s="5" t="str">
        <f>IFERROR(__xludf.DUMMYFUNCTION("GOOGLETRANSLATE(B27408,""en"",""it"")"),"Corrono intorno agli ostacoli e si divertono.")</f>
        <v>Corrono intorno agli ostacoli e si divertono.</v>
      </c>
    </row>
    <row r="27409">
      <c r="A27409" s="4" t="s">
        <v>34511</v>
      </c>
      <c r="B27409" s="4" t="s">
        <v>34512</v>
      </c>
      <c r="C27409" s="5" t="str">
        <f>IFERROR(__xludf.DUMMYFUNCTION("GOOGLETRANSLATE(B27409,""en"",""it"")"),"Un ragazzo tiene un'ascia fuori.")</f>
        <v>Un ragazzo tiene un'ascia fuori.</v>
      </c>
    </row>
    <row r="27410">
      <c r="A27410" s="4" t="s">
        <v>34511</v>
      </c>
      <c r="B27410" s="4" t="s">
        <v>34513</v>
      </c>
      <c r="C27410" s="5" t="str">
        <f>IFERROR(__xludf.DUMMYFUNCTION("GOOGLETRANSLATE(B27410,""en"",""it"")"),"Fa oscillare l'ascia su un moncone.")</f>
        <v>Fa oscillare l'ascia su un moncone.</v>
      </c>
    </row>
    <row r="27411">
      <c r="A27411" s="4" t="s">
        <v>34511</v>
      </c>
      <c r="B27411" s="4" t="s">
        <v>34514</v>
      </c>
      <c r="C27411" s="5" t="str">
        <f>IFERROR(__xludf.DUMMYFUNCTION("GOOGLETRANSLATE(B27411,""en"",""it"")"),"Un altro ragazzo viene mostrato facendo la stessa cosa.")</f>
        <v>Un altro ragazzo viene mostrato facendo la stessa cosa.</v>
      </c>
    </row>
    <row r="27412">
      <c r="A27412" s="4" t="s">
        <v>34511</v>
      </c>
      <c r="B27412" s="4" t="s">
        <v>34515</v>
      </c>
      <c r="C27412" s="5" t="str">
        <f>IFERROR(__xludf.DUMMYFUNCTION("GOOGLETRANSLATE(B27412,""en"",""it"")"),"Continuano a cercare di dividere il legno.")</f>
        <v>Continuano a cercare di dividere il legno.</v>
      </c>
    </row>
    <row r="27413">
      <c r="A27413" s="4" t="s">
        <v>34516</v>
      </c>
      <c r="B27413" s="4" t="s">
        <v>34517</v>
      </c>
      <c r="C27413" s="5" t="str">
        <f>IFERROR(__xludf.DUMMYFUNCTION("GOOGLETRANSLATE(B27413,""en"",""it"")"),"L'inizio di una gara viene mostrato come persone gestite e viene anche mostrato il traguardo.")</f>
        <v>L'inizio di una gara viene mostrato come persone gestite e viene anche mostrato il traguardo.</v>
      </c>
    </row>
    <row r="27414">
      <c r="A27414" s="4" t="s">
        <v>34516</v>
      </c>
      <c r="B27414" s="4" t="s">
        <v>34518</v>
      </c>
      <c r="C27414" s="5" t="str">
        <f>IFERROR(__xludf.DUMMYFUNCTION("GOOGLETRANSLATE(B27414,""en"",""it"")"),"Le persone in costumi sono mostrate e le persone si divertono generalmente.")</f>
        <v>Le persone in costumi sono mostrate e le persone si divertono generalmente.</v>
      </c>
    </row>
    <row r="27415">
      <c r="A27415" s="4" t="s">
        <v>34519</v>
      </c>
      <c r="B27415" s="4" t="s">
        <v>34520</v>
      </c>
      <c r="C27415" s="5" t="str">
        <f>IFERROR(__xludf.DUMMYFUNCTION("GOOGLETRANSLATE(B27415,""en"",""it"")"),"Un'introduzione conduce in diversi colpi di persone che cavalcano lungo le colline innevate e si arrampicano sul lato.")</f>
        <v>Un'introduzione conduce in diversi colpi di persone che cavalcano lungo le colline innevate e si arrampicano sul lato.</v>
      </c>
    </row>
    <row r="27416">
      <c r="A27416" s="4" t="s">
        <v>34519</v>
      </c>
      <c r="B27416" s="6" t="s">
        <v>34521</v>
      </c>
      <c r="C27416" s="5" t="str">
        <f>IFERROR(__xludf.DUMMYFUNCTION("GOOGLETRANSLATE(B27416,""en"",""it"")"),"Due persone parlano alla telecamera e mostrano più scatti che arrampicano su una montagna e vari colpi della montagna.")</f>
        <v>Due persone parlano alla telecamera e mostrano più scatti che arrampicano su una montagna e vari colpi della montagna.</v>
      </c>
    </row>
    <row r="27417">
      <c r="A27417" s="4" t="s">
        <v>34519</v>
      </c>
      <c r="B27417" s="6" t="s">
        <v>34522</v>
      </c>
      <c r="C27417" s="5" t="str">
        <f>IFERROR(__xludf.DUMMYFUNCTION("GOOGLETRANSLATE(B27417,""en"",""it"")"),"Le persone poi cavalcano gli sci mentre parlano ancora alla telecamera e mostrano diversi scatti che cavalcano lungo la montagna innevata.")</f>
        <v>Le persone poi cavalcano gli sci mentre parlano ancora alla telecamera e mostrano diversi scatti che cavalcano lungo la montagna innevata.</v>
      </c>
    </row>
    <row r="27418">
      <c r="A27418" s="4" t="s">
        <v>34523</v>
      </c>
      <c r="B27418" s="6" t="s">
        <v>34524</v>
      </c>
      <c r="C27418" s="5" t="str">
        <f>IFERROR(__xludf.DUMMYFUNCTION("GOOGLETRANSLATE(B27418,""en"",""it"")"),"Due donne e una bambina camminano all'aperto, mostrando alla bambina un gruppo di ragazzi in lontananza.")</f>
        <v>Due donne e una bambina camminano all'aperto, mostrando alla bambina un gruppo di ragazzi in lontananza.</v>
      </c>
    </row>
    <row r="27419">
      <c r="A27419" s="4" t="s">
        <v>34523</v>
      </c>
      <c r="B27419" s="4" t="s">
        <v>34525</v>
      </c>
      <c r="C27419" s="5" t="str">
        <f>IFERROR(__xludf.DUMMYFUNCTION("GOOGLETRANSLATE(B27419,""en"",""it"")"),"Lanciano una palla e la ragazza la prende a calci prima di essere condotta a una base.")</f>
        <v>Lanciano una palla e la ragazza la prende a calci prima di essere condotta a una base.</v>
      </c>
    </row>
    <row r="27420">
      <c r="A27420" s="4" t="s">
        <v>34523</v>
      </c>
      <c r="B27420" s="4" t="s">
        <v>34526</v>
      </c>
      <c r="C27420" s="5" t="str">
        <f>IFERROR(__xludf.DUMMYFUNCTION("GOOGLETRANSLATE(B27420,""en"",""it"")"),"Il gruppo si riunisce per congratularsi con lei.")</f>
        <v>Il gruppo si riunisce per congratularsi con lei.</v>
      </c>
    </row>
    <row r="27421">
      <c r="A27421" s="4" t="s">
        <v>34527</v>
      </c>
      <c r="B27421" s="4" t="s">
        <v>34528</v>
      </c>
      <c r="C27421" s="5" t="str">
        <f>IFERROR(__xludf.DUMMYFUNCTION("GOOGLETRANSLATE(B27421,""en"",""it"")"),"Un uomo è visto seduto dietro una scrivania che lavora su un computer.")</f>
        <v>Un uomo è visto seduto dietro una scrivania che lavora su un computer.</v>
      </c>
    </row>
    <row r="27422">
      <c r="A27422" s="4" t="s">
        <v>34527</v>
      </c>
      <c r="B27422" s="4" t="s">
        <v>34529</v>
      </c>
      <c r="C27422" s="5" t="str">
        <f>IFERROR(__xludf.DUMMYFUNCTION("GOOGLETRANSLATE(B27422,""en"",""it"")"),"Vengono mostrati diversi scatti di persone che stampano la carta e la carta ravvicinata.")</f>
        <v>Vengono mostrati diversi scatti di persone che stampano la carta e la carta ravvicinata.</v>
      </c>
    </row>
    <row r="27423">
      <c r="A27423" s="4" t="s">
        <v>34527</v>
      </c>
      <c r="B27423" s="4" t="s">
        <v>34530</v>
      </c>
      <c r="C27423" s="5" t="str">
        <f>IFERROR(__xludf.DUMMYFUNCTION("GOOGLETRANSLATE(B27423,""en"",""it"")"),"Vengono mostrate altre clip di persone che appendono lo sfondo e le riprese della città.")</f>
        <v>Vengono mostrate altre clip di persone che appendono lo sfondo e le riprese della città.</v>
      </c>
    </row>
    <row r="27424">
      <c r="A27424" s="4" t="s">
        <v>34531</v>
      </c>
      <c r="B27424" s="4" t="s">
        <v>34532</v>
      </c>
      <c r="C27424" s="5" t="str">
        <f>IFERROR(__xludf.DUMMYFUNCTION("GOOGLETRANSLATE(B27424,""en"",""it"")"),"Un video inizia a mostrare un uomo e una donna che si tengono e si spostano indietro e quarto.")</f>
        <v>Un video inizia a mostrare un uomo e una donna che si tengono e si spostano indietro e quarto.</v>
      </c>
    </row>
    <row r="27425">
      <c r="A27425" s="4" t="s">
        <v>34531</v>
      </c>
      <c r="B27425" s="4" t="s">
        <v>34533</v>
      </c>
      <c r="C27425" s="5" t="str">
        <f>IFERROR(__xludf.DUMMYFUNCTION("GOOGLETRANSLATE(B27425,""en"",""it"")"),"La coppia si muove indietro e quarto mentre l'uomo parla alla telecamera.")</f>
        <v>La coppia si muove indietro e quarto mentre l'uomo parla alla telecamera.</v>
      </c>
    </row>
    <row r="27426">
      <c r="A27426" s="4" t="s">
        <v>34531</v>
      </c>
      <c r="B27426" s="6" t="s">
        <v>34534</v>
      </c>
      <c r="C27426" s="5" t="str">
        <f>IFERROR(__xludf.DUMMYFUNCTION("GOOGLETRANSLATE(B27426,""en"",""it"")"),"La donna alla fine parla la telecamera mentre esegue diverse mosse di danza per vedere la telecamera.")</f>
        <v>La donna alla fine parla la telecamera mentre esegue diverse mosse di danza per vedere la telecamera.</v>
      </c>
    </row>
    <row r="27427">
      <c r="A27427" s="4" t="s">
        <v>34535</v>
      </c>
      <c r="B27427" s="4" t="s">
        <v>34536</v>
      </c>
      <c r="C27427" s="5" t="str">
        <f>IFERROR(__xludf.DUMMYFUNCTION("GOOGLETRANSLATE(B27427,""en"",""it"")"),"Diverse canoe sono mostrate in inattività in acqua torbida.")</f>
        <v>Diverse canoe sono mostrate in inattività in acqua torbida.</v>
      </c>
    </row>
    <row r="27428">
      <c r="A27428" s="4" t="s">
        <v>34535</v>
      </c>
      <c r="B27428" s="4" t="s">
        <v>34537</v>
      </c>
      <c r="C27428" s="5" t="str">
        <f>IFERROR(__xludf.DUMMYFUNCTION("GOOGLETRANSLATE(B27428,""en"",""it"")"),"Quindi una serie di ragazzi iniziano il kayak in acqua e saltando dagli alberi.")</f>
        <v>Quindi una serie di ragazzi iniziano il kayak in acqua e saltando dagli alberi.</v>
      </c>
    </row>
    <row r="27429">
      <c r="A27429" s="4" t="s">
        <v>34538</v>
      </c>
      <c r="B27429" s="4" t="s">
        <v>34539</v>
      </c>
      <c r="C27429" s="5" t="str">
        <f>IFERROR(__xludf.DUMMYFUNCTION("GOOGLETRANSLATE(B27429,""en"",""it"")"),"Una persona sta lavando le mani in un lavandino.")</f>
        <v>Una persona sta lavando le mani in un lavandino.</v>
      </c>
    </row>
    <row r="27430">
      <c r="A27430" s="4" t="s">
        <v>34538</v>
      </c>
      <c r="B27430" s="4" t="s">
        <v>34540</v>
      </c>
      <c r="C27430" s="5" t="str">
        <f>IFERROR(__xludf.DUMMYFUNCTION("GOOGLETRANSLATE(B27430,""en"",""it"")"),"Due donne sono in piedi vicino al lavandino lavandosi le mani.")</f>
        <v>Due donne sono in piedi vicino al lavandino lavandosi le mani.</v>
      </c>
    </row>
    <row r="27431">
      <c r="A27431" s="4" t="s">
        <v>34538</v>
      </c>
      <c r="B27431" s="4" t="s">
        <v>13650</v>
      </c>
      <c r="C27431" s="5" t="str">
        <f>IFERROR(__xludf.DUMMYFUNCTION("GOOGLETRANSLATE(B27431,""en"",""it"")"),"Le parole arrivano sullo schermo.")</f>
        <v>Le parole arrivano sullo schermo.</v>
      </c>
    </row>
    <row r="27432">
      <c r="A27432" s="4" t="s">
        <v>34541</v>
      </c>
      <c r="B27432" s="4" t="s">
        <v>34542</v>
      </c>
      <c r="C27432" s="5" t="str">
        <f>IFERROR(__xludf.DUMMYFUNCTION("GOOGLETRANSLATE(B27432,""en"",""it"")"),"Due uomini in un ginocchio dimostrano un tratto flexxer dell'anca in una palestra di terapia.")</f>
        <v>Due uomini in un ginocchio dimostrano un tratto flexxer dell'anca in una palestra di terapia.</v>
      </c>
    </row>
    <row r="27433">
      <c r="A27433" s="4" t="s">
        <v>34541</v>
      </c>
      <c r="B27433" s="6" t="s">
        <v>34543</v>
      </c>
      <c r="C27433" s="5" t="str">
        <f>IFERROR(__xludf.DUMMYFUNCTION("GOOGLETRANSLATE(B27433,""en"",""it"")"),"L'uomo che indossa una maglietta nera usa l'uomo che indossa una maglietta verde come modello per dimostrare il tratto di Flexxer dell'anca.")</f>
        <v>L'uomo che indossa una maglietta nera usa l'uomo che indossa una maglietta verde come modello per dimostrare il tratto di Flexxer dell'anca.</v>
      </c>
    </row>
    <row r="27434">
      <c r="A27434" s="4" t="s">
        <v>34541</v>
      </c>
      <c r="B27434" s="6" t="s">
        <v>34544</v>
      </c>
      <c r="C27434" s="5" t="str">
        <f>IFERROR(__xludf.DUMMYFUNCTION("GOOGLETRANSLATE(B27434,""en"",""it"")"),"L'uomo nella maglietta nera regola l'uomo nella camicia verde -t in diverse posizioni mediante leggero posizionamento del piede, gamba, fianchi e braccia.")</f>
        <v>L'uomo nella maglietta nera regola l'uomo nella camicia verde -t in diverse posizioni mediante leggero posizionamento del piede, gamba, fianchi e braccia.</v>
      </c>
    </row>
    <row r="27435">
      <c r="A27435" s="4" t="s">
        <v>34545</v>
      </c>
      <c r="B27435" s="4" t="s">
        <v>34546</v>
      </c>
      <c r="C27435" s="5" t="str">
        <f>IFERROR(__xludf.DUMMYFUNCTION("GOOGLETRANSLATE(B27435,""en"",""it"")"),"Vengono mostrati i crediti delle clip.")</f>
        <v>Vengono mostrati i crediti delle clip.</v>
      </c>
    </row>
    <row r="27436">
      <c r="A27436" s="4" t="s">
        <v>34545</v>
      </c>
      <c r="B27436" s="4" t="s">
        <v>34547</v>
      </c>
      <c r="C27436" s="5" t="str">
        <f>IFERROR(__xludf.DUMMYFUNCTION("GOOGLETRANSLATE(B27436,""en"",""it"")"),"Una donna è fuori accanto a un mucchio di neve.")</f>
        <v>Una donna è fuori accanto a un mucchio di neve.</v>
      </c>
    </row>
    <row r="27437">
      <c r="A27437" s="4" t="s">
        <v>34545</v>
      </c>
      <c r="B27437" s="4" t="s">
        <v>34548</v>
      </c>
      <c r="C27437" s="5" t="str">
        <f>IFERROR(__xludf.DUMMYFUNCTION("GOOGLETRANSLATE(B27437,""en"",""it"")"),"Un ragazzo raccoglie una pala pala di neve di lato.")</f>
        <v>Un ragazzo raccoglie una pala pala di neve di lato.</v>
      </c>
    </row>
    <row r="27438">
      <c r="A27438" s="4" t="s">
        <v>34545</v>
      </c>
      <c r="B27438" s="4" t="s">
        <v>34549</v>
      </c>
      <c r="C27438" s="5" t="str">
        <f>IFERROR(__xludf.DUMMYFUNCTION("GOOGLETRANSLATE(B27438,""en"",""it"")"),"Il ragazzo mette giù la pala e allunga due volte la schiena all'indietro.")</f>
        <v>Il ragazzo mette giù la pala e allunga due volte la schiena all'indietro.</v>
      </c>
    </row>
    <row r="27439">
      <c r="A27439" s="4" t="s">
        <v>34545</v>
      </c>
      <c r="B27439" s="4" t="s">
        <v>34550</v>
      </c>
      <c r="C27439" s="5" t="str">
        <f>IFERROR(__xludf.DUMMYFUNCTION("GOOGLETRANSLATE(B27439,""en"",""it"")"),"Il ragazzo raccoglie la pala e continua a spalare la neve.")</f>
        <v>Il ragazzo raccoglie la pala e continua a spalare la neve.</v>
      </c>
    </row>
    <row r="27440">
      <c r="A27440" s="4" t="s">
        <v>34545</v>
      </c>
      <c r="B27440" s="4" t="s">
        <v>34546</v>
      </c>
      <c r="C27440" s="5" t="str">
        <f>IFERROR(__xludf.DUMMYFUNCTION("GOOGLETRANSLATE(B27440,""en"",""it"")"),"Vengono mostrati i crediti delle clip.")</f>
        <v>Vengono mostrati i crediti delle clip.</v>
      </c>
    </row>
    <row r="27441">
      <c r="A27441" s="4" t="s">
        <v>34551</v>
      </c>
      <c r="B27441" s="6" t="s">
        <v>34552</v>
      </c>
      <c r="C27441" s="5" t="str">
        <f>IFERROR(__xludf.DUMMYFUNCTION("GOOGLETRANSLATE(B27441,""en"",""it"")"),"Un colpo da vicino di bambini viene visto cavalcare un gioco per auto paraurti e che si imbattono l'uno nell'altro.")</f>
        <v>Un colpo da vicino di bambini viene visto cavalcare un gioco per auto paraurti e che si imbattono l'uno nell'altro.</v>
      </c>
    </row>
    <row r="27442">
      <c r="A27442" s="4" t="s">
        <v>34551</v>
      </c>
      <c r="B27442" s="6" t="s">
        <v>34553</v>
      </c>
      <c r="C27442" s="5" t="str">
        <f>IFERROR(__xludf.DUMMYFUNCTION("GOOGLETRANSLATE(B27442,""en"",""it"")"),"Due ragazzi vengono visti imbattersi l'uno con l'altro con molti altri bambini in giro e si colpiscono a vicenda.")</f>
        <v>Due ragazzi vengono visti imbattersi l'uno con l'altro con molti altri bambini in giro e si colpiscono a vicenda.</v>
      </c>
    </row>
    <row r="27443">
      <c r="A27443" s="4" t="s">
        <v>34554</v>
      </c>
      <c r="B27443" s="4" t="s">
        <v>34555</v>
      </c>
      <c r="C27443" s="5" t="str">
        <f>IFERROR(__xludf.DUMMYFUNCTION("GOOGLETRANSLATE(B27443,""en"",""it"")"),"Un bambino riempie una pentola d'acqua.")</f>
        <v>Un bambino riempie una pentola d'acqua.</v>
      </c>
    </row>
    <row r="27444">
      <c r="A27444" s="4" t="s">
        <v>34554</v>
      </c>
      <c r="B27444" s="4" t="s">
        <v>34556</v>
      </c>
      <c r="C27444" s="5" t="str">
        <f>IFERROR(__xludf.DUMMYFUNCTION("GOOGLETRANSLATE(B27444,""en"",""it"")"),"Mette la pentola su una stufa e ci mette un coperchio.")</f>
        <v>Mette la pentola su una stufa e ci mette un coperchio.</v>
      </c>
    </row>
    <row r="27445">
      <c r="A27445" s="4" t="s">
        <v>34554</v>
      </c>
      <c r="B27445" s="4" t="s">
        <v>34557</v>
      </c>
      <c r="C27445" s="5" t="str">
        <f>IFERROR(__xludf.DUMMYFUNCTION("GOOGLETRANSLATE(B27445,""en"",""it"")"),"Aggiunge sale e pasta alla pentola.")</f>
        <v>Aggiunge sale e pasta alla pentola.</v>
      </c>
    </row>
    <row r="27446">
      <c r="A27446" s="4" t="s">
        <v>34554</v>
      </c>
      <c r="B27446" s="4" t="s">
        <v>34558</v>
      </c>
      <c r="C27446" s="5" t="str">
        <f>IFERROR(__xludf.DUMMYFUNCTION("GOOGLETRANSLATE(B27446,""en"",""it"")"),"Rimette il coperchio sul piatto.")</f>
        <v>Rimette il coperchio sul piatto.</v>
      </c>
    </row>
    <row r="27447">
      <c r="A27447" s="4" t="s">
        <v>34554</v>
      </c>
      <c r="B27447" s="4" t="s">
        <v>34559</v>
      </c>
      <c r="C27447" s="5" t="str">
        <f>IFERROR(__xludf.DUMMYFUNCTION("GOOGLETRANSLATE(B27447,""en"",""it"")"),"Muove la pentola e versa la pasta in un filtro.")</f>
        <v>Muove la pentola e versa la pasta in un filtro.</v>
      </c>
    </row>
    <row r="27448">
      <c r="A27448" s="4" t="s">
        <v>34554</v>
      </c>
      <c r="B27448" s="4" t="s">
        <v>34560</v>
      </c>
      <c r="C27448" s="5" t="str">
        <f>IFERROR(__xludf.DUMMYFUNCTION("GOOGLETRANSLATE(B27448,""en"",""it"")"),"Versa la pasta nella padella.")</f>
        <v>Versa la pasta nella padella.</v>
      </c>
    </row>
    <row r="27449">
      <c r="A27449" s="4" t="s">
        <v>34554</v>
      </c>
      <c r="B27449" s="4" t="s">
        <v>34561</v>
      </c>
      <c r="C27449" s="5" t="str">
        <f>IFERROR(__xludf.DUMMYFUNCTION("GOOGLETRANSLATE(B27449,""en"",""it"")"),"Aggiunge la salsa e la mescola insieme.")</f>
        <v>Aggiunge la salsa e la mescola insieme.</v>
      </c>
    </row>
    <row r="27450">
      <c r="A27450" s="4" t="s">
        <v>34562</v>
      </c>
      <c r="B27450" s="4" t="s">
        <v>34563</v>
      </c>
      <c r="C27450" s="5" t="str">
        <f>IFERROR(__xludf.DUMMYFUNCTION("GOOGLETRANSLATE(B27450,""en"",""it"")"),"Un uomo sta skateboard in una strada cittadina.")</f>
        <v>Un uomo sta skateboard in una strada cittadina.</v>
      </c>
    </row>
    <row r="27451">
      <c r="A27451" s="4" t="s">
        <v>34562</v>
      </c>
      <c r="B27451" s="4" t="s">
        <v>34564</v>
      </c>
      <c r="C27451" s="5" t="str">
        <f>IFERROR(__xludf.DUMMYFUNCTION("GOOGLETRANSLATE(B27451,""en"",""it"")"),"Viene visto parlare con la telecamera in mezzo alla strada.")</f>
        <v>Viene visto parlare con la telecamera in mezzo alla strada.</v>
      </c>
    </row>
    <row r="27452">
      <c r="A27452" s="4" t="s">
        <v>34562</v>
      </c>
      <c r="B27452" s="4" t="s">
        <v>34565</v>
      </c>
      <c r="C27452" s="5" t="str">
        <f>IFERROR(__xludf.DUMMYFUNCTION("GOOGLETRANSLATE(B27452,""en"",""it"")"),"Poi lo vediamo fare diverse acrobazie mentre si snoda dentro e fuori dal traffico.")</f>
        <v>Poi lo vediamo fare diverse acrobazie mentre si snoda dentro e fuori dal traffico.</v>
      </c>
    </row>
    <row r="27453">
      <c r="A27453" s="4" t="s">
        <v>34566</v>
      </c>
      <c r="B27453" s="4" t="s">
        <v>34567</v>
      </c>
      <c r="C27453" s="5" t="str">
        <f>IFERROR(__xludf.DUMMYFUNCTION("GOOGLETRANSLATE(B27453,""en"",""it"")"),"Una persona è vista seduta sul bordo di un letto che trasporta una chitarra.")</f>
        <v>Una persona è vista seduta sul bordo di un letto che trasporta una chitarra.</v>
      </c>
    </row>
    <row r="27454">
      <c r="A27454" s="4" t="s">
        <v>34566</v>
      </c>
      <c r="B27454" s="4" t="s">
        <v>34568</v>
      </c>
      <c r="C27454" s="5" t="str">
        <f>IFERROR(__xludf.DUMMYFUNCTION("GOOGLETRANSLATE(B27454,""en"",""it"")"),"La persona inizia a suonare la chitarra mentre guarda la telecamera.")</f>
        <v>La persona inizia a suonare la chitarra mentre guarda la telecamera.</v>
      </c>
    </row>
    <row r="27455">
      <c r="A27455" s="4" t="s">
        <v>34566</v>
      </c>
      <c r="B27455" s="4" t="s">
        <v>34569</v>
      </c>
      <c r="C27455" s="5" t="str">
        <f>IFERROR(__xludf.DUMMYFUNCTION("GOOGLETRANSLATE(B27455,""en"",""it"")"),"L'uomo continua a suonare e smette di spostare la mano dal fotogramma.")</f>
        <v>L'uomo continua a suonare e smette di spostare la mano dal fotogramma.</v>
      </c>
    </row>
    <row r="27456">
      <c r="A27456" s="4" t="s">
        <v>34570</v>
      </c>
      <c r="B27456" s="4" t="s">
        <v>34571</v>
      </c>
      <c r="C27456" s="5" t="str">
        <f>IFERROR(__xludf.DUMMYFUNCTION("GOOGLETRANSLATE(B27456,""en"",""it"")"),"Diverse persone sono mostrate nelle immagini raccolte fuori da un edificio.")</f>
        <v>Diverse persone sono mostrate nelle immagini raccolte fuori da un edificio.</v>
      </c>
    </row>
    <row r="27457">
      <c r="A27457" s="4" t="s">
        <v>34570</v>
      </c>
      <c r="B27457" s="4" t="s">
        <v>34572</v>
      </c>
      <c r="C27457" s="5" t="str">
        <f>IFERROR(__xludf.DUMMYFUNCTION("GOOGLETRANSLATE(B27457,""en"",""it"")"),"Due lottatori di sumo di cartoni animati sono impegnati in una rissa.")</f>
        <v>Due lottatori di sumo di cartoni animati sono impegnati in una rissa.</v>
      </c>
    </row>
    <row r="27458">
      <c r="A27458" s="4" t="s">
        <v>34570</v>
      </c>
      <c r="B27458" s="4" t="s">
        <v>34573</v>
      </c>
      <c r="C27458" s="5" t="str">
        <f>IFERROR(__xludf.DUMMYFUNCTION("GOOGLETRANSLATE(B27458,""en"",""it"")"),"Il corpo si sbatté l'un l'altro mentre un arbitro guarda.")</f>
        <v>Il corpo si sbatté l'un l'altro mentre un arbitro guarda.</v>
      </c>
    </row>
    <row r="27459">
      <c r="A27459" s="4" t="s">
        <v>34574</v>
      </c>
      <c r="B27459" s="6" t="s">
        <v>34575</v>
      </c>
      <c r="C27459" s="5" t="str">
        <f>IFERROR(__xludf.DUMMYFUNCTION("GOOGLETRANSLATE(B27459,""en"",""it"")"),"Sumos si trovano di fronte all'altro in un campo da polvere e un abito arbitro in abito bianco li sta guardando.")</f>
        <v>Sumos si trovano di fronte all'altro in un campo da polvere e un abito arbitro in abito bianco li sta guardando.</v>
      </c>
    </row>
    <row r="27460">
      <c r="A27460" s="4" t="s">
        <v>34574</v>
      </c>
      <c r="B27460" s="4" t="s">
        <v>34576</v>
      </c>
      <c r="C27460" s="5" t="str">
        <f>IFERROR(__xludf.DUMMYFUNCTION("GOOGLETRANSLATE(B27460,""en"",""it"")"),"Uomini Stat Wrestling e uno di loro se toglieva il campo.")</f>
        <v>Uomini Stat Wrestling e uno di loro se toglieva il campo.</v>
      </c>
    </row>
    <row r="27461">
      <c r="A27461" s="4" t="s">
        <v>34577</v>
      </c>
      <c r="B27461" s="6" t="s">
        <v>34578</v>
      </c>
      <c r="C27461" s="5" t="str">
        <f>IFERROR(__xludf.DUMMYFUNCTION("GOOGLETRANSLATE(B27461,""en"",""it"")"),"Le mani di una persona vengono viste tagliare un pezzo di carta con forbici e quindi avvolgere una scatola con carta.")</f>
        <v>Le mani di una persona vengono viste tagliare un pezzo di carta con forbici e quindi avvolgere una scatola con carta.</v>
      </c>
    </row>
    <row r="27462">
      <c r="A27462" s="4" t="s">
        <v>34577</v>
      </c>
      <c r="B27462" s="6" t="s">
        <v>34579</v>
      </c>
      <c r="C27462" s="5" t="str">
        <f>IFERROR(__xludf.DUMMYFUNCTION("GOOGLETRANSLATE(B27462,""en"",""it"")"),"Lei registra il presente e lo lega in una ciotola, termina tagliando la corda in eccesso e posizionando un tag sopra.")</f>
        <v>Lei registra il presente e lo lega in una ciotola, termina tagliando la corda in eccesso e posizionando un tag sopra.</v>
      </c>
    </row>
    <row r="27463">
      <c r="A27463" s="4" t="s">
        <v>34580</v>
      </c>
      <c r="B27463" s="4" t="s">
        <v>34581</v>
      </c>
      <c r="C27463" s="5" t="str">
        <f>IFERROR(__xludf.DUMMYFUNCTION("GOOGLETRANSLATE(B27463,""en"",""it"")"),"Un bambino è visto seduto sul pavimento che si lava i capelli davanti a uno specchio.")</f>
        <v>Un bambino è visto seduto sul pavimento che si lava i capelli davanti a uno specchio.</v>
      </c>
    </row>
    <row r="27464">
      <c r="A27464" s="4" t="s">
        <v>34580</v>
      </c>
      <c r="B27464" s="6" t="s">
        <v>34582</v>
      </c>
      <c r="C27464" s="5" t="str">
        <f>IFERROR(__xludf.DUMMYFUNCTION("GOOGLETRANSLATE(B27464,""en"",""it"")"),"La ragazza continua a lavarsi i capelli e termina con lei che guarda un video e parla alla telecamera.")</f>
        <v>La ragazza continua a lavarsi i capelli e termina con lei che guarda un video e parla alla telecamera.</v>
      </c>
    </row>
    <row r="27465">
      <c r="A27465" s="4" t="s">
        <v>34583</v>
      </c>
      <c r="B27465" s="6" t="s">
        <v>34584</v>
      </c>
      <c r="C27465" s="5" t="str">
        <f>IFERROR(__xludf.DUMMYFUNCTION("GOOGLETRANSLATE(B27465,""en"",""it"")"),"Si vedono due uomini parlare alla telecamera quando un altro cammina in un telaio ridendo e se ne va.")</f>
        <v>Si vedono due uomini parlare alla telecamera quando un altro cammina in un telaio ridendo e se ne va.</v>
      </c>
    </row>
    <row r="27466">
      <c r="A27466" s="4" t="s">
        <v>34583</v>
      </c>
      <c r="B27466" s="4" t="s">
        <v>34585</v>
      </c>
      <c r="C27466" s="5" t="str">
        <f>IFERROR(__xludf.DUMMYFUNCTION("GOOGLETRANSLATE(B27466,""en"",""it"")"),"Gli uomini continuano a parlare, quindi conducono in una partita di wrestling del braccio tra i due.")</f>
        <v>Gli uomini continuano a parlare, quindi conducono in una partita di wrestling del braccio tra i due.</v>
      </c>
    </row>
    <row r="27467">
      <c r="A27467" s="4" t="s">
        <v>34583</v>
      </c>
      <c r="B27467" s="4" t="s">
        <v>34586</v>
      </c>
      <c r="C27467" s="5" t="str">
        <f>IFERROR(__xludf.DUMMYFUNCTION("GOOGLETRANSLATE(B27467,""en"",""it"")"),"Uno batte l'altro e flette le braccia alla telecamera mentre sorride.")</f>
        <v>Uno batte l'altro e flette le braccia alla telecamera mentre sorride.</v>
      </c>
    </row>
    <row r="27468">
      <c r="A27468" s="4" t="s">
        <v>34587</v>
      </c>
      <c r="B27468" s="4" t="s">
        <v>6935</v>
      </c>
      <c r="C27468" s="5" t="str">
        <f>IFERROR(__xludf.DUMMYFUNCTION("GOOGLETRANSLATE(B27468,""en"",""it"")"),"Il testo appare brevemente sullo schermo.")</f>
        <v>Il testo appare brevemente sullo schermo.</v>
      </c>
    </row>
    <row r="27469">
      <c r="A27469" s="4" t="s">
        <v>34587</v>
      </c>
      <c r="B27469" s="4" t="s">
        <v>34588</v>
      </c>
      <c r="C27469" s="5" t="str">
        <f>IFERROR(__xludf.DUMMYFUNCTION("GOOGLETRANSLATE(B27469,""en"",""it"")"),"Un uomo è il potere che lava una recinzione.")</f>
        <v>Un uomo è il potere che lava una recinzione.</v>
      </c>
    </row>
    <row r="27470">
      <c r="A27470" s="4" t="s">
        <v>34587</v>
      </c>
      <c r="B27470" s="4" t="s">
        <v>34589</v>
      </c>
      <c r="C27470" s="5" t="str">
        <f>IFERROR(__xludf.DUMMYFUNCTION("GOOGLETRANSLATE(B27470,""en"",""it"")"),"Gli taglia il potere lavando una sezione diversa.")</f>
        <v>Gli taglia il potere lavando una sezione diversa.</v>
      </c>
    </row>
    <row r="27471">
      <c r="A27471" s="4" t="s">
        <v>34587</v>
      </c>
      <c r="B27471" s="4" t="s">
        <v>34590</v>
      </c>
      <c r="C27471" s="5" t="str">
        <f>IFERROR(__xludf.DUMMYFUNCTION("GOOGLETRANSLATE(B27471,""en"",""it"")"),"Svanisce a uno scatto aperto della recinzione.")</f>
        <v>Svanisce a uno scatto aperto della recinzione.</v>
      </c>
    </row>
    <row r="27472">
      <c r="A27472" s="4" t="s">
        <v>34591</v>
      </c>
      <c r="B27472" s="4" t="s">
        <v>34592</v>
      </c>
      <c r="C27472" s="5" t="str">
        <f>IFERROR(__xludf.DUMMYFUNCTION("GOOGLETRANSLATE(B27472,""en"",""it"")"),"Sono apparse diverse immagini alternate di piatti di cibo.")</f>
        <v>Sono apparse diverse immagini alternate di piatti di cibo.</v>
      </c>
    </row>
    <row r="27473">
      <c r="A27473" s="4" t="s">
        <v>34591</v>
      </c>
      <c r="B27473" s="4" t="s">
        <v>34593</v>
      </c>
      <c r="C27473" s="5" t="str">
        <f>IFERROR(__xludf.DUMMYFUNCTION("GOOGLETRANSLATE(B27473,""en"",""it"")"),"Inizia una ricetta per la medicazione greca.")</f>
        <v>Inizia una ricetta per la medicazione greca.</v>
      </c>
    </row>
    <row r="27474">
      <c r="A27474" s="4" t="s">
        <v>34591</v>
      </c>
      <c r="B27474" s="6" t="s">
        <v>34594</v>
      </c>
      <c r="C27474" s="5" t="str">
        <f>IFERROR(__xludf.DUMMYFUNCTION("GOOGLETRANSLATE(B27474,""en"",""it"")"),"Gli ingredienti realizzati con polveri a olio vengono mescolati e scossi in un barattolo e versati su un'insalata.")</f>
        <v>Gli ingredienti realizzati con polveri a olio vengono mescolati e scossi in un barattolo e versati su un'insalata.</v>
      </c>
    </row>
    <row r="27475">
      <c r="A27475" s="4" t="s">
        <v>34591</v>
      </c>
      <c r="B27475" s="4" t="s">
        <v>34595</v>
      </c>
      <c r="C27475" s="5" t="str">
        <f>IFERROR(__xludf.DUMMYFUNCTION("GOOGLETRANSLATE(B27475,""en"",""it"")"),"Viene quindi condito con blocchi di formaggio.")</f>
        <v>Viene quindi condito con blocchi di formaggio.</v>
      </c>
    </row>
    <row r="27476">
      <c r="A27476" s="4" t="s">
        <v>34596</v>
      </c>
      <c r="B27476" s="4" t="s">
        <v>34597</v>
      </c>
      <c r="C27476" s="5" t="str">
        <f>IFERROR(__xludf.DUMMYFUNCTION("GOOGLETRANSLATE(B27476,""en"",""it"")"),"Viene visualizzato uno schermo nero e le parole gialle appaiono su di loro leggono ""estremi come regali"".")</f>
        <v>Viene visualizzato uno schermo nero e le parole gialle appaiono su di loro leggono "estremi come regali".</v>
      </c>
    </row>
    <row r="27477">
      <c r="A27477" s="4" t="s">
        <v>34596</v>
      </c>
      <c r="B27477" s="4" t="s">
        <v>34598</v>
      </c>
      <c r="C27477" s="5" t="str">
        <f>IFERROR(__xludf.DUMMYFUNCTION("GOOGLETRANSLATE(B27477,""en"",""it"")"),"Il secondo schermo nero ha parole gialle che leggono ""Installazione di piastrelle da pavimento riscaldate"".")</f>
        <v>Il secondo schermo nero ha parole gialle che leggono "Installazione di piastrelle da pavimento riscaldate".</v>
      </c>
    </row>
    <row r="27478">
      <c r="A27478" s="4" t="s">
        <v>34596</v>
      </c>
      <c r="B27478" s="6" t="s">
        <v>34599</v>
      </c>
      <c r="C27478" s="5" t="str">
        <f>IFERROR(__xludf.DUMMYFUNCTION("GOOGLETRANSLATE(B27478,""en"",""it"")"),"Un uomo ora è in piedi e parla nell'angolo di una casa residenziale, vestito con una camicia nera a bottoni a maniche lunghe, pantaloni lunghi marroni, scarpe e indossa un cappello.")</f>
        <v>Un uomo ora è in piedi e parla nell'angolo di una casa residenziale, vestito con una camicia nera a bottoni a maniche lunghe, pantaloni lunghi marroni, scarpe e indossa un cappello.</v>
      </c>
    </row>
    <row r="27479">
      <c r="A27479" s="4" t="s">
        <v>34596</v>
      </c>
      <c r="B27479" s="6" t="s">
        <v>34600</v>
      </c>
      <c r="C27479" s="5" t="str">
        <f>IFERROR(__xludf.DUMMYFUNCTION("GOOGLETRANSLATE(B27479,""en"",""it"")"),"L'uomo si allontana dall'angolo e la vista successiva è di un uomo in ginocchio usando uno strumento per rimuovere lo stampaggio di base da un muro, usando una pistola per trapano, misurando con un righello lungo, quindi stendendo i pezzi di tessuto grigi"&amp;"o macinati con alcuni fili attaccato ad esso.")</f>
        <v>L'uomo si allontana dall'angolo e la vista successiva è di un uomo in ginocchio usando uno strumento per rimuovere lo stampaggio di base da un muro, usando una pistola per trapano, misurando con un righello lungo, quindi stendendo i pezzi di tessuto grigio macinati con alcuni fili attaccato ad esso.</v>
      </c>
    </row>
    <row r="27480">
      <c r="A27480" s="4" t="s">
        <v>34596</v>
      </c>
      <c r="B27480" s="6" t="s">
        <v>34601</v>
      </c>
      <c r="C27480" s="5" t="str">
        <f>IFERROR(__xludf.DUMMYFUNCTION("GOOGLETRANSLATE(B27480,""en"",""it"")"),"L'uomo viene quindi mostrato premendo i pulsanti su una piccola scatola bianca e l'uomo ora punta a quei fili attaccati a quei pezzi di tessuto grigi e l'uomo inizia a mettere i fili in un tubo grigio che ora viene mostrato sul muro.")</f>
        <v>L'uomo viene quindi mostrato premendo i pulsanti su una piccola scatola bianca e l'uomo ora punta a quei fili attaccati a quei pezzi di tessuto grigi e l'uomo inizia a mettere i fili in un tubo grigio che ora viene mostrato sul muro.</v>
      </c>
    </row>
    <row r="27481">
      <c r="A27481" s="4" t="s">
        <v>34596</v>
      </c>
      <c r="B27481" s="4" t="s">
        <v>34602</v>
      </c>
      <c r="C27481" s="5" t="str">
        <f>IFERROR(__xludf.DUMMYFUNCTION("GOOGLETRANSLATE(B27481,""en"",""it"")"),"L'uomo è tornato a terra con un metro a nastro lungo e misura il terreno.")</f>
        <v>L'uomo è tornato a terra con un metro a nastro lungo e misura il terreno.</v>
      </c>
    </row>
    <row r="27482">
      <c r="A27482" s="4" t="s">
        <v>34596</v>
      </c>
      <c r="B27482" s="6" t="s">
        <v>34603</v>
      </c>
      <c r="C27482" s="5" t="str">
        <f>IFERROR(__xludf.DUMMYFUNCTION("GOOGLETRANSLATE(B27482,""en"",""it"")"),"L'uomo ora tiene una piastrella con creste su tutti e quattro i lati e prende un martello e uno strumento per battere delicatamente i pezzi.")</f>
        <v>L'uomo ora tiene una piastrella con creste su tutti e quattro i lati e prende un martello e uno strumento per battere delicatamente i pezzi.</v>
      </c>
    </row>
    <row r="27483">
      <c r="A27483" s="4" t="s">
        <v>34596</v>
      </c>
      <c r="B27483" s="6" t="s">
        <v>34604</v>
      </c>
      <c r="C27483" s="5" t="str">
        <f>IFERROR(__xludf.DUMMYFUNCTION("GOOGLETRANSLATE(B27483,""en"",""it"")"),"Quando l'uomo raggiunge il muro usa una matita per misurare la piastrella, la porta a un taglierina bagnata e la taglia.")</f>
        <v>Quando l'uomo raggiunge il muro usa una matita per misurare la piastrella, la porta a un taglierina bagnata e la taglia.</v>
      </c>
    </row>
    <row r="27484">
      <c r="A27484" s="4" t="s">
        <v>34596</v>
      </c>
      <c r="B27484" s="6" t="s">
        <v>34605</v>
      </c>
      <c r="C27484" s="5" t="str">
        <f>IFERROR(__xludf.DUMMYFUNCTION("GOOGLETRANSLATE(B27484,""en"",""it"")"),"L'uomo è tornato in casa e mette una piccola piastrella vicino ad alcuni armadi, poi l'uomo inizia a stuccarsi e usa una spugna grande, umida e gialla per ripulire la malta in eccesso.")</f>
        <v>L'uomo è tornato in casa e mette una piccola piastrella vicino ad alcuni armadi, poi l'uomo inizia a stuccarsi e usa una spugna grande, umida e gialla per ripulire la malta in eccesso.</v>
      </c>
    </row>
    <row r="27485">
      <c r="A27485" s="4" t="s">
        <v>34596</v>
      </c>
      <c r="B27485" s="6" t="s">
        <v>34606</v>
      </c>
      <c r="C27485" s="5" t="str">
        <f>IFERROR(__xludf.DUMMYFUNCTION("GOOGLETRANSLATE(B27485,""en"",""it"")"),"L'uomo parlante di prima appare nell'angolo e le parole gialle appaiono sullo schermo che contengono siti Web.")</f>
        <v>L'uomo parlante di prima appare nell'angolo e le parole gialle appaiono sullo schermo che contengono siti Web.</v>
      </c>
    </row>
    <row r="27486">
      <c r="A27486" s="4" t="s">
        <v>34607</v>
      </c>
      <c r="B27486" s="4" t="s">
        <v>34608</v>
      </c>
      <c r="C27486" s="5" t="str">
        <f>IFERROR(__xludf.DUMMYFUNCTION("GOOGLETRANSLATE(B27486,""en"",""it"")"),"Diversi tavoli sono allestiti in una grande stanza.")</f>
        <v>Diversi tavoli sono allestiti in una grande stanza.</v>
      </c>
    </row>
    <row r="27487">
      <c r="A27487" s="4" t="s">
        <v>34607</v>
      </c>
      <c r="B27487" s="4" t="s">
        <v>34609</v>
      </c>
      <c r="C27487" s="5" t="str">
        <f>IFERROR(__xludf.DUMMYFUNCTION("GOOGLETRANSLATE(B27487,""en"",""it"")"),"Diversi gruppi stanno giocando a Beer Pong.")</f>
        <v>Diversi gruppi stanno giocando a Beer Pong.</v>
      </c>
    </row>
    <row r="27488">
      <c r="A27488" s="4" t="s">
        <v>34607</v>
      </c>
      <c r="B27488" s="4" t="s">
        <v>34610</v>
      </c>
      <c r="C27488" s="5" t="str">
        <f>IFERROR(__xludf.DUMMYFUNCTION("GOOGLETRANSLATE(B27488,""en"",""it"")"),"Alcune persone sono incoraggianti per vincere.")</f>
        <v>Alcune persone sono incoraggianti per vincere.</v>
      </c>
    </row>
    <row r="27489">
      <c r="A27489" s="4" t="s">
        <v>34607</v>
      </c>
      <c r="B27489" s="4" t="s">
        <v>34611</v>
      </c>
      <c r="C27489" s="5" t="str">
        <f>IFERROR(__xludf.DUMMYFUNCTION("GOOGLETRANSLATE(B27489,""en"",""it"")"),"Altri sembrano sconvolti per la perdita.")</f>
        <v>Altri sembrano sconvolti per la perdita.</v>
      </c>
    </row>
    <row r="27490">
      <c r="A27490" s="4" t="s">
        <v>34612</v>
      </c>
      <c r="B27490" s="4" t="s">
        <v>34613</v>
      </c>
      <c r="C27490" s="5" t="str">
        <f>IFERROR(__xludf.DUMMYFUNCTION("GOOGLETRANSLATE(B27490,""en"",""it"")"),"La persona è paralizzante, tiene la vela.")</f>
        <v>La persona è paralizzante, tiene la vela.</v>
      </c>
    </row>
    <row r="27491">
      <c r="A27491" s="4" t="s">
        <v>34612</v>
      </c>
      <c r="B27491" s="4" t="s">
        <v>34614</v>
      </c>
      <c r="C27491" s="5" t="str">
        <f>IFERROR(__xludf.DUMMYFUNCTION("GOOGLETRANSLATE(B27491,""en"",""it"")"),"L'uomo sta andando avanti verso l'isola.")</f>
        <v>L'uomo sta andando avanti verso l'isola.</v>
      </c>
    </row>
    <row r="27492">
      <c r="A27492" s="4" t="s">
        <v>34612</v>
      </c>
      <c r="B27492" s="4" t="s">
        <v>34615</v>
      </c>
      <c r="C27492" s="5" t="str">
        <f>IFERROR(__xludf.DUMMYFUNCTION("GOOGLETRANSLATE(B27492,""en"",""it"")"),"La persona ha i piedi sulla tavola di Parasail.")</f>
        <v>La persona ha i piedi sulla tavola di Parasail.</v>
      </c>
    </row>
    <row r="27493">
      <c r="A27493" s="4" t="s">
        <v>34616</v>
      </c>
      <c r="B27493" s="4" t="s">
        <v>34617</v>
      </c>
      <c r="C27493" s="5" t="str">
        <f>IFERROR(__xludf.DUMMYFUNCTION("GOOGLETRANSLATE(B27493,""en"",""it"")"),"Vediamo un uomo e una donna che gioca a pool.")</f>
        <v>Vediamo un uomo e una donna che gioca a pool.</v>
      </c>
    </row>
    <row r="27494">
      <c r="A27494" s="4" t="s">
        <v>34616</v>
      </c>
      <c r="B27494" s="4" t="s">
        <v>34618</v>
      </c>
      <c r="C27494" s="5" t="str">
        <f>IFERROR(__xludf.DUMMYFUNCTION("GOOGLETRANSLATE(B27494,""en"",""it"")"),"La signora si svolge sparando alla palla.")</f>
        <v>La signora si svolge sparando alla palla.</v>
      </c>
    </row>
    <row r="27495">
      <c r="A27495" s="4" t="s">
        <v>34616</v>
      </c>
      <c r="B27495" s="4" t="s">
        <v>34619</v>
      </c>
      <c r="C27495" s="5" t="str">
        <f>IFERROR(__xludf.DUMMYFUNCTION("GOOGLETRANSLATE(B27495,""en"",""it"")"),"Vediamo lampeggiamenti della fotocamera luminosi.")</f>
        <v>Vediamo lampeggiamenti della fotocamera luminosi.</v>
      </c>
    </row>
    <row r="27496">
      <c r="A27496" s="4" t="s">
        <v>34616</v>
      </c>
      <c r="B27496" s="4" t="s">
        <v>34620</v>
      </c>
      <c r="C27496" s="5" t="str">
        <f>IFERROR(__xludf.DUMMYFUNCTION("GOOGLETRANSLATE(B27496,""en"",""it"")"),"Vediamo la signora scattare le foto.")</f>
        <v>Vediamo la signora scattare le foto.</v>
      </c>
    </row>
    <row r="27497">
      <c r="A27497" s="4" t="s">
        <v>34616</v>
      </c>
      <c r="B27497" s="4" t="s">
        <v>34621</v>
      </c>
      <c r="C27497" s="5" t="str">
        <f>IFERROR(__xludf.DUMMYFUNCTION("GOOGLETRANSLATE(B27497,""en"",""it"")"),"La signora che la consegna la piscina si attacca a un uomo e scuote la mano.")</f>
        <v>La signora che la consegna la piscina si attacca a un uomo e scuote la mano.</v>
      </c>
    </row>
    <row r="27498">
      <c r="A27498" s="4" t="s">
        <v>34616</v>
      </c>
      <c r="B27498" s="4" t="s">
        <v>34622</v>
      </c>
      <c r="C27498" s="5" t="str">
        <f>IFERROR(__xludf.DUMMYFUNCTION("GOOGLETRANSLATE(B27498,""en"",""it"")"),"Scuote la mano e se ne va.")</f>
        <v>Scuote la mano e se ne va.</v>
      </c>
    </row>
    <row r="27499">
      <c r="A27499" s="4" t="s">
        <v>34623</v>
      </c>
      <c r="B27499" s="4" t="s">
        <v>34624</v>
      </c>
      <c r="C27499" s="5" t="str">
        <f>IFERROR(__xludf.DUMMYFUNCTION("GOOGLETRANSLATE(B27499,""en"",""it"")"),"Una donna si blocca il naso da un uomo seduto dietro la testa.")</f>
        <v>Una donna si blocca il naso da un uomo seduto dietro la testa.</v>
      </c>
    </row>
    <row r="27500">
      <c r="A27500" s="4" t="s">
        <v>34623</v>
      </c>
      <c r="B27500" s="4" t="s">
        <v>34625</v>
      </c>
      <c r="C27500" s="5" t="str">
        <f>IFERROR(__xludf.DUMMYFUNCTION("GOOGLETRANSLATE(B27500,""en"",""it"")"),"Si trafigge attraverso il suo setto.")</f>
        <v>Si trafigge attraverso il suo setto.</v>
      </c>
    </row>
    <row r="27501">
      <c r="A27501" s="4" t="s">
        <v>34623</v>
      </c>
      <c r="B27501" s="4" t="s">
        <v>34626</v>
      </c>
      <c r="C27501" s="5" t="str">
        <f>IFERROR(__xludf.DUMMYFUNCTION("GOOGLETRANSLATE(B27501,""en"",""it"")"),"Lo taglia e rimuove il morsetto.")</f>
        <v>Lo taglia e rimuove il morsetto.</v>
      </c>
    </row>
    <row r="27502">
      <c r="A27502" s="4" t="s">
        <v>34623</v>
      </c>
      <c r="B27502" s="4" t="s">
        <v>34627</v>
      </c>
      <c r="C27502" s="5" t="str">
        <f>IFERROR(__xludf.DUMMYFUNCTION("GOOGLETRANSLATE(B27502,""en"",""it"")"),"L'uomo mette un orecchino attraverso il buco.")</f>
        <v>L'uomo mette un orecchino attraverso il buco.</v>
      </c>
    </row>
    <row r="27503">
      <c r="A27503" s="4" t="s">
        <v>34623</v>
      </c>
      <c r="B27503" s="4" t="s">
        <v>34628</v>
      </c>
      <c r="C27503" s="5" t="str">
        <f>IFERROR(__xludf.DUMMYFUNCTION("GOOGLETRANSLATE(B27503,""en"",""it"")"),"Si mette Qtips nel naso per catturare il sangue.")</f>
        <v>Si mette Qtips nel naso per catturare il sangue.</v>
      </c>
    </row>
    <row r="27504">
      <c r="A27504" s="4" t="s">
        <v>34629</v>
      </c>
      <c r="B27504" s="4" t="s">
        <v>34630</v>
      </c>
      <c r="C27504" s="5" t="str">
        <f>IFERROR(__xludf.DUMMYFUNCTION("GOOGLETRANSLATE(B27504,""en"",""it"")"),"Una donna è seduta su una sedia.")</f>
        <v>Una donna è seduta su una sedia.</v>
      </c>
    </row>
    <row r="27505">
      <c r="A27505" s="4" t="s">
        <v>34629</v>
      </c>
      <c r="B27505" s="4" t="s">
        <v>34631</v>
      </c>
      <c r="C27505" s="5" t="str">
        <f>IFERROR(__xludf.DUMMYFUNCTION("GOOGLETRANSLATE(B27505,""en"",""it"")"),"Ottiene un trafitto dermico nella guancia.")</f>
        <v>Ottiene un trafitto dermico nella guancia.</v>
      </c>
    </row>
    <row r="27506">
      <c r="A27506" s="4" t="s">
        <v>34629</v>
      </c>
      <c r="B27506" s="4" t="s">
        <v>34632</v>
      </c>
      <c r="C27506" s="5" t="str">
        <f>IFERROR(__xludf.DUMMYFUNCTION("GOOGLETRANSLATE(B27506,""en"",""it"")"),"La ragazza mostra il piercing e i sorrisi.")</f>
        <v>La ragazza mostra il piercing e i sorrisi.</v>
      </c>
    </row>
    <row r="27507">
      <c r="A27507" s="4" t="s">
        <v>34633</v>
      </c>
      <c r="B27507" s="4" t="s">
        <v>34634</v>
      </c>
      <c r="C27507" s="5" t="str">
        <f>IFERROR(__xludf.DUMMYFUNCTION("GOOGLETRANSLATE(B27507,""en"",""it"")"),"Due persone sono viste indossare odiate divertenti e stare dietro un tavolo che parla alla telecamera.")</f>
        <v>Due persone sono viste indossare odiate divertenti e stare dietro un tavolo che parla alla telecamera.</v>
      </c>
    </row>
    <row r="27508">
      <c r="A27508" s="4" t="s">
        <v>34633</v>
      </c>
      <c r="B27508" s="4" t="s">
        <v>34635</v>
      </c>
      <c r="C27508" s="5" t="str">
        <f>IFERROR(__xludf.DUMMYFUNCTION("GOOGLETRANSLATE(B27508,""en"",""it"")"),"Quindi avvolgono rapidamente un regalo e mostrano un regalo migliore sotto.")</f>
        <v>Quindi avvolgono rapidamente un regalo e mostrano un regalo migliore sotto.</v>
      </c>
    </row>
    <row r="27509">
      <c r="A27509" s="4" t="s">
        <v>34633</v>
      </c>
      <c r="B27509" s="6" t="s">
        <v>34636</v>
      </c>
      <c r="C27509" s="5" t="str">
        <f>IFERROR(__xludf.DUMMYFUNCTION("GOOGLETRANSLATE(B27509,""en"",""it"")"),"Vengono mostrati più scatti che si avvolgono mentre si muovono rapidamente e parlano alla telecamera.")</f>
        <v>Vengono mostrati più scatti che si avvolgono mentre si muovono rapidamente e parlano alla telecamera.</v>
      </c>
    </row>
    <row r="27510">
      <c r="A27510" s="4" t="s">
        <v>34637</v>
      </c>
      <c r="B27510" s="6" t="s">
        <v>34638</v>
      </c>
      <c r="C27510" s="5" t="str">
        <f>IFERROR(__xludf.DUMMYFUNCTION("GOOGLETRANSLATE(B27510,""en"",""it"")"),"Una persona viene vista cavalcare in un'auto che si panoramica con gli altri mentre segue un folto gruppo di persone in bicicletta.")</f>
        <v>Una persona viene vista cavalcare in un'auto che si panoramica con gli altri mentre segue un folto gruppo di persone in bicicletta.</v>
      </c>
    </row>
    <row r="27511">
      <c r="A27511" s="4" t="s">
        <v>34637</v>
      </c>
      <c r="B27511" s="4" t="s">
        <v>34639</v>
      </c>
      <c r="C27511" s="5" t="str">
        <f>IFERROR(__xludf.DUMMYFUNCTION("GOOGLETRANSLATE(B27511,""en"",""it"")"),"Il conducente consegna le persone innaffiate sul lato e li tira dentro per sistemare una bici.")</f>
        <v>Il conducente consegna le persone innaffiate sul lato e li tira dentro per sistemare una bici.</v>
      </c>
    </row>
    <row r="27512">
      <c r="A27512" s="4" t="s">
        <v>34637</v>
      </c>
      <c r="B27512" s="6" t="s">
        <v>34640</v>
      </c>
      <c r="C27512" s="5" t="str">
        <f>IFERROR(__xludf.DUMMYFUNCTION("GOOGLETRANSLATE(B27512,""en"",""it"")"),"L'auto continua a seguire e aiutare l'uomo, oltre a fermarsi a cambiare una ruota e risalire in macchina.")</f>
        <v>L'auto continua a seguire e aiutare l'uomo, oltre a fermarsi a cambiare una ruota e risalire in macchina.</v>
      </c>
    </row>
    <row r="27513">
      <c r="A27513" s="4" t="s">
        <v>34641</v>
      </c>
      <c r="B27513" s="6" t="s">
        <v>34642</v>
      </c>
      <c r="C27513" s="5" t="str">
        <f>IFERROR(__xludf.DUMMYFUNCTION("GOOGLETRANSLATE(B27513,""en"",""it"")"),"Un uomo viene visto guardare da vicino la telecamera seguita da una persona che vedeva e esegue vari trucchi.")</f>
        <v>Un uomo viene visto guardare da vicino la telecamera seguita da una persona che vedeva e esegue vari trucchi.</v>
      </c>
    </row>
    <row r="27514">
      <c r="A27514" s="4" t="s">
        <v>34641</v>
      </c>
      <c r="B27514" s="6" t="s">
        <v>34643</v>
      </c>
      <c r="C27514" s="5" t="str">
        <f>IFERROR(__xludf.DUMMYFUNCTION("GOOGLETRANSLATE(B27514,""en"",""it"")"),"Vengono mostrati diversi colpi di persone che fanno trucchi lungo l'acqua mentre la barca li tira dalla parte anteriore.")</f>
        <v>Vengono mostrati diversi colpi di persone che fanno trucchi lungo l'acqua mentre la barca li tira dalla parte anteriore.</v>
      </c>
    </row>
    <row r="27515">
      <c r="A27515" s="4" t="s">
        <v>34644</v>
      </c>
      <c r="B27515" s="6" t="s">
        <v>34645</v>
      </c>
      <c r="C27515" s="5" t="str">
        <f>IFERROR(__xludf.DUMMYFUNCTION("GOOGLETRANSLATE(B27515,""en"",""it"")"),"Viene visto un uomo che solleva un pezzo di legno e lo strofina mentre parla alla telecamera e spruzza lo smalto.")</f>
        <v>Viene visto un uomo che solleva un pezzo di legno e lo strofina mentre parla alla telecamera e spruzza lo smalto.</v>
      </c>
    </row>
    <row r="27516">
      <c r="A27516" s="4" t="s">
        <v>34644</v>
      </c>
      <c r="B27516" s="6" t="s">
        <v>34646</v>
      </c>
      <c r="C27516" s="5" t="str">
        <f>IFERROR(__xludf.DUMMYFUNCTION("GOOGLETRANSLATE(B27516,""en"",""it"")"),"L'uomo si asciuga lo smalto con uno straccio mentre continua a parlare alla telecamera e alza il pezzo di legno alla fine.")</f>
        <v>L'uomo si asciuga lo smalto con uno straccio mentre continua a parlare alla telecamera e alza il pezzo di legno alla fine.</v>
      </c>
    </row>
    <row r="27517">
      <c r="A27517" s="4" t="s">
        <v>34647</v>
      </c>
      <c r="B27517" s="4" t="s">
        <v>34648</v>
      </c>
      <c r="C27517" s="5" t="str">
        <f>IFERROR(__xludf.DUMMYFUNCTION("GOOGLETRANSLATE(B27517,""en"",""it"")"),"Le foglie di marrone e giallo secche si trovano a terra, sopra l'erba verde.")</f>
        <v>Le foglie di marrone e giallo secche si trovano a terra, sopra l'erba verde.</v>
      </c>
    </row>
    <row r="27518">
      <c r="A27518" s="4" t="s">
        <v>34647</v>
      </c>
      <c r="B27518" s="4" t="s">
        <v>34649</v>
      </c>
      <c r="C27518" s="5" t="str">
        <f>IFERROR(__xludf.DUMMYFUNCTION("GOOGLETRANSLATE(B27518,""en"",""it"")"),"Un uomo con un soffiatore di foglie sulla sua mano iniziò a soffiare le foglie verso il centro del campo.")</f>
        <v>Un uomo con un soffiatore di foglie sulla sua mano iniziò a soffiare le foglie verso il centro del campo.</v>
      </c>
    </row>
    <row r="27519">
      <c r="A27519" s="4" t="s">
        <v>34647</v>
      </c>
      <c r="B27519" s="6" t="s">
        <v>34650</v>
      </c>
      <c r="C27519" s="5" t="str">
        <f>IFERROR(__xludf.DUMMYFUNCTION("GOOGLETRANSLATE(B27519,""en"",""it"")"),"L'uomo soffiò le foglie dal lato della strada verso l'albero, mentre un altro uomo con soffiatore di foglie cammina sull'altro lato della passerella.")</f>
        <v>L'uomo soffiò le foglie dal lato della strada verso l'albero, mentre un altro uomo con soffiatore di foglie cammina sull'altro lato della passerella.</v>
      </c>
    </row>
    <row r="27520">
      <c r="A27520" s="4" t="s">
        <v>34651</v>
      </c>
      <c r="B27520" s="4" t="s">
        <v>34652</v>
      </c>
      <c r="C27520" s="5" t="str">
        <f>IFERROR(__xludf.DUMMYFUNCTION("GOOGLETRANSLATE(B27520,""en"",""it"")"),"Un uomo viene mostrato lavorando su una recinzione nel cortile.")</f>
        <v>Un uomo viene mostrato lavorando su una recinzione nel cortile.</v>
      </c>
    </row>
    <row r="27521">
      <c r="A27521" s="4" t="s">
        <v>34651</v>
      </c>
      <c r="B27521" s="4" t="s">
        <v>34653</v>
      </c>
      <c r="C27521" s="5" t="str">
        <f>IFERROR(__xludf.DUMMYFUNCTION("GOOGLETRANSLATE(B27521,""en"",""it"")"),"L'uomo indossa un abito blu mentre dipinge la recinzione di legno di colore rosso.")</f>
        <v>L'uomo indossa un abito blu mentre dipinge la recinzione di legno di colore rosso.</v>
      </c>
    </row>
    <row r="27522">
      <c r="A27522" s="4" t="s">
        <v>34651</v>
      </c>
      <c r="B27522" s="4" t="s">
        <v>34654</v>
      </c>
      <c r="C27522" s="5" t="str">
        <f>IFERROR(__xludf.DUMMYFUNCTION("GOOGLETRANSLATE(B27522,""en"",""it"")"),"L'uomo pulisce la vernice dalle assi.")</f>
        <v>L'uomo pulisce la vernice dalle assi.</v>
      </c>
    </row>
    <row r="27523">
      <c r="A27523" s="4" t="s">
        <v>34655</v>
      </c>
      <c r="B27523" s="4" t="s">
        <v>34656</v>
      </c>
      <c r="C27523" s="5" t="str">
        <f>IFERROR(__xludf.DUMMYFUNCTION("GOOGLETRANSLATE(B27523,""en"",""it"")"),"Viene visto un uomo parlare alla fotocamera mentre mette una scatola attorno a un po 'di carta.")</f>
        <v>Viene visto un uomo parlare alla fotocamera mentre mette una scatola attorno a un po 'di carta.</v>
      </c>
    </row>
    <row r="27524">
      <c r="A27524" s="4" t="s">
        <v>34655</v>
      </c>
      <c r="B27524" s="4" t="s">
        <v>34657</v>
      </c>
      <c r="C27524" s="5" t="str">
        <f>IFERROR(__xludf.DUMMYFUNCTION("GOOGLETRANSLATE(B27524,""en"",""it"")"),"Avvolge la scatola in carta mentre usa le forbici per tagliare i lati.")</f>
        <v>Avvolge la scatola in carta mentre usa le forbici per tagliare i lati.</v>
      </c>
    </row>
    <row r="27525">
      <c r="A27525" s="4" t="s">
        <v>34655</v>
      </c>
      <c r="B27525" s="4" t="s">
        <v>34658</v>
      </c>
      <c r="C27525" s="5" t="str">
        <f>IFERROR(__xludf.DUMMYFUNCTION("GOOGLETRANSLATE(B27525,""en"",""it"")"),"L'uomo registra la scatola e la presenta alla fotocamera.")</f>
        <v>L'uomo registra la scatola e la presenta alla fotocamera.</v>
      </c>
    </row>
    <row r="27526">
      <c r="A27526" s="4" t="s">
        <v>34659</v>
      </c>
      <c r="B27526" s="6" t="s">
        <v>34660</v>
      </c>
      <c r="C27526" s="5" t="str">
        <f>IFERROR(__xludf.DUMMYFUNCTION("GOOGLETRANSLATE(B27526,""en"",""it"")"),"Un'ancora di notizie è in piedi dietro un tavolo con documenti che parlano come un uomo è nuotare sullo schermo televisivo dietro di lui.")</f>
        <v>Un'ancora di notizie è in piedi dietro un tavolo con documenti che parlano come un uomo è nuotare sullo schermo televisivo dietro di lui.</v>
      </c>
    </row>
    <row r="27527">
      <c r="A27527" s="4" t="s">
        <v>34659</v>
      </c>
      <c r="B27527" s="4" t="s">
        <v>34661</v>
      </c>
      <c r="C27527" s="5" t="str">
        <f>IFERROR(__xludf.DUMMYFUNCTION("GOOGLETRANSLATE(B27527,""en"",""it"")"),"Dopo, un gruppo di persone è in piscina giocando a una partita di polo d'acqua.")</f>
        <v>Dopo, un gruppo di persone è in piscina giocando a una partita di polo d'acqua.</v>
      </c>
    </row>
    <row r="27528">
      <c r="A27528" s="4" t="s">
        <v>34659</v>
      </c>
      <c r="B27528" s="6" t="s">
        <v>34662</v>
      </c>
      <c r="C27528" s="5" t="str">
        <f>IFERROR(__xludf.DUMMYFUNCTION("GOOGLETRANSLATE(B27528,""en"",""it"")"),"Un allenatore viene quindi mostrato in un corridoio mentre le persone tornano e continuano a giocare prima che una partita di calcio si mostri.")</f>
        <v>Un allenatore viene quindi mostrato in un corridoio mentre le persone tornano e continuano a giocare prima che una partita di calcio si mostri.</v>
      </c>
    </row>
    <row r="27529">
      <c r="A27529" s="4" t="s">
        <v>34663</v>
      </c>
      <c r="B27529" s="4" t="s">
        <v>34664</v>
      </c>
      <c r="C27529" s="5" t="str">
        <f>IFERROR(__xludf.DUMMYFUNCTION("GOOGLETRANSLATE(B27529,""en"",""it"")"),"Una ragazza viene vista saltare oggetti in acqua e strofinare una padella con un pennello.")</f>
        <v>Una ragazza viene vista saltare oggetti in acqua e strofinare una padella con un pennello.</v>
      </c>
    </row>
    <row r="27530">
      <c r="A27530" s="4" t="s">
        <v>34663</v>
      </c>
      <c r="B27530" s="6" t="s">
        <v>34665</v>
      </c>
      <c r="C27530" s="5" t="str">
        <f>IFERROR(__xludf.DUMMYFUNCTION("GOOGLETRANSLATE(B27530,""en"",""it"")"),"Continua a parlare con la telecamera e nella padella e dimostra come pulire correttamente una padella.")</f>
        <v>Continua a parlare con la telecamera e nella padella e dimostra come pulire correttamente una padella.</v>
      </c>
    </row>
    <row r="27531">
      <c r="A27531" s="4" t="s">
        <v>34666</v>
      </c>
      <c r="B27531" s="4" t="s">
        <v>34667</v>
      </c>
      <c r="C27531" s="5" t="str">
        <f>IFERROR(__xludf.DUMMYFUNCTION("GOOGLETRANSLATE(B27531,""en"",""it"")"),"Una telecamera si panoramica intorno a una foresta e conduce in una corda legata a un albero.")</f>
        <v>Una telecamera si panoramica intorno a una foresta e conduce in una corda legata a un albero.</v>
      </c>
    </row>
    <row r="27532">
      <c r="A27532" s="4" t="s">
        <v>34666</v>
      </c>
      <c r="B27532" s="4" t="s">
        <v>34668</v>
      </c>
      <c r="C27532" s="5" t="str">
        <f>IFERROR(__xludf.DUMMYFUNCTION("GOOGLETRANSLATE(B27532,""en"",""it"")"),"Una persona viene vista stringere la corda seguita da camminare lungo la corda.")</f>
        <v>Una persona viene vista stringere la corda seguita da camminare lungo la corda.</v>
      </c>
    </row>
    <row r="27533">
      <c r="A27533" s="4" t="s">
        <v>34666</v>
      </c>
      <c r="B27533" s="4" t="s">
        <v>34669</v>
      </c>
      <c r="C27533" s="5" t="str">
        <f>IFERROR(__xludf.DUMMYFUNCTION("GOOGLETRANSLATE(B27533,""en"",""it"")"),"Diverse persone vengono viste camminare sulla corda e rimbalzare ed eseguire trucchi.")</f>
        <v>Diverse persone vengono viste camminare sulla corda e rimbalzare ed eseguire trucchi.</v>
      </c>
    </row>
    <row r="27534">
      <c r="A27534" s="4" t="s">
        <v>34670</v>
      </c>
      <c r="B27534" s="4" t="s">
        <v>34671</v>
      </c>
      <c r="C27534" s="5" t="str">
        <f>IFERROR(__xludf.DUMMYFUNCTION("GOOGLETRANSLATE(B27534,""en"",""it"")"),"Vediamo una ragazza in oro fare una routine di testimone.")</f>
        <v>Vediamo una ragazza in oro fare una routine di testimone.</v>
      </c>
    </row>
    <row r="27535">
      <c r="A27535" s="4" t="s">
        <v>34670</v>
      </c>
      <c r="B27535" s="4" t="s">
        <v>34672</v>
      </c>
      <c r="C27535" s="5" t="str">
        <f>IFERROR(__xludf.DUMMYFUNCTION("GOOGLETRANSLATE(B27535,""en"",""it"")"),"La ragazza fa un lancio.")</f>
        <v>La ragazza fa un lancio.</v>
      </c>
    </row>
    <row r="27536">
      <c r="A27536" s="4" t="s">
        <v>34670</v>
      </c>
      <c r="B27536" s="4" t="s">
        <v>34673</v>
      </c>
      <c r="C27536" s="5" t="str">
        <f>IFERROR(__xludf.DUMMYFUNCTION("GOOGLETRANSLATE(B27536,""en"",""it"")"),"Le ragazze girano ripetutamente e cattura il suo testimone.")</f>
        <v>Le ragazze girano ripetutamente e cattura il suo testimone.</v>
      </c>
    </row>
    <row r="27537">
      <c r="A27537" s="4" t="s">
        <v>34670</v>
      </c>
      <c r="B27537" s="4" t="s">
        <v>34674</v>
      </c>
      <c r="C27537" s="5" t="str">
        <f>IFERROR(__xludf.DUMMYFUNCTION("GOOGLETRANSLATE(B27537,""en"",""it"")"),"La ragazza gira e due manganelli entrano e lei afferra ciascuno.")</f>
        <v>La ragazza gira e due manganelli entrano e lei afferra ciascuno.</v>
      </c>
    </row>
    <row r="27538">
      <c r="A27538" s="4" t="s">
        <v>34670</v>
      </c>
      <c r="B27538" s="4" t="s">
        <v>34675</v>
      </c>
      <c r="C27538" s="5" t="str">
        <f>IFERROR(__xludf.DUMMYFUNCTION("GOOGLETRANSLATE(B27538,""en"",""it"")"),"La ragazza gira, cattura il suo testimone e posa per il suo traguardo mentre la folla applaude.")</f>
        <v>La ragazza gira, cattura il suo testimone e posa per il suo traguardo mentre la folla applaude.</v>
      </c>
    </row>
    <row r="27539">
      <c r="A27539" s="4" t="s">
        <v>34676</v>
      </c>
      <c r="B27539" s="4" t="s">
        <v>34677</v>
      </c>
      <c r="C27539" s="5" t="str">
        <f>IFERROR(__xludf.DUMMYFUNCTION("GOOGLETRANSLATE(B27539,""en"",""it"")"),"Una persona sta rastrellando le foglie in una pila.")</f>
        <v>Una persona sta rastrellando le foglie in una pila.</v>
      </c>
    </row>
    <row r="27540">
      <c r="A27540" s="4" t="s">
        <v>34676</v>
      </c>
      <c r="B27540" s="4" t="s">
        <v>34678</v>
      </c>
      <c r="C27540" s="5" t="str">
        <f>IFERROR(__xludf.DUMMYFUNCTION("GOOGLETRANSLATE(B27540,""en"",""it"")"),"Un bambino sta raccogliendo le foglie e gioca nella pila.")</f>
        <v>Un bambino sta raccogliendo le foglie e gioca nella pila.</v>
      </c>
    </row>
    <row r="27541">
      <c r="A27541" s="4" t="s">
        <v>34676</v>
      </c>
      <c r="B27541" s="4" t="s">
        <v>34679</v>
      </c>
      <c r="C27541" s="5" t="str">
        <f>IFERROR(__xludf.DUMMYFUNCTION("GOOGLETRANSLATE(B27541,""en"",""it"")"),"Il ragazzo raccoglie un rastrello e inizia a rastrellare le foglie.")</f>
        <v>Il ragazzo raccoglie un rastrello e inizia a rastrellare le foglie.</v>
      </c>
    </row>
    <row r="27542">
      <c r="A27542" s="4" t="s">
        <v>34680</v>
      </c>
      <c r="B27542" s="4" t="s">
        <v>34681</v>
      </c>
      <c r="C27542" s="5" t="str">
        <f>IFERROR(__xludf.DUMMYFUNCTION("GOOGLETRANSLATE(B27542,""en"",""it"")"),"C'è una ragazza che indossa un maglione marrone che suona il violino.")</f>
        <v>C'è una ragazza che indossa un maglione marrone che suona il violino.</v>
      </c>
    </row>
    <row r="27543">
      <c r="A27543" s="4" t="s">
        <v>34680</v>
      </c>
      <c r="B27543" s="4" t="s">
        <v>34682</v>
      </c>
      <c r="C27543" s="5" t="str">
        <f>IFERROR(__xludf.DUMMYFUNCTION("GOOGLETRANSLATE(B27543,""en"",""it"")"),"Stringe il violino con la mano sinistra mentre usa il bastone prua con la mano destra.")</f>
        <v>Stringe il violino con la mano sinistra mentre usa il bastone prua con la mano destra.</v>
      </c>
    </row>
    <row r="27544">
      <c r="A27544" s="4" t="s">
        <v>34680</v>
      </c>
      <c r="B27544" s="4" t="s">
        <v>34683</v>
      </c>
      <c r="C27544" s="5" t="str">
        <f>IFERROR(__xludf.DUMMYFUNCTION("GOOGLETRANSLATE(B27544,""en"",""it"")"),"Continua a suonare la sua melodia sul violino con piena concentrazione senza fare una pausa.")</f>
        <v>Continua a suonare la sua melodia sul violino con piena concentrazione senza fare una pausa.</v>
      </c>
    </row>
    <row r="27545">
      <c r="A27545" s="4" t="s">
        <v>34680</v>
      </c>
      <c r="B27545" s="4" t="s">
        <v>34684</v>
      </c>
      <c r="C27545" s="5" t="str">
        <f>IFERROR(__xludf.DUMMYFUNCTION("GOOGLETRANSLATE(B27545,""en"",""it"")"),"Guarda costantemente il violino mentre suona le note.")</f>
        <v>Guarda costantemente il violino mentre suona le note.</v>
      </c>
    </row>
    <row r="27546">
      <c r="A27546" s="4" t="s">
        <v>34680</v>
      </c>
      <c r="B27546" s="4" t="s">
        <v>34685</v>
      </c>
      <c r="C27546" s="5" t="str">
        <f>IFERROR(__xludf.DUMMYFUNCTION("GOOGLETRANSLATE(B27546,""en"",""it"")"),"Dopo aver finito di suonare il violino, sorride e se ne va.")</f>
        <v>Dopo aver finito di suonare il violino, sorride e se ne va.</v>
      </c>
    </row>
    <row r="27547">
      <c r="A27547" s="4" t="s">
        <v>34686</v>
      </c>
      <c r="B27547" s="4" t="s">
        <v>34687</v>
      </c>
      <c r="C27547" s="5" t="str">
        <f>IFERROR(__xludf.DUMMYFUNCTION("GOOGLETRANSLATE(B27547,""en"",""it"")"),"Viene mostrato un video di unghie dei piedi di ritaglio di gatti.")</f>
        <v>Viene mostrato un video di unghie dei piedi di ritaglio di gatti.</v>
      </c>
    </row>
    <row r="27548">
      <c r="A27548" s="4" t="s">
        <v>34686</v>
      </c>
      <c r="B27548" s="4" t="s">
        <v>34688</v>
      </c>
      <c r="C27548" s="5" t="str">
        <f>IFERROR(__xludf.DUMMYFUNCTION("GOOGLETRANSLATE(B27548,""en"",""it"")"),"Ogni zampa viene afferrata e l'unghia viene spinta e tagliata.")</f>
        <v>Ogni zampa viene afferrata e l'unghia viene spinta e tagliata.</v>
      </c>
    </row>
    <row r="27549">
      <c r="A27549" s="4" t="s">
        <v>34686</v>
      </c>
      <c r="B27549" s="4" t="s">
        <v>34689</v>
      </c>
      <c r="C27549" s="5" t="str">
        <f>IFERROR(__xludf.DUMMYFUNCTION("GOOGLETRANSLATE(B27549,""en"",""it"")"),"Il gatto è stranamente calmo per tutto il tempo.")</f>
        <v>Il gatto è stranamente calmo per tutto il tempo.</v>
      </c>
    </row>
    <row r="27550">
      <c r="A27550" s="4" t="s">
        <v>34690</v>
      </c>
      <c r="B27550" s="4" t="s">
        <v>34691</v>
      </c>
      <c r="C27550" s="5" t="str">
        <f>IFERROR(__xludf.DUMMYFUNCTION("GOOGLETRANSLATE(B27550,""en"",""it"")"),"Un uomo sta camminando in una stanza.")</f>
        <v>Un uomo sta camminando in una stanza.</v>
      </c>
    </row>
    <row r="27551">
      <c r="A27551" s="4" t="s">
        <v>34690</v>
      </c>
      <c r="B27551" s="4" t="s">
        <v>34692</v>
      </c>
      <c r="C27551" s="5" t="str">
        <f>IFERROR(__xludf.DUMMYFUNCTION("GOOGLETRANSLATE(B27551,""en"",""it"")"),"Una ragazza balla davanti a uno specchio nella stanza.")</f>
        <v>Una ragazza balla davanti a uno specchio nella stanza.</v>
      </c>
    </row>
    <row r="27552">
      <c r="A27552" s="4" t="s">
        <v>34690</v>
      </c>
      <c r="B27552" s="4" t="s">
        <v>34693</v>
      </c>
      <c r="C27552" s="5" t="str">
        <f>IFERROR(__xludf.DUMMYFUNCTION("GOOGLETRANSLATE(B27552,""en"",""it"")"),"La guarda fuori dalla stanza.")</f>
        <v>La guarda fuori dalla stanza.</v>
      </c>
    </row>
    <row r="27553">
      <c r="A27553" s="4" t="s">
        <v>34694</v>
      </c>
      <c r="B27553" s="4" t="s">
        <v>1487</v>
      </c>
      <c r="C27553" s="5" t="str">
        <f>IFERROR(__xludf.DUMMYFUNCTION("GOOGLETRANSLATE(B27553,""en"",""it"")"),"Vediamo una schermata del titolo di apertura.")</f>
        <v>Vediamo una schermata del titolo di apertura.</v>
      </c>
    </row>
    <row r="27554">
      <c r="A27554" s="4" t="s">
        <v>34694</v>
      </c>
      <c r="B27554" s="4" t="s">
        <v>34695</v>
      </c>
      <c r="C27554" s="5" t="str">
        <f>IFERROR(__xludf.DUMMYFUNCTION("GOOGLETRANSLATE(B27554,""en"",""it"")"),"C'è uno show televisivo in bianco e nero con due uomini su un palco che parlano e ride.")</f>
        <v>C'è uno show televisivo in bianco e nero con due uomini su un palco che parlano e ride.</v>
      </c>
    </row>
    <row r="27555">
      <c r="A27555" s="4" t="s">
        <v>34694</v>
      </c>
      <c r="B27555" s="4" t="s">
        <v>34696</v>
      </c>
      <c r="C27555" s="5" t="str">
        <f>IFERROR(__xludf.DUMMYFUNCTION("GOOGLETRANSLATE(B27555,""en"",""it"")"),"L'uomo giusto si alza e cammina verso un piano.")</f>
        <v>L'uomo giusto si alza e cammina verso un piano.</v>
      </c>
    </row>
    <row r="27556">
      <c r="A27556" s="4" t="s">
        <v>34694</v>
      </c>
      <c r="B27556" s="4" t="s">
        <v>34697</v>
      </c>
      <c r="C27556" s="5" t="str">
        <f>IFERROR(__xludf.DUMMYFUNCTION("GOOGLETRANSLATE(B27556,""en"",""it"")"),"L'uomo suona un pianoforte.")</f>
        <v>L'uomo suona un pianoforte.</v>
      </c>
    </row>
    <row r="27557">
      <c r="A27557" s="4" t="s">
        <v>34694</v>
      </c>
      <c r="B27557" s="4" t="s">
        <v>34698</v>
      </c>
      <c r="C27557" s="5" t="str">
        <f>IFERROR(__xludf.DUMMYFUNCTION("GOOGLETRANSLATE(B27557,""en"",""it"")"),"L'uomo finisce e si alza.")</f>
        <v>L'uomo finisce e si alza.</v>
      </c>
    </row>
    <row r="27558">
      <c r="A27558" s="4" t="s">
        <v>34694</v>
      </c>
      <c r="B27558" s="4" t="s">
        <v>19328</v>
      </c>
      <c r="C27558" s="5" t="str">
        <f>IFERROR(__xludf.DUMMYFUNCTION("GOOGLETRANSLATE(B27558,""en"",""it"")"),"Vediamo la folla applaudire.")</f>
        <v>Vediamo la folla applaudire.</v>
      </c>
    </row>
    <row r="27559">
      <c r="A27559" s="4" t="s">
        <v>34694</v>
      </c>
      <c r="B27559" s="4" t="s">
        <v>34699</v>
      </c>
      <c r="C27559" s="5" t="str">
        <f>IFERROR(__xludf.DUMMYFUNCTION("GOOGLETRANSLATE(B27559,""en"",""it"")"),"Gli uomini si stringono la mano e il pianista si allontana e l'ospite parla un po '.")</f>
        <v>Gli uomini si stringono la mano e il pianista si allontana e l'ospite parla un po '.</v>
      </c>
    </row>
    <row r="27560">
      <c r="A27560" s="4" t="s">
        <v>34700</v>
      </c>
      <c r="B27560" s="6" t="s">
        <v>34701</v>
      </c>
      <c r="C27560" s="5" t="str">
        <f>IFERROR(__xludf.DUMMYFUNCTION("GOOGLETRANSLATE(B27560,""en"",""it"")"),"Un atleta viene visto agitare le mani alla folla e applaudire seguito da lui che corre su un raggio.")</f>
        <v>Un atleta viene visto agitare le mani alla folla e applaudire seguito da lui che corre su un raggio.</v>
      </c>
    </row>
    <row r="27561">
      <c r="A27561" s="4" t="s">
        <v>34700</v>
      </c>
      <c r="B27561" s="4" t="s">
        <v>34702</v>
      </c>
      <c r="C27561" s="5" t="str">
        <f>IFERROR(__xludf.DUMMYFUNCTION("GOOGLETRANSLATE(B27561,""en"",""it"")"),"Il suo stesso colpo viene mostrato di nuovo al rallentatore ed è visto parlare con un uomo.")</f>
        <v>Il suo stesso colpo viene mostrato di nuovo al rallentatore ed è visto parlare con un uomo.</v>
      </c>
    </row>
    <row r="27562">
      <c r="A27562" s="4" t="s">
        <v>34703</v>
      </c>
      <c r="B27562" s="4" t="s">
        <v>34704</v>
      </c>
      <c r="C27562" s="5" t="str">
        <f>IFERROR(__xludf.DUMMYFUNCTION("GOOGLETRANSLATE(B27562,""en"",""it"")"),"Un gruppo di giovani uomini è in cucina, giocando a Beer Pong.")</f>
        <v>Un gruppo di giovani uomini è in cucina, giocando a Beer Pong.</v>
      </c>
    </row>
    <row r="27563">
      <c r="A27563" s="4" t="s">
        <v>34703</v>
      </c>
      <c r="B27563" s="4" t="s">
        <v>34705</v>
      </c>
      <c r="C27563" s="5" t="str">
        <f>IFERROR(__xludf.DUMMYFUNCTION("GOOGLETRANSLATE(B27563,""en"",""it"")"),"Esultano mentre portano la palla in una tazza.")</f>
        <v>Esultano mentre portano la palla in una tazza.</v>
      </c>
    </row>
    <row r="27564">
      <c r="A27564" s="4" t="s">
        <v>34703</v>
      </c>
      <c r="B27564" s="4" t="s">
        <v>34706</v>
      </c>
      <c r="C27564" s="5" t="str">
        <f>IFERROR(__xludf.DUMMYFUNCTION("GOOGLETRANSLATE(B27564,""en"",""it"")"),"Appare una donna e raccoglie una delle tazze.")</f>
        <v>Appare una donna e raccoglie una delle tazze.</v>
      </c>
    </row>
    <row r="27565">
      <c r="A27565" s="4" t="s">
        <v>34707</v>
      </c>
      <c r="B27565" s="4" t="s">
        <v>34708</v>
      </c>
      <c r="C27565" s="5" t="str">
        <f>IFERROR(__xludf.DUMMYFUNCTION("GOOGLETRANSLATE(B27565,""en"",""it"")"),"Due ragazzi in giovane età stanno giocando a palle di foose tra loro.")</f>
        <v>Due ragazzi in giovane età stanno giocando a palle di foose tra loro.</v>
      </c>
    </row>
    <row r="27566">
      <c r="A27566" s="4" t="s">
        <v>34707</v>
      </c>
      <c r="B27566" s="4" t="s">
        <v>34709</v>
      </c>
      <c r="C27566" s="5" t="str">
        <f>IFERROR(__xludf.DUMMYFUNCTION("GOOGLETRANSLATE(B27566,""en"",""it"")"),"Uno prendi la palla e la rimette in gioco.")</f>
        <v>Uno prendi la palla e la rimette in gioco.</v>
      </c>
    </row>
    <row r="27567">
      <c r="A27567" s="4" t="s">
        <v>34707</v>
      </c>
      <c r="B27567" s="4" t="s">
        <v>34710</v>
      </c>
      <c r="C27567" s="5" t="str">
        <f>IFERROR(__xludf.DUMMYFUNCTION("GOOGLETRANSLATE(B27567,""en"",""it"")"),"I ragazzi continuano a giocare indietro e al quarto posto.")</f>
        <v>I ragazzi continuano a giocare indietro e al quarto posto.</v>
      </c>
    </row>
    <row r="27568">
      <c r="A27568" s="4" t="s">
        <v>34711</v>
      </c>
      <c r="B27568" s="4" t="s">
        <v>34712</v>
      </c>
      <c r="C27568" s="5" t="str">
        <f>IFERROR(__xludf.DUMMYFUNCTION("GOOGLETRANSLATE(B27568,""en"",""it"")"),"Una telecamera si lancia intorno a un cortile che porta a un rastrello seduto contro una cestino.")</f>
        <v>Una telecamera si lancia intorno a un cortile che porta a un rastrello seduto contro una cestino.</v>
      </c>
    </row>
    <row r="27569">
      <c r="A27569" s="4" t="s">
        <v>34711</v>
      </c>
      <c r="B27569" s="4" t="s">
        <v>34713</v>
      </c>
      <c r="C27569" s="5" t="str">
        <f>IFERROR(__xludf.DUMMYFUNCTION("GOOGLETRANSLATE(B27569,""en"",""it"")"),"Un uomo viene visto allungarsi in lontananza e inizia a rastrellare le foglie.")</f>
        <v>Un uomo viene visto allungarsi in lontananza e inizia a rastrellare le foglie.</v>
      </c>
    </row>
    <row r="27570">
      <c r="A27570" s="4" t="s">
        <v>34711</v>
      </c>
      <c r="B27570" s="6" t="s">
        <v>34714</v>
      </c>
      <c r="C27570" s="5" t="str">
        <f>IFERROR(__xludf.DUMMYFUNCTION("GOOGLETRANSLATE(B27570,""en"",""it"")"),"Prende le foglie e le getta nella spazzatura e su una coperta e la consegna a una ragazza.")</f>
        <v>Prende le foglie e le getta nella spazzatura e su una coperta e la consegna a una ragazza.</v>
      </c>
    </row>
    <row r="27571">
      <c r="A27571" s="4" t="s">
        <v>34715</v>
      </c>
      <c r="B27571" s="6" t="s">
        <v>34716</v>
      </c>
      <c r="C27571" s="5" t="str">
        <f>IFERROR(__xludf.DUMMYFUNCTION("GOOGLETRANSLATE(B27571,""en"",""it"")"),"Una collezione di skateboard in fila in una strada in posizione verso l'alto sulle loro ruote e capovolta sulla piattaforma.")</f>
        <v>Una collezione di skateboard in fila in una strada in posizione verso l'alto sulle loro ruote e capovolta sulla piattaforma.</v>
      </c>
    </row>
    <row r="27572">
      <c r="A27572" s="4" t="s">
        <v>34715</v>
      </c>
      <c r="B27572" s="6" t="s">
        <v>34717</v>
      </c>
      <c r="C27572" s="5" t="str">
        <f>IFERROR(__xludf.DUMMYFUNCTION("GOOGLETRANSLATE(B27572,""en"",""it"")"),"Uno skateboarder che indossa un casco bianco pattina da un altro skateboarder mentre la telecamera fa un gruppo di spettatori di skateboarder che guardano dal marciapiede.")</f>
        <v>Uno skateboarder che indossa un casco bianco pattina da un altro skateboarder mentre la telecamera fa un gruppo di spettatori di skateboarder che guardano dal marciapiede.</v>
      </c>
    </row>
    <row r="27573">
      <c r="A27573" s="4" t="s">
        <v>34715</v>
      </c>
      <c r="B27573" s="4" t="s">
        <v>34718</v>
      </c>
      <c r="C27573" s="5" t="str">
        <f>IFERROR(__xludf.DUMMYFUNCTION("GOOGLETRANSLATE(B27573,""en"",""it"")"),"Un gruppo di skateboarder esegue trucchi e manovre su e giù per la strada.")</f>
        <v>Un gruppo di skateboarder esegue trucchi e manovre su e giù per la strada.</v>
      </c>
    </row>
    <row r="27574">
      <c r="A27574" s="4" t="s">
        <v>34715</v>
      </c>
      <c r="B27574" s="4" t="s">
        <v>34719</v>
      </c>
      <c r="C27574" s="5" t="str">
        <f>IFERROR(__xludf.DUMMYFUNCTION("GOOGLETRANSLATE(B27574,""en"",""it"")"),"Una vista di un veicolo caricato con skateboard e attrezzatura da skateboard.")</f>
        <v>Una vista di un veicolo caricato con skateboard e attrezzatura da skateboard.</v>
      </c>
    </row>
    <row r="27575">
      <c r="A27575" s="4" t="s">
        <v>34715</v>
      </c>
      <c r="B27575" s="4" t="s">
        <v>34720</v>
      </c>
      <c r="C27575" s="5" t="str">
        <f>IFERROR(__xludf.DUMMYFUNCTION("GOOGLETRANSLATE(B27575,""en"",""it"")"),"Un'altra vista degli skateboard allineati sulla strada in posizione verticale.")</f>
        <v>Un'altra vista degli skateboard allineati sulla strada in posizione verticale.</v>
      </c>
    </row>
    <row r="27576">
      <c r="A27576" s="4" t="s">
        <v>34715</v>
      </c>
      <c r="B27576" s="6" t="s">
        <v>34721</v>
      </c>
      <c r="C27576" s="5" t="str">
        <f>IFERROR(__xludf.DUMMYFUNCTION("GOOGLETRANSLATE(B27576,""en"",""it"")"),"Gli spettatori guardano dal marciapiede di strada mentre un gruppo di skateboarder si alterna pattinando giù per la collina e facendo una tasca fermata in un punto designato.")</f>
        <v>Gli spettatori guardano dal marciapiede di strada mentre un gruppo di skateboarder si alterna pattinando giù per la collina e facendo una tasca fermata in un punto designato.</v>
      </c>
    </row>
    <row r="27577">
      <c r="A27577" s="4" t="s">
        <v>34722</v>
      </c>
      <c r="B27577" s="4" t="s">
        <v>34723</v>
      </c>
      <c r="C27577" s="5" t="str">
        <f>IFERROR(__xludf.DUMMYFUNCTION("GOOGLETRANSLATE(B27577,""en"",""it"")"),"La donna sta camminando in un cortile erboso verde.")</f>
        <v>La donna sta camminando in un cortile erboso verde.</v>
      </c>
    </row>
    <row r="27578">
      <c r="A27578" s="4" t="s">
        <v>34722</v>
      </c>
      <c r="B27578" s="4" t="s">
        <v>34724</v>
      </c>
      <c r="C27578" s="5" t="str">
        <f>IFERROR(__xludf.DUMMYFUNCTION("GOOGLETRANSLATE(B27578,""en"",""it"")"),"L'uomo è in piedi in un bacyard di fronte a una recinzione con una macchina di fronte a lui.")</f>
        <v>L'uomo è in piedi in un bacyard di fronte a una recinzione con una macchina di fronte a lui.</v>
      </c>
    </row>
    <row r="27579">
      <c r="A27579" s="4" t="s">
        <v>34722</v>
      </c>
      <c r="B27579" s="4" t="s">
        <v>34725</v>
      </c>
      <c r="C27579" s="5" t="str">
        <f>IFERROR(__xludf.DUMMYFUNCTION("GOOGLETRANSLATE(B27579,""en"",""it"")"),"La donna è nel cortile e un uomo è dietro di lei usando un tosaerba per tagliare l'erba.")</f>
        <v>La donna è nel cortile e un uomo è dietro di lei usando un tosaerba per tagliare l'erba.</v>
      </c>
    </row>
    <row r="27580">
      <c r="A27580" s="4" t="s">
        <v>34722</v>
      </c>
      <c r="B27580" s="4" t="s">
        <v>34726</v>
      </c>
      <c r="C27580" s="5" t="str">
        <f>IFERROR(__xludf.DUMMYFUNCTION("GOOGLETRANSLATE(B27580,""en"",""it"")"),"L'uomo sta camminando con alcuni sacchetti di plastica bianchi sul panno.")</f>
        <v>L'uomo sta camminando con alcuni sacchetti di plastica bianchi sul panno.</v>
      </c>
    </row>
    <row r="27581">
      <c r="A27581" s="4" t="s">
        <v>34727</v>
      </c>
      <c r="B27581" s="4" t="s">
        <v>34728</v>
      </c>
      <c r="C27581" s="5" t="str">
        <f>IFERROR(__xludf.DUMMYFUNCTION("GOOGLETRANSLATE(B27581,""en"",""it"")"),"Un vecchio gettò la palla gialla nella tazza e rimbalzò sul tavolo.")</f>
        <v>Un vecchio gettò la palla gialla nella tazza e rimbalzò sul tavolo.</v>
      </c>
    </row>
    <row r="27582">
      <c r="A27582" s="4" t="s">
        <v>34727</v>
      </c>
      <c r="B27582" s="4" t="s">
        <v>34729</v>
      </c>
      <c r="C27582" s="5" t="str">
        <f>IFERROR(__xludf.DUMMYFUNCTION("GOOGLETRANSLATE(B27582,""en"",""it"")"),"Il vecchio con camicia nera lanciò la palla e atterrò sul tavolo.")</f>
        <v>Il vecchio con camicia nera lanciò la palla e atterrò sul tavolo.</v>
      </c>
    </row>
    <row r="27583">
      <c r="A27583" s="4" t="s">
        <v>34727</v>
      </c>
      <c r="B27583" s="6" t="s">
        <v>34730</v>
      </c>
      <c r="C27583" s="5" t="str">
        <f>IFERROR(__xludf.DUMMYFUNCTION("GOOGLETRANSLATE(B27583,""en"",""it"")"),"Un uomo gettò la palla indietro e l'uomo con camicia nera prese la palla dalla tazza e la gettò ma atterrò fuori dal tavolo.")</f>
        <v>Un uomo gettò la palla indietro e l'uomo con camicia nera prese la palla dalla tazza e la gettò ma atterrò fuori dal tavolo.</v>
      </c>
    </row>
    <row r="27584">
      <c r="A27584" s="4" t="s">
        <v>34731</v>
      </c>
      <c r="B27584" s="4" t="s">
        <v>34732</v>
      </c>
      <c r="C27584" s="5" t="str">
        <f>IFERROR(__xludf.DUMMYFUNCTION("GOOGLETRANSLATE(B27584,""en"",""it"")"),"Vediamo un uomo in un'orchestra fare facce.")</f>
        <v>Vediamo un uomo in un'orchestra fare facce.</v>
      </c>
    </row>
    <row r="27585">
      <c r="A27585" s="4" t="s">
        <v>34731</v>
      </c>
      <c r="B27585" s="4" t="s">
        <v>34733</v>
      </c>
      <c r="C27585" s="5" t="str">
        <f>IFERROR(__xludf.DUMMYFUNCTION("GOOGLETRANSLATE(B27585,""en"",""it"")"),"L'uomo quindi si alza e suona il violino.")</f>
        <v>L'uomo quindi si alza e suona il violino.</v>
      </c>
    </row>
    <row r="27586">
      <c r="A27586" s="4" t="s">
        <v>34731</v>
      </c>
      <c r="B27586" s="4" t="s">
        <v>34734</v>
      </c>
      <c r="C27586" s="5" t="str">
        <f>IFERROR(__xludf.DUMMYFUNCTION("GOOGLETRANSLATE(B27586,""en"",""it"")"),"Vediamo persone agli armadietti.")</f>
        <v>Vediamo persone agli armadietti.</v>
      </c>
    </row>
    <row r="27587">
      <c r="A27587" s="4" t="s">
        <v>34731</v>
      </c>
      <c r="B27587" s="4" t="s">
        <v>34735</v>
      </c>
      <c r="C27587" s="5" t="str">
        <f>IFERROR(__xludf.DUMMYFUNCTION("GOOGLETRANSLATE(B27587,""en"",""it"")"),"Torniamo all'uomo che suona il violino.")</f>
        <v>Torniamo all'uomo che suona il violino.</v>
      </c>
    </row>
    <row r="27588">
      <c r="A27588" s="4" t="s">
        <v>34731</v>
      </c>
      <c r="B27588" s="4" t="s">
        <v>34736</v>
      </c>
      <c r="C27588" s="5" t="str">
        <f>IFERROR(__xludf.DUMMYFUNCTION("GOOGLETRANSLATE(B27588,""en"",""it"")"),"Vediamo le persone nell'armadietto.")</f>
        <v>Vediamo le persone nell'armadietto.</v>
      </c>
    </row>
    <row r="27589">
      <c r="A27589" s="4" t="s">
        <v>34731</v>
      </c>
      <c r="B27589" s="4" t="s">
        <v>34737</v>
      </c>
      <c r="C27589" s="5" t="str">
        <f>IFERROR(__xludf.DUMMYFUNCTION("GOOGLETRANSLATE(B27589,""en"",""it"")"),"Vediamo l'uomo da gioco e poi la folla si alza e si applaude.")</f>
        <v>Vediamo l'uomo da gioco e poi la folla si alza e si applaude.</v>
      </c>
    </row>
    <row r="27590">
      <c r="A27590" s="4" t="s">
        <v>34731</v>
      </c>
      <c r="B27590" s="4" t="s">
        <v>34738</v>
      </c>
      <c r="C27590" s="5" t="str">
        <f>IFERROR(__xludf.DUMMYFUNCTION("GOOGLETRANSLATE(B27590,""en"",""it"")"),"L'uomo sorride e onde.")</f>
        <v>L'uomo sorride e onde.</v>
      </c>
    </row>
    <row r="27591">
      <c r="A27591" s="4" t="s">
        <v>34739</v>
      </c>
      <c r="B27591" s="4" t="s">
        <v>34740</v>
      </c>
      <c r="C27591" s="5" t="str">
        <f>IFERROR(__xludf.DUMMYFUNCTION("GOOGLETRANSLATE(B27591,""en"",""it"")"),"Le persone si imbarcano lungo una collina.")</f>
        <v>Le persone si imbarcano lungo una collina.</v>
      </c>
    </row>
    <row r="27592">
      <c r="A27592" s="4" t="s">
        <v>34739</v>
      </c>
      <c r="B27592" s="4" t="s">
        <v>34741</v>
      </c>
      <c r="C27592" s="5" t="str">
        <f>IFERROR(__xludf.DUMMYFUNCTION("GOOGLETRANSLATE(B27592,""en"",""it"")"),"Un camion d'argento è parcheggiato vicino alla collina.")</f>
        <v>Un camion d'argento è parcheggiato vicino alla collina.</v>
      </c>
    </row>
    <row r="27593">
      <c r="A27593" s="4" t="s">
        <v>34739</v>
      </c>
      <c r="B27593" s="4" t="s">
        <v>34742</v>
      </c>
      <c r="C27593" s="5" t="str">
        <f>IFERROR(__xludf.DUMMYFUNCTION("GOOGLETRANSLATE(B27593,""en"",""it"")"),"Una persona cade dalla lunga tavola sul marciapiede.")</f>
        <v>Una persona cade dalla lunga tavola sul marciapiede.</v>
      </c>
    </row>
    <row r="27594">
      <c r="A27594" s="4" t="s">
        <v>34743</v>
      </c>
      <c r="B27594" s="4" t="s">
        <v>34744</v>
      </c>
      <c r="C27594" s="5" t="str">
        <f>IFERROR(__xludf.DUMMYFUNCTION("GOOGLETRANSLATE(B27594,""en"",""it"")"),"Il testo bianco dice in memoria di Paul Walker.")</f>
        <v>Il testo bianco dice in memoria di Paul Walker.</v>
      </c>
    </row>
    <row r="27595">
      <c r="A27595" s="4" t="s">
        <v>34743</v>
      </c>
      <c r="B27595" s="4" t="s">
        <v>34745</v>
      </c>
      <c r="C27595" s="5" t="str">
        <f>IFERROR(__xludf.DUMMYFUNCTION("GOOGLETRANSLATE(B27595,""en"",""it"")"),"Una persona viene mostrata usando un piccolo pennello per creare un'immagine di Paul Walker.")</f>
        <v>Una persona viene mostrata usando un piccolo pennello per creare un'immagine di Paul Walker.</v>
      </c>
    </row>
    <row r="27596">
      <c r="A27596" s="4" t="s">
        <v>34743</v>
      </c>
      <c r="B27596" s="4" t="s">
        <v>34746</v>
      </c>
      <c r="C27596" s="5" t="str">
        <f>IFERROR(__xludf.DUMMYFUNCTION("GOOGLETRANSLATE(B27596,""en"",""it"")"),"Ogni dettaglio è disegnato uno alla volta, producendo l'immagine completa finale.")</f>
        <v>Ogni dettaglio è disegnato uno alla volta, producendo l'immagine completa finale.</v>
      </c>
    </row>
    <row r="27597">
      <c r="A27597" s="4" t="s">
        <v>34747</v>
      </c>
      <c r="B27597" s="6" t="s">
        <v>34748</v>
      </c>
      <c r="C27597" s="5" t="str">
        <f>IFERROR(__xludf.DUMMYFUNCTION("GOOGLETRANSLATE(B27597,""en"",""it"")"),"Due persone sono viste ospitare un segmento di notizie che conduce a clip di persone che raschiano le loro auto.")</f>
        <v>Due persone sono viste ospitare un segmento di notizie che conduce a clip di persone che raschiano le loro auto.</v>
      </c>
    </row>
    <row r="27598">
      <c r="A27598" s="4" t="s">
        <v>34747</v>
      </c>
      <c r="B27598" s="6" t="s">
        <v>34749</v>
      </c>
      <c r="C27598" s="5" t="str">
        <f>IFERROR(__xludf.DUMMYFUNCTION("GOOGLETRANSLATE(B27598,""en"",""it"")"),"Viene vista una donna parlare alla telecamera mentre raschia la sua auto e tiene i prodotti per aiutare.")</f>
        <v>Viene vista una donna parlare alla telecamera mentre raschia la sua auto e tiene i prodotti per aiutare.</v>
      </c>
    </row>
    <row r="27599">
      <c r="A27599" s="4" t="s">
        <v>34747</v>
      </c>
      <c r="B27599" s="6" t="s">
        <v>34750</v>
      </c>
      <c r="C27599" s="5" t="str">
        <f>IFERROR(__xludf.DUMMYFUNCTION("GOOGLETRANSLATE(B27599,""en"",""it"")"),"Si vedono più persone parlare alla telecamera e mostrare i loro metodi di scioglimento del ghiaccio e riportare ai due giornalisti.")</f>
        <v>Si vedono più persone parlare alla telecamera e mostrare i loro metodi di scioglimento del ghiaccio e riportare ai due giornalisti.</v>
      </c>
    </row>
    <row r="27600">
      <c r="A27600" s="4" t="s">
        <v>34751</v>
      </c>
      <c r="B27600" s="4" t="s">
        <v>34752</v>
      </c>
      <c r="C27600" s="5" t="str">
        <f>IFERROR(__xludf.DUMMYFUNCTION("GOOGLETRANSLATE(B27600,""en"",""it"")"),"Una ginnasta maschile vestita dai body rossi e bianchi si esibisce in una barretta di cavalli.")</f>
        <v>Una ginnasta maschile vestita dai body rossi e bianchi si esibisce in una barretta di cavalli.</v>
      </c>
    </row>
    <row r="27601">
      <c r="A27601" s="4" t="s">
        <v>34751</v>
      </c>
      <c r="B27601" s="4" t="s">
        <v>34753</v>
      </c>
      <c r="C27601" s="5" t="str">
        <f>IFERROR(__xludf.DUMMYFUNCTION("GOOGLETRANSLATE(B27601,""en"",""it"")"),"Si arrampica sulla barra del cavallo e fa sorgenti di rovescio.")</f>
        <v>Si arrampica sulla barra del cavallo e fa sorgenti di rovescio.</v>
      </c>
    </row>
    <row r="27602">
      <c r="A27602" s="4" t="s">
        <v>34751</v>
      </c>
      <c r="B27602" s="6" t="s">
        <v>34754</v>
      </c>
      <c r="C27602" s="5" t="str">
        <f>IFERROR(__xludf.DUMMYFUNCTION("GOOGLETRANSLATE(B27602,""en"",""it"")"),"Continua rapidamente sopra la barra del cavallo mentre alza il suo corpo spingendo il peso corporeo sulle braccia.")</f>
        <v>Continua rapidamente sopra la barra del cavallo mentre alza il suo corpo spingendo il peso corporeo sulle braccia.</v>
      </c>
    </row>
    <row r="27603">
      <c r="A27603" s="4" t="s">
        <v>34751</v>
      </c>
      <c r="B27603" s="4" t="s">
        <v>34755</v>
      </c>
      <c r="C27603" s="5" t="str">
        <f>IFERROR(__xludf.DUMMYFUNCTION("GOOGLETRANSLATE(B27603,""en"",""it"")"),"Continua a fare sorgenti anteriori e posteriori.")</f>
        <v>Continua a fare sorgenti anteriori e posteriori.</v>
      </c>
    </row>
    <row r="27604">
      <c r="A27604" s="4" t="s">
        <v>34751</v>
      </c>
      <c r="B27604" s="4" t="s">
        <v>34756</v>
      </c>
      <c r="C27604" s="5" t="str">
        <f>IFERROR(__xludf.DUMMYFUNCTION("GOOGLETRANSLATE(B27604,""en"",""it"")"),"Dopo aver finito, scende dal bar e cammina verso i giudici e altri concorrenti.")</f>
        <v>Dopo aver finito, scende dal bar e cammina verso i giudici e altri concorrenti.</v>
      </c>
    </row>
    <row r="27605">
      <c r="A27605" s="4" t="s">
        <v>34751</v>
      </c>
      <c r="B27605" s="4" t="s">
        <v>34757</v>
      </c>
      <c r="C27605" s="5" t="str">
        <f>IFERROR(__xludf.DUMMYFUNCTION("GOOGLETRANSLATE(B27605,""en"",""it"")"),"Gli spettatori esultano per lui e i giudici si stringono la mano alla ginnasta.")</f>
        <v>Gli spettatori esultano per lui e i giudici si stringono la mano alla ginnasta.</v>
      </c>
    </row>
    <row r="27606">
      <c r="A27606" s="4" t="s">
        <v>34758</v>
      </c>
      <c r="B27606" s="4" t="s">
        <v>34759</v>
      </c>
      <c r="C27606" s="5" t="str">
        <f>IFERROR(__xludf.DUMMYFUNCTION("GOOGLETRANSLATE(B27606,""en"",""it"")"),"Un uomo è in piedi in una stanza che scioglie un oggetto con un utensile che sta creando diverse scintille.")</f>
        <v>Un uomo è in piedi in una stanza che scioglie un oggetto con un utensile che sta creando diverse scintille.</v>
      </c>
    </row>
    <row r="27607">
      <c r="A27607" s="4" t="s">
        <v>34758</v>
      </c>
      <c r="B27607" s="6" t="s">
        <v>34760</v>
      </c>
      <c r="C27607" s="5" t="str">
        <f>IFERROR(__xludf.DUMMYFUNCTION("GOOGLETRANSLATE(B27607,""en"",""it"")"),"Un altro maschio quindi cammina dietro la persona e mette un casco per protezione mentre osserva l'uomo di fronte a lui.")</f>
        <v>Un altro maschio quindi cammina dietro la persona e mette un casco per protezione mentre osserva l'uomo di fronte a lui.</v>
      </c>
    </row>
    <row r="27608">
      <c r="A27608" s="4" t="s">
        <v>34761</v>
      </c>
      <c r="B27608" s="4" t="s">
        <v>34762</v>
      </c>
      <c r="C27608" s="5" t="str">
        <f>IFERROR(__xludf.DUMMYFUNCTION("GOOGLETRANSLATE(B27608,""en"",""it"")"),"Tre bambini che oscillano sul gioco ambientato nel cortile sul retro.")</f>
        <v>Tre bambini che oscillano sul gioco ambientato nel cortile sul retro.</v>
      </c>
    </row>
    <row r="27609">
      <c r="A27609" s="4" t="s">
        <v>34761</v>
      </c>
      <c r="B27609" s="4" t="s">
        <v>34763</v>
      </c>
      <c r="C27609" s="5" t="str">
        <f>IFERROR(__xludf.DUMMYFUNCTION("GOOGLETRANSLATE(B27609,""en"",""it"")"),"Uno dei ragazzi si arrampica e scivola lungo la diapositiva.")</f>
        <v>Uno dei ragazzi si arrampica e scivola lungo la diapositiva.</v>
      </c>
    </row>
    <row r="27610">
      <c r="A27610" s="4" t="s">
        <v>34761</v>
      </c>
      <c r="B27610" s="4" t="s">
        <v>34764</v>
      </c>
      <c r="C27610" s="5" t="str">
        <f>IFERROR(__xludf.DUMMYFUNCTION("GOOGLETRANSLATE(B27610,""en"",""it"")"),"Più bambini si uniscono e scendono insieme e si muovono sul set molto rapidamente.")</f>
        <v>Più bambini si uniscono e scendono insieme e si muovono sul set molto rapidamente.</v>
      </c>
    </row>
    <row r="27611">
      <c r="A27611" s="4" t="s">
        <v>34761</v>
      </c>
      <c r="B27611" s="4" t="s">
        <v>34765</v>
      </c>
      <c r="C27611" s="5" t="str">
        <f>IFERROR(__xludf.DUMMYFUNCTION("GOOGLETRANSLATE(B27611,""en"",""it"")"),"Iniziano a oscillare sulle loro pancia e nel complesso si divertono a giocare.")</f>
        <v>Iniziano a oscillare sulle loro pancia e nel complesso si divertono a giocare.</v>
      </c>
    </row>
    <row r="27612">
      <c r="A27612" s="4" t="s">
        <v>34766</v>
      </c>
      <c r="B27612" s="6" t="s">
        <v>34767</v>
      </c>
      <c r="C27612" s="5" t="str">
        <f>IFERROR(__xludf.DUMMYFUNCTION("GOOGLETRANSLATE(B27612,""en"",""it"")"),"Una serie di parole appaiono sullo schermo e ci informano che gli uomini stanno tentando di remare attraverso l'Atlantico.")</f>
        <v>Una serie di parole appaiono sullo schermo e ci informano che gli uomini stanno tentando di remare attraverso l'Atlantico.</v>
      </c>
    </row>
    <row r="27613">
      <c r="A27613" s="4" t="s">
        <v>34766</v>
      </c>
      <c r="B27613" s="6" t="s">
        <v>34768</v>
      </c>
      <c r="C27613" s="5" t="str">
        <f>IFERROR(__xludf.DUMMYFUNCTION("GOOGLETRANSLATE(B27613,""en"",""it"")"),"Un uomo viene quindi mostrato fuori nel suo canottaggio del patio e le parole indicano che sono passate due ore e 1600 calorie bruciate.")</f>
        <v>Un uomo viene quindi mostrato fuori nel suo canottaggio del patio e le parole indicano che sono passate due ore e 1600 calorie bruciate.</v>
      </c>
    </row>
    <row r="27614">
      <c r="A27614" s="4" t="s">
        <v>34766</v>
      </c>
      <c r="B27614" s="6" t="s">
        <v>34769</v>
      </c>
      <c r="C27614" s="5" t="str">
        <f>IFERROR(__xludf.DUMMYFUNCTION("GOOGLETRANSLATE(B27614,""en"",""it"")"),"Dopo che l'uomo è stato mostrato di nuovo, ma questa volta è esausto ed è costretto a fare un respiro in modo da poter respirare.")</f>
        <v>Dopo che l'uomo è stato mostrato di nuovo, ma questa volta è esausto ed è costretto a fare un respiro in modo da poter respirare.</v>
      </c>
    </row>
    <row r="27615">
      <c r="A27615" s="4" t="s">
        <v>34766</v>
      </c>
      <c r="B27615" s="6" t="s">
        <v>34770</v>
      </c>
      <c r="C27615" s="5" t="str">
        <f>IFERROR(__xludf.DUMMYFUNCTION("GOOGLETRANSLATE(B27615,""en"",""it"")"),"Ora l'uomo si alza e si sta prendendo alla telecamera e tiene la mano per mostrare le vesciche che ha in mano.")</f>
        <v>Ora l'uomo si alza e si sta prendendo alla telecamera e tiene la mano per mostrare le vesciche che ha in mano.</v>
      </c>
    </row>
    <row r="27616">
      <c r="A27616" s="4" t="s">
        <v>34771</v>
      </c>
      <c r="B27616" s="4" t="s">
        <v>34772</v>
      </c>
      <c r="C27616" s="5" t="str">
        <f>IFERROR(__xludf.DUMMYFUNCTION("GOOGLETRANSLATE(B27616,""en"",""it"")"),"La gente si trova in cima a una tavola da immersione, l'uomo salta in piscina.")</f>
        <v>La gente si trova in cima a una tavola da immersione, l'uomo salta in piscina.</v>
      </c>
    </row>
    <row r="27617">
      <c r="A27617" s="4" t="s">
        <v>34771</v>
      </c>
      <c r="B27617" s="4" t="s">
        <v>34773</v>
      </c>
      <c r="C27617" s="5" t="str">
        <f>IFERROR(__xludf.DUMMYFUNCTION("GOOGLETRANSLATE(B27617,""en"",""it"")"),"All'improvviso una ragazza corre su una sala da pranzo inferiore e salta in piscina.")</f>
        <v>All'improvviso una ragazza corre su una sala da pranzo inferiore e salta in piscina.</v>
      </c>
    </row>
    <row r="27618">
      <c r="A27618" s="4" t="s">
        <v>34771</v>
      </c>
      <c r="B27618" s="4" t="s">
        <v>34774</v>
      </c>
      <c r="C27618" s="5" t="str">
        <f>IFERROR(__xludf.DUMMYFUNCTION("GOOGLETRANSLATE(B27618,""en"",""it"")"),"Le persone si siedono in piscina.")</f>
        <v>Le persone si siedono in piscina.</v>
      </c>
    </row>
    <row r="27619">
      <c r="A27619" s="4" t="s">
        <v>34775</v>
      </c>
      <c r="B27619" s="4" t="s">
        <v>34776</v>
      </c>
      <c r="C27619" s="5" t="str">
        <f>IFERROR(__xludf.DUMMYFUNCTION("GOOGLETRANSLATE(B27619,""en"",""it"")"),"Alcuni uomini più anziani sono mostrati in piedi davanti alle barre delle scimmie che parlano tra loro.")</f>
        <v>Alcuni uomini più anziani sono mostrati in piedi davanti alle barre delle scimmie che parlano tra loro.</v>
      </c>
    </row>
    <row r="27620">
      <c r="A27620" s="4" t="s">
        <v>34775</v>
      </c>
      <c r="B27620" s="4" t="s">
        <v>34777</v>
      </c>
      <c r="C27620" s="5" t="str">
        <f>IFERROR(__xludf.DUMMYFUNCTION("GOOGLETRANSLATE(B27620,""en"",""it"")"),"Si inizia a arrampicarmi lungo le sbarre con molte altre persone che vengono da dietro.")</f>
        <v>Si inizia a arrampicarmi lungo le sbarre con molte altre persone che vengono da dietro.</v>
      </c>
    </row>
    <row r="27621">
      <c r="A27621" s="4" t="s">
        <v>34775</v>
      </c>
      <c r="B27621" s="4" t="s">
        <v>34778</v>
      </c>
      <c r="C27621" s="5" t="str">
        <f>IFERROR(__xludf.DUMMYFUNCTION("GOOGLETRANSLATE(B27621,""en"",""it"")"),"Una donna cade nell'acqua e molte altre si arrampicano sulle barre delle scimmie.")</f>
        <v>Una donna cade nell'acqua e molte altre si arrampicano sulle barre delle scimmie.</v>
      </c>
    </row>
    <row r="27622">
      <c r="A27622" s="4" t="s">
        <v>34779</v>
      </c>
      <c r="B27622" s="4" t="s">
        <v>34780</v>
      </c>
      <c r="C27622" s="5" t="str">
        <f>IFERROR(__xludf.DUMMYFUNCTION("GOOGLETRANSLATE(B27622,""en"",""it"")"),"Un ragazzino che indossa una camicia a strisce nera e rossa è seduto con un tamburo e suona la batteria.")</f>
        <v>Un ragazzino che indossa una camicia a strisce nera e rossa è seduto con un tamburo e suona la batteria.</v>
      </c>
    </row>
    <row r="27623">
      <c r="A27623" s="4" t="s">
        <v>34779</v>
      </c>
      <c r="B27623" s="4" t="s">
        <v>34781</v>
      </c>
      <c r="C27623" s="5" t="str">
        <f>IFERROR(__xludf.DUMMYFUNCTION("GOOGLETRANSLATE(B27623,""en"",""it"")"),"Un uomo che indossa una camicia rosa e pantaloni neri è in piedi accanto a lui.")</f>
        <v>Un uomo che indossa una camicia rosa e pantaloni neri è in piedi accanto a lui.</v>
      </c>
    </row>
    <row r="27624">
      <c r="A27624" s="4" t="s">
        <v>34779</v>
      </c>
      <c r="B27624" s="4" t="s">
        <v>34782</v>
      </c>
      <c r="C27624" s="5" t="str">
        <f>IFERROR(__xludf.DUMMYFUNCTION("GOOGLETRANSLATE(B27624,""en"",""it"")"),"Un'altra persona che indossa una camicia di jeans cammina oltre il ragazzo.")</f>
        <v>Un'altra persona che indossa una camicia di jeans cammina oltre il ragazzo.</v>
      </c>
    </row>
    <row r="27625">
      <c r="A27625" s="4" t="s">
        <v>34779</v>
      </c>
      <c r="B27625" s="6" t="s">
        <v>34783</v>
      </c>
      <c r="C27625" s="5" t="str">
        <f>IFERROR(__xludf.DUMMYFUNCTION("GOOGLETRANSLATE(B27625,""en"",""it"")"),"Il ragazzo continua a tamburo i piatti e l'hit-hat in modo ritmico mentre le persone tifano per lui.")</f>
        <v>Il ragazzo continua a tamburo i piatti e l'hit-hat in modo ritmico mentre le persone tifano per lui.</v>
      </c>
    </row>
    <row r="27626">
      <c r="A27626" s="4" t="s">
        <v>34779</v>
      </c>
      <c r="B27626" s="4" t="s">
        <v>34784</v>
      </c>
      <c r="C27626" s="5" t="str">
        <f>IFERROR(__xludf.DUMMYFUNCTION("GOOGLETRANSLATE(B27626,""en"",""it"")"),"Colpisce alternativamente i piatti e i rullanti con i bastoncini.")</f>
        <v>Colpisce alternativamente i piatti e i rullanti con i bastoncini.</v>
      </c>
    </row>
    <row r="27627">
      <c r="A27627" s="4" t="s">
        <v>34779</v>
      </c>
      <c r="B27627" s="4" t="s">
        <v>34785</v>
      </c>
      <c r="C27627" s="5" t="str">
        <f>IFERROR(__xludf.DUMMYFUNCTION("GOOGLETRANSLATE(B27627,""en"",""it"")"),"Termina colpendo i piatti.")</f>
        <v>Termina colpendo i piatti.</v>
      </c>
    </row>
    <row r="27628">
      <c r="A27628" s="4" t="s">
        <v>34786</v>
      </c>
      <c r="B27628" s="4" t="s">
        <v>34787</v>
      </c>
      <c r="C27628" s="5" t="str">
        <f>IFERROR(__xludf.DUMMYFUNCTION("GOOGLETRANSLATE(B27628,""en"",""it"")"),"Le ginnaste oscillano su doppi bar durante la competizione olimpica.")</f>
        <v>Le ginnaste oscillano su doppi bar durante la competizione olimpica.</v>
      </c>
    </row>
    <row r="27629">
      <c r="A27629" s="4" t="s">
        <v>34786</v>
      </c>
      <c r="B27629" s="4" t="s">
        <v>34788</v>
      </c>
      <c r="C27629" s="5" t="str">
        <f>IFERROR(__xludf.DUMMYFUNCTION("GOOGLETRANSLATE(B27629,""en"",""it"")"),"La ginnasta oscilla su doppi bar durante le prove in palestra.")</f>
        <v>La ginnasta oscilla su doppi bar durante le prove in palestra.</v>
      </c>
    </row>
    <row r="27630">
      <c r="A27630" s="4" t="s">
        <v>34789</v>
      </c>
      <c r="B27630" s="4" t="s">
        <v>34790</v>
      </c>
      <c r="C27630" s="5" t="str">
        <f>IFERROR(__xludf.DUMMYFUNCTION("GOOGLETRANSLATE(B27630,""en"",""it"")"),"Diversi adulti stanno facendo un esercizio di passo su piattaforme.")</f>
        <v>Diversi adulti stanno facendo un esercizio di passo su piattaforme.</v>
      </c>
    </row>
    <row r="27631">
      <c r="A27631" s="4" t="s">
        <v>34789</v>
      </c>
      <c r="B27631" s="4" t="s">
        <v>34791</v>
      </c>
      <c r="C27631" s="5" t="str">
        <f>IFERROR(__xludf.DUMMYFUNCTION("GOOGLETRANSLATE(B27631,""en"",""it"")"),"Si calpestano e girano e girano in giro.")</f>
        <v>Si calpestano e girano e girano in giro.</v>
      </c>
    </row>
    <row r="27632">
      <c r="A27632" s="4" t="s">
        <v>34789</v>
      </c>
      <c r="B27632" s="4" t="s">
        <v>34792</v>
      </c>
      <c r="C27632" s="5" t="str">
        <f>IFERROR(__xludf.DUMMYFUNCTION("GOOGLETRANSLATE(B27632,""en"",""it"")"),"Fanno un carrello dalla piattaforma.")</f>
        <v>Fanno un carrello dalla piattaforma.</v>
      </c>
    </row>
    <row r="27633">
      <c r="A27633" s="4" t="s">
        <v>34789</v>
      </c>
      <c r="B27633" s="4" t="s">
        <v>34793</v>
      </c>
      <c r="C27633" s="5" t="str">
        <f>IFERROR(__xludf.DUMMYFUNCTION("GOOGLETRANSLATE(B27633,""en"",""it"")"),"Terminano l'esercizio e si scendono.")</f>
        <v>Terminano l'esercizio e si scendono.</v>
      </c>
    </row>
    <row r="27634">
      <c r="A27634" s="4" t="s">
        <v>34794</v>
      </c>
      <c r="B27634" s="4" t="s">
        <v>34795</v>
      </c>
      <c r="C27634" s="5" t="str">
        <f>IFERROR(__xludf.DUMMYFUNCTION("GOOGLETRANSLATE(B27634,""en"",""it"")"),"Una giovane ragazza di età adolescente è seduta su una grande sedia a parlare al telefono e fa volti.")</f>
        <v>Una giovane ragazza di età adolescente è seduta su una grande sedia a parlare al telefono e fa volti.</v>
      </c>
    </row>
    <row r="27635">
      <c r="A27635" s="4" t="s">
        <v>34794</v>
      </c>
      <c r="B27635" s="4" t="s">
        <v>34796</v>
      </c>
      <c r="C27635" s="5" t="str">
        <f>IFERROR(__xludf.DUMMYFUNCTION("GOOGLETRANSLATE(B27635,""en"",""it"")"),"Altre due femmine iniziano quindi a ballare davanti nel cortile su un marciapiede.")</f>
        <v>Altre due femmine iniziano quindi a ballare davanti nel cortile su un marciapiede.</v>
      </c>
    </row>
    <row r="27636">
      <c r="A27636" s="4" t="s">
        <v>34794</v>
      </c>
      <c r="B27636" s="6" t="s">
        <v>34797</v>
      </c>
      <c r="C27636" s="5" t="str">
        <f>IFERROR(__xludf.DUMMYFUNCTION("GOOGLETRANSLATE(B27636,""en"",""it"")"),"La ragazza quindi si afferra i pantaloni della tuta e inizia a insegnare ai suoi diversi passi di danza e la prima femmina riappare al telefono.")</f>
        <v>La ragazza quindi si afferra i pantaloni della tuta e inizia a insegnare ai suoi diversi passi di danza e la prima femmina riappare al telefono.</v>
      </c>
    </row>
    <row r="27637">
      <c r="A27637" s="4" t="s">
        <v>34798</v>
      </c>
      <c r="B27637" s="4" t="s">
        <v>34799</v>
      </c>
      <c r="C27637" s="5" t="str">
        <f>IFERROR(__xludf.DUMMYFUNCTION("GOOGLETRANSLATE(B27637,""en"",""it"")"),"Una persona mostra come installare piastrelle di gomma in palestra.")</f>
        <v>Una persona mostra come installare piastrelle di gomma in palestra.</v>
      </c>
    </row>
    <row r="27638">
      <c r="A27638" s="4" t="s">
        <v>34798</v>
      </c>
      <c r="B27638" s="4" t="s">
        <v>34800</v>
      </c>
      <c r="C27638" s="5" t="str">
        <f>IFERROR(__xludf.DUMMYFUNCTION("GOOGLETRANSLATE(B27638,""en"",""it"")"),"Il video mostra diverse persone che si allenano in palestra sul pavimento.")</f>
        <v>Il video mostra diverse persone che si allenano in palestra sul pavimento.</v>
      </c>
    </row>
    <row r="27639">
      <c r="A27639" s="4" t="s">
        <v>34798</v>
      </c>
      <c r="B27639" s="4" t="s">
        <v>34801</v>
      </c>
      <c r="C27639" s="5" t="str">
        <f>IFERROR(__xludf.DUMMYFUNCTION("GOOGLETRANSLATE(B27639,""en"",""it"")"),"La persona mostra come preparare la superficie del pavimento prima di installare le piastrelle.")</f>
        <v>La persona mostra come preparare la superficie del pavimento prima di installare le piastrelle.</v>
      </c>
    </row>
    <row r="27640">
      <c r="A27640" s="4" t="s">
        <v>34798</v>
      </c>
      <c r="B27640" s="4" t="s">
        <v>34802</v>
      </c>
      <c r="C27640" s="5" t="str">
        <f>IFERROR(__xludf.DUMMYFUNCTION("GOOGLETRANSLATE(B27640,""en"",""it"")"),"Dimostra come posare le piastrelle sul pavimento in modo incrociato.")</f>
        <v>Dimostra come posare le piastrelle sul pavimento in modo incrociato.</v>
      </c>
    </row>
    <row r="27641">
      <c r="A27641" s="4" t="s">
        <v>34798</v>
      </c>
      <c r="B27641" s="6" t="s">
        <v>34803</v>
      </c>
      <c r="C27641" s="5" t="str">
        <f>IFERROR(__xludf.DUMMYFUNCTION("GOOGLETRANSLATE(B27641,""en"",""it"")"),"Il video mostra una simulazione come le piastrelle possano misurate e disposte una per una per ottenere una parete perfetta per adattarsi al muro.")</f>
        <v>Il video mostra una simulazione come le piastrelle possano misurate e disposte una per una per ottenere una parete perfetta per adattarsi al muro.</v>
      </c>
    </row>
    <row r="27642">
      <c r="A27642" s="4" t="s">
        <v>34798</v>
      </c>
      <c r="B27642" s="6" t="s">
        <v>34804</v>
      </c>
      <c r="C27642" s="5" t="str">
        <f>IFERROR(__xludf.DUMMYFUNCTION("GOOGLETRANSLATE(B27642,""en"",""it"")"),"Una persona mostra anche come tagliare le piastrelle per adattarsi a filo a bordo senza lasciare uno spazio tra le piastrelle.")</f>
        <v>Una persona mostra anche come tagliare le piastrelle per adattarsi a filo a bordo senza lasciare uno spazio tra le piastrelle.</v>
      </c>
    </row>
    <row r="27643">
      <c r="A27643" s="4" t="s">
        <v>34798</v>
      </c>
      <c r="B27643" s="6" t="s">
        <v>34805</v>
      </c>
      <c r="C27643" s="5" t="str">
        <f>IFERROR(__xludf.DUMMYFUNCTION("GOOGLETRANSLATE(B27643,""en"",""it"")"),"Infine mostra come utilizzare una soluzione di aceto per pulire le piastrelle per mantenere la qualità delle piastrelle.")</f>
        <v>Infine mostra come utilizzare una soluzione di aceto per pulire le piastrelle per mantenere la qualità delle piastrelle.</v>
      </c>
    </row>
    <row r="27644">
      <c r="A27644" s="4" t="s">
        <v>34798</v>
      </c>
      <c r="B27644" s="4" t="s">
        <v>34806</v>
      </c>
      <c r="C27644" s="5" t="str">
        <f>IFERROR(__xludf.DUMMYFUNCTION("GOOGLETRANSLATE(B27644,""en"",""it"")"),"Il video termina con le informazioni della società di piastrelle.")</f>
        <v>Il video termina con le informazioni della società di piastrelle.</v>
      </c>
    </row>
    <row r="27645">
      <c r="A27645" s="4" t="s">
        <v>34807</v>
      </c>
      <c r="B27645" s="4" t="s">
        <v>34808</v>
      </c>
      <c r="C27645" s="5" t="str">
        <f>IFERROR(__xludf.DUMMYFUNCTION("GOOGLETRANSLATE(B27645,""en"",""it"")"),"Viene mostrato un fienile da interno e un uomo è seduto su un cavallo.")</f>
        <v>Viene mostrato un fienile da interno e un uomo è seduto su un cavallo.</v>
      </c>
    </row>
    <row r="27646">
      <c r="A27646" s="4" t="s">
        <v>34807</v>
      </c>
      <c r="B27646" s="4" t="s">
        <v>34809</v>
      </c>
      <c r="C27646" s="5" t="str">
        <f>IFERROR(__xludf.DUMMYFUNCTION("GOOGLETRANSLATE(B27646,""en"",""it"")"),"Le porte si aprono e l'uomo vola fuori è il lasso che insegue un vitello in bianco e nero.")</f>
        <v>Le porte si aprono e l'uomo vola fuori è il lasso che insegue un vitello in bianco e nero.</v>
      </c>
    </row>
    <row r="27647">
      <c r="A27647" s="4" t="s">
        <v>34807</v>
      </c>
      <c r="B27647" s="6" t="s">
        <v>34810</v>
      </c>
      <c r="C27647" s="5" t="str">
        <f>IFERROR(__xludf.DUMMYFUNCTION("GOOGLETRANSLATE(B27647,""en"",""it"")"),"L'uomo getta la corda e prende il polpaccio, scende, lega la mucca e torna indietro sul cavallo.")</f>
        <v>L'uomo getta la corda e prende il polpaccio, scende, lega la mucca e torna indietro sul cavallo.</v>
      </c>
    </row>
    <row r="27648">
      <c r="A27648" s="4" t="s">
        <v>34811</v>
      </c>
      <c r="B27648" s="6" t="s">
        <v>34812</v>
      </c>
      <c r="C27648" s="5" t="str">
        <f>IFERROR(__xludf.DUMMYFUNCTION("GOOGLETRANSLATE(B27648,""en"",""it"")"),"Viene mostrata una ragazza con i capelli lunghi che parlano alla telecamera e conduce nella sua acqua di spruzzatura su un cane nella vasca.")</f>
        <v>Viene mostrata una ragazza con i capelli lunghi che parlano alla telecamera e conduce nella sua acqua di spruzzatura su un cane nella vasca.</v>
      </c>
    </row>
    <row r="27649">
      <c r="A27649" s="4" t="s">
        <v>34811</v>
      </c>
      <c r="B27649" s="4" t="s">
        <v>34813</v>
      </c>
      <c r="C27649" s="5" t="str">
        <f>IFERROR(__xludf.DUMMYFUNCTION("GOOGLETRANSLATE(B27649,""en"",""it"")"),"Strofina il cane con shampoo e corre di nuovo corre l'acqua sul cane.")</f>
        <v>Strofina il cane con shampoo e corre di nuovo corre l'acqua sul cane.</v>
      </c>
    </row>
    <row r="27650">
      <c r="A27650" s="4" t="s">
        <v>34811</v>
      </c>
      <c r="B27650" s="4" t="s">
        <v>34814</v>
      </c>
      <c r="C27650" s="5" t="str">
        <f>IFERROR(__xludf.DUMMYFUNCTION("GOOGLETRANSLATE(B27650,""en"",""it"")"),"Tiene il cane con un asciugamano e poi soffia asciuga il cane in grembo mentre lo pettina.")</f>
        <v>Tiene il cane con un asciugamano e poi soffia asciuga il cane in grembo mentre lo pettina.</v>
      </c>
    </row>
    <row r="27651">
      <c r="A27651" s="4" t="s">
        <v>34811</v>
      </c>
      <c r="B27651" s="6" t="s">
        <v>34815</v>
      </c>
      <c r="C27651" s="5" t="str">
        <f>IFERROR(__xludf.DUMMYFUNCTION("GOOGLETRANSLATE(B27651,""en"",""it"")"),"Il cane viene mostrato di nuovo tutto secco e si scuote mentre guarda la telecamera e la ragazza parla di più.")</f>
        <v>Il cane viene mostrato di nuovo tutto secco e si scuote mentre guarda la telecamera e la ragazza parla di più.</v>
      </c>
    </row>
    <row r="27652">
      <c r="A27652" s="4" t="s">
        <v>34816</v>
      </c>
      <c r="B27652" s="6" t="s">
        <v>34817</v>
      </c>
      <c r="C27652" s="5" t="str">
        <f>IFERROR(__xludf.DUMMYFUNCTION("GOOGLETRANSLATE(B27652,""en"",""it"")"),"Un uomo con una camicia nera che crea una fotocamera mentre era seduto davanti a un cubo di Rub-Ix e un orologio di arresto elettronico.")</f>
        <v>Un uomo con una camicia nera che crea una fotocamera mentre era seduto davanti a un cubo di Rub-Ix e un orologio di arresto elettronico.</v>
      </c>
    </row>
    <row r="27653">
      <c r="A27653" s="4" t="s">
        <v>34816</v>
      </c>
      <c r="B27653" s="6" t="s">
        <v>34818</v>
      </c>
      <c r="C27653" s="5" t="str">
        <f>IFERROR(__xludf.DUMMYFUNCTION("GOOGLETRANSLATE(B27653,""en"",""it"")"),"Una volta che l'orologio inizia un altro uomo dalla fotocamera e l'uomo seduto davanti al cubo inizia a capire il puzzle.")</f>
        <v>Una volta che l'orologio inizia un altro uomo dalla fotocamera e l'uomo seduto davanti al cubo inizia a capire il puzzle.</v>
      </c>
    </row>
    <row r="27654">
      <c r="A27654" s="4" t="s">
        <v>34816</v>
      </c>
      <c r="B27654" s="6" t="s">
        <v>34819</v>
      </c>
      <c r="C27654" s="5" t="str">
        <f>IFERROR(__xludf.DUMMYFUNCTION("GOOGLETRANSLATE(B27654,""en"",""it"")"),"Una volta che l'orologio raggiunge i 43 secondi, entrambi gli uomini finiscono il puzzle e si congratulano l'uno con l'altro per aver completato il puzzle.")</f>
        <v>Una volta che l'orologio raggiunge i 43 secondi, entrambi gli uomini finiscono il puzzle e si congratulano l'uno con l'altro per aver completato il puzzle.</v>
      </c>
    </row>
    <row r="27655">
      <c r="A27655" s="4" t="s">
        <v>34820</v>
      </c>
      <c r="B27655" s="4" t="s">
        <v>34821</v>
      </c>
      <c r="C27655" s="5" t="str">
        <f>IFERROR(__xludf.DUMMYFUNCTION("GOOGLETRANSLATE(B27655,""en"",""it"")"),"Vediamo un uomo che parla in una palestra di basket.")</f>
        <v>Vediamo un uomo che parla in una palestra di basket.</v>
      </c>
    </row>
    <row r="27656">
      <c r="A27656" s="4" t="s">
        <v>34820</v>
      </c>
      <c r="B27656" s="4" t="s">
        <v>34822</v>
      </c>
      <c r="C27656" s="5" t="str">
        <f>IFERROR(__xludf.DUMMYFUNCTION("GOOGLETRANSLATE(B27656,""en"",""it"")"),"L'uomo punta al ragazzo.")</f>
        <v>L'uomo punta al ragazzo.</v>
      </c>
    </row>
    <row r="27657">
      <c r="A27657" s="4" t="s">
        <v>34820</v>
      </c>
      <c r="B27657" s="4" t="s">
        <v>34823</v>
      </c>
      <c r="C27657" s="5" t="str">
        <f>IFERROR(__xludf.DUMMYFUNCTION("GOOGLETRANSLATE(B27657,""en"",""it"")"),"L'uomo punta a destra.")</f>
        <v>L'uomo punta a destra.</v>
      </c>
    </row>
    <row r="27658">
      <c r="A27658" s="4" t="s">
        <v>34820</v>
      </c>
      <c r="B27658" s="4" t="s">
        <v>34824</v>
      </c>
      <c r="C27658" s="5" t="str">
        <f>IFERROR(__xludf.DUMMYFUNCTION("GOOGLETRANSLATE(B27658,""en"",""it"")"),"Vediamo un uomo che fa colpi in un cerchio da basket.")</f>
        <v>Vediamo un uomo che fa colpi in un cerchio da basket.</v>
      </c>
    </row>
    <row r="27659">
      <c r="A27659" s="4" t="s">
        <v>34825</v>
      </c>
      <c r="B27659" s="4" t="s">
        <v>34826</v>
      </c>
      <c r="C27659" s="5" t="str">
        <f>IFERROR(__xludf.DUMMYFUNCTION("GOOGLETRANSLATE(B27659,""en"",""it"")"),"Una donna viene vista parlare alla telecamera e conduce nel suo ghiaccio versato in un bicchiere.")</f>
        <v>Una donna viene vista parlare alla telecamera e conduce nel suo ghiaccio versato in un bicchiere.</v>
      </c>
    </row>
    <row r="27660">
      <c r="A27660" s="4" t="s">
        <v>34825</v>
      </c>
      <c r="B27660" s="4" t="s">
        <v>34827</v>
      </c>
      <c r="C27660" s="5" t="str">
        <f>IFERROR(__xludf.DUMMYFUNCTION("GOOGLETRANSLATE(B27660,""en"",""it"")"),"Quindi mescola vari ingredienti nel vetro e li mescola in uno shaker.")</f>
        <v>Quindi mescola vari ingredienti nel vetro e li mescola in uno shaker.</v>
      </c>
    </row>
    <row r="27661">
      <c r="A27661" s="4" t="s">
        <v>34825</v>
      </c>
      <c r="B27661" s="6" t="s">
        <v>34828</v>
      </c>
      <c r="C27661" s="5" t="str">
        <f>IFERROR(__xludf.DUMMYFUNCTION("GOOGLETRANSLATE(B27661,""en"",""it"")"),"La donna quindi abbassa il vetro e versa la miscela in vetro che lo presenta alla telecamera.")</f>
        <v>La donna quindi abbassa il vetro e versa la miscela in vetro che lo presenta alla telecamera.</v>
      </c>
    </row>
    <row r="27662">
      <c r="A27662" s="4" t="s">
        <v>34829</v>
      </c>
      <c r="B27662" s="4" t="s">
        <v>34830</v>
      </c>
      <c r="C27662" s="5" t="str">
        <f>IFERROR(__xludf.DUMMYFUNCTION("GOOGLETRANSLATE(B27662,""en"",""it"")"),"Un uomo che indossa una camicia da allenatore è in piedi mentre una ginnasta femminile gira su un raggio.")</f>
        <v>Un uomo che indossa una camicia da allenatore è in piedi mentre una ginnasta femminile gira su un raggio.</v>
      </c>
    </row>
    <row r="27663">
      <c r="A27663" s="4" t="s">
        <v>34829</v>
      </c>
      <c r="B27663" s="4" t="s">
        <v>34831</v>
      </c>
      <c r="C27663" s="5" t="str">
        <f>IFERROR(__xludf.DUMMYFUNCTION("GOOGLETRANSLATE(B27663,""en"",""it"")"),"La vede mentre lei gira e smontare prima di sedersi.")</f>
        <v>La vede mentre lei gira e smontare prima di sedersi.</v>
      </c>
    </row>
    <row r="27664">
      <c r="A27664" s="4" t="s">
        <v>34832</v>
      </c>
      <c r="B27664" s="4" t="s">
        <v>34833</v>
      </c>
      <c r="C27664" s="5" t="str">
        <f>IFERROR(__xludf.DUMMYFUNCTION("GOOGLETRANSLATE(B27664,""en"",""it"")"),"Un folto gruppo di persone è mostrato in vari colpi in giro in canoa.")</f>
        <v>Un folto gruppo di persone è mostrato in vari colpi in giro in canoa.</v>
      </c>
    </row>
    <row r="27665">
      <c r="A27665" s="4" t="s">
        <v>34832</v>
      </c>
      <c r="B27665" s="4" t="s">
        <v>34834</v>
      </c>
      <c r="C27665" s="5" t="str">
        <f>IFERROR(__xludf.DUMMYFUNCTION("GOOGLETRANSLATE(B27665,""en"",""it"")"),"Un uomo parla alla telecamera mentre le persone camminano con le canoe e mettono in mostra le foto.")</f>
        <v>Un uomo parla alla telecamera mentre le persone camminano con le canoe e mettono in mostra le foto.</v>
      </c>
    </row>
    <row r="27666">
      <c r="A27666" s="4" t="s">
        <v>34832</v>
      </c>
      <c r="B27666" s="4" t="s">
        <v>34835</v>
      </c>
      <c r="C27666" s="5" t="str">
        <f>IFERROR(__xludf.DUMMYFUNCTION("GOOGLETRANSLATE(B27666,""en"",""it"")"),"Si vedono più persone che li usano e vanno in giro.")</f>
        <v>Si vedono più persone che li usano e vanno in giro.</v>
      </c>
    </row>
    <row r="27667">
      <c r="A27667" s="4" t="s">
        <v>34836</v>
      </c>
      <c r="B27667" s="4" t="s">
        <v>34837</v>
      </c>
      <c r="C27667" s="5" t="str">
        <f>IFERROR(__xludf.DUMMYFUNCTION("GOOGLETRANSLATE(B27667,""en"",""it"")"),"Una persona viene vista correre con una tavola da surf e viene mostrata di nuovo guardando il suo telefono e ridere.")</f>
        <v>Una persona viene vista correre con una tavola da surf e viene mostrata di nuovo guardando il suo telefono e ridere.</v>
      </c>
    </row>
    <row r="27668">
      <c r="A27668" s="4" t="s">
        <v>34836</v>
      </c>
      <c r="B27668" s="6" t="s">
        <v>34838</v>
      </c>
      <c r="C27668" s="5" t="str">
        <f>IFERROR(__xludf.DUMMYFUNCTION("GOOGLETRANSLATE(B27668,""en"",""it"")"),"Più persone sono viste in varie località che controllano il telefono e finiscono con una donna che guida una bici da ginnastica.")</f>
        <v>Più persone sono viste in varie località che controllano il telefono e finiscono con una donna che guida una bici da ginnastica.</v>
      </c>
    </row>
    <row r="27669">
      <c r="A27669" s="4" t="s">
        <v>34839</v>
      </c>
      <c r="B27669" s="4" t="s">
        <v>34840</v>
      </c>
      <c r="C27669" s="5" t="str">
        <f>IFERROR(__xludf.DUMMYFUNCTION("GOOGLETRANSLATE(B27669,""en"",""it"")"),"La mano di una donna raccoglie un animale di peluche circondato da regali.")</f>
        <v>La mano di una donna raccoglie un animale di peluche circondato da regali.</v>
      </c>
    </row>
    <row r="27670">
      <c r="A27670" s="4" t="s">
        <v>34839</v>
      </c>
      <c r="B27670" s="4" t="s">
        <v>34841</v>
      </c>
      <c r="C27670" s="5" t="str">
        <f>IFERROR(__xludf.DUMMYFUNCTION("GOOGLETRANSLATE(B27670,""en"",""it"")"),"Vengono visualizzati gli accessori da confezionamento regalo.")</f>
        <v>Vengono visualizzati gli accessori da confezionamento regalo.</v>
      </c>
    </row>
    <row r="27671">
      <c r="A27671" s="4" t="s">
        <v>34839</v>
      </c>
      <c r="B27671" s="4" t="s">
        <v>34842</v>
      </c>
      <c r="C27671" s="5" t="str">
        <f>IFERROR(__xludf.DUMMYFUNCTION("GOOGLETRANSLATE(B27671,""en"",""it"")"),"Una donna stabilisce carta tissutale e mette un giocattolo ripieno al centro.")</f>
        <v>Una donna stabilisce carta tissutale e mette un giocattolo ripieno al centro.</v>
      </c>
    </row>
    <row r="27672">
      <c r="A27672" s="4" t="s">
        <v>34839</v>
      </c>
      <c r="B27672" s="4" t="s">
        <v>34843</v>
      </c>
      <c r="C27672" s="5" t="str">
        <f>IFERROR(__xludf.DUMMYFUNCTION("GOOGLETRANSLATE(B27672,""en"",""it"")"),"La donna avvolge il giocattolo nella carta tissutale e lo spegne.")</f>
        <v>La donna avvolge il giocattolo nella carta tissutale e lo spegne.</v>
      </c>
    </row>
    <row r="27673">
      <c r="A27673" s="4" t="s">
        <v>34839</v>
      </c>
      <c r="B27673" s="4" t="s">
        <v>34844</v>
      </c>
      <c r="C27673" s="5" t="str">
        <f>IFERROR(__xludf.DUMMYFUNCTION("GOOGLETRANSLATE(B27673,""en"",""it"")"),"La donna stabilisce il cellophane e ci pone il giocattolo avvolto.")</f>
        <v>La donna stabilisce il cellophane e ci pone il giocattolo avvolto.</v>
      </c>
    </row>
    <row r="27674">
      <c r="A27674" s="4" t="s">
        <v>34839</v>
      </c>
      <c r="B27674" s="4" t="s">
        <v>34845</v>
      </c>
      <c r="C27674" s="5" t="str">
        <f>IFERROR(__xludf.DUMMYFUNCTION("GOOGLETRANSLATE(B27674,""en"",""it"")"),"La donna taglia il cellophane e poi procede a arrotolare il giocattolo coperto di carta tissutale.")</f>
        <v>La donna taglia il cellophane e poi procede a arrotolare il giocattolo coperto di carta tissutale.</v>
      </c>
    </row>
    <row r="27675">
      <c r="A27675" s="4" t="s">
        <v>34839</v>
      </c>
      <c r="B27675" s="4" t="s">
        <v>34846</v>
      </c>
      <c r="C27675" s="5" t="str">
        <f>IFERROR(__xludf.DUMMYFUNCTION("GOOGLETRANSLATE(B27675,""en"",""it"")"),"La donna gira le estremità del cellophane e registra il pacchetto chiuso.")</f>
        <v>La donna gira le estremità del cellophane e registra il pacchetto chiuso.</v>
      </c>
    </row>
    <row r="27676">
      <c r="A27676" s="4" t="s">
        <v>34839</v>
      </c>
      <c r="B27676" s="4" t="s">
        <v>34847</v>
      </c>
      <c r="C27676" s="5" t="str">
        <f>IFERROR(__xludf.DUMMYFUNCTION("GOOGLETRANSLATE(B27676,""en"",""it"")"),"Il nastro è posizionato intorno alle estremità del pacchetto.")</f>
        <v>Il nastro è posizionato intorno alle estremità del pacchetto.</v>
      </c>
    </row>
    <row r="27677">
      <c r="A27677" s="4" t="s">
        <v>34839</v>
      </c>
      <c r="B27677" s="4" t="s">
        <v>34848</v>
      </c>
      <c r="C27677" s="5" t="str">
        <f>IFERROR(__xludf.DUMMYFUNCTION("GOOGLETRANSLATE(B27677,""en"",""it"")"),"La donna mostra il pacchetto alla fotocamera e lo imposta su un bancone.")</f>
        <v>La donna mostra il pacchetto alla fotocamera e lo imposta su un bancone.</v>
      </c>
    </row>
    <row r="27678">
      <c r="A27678" s="4" t="s">
        <v>34849</v>
      </c>
      <c r="B27678" s="4" t="s">
        <v>34850</v>
      </c>
      <c r="C27678" s="5" t="str">
        <f>IFERROR(__xludf.DUMMYFUNCTION("GOOGLETRANSLATE(B27678,""en"",""it"")"),"Un bambino sta giocando a un gioco arcade.")</f>
        <v>Un bambino sta giocando a un gioco arcade.</v>
      </c>
    </row>
    <row r="27679">
      <c r="A27679" s="4" t="s">
        <v>34849</v>
      </c>
      <c r="B27679" s="4" t="s">
        <v>34851</v>
      </c>
      <c r="C27679" s="5" t="str">
        <f>IFERROR(__xludf.DUMMYFUNCTION("GOOGLETRANSLATE(B27679,""en"",""it"")"),"Prende una palla e la lancia ai perni.")</f>
        <v>Prende una palla e la lancia ai perni.</v>
      </c>
    </row>
    <row r="27680">
      <c r="A27680" s="4" t="s">
        <v>34849</v>
      </c>
      <c r="B27680" s="4" t="s">
        <v>34852</v>
      </c>
      <c r="C27680" s="5" t="str">
        <f>IFERROR(__xludf.DUMMYFUNCTION("GOOGLETRANSLATE(B27680,""en"",""it"")"),"Si gira e si allontana.")</f>
        <v>Si gira e si allontana.</v>
      </c>
    </row>
    <row r="27681">
      <c r="A27681" s="4" t="s">
        <v>34853</v>
      </c>
      <c r="B27681" s="6" t="s">
        <v>34854</v>
      </c>
      <c r="C27681" s="5" t="str">
        <f>IFERROR(__xludf.DUMMYFUNCTION("GOOGLETRANSLATE(B27681,""en"",""it"")"),"Uomini e donne e bambini stanno arrostindo il marshmallow nel falò mentre altri sciano o riposano sulle sedie.")</f>
        <v>Uomini e donne e bambini stanno arrostindo il marshmallow nel falò mentre altri sciano o riposano sulle sedie.</v>
      </c>
    </row>
    <row r="27682">
      <c r="A27682" s="4" t="s">
        <v>34853</v>
      </c>
      <c r="B27682" s="6" t="s">
        <v>34855</v>
      </c>
      <c r="C27682" s="5" t="str">
        <f>IFERROR(__xludf.DUMMYFUNCTION("GOOGLETRANSLATE(B27682,""en"",""it"")"),"Una donna scivolò giù dal pendio e la bambina si avvicinò a lei e le dava un bacio, poi la donna aiuta la bambina a scivolare giù dal pendio.")</f>
        <v>Una donna scivolò giù dal pendio e la bambina si avvicinò a lei e le dava un bacio, poi la donna aiuta la bambina a scivolare giù dal pendio.</v>
      </c>
    </row>
    <row r="27683">
      <c r="A27683" s="4" t="s">
        <v>34856</v>
      </c>
      <c r="B27683" s="4" t="s">
        <v>34857</v>
      </c>
      <c r="C27683" s="5" t="str">
        <f>IFERROR(__xludf.DUMMYFUNCTION("GOOGLETRANSLATE(B27683,""en"",""it"")"),"Un uomo è fuori nella neve con una corda attaccata a un cellulare di neve.")</f>
        <v>Un uomo è fuori nella neve con una corda attaccata a un cellulare di neve.</v>
      </c>
    </row>
    <row r="27684">
      <c r="A27684" s="4" t="s">
        <v>34856</v>
      </c>
      <c r="B27684" s="4" t="s">
        <v>34858</v>
      </c>
      <c r="C27684" s="5" t="str">
        <f>IFERROR(__xludf.DUMMYFUNCTION("GOOGLETRANSLATE(B27684,""en"",""it"")"),"Il cellulare di neve inizia a muoversi e la persona inizia lo snowboard in tutto il campo.")</f>
        <v>Il cellulare di neve inizia a muoversi e la persona inizia lo snowboard in tutto il campo.</v>
      </c>
    </row>
    <row r="27685">
      <c r="A27685" s="4" t="s">
        <v>34856</v>
      </c>
      <c r="B27685" s="4" t="s">
        <v>34859</v>
      </c>
      <c r="C27685" s="5" t="str">
        <f>IFERROR(__xludf.DUMMYFUNCTION("GOOGLETRANSLATE(B27685,""en"",""it"")"),"Continuano a muoversi attraverso la neve e la foresta di alberi in un parcheggio da una cabina.")</f>
        <v>Continuano a muoversi attraverso la neve e la foresta di alberi in un parcheggio da una cabina.</v>
      </c>
    </row>
    <row r="27686">
      <c r="A27686" s="4" t="s">
        <v>34860</v>
      </c>
      <c r="B27686" s="4" t="s">
        <v>34861</v>
      </c>
      <c r="C27686" s="5" t="str">
        <f>IFERROR(__xludf.DUMMYFUNCTION("GOOGLETRANSLATE(B27686,""en"",""it"")"),"Una ragazza è vista in piedi pronto a guardare un violino.")</f>
        <v>Una ragazza è vista in piedi pronto a guardare un violino.</v>
      </c>
    </row>
    <row r="27687">
      <c r="A27687" s="4" t="s">
        <v>34860</v>
      </c>
      <c r="B27687" s="4" t="s">
        <v>34862</v>
      </c>
      <c r="C27687" s="5" t="str">
        <f>IFERROR(__xludf.DUMMYFUNCTION("GOOGLETRANSLATE(B27687,""en"",""it"")"),"La ragazza viene quindi vista suonare il violino mentre si muove le mani su e giù.")</f>
        <v>La ragazza viene quindi vista suonare il violino mentre si muove le mani su e giù.</v>
      </c>
    </row>
    <row r="27688">
      <c r="A27688" s="4" t="s">
        <v>34860</v>
      </c>
      <c r="B27688" s="4" t="s">
        <v>34863</v>
      </c>
      <c r="C27688" s="5" t="str">
        <f>IFERROR(__xludf.DUMMYFUNCTION("GOOGLETRANSLATE(B27688,""en"",""it"")"),"La ragazza continua a suonare lo strumento e termina guardando alla telecamera.")</f>
        <v>La ragazza continua a suonare lo strumento e termina guardando alla telecamera.</v>
      </c>
    </row>
    <row r="27689">
      <c r="A27689" s="4" t="s">
        <v>34864</v>
      </c>
      <c r="B27689" s="4" t="s">
        <v>34865</v>
      </c>
      <c r="C27689" s="5" t="str">
        <f>IFERROR(__xludf.DUMMYFUNCTION("GOOGLETRANSLATE(B27689,""en"",""it"")"),"Un uomo si sta strofinando la protezione solare sulla schiena.")</f>
        <v>Un uomo si sta strofinando la protezione solare sulla schiena.</v>
      </c>
    </row>
    <row r="27690">
      <c r="A27690" s="4" t="s">
        <v>34864</v>
      </c>
      <c r="B27690" s="4" t="s">
        <v>34866</v>
      </c>
      <c r="C27690" s="5" t="str">
        <f>IFERROR(__xludf.DUMMYFUNCTION("GOOGLETRANSLATE(B27690,""en"",""it"")"),"Una ragazza si sdraia su un asciugamano sulla spiaggia dietro di lui.")</f>
        <v>Una ragazza si sdraia su un asciugamano sulla spiaggia dietro di lui.</v>
      </c>
    </row>
    <row r="27691">
      <c r="A27691" s="4" t="s">
        <v>34864</v>
      </c>
      <c r="B27691" s="4" t="s">
        <v>34867</v>
      </c>
      <c r="C27691" s="5" t="str">
        <f>IFERROR(__xludf.DUMMYFUNCTION("GOOGLETRANSLATE(B27691,""en"",""it"")"),"Una persona in una camicia arancione cammina dietro di lui.")</f>
        <v>Una persona in una camicia arancione cammina dietro di lui.</v>
      </c>
    </row>
    <row r="27692">
      <c r="A27692" s="4" t="s">
        <v>34868</v>
      </c>
      <c r="B27692" s="4" t="s">
        <v>34869</v>
      </c>
      <c r="C27692" s="5" t="str">
        <f>IFERROR(__xludf.DUMMYFUNCTION("GOOGLETRANSLATE(B27692,""en"",""it"")"),"Una persona viene vista cadere in acqua di fronte a un salto.")</f>
        <v>Una persona viene vista cadere in acqua di fronte a un salto.</v>
      </c>
    </row>
    <row r="27693">
      <c r="A27693" s="4" t="s">
        <v>34868</v>
      </c>
      <c r="B27693" s="4" t="s">
        <v>34870</v>
      </c>
      <c r="C27693" s="5" t="str">
        <f>IFERROR(__xludf.DUMMYFUNCTION("GOOGLETRANSLATE(B27693,""en"",""it"")"),"Un'altra persona viene vista cavalcare gli sci oltre di lui.")</f>
        <v>Un'altra persona viene vista cavalcare gli sci oltre di lui.</v>
      </c>
    </row>
    <row r="27694">
      <c r="A27694" s="4" t="s">
        <v>34868</v>
      </c>
      <c r="B27694" s="4" t="s">
        <v>34871</v>
      </c>
      <c r="C27694" s="5" t="str">
        <f>IFERROR(__xludf.DUMMYFUNCTION("GOOGLETRANSLATE(B27694,""en"",""it"")"),"L'uomo continua a cavalcare mentre la fotocamera si ingrandisce sull'acqua.")</f>
        <v>L'uomo continua a cavalcare mentre la fotocamera si ingrandisce sull'acqua.</v>
      </c>
    </row>
    <row r="27695">
      <c r="A27695" s="4" t="s">
        <v>34872</v>
      </c>
      <c r="B27695" s="6" t="s">
        <v>34873</v>
      </c>
      <c r="C27695" s="5" t="str">
        <f>IFERROR(__xludf.DUMMYFUNCTION("GOOGLETRANSLATE(B27695,""en"",""it"")"),"Viene visto un uomo con in mano uno strumento davanti a una grande pila di strumenti e parla alla telecamera.")</f>
        <v>Viene visto un uomo con in mano uno strumento davanti a una grande pila di strumenti e parla alla telecamera.</v>
      </c>
    </row>
    <row r="27696">
      <c r="A27696" s="4" t="s">
        <v>34872</v>
      </c>
      <c r="B27696" s="6" t="s">
        <v>34874</v>
      </c>
      <c r="C27696" s="5" t="str">
        <f>IFERROR(__xludf.DUMMYFUNCTION("GOOGLETRANSLATE(B27696,""en"",""it"")"),"L'uomo quindi suona lo strumento continuamente e finisce con lui che si ferma e tiene lo strumento.")</f>
        <v>L'uomo quindi suona lo strumento continuamente e finisce con lui che si ferma e tiene lo strumento.</v>
      </c>
    </row>
    <row r="27697">
      <c r="A27697" s="4" t="s">
        <v>34875</v>
      </c>
      <c r="B27697" s="4" t="s">
        <v>34876</v>
      </c>
      <c r="C27697" s="5" t="str">
        <f>IFERROR(__xludf.DUMMYFUNCTION("GOOGLETRANSLATE(B27697,""en"",""it"")"),"Due uomini iniziano a combattere in piedi fuori.")</f>
        <v>Due uomini iniziano a combattere in piedi fuori.</v>
      </c>
    </row>
    <row r="27698">
      <c r="A27698" s="4" t="s">
        <v>34875</v>
      </c>
      <c r="B27698" s="4" t="s">
        <v>34877</v>
      </c>
      <c r="C27698" s="5" t="str">
        <f>IFERROR(__xludf.DUMMYFUNCTION("GOOGLETRANSLATE(B27698,""en"",""it"")"),"Un uomo getta l'altro uomo su un tavolo.")</f>
        <v>Un uomo getta l'altro uomo su un tavolo.</v>
      </c>
    </row>
    <row r="27699">
      <c r="A27699" s="4" t="s">
        <v>34878</v>
      </c>
      <c r="B27699" s="4" t="s">
        <v>34879</v>
      </c>
      <c r="C27699" s="5" t="str">
        <f>IFERROR(__xludf.DUMMYFUNCTION("GOOGLETRANSLATE(B27699,""en"",""it"")"),"Una telecamera si ingrandisce su un bambino che indossa un cappello da baseball che cavalca indietro e quarto su un set di swing.")</f>
        <v>Una telecamera si ingrandisce su un bambino che indossa un cappello da baseball che cavalca indietro e quarto su un set di swing.</v>
      </c>
    </row>
    <row r="27700">
      <c r="A27700" s="4" t="s">
        <v>34878</v>
      </c>
      <c r="B27700" s="4" t="s">
        <v>34880</v>
      </c>
      <c r="C27700" s="5" t="str">
        <f>IFERROR(__xludf.DUMMYFUNCTION("GOOGLETRANSLATE(B27700,""en"",""it"")"),"Il bambino torna continuamente indietro e quarto mentre un altro bambino cavalca un'altalena accanto a lui.")</f>
        <v>Il bambino torna continuamente indietro e quarto mentre un altro bambino cavalca un'altalena accanto a lui.</v>
      </c>
    </row>
    <row r="27701">
      <c r="A27701" s="4" t="s">
        <v>34881</v>
      </c>
      <c r="B27701" s="4" t="s">
        <v>34882</v>
      </c>
      <c r="C27701" s="5" t="str">
        <f>IFERROR(__xludf.DUMMYFUNCTION("GOOGLETRANSLATE(B27701,""en"",""it"")"),"Un gruppo di ragazze è seduto in una vecchia macchina mentre un folto gruppo di macchine dietro di loro si muove.")</f>
        <v>Un gruppo di ragazze è seduto in una vecchia macchina mentre un folto gruppo di macchine dietro di loro si muove.</v>
      </c>
    </row>
    <row r="27702">
      <c r="A27702" s="4" t="s">
        <v>34881</v>
      </c>
      <c r="B27702" s="4" t="s">
        <v>34883</v>
      </c>
      <c r="C27702" s="5" t="str">
        <f>IFERROR(__xludf.DUMMYFUNCTION("GOOGLETRANSLATE(B27702,""en"",""it"")"),"Altre persone vengono mostrate indossare abbigliamento natalizio e ballare per le strade dell'auto.")</f>
        <v>Altre persone vengono mostrate indossare abbigliamento natalizio e ballare per le strade dell'auto.</v>
      </c>
    </row>
    <row r="27703">
      <c r="A27703" s="4" t="s">
        <v>34881</v>
      </c>
      <c r="B27703" s="4" t="s">
        <v>34884</v>
      </c>
      <c r="C27703" s="5" t="str">
        <f>IFERROR(__xludf.DUMMYFUNCTION("GOOGLETRANSLATE(B27703,""en"",""it"")"),"Una band suona da un gruppo di bambini mentre la sfilata li segue pieni di persone che ballano.")</f>
        <v>Una band suona da un gruppo di bambini mentre la sfilata li segue pieni di persone che ballano.</v>
      </c>
    </row>
    <row r="27704">
      <c r="A27704" s="4" t="s">
        <v>34885</v>
      </c>
      <c r="B27704" s="4" t="s">
        <v>34886</v>
      </c>
      <c r="C27704" s="5" t="str">
        <f>IFERROR(__xludf.DUMMYFUNCTION("GOOGLETRANSLATE(B27704,""en"",""it"")"),"Un uomo e un bambino dipingono una recinzione con i pennelli.")</f>
        <v>Un uomo e un bambino dipingono una recinzione con i pennelli.</v>
      </c>
    </row>
    <row r="27705">
      <c r="A27705" s="4" t="s">
        <v>34885</v>
      </c>
      <c r="B27705" s="4" t="s">
        <v>34887</v>
      </c>
      <c r="C27705" s="5" t="str">
        <f>IFERROR(__xludf.DUMMYFUNCTION("GOOGLETRANSLATE(B27705,""en"",""it"")"),"Un bambino guarda l'uomo e il dipinto del bambino.")</f>
        <v>Un bambino guarda l'uomo e il dipinto del bambino.</v>
      </c>
    </row>
    <row r="27706">
      <c r="A27706" s="4" t="s">
        <v>34888</v>
      </c>
      <c r="B27706" s="4" t="s">
        <v>34889</v>
      </c>
      <c r="C27706" s="5" t="str">
        <f>IFERROR(__xludf.DUMMYFUNCTION("GOOGLETRANSLATE(B27706,""en"",""it"")"),"Un folto gruppo di persone è visto in piedi su un palco mentre altri guardano sul lato.")</f>
        <v>Un folto gruppo di persone è visto in piedi su un palco mentre altri guardano sul lato.</v>
      </c>
    </row>
    <row r="27707">
      <c r="A27707" s="4" t="s">
        <v>34888</v>
      </c>
      <c r="B27707" s="4" t="s">
        <v>34890</v>
      </c>
      <c r="C27707" s="5" t="str">
        <f>IFERROR(__xludf.DUMMYFUNCTION("GOOGLETRANSLATE(B27707,""en"",""it"")"),"Le cheerleader iniziano quindi a eseguire una routine mentre vomitano gli altri e si girano.")</f>
        <v>Le cheerleader iniziano quindi a eseguire una routine mentre vomitano gli altri e si girano.</v>
      </c>
    </row>
    <row r="27708">
      <c r="A27708" s="4" t="s">
        <v>34888</v>
      </c>
      <c r="B27708" s="4" t="s">
        <v>34891</v>
      </c>
      <c r="C27708" s="5" t="str">
        <f>IFERROR(__xludf.DUMMYFUNCTION("GOOGLETRANSLATE(B27708,""en"",""it"")"),"Il gruppo continua a esibirsi sul palco e alla fine tenendo una posa e allontanandosi.")</f>
        <v>Il gruppo continua a esibirsi sul palco e alla fine tenendo una posa e allontanandosi.</v>
      </c>
    </row>
    <row r="27709">
      <c r="A27709" s="4" t="s">
        <v>34892</v>
      </c>
      <c r="B27709" s="4" t="s">
        <v>34893</v>
      </c>
      <c r="C27709" s="5" t="str">
        <f>IFERROR(__xludf.DUMMYFUNCTION("GOOGLETRANSLATE(B27709,""en"",""it"")"),"Un ragazzo si siede con le gambe vicino al petto.")</f>
        <v>Un ragazzo si siede con le gambe vicino al petto.</v>
      </c>
    </row>
    <row r="27710">
      <c r="A27710" s="4" t="s">
        <v>34892</v>
      </c>
      <c r="B27710" s="4" t="s">
        <v>34894</v>
      </c>
      <c r="C27710" s="5" t="str">
        <f>IFERROR(__xludf.DUMMYFUNCTION("GOOGLETRANSLATE(B27710,""en"",""it"")"),"Il ragazzo si sta esercitando tirando una maniglia.")</f>
        <v>Il ragazzo si sta esercitando tirando una maniglia.</v>
      </c>
    </row>
    <row r="27711">
      <c r="A27711" s="4" t="s">
        <v>34892</v>
      </c>
      <c r="B27711" s="4" t="s">
        <v>34895</v>
      </c>
      <c r="C27711" s="5" t="str">
        <f>IFERROR(__xludf.DUMMYFUNCTION("GOOGLETRANSLATE(B27711,""en"",""it"")"),"Il ragazzo smette di esercitare gli occhiali di lettura e gli tocca la barba.")</f>
        <v>Il ragazzo smette di esercitare gli occhiali di lettura e gli tocca la barba.</v>
      </c>
    </row>
    <row r="27712">
      <c r="A27712" s="4" t="s">
        <v>34892</v>
      </c>
      <c r="B27712" s="4" t="s">
        <v>34896</v>
      </c>
      <c r="C27712" s="5" t="str">
        <f>IFERROR(__xludf.DUMMYFUNCTION("GOOGLETRANSLATE(B27712,""en"",""it"")"),"Il ragazzo rimuove le gambe dalla macchina dell'esercizio e tocca la manopola.")</f>
        <v>Il ragazzo rimuove le gambe dalla macchina dell'esercizio e tocca la manopola.</v>
      </c>
    </row>
    <row r="27713">
      <c r="A27713" s="4" t="s">
        <v>34897</v>
      </c>
      <c r="B27713" s="4" t="s">
        <v>34898</v>
      </c>
      <c r="C27713" s="5" t="str">
        <f>IFERROR(__xludf.DUMMYFUNCTION("GOOGLETRANSLATE(B27713,""en"",""it"")"),"Vediamo una ragazza che salta su un trampolino alle porte.")</f>
        <v>Vediamo una ragazza che salta su un trampolino alle porte.</v>
      </c>
    </row>
    <row r="27714">
      <c r="A27714" s="4" t="s">
        <v>34897</v>
      </c>
      <c r="B27714" s="4" t="s">
        <v>34899</v>
      </c>
      <c r="C27714" s="5" t="str">
        <f>IFERROR(__xludf.DUMMYFUNCTION("GOOGLETRANSLATE(B27714,""en"",""it"")"),"Vediamo la ragazza girare in aria.")</f>
        <v>Vediamo la ragazza girare in aria.</v>
      </c>
    </row>
    <row r="27715">
      <c r="A27715" s="4" t="s">
        <v>34897</v>
      </c>
      <c r="B27715" s="4" t="s">
        <v>34900</v>
      </c>
      <c r="C27715" s="5" t="str">
        <f>IFERROR(__xludf.DUMMYFUNCTION("GOOGLETRANSLATE(B27715,""en"",""it"")"),"La ragazza fa una serie di lanci.")</f>
        <v>La ragazza fa una serie di lanci.</v>
      </c>
    </row>
    <row r="27716">
      <c r="A27716" s="4" t="s">
        <v>34897</v>
      </c>
      <c r="B27716" s="4" t="s">
        <v>34901</v>
      </c>
      <c r="C27716" s="5" t="str">
        <f>IFERROR(__xludf.DUMMYFUNCTION("GOOGLETRANSLATE(B27716,""en"",""it"")"),"La ragazza gira in scatole blu.")</f>
        <v>La ragazza gira in scatole blu.</v>
      </c>
    </row>
    <row r="27717">
      <c r="A27717" s="4" t="s">
        <v>34897</v>
      </c>
      <c r="B27717" s="4" t="s">
        <v>34902</v>
      </c>
      <c r="C27717" s="5" t="str">
        <f>IFERROR(__xludf.DUMMYFUNCTION("GOOGLETRANSLATE(B27717,""en"",""it"")"),"La ragazza fa una serie di lanci e un giro.")</f>
        <v>La ragazza fa una serie di lanci e un giro.</v>
      </c>
    </row>
    <row r="27718">
      <c r="A27718" s="4" t="s">
        <v>34897</v>
      </c>
      <c r="B27718" s="4" t="s">
        <v>34903</v>
      </c>
      <c r="C27718" s="5" t="str">
        <f>IFERROR(__xludf.DUMMYFUNCTION("GOOGLETRANSLATE(B27718,""en"",""it"")"),"Vediamo uno schermo del titolo e poi vediamo le ragazze bloopers.")</f>
        <v>Vediamo uno schermo del titolo e poi vediamo le ragazze bloopers.</v>
      </c>
    </row>
    <row r="27719">
      <c r="A27719" s="4" t="s">
        <v>34897</v>
      </c>
      <c r="B27719" s="4" t="s">
        <v>3608</v>
      </c>
      <c r="C27719" s="5" t="str">
        <f>IFERROR(__xludf.DUMMYFUNCTION("GOOGLETRANSLATE(B27719,""en"",""it"")"),"Vediamo lo schermo finale.")</f>
        <v>Vediamo lo schermo finale.</v>
      </c>
    </row>
    <row r="27720">
      <c r="A27720" s="4" t="s">
        <v>34904</v>
      </c>
      <c r="B27720" s="4" t="s">
        <v>34905</v>
      </c>
      <c r="C27720" s="5" t="str">
        <f>IFERROR(__xludf.DUMMYFUNCTION("GOOGLETRANSLATE(B27720,""en"",""it"")"),"Una donna viene mostrata parlare con la telecamera con le mani e la telecamera che punta a un edificio.")</f>
        <v>Una donna viene mostrata parlare con la telecamera con le mani e la telecamera che punta a un edificio.</v>
      </c>
    </row>
    <row r="27721">
      <c r="A27721" s="4" t="s">
        <v>34904</v>
      </c>
      <c r="B27721" s="6" t="s">
        <v>34906</v>
      </c>
      <c r="C27721" s="5" t="str">
        <f>IFERROR(__xludf.DUMMYFUNCTION("GOOGLETRANSLATE(B27721,""en"",""it"")"),"Si trova di fronte all'edificio facendo diverse piccole danze e continua questo di fronte a diversi edifici e luoghi.")</f>
        <v>Si trova di fronte all'edificio facendo diverse piccole danze e continua questo di fronte a diversi edifici e luoghi.</v>
      </c>
    </row>
    <row r="27722">
      <c r="A27722" s="4" t="s">
        <v>34907</v>
      </c>
      <c r="B27722" s="4" t="s">
        <v>34908</v>
      </c>
      <c r="C27722" s="5" t="str">
        <f>IFERROR(__xludf.DUMMYFUNCTION("GOOGLETRANSLATE(B27722,""en"",""it"")"),"Una donna che sorride alla telecamera viene mostrata che raschia la sua auto con un raschietto.")</f>
        <v>Una donna che sorride alla telecamera viene mostrata che raschia la sua auto con un raschietto.</v>
      </c>
    </row>
    <row r="27723">
      <c r="A27723" s="4" t="s">
        <v>34907</v>
      </c>
      <c r="B27723" s="4" t="s">
        <v>34909</v>
      </c>
      <c r="C27723" s="5" t="str">
        <f>IFERROR(__xludf.DUMMYFUNCTION("GOOGLETRANSLATE(B27723,""en"",""it"")"),"Parla con l'uomo della telecamera mentre sorride alla telecamera e continua a raschiare.")</f>
        <v>Parla con l'uomo della telecamera mentre sorride alla telecamera e continua a raschiare.</v>
      </c>
    </row>
    <row r="27724">
      <c r="A27724" s="4" t="s">
        <v>34910</v>
      </c>
      <c r="B27724" s="4" t="s">
        <v>34911</v>
      </c>
      <c r="C27724" s="5" t="str">
        <f>IFERROR(__xludf.DUMMYFUNCTION("GOOGLETRANSLATE(B27724,""en"",""it"")"),"Vediamo una signora portare un cavallo in una stalla gira il cavallo e lo lega.")</f>
        <v>Vediamo una signora portare un cavallo in una stalla gira il cavallo e lo lega.</v>
      </c>
    </row>
    <row r="27725">
      <c r="A27725" s="4" t="s">
        <v>34910</v>
      </c>
      <c r="B27725" s="4" t="s">
        <v>34912</v>
      </c>
      <c r="C27725" s="5" t="str">
        <f>IFERROR(__xludf.DUMMYFUNCTION("GOOGLETRANSLATE(B27725,""en"",""it"")"),"La signora quindi spazzola il cavallo e pulisce gli zoccoli sul cavallo a destra.")</f>
        <v>La signora quindi spazzola il cavallo e pulisce gli zoccoli sul cavallo a destra.</v>
      </c>
    </row>
    <row r="27726">
      <c r="A27726" s="4" t="s">
        <v>34910</v>
      </c>
      <c r="B27726" s="4" t="s">
        <v>34913</v>
      </c>
      <c r="C27726" s="5" t="str">
        <f>IFERROR(__xludf.DUMMYFUNCTION("GOOGLETRANSLATE(B27726,""en"",""it"")"),"La signora quindi spruzza un prodotto nella criniera e lo arriva.")</f>
        <v>La signora quindi spruzza un prodotto nella criniera e lo arriva.</v>
      </c>
    </row>
    <row r="27727">
      <c r="A27727" s="4" t="s">
        <v>34910</v>
      </c>
      <c r="B27727" s="4" t="s">
        <v>34914</v>
      </c>
      <c r="C27727" s="5" t="str">
        <f>IFERROR(__xludf.DUMMYFUNCTION("GOOGLETRANSLATE(B27727,""en"",""it"")"),"La signora si muove sulla parte anteriore del cavallo e spazzola la sua criniera.")</f>
        <v>La signora si muove sulla parte anteriore del cavallo e spazzola la sua criniera.</v>
      </c>
    </row>
    <row r="27728">
      <c r="A27728" s="4" t="s">
        <v>34910</v>
      </c>
      <c r="B27728" s="4" t="s">
        <v>34915</v>
      </c>
      <c r="C27728" s="5" t="str">
        <f>IFERROR(__xludf.DUMMYFUNCTION("GOOGLETRANSLATE(B27728,""en"",""it"")"),"La signora sfiora il lato sinistro del cavallo e pulisce gli zoccoli.")</f>
        <v>La signora sfiora il lato sinistro del cavallo e pulisce gli zoccoli.</v>
      </c>
    </row>
    <row r="27729">
      <c r="A27729" s="4" t="s">
        <v>34910</v>
      </c>
      <c r="B27729" s="4" t="s">
        <v>34916</v>
      </c>
      <c r="C27729" s="5" t="str">
        <f>IFERROR(__xludf.DUMMYFUNCTION("GOOGLETRANSLATE(B27729,""en"",""it"")"),"La signora quindi spazzola la coda e il cavallo e la signora se ne vanno.")</f>
        <v>La signora quindi spazzola la coda e il cavallo e la signora se ne vanno.</v>
      </c>
    </row>
    <row r="27730">
      <c r="A27730" s="4" t="s">
        <v>34917</v>
      </c>
      <c r="B27730" s="6" t="s">
        <v>34918</v>
      </c>
      <c r="C27730" s="5" t="str">
        <f>IFERROR(__xludf.DUMMYFUNCTION("GOOGLETRANSLATE(B27730,""en"",""it"")"),"Vengono mostrate varie immagini di ingredienti seguiti da immagini degli ingredienti disposti su un tagliere.")</f>
        <v>Vengono mostrate varie immagini di ingredienti seguiti da immagini degli ingredienti disposti su un tagliere.</v>
      </c>
    </row>
    <row r="27731">
      <c r="A27731" s="4" t="s">
        <v>34917</v>
      </c>
      <c r="B27731" s="6" t="s">
        <v>34919</v>
      </c>
      <c r="C27731" s="5" t="str">
        <f>IFERROR(__xludf.DUMMYFUNCTION("GOOGLETRANSLATE(B27731,""en"",""it"")"),"Le immagini passano in più ingredienti con le mani che li coprono e le stringono in una palla.")</f>
        <v>Le immagini passano in più ingredienti con le mani che li coprono e le stringono in una palla.</v>
      </c>
    </row>
    <row r="27732">
      <c r="A27732" s="4" t="s">
        <v>34917</v>
      </c>
      <c r="B27732" s="6" t="s">
        <v>34920</v>
      </c>
      <c r="C27732" s="5" t="str">
        <f>IFERROR(__xludf.DUMMYFUNCTION("GOOGLETRANSLATE(B27732,""en"",""it"")"),"Le immagini e i video del cibo che vengono cotti in una padella sono mostrati da una persona che lo toglie e lo taglia con un coltello.")</f>
        <v>Le immagini e i video del cibo che vengono cotti in una padella sono mostrati da una persona che lo toglie e lo taglia con un coltello.</v>
      </c>
    </row>
    <row r="27733">
      <c r="A27733" s="4" t="s">
        <v>34917</v>
      </c>
      <c r="B27733" s="4" t="s">
        <v>34921</v>
      </c>
      <c r="C27733" s="5" t="str">
        <f>IFERROR(__xludf.DUMMYFUNCTION("GOOGLETRANSLATE(B27733,""en"",""it"")"),"Infine, viene mostrata una foto del prodotto alimentare finito.")</f>
        <v>Infine, viene mostrata una foto del prodotto alimentare finito.</v>
      </c>
    </row>
    <row r="27734">
      <c r="A27734" s="4" t="s">
        <v>34922</v>
      </c>
      <c r="B27734" s="4" t="s">
        <v>3859</v>
      </c>
      <c r="C27734" s="5" t="str">
        <f>IFERROR(__xludf.DUMMYFUNCTION("GOOGLETRANSLATE(B27734,""en"",""it"")"),"Vediamo una schermata del titolo di apertura.")</f>
        <v>Vediamo una schermata del titolo di apertura.</v>
      </c>
    </row>
    <row r="27735">
      <c r="A27735" s="4" t="s">
        <v>34922</v>
      </c>
      <c r="B27735" s="4" t="s">
        <v>34923</v>
      </c>
      <c r="C27735" s="5" t="str">
        <f>IFERROR(__xludf.DUMMYFUNCTION("GOOGLETRANSLATE(B27735,""en"",""it"")"),"Vediamo persone rafting lungo un fiume in una zattera gialla.")</f>
        <v>Vediamo persone rafting lungo un fiume in una zattera gialla.</v>
      </c>
    </row>
    <row r="27736">
      <c r="A27736" s="4" t="s">
        <v>34922</v>
      </c>
      <c r="B27736" s="4" t="s">
        <v>34924</v>
      </c>
      <c r="C27736" s="5" t="str">
        <f>IFERROR(__xludf.DUMMYFUNCTION("GOOGLETRANSLATE(B27736,""en"",""it"")"),"La zattera viene rovesciata e la gente cade nel fiume.")</f>
        <v>La zattera viene rovesciata e la gente cade nel fiume.</v>
      </c>
    </row>
    <row r="27737">
      <c r="A27737" s="4" t="s">
        <v>34922</v>
      </c>
      <c r="B27737" s="4" t="s">
        <v>34925</v>
      </c>
      <c r="C27737" s="5" t="str">
        <f>IFERROR(__xludf.DUMMYFUNCTION("GOOGLETRANSLATE(B27737,""en"",""it"")"),"Le persone si abbassano sotto il ramo di un albero basso e il front man destro si alza e balla.")</f>
        <v>Le persone si abbassano sotto il ramo di un albero basso e il front man destro si alza e balla.</v>
      </c>
    </row>
    <row r="27738">
      <c r="A27738" s="4" t="s">
        <v>34922</v>
      </c>
      <c r="B27738" s="4" t="s">
        <v>34926</v>
      </c>
      <c r="C27738" s="5" t="str">
        <f>IFERROR(__xludf.DUMMYFUNCTION("GOOGLETRANSLATE(B27738,""en"",""it"")"),"Un uomo nella parte posteriore della zattera cammina in avanti.")</f>
        <v>Un uomo nella parte posteriore della zattera cammina in avanti.</v>
      </c>
    </row>
    <row r="27739">
      <c r="A27739" s="4" t="s">
        <v>34922</v>
      </c>
      <c r="B27739" s="4" t="s">
        <v>777</v>
      </c>
      <c r="C27739" s="5" t="str">
        <f>IFERROR(__xludf.DUMMYFUNCTION("GOOGLETRANSLATE(B27739,""en"",""it"")"),"Vediamo la schermata del titolo finale.")</f>
        <v>Vediamo la schermata del titolo finale.</v>
      </c>
    </row>
    <row r="27740">
      <c r="A27740" s="4" t="s">
        <v>34927</v>
      </c>
      <c r="B27740" s="4" t="s">
        <v>34928</v>
      </c>
      <c r="C27740" s="5" t="str">
        <f>IFERROR(__xludf.DUMMYFUNCTION("GOOGLETRANSLATE(B27740,""en"",""it"")"),"Alcune squadre sta giocando in campo, uno dei quali segna.")</f>
        <v>Alcune squadre sta giocando in campo, uno dei quali segna.</v>
      </c>
    </row>
    <row r="27741">
      <c r="A27741" s="4" t="s">
        <v>34927</v>
      </c>
      <c r="B27741" s="4" t="s">
        <v>34929</v>
      </c>
      <c r="C27741" s="5" t="str">
        <f>IFERROR(__xludf.DUMMYFUNCTION("GOOGLETRANSLATE(B27741,""en"",""it"")"),"Il pubblico impazzisce e poi le squadre tornano a cercare di segnare in porta.")</f>
        <v>Il pubblico impazzisce e poi le squadre tornano a cercare di segnare in porta.</v>
      </c>
    </row>
    <row r="27742">
      <c r="A27742" s="4" t="s">
        <v>34927</v>
      </c>
      <c r="B27742" s="4" t="s">
        <v>34930</v>
      </c>
      <c r="C27742" s="5" t="str">
        <f>IFERROR(__xludf.DUMMYFUNCTION("GOOGLETRANSLATE(B27742,""en"",""it"")"),"Il ragazzo della squadra gialla ha la palla sul bastone, corre rapidamente con esso e segna.")</f>
        <v>Il ragazzo della squadra gialla ha la palla sul bastone, corre rapidamente con esso e segna.</v>
      </c>
    </row>
    <row r="27743">
      <c r="A27743" s="4" t="s">
        <v>34927</v>
      </c>
      <c r="B27743" s="4" t="s">
        <v>34931</v>
      </c>
      <c r="C27743" s="5" t="str">
        <f>IFERROR(__xludf.DUMMYFUNCTION("GOOGLETRANSLATE(B27743,""en"",""it"")"),"Mettono il trofeo in aria e urlano con eccitazione.")</f>
        <v>Mettono il trofeo in aria e urlano con eccitazione.</v>
      </c>
    </row>
    <row r="27744">
      <c r="A27744" s="4" t="s">
        <v>34932</v>
      </c>
      <c r="B27744" s="4" t="s">
        <v>34933</v>
      </c>
      <c r="C27744" s="5" t="str">
        <f>IFERROR(__xludf.DUMMYFUNCTION("GOOGLETRANSLATE(B27744,""en"",""it"")"),"Un uomo che indossa un cappotto nero è in piedi sul marciapiede.")</f>
        <v>Un uomo che indossa un cappotto nero è in piedi sul marciapiede.</v>
      </c>
    </row>
    <row r="27745">
      <c r="A27745" s="4" t="s">
        <v>34932</v>
      </c>
      <c r="B27745" s="4" t="s">
        <v>34934</v>
      </c>
      <c r="C27745" s="5" t="str">
        <f>IFERROR(__xludf.DUMMYFUNCTION("GOOGLETRANSLATE(B27745,""en"",""it"")"),"Si avvicina a un'auto e inizia a raschiare la neve dalle finestre.")</f>
        <v>Si avvicina a un'auto e inizia a raschiare la neve dalle finestre.</v>
      </c>
    </row>
    <row r="27746">
      <c r="A27746" s="4" t="s">
        <v>34932</v>
      </c>
      <c r="B27746" s="4" t="s">
        <v>34935</v>
      </c>
      <c r="C27746" s="5" t="str">
        <f>IFERROR(__xludf.DUMMYFUNCTION("GOOGLETRANSLATE(B27746,""en"",""it"")"),"La neve cade a terra di fronte all'auto.")</f>
        <v>La neve cade a terra di fronte all'auto.</v>
      </c>
    </row>
    <row r="27747">
      <c r="A27747" s="4" t="s">
        <v>34936</v>
      </c>
      <c r="B27747" s="4" t="s">
        <v>34937</v>
      </c>
      <c r="C27747" s="5" t="str">
        <f>IFERROR(__xludf.DUMMYFUNCTION("GOOGLETRANSLATE(B27747,""en"",""it"")"),"Un uomo e una bambina sono in piedi su una spiaggia.")</f>
        <v>Un uomo e una bambina sono in piedi su una spiaggia.</v>
      </c>
    </row>
    <row r="27748">
      <c r="A27748" s="4" t="s">
        <v>34936</v>
      </c>
      <c r="B27748" s="4" t="s">
        <v>34938</v>
      </c>
      <c r="C27748" s="5" t="str">
        <f>IFERROR(__xludf.DUMMYFUNCTION("GOOGLETRANSLATE(B27748,""en"",""it"")"),"L'uomo prende la ragazza e raccoglie una tavola da surf.")</f>
        <v>L'uomo prende la ragazza e raccoglie una tavola da surf.</v>
      </c>
    </row>
    <row r="27749">
      <c r="A27749" s="4" t="s">
        <v>34936</v>
      </c>
      <c r="B27749" s="4" t="s">
        <v>34939</v>
      </c>
      <c r="C27749" s="5" t="str">
        <f>IFERROR(__xludf.DUMMYFUNCTION("GOOGLETRANSLATE(B27749,""en"",""it"")"),"Va in navigare in acqua con lei sulla schiena.")</f>
        <v>Va in navigare in acqua con lei sulla schiena.</v>
      </c>
    </row>
    <row r="27750">
      <c r="A27750" s="4" t="s">
        <v>34940</v>
      </c>
      <c r="B27750" s="4" t="s">
        <v>34941</v>
      </c>
      <c r="C27750" s="5" t="str">
        <f>IFERROR(__xludf.DUMMYFUNCTION("GOOGLETRANSLATE(B27750,""en"",""it"")"),"Un uomo tiene le zampe posteriori di un gatto e taglia le unghie sedute sul pavimento.")</f>
        <v>Un uomo tiene le zampe posteriori di un gatto e taglia le unghie sedute sul pavimento.</v>
      </c>
    </row>
    <row r="27751">
      <c r="A27751" s="4" t="s">
        <v>34940</v>
      </c>
      <c r="B27751" s="4" t="s">
        <v>34942</v>
      </c>
      <c r="C27751" s="5" t="str">
        <f>IFERROR(__xludf.DUMMYFUNCTION("GOOGLETRANSLATE(B27751,""en"",""it"")"),"L'uomo finisce una zampa e poi lotta con il gatto.")</f>
        <v>L'uomo finisce una zampa e poi lotta con il gatto.</v>
      </c>
    </row>
    <row r="27752">
      <c r="A27752" s="4" t="s">
        <v>34940</v>
      </c>
      <c r="B27752" s="4" t="s">
        <v>34943</v>
      </c>
      <c r="C27752" s="5" t="str">
        <f>IFERROR(__xludf.DUMMYFUNCTION("GOOGLETRANSLATE(B27752,""en"",""it"")"),"L'uomo animali domestici che gatti allo stomaco.")</f>
        <v>L'uomo animali domestici che gatti allo stomaco.</v>
      </c>
    </row>
    <row r="27753">
      <c r="A27753" s="4" t="s">
        <v>34940</v>
      </c>
      <c r="B27753" s="4" t="s">
        <v>34944</v>
      </c>
      <c r="C27753" s="5" t="str">
        <f>IFERROR(__xludf.DUMMYFUNCTION("GOOGLETRANSLATE(B27753,""en"",""it"")"),"L'uomo esamina i gatti dopo che il lavoro è stato fatto.")</f>
        <v>L'uomo esamina i gatti dopo che il lavoro è stato fatto.</v>
      </c>
    </row>
    <row r="27754">
      <c r="A27754" s="4" t="s">
        <v>34945</v>
      </c>
      <c r="B27754" s="4" t="s">
        <v>34946</v>
      </c>
      <c r="C27754" s="5" t="str">
        <f>IFERROR(__xludf.DUMMYFUNCTION("GOOGLETRANSLATE(B27754,""en"",""it"")"),"Una tazza con limonata è il prossimo barattolo con una limonata.")</f>
        <v>Una tazza con limonata è il prossimo barattolo con una limonata.</v>
      </c>
    </row>
    <row r="27755">
      <c r="A27755" s="4" t="s">
        <v>34945</v>
      </c>
      <c r="B27755" s="6" t="s">
        <v>34947</v>
      </c>
      <c r="C27755" s="5" t="str">
        <f>IFERROR(__xludf.DUMMYFUNCTION("GOOGLETRANSLATE(B27755,""en"",""it"")"),"Una ciotola con tre tazze di acqua fredda, una tazza di succo di limone, una tazza d'acqua e una tazza di zucchero sono a tavola.")</f>
        <v>Una ciotola con tre tazze di acqua fredda, una tazza di succo di limone, una tazza d'acqua e una tazza di zucchero sono a tavola.</v>
      </c>
    </row>
    <row r="27756">
      <c r="A27756" s="4" t="s">
        <v>34945</v>
      </c>
      <c r="B27756" s="4" t="s">
        <v>34948</v>
      </c>
      <c r="C27756" s="5" t="str">
        <f>IFERROR(__xludf.DUMMYFUNCTION("GOOGLETRANSLATE(B27756,""en"",""it"")"),"Quindi, una persona aggiunge zucchero e limone alla pentola con acqua.")</f>
        <v>Quindi, una persona aggiunge zucchero e limone alla pentola con acqua.</v>
      </c>
    </row>
    <row r="27757">
      <c r="A27757" s="4" t="s">
        <v>34945</v>
      </c>
      <c r="B27757" s="4" t="s">
        <v>34949</v>
      </c>
      <c r="C27757" s="5" t="str">
        <f>IFERROR(__xludf.DUMMYFUNCTION("GOOGLETRANSLATE(B27757,""en"",""it"")"),"Quindi, la persona aggiunge la limonata a un barattolo e serve in una tazza.")</f>
        <v>Quindi, la persona aggiunge la limonata a un barattolo e serve in una tazza.</v>
      </c>
    </row>
    <row r="27758">
      <c r="A27758" s="4" t="s">
        <v>34950</v>
      </c>
      <c r="B27758" s="4" t="s">
        <v>34951</v>
      </c>
      <c r="C27758" s="5" t="str">
        <f>IFERROR(__xludf.DUMMYFUNCTION("GOOGLETRANSLATE(B27758,""en"",""it"")"),"Un uomo è in un garage con giornale su un tavolo.")</f>
        <v>Un uomo è in un garage con giornale su un tavolo.</v>
      </c>
    </row>
    <row r="27759">
      <c r="A27759" s="4" t="s">
        <v>34950</v>
      </c>
      <c r="B27759" s="4" t="s">
        <v>34952</v>
      </c>
      <c r="C27759" s="5" t="str">
        <f>IFERROR(__xludf.DUMMYFUNCTION("GOOGLETRANSLATE(B27759,""en"",""it"")"),"Mostra come tagliare la parte superiore di una zucca e rimuove gli interni.")</f>
        <v>Mostra come tagliare la parte superiore di una zucca e rimuove gli interni.</v>
      </c>
    </row>
    <row r="27760">
      <c r="A27760" s="4" t="s">
        <v>34950</v>
      </c>
      <c r="B27760" s="4" t="s">
        <v>34953</v>
      </c>
      <c r="C27760" s="5" t="str">
        <f>IFERROR(__xludf.DUMMYFUNCTION("GOOGLETRANSLATE(B27760,""en"",""it"")"),"Quindi scolpisce un design nella zucca, creando una novità di Jackolantern.")</f>
        <v>Quindi scolpisce un design nella zucca, creando una novità di Jackolantern.</v>
      </c>
    </row>
    <row r="27761">
      <c r="A27761" s="4" t="s">
        <v>34954</v>
      </c>
      <c r="B27761" s="4" t="s">
        <v>34955</v>
      </c>
      <c r="C27761" s="5" t="str">
        <f>IFERROR(__xludf.DUMMYFUNCTION("GOOGLETRANSLATE(B27761,""en"",""it"")"),"Un gruppo di persone viene mostrato a cavallo su cavalli nel deserto.")</f>
        <v>Un gruppo di persone viene mostrato a cavallo su cavalli nel deserto.</v>
      </c>
    </row>
    <row r="27762">
      <c r="A27762" s="4" t="s">
        <v>34954</v>
      </c>
      <c r="B27762" s="4" t="s">
        <v>34956</v>
      </c>
      <c r="C27762" s="5" t="str">
        <f>IFERROR(__xludf.DUMMYFUNCTION("GOOGLETRANSLATE(B27762,""en"",""it"")"),"Un uomo parla alla telecamera mentre cavalca il cavallo e dà vari colpi della terra.")</f>
        <v>Un uomo parla alla telecamera mentre cavalca il cavallo e dà vari colpi della terra.</v>
      </c>
    </row>
    <row r="27763">
      <c r="A27763" s="4" t="s">
        <v>34954</v>
      </c>
      <c r="B27763" s="6" t="s">
        <v>34957</v>
      </c>
      <c r="C27763" s="5" t="str">
        <f>IFERROR(__xludf.DUMMYFUNCTION("GOOGLETRANSLATE(B27763,""en"",""it"")"),"Mostra le molte altre persone sui cavalli e continua a parlare della sua avventura da vicino alla telecamera.")</f>
        <v>Mostra le molte altre persone sui cavalli e continua a parlare della sua avventura da vicino alla telecamera.</v>
      </c>
    </row>
    <row r="27764">
      <c r="A27764" s="4" t="s">
        <v>34958</v>
      </c>
      <c r="B27764" s="4" t="s">
        <v>34959</v>
      </c>
      <c r="C27764" s="5" t="str">
        <f>IFERROR(__xludf.DUMMYFUNCTION("GOOGLETRANSLATE(B27764,""en"",""it"")"),"Una persona apre una porta e cammina all'interno di una cucina.")</f>
        <v>Una persona apre una porta e cammina all'interno di una cucina.</v>
      </c>
    </row>
    <row r="27765">
      <c r="A27765" s="4" t="s">
        <v>34958</v>
      </c>
      <c r="B27765" s="4" t="s">
        <v>34960</v>
      </c>
      <c r="C27765" s="5" t="str">
        <f>IFERROR(__xludf.DUMMYFUNCTION("GOOGLETRANSLATE(B27765,""en"",""it"")"),"Una donna si siede sul bancone della cucina che si rade le gambe in un lavandino.")</f>
        <v>Una donna si siede sul bancone della cucina che si rade le gambe in un lavandino.</v>
      </c>
    </row>
    <row r="27766">
      <c r="A27766" s="4" t="s">
        <v>34961</v>
      </c>
      <c r="B27766" s="6" t="s">
        <v>34962</v>
      </c>
      <c r="C27766" s="5" t="str">
        <f>IFERROR(__xludf.DUMMYFUNCTION("GOOGLETRANSLATE(B27766,""en"",""it"")"),"Un'introduzione conduce in un gruppo di donne in piedi su un pavimento in legno dietro un'attrezzatura da esercizio.")</f>
        <v>Un'introduzione conduce in un gruppo di donne in piedi su un pavimento in legno dietro un'attrezzatura da esercizio.</v>
      </c>
    </row>
    <row r="27767">
      <c r="A27767" s="4" t="s">
        <v>34961</v>
      </c>
      <c r="B27767" s="6" t="s">
        <v>34963</v>
      </c>
      <c r="C27767" s="5" t="str">
        <f>IFERROR(__xludf.DUMMYFUNCTION("GOOGLETRANSLATE(B27767,""en"",""it"")"),"Le donne iniziano quindi a muoversi avanti e al quarto e su e giù sull'attrezzatura mentre la donna di fronte parla ad alta voce.")</f>
        <v>Le donne iniziano quindi a muoversi avanti e al quarto e su e giù sull'attrezzatura mentre la donna di fronte parla ad alta voce.</v>
      </c>
    </row>
    <row r="27768">
      <c r="A27768" s="4" t="s">
        <v>34964</v>
      </c>
      <c r="B27768" s="4" t="s">
        <v>34965</v>
      </c>
      <c r="C27768" s="5" t="str">
        <f>IFERROR(__xludf.DUMMYFUNCTION("GOOGLETRANSLATE(B27768,""en"",""it"")"),"Un uomo dimostra come preparare un sandwich per insalata di uova.")</f>
        <v>Un uomo dimostra come preparare un sandwich per insalata di uova.</v>
      </c>
    </row>
    <row r="27769">
      <c r="A27769" s="4" t="s">
        <v>34964</v>
      </c>
      <c r="B27769" s="4" t="s">
        <v>34966</v>
      </c>
      <c r="C27769" s="5" t="str">
        <f>IFERROR(__xludf.DUMMYFUNCTION("GOOGLETRANSLATE(B27769,""en"",""it"")"),"Un uomo inizia a parlare con la telecamera in gran parte e poi prende un boccone di un panino.")</f>
        <v>Un uomo inizia a parlare con la telecamera in gran parte e poi prende un boccone di un panino.</v>
      </c>
    </row>
    <row r="27770">
      <c r="A27770" s="4" t="s">
        <v>34964</v>
      </c>
      <c r="B27770" s="4" t="s">
        <v>34967</v>
      </c>
      <c r="C27770" s="5" t="str">
        <f>IFERROR(__xludf.DUMMYFUNCTION("GOOGLETRANSLATE(B27770,""en"",""it"")"),"Viene mostrato un brontolio di materiali per la produzione di sandwich.")</f>
        <v>Viene mostrato un brontolio di materiali per la produzione di sandwich.</v>
      </c>
    </row>
    <row r="27771">
      <c r="A27771" s="4" t="s">
        <v>34964</v>
      </c>
      <c r="B27771" s="4" t="s">
        <v>34968</v>
      </c>
      <c r="C27771" s="5" t="str">
        <f>IFERROR(__xludf.DUMMYFUNCTION("GOOGLETRANSLATE(B27771,""en"",""it"")"),"Le uova vengono bollite in una padella e quindi le uova vengono eseguite sotto acqua fredda.")</f>
        <v>Le uova vengono bollite in una padella e quindi le uova vengono eseguite sotto acqua fredda.</v>
      </c>
    </row>
    <row r="27772">
      <c r="A27772" s="4" t="s">
        <v>34964</v>
      </c>
      <c r="B27772" s="6" t="s">
        <v>34969</v>
      </c>
      <c r="C27772" s="5" t="str">
        <f>IFERROR(__xludf.DUMMYFUNCTION("GOOGLETRANSLATE(B27772,""en"",""it"")"),"Il sedano viene tagliato in pezzi insieme ad altre verdure e quindi le uova vengono mescolate con questo e viene mostrato un sandwich finito.")</f>
        <v>Il sedano viene tagliato in pezzi insieme ad altre verdure e quindi le uova vengono mescolate con questo e viene mostrato un sandwich finito.</v>
      </c>
    </row>
    <row r="27773">
      <c r="A27773" s="4" t="s">
        <v>34970</v>
      </c>
      <c r="B27773" s="4" t="s">
        <v>34971</v>
      </c>
      <c r="C27773" s="5" t="str">
        <f>IFERROR(__xludf.DUMMYFUNCTION("GOOGLETRANSLATE(B27773,""en"",""it"")"),"Un barista parla di come fare un cocktail adeguato.")</f>
        <v>Un barista parla di come fare un cocktail adeguato.</v>
      </c>
    </row>
    <row r="27774">
      <c r="A27774" s="4" t="s">
        <v>34970</v>
      </c>
      <c r="B27774" s="4" t="s">
        <v>34972</v>
      </c>
      <c r="C27774" s="5" t="str">
        <f>IFERROR(__xludf.DUMMYFUNCTION("GOOGLETRANSLATE(B27774,""en"",""it"")"),"Afferra un bicchiere e mette il ghiaccio nel bicchiere.")</f>
        <v>Afferra un bicchiere e mette il ghiaccio nel bicchiere.</v>
      </c>
    </row>
    <row r="27775">
      <c r="A27775" s="4" t="s">
        <v>34970</v>
      </c>
      <c r="B27775" s="4" t="s">
        <v>34973</v>
      </c>
      <c r="C27775" s="5" t="str">
        <f>IFERROR(__xludf.DUMMYFUNCTION("GOOGLETRANSLATE(B27775,""en"",""it"")"),"Quindi mescola vodka e soda insieme nel vetro.")</f>
        <v>Quindi mescola vodka e soda insieme nel vetro.</v>
      </c>
    </row>
    <row r="27776">
      <c r="A27776" s="4" t="s">
        <v>34970</v>
      </c>
      <c r="B27776" s="4" t="s">
        <v>34974</v>
      </c>
      <c r="C27776" s="5" t="str">
        <f>IFERROR(__xludf.DUMMYFUNCTION("GOOGLETRANSLATE(B27776,""en"",""it"")"),"Afferra un limone e lo mette nel vetro per finire.")</f>
        <v>Afferra un limone e lo mette nel vetro per finire.</v>
      </c>
    </row>
    <row r="27777">
      <c r="A27777" s="4" t="s">
        <v>34975</v>
      </c>
      <c r="B27777" s="4" t="s">
        <v>34976</v>
      </c>
      <c r="C27777" s="5" t="str">
        <f>IFERROR(__xludf.DUMMYFUNCTION("GOOGLETRANSLATE(B27777,""en"",""it"")"),"Un primo piano di vari oggetti mostrato in un cerchio di sporco e conduce in una persona con in mano una borsa.")</f>
        <v>Un primo piano di vari oggetti mostrato in un cerchio di sporco e conduce in una persona con in mano una borsa.</v>
      </c>
    </row>
    <row r="27778">
      <c r="A27778" s="4" t="s">
        <v>34975</v>
      </c>
      <c r="B27778" s="4" t="s">
        <v>34977</v>
      </c>
      <c r="C27778" s="5" t="str">
        <f>IFERROR(__xludf.DUMMYFUNCTION("GOOGLETRANSLATE(B27778,""en"",""it"")"),"La persona quindi apre la borsa e punta agli oggetti in sporcizia e accende una corrispondenza.")</f>
        <v>La persona quindi apre la borsa e punta agli oggetti in sporcizia e accende una corrispondenza.</v>
      </c>
    </row>
    <row r="27779">
      <c r="A27779" s="4" t="s">
        <v>34975</v>
      </c>
      <c r="B27779" s="4" t="s">
        <v>34978</v>
      </c>
      <c r="C27779" s="5" t="str">
        <f>IFERROR(__xludf.DUMMYFUNCTION("GOOGLETRANSLATE(B27779,""en"",""it"")"),"Gli oggetti prendono fuoco e la fotocamera ingrandisce gli oggetti che bruciano.")</f>
        <v>Gli oggetti prendono fuoco e la fotocamera ingrandisce gli oggetti che bruciano.</v>
      </c>
    </row>
    <row r="27780">
      <c r="A27780" s="4" t="s">
        <v>34979</v>
      </c>
      <c r="B27780" s="4" t="s">
        <v>34980</v>
      </c>
      <c r="C27780" s="5" t="str">
        <f>IFERROR(__xludf.DUMMYFUNCTION("GOOGLETRANSLATE(B27780,""en"",""it"")"),"Un gruppo di amici cavalcano i tubi attraverso piccole rapide in una giungla tropicale.")</f>
        <v>Un gruppo di amici cavalcano i tubi attraverso piccole rapide in una giungla tropicale.</v>
      </c>
    </row>
    <row r="27781">
      <c r="A27781" s="4" t="s">
        <v>34979</v>
      </c>
      <c r="B27781" s="4" t="s">
        <v>34981</v>
      </c>
      <c r="C27781" s="5" t="str">
        <f>IFERROR(__xludf.DUMMYFUNCTION("GOOGLETRANSLATE(B27781,""en"",""it"")"),"Il gruppo supera i grandi massi che spuntano fuori dall'acqua.")</f>
        <v>Il gruppo supera i grandi massi che spuntano fuori dall'acqua.</v>
      </c>
    </row>
    <row r="27782">
      <c r="A27782" s="4" t="s">
        <v>34982</v>
      </c>
      <c r="B27782" s="4" t="s">
        <v>34983</v>
      </c>
      <c r="C27782" s="5" t="str">
        <f>IFERROR(__xludf.DUMMYFUNCTION("GOOGLETRANSLATE(B27782,""en"",""it"")"),"Un ragazzo è in piedi nell'erba alta di un campo.")</f>
        <v>Un ragazzo è in piedi nell'erba alta di un campo.</v>
      </c>
    </row>
    <row r="27783">
      <c r="A27783" s="4" t="s">
        <v>34982</v>
      </c>
      <c r="B27783" s="4" t="s">
        <v>34984</v>
      </c>
      <c r="C27783" s="5" t="str">
        <f>IFERROR(__xludf.DUMMYFUNCTION("GOOGLETRANSLATE(B27783,""en"",""it"")"),"Si sta aggrappando a un aquilone in aria.")</f>
        <v>Si sta aggrappando a un aquilone in aria.</v>
      </c>
    </row>
    <row r="27784">
      <c r="A27784" s="4" t="s">
        <v>34982</v>
      </c>
      <c r="B27784" s="4" t="s">
        <v>34985</v>
      </c>
      <c r="C27784" s="5" t="str">
        <f>IFERROR(__xludf.DUMMYFUNCTION("GOOGLETRANSLATE(B27784,""en"",""it"")"),"Si sporge molto indietro, essendo droga per la forza del vento.")</f>
        <v>Si sporge molto indietro, essendo droga per la forza del vento.</v>
      </c>
    </row>
    <row r="27785">
      <c r="A27785" s="4" t="s">
        <v>34986</v>
      </c>
      <c r="B27785" s="6" t="s">
        <v>34987</v>
      </c>
      <c r="C27785" s="5" t="str">
        <f>IFERROR(__xludf.DUMMYFUNCTION("GOOGLETRANSLATE(B27785,""en"",""it"")"),"Un uomo è seduto sul divano indossando jeans una camicia e tiene una chitarra in grembo, strimpellando con la mano destra e toccando le corde superiori con la mano sinistra.")</f>
        <v>Un uomo è seduto sul divano indossando jeans una camicia e tiene una chitarra in grembo, strimpellando con la mano destra e toccando le corde superiori con la mano sinistra.</v>
      </c>
    </row>
    <row r="27786">
      <c r="A27786" s="4" t="s">
        <v>34986</v>
      </c>
      <c r="B27786" s="4" t="s">
        <v>34988</v>
      </c>
      <c r="C27786" s="5" t="str">
        <f>IFERROR(__xludf.DUMMYFUNCTION("GOOGLETRANSLATE(B27786,""en"",""it"")"),"L'uomo rallenta e smette di strimpellare e toccare la chitarra.")</f>
        <v>L'uomo rallenta e smette di strimpellare e toccare la chitarra.</v>
      </c>
    </row>
    <row r="27787">
      <c r="A27787" s="4" t="s">
        <v>34986</v>
      </c>
      <c r="B27787" s="6" t="s">
        <v>34989</v>
      </c>
      <c r="C27787" s="5" t="str">
        <f>IFERROR(__xludf.DUMMYFUNCTION("GOOGLETRANSLATE(B27787,""en"",""it"")"),"Viene visualizzato uno schermo colorato e mostra un'immagine del cartone animato di un Pokemon in piedi all'aperto vicino a un albero mentre nevica e le parole rosse leggono ""Pokemon-Pallet-Town"".")</f>
        <v>Viene visualizzato uno schermo colorato e mostra un'immagine del cartone animato di un Pokemon in piedi all'aperto vicino a un albero mentre nevica e le parole rosse leggono "Pokemon-Pallet-Town".</v>
      </c>
    </row>
    <row r="27788">
      <c r="A27788" s="4" t="s">
        <v>34990</v>
      </c>
      <c r="B27788" s="4" t="s">
        <v>34991</v>
      </c>
      <c r="C27788" s="5" t="str">
        <f>IFERROR(__xludf.DUMMYFUNCTION("GOOGLETRANSLATE(B27788,""en"",""it"")"),"Le persone sono in piedi sul retro dei cavalli.")</f>
        <v>Le persone sono in piedi sul retro dei cavalli.</v>
      </c>
    </row>
    <row r="27789">
      <c r="A27789" s="4" t="s">
        <v>34990</v>
      </c>
      <c r="B27789" s="4" t="s">
        <v>34992</v>
      </c>
      <c r="C27789" s="5" t="str">
        <f>IFERROR(__xludf.DUMMYFUNCTION("GOOGLETRANSLATE(B27789,""en"",""it"")"),"Tre ragazze stanno parlando con una macchina fotografica.")</f>
        <v>Tre ragazze stanno parlando con una macchina fotografica.</v>
      </c>
    </row>
    <row r="27790">
      <c r="A27790" s="4" t="s">
        <v>34990</v>
      </c>
      <c r="B27790" s="4" t="s">
        <v>34993</v>
      </c>
      <c r="C27790" s="5" t="str">
        <f>IFERROR(__xludf.DUMMYFUNCTION("GOOGLETRANSLATE(B27790,""en"",""it"")"),"I cavalli camminano attraverso una strada sterrata.")</f>
        <v>I cavalli camminano attraverso una strada sterrata.</v>
      </c>
    </row>
    <row r="27791">
      <c r="A27791" s="4" t="s">
        <v>34994</v>
      </c>
      <c r="B27791" s="4" t="s">
        <v>34995</v>
      </c>
      <c r="C27791" s="5" t="str">
        <f>IFERROR(__xludf.DUMMYFUNCTION("GOOGLETRANSLATE(B27791,""en"",""it"")"),"Viene visto un uomo parlare alla telecamera mentre si tiene su un cane in aereo.")</f>
        <v>Viene visto un uomo parlare alla telecamera mentre si tiene su un cane in aereo.</v>
      </c>
    </row>
    <row r="27792">
      <c r="A27792" s="4" t="s">
        <v>34994</v>
      </c>
      <c r="B27792" s="4" t="s">
        <v>34996</v>
      </c>
      <c r="C27792" s="5" t="str">
        <f>IFERROR(__xludf.DUMMYFUNCTION("GOOGLETRANSLATE(B27792,""en"",""it"")"),"Diverse clip sono mostrate dell'uomo su un piano con il cane e sott'acqua.")</f>
        <v>Diverse clip sono mostrate dell'uomo su un piano con il cane e sott'acqua.</v>
      </c>
    </row>
    <row r="27793">
      <c r="A27793" s="4" t="s">
        <v>34994</v>
      </c>
      <c r="B27793" s="4" t="s">
        <v>34997</v>
      </c>
      <c r="C27793" s="5" t="str">
        <f>IFERROR(__xludf.DUMMYFUNCTION("GOOGLETRANSLATE(B27793,""en"",""it"")"),"L'uomo svolge diverse attività con il suo cane in mano mentre una donna parla alla telecamera.")</f>
        <v>L'uomo svolge diverse attività con il suo cane in mano mentre una donna parla alla telecamera.</v>
      </c>
    </row>
    <row r="27794">
      <c r="A27794" s="4" t="s">
        <v>34998</v>
      </c>
      <c r="B27794" s="6" t="s">
        <v>34999</v>
      </c>
      <c r="C27794" s="5" t="str">
        <f>IFERROR(__xludf.DUMMYFUNCTION("GOOGLETRANSLATE(B27794,""en"",""it"")"),"Una telecamera si muove attorno a un tetto innevato e conduce in un uomo che spinge la neve da un tetto e sul terreno sottostante.")</f>
        <v>Una telecamera si muove attorno a un tetto innevato e conduce in un uomo che spinge la neve da un tetto e sul terreno sottostante.</v>
      </c>
    </row>
    <row r="27795">
      <c r="A27795" s="4" t="s">
        <v>34998</v>
      </c>
      <c r="B27795" s="6" t="s">
        <v>35000</v>
      </c>
      <c r="C27795" s="5" t="str">
        <f>IFERROR(__xludf.DUMMYFUNCTION("GOOGLETRANSLATE(B27795,""en"",""it"")"),"L'uomo continua a parlare con la telecamera mentre spinge la neve e porta a un tetto vuoto.")</f>
        <v>L'uomo continua a parlare con la telecamera mentre spinge la neve e porta a un tetto vuoto.</v>
      </c>
    </row>
    <row r="27796">
      <c r="A27796" s="4" t="s">
        <v>34998</v>
      </c>
      <c r="B27796" s="4" t="s">
        <v>35001</v>
      </c>
      <c r="C27796" s="5" t="str">
        <f>IFERROR(__xludf.DUMMYFUNCTION("GOOGLETRANSLATE(B27796,""en"",""it"")"),"Un altro uomo viene visto spalare dalla neve e termina con le foto degli uomini che lavorano.")</f>
        <v>Un altro uomo viene visto spalare dalla neve e termina con le foto degli uomini che lavorano.</v>
      </c>
    </row>
    <row r="27797">
      <c r="A27797" s="4" t="s">
        <v>35002</v>
      </c>
      <c r="B27797" s="4" t="s">
        <v>35003</v>
      </c>
      <c r="C27797" s="5" t="str">
        <f>IFERROR(__xludf.DUMMYFUNCTION("GOOGLETRANSLATE(B27797,""en"",""it"")"),"Una donna anziana è seduta su una sedia.")</f>
        <v>Una donna anziana è seduta su una sedia.</v>
      </c>
    </row>
    <row r="27798">
      <c r="A27798" s="4" t="s">
        <v>35002</v>
      </c>
      <c r="B27798" s="4" t="s">
        <v>35004</v>
      </c>
      <c r="C27798" s="5" t="str">
        <f>IFERROR(__xludf.DUMMYFUNCTION("GOOGLETRANSLATE(B27798,""en"",""it"")"),"Sta lavorando a maglia con filo rosso.")</f>
        <v>Sta lavorando a maglia con filo rosso.</v>
      </c>
    </row>
    <row r="27799">
      <c r="A27799" s="4" t="s">
        <v>35002</v>
      </c>
      <c r="B27799" s="4" t="s">
        <v>35005</v>
      </c>
      <c r="C27799" s="5" t="str">
        <f>IFERROR(__xludf.DUMMYFUNCTION("GOOGLETRANSLATE(B27799,""en"",""it"")"),"Parla con la persona con la telecamera mentre lavora.")</f>
        <v>Parla con la persona con la telecamera mentre lavora.</v>
      </c>
    </row>
    <row r="27800">
      <c r="A27800" s="4" t="s">
        <v>35006</v>
      </c>
      <c r="B27800" s="6" t="s">
        <v>35007</v>
      </c>
      <c r="C27800" s="5" t="str">
        <f>IFERROR(__xludf.DUMMYFUNCTION("GOOGLETRANSLATE(B27800,""en"",""it"")"),"Una persona viene vista spingere una levigatrice lungo uno sci e conduce in un'altra persona che stringe uno sci e spruzza la cera lungo la parte superiore.")</f>
        <v>Una persona viene vista spingere una levigatrice lungo uno sci e conduce in un'altra persona che stringe uno sci e spruzza la cera lungo la parte superiore.</v>
      </c>
    </row>
    <row r="27801">
      <c r="A27801" s="4" t="s">
        <v>35006</v>
      </c>
      <c r="B27801" s="4" t="s">
        <v>35008</v>
      </c>
      <c r="C27801" s="5" t="str">
        <f>IFERROR(__xludf.DUMMYFUNCTION("GOOGLETRANSLATE(B27801,""en"",""it"")"),"La persona lo asciuga e poi usa una barra di cera sulla levigatrice lungo lo sci.")</f>
        <v>La persona lo asciuga e poi usa una barra di cera sulla levigatrice lungo lo sci.</v>
      </c>
    </row>
    <row r="27802">
      <c r="A27802" s="4" t="s">
        <v>35009</v>
      </c>
      <c r="B27802" s="6" t="s">
        <v>35010</v>
      </c>
      <c r="C27802" s="5" t="str">
        <f>IFERROR(__xludf.DUMMYFUNCTION("GOOGLETRANSLATE(B27802,""en"",""it"")"),"Una donna ospita un segmento di notizie che conduce a clip di persone che lavorano per le strade e protestano.")</f>
        <v>Una donna ospita un segmento di notizie che conduce a clip di persone che lavorano per le strade e protestano.</v>
      </c>
    </row>
    <row r="27803">
      <c r="A27803" s="4" t="s">
        <v>35009</v>
      </c>
      <c r="B27803" s="6" t="s">
        <v>35011</v>
      </c>
      <c r="C27803" s="5" t="str">
        <f>IFERROR(__xludf.DUMMYFUNCTION("GOOGLETRANSLATE(B27803,""en"",""it"")"),"Diverse donne sono intervistate dalla telecamera e mostrano più clip di persone che lavorano e protestano.")</f>
        <v>Diverse donne sono intervistate dalla telecamera e mostrano più clip di persone che lavorano e protestano.</v>
      </c>
    </row>
    <row r="27804">
      <c r="A27804" s="4" t="s">
        <v>35012</v>
      </c>
      <c r="B27804" s="4" t="s">
        <v>35013</v>
      </c>
      <c r="C27804" s="5" t="str">
        <f>IFERROR(__xludf.DUMMYFUNCTION("GOOGLETRANSLATE(B27804,""en"",""it"")"),"Vediamo un uomo che spara pool su un tavolo blu.")</f>
        <v>Vediamo un uomo che spara pool su un tavolo blu.</v>
      </c>
    </row>
    <row r="27805">
      <c r="A27805" s="4" t="s">
        <v>35012</v>
      </c>
      <c r="B27805" s="4" t="s">
        <v>35014</v>
      </c>
      <c r="C27805" s="5" t="str">
        <f>IFERROR(__xludf.DUMMYFUNCTION("GOOGLETRANSLATE(B27805,""en"",""it"")"),"L'uomo finisce e sorride mentre il suo amico batte le mani.")</f>
        <v>L'uomo finisce e sorride mentre il suo amico batte le mani.</v>
      </c>
    </row>
    <row r="27806">
      <c r="A27806" s="4" t="s">
        <v>35012</v>
      </c>
      <c r="B27806" s="4" t="s">
        <v>2486</v>
      </c>
      <c r="C27806" s="5" t="str">
        <f>IFERROR(__xludf.DUMMYFUNCTION("GOOGLETRANSLATE(B27806,""en"",""it"")"),"Vediamo lo schermo di chiusura.")</f>
        <v>Vediamo lo schermo di chiusura.</v>
      </c>
    </row>
    <row r="27807">
      <c r="A27807" s="4" t="s">
        <v>35015</v>
      </c>
      <c r="B27807" s="6" t="s">
        <v>35016</v>
      </c>
      <c r="C27807" s="5" t="str">
        <f>IFERROR(__xludf.DUMMYFUNCTION("GOOGLETRANSLATE(B27807,""en"",""it"")"),"Viene mostrata un'immagine senior di una femmina e quindi uno schermo lampeggia che indicano che i suoi luci stanno per essere mostrati.")</f>
        <v>Viene mostrata un'immagine senior di una femmina e quindi uno schermo lampeggia che indicano che i suoi luci stanno per essere mostrati.</v>
      </c>
    </row>
    <row r="27808">
      <c r="A27808" s="4" t="s">
        <v>35015</v>
      </c>
      <c r="B27808" s="6" t="s">
        <v>35017</v>
      </c>
      <c r="C27808" s="5" t="str">
        <f>IFERROR(__xludf.DUMMYFUNCTION("GOOGLETRANSLATE(B27808,""en"",""it"")"),"Diversi video di lei vengono quindi mostrati che si scontrano contro le ragazze di altre squadre che difendono il suo territorio e spogliano la palla dagli altri avversari.")</f>
        <v>Diversi video di lei vengono quindi mostrati che si scontrano contro le ragazze di altre squadre che difendono il suo territorio e spogliano la palla dagli altri avversari.</v>
      </c>
    </row>
    <row r="27809">
      <c r="A27809" s="4" t="s">
        <v>35018</v>
      </c>
      <c r="B27809" s="4" t="s">
        <v>35019</v>
      </c>
      <c r="C27809" s="5" t="str">
        <f>IFERROR(__xludf.DUMMYFUNCTION("GOOGLETRANSLATE(B27809,""en"",""it"")"),"L'uomo è in piedi in una stanza con il gioco del dardo che si aggrappa al muro.")</f>
        <v>L'uomo è in piedi in una stanza con il gioco del dardo che si aggrappa al muro.</v>
      </c>
    </row>
    <row r="27810">
      <c r="A27810" s="4" t="s">
        <v>35018</v>
      </c>
      <c r="B27810" s="6" t="s">
        <v>35020</v>
      </c>
      <c r="C27810" s="5" t="str">
        <f>IFERROR(__xludf.DUMMYFUNCTION("GOOGLETRANSLATE(B27810,""en"",""it"")"),"Ha preso uno dei dardi dal tabellone e continua a parlare, si avvicina alla telecamera e mostra il dardo acuto.")</f>
        <v>Ha preso uno dei dardi dal tabellone e continua a parlare, si avvicina alla telecamera e mostra il dardo acuto.</v>
      </c>
    </row>
    <row r="27811">
      <c r="A27811" s="4" t="s">
        <v>35018</v>
      </c>
      <c r="B27811" s="4" t="s">
        <v>35021</v>
      </c>
      <c r="C27811" s="5" t="str">
        <f>IFERROR(__xludf.DUMMYFUNCTION("GOOGLETRANSLATE(B27811,""en"",""it"")"),"Lancia il dardo sul tabellone e si appoggia al muro.")</f>
        <v>Lancia il dardo sul tabellone e si appoggia al muro.</v>
      </c>
    </row>
    <row r="27812">
      <c r="A27812" s="4" t="s">
        <v>35018</v>
      </c>
      <c r="B27812" s="4" t="s">
        <v>35022</v>
      </c>
      <c r="C27812" s="5" t="str">
        <f>IFERROR(__xludf.DUMMYFUNCTION("GOOGLETRANSLATE(B27812,""en"",""it"")"),"L'uomo apri le braccia e oscilla da un lato all'altro, inginocchiato sul pavimento.")</f>
        <v>L'uomo apri le braccia e oscilla da un lato all'altro, inginocchiato sul pavimento.</v>
      </c>
    </row>
    <row r="27813">
      <c r="A27813" s="4" t="s">
        <v>35018</v>
      </c>
      <c r="B27813" s="4" t="s">
        <v>35023</v>
      </c>
      <c r="C27813" s="5" t="str">
        <f>IFERROR(__xludf.DUMMYFUNCTION("GOOGLETRANSLATE(B27813,""en"",""it"")"),"Prende altri dardi nel tabellone e con la testa giù inizia a urlare alla telecamera.")</f>
        <v>Prende altri dardi nel tabellone e con la testa giù inizia a urlare alla telecamera.</v>
      </c>
    </row>
    <row r="27814">
      <c r="A27814" s="4" t="s">
        <v>35024</v>
      </c>
      <c r="B27814" s="6" t="s">
        <v>35025</v>
      </c>
      <c r="C27814" s="5" t="str">
        <f>IFERROR(__xludf.DUMMYFUNCTION("GOOGLETRANSLATE(B27814,""en"",""it"")"),"Una ginnasta è vista in piedi e alza le braccia che portano all'arrampicata su una trave e eseguendo una routine di ginnastica sul raggio.")</f>
        <v>Una ginnasta è vista in piedi e alza le braccia che portano all'arrampicata su una trave e eseguendo una routine di ginnastica sul raggio.</v>
      </c>
    </row>
    <row r="27815">
      <c r="A27815" s="4" t="s">
        <v>35024</v>
      </c>
      <c r="B27815" s="6" t="s">
        <v>35026</v>
      </c>
      <c r="C27815" s="5" t="str">
        <f>IFERROR(__xludf.DUMMYFUNCTION("GOOGLETRANSLATE(B27815,""en"",""it"")"),"La ragazza esegue diversi salti e trucchi che termina con il suo salto in un tappetino e tiene le braccia.")</f>
        <v>La ragazza esegue diversi salti e trucchi che termina con il suo salto in un tappetino e tiene le braccia.</v>
      </c>
    </row>
    <row r="27816">
      <c r="A27816" s="4" t="s">
        <v>35027</v>
      </c>
      <c r="B27816" s="4" t="s">
        <v>35028</v>
      </c>
      <c r="C27816" s="5" t="str">
        <f>IFERROR(__xludf.DUMMYFUNCTION("GOOGLETRANSLATE(B27816,""en"",""it"")"),"Una persona è vista seduta dietro una serie di tamburi che li suonano in modo coerente.")</f>
        <v>Una persona è vista seduta dietro una serie di tamburi che li suonano in modo coerente.</v>
      </c>
    </row>
    <row r="27817">
      <c r="A27817" s="4" t="s">
        <v>35027</v>
      </c>
      <c r="B27817" s="4" t="s">
        <v>35029</v>
      </c>
      <c r="C27817" s="5" t="str">
        <f>IFERROR(__xludf.DUMMYFUNCTION("GOOGLETRANSLATE(B27817,""en"",""it"")"),"Continua a suonare la batteria mentre la telecamera si ingrandisce le mani.")</f>
        <v>Continua a suonare la batteria mentre la telecamera si ingrandisce le mani.</v>
      </c>
    </row>
    <row r="27818">
      <c r="A27818" s="4" t="s">
        <v>35030</v>
      </c>
      <c r="B27818" s="4" t="s">
        <v>35031</v>
      </c>
      <c r="C27818" s="5" t="str">
        <f>IFERROR(__xludf.DUMMYFUNCTION("GOOGLETRANSLATE(B27818,""en"",""it"")"),"Ci sono molti trofei in mostra che puoi vincere per fare un buon lavoro.")</f>
        <v>Ci sono molti trofei in mostra che puoi vincere per fare un buon lavoro.</v>
      </c>
    </row>
    <row r="27819">
      <c r="A27819" s="4" t="s">
        <v>35030</v>
      </c>
      <c r="B27819" s="4" t="s">
        <v>35032</v>
      </c>
      <c r="C27819" s="5" t="str">
        <f>IFERROR(__xludf.DUMMYFUNCTION("GOOGLETRANSLATE(B27819,""en"",""it"")"),"Gli uomini in bici stanno aspettando di iniziare una gara.")</f>
        <v>Gli uomini in bici stanno aspettando di iniziare una gara.</v>
      </c>
    </row>
    <row r="27820">
      <c r="A27820" s="4" t="s">
        <v>35030</v>
      </c>
      <c r="B27820" s="4" t="s">
        <v>35033</v>
      </c>
      <c r="C27820" s="5" t="str">
        <f>IFERROR(__xludf.DUMMYFUNCTION("GOOGLETRANSLATE(B27820,""en"",""it"")"),"Due uomini hanno colpito le nocche insieme prima dell'inizio della gara.")</f>
        <v>Due uomini hanno colpito le nocche insieme prima dell'inizio della gara.</v>
      </c>
    </row>
    <row r="27821">
      <c r="A27821" s="4" t="s">
        <v>35030</v>
      </c>
      <c r="B27821" s="4" t="s">
        <v>35034</v>
      </c>
      <c r="C27821" s="5" t="str">
        <f>IFERROR(__xludf.DUMMYFUNCTION("GOOGLETRANSLATE(B27821,""en"",""it"")"),"Il pubblico è incoraggiante e i ciclisti stanno andando molto velocemente cercando di vincere.")</f>
        <v>Il pubblico è incoraggiante e i ciclisti stanno andando molto velocemente cercando di vincere.</v>
      </c>
    </row>
    <row r="27822">
      <c r="A27822" s="4" t="s">
        <v>35035</v>
      </c>
      <c r="B27822" s="6" t="s">
        <v>35036</v>
      </c>
      <c r="C27822" s="5" t="str">
        <f>IFERROR(__xludf.DUMMYFUNCTION("GOOGLETRANSLATE(B27822,""en"",""it"")"),"Viene visto un uomo fare karate davanti a un altro con un coltello e conduce in un colpo di un uomo che bowling e un messaggio sul suo viso.")</f>
        <v>Viene visto un uomo fare karate davanti a un altro con un coltello e conduce in un colpo di un uomo che bowling e un messaggio sul suo viso.</v>
      </c>
    </row>
    <row r="27823">
      <c r="A27823" s="4" t="s">
        <v>35035</v>
      </c>
      <c r="B27823" s="6" t="s">
        <v>35037</v>
      </c>
      <c r="C27823" s="5" t="str">
        <f>IFERROR(__xludf.DUMMYFUNCTION("GOOGLETRANSLATE(B27823,""en"",""it"")"),"L'uomo celebra mentre le persone guardano e clipart vengono mostrate, nonché altri scatti dell'uomo che celebra e bowling.")</f>
        <v>L'uomo celebra mentre le persone guardano e clipart vengono mostrate, nonché altri scatti dell'uomo che celebra e bowling.</v>
      </c>
    </row>
    <row r="27824">
      <c r="A27824" s="4" t="s">
        <v>35035</v>
      </c>
      <c r="B27824" s="4" t="s">
        <v>35038</v>
      </c>
      <c r="C27824" s="5" t="str">
        <f>IFERROR(__xludf.DUMMYFUNCTION("GOOGLETRANSLATE(B27824,""en"",""it"")"),"L'uomo detiene un trofeo alla fine e urla alla telecamera e al pubblico.")</f>
        <v>L'uomo detiene un trofeo alla fine e urla alla telecamera e al pubblico.</v>
      </c>
    </row>
    <row r="27825">
      <c r="A27825" s="4" t="s">
        <v>35035</v>
      </c>
      <c r="B27825" s="4" t="s">
        <v>35039</v>
      </c>
      <c r="C27825" s="5" t="str">
        <f>IFERROR(__xludf.DUMMYFUNCTION("GOOGLETRANSLATE(B27825,""en"",""it"")"),"La fotocamera quindi ingrandisce una foto su un poster.")</f>
        <v>La fotocamera quindi ingrandisce una foto su un poster.</v>
      </c>
    </row>
    <row r="27826">
      <c r="A27826" s="4" t="s">
        <v>35040</v>
      </c>
      <c r="B27826" s="4" t="s">
        <v>35041</v>
      </c>
      <c r="C27826" s="5" t="str">
        <f>IFERROR(__xludf.DUMMYFUNCTION("GOOGLETRANSLATE(B27826,""en"",""it"")"),"Una donna viene vista inginocchiarsi prima di un grande peso e parlare continuamente alla telecamera.")</f>
        <v>Una donna viene vista inginocchiarsi prima di un grande peso e parlare continuamente alla telecamera.</v>
      </c>
    </row>
    <row r="27827">
      <c r="A27827" s="4" t="s">
        <v>35040</v>
      </c>
      <c r="B27827" s="6" t="s">
        <v>35042</v>
      </c>
      <c r="C27827" s="5" t="str">
        <f>IFERROR(__xludf.DUMMYFUNCTION("GOOGLETRANSLATE(B27827,""en"",""it"")"),"Muove il suo corpo attorno al peso e punta intorno per dimostrare come mantenere correttamente il peso.")</f>
        <v>Muove il suo corpo attorno al peso e punta intorno per dimostrare come mantenere correttamente il peso.</v>
      </c>
    </row>
    <row r="27828">
      <c r="A27828" s="4" t="s">
        <v>35043</v>
      </c>
      <c r="B27828" s="4" t="s">
        <v>7459</v>
      </c>
      <c r="C27828" s="5" t="str">
        <f>IFERROR(__xludf.DUMMYFUNCTION("GOOGLETRANSLATE(B27828,""en"",""it"")"),"Una persona sta sciare lungo una collina di neve.")</f>
        <v>Una persona sta sciare lungo una collina di neve.</v>
      </c>
    </row>
    <row r="27829">
      <c r="A27829" s="4" t="s">
        <v>35043</v>
      </c>
      <c r="B27829" s="4" t="s">
        <v>35044</v>
      </c>
      <c r="C27829" s="5" t="str">
        <f>IFERROR(__xludf.DUMMYFUNCTION("GOOGLETRANSLATE(B27829,""en"",""it"")"),"Passano un gruppo di snowboard di persone.")</f>
        <v>Passano un gruppo di snowboard di persone.</v>
      </c>
    </row>
    <row r="27830">
      <c r="A27830" s="4" t="s">
        <v>35043</v>
      </c>
      <c r="B27830" s="4" t="s">
        <v>35045</v>
      </c>
      <c r="C27830" s="5" t="str">
        <f>IFERROR(__xludf.DUMMYFUNCTION("GOOGLETRANSLATE(B27830,""en"",""it"")"),"Arrivano sul fondo della collina e si fermano davanti a un piccolo edificio.")</f>
        <v>Arrivano sul fondo della collina e si fermano davanti a un piccolo edificio.</v>
      </c>
    </row>
    <row r="27831">
      <c r="A27831" s="4" t="s">
        <v>35046</v>
      </c>
      <c r="B27831" s="4" t="s">
        <v>1487</v>
      </c>
      <c r="C27831" s="5" t="str">
        <f>IFERROR(__xludf.DUMMYFUNCTION("GOOGLETRANSLATE(B27831,""en"",""it"")"),"Vediamo una schermata del titolo di apertura.")</f>
        <v>Vediamo una schermata del titolo di apertura.</v>
      </c>
    </row>
    <row r="27832">
      <c r="A27832" s="4" t="s">
        <v>35046</v>
      </c>
      <c r="B27832" s="4" t="s">
        <v>35047</v>
      </c>
      <c r="C27832" s="5" t="str">
        <f>IFERROR(__xludf.DUMMYFUNCTION("GOOGLETRANSLATE(B27832,""en"",""it"")"),"Vediamo 5 uomini che camminano lungo i lati della strada fianco a fianco.")</f>
        <v>Vediamo 5 uomini che camminano lungo i lati della strada fianco a fianco.</v>
      </c>
    </row>
    <row r="27833">
      <c r="A27833" s="4" t="s">
        <v>35046</v>
      </c>
      <c r="B27833" s="4" t="s">
        <v>35048</v>
      </c>
      <c r="C27833" s="5" t="str">
        <f>IFERROR(__xludf.DUMMYFUNCTION("GOOGLETRANSLATE(B27833,""en"",""it"")"),"Un uomo guarda gli uomini.")</f>
        <v>Un uomo guarda gli uomini.</v>
      </c>
    </row>
    <row r="27834">
      <c r="A27834" s="4" t="s">
        <v>35046</v>
      </c>
      <c r="B27834" s="4" t="s">
        <v>35049</v>
      </c>
      <c r="C27834" s="5" t="str">
        <f>IFERROR(__xludf.DUMMYFUNCTION("GOOGLETRANSLATE(B27834,""en"",""it"")"),"Una signora guarda gli uomini.")</f>
        <v>Una signora guarda gli uomini.</v>
      </c>
    </row>
    <row r="27835">
      <c r="A27835" s="4" t="s">
        <v>35046</v>
      </c>
      <c r="B27835" s="4" t="s">
        <v>35050</v>
      </c>
      <c r="C27835" s="5" t="str">
        <f>IFERROR(__xludf.DUMMYFUNCTION("GOOGLETRANSLATE(B27835,""en"",""it"")"),"Due uomini si girano e si guardano.")</f>
        <v>Due uomini si girano e si guardano.</v>
      </c>
    </row>
    <row r="27836">
      <c r="A27836" s="4" t="s">
        <v>35046</v>
      </c>
      <c r="B27836" s="4" t="s">
        <v>35051</v>
      </c>
      <c r="C27836" s="5" t="str">
        <f>IFERROR(__xludf.DUMMYFUNCTION("GOOGLETRANSLATE(B27836,""en"",""it"")"),"Un uomo acquista drink mentre tutti li fissano.")</f>
        <v>Un uomo acquista drink mentre tutti li fissano.</v>
      </c>
    </row>
    <row r="27837">
      <c r="A27837" s="4" t="s">
        <v>35046</v>
      </c>
      <c r="B27837" s="4" t="s">
        <v>35052</v>
      </c>
      <c r="C27837" s="5" t="str">
        <f>IFERROR(__xludf.DUMMYFUNCTION("GOOGLETRANSLATE(B27837,""en"",""it"")"),"I cinque uomini bevono le loro birre in un sorso.")</f>
        <v>I cinque uomini bevono le loro birre in un sorso.</v>
      </c>
    </row>
    <row r="27838">
      <c r="A27838" s="4" t="s">
        <v>35046</v>
      </c>
      <c r="B27838" s="4" t="s">
        <v>35053</v>
      </c>
      <c r="C27838" s="5" t="str">
        <f>IFERROR(__xludf.DUMMYFUNCTION("GOOGLETRANSLATE(B27838,""en"",""it"")"),"Gli uomini lasciano il bar ubriaco.")</f>
        <v>Gli uomini lasciano il bar ubriaco.</v>
      </c>
    </row>
    <row r="27839">
      <c r="A27839" s="4" t="s">
        <v>35046</v>
      </c>
      <c r="B27839" s="4" t="s">
        <v>35054</v>
      </c>
      <c r="C27839" s="5" t="str">
        <f>IFERROR(__xludf.DUMMYFUNCTION("GOOGLETRANSLATE(B27839,""en"",""it"")"),"Vediamo uno schermo di chiusura grigio.")</f>
        <v>Vediamo uno schermo di chiusura grigio.</v>
      </c>
    </row>
    <row r="27840">
      <c r="A27840" s="4" t="s">
        <v>35055</v>
      </c>
      <c r="B27840" s="4" t="s">
        <v>35056</v>
      </c>
      <c r="C27840" s="5" t="str">
        <f>IFERROR(__xludf.DUMMYFUNCTION("GOOGLETRANSLATE(B27840,""en"",""it"")"),"La donna che indossa abiti neri è sdraiata sul pavimento facendo addominali.")</f>
        <v>La donna che indossa abiti neri è sdraiata sul pavimento facendo addominali.</v>
      </c>
    </row>
    <row r="27841">
      <c r="A27841" s="4" t="s">
        <v>35055</v>
      </c>
      <c r="B27841" s="4" t="s">
        <v>35057</v>
      </c>
      <c r="C27841" s="5" t="str">
        <f>IFERROR(__xludf.DUMMYFUNCTION("GOOGLETRANSLATE(B27841,""en"",""it"")"),"La donna che fa addominali nel pavimento ha il suo fet legato agli elastici.")</f>
        <v>La donna che fa addominali nel pavimento ha il suo fet legato agli elastici.</v>
      </c>
    </row>
    <row r="27842">
      <c r="A27842" s="4" t="s">
        <v>35055</v>
      </c>
      <c r="B27842" s="4" t="s">
        <v>35058</v>
      </c>
      <c r="C27842" s="5" t="str">
        <f>IFERROR(__xludf.DUMMYFUNCTION("GOOGLETRANSLATE(B27842,""en"",""it"")"),"La donna sta facendo esercizio in una palestra coperta.")</f>
        <v>La donna sta facendo esercizio in una palestra coperta.</v>
      </c>
    </row>
    <row r="27843">
      <c r="A27843" s="4" t="s">
        <v>35059</v>
      </c>
      <c r="B27843" s="4" t="s">
        <v>35060</v>
      </c>
      <c r="C27843" s="5" t="str">
        <f>IFERROR(__xludf.DUMMYFUNCTION("GOOGLETRANSLATE(B27843,""en"",""it"")"),"Un uomo viene visto eseguire una routine di danza su un palco mentre un'orchestra suona dietro di lui.")</f>
        <v>Un uomo viene visto eseguire una routine di danza su un palco mentre un'orchestra suona dietro di lui.</v>
      </c>
    </row>
    <row r="27844">
      <c r="A27844" s="4" t="s">
        <v>35059</v>
      </c>
      <c r="B27844" s="6" t="s">
        <v>35061</v>
      </c>
      <c r="C27844" s="5" t="str">
        <f>IFERROR(__xludf.DUMMYFUNCTION("GOOGLETRANSLATE(B27844,""en"",""it"")"),"Una donna poi entra e balla con l'uomo mentre gira il cappello e gira sul palco.")</f>
        <v>Una donna poi entra e balla con l'uomo mentre gira il cappello e gira sul palco.</v>
      </c>
    </row>
    <row r="27845">
      <c r="A27845" s="4" t="s">
        <v>35059</v>
      </c>
      <c r="B27845" s="4" t="s">
        <v>35062</v>
      </c>
      <c r="C27845" s="5" t="str">
        <f>IFERROR(__xludf.DUMMYFUNCTION("GOOGLETRANSLATE(B27845,""en"",""it"")"),"Le due estremità fanno un gesto divertente e poi camminano dal palco di lato.")</f>
        <v>Le due estremità fanno un gesto divertente e poi camminano dal palco di lato.</v>
      </c>
    </row>
    <row r="27846">
      <c r="A27846" s="4" t="s">
        <v>35063</v>
      </c>
      <c r="B27846" s="4" t="s">
        <v>35064</v>
      </c>
      <c r="C27846" s="5" t="str">
        <f>IFERROR(__xludf.DUMMYFUNCTION("GOOGLETRANSLATE(B27846,""en"",""it"")"),"Un uomo sta parlando accanto a diverse bici da esercizio.")</f>
        <v>Un uomo sta parlando accanto a diverse bici da esercizio.</v>
      </c>
    </row>
    <row r="27847">
      <c r="A27847" s="4" t="s">
        <v>35063</v>
      </c>
      <c r="B27847" s="4" t="s">
        <v>35065</v>
      </c>
      <c r="C27847" s="5" t="str">
        <f>IFERROR(__xludf.DUMMYFUNCTION("GOOGLETRANSLATE(B27847,""en"",""it"")"),"Comincia a allenarsi su una delle bici.")</f>
        <v>Comincia a allenarsi su una delle bici.</v>
      </c>
    </row>
    <row r="27848">
      <c r="A27848" s="4" t="s">
        <v>35063</v>
      </c>
      <c r="B27848" s="4" t="s">
        <v>35066</v>
      </c>
      <c r="C27848" s="5" t="str">
        <f>IFERROR(__xludf.DUMMYFUNCTION("GOOGLETRANSLATE(B27848,""en"",""it"")"),"Le persone si stanno allenando al buio.")</f>
        <v>Le persone si stanno allenando al buio.</v>
      </c>
    </row>
    <row r="27849">
      <c r="A27849" s="4" t="s">
        <v>35067</v>
      </c>
      <c r="B27849" s="6" t="s">
        <v>35068</v>
      </c>
      <c r="C27849" s="5" t="str">
        <f>IFERROR(__xludf.DUMMYFUNCTION("GOOGLETRANSLATE(B27849,""en"",""it"")"),"Un gruppo di persone che gioca Polo su cavalli su un'erba coperta, recintata in campo circondato da curiosi e spettatori.")</f>
        <v>Un gruppo di persone che gioca Polo su cavalli su un'erba coperta, recintata in campo circondato da curiosi e spettatori.</v>
      </c>
    </row>
    <row r="27850">
      <c r="A27850" s="4" t="s">
        <v>35067</v>
      </c>
      <c r="B27850" s="6" t="s">
        <v>35069</v>
      </c>
      <c r="C27850" s="5" t="str">
        <f>IFERROR(__xludf.DUMMYFUNCTION("GOOGLETRANSLATE(B27850,""en"",""it"")"),"Un uomo su un cavallo cammina lungo il centro di una fila di persone a cavallo mentre tiene in mano un lungo palo di mazza.")</f>
        <v>Un uomo su un cavallo cammina lungo il centro di una fila di persone a cavallo mentre tiene in mano un lungo palo di mazza.</v>
      </c>
    </row>
    <row r="27851">
      <c r="A27851" s="4" t="s">
        <v>35067</v>
      </c>
      <c r="B27851" s="4" t="s">
        <v>35070</v>
      </c>
      <c r="C27851" s="5" t="str">
        <f>IFERROR(__xludf.DUMMYFUNCTION("GOOGLETRANSLATE(B27851,""en"",""it"")"),"Un gruppo di spettatori in piedi e seduti sull'erba guarda dal lato del campo.")</f>
        <v>Un gruppo di spettatori in piedi e seduti sull'erba guarda dal lato del campo.</v>
      </c>
    </row>
    <row r="27852">
      <c r="A27852" s="4" t="s">
        <v>35067</v>
      </c>
      <c r="B27852" s="6" t="s">
        <v>35071</v>
      </c>
      <c r="C27852" s="5" t="str">
        <f>IFERROR(__xludf.DUMMYFUNCTION("GOOGLETRANSLATE(B27852,""en"",""it"")"),"Il gioco di Polo inizia e le persone sui cavalli iniziano a far oscillare i loro pali di mazza attraverso il terreno.")</f>
        <v>Il gioco di Polo inizia e le persone sui cavalli iniziano a far oscillare i loro pali di mazza attraverso il terreno.</v>
      </c>
    </row>
    <row r="27853">
      <c r="A27853" s="4" t="s">
        <v>35072</v>
      </c>
      <c r="B27853" s="6" t="s">
        <v>35073</v>
      </c>
      <c r="C27853" s="5" t="str">
        <f>IFERROR(__xludf.DUMMYFUNCTION("GOOGLETRANSLATE(B27853,""en"",""it"")"),"Viene visto un uomo parlare alla telecamera mentre si muove le braccia e altri nuotano in una piscina dietro di lui.")</f>
        <v>Viene visto un uomo parlare alla telecamera mentre si muove le braccia e altri nuotano in una piscina dietro di lui.</v>
      </c>
    </row>
    <row r="27854">
      <c r="A27854" s="4" t="s">
        <v>35072</v>
      </c>
      <c r="B27854" s="4" t="s">
        <v>35074</v>
      </c>
      <c r="C27854" s="5" t="str">
        <f>IFERROR(__xludf.DUMMYFUNCTION("GOOGLETRANSLATE(B27854,""en"",""it"")"),"L'uomo continua a parlare con la telecamera e una persona salta giù dalla tavola da immersione dietro di lui.")</f>
        <v>L'uomo continua a parlare con la telecamera e una persona salta giù dalla tavola da immersione dietro di lui.</v>
      </c>
    </row>
    <row r="27855">
      <c r="A27855" s="4" t="s">
        <v>35075</v>
      </c>
      <c r="B27855" s="4" t="s">
        <v>35076</v>
      </c>
      <c r="C27855" s="5" t="str">
        <f>IFERROR(__xludf.DUMMYFUNCTION("GOOGLETRANSLATE(B27855,""en"",""it"")"),"Una ginnasta monta un raggio alto in palestra.")</f>
        <v>Una ginnasta monta un raggio alto in palestra.</v>
      </c>
    </row>
    <row r="27856">
      <c r="A27856" s="4" t="s">
        <v>35075</v>
      </c>
      <c r="B27856" s="4" t="s">
        <v>35077</v>
      </c>
      <c r="C27856" s="5" t="str">
        <f>IFERROR(__xludf.DUMMYFUNCTION("GOOGLETRANSLATE(B27856,""en"",""it"")"),"Si lancia e fa diverse sorgenti.")</f>
        <v>Si lancia e fa diverse sorgenti.</v>
      </c>
    </row>
    <row r="27857">
      <c r="A27857" s="4" t="s">
        <v>35075</v>
      </c>
      <c r="B27857" s="4" t="s">
        <v>35078</v>
      </c>
      <c r="C27857" s="5" t="str">
        <f>IFERROR(__xludf.DUMMYFUNCTION("GOOGLETRANSLATE(B27857,""en"",""it"")"),"Quindi smonta, vomitando le braccia mentre lo fa.")</f>
        <v>Quindi smonta, vomitando le braccia mentre lo fa.</v>
      </c>
    </row>
    <row r="27858">
      <c r="A27858" s="4" t="s">
        <v>35079</v>
      </c>
      <c r="B27858" s="6" t="s">
        <v>35080</v>
      </c>
      <c r="C27858" s="5" t="str">
        <f>IFERROR(__xludf.DUMMYFUNCTION("GOOGLETRANSLATE(B27858,""en"",""it"")"),"Viene mostrata una grande macchina arancione che si muove lungo una strada con un artiglio come il braccio e il rasoio che tagliano l'erba.")</f>
        <v>Viene mostrata una grande macchina arancione che si muove lungo una strada con un artiglio come il braccio e il rasoio che tagliano l'erba.</v>
      </c>
    </row>
    <row r="27859">
      <c r="A27859" s="4" t="s">
        <v>35079</v>
      </c>
      <c r="B27859" s="4" t="s">
        <v>35081</v>
      </c>
      <c r="C27859" s="5" t="str">
        <f>IFERROR(__xludf.DUMMYFUNCTION("GOOGLETRANSLATE(B27859,""en"",""it"")"),"Il taglio continua e la macchina viene utilizzata in diverse aree come le autostrade.")</f>
        <v>Il taglio continua e la macchina viene utilizzata in diverse aree come le autostrade.</v>
      </c>
    </row>
    <row r="27860">
      <c r="A27860" s="4" t="s">
        <v>35082</v>
      </c>
      <c r="B27860" s="4" t="s">
        <v>35083</v>
      </c>
      <c r="C27860" s="5" t="str">
        <f>IFERROR(__xludf.DUMMYFUNCTION("GOOGLETRANSLATE(B27860,""en"",""it"")"),"Una ragazza viene vista eseguire una routine di danza del ventre su un piccolo palcoscenico.")</f>
        <v>Una ragazza viene vista eseguire una routine di danza del ventre su un piccolo palcoscenico.</v>
      </c>
    </row>
    <row r="27861">
      <c r="A27861" s="4" t="s">
        <v>35082</v>
      </c>
      <c r="B27861" s="6" t="s">
        <v>35084</v>
      </c>
      <c r="C27861" s="5" t="str">
        <f>IFERROR(__xludf.DUMMYFUNCTION("GOOGLETRANSLATE(B27861,""en"",""it"")"),"Continua a ballare e esibirsi sul palco e termina la sua danza con una posa, inchinarsi e camminare.")</f>
        <v>Continua a ballare e esibirsi sul palco e termina la sua danza con una posa, inchinarsi e camminare.</v>
      </c>
    </row>
    <row r="27862">
      <c r="A27862" s="4" t="s">
        <v>35085</v>
      </c>
      <c r="B27862" s="6" t="s">
        <v>35086</v>
      </c>
      <c r="C27862" s="5" t="str">
        <f>IFERROR(__xludf.DUMMYFUNCTION("GOOGLETRANSLATE(B27862,""en"",""it"")"),"Vengono mostrate varie clip di ingredienti che vengono disposti in ciotole seguite da una persona che li mescola tutti insieme.")</f>
        <v>Vengono mostrate varie clip di ingredienti che vengono disposti in ciotole seguite da una persona che li mescola tutti insieme.</v>
      </c>
    </row>
    <row r="27863">
      <c r="A27863" s="4" t="s">
        <v>35085</v>
      </c>
      <c r="B27863" s="4" t="s">
        <v>35087</v>
      </c>
      <c r="C27863" s="5" t="str">
        <f>IFERROR(__xludf.DUMMYFUNCTION("GOOGLETRANSLATE(B27863,""en"",""it"")"),"La persona li rotola in palline e le mette su un piatto, infine li infila nel forno.")</f>
        <v>La persona li rotola in palline e le mette su un piatto, infine li infila nel forno.</v>
      </c>
    </row>
    <row r="27864">
      <c r="A27864" s="4" t="s">
        <v>35085</v>
      </c>
      <c r="B27864" s="4" t="s">
        <v>35088</v>
      </c>
      <c r="C27864" s="5" t="str">
        <f>IFERROR(__xludf.DUMMYFUNCTION("GOOGLETRANSLATE(B27864,""en"",""it"")"),"Quindi estrae i biscotti fatti e dà alla telecamera un pollice in su.")</f>
        <v>Quindi estrae i biscotti fatti e dà alla telecamera un pollice in su.</v>
      </c>
    </row>
    <row r="27865">
      <c r="A27865" s="4" t="s">
        <v>35089</v>
      </c>
      <c r="B27865" s="4" t="s">
        <v>35090</v>
      </c>
      <c r="C27865" s="5" t="str">
        <f>IFERROR(__xludf.DUMMYFUNCTION("GOOGLETRANSLATE(B27865,""en"",""it"")"),"Le persone guidano macchine per paraurti e si schiantano l'una contro l'altra.")</f>
        <v>Le persone guidano macchine per paraurti e si schiantano l'una contro l'altra.</v>
      </c>
    </row>
    <row r="27866">
      <c r="A27866" s="4" t="s">
        <v>35089</v>
      </c>
      <c r="B27866" s="4" t="s">
        <v>35091</v>
      </c>
      <c r="C27866" s="5" t="str">
        <f>IFERROR(__xludf.DUMMYFUNCTION("GOOGLETRANSLATE(B27866,""en"",""it"")"),"Un'auto verde si schianta contro un'auto d'oro.")</f>
        <v>Un'auto verde si schianta contro un'auto d'oro.</v>
      </c>
    </row>
    <row r="27867">
      <c r="A27867" s="4" t="s">
        <v>35089</v>
      </c>
      <c r="B27867" s="4" t="s">
        <v>35092</v>
      </c>
      <c r="C27867" s="5" t="str">
        <f>IFERROR(__xludf.DUMMYFUNCTION("GOOGLETRANSLATE(B27867,""en"",""it"")"),"Un'auto blu si schianta contro un'auto d'oro.")</f>
        <v>Un'auto blu si schianta contro un'auto d'oro.</v>
      </c>
    </row>
    <row r="27868">
      <c r="A27868" s="4" t="s">
        <v>35093</v>
      </c>
      <c r="B27868" s="6" t="s">
        <v>35094</v>
      </c>
      <c r="C27868" s="5" t="str">
        <f>IFERROR(__xludf.DUMMYFUNCTION("GOOGLETRANSLATE(B27868,""en"",""it"")"),"Una fotocamera si panoramica attorno a un grande magazzino e mostra clip di materiali e uomini che lavorano.")</f>
        <v>Una fotocamera si panoramica attorno a un grande magazzino e mostra clip di materiali e uomini che lavorano.</v>
      </c>
    </row>
    <row r="27869">
      <c r="A27869" s="4" t="s">
        <v>35093</v>
      </c>
      <c r="B27869" s="4" t="s">
        <v>35095</v>
      </c>
      <c r="C27869" s="5" t="str">
        <f>IFERROR(__xludf.DUMMYFUNCTION("GOOGLETRANSLATE(B27869,""en"",""it"")"),"I macchinari vengono mostrati che spingono materiali mentre le persone guardano sui lati.")</f>
        <v>I macchinari vengono mostrati che spingono materiali mentre le persone guardano sui lati.</v>
      </c>
    </row>
    <row r="27870">
      <c r="A27870" s="4" t="s">
        <v>35093</v>
      </c>
      <c r="B27870" s="4" t="s">
        <v>35096</v>
      </c>
      <c r="C27870" s="5" t="str">
        <f>IFERROR(__xludf.DUMMYFUNCTION("GOOGLETRANSLATE(B27870,""en"",""it"")"),"Altri prodotti per le case vengono espulsi e viene mostrato un macchinario portarli via.")</f>
        <v>Altri prodotti per le case vengono espulsi e viene mostrato un macchinario portarli via.</v>
      </c>
    </row>
    <row r="27871">
      <c r="A27871" s="4" t="s">
        <v>35097</v>
      </c>
      <c r="B27871" s="4" t="s">
        <v>35098</v>
      </c>
      <c r="C27871" s="5" t="str">
        <f>IFERROR(__xludf.DUMMYFUNCTION("GOOGLETRANSLATE(B27871,""en"",""it"")"),"Si vede un primo piano di una diapositiva seguita da un adulto e da un bambino che cavalcava la diapositiva.")</f>
        <v>Si vede un primo piano di una diapositiva seguita da un adulto e da un bambino che cavalcava la diapositiva.</v>
      </c>
    </row>
    <row r="27872">
      <c r="A27872" s="4" t="s">
        <v>35097</v>
      </c>
      <c r="B27872" s="4" t="s">
        <v>35099</v>
      </c>
      <c r="C27872" s="5" t="str">
        <f>IFERROR(__xludf.DUMMYFUNCTION("GOOGLETRANSLATE(B27872,""en"",""it"")"),"La donna ride con il bambino e la prende in fondo.")</f>
        <v>La donna ride con il bambino e la prende in fondo.</v>
      </c>
    </row>
    <row r="27873">
      <c r="A27873" s="4" t="s">
        <v>35100</v>
      </c>
      <c r="B27873" s="4" t="s">
        <v>35101</v>
      </c>
      <c r="C27873" s="5" t="str">
        <f>IFERROR(__xludf.DUMMYFUNCTION("GOOGLETRANSLATE(B27873,""en"",""it"")"),"Una donna è vista in piedi in un cerchio grande e si piega in avanti.")</f>
        <v>Una donna è vista in piedi in un cerchio grande e si piega in avanti.</v>
      </c>
    </row>
    <row r="27874">
      <c r="A27874" s="4" t="s">
        <v>35100</v>
      </c>
      <c r="B27874" s="4" t="s">
        <v>35102</v>
      </c>
      <c r="C27874" s="5" t="str">
        <f>IFERROR(__xludf.DUMMYFUNCTION("GOOGLETRANSLATE(B27874,""en"",""it"")"),"La donna poi si gira e getta un oggetto in lontananza.")</f>
        <v>La donna poi si gira e getta un oggetto in lontananza.</v>
      </c>
    </row>
    <row r="27875">
      <c r="A27875" s="4" t="s">
        <v>35100</v>
      </c>
      <c r="B27875" s="4" t="s">
        <v>35103</v>
      </c>
      <c r="C27875" s="5" t="str">
        <f>IFERROR(__xludf.DUMMYFUNCTION("GOOGLETRANSLATE(B27875,""en"",""it"")"),"La donna lo fa più volte dopo.")</f>
        <v>La donna lo fa più volte dopo.</v>
      </c>
    </row>
    <row r="27876">
      <c r="A27876" s="4" t="s">
        <v>35104</v>
      </c>
      <c r="B27876" s="4" t="s">
        <v>35105</v>
      </c>
      <c r="C27876" s="5" t="str">
        <f>IFERROR(__xludf.DUMMYFUNCTION("GOOGLETRANSLATE(B27876,""en"",""it"")"),"Una linea di batteria si forma in un evento all'aperto.")</f>
        <v>Una linea di batteria si forma in un evento all'aperto.</v>
      </c>
    </row>
    <row r="27877">
      <c r="A27877" s="4" t="s">
        <v>35104</v>
      </c>
      <c r="B27877" s="6" t="s">
        <v>35106</v>
      </c>
      <c r="C27877" s="5" t="str">
        <f>IFERROR(__xludf.DUMMYFUNCTION("GOOGLETRANSLATE(B27877,""en"",""it"")"),"Iniziano la loro routine, ogni sezione si muove nel proprio set prima di riunirsi e diffondersi di nuovo.")</f>
        <v>Iniziano la loro routine, ogni sezione si muove nel proprio set prima di riunirsi e diffondersi di nuovo.</v>
      </c>
    </row>
    <row r="27878">
      <c r="A27878" s="4" t="s">
        <v>35104</v>
      </c>
      <c r="B27878" s="4" t="s">
        <v>35107</v>
      </c>
      <c r="C27878" s="5" t="str">
        <f>IFERROR(__xludf.DUMMYFUNCTION("GOOGLETRANSLATE(B27878,""en"",""it"")"),"Si formano in due file e finiscono la canzone.")</f>
        <v>Si formano in due file e finiscono la canzone.</v>
      </c>
    </row>
    <row r="27879">
      <c r="A27879" s="4" t="s">
        <v>35108</v>
      </c>
      <c r="B27879" s="4" t="s">
        <v>1487</v>
      </c>
      <c r="C27879" s="5" t="str">
        <f>IFERROR(__xludf.DUMMYFUNCTION("GOOGLETRANSLATE(B27879,""en"",""it"")"),"Vediamo una schermata del titolo di apertura.")</f>
        <v>Vediamo una schermata del titolo di apertura.</v>
      </c>
    </row>
    <row r="27880">
      <c r="A27880" s="4" t="s">
        <v>35108</v>
      </c>
      <c r="B27880" s="4" t="s">
        <v>35109</v>
      </c>
      <c r="C27880" s="5" t="str">
        <f>IFERROR(__xludf.DUMMYFUNCTION("GOOGLETRANSLATE(B27880,""en"",""it"")"),"Una persona sale le scale in una stanza e vede la birra versata da un barilotto e la gente che parla.")</f>
        <v>Una persona sale le scale in una stanza e vede la birra versata da un barilotto e la gente che parla.</v>
      </c>
    </row>
    <row r="27881">
      <c r="A27881" s="4" t="s">
        <v>35108</v>
      </c>
      <c r="B27881" s="4" t="s">
        <v>35110</v>
      </c>
      <c r="C27881" s="5" t="str">
        <f>IFERROR(__xludf.DUMMYFUNCTION("GOOGLETRANSLATE(B27881,""en"",""it"")"),"Le persone stanno e giocano Beer Pong mentre altri guardano.")</f>
        <v>Le persone stanno e giocano Beer Pong mentre altri guardano.</v>
      </c>
    </row>
    <row r="27882">
      <c r="A27882" s="4" t="s">
        <v>35108</v>
      </c>
      <c r="B27882" s="4" t="s">
        <v>35111</v>
      </c>
      <c r="C27882" s="5" t="str">
        <f>IFERROR(__xludf.DUMMYFUNCTION("GOOGLETRANSLATE(B27882,""en"",""it"")"),"Un uomo cerca di far saltare una palla da una tazza.")</f>
        <v>Un uomo cerca di far saltare una palla da una tazza.</v>
      </c>
    </row>
    <row r="27883">
      <c r="A27883" s="4" t="s">
        <v>35108</v>
      </c>
      <c r="B27883" s="4" t="s">
        <v>35112</v>
      </c>
      <c r="C27883" s="5" t="str">
        <f>IFERROR(__xludf.DUMMYFUNCTION("GOOGLETRANSLATE(B27883,""en"",""it"")"),"Un uomo colpisce la palla lontano dalla tazza.")</f>
        <v>Un uomo colpisce la palla lontano dalla tazza.</v>
      </c>
    </row>
    <row r="27884">
      <c r="A27884" s="4" t="s">
        <v>35108</v>
      </c>
      <c r="B27884" s="4" t="s">
        <v>35113</v>
      </c>
      <c r="C27884" s="5" t="str">
        <f>IFERROR(__xludf.DUMMYFUNCTION("GOOGLETRANSLATE(B27884,""en"",""it"")"),"La squadra di sinistra salta e applausi.")</f>
        <v>La squadra di sinistra salta e applausi.</v>
      </c>
    </row>
    <row r="27885">
      <c r="A27885" s="4" t="s">
        <v>35108</v>
      </c>
      <c r="B27885" s="4" t="s">
        <v>35114</v>
      </c>
      <c r="C27885" s="5" t="str">
        <f>IFERROR(__xludf.DUMMYFUNCTION("GOOGLETRANSLATE(B27885,""en"",""it"")"),"Vediamo che le persone si affacciano da vicino e piatti di cibo su un tavolo.")</f>
        <v>Vediamo che le persone si affacciano da vicino e piatti di cibo su un tavolo.</v>
      </c>
    </row>
    <row r="27886">
      <c r="A27886" s="4" t="s">
        <v>35108</v>
      </c>
      <c r="B27886" s="4" t="s">
        <v>35115</v>
      </c>
      <c r="C27886" s="5" t="str">
        <f>IFERROR(__xludf.DUMMYFUNCTION("GOOGLETRANSLATE(B27886,""en"",""it"")"),"Vediamo un segno e una fine illuminati.")</f>
        <v>Vediamo un segno e una fine illuminati.</v>
      </c>
    </row>
    <row r="27887">
      <c r="A27887" s="4" t="s">
        <v>35116</v>
      </c>
      <c r="B27887" s="4" t="s">
        <v>35117</v>
      </c>
      <c r="C27887" s="5" t="str">
        <f>IFERROR(__xludf.DUMMYFUNCTION("GOOGLETRANSLATE(B27887,""en"",""it"")"),"Un uomo è visto in piedi in un quartiere su un paio di palafitte.")</f>
        <v>Un uomo è visto in piedi in un quartiere su un paio di palafitte.</v>
      </c>
    </row>
    <row r="27888">
      <c r="A27888" s="4" t="s">
        <v>35116</v>
      </c>
      <c r="B27888" s="4" t="s">
        <v>35118</v>
      </c>
      <c r="C27888" s="5" t="str">
        <f>IFERROR(__xludf.DUMMYFUNCTION("GOOGLETRANSLATE(B27888,""en"",""it"")"),"L'uomo sale per strada e si gira verso la schiena.")</f>
        <v>L'uomo sale per strada e si gira verso la schiena.</v>
      </c>
    </row>
    <row r="27889">
      <c r="A27889" s="4" t="s">
        <v>35116</v>
      </c>
      <c r="B27889" s="4" t="s">
        <v>35119</v>
      </c>
      <c r="C27889" s="5" t="str">
        <f>IFERROR(__xludf.DUMMYFUNCTION("GOOGLETRANSLATE(B27889,""en"",""it"")"),"Quindi inizia a saltare lungo la strada e guardando indietro alla telecamera.")</f>
        <v>Quindi inizia a saltare lungo la strada e guardando indietro alla telecamera.</v>
      </c>
    </row>
    <row r="27890">
      <c r="A27890" s="4" t="s">
        <v>35120</v>
      </c>
      <c r="B27890" s="4" t="s">
        <v>35121</v>
      </c>
      <c r="C27890" s="5" t="str">
        <f>IFERROR(__xludf.DUMMYFUNCTION("GOOGLETRANSLATE(B27890,""en"",""it"")"),"Un uomo salta a una tavola da immersione all'indietro in una piscina.")</f>
        <v>Un uomo salta a una tavola da immersione all'indietro in una piscina.</v>
      </c>
    </row>
    <row r="27891">
      <c r="A27891" s="4" t="s">
        <v>35120</v>
      </c>
      <c r="B27891" s="4" t="s">
        <v>35122</v>
      </c>
      <c r="C27891" s="5" t="str">
        <f>IFERROR(__xludf.DUMMYFUNCTION("GOOGLETRANSLATE(B27891,""en"",""it"")"),"C'è una grande schizzo e le superfici dell'uomo sorridono.")</f>
        <v>C'è una grande schizzo e le superfici dell'uomo sorridono.</v>
      </c>
    </row>
    <row r="27892">
      <c r="A27892" s="4" t="s">
        <v>35123</v>
      </c>
      <c r="B27892" s="4" t="s">
        <v>35124</v>
      </c>
      <c r="C27892" s="5" t="str">
        <f>IFERROR(__xludf.DUMMYFUNCTION("GOOGLETRANSLATE(B27892,""en"",""it"")"),"I bambini mettono fuori il deserto per il loro familiare.")</f>
        <v>I bambini mettono fuori il deserto per il loro familiare.</v>
      </c>
    </row>
    <row r="27893">
      <c r="A27893" s="4" t="s">
        <v>35123</v>
      </c>
      <c r="B27893" s="4" t="s">
        <v>35125</v>
      </c>
      <c r="C27893" s="5" t="str">
        <f>IFERROR(__xludf.DUMMYFUNCTION("GOOGLETRANSLATE(B27893,""en"",""it"")"),"Alla famiglia piace mangiare insieme il deserto.")</f>
        <v>Alla famiglia piace mangiare insieme il deserto.</v>
      </c>
    </row>
    <row r="27894">
      <c r="A27894" s="4" t="s">
        <v>35123</v>
      </c>
      <c r="B27894" s="4" t="s">
        <v>35126</v>
      </c>
      <c r="C27894" s="5" t="str">
        <f>IFERROR(__xludf.DUMMYFUNCTION("GOOGLETRANSLATE(B27894,""en"",""it"")"),"Le persone nel ristorante ridono dell'uomo e si chiede cosa stanno facendo.")</f>
        <v>Le persone nel ristorante ridono dell'uomo e si chiede cosa stanno facendo.</v>
      </c>
    </row>
    <row r="27895">
      <c r="A27895" s="4" t="s">
        <v>35123</v>
      </c>
      <c r="B27895" s="4" t="s">
        <v>35127</v>
      </c>
      <c r="C27895" s="5" t="str">
        <f>IFERROR(__xludf.DUMMYFUNCTION("GOOGLETRANSLATE(B27895,""en"",""it"")"),"L'uomo si alza e si allontana nell'altra stanza.")</f>
        <v>L'uomo si alza e si allontana nell'altra stanza.</v>
      </c>
    </row>
    <row r="27896">
      <c r="A27896" s="4" t="s">
        <v>35128</v>
      </c>
      <c r="B27896" s="4" t="s">
        <v>35129</v>
      </c>
      <c r="C27896" s="5" t="str">
        <f>IFERROR(__xludf.DUMMYFUNCTION("GOOGLETRANSLATE(B27896,""en"",""it"")"),"Un uomo è in piedi nel suo cortile.")</f>
        <v>Un uomo è in piedi nel suo cortile.</v>
      </c>
    </row>
    <row r="27897">
      <c r="A27897" s="4" t="s">
        <v>35128</v>
      </c>
      <c r="B27897" s="4" t="s">
        <v>35130</v>
      </c>
      <c r="C27897" s="5" t="str">
        <f>IFERROR(__xludf.DUMMYFUNCTION("GOOGLETRANSLATE(B27897,""en"",""it"")"),"Sta ridendo mentre mette il lato di un capannone.")</f>
        <v>Sta ridendo mentre mette il lato di un capannone.</v>
      </c>
    </row>
    <row r="27898">
      <c r="A27898" s="4" t="s">
        <v>35128</v>
      </c>
      <c r="B27898" s="4" t="s">
        <v>35131</v>
      </c>
      <c r="C27898" s="5" t="str">
        <f>IFERROR(__xludf.DUMMYFUNCTION("GOOGLETRANSLATE(B27898,""en"",""it"")"),"Usa uno spruzzatore per applicare la vernice rossa.")</f>
        <v>Usa uno spruzzatore per applicare la vernice rossa.</v>
      </c>
    </row>
    <row r="27899">
      <c r="A27899" s="4" t="s">
        <v>35132</v>
      </c>
      <c r="B27899" s="4" t="s">
        <v>35133</v>
      </c>
      <c r="C27899" s="5" t="str">
        <f>IFERROR(__xludf.DUMMYFUNCTION("GOOGLETRANSLATE(B27899,""en"",""it"")"),"Vediamo un uomo su una tavola da immersione in aria.")</f>
        <v>Vediamo un uomo su una tavola da immersione in aria.</v>
      </c>
    </row>
    <row r="27900">
      <c r="A27900" s="4" t="s">
        <v>35132</v>
      </c>
      <c r="B27900" s="4" t="s">
        <v>35134</v>
      </c>
      <c r="C27900" s="5" t="str">
        <f>IFERROR(__xludf.DUMMYFUNCTION("GOOGLETRANSLATE(B27900,""en"",""it"")"),"L'uomo fa un verticale e cade dalla verticale nell'acqua.")</f>
        <v>L'uomo fa un verticale e cade dalla verticale nell'acqua.</v>
      </c>
    </row>
    <row r="27901">
      <c r="A27901" s="4" t="s">
        <v>35132</v>
      </c>
      <c r="B27901" s="4" t="s">
        <v>35135</v>
      </c>
      <c r="C27901" s="5" t="str">
        <f>IFERROR(__xludf.DUMMYFUNCTION("GOOGLETRANSLATE(B27901,""en"",""it"")"),"L'uomo successivo corre e si tuffa mentre si lancia nell'acqua.")</f>
        <v>L'uomo successivo corre e si tuffa mentre si lancia nell'acqua.</v>
      </c>
    </row>
    <row r="27902">
      <c r="A27902" s="4" t="s">
        <v>35132</v>
      </c>
      <c r="B27902" s="4" t="s">
        <v>35136</v>
      </c>
      <c r="C27902" s="5" t="str">
        <f>IFERROR(__xludf.DUMMYFUNCTION("GOOGLETRANSLATE(B27902,""en"",""it"")"),"L'uomo finale fa un tuffo più tradizionale.")</f>
        <v>L'uomo finale fa un tuffo più tradizionale.</v>
      </c>
    </row>
    <row r="27903">
      <c r="A27903" s="4" t="s">
        <v>35137</v>
      </c>
      <c r="B27903" s="6" t="s">
        <v>35138</v>
      </c>
      <c r="C27903" s="5" t="str">
        <f>IFERROR(__xludf.DUMMYFUNCTION("GOOGLETRANSLATE(B27903,""en"",""it"")"),"Una persona mostra come deformare un dono come un professionista e fare ornamenti e nastri fantasiosi sui regali.")</f>
        <v>Una persona mostra come deformare un dono come un professionista e fare ornamenti e nastri fantasiosi sui regali.</v>
      </c>
    </row>
    <row r="27904">
      <c r="A27904" s="4" t="s">
        <v>35137</v>
      </c>
      <c r="B27904" s="4" t="s">
        <v>35139</v>
      </c>
      <c r="C27904" s="5" t="str">
        <f>IFERROR(__xludf.DUMMYFUNCTION("GOOGLETRANSLATE(B27904,""en"",""it"")"),"La donna organizza un cesto regalo e mostra un mucchio di bei regali.")</f>
        <v>La donna organizza un cesto regalo e mostra un mucchio di bei regali.</v>
      </c>
    </row>
    <row r="27905">
      <c r="A27905" s="4" t="s">
        <v>35137</v>
      </c>
      <c r="B27905" s="4" t="s">
        <v>35140</v>
      </c>
      <c r="C27905" s="5" t="str">
        <f>IFERROR(__xludf.DUMMYFUNCTION("GOOGLETRANSLATE(B27905,""en"",""it"")"),"Quindi, la donna avvolge regali con forme e ornamenti diversi.")</f>
        <v>Quindi, la donna avvolge regali con forme e ornamenti diversi.</v>
      </c>
    </row>
    <row r="27906">
      <c r="A27906" s="4" t="s">
        <v>35141</v>
      </c>
      <c r="B27906" s="4" t="s">
        <v>35142</v>
      </c>
      <c r="C27906" s="5" t="str">
        <f>IFERROR(__xludf.DUMMYFUNCTION("GOOGLETRANSLATE(B27906,""en"",""it"")"),"Una signora si inginocchia in canoa mentre gira su un lago.")</f>
        <v>Una signora si inginocchia in canoa mentre gira su un lago.</v>
      </c>
    </row>
    <row r="27907">
      <c r="A27907" s="4" t="s">
        <v>35141</v>
      </c>
      <c r="B27907" s="4" t="s">
        <v>35143</v>
      </c>
      <c r="C27907" s="5" t="str">
        <f>IFERROR(__xludf.DUMMYFUNCTION("GOOGLETRANSLATE(B27907,""en"",""it"")"),"Una signora tenta di stare su un piede nella barca e cade nel lago.")</f>
        <v>Una signora tenta di stare su un piede nella barca e cade nel lago.</v>
      </c>
    </row>
    <row r="27908">
      <c r="A27908" s="4" t="s">
        <v>35141</v>
      </c>
      <c r="B27908" s="4" t="s">
        <v>35144</v>
      </c>
      <c r="C27908" s="5" t="str">
        <f>IFERROR(__xludf.DUMMYFUNCTION("GOOGLETRANSLATE(B27908,""en"",""it"")"),"Una signora ha un piede in acqua e uno in barca e inizia a fare flessioni sulla barca.")</f>
        <v>Una signora ha un piede in acqua e uno in barca e inizia a fare flessioni sulla barca.</v>
      </c>
    </row>
    <row r="27909">
      <c r="A27909" s="4" t="s">
        <v>35141</v>
      </c>
      <c r="B27909" s="4" t="s">
        <v>35145</v>
      </c>
      <c r="C27909" s="5" t="str">
        <f>IFERROR(__xludf.DUMMYFUNCTION("GOOGLETRANSLATE(B27909,""en"",""it"")"),"La signora finisce e mostra il suo muscolo alla telecamera.")</f>
        <v>La signora finisce e mostra il suo muscolo alla telecamera.</v>
      </c>
    </row>
    <row r="27910">
      <c r="A27910" s="4" t="s">
        <v>35141</v>
      </c>
      <c r="B27910" s="4" t="s">
        <v>35146</v>
      </c>
      <c r="C27910" s="5" t="str">
        <f>IFERROR(__xludf.DUMMYFUNCTION("GOOGLETRANSLATE(B27910,""en"",""it"")"),"Vediamo un emblema sullo schermo.")</f>
        <v>Vediamo un emblema sullo schermo.</v>
      </c>
    </row>
    <row r="27911">
      <c r="A27911" s="4" t="s">
        <v>35147</v>
      </c>
      <c r="B27911" s="6" t="s">
        <v>35148</v>
      </c>
      <c r="C27911" s="5" t="str">
        <f>IFERROR(__xludf.DUMMYFUNCTION("GOOGLETRANSLATE(B27911,""en"",""it"")"),"Un bambino che indossa un casco si arrampica sulle barre delle scimmie in un parco giochi con un bambino sotto di lei.")</f>
        <v>Un bambino che indossa un casco si arrampica sulle barre delle scimmie in un parco giochi con un bambino sotto di lei.</v>
      </c>
    </row>
    <row r="27912">
      <c r="A27912" s="4" t="s">
        <v>35147</v>
      </c>
      <c r="B27912" s="4" t="s">
        <v>35149</v>
      </c>
      <c r="C27912" s="5" t="str">
        <f>IFERROR(__xludf.DUMMYFUNCTION("GOOGLETRANSLATE(B27912,""en"",""it"")"),"Una persona che cavalca una bici gira intorno alla ragazza e lei si arrampica fino all'ultimo bar.")</f>
        <v>Una persona che cavalca una bici gira intorno alla ragazza e lei si arrampica fino all'ultimo bar.</v>
      </c>
    </row>
    <row r="27913">
      <c r="A27913" s="4" t="s">
        <v>35150</v>
      </c>
      <c r="B27913" s="4" t="s">
        <v>35151</v>
      </c>
      <c r="C27913" s="5" t="str">
        <f>IFERROR(__xludf.DUMMYFUNCTION("GOOGLETRANSLATE(B27913,""en"",""it"")"),"Un uomo in cortometraggio rosso sta versando una bottiglia su un po 'di legno.")</f>
        <v>Un uomo in cortometraggio rosso sta versando una bottiglia su un po 'di legno.</v>
      </c>
    </row>
    <row r="27914">
      <c r="A27914" s="4" t="s">
        <v>35150</v>
      </c>
      <c r="B27914" s="4" t="s">
        <v>35152</v>
      </c>
      <c r="C27914" s="5" t="str">
        <f>IFERROR(__xludf.DUMMYFUNCTION("GOOGLETRANSLATE(B27914,""en"",""it"")"),"L'uomo lancia un po 'di carta sopra il legno.")</f>
        <v>L'uomo lancia un po 'di carta sopra il legno.</v>
      </c>
    </row>
    <row r="27915">
      <c r="A27915" s="4" t="s">
        <v>35150</v>
      </c>
      <c r="B27915" s="4" t="s">
        <v>35153</v>
      </c>
      <c r="C27915" s="5" t="str">
        <f>IFERROR(__xludf.DUMMYFUNCTION("GOOGLETRANSLATE(B27915,""en"",""it"")"),"L'uomo lancia corrispondenze alla pila di legno.")</f>
        <v>L'uomo lancia corrispondenze alla pila di legno.</v>
      </c>
    </row>
    <row r="27916">
      <c r="A27916" s="4" t="s">
        <v>35150</v>
      </c>
      <c r="B27916" s="4" t="s">
        <v>35154</v>
      </c>
      <c r="C27916" s="5" t="str">
        <f>IFERROR(__xludf.DUMMYFUNCTION("GOOGLETRANSLATE(B27916,""en"",""it"")"),"Un fuoco inizia a bruciare.")</f>
        <v>Un fuoco inizia a bruciare.</v>
      </c>
    </row>
    <row r="27917">
      <c r="A27917" s="4" t="s">
        <v>35155</v>
      </c>
      <c r="B27917" s="6" t="s">
        <v>35156</v>
      </c>
      <c r="C27917" s="5" t="str">
        <f>IFERROR(__xludf.DUMMYFUNCTION("GOOGLETRANSLATE(B27917,""en"",""it"")"),"Una telecamera si panoramica attorno a una grande piscina interna e mostra un uomo che salta da una tavola da immersione in acqua.")</f>
        <v>Una telecamera si panoramica attorno a una grande piscina interna e mostra un uomo che salta da una tavola da immersione in acqua.</v>
      </c>
    </row>
    <row r="27918">
      <c r="A27918" s="4" t="s">
        <v>35155</v>
      </c>
      <c r="B27918" s="4" t="s">
        <v>35157</v>
      </c>
      <c r="C27918" s="5" t="str">
        <f>IFERROR(__xludf.DUMMYFUNCTION("GOOGLETRANSLATE(B27918,""en"",""it"")"),"Diverse persone vengono mostrate riscaldamenti e seguite da molti saltare in piscina.")</f>
        <v>Diverse persone vengono mostrate riscaldamenti e seguite da molti saltare in piscina.</v>
      </c>
    </row>
    <row r="27919">
      <c r="A27919" s="4" t="s">
        <v>35155</v>
      </c>
      <c r="B27919" s="6" t="s">
        <v>35158</v>
      </c>
      <c r="C27919" s="5" t="str">
        <f>IFERROR(__xludf.DUMMYFUNCTION("GOOGLETRANSLATE(B27919,""en"",""it"")"),"Un uomo li istruisce su come atterrare correttamente nell'acqua seguiti da diverse persone che saltano una alla volta in piscina, incluso l'uomo della telecamera.")</f>
        <v>Un uomo li istruisce su come atterrare correttamente nell'acqua seguiti da diverse persone che saltano una alla volta in piscina, incluso l'uomo della telecamera.</v>
      </c>
    </row>
    <row r="27920">
      <c r="A27920" s="4" t="s">
        <v>35159</v>
      </c>
      <c r="B27920" s="4" t="s">
        <v>35160</v>
      </c>
      <c r="C27920" s="5" t="str">
        <f>IFERROR(__xludf.DUMMYFUNCTION("GOOGLETRANSLATE(B27920,""en"",""it"")"),"Due sumos si prepara a lottare su un anello mentre un giudice si trova nel mezzo di loro.")</f>
        <v>Due sumos si prepara a lottare su un anello mentre un giudice si trova nel mezzo di loro.</v>
      </c>
    </row>
    <row r="27921">
      <c r="A27921" s="4" t="s">
        <v>35159</v>
      </c>
      <c r="B27921" s="4" t="s">
        <v>35161</v>
      </c>
      <c r="C27921" s="5" t="str">
        <f>IFERROR(__xludf.DUMMYFUNCTION("GOOGLETRANSLATE(B27921,""en"",""it"")"),"Quindi il sumos lotta e il sottile sumo getta il sumo grasso sul pavimento.")</f>
        <v>Quindi il sumos lotta e il sottile sumo getta il sumo grasso sul pavimento.</v>
      </c>
    </row>
    <row r="27922">
      <c r="A27922" s="4" t="s">
        <v>35159</v>
      </c>
      <c r="B27922" s="4" t="s">
        <v>35162</v>
      </c>
      <c r="C27922" s="5" t="str">
        <f>IFERROR(__xludf.DUMMYFUNCTION("GOOGLETRANSLATE(B27922,""en"",""it"")"),"Dopo, il sumo grasso si alza e ha lasciato l'anello.")</f>
        <v>Dopo, il sumo grasso si alza e ha lasciato l'anello.</v>
      </c>
    </row>
    <row r="27923">
      <c r="A27923" s="4" t="s">
        <v>35159</v>
      </c>
      <c r="B27923" s="4" t="s">
        <v>35163</v>
      </c>
      <c r="C27923" s="5" t="str">
        <f>IFERROR(__xludf.DUMMYFUNCTION("GOOGLETRANSLATE(B27923,""en"",""it"")"),"Il corvo applaude, poi gli uomini scoprono l'anello.")</f>
        <v>Il corvo applaude, poi gli uomini scoprono l'anello.</v>
      </c>
    </row>
    <row r="27924">
      <c r="A27924" s="4" t="s">
        <v>35164</v>
      </c>
      <c r="B27924" s="6" t="s">
        <v>35165</v>
      </c>
      <c r="C27924" s="5" t="str">
        <f>IFERROR(__xludf.DUMMYFUNCTION("GOOGLETRANSLATE(B27924,""en"",""it"")"),"Viene visto un uomo parlare con la telecamera con in mano un bastone da hockey e conduce in lui istruendo altri giocatori.")</f>
        <v>Viene visto un uomo parlare con la telecamera con in mano un bastone da hockey e conduce in lui istruendo altri giocatori.</v>
      </c>
    </row>
    <row r="27925">
      <c r="A27925" s="4" t="s">
        <v>35164</v>
      </c>
      <c r="B27925" s="6" t="s">
        <v>35166</v>
      </c>
      <c r="C27925" s="5" t="str">
        <f>IFERROR(__xludf.DUMMYFUNCTION("GOOGLETRANSLATE(B27925,""en"",""it"")"),"L'uomo continua a giocare l'uno intorno all'altro mentre l'uomo urla a loro e gli altri continuano a suonare.")</f>
        <v>L'uomo continua a giocare l'uno intorno all'altro mentre l'uomo urla a loro e gli altri continuano a suonare.</v>
      </c>
    </row>
    <row r="27926">
      <c r="A27926" s="4" t="s">
        <v>35167</v>
      </c>
      <c r="B27926" s="6" t="s">
        <v>35168</v>
      </c>
      <c r="C27926" s="5" t="str">
        <f>IFERROR(__xludf.DUMMYFUNCTION("GOOGLETRANSLATE(B27926,""en"",""it"")"),"Un piccolo gruppo di uomini è visto in piedi in un campo con molte persone sedute e guardando sui lati.")</f>
        <v>Un piccolo gruppo di uomini è visto in piedi in un campo con molte persone sedute e guardando sui lati.</v>
      </c>
    </row>
    <row r="27927">
      <c r="A27927" s="4" t="s">
        <v>35167</v>
      </c>
      <c r="B27927" s="6" t="s">
        <v>35169</v>
      </c>
      <c r="C27927" s="5" t="str">
        <f>IFERROR(__xludf.DUMMYFUNCTION("GOOGLETRANSLATE(B27927,""en"",""it"")"),"Una persona corre giù con una volta a palo e la getta in lontananza mentre la stessa clip viene mostrata di nuovo al rallentatore e un'altra è dopo.")</f>
        <v>Una persona corre giù con una volta a palo e la getta in lontananza mentre la stessa clip viene mostrata di nuovo al rallentatore e un'altra è dopo.</v>
      </c>
    </row>
    <row r="27928">
      <c r="A27928" s="4" t="s">
        <v>35170</v>
      </c>
      <c r="B27928" s="4" t="s">
        <v>35171</v>
      </c>
      <c r="C27928" s="5" t="str">
        <f>IFERROR(__xludf.DUMMYFUNCTION("GOOGLETRANSLATE(B27928,""en"",""it"")"),"Il video inizia con un'introduzione alle ricette in movimento sulla salsa rapida degli spaghetti.")</f>
        <v>Il video inizia con un'introduzione alle ricette in movimento sulla salsa rapida degli spaghetti.</v>
      </c>
    </row>
    <row r="27929">
      <c r="A27929" s="4" t="s">
        <v>35170</v>
      </c>
      <c r="B27929" s="4" t="s">
        <v>35172</v>
      </c>
      <c r="C27929" s="5" t="str">
        <f>IFERROR(__xludf.DUMMYFUNCTION("GOOGLETRANSLATE(B27929,""en"",""it"")"),"Il video passa a mostrare un mestolo che versa la salsa sui noodles.")</f>
        <v>Il video passa a mostrare un mestolo che versa la salsa sui noodles.</v>
      </c>
    </row>
    <row r="27930">
      <c r="A27930" s="4" t="s">
        <v>35170</v>
      </c>
      <c r="B27930" s="4" t="s">
        <v>35173</v>
      </c>
      <c r="C27930" s="5" t="str">
        <f>IFERROR(__xludf.DUMMYFUNCTION("GOOGLETRANSLATE(B27930,""en"",""it"")"),"Qualcuno inizia a tagliare vari verdure con un coltello, questo include una verdura verde e cipolle.")</f>
        <v>Qualcuno inizia a tagliare vari verdure con un coltello, questo include una verdura verde e cipolle.</v>
      </c>
    </row>
    <row r="27931">
      <c r="A27931" s="4" t="s">
        <v>35170</v>
      </c>
      <c r="B27931" s="4" t="s">
        <v>35174</v>
      </c>
      <c r="C27931" s="5" t="str">
        <f>IFERROR(__xludf.DUMMYFUNCTION("GOOGLETRANSLATE(B27931,""en"",""it"")"),"Successivamente viene mostrata una padella metallica vuota mentre qualcuno versa olio e le verdure.")</f>
        <v>Successivamente viene mostrata una padella metallica vuota mentre qualcuno versa olio e le verdure.</v>
      </c>
    </row>
    <row r="27932">
      <c r="A27932" s="4" t="s">
        <v>35170</v>
      </c>
      <c r="B27932" s="4" t="s">
        <v>35175</v>
      </c>
      <c r="C27932" s="5" t="str">
        <f>IFERROR(__xludf.DUMMYFUNCTION("GOOGLETRANSLATE(B27932,""en"",""it"")"),"Quindi iniziano a mescolare le verdure con l'olio.")</f>
        <v>Quindi iniziano a mescolare le verdure con l'olio.</v>
      </c>
    </row>
    <row r="27933">
      <c r="A27933" s="4" t="s">
        <v>35170</v>
      </c>
      <c r="B27933" s="4" t="s">
        <v>35176</v>
      </c>
      <c r="C27933" s="5" t="str">
        <f>IFERROR(__xludf.DUMMYFUNCTION("GOOGLETRANSLATE(B27933,""en"",""it"")"),"Successivamente quali altri ingredienti vengono aggiunti includono pomodori, spezie e qualche tipo di liquido.")</f>
        <v>Successivamente quali altri ingredienti vengono aggiunti includono pomodori, spezie e qualche tipo di liquido.</v>
      </c>
    </row>
    <row r="27934">
      <c r="A27934" s="4" t="s">
        <v>35170</v>
      </c>
      <c r="B27934" s="4" t="s">
        <v>35177</v>
      </c>
      <c r="C27934" s="5" t="str">
        <f>IFERROR(__xludf.DUMMYFUNCTION("GOOGLETRANSLATE(B27934,""en"",""it"")"),"Tutto viene mescolato insieme.")</f>
        <v>Tutto viene mescolato insieme.</v>
      </c>
    </row>
    <row r="27935">
      <c r="A27935" s="4" t="s">
        <v>35170</v>
      </c>
      <c r="B27935" s="4" t="s">
        <v>35178</v>
      </c>
      <c r="C27935" s="5" t="str">
        <f>IFERROR(__xludf.DUMMYFUNCTION("GOOGLETRANSLATE(B27935,""en"",""it"")"),"La padella viene rimossa e gli ingredienti agitati vengono miscelati.")</f>
        <v>La padella viene rimossa e gli ingredienti agitati vengono miscelati.</v>
      </c>
    </row>
    <row r="27936">
      <c r="A27936" s="4" t="s">
        <v>35170</v>
      </c>
      <c r="B27936" s="6" t="s">
        <v>35179</v>
      </c>
      <c r="C27936" s="5" t="str">
        <f>IFERROR(__xludf.DUMMYFUNCTION("GOOGLETRANSLATE(B27936,""en"",""it"")"),"Gli ingredienti miscelati vengono rimessi sull'uomo e una sostanza rossa da una lattina viene versata sulla padella e mescolata.")</f>
        <v>Gli ingredienti miscelati vengono rimessi sull'uomo e una sostanza rossa da una lattina viene versata sulla padella e mescolata.</v>
      </c>
    </row>
    <row r="27937">
      <c r="A27937" s="4" t="s">
        <v>35170</v>
      </c>
      <c r="B27937" s="4" t="s">
        <v>35180</v>
      </c>
      <c r="C27937" s="5" t="str">
        <f>IFERROR(__xludf.DUMMYFUNCTION("GOOGLETRANSLATE(B27937,""en"",""it"")"),"La salsa è completata e versata sui noodles.")</f>
        <v>La salsa è completata e versata sui noodles.</v>
      </c>
    </row>
    <row r="27938">
      <c r="A27938" s="4" t="s">
        <v>35170</v>
      </c>
      <c r="B27938" s="6" t="s">
        <v>35181</v>
      </c>
      <c r="C27938" s="5" t="str">
        <f>IFERROR(__xludf.DUMMYFUNCTION("GOOGLETRANSLATE(B27938,""en"",""it"")"),"Il video termina con uno sfondo arancione con informazioni su dove guardare più video.")</f>
        <v>Il video termina con uno sfondo arancione con informazioni su dove guardare più video.</v>
      </c>
    </row>
    <row r="27939">
      <c r="A27939" s="4" t="s">
        <v>35182</v>
      </c>
      <c r="B27939" s="6" t="s">
        <v>35183</v>
      </c>
      <c r="C27939" s="5" t="str">
        <f>IFERROR(__xludf.DUMMYFUNCTION("GOOGLETRANSLATE(B27939,""en"",""it"")"),"Un ragazzo adolescente colpisce una spugna Bob Piñata gli ha coperto gli occhi con un panno mentre la donna scatta foto.")</f>
        <v>Un ragazzo adolescente colpisce una spugna Bob Piñata gli ha coperto gli occhi con un panno mentre la donna scatta foto.</v>
      </c>
    </row>
    <row r="27940">
      <c r="A27940" s="4" t="s">
        <v>35182</v>
      </c>
      <c r="B27940" s="4" t="s">
        <v>35184</v>
      </c>
      <c r="C27940" s="5" t="str">
        <f>IFERROR(__xludf.DUMMYFUNCTION("GOOGLETRANSLATE(B27940,""en"",""it"")"),"Un ragazzo colpisce la Piñata fino a quando cade mentre il ragazzo si copre gli occhi con un panno blu.")</f>
        <v>Un ragazzo colpisce la Piñata fino a quando cade mentre il ragazzo si copre gli occhi con un panno blu.</v>
      </c>
    </row>
    <row r="27941">
      <c r="A27941" s="4" t="s">
        <v>35182</v>
      </c>
      <c r="B27941" s="4" t="s">
        <v>35185</v>
      </c>
      <c r="C27941" s="5" t="str">
        <f>IFERROR(__xludf.DUMMYFUNCTION("GOOGLETRANSLATE(B27941,""en"",""it"")"),"Un uomo si strofina il viso con la mano e poi gli tira fuori la pinza.")</f>
        <v>Un uomo si strofina il viso con la mano e poi gli tira fuori la pinza.</v>
      </c>
    </row>
    <row r="27942">
      <c r="A27942" s="4" t="s">
        <v>35186</v>
      </c>
      <c r="B27942" s="4" t="s">
        <v>35187</v>
      </c>
      <c r="C27942" s="5" t="str">
        <f>IFERROR(__xludf.DUMMYFUNCTION("GOOGLETRANSLATE(B27942,""en"",""it"")"),"Due persone sono fuori a ballo ballando in una piazza mentre un gruppo di persone li circonda e guardano.")</f>
        <v>Due persone sono fuori a ballo ballando in una piazza mentre un gruppo di persone li circonda e guardano.</v>
      </c>
    </row>
    <row r="27943">
      <c r="A27943" s="4" t="s">
        <v>35186</v>
      </c>
      <c r="B27943" s="6" t="s">
        <v>35188</v>
      </c>
      <c r="C27943" s="5" t="str">
        <f>IFERROR(__xludf.DUMMYFUNCTION("GOOGLETRANSLATE(B27943,""en"",""it"")"),"Le persone vanno e vanno a guardare le due persone ballare e poi finalmente smettono di ballare, inchinarsi e afferra un panno per lavarsi il viso.")</f>
        <v>Le persone vanno e vanno a guardare le due persone ballare e poi finalmente smettono di ballare, inchinarsi e afferra un panno per lavarsi il viso.</v>
      </c>
    </row>
    <row r="27944">
      <c r="A27944" s="4" t="s">
        <v>35189</v>
      </c>
      <c r="B27944" s="4" t="s">
        <v>35190</v>
      </c>
      <c r="C27944" s="5" t="str">
        <f>IFERROR(__xludf.DUMMYFUNCTION("GOOGLETRANSLATE(B27944,""en"",""it"")"),"Una donna mette le foglie di verdure a prua.")</f>
        <v>Una donna mette le foglie di verdure a prua.</v>
      </c>
    </row>
    <row r="27945">
      <c r="A27945" s="4" t="s">
        <v>35189</v>
      </c>
      <c r="B27945" s="4" t="s">
        <v>35191</v>
      </c>
      <c r="C27945" s="5" t="str">
        <f>IFERROR(__xludf.DUMMYFUNCTION("GOOGLETRANSLATE(B27945,""en"",""it"")"),"La telecamera si panoramica per mostrare un uomo in piedi accanto alla donna.")</f>
        <v>La telecamera si panoramica per mostrare un uomo in piedi accanto alla donna.</v>
      </c>
    </row>
    <row r="27946">
      <c r="A27946" s="4" t="s">
        <v>35189</v>
      </c>
      <c r="B27946" s="4" t="s">
        <v>35192</v>
      </c>
      <c r="C27946" s="5" t="str">
        <f>IFERROR(__xludf.DUMMYFUNCTION("GOOGLETRANSLATE(B27946,""en"",""it"")"),"L'uomo taglia un cetriolo su un piatto.")</f>
        <v>L'uomo taglia un cetriolo su un piatto.</v>
      </c>
    </row>
    <row r="27947">
      <c r="A27947" s="4" t="s">
        <v>35193</v>
      </c>
      <c r="B27947" s="4" t="s">
        <v>35194</v>
      </c>
      <c r="C27947" s="5" t="str">
        <f>IFERROR(__xludf.DUMMYFUNCTION("GOOGLETRANSLATE(B27947,""en"",""it"")"),"Due uomini sono visti che portano sopra il cofano della macchina mentre si afferrano le mani.")</f>
        <v>Due uomini sono visti che portano sopra il cofano della macchina mentre si afferrano le mani.</v>
      </c>
    </row>
    <row r="27948">
      <c r="A27948" s="4" t="s">
        <v>35193</v>
      </c>
      <c r="B27948" s="6" t="s">
        <v>35195</v>
      </c>
      <c r="C27948" s="5" t="str">
        <f>IFERROR(__xludf.DUMMYFUNCTION("GOOGLETRANSLATE(B27948,""en"",""it"")"),"Quindi iniziano una partita di braccio e termina con un uomo che vince ed entrambi guardando la telecamera e uno che tiene il polso.")</f>
        <v>Quindi iniziano una partita di braccio e termina con un uomo che vince ed entrambi guardando la telecamera e uno che tiene il polso.</v>
      </c>
    </row>
    <row r="27949">
      <c r="A27949" s="4" t="s">
        <v>35196</v>
      </c>
      <c r="B27949" s="4" t="s">
        <v>35197</v>
      </c>
      <c r="C27949" s="5" t="str">
        <f>IFERROR(__xludf.DUMMYFUNCTION("GOOGLETRANSLATE(B27949,""en"",""it"")"),"Vengono visualizzati il ​​titolo o l'etichetta video.")</f>
        <v>Vengono visualizzati il ​​titolo o l'etichetta video.</v>
      </c>
    </row>
    <row r="27950">
      <c r="A27950" s="4" t="s">
        <v>35196</v>
      </c>
      <c r="B27950" s="4" t="s">
        <v>35198</v>
      </c>
      <c r="C27950" s="5" t="str">
        <f>IFERROR(__xludf.DUMMYFUNCTION("GOOGLETRANSLATE(B27950,""en"",""it"")"),"Un ragazzo gestisce il segno di pace.")</f>
        <v>Un ragazzo gestisce il segno di pace.</v>
      </c>
    </row>
    <row r="27951">
      <c r="A27951" s="4" t="s">
        <v>35196</v>
      </c>
      <c r="B27951" s="4" t="s">
        <v>35199</v>
      </c>
      <c r="C27951" s="5" t="str">
        <f>IFERROR(__xludf.DUMMYFUNCTION("GOOGLETRANSLATE(B27951,""en"",""it"")"),"Un ragazzo è una tavola da neve lungo un pendio.")</f>
        <v>Un ragazzo è una tavola da neve lungo un pendio.</v>
      </c>
    </row>
    <row r="27952">
      <c r="A27952" s="4" t="s">
        <v>35196</v>
      </c>
      <c r="B27952" s="4" t="s">
        <v>35200</v>
      </c>
      <c r="C27952" s="5" t="str">
        <f>IFERROR(__xludf.DUMMYFUNCTION("GOOGLETRANSLATE(B27952,""en"",""it"")"),"Un gruppo in un'ondata di fila addio.")</f>
        <v>Un gruppo in un'ondata di fila addio.</v>
      </c>
    </row>
    <row r="27953">
      <c r="A27953" s="4" t="s">
        <v>35201</v>
      </c>
      <c r="B27953" s="6" t="s">
        <v>35202</v>
      </c>
      <c r="C27953" s="5" t="str">
        <f>IFERROR(__xludf.DUMMYFUNCTION("GOOGLETRANSLATE(B27953,""en"",""it"")"),"Un uomo si sta preparando per il tabellone, c'è una barca che lo aspetta alla sua destra, e le parole bianche nell'angolo in basso a destra dicono ""Spray Lake Watersports &amp; Activity Center"".")</f>
        <v>Un uomo si sta preparando per il tabellone, c'è una barca che lo aspetta alla sua destra, e le parole bianche nell'angolo in basso a destra dicono "Spray Lake Watersports &amp; Activity Center".</v>
      </c>
    </row>
    <row r="27954">
      <c r="A27954" s="4" t="s">
        <v>35201</v>
      </c>
      <c r="B27954" s="6" t="s">
        <v>35203</v>
      </c>
      <c r="C27954" s="5" t="str">
        <f>IFERROR(__xludf.DUMMYFUNCTION("GOOGLETRANSLATE(B27954,""en"",""it"")"),"L'uomo va in acqua e mentre si tiene sulla barra collegata alla corda e alla barca, sta rapidamente waterboard sul lago, a volte usando entrambe le mani per trattenere la barra e talvolta alternando le mani.")</f>
        <v>L'uomo va in acqua e mentre si tiene sulla barra collegata alla corda e alla barca, sta rapidamente waterboard sul lago, a volte usando entrambe le mani per trattenere la barra e talvolta alternando le mani.</v>
      </c>
    </row>
    <row r="27955">
      <c r="A27955" s="4" t="s">
        <v>35201</v>
      </c>
      <c r="B27955" s="4" t="s">
        <v>35204</v>
      </c>
      <c r="C27955" s="5" t="str">
        <f>IFERROR(__xludf.DUMMYFUNCTION("GOOGLETRANSLATE(B27955,""en"",""it"")"),"L'uomo lascia andare il bar e inizia a rallentare verso un molo.")</f>
        <v>L'uomo lascia andare il bar e inizia a rallentare verso un molo.</v>
      </c>
    </row>
    <row r="27956">
      <c r="A27956" s="4" t="s">
        <v>35201</v>
      </c>
      <c r="B27956" s="6" t="s">
        <v>35205</v>
      </c>
      <c r="C27956" s="5" t="str">
        <f>IFERROR(__xludf.DUMMYFUNCTION("GOOGLETRANSLATE(B27956,""en"",""it"")"),"Un paio di mani ora tiene in mano una tavola a botte che ha un paio di scarpe nero e argento attaccato ad essa.")</f>
        <v>Un paio di mani ora tiene in mano una tavola a botte che ha un paio di scarpe nero e argento attaccato ad essa.</v>
      </c>
    </row>
    <row r="27957">
      <c r="A27957" s="4" t="s">
        <v>35201</v>
      </c>
      <c r="B27957" s="4" t="s">
        <v>35206</v>
      </c>
      <c r="C27957" s="5" t="str">
        <f>IFERROR(__xludf.DUMMYFUNCTION("GOOGLETRANSLATE(B27957,""en"",""it"")"),"A una persona viene brevemente mostrato il waterboarding e la vista va a gorgogliare sott'acqua.")</f>
        <v>A una persona viene brevemente mostrato il waterboarding e la vista va a gorgogliare sott'acqua.</v>
      </c>
    </row>
    <row r="27958">
      <c r="A27958" s="4" t="s">
        <v>35207</v>
      </c>
      <c r="B27958" s="4" t="s">
        <v>35208</v>
      </c>
      <c r="C27958" s="5" t="str">
        <f>IFERROR(__xludf.DUMMYFUNCTION("GOOGLETRANSLATE(B27958,""en"",""it"")"),"Una persona viene vista andare in giro sul cavallo in una zona chiusa.")</f>
        <v>Una persona viene vista andare in giro sul cavallo in una zona chiusa.</v>
      </c>
    </row>
    <row r="27959">
      <c r="A27959" s="4" t="s">
        <v>35207</v>
      </c>
      <c r="B27959" s="4" t="s">
        <v>35209</v>
      </c>
      <c r="C27959" s="5" t="str">
        <f>IFERROR(__xludf.DUMMYFUNCTION("GOOGLETRANSLATE(B27959,""en"",""it"")"),"La telecamera continua a seguirlo cavalcando l'area galoppo.")</f>
        <v>La telecamera continua a seguirlo cavalcando l'area galoppo.</v>
      </c>
    </row>
    <row r="27960">
      <c r="A27960" s="4" t="s">
        <v>35210</v>
      </c>
      <c r="B27960" s="4" t="s">
        <v>35211</v>
      </c>
      <c r="C27960" s="5" t="str">
        <f>IFERROR(__xludf.DUMMYFUNCTION("GOOGLETRANSLATE(B27960,""en"",""it"")"),"La bambina è in cima alla barra delle scimmie.")</f>
        <v>La bambina è in cima alla barra delle scimmie.</v>
      </c>
    </row>
    <row r="27961">
      <c r="A27961" s="4" t="s">
        <v>35210</v>
      </c>
      <c r="B27961" s="4" t="s">
        <v>35212</v>
      </c>
      <c r="C27961" s="5" t="str">
        <f>IFERROR(__xludf.DUMMYFUNCTION("GOOGLETRANSLATE(B27961,""en"",""it"")"),"Un bambino con una camicia colorata sta attraversando la barra delle scimmie.")</f>
        <v>Un bambino con una camicia colorata sta attraversando la barra delle scimmie.</v>
      </c>
    </row>
    <row r="27962">
      <c r="A27962" s="4" t="s">
        <v>35210</v>
      </c>
      <c r="B27962" s="4" t="s">
        <v>35213</v>
      </c>
      <c r="C27962" s="5" t="str">
        <f>IFERROR(__xludf.DUMMYFUNCTION("GOOGLETRANSLATE(B27962,""en"",""it"")"),"La bambina cadde dal Monkey Bar e tornò al Monkey Bar.")</f>
        <v>La bambina cadde dal Monkey Bar e tornò al Monkey Bar.</v>
      </c>
    </row>
    <row r="27963">
      <c r="A27963" s="4" t="s">
        <v>35214</v>
      </c>
      <c r="B27963" s="4" t="s">
        <v>35215</v>
      </c>
      <c r="C27963" s="5" t="str">
        <f>IFERROR(__xludf.DUMMYFUNCTION("GOOGLETRANSLATE(B27963,""en"",""it"")"),"I giocatori giocano a lacrosse all'aperto di fronte a un pubblico.")</f>
        <v>I giocatori giocano a lacrosse all'aperto di fronte a un pubblico.</v>
      </c>
    </row>
    <row r="27964">
      <c r="A27964" s="4" t="s">
        <v>35214</v>
      </c>
      <c r="B27964" s="4" t="s">
        <v>35216</v>
      </c>
      <c r="C27964" s="5" t="str">
        <f>IFERROR(__xludf.DUMMYFUNCTION("GOOGLETRANSLATE(B27964,""en"",""it"")"),"Un giocatore è sdraiato sul campo.")</f>
        <v>Un giocatore è sdraiato sul campo.</v>
      </c>
    </row>
    <row r="27965">
      <c r="A27965" s="4" t="s">
        <v>35214</v>
      </c>
      <c r="B27965" s="4" t="s">
        <v>35217</v>
      </c>
      <c r="C27965" s="5" t="str">
        <f>IFERROR(__xludf.DUMMYFUNCTION("GOOGLETRANSLATE(B27965,""en"",""it"")"),"Il giocatore colpisce la palla in porta.")</f>
        <v>Il giocatore colpisce la palla in porta.</v>
      </c>
    </row>
    <row r="27966">
      <c r="A27966" s="4" t="s">
        <v>35214</v>
      </c>
      <c r="B27966" s="4" t="s">
        <v>35218</v>
      </c>
      <c r="C27966" s="5" t="str">
        <f>IFERROR(__xludf.DUMMYFUNCTION("GOOGLETRANSLATE(B27966,""en"",""it"")"),"Il pubblico e i compagni di squadra celebrano l'obiettivo e i compagni di squadra si accarezzano a vicenda sulla spalla.")</f>
        <v>Il pubblico e i compagni di squadra celebrano l'obiettivo e i compagni di squadra si accarezzano a vicenda sulla spalla.</v>
      </c>
    </row>
    <row r="27967">
      <c r="A27967" s="4" t="s">
        <v>35214</v>
      </c>
      <c r="B27967" s="4" t="s">
        <v>35219</v>
      </c>
      <c r="C27967" s="5" t="str">
        <f>IFERROR(__xludf.DUMMYFUNCTION("GOOGLETRANSLATE(B27967,""en"",""it"")"),"Un ragazzo rimuove il suo casco.")</f>
        <v>Un ragazzo rimuove il suo casco.</v>
      </c>
    </row>
    <row r="27968">
      <c r="A27968" s="4" t="s">
        <v>35220</v>
      </c>
      <c r="B27968" s="4" t="s">
        <v>35221</v>
      </c>
      <c r="C27968" s="5" t="str">
        <f>IFERROR(__xludf.DUMMYFUNCTION("GOOGLETRANSLATE(B27968,""en"",""it"")"),"Una ragazza mostra come preparare la limonata.")</f>
        <v>Una ragazza mostra come preparare la limonata.</v>
      </c>
    </row>
    <row r="27969">
      <c r="A27969" s="4" t="s">
        <v>35220</v>
      </c>
      <c r="B27969" s="4" t="s">
        <v>35222</v>
      </c>
      <c r="C27969" s="5" t="str">
        <f>IFERROR(__xludf.DUMMYFUNCTION("GOOGLETRANSLATE(B27969,""en"",""it"")"),"Poi rastrella i soldi che i suoi genitori l'ha aiutata.")</f>
        <v>Poi rastrella i soldi che i suoi genitori l'ha aiutata.</v>
      </c>
    </row>
    <row r="27970">
      <c r="A27970" s="4" t="s">
        <v>35223</v>
      </c>
      <c r="B27970" s="4" t="s">
        <v>35224</v>
      </c>
      <c r="C27970" s="5" t="str">
        <f>IFERROR(__xludf.DUMMYFUNCTION("GOOGLETRANSLATE(B27970,""en"",""it"")"),"Una telecamera si muove a un aquilone che vola nel cielo e persone in un campo.")</f>
        <v>Una telecamera si muove a un aquilone che vola nel cielo e persone in un campo.</v>
      </c>
    </row>
    <row r="27971">
      <c r="A27971" s="4" t="s">
        <v>35223</v>
      </c>
      <c r="B27971" s="4" t="s">
        <v>35225</v>
      </c>
      <c r="C27971" s="5" t="str">
        <f>IFERROR(__xludf.DUMMYFUNCTION("GOOGLETRANSLATE(B27971,""en"",""it"")"),"Un uomo viene visto sul sito che controlla l'aquilone con le mani.")</f>
        <v>Un uomo viene visto sul sito che controlla l'aquilone con le mani.</v>
      </c>
    </row>
    <row r="27972">
      <c r="A27972" s="4" t="s">
        <v>35223</v>
      </c>
      <c r="B27972" s="4" t="s">
        <v>35226</v>
      </c>
      <c r="C27972" s="5" t="str">
        <f>IFERROR(__xludf.DUMMYFUNCTION("GOOGLETRANSLATE(B27972,""en"",""it"")"),"Continua a far volare l'oggetto attorno al cielo con la fotocamera che segue.")</f>
        <v>Continua a far volare l'oggetto attorno al cielo con la fotocamera che segue.</v>
      </c>
    </row>
    <row r="27973">
      <c r="A27973" s="4" t="s">
        <v>35227</v>
      </c>
      <c r="B27973" s="4" t="s">
        <v>35228</v>
      </c>
      <c r="C27973" s="5" t="str">
        <f>IFERROR(__xludf.DUMMYFUNCTION("GOOGLETRANSLATE(B27973,""en"",""it"")"),"Un giovane si siede su una sedia davanti a un tamburo.")</f>
        <v>Un giovane si siede su una sedia davanti a un tamburo.</v>
      </c>
    </row>
    <row r="27974">
      <c r="A27974" s="4" t="s">
        <v>35227</v>
      </c>
      <c r="B27974" s="4" t="s">
        <v>35229</v>
      </c>
      <c r="C27974" s="5" t="str">
        <f>IFERROR(__xludf.DUMMYFUNCTION("GOOGLETRANSLATE(B27974,""en"",""it"")"),"Comincia a suonare i tamburi, che si trovano all'interno di un soggiorno.")</f>
        <v>Comincia a suonare i tamburi, che si trovano all'interno di un soggiorno.</v>
      </c>
    </row>
    <row r="27975">
      <c r="A27975" s="4" t="s">
        <v>35227</v>
      </c>
      <c r="B27975" s="6" t="s">
        <v>35230</v>
      </c>
      <c r="C27975" s="5" t="str">
        <f>IFERROR(__xludf.DUMMYFUNCTION("GOOGLETRANSLATE(B27975,""en"",""it"")"),"Il gioco continua fino a quando non mette giù i tamburi e guarda la fotocamera con un aspetto scioccato.")</f>
        <v>Il gioco continua fino a quando non mette giù i tamburi e guarda la fotocamera con un aspetto scioccato.</v>
      </c>
    </row>
    <row r="27976">
      <c r="A27976" s="4" t="s">
        <v>35227</v>
      </c>
      <c r="B27976" s="4" t="s">
        <v>35231</v>
      </c>
      <c r="C27976" s="5" t="str">
        <f>IFERROR(__xludf.DUMMYFUNCTION("GOOGLETRANSLATE(B27976,""en"",""it"")"),"Il video termina con l'uomo che si alza per spegnere la fotocamera.")</f>
        <v>Il video termina con l'uomo che si alza per spegnere la fotocamera.</v>
      </c>
    </row>
    <row r="27977">
      <c r="A27977" s="4" t="s">
        <v>35232</v>
      </c>
      <c r="B27977" s="6" t="s">
        <v>35233</v>
      </c>
      <c r="C27977" s="5" t="str">
        <f>IFERROR(__xludf.DUMMYFUNCTION("GOOGLETRANSLATE(B27977,""en"",""it"")"),"Un gruppo di persone che camminano con barche gonfiabili e arrivano a un lago, poi la gente naviga nel lago.")</f>
        <v>Un gruppo di persone che camminano con barche gonfiabili e arrivano a un lago, poi la gente naviga nel lago.</v>
      </c>
    </row>
    <row r="27978">
      <c r="A27978" s="4" t="s">
        <v>35232</v>
      </c>
      <c r="B27978" s="4" t="s">
        <v>35234</v>
      </c>
      <c r="C27978" s="5" t="str">
        <f>IFERROR(__xludf.DUMMYFUNCTION("GOOGLETRANSLATE(B27978,""en"",""it"")"),"Dopo, la gente porta le barche a navigare su uno stretto fiume mosso.")</f>
        <v>Dopo, la gente porta le barche a navigare su uno stretto fiume mosso.</v>
      </c>
    </row>
    <row r="27979">
      <c r="A27979" s="4" t="s">
        <v>35232</v>
      </c>
      <c r="B27979" s="6" t="s">
        <v>35235</v>
      </c>
      <c r="C27979" s="5" t="str">
        <f>IFERROR(__xludf.DUMMYFUNCTION("GOOGLETRANSLATE(B27979,""en"",""it"")"),"Le travi arrivano a una cascata e le barche si piegano quando scendono la cascata, quindi continuano a rafting nel fiume.")</f>
        <v>Le travi arrivano a una cascata e le barche si piegano quando scendono la cascata, quindi continuano a rafting nel fiume.</v>
      </c>
    </row>
    <row r="27980">
      <c r="A27980" s="4" t="s">
        <v>35236</v>
      </c>
      <c r="B27980" s="4" t="s">
        <v>35237</v>
      </c>
      <c r="C27980" s="5" t="str">
        <f>IFERROR(__xludf.DUMMYFUNCTION("GOOGLETRANSLATE(B27980,""en"",""it"")"),"Un uomo è in piedi su una scala.")</f>
        <v>Un uomo è in piedi su una scala.</v>
      </c>
    </row>
    <row r="27981">
      <c r="A27981" s="4" t="s">
        <v>35236</v>
      </c>
      <c r="B27981" s="4" t="s">
        <v>35238</v>
      </c>
      <c r="C27981" s="5" t="str">
        <f>IFERROR(__xludf.DUMMYFUNCTION("GOOGLETRANSLATE(B27981,""en"",""it"")"),"Sta appeso a una carta da parati su un muro di fronte a lui.")</f>
        <v>Sta appeso a una carta da parati su un muro di fronte a lui.</v>
      </c>
    </row>
    <row r="27982">
      <c r="A27982" s="4" t="s">
        <v>35236</v>
      </c>
      <c r="B27982" s="4" t="s">
        <v>35239</v>
      </c>
      <c r="C27982" s="5" t="str">
        <f>IFERROR(__xludf.DUMMYFUNCTION("GOOGLETRANSLATE(B27982,""en"",""it"")"),"Usa uno strumento per appianare la carta da muro una volta che è sul muro.")</f>
        <v>Usa uno strumento per appianare la carta da muro una volta che è sul muro.</v>
      </c>
    </row>
    <row r="27983">
      <c r="A27983" s="4" t="s">
        <v>35240</v>
      </c>
      <c r="B27983" s="6" t="s">
        <v>35241</v>
      </c>
      <c r="C27983" s="5" t="str">
        <f>IFERROR(__xludf.DUMMYFUNCTION("GOOGLETRANSLATE(B27983,""en"",""it"")"),"Vengono mostrati vari colpi di persone che si trovano insieme e si muovono intorno al ghiaccio, così come le persone che giocano a shuffle board e urlano l'una contro l'altra.")</f>
        <v>Vengono mostrati vari colpi di persone che si trovano insieme e si muovono intorno al ghiaccio, così come le persone che giocano a shuffle board e urlano l'una contro l'altra.</v>
      </c>
    </row>
    <row r="27984">
      <c r="A27984" s="4" t="s">
        <v>35240</v>
      </c>
      <c r="B27984" s="6" t="s">
        <v>35242</v>
      </c>
      <c r="C27984" s="5" t="str">
        <f>IFERROR(__xludf.DUMMYFUNCTION("GOOGLETRANSLATE(B27984,""en"",""it"")"),"Diverse persone vengono intervistate sulla telecamera che interviene con scatti di shuffleboard e persone che si sfregano il collo e si parlano.")</f>
        <v>Diverse persone vengono intervistate sulla telecamera che interviene con scatti di shuffleboard e persone che si sfregano il collo e si parlano.</v>
      </c>
    </row>
    <row r="27985">
      <c r="A27985" s="4" t="s">
        <v>35243</v>
      </c>
      <c r="B27985" s="4" t="s">
        <v>35244</v>
      </c>
      <c r="C27985" s="5" t="str">
        <f>IFERROR(__xludf.DUMMYFUNCTION("GOOGLETRANSLATE(B27985,""en"",""it"")"),"Una donna sta cavalcando un intertube lungo una collina innevata.")</f>
        <v>Una donna sta cavalcando un intertube lungo una collina innevata.</v>
      </c>
    </row>
    <row r="27986">
      <c r="A27986" s="4" t="s">
        <v>35243</v>
      </c>
      <c r="B27986" s="4" t="s">
        <v>35245</v>
      </c>
      <c r="C27986" s="5" t="str">
        <f>IFERROR(__xludf.DUMMYFUNCTION("GOOGLETRANSLATE(B27986,""en"",""it"")"),"Si gira mentre scende, incontrando un'altra persona.")</f>
        <v>Si gira mentre scende, incontrando un'altra persona.</v>
      </c>
    </row>
    <row r="27987">
      <c r="A27987" s="4" t="s">
        <v>35243</v>
      </c>
      <c r="B27987" s="4" t="s">
        <v>35246</v>
      </c>
      <c r="C27987" s="5" t="str">
        <f>IFERROR(__xludf.DUMMYFUNCTION("GOOGLETRANSLATE(B27987,""en"",""it"")"),"Viene eliminata dal suo intertube.")</f>
        <v>Viene eliminata dal suo intertube.</v>
      </c>
    </row>
    <row r="27988">
      <c r="A27988" s="4" t="s">
        <v>35247</v>
      </c>
      <c r="B27988" s="6" t="s">
        <v>35248</v>
      </c>
      <c r="C27988" s="5" t="str">
        <f>IFERROR(__xludf.DUMMYFUNCTION("GOOGLETRANSLATE(B27988,""en"",""it"")"),"Vengono mostrati diversi colpi di tori che corrono in persone in strade trafficate e le persone si fanno male dai tori.")</f>
        <v>Vengono mostrati diversi colpi di tori che corrono in persone in strade trafficate e le persone si fanno male dai tori.</v>
      </c>
    </row>
    <row r="27989">
      <c r="A27989" s="4" t="s">
        <v>35247</v>
      </c>
      <c r="B27989" s="6" t="s">
        <v>35249</v>
      </c>
      <c r="C27989" s="5" t="str">
        <f>IFERROR(__xludf.DUMMYFUNCTION("GOOGLETRANSLATE(B27989,""en"",""it"")"),"Vengono mostrati molti altri colpi di tori che danneggiano le persone in varie località, mentre altri cercano di aiutarli sul lato.")</f>
        <v>Vengono mostrati molti altri colpi di tori che danneggiano le persone in varie località, mentre altri cercano di aiutarli sul lato.</v>
      </c>
    </row>
    <row r="27990">
      <c r="A27990" s="4" t="s">
        <v>35250</v>
      </c>
      <c r="B27990" s="4" t="s">
        <v>35251</v>
      </c>
      <c r="C27990" s="5" t="str">
        <f>IFERROR(__xludf.DUMMYFUNCTION("GOOGLETRANSLATE(B27990,""en"",""it"")"),"Un cielo scuro con luna e nuvola è mostrato tra il sentiero così sporco.")</f>
        <v>Un cielo scuro con luna e nuvola è mostrato tra il sentiero così sporco.</v>
      </c>
    </row>
    <row r="27991">
      <c r="A27991" s="4" t="s">
        <v>35250</v>
      </c>
      <c r="B27991" s="6" t="s">
        <v>35252</v>
      </c>
      <c r="C27991" s="5" t="str">
        <f>IFERROR(__xludf.DUMMYFUNCTION("GOOGLETRANSLATE(B27991,""en"",""it"")"),"Dopo, viene mostrato un uomo che indossa un cappello che cammina lungo il sentiero e vengono mostrate diverse corse di motociclisti.")</f>
        <v>Dopo, viene mostrato un uomo che indossa un cappello che cammina lungo il sentiero e vengono mostrate diverse corse di motociclisti.</v>
      </c>
    </row>
    <row r="27992">
      <c r="A27992" s="4" t="s">
        <v>35250</v>
      </c>
      <c r="B27992" s="4" t="s">
        <v>35253</v>
      </c>
      <c r="C27992" s="5" t="str">
        <f>IFERROR(__xludf.DUMMYFUNCTION("GOOGLETRANSLATE(B27992,""en"",""it"")"),"L'uomo quindi mette un casco, il bar viene deluso e inizia a saltare su una collina.")</f>
        <v>L'uomo quindi mette un casco, il bar viene deluso e inizia a saltare su una collina.</v>
      </c>
    </row>
    <row r="27993">
      <c r="A27993" s="4" t="s">
        <v>35250</v>
      </c>
      <c r="B27993" s="6" t="s">
        <v>35254</v>
      </c>
      <c r="C27993" s="5" t="str">
        <f>IFERROR(__xludf.DUMMYFUNCTION("GOOGLETRANSLATE(B27993,""en"",""it"")"),"Mentre il video continua, stai seguendo l'uomo che corre attraverso il sentiero e facendo trucchi e cavalcando angoli laterali per garantire che i trucchi siano atterrati e non cade.")</f>
        <v>Mentre il video continua, stai seguendo l'uomo che corre attraverso il sentiero e facendo trucchi e cavalcando angoli laterali per garantire che i trucchi siano atterrati e non cade.</v>
      </c>
    </row>
    <row r="27994">
      <c r="A27994" s="4" t="s">
        <v>35250</v>
      </c>
      <c r="B27994" s="4" t="s">
        <v>35255</v>
      </c>
      <c r="C27994" s="5" t="str">
        <f>IFERROR(__xludf.DUMMYFUNCTION("GOOGLETRANSLATE(B27994,""en"",""it"")"),"L'uomo riappare e il riflesso delle corse viene mostrato nei suoi occhi prima che se ne vada.")</f>
        <v>L'uomo riappare e il riflesso delle corse viene mostrato nei suoi occhi prima che se ne vada.</v>
      </c>
    </row>
    <row r="27995">
      <c r="A27995" s="4" t="s">
        <v>35256</v>
      </c>
      <c r="B27995" s="4" t="s">
        <v>35257</v>
      </c>
      <c r="C27995" s="5" t="str">
        <f>IFERROR(__xludf.DUMMYFUNCTION("GOOGLETRANSLATE(B27995,""en"",""it"")"),"Le spille da bowling vengono colpite con la palla da bowling.")</f>
        <v>Le spille da bowling vengono colpite con la palla da bowling.</v>
      </c>
    </row>
    <row r="27996">
      <c r="A27996" s="4" t="s">
        <v>35256</v>
      </c>
      <c r="B27996" s="4" t="s">
        <v>35258</v>
      </c>
      <c r="C27996" s="5" t="str">
        <f>IFERROR(__xludf.DUMMYFUNCTION("GOOGLETRANSLATE(B27996,""en"",""it"")"),"Una folla applaude seduta dietro la pista da bowling.")</f>
        <v>Una folla applaude seduta dietro la pista da bowling.</v>
      </c>
    </row>
    <row r="27997">
      <c r="A27997" s="4" t="s">
        <v>35256</v>
      </c>
      <c r="B27997" s="4" t="s">
        <v>35259</v>
      </c>
      <c r="C27997" s="5" t="str">
        <f>IFERROR(__xludf.DUMMYFUNCTION("GOOGLETRANSLATE(B27997,""en"",""it"")"),"Un uomo bacia un trofeo tra le mani.")</f>
        <v>Un uomo bacia un trofeo tra le mani.</v>
      </c>
    </row>
    <row r="27998">
      <c r="A27998" s="4" t="s">
        <v>35260</v>
      </c>
      <c r="B27998" s="4" t="s">
        <v>35261</v>
      </c>
      <c r="C27998" s="5" t="str">
        <f>IFERROR(__xludf.DUMMYFUNCTION("GOOGLETRANSLATE(B27998,""en"",""it"")"),"Le persone sono in piedi in una stanza giocando a tennis.")</f>
        <v>Le persone sono in piedi in una stanza giocando a tennis.</v>
      </c>
    </row>
    <row r="27999">
      <c r="A27999" s="4" t="s">
        <v>35260</v>
      </c>
      <c r="B27999" s="4" t="s">
        <v>35262</v>
      </c>
      <c r="C27999" s="5" t="str">
        <f>IFERROR(__xludf.DUMMYFUNCTION("GOOGLETRANSLATE(B27999,""en"",""it"")"),"Una donna raccoglie una palla che cade a terra.")</f>
        <v>Una donna raccoglie una palla che cade a terra.</v>
      </c>
    </row>
    <row r="28000">
      <c r="A28000" s="4" t="s">
        <v>35260</v>
      </c>
      <c r="B28000" s="4" t="s">
        <v>35263</v>
      </c>
      <c r="C28000" s="5" t="str">
        <f>IFERROR(__xludf.DUMMYFUNCTION("GOOGLETRANSLATE(B28000,""en"",""it"")"),"La ragazza si avvicina alla rete.")</f>
        <v>La ragazza si avvicina alla rete.</v>
      </c>
    </row>
    <row r="28001">
      <c r="A28001" s="4" t="s">
        <v>35264</v>
      </c>
      <c r="B28001" s="4" t="s">
        <v>35265</v>
      </c>
      <c r="C28001" s="5" t="str">
        <f>IFERROR(__xludf.DUMMYFUNCTION("GOOGLETRANSLATE(B28001,""en"",""it"")"),"Due giovani uomini lottano in cucina usando una sedia da gatto in piedi come un tavolo.")</f>
        <v>Due giovani uomini lottano in cucina usando una sedia da gatto in piedi come un tavolo.</v>
      </c>
    </row>
    <row r="28002">
      <c r="A28002" s="4" t="s">
        <v>35264</v>
      </c>
      <c r="B28002" s="6" t="s">
        <v>35266</v>
      </c>
      <c r="C28002" s="5" t="str">
        <f>IFERROR(__xludf.DUMMYFUNCTION("GOOGLETRANSLATE(B28002,""en"",""it"")"),"Un giovane in una canotta bianca mette il gomito su una sedia di gatto elevata insieme a un altro giovane con una camicia nera.")</f>
        <v>Un giovane in una canotta bianca mette il gomito su una sedia di gatto elevata insieme a un altro giovane con una camicia nera.</v>
      </c>
    </row>
    <row r="28003">
      <c r="A28003" s="4" t="s">
        <v>35264</v>
      </c>
      <c r="B28003" s="4" t="s">
        <v>35267</v>
      </c>
      <c r="C28003" s="5" t="str">
        <f>IFERROR(__xludf.DUMMYFUNCTION("GOOGLETRANSLATE(B28003,""en"",""it"")"),"I due giovani iniziano a armare il lotta.")</f>
        <v>I due giovani iniziano a armare il lotta.</v>
      </c>
    </row>
    <row r="28004">
      <c r="A28004" s="4" t="s">
        <v>35264</v>
      </c>
      <c r="B28004" s="6" t="s">
        <v>35268</v>
      </c>
      <c r="C28004" s="5" t="str">
        <f>IFERROR(__xludf.DUMMYFUNCTION("GOOGLETRANSLATE(B28004,""en"",""it"")"),"L'uomo con la camicia nera vince la partita di wrestling del braccio, a quel punto l'uomo nella canotta bianca, si trova di fronte a un frigorifero accanto a una ragazza che beve una bevanda in scatola.")</f>
        <v>L'uomo con la camicia nera vince la partita di wrestling del braccio, a quel punto l'uomo nella canotta bianca, si trova di fronte a un frigorifero accanto a una ragazza che beve una bevanda in scatola.</v>
      </c>
    </row>
    <row r="28005">
      <c r="A28005" s="4" t="s">
        <v>35269</v>
      </c>
      <c r="B28005" s="4" t="s">
        <v>35270</v>
      </c>
      <c r="C28005" s="5" t="str">
        <f>IFERROR(__xludf.DUMMYFUNCTION("GOOGLETRANSLATE(B28005,""en"",""it"")"),"Un uomo e una donna sono in una cucina.")</f>
        <v>Un uomo e una donna sono in una cucina.</v>
      </c>
    </row>
    <row r="28006">
      <c r="A28006" s="4" t="s">
        <v>35269</v>
      </c>
      <c r="B28006" s="4" t="s">
        <v>35271</v>
      </c>
      <c r="C28006" s="5" t="str">
        <f>IFERROR(__xludf.DUMMYFUNCTION("GOOGLETRANSLATE(B28006,""en"",""it"")"),"La donna sta tagliando varie verdure su un vassoio bianco.")</f>
        <v>La donna sta tagliando varie verdure su un vassoio bianco.</v>
      </c>
    </row>
    <row r="28007">
      <c r="A28007" s="4" t="s">
        <v>35272</v>
      </c>
      <c r="B28007" s="4" t="s">
        <v>35273</v>
      </c>
      <c r="C28007" s="5" t="str">
        <f>IFERROR(__xludf.DUMMYFUNCTION("GOOGLETRANSLATE(B28007,""en"",""it"")"),"Una folla enorme è sugli spalti in un'arena.")</f>
        <v>Una folla enorme è sugli spalti in un'arena.</v>
      </c>
    </row>
    <row r="28008">
      <c r="A28008" s="4" t="s">
        <v>35272</v>
      </c>
      <c r="B28008" s="4" t="s">
        <v>35274</v>
      </c>
      <c r="C28008" s="5" t="str">
        <f>IFERROR(__xludf.DUMMYFUNCTION("GOOGLETRANSLATE(B28008,""en"",""it"")"),"Un uomo lancia un giavellotto.")</f>
        <v>Un uomo lancia un giavellotto.</v>
      </c>
    </row>
    <row r="28009">
      <c r="A28009" s="4" t="s">
        <v>35272</v>
      </c>
      <c r="B28009" s="4" t="s">
        <v>35275</v>
      </c>
      <c r="C28009" s="5" t="str">
        <f>IFERROR(__xludf.DUMMYFUNCTION("GOOGLETRANSLATE(B28009,""en"",""it"")"),"I fotografi scattano foto sullo sfondo.")</f>
        <v>I fotografi scattano foto sullo sfondo.</v>
      </c>
    </row>
    <row r="28010">
      <c r="A28010" s="4" t="s">
        <v>35272</v>
      </c>
      <c r="B28010" s="4" t="s">
        <v>35276</v>
      </c>
      <c r="C28010" s="5" t="str">
        <f>IFERROR(__xludf.DUMMYFUNCTION("GOOGLETRANSLATE(B28010,""en"",""it"")"),"Diversi uomini corrono dove atterra il giavellotto.")</f>
        <v>Diversi uomini corrono dove atterra il giavellotto.</v>
      </c>
    </row>
    <row r="28011">
      <c r="A28011" s="4" t="s">
        <v>35272</v>
      </c>
      <c r="B28011" s="4" t="s">
        <v>35277</v>
      </c>
      <c r="C28011" s="5" t="str">
        <f>IFERROR(__xludf.DUMMYFUNCTION("GOOGLETRANSLATE(B28011,""en"",""it"")"),"L'uomo che ha lanciato il giavellotto celebra.")</f>
        <v>L'uomo che ha lanciato il giavellotto celebra.</v>
      </c>
    </row>
    <row r="28012">
      <c r="A28012" s="4" t="s">
        <v>35272</v>
      </c>
      <c r="B28012" s="4" t="s">
        <v>35278</v>
      </c>
      <c r="C28012" s="5" t="str">
        <f>IFERROR(__xludf.DUMMYFUNCTION("GOOGLETRANSLATE(B28012,""en"",""it"")"),"Un altro uomo lancia un giavellotto.")</f>
        <v>Un altro uomo lancia un giavellotto.</v>
      </c>
    </row>
    <row r="28013">
      <c r="A28013" s="4" t="s">
        <v>35272</v>
      </c>
      <c r="B28013" s="4" t="s">
        <v>35279</v>
      </c>
      <c r="C28013" s="5" t="str">
        <f>IFERROR(__xludf.DUMMYFUNCTION("GOOGLETRANSLATE(B28013,""en"",""it"")"),"Le persone camminano tutt'intorno facendo cose diverse.")</f>
        <v>Le persone camminano tutt'intorno facendo cose diverse.</v>
      </c>
    </row>
    <row r="28014">
      <c r="A28014" s="4" t="s">
        <v>35272</v>
      </c>
      <c r="B28014" s="4" t="s">
        <v>35280</v>
      </c>
      <c r="C28014" s="5" t="str">
        <f>IFERROR(__xludf.DUMMYFUNCTION("GOOGLETRANSLATE(B28014,""en"",""it"")"),"Diversi uomini finiscono dove il giavellotto torna di nuovo.")</f>
        <v>Diversi uomini finiscono dove il giavellotto torna di nuovo.</v>
      </c>
    </row>
    <row r="28015">
      <c r="A28015" s="4" t="s">
        <v>35272</v>
      </c>
      <c r="B28015" s="4" t="s">
        <v>35281</v>
      </c>
      <c r="C28015" s="5" t="str">
        <f>IFERROR(__xludf.DUMMYFUNCTION("GOOGLETRANSLATE(B28015,""en"",""it"")"),"Il secondo uomo a gettare il giavellotto e un uomo sugli spalti festeggiano.")</f>
        <v>Il secondo uomo a gettare il giavellotto e un uomo sugli spalti festeggiano.</v>
      </c>
    </row>
    <row r="28016">
      <c r="A28016" s="4" t="s">
        <v>35272</v>
      </c>
      <c r="B28016" s="4" t="s">
        <v>35282</v>
      </c>
      <c r="C28016" s="5" t="str">
        <f>IFERROR(__xludf.DUMMYFUNCTION("GOOGLETRANSLATE(B28016,""en"",""it"")"),"Un terzo uomo lancia un giavellotto così forte che cade.")</f>
        <v>Un terzo uomo lancia un giavellotto così forte che cade.</v>
      </c>
    </row>
    <row r="28017">
      <c r="A28017" s="4" t="s">
        <v>35272</v>
      </c>
      <c r="B28017" s="4" t="s">
        <v>35283</v>
      </c>
      <c r="C28017" s="5" t="str">
        <f>IFERROR(__xludf.DUMMYFUNCTION("GOOGLETRANSLATE(B28017,""en"",""it"")"),"Gli stessi uomini corrono al punto di atterraggio del giavellotto.")</f>
        <v>Gli stessi uomini corrono al punto di atterraggio del giavellotto.</v>
      </c>
    </row>
    <row r="28018">
      <c r="A28018" s="4" t="s">
        <v>35272</v>
      </c>
      <c r="B28018" s="4" t="s">
        <v>35284</v>
      </c>
      <c r="C28018" s="5" t="str">
        <f>IFERROR(__xludf.DUMMYFUNCTION("GOOGLETRANSLATE(B28018,""en"",""it"")"),"Il terzo uomo si allontana sembrando deluso.")</f>
        <v>Il terzo uomo si allontana sembrando deluso.</v>
      </c>
    </row>
    <row r="28019">
      <c r="A28019" s="4" t="s">
        <v>35272</v>
      </c>
      <c r="B28019" s="4" t="s">
        <v>35285</v>
      </c>
      <c r="C28019" s="5" t="str">
        <f>IFERROR(__xludf.DUMMYFUNCTION("GOOGLETRANSLATE(B28019,""en"",""it"")"),"Un quarto uomo lancia un giavellotto.")</f>
        <v>Un quarto uomo lancia un giavellotto.</v>
      </c>
    </row>
    <row r="28020">
      <c r="A28020" s="4" t="s">
        <v>35272</v>
      </c>
      <c r="B28020" s="4" t="s">
        <v>35286</v>
      </c>
      <c r="C28020" s="5" t="str">
        <f>IFERROR(__xludf.DUMMYFUNCTION("GOOGLETRANSLATE(B28020,""en"",""it"")"),"Ancora una volta, gli uomini corrono dove atterra il giavellotto.")</f>
        <v>Ancora una volta, gli uomini corrono dove atterra il giavellotto.</v>
      </c>
    </row>
    <row r="28021">
      <c r="A28021" s="4" t="s">
        <v>35272</v>
      </c>
      <c r="B28021" s="4" t="s">
        <v>35287</v>
      </c>
      <c r="C28021" s="5" t="str">
        <f>IFERROR(__xludf.DUMMYFUNCTION("GOOGLETRANSLATE(B28021,""en"",""it"")"),"Il quarto uomo sembra deluso alla ricerca della giacca.")</f>
        <v>Il quarto uomo sembra deluso alla ricerca della giacca.</v>
      </c>
    </row>
    <row r="28022">
      <c r="A28022" s="4" t="s">
        <v>35272</v>
      </c>
      <c r="B28022" s="4" t="s">
        <v>35288</v>
      </c>
      <c r="C28022" s="5" t="str">
        <f>IFERROR(__xludf.DUMMYFUNCTION("GOOGLETRANSLATE(B28022,""en"",""it"")"),"Il primo uomo a lanciare un giavellotto corre in giro per festeggiare e abbraccia un altro uomo.")</f>
        <v>Il primo uomo a lanciare un giavellotto corre in giro per festeggiare e abbraccia un altro uomo.</v>
      </c>
    </row>
    <row r="28023">
      <c r="A28023" s="4" t="s">
        <v>35272</v>
      </c>
      <c r="B28023" s="4" t="s">
        <v>35289</v>
      </c>
      <c r="C28023" s="5" t="str">
        <f>IFERROR(__xludf.DUMMYFUNCTION("GOOGLETRANSLATE(B28023,""en"",""it"")"),"Un uomo mette una medaglia d'oro intorno al collo del primo lanciatore di giavellotto e scuote la mano.")</f>
        <v>Un uomo mette una medaglia d'oro intorno al collo del primo lanciatore di giavellotto e scuote la mano.</v>
      </c>
    </row>
    <row r="28024">
      <c r="A28024" s="4" t="s">
        <v>35272</v>
      </c>
      <c r="B28024" s="4" t="s">
        <v>35290</v>
      </c>
      <c r="C28024" s="5" t="str">
        <f>IFERROR(__xludf.DUMMYFUNCTION("GOOGLETRANSLATE(B28024,""en"",""it"")"),"Mette una medaglia d'argento sul secondo lanciatore.")</f>
        <v>Mette una medaglia d'argento sul secondo lanciatore.</v>
      </c>
    </row>
    <row r="28025">
      <c r="A28025" s="4" t="s">
        <v>35272</v>
      </c>
      <c r="B28025" s="4" t="s">
        <v>35291</v>
      </c>
      <c r="C28025" s="5" t="str">
        <f>IFERROR(__xludf.DUMMYFUNCTION("GOOGLETRANSLATE(B28025,""en"",""it"")"),"Mette una medaglia di bronzo sul terzo lanciatore.")</f>
        <v>Mette una medaglia di bronzo sul terzo lanciatore.</v>
      </c>
    </row>
    <row r="28026">
      <c r="A28026" s="4" t="s">
        <v>35272</v>
      </c>
      <c r="B28026" s="4" t="s">
        <v>35292</v>
      </c>
      <c r="C28026" s="5" t="str">
        <f>IFERROR(__xludf.DUMMYFUNCTION("GOOGLETRANSLATE(B28026,""en"",""it"")"),"Tutti gli uomini si stringono la mano.")</f>
        <v>Tutti gli uomini si stringono la mano.</v>
      </c>
    </row>
    <row r="28027">
      <c r="A28027" s="4" t="s">
        <v>35272</v>
      </c>
      <c r="B28027" s="4" t="s">
        <v>35293</v>
      </c>
      <c r="C28027" s="5" t="str">
        <f>IFERROR(__xludf.DUMMYFUNCTION("GOOGLETRANSLATE(B28027,""en"",""it"")"),"Il vincitore della medaglia d'oro parla con una persona.")</f>
        <v>Il vincitore della medaglia d'oro parla con una persona.</v>
      </c>
    </row>
    <row r="28028">
      <c r="A28028" s="4" t="s">
        <v>35272</v>
      </c>
      <c r="B28028" s="4" t="s">
        <v>35294</v>
      </c>
      <c r="C28028" s="5" t="str">
        <f>IFERROR(__xludf.DUMMYFUNCTION("GOOGLETRANSLATE(B28028,""en"",""it"")"),"La medaglia d'argento parla con una persona di notizie.")</f>
        <v>La medaglia d'argento parla con una persona di notizie.</v>
      </c>
    </row>
    <row r="28029">
      <c r="A28029" s="4" t="s">
        <v>35295</v>
      </c>
      <c r="B28029" s="4" t="s">
        <v>35296</v>
      </c>
      <c r="C28029" s="5" t="str">
        <f>IFERROR(__xludf.DUMMYFUNCTION("GOOGLETRANSLATE(B28029,""en"",""it"")"),"Due persone si stanno allenando sulle bici da esercizio.")</f>
        <v>Due persone si stanno allenando sulle bici da esercizio.</v>
      </c>
    </row>
    <row r="28030">
      <c r="A28030" s="4" t="s">
        <v>35295</v>
      </c>
      <c r="B28030" s="4" t="s">
        <v>35297</v>
      </c>
      <c r="C28030" s="5" t="str">
        <f>IFERROR(__xludf.DUMMYFUNCTION("GOOGLETRANSLATE(B28030,""en"",""it"")"),"Quello che indossa una parrucca blu mette le mani in aria.")</f>
        <v>Quello che indossa una parrucca blu mette le mani in aria.</v>
      </c>
    </row>
    <row r="28031">
      <c r="A28031" s="4" t="s">
        <v>35295</v>
      </c>
      <c r="B28031" s="4" t="s">
        <v>35298</v>
      </c>
      <c r="C28031" s="5" t="str">
        <f>IFERROR(__xludf.DUMMYFUNCTION("GOOGLETRANSLATE(B28031,""en"",""it"")"),"Le persone sono di fronte a loro anche in bici da esercizio.")</f>
        <v>Le persone sono di fronte a loro anche in bici da esercizio.</v>
      </c>
    </row>
    <row r="28032">
      <c r="A28032" s="4" t="s">
        <v>35299</v>
      </c>
      <c r="B28032" s="4" t="s">
        <v>35300</v>
      </c>
      <c r="C28032" s="5" t="str">
        <f>IFERROR(__xludf.DUMMYFUNCTION("GOOGLETRANSLATE(B28032,""en"",""it"")"),"Una persona copre il pavimento con piastrelle.")</f>
        <v>Una persona copre il pavimento con piastrelle.</v>
      </c>
    </row>
    <row r="28033">
      <c r="A28033" s="4" t="s">
        <v>35299</v>
      </c>
      <c r="B28033" s="4" t="s">
        <v>35301</v>
      </c>
      <c r="C28033" s="5" t="str">
        <f>IFERROR(__xludf.DUMMYFUNCTION("GOOGLETRANSLATE(B28033,""en"",""it"")"),"Quindi, un altro uomo viene e aiuta a coprire il pavimento con le piastrelle.")</f>
        <v>Quindi, un altro uomo viene e aiuta a coprire il pavimento con le piastrelle.</v>
      </c>
    </row>
    <row r="28034">
      <c r="A28034" s="4" t="s">
        <v>35302</v>
      </c>
      <c r="B28034" s="4" t="s">
        <v>35303</v>
      </c>
      <c r="C28034" s="5" t="str">
        <f>IFERROR(__xludf.DUMMYFUNCTION("GOOGLETRANSLATE(B28034,""en"",""it"")"),"Due uomini sono in piedi davanti a una siepe alta con trimmer.")</f>
        <v>Due uomini sono in piedi davanti a una siepe alta con trimmer.</v>
      </c>
    </row>
    <row r="28035">
      <c r="A28035" s="4" t="s">
        <v>35302</v>
      </c>
      <c r="B28035" s="4" t="s">
        <v>35304</v>
      </c>
      <c r="C28035" s="5" t="str">
        <f>IFERROR(__xludf.DUMMYFUNCTION("GOOGLETRANSLATE(B28035,""en"",""it"")"),"Gli uomini tagliano la cima della siepe.")</f>
        <v>Gli uomini tagliano la cima della siepe.</v>
      </c>
    </row>
    <row r="28036">
      <c r="A28036" s="4" t="s">
        <v>35302</v>
      </c>
      <c r="B28036" s="4" t="s">
        <v>35305</v>
      </c>
      <c r="C28036" s="5" t="str">
        <f>IFERROR(__xludf.DUMMYFUNCTION("GOOGLETRANSLATE(B28036,""en"",""it"")"),"Le foglie cade dalla cima della siepe.")</f>
        <v>Le foglie cade dalla cima della siepe.</v>
      </c>
    </row>
    <row r="28037">
      <c r="A28037" s="4" t="s">
        <v>35306</v>
      </c>
      <c r="B28037" s="4" t="s">
        <v>35307</v>
      </c>
      <c r="C28037" s="5" t="str">
        <f>IFERROR(__xludf.DUMMYFUNCTION("GOOGLETRANSLATE(B28037,""en"",""it"")"),"Un uomo sta usando una grande scopa in un parcheggio.")</f>
        <v>Un uomo sta usando una grande scopa in un parcheggio.</v>
      </c>
    </row>
    <row r="28038">
      <c r="A28038" s="4" t="s">
        <v>35306</v>
      </c>
      <c r="B28038" s="4" t="s">
        <v>35308</v>
      </c>
      <c r="C28038" s="5" t="str">
        <f>IFERROR(__xludf.DUMMYFUNCTION("GOOGLETRANSLATE(B28038,""en"",""it"")"),"Gira la scopa in cerchio intorno a lui.")</f>
        <v>Gira la scopa in cerchio intorno a lui.</v>
      </c>
    </row>
    <row r="28039">
      <c r="A28039" s="4" t="s">
        <v>35306</v>
      </c>
      <c r="B28039" s="4" t="s">
        <v>35309</v>
      </c>
      <c r="C28039" s="5" t="str">
        <f>IFERROR(__xludf.DUMMYFUNCTION("GOOGLETRANSLATE(B28039,""en"",""it"")"),"La rotazione spazzola le pile di foglie fuori dal parcheggio.")</f>
        <v>La rotazione spazzola le pile di foglie fuori dal parcheggio.</v>
      </c>
    </row>
    <row r="28040">
      <c r="A28040" s="4" t="s">
        <v>35310</v>
      </c>
      <c r="B28040" s="6" t="s">
        <v>35311</v>
      </c>
      <c r="C28040" s="5" t="str">
        <f>IFERROR(__xludf.DUMMYFUNCTION("GOOGLETRANSLATE(B28040,""en"",""it"")"),"Viene vista una donna parlare alla telecamera mentre tiene uno straccio e una pulizia e porta a spruzzare i guanti e spostarli lungo un piano.")</f>
        <v>Viene vista una donna parlare alla telecamera mentre tiene uno straccio e una pulizia e porta a spruzzare i guanti e spostarli lungo un piano.</v>
      </c>
    </row>
    <row r="28041">
      <c r="A28041" s="4" t="s">
        <v>35310</v>
      </c>
      <c r="B28041" s="4" t="s">
        <v>35312</v>
      </c>
      <c r="C28041" s="5" t="str">
        <f>IFERROR(__xludf.DUMMYFUNCTION("GOOGLETRANSLATE(B28041,""en"",""it"")"),"La donna continua a pulire tutto intorno al piano e termina parlando alla telecamera.")</f>
        <v>La donna continua a pulire tutto intorno al piano e termina parlando alla telecamera.</v>
      </c>
    </row>
    <row r="28042">
      <c r="A28042" s="4" t="s">
        <v>35313</v>
      </c>
      <c r="B28042" s="4" t="s">
        <v>27371</v>
      </c>
      <c r="C28042" s="5" t="str">
        <f>IFERROR(__xludf.DUMMYFUNCTION("GOOGLETRANSLATE(B28042,""en"",""it"")"),"Vediamo una schermata del titolo verde.")</f>
        <v>Vediamo una schermata del titolo verde.</v>
      </c>
    </row>
    <row r="28043">
      <c r="A28043" s="4" t="s">
        <v>35313</v>
      </c>
      <c r="B28043" s="4" t="s">
        <v>35314</v>
      </c>
      <c r="C28043" s="5" t="str">
        <f>IFERROR(__xludf.DUMMYFUNCTION("GOOGLETRANSLATE(B28043,""en"",""it"")"),"Le persone corrono in giro su un campo giocando una partita di lacrosse.")</f>
        <v>Le persone corrono in giro su un campo giocando una partita di lacrosse.</v>
      </c>
    </row>
    <row r="28044">
      <c r="A28044" s="4" t="s">
        <v>35313</v>
      </c>
      <c r="B28044" s="4" t="s">
        <v>35315</v>
      </c>
      <c r="C28044" s="5" t="str">
        <f>IFERROR(__xludf.DUMMYFUNCTION("GOOGLETRANSLATE(B28044,""en"",""it"")"),"Un uomo in pantaloncini bianchi si siede davanti alla fotocamera.")</f>
        <v>Un uomo in pantaloncini bianchi si siede davanti alla fotocamera.</v>
      </c>
    </row>
    <row r="28045">
      <c r="A28045" s="4" t="s">
        <v>35313</v>
      </c>
      <c r="B28045" s="4" t="s">
        <v>35316</v>
      </c>
      <c r="C28045" s="5" t="str">
        <f>IFERROR(__xludf.DUMMYFUNCTION("GOOGLETRANSLATE(B28045,""en"",""it"")"),"Un uomo bussa a uno dei suoi compagni di squadra.")</f>
        <v>Un uomo bussa a uno dei suoi compagni di squadra.</v>
      </c>
    </row>
    <row r="28046">
      <c r="A28046" s="4" t="s">
        <v>35313</v>
      </c>
      <c r="B28046" s="4" t="s">
        <v>35317</v>
      </c>
      <c r="C28046" s="5" t="str">
        <f>IFERROR(__xludf.DUMMYFUNCTION("GOOGLETRANSLATE(B28046,""en"",""it"")"),"Due uomini quasi si schiantano contro la telecamera.")</f>
        <v>Due uomini quasi si schiantano contro la telecamera.</v>
      </c>
    </row>
    <row r="28047">
      <c r="A28047" s="4" t="s">
        <v>35313</v>
      </c>
      <c r="B28047" s="4" t="s">
        <v>35318</v>
      </c>
      <c r="C28047" s="5" t="str">
        <f>IFERROR(__xludf.DUMMYFUNCTION("GOOGLETRANSLATE(B28047,""en"",""it"")"),"Un gruppo di giocatori combattono sopra la palla.")</f>
        <v>Un gruppo di giocatori combattono sopra la palla.</v>
      </c>
    </row>
    <row r="28048">
      <c r="A28048" s="4" t="s">
        <v>35313</v>
      </c>
      <c r="B28048" s="4" t="s">
        <v>35319</v>
      </c>
      <c r="C28048" s="5" t="str">
        <f>IFERROR(__xludf.DUMMYFUNCTION("GOOGLETRANSLATE(B28048,""en"",""it"")"),"Un uomo colpisce la palla lontano attraverso il campo.")</f>
        <v>Un uomo colpisce la palla lontano attraverso il campo.</v>
      </c>
    </row>
    <row r="28049">
      <c r="A28049" s="4" t="s">
        <v>35313</v>
      </c>
      <c r="B28049" s="4" t="s">
        <v>35320</v>
      </c>
      <c r="C28049" s="5" t="str">
        <f>IFERROR(__xludf.DUMMYFUNCTION("GOOGLETRANSLATE(B28049,""en"",""it"")"),"Lo schermo si attenua al verde.")</f>
        <v>Lo schermo si attenua al verde.</v>
      </c>
    </row>
    <row r="28050">
      <c r="A28050" s="4" t="s">
        <v>35321</v>
      </c>
      <c r="B28050" s="6" t="s">
        <v>35322</v>
      </c>
      <c r="C28050" s="5" t="str">
        <f>IFERROR(__xludf.DUMMYFUNCTION("GOOGLETRANSLATE(B28050,""en"",""it"")"),"Un uomo è seduto su un cavallo e tiene in mano un lazo mentre gli assistenti si trovano e un pubblico guardano.")</f>
        <v>Un uomo è seduto su un cavallo e tiene in mano un lazo mentre gli assistenti si trovano e un pubblico guardano.</v>
      </c>
    </row>
    <row r="28051">
      <c r="A28051" s="4" t="s">
        <v>35321</v>
      </c>
      <c r="B28051" s="4" t="s">
        <v>35323</v>
      </c>
      <c r="C28051" s="5" t="str">
        <f>IFERROR(__xludf.DUMMYFUNCTION("GOOGLETRANSLATE(B28051,""en"",""it"")"),"Viene rilasciata una mucca e l'uomo insegue.")</f>
        <v>Viene rilasciata una mucca e l'uomo insegue.</v>
      </c>
    </row>
    <row r="28052">
      <c r="A28052" s="4" t="s">
        <v>35321</v>
      </c>
      <c r="B28052" s="4" t="s">
        <v>35324</v>
      </c>
      <c r="C28052" s="5" t="str">
        <f>IFERROR(__xludf.DUMMYFUNCTION("GOOGLETRANSLATE(B28052,""en"",""it"")"),"L'uomo lassos e lo lega.")</f>
        <v>L'uomo lassos e lo lega.</v>
      </c>
    </row>
    <row r="28053">
      <c r="A28053" s="4" t="s">
        <v>35321</v>
      </c>
      <c r="B28053" s="4" t="s">
        <v>35325</v>
      </c>
      <c r="C28053" s="5" t="str">
        <f>IFERROR(__xludf.DUMMYFUNCTION("GOOGLETRANSLATE(B28053,""en"",""it"")"),"Un uomo entra brevemente nella cornice della fotocamera.")</f>
        <v>Un uomo entra brevemente nella cornice della fotocamera.</v>
      </c>
    </row>
    <row r="28054">
      <c r="A28054" s="4" t="s">
        <v>35321</v>
      </c>
      <c r="B28054" s="4" t="s">
        <v>35326</v>
      </c>
      <c r="C28054" s="5" t="str">
        <f>IFERROR(__xludf.DUMMYFUNCTION("GOOGLETRANSLATE(B28054,""en"",""it"")"),"Un altro uomo è seduto su un cavallo e tiene un lazo nella stessa cornice.")</f>
        <v>Un altro uomo è seduto su un cavallo e tiene un lazo nella stessa cornice.</v>
      </c>
    </row>
    <row r="28055">
      <c r="A28055" s="4" t="s">
        <v>35321</v>
      </c>
      <c r="B28055" s="4" t="s">
        <v>35327</v>
      </c>
      <c r="C28055" s="5" t="str">
        <f>IFERROR(__xludf.DUMMYFUNCTION("GOOGLETRANSLATE(B28055,""en"",""it"")"),"Viene rilasciata una mucca e il secondo uomo insegue.")</f>
        <v>Viene rilasciata una mucca e il secondo uomo insegue.</v>
      </c>
    </row>
    <row r="28056">
      <c r="A28056" s="4" t="s">
        <v>35321</v>
      </c>
      <c r="B28056" s="4" t="s">
        <v>35328</v>
      </c>
      <c r="C28056" s="5" t="str">
        <f>IFERROR(__xludf.DUMMYFUNCTION("GOOGLETRANSLATE(B28056,""en"",""it"")"),"Il secondo uomo lassos e lo lega.")</f>
        <v>Il secondo uomo lassos e lo lega.</v>
      </c>
    </row>
    <row r="28057">
      <c r="A28057" s="4" t="s">
        <v>35321</v>
      </c>
      <c r="B28057" s="4" t="s">
        <v>35329</v>
      </c>
      <c r="C28057" s="5" t="str">
        <f>IFERROR(__xludf.DUMMYFUNCTION("GOOGLETRANSLATE(B28057,""en"",""it"")"),"Due cavalieri e due assistenti entrano nel frame.")</f>
        <v>Due cavalieri e due assistenti entrano nel frame.</v>
      </c>
    </row>
    <row r="28058">
      <c r="A28058" s="4" t="s">
        <v>35330</v>
      </c>
      <c r="B28058" s="6" t="s">
        <v>35331</v>
      </c>
      <c r="C28058" s="5" t="str">
        <f>IFERROR(__xludf.DUMMYFUNCTION("GOOGLETRANSLATE(B28058,""en"",""it"")"),"Un uomo bungee salta da una capsula elevata in un corpo d'acqua sotto di lui in una foresta come l'ambiente.")</f>
        <v>Un uomo bungee salta da una capsula elevata in un corpo d'acqua sotto di lui in una foresta come l'ambiente.</v>
      </c>
    </row>
    <row r="28059">
      <c r="A28059" s="4" t="s">
        <v>35330</v>
      </c>
      <c r="B28059" s="4" t="s">
        <v>35332</v>
      </c>
      <c r="C28059" s="5" t="str">
        <f>IFERROR(__xludf.DUMMYFUNCTION("GOOGLETRANSLATE(B28059,""en"",""it"")"),"Un uomo con una camicia blu è legato a un imbracatura di salto di bungee.")</f>
        <v>Un uomo con una camicia blu è legato a un imbracatura di salto di bungee.</v>
      </c>
    </row>
    <row r="28060">
      <c r="A28060" s="4" t="s">
        <v>35330</v>
      </c>
      <c r="B28060" s="4" t="s">
        <v>35333</v>
      </c>
      <c r="C28060" s="5" t="str">
        <f>IFERROR(__xludf.DUMMYFUNCTION("GOOGLETRANSLATE(B28060,""en"",""it"")"),"L'uomo viene quindi sollevato nell'aria in una capsula gialla con una guida, in alto sopra un corpo d'acqua.")</f>
        <v>L'uomo viene quindi sollevato nell'aria in una capsula gialla con una guida, in alto sopra un corpo d'acqua.</v>
      </c>
    </row>
    <row r="28061">
      <c r="A28061" s="4" t="s">
        <v>35330</v>
      </c>
      <c r="B28061" s="6" t="s">
        <v>35334</v>
      </c>
      <c r="C28061" s="5" t="str">
        <f>IFERROR(__xludf.DUMMYFUNCTION("GOOGLETRANSLATE(B28061,""en"",""it"")"),"L'uomo salta quindi fuori dalla capsula e cade dalla distanza tra la capsula e l'acqua e piove nell'acqua.")</f>
        <v>L'uomo salta quindi fuori dalla capsula e cade dalla distanza tra la capsula e l'acqua e piove nell'acqua.</v>
      </c>
    </row>
    <row r="28062">
      <c r="A28062" s="4" t="s">
        <v>35335</v>
      </c>
      <c r="B28062" s="4" t="s">
        <v>35336</v>
      </c>
      <c r="C28062" s="5" t="str">
        <f>IFERROR(__xludf.DUMMYFUNCTION("GOOGLETRANSLATE(B28062,""en"",""it"")"),"Un uomo con una camicia blu è in piedi nei boschi che spiega qualcosa.")</f>
        <v>Un uomo con una camicia blu è in piedi nei boschi che spiega qualcosa.</v>
      </c>
    </row>
    <row r="28063">
      <c r="A28063" s="4" t="s">
        <v>35335</v>
      </c>
      <c r="B28063" s="4" t="s">
        <v>35337</v>
      </c>
      <c r="C28063" s="5" t="str">
        <f>IFERROR(__xludf.DUMMYFUNCTION("GOOGLETRANSLATE(B28063,""en"",""it"")"),"Quindi mostra come impostare il legno per un fuoco.")</f>
        <v>Quindi mostra come impostare il legno per un fuoco.</v>
      </c>
    </row>
    <row r="28064">
      <c r="A28064" s="4" t="s">
        <v>35335</v>
      </c>
      <c r="B28064" s="4" t="s">
        <v>35338</v>
      </c>
      <c r="C28064" s="5" t="str">
        <f>IFERROR(__xludf.DUMMYFUNCTION("GOOGLETRANSLATE(B28064,""en"",""it"")"),"La telecamera torna a lui in piedi.")</f>
        <v>La telecamera torna a lui in piedi.</v>
      </c>
    </row>
    <row r="28065">
      <c r="A28065" s="4" t="s">
        <v>35335</v>
      </c>
      <c r="B28065" s="4" t="s">
        <v>35339</v>
      </c>
      <c r="C28065" s="5" t="str">
        <f>IFERROR(__xludf.DUMMYFUNCTION("GOOGLETRANSLATE(B28065,""en"",""it"")"),"La fotocamera va al fuoco che viene avviata.")</f>
        <v>La fotocamera va al fuoco che viene avviata.</v>
      </c>
    </row>
    <row r="28066">
      <c r="A28066" s="4" t="s">
        <v>35335</v>
      </c>
      <c r="B28066" s="4" t="s">
        <v>35340</v>
      </c>
      <c r="C28066" s="5" t="str">
        <f>IFERROR(__xludf.DUMMYFUNCTION("GOOGLETRANSLATE(B28066,""en"",""it"")"),"La telecamera torna a lui in piedi.")</f>
        <v>La telecamera torna a lui in piedi.</v>
      </c>
    </row>
    <row r="28067">
      <c r="A28067" s="4" t="s">
        <v>35335</v>
      </c>
      <c r="B28067" s="4" t="s">
        <v>35341</v>
      </c>
      <c r="C28067" s="5" t="str">
        <f>IFERROR(__xludf.DUMMYFUNCTION("GOOGLETRANSLATE(B28067,""en"",""it"")"),"La telecamera risale a lui costruendo un diverso tipo di falò.")</f>
        <v>La telecamera risale a lui costruendo un diverso tipo di falò.</v>
      </c>
    </row>
    <row r="28068">
      <c r="A28068" s="4" t="s">
        <v>35335</v>
      </c>
      <c r="B28068" s="4" t="s">
        <v>35342</v>
      </c>
      <c r="C28068" s="5" t="str">
        <f>IFERROR(__xludf.DUMMYFUNCTION("GOOGLETRANSLATE(B28068,""en"",""it"")"),"Sta di nuovo in piedi nel bosco parlando.")</f>
        <v>Sta di nuovo in piedi nel bosco parlando.</v>
      </c>
    </row>
    <row r="28069">
      <c r="A28069" s="4" t="s">
        <v>35343</v>
      </c>
      <c r="B28069" s="6" t="s">
        <v>35344</v>
      </c>
      <c r="C28069" s="5" t="str">
        <f>IFERROR(__xludf.DUMMYFUNCTION("GOOGLETRANSLATE(B28069,""en"",""it"")"),"Viene mostrato un video su come prevenire le perdite del tetto per camper, c'è un tetto di un camper e un uomo che pulisce la colla attorno alla perdita.")</f>
        <v>Viene mostrato un video su come prevenire le perdite del tetto per camper, c'è un tetto di un camper e un uomo che pulisce la colla attorno alla perdita.</v>
      </c>
    </row>
    <row r="28070">
      <c r="A28070" s="4" t="s">
        <v>35343</v>
      </c>
      <c r="B28070" s="4" t="s">
        <v>35345</v>
      </c>
      <c r="C28070" s="5" t="str">
        <f>IFERROR(__xludf.DUMMYFUNCTION("GOOGLETRANSLATE(B28070,""en"",""it"")"),"L'uomo sta mettendo la colla bianca attorno alla perdita.")</f>
        <v>L'uomo sta mettendo la colla bianca attorno alla perdita.</v>
      </c>
    </row>
    <row r="28071">
      <c r="A28071" s="4" t="s">
        <v>35346</v>
      </c>
      <c r="B28071" s="4" t="s">
        <v>35347</v>
      </c>
      <c r="C28071" s="5" t="str">
        <f>IFERROR(__xludf.DUMMYFUNCTION("GOOGLETRANSLATE(B28071,""en"",""it"")"),"Un'introduzione arriva sullo schermo per un video sullo snowboard.")</f>
        <v>Un'introduzione arriva sullo schermo per un video sullo snowboard.</v>
      </c>
    </row>
    <row r="28072">
      <c r="A28072" s="4" t="s">
        <v>35346</v>
      </c>
      <c r="B28072" s="4" t="s">
        <v>35348</v>
      </c>
      <c r="C28072" s="5" t="str">
        <f>IFERROR(__xludf.DUMMYFUNCTION("GOOGLETRANSLATE(B28072,""en"",""it"")"),"Uno snowboarder inizia a fare qualche commento sulle sue tecniche di snowboard.")</f>
        <v>Uno snowboarder inizia a fare qualche commento sulle sue tecniche di snowboard.</v>
      </c>
    </row>
    <row r="28073">
      <c r="A28073" s="4" t="s">
        <v>35346</v>
      </c>
      <c r="B28073" s="4" t="s">
        <v>35349</v>
      </c>
      <c r="C28073" s="5" t="str">
        <f>IFERROR(__xludf.DUMMYFUNCTION("GOOGLETRANSLATE(B28073,""en"",""it"")"),"Diverse clip di snowboarder vengono mostrate eseguendo la tecnica come spiega.")</f>
        <v>Diverse clip di snowboarder vengono mostrate eseguendo la tecnica come spiega.</v>
      </c>
    </row>
    <row r="28074">
      <c r="A28074" s="4" t="s">
        <v>35346</v>
      </c>
      <c r="B28074" s="4" t="s">
        <v>4761</v>
      </c>
      <c r="C28074" s="5" t="str">
        <f>IFERROR(__xludf.DUMMYFUNCTION("GOOGLETRANSLATE(B28074,""en"",""it"")"),"Il video termina con i crediti di chiusura mostrati sullo schermo.")</f>
        <v>Il video termina con i crediti di chiusura mostrati sullo schermo.</v>
      </c>
    </row>
    <row r="28075">
      <c r="A28075" s="4" t="s">
        <v>35350</v>
      </c>
      <c r="B28075" s="4" t="s">
        <v>35351</v>
      </c>
      <c r="C28075" s="5" t="str">
        <f>IFERROR(__xludf.DUMMYFUNCTION("GOOGLETRANSLATE(B28075,""en"",""it"")"),"Lo schermo mostra lo snowboard Transworld a Keystone, in Colorado.")</f>
        <v>Lo schermo mostra lo snowboard Transworld a Keystone, in Colorado.</v>
      </c>
    </row>
    <row r="28076">
      <c r="A28076" s="4" t="s">
        <v>35350</v>
      </c>
      <c r="B28076" s="4" t="s">
        <v>35352</v>
      </c>
      <c r="C28076" s="5" t="str">
        <f>IFERROR(__xludf.DUMMYFUNCTION("GOOGLETRANSLATE(B28076,""en"",""it"")"),"Mostra i fondamenti dello snowboard di Jack Mitrani.")</f>
        <v>Mostra i fondamenti dello snowboard di Jack Mitrani.</v>
      </c>
    </row>
    <row r="28077">
      <c r="A28077" s="4" t="s">
        <v>35350</v>
      </c>
      <c r="B28077" s="6" t="s">
        <v>35353</v>
      </c>
      <c r="C28077" s="5" t="str">
        <f>IFERROR(__xludf.DUMMYFUNCTION("GOOGLETRANSLATE(B28077,""en"",""it"")"),"Una persona che indossa una felpa verde e un cappello parla degli elementi essenziali richiesti per lo snowboard.")</f>
        <v>Una persona che indossa una felpa verde e un cappello parla degli elementi essenziali richiesti per lo snowboard.</v>
      </c>
    </row>
    <row r="28078">
      <c r="A28078" s="4" t="s">
        <v>35350</v>
      </c>
      <c r="B28078" s="4" t="s">
        <v>35354</v>
      </c>
      <c r="C28078" s="5" t="str">
        <f>IFERROR(__xludf.DUMMYFUNCTION("GOOGLETRANSLATE(B28078,""en"",""it"")"),"Sta dimostrando il suo tutorial con uno snowboard posto di fronte a lui.")</f>
        <v>Sta dimostrando il suo tutorial con uno snowboard posto di fronte a lui.</v>
      </c>
    </row>
    <row r="28079">
      <c r="A28079" s="4" t="s">
        <v>35350</v>
      </c>
      <c r="B28079" s="4" t="s">
        <v>35355</v>
      </c>
      <c r="C28079" s="5" t="str">
        <f>IFERROR(__xludf.DUMMYFUNCTION("GOOGLETRANSLATE(B28079,""en"",""it"")"),"Tiene in mano un ferro in mano mentre spiega come incerare la tavola.")</f>
        <v>Tiene in mano un ferro in mano mentre spiega come incerare la tavola.</v>
      </c>
    </row>
    <row r="28080">
      <c r="A28080" s="4" t="s">
        <v>35350</v>
      </c>
      <c r="B28080" s="4" t="s">
        <v>35356</v>
      </c>
      <c r="C28080" s="5" t="str">
        <f>IFERROR(__xludf.DUMMYFUNCTION("GOOGLETRANSLATE(B28080,""en"",""it"")"),"Ha anche un pezzo di cera dura in mano e un ferro.")</f>
        <v>Ha anche un pezzo di cera dura in mano e un ferro.</v>
      </c>
    </row>
    <row r="28081">
      <c r="A28081" s="4" t="s">
        <v>35350</v>
      </c>
      <c r="B28081" s="4" t="s">
        <v>35357</v>
      </c>
      <c r="C28081" s="5" t="str">
        <f>IFERROR(__xludf.DUMMYFUNCTION("GOOGLETRANSLATE(B28081,""en"",""it"")"),"Comincia a sciogliere la cera con il ferro riscaldato e la lascia cadere sul tabellone.")</f>
        <v>Comincia a sciogliere la cera con il ferro riscaldato e la lascia cadere sul tabellone.</v>
      </c>
    </row>
    <row r="28082">
      <c r="A28082" s="4" t="s">
        <v>35350</v>
      </c>
      <c r="B28082" s="4" t="s">
        <v>35358</v>
      </c>
      <c r="C28082" s="5" t="str">
        <f>IFERROR(__xludf.DUMMYFUNCTION("GOOGLETRANSLATE(B28082,""en"",""it"")"),"Lascia cadere la cera fusa su tutta la linea.")</f>
        <v>Lascia cadere la cera fusa su tutta la linea.</v>
      </c>
    </row>
    <row r="28083">
      <c r="A28083" s="4" t="s">
        <v>35350</v>
      </c>
      <c r="B28083" s="4" t="s">
        <v>35359</v>
      </c>
      <c r="C28083" s="5" t="str">
        <f>IFERROR(__xludf.DUMMYFUNCTION("GOOGLETRANSLATE(B28083,""en"",""it"")"),"Quindi trascina la cera fusa attraverso la tavola.")</f>
        <v>Quindi trascina la cera fusa attraverso la tavola.</v>
      </c>
    </row>
    <row r="28084">
      <c r="A28084" s="4" t="s">
        <v>35350</v>
      </c>
      <c r="B28084" s="4" t="s">
        <v>35360</v>
      </c>
      <c r="C28084" s="5" t="str">
        <f>IFERROR(__xludf.DUMMYFUNCTION("GOOGLETRANSLATE(B28084,""en"",""it"")"),"Continua lo stesso processo in tutta la scheda.")</f>
        <v>Continua lo stesso processo in tutta la scheda.</v>
      </c>
    </row>
    <row r="28085">
      <c r="A28085" s="4" t="s">
        <v>35350</v>
      </c>
      <c r="B28085" s="4" t="s">
        <v>35361</v>
      </c>
      <c r="C28085" s="5" t="str">
        <f>IFERROR(__xludf.DUMMYFUNCTION("GOOGLETRANSLATE(B28085,""en"",""it"")"),"Quindi usa un raschietto per raschiare la cera e pulire la tavola.")</f>
        <v>Quindi usa un raschietto per raschiare la cera e pulire la tavola.</v>
      </c>
    </row>
    <row r="28086">
      <c r="A28086" s="4" t="s">
        <v>35350</v>
      </c>
      <c r="B28086" s="4" t="s">
        <v>35362</v>
      </c>
      <c r="C28086" s="5" t="str">
        <f>IFERROR(__xludf.DUMMYFUNCTION("GOOGLETRANSLATE(B28086,""en"",""it"")"),"Usa anche un pennello per spazzare via la cera e soffia i trucioli di cera dalla tavola.")</f>
        <v>Usa anche un pennello per spazzare via la cera e soffia i trucioli di cera dalla tavola.</v>
      </c>
    </row>
    <row r="28087">
      <c r="A28087" s="4" t="s">
        <v>35363</v>
      </c>
      <c r="B28087" s="4" t="s">
        <v>35364</v>
      </c>
      <c r="C28087" s="5" t="str">
        <f>IFERROR(__xludf.DUMMYFUNCTION("GOOGLETRANSLATE(B28087,""en"",""it"")"),"Una ginnasta femminile passa attraverso la sua routine mentre il suo allenatore supervisiona.")</f>
        <v>Una ginnasta femminile passa attraverso la sua routine mentre il suo allenatore supervisiona.</v>
      </c>
    </row>
    <row r="28088">
      <c r="A28088" s="4" t="s">
        <v>35363</v>
      </c>
      <c r="B28088" s="6" t="s">
        <v>35365</v>
      </c>
      <c r="C28088" s="5" t="str">
        <f>IFERROR(__xludf.DUMMYFUNCTION("GOOGLETRANSLATE(B28088,""en"",""it"")"),"La grafica appare nella parte inferiore dello schermo che dà il nome e il paese della ragazza che rappresenta.")</f>
        <v>La grafica appare nella parte inferiore dello schermo che dà il nome e il paese della ragazza che rappresenta.</v>
      </c>
    </row>
    <row r="28089">
      <c r="A28089" s="4" t="s">
        <v>35363</v>
      </c>
      <c r="B28089" s="4" t="s">
        <v>35366</v>
      </c>
      <c r="C28089" s="5" t="str">
        <f>IFERROR(__xludf.DUMMYFUNCTION("GOOGLETRANSLATE(B28089,""en"",""it"")"),"Il suo allenatore cammina verso i bar irregolari per posizionarsi nel caso in cui cada.")</f>
        <v>Il suo allenatore cammina verso i bar irregolari per posizionarsi nel caso in cui cada.</v>
      </c>
    </row>
    <row r="28090">
      <c r="A28090" s="4" t="s">
        <v>35363</v>
      </c>
      <c r="B28090" s="6" t="s">
        <v>35367</v>
      </c>
      <c r="C28090" s="5" t="str">
        <f>IFERROR(__xludf.DUMMYFUNCTION("GOOGLETRANSLATE(B28090,""en"",""it"")"),"L'allenatore si avvicina alle barre irregolari una seconda volta per posizionarsi per catturarla, se necessario e poi attraversa l'altra parte dei tappetini.")</f>
        <v>L'allenatore si avvicina alle barre irregolari una seconda volta per posizionarsi per catturarla, se necessario e poi attraversa l'altra parte dei tappetini.</v>
      </c>
    </row>
    <row r="28091">
      <c r="A28091" s="4" t="s">
        <v>35363</v>
      </c>
      <c r="B28091" s="4" t="s">
        <v>35368</v>
      </c>
      <c r="C28091" s="5" t="str">
        <f>IFERROR(__xludf.DUMMYFUNCTION("GOOGLETRANSLATE(B28091,""en"",""it"")"),"Scende dai bar irregolari e atterra sul tappeto e posa.")</f>
        <v>Scende dai bar irregolari e atterra sul tappeto e posa.</v>
      </c>
    </row>
    <row r="28092">
      <c r="A28092" s="4" t="s">
        <v>35369</v>
      </c>
      <c r="B28092" s="4" t="s">
        <v>35370</v>
      </c>
      <c r="C28092" s="5" t="str">
        <f>IFERROR(__xludf.DUMMYFUNCTION("GOOGLETRANSLATE(B28092,""en"",""it"")"),"Le persone sono sedute intorno a un falò.")</f>
        <v>Le persone sono sedute intorno a un falò.</v>
      </c>
    </row>
    <row r="28093">
      <c r="A28093" s="4" t="s">
        <v>35369</v>
      </c>
      <c r="B28093" s="4" t="s">
        <v>35371</v>
      </c>
      <c r="C28093" s="5" t="str">
        <f>IFERROR(__xludf.DUMMYFUNCTION("GOOGLETRANSLATE(B28093,""en"",""it"")"),"Un uomo con un cappello si alza e taglia il legno.")</f>
        <v>Un uomo con un cappello si alza e taglia il legno.</v>
      </c>
    </row>
    <row r="28094">
      <c r="A28094" s="4" t="s">
        <v>35369</v>
      </c>
      <c r="B28094" s="4" t="s">
        <v>35372</v>
      </c>
      <c r="C28094" s="5" t="str">
        <f>IFERROR(__xludf.DUMMYFUNCTION("GOOGLETRANSLATE(B28094,""en"",""it"")"),"Dà un pollice in su e gli mette l'ascia sopra la spalla.")</f>
        <v>Dà un pollice in su e gli mette l'ascia sopra la spalla.</v>
      </c>
    </row>
    <row r="28095">
      <c r="A28095" s="4" t="s">
        <v>35373</v>
      </c>
      <c r="B28095" s="4" t="s">
        <v>35374</v>
      </c>
      <c r="C28095" s="5" t="str">
        <f>IFERROR(__xludf.DUMMYFUNCTION("GOOGLETRANSLATE(B28095,""en"",""it"")"),"Un uomo porta la sua auto in spiaggia.")</f>
        <v>Un uomo porta la sua auto in spiaggia.</v>
      </c>
    </row>
    <row r="28096">
      <c r="A28096" s="4" t="s">
        <v>35373</v>
      </c>
      <c r="B28096" s="4" t="s">
        <v>35375</v>
      </c>
      <c r="C28096" s="5" t="str">
        <f>IFERROR(__xludf.DUMMYFUNCTION("GOOGLETRANSLATE(B28096,""en"",""it"")"),"Si prepara per il surf.")</f>
        <v>Si prepara per il surf.</v>
      </c>
    </row>
    <row r="28097">
      <c r="A28097" s="4" t="s">
        <v>35373</v>
      </c>
      <c r="B28097" s="4" t="s">
        <v>35376</v>
      </c>
      <c r="C28097" s="5" t="str">
        <f>IFERROR(__xludf.DUMMYFUNCTION("GOOGLETRANSLATE(B28097,""en"",""it"")"),"Quindi naviga su un'onda grande.")</f>
        <v>Quindi naviga su un'onda grande.</v>
      </c>
    </row>
    <row r="28098">
      <c r="A28098" s="4" t="s">
        <v>35373</v>
      </c>
      <c r="B28098" s="4" t="s">
        <v>35377</v>
      </c>
      <c r="C28098" s="5" t="str">
        <f>IFERROR(__xludf.DUMMYFUNCTION("GOOGLETRANSLATE(B28098,""en"",""it"")"),"Finisce e si trova sulla spiaggia.")</f>
        <v>Finisce e si trova sulla spiaggia.</v>
      </c>
    </row>
    <row r="28099">
      <c r="A28099" s="4" t="s">
        <v>35378</v>
      </c>
      <c r="B28099" s="4" t="s">
        <v>35379</v>
      </c>
      <c r="C28099" s="5" t="str">
        <f>IFERROR(__xludf.DUMMYFUNCTION("GOOGLETRANSLATE(B28099,""en"",""it"")"),"Una persona tocca la pelle con una luce verde durante la pulizia dell'area.")</f>
        <v>Una persona tocca la pelle con una luce verde durante la pulizia dell'area.</v>
      </c>
    </row>
    <row r="28100">
      <c r="A28100" s="4" t="s">
        <v>35378</v>
      </c>
      <c r="B28100" s="4" t="s">
        <v>35380</v>
      </c>
      <c r="C28100" s="5" t="str">
        <f>IFERROR(__xludf.DUMMYFUNCTION("GOOGLETRANSLATE(B28100,""en"",""it"")"),"La persona pulisce la gamba con cotone.")</f>
        <v>La persona pulisce la gamba con cotone.</v>
      </c>
    </row>
    <row r="28101">
      <c r="A28101" s="4" t="s">
        <v>35378</v>
      </c>
      <c r="B28101" s="4" t="s">
        <v>35381</v>
      </c>
      <c r="C28101" s="5" t="str">
        <f>IFERROR(__xludf.DUMMYFUNCTION("GOOGLETRANSLATE(B28101,""en"",""it"")"),"La persona continua ad applicare la luce verde.")</f>
        <v>La persona continua ad applicare la luce verde.</v>
      </c>
    </row>
    <row r="28102">
      <c r="A28102" s="4" t="s">
        <v>35382</v>
      </c>
      <c r="B28102" s="4" t="s">
        <v>35383</v>
      </c>
      <c r="C28102" s="5" t="str">
        <f>IFERROR(__xludf.DUMMYFUNCTION("GOOGLETRANSLATE(B28102,""en"",""it"")"),"Ci sono 4 bambini afroamericani che saltano in giro sul terreno di cemento.")</f>
        <v>Ci sono 4 bambini afroamericani che saltano in giro sul terreno di cemento.</v>
      </c>
    </row>
    <row r="28103">
      <c r="A28103" s="4" t="s">
        <v>35382</v>
      </c>
      <c r="B28103" s="4" t="s">
        <v>35384</v>
      </c>
      <c r="C28103" s="5" t="str">
        <f>IFERROR(__xludf.DUMMYFUNCTION("GOOGLETRANSLATE(B28103,""en"",""it"")"),"3 indossano abiti e 1 di loro indossa una camicia e pantaloni.")</f>
        <v>3 indossano abiti e 1 di loro indossa una camicia e pantaloni.</v>
      </c>
    </row>
    <row r="28104">
      <c r="A28104" s="4" t="s">
        <v>35382</v>
      </c>
      <c r="B28104" s="6" t="s">
        <v>35385</v>
      </c>
      <c r="C28104" s="5" t="str">
        <f>IFERROR(__xludf.DUMMYFUNCTION("GOOGLETRANSLATE(B28104,""en"",""it"")"),"Dopo aver finito di saltare, vanno a raccogliere verdure sul lato di un edificio e le mettono in una ciotola blu.")</f>
        <v>Dopo aver finito di saltare, vanno a raccogliere verdure sul lato di un edificio e le mettono in una ciotola blu.</v>
      </c>
    </row>
    <row r="28105">
      <c r="A28105" s="4" t="s">
        <v>35386</v>
      </c>
      <c r="B28105" s="4" t="s">
        <v>35387</v>
      </c>
      <c r="C28105" s="5" t="str">
        <f>IFERROR(__xludf.DUMMYFUNCTION("GOOGLETRANSLATE(B28105,""en"",""it"")"),"Due donne si trovano in una stanza in piedi dietro un tavolo e uno regge un orsacchiotto.")</f>
        <v>Due donne si trovano in una stanza in piedi dietro un tavolo e uno regge un orsacchiotto.</v>
      </c>
    </row>
    <row r="28106">
      <c r="A28106" s="4" t="s">
        <v>35386</v>
      </c>
      <c r="B28106" s="4" t="s">
        <v>35388</v>
      </c>
      <c r="C28106" s="5" t="str">
        <f>IFERROR(__xludf.DUMMYFUNCTION("GOOGLETRANSLATE(B28106,""en"",""it"")"),"I due si aiutano a vicenda e iniziano eliminando un rotolo di carta da avvolgimento.")</f>
        <v>I due si aiutano a vicenda e iniziano eliminando un rotolo di carta da avvolgimento.</v>
      </c>
    </row>
    <row r="28107">
      <c r="A28107" s="4" t="s">
        <v>35386</v>
      </c>
      <c r="B28107" s="4" t="s">
        <v>35389</v>
      </c>
      <c r="C28107" s="5" t="str">
        <f>IFERROR(__xludf.DUMMYFUNCTION("GOOGLETRANSLATE(B28107,""en"",""it"")"),"Dopo, la ragazza inizia a tagliare, piegare e registrarsi la carta e posizionare l'orso all'interno.")</f>
        <v>Dopo, la ragazza inizia a tagliare, piegare e registrarsi la carta e posizionare l'orso all'interno.</v>
      </c>
    </row>
    <row r="28108">
      <c r="A28108" s="4" t="s">
        <v>35386</v>
      </c>
      <c r="B28108" s="4" t="s">
        <v>35390</v>
      </c>
      <c r="C28108" s="5" t="str">
        <f>IFERROR(__xludf.DUMMYFUNCTION("GOOGLETRANSLATE(B28108,""en"",""it"")"),"Infine, l'attività è completa e tiene il prodotto finito sul tavolo.")</f>
        <v>Infine, l'attività è completa e tiene il prodotto finito sul tavolo.</v>
      </c>
    </row>
    <row r="28109">
      <c r="A28109" s="4" t="s">
        <v>35391</v>
      </c>
      <c r="B28109" s="4" t="s">
        <v>35392</v>
      </c>
      <c r="C28109" s="5" t="str">
        <f>IFERROR(__xludf.DUMMYFUNCTION("GOOGLETRANSLATE(B28109,""en"",""it"")"),"Un gruppo di uomini è fuori in piedi in un cerchio che colpisce i bastoncini mentre due maschi iniziano a combattere.")</f>
        <v>Un gruppo di uomini è fuori in piedi in un cerchio che colpisce i bastoncini mentre due maschi iniziano a combattere.</v>
      </c>
    </row>
    <row r="28110">
      <c r="A28110" s="4" t="s">
        <v>35391</v>
      </c>
      <c r="B28110" s="4" t="s">
        <v>35393</v>
      </c>
      <c r="C28110" s="5" t="str">
        <f>IFERROR(__xludf.DUMMYFUNCTION("GOOGLETRANSLATE(B28110,""en"",""it"")"),"Successivamente, altri due uomini iniziano a ballare intorno al cerchio facendo movimenti di combattimento.")</f>
        <v>Successivamente, altri due uomini iniziano a ballare intorno al cerchio facendo movimenti di combattimento.</v>
      </c>
    </row>
    <row r="28111">
      <c r="A28111" s="4" t="s">
        <v>35391</v>
      </c>
      <c r="B28111" s="6" t="s">
        <v>35394</v>
      </c>
      <c r="C28111" s="5" t="str">
        <f>IFERROR(__xludf.DUMMYFUNCTION("GOOGLETRANSLATE(B28111,""en"",""it"")"),"Dopo, gli uomini entrano nel cerchio in coppia e iniziano a ballare l'uno con l'altro come se si stessero combattendo.")</f>
        <v>Dopo, gli uomini entrano nel cerchio in coppia e iniziano a ballare l'uno con l'altro come se si stessero combattendo.</v>
      </c>
    </row>
    <row r="28112">
      <c r="A28112" s="4" t="s">
        <v>35395</v>
      </c>
      <c r="B28112" s="4" t="s">
        <v>35396</v>
      </c>
      <c r="C28112" s="5" t="str">
        <f>IFERROR(__xludf.DUMMYFUNCTION("GOOGLETRANSLATE(B28112,""en"",""it"")"),"Una ragazza video registra un uomo che lancia accendere la fine di un bastone in fiamme.")</f>
        <v>Una ragazza video registra un uomo che lancia accendere la fine di un bastone in fiamme.</v>
      </c>
    </row>
    <row r="28113">
      <c r="A28113" s="4" t="s">
        <v>35395</v>
      </c>
      <c r="B28113" s="4" t="s">
        <v>35397</v>
      </c>
      <c r="C28113" s="5" t="str">
        <f>IFERROR(__xludf.DUMMYFUNCTION("GOOGLETRANSLATE(B28113,""en"",""it"")"),"L'uomo soffia il bastone del fuoco in una pila di legno e alla fine crea un fuoco.")</f>
        <v>L'uomo soffia il bastone del fuoco in una pila di legno e alla fine crea un fuoco.</v>
      </c>
    </row>
    <row r="28114">
      <c r="A28114" s="4" t="s">
        <v>35398</v>
      </c>
      <c r="B28114" s="4" t="s">
        <v>35399</v>
      </c>
      <c r="C28114" s="5" t="str">
        <f>IFERROR(__xludf.DUMMYFUNCTION("GOOGLETRANSLATE(B28114,""en"",""it"")"),"Due uomini sono in palestra.")</f>
        <v>Due uomini sono in palestra.</v>
      </c>
    </row>
    <row r="28115">
      <c r="A28115" s="4" t="s">
        <v>35398</v>
      </c>
      <c r="B28115" s="4" t="s">
        <v>35400</v>
      </c>
      <c r="C28115" s="5" t="str">
        <f>IFERROR(__xludf.DUMMYFUNCTION("GOOGLETRANSLATE(B28115,""en"",""it"")"),"Un uomo si inginocchia e solleva due pesi.")</f>
        <v>Un uomo si inginocchia e solleva due pesi.</v>
      </c>
    </row>
    <row r="28116">
      <c r="A28116" s="4" t="s">
        <v>35398</v>
      </c>
      <c r="B28116" s="4" t="s">
        <v>35401</v>
      </c>
      <c r="C28116" s="5" t="str">
        <f>IFERROR(__xludf.DUMMYFUNCTION("GOOGLETRANSLATE(B28116,""en"",""it"")"),"Un uomo sta dietro di lui e parla.")</f>
        <v>Un uomo sta dietro di lui e parla.</v>
      </c>
    </row>
    <row r="28117">
      <c r="A28117" s="4" t="s">
        <v>35398</v>
      </c>
      <c r="B28117" s="4" t="s">
        <v>35402</v>
      </c>
      <c r="C28117" s="5" t="str">
        <f>IFERROR(__xludf.DUMMYFUNCTION("GOOGLETRANSLATE(B28117,""en"",""it"")"),"L'uomo si alza e si inginocchia più volte.")</f>
        <v>L'uomo si alza e si inginocchia più volte.</v>
      </c>
    </row>
    <row r="28118">
      <c r="A28118" s="4" t="s">
        <v>35403</v>
      </c>
      <c r="B28118" s="4" t="s">
        <v>35404</v>
      </c>
      <c r="C28118" s="5" t="str">
        <f>IFERROR(__xludf.DUMMYFUNCTION("GOOGLETRANSLATE(B28118,""en"",""it"")"),"Un uomo indossa bianco davanti a un edificio.")</f>
        <v>Un uomo indossa bianco davanti a un edificio.</v>
      </c>
    </row>
    <row r="28119">
      <c r="A28119" s="4" t="s">
        <v>35403</v>
      </c>
      <c r="B28119" s="4" t="s">
        <v>35405</v>
      </c>
      <c r="C28119" s="5" t="str">
        <f>IFERROR(__xludf.DUMMYFUNCTION("GOOGLETRANSLATE(B28119,""en"",""it"")"),"Sta facendo diverse mosse di arti marziali.")</f>
        <v>Sta facendo diverse mosse di arti marziali.</v>
      </c>
    </row>
    <row r="28120">
      <c r="A28120" s="4" t="s">
        <v>35403</v>
      </c>
      <c r="B28120" s="4" t="s">
        <v>35406</v>
      </c>
      <c r="C28120" s="5" t="str">
        <f>IFERROR(__xludf.DUMMYFUNCTION("GOOGLETRANSLATE(B28120,""en"",""it"")"),"Si muove molto lentamente mentre dimostra le mosse.")</f>
        <v>Si muove molto lentamente mentre dimostra le mosse.</v>
      </c>
    </row>
    <row r="28121">
      <c r="A28121" s="4" t="s">
        <v>35407</v>
      </c>
      <c r="B28121" s="4" t="s">
        <v>35408</v>
      </c>
      <c r="C28121" s="5" t="str">
        <f>IFERROR(__xludf.DUMMYFUNCTION("GOOGLETRANSLATE(B28121,""en"",""it"")"),"Vediamo uno schermo introduttivo nero.")</f>
        <v>Vediamo uno schermo introduttivo nero.</v>
      </c>
    </row>
    <row r="28122">
      <c r="A28122" s="4" t="s">
        <v>35407</v>
      </c>
      <c r="B28122" s="4" t="s">
        <v>35409</v>
      </c>
      <c r="C28122" s="5" t="str">
        <f>IFERROR(__xludf.DUMMYFUNCTION("GOOGLETRANSLATE(B28122,""en"",""it"")"),"Vediamo la principessa Diana e un uomo che gioca a pool.")</f>
        <v>Vediamo la principessa Diana e un uomo che gioca a pool.</v>
      </c>
    </row>
    <row r="28123">
      <c r="A28123" s="4" t="s">
        <v>35407</v>
      </c>
      <c r="B28123" s="4" t="s">
        <v>35410</v>
      </c>
      <c r="C28123" s="5" t="str">
        <f>IFERROR(__xludf.DUMMYFUNCTION("GOOGLETRANSLATE(B28123,""en"",""it"")"),"I fotografi si alzano alla fine del suo tavolo.")</f>
        <v>I fotografi si alzano alla fine del suo tavolo.</v>
      </c>
    </row>
    <row r="28124">
      <c r="A28124" s="4" t="s">
        <v>35407</v>
      </c>
      <c r="B28124" s="4" t="s">
        <v>35411</v>
      </c>
      <c r="C28124" s="5" t="str">
        <f>IFERROR(__xludf.DUMMYFUNCTION("GOOGLETRANSLATE(B28124,""en"",""it"")"),"La principessa e la sua gente escono dalla stanza.")</f>
        <v>La principessa e la sua gente escono dalla stanza.</v>
      </c>
    </row>
    <row r="28125">
      <c r="A28125" s="4" t="s">
        <v>35407</v>
      </c>
      <c r="B28125" s="4" t="s">
        <v>35412</v>
      </c>
      <c r="C28125" s="5" t="str">
        <f>IFERROR(__xludf.DUMMYFUNCTION("GOOGLETRANSLATE(B28125,""en"",""it"")"),"Torniamo allo schermo nero.")</f>
        <v>Torniamo allo schermo nero.</v>
      </c>
    </row>
    <row r="28126">
      <c r="A28126" s="4" t="s">
        <v>35413</v>
      </c>
      <c r="B28126" s="4" t="s">
        <v>35414</v>
      </c>
      <c r="C28126" s="5" t="str">
        <f>IFERROR(__xludf.DUMMYFUNCTION("GOOGLETRANSLATE(B28126,""en"",""it"")"),"Una donna è in piedi mentre indossa un paio di stivali neri.")</f>
        <v>Una donna è in piedi mentre indossa un paio di stivali neri.</v>
      </c>
    </row>
    <row r="28127">
      <c r="A28127" s="4" t="s">
        <v>35413</v>
      </c>
      <c r="B28127" s="4" t="s">
        <v>35415</v>
      </c>
      <c r="C28127" s="5" t="str">
        <f>IFERROR(__xludf.DUMMYFUNCTION("GOOGLETRANSLATE(B28127,""en"",""it"")"),"I suoi stivali iniziano a muoversi e calci mentre inizia a ballare.")</f>
        <v>I suoi stivali iniziano a muoversi e calci mentre inizia a ballare.</v>
      </c>
    </row>
    <row r="28128">
      <c r="A28128" s="4" t="s">
        <v>35413</v>
      </c>
      <c r="B28128" s="4" t="s">
        <v>35416</v>
      </c>
      <c r="C28128" s="5" t="str">
        <f>IFERROR(__xludf.DUMMYFUNCTION("GOOGLETRANSLATE(B28128,""en"",""it"")"),"Si muove da un lato all'altro, entrando e fuori.")</f>
        <v>Si muove da un lato all'altro, entrando e fuori.</v>
      </c>
    </row>
    <row r="28129">
      <c r="A28129" s="4" t="s">
        <v>35413</v>
      </c>
      <c r="B28129" s="4" t="s">
        <v>35417</v>
      </c>
      <c r="C28129" s="5" t="str">
        <f>IFERROR(__xludf.DUMMYFUNCTION("GOOGLETRANSLATE(B28129,""en"",""it"")"),"La donna è completamente mostrata mentre smette di ballare e inizia a parlare alla telecamera.")</f>
        <v>La donna è completamente mostrata mentre smette di ballare e inizia a parlare alla telecamera.</v>
      </c>
    </row>
    <row r="28130">
      <c r="A28130" s="4" t="s">
        <v>35418</v>
      </c>
      <c r="B28130" s="4" t="s">
        <v>35419</v>
      </c>
      <c r="C28130" s="5" t="str">
        <f>IFERROR(__xludf.DUMMYFUNCTION("GOOGLETRANSLATE(B28130,""en"",""it"")"),"Un uomo sta saltando la corda in una stanza.")</f>
        <v>Un uomo sta saltando la corda in una stanza.</v>
      </c>
    </row>
    <row r="28131">
      <c r="A28131" s="4" t="s">
        <v>35418</v>
      </c>
      <c r="B28131" s="4" t="s">
        <v>35420</v>
      </c>
      <c r="C28131" s="5" t="str">
        <f>IFERROR(__xludf.DUMMYFUNCTION("GOOGLETRANSLATE(B28131,""en"",""it"")"),"Un uomo dietro di lui si sta allungando.")</f>
        <v>Un uomo dietro di lui si sta allungando.</v>
      </c>
    </row>
    <row r="28132">
      <c r="A28132" s="4" t="s">
        <v>35418</v>
      </c>
      <c r="B28132" s="4" t="s">
        <v>35421</v>
      </c>
      <c r="C28132" s="5" t="str">
        <f>IFERROR(__xludf.DUMMYFUNCTION("GOOGLETRANSLATE(B28132,""en"",""it"")"),"Un uomo dietro di lui inizia a fare push up.")</f>
        <v>Un uomo dietro di lui inizia a fare push up.</v>
      </c>
    </row>
    <row r="28133">
      <c r="A28133" s="4" t="s">
        <v>35422</v>
      </c>
      <c r="B28133" s="4" t="s">
        <v>35423</v>
      </c>
      <c r="C28133" s="5" t="str">
        <f>IFERROR(__xludf.DUMMYFUNCTION("GOOGLETRANSLATE(B28133,""en"",""it"")"),"C'è un uomo che indossa un abito blu Hazmat spray che dipinge una recinzione alta.")</f>
        <v>C'è un uomo che indossa un abito blu Hazmat spray che dipinge una recinzione alta.</v>
      </c>
    </row>
    <row r="28134">
      <c r="A28134" s="4" t="s">
        <v>35422</v>
      </c>
      <c r="B28134" s="4" t="s">
        <v>35424</v>
      </c>
      <c r="C28134" s="5" t="str">
        <f>IFERROR(__xludf.DUMMYFUNCTION("GOOGLETRANSLATE(B28134,""en"",""it"")"),"Sta usando un tubo di vernice spray per dipingere la recinzione di legno.")</f>
        <v>Sta usando un tubo di vernice spray per dipingere la recinzione di legno.</v>
      </c>
    </row>
    <row r="28135">
      <c r="A28135" s="4" t="s">
        <v>35422</v>
      </c>
      <c r="B28135" s="4" t="s">
        <v>35425</v>
      </c>
      <c r="C28135" s="5" t="str">
        <f>IFERROR(__xludf.DUMMYFUNCTION("GOOGLETRANSLATE(B28135,""en"",""it"")"),"Sposta il tubo avanti e indietro per assicurarsi che copra l'intera superficie della recinzione.")</f>
        <v>Sposta il tubo avanti e indietro per assicurarsi che copra l'intera superficie della recinzione.</v>
      </c>
    </row>
    <row r="28136">
      <c r="A28136" s="4" t="s">
        <v>35426</v>
      </c>
      <c r="B28136" s="4" t="s">
        <v>35427</v>
      </c>
      <c r="C28136" s="5" t="str">
        <f>IFERROR(__xludf.DUMMYFUNCTION("GOOGLETRANSLATE(B28136,""en"",""it"")"),"Una bambina sta correndo con un bastone che spinge e si gioca e si diverte molto.")</f>
        <v>Una bambina sta correndo con un bastone che spinge e si gioca e si diverte molto.</v>
      </c>
    </row>
    <row r="28137">
      <c r="A28137" s="4" t="s">
        <v>35426</v>
      </c>
      <c r="B28137" s="4" t="s">
        <v>35428</v>
      </c>
      <c r="C28137" s="5" t="str">
        <f>IFERROR(__xludf.DUMMYFUNCTION("GOOGLETRANSLATE(B28137,""en"",""it"")"),"La bambina va avanti giocando per circa 10 metri e poi torna a correre.")</f>
        <v>La bambina va avanti giocando per circa 10 metri e poi torna a correre.</v>
      </c>
    </row>
    <row r="28138">
      <c r="A28138" s="4" t="s">
        <v>35426</v>
      </c>
      <c r="B28138" s="4" t="s">
        <v>35429</v>
      </c>
      <c r="C28138" s="5" t="str">
        <f>IFERROR(__xludf.DUMMYFUNCTION("GOOGLETRANSLATE(B28138,""en"",""it"")"),"Tocca una piastra rossa e la posiziona e poi corre dall'altra parte.")</f>
        <v>Tocca una piastra rossa e la posiziona e poi corre dall'altra parte.</v>
      </c>
    </row>
    <row r="28139">
      <c r="A28139" s="4" t="s">
        <v>35430</v>
      </c>
      <c r="B28139" s="4" t="s">
        <v>35431</v>
      </c>
      <c r="C28139" s="5" t="str">
        <f>IFERROR(__xludf.DUMMYFUNCTION("GOOGLETRANSLATE(B28139,""en"",""it"")"),"Un uomo ha un narghilè in bocca e sta inalando il fumo per un po '.")</f>
        <v>Un uomo ha un narghilè in bocca e sta inalando il fumo per un po '.</v>
      </c>
    </row>
    <row r="28140">
      <c r="A28140" s="4" t="s">
        <v>35430</v>
      </c>
      <c r="B28140" s="4" t="s">
        <v>35432</v>
      </c>
      <c r="C28140" s="5" t="str">
        <f>IFERROR(__xludf.DUMMYFUNCTION("GOOGLETRANSLATE(B28140,""en"",""it"")"),"Si toglie il narghilè dalla bocca ed espira emette un mucchio di fumo.")</f>
        <v>Si toglie il narghilè dalla bocca ed espira emette un mucchio di fumo.</v>
      </c>
    </row>
    <row r="28141">
      <c r="A28141" s="4" t="s">
        <v>35430</v>
      </c>
      <c r="B28141" s="4" t="s">
        <v>35433</v>
      </c>
      <c r="C28141" s="5" t="str">
        <f>IFERROR(__xludf.DUMMYFUNCTION("GOOGLETRANSLATE(B28141,""en"",""it"")"),"Penso che stia cercando di fare O con il fumo ma non sa come.")</f>
        <v>Penso che stia cercando di fare O con il fumo ma non sa come.</v>
      </c>
    </row>
    <row r="28142">
      <c r="A28142" s="4" t="s">
        <v>35430</v>
      </c>
      <c r="B28142" s="4" t="s">
        <v>35434</v>
      </c>
      <c r="C28142" s="5" t="str">
        <f>IFERROR(__xludf.DUMMYFUNCTION("GOOGLETRANSLATE(B28142,""en"",""it"")"),"Continua a inalare e continua a provare a far esplodere il fumo.")</f>
        <v>Continua a inalare e continua a provare a far esplodere il fumo.</v>
      </c>
    </row>
    <row r="28143">
      <c r="A28143" s="4" t="s">
        <v>35435</v>
      </c>
      <c r="B28143" s="6" t="s">
        <v>35436</v>
      </c>
      <c r="C28143" s="5" t="str">
        <f>IFERROR(__xludf.DUMMYFUNCTION("GOOGLETRANSLATE(B28143,""en"",""it"")"),"Viene visto un ginnista che si spinge su una serie di barre irregolari mentre molte altre persone guardano a margine e si esibiscono.")</f>
        <v>Viene visto un ginnista che si spinge su una serie di barre irregolari mentre molte altre persone guardano a margine e si esibiscono.</v>
      </c>
    </row>
    <row r="28144">
      <c r="A28144" s="4" t="s">
        <v>35435</v>
      </c>
      <c r="B28144" s="6" t="s">
        <v>35437</v>
      </c>
      <c r="C28144" s="5" t="str">
        <f>IFERROR(__xludf.DUMMYFUNCTION("GOOGLETRANSLATE(B28144,""en"",""it"")"),"Diversi uomini più anziani si imbattono in un telaio per controllare la ginnasta dietro mentre l'uomo sui bar continua la sua routine.")</f>
        <v>Diversi uomini più anziani si imbattono in un telaio per controllare la ginnasta dietro mentre l'uomo sui bar continua la sua routine.</v>
      </c>
    </row>
    <row r="28145">
      <c r="A28145" s="4" t="s">
        <v>35435</v>
      </c>
      <c r="B28145" s="4" t="s">
        <v>35438</v>
      </c>
      <c r="C28145" s="5" t="str">
        <f>IFERROR(__xludf.DUMMYFUNCTION("GOOGLETRANSLATE(B28145,""en"",""it"")"),"L'atleta fa un capovolgimento e termina la sua routine mentre molti altri si imbattono in un telaio.")</f>
        <v>L'atleta fa un capovolgimento e termina la sua routine mentre molti altri si imbattono in un telaio.</v>
      </c>
    </row>
    <row r="28146">
      <c r="A28146" s="4" t="s">
        <v>35439</v>
      </c>
      <c r="B28146" s="4" t="s">
        <v>35440</v>
      </c>
      <c r="C28146" s="5" t="str">
        <f>IFERROR(__xludf.DUMMYFUNCTION("GOOGLETRANSLATE(B28146,""en"",""it"")"),"Una donna che indossa una sciarpa è seduta, parlando con la telecamera.")</f>
        <v>Una donna che indossa una sciarpa è seduta, parlando con la telecamera.</v>
      </c>
    </row>
    <row r="28147">
      <c r="A28147" s="4" t="s">
        <v>35439</v>
      </c>
      <c r="B28147" s="4" t="s">
        <v>35441</v>
      </c>
      <c r="C28147" s="5" t="str">
        <f>IFERROR(__xludf.DUMMYFUNCTION("GOOGLETRANSLATE(B28147,""en"",""it"")"),"Si toglie i rulli dai capelli, uno alla volta.")</f>
        <v>Si toglie i rulli dai capelli, uno alla volta.</v>
      </c>
    </row>
    <row r="28148">
      <c r="A28148" s="4" t="s">
        <v>35439</v>
      </c>
      <c r="B28148" s="4" t="s">
        <v>35442</v>
      </c>
      <c r="C28148" s="5" t="str">
        <f>IFERROR(__xludf.DUMMYFUNCTION("GOOGLETRANSLATE(B28148,""en"",""it"")"),"Poi mi accompagna i capelli e li mostra alla telecamera.")</f>
        <v>Poi mi accompagna i capelli e li mostra alla telecamera.</v>
      </c>
    </row>
    <row r="28149">
      <c r="A28149" s="4" t="s">
        <v>35443</v>
      </c>
      <c r="B28149" s="4" t="s">
        <v>35444</v>
      </c>
      <c r="C28149" s="5" t="str">
        <f>IFERROR(__xludf.DUMMYFUNCTION("GOOGLETRANSLATE(B28149,""en"",""it"")"),"Viene mostrato un portiere salvare diverse palle ed essere intervistato da un giornalista.")</f>
        <v>Viene mostrato un portiere salvare diverse palle ed essere intervistato da un giornalista.</v>
      </c>
    </row>
    <row r="28150">
      <c r="A28150" s="4" t="s">
        <v>35443</v>
      </c>
      <c r="B28150" s="6" t="s">
        <v>35445</v>
      </c>
      <c r="C28150" s="5" t="str">
        <f>IFERROR(__xludf.DUMMYFUNCTION("GOOGLETRANSLATE(B28150,""en"",""it"")"),"Vengono mostrati molti tiri di ragazzi che giocano a calcio e vengono intervistati e conducono all'allenatore che vengono intervistati.")</f>
        <v>Vengono mostrati molti tiri di ragazzi che giocano a calcio e vengono intervistati e conducono all'allenatore che vengono intervistati.</v>
      </c>
    </row>
    <row r="28151">
      <c r="A28151" s="4" t="s">
        <v>35443</v>
      </c>
      <c r="B28151" s="4" t="s">
        <v>35446</v>
      </c>
      <c r="C28151" s="5" t="str">
        <f>IFERROR(__xludf.DUMMYFUNCTION("GOOGLETRANSLATE(B28151,""en"",""it"")"),"Molte persone si divertono a guardare il gioco e finiscono con più giocatori che vengono intervistati.")</f>
        <v>Molte persone si divertono a guardare il gioco e finiscono con più giocatori che vengono intervistati.</v>
      </c>
    </row>
    <row r="28152">
      <c r="A28152" s="4" t="s">
        <v>35447</v>
      </c>
      <c r="B28152" s="4" t="s">
        <v>35448</v>
      </c>
      <c r="C28152" s="5" t="str">
        <f>IFERROR(__xludf.DUMMYFUNCTION("GOOGLETRANSLATE(B28152,""en"",""it"")"),"L'uomo è in piedi in cucina.")</f>
        <v>L'uomo è in piedi in cucina.</v>
      </c>
    </row>
    <row r="28153">
      <c r="A28153" s="4" t="s">
        <v>35447</v>
      </c>
      <c r="B28153" s="4" t="s">
        <v>35449</v>
      </c>
      <c r="C28153" s="5" t="str">
        <f>IFERROR(__xludf.DUMMYFUNCTION("GOOGLETRANSLATE(B28153,""en"",""it"")"),"Prende una pinza e una ciotola di metallo argento con verdure.")</f>
        <v>Prende una pinza e una ciotola di metallo argento con verdure.</v>
      </c>
    </row>
    <row r="28154">
      <c r="A28154" s="4" t="s">
        <v>35447</v>
      </c>
      <c r="B28154" s="4" t="s">
        <v>35450</v>
      </c>
      <c r="C28154" s="5" t="str">
        <f>IFERROR(__xludf.DUMMYFUNCTION("GOOGLETRANSLATE(B28154,""en"",""it"")"),"Gli ingredienti sul bancone sono in contenitori bianchi.")</f>
        <v>Gli ingredienti sul bancone sono in contenitori bianchi.</v>
      </c>
    </row>
    <row r="28155">
      <c r="A28155" s="4" t="s">
        <v>35447</v>
      </c>
      <c r="B28155" s="4" t="s">
        <v>35451</v>
      </c>
      <c r="C28155" s="5" t="str">
        <f>IFERROR(__xludf.DUMMYFUNCTION("GOOGLETRANSLATE(B28155,""en"",""it"")"),"Lo chef tiene un piccolo pezzo di dado.")</f>
        <v>Lo chef tiene un piccolo pezzo di dado.</v>
      </c>
    </row>
    <row r="28156">
      <c r="A28156" s="4" t="s">
        <v>35452</v>
      </c>
      <c r="B28156" s="4" t="s">
        <v>35453</v>
      </c>
      <c r="C28156" s="5" t="str">
        <f>IFERROR(__xludf.DUMMYFUNCTION("GOOGLETRANSLATE(B28156,""en"",""it"")"),"La telecamera si lancia su un giocatore di pallavolo mentre gioca con gli altri.")</f>
        <v>La telecamera si lancia su un giocatore di pallavolo mentre gioca con gli altri.</v>
      </c>
    </row>
    <row r="28157">
      <c r="A28157" s="4" t="s">
        <v>35452</v>
      </c>
      <c r="B28157" s="6" t="s">
        <v>35454</v>
      </c>
      <c r="C28157" s="5" t="str">
        <f>IFERROR(__xludf.DUMMYFUNCTION("GOOGLETRANSLATE(B28157,""en"",""it"")"),"La telecamera si fa una pausa ogni tanto per catturare i suoi movimenti e le sue padelle attorno alle altre persone che giocano.")</f>
        <v>La telecamera si fa una pausa ogni tanto per catturare i suoi movimenti e le sue padelle attorno alle altre persone che giocano.</v>
      </c>
    </row>
    <row r="28158">
      <c r="A28158" s="4" t="s">
        <v>35455</v>
      </c>
      <c r="B28158" s="6" t="s">
        <v>35456</v>
      </c>
      <c r="C28158" s="5" t="str">
        <f>IFERROR(__xludf.DUMMYFUNCTION("GOOGLETRANSLATE(B28158,""en"",""it"")"),"Un host parla alla telecamera con vari musicisti seduti dietro di lui e conduce in diversi scatti di paesaggi.")</f>
        <v>Un host parla alla telecamera con vari musicisti seduti dietro di lui e conduce in diversi scatti di paesaggi.</v>
      </c>
    </row>
    <row r="28159">
      <c r="A28159" s="4" t="s">
        <v>35455</v>
      </c>
      <c r="B28159" s="6" t="s">
        <v>35457</v>
      </c>
      <c r="C28159" s="5" t="str">
        <f>IFERROR(__xludf.DUMMYFUNCTION("GOOGLETRANSLATE(B28159,""en"",""it"")"),"Lo stesso uomo parla alla fotocamera e viene mostrato a cavalcare su una tavola da surf con molti altri surfisti.")</f>
        <v>Lo stesso uomo parla alla fotocamera e viene mostrato a cavalcare su una tavola da surf con molti altri surfisti.</v>
      </c>
    </row>
    <row r="28160">
      <c r="A28160" s="4" t="s">
        <v>35455</v>
      </c>
      <c r="B28160" s="4" t="s">
        <v>35458</v>
      </c>
      <c r="C28160" s="5" t="str">
        <f>IFERROR(__xludf.DUMMYFUNCTION("GOOGLETRANSLATE(B28160,""en"",""it"")"),"L'uomo è visto di nuovo in studio ed è intervistato da una donna e da un altro uomo.")</f>
        <v>L'uomo è visto di nuovo in studio ed è intervistato da una donna e da un altro uomo.</v>
      </c>
    </row>
    <row r="28161">
      <c r="A28161" s="4" t="s">
        <v>35459</v>
      </c>
      <c r="B28161" s="4" t="s">
        <v>35460</v>
      </c>
      <c r="C28161" s="5" t="str">
        <f>IFERROR(__xludf.DUMMYFUNCTION("GOOGLETRANSLATE(B28161,""en"",""it"")"),"Una donna è in piedi e parla con la telecamera, mentre indicava il cavallo accanto a lei.")</f>
        <v>Una donna è in piedi e parla con la telecamera, mentre indicava il cavallo accanto a lei.</v>
      </c>
    </row>
    <row r="28162">
      <c r="A28162" s="4" t="s">
        <v>35459</v>
      </c>
      <c r="B28162" s="4" t="s">
        <v>35461</v>
      </c>
      <c r="C28162" s="5" t="str">
        <f>IFERROR(__xludf.DUMMYFUNCTION("GOOGLETRANSLATE(B28162,""en"",""it"")"),"Una donna in giallo è seduta sul cavallo, il cavallo camminava intorno alla rampa.")</f>
        <v>Una donna in giallo è seduta sul cavallo, il cavallo camminava intorno alla rampa.</v>
      </c>
    </row>
    <row r="28163">
      <c r="A28163" s="4" t="s">
        <v>35459</v>
      </c>
      <c r="B28163" s="4" t="s">
        <v>35462</v>
      </c>
      <c r="C28163" s="5" t="str">
        <f>IFERROR(__xludf.DUMMYFUNCTION("GOOGLETRANSLATE(B28163,""en"",""it"")"),"Il cavallo iniziò a correre in cerchio mentre la donna anziana sta guardando.")</f>
        <v>Il cavallo iniziò a correre in cerchio mentre la donna anziana sta guardando.</v>
      </c>
    </row>
    <row r="28164">
      <c r="A28164" s="4" t="s">
        <v>35463</v>
      </c>
      <c r="B28164" s="6" t="s">
        <v>35464</v>
      </c>
      <c r="C28164" s="5" t="str">
        <f>IFERROR(__xludf.DUMMYFUNCTION("GOOGLETRANSLATE(B28164,""en"",""it"")"),"Viene visto un uomo parlare alla telecamera e conduce in lui con una serie di strumenti e presentarli alla telecamera.")</f>
        <v>Viene visto un uomo parlare alla telecamera e conduce in lui con una serie di strumenti e presentarli alla telecamera.</v>
      </c>
    </row>
    <row r="28165">
      <c r="A28165" s="4" t="s">
        <v>35463</v>
      </c>
      <c r="B28165" s="4" t="s">
        <v>35465</v>
      </c>
      <c r="C28165" s="5" t="str">
        <f>IFERROR(__xludf.DUMMYFUNCTION("GOOGLETRANSLATE(B28165,""en"",""it"")"),"Quindi usa gli strumenti sui cespugli nelle vicinanze mentre guardi la telecamera per parlare.")</f>
        <v>Quindi usa gli strumenti sui cespugli nelle vicinanze mentre guardi la telecamera per parlare.</v>
      </c>
    </row>
    <row r="28166">
      <c r="A28166" s="4" t="s">
        <v>35466</v>
      </c>
      <c r="B28166" s="4" t="s">
        <v>35467</v>
      </c>
      <c r="C28166" s="5" t="str">
        <f>IFERROR(__xludf.DUMMYFUNCTION("GOOGLETRANSLATE(B28166,""en"",""it"")"),"Un uomo sta correndo lungo una pista al rallentatore facendo diversi salti e atterra in una fossa.")</f>
        <v>Un uomo sta correndo lungo una pista al rallentatore facendo diversi salti e atterra in una fossa.</v>
      </c>
    </row>
    <row r="28167">
      <c r="A28167" s="4" t="s">
        <v>35466</v>
      </c>
      <c r="B28167" s="6" t="s">
        <v>35468</v>
      </c>
      <c r="C28167" s="5" t="str">
        <f>IFERROR(__xludf.DUMMYFUNCTION("GOOGLETRANSLATE(B28167,""en"",""it"")"),"Lo stesso uomo viene mostrato più volte attraverso varie clip al rallentatore che esegue il salto in lungo su una pista.")</f>
        <v>Lo stesso uomo viene mostrato più volte attraverso varie clip al rallentatore che esegue il salto in lungo su una pista.</v>
      </c>
    </row>
    <row r="28168">
      <c r="A28168" s="4" t="s">
        <v>35469</v>
      </c>
      <c r="B28168" s="4" t="s">
        <v>35470</v>
      </c>
      <c r="C28168" s="5" t="str">
        <f>IFERROR(__xludf.DUMMYFUNCTION("GOOGLETRANSLATE(B28168,""en"",""it"")"),"Un uomo viene visto muoversi al rallentatore mentre la telecamera lo cattura da diversi angoli.")</f>
        <v>Un uomo viene visto muoversi al rallentatore mentre la telecamera lo cattura da diversi angoli.</v>
      </c>
    </row>
    <row r="28169">
      <c r="A28169" s="4" t="s">
        <v>35469</v>
      </c>
      <c r="B28169" s="4" t="s">
        <v>35471</v>
      </c>
      <c r="C28169" s="5" t="str">
        <f>IFERROR(__xludf.DUMMYFUNCTION("GOOGLETRANSLATE(B28169,""en"",""it"")"),"Un paio di forbici e un pettine vengono quindi visti da vicino e conduce a una persona che taglia i capelli dell'uomo.")</f>
        <v>Un paio di forbici e un pettine vengono quindi visti da vicino e conduce a una persona che taglia i capelli dell'uomo.</v>
      </c>
    </row>
    <row r="28170">
      <c r="A28170" s="4" t="s">
        <v>35469</v>
      </c>
      <c r="B28170" s="4" t="s">
        <v>35472</v>
      </c>
      <c r="C28170" s="5" t="str">
        <f>IFERROR(__xludf.DUMMYFUNCTION("GOOGLETRANSLATE(B28170,""en"",""it"")"),"Alla fine soffia asciuga i capelli dell'uomo e viene mostrato ancora una volta sorridendo e ridendo della telecamera.")</f>
        <v>Alla fine soffia asciuga i capelli dell'uomo e viene mostrato ancora una volta sorridendo e ridendo della telecamera.</v>
      </c>
    </row>
    <row r="28171">
      <c r="A28171" s="4" t="s">
        <v>35473</v>
      </c>
      <c r="B28171" s="4" t="s">
        <v>35474</v>
      </c>
      <c r="C28171" s="5" t="str">
        <f>IFERROR(__xludf.DUMMYFUNCTION("GOOGLETRANSLATE(B28171,""en"",""it"")"),"Le donne sono in un grande campo verde giocando a scagliare.")</f>
        <v>Le donne sono in un grande campo verde giocando a scagliare.</v>
      </c>
    </row>
    <row r="28172">
      <c r="A28172" s="4" t="s">
        <v>35473</v>
      </c>
      <c r="B28172" s="4" t="s">
        <v>35475</v>
      </c>
      <c r="C28172" s="5" t="str">
        <f>IFERROR(__xludf.DUMMYFUNCTION("GOOGLETRANSLATE(B28172,""en"",""it"")"),"La donna è in una piccola corte verde che pratica colpi di lancio.")</f>
        <v>La donna è in una piccola corte verde che pratica colpi di lancio.</v>
      </c>
    </row>
    <row r="28173">
      <c r="A28173" s="4" t="s">
        <v>35476</v>
      </c>
      <c r="B28173" s="6" t="s">
        <v>35477</v>
      </c>
      <c r="C28173" s="5" t="str">
        <f>IFERROR(__xludf.DUMMYFUNCTION("GOOGLETRANSLATE(B28173,""en"",""it"")"),"la persona sta guardando le sue mani con sapone in una lavastoviglie, metti una soluzione nelle vasi, tiene un contatto visivo con l'indice e con le altre mani aprivano l'occhio e le mette il contatto agli occhi, prendi l'altro contatto e con l'altro Le m"&amp;"ani aprono l'occhio e lo mettono negli occhi.")</f>
        <v>la persona sta guardando le sue mani con sapone in una lavastoviglie, metti una soluzione nelle vasi, tiene un contatto visivo con l'indice e con le altre mani aprivano l'occhio e le mette il contatto agli occhi, prendi l'altro contatto e con l'altro Le mani aprono l'occhio e lo mettono negli occhi.</v>
      </c>
    </row>
    <row r="28174">
      <c r="A28174" s="4" t="s">
        <v>35476</v>
      </c>
      <c r="B28174" s="6" t="s">
        <v>35478</v>
      </c>
      <c r="C28174" s="5" t="str">
        <f>IFERROR(__xludf.DUMMYFUNCTION("GOOGLETRANSLATE(B28174,""en"",""it"")"),"Ora la persona si lava le mani e apre l'occhio e con le dita afferrano il contatto dall'occhio e lo mette in una pentola, quindi fa lo stesso con l'altro occhio, apri l'occhio e prendi il contatto dall'occhio e mettilo Nel vaso.")</f>
        <v>Ora la persona si lava le mani e apre l'occhio e con le dita afferrano il contatto dall'occhio e lo mette in una pentola, quindi fa lo stesso con l'altro occhio, apri l'occhio e prendi il contatto dall'occhio e mettilo Nel vaso.</v>
      </c>
    </row>
    <row r="28175">
      <c r="A28175" s="4" t="s">
        <v>35479</v>
      </c>
      <c r="B28175" s="4" t="s">
        <v>35480</v>
      </c>
      <c r="C28175" s="5" t="str">
        <f>IFERROR(__xludf.DUMMYFUNCTION("GOOGLETRANSLATE(B28175,""en"",""it"")"),"Una persona scende da un aereo.")</f>
        <v>Una persona scende da un aereo.</v>
      </c>
    </row>
    <row r="28176">
      <c r="A28176" s="4" t="s">
        <v>35479</v>
      </c>
      <c r="B28176" s="4" t="s">
        <v>35481</v>
      </c>
      <c r="C28176" s="5" t="str">
        <f>IFERROR(__xludf.DUMMYFUNCTION("GOOGLETRANSLATE(B28176,""en"",""it"")"),"Una persona sta passando attraverso una città e uscire con gli amici.")</f>
        <v>Una persona sta passando attraverso una città e uscire con gli amici.</v>
      </c>
    </row>
    <row r="28177">
      <c r="A28177" s="4" t="s">
        <v>35479</v>
      </c>
      <c r="B28177" s="4" t="s">
        <v>35482</v>
      </c>
      <c r="C28177" s="5" t="str">
        <f>IFERROR(__xludf.DUMMYFUNCTION("GOOGLETRANSLATE(B28177,""en"",""it"")"),"Questo accade in molti luoghi diversi, ma fondamentalmente la stessa cosa.")</f>
        <v>Questo accade in molti luoghi diversi, ma fondamentalmente la stessa cosa.</v>
      </c>
    </row>
    <row r="28178">
      <c r="A28178" s="4" t="s">
        <v>35483</v>
      </c>
      <c r="B28178" s="4" t="s">
        <v>35484</v>
      </c>
      <c r="C28178" s="5" t="str">
        <f>IFERROR(__xludf.DUMMYFUNCTION("GOOGLETRANSLATE(B28178,""en"",""it"")"),"Un uomo viene mostrato su uno sfondo bianco.")</f>
        <v>Un uomo viene mostrato su uno sfondo bianco.</v>
      </c>
    </row>
    <row r="28179">
      <c r="A28179" s="4" t="s">
        <v>35483</v>
      </c>
      <c r="B28179" s="4" t="s">
        <v>35485</v>
      </c>
      <c r="C28179" s="5" t="str">
        <f>IFERROR(__xludf.DUMMYFUNCTION("GOOGLETRANSLATE(B28179,""en"",""it"")"),"Suona una chitarra con le mani.")</f>
        <v>Suona una chitarra con le mani.</v>
      </c>
    </row>
    <row r="28180">
      <c r="A28180" s="4" t="s">
        <v>35483</v>
      </c>
      <c r="B28180" s="4" t="s">
        <v>35486</v>
      </c>
      <c r="C28180" s="5" t="str">
        <f>IFERROR(__xludf.DUMMYFUNCTION("GOOGLETRANSLATE(B28180,""en"",""it"")"),"Gli accordi e le parole appaiono nella parte inferiore dello schermo mentre suona.")</f>
        <v>Gli accordi e le parole appaiono nella parte inferiore dello schermo mentre suona.</v>
      </c>
    </row>
    <row r="28181">
      <c r="A28181" s="4" t="s">
        <v>35487</v>
      </c>
      <c r="B28181" s="4" t="s">
        <v>35488</v>
      </c>
      <c r="C28181" s="5" t="str">
        <f>IFERROR(__xludf.DUMMYFUNCTION("GOOGLETRANSLATE(B28181,""en"",""it"")"),"Siamo uno schermo di apertura per un prodotto.")</f>
        <v>Siamo uno schermo di apertura per un prodotto.</v>
      </c>
    </row>
    <row r="28182">
      <c r="A28182" s="4" t="s">
        <v>35487</v>
      </c>
      <c r="B28182" s="4" t="s">
        <v>35489</v>
      </c>
      <c r="C28182" s="5" t="str">
        <f>IFERROR(__xludf.DUMMYFUNCTION("GOOGLETRANSLATE(B28182,""en"",""it"")"),"Vediamo una persona che sparca il loro marciapiede.")</f>
        <v>Vediamo una persona che sparca il loro marciapiede.</v>
      </c>
    </row>
    <row r="28183">
      <c r="A28183" s="4" t="s">
        <v>35487</v>
      </c>
      <c r="B28183" s="4" t="s">
        <v>35490</v>
      </c>
      <c r="C28183" s="5" t="str">
        <f>IFERROR(__xludf.DUMMYFUNCTION("GOOGLETRANSLATE(B28183,""en"",""it"")"),"L'uomo raggiunge la casa e si gira per finire l'altro lato della passerella.")</f>
        <v>L'uomo raggiunge la casa e si gira per finire l'altro lato della passerella.</v>
      </c>
    </row>
    <row r="28184">
      <c r="A28184" s="4" t="s">
        <v>35487</v>
      </c>
      <c r="B28184" s="4" t="s">
        <v>35491</v>
      </c>
      <c r="C28184" s="5" t="str">
        <f>IFERROR(__xludf.DUMMYFUNCTION("GOOGLETRANSLATE(B28184,""en"",""it"")"),"Vediamo una persona che spruzza un oggetto sul loro marciapiede.")</f>
        <v>Vediamo una persona che spruzza un oggetto sul loro marciapiede.</v>
      </c>
    </row>
    <row r="28185">
      <c r="A28185" s="4" t="s">
        <v>35487</v>
      </c>
      <c r="B28185" s="4" t="s">
        <v>35492</v>
      </c>
      <c r="C28185" s="5" t="str">
        <f>IFERROR(__xludf.DUMMYFUNCTION("GOOGLETRANSLATE(B28185,""en"",""it"")"),"Vediamo quindi due schermi di chiusura.")</f>
        <v>Vediamo quindi due schermi di chiusura.</v>
      </c>
    </row>
    <row r="28186">
      <c r="A28186" s="4" t="s">
        <v>35493</v>
      </c>
      <c r="B28186" s="4" t="s">
        <v>35494</v>
      </c>
      <c r="C28186" s="5" t="str">
        <f>IFERROR(__xludf.DUMMYFUNCTION("GOOGLETRANSLATE(B28186,""en"",""it"")"),"Un uomo è impegnato in una competizione in piscina.")</f>
        <v>Un uomo è impegnato in una competizione in piscina.</v>
      </c>
    </row>
    <row r="28187">
      <c r="A28187" s="4" t="s">
        <v>35493</v>
      </c>
      <c r="B28187" s="4" t="s">
        <v>35495</v>
      </c>
      <c r="C28187" s="5" t="str">
        <f>IFERROR(__xludf.DUMMYFUNCTION("GOOGLETRANSLATE(B28187,""en"",""it"")"),"Spara il bastone contro le palle, facendoli andare nelle tasche d'angolo.")</f>
        <v>Spara il bastone contro le palle, facendoli andare nelle tasche d'angolo.</v>
      </c>
    </row>
    <row r="28188">
      <c r="A28188" s="4" t="s">
        <v>35493</v>
      </c>
      <c r="B28188" s="4" t="s">
        <v>35496</v>
      </c>
      <c r="C28188" s="5" t="str">
        <f>IFERROR(__xludf.DUMMYFUNCTION("GOOGLETRANSLATE(B28188,""en"",""it"")"),"Quando vince, alza un altro uomo.")</f>
        <v>Quando vince, alza un altro uomo.</v>
      </c>
    </row>
    <row r="28189">
      <c r="A28189" s="4" t="s">
        <v>35497</v>
      </c>
      <c r="B28189" s="6" t="s">
        <v>35498</v>
      </c>
      <c r="C28189" s="5" t="str">
        <f>IFERROR(__xludf.DUMMYFUNCTION("GOOGLETRANSLATE(B28189,""en"",""it"")"),"Ci sono circa cinque o sei giovani ragazzi che rimbalzano e saltano in una casa rimbalzante chiusa con pallacanestro in mano.")</f>
        <v>Ci sono circa cinque o sei giovani ragazzi che rimbalzano e saltano in una casa rimbalzante chiusa con pallacanestro in mano.</v>
      </c>
    </row>
    <row r="28190">
      <c r="A28190" s="4" t="s">
        <v>35497</v>
      </c>
      <c r="B28190" s="4" t="s">
        <v>35499</v>
      </c>
      <c r="C28190" s="5" t="str">
        <f>IFERROR(__xludf.DUMMYFUNCTION("GOOGLETRANSLATE(B28190,""en"",""it"")"),"L'allenatore li sta guidando soffiando il fischio mentre i bambini continuano a rimbalzare e saltare.")</f>
        <v>L'allenatore li sta guidando soffiando il fischio mentre i bambini continuano a rimbalzare e saltare.</v>
      </c>
    </row>
    <row r="28191">
      <c r="A28191" s="4" t="s">
        <v>35497</v>
      </c>
      <c r="B28191" s="4" t="s">
        <v>35500</v>
      </c>
      <c r="C28191" s="5" t="str">
        <f>IFERROR(__xludf.DUMMYFUNCTION("GOOGLETRANSLATE(B28191,""en"",""it"")"),"Si alternano per lanciare le palle arancioni come istruito dal loro allenatore.")</f>
        <v>Si alternano per lanciare le palle arancioni come istruito dal loro allenatore.</v>
      </c>
    </row>
    <row r="28192">
      <c r="A28192" s="4" t="s">
        <v>35501</v>
      </c>
      <c r="B28192" s="4" t="s">
        <v>35502</v>
      </c>
      <c r="C28192" s="5" t="str">
        <f>IFERROR(__xludf.DUMMYFUNCTION("GOOGLETRANSLATE(B28192,""en"",""it"")"),"Le persone giocano a tiro alla fune su un campo.")</f>
        <v>Le persone giocano a tiro alla fune su un campo.</v>
      </c>
    </row>
    <row r="28193">
      <c r="A28193" s="4" t="s">
        <v>35501</v>
      </c>
      <c r="B28193" s="4" t="s">
        <v>35503</v>
      </c>
      <c r="C28193" s="5" t="str">
        <f>IFERROR(__xludf.DUMMYFUNCTION("GOOGLETRANSLATE(B28193,""en"",""it"")"),"Le persone cadono in un mucchio di acqua fangosa.")</f>
        <v>Le persone cadono in un mucchio di acqua fangosa.</v>
      </c>
    </row>
    <row r="28194">
      <c r="A28194" s="4" t="s">
        <v>35501</v>
      </c>
      <c r="B28194" s="4" t="s">
        <v>35504</v>
      </c>
      <c r="C28194" s="5" t="str">
        <f>IFERROR(__xludf.DUMMYFUNCTION("GOOGLETRANSLATE(B28194,""en"",""it"")"),"Le persone sono in piedi accanto a loro a guardare.")</f>
        <v>Le persone sono in piedi accanto a loro a guardare.</v>
      </c>
    </row>
    <row r="28195">
      <c r="A28195" s="4" t="s">
        <v>35505</v>
      </c>
      <c r="B28195" s="4" t="s">
        <v>35506</v>
      </c>
      <c r="C28195" s="5" t="str">
        <f>IFERROR(__xludf.DUMMYFUNCTION("GOOGLETRANSLATE(B28195,""en"",""it"")"),"La donna mostra i tappetini quadrati e indica i diversi materiali e caratteristiche.")</f>
        <v>La donna mostra i tappetini quadrati e indica i diversi materiali e caratteristiche.</v>
      </c>
    </row>
    <row r="28196">
      <c r="A28196" s="4" t="s">
        <v>35505</v>
      </c>
      <c r="B28196" s="4" t="s">
        <v>35507</v>
      </c>
      <c r="C28196" s="5" t="str">
        <f>IFERROR(__xludf.DUMMYFUNCTION("GOOGLETRANSLATE(B28196,""en"",""it"")"),"La donna spazza il pavimento per preparare un progetto.")</f>
        <v>La donna spazza il pavimento per preparare un progetto.</v>
      </c>
    </row>
    <row r="28197">
      <c r="A28197" s="4" t="s">
        <v>35505</v>
      </c>
      <c r="B28197" s="4" t="s">
        <v>35508</v>
      </c>
      <c r="C28197" s="5" t="str">
        <f>IFERROR(__xludf.DUMMYFUNCTION("GOOGLETRANSLATE(B28197,""en"",""it"")"),"La donna usa una linea di gesso, quindi il nastro per segnare il pavimento.")</f>
        <v>La donna usa una linea di gesso, quindi il nastro per segnare il pavimento.</v>
      </c>
    </row>
    <row r="28198">
      <c r="A28198" s="4" t="s">
        <v>35505</v>
      </c>
      <c r="B28198" s="4" t="s">
        <v>35509</v>
      </c>
      <c r="C28198" s="5" t="str">
        <f>IFERROR(__xludf.DUMMYFUNCTION("GOOGLETRANSLATE(B28198,""en"",""it"")"),"La donna si mette nei pezzi di tappeti quadrati in posizione per coprire il pavimento.")</f>
        <v>La donna si mette nei pezzi di tappeti quadrati in posizione per coprire il pavimento.</v>
      </c>
    </row>
    <row r="28199">
      <c r="A28199" s="4" t="s">
        <v>35505</v>
      </c>
      <c r="B28199" s="4" t="s">
        <v>35510</v>
      </c>
      <c r="C28199" s="5" t="str">
        <f>IFERROR(__xludf.DUMMYFUNCTION("GOOGLETRANSLATE(B28199,""en"",""it"")"),"La donna mostra il pavimento finito.")</f>
        <v>La donna mostra il pavimento finito.</v>
      </c>
    </row>
    <row r="28200">
      <c r="A28200" s="4" t="s">
        <v>35511</v>
      </c>
      <c r="B28200" s="4" t="s">
        <v>35512</v>
      </c>
      <c r="C28200" s="5" t="str">
        <f>IFERROR(__xludf.DUMMYFUNCTION("GOOGLETRANSLATE(B28200,""en"",""it"")"),"Afferra il lungo palo e inizia a camminare con esso dall'altra parte del campo.")</f>
        <v>Afferra il lungo palo e inizia a camminare con esso dall'altra parte del campo.</v>
      </c>
    </row>
    <row r="28201">
      <c r="A28201" s="4" t="s">
        <v>35511</v>
      </c>
      <c r="B28201" s="4" t="s">
        <v>35513</v>
      </c>
      <c r="C28201" s="5" t="str">
        <f>IFERROR(__xludf.DUMMYFUNCTION("GOOGLETRANSLATE(B28201,""en"",""it"")"),"Quindi si posiziona e fa un salto e atterra.")</f>
        <v>Quindi si posiziona e fa un salto e atterra.</v>
      </c>
    </row>
    <row r="28202">
      <c r="A28202" s="4" t="s">
        <v>35511</v>
      </c>
      <c r="B28202" s="4" t="s">
        <v>35514</v>
      </c>
      <c r="C28202" s="5" t="str">
        <f>IFERROR(__xludf.DUMMYFUNCTION("GOOGLETRANSLATE(B28202,""en"",""it"")"),"Tutti gli altri iniziano a fare i loro turni e iniziano a correre e saltare anche.")</f>
        <v>Tutti gli altri iniziano a fare i loro turni e iniziano a correre e saltare anche.</v>
      </c>
    </row>
    <row r="28203">
      <c r="A28203" s="4" t="s">
        <v>35511</v>
      </c>
      <c r="B28203" s="4" t="s">
        <v>35515</v>
      </c>
      <c r="C28203" s="5" t="str">
        <f>IFERROR(__xludf.DUMMYFUNCTION("GOOGLETRANSLATE(B28203,""en"",""it"")"),"Si esercitano per un po 'e lo fanno per qualche volta in più.")</f>
        <v>Si esercitano per un po 'e lo fanno per qualche volta in più.</v>
      </c>
    </row>
    <row r="28204">
      <c r="A28204" s="4" t="s">
        <v>35516</v>
      </c>
      <c r="B28204" s="6" t="s">
        <v>35517</v>
      </c>
      <c r="C28204" s="5" t="str">
        <f>IFERROR(__xludf.DUMMYFUNCTION("GOOGLETRANSLATE(B28204,""en"",""it"")"),"Un folto gruppo di persone viene visto saltare la corda in palestra mentre si sposta indietro e quarto con la telecamera.")</f>
        <v>Un folto gruppo di persone viene visto saltare la corda in palestra mentre si sposta indietro e quarto con la telecamera.</v>
      </c>
    </row>
    <row r="28205">
      <c r="A28205" s="4" t="s">
        <v>35516</v>
      </c>
      <c r="B28205" s="4" t="s">
        <v>35518</v>
      </c>
      <c r="C28205" s="5" t="str">
        <f>IFERROR(__xludf.DUMMYFUNCTION("GOOGLETRANSLATE(B28205,""en"",""it"")"),"Una donna si trova di fronte per istruire il gruppo e continuare a saltare la corda e poi fermarsi.")</f>
        <v>Una donna si trova di fronte per istruire il gruppo e continuare a saltare la corda e poi fermarsi.</v>
      </c>
    </row>
    <row r="28206">
      <c r="A28206" s="4" t="s">
        <v>35516</v>
      </c>
      <c r="B28206" s="4" t="s">
        <v>35519</v>
      </c>
      <c r="C28206" s="5" t="str">
        <f>IFERROR(__xludf.DUMMYFUNCTION("GOOGLETRANSLATE(B28206,""en"",""it"")"),"Le persone si riscaldano quindi l'uno con l'altro e si allungano con la donna che porta davanti.")</f>
        <v>Le persone si riscaldano quindi l'uno con l'altro e si allungano con la donna che porta davanti.</v>
      </c>
    </row>
    <row r="28207">
      <c r="A28207" s="4" t="s">
        <v>35520</v>
      </c>
      <c r="B28207" s="6" t="s">
        <v>35521</v>
      </c>
      <c r="C28207" s="5" t="str">
        <f>IFERROR(__xludf.DUMMYFUNCTION("GOOGLETRANSLATE(B28207,""en"",""it"")"),"Viene mostrato un tapis roulant, quindi viene mostrata una donna, usando il tapis roulant nel soggiorno, indossa pantaloncini blu e pantaloncini neri.")</f>
        <v>Viene mostrato un tapis roulant, quindi viene mostrata una donna, usando il tapis roulant nel soggiorno, indossa pantaloncini blu e pantaloncini neri.</v>
      </c>
    </row>
    <row r="28208">
      <c r="A28208" s="4" t="s">
        <v>35520</v>
      </c>
      <c r="B28208" s="6" t="s">
        <v>35522</v>
      </c>
      <c r="C28208" s="5" t="str">
        <f>IFERROR(__xludf.DUMMYFUNCTION("GOOGLETRANSLATE(B28208,""en"",""it"")"),"Ha regolato il monitor, quindi sono mostrate le regolazioni e i contatori del tapis roulant con numeri.")</f>
        <v>Ha regolato il monitor, quindi sono mostrate le regolazioni e i contatori del tapis roulant con numeri.</v>
      </c>
    </row>
    <row r="28209">
      <c r="A28209" s="4" t="s">
        <v>35523</v>
      </c>
      <c r="B28209" s="4" t="s">
        <v>35524</v>
      </c>
      <c r="C28209" s="5" t="str">
        <f>IFERROR(__xludf.DUMMYFUNCTION("GOOGLETRANSLATE(B28209,""en"",""it"")"),"Un uomo viene visto in piedi pronto fuori una pista e inizia a correre verso un bar.")</f>
        <v>Un uomo viene visto in piedi pronto fuori una pista e inizia a correre verso un bar.</v>
      </c>
    </row>
    <row r="28210">
      <c r="A28210" s="4" t="s">
        <v>35523</v>
      </c>
      <c r="B28210" s="4" t="s">
        <v>35525</v>
      </c>
      <c r="C28210" s="5" t="str">
        <f>IFERROR(__xludf.DUMMYFUNCTION("GOOGLETRANSLATE(B28210,""en"",""it"")"),"L'uomo quindi salta sopra la barra e viene mostrato di nuovo al rallentatore.")</f>
        <v>L'uomo quindi salta sopra la barra e viene mostrato di nuovo al rallentatore.</v>
      </c>
    </row>
    <row r="28211">
      <c r="A28211" s="4" t="s">
        <v>35526</v>
      </c>
      <c r="B28211" s="4" t="s">
        <v>35527</v>
      </c>
      <c r="C28211" s="5" t="str">
        <f>IFERROR(__xludf.DUMMYFUNCTION("GOOGLETRANSLATE(B28211,""en"",""it"")"),"Le persone si siedono a un tavolo nero.")</f>
        <v>Le persone si siedono a un tavolo nero.</v>
      </c>
    </row>
    <row r="28212">
      <c r="A28212" s="4" t="s">
        <v>35526</v>
      </c>
      <c r="B28212" s="4" t="s">
        <v>35528</v>
      </c>
      <c r="C28212" s="5" t="str">
        <f>IFERROR(__xludf.DUMMYFUNCTION("GOOGLETRANSLATE(B28212,""en"",""it"")"),"Un uomo si siede dietro il tavolo che tratta le carte.")</f>
        <v>Un uomo si siede dietro il tavolo che tratta le carte.</v>
      </c>
    </row>
    <row r="28213">
      <c r="A28213" s="4" t="s">
        <v>35526</v>
      </c>
      <c r="B28213" s="4" t="s">
        <v>35529</v>
      </c>
      <c r="C28213" s="5" t="str">
        <f>IFERROR(__xludf.DUMMYFUNCTION("GOOGLETRANSLATE(B28213,""en"",""it"")"),"Un uomo incassa patatine con il rivenditore.")</f>
        <v>Un uomo incassa patatine con il rivenditore.</v>
      </c>
    </row>
    <row r="28214">
      <c r="A28214" s="4" t="s">
        <v>35530</v>
      </c>
      <c r="B28214" s="4" t="s">
        <v>35531</v>
      </c>
      <c r="C28214" s="5" t="str">
        <f>IFERROR(__xludf.DUMMYFUNCTION("GOOGLETRANSLATE(B28214,""en"",""it"")"),"Una signora sta parlando con la telecamera in una stanza leggera.")</f>
        <v>Una signora sta parlando con la telecamera in una stanza leggera.</v>
      </c>
    </row>
    <row r="28215">
      <c r="A28215" s="4" t="s">
        <v>35530</v>
      </c>
      <c r="B28215" s="4" t="s">
        <v>35532</v>
      </c>
      <c r="C28215" s="5" t="str">
        <f>IFERROR(__xludf.DUMMYFUNCTION("GOOGLETRANSLATE(B28215,""en"",""it"")"),"Si gira e afferra una manciata di capelli.")</f>
        <v>Si gira e afferra una manciata di capelli.</v>
      </c>
    </row>
    <row r="28216">
      <c r="A28216" s="4" t="s">
        <v>35530</v>
      </c>
      <c r="B28216" s="4" t="s">
        <v>35533</v>
      </c>
      <c r="C28216" s="5" t="str">
        <f>IFERROR(__xludf.DUMMYFUNCTION("GOOGLETRANSLATE(B28216,""en"",""it"")"),"La signora inizia a intrecciarsi i capelli aggiungendo più capelli mentre lei intreccia.")</f>
        <v>La signora inizia a intrecciarsi i capelli aggiungendo più capelli mentre lei intreccia.</v>
      </c>
    </row>
    <row r="28217">
      <c r="A28217" s="4" t="s">
        <v>35530</v>
      </c>
      <c r="B28217" s="4" t="s">
        <v>35534</v>
      </c>
      <c r="C28217" s="5" t="str">
        <f>IFERROR(__xludf.DUMMYFUNCTION("GOOGLETRANSLATE(B28217,""en"",""it"")"),"La signora le tira la treccia di fronte a lei e aggiunge una cravatta.")</f>
        <v>La signora le tira la treccia di fronte a lei e aggiunge una cravatta.</v>
      </c>
    </row>
    <row r="28218">
      <c r="A28218" s="4" t="s">
        <v>35530</v>
      </c>
      <c r="B28218" s="4" t="s">
        <v>35535</v>
      </c>
      <c r="C28218" s="5" t="str">
        <f>IFERROR(__xludf.DUMMYFUNCTION("GOOGLETRANSLATE(B28218,""en"",""it"")"),"Si tira i capelli per allentare la treccia e si gira verso la telecamera e sorride.")</f>
        <v>Si tira i capelli per allentare la treccia e si gira verso la telecamera e sorride.</v>
      </c>
    </row>
    <row r="28219">
      <c r="A28219" s="4" t="s">
        <v>35536</v>
      </c>
      <c r="B28219" s="4" t="s">
        <v>35537</v>
      </c>
      <c r="C28219" s="5" t="str">
        <f>IFERROR(__xludf.DUMMYFUNCTION("GOOGLETRANSLATE(B28219,""en"",""it"")"),"Una fila di ragazzi adolescenti suona la batteria.")</f>
        <v>Una fila di ragazzi adolescenti suona la batteria.</v>
      </c>
    </row>
    <row r="28220">
      <c r="A28220" s="4" t="s">
        <v>35536</v>
      </c>
      <c r="B28220" s="4" t="s">
        <v>35538</v>
      </c>
      <c r="C28220" s="5" t="str">
        <f>IFERROR(__xludf.DUMMYFUNCTION("GOOGLETRANSLATE(B28220,""en"",""it"")"),"Un grande tamburo e giocatore appaiono.")</f>
        <v>Un grande tamburo e giocatore appaiono.</v>
      </c>
    </row>
    <row r="28221">
      <c r="A28221" s="4" t="s">
        <v>35536</v>
      </c>
      <c r="B28221" s="4" t="s">
        <v>35539</v>
      </c>
      <c r="C28221" s="5" t="str">
        <f>IFERROR(__xludf.DUMMYFUNCTION("GOOGLETRANSLATE(B28221,""en"",""it"")"),"Una ragazza che suona una batteria si unisce.")</f>
        <v>Una ragazza che suona una batteria si unisce.</v>
      </c>
    </row>
    <row r="28222">
      <c r="A28222" s="4" t="s">
        <v>35540</v>
      </c>
      <c r="B28222" s="4" t="s">
        <v>35541</v>
      </c>
      <c r="C28222" s="5" t="str">
        <f>IFERROR(__xludf.DUMMYFUNCTION("GOOGLETRANSLATE(B28222,""en"",""it"")"),"Un gruppo di bambini di età variabili scivolano giù da una diapositiva blu in un parco a tema.")</f>
        <v>Un gruppo di bambini di età variabili scivolano giù da una diapositiva blu in un parco a tema.</v>
      </c>
    </row>
    <row r="28223">
      <c r="A28223" s="4" t="s">
        <v>35540</v>
      </c>
      <c r="B28223" s="4" t="s">
        <v>35542</v>
      </c>
      <c r="C28223" s="5" t="str">
        <f>IFERROR(__xludf.DUMMYFUNCTION("GOOGLETRANSLATE(B28223,""en"",""it"")"),"Un gruppo di bambini appare nella parte superiore della diapositiva alta.")</f>
        <v>Un gruppo di bambini appare nella parte superiore della diapositiva alta.</v>
      </c>
    </row>
    <row r="28224">
      <c r="A28224" s="4" t="s">
        <v>35540</v>
      </c>
      <c r="B28224" s="4" t="s">
        <v>35543</v>
      </c>
      <c r="C28224" s="5" t="str">
        <f>IFERROR(__xludf.DUMMYFUNCTION("GOOGLETRANSLATE(B28224,""en"",""it"")"),"I bambini poi scivolano giù per lo scivolo, con la fascia di una ragazza che scendeva sugli occhi.")</f>
        <v>I bambini poi scivolano giù per lo scivolo, con la fascia di una ragazza che scendeva sugli occhi.</v>
      </c>
    </row>
    <row r="28225">
      <c r="A28225" s="4" t="s">
        <v>35540</v>
      </c>
      <c r="B28225" s="4" t="s">
        <v>35544</v>
      </c>
      <c r="C28225" s="5" t="str">
        <f>IFERROR(__xludf.DUMMYFUNCTION("GOOGLETRANSLATE(B28225,""en"",""it"")"),"I bambini atterrano e si alzano e scappano.")</f>
        <v>I bambini atterrano e si alzano e scappano.</v>
      </c>
    </row>
    <row r="28226">
      <c r="A28226" s="4" t="s">
        <v>35545</v>
      </c>
      <c r="B28226" s="4" t="s">
        <v>35546</v>
      </c>
      <c r="C28226" s="5" t="str">
        <f>IFERROR(__xludf.DUMMYFUNCTION("GOOGLETRANSLATE(B28226,""en"",""it"")"),"Il testo bianco spiega il processo di lesioni al ginocchio.")</f>
        <v>Il testo bianco spiega il processo di lesioni al ginocchio.</v>
      </c>
    </row>
    <row r="28227">
      <c r="A28227" s="4" t="s">
        <v>35545</v>
      </c>
      <c r="B28227" s="6" t="s">
        <v>35547</v>
      </c>
      <c r="C28227" s="5" t="str">
        <f>IFERROR(__xludf.DUMMYFUNCTION("GOOGLETRANSLATE(B28227,""en"",""it"")"),"Viene mostrato un uomo che fa spettacoli atletici, tra cui saltare su un materasso e si estende per le ginocchia prima di saltare ancora e ancora.")</f>
        <v>Viene mostrato un uomo che fa spettacoli atletici, tra cui saltare su un materasso e si estende per le ginocchia prima di saltare ancora e ancora.</v>
      </c>
    </row>
    <row r="28228">
      <c r="A28228" s="4" t="s">
        <v>35548</v>
      </c>
      <c r="B28228" s="4" t="s">
        <v>35549</v>
      </c>
      <c r="C28228" s="5" t="str">
        <f>IFERROR(__xludf.DUMMYFUNCTION("GOOGLETRANSLATE(B28228,""en"",""it"")"),"Un uomo si trova in un bagno di fronte a uno specchio, con un rasoio.")</f>
        <v>Un uomo si trova in un bagno di fronte a uno specchio, con un rasoio.</v>
      </c>
    </row>
    <row r="28229">
      <c r="A28229" s="4" t="s">
        <v>35548</v>
      </c>
      <c r="B28229" s="4" t="s">
        <v>35550</v>
      </c>
      <c r="C28229" s="5" t="str">
        <f>IFERROR(__xludf.DUMMYFUNCTION("GOOGLETRANSLATE(B28229,""en"",""it"")"),"L'uomo inizia a parlare alla telecamera mentre mostra il rasoio e le sue varie parti.")</f>
        <v>L'uomo inizia a parlare alla telecamera mentre mostra il rasoio e le sue varie parti.</v>
      </c>
    </row>
    <row r="28230">
      <c r="A28230" s="4" t="s">
        <v>35548</v>
      </c>
      <c r="B28230" s="4" t="s">
        <v>35551</v>
      </c>
      <c r="C28230" s="5" t="str">
        <f>IFERROR(__xludf.DUMMYFUNCTION("GOOGLETRANSLATE(B28230,""en"",""it"")"),"Presto inizia a radersi il viso mentre si guarda allo specchio.")</f>
        <v>Presto inizia a radersi il viso mentre si guarda allo specchio.</v>
      </c>
    </row>
    <row r="28231">
      <c r="A28231" s="4" t="s">
        <v>35548</v>
      </c>
      <c r="B28231" s="4" t="s">
        <v>35552</v>
      </c>
      <c r="C28231" s="5" t="str">
        <f>IFERROR(__xludf.DUMMYFUNCTION("GOOGLETRANSLATE(B28231,""en"",""it"")"),"Successivamente, riprende a parlare con la telecamera e mostra come si è comportato il rasoio.")</f>
        <v>Successivamente, riprende a parlare con la telecamera e mostra come si è comportato il rasoio.</v>
      </c>
    </row>
    <row r="28232">
      <c r="A28232" s="4" t="s">
        <v>35548</v>
      </c>
      <c r="B28232" s="6" t="s">
        <v>35553</v>
      </c>
      <c r="C28232" s="5" t="str">
        <f>IFERROR(__xludf.DUMMYFUNCTION("GOOGLETRANSLATE(B28232,""en"",""it"")"),"L'uomo posiziona il rasoio su un supporto di ricarica che mostra una luce illuminante e poi lo riprende.")</f>
        <v>L'uomo posiziona il rasoio su un supporto di ricarica che mostra una luce illuminante e poi lo riprende.</v>
      </c>
    </row>
    <row r="28233">
      <c r="A28233" s="4" t="s">
        <v>35548</v>
      </c>
      <c r="B28233" s="4" t="s">
        <v>35554</v>
      </c>
      <c r="C28233" s="5" t="str">
        <f>IFERROR(__xludf.DUMMYFUNCTION("GOOGLETRANSLATE(B28233,""en"",""it"")"),"Il video termina con l'uomo che si tocca il viso per dimostrare il lavoro regolare.")</f>
        <v>Il video termina con l'uomo che si tocca il viso per dimostrare il lavoro regolare.</v>
      </c>
    </row>
    <row r="28234">
      <c r="A28234" s="4" t="s">
        <v>35555</v>
      </c>
      <c r="B28234" s="6" t="s">
        <v>35556</v>
      </c>
      <c r="C28234" s="5" t="str">
        <f>IFERROR(__xludf.DUMMYFUNCTION("GOOGLETRANSLATE(B28234,""en"",""it"")"),"Due uomini dimostrano acrobazie, trucchi e tecniche di salto in un auditorium di fronte a un gruppo di studenti.")</f>
        <v>Due uomini dimostrano acrobazie, trucchi e tecniche di salto in un auditorium di fronte a un gruppo di studenti.</v>
      </c>
    </row>
    <row r="28235">
      <c r="A28235" s="4" t="s">
        <v>35555</v>
      </c>
      <c r="B28235" s="4" t="s">
        <v>35557</v>
      </c>
      <c r="C28235" s="5" t="str">
        <f>IFERROR(__xludf.DUMMYFUNCTION("GOOGLETRANSLATE(B28235,""en"",""it"")"),"Un uomo con una pista grigia esegue trucchi per la corda di salto di fronte a un gruppo di studenti.")</f>
        <v>Un uomo con una pista grigia esegue trucchi per la corda di salto di fronte a un gruppo di studenti.</v>
      </c>
    </row>
    <row r="28236">
      <c r="A28236" s="4" t="s">
        <v>35555</v>
      </c>
      <c r="B28236" s="4" t="s">
        <v>35558</v>
      </c>
      <c r="C28236" s="5" t="str">
        <f>IFERROR(__xludf.DUMMYFUNCTION("GOOGLETRANSLATE(B28236,""en"",""it"")"),"L'uomo con la tuta della pista grigia finisce e i bambini applaudono.")</f>
        <v>L'uomo con la tuta della pista grigia finisce e i bambini applaudono.</v>
      </c>
    </row>
    <row r="28237">
      <c r="A28237" s="4" t="s">
        <v>35555</v>
      </c>
      <c r="B28237" s="6" t="s">
        <v>35559</v>
      </c>
      <c r="C28237" s="5" t="str">
        <f>IFERROR(__xludf.DUMMYFUNCTION("GOOGLETRANSLATE(B28237,""en"",""it"")"),"Un secondo uomo cammina accanto all'uomo e i due uomini iniziano a eseguire più trucchi e acrobazie tra cui backflip e mosse di danza durante la dimostrazione.")</f>
        <v>Un secondo uomo cammina accanto all'uomo e i due uomini iniziano a eseguire più trucchi e acrobazie tra cui backflip e mosse di danza durante la dimostrazione.</v>
      </c>
    </row>
    <row r="28238">
      <c r="A28238" s="4" t="s">
        <v>35560</v>
      </c>
      <c r="B28238" s="6" t="s">
        <v>35561</v>
      </c>
      <c r="C28238" s="5" t="str">
        <f>IFERROR(__xludf.DUMMYFUNCTION("GOOGLETRANSLATE(B28238,""en"",""it"")"),"Due persone vengono viste ospitare un segmento di notizie che parlano e mostrano diverse clip all'interno di una palestra.")</f>
        <v>Due persone vengono viste ospitare un segmento di notizie che parlano e mostrano diverse clip all'interno di una palestra.</v>
      </c>
    </row>
    <row r="28239">
      <c r="A28239" s="4" t="s">
        <v>35560</v>
      </c>
      <c r="B28239" s="4" t="s">
        <v>35562</v>
      </c>
      <c r="C28239" s="5" t="str">
        <f>IFERROR(__xludf.DUMMYFUNCTION("GOOGLETRANSLATE(B28239,""en"",""it"")"),"La donna si arrampica quindi sul tapis roulant e ci prova mentre parla ancora all'uomo.")</f>
        <v>La donna si arrampica quindi sul tapis roulant e ci prova mentre parla ancora all'uomo.</v>
      </c>
    </row>
    <row r="28240">
      <c r="A28240" s="4" t="s">
        <v>35563</v>
      </c>
      <c r="B28240" s="6" t="s">
        <v>35564</v>
      </c>
      <c r="C28240" s="5" t="str">
        <f>IFERROR(__xludf.DUMMYFUNCTION("GOOGLETRANSLATE(B28240,""en"",""it"")"),"Viene vista una donna parlare alla telecamera che tiene una birra e porta al suo bere dal bicchiere.")</f>
        <v>Viene vista una donna parlare alla telecamera che tiene una birra e porta al suo bere dal bicchiere.</v>
      </c>
    </row>
    <row r="28241">
      <c r="A28241" s="4" t="s">
        <v>35563</v>
      </c>
      <c r="B28241" s="4" t="s">
        <v>35565</v>
      </c>
      <c r="C28241" s="5" t="str">
        <f>IFERROR(__xludf.DUMMYFUNCTION("GOOGLETRANSLATE(B28241,""en"",""it"")"),"Continua a bere la birra mentre ride della telecamera e annuendo in accordo.")</f>
        <v>Continua a bere la birra mentre ride della telecamera e annuendo in accordo.</v>
      </c>
    </row>
    <row r="28242">
      <c r="A28242" s="4" t="s">
        <v>35566</v>
      </c>
      <c r="B28242" s="4" t="s">
        <v>35567</v>
      </c>
      <c r="C28242" s="5" t="str">
        <f>IFERROR(__xludf.DUMMYFUNCTION("GOOGLETRANSLATE(B28242,""en"",""it"")"),"Un volontario rastrella foglie in un cortile.")</f>
        <v>Un volontario rastrella foglie in un cortile.</v>
      </c>
    </row>
    <row r="28243">
      <c r="A28243" s="4" t="s">
        <v>35566</v>
      </c>
      <c r="B28243" s="4" t="s">
        <v>35568</v>
      </c>
      <c r="C28243" s="5" t="str">
        <f>IFERROR(__xludf.DUMMYFUNCTION("GOOGLETRANSLATE(B28243,""en"",""it"")"),"I volontari trasportano e installano strumenti per il cortile e prodotti per la pulizia.")</f>
        <v>I volontari trasportano e installano strumenti per il cortile e prodotti per la pulizia.</v>
      </c>
    </row>
    <row r="28244">
      <c r="A28244" s="4" t="s">
        <v>35566</v>
      </c>
      <c r="B28244" s="4" t="s">
        <v>35569</v>
      </c>
      <c r="C28244" s="5" t="str">
        <f>IFERROR(__xludf.DUMMYFUNCTION("GOOGLETRANSLATE(B28244,""en"",""it"")"),"Un gruppo di volontari rastrella le foglie di fronte a una casa.")</f>
        <v>Un gruppo di volontari rastrella le foglie di fronte a una casa.</v>
      </c>
    </row>
    <row r="28245">
      <c r="A28245" s="4" t="s">
        <v>35566</v>
      </c>
      <c r="B28245" s="4" t="s">
        <v>35570</v>
      </c>
      <c r="C28245" s="5" t="str">
        <f>IFERROR(__xludf.DUMMYFUNCTION("GOOGLETRANSLATE(B28245,""en"",""it"")"),"I volontari mangiano tutti insieme in una caffetteria.")</f>
        <v>I volontari mangiano tutti insieme in una caffetteria.</v>
      </c>
    </row>
    <row r="28246">
      <c r="A28246" s="4" t="s">
        <v>35566</v>
      </c>
      <c r="B28246" s="4" t="s">
        <v>35571</v>
      </c>
      <c r="C28246" s="5" t="str">
        <f>IFERROR(__xludf.DUMMYFUNCTION("GOOGLETRANSLATE(B28246,""en"",""it"")"),"Un uomo carica sacchi di foglie e le lascia cadere in un cortile di collezione.")</f>
        <v>Un uomo carica sacchi di foglie e le lascia cadere in un cortile di collezione.</v>
      </c>
    </row>
    <row r="28247">
      <c r="A28247" s="4" t="s">
        <v>35572</v>
      </c>
      <c r="B28247" s="4" t="s">
        <v>35573</v>
      </c>
      <c r="C28247" s="5" t="str">
        <f>IFERROR(__xludf.DUMMYFUNCTION("GOOGLETRANSLATE(B28247,""en"",""it"")"),"Una ragazza in costume da bagno è seduta sulla spiaggia.")</f>
        <v>Una ragazza in costume da bagno è seduta sulla spiaggia.</v>
      </c>
    </row>
    <row r="28248">
      <c r="A28248" s="4" t="s">
        <v>35572</v>
      </c>
      <c r="B28248" s="4" t="s">
        <v>35574</v>
      </c>
      <c r="C28248" s="5" t="str">
        <f>IFERROR(__xludf.DUMMYFUNCTION("GOOGLETRANSLATE(B28248,""en"",""it"")"),"Sta mettendo la sabbia in una tazza e costruendo un castello di sabbia.")</f>
        <v>Sta mettendo la sabbia in una tazza e costruendo un castello di sabbia.</v>
      </c>
    </row>
    <row r="28249">
      <c r="A28249" s="4" t="s">
        <v>35572</v>
      </c>
      <c r="B28249" s="4" t="s">
        <v>35575</v>
      </c>
      <c r="C28249" s="5" t="str">
        <f>IFERROR(__xludf.DUMMYFUNCTION("GOOGLETRANSLATE(B28249,""en"",""it"")"),"Un'altra ragazza si avvicina e le parla.")</f>
        <v>Un'altra ragazza si avvicina e le parla.</v>
      </c>
    </row>
    <row r="28250">
      <c r="A28250" s="4" t="s">
        <v>35576</v>
      </c>
      <c r="B28250" s="4" t="s">
        <v>35577</v>
      </c>
      <c r="C28250" s="5" t="str">
        <f>IFERROR(__xludf.DUMMYFUNCTION("GOOGLETRANSLATE(B28250,""en"",""it"")"),"Un uomo si sdraia sul pavimento sopra un tappetino.")</f>
        <v>Un uomo si sdraia sul pavimento sopra un tappetino.</v>
      </c>
    </row>
    <row r="28251">
      <c r="A28251" s="4" t="s">
        <v>35576</v>
      </c>
      <c r="B28251" s="4" t="s">
        <v>35578</v>
      </c>
      <c r="C28251" s="5" t="str">
        <f>IFERROR(__xludf.DUMMYFUNCTION("GOOGLETRANSLATE(B28251,""en"",""it"")"),"L'uomo tiene un peso, ovebe la testa.")</f>
        <v>L'uomo tiene un peso, ovebe la testa.</v>
      </c>
    </row>
    <row r="28252">
      <c r="A28252" s="4" t="s">
        <v>35576</v>
      </c>
      <c r="B28252" s="4" t="s">
        <v>35579</v>
      </c>
      <c r="C28252" s="5" t="str">
        <f>IFERROR(__xludf.DUMMYFUNCTION("GOOGLETRANSLATE(B28252,""en"",""it"")"),"L'esercizio dell'uomo che tiene il peso e aumenta le gambe piegate fino al torace.")</f>
        <v>L'esercizio dell'uomo che tiene il peso e aumenta le gambe piegate fino al torace.</v>
      </c>
    </row>
    <row r="28253">
      <c r="A28253" s="4" t="s">
        <v>35580</v>
      </c>
      <c r="B28253" s="6" t="s">
        <v>35581</v>
      </c>
      <c r="C28253" s="5" t="str">
        <f>IFERROR(__xludf.DUMMYFUNCTION("GOOGLETRANSLATE(B28253,""en"",""it"")"),"Un uomo che indossa una camicia nera che ha parole bianche che dicono ""gioca bene con sé"" è seduto in una casa e gioca su due diversi bongos che hanno dimensioni, design e colore diversi.")</f>
        <v>Un uomo che indossa una camicia nera che ha parole bianche che dicono "gioca bene con sé" è seduto in una casa e gioca su due diversi bongos che hanno dimensioni, design e colore diversi.</v>
      </c>
    </row>
    <row r="28254">
      <c r="A28254" s="4" t="s">
        <v>35580</v>
      </c>
      <c r="B28254" s="4" t="s">
        <v>35582</v>
      </c>
      <c r="C28254" s="5" t="str">
        <f>IFERROR(__xludf.DUMMYFUNCTION("GOOGLETRANSLATE(B28254,""en"",""it"")"),"L'uomo smette di colpire i bongos e appoggia la mano sinistra sul bongo di colore più chiaro.")</f>
        <v>L'uomo smette di colpire i bongos e appoggia la mano sinistra sul bongo di colore più chiaro.</v>
      </c>
    </row>
    <row r="28255">
      <c r="A28255" s="4" t="s">
        <v>35580</v>
      </c>
      <c r="B28255" s="6" t="s">
        <v>35583</v>
      </c>
      <c r="C28255" s="5" t="str">
        <f>IFERROR(__xludf.DUMMYFUNCTION("GOOGLETRANSLATE(B28255,""en"",""it"")"),"Quindi l'uomo si muove la gamba destra come se stesse per alzarsi e il bongo si muove senza il suo supporto alla gamba.")</f>
        <v>Quindi l'uomo si muove la gamba destra come se stesse per alzarsi e il bongo si muove senza il suo supporto alla gamba.</v>
      </c>
    </row>
    <row r="28256">
      <c r="A28256" s="4" t="s">
        <v>35584</v>
      </c>
      <c r="B28256" s="4" t="s">
        <v>35585</v>
      </c>
      <c r="C28256" s="5" t="str">
        <f>IFERROR(__xludf.DUMMYFUNCTION("GOOGLETRANSLATE(B28256,""en"",""it"")"),"Stone freddo Steve Austin sul ring suda abbondantemente.")</f>
        <v>Stone freddo Steve Austin sul ring suda abbondantemente.</v>
      </c>
    </row>
    <row r="28257">
      <c r="A28257" s="4" t="s">
        <v>35584</v>
      </c>
      <c r="B28257" s="6" t="s">
        <v>35586</v>
      </c>
      <c r="C28257" s="5" t="str">
        <f>IFERROR(__xludf.DUMMYFUNCTION("GOOGLETRANSLATE(B28257,""en"",""it"")"),"Guarda l'altro lottatore che respira e suda, si guardano solo per un po '.")</f>
        <v>Guarda l'altro lottatore che respira e suda, si guardano solo per un po '.</v>
      </c>
    </row>
    <row r="28258">
      <c r="A28258" s="4" t="s">
        <v>35584</v>
      </c>
      <c r="B28258" s="4" t="s">
        <v>35587</v>
      </c>
      <c r="C28258" s="5" t="str">
        <f>IFERROR(__xludf.DUMMYFUNCTION("GOOGLETRANSLATE(B28258,""en"",""it"")"),"Aprino birre e si uniscono, poi iniziano a gettare birre al pubblico.")</f>
        <v>Aprino birre e si uniscono, poi iniziano a gettare birre al pubblico.</v>
      </c>
    </row>
    <row r="28259">
      <c r="A28259" s="4" t="s">
        <v>35584</v>
      </c>
      <c r="B28259" s="4" t="s">
        <v>35588</v>
      </c>
      <c r="C28259" s="5" t="str">
        <f>IFERROR(__xludf.DUMMYFUNCTION("GOOGLETRANSLATE(B28259,""en"",""it"")"),"Quindi, Austin esce dal ring e inizia a camminare sul retro.")</f>
        <v>Quindi, Austin esce dal ring e inizia a camminare sul retro.</v>
      </c>
    </row>
    <row r="28260">
      <c r="A28260" s="4" t="s">
        <v>35589</v>
      </c>
      <c r="B28260" s="4" t="s">
        <v>35590</v>
      </c>
      <c r="C28260" s="5" t="str">
        <f>IFERROR(__xludf.DUMMYFUNCTION("GOOGLETRANSLATE(B28260,""en"",""it"")"),"La donna sta parlando con un uomo in un pattinaggio Icerink e tiene pali di hockey che gioca tirando il disco.")</f>
        <v>La donna sta parlando con un uomo in un pattinaggio Icerink e tiene pali di hockey che gioca tirando il disco.</v>
      </c>
    </row>
    <row r="28261">
      <c r="A28261" s="4" t="s">
        <v>35589</v>
      </c>
      <c r="B28261" s="4" t="s">
        <v>35591</v>
      </c>
      <c r="C28261" s="5" t="str">
        <f>IFERROR(__xludf.DUMMYFUNCTION("GOOGLETRANSLATE(B28261,""en"",""it"")"),"La donna è in ospedale a parlare con un uomo.")</f>
        <v>La donna è in ospedale a parlare con un uomo.</v>
      </c>
    </row>
    <row r="28262">
      <c r="A28262" s="4" t="s">
        <v>35589</v>
      </c>
      <c r="B28262" s="4" t="s">
        <v>35592</v>
      </c>
      <c r="C28262" s="5" t="str">
        <f>IFERROR(__xludf.DUMMYFUNCTION("GOOGLETRANSLATE(B28262,""en"",""it"")"),"Uomo e donna guardarono l'uomo che aveva una benda in testa.")</f>
        <v>Uomo e donna guardarono l'uomo che aveva una benda in testa.</v>
      </c>
    </row>
    <row r="28263">
      <c r="A28263" s="4" t="s">
        <v>35593</v>
      </c>
      <c r="B28263" s="4" t="s">
        <v>35594</v>
      </c>
      <c r="C28263" s="5" t="str">
        <f>IFERROR(__xludf.DUMMYFUNCTION("GOOGLETRANSLATE(B28263,""en"",""it"")"),"I giocatori di Brasil segna mentre le persone nelle candelle festeggiano.")</f>
        <v>I giocatori di Brasil segna mentre le persone nelle candelle festeggiano.</v>
      </c>
    </row>
    <row r="28264">
      <c r="A28264" s="4" t="s">
        <v>35593</v>
      </c>
      <c r="B28264" s="6" t="s">
        <v>35595</v>
      </c>
      <c r="C28264" s="5" t="str">
        <f>IFERROR(__xludf.DUMMYFUNCTION("GOOGLETRANSLATE(B28264,""en"",""it"")"),"Un giocatore brasiliano passa la palla al suo compagno di giochi che segna e corre per festeggiare, altri giocatori brasiliani segna molte volte.")</f>
        <v>Un giocatore brasiliano passa la palla al suo compagno di giochi che segna e corre per festeggiare, altri giocatori brasiliani segna molte volte.</v>
      </c>
    </row>
    <row r="28265">
      <c r="A28265" s="4" t="s">
        <v>35593</v>
      </c>
      <c r="B28265" s="4" t="s">
        <v>35596</v>
      </c>
      <c r="C28265" s="5" t="str">
        <f>IFERROR(__xludf.DUMMYFUNCTION("GOOGLETRANSLATE(B28265,""en"",""it"")"),"Dopo, Brasil gioca più volte con altri bulli e punteggi.")</f>
        <v>Dopo, Brasil gioca più volte con altri bulli e punteggi.</v>
      </c>
    </row>
    <row r="28266">
      <c r="A28266" s="4" t="s">
        <v>35593</v>
      </c>
      <c r="B28266" s="4" t="s">
        <v>35597</v>
      </c>
      <c r="C28266" s="5" t="str">
        <f>IFERROR(__xludf.DUMMYFUNCTION("GOOGLETRANSLATE(B28266,""en"",""it"")"),"Quindi Brasil gioca con giocatori di altri paesi e punteggi.")</f>
        <v>Quindi Brasil gioca con giocatori di altri paesi e punteggi.</v>
      </c>
    </row>
    <row r="28267">
      <c r="A28267" s="4" t="s">
        <v>35593</v>
      </c>
      <c r="B28267" s="4" t="s">
        <v>35598</v>
      </c>
      <c r="C28267" s="5" t="str">
        <f>IFERROR(__xludf.DUMMYFUNCTION("GOOGLETRANSLATE(B28267,""en"",""it"")"),"Alla fine, Brasil vince la competizione.")</f>
        <v>Alla fine, Brasil vince la competizione.</v>
      </c>
    </row>
    <row r="28268">
      <c r="A28268" s="4" t="s">
        <v>35599</v>
      </c>
      <c r="B28268" s="4" t="s">
        <v>35600</v>
      </c>
      <c r="C28268" s="5" t="str">
        <f>IFERROR(__xludf.DUMMYFUNCTION("GOOGLETRANSLATE(B28268,""en"",""it"")"),"Le persone giocano a calcio indoor in un'arena.")</f>
        <v>Le persone giocano a calcio indoor in un'arena.</v>
      </c>
    </row>
    <row r="28269">
      <c r="A28269" s="4" t="s">
        <v>35599</v>
      </c>
      <c r="B28269" s="4" t="s">
        <v>35601</v>
      </c>
      <c r="C28269" s="5" t="str">
        <f>IFERROR(__xludf.DUMMYFUNCTION("GOOGLETRANSLATE(B28269,""en"",""it"")"),"Le persone sono sedute sugli spalti a guardare.")</f>
        <v>Le persone sono sedute sugli spalti a guardare.</v>
      </c>
    </row>
    <row r="28270">
      <c r="A28270" s="4" t="s">
        <v>35599</v>
      </c>
      <c r="B28270" s="4" t="s">
        <v>2018</v>
      </c>
      <c r="C28270" s="5" t="str">
        <f>IFERROR(__xludf.DUMMYFUNCTION("GOOGLETRANSLATE(B28270,""en"",""it"")"),"Le parole si alzano sullo schermo.")</f>
        <v>Le parole si alzano sullo schermo.</v>
      </c>
    </row>
    <row r="28271">
      <c r="A28271" s="4" t="s">
        <v>35602</v>
      </c>
      <c r="B28271" s="4" t="s">
        <v>35603</v>
      </c>
      <c r="C28271" s="5" t="str">
        <f>IFERROR(__xludf.DUMMYFUNCTION("GOOGLETRANSLATE(B28271,""en"",""it"")"),"Una donna si trova in una stanza con in mano un cerchio di hula.")</f>
        <v>Una donna si trova in una stanza con in mano un cerchio di hula.</v>
      </c>
    </row>
    <row r="28272">
      <c r="A28272" s="4" t="s">
        <v>35602</v>
      </c>
      <c r="B28272" s="4" t="s">
        <v>35604</v>
      </c>
      <c r="C28272" s="5" t="str">
        <f>IFERROR(__xludf.DUMMYFUNCTION("GOOGLETRANSLATE(B28272,""en"",""it"")"),"Dimostra come usare il cerchio di hula.")</f>
        <v>Dimostra come usare il cerchio di hula.</v>
      </c>
    </row>
    <row r="28273">
      <c r="A28273" s="4" t="s">
        <v>35602</v>
      </c>
      <c r="B28273" s="4" t="s">
        <v>35605</v>
      </c>
      <c r="C28273" s="5" t="str">
        <f>IFERROR(__xludf.DUMMYFUNCTION("GOOGLETRANSLATE(B28273,""en"",""it"")"),"Lo gira usando i fianchi e parla con la telecamera.")</f>
        <v>Lo gira usando i fianchi e parla con la telecamera.</v>
      </c>
    </row>
    <row r="28274">
      <c r="A28274" s="4" t="s">
        <v>35606</v>
      </c>
      <c r="B28274" s="4" t="s">
        <v>35607</v>
      </c>
      <c r="C28274" s="5" t="str">
        <f>IFERROR(__xludf.DUMMYFUNCTION("GOOGLETRANSLATE(B28274,""en"",""it"")"),"Un uomo che indossa una camicia blu suona il piano in un cortile.")</f>
        <v>Un uomo che indossa una camicia blu suona il piano in un cortile.</v>
      </c>
    </row>
    <row r="28275">
      <c r="A28275" s="4" t="s">
        <v>35606</v>
      </c>
      <c r="B28275" s="4" t="s">
        <v>35608</v>
      </c>
      <c r="C28275" s="5" t="str">
        <f>IFERROR(__xludf.DUMMYFUNCTION("GOOGLETRANSLATE(B28275,""en"",""it"")"),"Ci sono due elefanti in piedi dietro di lui.")</f>
        <v>Ci sono due elefanti in piedi dietro di lui.</v>
      </c>
    </row>
    <row r="28276">
      <c r="A28276" s="4" t="s">
        <v>35606</v>
      </c>
      <c r="B28276" s="4" t="s">
        <v>35609</v>
      </c>
      <c r="C28276" s="5" t="str">
        <f>IFERROR(__xludf.DUMMYFUNCTION("GOOGLETRANSLATE(B28276,""en"",""it"")"),"Uno degli elefanti sta cercando di suonare il piano con il suo tronco.")</f>
        <v>Uno degli elefanti sta cercando di suonare il piano con il suo tronco.</v>
      </c>
    </row>
    <row r="28277">
      <c r="A28277" s="4" t="s">
        <v>35606</v>
      </c>
      <c r="B28277" s="4" t="s">
        <v>35610</v>
      </c>
      <c r="C28277" s="5" t="str">
        <f>IFERROR(__xludf.DUMMYFUNCTION("GOOGLETRANSLATE(B28277,""en"",""it"")"),"L'uomo continua a suonare il piano in un ritmo veloce usando varie chiavi sul piano.")</f>
        <v>L'uomo continua a suonare il piano in un ritmo veloce usando varie chiavi sul piano.</v>
      </c>
    </row>
    <row r="28278">
      <c r="A28278" s="4" t="s">
        <v>35606</v>
      </c>
      <c r="B28278" s="4" t="s">
        <v>35611</v>
      </c>
      <c r="C28278" s="5" t="str">
        <f>IFERROR(__xludf.DUMMYFUNCTION("GOOGLETRANSLATE(B28278,""en"",""it"")"),"Dà un grande traguardo con la melodia e poi picchia il bagagliaio dell'elefante.")</f>
        <v>Dà un grande traguardo con la melodia e poi picchia il bagagliaio dell'elefante.</v>
      </c>
    </row>
    <row r="28279">
      <c r="A28279" s="4" t="s">
        <v>35612</v>
      </c>
      <c r="B28279" s="4" t="s">
        <v>35613</v>
      </c>
      <c r="C28279" s="5" t="str">
        <f>IFERROR(__xludf.DUMMYFUNCTION("GOOGLETRANSLATE(B28279,""en"",""it"")"),"Un ragazzo si trova sulla riva di una spiaggia con in mano un bastone da hockey che bilancia una palla.")</f>
        <v>Un ragazzo si trova sulla riva di una spiaggia con in mano un bastone da hockey che bilancia una palla.</v>
      </c>
    </row>
    <row r="28280">
      <c r="A28280" s="4" t="s">
        <v>35612</v>
      </c>
      <c r="B28280" s="4" t="s">
        <v>35614</v>
      </c>
      <c r="C28280" s="5" t="str">
        <f>IFERROR(__xludf.DUMMYFUNCTION("GOOGLETRANSLATE(B28280,""en"",""it"")"),"Un bastone da hockey e una palla bianca giacevano su erba finta all'esterno.")</f>
        <v>Un bastone da hockey e una palla bianca giacevano su erba finta all'esterno.</v>
      </c>
    </row>
    <row r="28281">
      <c r="A28281" s="4" t="s">
        <v>35612</v>
      </c>
      <c r="B28281" s="4" t="s">
        <v>35615</v>
      </c>
      <c r="C28281" s="5" t="str">
        <f>IFERROR(__xludf.DUMMYFUNCTION("GOOGLETRANSLATE(B28281,""en"",""it"")"),"Una persona muove una palla bianca con un bastone da hockey.")</f>
        <v>Una persona muove una palla bianca con un bastone da hockey.</v>
      </c>
    </row>
    <row r="28282">
      <c r="A28282" s="4" t="s">
        <v>35612</v>
      </c>
      <c r="B28282" s="4" t="s">
        <v>35616</v>
      </c>
      <c r="C28282" s="5" t="str">
        <f>IFERROR(__xludf.DUMMYFUNCTION("GOOGLETRANSLATE(B28282,""en"",""it"")"),"Una persona dimostra dieci tecniche di hockey sul campo.")</f>
        <v>Una persona dimostra dieci tecniche di hockey sul campo.</v>
      </c>
    </row>
    <row r="28283">
      <c r="A28283" s="4" t="s">
        <v>35612</v>
      </c>
      <c r="B28283" s="4" t="s">
        <v>35617</v>
      </c>
      <c r="C28283" s="5" t="str">
        <f>IFERROR(__xludf.DUMMYFUNCTION("GOOGLETRANSLATE(B28283,""en"",""it"")"),"Un ragazzo usa un bastone da hockey per rimbalzare una palla in aria.")</f>
        <v>Un ragazzo usa un bastone da hockey per rimbalzare una palla in aria.</v>
      </c>
    </row>
    <row r="28284">
      <c r="A28284" s="4" t="s">
        <v>35612</v>
      </c>
      <c r="B28284" s="4" t="s">
        <v>35618</v>
      </c>
      <c r="C28284" s="5" t="str">
        <f>IFERROR(__xludf.DUMMYFUNCTION("GOOGLETRANSLATE(B28284,""en"",""it"")"),"Vengono mostrati saluti e crediti.")</f>
        <v>Vengono mostrati saluti e crediti.</v>
      </c>
    </row>
    <row r="28285">
      <c r="A28285" s="4" t="s">
        <v>35619</v>
      </c>
      <c r="B28285" s="4" t="s">
        <v>35620</v>
      </c>
      <c r="C28285" s="5" t="str">
        <f>IFERROR(__xludf.DUMMYFUNCTION("GOOGLETRANSLATE(B28285,""en"",""it"")"),"Un ragazzo gioca con una palla in un cortile.")</f>
        <v>Un ragazzo gioca con una palla in un cortile.</v>
      </c>
    </row>
    <row r="28286">
      <c r="A28286" s="4" t="s">
        <v>35619</v>
      </c>
      <c r="B28286" s="4" t="s">
        <v>35621</v>
      </c>
      <c r="C28286" s="5" t="str">
        <f>IFERROR(__xludf.DUMMYFUNCTION("GOOGLETRANSLATE(B28286,""en"",""it"")"),"Un ragazzo oscilla e colpisce la palla fuori dal cortile.")</f>
        <v>Un ragazzo oscilla e colpisce la palla fuori dal cortile.</v>
      </c>
    </row>
    <row r="28287">
      <c r="A28287" s="4" t="s">
        <v>35619</v>
      </c>
      <c r="B28287" s="4" t="s">
        <v>35622</v>
      </c>
      <c r="C28287" s="5" t="str">
        <f>IFERROR(__xludf.DUMMYFUNCTION("GOOGLETRANSLATE(B28287,""en"",""it"")"),"Il ragazzo cammina per recuperare la palla.")</f>
        <v>Il ragazzo cammina per recuperare la palla.</v>
      </c>
    </row>
    <row r="28288">
      <c r="A28288" s="4" t="s">
        <v>35619</v>
      </c>
      <c r="B28288" s="4" t="s">
        <v>35623</v>
      </c>
      <c r="C28288" s="5" t="str">
        <f>IFERROR(__xludf.DUMMYFUNCTION("GOOGLETRANSLATE(B28288,""en"",""it"")"),"Il ragazzo gioca in una partita in cui colpisce la palla e abbatte i cestino.")</f>
        <v>Il ragazzo gioca in una partita in cui colpisce la palla e abbatte i cestino.</v>
      </c>
    </row>
    <row r="28289">
      <c r="A28289" s="4" t="s">
        <v>35619</v>
      </c>
      <c r="B28289" s="4" t="s">
        <v>35624</v>
      </c>
      <c r="C28289" s="5" t="str">
        <f>IFERROR(__xludf.DUMMYFUNCTION("GOOGLETRANSLATE(B28289,""en"",""it"")"),"Il ragazzo fa oscillare un bastone alle palle per colpirle attraverso un goal.")</f>
        <v>Il ragazzo fa oscillare un bastone alle palle per colpirle attraverso un goal.</v>
      </c>
    </row>
    <row r="28290">
      <c r="A28290" s="4" t="s">
        <v>35625</v>
      </c>
      <c r="B28290" s="4" t="s">
        <v>35626</v>
      </c>
      <c r="C28290" s="5" t="str">
        <f>IFERROR(__xludf.DUMMYFUNCTION("GOOGLETRANSLATE(B28290,""en"",""it"")"),"Le persone giocano a shuffleboard in palestra.")</f>
        <v>Le persone giocano a shuffleboard in palestra.</v>
      </c>
    </row>
    <row r="28291">
      <c r="A28291" s="4" t="s">
        <v>35625</v>
      </c>
      <c r="B28291" s="4" t="s">
        <v>35627</v>
      </c>
      <c r="C28291" s="5" t="str">
        <f>IFERROR(__xludf.DUMMYFUNCTION("GOOGLETRANSLATE(B28291,""en"",""it"")"),"Una donna lancia un disco nero, poi parla e continua a suonare.")</f>
        <v>Una donna lancia un disco nero, poi parla e continua a suonare.</v>
      </c>
    </row>
    <row r="28292">
      <c r="A28292" s="4" t="s">
        <v>35625</v>
      </c>
      <c r="B28292" s="4" t="s">
        <v>35628</v>
      </c>
      <c r="C28292" s="5" t="str">
        <f>IFERROR(__xludf.DUMMYFUNCTION("GOOGLETRANSLATE(B28292,""en"",""it"")"),"Il vecchio che indossa un berretto parla in palestra.")</f>
        <v>Il vecchio che indossa un berretto parla in palestra.</v>
      </c>
    </row>
    <row r="28293">
      <c r="A28293" s="4" t="s">
        <v>35625</v>
      </c>
      <c r="B28293" s="4" t="s">
        <v>35629</v>
      </c>
      <c r="C28293" s="5" t="str">
        <f>IFERROR(__xludf.DUMMYFUNCTION("GOOGLETRANSLATE(B28293,""en"",""it"")"),"Due donne parlano fianco a fianco, una delle donne tiene un palo.")</f>
        <v>Due donne parlano fianco a fianco, una delle donne tiene un palo.</v>
      </c>
    </row>
    <row r="28294">
      <c r="A28294" s="4" t="s">
        <v>35630</v>
      </c>
      <c r="B28294" s="4" t="s">
        <v>35631</v>
      </c>
      <c r="C28294" s="5" t="str">
        <f>IFERROR(__xludf.DUMMYFUNCTION("GOOGLETRANSLATE(B28294,""en"",""it"")"),"Un infomercial mostra una persona che usa un rasoio sulla gamba mentre parla alla telecamera.")</f>
        <v>Un infomercial mostra una persona che usa un rasoio sulla gamba mentre parla alla telecamera.</v>
      </c>
    </row>
    <row r="28295">
      <c r="A28295" s="4" t="s">
        <v>35630</v>
      </c>
      <c r="B28295" s="4" t="s">
        <v>35632</v>
      </c>
      <c r="C28295" s="5" t="str">
        <f>IFERROR(__xludf.DUMMYFUNCTION("GOOGLETRANSLATE(B28295,""en"",""it"")"),"La donna continua a radersi le gambe e viene mostrato un primo piano dello strumento.")</f>
        <v>La donna continua a radersi le gambe e viene mostrato un primo piano dello strumento.</v>
      </c>
    </row>
    <row r="28296">
      <c r="A28296" s="4" t="s">
        <v>35633</v>
      </c>
      <c r="B28296" s="4" t="s">
        <v>35634</v>
      </c>
      <c r="C28296" s="5" t="str">
        <f>IFERROR(__xludf.DUMMYFUNCTION("GOOGLETRANSLATE(B28296,""en"",""it"")"),"Una donna entra in cornice giocando con i capelli e separali dietro di lei.")</f>
        <v>Una donna entra in cornice giocando con i capelli e separali dietro di lei.</v>
      </c>
    </row>
    <row r="28297">
      <c r="A28297" s="4" t="s">
        <v>35633</v>
      </c>
      <c r="B28297" s="6" t="s">
        <v>35635</v>
      </c>
      <c r="C28297" s="5" t="str">
        <f>IFERROR(__xludf.DUMMYFUNCTION("GOOGLETRANSLATE(B28297,""en"",""it"")"),"La donna continua a intrecciarsi i capelli e mostra il risultato finale mentre guarda alla telecamera e poi via.")</f>
        <v>La donna continua a intrecciarsi i capelli e mostra il risultato finale mentre guarda alla telecamera e poi via.</v>
      </c>
    </row>
    <row r="28298">
      <c r="A28298" s="4" t="s">
        <v>35636</v>
      </c>
      <c r="B28298" s="6" t="s">
        <v>35637</v>
      </c>
      <c r="C28298" s="5" t="str">
        <f>IFERROR(__xludf.DUMMYFUNCTION("GOOGLETRANSLATE(B28298,""en"",""it"")"),"Viene mostrata le auto coperte da una neve densa e un uomo sta pulendo la neve con una pala nel parabrezza e tutta l'auto.")</f>
        <v>Viene mostrata le auto coperte da una neve densa e un uomo sta pulendo la neve con una pala nel parabrezza e tutta l'auto.</v>
      </c>
    </row>
    <row r="28299">
      <c r="A28299" s="4" t="s">
        <v>35636</v>
      </c>
      <c r="B28299" s="4" t="s">
        <v>35638</v>
      </c>
      <c r="C28299" s="5" t="str">
        <f>IFERROR(__xludf.DUMMYFUNCTION("GOOGLETRANSLATE(B28299,""en"",""it"")"),"L'auto sta andando in strada.")</f>
        <v>L'auto sta andando in strada.</v>
      </c>
    </row>
    <row r="28300">
      <c r="A28300" s="4" t="s">
        <v>35639</v>
      </c>
      <c r="B28300" s="4" t="s">
        <v>35640</v>
      </c>
      <c r="C28300" s="5" t="str">
        <f>IFERROR(__xludf.DUMMYFUNCTION("GOOGLETRANSLATE(B28300,""en"",""it"")"),"Una coppia e un bambino sono in un soggiorno.")</f>
        <v>Una coppia e un bambino sono in un soggiorno.</v>
      </c>
    </row>
    <row r="28301">
      <c r="A28301" s="4" t="s">
        <v>35639</v>
      </c>
      <c r="B28301" s="4" t="s">
        <v>35641</v>
      </c>
      <c r="C28301" s="5" t="str">
        <f>IFERROR(__xludf.DUMMYFUNCTION("GOOGLETRANSLATE(B28301,""en"",""it"")"),"La coppia inizia a ballare nel mezzo della stanza, girando e rotepeggiando.")</f>
        <v>La coppia inizia a ballare nel mezzo della stanza, girando e rotepeggiando.</v>
      </c>
    </row>
    <row r="28302">
      <c r="A28302" s="4" t="s">
        <v>35642</v>
      </c>
      <c r="B28302" s="4" t="s">
        <v>35643</v>
      </c>
      <c r="C28302" s="5" t="str">
        <f>IFERROR(__xludf.DUMMYFUNCTION("GOOGLETRANSLATE(B28302,""en"",""it"")"),"Un arbitro che indossa una camicia bianca in una partita di boxe inizia una partita di boxe.")</f>
        <v>Un arbitro che indossa una camicia bianca in una partita di boxe inizia una partita di boxe.</v>
      </c>
    </row>
    <row r="28303">
      <c r="A28303" s="4" t="s">
        <v>35642</v>
      </c>
      <c r="B28303" s="4" t="s">
        <v>35644</v>
      </c>
      <c r="C28303" s="5" t="str">
        <f>IFERROR(__xludf.DUMMYFUNCTION("GOOGLETRANSLATE(B28303,""en"",""it"")"),"Due boxer per ragazze si avvicinano e iniziano a calciare la boxe.")</f>
        <v>Due boxer per ragazze si avvicinano e iniziano a calciare la boxe.</v>
      </c>
    </row>
    <row r="28304">
      <c r="A28304" s="4" t="s">
        <v>35642</v>
      </c>
      <c r="B28304" s="4" t="s">
        <v>35645</v>
      </c>
      <c r="C28304" s="5" t="str">
        <f>IFERROR(__xludf.DUMMYFUNCTION("GOOGLETRANSLATE(B28304,""en"",""it"")"),"Il pugile più alto si avvicina al pugile più corto e colpisce il pugile più corto con un calcio diretto.")</f>
        <v>Il pugile più alto si avvicina al pugile più corto e colpisce il pugile più corto con un calcio diretto.</v>
      </c>
    </row>
    <row r="28305">
      <c r="A28305" s="4" t="s">
        <v>35642</v>
      </c>
      <c r="B28305" s="4" t="s">
        <v>35646</v>
      </c>
      <c r="C28305" s="5" t="str">
        <f>IFERROR(__xludf.DUMMYFUNCTION("GOOGLETRANSLATE(B28305,""en"",""it"")"),"Entrambi i pugili scambiano pugni e calci al centro del ring.")</f>
        <v>Entrambi i pugili scambiano pugni e calci al centro del ring.</v>
      </c>
    </row>
    <row r="28306">
      <c r="A28306" s="4" t="s">
        <v>35642</v>
      </c>
      <c r="B28306" s="4" t="s">
        <v>35647</v>
      </c>
      <c r="C28306" s="5" t="str">
        <f>IFERROR(__xludf.DUMMYFUNCTION("GOOGLETRANSLATE(B28306,""en"",""it"")"),"L'arbitro gestisce la lotta mentre segue e guarda i combattenti da vicino.")</f>
        <v>L'arbitro gestisce la lotta mentre segue e guarda i combattenti da vicino.</v>
      </c>
    </row>
    <row r="28307">
      <c r="A28307" s="4" t="s">
        <v>35648</v>
      </c>
      <c r="B28307" s="4" t="s">
        <v>35649</v>
      </c>
      <c r="C28307" s="5" t="str">
        <f>IFERROR(__xludf.DUMMYFUNCTION("GOOGLETRANSLATE(B28307,""en"",""it"")"),"Due persone sono tubi in un ruscello con acqua lussureggiante e enormi rocce attraverso di esso.")</f>
        <v>Due persone sono tubi in un ruscello con acqua lussureggiante e enormi rocce attraverso di esso.</v>
      </c>
    </row>
    <row r="28308">
      <c r="A28308" s="4" t="s">
        <v>35648</v>
      </c>
      <c r="B28308" s="6" t="s">
        <v>35650</v>
      </c>
      <c r="C28308" s="5" t="str">
        <f>IFERROR(__xludf.DUMMYFUNCTION("GOOGLETRANSLATE(B28308,""en"",""it"")"),"Una volta che i due girano intorno alla curva, hanno colpito due piccole colline e si guastano nella parte più calma dell'acqua.")</f>
        <v>Una volta che i due girano intorno alla curva, hanno colpito due piccole colline e si guastano nella parte più calma dell'acqua.</v>
      </c>
    </row>
    <row r="28309">
      <c r="A28309" s="4" t="s">
        <v>35651</v>
      </c>
      <c r="B28309" s="4" t="s">
        <v>35652</v>
      </c>
      <c r="C28309" s="5" t="str">
        <f>IFERROR(__xludf.DUMMYFUNCTION("GOOGLETRANSLATE(B28309,""en"",""it"")"),"L'uomo sta mettendo in ceretta la gamba di una donna.")</f>
        <v>L'uomo sta mettendo in ceretta la gamba di una donna.</v>
      </c>
    </row>
    <row r="28310">
      <c r="A28310" s="4" t="s">
        <v>35651</v>
      </c>
      <c r="B28310" s="4" t="s">
        <v>35653</v>
      </c>
      <c r="C28310" s="5" t="str">
        <f>IFERROR(__xludf.DUMMYFUNCTION("GOOGLETRANSLATE(B28310,""en"",""it"")"),"La donna sta parlando con la telecamera e mostra come incerare la gamba.")</f>
        <v>La donna sta parlando con la telecamera e mostra come incerare la gamba.</v>
      </c>
    </row>
    <row r="28311">
      <c r="A28311" s="4" t="s">
        <v>35654</v>
      </c>
      <c r="B28311" s="4" t="s">
        <v>35655</v>
      </c>
      <c r="C28311" s="5" t="str">
        <f>IFERROR(__xludf.DUMMYFUNCTION("GOOGLETRANSLATE(B28311,""en"",""it"")"),"Due persone hanno le gambe legate insieme e poi ricevono istruzioni.")</f>
        <v>Due persone hanno le gambe legate insieme e poi ricevono istruzioni.</v>
      </c>
    </row>
    <row r="28312">
      <c r="A28312" s="4" t="s">
        <v>35654</v>
      </c>
      <c r="B28312" s="4" t="s">
        <v>35656</v>
      </c>
      <c r="C28312" s="5" t="str">
        <f>IFERROR(__xludf.DUMMYFUNCTION("GOOGLETRANSLATE(B28312,""en"",""it"")"),"Vengono verso una sporgenza e poi vanno Bungee saltando oltre il bordo.")</f>
        <v>Vengono verso una sporgenza e poi vanno Bungee saltando oltre il bordo.</v>
      </c>
    </row>
    <row r="28313">
      <c r="A28313" s="4" t="s">
        <v>35657</v>
      </c>
      <c r="B28313" s="6" t="s">
        <v>35658</v>
      </c>
      <c r="C28313" s="5" t="str">
        <f>IFERROR(__xludf.DUMMYFUNCTION("GOOGLETRANSLATE(B28313,""en"",""it"")"),"Le foto di un drink sono mostrate da una ciotola vuota e da una persona che mette ingredienti nella ciotola.")</f>
        <v>Le foto di un drink sono mostrate da una ciotola vuota e da una persona che mette ingredienti nella ciotola.</v>
      </c>
    </row>
    <row r="28314">
      <c r="A28314" s="4" t="s">
        <v>35657</v>
      </c>
      <c r="B28314" s="4" t="s">
        <v>35659</v>
      </c>
      <c r="C28314" s="5" t="str">
        <f>IFERROR(__xludf.DUMMYFUNCTION("GOOGLETRANSLATE(B28314,""en"",""it"")"),"La persona mescola gli ingredienti tutt'intorno e versa la miscela in un bicchiere con ghiaccio per servire.")</f>
        <v>La persona mescola gli ingredienti tutt'intorno e versa la miscela in un bicchiere con ghiaccio per servire.</v>
      </c>
    </row>
    <row r="28315">
      <c r="A28315" s="4" t="s">
        <v>35660</v>
      </c>
      <c r="B28315" s="4" t="s">
        <v>35661</v>
      </c>
      <c r="C28315" s="5" t="str">
        <f>IFERROR(__xludf.DUMMYFUNCTION("GOOGLETRANSLATE(B28315,""en"",""it"")"),"Un pennello è attaccato a un trapano elettrico per la lavaggio.")</f>
        <v>Un pennello è attaccato a un trapano elettrico per la lavaggio.</v>
      </c>
    </row>
    <row r="28316">
      <c r="A28316" s="4" t="s">
        <v>35660</v>
      </c>
      <c r="B28316" s="4" t="s">
        <v>35662</v>
      </c>
      <c r="C28316" s="5" t="str">
        <f>IFERROR(__xludf.DUMMYFUNCTION("GOOGLETRANSLATE(B28316,""en"",""it"")"),"La parte superiore del lavandino viene strofinata quindi la ciotola.")</f>
        <v>La parte superiore del lavandino viene strofinata quindi la ciotola.</v>
      </c>
    </row>
    <row r="28317">
      <c r="A28317" s="4" t="s">
        <v>35660</v>
      </c>
      <c r="B28317" s="4" t="s">
        <v>35663</v>
      </c>
      <c r="C28317" s="5" t="str">
        <f>IFERROR(__xludf.DUMMYFUNCTION("GOOGLETRANSLATE(B28317,""en"",""it"")"),"Viene cancellato da un asciugamano per finire.")</f>
        <v>Viene cancellato da un asciugamano per finire.</v>
      </c>
    </row>
    <row r="28318">
      <c r="A28318" s="4" t="s">
        <v>35664</v>
      </c>
      <c r="B28318" s="4" t="s">
        <v>35665</v>
      </c>
      <c r="C28318" s="5" t="str">
        <f>IFERROR(__xludf.DUMMYFUNCTION("GOOGLETRANSLATE(B28318,""en"",""it"")"),"Le persone sono sedute su macchine da esercizi in una stanza.")</f>
        <v>Le persone sono sedute su macchine da esercizi in una stanza.</v>
      </c>
    </row>
    <row r="28319">
      <c r="A28319" s="4" t="s">
        <v>35664</v>
      </c>
      <c r="B28319" s="4" t="s">
        <v>35666</v>
      </c>
      <c r="C28319" s="5" t="str">
        <f>IFERROR(__xludf.DUMMYFUNCTION("GOOGLETRANSLATE(B28319,""en"",""it"")"),"Tutti iniziano ad allenarti e tirano su una corda.")</f>
        <v>Tutti iniziano ad allenarti e tirano su una corda.</v>
      </c>
    </row>
    <row r="28320">
      <c r="A28320" s="4" t="s">
        <v>35664</v>
      </c>
      <c r="B28320" s="4" t="s">
        <v>35667</v>
      </c>
      <c r="C28320" s="5" t="str">
        <f>IFERROR(__xludf.DUMMYFUNCTION("GOOGLETRANSLATE(B28320,""en"",""it"")"),"Le persone sono di fronte a loro incoraggiandoli.")</f>
        <v>Le persone sono di fronte a loro incoraggiandoli.</v>
      </c>
    </row>
    <row r="28321">
      <c r="A28321" s="4" t="s">
        <v>35668</v>
      </c>
      <c r="B28321" s="6" t="s">
        <v>35669</v>
      </c>
      <c r="C28321" s="5" t="str">
        <f>IFERROR(__xludf.DUMMYFUNCTION("GOOGLETRANSLATE(B28321,""en"",""it"")"),"Un uomo viene visto ballare con un cerchio di hula in una zona affollata mentre le persone si aggirano dietro di lei.")</f>
        <v>Un uomo viene visto ballare con un cerchio di hula in una zona affollata mentre le persone si aggirano dietro di lei.</v>
      </c>
    </row>
    <row r="28322">
      <c r="A28322" s="4" t="s">
        <v>35668</v>
      </c>
      <c r="B28322" s="4" t="s">
        <v>35670</v>
      </c>
      <c r="C28322" s="5" t="str">
        <f>IFERROR(__xludf.DUMMYFUNCTION("GOOGLETRANSLATE(B28322,""en"",""it"")"),"La donna continua a girare il cerchio intorno a se stessa mentre la gente la guarda girare intorno.")</f>
        <v>La donna continua a girare il cerchio intorno a se stessa mentre la gente la guarda girare intorno.</v>
      </c>
    </row>
    <row r="28323">
      <c r="A28323" s="4" t="s">
        <v>35671</v>
      </c>
      <c r="B28323" s="4" t="s">
        <v>35672</v>
      </c>
      <c r="C28323" s="5" t="str">
        <f>IFERROR(__xludf.DUMMYFUNCTION("GOOGLETRANSLATE(B28323,""en"",""it"")"),"Un musicista jazz sta insegnando a suonare il sassofono.")</f>
        <v>Un musicista jazz sta insegnando a suonare il sassofono.</v>
      </c>
    </row>
    <row r="28324">
      <c r="A28324" s="4" t="s">
        <v>35671</v>
      </c>
      <c r="B28324" s="4" t="s">
        <v>35673</v>
      </c>
      <c r="C28324" s="5" t="str">
        <f>IFERROR(__xludf.DUMMYFUNCTION("GOOGLETRANSLATE(B28324,""en"",""it"")"),"Sta dando istruzioni e parla di musica e scale.")</f>
        <v>Sta dando istruzioni e parla di musica e scale.</v>
      </c>
    </row>
    <row r="28325">
      <c r="A28325" s="4" t="s">
        <v>35671</v>
      </c>
      <c r="B28325" s="4" t="s">
        <v>35674</v>
      </c>
      <c r="C28325" s="5" t="str">
        <f>IFERROR(__xludf.DUMMYFUNCTION("GOOGLETRANSLATE(B28325,""en"",""it"")"),"Quindi inizia a giocarne un po 'per un po' prima di tornare alla lezione.")</f>
        <v>Quindi inizia a giocarne un po 'per un po' prima di tornare alla lezione.</v>
      </c>
    </row>
    <row r="28326">
      <c r="A28326" s="4" t="s">
        <v>35671</v>
      </c>
      <c r="B28326" s="6" t="s">
        <v>35675</v>
      </c>
      <c r="C28326" s="5" t="str">
        <f>IFERROR(__xludf.DUMMYFUNCTION("GOOGLETRANSLATE(B28326,""en"",""it"")"),"Parla delle note che ha scritto sulla lavagna e torna a tenere lezioni di più su tutto.")</f>
        <v>Parla delle note che ha scritto sulla lavagna e torna a tenere lezioni di più su tutto.</v>
      </c>
    </row>
    <row r="28327">
      <c r="A28327" s="4" t="s">
        <v>35676</v>
      </c>
      <c r="B28327" s="4" t="s">
        <v>35677</v>
      </c>
      <c r="C28327" s="5" t="str">
        <f>IFERROR(__xludf.DUMMYFUNCTION("GOOGLETRANSLATE(B28327,""en"",""it"")"),"Una persona parla mentre si siede su una barca con in mano una pagaia.")</f>
        <v>Una persona parla mentre si siede su una barca con in mano una pagaia.</v>
      </c>
    </row>
    <row r="28328">
      <c r="A28328" s="4" t="s">
        <v>35676</v>
      </c>
      <c r="B28328" s="4" t="s">
        <v>35678</v>
      </c>
      <c r="C28328" s="5" t="str">
        <f>IFERROR(__xludf.DUMMYFUNCTION("GOOGLETRANSLATE(B28328,""en"",""it"")"),"Quindi, la persona naviga in acque mosse, improvvisamente ruota via la barca aiutando con il remo.")</f>
        <v>Quindi, la persona naviga in acque mosse, improvvisamente ruota via la barca aiutando con il remo.</v>
      </c>
    </row>
    <row r="28329">
      <c r="A28329" s="4" t="s">
        <v>35679</v>
      </c>
      <c r="B28329" s="4" t="s">
        <v>35680</v>
      </c>
      <c r="C28329" s="5" t="str">
        <f>IFERROR(__xludf.DUMMYFUNCTION("GOOGLETRANSLATE(B28329,""en"",""it"")"),"Un gruppo di bambini e adulti è in un fiume.")</f>
        <v>Un gruppo di bambini e adulti è in un fiume.</v>
      </c>
    </row>
    <row r="28330">
      <c r="A28330" s="4" t="s">
        <v>35679</v>
      </c>
      <c r="B28330" s="4" t="s">
        <v>35681</v>
      </c>
      <c r="C28330" s="5" t="str">
        <f>IFERROR(__xludf.DUMMYFUNCTION("GOOGLETRANSLATE(B28330,""en"",""it"")"),"Entrano in zattere e galleggiano in flusso.")</f>
        <v>Entrano in zattere e galleggiano in flusso.</v>
      </c>
    </row>
    <row r="28331">
      <c r="A28331" s="4" t="s">
        <v>35679</v>
      </c>
      <c r="B28331" s="4" t="s">
        <v>35682</v>
      </c>
      <c r="C28331" s="5" t="str">
        <f>IFERROR(__xludf.DUMMYFUNCTION("GOOGLETRANSLATE(B28331,""en"",""it"")"),"Pagcano attraverso le rapide e le cadute.")</f>
        <v>Pagcano attraverso le rapide e le cadute.</v>
      </c>
    </row>
    <row r="28332">
      <c r="A28332" s="4" t="s">
        <v>35683</v>
      </c>
      <c r="B28332" s="4" t="s">
        <v>35684</v>
      </c>
      <c r="C28332" s="5" t="str">
        <f>IFERROR(__xludf.DUMMYFUNCTION("GOOGLETRANSLATE(B28332,""en"",""it"")"),"""Come avviare un falò con Fiair"" appare sullo schermo.")</f>
        <v>"Come avviare un falò con Fiair" appare sullo schermo.</v>
      </c>
    </row>
    <row r="28333">
      <c r="A28333" s="4" t="s">
        <v>35683</v>
      </c>
      <c r="B28333" s="4" t="s">
        <v>35685</v>
      </c>
      <c r="C28333" s="5" t="str">
        <f>IFERROR(__xludf.DUMMYFUNCTION("GOOGLETRANSLATE(B28333,""en"",""it"")"),"Il biologo della fauna selvatica Bryon Shissler si trova fuori da una fossa da falò e parla alla telecamera.")</f>
        <v>Il biologo della fauna selvatica Bryon Shissler si trova fuori da una fossa da falò e parla alla telecamera.</v>
      </c>
    </row>
    <row r="28334">
      <c r="A28334" s="4" t="s">
        <v>35683</v>
      </c>
      <c r="B28334" s="4" t="s">
        <v>35686</v>
      </c>
      <c r="C28334" s="5" t="str">
        <f>IFERROR(__xludf.DUMMYFUNCTION("GOOGLETRANSLATE(B28334,""en"",""it"")"),"Costruisce e accende un fuoco nella fossa usando il dispositivo FIAIR.")</f>
        <v>Costruisce e accende un fuoco nella fossa usando il dispositivo FIAIR.</v>
      </c>
    </row>
    <row r="28335">
      <c r="A28335" s="4" t="s">
        <v>35683</v>
      </c>
      <c r="B28335" s="4" t="s">
        <v>35687</v>
      </c>
      <c r="C28335" s="5" t="str">
        <f>IFERROR(__xludf.DUMMYFUNCTION("GOOGLETRANSLATE(B28335,""en"",""it"")"),"""Fiair il piccolo soffiatore a mano per nutrire i tuoi fuochi"" appare sullo schermo.")</f>
        <v>"Fiair il piccolo soffiatore a mano per nutrire i tuoi fuochi" appare sullo schermo.</v>
      </c>
    </row>
    <row r="28336">
      <c r="A28336" s="4" t="s">
        <v>35688</v>
      </c>
      <c r="B28336" s="6" t="s">
        <v>35689</v>
      </c>
      <c r="C28336" s="5" t="str">
        <f>IFERROR(__xludf.DUMMYFUNCTION("GOOGLETRANSLATE(B28336,""en"",""it"")"),"Le persone guardano una sfilata in cui le persone camminano davanti a una banda di marcia con in mano uno stendardo e agitando gli spettatori.")</f>
        <v>Le persone guardano una sfilata in cui le persone camminano davanti a una banda di marcia con in mano uno stendardo e agitando gli spettatori.</v>
      </c>
    </row>
    <row r="28337">
      <c r="A28337" s="4" t="s">
        <v>35688</v>
      </c>
      <c r="B28337" s="4" t="s">
        <v>35690</v>
      </c>
      <c r="C28337" s="5" t="str">
        <f>IFERROR(__xludf.DUMMYFUNCTION("GOOGLETRANSLATE(B28337,""en"",""it"")"),"Un uomo attraversa la strada con in mano una piccola bandiera ed estende la mano.")</f>
        <v>Un uomo attraversa la strada con in mano una piccola bandiera ed estende la mano.</v>
      </c>
    </row>
    <row r="28338">
      <c r="A28338" s="4" t="s">
        <v>35688</v>
      </c>
      <c r="B28338" s="4" t="s">
        <v>35691</v>
      </c>
      <c r="C28338" s="5" t="str">
        <f>IFERROR(__xludf.DUMMYFUNCTION("GOOGLETRANSLATE(B28338,""en"",""it"")"),"Un gruppo di soldati contiene fucili e bandiere sulla parte anteriore di un'auto nera.")</f>
        <v>Un gruppo di soldati contiene fucili e bandiere sulla parte anteriore di un'auto nera.</v>
      </c>
    </row>
    <row r="28339">
      <c r="A28339" s="4" t="s">
        <v>35688</v>
      </c>
      <c r="B28339" s="4" t="s">
        <v>35692</v>
      </c>
      <c r="C28339" s="5" t="str">
        <f>IFERROR(__xludf.DUMMYFUNCTION("GOOGLETRANSLATE(B28339,""en"",""it"")"),"Un veterano fa saltare i militari.")</f>
        <v>Un veterano fa saltare i militari.</v>
      </c>
    </row>
    <row r="28340">
      <c r="A28340" s="4" t="s">
        <v>35693</v>
      </c>
      <c r="B28340" s="4" t="s">
        <v>35694</v>
      </c>
      <c r="C28340" s="5" t="str">
        <f>IFERROR(__xludf.DUMMYFUNCTION("GOOGLETRANSLATE(B28340,""en"",""it"")"),"Una persona immerge un pennello in una padella.")</f>
        <v>Una persona immerge un pennello in una padella.</v>
      </c>
    </row>
    <row r="28341">
      <c r="A28341" s="4" t="s">
        <v>35693</v>
      </c>
      <c r="B28341" s="4" t="s">
        <v>35695</v>
      </c>
      <c r="C28341" s="5" t="str">
        <f>IFERROR(__xludf.DUMMYFUNCTION("GOOGLETRANSLATE(B28341,""en"",""it"")"),"Usano il pennello per dipingere il lato di un tavolo.")</f>
        <v>Usano il pennello per dipingere il lato di un tavolo.</v>
      </c>
    </row>
    <row r="28342">
      <c r="A28342" s="4" t="s">
        <v>35693</v>
      </c>
      <c r="B28342" s="4" t="s">
        <v>35696</v>
      </c>
      <c r="C28342" s="5" t="str">
        <f>IFERROR(__xludf.DUMMYFUNCTION("GOOGLETRANSLATE(B28342,""en"",""it"")"),"Usano grandi colpi, continuando a dipingere.")</f>
        <v>Usano grandi colpi, continuando a dipingere.</v>
      </c>
    </row>
    <row r="28343">
      <c r="A28343" s="4" t="s">
        <v>35697</v>
      </c>
      <c r="B28343" s="4" t="s">
        <v>35698</v>
      </c>
      <c r="C28343" s="5" t="str">
        <f>IFERROR(__xludf.DUMMYFUNCTION("GOOGLETRANSLATE(B28343,""en"",""it"")"),"Un uomo si avvicina a un altro uomo sconvolto e suggerisce una partita di wrestling del braccio.")</f>
        <v>Un uomo si avvicina a un altro uomo sconvolto e suggerisce una partita di wrestling del braccio.</v>
      </c>
    </row>
    <row r="28344">
      <c r="A28344" s="4" t="s">
        <v>35697</v>
      </c>
      <c r="B28344" s="4" t="s">
        <v>35699</v>
      </c>
      <c r="C28344" s="5" t="str">
        <f>IFERROR(__xludf.DUMMYFUNCTION("GOOGLETRANSLATE(B28344,""en"",""it"")"),"Gli uomini iniziano a tenersi per mano e si allontanano rapidamente mentre due donne entrano in scena.")</f>
        <v>Gli uomini iniziano a tenersi per mano e si allontanano rapidamente mentre due donne entrano in scena.</v>
      </c>
    </row>
    <row r="28345">
      <c r="A28345" s="4" t="s">
        <v>35697</v>
      </c>
      <c r="B28345" s="4" t="s">
        <v>35700</v>
      </c>
      <c r="C28345" s="5" t="str">
        <f>IFERROR(__xludf.DUMMYFUNCTION("GOOGLETRANSLATE(B28345,""en"",""it"")"),"Gli uomini continuano la partita mentre sembrano calmi e l'altro sembra ha lottato.")</f>
        <v>Gli uomini continuano la partita mentre sembrano calmi e l'altro sembra ha lottato.</v>
      </c>
    </row>
    <row r="28346">
      <c r="A28346" s="4" t="s">
        <v>35697</v>
      </c>
      <c r="B28346" s="4" t="s">
        <v>35701</v>
      </c>
      <c r="C28346" s="5" t="str">
        <f>IFERROR(__xludf.DUMMYFUNCTION("GOOGLETRANSLATE(B28346,""en"",""it"")"),"La partita continua mentre gli uomini discutono dei loro problemi e le donne che guardano urlare contro gli uomini.")</f>
        <v>La partita continua mentre gli uomini discutono dei loro problemi e le donne che guardano urlare contro gli uomini.</v>
      </c>
    </row>
    <row r="28347">
      <c r="A28347" s="4" t="s">
        <v>35697</v>
      </c>
      <c r="B28347" s="4" t="s">
        <v>35702</v>
      </c>
      <c r="C28347" s="5" t="str">
        <f>IFERROR(__xludf.DUMMYFUNCTION("GOOGLETRANSLATE(B28347,""en"",""it"")"),"Le donne quindi aiutano gli uomini a lottare e uno colpisce l'altro per aiutare un uomo a vincere.")</f>
        <v>Le donne quindi aiutano gli uomini a lottare e uno colpisce l'altro per aiutare un uomo a vincere.</v>
      </c>
    </row>
    <row r="28348">
      <c r="A28348" s="4" t="s">
        <v>35697</v>
      </c>
      <c r="B28348" s="4" t="s">
        <v>35703</v>
      </c>
      <c r="C28348" s="5" t="str">
        <f>IFERROR(__xludf.DUMMYFUNCTION("GOOGLETRANSLATE(B28348,""en"",""it"")"),"La donna pugni tira su le braccia e le pugnala mentre l'altro uomo le pugnala anche.")</f>
        <v>La donna pugni tira su le braccia e le pugnala mentre l'altro uomo le pugnala anche.</v>
      </c>
    </row>
    <row r="28349">
      <c r="A28349" s="4" t="s">
        <v>35697</v>
      </c>
      <c r="B28349" s="4" t="s">
        <v>35704</v>
      </c>
      <c r="C28349" s="5" t="str">
        <f>IFERROR(__xludf.DUMMYFUNCTION("GOOGLETRANSLATE(B28349,""en"",""it"")"),"Le donne tirano fuori il nastro adesivo e riempiono un corpo in una borsa.")</f>
        <v>Le donne tirano fuori il nastro adesivo e riempiono un corpo in una borsa.</v>
      </c>
    </row>
    <row r="28350">
      <c r="A28350" s="4" t="s">
        <v>35705</v>
      </c>
      <c r="B28350" s="4" t="s">
        <v>35706</v>
      </c>
      <c r="C28350" s="5" t="str">
        <f>IFERROR(__xludf.DUMMYFUNCTION("GOOGLETRANSLATE(B28350,""en"",""it"")"),"Un uomo si sta concentrando molto duramente mentre sta gettando freccette su una tavola in un torneo.")</f>
        <v>Un uomo si sta concentrando molto duramente mentre sta gettando freccette su una tavola in un torneo.</v>
      </c>
    </row>
    <row r="28351">
      <c r="A28351" s="4" t="s">
        <v>35705</v>
      </c>
      <c r="B28351" s="6" t="s">
        <v>35707</v>
      </c>
      <c r="C28351" s="5" t="str">
        <f>IFERROR(__xludf.DUMMYFUNCTION("GOOGLETRANSLATE(B28351,""en"",""it"")"),"Le persone tifano e lo screening per lui mentre un altro uomo si avvicina al consiglio e gli alleva la competizione.")</f>
        <v>Le persone tifano e lo screening per lui mentre un altro uomo si avvicina al consiglio e gli alleva la competizione.</v>
      </c>
    </row>
    <row r="28352">
      <c r="A28352" s="4" t="s">
        <v>35705</v>
      </c>
      <c r="B28352" s="6" t="s">
        <v>35708</v>
      </c>
      <c r="C28352" s="5" t="str">
        <f>IFERROR(__xludf.DUMMYFUNCTION("GOOGLETRANSLATE(B28352,""en"",""it"")"),"I due vanno avanti e indietro, tuttavia il primo ragazzo sembra essere il preferito del fan e finisce per vincere il gioco.")</f>
        <v>I due vanno avanti e indietro, tuttavia il primo ragazzo sembra essere il preferito del fan e finisce per vincere il gioco.</v>
      </c>
    </row>
    <row r="28353">
      <c r="A28353" s="4" t="s">
        <v>35709</v>
      </c>
      <c r="B28353" s="4" t="s">
        <v>35710</v>
      </c>
      <c r="C28353" s="5" t="str">
        <f>IFERROR(__xludf.DUMMYFUNCTION("GOOGLETRANSLATE(B28353,""en"",""it"")"),"Un uomo è seduto su una bici da esercizio.")</f>
        <v>Un uomo è seduto su una bici da esercizio.</v>
      </c>
    </row>
    <row r="28354">
      <c r="A28354" s="4" t="s">
        <v>35709</v>
      </c>
      <c r="B28354" s="4" t="s">
        <v>35711</v>
      </c>
      <c r="C28354" s="5" t="str">
        <f>IFERROR(__xludf.DUMMYFUNCTION("GOOGLETRANSLATE(B28354,""en"",""it"")"),"Si sta allenando in bici.")</f>
        <v>Si sta allenando in bici.</v>
      </c>
    </row>
    <row r="28355">
      <c r="A28355" s="4" t="s">
        <v>35709</v>
      </c>
      <c r="B28355" s="4" t="s">
        <v>35712</v>
      </c>
      <c r="C28355" s="5" t="str">
        <f>IFERROR(__xludf.DUMMYFUNCTION("GOOGLETRANSLATE(B28355,""en"",""it"")"),"Sta parlando con la telecamera mentre si allena.")</f>
        <v>Sta parlando con la telecamera mentre si allena.</v>
      </c>
    </row>
    <row r="28356">
      <c r="A28356" s="4" t="s">
        <v>35713</v>
      </c>
      <c r="B28356" s="4" t="s">
        <v>35714</v>
      </c>
      <c r="C28356" s="5" t="str">
        <f>IFERROR(__xludf.DUMMYFUNCTION("GOOGLETRANSLATE(B28356,""en"",""it"")"),"Un gruppo di artisti e batteristi marziali si esibisce in una competizione di strada.")</f>
        <v>Un gruppo di artisti e batteristi marziali si esibisce in una competizione di strada.</v>
      </c>
    </row>
    <row r="28357">
      <c r="A28357" s="4" t="s">
        <v>35713</v>
      </c>
      <c r="B28357" s="4" t="s">
        <v>35715</v>
      </c>
      <c r="C28357" s="5" t="str">
        <f>IFERROR(__xludf.DUMMYFUNCTION("GOOGLETRANSLATE(B28357,""en"",""it"")"),"Gli artisti marziali in pantaloni rossi e camicie nere fanno calci e lancia.")</f>
        <v>Gli artisti marziali in pantaloni rossi e camicie nere fanno calci e lancia.</v>
      </c>
    </row>
    <row r="28358">
      <c r="A28358" s="4" t="s">
        <v>35713</v>
      </c>
      <c r="B28358" s="4" t="s">
        <v>35716</v>
      </c>
      <c r="C28358" s="5" t="str">
        <f>IFERROR(__xludf.DUMMYFUNCTION("GOOGLETRANSLATE(B28358,""en"",""it"")"),"I batteristi che indossano i cappelli neri e rossi suonano la batteria.")</f>
        <v>I batteristi che indossano i cappelli neri e rossi suonano la batteria.</v>
      </c>
    </row>
    <row r="28359">
      <c r="A28359" s="4" t="s">
        <v>35713</v>
      </c>
      <c r="B28359" s="4" t="s">
        <v>35717</v>
      </c>
      <c r="C28359" s="5" t="str">
        <f>IFERROR(__xludf.DUMMYFUNCTION("GOOGLETRANSLATE(B28359,""en"",""it"")"),"Gli artisti finiscono il loro pezzo e la folla applaude.")</f>
        <v>Gli artisti finiscono il loro pezzo e la folla applaude.</v>
      </c>
    </row>
    <row r="28360">
      <c r="A28360" s="4" t="s">
        <v>35718</v>
      </c>
      <c r="B28360" s="4" t="s">
        <v>35719</v>
      </c>
      <c r="C28360" s="5" t="str">
        <f>IFERROR(__xludf.DUMMYFUNCTION("GOOGLETRANSLATE(B28360,""en"",""it"")"),"Un ragazzo e una ragazza sono in piedi su un lavandino con la madre che parla.")</f>
        <v>Un ragazzo e una ragazza sono in piedi su un lavandino con la madre che parla.</v>
      </c>
    </row>
    <row r="28361">
      <c r="A28361" s="4" t="s">
        <v>35718</v>
      </c>
      <c r="B28361" s="4" t="s">
        <v>35720</v>
      </c>
      <c r="C28361" s="5" t="str">
        <f>IFERROR(__xludf.DUMMYFUNCTION("GOOGLETRANSLATE(B28361,""en"",""it"")"),"La madre li istruisce su come lavarsi i denti mentre ride.")</f>
        <v>La madre li istruisce su come lavarsi i denti mentre ride.</v>
      </c>
    </row>
    <row r="28362">
      <c r="A28362" s="4" t="s">
        <v>35718</v>
      </c>
      <c r="B28362" s="4" t="s">
        <v>35721</v>
      </c>
      <c r="C28362" s="5" t="str">
        <f>IFERROR(__xludf.DUMMYFUNCTION("GOOGLETRANSLATE(B28362,""en"",""it"")"),"Il ragazzo aiuta sua sorella minore a lavarsi i denti.")</f>
        <v>Il ragazzo aiuta sua sorella minore a lavarsi i denti.</v>
      </c>
    </row>
    <row r="28363">
      <c r="A28363" s="4" t="s">
        <v>35718</v>
      </c>
      <c r="B28363" s="4" t="s">
        <v>35722</v>
      </c>
      <c r="C28363" s="5" t="str">
        <f>IFERROR(__xludf.DUMMYFUNCTION("GOOGLETRANSLATE(B28363,""en"",""it"")"),"Lei li prende un po 'd'acqua da gargarismi in bocca.")</f>
        <v>Lei li prende un po 'd'acqua da gargarismi in bocca.</v>
      </c>
    </row>
    <row r="28364">
      <c r="A28364" s="4" t="s">
        <v>35718</v>
      </c>
      <c r="B28364" s="4" t="s">
        <v>35723</v>
      </c>
      <c r="C28364" s="5" t="str">
        <f>IFERROR(__xludf.DUMMYFUNCTION("GOOGLETRANSLATE(B28364,""en"",""it"")"),"Il ragazzo e la ragazza iniziano a suonare nel lavandino.")</f>
        <v>Il ragazzo e la ragazza iniziano a suonare nel lavandino.</v>
      </c>
    </row>
    <row r="28365">
      <c r="A28365" s="4" t="s">
        <v>35718</v>
      </c>
      <c r="B28365" s="4" t="s">
        <v>35724</v>
      </c>
      <c r="C28365" s="5" t="str">
        <f>IFERROR(__xludf.DUMMYFUNCTION("GOOGLETRANSLATE(B28365,""en"",""it"")"),"La donna ride dei bambini che dribbano l'acqua.")</f>
        <v>La donna ride dei bambini che dribbano l'acqua.</v>
      </c>
    </row>
    <row r="28366">
      <c r="A28366" s="4" t="s">
        <v>35725</v>
      </c>
      <c r="B28366" s="4" t="s">
        <v>35726</v>
      </c>
      <c r="C28366" s="5" t="str">
        <f>IFERROR(__xludf.DUMMYFUNCTION("GOOGLETRANSLATE(B28366,""en"",""it"")"),"Una donna è fuori dal vento che soffia un po 'tra i capelli, la vista è eccezionale.")</f>
        <v>Una donna è fuori dal vento che soffia un po 'tra i capelli, la vista è eccezionale.</v>
      </c>
    </row>
    <row r="28367">
      <c r="A28367" s="4" t="s">
        <v>35725</v>
      </c>
      <c r="B28367" s="4" t="s">
        <v>35727</v>
      </c>
      <c r="C28367" s="5" t="str">
        <f>IFERROR(__xludf.DUMMYFUNCTION("GOOGLETRANSLATE(B28367,""en"",""it"")"),"C'è un gruppo IA di corridori che inizia una maratona che impiega il loro tempo.")</f>
        <v>C'è un gruppo IA di corridori che inizia una maratona che impiega il loro tempo.</v>
      </c>
    </row>
    <row r="28368">
      <c r="A28368" s="4" t="s">
        <v>35725</v>
      </c>
      <c r="B28368" s="4" t="s">
        <v>35728</v>
      </c>
      <c r="C28368" s="5" t="str">
        <f>IFERROR(__xludf.DUMMYFUNCTION("GOOGLETRANSLATE(B28368,""en"",""it"")"),"Era panoramico e bello là fuori, fiori che sbocciano e tutto il resto.")</f>
        <v>Era panoramico e bello là fuori, fiori che sbocciano e tutto il resto.</v>
      </c>
    </row>
    <row r="28369">
      <c r="A28369" s="4" t="s">
        <v>35725</v>
      </c>
      <c r="B28369" s="4" t="s">
        <v>35729</v>
      </c>
      <c r="C28369" s="5" t="str">
        <f>IFERROR(__xludf.DUMMYFUNCTION("GOOGLETRANSLATE(B28369,""en"",""it"")"),"Alcuni dei corridori parlano della loro esperienza ai giornalisti.")</f>
        <v>Alcuni dei corridori parlano della loro esperienza ai giornalisti.</v>
      </c>
    </row>
    <row r="28370">
      <c r="A28370" s="4" t="s">
        <v>35730</v>
      </c>
      <c r="B28370" s="4" t="s">
        <v>35731</v>
      </c>
      <c r="C28370" s="5" t="str">
        <f>IFERROR(__xludf.DUMMYFUNCTION("GOOGLETRANSLATE(B28370,""en"",""it"")"),"Sta ballando con un testimone molto graziosamente tutto il palco per la sua esibizione.")</f>
        <v>Sta ballando con un testimone molto graziosamente tutto il palco per la sua esibizione.</v>
      </c>
    </row>
    <row r="28371">
      <c r="A28371" s="4" t="s">
        <v>35730</v>
      </c>
      <c r="B28371" s="4" t="s">
        <v>35732</v>
      </c>
      <c r="C28371" s="5" t="str">
        <f>IFERROR(__xludf.DUMMYFUNCTION("GOOGLETRANSLATE(B28371,""en"",""it"")"),"Fa a piedi e tutti i tipi di mosse intriganti diverse.")</f>
        <v>Fa a piedi e tutti i tipi di mosse intriganti diverse.</v>
      </c>
    </row>
    <row r="28372">
      <c r="A28372" s="4" t="s">
        <v>35730</v>
      </c>
      <c r="B28372" s="4" t="s">
        <v>35733</v>
      </c>
      <c r="C28372" s="5" t="str">
        <f>IFERROR(__xludf.DUMMYFUNCTION("GOOGLETRANSLATE(B28372,""en"",""it"")"),"Solleva il testimone e fa alcune ruote e atterrano in tempo per catturarlo.")</f>
        <v>Solleva il testimone e fa alcune ruote e atterrano in tempo per catturarlo.</v>
      </c>
    </row>
    <row r="28373">
      <c r="A28373" s="4" t="s">
        <v>35730</v>
      </c>
      <c r="B28373" s="6" t="s">
        <v>35734</v>
      </c>
      <c r="C28373" s="5" t="str">
        <f>IFERROR(__xludf.DUMMYFUNCTION("GOOGLETRANSLATE(B28373,""en"",""it"")"),"Lascia cadere accidentalmente il testimone e raccoglie che è in piedi e continua ancora alla fine della sua danza.")</f>
        <v>Lascia cadere accidentalmente il testimone e raccoglie che è in piedi e continua ancora alla fine della sua danza.</v>
      </c>
    </row>
    <row r="28374">
      <c r="A28374" s="4" t="s">
        <v>35735</v>
      </c>
      <c r="B28374" s="4" t="s">
        <v>35736</v>
      </c>
      <c r="C28374" s="5" t="str">
        <f>IFERROR(__xludf.DUMMYFUNCTION("GOOGLETRANSLATE(B28374,""en"",""it"")"),"Kid sta levigando in una stanza parlando con la telecamera.")</f>
        <v>Kid sta levigando in una stanza parlando con la telecamera.</v>
      </c>
    </row>
    <row r="28375">
      <c r="A28375" s="4" t="s">
        <v>35735</v>
      </c>
      <c r="B28375" s="4" t="s">
        <v>35737</v>
      </c>
      <c r="C28375" s="5" t="str">
        <f>IFERROR(__xludf.DUMMYFUNCTION("GOOGLETRANSLATE(B28375,""en"",""it"")"),"Anoher Man appare nella stanza e sta praticando una serratura.")</f>
        <v>Anoher Man appare nella stanza e sta praticando una serratura.</v>
      </c>
    </row>
    <row r="28376">
      <c r="A28376" s="4" t="s">
        <v>35735</v>
      </c>
      <c r="B28376" s="4" t="s">
        <v>35738</v>
      </c>
      <c r="C28376" s="5" t="str">
        <f>IFERROR(__xludf.DUMMYFUNCTION("GOOGLETRANSLATE(B28376,""en"",""it"")"),"L'uomo getta il bambino nel letto e si alza.")</f>
        <v>L'uomo getta il bambino nel letto e si alza.</v>
      </c>
    </row>
    <row r="28377">
      <c r="A28377" s="4" t="s">
        <v>35739</v>
      </c>
      <c r="B28377" s="4" t="s">
        <v>35740</v>
      </c>
      <c r="C28377" s="5" t="str">
        <f>IFERROR(__xludf.DUMMYFUNCTION("GOOGLETRANSLATE(B28377,""en"",""it"")"),"Viene mostrato uno schermo di apertura con il titolo di una canzone.")</f>
        <v>Viene mostrato uno schermo di apertura con il titolo di una canzone.</v>
      </c>
    </row>
    <row r="28378">
      <c r="A28378" s="4" t="s">
        <v>35739</v>
      </c>
      <c r="B28378" s="4" t="s">
        <v>35741</v>
      </c>
      <c r="C28378" s="5" t="str">
        <f>IFERROR(__xludf.DUMMYFUNCTION("GOOGLETRANSLATE(B28378,""en"",""it"")"),"Vediamo un uomo suonare una chitarra in uno studio di registrazione.")</f>
        <v>Vediamo un uomo suonare una chitarra in uno studio di registrazione.</v>
      </c>
    </row>
    <row r="28379">
      <c r="A28379" s="4" t="s">
        <v>35739</v>
      </c>
      <c r="B28379" s="4" t="s">
        <v>35742</v>
      </c>
      <c r="C28379" s="5" t="str">
        <f>IFERROR(__xludf.DUMMYFUNCTION("GOOGLETRANSLATE(B28379,""en"",""it"")"),"Vediamo uno schermo finale con l'indirizzo del canale YouTube dell'uomo su di esso.")</f>
        <v>Vediamo uno schermo finale con l'indirizzo del canale YouTube dell'uomo su di esso.</v>
      </c>
    </row>
    <row r="28380">
      <c r="A28380" s="4" t="s">
        <v>35743</v>
      </c>
      <c r="B28380" s="4" t="s">
        <v>35744</v>
      </c>
      <c r="C28380" s="5" t="str">
        <f>IFERROR(__xludf.DUMMYFUNCTION("GOOGLETRANSLATE(B28380,""en"",""it"")"),"L'uomo è in una pista che corre per fare un salto in alto nella polvere.")</f>
        <v>L'uomo è in una pista che corre per fare un salto in alto nella polvere.</v>
      </c>
    </row>
    <row r="28381">
      <c r="A28381" s="4" t="s">
        <v>35743</v>
      </c>
      <c r="B28381" s="4" t="s">
        <v>35745</v>
      </c>
      <c r="C28381" s="5" t="str">
        <f>IFERROR(__xludf.DUMMYFUNCTION("GOOGLETRANSLATE(B28381,""en"",""it"")"),"La donna sta mettendo i numeri in una scoe.")</f>
        <v>La donna sta mettendo i numeri in una scoe.</v>
      </c>
    </row>
    <row r="28382">
      <c r="A28382" s="4" t="s">
        <v>35743</v>
      </c>
      <c r="B28382" s="4" t="s">
        <v>35746</v>
      </c>
      <c r="C28382" s="5" t="str">
        <f>IFERROR(__xludf.DUMMYFUNCTION("GOOGLETRANSLATE(B28382,""en"",""it"")"),"L'uomo sta correndo nel mezzo del campo.")</f>
        <v>L'uomo sta correndo nel mezzo del campo.</v>
      </c>
    </row>
    <row r="28383">
      <c r="A28383" s="4" t="s">
        <v>35747</v>
      </c>
      <c r="B28383" s="4" t="s">
        <v>35748</v>
      </c>
      <c r="C28383" s="5" t="str">
        <f>IFERROR(__xludf.DUMMYFUNCTION("GOOGLETRANSLATE(B28383,""en"",""it"")"),"Due uomini sono in un campo interno.")</f>
        <v>Due uomini sono in un campo interno.</v>
      </c>
    </row>
    <row r="28384">
      <c r="A28384" s="4" t="s">
        <v>35747</v>
      </c>
      <c r="B28384" s="4" t="s">
        <v>35749</v>
      </c>
      <c r="C28384" s="5" t="str">
        <f>IFERROR(__xludf.DUMMYFUNCTION("GOOGLETRANSLATE(B28384,""en"",""it"")"),"Giocano insieme una partita di racquetball.")</f>
        <v>Giocano insieme una partita di racquetball.</v>
      </c>
    </row>
    <row r="28385">
      <c r="A28385" s="4" t="s">
        <v>35747</v>
      </c>
      <c r="B28385" s="4" t="s">
        <v>35750</v>
      </c>
      <c r="C28385" s="5" t="str">
        <f>IFERROR(__xludf.DUMMYFUNCTION("GOOGLETRANSLATE(B28385,""en"",""it"")"),"A turno colpiscono la palla avanti e indietro contro il muro.")</f>
        <v>A turno colpiscono la palla avanti e indietro contro il muro.</v>
      </c>
    </row>
    <row r="28386">
      <c r="A28386" s="4" t="s">
        <v>35751</v>
      </c>
      <c r="B28386" s="4" t="s">
        <v>35752</v>
      </c>
      <c r="C28386" s="5" t="str">
        <f>IFERROR(__xludf.DUMMYFUNCTION("GOOGLETRANSLATE(B28386,""en"",""it"")"),"Le persone sono sedute in macchina.")</f>
        <v>Le persone sono sedute in macchina.</v>
      </c>
    </row>
    <row r="28387">
      <c r="A28387" s="4" t="s">
        <v>35751</v>
      </c>
      <c r="B28387" s="4" t="s">
        <v>35753</v>
      </c>
      <c r="C28387" s="5" t="str">
        <f>IFERROR(__xludf.DUMMYFUNCTION("GOOGLETRANSLATE(B28387,""en"",""it"")"),"Stanno in piedi intorno a una grande zattera gonfiabile.")</f>
        <v>Stanno in piedi intorno a una grande zattera gonfiabile.</v>
      </c>
    </row>
    <row r="28388">
      <c r="A28388" s="4" t="s">
        <v>35751</v>
      </c>
      <c r="B28388" s="4" t="s">
        <v>35754</v>
      </c>
      <c r="C28388" s="5" t="str">
        <f>IFERROR(__xludf.DUMMYFUNCTION("GOOGLETRANSLATE(B28388,""en"",""it"")"),"Stanno rafting in acqua mosse di un fiume.")</f>
        <v>Stanno rafting in acqua mosse di un fiume.</v>
      </c>
    </row>
    <row r="28389">
      <c r="A28389" s="4" t="s">
        <v>35755</v>
      </c>
      <c r="B28389" s="6" t="s">
        <v>35756</v>
      </c>
      <c r="C28389" s="5" t="str">
        <f>IFERROR(__xludf.DUMMYFUNCTION("GOOGLETRANSLATE(B28389,""en"",""it"")"),"Vengono mostrate varie immagini di persone rannicchiate insieme e persone che giocavano a calcio su una spiaggia.")</f>
        <v>Vengono mostrate varie immagini di persone rannicchiate insieme e persone che giocavano a calcio su una spiaggia.</v>
      </c>
    </row>
    <row r="28390">
      <c r="A28390" s="4" t="s">
        <v>35755</v>
      </c>
      <c r="B28390" s="6" t="s">
        <v>35757</v>
      </c>
      <c r="C28390" s="5" t="str">
        <f>IFERROR(__xludf.DUMMYFUNCTION("GOOGLETRANSLATE(B28390,""en"",""it"")"),"Vengono mostrate altre foto di persone che suonano e un uomo che riceve un trofeo e celebra con gli altri.")</f>
        <v>Vengono mostrate altre foto di persone che suonano e un uomo che riceve un trofeo e celebra con gli altri.</v>
      </c>
    </row>
    <row r="28391">
      <c r="A28391" s="4" t="s">
        <v>35758</v>
      </c>
      <c r="B28391" s="4" t="s">
        <v>35759</v>
      </c>
      <c r="C28391" s="5" t="str">
        <f>IFERROR(__xludf.DUMMYFUNCTION("GOOGLETRANSLATE(B28391,""en"",""it"")"),"Una macchina fotografica si muove attorno a una donna seduta su una sedia a fumare una sigaretta.")</f>
        <v>Una macchina fotografica si muove attorno a una donna seduta su una sedia a fumare una sigaretta.</v>
      </c>
    </row>
    <row r="28392">
      <c r="A28392" s="4" t="s">
        <v>35758</v>
      </c>
      <c r="B28392" s="4" t="s">
        <v>35760</v>
      </c>
      <c r="C28392" s="5" t="str">
        <f>IFERROR(__xludf.DUMMYFUNCTION("GOOGLETRANSLATE(B28392,""en"",""it"")"),"Parla alla telecamera mentre continua a fumare e termina allargando le gambe.")</f>
        <v>Parla alla telecamera mentre continua a fumare e termina allargando le gambe.</v>
      </c>
    </row>
    <row r="28393">
      <c r="A28393" s="4" t="s">
        <v>35761</v>
      </c>
      <c r="B28393" s="4" t="s">
        <v>35762</v>
      </c>
      <c r="C28393" s="5" t="str">
        <f>IFERROR(__xludf.DUMMYFUNCTION("GOOGLETRANSLATE(B28393,""en"",""it"")"),"La donna è Ni Seashore che indossa un grosso cappello e sorride.")</f>
        <v>La donna è Ni Seashore che indossa un grosso cappello e sorride.</v>
      </c>
    </row>
    <row r="28394">
      <c r="A28394" s="4" t="s">
        <v>35761</v>
      </c>
      <c r="B28394" s="6" t="s">
        <v>35763</v>
      </c>
      <c r="C28394" s="5" t="str">
        <f>IFERROR(__xludf.DUMMYFUNCTION("GOOGLETRANSLATE(B28394,""en"",""it"")"),"Peolpe si immerge in mercante nel mare accanto al molo con le borse sulla schiena e mostrano i pesci e le rocce sul pavimento.")</f>
        <v>Peolpe si immerge in mercante nel mare accanto al molo con le borse sulla schiena e mostrano i pesci e le rocce sul pavimento.</v>
      </c>
    </row>
    <row r="28395">
      <c r="A28395" s="4" t="s">
        <v>35764</v>
      </c>
      <c r="B28395" s="4" t="s">
        <v>35765</v>
      </c>
      <c r="C28395" s="5" t="str">
        <f>IFERROR(__xludf.DUMMYFUNCTION("GOOGLETRANSLATE(B28395,""en"",""it"")"),"Un gruppo di ragazzi adolescenti è fuori in un cortile.")</f>
        <v>Un gruppo di ragazzi adolescenti è fuori in un cortile.</v>
      </c>
    </row>
    <row r="28396">
      <c r="A28396" s="4" t="s">
        <v>35764</v>
      </c>
      <c r="B28396" s="4" t="s">
        <v>35766</v>
      </c>
      <c r="C28396" s="5" t="str">
        <f>IFERROR(__xludf.DUMMYFUNCTION("GOOGLETRANSLATE(B28396,""en"",""it"")"),"Raccolgono rifornimenti, quindi accendono un fuoco.")</f>
        <v>Raccolgono rifornimenti, quindi accendono un fuoco.</v>
      </c>
    </row>
    <row r="28397">
      <c r="A28397" s="4" t="s">
        <v>35764</v>
      </c>
      <c r="B28397" s="4" t="s">
        <v>35767</v>
      </c>
      <c r="C28397" s="5" t="str">
        <f>IFERROR(__xludf.DUMMYFUNCTION("GOOGLETRANSLATE(B28397,""en"",""it"")"),"Cominciano a calciare una palla fiammeggiante avanti e indietro.")</f>
        <v>Cominciano a calciare una palla fiammeggiante avanti e indietro.</v>
      </c>
    </row>
    <row r="28398">
      <c r="A28398" s="4" t="s">
        <v>35768</v>
      </c>
      <c r="B28398" s="4" t="s">
        <v>35769</v>
      </c>
      <c r="C28398" s="5" t="str">
        <f>IFERROR(__xludf.DUMMYFUNCTION("GOOGLETRANSLATE(B28398,""en"",""it"")"),"Un ragazzo è seduto dietro un tavolo.")</f>
        <v>Un ragazzo è seduto dietro un tavolo.</v>
      </c>
    </row>
    <row r="28399">
      <c r="A28399" s="4" t="s">
        <v>35768</v>
      </c>
      <c r="B28399" s="4" t="s">
        <v>35770</v>
      </c>
      <c r="C28399" s="5" t="str">
        <f>IFERROR(__xludf.DUMMYFUNCTION("GOOGLETRANSLATE(B28399,""en"",""it"")"),"Prende una birra e prende un drink rapidamente.")</f>
        <v>Prende una birra e prende un drink rapidamente.</v>
      </c>
    </row>
    <row r="28400">
      <c r="A28400" s="4" t="s">
        <v>35768</v>
      </c>
      <c r="B28400" s="4" t="s">
        <v>35771</v>
      </c>
      <c r="C28400" s="5" t="str">
        <f>IFERROR(__xludf.DUMMYFUNCTION("GOOGLETRANSLATE(B28400,""en"",""it"")"),"Una donna se lo prende via da lui.")</f>
        <v>Una donna se lo prende via da lui.</v>
      </c>
    </row>
    <row r="28401">
      <c r="A28401" s="4" t="s">
        <v>35772</v>
      </c>
      <c r="B28401" s="6" t="s">
        <v>35773</v>
      </c>
      <c r="C28401" s="5" t="str">
        <f>IFERROR(__xludf.DUMMYFUNCTION("GOOGLETRANSLATE(B28401,""en"",""it"")"),"Vengono mostrati vari scatti di cibo placcato seguiti da un panino seduto su un tavolo e una donna che regge le padelle.")</f>
        <v>Vengono mostrati vari scatti di cibo placcato seguiti da un panino seduto su un tavolo e una donna che regge le padelle.</v>
      </c>
    </row>
    <row r="28402">
      <c r="A28402" s="4" t="s">
        <v>35772</v>
      </c>
      <c r="B28402" s="6" t="s">
        <v>35774</v>
      </c>
      <c r="C28402" s="5" t="str">
        <f>IFERROR(__xludf.DUMMYFUNCTION("GOOGLETRANSLATE(B28402,""en"",""it"")"),"La donna mette quindi gli ingredienti sul pane sandwich e mescola i due e prende più morsi.")</f>
        <v>La donna mette quindi gli ingredienti sul pane sandwich e mescola i due e prende più morsi.</v>
      </c>
    </row>
    <row r="28403">
      <c r="A28403" s="4" t="s">
        <v>35775</v>
      </c>
      <c r="B28403" s="4" t="s">
        <v>35776</v>
      </c>
      <c r="C28403" s="5" t="str">
        <f>IFERROR(__xludf.DUMMYFUNCTION("GOOGLETRANSLATE(B28403,""en"",""it"")"),"Viene vista una donna parlare alla telecamera mentre tiene in mano un secchio e una pentola.")</f>
        <v>Viene vista una donna parlare alla telecamera mentre tiene in mano un secchio e una pentola.</v>
      </c>
    </row>
    <row r="28404">
      <c r="A28404" s="4" t="s">
        <v>35775</v>
      </c>
      <c r="B28404" s="4" t="s">
        <v>35777</v>
      </c>
      <c r="C28404" s="5" t="str">
        <f>IFERROR(__xludf.DUMMYFUNCTION("GOOGLETRANSLATE(B28404,""en"",""it"")"),"Versa l'acqua dalla pentola nel secchio e un detergente.")</f>
        <v>Versa l'acqua dalla pentola nel secchio e un detergente.</v>
      </c>
    </row>
    <row r="28405">
      <c r="A28405" s="4" t="s">
        <v>35775</v>
      </c>
      <c r="B28405" s="4" t="s">
        <v>35778</v>
      </c>
      <c r="C28405" s="5" t="str">
        <f>IFERROR(__xludf.DUMMYFUNCTION("GOOGLETRANSLATE(B28405,""en"",""it"")"),"Quindi lava i vestiti nel secchio usando l'acqua continuamente e uno spazzolino da denti.")</f>
        <v>Quindi lava i vestiti nel secchio usando l'acqua continuamente e uno spazzolino da denti.</v>
      </c>
    </row>
    <row r="28406">
      <c r="A28406" s="4" t="s">
        <v>35775</v>
      </c>
      <c r="B28406" s="4" t="s">
        <v>35779</v>
      </c>
      <c r="C28406" s="5" t="str">
        <f>IFERROR(__xludf.DUMMYFUNCTION("GOOGLETRANSLATE(B28406,""en"",""it"")"),"Alla fine espone i vestiti e li appende.")</f>
        <v>Alla fine espone i vestiti e li appende.</v>
      </c>
    </row>
    <row r="28407">
      <c r="A28407" s="4" t="s">
        <v>35780</v>
      </c>
      <c r="B28407" s="4" t="s">
        <v>35781</v>
      </c>
      <c r="C28407" s="5" t="str">
        <f>IFERROR(__xludf.DUMMYFUNCTION("GOOGLETRANSLATE(B28407,""en"",""it"")"),"Tre persone sono in studio a parlare di notizie.")</f>
        <v>Tre persone sono in studio a parlare di notizie.</v>
      </c>
    </row>
    <row r="28408">
      <c r="A28408" s="4" t="s">
        <v>35780</v>
      </c>
      <c r="B28408" s="6" t="s">
        <v>35782</v>
      </c>
      <c r="C28408" s="5" t="str">
        <f>IFERROR(__xludf.DUMMYFUNCTION("GOOGLETRANSLATE(B28408,""en"",""it"")"),"Una storia su Curling Sport e la squadra per bambini che giocano sul campo e il punteggio è mostrata sullo schermo.")</f>
        <v>Una storia su Curling Sport e la squadra per bambini che giocano sul campo e il punteggio è mostrata sullo schermo.</v>
      </c>
    </row>
    <row r="28409">
      <c r="A28409" s="4" t="s">
        <v>35780</v>
      </c>
      <c r="B28409" s="4" t="s">
        <v>35783</v>
      </c>
      <c r="C28409" s="5" t="str">
        <f>IFERROR(__xludf.DUMMYFUNCTION("GOOGLETRANSLATE(B28409,""en"",""it"")"),"Tornando ai giornalisti dello studio continuano a parlare della storia.")</f>
        <v>Tornando ai giornalisti dello studio continuano a parlare della storia.</v>
      </c>
    </row>
    <row r="28410">
      <c r="A28410" s="4" t="s">
        <v>35784</v>
      </c>
      <c r="B28410" s="4" t="s">
        <v>35785</v>
      </c>
      <c r="C28410" s="5" t="str">
        <f>IFERROR(__xludf.DUMMYFUNCTION("GOOGLETRANSLATE(B28410,""en"",""it"")"),"Un uomo è in piedi dietro un divano, indossando una testa protettiva.")</f>
        <v>Un uomo è in piedi dietro un divano, indossando una testa protettiva.</v>
      </c>
    </row>
    <row r="28411">
      <c r="A28411" s="4" t="s">
        <v>35784</v>
      </c>
      <c r="B28411" s="4" t="s">
        <v>35786</v>
      </c>
      <c r="C28411" s="5" t="str">
        <f>IFERROR(__xludf.DUMMYFUNCTION("GOOGLETRANSLATE(B28411,""en"",""it"")"),"Sta coprendo un divano con plastica e lo registra in posizione.")</f>
        <v>Sta coprendo un divano con plastica e lo registra in posizione.</v>
      </c>
    </row>
    <row r="28412">
      <c r="A28412" s="4" t="s">
        <v>35784</v>
      </c>
      <c r="B28412" s="4" t="s">
        <v>35787</v>
      </c>
      <c r="C28412" s="5" t="str">
        <f>IFERROR(__xludf.DUMMYFUNCTION("GOOGLETRANSLATE(B28412,""en"",""it"")"),"Parla alla telecamera di ciò che ha fatto un po 'di più.")</f>
        <v>Parla alla telecamera di ciò che ha fatto un po 'di più.</v>
      </c>
    </row>
    <row r="28413">
      <c r="A28413" s="4" t="s">
        <v>35788</v>
      </c>
      <c r="B28413" s="4" t="s">
        <v>35789</v>
      </c>
      <c r="C28413" s="5" t="str">
        <f>IFERROR(__xludf.DUMMYFUNCTION("GOOGLETRANSLATE(B28413,""en"",""it"")"),"Vediamo lettere blu su uno schermo nero e vediamo un tetto.")</f>
        <v>Vediamo lettere blu su uno schermo nero e vediamo un tetto.</v>
      </c>
    </row>
    <row r="28414">
      <c r="A28414" s="4" t="s">
        <v>35788</v>
      </c>
      <c r="B28414" s="4" t="s">
        <v>35790</v>
      </c>
      <c r="C28414" s="5" t="str">
        <f>IFERROR(__xludf.DUMMYFUNCTION("GOOGLETRANSLATE(B28414,""en"",""it"")"),"Quindi passiamo a più lettere e il tetto è stato spruzzato con una soluzione.")</f>
        <v>Quindi passiamo a più lettere e il tetto è stato spruzzato con una soluzione.</v>
      </c>
    </row>
    <row r="28415">
      <c r="A28415" s="4" t="s">
        <v>35788</v>
      </c>
      <c r="B28415" s="4" t="s">
        <v>35791</v>
      </c>
      <c r="C28415" s="5" t="str">
        <f>IFERROR(__xludf.DUMMYFUNCTION("GOOGLETRANSLATE(B28415,""en"",""it"")"),"Siamo informati che il tetto è stato pulito e mostrato colpi del tetto pulito.")</f>
        <v>Siamo informati che il tetto è stato pulito e mostrato colpi del tetto pulito.</v>
      </c>
    </row>
    <row r="28416">
      <c r="A28416" s="4" t="s">
        <v>35788</v>
      </c>
      <c r="B28416" s="4" t="s">
        <v>35792</v>
      </c>
      <c r="C28416" s="5" t="str">
        <f>IFERROR(__xludf.DUMMYFUNCTION("GOOGLETRANSLATE(B28416,""en"",""it"")"),"Vediamo quindi la parte anteriore della casa.")</f>
        <v>Vediamo quindi la parte anteriore della casa.</v>
      </c>
    </row>
    <row r="28417">
      <c r="A28417" s="4" t="s">
        <v>35788</v>
      </c>
      <c r="B28417" s="4" t="s">
        <v>35793</v>
      </c>
      <c r="C28417" s="5" t="str">
        <f>IFERROR(__xludf.DUMMYFUNCTION("GOOGLETRANSLATE(B28417,""en"",""it"")"),"Ci viene fornito il numero di telefono delle rondelle.")</f>
        <v>Ci viene fornito il numero di telefono delle rondelle.</v>
      </c>
    </row>
    <row r="28418">
      <c r="A28418" s="4" t="s">
        <v>35794</v>
      </c>
      <c r="B28418" s="4" t="s">
        <v>14504</v>
      </c>
      <c r="C28418" s="5" t="str">
        <f>IFERROR(__xludf.DUMMYFUNCTION("GOOGLETRANSLATE(B28418,""en"",""it"")"),"Le persone giocano a pallavolo su una spiaggia.")</f>
        <v>Le persone giocano a pallavolo su una spiaggia.</v>
      </c>
    </row>
    <row r="28419">
      <c r="A28419" s="4" t="s">
        <v>35794</v>
      </c>
      <c r="B28419" s="4" t="s">
        <v>35795</v>
      </c>
      <c r="C28419" s="5" t="str">
        <f>IFERROR(__xludf.DUMMYFUNCTION("GOOGLETRANSLATE(B28419,""en"",""it"")"),"La palla cade a terra e un ragazzo in pantaloncini rossi lo raccoglie.")</f>
        <v>La palla cade a terra e un ragazzo in pantaloncini rossi lo raccoglie.</v>
      </c>
    </row>
    <row r="28420">
      <c r="A28420" s="4" t="s">
        <v>35794</v>
      </c>
      <c r="B28420" s="4" t="s">
        <v>35796</v>
      </c>
      <c r="C28420" s="5" t="str">
        <f>IFERROR(__xludf.DUMMYFUNCTION("GOOGLETRANSLATE(B28420,""en"",""it"")"),"Un uomo con un cappello nero serve la palla.")</f>
        <v>Un uomo con un cappello nero serve la palla.</v>
      </c>
    </row>
    <row r="28421">
      <c r="A28421" s="4" t="s">
        <v>35797</v>
      </c>
      <c r="B28421" s="4" t="s">
        <v>35798</v>
      </c>
      <c r="C28421" s="5" t="str">
        <f>IFERROR(__xludf.DUMMYFUNCTION("GOOGLETRANSLATE(B28421,""en"",""it"")"),"Un uomo è in piedi fuori in un campo di erba che è relativamente basso.")</f>
        <v>Un uomo è in piedi fuori in un campo di erba che è relativamente basso.</v>
      </c>
    </row>
    <row r="28422">
      <c r="A28422" s="4" t="s">
        <v>35797</v>
      </c>
      <c r="B28422" s="6" t="s">
        <v>35799</v>
      </c>
      <c r="C28422" s="5" t="str">
        <f>IFERROR(__xludf.DUMMYFUNCTION("GOOGLETRANSLATE(B28422,""en"",""it"")"),"Tuttavia, nella sua mano ha una falce e inizia a dondolarla avanti e indietro tagliando ulteriormente l'erba.")</f>
        <v>Tuttavia, nella sua mano ha una falce e inizia a dondolarla avanti e indietro tagliando ulteriormente l'erba.</v>
      </c>
    </row>
    <row r="28423">
      <c r="A28423" s="4" t="s">
        <v>35797</v>
      </c>
      <c r="B28423" s="6" t="s">
        <v>35800</v>
      </c>
      <c r="C28423" s="5" t="str">
        <f>IFERROR(__xludf.DUMMYFUNCTION("GOOGLETRANSLATE(B28423,""en"",""it"")"),"Mentre taglia, diversi testi appaiono sullo schermo con parole bianche su ciò che sta facendo e spiegando l'attività.")</f>
        <v>Mentre taglia, diversi testi appaiono sullo schermo con parole bianche su ciò che sta facendo e spiegando l'attività.</v>
      </c>
    </row>
    <row r="28424">
      <c r="A28424" s="4" t="s">
        <v>35801</v>
      </c>
      <c r="B28424" s="6" t="s">
        <v>35802</v>
      </c>
      <c r="C28424" s="5" t="str">
        <f>IFERROR(__xludf.DUMMYFUNCTION("GOOGLETRANSLATE(B28424,""en"",""it"")"),"Un gruppo di campioni di scherma olimpica statunitense viene mostrato in competizione nella scherma intervallata da immagini e grafica che pubblicizzano un prossimo torneo di scherma a New York.")</f>
        <v>Un gruppo di campioni di scherma olimpica statunitense viene mostrato in competizione nella scherma intervallata da immagini e grafica che pubblicizzano un prossimo torneo di scherma a New York.</v>
      </c>
    </row>
    <row r="28425">
      <c r="A28425" s="4" t="s">
        <v>35801</v>
      </c>
      <c r="B28425" s="4" t="s">
        <v>35803</v>
      </c>
      <c r="C28425" s="5" t="str">
        <f>IFERROR(__xludf.DUMMYFUNCTION("GOOGLETRANSLATE(B28425,""en"",""it"")"),"Diverse immagini di schermitori sono spettacoli intervallati dal video degli schermitori che camminano.")</f>
        <v>Diverse immagini di schermitori sono spettacoli intervallati dal video degli schermitori che camminano.</v>
      </c>
    </row>
    <row r="28426">
      <c r="A28426" s="4" t="s">
        <v>35801</v>
      </c>
      <c r="B28426" s="4" t="s">
        <v>35804</v>
      </c>
      <c r="C28426" s="5" t="str">
        <f>IFERROR(__xludf.DUMMYFUNCTION("GOOGLETRANSLATE(B28426,""en"",""it"")"),"Appare l'immagine di una ragazza che tiene una bandiera americana dietro di lei.")</f>
        <v>Appare l'immagine di una ragazza che tiene una bandiera americana dietro di lei.</v>
      </c>
    </row>
    <row r="28427">
      <c r="A28427" s="4" t="s">
        <v>35801</v>
      </c>
      <c r="B28427" s="6" t="s">
        <v>35805</v>
      </c>
      <c r="C28427" s="5" t="str">
        <f>IFERROR(__xludf.DUMMYFUNCTION("GOOGLETRANSLATE(B28427,""en"",""it"")"),"Altre immagini fisse di scherma e un video a rallentatore di una competizione di scherma appaiono prima di un grafico di marketing finale con un sito Web.")</f>
        <v>Altre immagini fisse di scherma e un video a rallentatore di una competizione di scherma appaiono prima di un grafico di marketing finale con un sito Web.</v>
      </c>
    </row>
    <row r="28428">
      <c r="A28428" s="4" t="s">
        <v>35806</v>
      </c>
      <c r="B28428" s="4" t="s">
        <v>35807</v>
      </c>
      <c r="C28428" s="5" t="str">
        <f>IFERROR(__xludf.DUMMYFUNCTION("GOOGLETRANSLATE(B28428,""en"",""it"")"),"Una donna anziana si sdraia contro un cuscino marrone.")</f>
        <v>Una donna anziana si sdraia contro un cuscino marrone.</v>
      </c>
    </row>
    <row r="28429">
      <c r="A28429" s="4" t="s">
        <v>35806</v>
      </c>
      <c r="B28429" s="4" t="s">
        <v>35808</v>
      </c>
      <c r="C28429" s="5" t="str">
        <f>IFERROR(__xludf.DUMMYFUNCTION("GOOGLETRANSLATE(B28429,""en"",""it"")"),"Tiene un'armonica in bocca e la suona.")</f>
        <v>Tiene un'armonica in bocca e la suona.</v>
      </c>
    </row>
    <row r="28430">
      <c r="A28430" s="4" t="s">
        <v>35806</v>
      </c>
      <c r="B28430" s="4" t="s">
        <v>35809</v>
      </c>
      <c r="C28430" s="5" t="str">
        <f>IFERROR(__xludf.DUMMYFUNCTION("GOOGLETRANSLATE(B28430,""en"",""it"")"),"La luce nella stanza si illumina.")</f>
        <v>La luce nella stanza si illumina.</v>
      </c>
    </row>
    <row r="28431">
      <c r="A28431" s="4" t="s">
        <v>35806</v>
      </c>
      <c r="B28431" s="4" t="s">
        <v>35810</v>
      </c>
      <c r="C28431" s="5" t="str">
        <f>IFERROR(__xludf.DUMMYFUNCTION("GOOGLETRANSLATE(B28431,""en"",""it"")"),"Finisce di giocare e ride.")</f>
        <v>Finisce di giocare e ride.</v>
      </c>
    </row>
    <row r="28432">
      <c r="A28432" s="4" t="s">
        <v>35811</v>
      </c>
      <c r="B28432" s="4" t="s">
        <v>35812</v>
      </c>
      <c r="C28432" s="5" t="str">
        <f>IFERROR(__xludf.DUMMYFUNCTION("GOOGLETRANSLATE(B28432,""en"",""it"")"),"Diversi giocatori della squadra in bianco e nero giocano a hockey su ghiaccio nell'arena.")</f>
        <v>Diversi giocatori della squadra in bianco e nero giocano a hockey su ghiaccio nell'arena.</v>
      </c>
    </row>
    <row r="28433">
      <c r="A28433" s="4" t="s">
        <v>35811</v>
      </c>
      <c r="B28433" s="4" t="s">
        <v>35813</v>
      </c>
      <c r="C28433" s="5" t="str">
        <f>IFERROR(__xludf.DUMMYFUNCTION("GOOGLETRANSLATE(B28433,""en"",""it"")"),"Uno dei giocatori della squadra nera colpisce il disco lontano dal suo avversario.")</f>
        <v>Uno dei giocatori della squadra nera colpisce il disco lontano dal suo avversario.</v>
      </c>
    </row>
    <row r="28434">
      <c r="A28434" s="4" t="s">
        <v>35811</v>
      </c>
      <c r="B28434" s="4" t="s">
        <v>35814</v>
      </c>
      <c r="C28434" s="5" t="str">
        <f>IFERROR(__xludf.DUMMYFUNCTION("GOOGLETRANSLATE(B28434,""en"",""it"")"),"I giocatori della squadra bianca cercano di impedirgli di raggiungere un goal.")</f>
        <v>I giocatori della squadra bianca cercano di impedirgli di raggiungere un goal.</v>
      </c>
    </row>
    <row r="28435">
      <c r="A28435" s="4" t="s">
        <v>35811</v>
      </c>
      <c r="B28435" s="4" t="s">
        <v>35815</v>
      </c>
      <c r="C28435" s="5" t="str">
        <f>IFERROR(__xludf.DUMMYFUNCTION("GOOGLETRANSLATE(B28435,""en"",""it"")"),"Una versione animata del gioco è mostrata sullo schermo.")</f>
        <v>Una versione animata del gioco è mostrata sullo schermo.</v>
      </c>
    </row>
    <row r="28436">
      <c r="A28436" s="4" t="s">
        <v>35811</v>
      </c>
      <c r="B28436" s="6" t="s">
        <v>35816</v>
      </c>
      <c r="C28436" s="5" t="str">
        <f>IFERROR(__xludf.DUMMYFUNCTION("GOOGLETRANSLATE(B28436,""en"",""it"")"),"Quindi il focus è tornato sul vero gioco in cui un giocatore di squadra nero viene evidenziato mentre scatta un tiro in porta.")</f>
        <v>Quindi il focus è tornato sul vero gioco in cui un giocatore di squadra nero viene evidenziato mentre scatta un tiro in porta.</v>
      </c>
    </row>
    <row r="28437">
      <c r="A28437" s="4" t="s">
        <v>35811</v>
      </c>
      <c r="B28437" s="4" t="s">
        <v>35817</v>
      </c>
      <c r="C28437" s="5" t="str">
        <f>IFERROR(__xludf.DUMMYFUNCTION("GOOGLETRANSLATE(B28437,""en"",""it"")"),"Ancora una volta, viene mostrato un altro esempio animato per spiegare come funziona il gioco.")</f>
        <v>Ancora una volta, viene mostrato un altro esempio animato per spiegare come funziona il gioco.</v>
      </c>
    </row>
    <row r="28438">
      <c r="A28438" s="4" t="s">
        <v>35811</v>
      </c>
      <c r="B28438" s="4" t="s">
        <v>35818</v>
      </c>
      <c r="C28438" s="5" t="str">
        <f>IFERROR(__xludf.DUMMYFUNCTION("GOOGLETRANSLATE(B28438,""en"",""it"")"),"Il giocatore della squadra nera colpisce il disco nell'angolo opposto del ghiaccio.")</f>
        <v>Il giocatore della squadra nera colpisce il disco nell'angolo opposto del ghiaccio.</v>
      </c>
    </row>
    <row r="28439">
      <c r="A28439" s="4" t="s">
        <v>35811</v>
      </c>
      <c r="B28439" s="4" t="s">
        <v>35819</v>
      </c>
      <c r="C28439" s="5" t="str">
        <f>IFERROR(__xludf.DUMMYFUNCTION("GOOGLETRANSLATE(B28439,""en"",""it"")"),"Mentre il nero si muove velocemente e verso l'obiettivo, fa cadere il portiere.")</f>
        <v>Mentre il nero si muove velocemente e verso l'obiettivo, fa cadere il portiere.</v>
      </c>
    </row>
    <row r="28440">
      <c r="A28440" s="4" t="s">
        <v>35811</v>
      </c>
      <c r="B28440" s="4" t="s">
        <v>35820</v>
      </c>
      <c r="C28440" s="5" t="str">
        <f>IFERROR(__xludf.DUMMYFUNCTION("GOOGLETRANSLATE(B28440,""en"",""it"")"),"La squadra nera vince il goal e ottiene la vittoria in gioco.")</f>
        <v>La squadra nera vince il goal e ottiene la vittoria in gioco.</v>
      </c>
    </row>
    <row r="28441">
      <c r="A28441" s="4" t="s">
        <v>35821</v>
      </c>
      <c r="B28441" s="4" t="s">
        <v>35822</v>
      </c>
      <c r="C28441" s="5" t="str">
        <f>IFERROR(__xludf.DUMMYFUNCTION("GOOGLETRANSLATE(B28441,""en"",""it"")"),"Una fotocamera si panoramica su una sala pesi e mostra varie persone che lavorano su una macchina.")</f>
        <v>Una fotocamera si panoramica su una sala pesi e mostra varie persone che lavorano su una macchina.</v>
      </c>
    </row>
    <row r="28442">
      <c r="A28442" s="4" t="s">
        <v>35821</v>
      </c>
      <c r="B28442" s="4" t="s">
        <v>35823</v>
      </c>
      <c r="C28442" s="5" t="str">
        <f>IFERROR(__xludf.DUMMYFUNCTION("GOOGLETRANSLATE(B28442,""en"",""it"")"),"Un uomo viene visto correre su un ellittico mentre un altro che usa un vogatore nella parte posteriore.")</f>
        <v>Un uomo viene visto correre su un ellittico mentre un altro che usa un vogatore nella parte posteriore.</v>
      </c>
    </row>
    <row r="28443">
      <c r="A28443" s="4" t="s">
        <v>35824</v>
      </c>
      <c r="B28443" s="4" t="s">
        <v>35825</v>
      </c>
      <c r="C28443" s="5" t="str">
        <f>IFERROR(__xludf.DUMMYFUNCTION("GOOGLETRANSLATE(B28443,""en"",""it"")"),"Un uomo sta sparando la neve dalla cima di un'auto.")</f>
        <v>Un uomo sta sparando la neve dalla cima di un'auto.</v>
      </c>
    </row>
    <row r="28444">
      <c r="A28444" s="4" t="s">
        <v>35824</v>
      </c>
      <c r="B28444" s="4" t="s">
        <v>35826</v>
      </c>
      <c r="C28444" s="5" t="str">
        <f>IFERROR(__xludf.DUMMYFUNCTION("GOOGLETRANSLATE(B28444,""en"",""it"")"),"Cammina per la macchina e inizia a spalare a terra.")</f>
        <v>Cammina per la macchina e inizia a spalare a terra.</v>
      </c>
    </row>
    <row r="28445">
      <c r="A28445" s="4" t="s">
        <v>35827</v>
      </c>
      <c r="B28445" s="4" t="s">
        <v>35828</v>
      </c>
      <c r="C28445" s="5" t="str">
        <f>IFERROR(__xludf.DUMMYFUNCTION("GOOGLETRANSLATE(B28445,""en"",""it"")"),"Una persona lancia una palla da bowling lungo una corsia.")</f>
        <v>Una persona lancia una palla da bowling lungo una corsia.</v>
      </c>
    </row>
    <row r="28446">
      <c r="A28446" s="4" t="s">
        <v>35827</v>
      </c>
      <c r="B28446" s="4" t="s">
        <v>35829</v>
      </c>
      <c r="C28446" s="5" t="str">
        <f>IFERROR(__xludf.DUMMYFUNCTION("GOOGLETRANSLATE(B28446,""en"",""it"")"),"Abbassano i pin.")</f>
        <v>Abbassano i pin.</v>
      </c>
    </row>
    <row r="28447">
      <c r="A28447" s="4" t="s">
        <v>35827</v>
      </c>
      <c r="B28447" s="4" t="s">
        <v>35830</v>
      </c>
      <c r="C28447" s="5" t="str">
        <f>IFERROR(__xludf.DUMMYFUNCTION("GOOGLETRANSLATE(B28447,""en"",""it"")"),"Lanciano la palla a un ricambio e abbattono tutto il resto dei perni.")</f>
        <v>Lanciano la palla a un ricambio e abbattono tutto il resto dei perni.</v>
      </c>
    </row>
    <row r="28448">
      <c r="A28448" s="4" t="s">
        <v>35831</v>
      </c>
      <c r="B28448" s="4" t="s">
        <v>35832</v>
      </c>
      <c r="C28448" s="5" t="str">
        <f>IFERROR(__xludf.DUMMYFUNCTION("GOOGLETRANSLATE(B28448,""en"",""it"")"),"Una donna lava i vestiti in un secchio con sapone.")</f>
        <v>Una donna lava i vestiti in un secchio con sapone.</v>
      </c>
    </row>
    <row r="28449">
      <c r="A28449" s="4" t="s">
        <v>35831</v>
      </c>
      <c r="B28449" s="4" t="s">
        <v>35833</v>
      </c>
      <c r="C28449" s="5" t="str">
        <f>IFERROR(__xludf.DUMMYFUNCTION("GOOGLETRANSLATE(B28449,""en"",""it"")"),"La donna strappa un asciugamano.")</f>
        <v>La donna strappa un asciugamano.</v>
      </c>
    </row>
    <row r="28450">
      <c r="A28450" s="4" t="s">
        <v>35831</v>
      </c>
      <c r="B28450" s="4" t="s">
        <v>35834</v>
      </c>
      <c r="C28450" s="5" t="str">
        <f>IFERROR(__xludf.DUMMYFUNCTION("GOOGLETRANSLATE(B28450,""en"",""it"")"),"Qualcuno si piega sullo sfondo mentre la donna continua a lavarsi i vestiti.")</f>
        <v>Qualcuno si piega sullo sfondo mentre la donna continua a lavarsi i vestiti.</v>
      </c>
    </row>
    <row r="28451">
      <c r="A28451" s="4" t="s">
        <v>35835</v>
      </c>
      <c r="B28451" s="6" t="s">
        <v>35836</v>
      </c>
      <c r="C28451" s="5" t="str">
        <f>IFERROR(__xludf.DUMMYFUNCTION("GOOGLETRANSLATE(B28451,""en"",""it"")"),"Un uomo con un berretto da baseball, pantaloncini e una camicia a maniche corte blu serve tre palline da tennis attraverso una rete da tennis su un campo da tennis da solo.")</f>
        <v>Un uomo con un berretto da baseball, pantaloncini e una camicia a maniche corte blu serve tre palline da tennis attraverso una rete da tennis su un campo da tennis da solo.</v>
      </c>
    </row>
    <row r="28452">
      <c r="A28452" s="4" t="s">
        <v>35835</v>
      </c>
      <c r="B28452" s="4" t="s">
        <v>35837</v>
      </c>
      <c r="C28452" s="5" t="str">
        <f>IFERROR(__xludf.DUMMYFUNCTION("GOOGLETRANSLATE(B28452,""en"",""it"")"),"Un uomo su un campo da tennis da solo serve una palla da tennis con una racchetta da tennis attraverso una rete.")</f>
        <v>Un uomo su un campo da tennis da solo serve una palla da tennis con una racchetta da tennis attraverso una rete.</v>
      </c>
    </row>
    <row r="28453">
      <c r="A28453" s="4" t="s">
        <v>35835</v>
      </c>
      <c r="B28453" s="4" t="s">
        <v>35838</v>
      </c>
      <c r="C28453" s="5" t="str">
        <f>IFERROR(__xludf.DUMMYFUNCTION("GOOGLETRANSLATE(B28453,""en"",""it"")"),"L'uomo quindi serve altre due palle attraverso la rete, la palla atterra dall'altra parte.")</f>
        <v>L'uomo quindi serve altre due palle attraverso la rete, la palla atterra dall'altra parte.</v>
      </c>
    </row>
    <row r="28454">
      <c r="A28454" s="4" t="s">
        <v>35839</v>
      </c>
      <c r="B28454" s="4" t="s">
        <v>35840</v>
      </c>
      <c r="C28454" s="5" t="str">
        <f>IFERROR(__xludf.DUMMYFUNCTION("GOOGLETRANSLATE(B28454,""en"",""it"")"),"Un atleta maschio sta correndo su una pista.")</f>
        <v>Un atleta maschio sta correndo su una pista.</v>
      </c>
    </row>
    <row r="28455">
      <c r="A28455" s="4" t="s">
        <v>35839</v>
      </c>
      <c r="B28455" s="4" t="s">
        <v>35841</v>
      </c>
      <c r="C28455" s="5" t="str">
        <f>IFERROR(__xludf.DUMMYFUNCTION("GOOGLETRANSLATE(B28455,""en"",""it"")"),"Salta in aria.")</f>
        <v>Salta in aria.</v>
      </c>
    </row>
    <row r="28456">
      <c r="A28456" s="4" t="s">
        <v>35839</v>
      </c>
      <c r="B28456" s="4" t="s">
        <v>35842</v>
      </c>
      <c r="C28456" s="5" t="str">
        <f>IFERROR(__xludf.DUMMYFUNCTION("GOOGLETRANSLATE(B28456,""en"",""it"")"),"Si alza all'indietro su un raggio alto.")</f>
        <v>Si alza all'indietro su un raggio alto.</v>
      </c>
    </row>
    <row r="28457">
      <c r="A28457" s="4" t="s">
        <v>35839</v>
      </c>
      <c r="B28457" s="4" t="s">
        <v>35843</v>
      </c>
      <c r="C28457" s="5" t="str">
        <f>IFERROR(__xludf.DUMMYFUNCTION("GOOGLETRANSLATE(B28457,""en"",""it"")"),"Questo è mostrato ripetuto al rallentatore numerose volte.")</f>
        <v>Questo è mostrato ripetuto al rallentatore numerose volte.</v>
      </c>
    </row>
    <row r="28458">
      <c r="A28458" s="4" t="s">
        <v>35844</v>
      </c>
      <c r="B28458" s="4" t="s">
        <v>35845</v>
      </c>
      <c r="C28458" s="5" t="str">
        <f>IFERROR(__xludf.DUMMYFUNCTION("GOOGLETRANSLATE(B28458,""en"",""it"")"),"Un uomo si siede con una chitarra.")</f>
        <v>Un uomo si siede con una chitarra.</v>
      </c>
    </row>
    <row r="28459">
      <c r="A28459" s="4" t="s">
        <v>35844</v>
      </c>
      <c r="B28459" s="4" t="s">
        <v>35846</v>
      </c>
      <c r="C28459" s="5" t="str">
        <f>IFERROR(__xludf.DUMMYFUNCTION("GOOGLETRANSLATE(B28459,""en"",""it"")"),"L'uomo inizia a suonare la chitarra.")</f>
        <v>L'uomo inizia a suonare la chitarra.</v>
      </c>
    </row>
    <row r="28460">
      <c r="A28460" s="4" t="s">
        <v>35844</v>
      </c>
      <c r="B28460" s="4" t="s">
        <v>35847</v>
      </c>
      <c r="C28460" s="5" t="str">
        <f>IFERROR(__xludf.DUMMYFUNCTION("GOOGLETRANSLATE(B28460,""en"",""it"")"),"L'uomo inizia a cantare mentre suona la chitarra.")</f>
        <v>L'uomo inizia a cantare mentre suona la chitarra.</v>
      </c>
    </row>
    <row r="28461">
      <c r="A28461" s="4" t="s">
        <v>35844</v>
      </c>
      <c r="B28461" s="4" t="s">
        <v>35848</v>
      </c>
      <c r="C28461" s="5" t="str">
        <f>IFERROR(__xludf.DUMMYFUNCTION("GOOGLETRANSLATE(B28461,""en"",""it"")"),"L'uomo smette di suonare la chitarra e si alza e cammina verso la telecamera.")</f>
        <v>L'uomo smette di suonare la chitarra e si alza e cammina verso la telecamera.</v>
      </c>
    </row>
    <row r="28462">
      <c r="A28462" s="4" t="s">
        <v>35849</v>
      </c>
      <c r="B28462" s="4" t="s">
        <v>35850</v>
      </c>
      <c r="C28462" s="5" t="str">
        <f>IFERROR(__xludf.DUMMYFUNCTION("GOOGLETRANSLATE(B28462,""en"",""it"")"),"Un uomo suona cornamuse in una piazza della città mentre nessuno presta attenzione.")</f>
        <v>Un uomo suona cornamuse in una piazza della città mentre nessuno presta attenzione.</v>
      </c>
    </row>
    <row r="28463">
      <c r="A28463" s="4" t="s">
        <v>35849</v>
      </c>
      <c r="B28463" s="4" t="s">
        <v>35851</v>
      </c>
      <c r="C28463" s="5" t="str">
        <f>IFERROR(__xludf.DUMMYFUNCTION("GOOGLETRANSLATE(B28463,""en"",""it"")"),"Un poliziotto gli dice di smettere.")</f>
        <v>Un poliziotto gli dice di smettere.</v>
      </c>
    </row>
    <row r="28464">
      <c r="A28464" s="4" t="s">
        <v>35852</v>
      </c>
      <c r="B28464" s="4" t="s">
        <v>35853</v>
      </c>
      <c r="C28464" s="5" t="str">
        <f>IFERROR(__xludf.DUMMYFUNCTION("GOOGLETRANSLATE(B28464,""en"",""it"")"),"Un ragazzo corre lentamente lungo un percorso.")</f>
        <v>Un ragazzo corre lentamente lungo un percorso.</v>
      </c>
    </row>
    <row r="28465">
      <c r="A28465" s="4" t="s">
        <v>35852</v>
      </c>
      <c r="B28465" s="4" t="s">
        <v>35854</v>
      </c>
      <c r="C28465" s="5" t="str">
        <f>IFERROR(__xludf.DUMMYFUNCTION("GOOGLETRANSLATE(B28465,""en"",""it"")"),"Fa un grande salto in aria.")</f>
        <v>Fa un grande salto in aria.</v>
      </c>
    </row>
    <row r="28466">
      <c r="A28466" s="4" t="s">
        <v>35852</v>
      </c>
      <c r="B28466" s="4" t="s">
        <v>35855</v>
      </c>
      <c r="C28466" s="5" t="str">
        <f>IFERROR(__xludf.DUMMYFUNCTION("GOOGLETRANSLATE(B28466,""en"",""it"")"),"Atterra in una gigantesca buca di sabbia.")</f>
        <v>Atterra in una gigantesca buca di sabbia.</v>
      </c>
    </row>
    <row r="28467">
      <c r="A28467" s="4" t="s">
        <v>35856</v>
      </c>
      <c r="B28467" s="6" t="s">
        <v>35857</v>
      </c>
      <c r="C28467" s="5" t="str">
        <f>IFERROR(__xludf.DUMMYFUNCTION("GOOGLETRANSLATE(B28467,""en"",""it"")"),"Un piccolo gruppo di persone viene visto giocare una partita di baseball su un campo e conduce in molti altri colpi che giocano.")</f>
        <v>Un piccolo gruppo di persone viene visto giocare una partita di baseball su un campo e conduce in molti altri colpi che giocano.</v>
      </c>
    </row>
    <row r="28468">
      <c r="A28468" s="4" t="s">
        <v>35856</v>
      </c>
      <c r="B28468" s="6" t="s">
        <v>35858</v>
      </c>
      <c r="C28468" s="5" t="str">
        <f>IFERROR(__xludf.DUMMYFUNCTION("GOOGLETRANSLATE(B28468,""en"",""it"")"),"Il video continua con diverse clip di persone che colpiscono e catturano la palla e termina con il testo sullo schermo.")</f>
        <v>Il video continua con diverse clip di persone che colpiscono e catturano la palla e termina con il testo sullo schermo.</v>
      </c>
    </row>
    <row r="28469">
      <c r="A28469" s="4" t="s">
        <v>35859</v>
      </c>
      <c r="B28469" s="4" t="s">
        <v>35860</v>
      </c>
      <c r="C28469" s="5" t="str">
        <f>IFERROR(__xludf.DUMMYFUNCTION("GOOGLETRANSLATE(B28469,""en"",""it"")"),"Un uomo e una donna stanno giocando all'interno di un campo da racchetta.")</f>
        <v>Un uomo e una donna stanno giocando all'interno di un campo da racchetta.</v>
      </c>
    </row>
    <row r="28470">
      <c r="A28470" s="4" t="s">
        <v>35859</v>
      </c>
      <c r="B28470" s="4" t="s">
        <v>35861</v>
      </c>
      <c r="C28470" s="5" t="str">
        <f>IFERROR(__xludf.DUMMYFUNCTION("GOOGLETRANSLATE(B28470,""en"",""it"")"),"Stanno usando racchette, palline, scarpe speciali e occhiali protettivi.")</f>
        <v>Stanno usando racchette, palline, scarpe speciali e occhiali protettivi.</v>
      </c>
    </row>
    <row r="28471">
      <c r="A28471" s="4" t="s">
        <v>35859</v>
      </c>
      <c r="B28471" s="4" t="s">
        <v>35862</v>
      </c>
      <c r="C28471" s="5" t="str">
        <f>IFERROR(__xludf.DUMMYFUNCTION("GOOGLETRANSLATE(B28471,""en"",""it"")"),"Mostrano come stare in piedi e colpire la palla.")</f>
        <v>Mostrano come stare in piedi e colpire la palla.</v>
      </c>
    </row>
    <row r="28472">
      <c r="A28472" s="4" t="s">
        <v>35863</v>
      </c>
      <c r="B28472" s="4" t="s">
        <v>35864</v>
      </c>
      <c r="C28472" s="5" t="str">
        <f>IFERROR(__xludf.DUMMYFUNCTION("GOOGLETRANSLATE(B28472,""en"",""it"")"),"Un ragazzo è in piedi dietro un supporto musicale suonando un flauto.")</f>
        <v>Un ragazzo è in piedi dietro un supporto musicale suonando un flauto.</v>
      </c>
    </row>
    <row r="28473">
      <c r="A28473" s="4" t="s">
        <v>35863</v>
      </c>
      <c r="B28473" s="4" t="s">
        <v>35865</v>
      </c>
      <c r="C28473" s="5" t="str">
        <f>IFERROR(__xludf.DUMMYFUNCTION("GOOGLETRANSLATE(B28473,""en"",""it"")"),"Smette di giocare e sorride prima di andarsene.")</f>
        <v>Smette di giocare e sorride prima di andarsene.</v>
      </c>
    </row>
    <row r="28474">
      <c r="A28474" s="4" t="s">
        <v>35866</v>
      </c>
      <c r="B28474" s="4" t="s">
        <v>35867</v>
      </c>
      <c r="C28474" s="5" t="str">
        <f>IFERROR(__xludf.DUMMYFUNCTION("GOOGLETRANSLATE(B28474,""en"",""it"")"),"Una donna con un cappello su stand e parla.")</f>
        <v>Una donna con un cappello su stand e parla.</v>
      </c>
    </row>
    <row r="28475">
      <c r="A28475" s="4" t="s">
        <v>35866</v>
      </c>
      <c r="B28475" s="4" t="s">
        <v>35868</v>
      </c>
      <c r="C28475" s="5" t="str">
        <f>IFERROR(__xludf.DUMMYFUNCTION("GOOGLETRANSLATE(B28475,""en"",""it"")"),"Sta giocando con i capelli e parla.")</f>
        <v>Sta giocando con i capelli e parla.</v>
      </c>
    </row>
    <row r="28476">
      <c r="A28476" s="4" t="s">
        <v>35866</v>
      </c>
      <c r="B28476" s="4" t="s">
        <v>35869</v>
      </c>
      <c r="C28476" s="5" t="str">
        <f>IFERROR(__xludf.DUMMYFUNCTION("GOOGLETRANSLATE(B28476,""en"",""it"")"),"Le foto dei suoi capelli sono inserite.")</f>
        <v>Le foto dei suoi capelli sono inserite.</v>
      </c>
    </row>
    <row r="28477">
      <c r="A28477" s="4" t="s">
        <v>35870</v>
      </c>
      <c r="B28477" s="4" t="s">
        <v>35871</v>
      </c>
      <c r="C28477" s="5" t="str">
        <f>IFERROR(__xludf.DUMMYFUNCTION("GOOGLETRANSLATE(B28477,""en"",""it"")"),"Una ragazza in bikini sta facendo Hula Hoop in un patio.")</f>
        <v>Una ragazza in bikini sta facendo Hula Hoop in un patio.</v>
      </c>
    </row>
    <row r="28478">
      <c r="A28478" s="4" t="s">
        <v>35870</v>
      </c>
      <c r="B28478" s="4" t="s">
        <v>35872</v>
      </c>
      <c r="C28478" s="5" t="str">
        <f>IFERROR(__xludf.DUMMYFUNCTION("GOOGLETRANSLATE(B28478,""en"",""it"")"),"Si gira più volte e sembra divertirsi molto.")</f>
        <v>Si gira più volte e sembra divertirsi molto.</v>
      </c>
    </row>
    <row r="28479">
      <c r="A28479" s="4" t="s">
        <v>35870</v>
      </c>
      <c r="B28479" s="4" t="s">
        <v>35873</v>
      </c>
      <c r="C28479" s="5" t="str">
        <f>IFERROR(__xludf.DUMMYFUNCTION("GOOGLETRANSLATE(B28479,""en"",""it"")"),"Venivano muove su e giù per tenerla nella cornice.")</f>
        <v>Venivano muove su e giù per tenerla nella cornice.</v>
      </c>
    </row>
    <row r="28480">
      <c r="A28480" s="4" t="s">
        <v>35870</v>
      </c>
      <c r="B28480" s="4" t="s">
        <v>35874</v>
      </c>
      <c r="C28480" s="5" t="str">
        <f>IFERROR(__xludf.DUMMYFUNCTION("GOOGLETRANSLATE(B28480,""en"",""it"")"),"Salta quindi su un'altra ragazza che mostra solo la sua metà inferiore mentre un hula hoop gira intorno a lei.")</f>
        <v>Salta quindi su un'altra ragazza che mostra solo la sua metà inferiore mentre un hula hoop gira intorno a lei.</v>
      </c>
    </row>
    <row r="28481">
      <c r="A28481" s="4" t="s">
        <v>35870</v>
      </c>
      <c r="B28481" s="4" t="s">
        <v>35875</v>
      </c>
      <c r="C28481" s="5" t="str">
        <f>IFERROR(__xludf.DUMMYFUNCTION("GOOGLETRANSLATE(B28481,""en"",""it"")"),"Un'altra ragazza viene mostrata a ballare all'interno di una casa più volte.")</f>
        <v>Un'altra ragazza viene mostrata a ballare all'interno di una casa più volte.</v>
      </c>
    </row>
    <row r="28482">
      <c r="A28482" s="4" t="s">
        <v>35876</v>
      </c>
      <c r="B28482" s="6" t="s">
        <v>35877</v>
      </c>
      <c r="C28482" s="5" t="str">
        <f>IFERROR(__xludf.DUMMYFUNCTION("GOOGLETRANSLATE(B28482,""en"",""it"")"),"Un folto gruppo di persone viene mostrato in diversi colpi che giocano a una partita di sport mentre centinaia di persone guardano sui lati.")</f>
        <v>Un folto gruppo di persone viene mostrato in diversi colpi che giocano a una partita di sport mentre centinaia di persone guardano sui lati.</v>
      </c>
    </row>
    <row r="28483">
      <c r="A28483" s="4" t="s">
        <v>35876</v>
      </c>
      <c r="B28483" s="6" t="s">
        <v>35878</v>
      </c>
      <c r="C28483" s="5" t="str">
        <f>IFERROR(__xludf.DUMMYFUNCTION("GOOGLETRANSLATE(B28483,""en"",""it"")"),"Gli uomini continuano a correre in campo mentre vengono mostrati i primi piani degli allenatori e si segna un obiettivo.")</f>
        <v>Gli uomini continuano a correre in campo mentre vengono mostrati i primi piani degli allenatori e si segna un obiettivo.</v>
      </c>
    </row>
    <row r="28484">
      <c r="A28484" s="4" t="s">
        <v>35876</v>
      </c>
      <c r="B28484" s="4" t="s">
        <v>35879</v>
      </c>
      <c r="C28484" s="5" t="str">
        <f>IFERROR(__xludf.DUMMYFUNCTION("GOOGLETRANSLATE(B28484,""en"",""it"")"),"Un uomo si inginocchia e gli altri si stringono la mano ai giocatori.")</f>
        <v>Un uomo si inginocchia e gli altri si stringono la mano ai giocatori.</v>
      </c>
    </row>
    <row r="28485">
      <c r="A28485" s="4" t="s">
        <v>35880</v>
      </c>
      <c r="B28485" s="4" t="s">
        <v>35881</v>
      </c>
      <c r="C28485" s="5" t="str">
        <f>IFERROR(__xludf.DUMMYFUNCTION("GOOGLETRANSLATE(B28485,""en"",""it"")"),"Una signora chef che indossa una camicetta a strisce parla in cucina.")</f>
        <v>Una signora chef che indossa una camicetta a strisce parla in cucina.</v>
      </c>
    </row>
    <row r="28486">
      <c r="A28486" s="4" t="s">
        <v>35880</v>
      </c>
      <c r="B28486" s="6" t="s">
        <v>35882</v>
      </c>
      <c r="C28486" s="5" t="str">
        <f>IFERROR(__xludf.DUMMYFUNCTION("GOOGLETRANSLATE(B28486,""en"",""it"")"),"La signora chef descrive gli ingredienti necessari e la preparazione per la pasta cremosa di pesce.")</f>
        <v>La signora chef descrive gli ingredienti necessari e la preparazione per la pasta cremosa di pesce.</v>
      </c>
    </row>
    <row r="28487">
      <c r="A28487" s="4" t="s">
        <v>35880</v>
      </c>
      <c r="B28487" s="6" t="s">
        <v>35883</v>
      </c>
      <c r="C28487" s="5" t="str">
        <f>IFERROR(__xludf.DUMMYFUNCTION("GOOGLETRANSLATE(B28487,""en"",""it"")"),"Il Lady Chef mostra un processo passo -passo per preparare il piatto di pasta di pesce cremoso e mostra il prodotto finale.")</f>
        <v>Il Lady Chef mostra un processo passo -passo per preparare il piatto di pasta di pesce cremoso e mostra il prodotto finale.</v>
      </c>
    </row>
    <row r="28488">
      <c r="A28488" s="4" t="s">
        <v>35884</v>
      </c>
      <c r="B28488" s="4" t="s">
        <v>35885</v>
      </c>
      <c r="C28488" s="5" t="str">
        <f>IFERROR(__xludf.DUMMYFUNCTION("GOOGLETRANSLATE(B28488,""en"",""it"")"),"Un uomo sta parlando in una stalla mentre nutre un cavallo accanto a lui.")</f>
        <v>Un uomo sta parlando in una stalla mentre nutre un cavallo accanto a lui.</v>
      </c>
    </row>
    <row r="28489">
      <c r="A28489" s="4" t="s">
        <v>35884</v>
      </c>
      <c r="B28489" s="4" t="s">
        <v>35886</v>
      </c>
      <c r="C28489" s="5" t="str">
        <f>IFERROR(__xludf.DUMMYFUNCTION("GOOGLETRANSLATE(B28489,""en"",""it"")"),"Parla ampiamente dei benefici della guida a cavallo.")</f>
        <v>Parla ampiamente dei benefici della guida a cavallo.</v>
      </c>
    </row>
    <row r="28490">
      <c r="A28490" s="4" t="s">
        <v>35884</v>
      </c>
      <c r="B28490" s="4" t="s">
        <v>35887</v>
      </c>
      <c r="C28490" s="5" t="str">
        <f>IFERROR(__xludf.DUMMYFUNCTION("GOOGLETRANSLATE(B28490,""en"",""it"")"),"Monta una sella sul cavallo.")</f>
        <v>Monta una sella sul cavallo.</v>
      </c>
    </row>
    <row r="28491">
      <c r="A28491" s="4" t="s">
        <v>35884</v>
      </c>
      <c r="B28491" s="4" t="s">
        <v>35888</v>
      </c>
      <c r="C28491" s="5" t="str">
        <f>IFERROR(__xludf.DUMMYFUNCTION("GOOGLETRANSLATE(B28491,""en"",""it"")"),"Quindi conduce il cavallo fuori, dandogli una mela mentre continua a parlare.")</f>
        <v>Quindi conduce il cavallo fuori, dandogli una mela mentre continua a parlare.</v>
      </c>
    </row>
    <row r="28492">
      <c r="A28492" s="4" t="s">
        <v>35889</v>
      </c>
      <c r="B28492" s="4" t="s">
        <v>35890</v>
      </c>
      <c r="C28492" s="5" t="str">
        <f>IFERROR(__xludf.DUMMYFUNCTION("GOOGLETRANSLATE(B28492,""en"",""it"")"),"Un uomo è Sen in piedi di fronte a un folto gruppo di persone che si aggrappano a una corda.")</f>
        <v>Un uomo è Sen in piedi di fronte a un folto gruppo di persone che si aggrappano a una corda.</v>
      </c>
    </row>
    <row r="28493">
      <c r="A28493" s="4" t="s">
        <v>35889</v>
      </c>
      <c r="B28493" s="4" t="s">
        <v>35891</v>
      </c>
      <c r="C28493" s="5" t="str">
        <f>IFERROR(__xludf.DUMMYFUNCTION("GOOGLETRANSLATE(B28493,""en"",""it"")"),"L'uomo alza le braccia e le due squadre iniziano una partita di tiro alla fune.")</f>
        <v>L'uomo alza le braccia e le due squadre iniziano una partita di tiro alla fune.</v>
      </c>
    </row>
    <row r="28494">
      <c r="A28494" s="4" t="s">
        <v>35889</v>
      </c>
      <c r="B28494" s="4" t="s">
        <v>35892</v>
      </c>
      <c r="C28494" s="5" t="str">
        <f>IFERROR(__xludf.DUMMYFUNCTION("GOOGLETRANSLATE(B28494,""en"",""it"")"),"Un altro gioco di tiro alla fune si verifica sul lato e termina con gli uomini in piedi dritto.")</f>
        <v>Un altro gioco di tiro alla fune si verifica sul lato e termina con gli uomini in piedi dritto.</v>
      </c>
    </row>
    <row r="28495">
      <c r="A28495" s="4" t="s">
        <v>35893</v>
      </c>
      <c r="B28495" s="4" t="s">
        <v>35894</v>
      </c>
      <c r="C28495" s="5" t="str">
        <f>IFERROR(__xludf.DUMMYFUNCTION("GOOGLETRANSLATE(B28495,""en"",""it"")"),"Vediamo una ragazza seduta in un salone perforato con una signora in piedi vicino a lei.")</f>
        <v>Vediamo una ragazza seduta in un salone perforato con una signora in piedi vicino a lei.</v>
      </c>
    </row>
    <row r="28496">
      <c r="A28496" s="4" t="s">
        <v>35893</v>
      </c>
      <c r="B28496" s="4" t="s">
        <v>35895</v>
      </c>
      <c r="C28496" s="5" t="str">
        <f>IFERROR(__xludf.DUMMYFUNCTION("GOOGLETRANSLATE(B28496,""en"",""it"")"),"La signora mette una clip sul labbro delle ragazze e infila un grande ago attraverso il labbro.")</f>
        <v>La signora mette una clip sul labbro delle ragazze e infila un grande ago attraverso il labbro.</v>
      </c>
    </row>
    <row r="28497">
      <c r="A28497" s="4" t="s">
        <v>35893</v>
      </c>
      <c r="B28497" s="4" t="s">
        <v>35896</v>
      </c>
      <c r="C28497" s="5" t="str">
        <f>IFERROR(__xludf.DUMMYFUNCTION("GOOGLETRANSLATE(B28497,""en"",""it"")"),"La signora fa scorrere l'orecchio attraverso il labbro delle ragazze e ci mette un disinfettante.")</f>
        <v>La signora fa scorrere l'orecchio attraverso il labbro delle ragazze e ci mette un disinfettante.</v>
      </c>
    </row>
    <row r="28498">
      <c r="A28498" s="4" t="s">
        <v>35897</v>
      </c>
      <c r="B28498" s="4" t="s">
        <v>35898</v>
      </c>
      <c r="C28498" s="5" t="str">
        <f>IFERROR(__xludf.DUMMYFUNCTION("GOOGLETRANSLATE(B28498,""en"",""it"")"),"Una ragazza viene vista parlare con la telecamera e solleva una bottiglia alla telecamera.")</f>
        <v>Una ragazza viene vista parlare con la telecamera e solleva una bottiglia alla telecamera.</v>
      </c>
    </row>
    <row r="28499">
      <c r="A28499" s="4" t="s">
        <v>35897</v>
      </c>
      <c r="B28499" s="4" t="s">
        <v>35899</v>
      </c>
      <c r="C28499" s="5" t="str">
        <f>IFERROR(__xludf.DUMMYFUNCTION("GOOGLETRANSLATE(B28499,""en"",""it"")"),"La ragazza inizia quindi a dipingere le unghie e mostrarle alla telecamera.")</f>
        <v>La ragazza inizia quindi a dipingere le unghie e mostrarle alla telecamera.</v>
      </c>
    </row>
    <row r="28500">
      <c r="A28500" s="4" t="s">
        <v>35897</v>
      </c>
      <c r="B28500" s="4" t="s">
        <v>35900</v>
      </c>
      <c r="C28500" s="5" t="str">
        <f>IFERROR(__xludf.DUMMYFUNCTION("GOOGLETRANSLATE(B28500,""en"",""it"")"),"Continua a dipingere le unghie e fare facce divertenti alla telecamera.")</f>
        <v>Continua a dipingere le unghie e fare facce divertenti alla telecamera.</v>
      </c>
    </row>
    <row r="28501">
      <c r="A28501" s="4" t="s">
        <v>35901</v>
      </c>
      <c r="B28501" s="4" t="s">
        <v>35902</v>
      </c>
      <c r="C28501" s="5" t="str">
        <f>IFERROR(__xludf.DUMMYFUNCTION("GOOGLETRANSLATE(B28501,""en"",""it"")"),"Una persona mette gli spessori dei tappeti sul pavimento.")</f>
        <v>Una persona mette gli spessori dei tappeti sul pavimento.</v>
      </c>
    </row>
    <row r="28502">
      <c r="A28502" s="4" t="s">
        <v>35901</v>
      </c>
      <c r="B28502" s="4" t="s">
        <v>35903</v>
      </c>
      <c r="C28502" s="5" t="str">
        <f>IFERROR(__xludf.DUMMYFUNCTION("GOOGLETRANSLATE(B28502,""en"",""it"")"),"L'uomo misura gli spessori per adattarsi agli angoli.")</f>
        <v>L'uomo misura gli spessori per adattarsi agli angoli.</v>
      </c>
    </row>
    <row r="28503">
      <c r="A28503" s="4" t="s">
        <v>35901</v>
      </c>
      <c r="B28503" s="4" t="s">
        <v>35904</v>
      </c>
      <c r="C28503" s="5" t="str">
        <f>IFERROR(__xludf.DUMMYFUNCTION("GOOGLETRANSLATE(B28503,""en"",""it"")"),"Dopo, la persona mette le strisce sul confine degli spessori, quindi mette il tappeto.")</f>
        <v>Dopo, la persona mette le strisce sul confine degli spessori, quindi mette il tappeto.</v>
      </c>
    </row>
    <row r="28504">
      <c r="A28504" s="4" t="s">
        <v>35905</v>
      </c>
      <c r="B28504" s="4" t="s">
        <v>35906</v>
      </c>
      <c r="C28504" s="5" t="str">
        <f>IFERROR(__xludf.DUMMYFUNCTION("GOOGLETRANSLATE(B28504,""en"",""it"")"),"Un uomo fa video di lui che scris e lo snowboard lungo una montagna.")</f>
        <v>Un uomo fa video di lui che scris e lo snowboard lungo una montagna.</v>
      </c>
    </row>
    <row r="28505">
      <c r="A28505" s="4" t="s">
        <v>35905</v>
      </c>
      <c r="B28505" s="4" t="s">
        <v>35907</v>
      </c>
      <c r="C28505" s="5" t="str">
        <f>IFERROR(__xludf.DUMMYFUNCTION("GOOGLETRANSLATE(B28505,""en"",""it"")"),"Attraversa anche una foresta.")</f>
        <v>Attraversa anche una foresta.</v>
      </c>
    </row>
    <row r="28506">
      <c r="A28506" s="4" t="s">
        <v>35908</v>
      </c>
      <c r="B28506" s="4" t="s">
        <v>35909</v>
      </c>
      <c r="C28506" s="5" t="str">
        <f>IFERROR(__xludf.DUMMYFUNCTION("GOOGLETRANSLATE(B28506,""en"",""it"")"),"Due nuotatori stanno in avanti su una piattaforma ad alta immersione.")</f>
        <v>Due nuotatori stanno in avanti su una piattaforma ad alta immersione.</v>
      </c>
    </row>
    <row r="28507">
      <c r="A28507" s="4" t="s">
        <v>35908</v>
      </c>
      <c r="B28507" s="4" t="s">
        <v>35910</v>
      </c>
      <c r="C28507" s="5" t="str">
        <f>IFERROR(__xludf.DUMMYFUNCTION("GOOGLETRANSLATE(B28507,""en"",""it"")"),"I subacquei si tuffano dalla piattaforma in acqua.")</f>
        <v>I subacquei si tuffano dalla piattaforma in acqua.</v>
      </c>
    </row>
    <row r="28508">
      <c r="A28508" s="4" t="s">
        <v>35911</v>
      </c>
      <c r="B28508" s="6" t="s">
        <v>35912</v>
      </c>
      <c r="C28508" s="5" t="str">
        <f>IFERROR(__xludf.DUMMYFUNCTION("GOOGLETRANSLATE(B28508,""en"",""it"")"),"Due uomini si presentano all'inizio del video e dicono agli spettatori che parleranno di tatuaggi.")</f>
        <v>Due uomini si presentano all'inizio del video e dicono agli spettatori che parleranno di tatuaggi.</v>
      </c>
    </row>
    <row r="28509">
      <c r="A28509" s="4" t="s">
        <v>35911</v>
      </c>
      <c r="B28509" s="4" t="s">
        <v>35913</v>
      </c>
      <c r="C28509" s="5" t="str">
        <f>IFERROR(__xludf.DUMMYFUNCTION("GOOGLETRANSLATE(B28509,""en"",""it"")"),"Uno dei ragazzi arriva sullo schermo e dà alcuni suggerimenti su come prepararsi a fare un tatuaggio.")</f>
        <v>Uno dei ragazzi arriva sullo schermo e dà alcuni suggerimenti su come prepararsi a fare un tatuaggio.</v>
      </c>
    </row>
    <row r="28510">
      <c r="A28510" s="4" t="s">
        <v>35911</v>
      </c>
      <c r="B28510" s="4" t="s">
        <v>35914</v>
      </c>
      <c r="C28510" s="5" t="str">
        <f>IFERROR(__xludf.DUMMYFUNCTION("GOOGLETRANSLATE(B28510,""en"",""it"")"),"Un primo piano di un uomo viene mostrato dando un tatuaggio a qualcuno.")</f>
        <v>Un primo piano di un uomo viene mostrato dando un tatuaggio a qualcuno.</v>
      </c>
    </row>
    <row r="28511">
      <c r="A28511" s="4" t="s">
        <v>35911</v>
      </c>
      <c r="B28511" s="4" t="s">
        <v>35915</v>
      </c>
      <c r="C28511" s="5" t="str">
        <f>IFERROR(__xludf.DUMMYFUNCTION("GOOGLETRANSLATE(B28511,""en"",""it"")"),"Diversi clienti vengono mostrati da vicino sullo schermo mentre sono in procinto di un tatuaggio.")</f>
        <v>Diversi clienti vengono mostrati da vicino sullo schermo mentre sono in procinto di un tatuaggio.</v>
      </c>
    </row>
    <row r="28512">
      <c r="A28512" s="4" t="s">
        <v>35916</v>
      </c>
      <c r="B28512" s="6" t="s">
        <v>35917</v>
      </c>
      <c r="C28512" s="5" t="str">
        <f>IFERROR(__xludf.DUMMYFUNCTION("GOOGLETRANSLATE(B28512,""en"",""it"")"),"Una donna viene vista spingere un disco lungo un po 'di ghiaccio seguito da persone che sfiorano il ghiaccio con le scope davanti al disco.")</f>
        <v>Una donna viene vista spingere un disco lungo un po 'di ghiaccio seguito da persone che sfiorano il ghiaccio con le scope davanti al disco.</v>
      </c>
    </row>
    <row r="28513">
      <c r="A28513" s="4" t="s">
        <v>35916</v>
      </c>
      <c r="B28513" s="6" t="s">
        <v>35918</v>
      </c>
      <c r="C28513" s="5" t="str">
        <f>IFERROR(__xludf.DUMMYFUNCTION("GOOGLETRANSLATE(B28513,""en"",""it"")"),"Spazzoleranno continuamente e terminano il disco in un cerchio e finiscono con la donna che parla con gli altri.")</f>
        <v>Spazzoleranno continuamente e terminano il disco in un cerchio e finiscono con la donna che parla con gli altri.</v>
      </c>
    </row>
    <row r="28514">
      <c r="A28514" s="4" t="s">
        <v>35919</v>
      </c>
      <c r="B28514" s="6" t="s">
        <v>35920</v>
      </c>
      <c r="C28514" s="5" t="str">
        <f>IFERROR(__xludf.DUMMYFUNCTION("GOOGLETRANSLATE(B28514,""en"",""it"")"),"Un uomo prima saluta e poi fa il karate all'interno di una stanza mentre gira su una gamba, poi fa salutare.")</f>
        <v>Un uomo prima saluta e poi fa il karate all'interno di una stanza mentre gira su una gamba, poi fa salutare.</v>
      </c>
    </row>
    <row r="28515">
      <c r="A28515" s="4" t="s">
        <v>35919</v>
      </c>
      <c r="B28515" s="4" t="s">
        <v>35921</v>
      </c>
      <c r="C28515" s="5" t="str">
        <f>IFERROR(__xludf.DUMMYFUNCTION("GOOGLETRANSLATE(B28515,""en"",""it"")"),"Un maschio fa il segnale incrociato in una posizione accovacciata, poi gira il suo corpo.")</f>
        <v>Un maschio fa il segnale incrociato in una posizione accovacciata, poi gira il suo corpo.</v>
      </c>
    </row>
    <row r="28516">
      <c r="A28516" s="4" t="s">
        <v>35919</v>
      </c>
      <c r="B28516" s="4" t="s">
        <v>35922</v>
      </c>
      <c r="C28516" s="5" t="str">
        <f>IFERROR(__xludf.DUMMYFUNCTION("GOOGLETRANSLATE(B28516,""en"",""it"")"),"Quindi, l'uomo e il maschio combattono mentre saltano e calciano.")</f>
        <v>Quindi, l'uomo e il maschio combattono mentre saltano e calciano.</v>
      </c>
    </row>
    <row r="28517">
      <c r="A28517" s="4" t="s">
        <v>35919</v>
      </c>
      <c r="B28517" s="6" t="s">
        <v>35923</v>
      </c>
      <c r="C28517" s="5" t="str">
        <f>IFERROR(__xludf.DUMMYFUNCTION("GOOGLETRANSLATE(B28517,""en"",""it"")"),"Dopo, il maschio calcia la faccia dell'uomo con i piedi e fa un giro con una mano sul pavimento mentre l'uomo atterra su un tappetino schiumoso.")</f>
        <v>Dopo, il maschio calcia la faccia dell'uomo con i piedi e fa un giro con una mano sul pavimento mentre l'uomo atterra su un tappetino schiumoso.</v>
      </c>
    </row>
    <row r="28518">
      <c r="A28518" s="4" t="s">
        <v>35924</v>
      </c>
      <c r="B28518" s="4" t="s">
        <v>35925</v>
      </c>
      <c r="C28518" s="5" t="str">
        <f>IFERROR(__xludf.DUMMYFUNCTION("GOOGLETRANSLATE(B28518,""en"",""it"")"),"Un primo piano di un tappetino viene mostrato circondato da dischi e un bastone seduto nel mezzo.")</f>
        <v>Un primo piano di un tappetino viene mostrato circondato da dischi e un bastone seduto nel mezzo.</v>
      </c>
    </row>
    <row r="28519">
      <c r="A28519" s="4" t="s">
        <v>35924</v>
      </c>
      <c r="B28519" s="6" t="s">
        <v>35926</v>
      </c>
      <c r="C28519" s="5" t="str">
        <f>IFERROR(__xludf.DUMMYFUNCTION("GOOGLETRANSLATE(B28519,""en"",""it"")"),"La telecamera si panoramica per le persone che spingono il disco lungo il ghiaccio seguito da una persona che spinge il disco nel mezzo.")</f>
        <v>La telecamera si panoramica per le persone che spingono il disco lungo il ghiaccio seguito da una persona che spinge il disco nel mezzo.</v>
      </c>
    </row>
    <row r="28520">
      <c r="A28520" s="4" t="s">
        <v>35927</v>
      </c>
      <c r="B28520" s="4" t="s">
        <v>35928</v>
      </c>
      <c r="C28520" s="5" t="str">
        <f>IFERROR(__xludf.DUMMYFUNCTION("GOOGLETRANSLATE(B28520,""en"",""it"")"),"Un ragazzino nel suo Pajamma è in piedi allo specchio guardando i denti.")</f>
        <v>Un ragazzino nel suo Pajamma è in piedi allo specchio guardando i denti.</v>
      </c>
    </row>
    <row r="28521">
      <c r="A28521" s="4" t="s">
        <v>35927</v>
      </c>
      <c r="B28521" s="4" t="s">
        <v>35929</v>
      </c>
      <c r="C28521" s="5" t="str">
        <f>IFERROR(__xludf.DUMMYFUNCTION("GOOGLETRANSLATE(B28521,""en"",""it"")"),"Si muove un po 'e sputa un po' di dentifricio.")</f>
        <v>Si muove un po 'e sputa un po' di dentifricio.</v>
      </c>
    </row>
    <row r="28522">
      <c r="A28522" s="4" t="s">
        <v>35927</v>
      </c>
      <c r="B28522" s="6" t="s">
        <v>35930</v>
      </c>
      <c r="C28522" s="5" t="str">
        <f>IFERROR(__xludf.DUMMYFUNCTION("GOOGLETRANSLATE(B28522,""en"",""it"")"),"Quindi continua a spazzolare, mette giù il dente e afferra un po 'una tazza di acqua e lo sputa.")</f>
        <v>Quindi continua a spazzolare, mette giù il dente e afferra un po 'una tazza di acqua e lo sputa.</v>
      </c>
    </row>
    <row r="28523">
      <c r="A28523" s="4" t="s">
        <v>35927</v>
      </c>
      <c r="B28523" s="6" t="s">
        <v>35931</v>
      </c>
      <c r="C28523" s="5" t="str">
        <f>IFERROR(__xludf.DUMMYFUNCTION("GOOGLETRANSLATE(B28523,""en"",""it"")"),"Lo trova molto divertente, e lo fa ancora e ancora fino a quando la tazza d'acqua non è vuota e poi si toglie dallo sgabello e pulisce il viso con un asciugamano.")</f>
        <v>Lo trova molto divertente, e lo fa ancora e ancora fino a quando la tazza d'acqua non è vuota e poi si toglie dallo sgabello e pulisce il viso con un asciugamano.</v>
      </c>
    </row>
    <row r="28524">
      <c r="A28524" s="4" t="s">
        <v>35932</v>
      </c>
      <c r="B28524" s="4" t="s">
        <v>35933</v>
      </c>
      <c r="C28524" s="5" t="str">
        <f>IFERROR(__xludf.DUMMYFUNCTION("GOOGLETRANSLATE(B28524,""en"",""it"")"),"Alcuni testo appare sullo schermo che pone una domanda su un argomento nella sicurezza delle immersioni subacquee.")</f>
        <v>Alcuni testo appare sullo schermo che pone una domanda su un argomento nella sicurezza delle immersioni subacquee.</v>
      </c>
    </row>
    <row r="28525">
      <c r="A28525" s="4" t="s">
        <v>35932</v>
      </c>
      <c r="B28525" s="6" t="s">
        <v>35934</v>
      </c>
      <c r="C28525" s="5" t="str">
        <f>IFERROR(__xludf.DUMMYFUNCTION("GOOGLETRANSLATE(B28525,""en"",""it"")"),"La scena cambia per mostrare molti serbatoi d'aria subacquei e qualche altro testo che spiega di più sulla domanda.")</f>
        <v>La scena cambia per mostrare molti serbatoi d'aria subacquei e qualche altro testo che spiega di più sulla domanda.</v>
      </c>
    </row>
    <row r="28526">
      <c r="A28526" s="4" t="s">
        <v>35932</v>
      </c>
      <c r="B28526" s="6" t="s">
        <v>35935</v>
      </c>
      <c r="C28526" s="5" t="str">
        <f>IFERROR(__xludf.DUMMYFUNCTION("GOOGLETRANSLATE(B28526,""en"",""it"")"),"Un uomo si immerge subacqueo sott'acqua mentre tiene in mano il serbatoio dell'aria e il testo continua a spiegare.")</f>
        <v>Un uomo si immerge subacqueo sott'acqua mentre tiene in mano il serbatoio dell'aria e il testo continua a spiegare.</v>
      </c>
    </row>
    <row r="28527">
      <c r="A28527" s="4" t="s">
        <v>35932</v>
      </c>
      <c r="B28527" s="4" t="s">
        <v>35936</v>
      </c>
      <c r="C28527" s="5" t="str">
        <f>IFERROR(__xludf.DUMMYFUNCTION("GOOGLETRANSLATE(B28527,""en"",""it"")"),"Il serbatoio dell'aria viene visto fluttuare da solo sul letto di mare.")</f>
        <v>Il serbatoio dell'aria viene visto fluttuare da solo sul letto di mare.</v>
      </c>
    </row>
    <row r="28528">
      <c r="A28528" s="4" t="s">
        <v>35932</v>
      </c>
      <c r="B28528" s="4" t="s">
        <v>35937</v>
      </c>
      <c r="C28528" s="5" t="str">
        <f>IFERROR(__xludf.DUMMYFUNCTION("GOOGLETRANSLATE(B28528,""en"",""it"")"),"Un altro uomo è immersioni subacquee e lascia andare il suo carro armato per dimostrare la galleggiabilità.")</f>
        <v>Un altro uomo è immersioni subacquee e lascia andare il suo carro armato per dimostrare la galleggiabilità.</v>
      </c>
    </row>
    <row r="28529">
      <c r="A28529" s="4" t="s">
        <v>35932</v>
      </c>
      <c r="B28529" s="4" t="s">
        <v>35938</v>
      </c>
      <c r="C28529" s="5" t="str">
        <f>IFERROR(__xludf.DUMMYFUNCTION("GOOGLETRANSLATE(B28529,""en"",""it"")"),"La scena torna al gruppo di serbatoi d'aria con più testo che spiega.")</f>
        <v>La scena torna al gruppo di serbatoi d'aria con più testo che spiega.</v>
      </c>
    </row>
    <row r="28530">
      <c r="A28530" s="4" t="s">
        <v>35932</v>
      </c>
      <c r="B28530" s="4" t="s">
        <v>35939</v>
      </c>
      <c r="C28530" s="5" t="str">
        <f>IFERROR(__xludf.DUMMYFUNCTION("GOOGLETRANSLATE(B28530,""en"",""it"")"),"Un'altra scena viene mostrata con 2 carri armati e una borsa accanto ad alcuni alberi.")</f>
        <v>Un'altra scena viene mostrata con 2 carri armati e una borsa accanto ad alcuni alberi.</v>
      </c>
    </row>
    <row r="28531">
      <c r="A28531" s="4" t="s">
        <v>35940</v>
      </c>
      <c r="B28531" s="4" t="s">
        <v>35941</v>
      </c>
      <c r="C28531" s="5" t="str">
        <f>IFERROR(__xludf.DUMMYFUNCTION("GOOGLETRANSLATE(B28531,""en"",""it"")"),"Un uomo tiene in mano un coltello tascabile mentre era seduto su alcune rocce nel deserto.")</f>
        <v>Un uomo tiene in mano un coltello tascabile mentre era seduto su alcune rocce nel deserto.</v>
      </c>
    </row>
    <row r="28532">
      <c r="A28532" s="4" t="s">
        <v>35940</v>
      </c>
      <c r="B28532" s="4" t="s">
        <v>35942</v>
      </c>
      <c r="C28532" s="5" t="str">
        <f>IFERROR(__xludf.DUMMYFUNCTION("GOOGLETRANSLATE(B28532,""en"",""it"")"),"Quindi prende una piccola pietra dal fiume fluente e la distrugge su un'altra pietra.")</f>
        <v>Quindi prende una piccola pietra dal fiume fluente e la distrugge su un'altra pietra.</v>
      </c>
    </row>
    <row r="28533">
      <c r="A28533" s="4" t="s">
        <v>35940</v>
      </c>
      <c r="B28533" s="4" t="s">
        <v>35943</v>
      </c>
      <c r="C28533" s="5" t="str">
        <f>IFERROR(__xludf.DUMMYFUNCTION("GOOGLETRANSLATE(B28533,""en"",""it"")"),"Comincia a schiacciare la piccola pietra a pezzi più piccoli.")</f>
        <v>Comincia a schiacciare la piccola pietra a pezzi più piccoli.</v>
      </c>
    </row>
    <row r="28534">
      <c r="A28534" s="4" t="s">
        <v>35940</v>
      </c>
      <c r="B28534" s="4" t="s">
        <v>35944</v>
      </c>
      <c r="C28534" s="5" t="str">
        <f>IFERROR(__xludf.DUMMYFUNCTION("GOOGLETRANSLATE(B28534,""en"",""it"")"),"Macina difficile rendere i pezzi più piccoli.")</f>
        <v>Macina difficile rendere i pezzi più piccoli.</v>
      </c>
    </row>
    <row r="28535">
      <c r="A28535" s="4" t="s">
        <v>35940</v>
      </c>
      <c r="B28535" s="4" t="s">
        <v>35945</v>
      </c>
      <c r="C28535" s="5" t="str">
        <f>IFERROR(__xludf.DUMMYFUNCTION("GOOGLETRANSLATE(B28535,""en"",""it"")"),"Quindi prende un pezzo di corteccia e si strofina i pezzi di pietra alimentati su di esso.")</f>
        <v>Quindi prende un pezzo di corteccia e si strofina i pezzi di pietra alimentati su di esso.</v>
      </c>
    </row>
    <row r="28536">
      <c r="A28536" s="4" t="s">
        <v>35940</v>
      </c>
      <c r="B28536" s="4" t="s">
        <v>35946</v>
      </c>
      <c r="C28536" s="5" t="str">
        <f>IFERROR(__xludf.DUMMYFUNCTION("GOOGLETRANSLATE(B28536,""en"",""it"")"),"Le particelle di pietra si attaccano al pezzo di legno bagnato.")</f>
        <v>Le particelle di pietra si attaccano al pezzo di legno bagnato.</v>
      </c>
    </row>
    <row r="28537">
      <c r="A28537" s="4" t="s">
        <v>35940</v>
      </c>
      <c r="B28537" s="4" t="s">
        <v>35947</v>
      </c>
      <c r="C28537" s="5" t="str">
        <f>IFERROR(__xludf.DUMMYFUNCTION("GOOGLETRANSLATE(B28537,""en"",""it"")"),"Quindi prende il coltello e lo affila contro il pezzo di legno.")</f>
        <v>Quindi prende il coltello e lo affila contro il pezzo di legno.</v>
      </c>
    </row>
    <row r="28538">
      <c r="A28538" s="4" t="s">
        <v>35940</v>
      </c>
      <c r="B28538" s="4" t="s">
        <v>35948</v>
      </c>
      <c r="C28538" s="5" t="str">
        <f>IFERROR(__xludf.DUMMYFUNCTION("GOOGLETRANSLATE(B28538,""en"",""it"")"),"Quindi nota un po 'di rana velenosa nera e verde seduta accanto a lui.")</f>
        <v>Quindi nota un po 'di rana velenosa nera e verde seduta accanto a lui.</v>
      </c>
    </row>
    <row r="28539">
      <c r="A28539" s="4" t="s">
        <v>35940</v>
      </c>
      <c r="B28539" s="4" t="s">
        <v>35949</v>
      </c>
      <c r="C28539" s="5" t="str">
        <f>IFERROR(__xludf.DUMMYFUNCTION("GOOGLETRANSLATE(B28539,""en"",""it"")"),"La rana quindi fugge e salta via.")</f>
        <v>La rana quindi fugge e salta via.</v>
      </c>
    </row>
    <row r="28540">
      <c r="A28540" s="4" t="s">
        <v>35940</v>
      </c>
      <c r="B28540" s="4" t="s">
        <v>35950</v>
      </c>
      <c r="C28540" s="5" t="str">
        <f>IFERROR(__xludf.DUMMYFUNCTION("GOOGLETRANSLATE(B28540,""en"",""it"")"),"Spiega come la rana secerne un fluido velenoso che può essere estremamente dannoso.")</f>
        <v>Spiega come la rana secerne un fluido velenoso che può essere estremamente dannoso.</v>
      </c>
    </row>
    <row r="28541">
      <c r="A28541" s="4" t="s">
        <v>35951</v>
      </c>
      <c r="B28541" s="4" t="s">
        <v>35952</v>
      </c>
      <c r="C28541" s="5" t="str">
        <f>IFERROR(__xludf.DUMMYFUNCTION("GOOGLETRANSLATE(B28541,""en"",""it"")"),"Vediamo uno schermo di apertura rosa.")</f>
        <v>Vediamo uno schermo di apertura rosa.</v>
      </c>
    </row>
    <row r="28542">
      <c r="A28542" s="4" t="s">
        <v>35951</v>
      </c>
      <c r="B28542" s="4" t="s">
        <v>35953</v>
      </c>
      <c r="C28542" s="5" t="str">
        <f>IFERROR(__xludf.DUMMYFUNCTION("GOOGLETRANSLATE(B28542,""en"",""it"")"),"Vediamo una signora che spazzola due cavalli in miniatura.")</f>
        <v>Vediamo una signora che spazzola due cavalli in miniatura.</v>
      </c>
    </row>
    <row r="28543">
      <c r="A28543" s="4" t="s">
        <v>35951</v>
      </c>
      <c r="B28543" s="4" t="s">
        <v>35954</v>
      </c>
      <c r="C28543" s="5" t="str">
        <f>IFERROR(__xludf.DUMMYFUNCTION("GOOGLETRANSLATE(B28543,""en"",""it"")"),"La signora pulisce gli zoccoli dei cavalli marroni.")</f>
        <v>La signora pulisce gli zoccoli dei cavalli marroni.</v>
      </c>
    </row>
    <row r="28544">
      <c r="A28544" s="4" t="s">
        <v>35951</v>
      </c>
      <c r="B28544" s="4" t="s">
        <v>35955</v>
      </c>
      <c r="C28544" s="5" t="str">
        <f>IFERROR(__xludf.DUMMYFUNCTION("GOOGLETRANSLATE(B28544,""en"",""it"")"),"La signora pulisce gli zoccoli sul cavallo bianco e marrone chiaro.")</f>
        <v>La signora pulisce gli zoccoli sul cavallo bianco e marrone chiaro.</v>
      </c>
    </row>
    <row r="28545">
      <c r="A28545" s="4" t="s">
        <v>35951</v>
      </c>
      <c r="B28545" s="4" t="s">
        <v>35956</v>
      </c>
      <c r="C28545" s="5" t="str">
        <f>IFERROR(__xludf.DUMMYFUNCTION("GOOGLETRANSLATE(B28545,""en"",""it"")"),"La signora spazzola la criniera su entrambi i cavalli.")</f>
        <v>La signora spazzola la criniera su entrambi i cavalli.</v>
      </c>
    </row>
    <row r="28546">
      <c r="A28546" s="4" t="s">
        <v>35951</v>
      </c>
      <c r="B28546" s="4" t="s">
        <v>35957</v>
      </c>
      <c r="C28546" s="5" t="str">
        <f>IFERROR(__xludf.DUMMYFUNCTION("GOOGLETRANSLATE(B28546,""en"",""it"")"),"La signora mette giù le sue provviste.")</f>
        <v>La signora mette giù le sue provviste.</v>
      </c>
    </row>
    <row r="28547">
      <c r="A28547" s="4" t="s">
        <v>35951</v>
      </c>
      <c r="B28547" s="4" t="s">
        <v>777</v>
      </c>
      <c r="C28547" s="5" t="str">
        <f>IFERROR(__xludf.DUMMYFUNCTION("GOOGLETRANSLATE(B28547,""en"",""it"")"),"Vediamo la schermata del titolo finale.")</f>
        <v>Vediamo la schermata del titolo finale.</v>
      </c>
    </row>
    <row r="28548">
      <c r="A28548" s="4" t="s">
        <v>35951</v>
      </c>
      <c r="B28548" s="4" t="s">
        <v>35958</v>
      </c>
      <c r="C28548" s="5" t="str">
        <f>IFERROR(__xludf.DUMMYFUNCTION("GOOGLETRANSLATE(B28548,""en"",""it"")"),"Vediamo immagini fisse in bianco e nero dei cavalli.")</f>
        <v>Vediamo immagini fisse in bianco e nero dei cavalli.</v>
      </c>
    </row>
    <row r="28549">
      <c r="A28549" s="4" t="s">
        <v>35951</v>
      </c>
      <c r="B28549" s="4" t="s">
        <v>35959</v>
      </c>
      <c r="C28549" s="5" t="str">
        <f>IFERROR(__xludf.DUMMYFUNCTION("GOOGLETRANSLATE(B28549,""en"",""it"")"),"Vediamo la signora spazzolare di nuovo il cavallo marrone.")</f>
        <v>Vediamo la signora spazzolare di nuovo il cavallo marrone.</v>
      </c>
    </row>
    <row r="28550">
      <c r="A28550" s="4" t="s">
        <v>35960</v>
      </c>
      <c r="B28550" s="4" t="s">
        <v>35961</v>
      </c>
      <c r="C28550" s="5" t="str">
        <f>IFERROR(__xludf.DUMMYFUNCTION("GOOGLETRANSLATE(B28550,""en"",""it"")"),"Un mucchio di bambini vanno in giro in macchine per paraurti.")</f>
        <v>Un mucchio di bambini vanno in giro in macchine per paraurti.</v>
      </c>
    </row>
    <row r="28551">
      <c r="A28551" s="4" t="s">
        <v>35960</v>
      </c>
      <c r="B28551" s="4" t="s">
        <v>35962</v>
      </c>
      <c r="C28551" s="5" t="str">
        <f>IFERROR(__xludf.DUMMYFUNCTION("GOOGLETRANSLATE(B28551,""en"",""it"")"),"Vanno avanti e indietro in pista.")</f>
        <v>Vanno avanti e indietro in pista.</v>
      </c>
    </row>
    <row r="28552">
      <c r="A28552" s="4" t="s">
        <v>35960</v>
      </c>
      <c r="B28552" s="4" t="s">
        <v>35963</v>
      </c>
      <c r="C28552" s="5" t="str">
        <f>IFERROR(__xludf.DUMMYFUNCTION("GOOGLETRANSLATE(B28552,""en"",""it"")"),"Si imbattono nell'altro, sorridendo e ridendo.")</f>
        <v>Si imbattono nell'altro, sorridendo e ridendo.</v>
      </c>
    </row>
    <row r="28553">
      <c r="A28553" s="4" t="s">
        <v>35964</v>
      </c>
      <c r="B28553" s="4" t="s">
        <v>35965</v>
      </c>
      <c r="C28553" s="5" t="str">
        <f>IFERROR(__xludf.DUMMYFUNCTION("GOOGLETRANSLATE(B28553,""en"",""it"")"),"Vengono mostrati montanti innevati e la gente sta facendo lo snowboard scendendo dalla collina con pali.")</f>
        <v>Vengono mostrati montanti innevati e la gente sta facendo lo snowboard scendendo dalla collina con pali.</v>
      </c>
    </row>
    <row r="28554">
      <c r="A28554" s="4" t="s">
        <v>35964</v>
      </c>
      <c r="B28554" s="4" t="s">
        <v>35966</v>
      </c>
      <c r="C28554" s="5" t="str">
        <f>IFERROR(__xludf.DUMMYFUNCTION("GOOGLETRANSLATE(B28554,""en"",""it"")"),"Viene mostrata una casa di neve con bambini che giocano.")</f>
        <v>Viene mostrata una casa di neve con bambini che giocano.</v>
      </c>
    </row>
    <row r="28555">
      <c r="A28555" s="4" t="s">
        <v>35964</v>
      </c>
      <c r="B28555" s="4" t="s">
        <v>35967</v>
      </c>
      <c r="C28555" s="5" t="str">
        <f>IFERROR(__xludf.DUMMYFUNCTION("GOOGLETRANSLATE(B28555,""en"",""it"")"),"Ma sta giocando con un aereo giocattolo.")</f>
        <v>Ma sta giocando con un aereo giocattolo.</v>
      </c>
    </row>
    <row r="28556">
      <c r="A28556" s="4" t="s">
        <v>35964</v>
      </c>
      <c r="B28556" s="6" t="s">
        <v>35968</v>
      </c>
      <c r="C28556" s="5" t="str">
        <f>IFERROR(__xludf.DUMMYFUNCTION("GOOGLETRANSLATE(B28556,""en"",""it"")"),"Le persone che fanno lo snowboard stanno andando giù per la montagna con luci rossi e fuochi d'artificio sono in cielo.")</f>
        <v>Le persone che fanno lo snowboard stanno andando giù per la montagna con luci rossi e fuochi d'artificio sono in cielo.</v>
      </c>
    </row>
    <row r="28557">
      <c r="A28557" s="4" t="s">
        <v>35969</v>
      </c>
      <c r="B28557" s="4" t="s">
        <v>1251</v>
      </c>
      <c r="C28557" s="5" t="str">
        <f>IFERROR(__xludf.DUMMYFUNCTION("GOOGLETRANSLATE(B28557,""en"",""it"")"),"Vengono visualizzati i crediti della clip.")</f>
        <v>Vengono visualizzati i crediti della clip.</v>
      </c>
    </row>
    <row r="28558">
      <c r="A28558" s="4" t="s">
        <v>35969</v>
      </c>
      <c r="B28558" s="4" t="s">
        <v>35970</v>
      </c>
      <c r="C28558" s="5" t="str">
        <f>IFERROR(__xludf.DUMMYFUNCTION("GOOGLETRANSLATE(B28558,""en"",""it"")"),"Vengono visualizzate le dimensioni variabili del prodotto.")</f>
        <v>Vengono visualizzate le dimensioni variabili del prodotto.</v>
      </c>
    </row>
    <row r="28559">
      <c r="A28559" s="4" t="s">
        <v>35969</v>
      </c>
      <c r="B28559" s="6" t="s">
        <v>35971</v>
      </c>
      <c r="C28559" s="5" t="str">
        <f>IFERROR(__xludf.DUMMYFUNCTION("GOOGLETRANSLATE(B28559,""en"",""it"")"),"Il ragazzo versa il prodotto in un contenitore e usa una spazzola per mettere il liquido sulla superficie di un oggetto metallico.")</f>
        <v>Il ragazzo versa il prodotto in un contenitore e usa una spazzola per mettere il liquido sulla superficie di un oggetto metallico.</v>
      </c>
    </row>
    <row r="28560">
      <c r="A28560" s="4" t="s">
        <v>35969</v>
      </c>
      <c r="B28560" s="4" t="s">
        <v>35972</v>
      </c>
      <c r="C28560" s="5" t="str">
        <f>IFERROR(__xludf.DUMMYFUNCTION("GOOGLETRANSLATE(B28560,""en"",""it"")"),"Il ragazzo mette un panno bianco sul bordo.")</f>
        <v>Il ragazzo mette un panno bianco sul bordo.</v>
      </c>
    </row>
    <row r="28561">
      <c r="A28561" s="4" t="s">
        <v>35969</v>
      </c>
      <c r="B28561" s="4" t="s">
        <v>35973</v>
      </c>
      <c r="C28561" s="5" t="str">
        <f>IFERROR(__xludf.DUMMYFUNCTION("GOOGLETRANSLATE(B28561,""en"",""it"")"),"Il ragazzo corre ripetutamente l'oggetto metallico attraverso il panno bianco.")</f>
        <v>Il ragazzo corre ripetutamente l'oggetto metallico attraverso il panno bianco.</v>
      </c>
    </row>
    <row r="28562">
      <c r="A28562" s="4" t="s">
        <v>35969</v>
      </c>
      <c r="B28562" s="4" t="s">
        <v>573</v>
      </c>
      <c r="C28562" s="5" t="str">
        <f>IFERROR(__xludf.DUMMYFUNCTION("GOOGLETRANSLATE(B28562,""en"",""it"")"),"Vengono visualizzati i crediti del video.")</f>
        <v>Vengono visualizzati i crediti del video.</v>
      </c>
    </row>
    <row r="28563">
      <c r="A28563" s="4" t="s">
        <v>35974</v>
      </c>
      <c r="B28563" s="4" t="s">
        <v>35975</v>
      </c>
      <c r="C28563" s="5" t="str">
        <f>IFERROR(__xludf.DUMMYFUNCTION("GOOGLETRANSLATE(B28563,""en"",""it"")"),"Viene mostrato un dipinto seguito da diverse immagini di strumenti e forniture di pittura.")</f>
        <v>Viene mostrato un dipinto seguito da diverse immagini di strumenti e forniture di pittura.</v>
      </c>
    </row>
    <row r="28564">
      <c r="A28564" s="4" t="s">
        <v>35974</v>
      </c>
      <c r="B28564" s="6" t="s">
        <v>35976</v>
      </c>
      <c r="C28564" s="5" t="str">
        <f>IFERROR(__xludf.DUMMYFUNCTION("GOOGLETRANSLATE(B28564,""en"",""it"")"),"La mano di una persona inizia quindi a mettere i segni sul dipinto e immergendosi continuamente il pennello nella vernice.")</f>
        <v>La mano di una persona inizia quindi a mettere i segni sul dipinto e immergendosi continuamente il pennello nella vernice.</v>
      </c>
    </row>
    <row r="28565">
      <c r="A28565" s="4" t="s">
        <v>35974</v>
      </c>
      <c r="B28565" s="4" t="s">
        <v>35977</v>
      </c>
      <c r="C28565" s="5" t="str">
        <f>IFERROR(__xludf.DUMMYFUNCTION("GOOGLETRANSLATE(B28565,""en"",""it"")"),"La fotocamera piovatta l'immagine finita e un testo viene mostrato sullo schermo.")</f>
        <v>La fotocamera piovatta l'immagine finita e un testo viene mostrato sullo schermo.</v>
      </c>
    </row>
    <row r="28566">
      <c r="A28566" s="4" t="s">
        <v>35978</v>
      </c>
      <c r="B28566" s="6" t="s">
        <v>35979</v>
      </c>
      <c r="C28566" s="5" t="str">
        <f>IFERROR(__xludf.DUMMYFUNCTION("GOOGLETRANSLATE(B28566,""en"",""it"")"),"Una donna viene vista giocare a frisbee in un cortile con un cane ed esegue diversi trucchi con il cane.")</f>
        <v>Una donna viene vista giocare a frisbee in un cortile con un cane ed esegue diversi trucchi con il cane.</v>
      </c>
    </row>
    <row r="28567">
      <c r="A28567" s="4" t="s">
        <v>35978</v>
      </c>
      <c r="B28567" s="4" t="s">
        <v>35980</v>
      </c>
      <c r="C28567" s="5" t="str">
        <f>IFERROR(__xludf.DUMMYFUNCTION("GOOGLETRANSLATE(B28567,""en"",""it"")"),"Gioca continuamente con diversi giocattoli con il cane quando un'altra persona guarda sul lato.")</f>
        <v>Gioca continuamente con diversi giocattoli con il cane quando un'altra persona guarda sul lato.</v>
      </c>
    </row>
    <row r="28568">
      <c r="A28568" s="4" t="s">
        <v>35981</v>
      </c>
      <c r="B28568" s="4" t="s">
        <v>35982</v>
      </c>
      <c r="C28568" s="5" t="str">
        <f>IFERROR(__xludf.DUMMYFUNCTION("GOOGLETRANSLATE(B28568,""en"",""it"")"),"Una donna caucasica nella tarda maternità è mostrata seduta su un divano del soggiorno.")</f>
        <v>Una donna caucasica nella tarda maternità è mostrata seduta su un divano del soggiorno.</v>
      </c>
    </row>
    <row r="28569">
      <c r="A28569" s="4" t="s">
        <v>35981</v>
      </c>
      <c r="B28569" s="6" t="s">
        <v>35983</v>
      </c>
      <c r="C28569" s="5" t="str">
        <f>IFERROR(__xludf.DUMMYFUNCTION("GOOGLETRANSLATE(B28569,""en"",""it"")"),"Si mette su una calza sul piede sinistro mentre attraversa la gamba e poi procede a mettere una scarpa da tennis sul piede sinistro.")</f>
        <v>Si mette su una calza sul piede sinistro mentre attraversa la gamba e poi procede a mettere una scarpa da tennis sul piede sinistro.</v>
      </c>
    </row>
    <row r="28570">
      <c r="A28570" s="4" t="s">
        <v>35981</v>
      </c>
      <c r="B28570" s="4" t="s">
        <v>35984</v>
      </c>
      <c r="C28570" s="5" t="str">
        <f>IFERROR(__xludf.DUMMYFUNCTION("GOOGLETRANSLATE(B28570,""en"",""it"")"),"È chiara per il disagio mentre procede a legare la scarpa, che poggia su un ottomano.")</f>
        <v>È chiara per il disagio mentre procede a legare la scarpa, che poggia su un ottomano.</v>
      </c>
    </row>
    <row r="28571">
      <c r="A28571" s="4" t="s">
        <v>35981</v>
      </c>
      <c r="B28571" s="6" t="s">
        <v>35985</v>
      </c>
      <c r="C28571" s="5" t="str">
        <f>IFERROR(__xludf.DUMMYFUNCTION("GOOGLETRANSLATE(B28571,""en"",""it"")"),"Fa una piccola pausa e poi procede a mettere la scarpa destra, poggia il piede destro sul pouf mentre lega la scarpa.")</f>
        <v>Fa una piccola pausa e poi procede a mettere la scarpa destra, poggia il piede destro sul pouf mentre lega la scarpa.</v>
      </c>
    </row>
    <row r="28572">
      <c r="A28572" s="4" t="s">
        <v>35981</v>
      </c>
      <c r="B28572" s="6" t="s">
        <v>35986</v>
      </c>
      <c r="C28572" s="5" t="str">
        <f>IFERROR(__xludf.DUMMYFUNCTION("GOOGLETRANSLATE(B28572,""en"",""it"")"),"La donna soddisfatta ed esausta si siede sul divano e tiene la pancia grande mentre completa il compito di mettere la scarpa giusta.")</f>
        <v>La donna soddisfatta ed esausta si siede sul divano e tiene la pancia grande mentre completa il compito di mettere la scarpa giusta.</v>
      </c>
    </row>
    <row r="28573">
      <c r="A28573" s="4" t="s">
        <v>35987</v>
      </c>
      <c r="B28573" s="4" t="s">
        <v>35988</v>
      </c>
      <c r="C28573" s="5" t="str">
        <f>IFERROR(__xludf.DUMMYFUNCTION("GOOGLETRANSLATE(B28573,""en"",""it"")"),"Un uomo che tiene una racchetta si trova in un campo da zucca che parla alla telecamera.")</f>
        <v>Un uomo che tiene una racchetta si trova in un campo da zucca che parla alla telecamera.</v>
      </c>
    </row>
    <row r="28574">
      <c r="A28574" s="4" t="s">
        <v>35987</v>
      </c>
      <c r="B28574" s="4" t="s">
        <v>35989</v>
      </c>
      <c r="C28574" s="5" t="str">
        <f>IFERROR(__xludf.DUMMYFUNCTION("GOOGLETRANSLATE(B28574,""en"",""it"")"),"L'uomo rimbalza e cattura una palla blu.")</f>
        <v>L'uomo rimbalza e cattura una palla blu.</v>
      </c>
    </row>
    <row r="28575">
      <c r="A28575" s="4" t="s">
        <v>35987</v>
      </c>
      <c r="B28575" s="4" t="s">
        <v>35990</v>
      </c>
      <c r="C28575" s="5" t="str">
        <f>IFERROR(__xludf.DUMMYFUNCTION("GOOGLETRANSLATE(B28575,""en"",""it"")"),"L'uomo quindi colpisce la palla dalla parete posteriore e la prende.")</f>
        <v>L'uomo quindi colpisce la palla dalla parete posteriore e la prende.</v>
      </c>
    </row>
    <row r="28576">
      <c r="A28576" s="4" t="s">
        <v>35987</v>
      </c>
      <c r="B28576" s="4" t="s">
        <v>35991</v>
      </c>
      <c r="C28576" s="5" t="str">
        <f>IFERROR(__xludf.DUMMYFUNCTION("GOOGLETRANSLATE(B28576,""en"",""it"")"),"L'uomo quindi si alza e parla con la telecamera.")</f>
        <v>L'uomo quindi si alza e parla con la telecamera.</v>
      </c>
    </row>
    <row r="28577">
      <c r="A28577" s="4" t="s">
        <v>35992</v>
      </c>
      <c r="B28577" s="4" t="s">
        <v>35993</v>
      </c>
      <c r="C28577" s="5" t="str">
        <f>IFERROR(__xludf.DUMMYFUNCTION("GOOGLETRANSLATE(B28577,""en"",""it"")"),"Un piccolo gruppo di persone è visto in piedi in un campo con un ref che parla alla gente.")</f>
        <v>Un piccolo gruppo di persone è visto in piedi in un campo con un ref che parla alla gente.</v>
      </c>
    </row>
    <row r="28578">
      <c r="A28578" s="4" t="s">
        <v>35992</v>
      </c>
      <c r="B28578" s="6" t="s">
        <v>35994</v>
      </c>
      <c r="C28578" s="5" t="str">
        <f>IFERROR(__xludf.DUMMYFUNCTION("GOOGLETRANSLATE(B28578,""en"",""it"")"),"I giocatori quindi iniziano una partita di lacrosse l'uno con l'altro e corrono su e giù per il campo giocando.")</f>
        <v>I giocatori quindi iniziano una partita di lacrosse l'uno con l'altro e corrono su e giù per il campo giocando.</v>
      </c>
    </row>
    <row r="28579">
      <c r="A28579" s="4" t="s">
        <v>35995</v>
      </c>
      <c r="B28579" s="4" t="s">
        <v>35996</v>
      </c>
      <c r="C28579" s="5" t="str">
        <f>IFERROR(__xludf.DUMMYFUNCTION("GOOGLETRANSLATE(B28579,""en"",""it"")"),"Ci sono due persone vestite con camicie gialle che giocano a tennis da tavolo in un seminterrato finito.")</f>
        <v>Ci sono due persone vestite con camicie gialle che giocano a tennis da tavolo in un seminterrato finito.</v>
      </c>
    </row>
    <row r="28580">
      <c r="A28580" s="4" t="s">
        <v>35995</v>
      </c>
      <c r="B28580" s="4" t="s">
        <v>35997</v>
      </c>
      <c r="C28580" s="5" t="str">
        <f>IFERROR(__xludf.DUMMYFUNCTION("GOOGLETRANSLATE(B28580,""en"",""it"")"),"Ci sono tre persone sedute sui divani accanto a loro guardando la televisione calcistica.")</f>
        <v>Ci sono tre persone sedute sui divani accanto a loro guardando la televisione calcistica.</v>
      </c>
    </row>
    <row r="28581">
      <c r="A28581" s="4" t="s">
        <v>35995</v>
      </c>
      <c r="B28581" s="4" t="s">
        <v>35998</v>
      </c>
      <c r="C28581" s="5" t="str">
        <f>IFERROR(__xludf.DUMMYFUNCTION("GOOGLETRANSLATE(B28581,""en"",""it"")"),"Un'altra persona seduta sul divano sta giocando sul suo telefono.")</f>
        <v>Un'altra persona seduta sul divano sta giocando sul suo telefono.</v>
      </c>
    </row>
    <row r="28582">
      <c r="A28582" s="4" t="s">
        <v>35995</v>
      </c>
      <c r="B28582" s="4" t="s">
        <v>35999</v>
      </c>
      <c r="C28582" s="5" t="str">
        <f>IFERROR(__xludf.DUMMYFUNCTION("GOOGLETRANSLATE(B28582,""en"",""it"")"),"I due giocatori continuano a giocare a tennis da tavolo.")</f>
        <v>I due giocatori continuano a giocare a tennis da tavolo.</v>
      </c>
    </row>
    <row r="28583">
      <c r="A28583" s="4" t="s">
        <v>35995</v>
      </c>
      <c r="B28583" s="4" t="s">
        <v>36000</v>
      </c>
      <c r="C28583" s="5" t="str">
        <f>IFERROR(__xludf.DUMMYFUNCTION("GOOGLETRANSLATE(B28583,""en"",""it"")"),"Il giocatore a destra colpisce la palla che è l'avversario ritorna in modo rapido.")</f>
        <v>Il giocatore a destra colpisce la palla che è l'avversario ritorna in modo rapido.</v>
      </c>
    </row>
    <row r="28584">
      <c r="A28584" s="4" t="s">
        <v>35995</v>
      </c>
      <c r="B28584" s="4" t="s">
        <v>36001</v>
      </c>
      <c r="C28584" s="5" t="str">
        <f>IFERROR(__xludf.DUMMYFUNCTION("GOOGLETRANSLATE(B28584,""en"",""it"")"),"La palla cade dal tavolo.")</f>
        <v>La palla cade dal tavolo.</v>
      </c>
    </row>
    <row r="28585">
      <c r="A28585" s="4" t="s">
        <v>35995</v>
      </c>
      <c r="B28585" s="4" t="s">
        <v>36002</v>
      </c>
      <c r="C28585" s="5" t="str">
        <f>IFERROR(__xludf.DUMMYFUNCTION("GOOGLETRANSLATE(B28585,""en"",""it"")"),"La persona a destra corre per raccogliere la palla.")</f>
        <v>La persona a destra corre per raccogliere la palla.</v>
      </c>
    </row>
    <row r="28586">
      <c r="A28586" s="4" t="s">
        <v>35995</v>
      </c>
      <c r="B28586" s="4" t="s">
        <v>36003</v>
      </c>
      <c r="C28586" s="5" t="str">
        <f>IFERROR(__xludf.DUMMYFUNCTION("GOOGLETRANSLATE(B28586,""en"",""it"")"),"Continuano a giocare e servire la palla.")</f>
        <v>Continuano a giocare e servire la palla.</v>
      </c>
    </row>
    <row r="28587">
      <c r="A28587" s="4" t="s">
        <v>35995</v>
      </c>
      <c r="B28587" s="4" t="s">
        <v>36004</v>
      </c>
      <c r="C28587" s="5" t="str">
        <f>IFERROR(__xludf.DUMMYFUNCTION("GOOGLETRANSLATE(B28587,""en"",""it"")"),"Un ragazzo vestito con una felpa con cappuccio nero cammina.")</f>
        <v>Un ragazzo vestito con una felpa con cappuccio nero cammina.</v>
      </c>
    </row>
    <row r="28588">
      <c r="A28588" s="4" t="s">
        <v>35995</v>
      </c>
      <c r="B28588" s="4" t="s">
        <v>36005</v>
      </c>
      <c r="C28588" s="5" t="str">
        <f>IFERROR(__xludf.DUMMYFUNCTION("GOOGLETRANSLATE(B28588,""en"",""it"")"),"Uno dei giocatori fa una pausa per regolare il tavolo.")</f>
        <v>Uno dei giocatori fa una pausa per regolare il tavolo.</v>
      </c>
    </row>
    <row r="28589">
      <c r="A28589" s="4" t="s">
        <v>35995</v>
      </c>
      <c r="B28589" s="4" t="s">
        <v>36006</v>
      </c>
      <c r="C28589" s="5" t="str">
        <f>IFERROR(__xludf.DUMMYFUNCTION("GOOGLETRANSLATE(B28589,""en"",""it"")"),"Continuano a giocare a tennis da tavolo mentre parlano tra loro.")</f>
        <v>Continuano a giocare a tennis da tavolo mentre parlano tra loro.</v>
      </c>
    </row>
    <row r="28590">
      <c r="A28590" s="4" t="s">
        <v>36007</v>
      </c>
      <c r="B28590" s="6" t="s">
        <v>36008</v>
      </c>
      <c r="C28590" s="5" t="str">
        <f>IFERROR(__xludf.DUMMYFUNCTION("GOOGLETRANSLATE(B28590,""en"",""it"")"),"Vengono mostrati due bambini piccoli quando si arrampicano su una serie di barre di scimmia e gli altri passi fuori dal telaio.")</f>
        <v>Vengono mostrati due bambini piccoli quando si arrampicano su una serie di barre di scimmia e gli altri passi fuori dal telaio.</v>
      </c>
    </row>
    <row r="28591">
      <c r="A28591" s="4" t="s">
        <v>36007</v>
      </c>
      <c r="B28591" s="4" t="s">
        <v>36009</v>
      </c>
      <c r="C28591" s="5" t="str">
        <f>IFERROR(__xludf.DUMMYFUNCTION("GOOGLETRANSLATE(B28591,""en"",""it"")"),"La ragazza arriva alla fine delle barre e guarda alla telecamera che parla e sorride.")</f>
        <v>La ragazza arriva alla fine delle barre e guarda alla telecamera che parla e sorride.</v>
      </c>
    </row>
    <row r="28592">
      <c r="A28592" s="4" t="s">
        <v>36010</v>
      </c>
      <c r="B28592" s="4" t="s">
        <v>36011</v>
      </c>
      <c r="C28592" s="5" t="str">
        <f>IFERROR(__xludf.DUMMYFUNCTION("GOOGLETRANSLATE(B28592,""en"",""it"")"),"Una donna parla in cucina, poi vieni due ragazzi e parla mentre mostra i frutti sul bancone.")</f>
        <v>Una donna parla in cucina, poi vieni due ragazzi e parla mentre mostra i frutti sul bancone.</v>
      </c>
    </row>
    <row r="28593">
      <c r="A28593" s="4" t="s">
        <v>36010</v>
      </c>
      <c r="B28593" s="4" t="s">
        <v>36012</v>
      </c>
      <c r="C28593" s="5" t="str">
        <f>IFERROR(__xludf.DUMMYFUNCTION("GOOGLETRANSLATE(B28593,""en"",""it"")"),"Quindi, un uomo viene e mette tutti i frutti in una grande ciotola mentre spiega.")</f>
        <v>Quindi, un uomo viene e mette tutti i frutti in una grande ciotola mentre spiega.</v>
      </c>
    </row>
    <row r="28594">
      <c r="A28594" s="4" t="s">
        <v>36010</v>
      </c>
      <c r="B28594" s="4" t="s">
        <v>36013</v>
      </c>
      <c r="C28594" s="5" t="str">
        <f>IFERROR(__xludf.DUMMYFUNCTION("GOOGLETRANSLATE(B28594,""en"",""it"")"),"Dopo, l'uomo aggiunge in cima allo yogurt, al cioccolato e ai cereali.")</f>
        <v>Dopo, l'uomo aggiunge in cima allo yogurt, al cioccolato e ai cereali.</v>
      </c>
    </row>
    <row r="28595">
      <c r="A28595" s="4" t="s">
        <v>36014</v>
      </c>
      <c r="B28595" s="4" t="s">
        <v>36015</v>
      </c>
      <c r="C28595" s="5" t="str">
        <f>IFERROR(__xludf.DUMMYFUNCTION("GOOGLETRANSLATE(B28595,""en"",""it"")"),"Una persona che indossa un giubbotto ha diversi secchi per strada con cui sta battendo.")</f>
        <v>Una persona che indossa un giubbotto ha diversi secchi per strada con cui sta battendo.</v>
      </c>
    </row>
    <row r="28596">
      <c r="A28596" s="4" t="s">
        <v>36014</v>
      </c>
      <c r="B28596" s="6" t="s">
        <v>36016</v>
      </c>
      <c r="C28596" s="5" t="str">
        <f>IFERROR(__xludf.DUMMYFUNCTION("GOOGLETRANSLATE(B28596,""en"",""it"")"),"Molte persone sono in piedi con stupore guardando quest'uomo giocare, mentre alcune registrano con una macchina fotografica.")</f>
        <v>Molte persone sono in piedi con stupore guardando quest'uomo giocare, mentre alcune registrano con una macchina fotografica.</v>
      </c>
    </row>
    <row r="28597">
      <c r="A28597" s="4" t="s">
        <v>36014</v>
      </c>
      <c r="B28597" s="4" t="s">
        <v>36017</v>
      </c>
      <c r="C28597" s="5" t="str">
        <f>IFERROR(__xludf.DUMMYFUNCTION("GOOGLETRANSLATE(B28597,""en"",""it"")"),"L'uomo continua a suonare più velocemente e la folla continua a rallegrarlo.")</f>
        <v>L'uomo continua a suonare più velocemente e la folla continua a rallegrarlo.</v>
      </c>
    </row>
    <row r="28598">
      <c r="A28598" s="4" t="s">
        <v>36014</v>
      </c>
      <c r="B28598" s="4" t="s">
        <v>36018</v>
      </c>
      <c r="C28598" s="5" t="str">
        <f>IFERROR(__xludf.DUMMYFUNCTION("GOOGLETRANSLATE(B28598,""en"",""it"")"),"Molte persone passano oltre e non sembrano notare il batterista.")</f>
        <v>Molte persone passano oltre e non sembrano notare il batterista.</v>
      </c>
    </row>
    <row r="28599">
      <c r="A28599" s="4" t="s">
        <v>36019</v>
      </c>
      <c r="B28599" s="4" t="s">
        <v>36020</v>
      </c>
      <c r="C28599" s="5" t="str">
        <f>IFERROR(__xludf.DUMMYFUNCTION("GOOGLETRANSLATE(B28599,""en"",""it"")"),"Un ragazzo si trova dietro un tavolo di cibo.")</f>
        <v>Un ragazzo si trova dietro un tavolo di cibo.</v>
      </c>
    </row>
    <row r="28600">
      <c r="A28600" s="4" t="s">
        <v>36019</v>
      </c>
      <c r="B28600" s="4" t="s">
        <v>36021</v>
      </c>
      <c r="C28600" s="5" t="str">
        <f>IFERROR(__xludf.DUMMYFUNCTION("GOOGLETRANSLATE(B28600,""en"",""it"")"),"Comincia a diffondere la maionese su fette di pane.")</f>
        <v>Comincia a diffondere la maionese su fette di pane.</v>
      </c>
    </row>
    <row r="28601">
      <c r="A28601" s="4" t="s">
        <v>36019</v>
      </c>
      <c r="B28601" s="4" t="s">
        <v>36022</v>
      </c>
      <c r="C28601" s="5" t="str">
        <f>IFERROR(__xludf.DUMMYFUNCTION("GOOGLETRANSLATE(B28601,""en"",""it"")"),"Mette la lattuga sul pane.")</f>
        <v>Mette la lattuga sul pane.</v>
      </c>
    </row>
    <row r="28602">
      <c r="A28602" s="4" t="s">
        <v>36019</v>
      </c>
      <c r="B28602" s="4" t="s">
        <v>36023</v>
      </c>
      <c r="C28602" s="5" t="str">
        <f>IFERROR(__xludf.DUMMYFUNCTION("GOOGLETRANSLATE(B28602,""en"",""it"")"),"Punta i pomodori sopra la lattuga sul pane.")</f>
        <v>Punta i pomodori sopra la lattuga sul pane.</v>
      </c>
    </row>
    <row r="28603">
      <c r="A28603" s="4" t="s">
        <v>36019</v>
      </c>
      <c r="B28603" s="4" t="s">
        <v>36024</v>
      </c>
      <c r="C28603" s="5" t="str">
        <f>IFERROR(__xludf.DUMMYFUNCTION("GOOGLETRANSLATE(B28603,""en"",""it"")"),"Mette il pollo sopra il pomodoro.")</f>
        <v>Mette il pollo sopra il pomodoro.</v>
      </c>
    </row>
    <row r="28604">
      <c r="A28604" s="4" t="s">
        <v>36019</v>
      </c>
      <c r="B28604" s="4" t="s">
        <v>36025</v>
      </c>
      <c r="C28604" s="5" t="str">
        <f>IFERROR(__xludf.DUMMYFUNCTION("GOOGLETRANSLATE(B28604,""en"",""it"")"),"Mette un pezzo di pane sopra l'altro.")</f>
        <v>Mette un pezzo di pane sopra l'altro.</v>
      </c>
    </row>
    <row r="28605">
      <c r="A28605" s="4" t="s">
        <v>36019</v>
      </c>
      <c r="B28605" s="4" t="s">
        <v>36026</v>
      </c>
      <c r="C28605" s="5" t="str">
        <f>IFERROR(__xludf.DUMMYFUNCTION("GOOGLETRANSLATE(B28605,""en"",""it"")"),"Mette la maionese sopra il pezzo superiore di pane.")</f>
        <v>Mette la maionese sopra il pezzo superiore di pane.</v>
      </c>
    </row>
    <row r="28606">
      <c r="A28606" s="4" t="s">
        <v>36019</v>
      </c>
      <c r="B28606" s="4" t="s">
        <v>36027</v>
      </c>
      <c r="C28606" s="5" t="str">
        <f>IFERROR(__xludf.DUMMYFUNCTION("GOOGLETRANSLATE(B28606,""en"",""it"")"),"Pilla di nuovo il cibo sul pane.")</f>
        <v>Pilla di nuovo il cibo sul pane.</v>
      </c>
    </row>
    <row r="28607">
      <c r="A28607" s="4" t="s">
        <v>36019</v>
      </c>
      <c r="B28607" s="4" t="s">
        <v>36028</v>
      </c>
      <c r="C28607" s="5" t="str">
        <f>IFERROR(__xludf.DUMMYFUNCTION("GOOGLETRANSLATE(B28607,""en"",""it"")"),"Lo è in cima con un ultimo pezzo di pane.")</f>
        <v>Lo è in cima con un ultimo pezzo di pane.</v>
      </c>
    </row>
    <row r="28608">
      <c r="A28608" s="4" t="s">
        <v>36019</v>
      </c>
      <c r="B28608" s="4" t="s">
        <v>36029</v>
      </c>
      <c r="C28608" s="5" t="str">
        <f>IFERROR(__xludf.DUMMYFUNCTION("GOOGLETRANSLATE(B28608,""en"",""it"")"),"Taglia il sandwich in quattro fette su una tavola.")</f>
        <v>Taglia il sandwich in quattro fette su una tavola.</v>
      </c>
    </row>
    <row r="28609">
      <c r="A28609" s="4" t="s">
        <v>36019</v>
      </c>
      <c r="B28609" s="4" t="s">
        <v>36030</v>
      </c>
      <c r="C28609" s="5" t="str">
        <f>IFERROR(__xludf.DUMMYFUNCTION("GOOGLETRANSLATE(B28609,""en"",""it"")"),"Mette uno stecchino in ogni sezione del sandwich.")</f>
        <v>Mette uno stecchino in ogni sezione del sandwich.</v>
      </c>
    </row>
    <row r="28610">
      <c r="A28610" s="4" t="s">
        <v>36019</v>
      </c>
      <c r="B28610" s="4" t="s">
        <v>36031</v>
      </c>
      <c r="C28610" s="5" t="str">
        <f>IFERROR(__xludf.DUMMYFUNCTION("GOOGLETRANSLATE(B28610,""en"",""it"")"),"Sposta il sandwich dalla tavola su un piatto.")</f>
        <v>Sposta il sandwich dalla tavola su un piatto.</v>
      </c>
    </row>
    <row r="28611">
      <c r="A28611" s="4" t="s">
        <v>36019</v>
      </c>
      <c r="B28611" s="4" t="s">
        <v>36032</v>
      </c>
      <c r="C28611" s="5" t="str">
        <f>IFERROR(__xludf.DUMMYFUNCTION("GOOGLETRANSLATE(B28611,""en"",""it"")"),"Aggiunge patatine al piatto con il sandwich.")</f>
        <v>Aggiunge patatine al piatto con il sandwich.</v>
      </c>
    </row>
    <row r="28612">
      <c r="A28612" s="4" t="s">
        <v>36033</v>
      </c>
      <c r="B28612" s="6" t="s">
        <v>36034</v>
      </c>
      <c r="C28612" s="5" t="str">
        <f>IFERROR(__xludf.DUMMYFUNCTION("GOOGLETRANSLATE(B28612,""en"",""it"")"),"C'è un giornalista NBC News che indossa un maglione rosso e una camicia bianca che parla di toelettatura per cani da parte di un mago di forbice un'azienda di toelettatura.")</f>
        <v>C'è un giornalista NBC News che indossa un maglione rosso e una camicia bianca che parla di toelettatura per cani da parte di un mago di forbice un'azienda di toelettatura.</v>
      </c>
    </row>
    <row r="28613">
      <c r="A28613" s="4" t="s">
        <v>36033</v>
      </c>
      <c r="B28613" s="6" t="s">
        <v>36035</v>
      </c>
      <c r="C28613" s="5" t="str">
        <f>IFERROR(__xludf.DUMMYFUNCTION("GOOGLETRANSLATE(B28613,""en"",""it"")"),"Il rappresentante dell'azienda parla dei servizi che offrono e di come questi cani partecipano agli spettacoli di cani.")</f>
        <v>Il rappresentante dell'azienda parla dei servizi che offrono e di come questi cani partecipano agli spettacoli di cani.</v>
      </c>
    </row>
    <row r="28614">
      <c r="A28614" s="4" t="s">
        <v>36033</v>
      </c>
      <c r="B28614" s="6" t="s">
        <v>36036</v>
      </c>
      <c r="C28614" s="5" t="str">
        <f>IFERROR(__xludf.DUMMYFUNCTION("GOOGLETRANSLATE(B28614,""en"",""it"")"),"Un toelettatore si vede usando cesoie per tagliare in modo creativo i capelli del cane e persino tingerli in tonalità colorate di rosso, verde, giallo e blu.")</f>
        <v>Un toelettatore si vede usando cesoie per tagliare in modo creativo i capelli del cane e persino tingerli in tonalità colorate di rosso, verde, giallo e blu.</v>
      </c>
    </row>
    <row r="28615">
      <c r="A28615" s="4" t="s">
        <v>36037</v>
      </c>
      <c r="B28615" s="6" t="s">
        <v>36038</v>
      </c>
      <c r="C28615" s="5" t="str">
        <f>IFERROR(__xludf.DUMMYFUNCTION("GOOGLETRANSLATE(B28615,""en"",""it"")"),"Più persone sono in una lezione di allenamento in una stanza con molti specchi in palestra e ballano e girano e si superano su una piattaforma.")</f>
        <v>Più persone sono in una lezione di allenamento in una stanza con molti specchi in palestra e ballano e girano e si superano su una piattaforma.</v>
      </c>
    </row>
    <row r="28616">
      <c r="A28616" s="4" t="s">
        <v>36037</v>
      </c>
      <c r="B28616" s="4" t="s">
        <v>36039</v>
      </c>
      <c r="C28616" s="5" t="str">
        <f>IFERROR(__xludf.DUMMYFUNCTION("GOOGLETRANSLATE(B28616,""en"",""it"")"),"Una donna cammina per la sala d'esercizio con pesi.")</f>
        <v>Una donna cammina per la sala d'esercizio con pesi.</v>
      </c>
    </row>
    <row r="28617">
      <c r="A28617" s="4" t="s">
        <v>36037</v>
      </c>
      <c r="B28617" s="4" t="s">
        <v>36040</v>
      </c>
      <c r="C28617" s="5" t="str">
        <f>IFERROR(__xludf.DUMMYFUNCTION("GOOGLETRANSLATE(B28617,""en"",""it"")"),"Una donna pone i pesi sul rack.")</f>
        <v>Una donna pone i pesi sul rack.</v>
      </c>
    </row>
    <row r="28618">
      <c r="A28618" s="4" t="s">
        <v>36037</v>
      </c>
      <c r="B28618" s="4" t="s">
        <v>36041</v>
      </c>
      <c r="C28618" s="5" t="str">
        <f>IFERROR(__xludf.DUMMYFUNCTION("GOOGLETRANSLATE(B28618,""en"",""it"")"),"Una donna cammina senza avere pesi.")</f>
        <v>Una donna cammina senza avere pesi.</v>
      </c>
    </row>
    <row r="28619">
      <c r="A28619" s="4" t="s">
        <v>36042</v>
      </c>
      <c r="B28619" s="4" t="s">
        <v>36043</v>
      </c>
      <c r="C28619" s="5" t="str">
        <f>IFERROR(__xludf.DUMMYFUNCTION("GOOGLETRANSLATE(B28619,""en"",""it"")"),"Un mustang rosso viene colpito.")</f>
        <v>Un mustang rosso viene colpito.</v>
      </c>
    </row>
    <row r="28620">
      <c r="A28620" s="4" t="s">
        <v>36042</v>
      </c>
      <c r="B28620" s="4" t="s">
        <v>36044</v>
      </c>
      <c r="C28620" s="5" t="str">
        <f>IFERROR(__xludf.DUMMYFUNCTION("GOOGLETRANSLATE(B28620,""en"",""it"")"),"Successivamente, i lavoratori strofinano il sapone sull'auto.")</f>
        <v>Successivamente, i lavoratori strofinano il sapone sull'auto.</v>
      </c>
    </row>
    <row r="28621">
      <c r="A28621" s="4" t="s">
        <v>36042</v>
      </c>
      <c r="B28621" s="4" t="s">
        <v>36045</v>
      </c>
      <c r="C28621" s="5" t="str">
        <f>IFERROR(__xludf.DUMMYFUNCTION("GOOGLETRANSLATE(B28621,""en"",""it"")"),"Successivamente, entrambi lavorano per lavare il sapone prima di applicare un altro sapone sul veicolo.")</f>
        <v>Successivamente, entrambi lavorano per lavare il sapone prima di applicare un altro sapone sul veicolo.</v>
      </c>
    </row>
    <row r="28622">
      <c r="A28622" s="4" t="s">
        <v>36042</v>
      </c>
      <c r="B28622" s="4" t="s">
        <v>36046</v>
      </c>
      <c r="C28622" s="5" t="str">
        <f>IFERROR(__xludf.DUMMYFUNCTION("GOOGLETRANSLATE(B28622,""en"",""it"")"),"Quindi usano i tubi per lavare l'auto.")</f>
        <v>Quindi usano i tubi per lavare l'auto.</v>
      </c>
    </row>
    <row r="28623">
      <c r="A28623" s="4" t="s">
        <v>36047</v>
      </c>
      <c r="B28623" s="4" t="s">
        <v>36048</v>
      </c>
      <c r="C28623" s="5" t="str">
        <f>IFERROR(__xludf.DUMMYFUNCTION("GOOGLETRANSLATE(B28623,""en"",""it"")"),"Un piccolo gruppo di uomini viene visto correre attorno a un campo da basket giocando una partita di basket.")</f>
        <v>Un piccolo gruppo di uomini viene visto correre attorno a un campo da basket giocando una partita di basket.</v>
      </c>
    </row>
    <row r="28624">
      <c r="A28624" s="4" t="s">
        <v>36047</v>
      </c>
      <c r="B28624" s="6" t="s">
        <v>36049</v>
      </c>
      <c r="C28624" s="5" t="str">
        <f>IFERROR(__xludf.DUMMYFUNCTION("GOOGLETRANSLATE(B28624,""en"",""it"")"),"Un giocatore si muove intorno alla rete tenendo la palla e dimostra come sparare correttamente a un telaio.")</f>
        <v>Un giocatore si muove intorno alla rete tenendo la palla e dimostra come sparare correttamente a un telaio.</v>
      </c>
    </row>
    <row r="28625">
      <c r="A28625" s="4" t="s">
        <v>36047</v>
      </c>
      <c r="B28625" s="4" t="s">
        <v>36050</v>
      </c>
      <c r="C28625" s="5" t="str">
        <f>IFERROR(__xludf.DUMMYFUNCTION("GOOGLETRANSLATE(B28625,""en"",""it"")"),"Rimbalza la palla un po 'e vengono mostrati più colpi delle persone che giocano.")</f>
        <v>Rimbalza la palla un po 'e vengono mostrati più colpi delle persone che giocano.</v>
      </c>
    </row>
    <row r="28626">
      <c r="A28626" s="4" t="s">
        <v>36051</v>
      </c>
      <c r="B28626" s="6" t="s">
        <v>36052</v>
      </c>
      <c r="C28626" s="5" t="str">
        <f>IFERROR(__xludf.DUMMYFUNCTION("GOOGLETRANSLATE(B28626,""en"",""it"")"),"Viene visto un uomo parlare alla telecamera mentre mostra un piatto di cibo e versando ingredienti su un piatto.")</f>
        <v>Viene visto un uomo parlare alla telecamera mentre mostra un piatto di cibo e versando ingredienti su un piatto.</v>
      </c>
    </row>
    <row r="28627">
      <c r="A28627" s="4" t="s">
        <v>36051</v>
      </c>
      <c r="B28627" s="6" t="s">
        <v>36053</v>
      </c>
      <c r="C28627" s="5" t="str">
        <f>IFERROR(__xludf.DUMMYFUNCTION("GOOGLETRANSLATE(B28627,""en"",""it"")"),"Continua a mescolare ingredienti insieme su un piatto e termina con un primo piano del piatto e lui che parla di più.")</f>
        <v>Continua a mescolare ingredienti insieme su un piatto e termina con un primo piano del piatto e lui che parla di più.</v>
      </c>
    </row>
    <row r="28628">
      <c r="A28628" s="4" t="s">
        <v>36054</v>
      </c>
      <c r="B28628" s="4" t="s">
        <v>36055</v>
      </c>
      <c r="C28628" s="5" t="str">
        <f>IFERROR(__xludf.DUMMYFUNCTION("GOOGLETRANSLATE(B28628,""en"",""it"")"),"Vengono mostrate due persone che tengono bastoncini di scherma e indicano l'uno verso l'altro.")</f>
        <v>Vengono mostrate due persone che tengono bastoncini di scherma e indicano l'uno verso l'altro.</v>
      </c>
    </row>
    <row r="28629">
      <c r="A28629" s="4" t="s">
        <v>36054</v>
      </c>
      <c r="B28629" s="4" t="s">
        <v>36056</v>
      </c>
      <c r="C28629" s="5" t="str">
        <f>IFERROR(__xludf.DUMMYFUNCTION("GOOGLETRANSLATE(B28629,""en"",""it"")"),"Si spostano indietro e quarto e si abbinano tra loro.")</f>
        <v>Si spostano indietro e quarto e si abbinano tra loro.</v>
      </c>
    </row>
    <row r="28630">
      <c r="A28630" s="4" t="s">
        <v>36057</v>
      </c>
      <c r="B28630" s="4" t="s">
        <v>36058</v>
      </c>
      <c r="C28630" s="5" t="str">
        <f>IFERROR(__xludf.DUMMYFUNCTION("GOOGLETRANSLATE(B28630,""en"",""it"")"),"Un uomo sta cavalcando una tavola da surf nell'oceano.")</f>
        <v>Un uomo sta cavalcando una tavola da surf nell'oceano.</v>
      </c>
    </row>
    <row r="28631">
      <c r="A28631" s="4" t="s">
        <v>36057</v>
      </c>
      <c r="B28631" s="4" t="s">
        <v>36059</v>
      </c>
      <c r="C28631" s="5" t="str">
        <f>IFERROR(__xludf.DUMMYFUNCTION("GOOGLETRANSLATE(B28631,""en"",""it"")"),"Fa un grande capovolgimento, atterrando nell'onda.")</f>
        <v>Fa un grande capovolgimento, atterrando nell'onda.</v>
      </c>
    </row>
    <row r="28632">
      <c r="A28632" s="4" t="s">
        <v>36057</v>
      </c>
      <c r="B28632" s="4" t="s">
        <v>36060</v>
      </c>
      <c r="C28632" s="5" t="str">
        <f>IFERROR(__xludf.DUMMYFUNCTION("GOOGLETRANSLATE(B28632,""en"",""it"")"),"Il lancio viene ripetuto al rallentatore.")</f>
        <v>Il lancio viene ripetuto al rallentatore.</v>
      </c>
    </row>
    <row r="28633">
      <c r="A28633" s="4" t="s">
        <v>36061</v>
      </c>
      <c r="B28633" s="6" t="s">
        <v>36062</v>
      </c>
      <c r="C28633" s="5" t="str">
        <f>IFERROR(__xludf.DUMMYFUNCTION("GOOGLETRANSLATE(B28633,""en"",""it"")"),"La donna è in piedi nel mezzo del palcoscenico a parlare con la telecamera e si mostra alle mosse di danza lenta.")</f>
        <v>La donna è in piedi nel mezzo del palcoscenico a parlare con la telecamera e si mostra alle mosse di danza lenta.</v>
      </c>
    </row>
    <row r="28634">
      <c r="A28634" s="4" t="s">
        <v>36061</v>
      </c>
      <c r="B28634" s="4" t="s">
        <v>36063</v>
      </c>
      <c r="C28634" s="5" t="str">
        <f>IFERROR(__xludf.DUMMYFUNCTION("GOOGLETRANSLATE(B28634,""en"",""it"")"),"La donna sta facendo rapidamente i movimenti e mostra la posizione delle mani.")</f>
        <v>La donna sta facendo rapidamente i movimenti e mostra la posizione delle mani.</v>
      </c>
    </row>
    <row r="28635">
      <c r="A28635" s="4" t="s">
        <v>36061</v>
      </c>
      <c r="B28635" s="4" t="s">
        <v>36064</v>
      </c>
      <c r="C28635" s="5" t="str">
        <f>IFERROR(__xludf.DUMMYFUNCTION("GOOGLETRANSLATE(B28635,""en"",""it"")"),"La donna mostra movimenti di salsa in una stanza.")</f>
        <v>La donna mostra movimenti di salsa in una stanza.</v>
      </c>
    </row>
    <row r="28636">
      <c r="A28636" s="4" t="s">
        <v>36065</v>
      </c>
      <c r="B28636" s="4" t="s">
        <v>36066</v>
      </c>
      <c r="C28636" s="5" t="str">
        <f>IFERROR(__xludf.DUMMYFUNCTION("GOOGLETRANSLATE(B28636,""en"",""it"")"),"Un uomo è in piedi su un campo oscuro.")</f>
        <v>Un uomo è in piedi su un campo oscuro.</v>
      </c>
    </row>
    <row r="28637">
      <c r="A28637" s="4" t="s">
        <v>36065</v>
      </c>
      <c r="B28637" s="4" t="s">
        <v>36067</v>
      </c>
      <c r="C28637" s="5" t="str">
        <f>IFERROR(__xludf.DUMMYFUNCTION("GOOGLETRANSLATE(B28637,""en"",""it"")"),"Lancia un frisbee in aria e un cane lo prende.")</f>
        <v>Lancia un frisbee in aria e un cane lo prende.</v>
      </c>
    </row>
    <row r="28638">
      <c r="A28638" s="4" t="s">
        <v>36065</v>
      </c>
      <c r="B28638" s="4" t="s">
        <v>36068</v>
      </c>
      <c r="C28638" s="5" t="str">
        <f>IFERROR(__xludf.DUMMYFUNCTION("GOOGLETRANSLATE(B28638,""en"",""it"")"),"Il cane insegue e fa trucchi per ottenere il frisbee.")</f>
        <v>Il cane insegue e fa trucchi per ottenere il frisbee.</v>
      </c>
    </row>
    <row r="28639">
      <c r="A28639" s="4" t="s">
        <v>36069</v>
      </c>
      <c r="B28639" s="6" t="s">
        <v>36070</v>
      </c>
      <c r="C28639" s="5" t="str">
        <f>IFERROR(__xludf.DUMMYFUNCTION("GOOGLETRANSLATE(B28639,""en"",""it"")"),"Un gruppo di giovani ragazzi è in bicicletta dietro una sabbia che si prepara a decollare e correre lungo il percorso.")</f>
        <v>Un gruppo di giovani ragazzi è in bicicletta dietro una sabbia che si prepara a decollare e correre lungo il percorso.</v>
      </c>
    </row>
    <row r="28640">
      <c r="A28640" s="4" t="s">
        <v>36069</v>
      </c>
      <c r="B28640" s="4" t="s">
        <v>36071</v>
      </c>
      <c r="C28640" s="5" t="str">
        <f>IFERROR(__xludf.DUMMYFUNCTION("GOOGLETRANSLATE(B28640,""en"",""it"")"),"Il fermo viene deluso e tutti decollano nella terra e iniziano a correre nella terra.")</f>
        <v>Il fermo viene deluso e tutti decollano nella terra e iniziano a correre nella terra.</v>
      </c>
    </row>
    <row r="28641">
      <c r="A28641" s="4" t="s">
        <v>36069</v>
      </c>
      <c r="B28641" s="6" t="s">
        <v>36072</v>
      </c>
      <c r="C28641" s="5" t="str">
        <f>IFERROR(__xludf.DUMMYFUNCTION("GOOGLETRANSLATE(B28641,""en"",""it"")"),"Molti dei ragazzi continuano a girare in pista e le persone sono sparse per tutto il corso che reggono i bastoncini.")</f>
        <v>Molti dei ragazzi continuano a girare in pista e le persone sono sparse per tutto il corso che reggono i bastoncini.</v>
      </c>
    </row>
    <row r="28642">
      <c r="A28642" s="4" t="s">
        <v>36073</v>
      </c>
      <c r="B28642" s="4" t="s">
        <v>36074</v>
      </c>
      <c r="C28642" s="5" t="str">
        <f>IFERROR(__xludf.DUMMYFUNCTION("GOOGLETRANSLATE(B28642,""en"",""it"")"),"Un uomo che spruzza un grigio da recinzione usando una potente pistola a spruzzo.")</f>
        <v>Un uomo che spruzza un grigio da recinzione usando una potente pistola a spruzzo.</v>
      </c>
    </row>
    <row r="28643">
      <c r="A28643" s="4" t="s">
        <v>36073</v>
      </c>
      <c r="B28643" s="4" t="s">
        <v>36075</v>
      </c>
      <c r="C28643" s="5" t="str">
        <f>IFERROR(__xludf.DUMMYFUNCTION("GOOGLETRANSLATE(B28643,""en"",""it"")"),"Un uomo in piedi casualmente dietro di lui guardando con le mani incrociata, sbadigliando.")</f>
        <v>Un uomo in piedi casualmente dietro di lui guardando con le mani incrociata, sbadigliando.</v>
      </c>
    </row>
    <row r="28644">
      <c r="A28644" s="4" t="s">
        <v>36073</v>
      </c>
      <c r="B28644" s="4" t="s">
        <v>36076</v>
      </c>
      <c r="C28644" s="5" t="str">
        <f>IFERROR(__xludf.DUMMYFUNCTION("GOOGLETRANSLATE(B28644,""en"",""it"")"),"L'uomo che spruzza gli spruzza su e giù facendo divertiti.")</f>
        <v>L'uomo che spruzza gli spruzza su e giù facendo divertiti.</v>
      </c>
    </row>
    <row r="28645">
      <c r="A28645" s="4" t="s">
        <v>36073</v>
      </c>
      <c r="B28645" s="4" t="s">
        <v>36077</v>
      </c>
      <c r="C28645" s="5" t="str">
        <f>IFERROR(__xludf.DUMMYFUNCTION("GOOGLETRANSLATE(B28645,""en"",""it"")"),"Si assicura di superare tutti i punti in modo da non perdere.")</f>
        <v>Si assicura di superare tutti i punti in modo da non perdere.</v>
      </c>
    </row>
    <row r="28646">
      <c r="A28646" s="4" t="s">
        <v>36078</v>
      </c>
      <c r="B28646" s="4" t="s">
        <v>36079</v>
      </c>
      <c r="C28646" s="5" t="str">
        <f>IFERROR(__xludf.DUMMYFUNCTION("GOOGLETRANSLATE(B28646,""en"",""it"")"),"L'uomo sta calciando la piastrella del tetto fino a quando non si muove.")</f>
        <v>L'uomo sta calciando la piastrella del tetto fino a quando non si muove.</v>
      </c>
    </row>
    <row r="28647">
      <c r="A28647" s="4" t="s">
        <v>36078</v>
      </c>
      <c r="B28647" s="4" t="s">
        <v>36080</v>
      </c>
      <c r="C28647" s="5" t="str">
        <f>IFERROR(__xludf.DUMMYFUNCTION("GOOGLETRANSLATE(B28647,""en"",""it"")"),"L'uomo tira fuori una gomma del tetto e puntò sui lati delle piastrelle.")</f>
        <v>L'uomo tira fuori una gomma del tetto e puntò sui lati delle piastrelle.</v>
      </c>
    </row>
    <row r="28648">
      <c r="A28648" s="4" t="s">
        <v>36078</v>
      </c>
      <c r="B28648" s="4" t="s">
        <v>36081</v>
      </c>
      <c r="C28648" s="5" t="str">
        <f>IFERROR(__xludf.DUMMYFUNCTION("GOOGLETRANSLATE(B28648,""en"",""it"")"),"Ha rimesso la piastrella, spostala nel suo posto originale.")</f>
        <v>Ha rimesso la piastrella, spostala nel suo posto originale.</v>
      </c>
    </row>
    <row r="28649">
      <c r="A28649" s="4" t="s">
        <v>36082</v>
      </c>
      <c r="B28649" s="4" t="s">
        <v>36083</v>
      </c>
      <c r="C28649" s="5" t="str">
        <f>IFERROR(__xludf.DUMMYFUNCTION("GOOGLETRANSLATE(B28649,""en"",""it"")"),"Un uomo in una canotta nera descrive l'allenamento cardio su una bici da spin.")</f>
        <v>Un uomo in una canotta nera descrive l'allenamento cardio su una bici da spin.</v>
      </c>
    </row>
    <row r="28650">
      <c r="A28650" s="4" t="s">
        <v>36082</v>
      </c>
      <c r="B28650" s="6" t="s">
        <v>36084</v>
      </c>
      <c r="C28650" s="5" t="str">
        <f>IFERROR(__xludf.DUMMYFUNCTION("GOOGLETRANSLATE(B28650,""en"",""it"")"),"L'uomo nella canotta nera monta la bici rotante a intervalli di 45 secondi di velocità di crociera, i 15 secondi durano con tensione.")</f>
        <v>L'uomo nella canotta nera monta la bici rotante a intervalli di 45 secondi di velocità di crociera, i 15 secondi durano con tensione.</v>
      </c>
    </row>
    <row r="28651">
      <c r="A28651" s="4" t="s">
        <v>36082</v>
      </c>
      <c r="B28651" s="4" t="s">
        <v>36085</v>
      </c>
      <c r="C28651" s="5" t="str">
        <f>IFERROR(__xludf.DUMMYFUNCTION("GOOGLETRANSLATE(B28651,""en"",""it"")"),"Quindi rinfrescarti con la tensione della velocità di crociera.")</f>
        <v>Quindi rinfrescarti con la tensione della velocità di crociera.</v>
      </c>
    </row>
    <row r="28652">
      <c r="A28652" s="4" t="s">
        <v>36086</v>
      </c>
      <c r="B28652" s="4" t="s">
        <v>36087</v>
      </c>
      <c r="C28652" s="5" t="str">
        <f>IFERROR(__xludf.DUMMYFUNCTION("GOOGLETRANSLATE(B28652,""en"",""it"")"),"Viene mostrato un primo piano di una macchina seguita da un uomo che sparca lo sporco attorno a un pavimento.")</f>
        <v>Viene mostrato un primo piano di una macchina seguita da un uomo che sparca lo sporco attorno a un pavimento.</v>
      </c>
    </row>
    <row r="28653">
      <c r="A28653" s="4" t="s">
        <v>36086</v>
      </c>
      <c r="B28653" s="4" t="s">
        <v>36088</v>
      </c>
      <c r="C28653" s="5" t="str">
        <f>IFERROR(__xludf.DUMMYFUNCTION("GOOGLETRANSLATE(B28653,""en"",""it"")"),"L'uomo quindi usa la macchina attorno allo sporco e alle acque lungo l'area in seguito.")</f>
        <v>L'uomo quindi usa la macchina attorno allo sporco e alle acque lungo l'area in seguito.</v>
      </c>
    </row>
    <row r="28654">
      <c r="A28654" s="4" t="s">
        <v>36086</v>
      </c>
      <c r="B28654" s="4" t="s">
        <v>36089</v>
      </c>
      <c r="C28654" s="5" t="str">
        <f>IFERROR(__xludf.DUMMYFUNCTION("GOOGLETRANSLATE(B28654,""en"",""it"")"),"Un altro uomo viene visto versare acqua a terra e incollare la carta bianca.")</f>
        <v>Un altro uomo viene visto versare acqua a terra e incollare la carta bianca.</v>
      </c>
    </row>
    <row r="28655">
      <c r="A28655" s="4" t="s">
        <v>36090</v>
      </c>
      <c r="B28655" s="4" t="s">
        <v>36091</v>
      </c>
      <c r="C28655" s="5" t="str">
        <f>IFERROR(__xludf.DUMMYFUNCTION("GOOGLETRANSLATE(B28655,""en"",""it"")"),"Un uomo è nelle acque torbide, usando una pagaia.")</f>
        <v>Un uomo è nelle acque torbide, usando una pagaia.</v>
      </c>
    </row>
    <row r="28656">
      <c r="A28656" s="4" t="s">
        <v>36090</v>
      </c>
      <c r="B28656" s="4" t="s">
        <v>36092</v>
      </c>
      <c r="C28656" s="5" t="str">
        <f>IFERROR(__xludf.DUMMYFUNCTION("GOOGLETRANSLATE(B28656,""en"",""it"")"),"Sta kayak verso la telecamera e oltre gli altri kayakers.")</f>
        <v>Sta kayak verso la telecamera e oltre gli altri kayakers.</v>
      </c>
    </row>
    <row r="28657">
      <c r="A28657" s="4" t="s">
        <v>36090</v>
      </c>
      <c r="B28657" s="4" t="s">
        <v>36093</v>
      </c>
      <c r="C28657" s="5" t="str">
        <f>IFERROR(__xludf.DUMMYFUNCTION("GOOGLETRANSLATE(B28657,""en"",""it"")"),"Passa l'acqua più velocemente, cercando di tenere il passo con la corrente.")</f>
        <v>Passa l'acqua più velocemente, cercando di tenere il passo con la corrente.</v>
      </c>
    </row>
    <row r="28658">
      <c r="A28658" s="4" t="s">
        <v>36094</v>
      </c>
      <c r="B28658" s="6" t="s">
        <v>36095</v>
      </c>
      <c r="C28658" s="5" t="str">
        <f>IFERROR(__xludf.DUMMYFUNCTION("GOOGLETRANSLATE(B28658,""en"",""it"")"),"Un uomo viene visto saltare su e giù su un paio di palafitte mentre alcuni altri si muovono su palafitte con aiuto.")</f>
        <v>Un uomo viene visto saltare su e giù su un paio di palafitte mentre alcuni altri si muovono su palafitte con aiuto.</v>
      </c>
    </row>
    <row r="28659">
      <c r="A28659" s="4" t="s">
        <v>36094</v>
      </c>
      <c r="B28659" s="6" t="s">
        <v>36096</v>
      </c>
      <c r="C28659" s="5" t="str">
        <f>IFERROR(__xludf.DUMMYFUNCTION("GOOGLETRANSLATE(B28659,""en"",""it"")"),"Vengono mostrati più colpi di persone che saltano in giro sui palafitte e altri hanno ancora bisogno di aiuto dagli altri.")</f>
        <v>Vengono mostrati più colpi di persone che saltano in giro sui palafitte e altri hanno ancora bisogno di aiuto dagli altri.</v>
      </c>
    </row>
    <row r="28660">
      <c r="A28660" s="4" t="s">
        <v>36097</v>
      </c>
      <c r="B28660" s="6" t="s">
        <v>36098</v>
      </c>
      <c r="C28660" s="5" t="str">
        <f>IFERROR(__xludf.DUMMYFUNCTION("GOOGLETRANSLATE(B28660,""en"",""it"")"),"La telecamera si muove intorno a una piscina e al pubblico e conduce in un gruppo di nuotatori in piedi pronti sul lato.")</f>
        <v>La telecamera si muove intorno a una piscina e al pubblico e conduce in un gruppo di nuotatori in piedi pronti sul lato.</v>
      </c>
    </row>
    <row r="28661">
      <c r="A28661" s="4" t="s">
        <v>36097</v>
      </c>
      <c r="B28661" s="6" t="s">
        <v>36099</v>
      </c>
      <c r="C28661" s="5" t="str">
        <f>IFERROR(__xludf.DUMMYFUNCTION("GOOGLETRANSLATE(B28661,""en"",""it"")"),"Successivamente si vedono diversi uomini che eseguono immersioni impressionanti in una piscina che includono lanci e trucchi e i subacquei che ricevono medaglie alla fine.")</f>
        <v>Successivamente si vedono diversi uomini che eseguono immersioni impressionanti in una piscina che includono lanci e trucchi e i subacquei che ricevono medaglie alla fine.</v>
      </c>
    </row>
    <row r="28662">
      <c r="A28662" s="4" t="s">
        <v>36100</v>
      </c>
      <c r="B28662" s="4" t="s">
        <v>36101</v>
      </c>
      <c r="C28662" s="5" t="str">
        <f>IFERROR(__xludf.DUMMYFUNCTION("GOOGLETRANSLATE(B28662,""en"",""it"")"),"Le persone si trovano in un'arena di rodeo mentre un uomo su un cavallo prepara una corda con un ciclo.")</f>
        <v>Le persone si trovano in un'arena di rodeo mentre un uomo su un cavallo prepara una corda con un ciclo.</v>
      </c>
    </row>
    <row r="28663">
      <c r="A28663" s="4" t="s">
        <v>36100</v>
      </c>
      <c r="B28663" s="4" t="s">
        <v>36102</v>
      </c>
      <c r="C28663" s="5" t="str">
        <f>IFERROR(__xludf.DUMMYFUNCTION("GOOGLETRANSLATE(B28663,""en"",""it"")"),"Quindi, l'uomo gira il ciclo e lancia per catturare un vitello, quindi correre e legare il polpaccio.")</f>
        <v>Quindi, l'uomo gira il ciclo e lancia per catturare un vitello, quindi correre e legare il polpaccio.</v>
      </c>
    </row>
    <row r="28664">
      <c r="A28664" s="4" t="s">
        <v>36100</v>
      </c>
      <c r="B28664" s="4" t="s">
        <v>36103</v>
      </c>
      <c r="C28664" s="5" t="str">
        <f>IFERROR(__xludf.DUMMYFUNCTION("GOOGLETRANSLATE(B28664,""en"",""it"")"),"Un giovane entra nell'arena e sciolta il vitello.")</f>
        <v>Un giovane entra nell'arena e sciolta il vitello.</v>
      </c>
    </row>
    <row r="28665">
      <c r="A28665" s="4" t="s">
        <v>36104</v>
      </c>
      <c r="B28665" s="4" t="s">
        <v>36105</v>
      </c>
      <c r="C28665" s="5" t="str">
        <f>IFERROR(__xludf.DUMMYFUNCTION("GOOGLETRANSLATE(B28665,""en"",""it"")"),"Vengono mostrati vari colpi da una barca che cavalca lungo le condizioni dell'acqua ruvida da diversi angoli.")</f>
        <v>Vengono mostrati vari colpi da una barca che cavalca lungo le condizioni dell'acqua ruvida da diversi angoli.</v>
      </c>
    </row>
    <row r="28666">
      <c r="A28666" s="4" t="s">
        <v>36104</v>
      </c>
      <c r="B28666" s="6" t="s">
        <v>36106</v>
      </c>
      <c r="C28666" s="5" t="str">
        <f>IFERROR(__xludf.DUMMYFUNCTION("GOOGLETRANSLATE(B28666,""en"",""it"")"),"La fotocamera mostra una tavola e riporta in acqua, passando a persone viste sedute all'interno della barca.")</f>
        <v>La fotocamera mostra una tavola e riporta in acqua, passando a persone viste sedute all'interno della barca.</v>
      </c>
    </row>
    <row r="28667">
      <c r="A28667" s="4" t="s">
        <v>36104</v>
      </c>
      <c r="B28667" s="4" t="s">
        <v>36107</v>
      </c>
      <c r="C28667" s="5" t="str">
        <f>IFERROR(__xludf.DUMMYFUNCTION("GOOGLETRANSLATE(B28667,""en"",""it"")"),"La telecamera cammina di più e cattura viste sull'interno e sull'acqua.")</f>
        <v>La telecamera cammina di più e cattura viste sull'interno e sull'acqua.</v>
      </c>
    </row>
    <row r="28668">
      <c r="A28668" s="4" t="s">
        <v>36108</v>
      </c>
      <c r="B28668" s="4" t="s">
        <v>36109</v>
      </c>
      <c r="C28668" s="5" t="str">
        <f>IFERROR(__xludf.DUMMYFUNCTION("GOOGLETRANSLATE(B28668,""en"",""it"")"),"Un uomo calvo all'interno di una casa tiene una macchina fotografica e filma una donna su palafitte.")</f>
        <v>Un uomo calvo all'interno di una casa tiene una macchina fotografica e filma una donna su palafitte.</v>
      </c>
    </row>
    <row r="28669">
      <c r="A28669" s="4" t="s">
        <v>36108</v>
      </c>
      <c r="B28669" s="4" t="s">
        <v>36110</v>
      </c>
      <c r="C28669" s="5" t="str">
        <f>IFERROR(__xludf.DUMMYFUNCTION("GOOGLETRANSLATE(B28669,""en"",""it"")"),"La telecamera si panoramica alla donna, che cammina per il soggiorno nelle passioni.")</f>
        <v>La telecamera si panoramica alla donna, che cammina per il soggiorno nelle passioni.</v>
      </c>
    </row>
    <row r="28670">
      <c r="A28670" s="4" t="s">
        <v>36108</v>
      </c>
      <c r="B28670" s="4" t="s">
        <v>36111</v>
      </c>
      <c r="C28670" s="5" t="str">
        <f>IFERROR(__xludf.DUMMYFUNCTION("GOOGLETRANSLATE(B28670,""en"",""it"")"),"L'uomo chiede alla donna di comportarsi come un personaggio cinematografico e lei è d'accordo.")</f>
        <v>L'uomo chiede alla donna di comportarsi come un personaggio cinematografico e lei è d'accordo.</v>
      </c>
    </row>
    <row r="28671">
      <c r="A28671" s="4" t="s">
        <v>36108</v>
      </c>
      <c r="B28671" s="4" t="s">
        <v>36112</v>
      </c>
      <c r="C28671" s="5" t="str">
        <f>IFERROR(__xludf.DUMMYFUNCTION("GOOGLETRANSLATE(B28671,""en"",""it"")"),"La donna quindi afferra la telecamera e la vista è oscurata dalla sua mano.")</f>
        <v>La donna quindi afferra la telecamera e la vista è oscurata dalla sua mano.</v>
      </c>
    </row>
    <row r="28672">
      <c r="A28672" s="4" t="s">
        <v>36113</v>
      </c>
      <c r="B28672" s="4" t="s">
        <v>36114</v>
      </c>
      <c r="C28672" s="5" t="str">
        <f>IFERROR(__xludf.DUMMYFUNCTION("GOOGLETRANSLATE(B28672,""en"",""it"")"),"Una donna è in piedi fuori, parlando con la telecamera.")</f>
        <v>Una donna è in piedi fuori, parlando con la telecamera.</v>
      </c>
    </row>
    <row r="28673">
      <c r="A28673" s="4" t="s">
        <v>36113</v>
      </c>
      <c r="B28673" s="4" t="s">
        <v>36115</v>
      </c>
      <c r="C28673" s="5" t="str">
        <f>IFERROR(__xludf.DUMMYFUNCTION("GOOGLETRANSLATE(B28673,""en"",""it"")"),"Parla ampiamente nella sua posizione di New York City.")</f>
        <v>Parla ampiamente nella sua posizione di New York City.</v>
      </c>
    </row>
    <row r="28674">
      <c r="A28674" s="4" t="s">
        <v>36113</v>
      </c>
      <c r="B28674" s="4" t="s">
        <v>36116</v>
      </c>
      <c r="C28674" s="5" t="str">
        <f>IFERROR(__xludf.DUMMYFUNCTION("GOOGLETRANSLATE(B28674,""en"",""it"")"),"Alla fine, viene visualizzata una schermata con le informazioni di contatto.")</f>
        <v>Alla fine, viene visualizzata una schermata con le informazioni di contatto.</v>
      </c>
    </row>
    <row r="28675">
      <c r="A28675" s="4" t="s">
        <v>36117</v>
      </c>
      <c r="B28675" s="4" t="s">
        <v>36118</v>
      </c>
      <c r="C28675" s="5" t="str">
        <f>IFERROR(__xludf.DUMMYFUNCTION("GOOGLETRANSLATE(B28675,""en"",""it"")"),"Prima l'uomo cammina sul palco all'inizio e scuote la testa approssimativamente.")</f>
        <v>Prima l'uomo cammina sul palco all'inizio e scuote la testa approssimativamente.</v>
      </c>
    </row>
    <row r="28676">
      <c r="A28676" s="4" t="s">
        <v>36117</v>
      </c>
      <c r="B28676" s="4" t="s">
        <v>36119</v>
      </c>
      <c r="C28676" s="5" t="str">
        <f>IFERROR(__xludf.DUMMYFUNCTION("GOOGLETRANSLATE(B28676,""en"",""it"")"),"Quindi lotta a un uomo calvo in una partita di wrestling.")</f>
        <v>Quindi lotta a un uomo calvo in una partita di wrestling.</v>
      </c>
    </row>
    <row r="28677">
      <c r="A28677" s="4" t="s">
        <v>36117</v>
      </c>
      <c r="B28677" s="6" t="s">
        <v>36120</v>
      </c>
      <c r="C28677" s="5" t="str">
        <f>IFERROR(__xludf.DUMMYFUNCTION("GOOGLETRANSLATE(B28677,""en"",""it"")"),"Successivamente lotta a un uomo che ha lunghi capelli biondi corti e lotta un uomo che ha un taglio di capelli basso e vince.")</f>
        <v>Successivamente lotta a un uomo che ha lunghi capelli biondi corti e lotta un uomo che ha un taglio di capelli basso e vince.</v>
      </c>
    </row>
    <row r="28678">
      <c r="A28678" s="4" t="s">
        <v>36117</v>
      </c>
      <c r="B28678" s="4" t="s">
        <v>36121</v>
      </c>
      <c r="C28678" s="5" t="str">
        <f>IFERROR(__xludf.DUMMYFUNCTION("GOOGLETRANSLATE(B28678,""en"",""it"")"),"La folla inizia a applaudire e ruggire a causa di quante volte aveva vinto.")</f>
        <v>La folla inizia a applaudire e ruggire a causa di quante volte aveva vinto.</v>
      </c>
    </row>
    <row r="28679">
      <c r="A28679" s="4" t="s">
        <v>36122</v>
      </c>
      <c r="B28679" s="4" t="s">
        <v>36123</v>
      </c>
      <c r="C28679" s="5" t="str">
        <f>IFERROR(__xludf.DUMMYFUNCTION("GOOGLETRANSLATE(B28679,""en"",""it"")"),"Un giovane si siede su un letto.")</f>
        <v>Un giovane si siede su un letto.</v>
      </c>
    </row>
    <row r="28680">
      <c r="A28680" s="4" t="s">
        <v>36122</v>
      </c>
      <c r="B28680" s="4" t="s">
        <v>36124</v>
      </c>
      <c r="C28680" s="5" t="str">
        <f>IFERROR(__xludf.DUMMYFUNCTION("GOOGLETRANSLATE(B28680,""en"",""it"")"),"L'uomo inizia a suonare una chitarra acustica.")</f>
        <v>L'uomo inizia a suonare una chitarra acustica.</v>
      </c>
    </row>
    <row r="28681">
      <c r="A28681" s="4" t="s">
        <v>36122</v>
      </c>
      <c r="B28681" s="4" t="s">
        <v>36125</v>
      </c>
      <c r="C28681" s="5" t="str">
        <f>IFERROR(__xludf.DUMMYFUNCTION("GOOGLETRANSLATE(B28681,""en"",""it"")"),"L'uomo inizia a cantare mentre suona.")</f>
        <v>L'uomo inizia a cantare mentre suona.</v>
      </c>
    </row>
    <row r="28682">
      <c r="A28682" s="4" t="s">
        <v>36122</v>
      </c>
      <c r="B28682" s="4" t="s">
        <v>36126</v>
      </c>
      <c r="C28682" s="5" t="str">
        <f>IFERROR(__xludf.DUMMYFUNCTION("GOOGLETRANSLATE(B28682,""en"",""it"")"),"L'uomo fa una pausa e i rotoli sono gli occhi.")</f>
        <v>L'uomo fa una pausa e i rotoli sono gli occhi.</v>
      </c>
    </row>
    <row r="28683">
      <c r="A28683" s="4" t="s">
        <v>36122</v>
      </c>
      <c r="B28683" s="4" t="s">
        <v>36127</v>
      </c>
      <c r="C28683" s="5" t="str">
        <f>IFERROR(__xludf.DUMMYFUNCTION("GOOGLETRANSLATE(B28683,""en"",""it"")"),"L'uomo finisce e alza lo sguardo, poi a terra.")</f>
        <v>L'uomo finisce e alza lo sguardo, poi a terra.</v>
      </c>
    </row>
    <row r="28684">
      <c r="A28684" s="4" t="s">
        <v>36128</v>
      </c>
      <c r="B28684" s="4" t="s">
        <v>36129</v>
      </c>
      <c r="C28684" s="5" t="str">
        <f>IFERROR(__xludf.DUMMYFUNCTION("GOOGLETRANSLATE(B28684,""en"",""it"")"),"Un uomo è visto seduto dietro un tamburo che inizia a suonare mentre altri lo guardano sul lato.")</f>
        <v>Un uomo è visto seduto dietro un tamburo che inizia a suonare mentre altri lo guardano sul lato.</v>
      </c>
    </row>
    <row r="28685">
      <c r="A28685" s="4" t="s">
        <v>36128</v>
      </c>
      <c r="B28685" s="6" t="s">
        <v>36130</v>
      </c>
      <c r="C28685" s="5" t="str">
        <f>IFERROR(__xludf.DUMMYFUNCTION("GOOGLETRANSLATE(B28685,""en"",""it"")"),"L'uomo continua a suonare il tamburo set sempre più velocemente e termina fermandosi a parlare con la fotocamera.")</f>
        <v>L'uomo continua a suonare il tamburo set sempre più velocemente e termina fermandosi a parlare con la fotocamera.</v>
      </c>
    </row>
    <row r="28686">
      <c r="A28686" s="4" t="s">
        <v>36131</v>
      </c>
      <c r="B28686" s="4" t="s">
        <v>36132</v>
      </c>
      <c r="C28686" s="5" t="str">
        <f>IFERROR(__xludf.DUMMYFUNCTION("GOOGLETRANSLATE(B28686,""en"",""it"")"),"La donna sta adattando il Matt, mentre l'uomo sta sollevando il palo.")</f>
        <v>La donna sta adattando il Matt, mentre l'uomo sta sollevando il palo.</v>
      </c>
    </row>
    <row r="28687">
      <c r="A28687" s="4" t="s">
        <v>36131</v>
      </c>
      <c r="B28687" s="4" t="s">
        <v>36133</v>
      </c>
      <c r="C28687" s="5" t="str">
        <f>IFERROR(__xludf.DUMMYFUNCTION("GOOGLETRANSLATE(B28687,""en"",""it"")"),"La donna corre con un palo, poi saltò sopra la corda gialla.")</f>
        <v>La donna corre con un palo, poi saltò sopra la corda gialla.</v>
      </c>
    </row>
    <row r="28688">
      <c r="A28688" s="4" t="s">
        <v>36131</v>
      </c>
      <c r="B28688" s="6" t="s">
        <v>36134</v>
      </c>
      <c r="C28688" s="5" t="str">
        <f>IFERROR(__xludf.DUMMYFUNCTION("GOOGLETRANSLATE(B28688,""en"",""it"")"),"La donna saltò oltre la corda mentre il suo allenatore si trova dalla parte del tratto guardandola e aiutandola mentre saltava sopra il palo.")</f>
        <v>La donna saltò oltre la corda mentre il suo allenatore si trova dalla parte del tratto guardandola e aiutandola mentre saltava sopra il palo.</v>
      </c>
    </row>
    <row r="28689">
      <c r="A28689" s="4" t="s">
        <v>36135</v>
      </c>
      <c r="B28689" s="4" t="s">
        <v>36136</v>
      </c>
      <c r="C28689" s="5" t="str">
        <f>IFERROR(__xludf.DUMMYFUNCTION("GOOGLETRANSLATE(B28689,""en"",""it"")"),"Un barbiere viene mostrato usando Clippers sulla testa del suo cliente in un parrucchiere.")</f>
        <v>Un barbiere viene mostrato usando Clippers sulla testa del suo cliente in un parrucchiere.</v>
      </c>
    </row>
    <row r="28690">
      <c r="A28690" s="4" t="s">
        <v>36135</v>
      </c>
      <c r="B28690" s="4" t="s">
        <v>36137</v>
      </c>
      <c r="C28690" s="5" t="str">
        <f>IFERROR(__xludf.DUMMYFUNCTION("GOOGLETRANSLATE(B28690,""en"",""it"")"),"Sta razzando la testa di un uomo con crema da barba e un rasoio.")</f>
        <v>Sta razzando la testa di un uomo con crema da barba e un rasoio.</v>
      </c>
    </row>
    <row r="28691">
      <c r="A28691" s="4" t="s">
        <v>36135</v>
      </c>
      <c r="B28691" s="4" t="s">
        <v>36138</v>
      </c>
      <c r="C28691" s="5" t="str">
        <f>IFERROR(__xludf.DUMMYFUNCTION("GOOGLETRANSLATE(B28691,""en"",""it"")"),"Sta anche accumulando i capelli di un ragazzo con gel e un pettine.")</f>
        <v>Sta anche accumulando i capelli di un ragazzo con gel e un pettine.</v>
      </c>
    </row>
    <row r="28692">
      <c r="A28692" s="4" t="s">
        <v>36135</v>
      </c>
      <c r="B28692" s="4" t="s">
        <v>36139</v>
      </c>
      <c r="C28692" s="5" t="str">
        <f>IFERROR(__xludf.DUMMYFUNCTION("GOOGLETRANSLATE(B28692,""en"",""it"")"),"Sta rasando la barba di un uomo con gel da barba e rasoio.")</f>
        <v>Sta rasando la barba di un uomo con gel da barba e rasoio.</v>
      </c>
    </row>
    <row r="28693">
      <c r="A28693" s="4" t="s">
        <v>36135</v>
      </c>
      <c r="B28693" s="4" t="s">
        <v>36140</v>
      </c>
      <c r="C28693" s="5" t="str">
        <f>IFERROR(__xludf.DUMMYFUNCTION("GOOGLETRANSLATE(B28693,""en"",""it"")"),"Sta anche tagliando i capelli di un uomo con le forbici per dargli un mohawk.")</f>
        <v>Sta anche tagliando i capelli di un uomo con le forbici per dargli un mohawk.</v>
      </c>
    </row>
    <row r="28694">
      <c r="A28694" s="4" t="s">
        <v>36135</v>
      </c>
      <c r="B28694" s="4" t="s">
        <v>36141</v>
      </c>
      <c r="C28694" s="5" t="str">
        <f>IFERROR(__xludf.DUMMYFUNCTION("GOOGLETRANSLATE(B28694,""en"",""it"")"),"Sta usando Clippers su un giovane.")</f>
        <v>Sta usando Clippers su un giovane.</v>
      </c>
    </row>
    <row r="28695">
      <c r="A28695" s="4" t="s">
        <v>36135</v>
      </c>
      <c r="B28695" s="4" t="s">
        <v>36142</v>
      </c>
      <c r="C28695" s="5" t="str">
        <f>IFERROR(__xludf.DUMMYFUNCTION("GOOGLETRANSLATE(B28695,""en"",""it"")"),"Il sito Web è pubblicizzato sullo schermo con immagini del sito Web.")</f>
        <v>Il sito Web è pubblicizzato sullo schermo con immagini del sito Web.</v>
      </c>
    </row>
    <row r="28696">
      <c r="A28696" s="4" t="s">
        <v>36143</v>
      </c>
      <c r="B28696" s="4" t="s">
        <v>36144</v>
      </c>
      <c r="C28696" s="5" t="str">
        <f>IFERROR(__xludf.DUMMYFUNCTION("GOOGLETRANSLATE(B28696,""en"",""it"")"),"Un uomo è fuori in un campo d'erba che spinge un tosaerba avanti e indietro.")</f>
        <v>Un uomo è fuori in un campo d'erba che spinge un tosaerba avanti e indietro.</v>
      </c>
    </row>
    <row r="28697">
      <c r="A28697" s="4" t="s">
        <v>36143</v>
      </c>
      <c r="B28697" s="6" t="s">
        <v>36145</v>
      </c>
      <c r="C28697" s="5" t="str">
        <f>IFERROR(__xludf.DUMMYFUNCTION("GOOGLETRANSLATE(B28697,""en"",""it"")"),"Una volta che arriva dall'altra parte della striscia, la persona con la telecamera si avvicina a lui e inizia a parlare con loro.")</f>
        <v>Una volta che arriva dall'altra parte della striscia, la persona con la telecamera si avvicina a lui e inizia a parlare con loro.</v>
      </c>
    </row>
    <row r="28698">
      <c r="A28698" s="4" t="s">
        <v>36143</v>
      </c>
      <c r="B28698" s="4" t="s">
        <v>36146</v>
      </c>
      <c r="C28698" s="5" t="str">
        <f>IFERROR(__xludf.DUMMYFUNCTION("GOOGLETRANSLATE(B28698,""en"",""it"")"),"Dopo, il ragazzo con il tosaerba inizia a ridere e continua a tagliare il cortile.")</f>
        <v>Dopo, il ragazzo con il tosaerba inizia a ridere e continua a tagliare il cortile.</v>
      </c>
    </row>
    <row r="28699">
      <c r="A28699" s="4" t="s">
        <v>36147</v>
      </c>
      <c r="B28699" s="4" t="s">
        <v>36148</v>
      </c>
      <c r="C28699" s="5" t="str">
        <f>IFERROR(__xludf.DUMMYFUNCTION("GOOGLETRANSLATE(B28699,""en"",""it"")"),"Si vede un grafico di un ragazzo che calcia un pallone da calcio con 3 difensori.")</f>
        <v>Si vede un grafico di un ragazzo che calcia un pallone da calcio con 3 difensori.</v>
      </c>
    </row>
    <row r="28700">
      <c r="A28700" s="4" t="s">
        <v>36147</v>
      </c>
      <c r="B28700" s="4" t="s">
        <v>36149</v>
      </c>
      <c r="C28700" s="5" t="str">
        <f>IFERROR(__xludf.DUMMYFUNCTION("GOOGLETRANSLATE(B28700,""en"",""it"")"),"La palla è deviata dai difensori nel grafico.")</f>
        <v>La palla è deviata dai difensori nel grafico.</v>
      </c>
    </row>
    <row r="28701">
      <c r="A28701" s="4" t="s">
        <v>36147</v>
      </c>
      <c r="B28701" s="6" t="s">
        <v>36150</v>
      </c>
      <c r="C28701" s="5" t="str">
        <f>IFERROR(__xludf.DUMMYFUNCTION("GOOGLETRANSLATE(B28701,""en"",""it"")"),"Un calciatore calcia una palla bloccata da una serie di difensori e un portiere e un campo interno.")</f>
        <v>Un calciatore calcia una palla bloccata da una serie di difensori e un portiere e un campo interno.</v>
      </c>
    </row>
    <row r="28702">
      <c r="A28702" s="4" t="s">
        <v>36151</v>
      </c>
      <c r="B28702" s="4" t="s">
        <v>36152</v>
      </c>
      <c r="C28702" s="5" t="str">
        <f>IFERROR(__xludf.DUMMYFUNCTION("GOOGLETRANSLATE(B28702,""en"",""it"")"),"È visto un piccolo parco giochi seguito da un uomo e dal suo cane che cammina nella cornice.")</f>
        <v>È visto un piccolo parco giochi seguito da un uomo e dal suo cane che cammina nella cornice.</v>
      </c>
    </row>
    <row r="28703">
      <c r="A28703" s="4" t="s">
        <v>36151</v>
      </c>
      <c r="B28703" s="4" t="s">
        <v>36153</v>
      </c>
      <c r="C28703" s="5" t="str">
        <f>IFERROR(__xludf.DUMMYFUNCTION("GOOGLETRANSLATE(B28703,""en"",""it"")"),"L'uomo lo spinge il cane e il cane cavalca la diapositiva.")</f>
        <v>L'uomo lo spinge il cane e il cane cavalca la diapositiva.</v>
      </c>
    </row>
    <row r="28704">
      <c r="A28704" s="4" t="s">
        <v>36151</v>
      </c>
      <c r="B28704" s="4" t="s">
        <v>36154</v>
      </c>
      <c r="C28704" s="5" t="str">
        <f>IFERROR(__xludf.DUMMYFUNCTION("GOOGLETRANSLATE(B28704,""en"",""it"")"),"L'uomo lo fa di nuovo con il cane in un altro parco giochi.")</f>
        <v>L'uomo lo fa di nuovo con il cane in un altro parco giochi.</v>
      </c>
    </row>
    <row r="28705">
      <c r="A28705" s="4" t="s">
        <v>36155</v>
      </c>
      <c r="B28705" s="4" t="s">
        <v>36156</v>
      </c>
      <c r="C28705" s="5" t="str">
        <f>IFERROR(__xludf.DUMMYFUNCTION("GOOGLETRANSLATE(B28705,""en"",""it"")"),"Un uomo è in una barca in acqua.")</f>
        <v>Un uomo è in una barca in acqua.</v>
      </c>
    </row>
    <row r="28706">
      <c r="A28706" s="4" t="s">
        <v>36155</v>
      </c>
      <c r="B28706" s="4" t="s">
        <v>36157</v>
      </c>
      <c r="C28706" s="5" t="str">
        <f>IFERROR(__xludf.DUMMYFUNCTION("GOOGLETRANSLATE(B28706,""en"",""it"")"),"Una pagnotta di pane viene gettata sui pesci e loro stanno combattendo per mangiarlo.")</f>
        <v>Una pagnotta di pane viene gettata sui pesci e loro stanno combattendo per mangiarlo.</v>
      </c>
    </row>
    <row r="28707">
      <c r="A28707" s="4" t="s">
        <v>36155</v>
      </c>
      <c r="B28707" s="4" t="s">
        <v>36158</v>
      </c>
      <c r="C28707" s="5" t="str">
        <f>IFERROR(__xludf.DUMMYFUNCTION("GOOGLETRANSLATE(B28707,""en"",""it"")"),"L'uomo si sta immergendo nel mare profondo attraverso i banchi e i coralli.")</f>
        <v>L'uomo si sta immergendo nel mare profondo attraverso i banchi e i coralli.</v>
      </c>
    </row>
    <row r="28708">
      <c r="A28708" s="4" t="s">
        <v>36159</v>
      </c>
      <c r="B28708" s="4" t="s">
        <v>36160</v>
      </c>
      <c r="C28708" s="5" t="str">
        <f>IFERROR(__xludf.DUMMYFUNCTION("GOOGLETRANSLATE(B28708,""en"",""it"")"),"Quattro uomini stanno giocando a Dodge Ball in un campo indoor.")</f>
        <v>Quattro uomini stanno giocando a Dodge Ball in un campo indoor.</v>
      </c>
    </row>
    <row r="28709">
      <c r="A28709" s="4" t="s">
        <v>36159</v>
      </c>
      <c r="B28709" s="4" t="s">
        <v>36161</v>
      </c>
      <c r="C28709" s="5" t="str">
        <f>IFERROR(__xludf.DUMMYFUNCTION("GOOGLETRANSLATE(B28709,""en"",""it"")"),"Iniziano a correre verso le palle rosse dopo che l'allenatore ha soffiato il fischio.")</f>
        <v>Iniziano a correre verso le palle rosse dopo che l'allenatore ha soffiato il fischio.</v>
      </c>
    </row>
    <row r="28710">
      <c r="A28710" s="4" t="s">
        <v>36159</v>
      </c>
      <c r="B28710" s="4" t="s">
        <v>36162</v>
      </c>
      <c r="C28710" s="5" t="str">
        <f>IFERROR(__xludf.DUMMYFUNCTION("GOOGLETRANSLATE(B28710,""en"",""it"")"),"Uno dei giocatori colpisce la palla sul suo avversario.")</f>
        <v>Uno dei giocatori colpisce la palla sul suo avversario.</v>
      </c>
    </row>
    <row r="28711">
      <c r="A28711" s="4" t="s">
        <v>36159</v>
      </c>
      <c r="B28711" s="4" t="s">
        <v>36163</v>
      </c>
      <c r="C28711" s="5" t="str">
        <f>IFERROR(__xludf.DUMMYFUNCTION("GOOGLETRANSLATE(B28711,""en"",""it"")"),"L'avversario risale all'altro giocatore, ma riesce a schivare la palla.")</f>
        <v>L'avversario risale all'altro giocatore, ma riesce a schivare la palla.</v>
      </c>
    </row>
    <row r="28712">
      <c r="A28712" s="4" t="s">
        <v>36159</v>
      </c>
      <c r="B28712" s="4" t="s">
        <v>36164</v>
      </c>
      <c r="C28712" s="5" t="str">
        <f>IFERROR(__xludf.DUMMYFUNCTION("GOOGLETRANSLATE(B28712,""en"",""it"")"),"Successivamente, il giocatore colpisce un'altra palla direttamente sul suo avversario in piedi di fronte a lui.")</f>
        <v>Successivamente, il giocatore colpisce un'altra palla direttamente sul suo avversario in piedi di fronte a lui.</v>
      </c>
    </row>
    <row r="28713">
      <c r="A28713" s="4" t="s">
        <v>36159</v>
      </c>
      <c r="B28713" s="4" t="s">
        <v>36165</v>
      </c>
      <c r="C28713" s="5" t="str">
        <f>IFERROR(__xludf.DUMMYFUNCTION("GOOGLETRANSLATE(B28713,""en"",""it"")"),"Il giocatore colpisce la palla duramente sulla gamba del suo avversario.")</f>
        <v>Il giocatore colpisce la palla duramente sulla gamba del suo avversario.</v>
      </c>
    </row>
    <row r="28714">
      <c r="A28714" s="4" t="s">
        <v>36159</v>
      </c>
      <c r="B28714" s="4" t="s">
        <v>36166</v>
      </c>
      <c r="C28714" s="5" t="str">
        <f>IFERROR(__xludf.DUMMYFUNCTION("GOOGLETRANSLATE(B28714,""en"",""it"")"),"Continuano a giocare a diversi round di Dodge Ball.")</f>
        <v>Continuano a giocare a diversi round di Dodge Ball.</v>
      </c>
    </row>
    <row r="28715">
      <c r="A28715" s="4" t="s">
        <v>36159</v>
      </c>
      <c r="B28715" s="4" t="s">
        <v>36167</v>
      </c>
      <c r="C28715" s="5" t="str">
        <f>IFERROR(__xludf.DUMMYFUNCTION("GOOGLETRANSLATE(B28715,""en"",""it"")"),"Il giocatore mira direttamente a uno dei suoi avversari e lo colpisce sulla gamba.")</f>
        <v>Il giocatore mira direttamente a uno dei suoi avversari e lo colpisce sulla gamba.</v>
      </c>
    </row>
    <row r="28716">
      <c r="A28716" s="4" t="s">
        <v>36159</v>
      </c>
      <c r="B28716" s="4" t="s">
        <v>36168</v>
      </c>
      <c r="C28716" s="5" t="str">
        <f>IFERROR(__xludf.DUMMYFUNCTION("GOOGLETRANSLATE(B28716,""en"",""it"")"),"Il gioco termina dopo che l'allenatore soffia il fischio.")</f>
        <v>Il gioco termina dopo che l'allenatore soffia il fischio.</v>
      </c>
    </row>
    <row r="28717">
      <c r="A28717" s="4" t="s">
        <v>36169</v>
      </c>
      <c r="B28717" s="4" t="s">
        <v>36170</v>
      </c>
      <c r="C28717" s="5" t="str">
        <f>IFERROR(__xludf.DUMMYFUNCTION("GOOGLETRANSLATE(B28717,""en"",""it"")"),"Le persone navigano in canoe in un remi di remi del fiume.")</f>
        <v>Le persone navigano in canoe in un remi di remi del fiume.</v>
      </c>
    </row>
    <row r="28718">
      <c r="A28718" s="4" t="s">
        <v>36169</v>
      </c>
      <c r="B28718" s="4" t="s">
        <v>36171</v>
      </c>
      <c r="C28718" s="5" t="str">
        <f>IFERROR(__xludf.DUMMYFUNCTION("GOOGLETRANSLATE(B28718,""en"",""it"")"),"Un giovane suona la chitarra in una barca, mentre un giovane fuma una sigaretta.")</f>
        <v>Un giovane suona la chitarra in una barca, mentre un giovane fuma una sigaretta.</v>
      </c>
    </row>
    <row r="28719">
      <c r="A28719" s="4" t="s">
        <v>36169</v>
      </c>
      <c r="B28719" s="4" t="s">
        <v>36172</v>
      </c>
      <c r="C28719" s="5" t="str">
        <f>IFERROR(__xludf.DUMMYFUNCTION("GOOGLETRANSLATE(B28719,""en"",""it"")"),"Due giovani donne navigano una barca dietro gli uomini.")</f>
        <v>Due giovani donne navigano una barca dietro gli uomini.</v>
      </c>
    </row>
    <row r="28720">
      <c r="A28720" s="4" t="s">
        <v>36173</v>
      </c>
      <c r="B28720" s="6" t="s">
        <v>36174</v>
      </c>
      <c r="C28720" s="5" t="str">
        <f>IFERROR(__xludf.DUMMYFUNCTION("GOOGLETRANSLATE(B28720,""en"",""it"")"),"Una donna è vista ospitare un segmento di notizie e conduce a colpi di persone che giocano a calcio e membri del pubblico che guardano.")</f>
        <v>Una donna è vista ospitare un segmento di notizie e conduce a colpi di persone che giocano a calcio e membri del pubblico che guardano.</v>
      </c>
    </row>
    <row r="28721">
      <c r="A28721" s="4" t="s">
        <v>36173</v>
      </c>
      <c r="B28721" s="6" t="s">
        <v>36175</v>
      </c>
      <c r="C28721" s="5" t="str">
        <f>IFERROR(__xludf.DUMMYFUNCTION("GOOGLETRANSLATE(B28721,""en"",""it"")"),"Vengono mostrati altri punti salienti del gioco, così come i compagni di squadra che celebrano e si abbracciano.")</f>
        <v>Vengono mostrati altri punti salienti del gioco, così come i compagni di squadra che celebrano e si abbracciano.</v>
      </c>
    </row>
    <row r="28722">
      <c r="A28722" s="4" t="s">
        <v>36176</v>
      </c>
      <c r="B28722" s="4" t="s">
        <v>36177</v>
      </c>
      <c r="C28722" s="5" t="str">
        <f>IFERROR(__xludf.DUMMYFUNCTION("GOOGLETRANSLATE(B28722,""en"",""it"")"),"Un'icona Fox News appare sullo schermo.")</f>
        <v>Un'icona Fox News appare sullo schermo.</v>
      </c>
    </row>
    <row r="28723">
      <c r="A28723" s="4" t="s">
        <v>36176</v>
      </c>
      <c r="B28723" s="4" t="s">
        <v>36178</v>
      </c>
      <c r="C28723" s="5" t="str">
        <f>IFERROR(__xludf.DUMMYFUNCTION("GOOGLETRANSLATE(B28723,""en"",""it"")"),"Un gruppo di persone è in un edificio, giocando a una partita chiamata Beer Pong.")</f>
        <v>Un gruppo di persone è in un edificio, giocando a una partita chiamata Beer Pong.</v>
      </c>
    </row>
    <row r="28724">
      <c r="A28724" s="4" t="s">
        <v>36176</v>
      </c>
      <c r="B28724" s="4" t="s">
        <v>36179</v>
      </c>
      <c r="C28724" s="5" t="str">
        <f>IFERROR(__xludf.DUMMYFUNCTION("GOOGLETRANSLATE(B28724,""en"",""it"")"),"I giornalisti si riuniscono nel loro studio per giocare a Beer Pong.")</f>
        <v>I giornalisti si riuniscono nel loro studio per giocare a Beer Pong.</v>
      </c>
    </row>
    <row r="28725">
      <c r="A28725" s="4" t="s">
        <v>36176</v>
      </c>
      <c r="B28725" s="4" t="s">
        <v>36180</v>
      </c>
      <c r="C28725" s="5" t="str">
        <f>IFERROR(__xludf.DUMMYFUNCTION("GOOGLETRANSLATE(B28725,""en"",""it"")"),"Un reporter maschio e femmina tenta di lanciare le palle alle tazze.")</f>
        <v>Un reporter maschio e femmina tenta di lanciare le palle alle tazze.</v>
      </c>
    </row>
    <row r="28726">
      <c r="A28726" s="4" t="s">
        <v>36176</v>
      </c>
      <c r="B28726" s="4" t="s">
        <v>36181</v>
      </c>
      <c r="C28726" s="5" t="str">
        <f>IFERROR(__xludf.DUMMYFUNCTION("GOOGLETRANSLATE(B28726,""en"",""it"")"),"La donna si allontana ridendo mentre gli altri giornalisti continuano a parlare.")</f>
        <v>La donna si allontana ridendo mentre gli altri giornalisti continuano a parlare.</v>
      </c>
    </row>
    <row r="28727">
      <c r="A28727" s="4" t="s">
        <v>36176</v>
      </c>
      <c r="B28727" s="4" t="s">
        <v>36182</v>
      </c>
      <c r="C28727" s="5" t="str">
        <f>IFERROR(__xludf.DUMMYFUNCTION("GOOGLETRANSLATE(B28727,""en"",""it"")"),"Riprendono a giocare prima che l'icona della Fox News appaia sullo schermo.")</f>
        <v>Riprendono a giocare prima che l'icona della Fox News appaia sullo schermo.</v>
      </c>
    </row>
    <row r="28728">
      <c r="A28728" s="4" t="s">
        <v>36183</v>
      </c>
      <c r="B28728" s="4" t="s">
        <v>36184</v>
      </c>
      <c r="C28728" s="5" t="str">
        <f>IFERROR(__xludf.DUMMYFUNCTION("GOOGLETRANSLATE(B28728,""en"",""it"")"),"Due persone si vedono camminare su palafitte nel mezzo di una strada e un marciapiede.")</f>
        <v>Due persone si vedono camminare su palafitte nel mezzo di una strada e un marciapiede.</v>
      </c>
    </row>
    <row r="28729">
      <c r="A28729" s="4" t="s">
        <v>36183</v>
      </c>
      <c r="B28729" s="4" t="s">
        <v>36185</v>
      </c>
      <c r="C28729" s="5" t="str">
        <f>IFERROR(__xludf.DUMMYFUNCTION("GOOGLETRANSLATE(B28729,""en"",""it"")"),"La passeggiata continua a camminare su e giù per le strade su palafitte che passano dalle persone e parlano.")</f>
        <v>La passeggiata continua a camminare su e giù per le strade su palafitte che passano dalle persone e parlano.</v>
      </c>
    </row>
    <row r="28730">
      <c r="A28730" s="4" t="s">
        <v>36186</v>
      </c>
      <c r="B28730" s="4" t="s">
        <v>36187</v>
      </c>
      <c r="C28730" s="5" t="str">
        <f>IFERROR(__xludf.DUMMYFUNCTION("GOOGLETRANSLATE(B28730,""en"",""it"")"),"La donna è in piedi in un campo giocando a cornamuse.")</f>
        <v>La donna è in piedi in un campo giocando a cornamuse.</v>
      </c>
    </row>
    <row r="28731">
      <c r="A28731" s="4" t="s">
        <v>36186</v>
      </c>
      <c r="B28731" s="4" t="s">
        <v>36188</v>
      </c>
      <c r="C28731" s="5" t="str">
        <f>IFERROR(__xludf.DUMMYFUNCTION("GOOGLETRANSLATE(B28731,""en"",""it"")"),"La donna è in piedi nel mezzo di un parcheggio che gioca con tubi di sacchetti.")</f>
        <v>La donna è in piedi nel mezzo di un parcheggio che gioca con tubi di sacchetti.</v>
      </c>
    </row>
    <row r="28732">
      <c r="A28732" s="4" t="s">
        <v>36186</v>
      </c>
      <c r="B28732" s="4" t="s">
        <v>36189</v>
      </c>
      <c r="C28732" s="5" t="str">
        <f>IFERROR(__xludf.DUMMYFUNCTION("GOOGLETRANSLATE(B28732,""en"",""it"")"),"Una casa blu è dietro la donna che gioca cornamusa.")</f>
        <v>Una casa blu è dietro la donna che gioca cornamusa.</v>
      </c>
    </row>
    <row r="28733">
      <c r="A28733" s="4" t="s">
        <v>36190</v>
      </c>
      <c r="B28733" s="4" t="s">
        <v>36191</v>
      </c>
      <c r="C28733" s="5" t="str">
        <f>IFERROR(__xludf.DUMMYFUNCTION("GOOGLETRANSLATE(B28733,""en"",""it"")"),"Uno skateboarder arriva e rotola in una macchia di terra vicino alla passeggiata laterale.")</f>
        <v>Uno skateboarder arriva e rotola in una macchia di terra vicino alla passeggiata laterale.</v>
      </c>
    </row>
    <row r="28734">
      <c r="A28734" s="4" t="s">
        <v>36190</v>
      </c>
      <c r="B28734" s="4" t="s">
        <v>36192</v>
      </c>
      <c r="C28734" s="5" t="str">
        <f>IFERROR(__xludf.DUMMYFUNCTION("GOOGLETRANSLATE(B28734,""en"",""it"")"),"Un uomo inizia quindi a cavalcare il suo skateboard dalla cima del tetto lungo una strada inclinata.")</f>
        <v>Un uomo inizia quindi a cavalcare il suo skateboard dalla cima del tetto lungo una strada inclinata.</v>
      </c>
    </row>
    <row r="28735">
      <c r="A28735" s="4" t="s">
        <v>36190</v>
      </c>
      <c r="B28735" s="6" t="s">
        <v>36193</v>
      </c>
      <c r="C28735" s="5" t="str">
        <f>IFERROR(__xludf.DUMMYFUNCTION("GOOGLETRANSLATE(B28735,""en"",""it"")"),"L'uomo inizia quindi a muoversi e skateboard in tutto il quartiere e interagendo con la gente.")</f>
        <v>L'uomo inizia quindi a muoversi e skateboard in tutto il quartiere e interagendo con la gente.</v>
      </c>
    </row>
    <row r="28736">
      <c r="A28736" s="4" t="s">
        <v>36190</v>
      </c>
      <c r="B28736" s="6" t="s">
        <v>36194</v>
      </c>
      <c r="C28736" s="5" t="str">
        <f>IFERROR(__xludf.DUMMYFUNCTION("GOOGLETRANSLATE(B28736,""en"",""it"")"),"All'improvviso, l'uomo cammina attraverso la metropolitana e scende dal suo skateboard fino a quando non arriva a destinazione.")</f>
        <v>All'improvviso, l'uomo cammina attraverso la metropolitana e scende dal suo skateboard fino a quando non arriva a destinazione.</v>
      </c>
    </row>
    <row r="28737">
      <c r="A28737" s="4" t="s">
        <v>36190</v>
      </c>
      <c r="B28737" s="4" t="s">
        <v>36195</v>
      </c>
      <c r="C28737" s="5" t="str">
        <f>IFERROR(__xludf.DUMMYFUNCTION("GOOGLETRANSLATE(B28737,""en"",""it"")"),"Quindi procede a pattinare attraverso la città, saltando sui poli e i crediti iniziano a rotolare.")</f>
        <v>Quindi procede a pattinare attraverso la città, saltando sui poli e i crediti iniziano a rotolare.</v>
      </c>
    </row>
    <row r="28738">
      <c r="A28738" s="4" t="s">
        <v>36196</v>
      </c>
      <c r="B28738" s="4" t="s">
        <v>36197</v>
      </c>
      <c r="C28738" s="5" t="str">
        <f>IFERROR(__xludf.DUMMYFUNCTION("GOOGLETRANSLATE(B28738,""en"",""it"")"),"L'uomo è in piedi davanti a una cucina che cucina e mostra gli ingredienti a un cuoco.")</f>
        <v>L'uomo è in piedi davanti a una cucina che cucina e mostra gli ingredienti a un cuoco.</v>
      </c>
    </row>
    <row r="28739">
      <c r="A28739" s="4" t="s">
        <v>36196</v>
      </c>
      <c r="B28739" s="4" t="s">
        <v>36198</v>
      </c>
      <c r="C28739" s="5" t="str">
        <f>IFERROR(__xludf.DUMMYFUNCTION("GOOGLETRANSLATE(B28739,""en"",""it"")"),"L'uomo ha messo gli ingredienti in una padella e cuocere il pollo con l'insalata e servirlo in un piatto.")</f>
        <v>L'uomo ha messo gli ingredienti in una padella e cuocere il pollo con l'insalata e servirlo in un piatto.</v>
      </c>
    </row>
    <row r="28740">
      <c r="A28740" s="4" t="s">
        <v>36199</v>
      </c>
      <c r="B28740" s="4" t="s">
        <v>36200</v>
      </c>
      <c r="C28740" s="5" t="str">
        <f>IFERROR(__xludf.DUMMYFUNCTION("GOOGLETRANSLATE(B28740,""en"",""it"")"),"Un'introduzione arriva sullo schermo per un video sull'affari dei casinò.")</f>
        <v>Un'introduzione arriva sullo schermo per un video sull'affari dei casinò.</v>
      </c>
    </row>
    <row r="28741">
      <c r="A28741" s="4" t="s">
        <v>36199</v>
      </c>
      <c r="B28741" s="4" t="s">
        <v>36201</v>
      </c>
      <c r="C28741" s="5" t="str">
        <f>IFERROR(__xludf.DUMMYFUNCTION("GOOGLETRANSLATE(B28741,""en"",""it"")"),"Un uomo spiega di essere in una scuola di traffico di casinò dove insegnano alle persone come trattare.")</f>
        <v>Un uomo spiega di essere in una scuola di traffico di casinò dove insegnano alle persone come trattare.</v>
      </c>
    </row>
    <row r="28742">
      <c r="A28742" s="4" t="s">
        <v>36199</v>
      </c>
      <c r="B28742" s="4" t="s">
        <v>36202</v>
      </c>
      <c r="C28742" s="5" t="str">
        <f>IFERROR(__xludf.DUMMYFUNCTION("GOOGLETRANSLATE(B28742,""en"",""it"")"),"Un altro uomo inizia a raccontare e sulle basi per il traffico di casinò.")</f>
        <v>Un altro uomo inizia a raccontare e sulle basi per il traffico di casinò.</v>
      </c>
    </row>
    <row r="28743">
      <c r="A28743" s="4" t="s">
        <v>36199</v>
      </c>
      <c r="B28743" s="4" t="s">
        <v>4761</v>
      </c>
      <c r="C28743" s="5" t="str">
        <f>IFERROR(__xludf.DUMMYFUNCTION("GOOGLETRANSLATE(B28743,""en"",""it"")"),"Il video termina con i crediti di chiusura mostrati sullo schermo.")</f>
        <v>Il video termina con i crediti di chiusura mostrati sullo schermo.</v>
      </c>
    </row>
    <row r="28744">
      <c r="A28744" s="4" t="s">
        <v>36203</v>
      </c>
      <c r="B28744" s="4" t="s">
        <v>36204</v>
      </c>
      <c r="C28744" s="5" t="str">
        <f>IFERROR(__xludf.DUMMYFUNCTION("GOOGLETRANSLATE(B28744,""en"",""it"")"),"All'esterno un uomo sta usando un soffiatore di foglie usandolo per soffiare un mucchio di foglie.")</f>
        <v>All'esterno un uomo sta usando un soffiatore di foglie usandolo per soffiare un mucchio di foglie.</v>
      </c>
    </row>
    <row r="28745">
      <c r="A28745" s="4" t="s">
        <v>36203</v>
      </c>
      <c r="B28745" s="4" t="s">
        <v>36205</v>
      </c>
      <c r="C28745" s="5" t="str">
        <f>IFERROR(__xludf.DUMMYFUNCTION("GOOGLETRANSLATE(B28745,""en"",""it"")"),"Sembra essere in un parco o qualcosa nel parcheggio.")</f>
        <v>Sembra essere in un parco o qualcosa nel parcheggio.</v>
      </c>
    </row>
    <row r="28746">
      <c r="A28746" s="4" t="s">
        <v>36203</v>
      </c>
      <c r="B28746" s="4" t="s">
        <v>36206</v>
      </c>
      <c r="C28746" s="5" t="str">
        <f>IFERROR(__xludf.DUMMYFUNCTION("GOOGLETRANSLATE(B28746,""en"",""it"")"),"Indossa un cappello e jeans e proprio là fuori da solo.")</f>
        <v>Indossa un cappello e jeans e proprio là fuori da solo.</v>
      </c>
    </row>
    <row r="28747">
      <c r="A28747" s="4" t="s">
        <v>36203</v>
      </c>
      <c r="B28747" s="4" t="s">
        <v>36207</v>
      </c>
      <c r="C28747" s="5" t="str">
        <f>IFERROR(__xludf.DUMMYFUNCTION("GOOGLETRANSLATE(B28747,""en"",""it"")"),"Continua a continuare a soffiare la pila di foglie quando un cane corre dal nulla.")</f>
        <v>Continua a continuare a soffiare la pila di foglie quando un cane corre dal nulla.</v>
      </c>
    </row>
    <row r="28748">
      <c r="A28748" s="4" t="s">
        <v>36208</v>
      </c>
      <c r="B28748" s="4" t="s">
        <v>36209</v>
      </c>
      <c r="C28748" s="5" t="str">
        <f>IFERROR(__xludf.DUMMYFUNCTION("GOOGLETRANSLATE(B28748,""en"",""it"")"),"Un uomo di immersione subacquea interagisce sott'acqua con un pesce grande.")</f>
        <v>Un uomo di immersione subacquea interagisce sott'acqua con un pesce grande.</v>
      </c>
    </row>
    <row r="28749">
      <c r="A28749" s="4" t="s">
        <v>36208</v>
      </c>
      <c r="B28749" s="4" t="s">
        <v>36210</v>
      </c>
      <c r="C28749" s="5" t="str">
        <f>IFERROR(__xludf.DUMMYFUNCTION("GOOGLETRANSLATE(B28749,""en"",""it"")"),"L'uomo fa un gesto di spinta verso la fotocamera.")</f>
        <v>L'uomo fa un gesto di spinta verso la fotocamera.</v>
      </c>
    </row>
    <row r="28750">
      <c r="A28750" s="4" t="s">
        <v>36208</v>
      </c>
      <c r="B28750" s="4" t="s">
        <v>36211</v>
      </c>
      <c r="C28750" s="5" t="str">
        <f>IFERROR(__xludf.DUMMYFUNCTION("GOOGLETRANSLATE(B28750,""en"",""it"")"),"L'uomo fa diversi gesti verso la fotocamera.")</f>
        <v>L'uomo fa diversi gesti verso la fotocamera.</v>
      </c>
    </row>
    <row r="28751">
      <c r="A28751" s="4" t="s">
        <v>36208</v>
      </c>
      <c r="B28751" s="4" t="s">
        <v>36212</v>
      </c>
      <c r="C28751" s="5" t="str">
        <f>IFERROR(__xludf.DUMMYFUNCTION("GOOGLETRANSLATE(B28751,""en"",""it"")"),"Il pesce si rampicca nell'uomo e nuota via.")</f>
        <v>Il pesce si rampicca nell'uomo e nuota via.</v>
      </c>
    </row>
    <row r="28752">
      <c r="A28752" s="4" t="s">
        <v>36213</v>
      </c>
      <c r="B28752" s="4" t="s">
        <v>36214</v>
      </c>
      <c r="C28752" s="5" t="str">
        <f>IFERROR(__xludf.DUMMYFUNCTION("GOOGLETRANSLATE(B28752,""en"",""it"")"),"Un uomo tiene fuori due spade e finge di colpire altre persone con spade.")</f>
        <v>Un uomo tiene fuori due spade e finge di colpire altre persone con spade.</v>
      </c>
    </row>
    <row r="28753">
      <c r="A28753" s="4" t="s">
        <v>36213</v>
      </c>
      <c r="B28753" s="4" t="s">
        <v>36215</v>
      </c>
      <c r="C28753" s="5" t="str">
        <f>IFERROR(__xludf.DUMMYFUNCTION("GOOGLETRANSLATE(B28753,""en"",""it"")"),"Dimostra di nuovo e consegna le spade a un altro uomo.")</f>
        <v>Dimostra di nuovo e consegna le spade a un altro uomo.</v>
      </c>
    </row>
    <row r="28754">
      <c r="A28754" s="4" t="s">
        <v>36213</v>
      </c>
      <c r="B28754" s="4" t="s">
        <v>36216</v>
      </c>
      <c r="C28754" s="5" t="str">
        <f>IFERROR(__xludf.DUMMYFUNCTION("GOOGLETRANSLATE(B28754,""en"",""it"")"),"Commenta le sue capacità continuando a mostrare diversi movimenti di spada.")</f>
        <v>Commenta le sue capacità continuando a mostrare diversi movimenti di spada.</v>
      </c>
    </row>
    <row r="28755">
      <c r="A28755" s="4" t="s">
        <v>36213</v>
      </c>
      <c r="B28755" s="4" t="s">
        <v>36217</v>
      </c>
      <c r="C28755" s="5" t="str">
        <f>IFERROR(__xludf.DUMMYFUNCTION("GOOGLETRANSLATE(B28755,""en"",""it"")"),"Altri uomini iniziano a combattere con le spade.")</f>
        <v>Altri uomini iniziano a combattere con le spade.</v>
      </c>
    </row>
    <row r="28756">
      <c r="A28756" s="4" t="s">
        <v>36213</v>
      </c>
      <c r="B28756" s="4" t="s">
        <v>36218</v>
      </c>
      <c r="C28756" s="5" t="str">
        <f>IFERROR(__xludf.DUMMYFUNCTION("GOOGLETRANSLATE(B28756,""en"",""it"")"),"Un uomo cade e agisce fa male a ritrarre un ruolo nella frazione da gioco.")</f>
        <v>Un uomo cade e agisce fa male a ritrarre un ruolo nella frazione da gioco.</v>
      </c>
    </row>
    <row r="28757">
      <c r="A28757" s="4" t="s">
        <v>36219</v>
      </c>
      <c r="B28757" s="4" t="s">
        <v>36220</v>
      </c>
      <c r="C28757" s="5" t="str">
        <f>IFERROR(__xludf.DUMMYFUNCTION("GOOGLETRANSLATE(B28757,""en"",""it"")"),"Una telecamera si muove attorno a una donna in piedi davanti a un cane in equilibrio su una recinzione.")</f>
        <v>Una telecamera si muove attorno a una donna in piedi davanti a un cane in equilibrio su una recinzione.</v>
      </c>
    </row>
    <row r="28758">
      <c r="A28758" s="4" t="s">
        <v>36219</v>
      </c>
      <c r="B28758" s="4" t="s">
        <v>36221</v>
      </c>
      <c r="C28758" s="5" t="str">
        <f>IFERROR(__xludf.DUMMYFUNCTION("GOOGLETRANSLATE(B28758,""en"",""it"")"),"Il cane continua a bilanciare sul recinto mentre la telecamera si muove.")</f>
        <v>Il cane continua a bilanciare sul recinto mentre la telecamera si muove.</v>
      </c>
    </row>
    <row r="28759">
      <c r="A28759" s="4" t="s">
        <v>36219</v>
      </c>
      <c r="B28759" s="4" t="s">
        <v>36222</v>
      </c>
      <c r="C28759" s="5" t="str">
        <f>IFERROR(__xludf.DUMMYFUNCTION("GOOGLETRANSLATE(B28759,""en"",""it"")"),"Il cane quindi salta giù dalla recinzione alla fine.")</f>
        <v>Il cane quindi salta giù dalla recinzione alla fine.</v>
      </c>
    </row>
    <row r="28760">
      <c r="A28760" s="4" t="s">
        <v>36223</v>
      </c>
      <c r="B28760" s="4" t="s">
        <v>36224</v>
      </c>
      <c r="C28760" s="5" t="str">
        <f>IFERROR(__xludf.DUMMYFUNCTION("GOOGLETRANSLATE(B28760,""en"",""it"")"),"Un uomo tiene una scarpa bianca e la mette a terra.")</f>
        <v>Un uomo tiene una scarpa bianca e la mette a terra.</v>
      </c>
    </row>
    <row r="28761">
      <c r="A28761" s="4" t="s">
        <v>36223</v>
      </c>
      <c r="B28761" s="4" t="s">
        <v>36225</v>
      </c>
      <c r="C28761" s="5" t="str">
        <f>IFERROR(__xludf.DUMMYFUNCTION("GOOGLETRANSLATE(B28761,""en"",""it"")"),"L'uomo ha già una scarpa sul piede destro e si stringe quando la tocca.")</f>
        <v>L'uomo ha già una scarpa sul piede destro e si stringe quando la tocca.</v>
      </c>
    </row>
    <row r="28762">
      <c r="A28762" s="4" t="s">
        <v>36223</v>
      </c>
      <c r="B28762" s="6" t="s">
        <v>36226</v>
      </c>
      <c r="C28762" s="5" t="str">
        <f>IFERROR(__xludf.DUMMYFUNCTION("GOOGLETRANSLATE(B28762,""en"",""it"")"),"Viene mostrato il viso dell'uomo e sta guardando le scarpe e poi mostra la scarpa sinistra sul piede e si sta stringendo da sola.")</f>
        <v>Viene mostrato il viso dell'uomo e sta guardando le scarpe e poi mostra la scarpa sinistra sul piede e si sta stringendo da sola.</v>
      </c>
    </row>
    <row r="28763">
      <c r="A28763" s="4" t="s">
        <v>36223</v>
      </c>
      <c r="B28763" s="6" t="s">
        <v>36227</v>
      </c>
      <c r="C28763" s="5" t="str">
        <f>IFERROR(__xludf.DUMMYFUNCTION("GOOGLETRANSLATE(B28763,""en"",""it"")"),"L'uomo si alza dalla macchina e la scena rivela che è Michael J Fox nel film di nuovo al futuro.")</f>
        <v>L'uomo si alza dalla macchina e la scena rivela che è Michael J Fox nel film di nuovo al futuro.</v>
      </c>
    </row>
    <row r="28764">
      <c r="A28764" s="4" t="s">
        <v>36228</v>
      </c>
      <c r="B28764" s="4" t="s">
        <v>36229</v>
      </c>
      <c r="C28764" s="5" t="str">
        <f>IFERROR(__xludf.DUMMYFUNCTION("GOOGLETRANSLATE(B28764,""en"",""it"")"),"Una ragazza è fuori su un molo in barca che tiene tra le mani a tre hula.")</f>
        <v>Una ragazza è fuori su un molo in barca che tiene tra le mani a tre hula.</v>
      </c>
    </row>
    <row r="28765">
      <c r="A28765" s="4" t="s">
        <v>36228</v>
      </c>
      <c r="B28765" s="6" t="s">
        <v>36230</v>
      </c>
      <c r="C28765" s="5" t="str">
        <f>IFERROR(__xludf.DUMMYFUNCTION("GOOGLETRANSLATE(B28765,""en"",""it"")"),"Comincia a farli oscillare in mano, intorno alle gambe, al polso e al collo e si ferma brevemente per regolare la telecamera.")</f>
        <v>Comincia a farli oscillare in mano, intorno alle gambe, al polso e al collo e si ferma brevemente per regolare la telecamera.</v>
      </c>
    </row>
    <row r="28766">
      <c r="A28766" s="4" t="s">
        <v>36228</v>
      </c>
      <c r="B28766" s="6" t="s">
        <v>36231</v>
      </c>
      <c r="C28766" s="5" t="str">
        <f>IFERROR(__xludf.DUMMYFUNCTION("GOOGLETRANSLATE(B28766,""en"",""it"")"),"La giovane donna appare quindi di nuovo con venti a trenta cerchi di hula attorno al suo corpo che li oscilla avanti e indietro prima di consigliarti di iscriverti a un canale.")</f>
        <v>La giovane donna appare quindi di nuovo con venti a trenta cerchi di hula attorno al suo corpo che li oscilla avanti e indietro prima di consigliarti di iscriverti a un canale.</v>
      </c>
    </row>
    <row r="28767">
      <c r="A28767" s="4" t="s">
        <v>36232</v>
      </c>
      <c r="B28767" s="6" t="s">
        <v>36233</v>
      </c>
      <c r="C28767" s="5" t="str">
        <f>IFERROR(__xludf.DUMMYFUNCTION("GOOGLETRANSLATE(B28767,""en"",""it"")"),"Due uomini sono visti in piedi in una stanza chiusa con racchette da tennis e iniziano a colpire la palla dal muro.")</f>
        <v>Due uomini sono visti in piedi in una stanza chiusa con racchette da tennis e iniziano a colpire la palla dal muro.</v>
      </c>
    </row>
    <row r="28768">
      <c r="A28768" s="4" t="s">
        <v>36232</v>
      </c>
      <c r="B28768" s="6" t="s">
        <v>36234</v>
      </c>
      <c r="C28768" s="5" t="str">
        <f>IFERROR(__xludf.DUMMYFUNCTION("GOOGLETRANSLATE(B28768,""en"",""it"")"),"Gli uomini continuano a camminare indietro e quarto con la palla e colpendola dal muro e si imbattono nel muro.")</f>
        <v>Gli uomini continuano a camminare indietro e quarto con la palla e colpendola dal muro e si imbattono nel muro.</v>
      </c>
    </row>
    <row r="28769">
      <c r="A28769" s="4" t="s">
        <v>36235</v>
      </c>
      <c r="B28769" s="4" t="s">
        <v>36236</v>
      </c>
      <c r="C28769" s="5" t="str">
        <f>IFERROR(__xludf.DUMMYFUNCTION("GOOGLETRANSLATE(B28769,""en"",""it"")"),"Due uomini vengono visti passare una palla l'uno all'altro e conducono in un gruppo di persone che giocano a calcio.")</f>
        <v>Due uomini vengono visti passare una palla l'uno all'altro e conducono in un gruppo di persone che giocano a calcio.</v>
      </c>
    </row>
    <row r="28770">
      <c r="A28770" s="4" t="s">
        <v>36235</v>
      </c>
      <c r="B28770" s="4" t="s">
        <v>36237</v>
      </c>
      <c r="C28770" s="5" t="str">
        <f>IFERROR(__xludf.DUMMYFUNCTION("GOOGLETRANSLATE(B28770,""en"",""it"")"),"Le persone si muovono su e giù per il campo mentre la telecamera segue i loro movimenti.")</f>
        <v>Le persone si muovono su e giù per il campo mentre la telecamera segue i loro movimenti.</v>
      </c>
    </row>
    <row r="28771">
      <c r="A28771" s="4" t="s">
        <v>36235</v>
      </c>
      <c r="B28771" s="4" t="s">
        <v>36238</v>
      </c>
      <c r="C28771" s="5" t="str">
        <f>IFERROR(__xludf.DUMMYFUNCTION("GOOGLETRANSLATE(B28771,""en"",""it"")"),"Molte persone guardano dai lati mentre il gruppo continua a giocare.")</f>
        <v>Molte persone guardano dai lati mentre il gruppo continua a giocare.</v>
      </c>
    </row>
    <row r="28772">
      <c r="A28772" s="4" t="s">
        <v>36239</v>
      </c>
      <c r="B28772" s="6" t="s">
        <v>36240</v>
      </c>
      <c r="C28772" s="5" t="str">
        <f>IFERROR(__xludf.DUMMYFUNCTION("GOOGLETRANSLATE(B28772,""en"",""it"")"),"Le persone in una piscina indoor guardano mentre più subacquei stanno a turno e si trovano nel più alto punto di immersione con la parola Indiana mentre fanno più lanci prima di atterrare in piscina.")</f>
        <v>Le persone in una piscina indoor guardano mentre più subacquei stanno a turno e si trovano nel più alto punto di immersione con la parola Indiana mentre fanno più lanci prima di atterrare in piscina.</v>
      </c>
    </row>
    <row r="28773">
      <c r="A28773" s="4" t="s">
        <v>36239</v>
      </c>
      <c r="B28773" s="6" t="s">
        <v>36241</v>
      </c>
      <c r="C28773" s="5" t="str">
        <f>IFERROR(__xludf.DUMMYFUNCTION("GOOGLETRANSLATE(B28773,""en"",""it"")"),"Alcune donne si svolgono saltando dal punto di immersione più alto mentre iniziano in diversi modi, fanno più lanci, quindi si tuffano nella piscina facendo piccoli schizzi mentre colpiscono l'acqua.")</f>
        <v>Alcune donne si svolgono saltando dal punto di immersione più alto mentre iniziano in diversi modi, fanno più lanci, quindi si tuffano nella piscina facendo piccoli schizzi mentre colpiscono l'acqua.</v>
      </c>
    </row>
    <row r="28774">
      <c r="A28774" s="4" t="s">
        <v>36239</v>
      </c>
      <c r="B28774" s="6" t="s">
        <v>36242</v>
      </c>
      <c r="C28774" s="5" t="str">
        <f>IFERROR(__xludf.DUMMYFUNCTION("GOOGLETRANSLATE(B28774,""en"",""it"")"),"Una donna bionda fa una verticale molto lenta rivolta verso la piscina, quindi si spinge via e fa più lanci prima di immergersi nella piscina creando un piccolo tuffo.")</f>
        <v>Una donna bionda fa una verticale molto lenta rivolta verso la piscina, quindi si spinge via e fa più lanci prima di immergersi nella piscina creando un piccolo tuffo.</v>
      </c>
    </row>
    <row r="28775">
      <c r="A28775" s="4" t="s">
        <v>36239</v>
      </c>
      <c r="B28775" s="6" t="s">
        <v>36243</v>
      </c>
      <c r="C28775" s="5" t="str">
        <f>IFERROR(__xludf.DUMMYFUNCTION("GOOGLETRANSLATE(B28775,""en"",""it"")"),"Quando le donne hanno finito di immergersi, gli uomini si turbano anche dal punto più alto e fanno anche più lanci prima di colpire l'acqua creando un piccolo tuffo.")</f>
        <v>Quando le donne hanno finito di immergersi, gli uomini si turbano anche dal punto più alto e fanno anche più lanci prima di colpire l'acqua creando un piccolo tuffo.</v>
      </c>
    </row>
    <row r="28776">
      <c r="A28776" s="4" t="s">
        <v>36244</v>
      </c>
      <c r="B28776" s="4" t="s">
        <v>36245</v>
      </c>
      <c r="C28776" s="5" t="str">
        <f>IFERROR(__xludf.DUMMYFUNCTION("GOOGLETRANSLATE(B28776,""en"",""it"")"),"Una persona in marcia invernale scura sta usando una pala per spalare la passerella di un garage.")</f>
        <v>Una persona in marcia invernale scura sta usando una pala per spalare la passerella di un garage.</v>
      </c>
    </row>
    <row r="28777">
      <c r="A28777" s="4" t="s">
        <v>36244</v>
      </c>
      <c r="B28777" s="4" t="s">
        <v>36246</v>
      </c>
      <c r="C28777" s="5" t="str">
        <f>IFERROR(__xludf.DUMMYFUNCTION("GOOGLETRANSLATE(B28777,""en"",""it"")"),"È notte e la strada è scarsamente illuminata dai lampioni.")</f>
        <v>È notte e la strada è scarsamente illuminata dai lampioni.</v>
      </c>
    </row>
    <row r="28778">
      <c r="A28778" s="4" t="s">
        <v>36244</v>
      </c>
      <c r="B28778" s="4" t="s">
        <v>36247</v>
      </c>
      <c r="C28778" s="5" t="str">
        <f>IFERROR(__xludf.DUMMYFUNCTION("GOOGLETRANSLATE(B28778,""en"",""it"")"),"Continua a spalare l'intero percorso mentre diverse auto guidano sulla strada principale nelle vicinanze.")</f>
        <v>Continua a spalare l'intero percorso mentre diverse auto guidano sulla strada principale nelle vicinanze.</v>
      </c>
    </row>
    <row r="28779">
      <c r="A28779" s="4" t="s">
        <v>36244</v>
      </c>
      <c r="B28779" s="4" t="s">
        <v>36248</v>
      </c>
      <c r="C28779" s="5" t="str">
        <f>IFERROR(__xludf.DUMMYFUNCTION("GOOGLETRANSLATE(B28779,""en"",""it"")"),"Raccoglie la neve su e la accumula all'angolo.")</f>
        <v>Raccoglie la neve su e la accumula all'angolo.</v>
      </c>
    </row>
    <row r="28780">
      <c r="A28780" s="4" t="s">
        <v>36244</v>
      </c>
      <c r="B28780" s="4" t="s">
        <v>36249</v>
      </c>
      <c r="C28780" s="5" t="str">
        <f>IFERROR(__xludf.DUMMYFUNCTION("GOOGLETRANSLATE(B28780,""en"",""it"")"),"Dopo aver finito, se ne va.")</f>
        <v>Dopo aver finito, se ne va.</v>
      </c>
    </row>
    <row r="28781">
      <c r="A28781" s="4" t="s">
        <v>36250</v>
      </c>
      <c r="B28781" s="4" t="s">
        <v>36251</v>
      </c>
      <c r="C28781" s="5" t="str">
        <f>IFERROR(__xludf.DUMMYFUNCTION("GOOGLETRANSLATE(B28781,""en"",""it"")"),"Una persona si siede su un tappetino in palestra e si siede mentre tiene le gambe.")</f>
        <v>Una persona si siede su un tappetino in palestra e si siede mentre tiene le gambe.</v>
      </c>
    </row>
    <row r="28782">
      <c r="A28782" s="4" t="s">
        <v>36250</v>
      </c>
      <c r="B28782" s="4" t="s">
        <v>36252</v>
      </c>
      <c r="C28782" s="5" t="str">
        <f>IFERROR(__xludf.DUMMYFUNCTION("GOOGLETRANSLATE(B28782,""en"",""it"")"),"La persona finisce la routine di allenamento e si prende una pausa.")</f>
        <v>La persona finisce la routine di allenamento e si prende una pausa.</v>
      </c>
    </row>
    <row r="28783">
      <c r="A28783" s="4" t="s">
        <v>36250</v>
      </c>
      <c r="B28783" s="4" t="s">
        <v>36253</v>
      </c>
      <c r="C28783" s="5" t="str">
        <f>IFERROR(__xludf.DUMMYFUNCTION("GOOGLETRANSLATE(B28783,""en"",""it"")"),"Un grafico si vede con una piuma che cade.")</f>
        <v>Un grafico si vede con una piuma che cade.</v>
      </c>
    </row>
    <row r="28784">
      <c r="A28784" s="4" t="s">
        <v>36254</v>
      </c>
      <c r="B28784" s="6" t="s">
        <v>36255</v>
      </c>
      <c r="C28784" s="5" t="str">
        <f>IFERROR(__xludf.DUMMYFUNCTION("GOOGLETRANSLATE(B28784,""en"",""it"")"),"Vengono mostrate varie clip di persone che giocano sulla spiaggia e mettono la protezione solare e portano oggetti.")</f>
        <v>Vengono mostrate varie clip di persone che giocano sulla spiaggia e mettono la protezione solare e portano oggetti.</v>
      </c>
    </row>
    <row r="28785">
      <c r="A28785" s="4" t="s">
        <v>36254</v>
      </c>
      <c r="B28785" s="6" t="s">
        <v>36256</v>
      </c>
      <c r="C28785" s="5" t="str">
        <f>IFERROR(__xludf.DUMMYFUNCTION("GOOGLETRANSLATE(B28785,""en"",""it"")"),"Una grande esplosione viene mostrata seguita da bambini che pescano con un uomo e più clip di persone che giocano sulla spiaggia.")</f>
        <v>Una grande esplosione viene mostrata seguita da bambini che pescano con un uomo e più clip di persone che giocano sulla spiaggia.</v>
      </c>
    </row>
    <row r="28786">
      <c r="A28786" s="4" t="s">
        <v>36257</v>
      </c>
      <c r="B28786" s="4" t="s">
        <v>36258</v>
      </c>
      <c r="C28786" s="5" t="str">
        <f>IFERROR(__xludf.DUMMYFUNCTION("GOOGLETRANSLATE(B28786,""en"",""it"")"),"Tre uomini entrano in un edificio.")</f>
        <v>Tre uomini entrano in un edificio.</v>
      </c>
    </row>
    <row r="28787">
      <c r="A28787" s="4" t="s">
        <v>36257</v>
      </c>
      <c r="B28787" s="4" t="s">
        <v>36259</v>
      </c>
      <c r="C28787" s="5" t="str">
        <f>IFERROR(__xludf.DUMMYFUNCTION("GOOGLETRANSLATE(B28787,""en"",""it"")"),"Cominciano a giocare a curling.")</f>
        <v>Cominciano a giocare a curling.</v>
      </c>
    </row>
    <row r="28788">
      <c r="A28788" s="4" t="s">
        <v>36257</v>
      </c>
      <c r="B28788" s="6" t="s">
        <v>36260</v>
      </c>
      <c r="C28788" s="5" t="str">
        <f>IFERROR(__xludf.DUMMYFUNCTION("GOOGLETRANSLATE(B28788,""en"",""it"")"),"Le persone vengono mostrate che si divertono nella sala curling e vengono mostrati i trofei che sono stati vinti.")</f>
        <v>Le persone vengono mostrate che si divertono nella sala curling e vengono mostrati i trofei che sono stati vinti.</v>
      </c>
    </row>
    <row r="28789">
      <c r="A28789" s="4" t="s">
        <v>36257</v>
      </c>
      <c r="B28789" s="4" t="s">
        <v>36261</v>
      </c>
      <c r="C28789" s="5" t="str">
        <f>IFERROR(__xludf.DUMMYFUNCTION("GOOGLETRANSLATE(B28789,""en"",""it"")"),"Gli uomini sono mostrati nell'armadietto che si preparano a arricciarsi.")</f>
        <v>Gli uomini sono mostrati nell'armadietto che si preparano a arricciarsi.</v>
      </c>
    </row>
    <row r="28790">
      <c r="A28790" s="4" t="s">
        <v>36257</v>
      </c>
      <c r="B28790" s="4" t="s">
        <v>36262</v>
      </c>
      <c r="C28790" s="5" t="str">
        <f>IFERROR(__xludf.DUMMYFUNCTION("GOOGLETRANSLATE(B28790,""en"",""it"")"),"Gli uomini sono mostrati tutti insieme in posa sul ghiaccio.")</f>
        <v>Gli uomini sono mostrati tutti insieme in posa sul ghiaccio.</v>
      </c>
    </row>
    <row r="28791">
      <c r="A28791" s="4" t="s">
        <v>36263</v>
      </c>
      <c r="B28791" s="4" t="s">
        <v>36264</v>
      </c>
      <c r="C28791" s="5" t="str">
        <f>IFERROR(__xludf.DUMMYFUNCTION("GOOGLETRANSLATE(B28791,""en"",""it"")"),"Molti giudici siedono in un campo, in attesa delle prestazioni di un atleta.")</f>
        <v>Molti giudici siedono in un campo, in attesa delle prestazioni di un atleta.</v>
      </c>
    </row>
    <row r="28792">
      <c r="A28792" s="4" t="s">
        <v>36263</v>
      </c>
      <c r="B28792" s="4" t="s">
        <v>36265</v>
      </c>
      <c r="C28792" s="5" t="str">
        <f>IFERROR(__xludf.DUMMYFUNCTION("GOOGLETRANSLATE(B28792,""en"",""it"")"),"Un atleta si avvicina all'area del campo.")</f>
        <v>Un atleta si avvicina all'area del campo.</v>
      </c>
    </row>
    <row r="28793">
      <c r="A28793" s="4" t="s">
        <v>36263</v>
      </c>
      <c r="B28793" s="4" t="s">
        <v>36266</v>
      </c>
      <c r="C28793" s="5" t="str">
        <f>IFERROR(__xludf.DUMMYFUNCTION("GOOGLETRANSLATE(B28793,""en"",""it"")"),"L'atleta gira il suo corpo e lancia un disco con la massima forza.")</f>
        <v>L'atleta gira il suo corpo e lancia un disco con la massima forza.</v>
      </c>
    </row>
    <row r="28794">
      <c r="A28794" s="4" t="s">
        <v>36267</v>
      </c>
      <c r="B28794" s="4" t="s">
        <v>36268</v>
      </c>
      <c r="C28794" s="5" t="str">
        <f>IFERROR(__xludf.DUMMYFUNCTION("GOOGLETRANSLATE(B28794,""en"",""it"")"),"Una persona è sdraiata su un letto.")</f>
        <v>Una persona è sdraiata su un letto.</v>
      </c>
    </row>
    <row r="28795">
      <c r="A28795" s="4" t="s">
        <v>36267</v>
      </c>
      <c r="B28795" s="4" t="s">
        <v>36269</v>
      </c>
      <c r="C28795" s="5" t="str">
        <f>IFERROR(__xludf.DUMMYFUNCTION("GOOGLETRANSLATE(B28795,""en"",""it"")"),"Una persona mette la cera sulla gamba.")</f>
        <v>Una persona mette la cera sulla gamba.</v>
      </c>
    </row>
    <row r="28796">
      <c r="A28796" s="4" t="s">
        <v>36267</v>
      </c>
      <c r="B28796" s="4" t="s">
        <v>36270</v>
      </c>
      <c r="C28796" s="5" t="str">
        <f>IFERROR(__xludf.DUMMYFUNCTION("GOOGLETRANSLATE(B28796,""en"",""it"")"),"Ci hanno messo la carta e strappano i capelli.")</f>
        <v>Ci hanno messo la carta e strappano i capelli.</v>
      </c>
    </row>
    <row r="28797">
      <c r="A28797" s="4" t="s">
        <v>36271</v>
      </c>
      <c r="B28797" s="4" t="s">
        <v>36272</v>
      </c>
      <c r="C28797" s="5" t="str">
        <f>IFERROR(__xludf.DUMMYFUNCTION("GOOGLETRANSLATE(B28797,""en"",""it"")"),"Vediamo un uomo che si prepara e lancia uno scatto.")</f>
        <v>Vediamo un uomo che si prepara e lancia uno scatto.</v>
      </c>
    </row>
    <row r="28798">
      <c r="A28798" s="4" t="s">
        <v>36271</v>
      </c>
      <c r="B28798" s="4" t="s">
        <v>36273</v>
      </c>
      <c r="C28798" s="5" t="str">
        <f>IFERROR(__xludf.DUMMYFUNCTION("GOOGLETRANSLATE(B28798,""en"",""it"")"),"Vediamo un uomo che corre per misurare la distanza.")</f>
        <v>Vediamo un uomo che corre per misurare la distanza.</v>
      </c>
    </row>
    <row r="28799">
      <c r="A28799" s="4" t="s">
        <v>36271</v>
      </c>
      <c r="B28799" s="4" t="s">
        <v>36274</v>
      </c>
      <c r="C28799" s="5" t="str">
        <f>IFERROR(__xludf.DUMMYFUNCTION("GOOGLETRANSLATE(B28799,""en"",""it"")"),"Vediamo un uomo in piedi e misura.")</f>
        <v>Vediamo un uomo in piedi e misura.</v>
      </c>
    </row>
    <row r="28800">
      <c r="A28800" s="4" t="s">
        <v>36271</v>
      </c>
      <c r="B28800" s="4" t="s">
        <v>36275</v>
      </c>
      <c r="C28800" s="5" t="str">
        <f>IFERROR(__xludf.DUMMYFUNCTION("GOOGLETRANSLATE(B28800,""en"",""it"")"),"Vediamo persone tra la folla incoraggiare.")</f>
        <v>Vediamo persone tra la folla incoraggiare.</v>
      </c>
    </row>
    <row r="28801">
      <c r="A28801" s="4" t="s">
        <v>36271</v>
      </c>
      <c r="B28801" s="4" t="s">
        <v>36276</v>
      </c>
      <c r="C28801" s="5" t="str">
        <f>IFERROR(__xludf.DUMMYFUNCTION("GOOGLETRANSLATE(B28801,""en"",""it"")"),"Vediamo di nuovo le persone nelle gradinate.")</f>
        <v>Vediamo di nuovo le persone nelle gradinate.</v>
      </c>
    </row>
    <row r="28802">
      <c r="A28802" s="4" t="s">
        <v>36271</v>
      </c>
      <c r="B28802" s="4" t="s">
        <v>36277</v>
      </c>
      <c r="C28802" s="5" t="str">
        <f>IFERROR(__xludf.DUMMYFUNCTION("GOOGLETRANSLATE(B28802,""en"",""it"")"),"Ci zoomiamo mentre il giocatore si allontana.")</f>
        <v>Ci zoomiamo mentre il giocatore si allontana.</v>
      </c>
    </row>
    <row r="28803">
      <c r="A28803" s="4" t="s">
        <v>36278</v>
      </c>
      <c r="B28803" s="4" t="s">
        <v>36279</v>
      </c>
      <c r="C28803" s="5" t="str">
        <f>IFERROR(__xludf.DUMMYFUNCTION("GOOGLETRANSLATE(B28803,""en"",""it"")"),"Due donne e un uomo danzano musica pop mentre fanno diversi passi.")</f>
        <v>Due donne e un uomo danzano musica pop mentre fanno diversi passi.</v>
      </c>
    </row>
    <row r="28804">
      <c r="A28804" s="4" t="s">
        <v>36278</v>
      </c>
      <c r="B28804" s="4" t="s">
        <v>36280</v>
      </c>
      <c r="C28804" s="5" t="str">
        <f>IFERROR(__xludf.DUMMYFUNCTION("GOOGLETRANSLATE(B28804,""en"",""it"")"),"Le donne e l'uomo sollevano le braccia mentre ballano, quindi continuano a ballare e girare.")</f>
        <v>Le donne e l'uomo sollevano le braccia mentre ballano, quindi continuano a ballare e girare.</v>
      </c>
    </row>
    <row r="28805">
      <c r="A28805" s="4" t="s">
        <v>36281</v>
      </c>
      <c r="B28805" s="4" t="s">
        <v>20672</v>
      </c>
      <c r="C28805" s="5" t="str">
        <f>IFERROR(__xludf.DUMMYFUNCTION("GOOGLETRANSLATE(B28805,""en"",""it"")"),"Una ragazza salta su un raggio di equilibrio.")</f>
        <v>Una ragazza salta su un raggio di equilibrio.</v>
      </c>
    </row>
    <row r="28806">
      <c r="A28806" s="4" t="s">
        <v>36281</v>
      </c>
      <c r="B28806" s="4" t="s">
        <v>36282</v>
      </c>
      <c r="C28806" s="5" t="str">
        <f>IFERROR(__xludf.DUMMYFUNCTION("GOOGLETRANSLATE(B28806,""en"",""it"")"),"Fa una routine di ginnastica sul raggio di equilibrio.")</f>
        <v>Fa una routine di ginnastica sul raggio di equilibrio.</v>
      </c>
    </row>
    <row r="28807">
      <c r="A28807" s="4" t="s">
        <v>36281</v>
      </c>
      <c r="B28807" s="4" t="s">
        <v>36283</v>
      </c>
      <c r="C28807" s="5" t="str">
        <f>IFERROR(__xludf.DUMMYFUNCTION("GOOGLETRANSLATE(B28807,""en"",""it"")"),"Salta giù dal raggio e atterra sul tappeto con le mani alzate.")</f>
        <v>Salta giù dal raggio e atterra sul tappeto con le mani alzate.</v>
      </c>
    </row>
    <row r="28808">
      <c r="A28808" s="4" t="s">
        <v>36281</v>
      </c>
      <c r="B28808" s="4" t="s">
        <v>36284</v>
      </c>
      <c r="C28808" s="5" t="str">
        <f>IFERROR(__xludf.DUMMYFUNCTION("GOOGLETRANSLATE(B28808,""en"",""it"")"),"Una donna con una camicia blu si avvicina e la abbraccia.")</f>
        <v>Una donna con una camicia blu si avvicina e la abbraccia.</v>
      </c>
    </row>
    <row r="28809">
      <c r="A28809" s="4" t="s">
        <v>36285</v>
      </c>
      <c r="B28809" s="4" t="s">
        <v>36286</v>
      </c>
      <c r="C28809" s="5" t="str">
        <f>IFERROR(__xludf.DUMMYFUNCTION("GOOGLETRANSLATE(B28809,""en"",""it"")"),"Una donna entra in un garage con una carta arrotolata in mano.")</f>
        <v>Una donna entra in un garage con una carta arrotolata in mano.</v>
      </c>
    </row>
    <row r="28810">
      <c r="A28810" s="4" t="s">
        <v>36285</v>
      </c>
      <c r="B28810" s="6" t="s">
        <v>36287</v>
      </c>
      <c r="C28810" s="5" t="str">
        <f>IFERROR(__xludf.DUMMYFUNCTION("GOOGLETRANSLATE(B28810,""en"",""it"")"),"Una volta che se ne va, viene mostrato un gatto nero e inizia a strisciare su tutto e poi la signora viene e lo animali domestici.")</f>
        <v>Una volta che se ne va, viene mostrato un gatto nero e inizia a strisciare su tutto e poi la signora viene e lo animali domestici.</v>
      </c>
    </row>
    <row r="28811">
      <c r="A28811" s="4" t="s">
        <v>36285</v>
      </c>
      <c r="B28811" s="4" t="s">
        <v>36288</v>
      </c>
      <c r="C28811" s="5" t="str">
        <f>IFERROR(__xludf.DUMMYFUNCTION("GOOGLETRANSLATE(B28811,""en"",""it"")"),"Le foglie femminili e entra in una stanza e inizia a coprire la stanza con carta da parati.")</f>
        <v>Le foglie femminili e entra in una stanza e inizia a coprire la stanza con carta da parati.</v>
      </c>
    </row>
    <row r="28812">
      <c r="A28812" s="4" t="s">
        <v>36285</v>
      </c>
      <c r="B28812" s="6" t="s">
        <v>36289</v>
      </c>
      <c r="C28812" s="5" t="str">
        <f>IFERROR(__xludf.DUMMYFUNCTION("GOOGLETRANSLATE(B28812,""en"",""it"")"),"Dimentica le forbici e esce per afferrarle e ritorna per applicare più carta sul muro.")</f>
        <v>Dimentica le forbici e esce per afferrarle e ritorna per applicare più carta sul muro.</v>
      </c>
    </row>
    <row r="28813">
      <c r="A28813" s="4" t="s">
        <v>36285</v>
      </c>
      <c r="B28813" s="4" t="s">
        <v>36290</v>
      </c>
      <c r="C28813" s="5" t="str">
        <f>IFERROR(__xludf.DUMMYFUNCTION("GOOGLETRANSLATE(B28813,""en"",""it"")"),"È necessaria una pausa e la donna beve qualcosa dalla cucina.")</f>
        <v>È necessaria una pausa e la donna beve qualcosa dalla cucina.</v>
      </c>
    </row>
    <row r="28814">
      <c r="A28814" s="4" t="s">
        <v>36285</v>
      </c>
      <c r="B28814" s="4" t="s">
        <v>36291</v>
      </c>
      <c r="C28814" s="5" t="str">
        <f>IFERROR(__xludf.DUMMYFUNCTION("GOOGLETRANSLATE(B28814,""en"",""it"")"),"Poco dopo, la signora continua i suoi compiti e poi cammina fuori per portare fuori il suo gatto.")</f>
        <v>Poco dopo, la signora continua i suoi compiti e poi cammina fuori per portare fuori il suo gatto.</v>
      </c>
    </row>
    <row r="28815">
      <c r="A28815" s="4" t="s">
        <v>36285</v>
      </c>
      <c r="B28815" s="6" t="s">
        <v>36292</v>
      </c>
      <c r="C28815" s="5" t="str">
        <f>IFERROR(__xludf.DUMMYFUNCTION("GOOGLETRANSLATE(B28815,""en"",""it"")"),"Il muro non è ancora finito e torna nella stanza per finirlo rotolando l'esterno per garantirne la morbidezza.")</f>
        <v>Il muro non è ancora finito e torna nella stanza per finirlo rotolando l'esterno per garantirne la morbidezza.</v>
      </c>
    </row>
    <row r="28816">
      <c r="A28816" s="4" t="s">
        <v>36285</v>
      </c>
      <c r="B28816" s="6" t="s">
        <v>36293</v>
      </c>
      <c r="C28816" s="5" t="str">
        <f>IFERROR(__xludf.DUMMYFUNCTION("GOOGLETRANSLATE(B28816,""en"",""it"")"),"Mentre finisce, il gatto arriva nella stanza e inizia a giocare con una palla prima di tornare fuori.")</f>
        <v>Mentre finisce, il gatto arriva nella stanza e inizia a giocare con una palla prima di tornare fuori.</v>
      </c>
    </row>
    <row r="28817">
      <c r="A28817" s="4" t="s">
        <v>36285</v>
      </c>
      <c r="B28817" s="6" t="s">
        <v>36294</v>
      </c>
      <c r="C28817" s="5" t="str">
        <f>IFERROR(__xludf.DUMMYFUNCTION("GOOGLETRANSLATE(B28817,""en"",""it"")"),"Le donne riappare in un altro set di vestiti per finire il muro, finalmente finisce e inizia a alzare le mani e crolla sul letto.")</f>
        <v>Le donne riappare in un altro set di vestiti per finire il muro, finalmente finisce e inizia a alzare le mani e crolla sul letto.</v>
      </c>
    </row>
    <row r="28818">
      <c r="A28818" s="4" t="s">
        <v>36295</v>
      </c>
      <c r="B28818" s="4" t="s">
        <v>36296</v>
      </c>
      <c r="C28818" s="5" t="str">
        <f>IFERROR(__xludf.DUMMYFUNCTION("GOOGLETRANSLATE(B28818,""en"",""it"")"),"Le persone giocano a golf sull'erba.")</f>
        <v>Le persone giocano a golf sull'erba.</v>
      </c>
    </row>
    <row r="28819">
      <c r="A28819" s="4" t="s">
        <v>36295</v>
      </c>
      <c r="B28819" s="4" t="s">
        <v>36297</v>
      </c>
      <c r="C28819" s="5" t="str">
        <f>IFERROR(__xludf.DUMMYFUNCTION("GOOGLETRANSLATE(B28819,""en"",""it"")"),"Un uomo colpisce la palla con un club.")</f>
        <v>Un uomo colpisce la palla con un club.</v>
      </c>
    </row>
    <row r="28820">
      <c r="A28820" s="4" t="s">
        <v>36295</v>
      </c>
      <c r="B28820" s="4" t="s">
        <v>36298</v>
      </c>
      <c r="C28820" s="5" t="str">
        <f>IFERROR(__xludf.DUMMYFUNCTION("GOOGLETRANSLATE(B28820,""en"",""it"")"),"Un uomo con un cappello bianco cammina dietro di lui.")</f>
        <v>Un uomo con un cappello bianco cammina dietro di lui.</v>
      </c>
    </row>
    <row r="28821">
      <c r="A28821" s="4" t="s">
        <v>36299</v>
      </c>
      <c r="B28821" s="4" t="s">
        <v>36300</v>
      </c>
      <c r="C28821" s="5" t="str">
        <f>IFERROR(__xludf.DUMMYFUNCTION("GOOGLETRANSLATE(B28821,""en"",""it"")"),"Vengono mostrati il ​​prodotto e i crediti finali.")</f>
        <v>Vengono mostrati il ​​prodotto e i crediti finali.</v>
      </c>
    </row>
    <row r="28822">
      <c r="A28822" s="4" t="s">
        <v>36299</v>
      </c>
      <c r="B28822" s="4" t="s">
        <v>36301</v>
      </c>
      <c r="C28822" s="5" t="str">
        <f>IFERROR(__xludf.DUMMYFUNCTION("GOOGLETRANSLATE(B28822,""en"",""it"")"),"Gli ingredienti sono miscelati e saltati.")</f>
        <v>Gli ingredienti sono miscelati e saltati.</v>
      </c>
    </row>
    <row r="28823">
      <c r="A28823" s="4" t="s">
        <v>36299</v>
      </c>
      <c r="B28823" s="4" t="s">
        <v>36302</v>
      </c>
      <c r="C28823" s="5" t="str">
        <f>IFERROR(__xludf.DUMMYFUNCTION("GOOGLETRANSLATE(B28823,""en"",""it"")"),"La pasta viene aggiunta alla padella.")</f>
        <v>La pasta viene aggiunta alla padella.</v>
      </c>
    </row>
    <row r="28824">
      <c r="A28824" s="4" t="s">
        <v>36299</v>
      </c>
      <c r="B28824" s="4" t="s">
        <v>36303</v>
      </c>
      <c r="C28824" s="5" t="str">
        <f>IFERROR(__xludf.DUMMYFUNCTION("GOOGLETRANSLATE(B28824,""en"",""it"")"),"Il pasta di pomodoro e gli ingredienti secchi vengono aggiunti alla padella.")</f>
        <v>Il pasta di pomodoro e gli ingredienti secchi vengono aggiunti alla padella.</v>
      </c>
    </row>
    <row r="28825">
      <c r="A28825" s="4" t="s">
        <v>36299</v>
      </c>
      <c r="B28825" s="4" t="s">
        <v>36304</v>
      </c>
      <c r="C28825" s="5" t="str">
        <f>IFERROR(__xludf.DUMMYFUNCTION("GOOGLETRANSLATE(B28825,""en"",""it"")"),"Il prodotto finale viene preso dalla padella e posizionato su un piatto bianco.")</f>
        <v>Il prodotto finale viene preso dalla padella e posizionato su un piatto bianco.</v>
      </c>
    </row>
    <row r="28826">
      <c r="A28826" s="4" t="s">
        <v>36299</v>
      </c>
      <c r="B28826" s="4" t="s">
        <v>36305</v>
      </c>
      <c r="C28826" s="5" t="str">
        <f>IFERROR(__xludf.DUMMYFUNCTION("GOOGLETRANSLATE(B28826,""en"",""it"")"),"Vengono visualizzati i prodotti finali e i crediti della clip.")</f>
        <v>Vengono visualizzati i prodotti finali e i crediti della clip.</v>
      </c>
    </row>
    <row r="28827">
      <c r="A28827" s="4" t="s">
        <v>36306</v>
      </c>
      <c r="B28827" s="4" t="s">
        <v>36307</v>
      </c>
      <c r="C28827" s="5" t="str">
        <f>IFERROR(__xludf.DUMMYFUNCTION("GOOGLETRANSLATE(B28827,""en"",""it"")"),"Le persone si legano su queste macchine Qloja in piedi.")</f>
        <v>Le persone si legano su queste macchine Qloja in piedi.</v>
      </c>
    </row>
    <row r="28828">
      <c r="A28828" s="4" t="s">
        <v>36306</v>
      </c>
      <c r="B28828" s="4" t="s">
        <v>36308</v>
      </c>
      <c r="C28828" s="5" t="str">
        <f>IFERROR(__xludf.DUMMYFUNCTION("GOOGLETRANSLATE(B28828,""en"",""it"")"),"Ci vuole molto tempo per metterli avanti e poi iniziano a camminare.")</f>
        <v>Ci vuole molto tempo per metterli avanti e poi iniziano a camminare.</v>
      </c>
    </row>
    <row r="28829">
      <c r="A28829" s="4" t="s">
        <v>36306</v>
      </c>
      <c r="B28829" s="4" t="s">
        <v>36309</v>
      </c>
      <c r="C28829" s="5" t="str">
        <f>IFERROR(__xludf.DUMMYFUNCTION("GOOGLETRANSLATE(B28829,""en"",""it"")"),"Costruiscono un po 'di velocità e iniziano a correre in una linea.")</f>
        <v>Costruiscono un po 'di velocità e iniziano a correre in una linea.</v>
      </c>
    </row>
    <row r="28830">
      <c r="A28830" s="4" t="s">
        <v>36306</v>
      </c>
      <c r="B28830" s="6" t="s">
        <v>36310</v>
      </c>
      <c r="C28830" s="5" t="str">
        <f>IFERROR(__xludf.DUMMYFUNCTION("GOOGLETRANSLATE(B28830,""en"",""it"")"),"Una linea di circa 15 persone che indossano questi contraccetti sono in esecuzione su di loro, quindi un gruppo più piccolo di tre rimbalza su e giù per tutto intorno.")</f>
        <v>Una linea di circa 15 persone che indossano questi contraccetti sono in esecuzione su di loro, quindi un gruppo più piccolo di tre rimbalza su e giù per tutto intorno.</v>
      </c>
    </row>
    <row r="28831">
      <c r="A28831" s="4" t="s">
        <v>36311</v>
      </c>
      <c r="B28831" s="4" t="s">
        <v>13870</v>
      </c>
      <c r="C28831" s="5" t="str">
        <f>IFERROR(__xludf.DUMMYFUNCTION("GOOGLETRANSLATE(B28831,""en"",""it"")"),"Un uomo con una camicia bianca sta parlando con la telecamera.")</f>
        <v>Un uomo con una camicia bianca sta parlando con la telecamera.</v>
      </c>
    </row>
    <row r="28832">
      <c r="A28832" s="4" t="s">
        <v>36311</v>
      </c>
      <c r="B28832" s="4" t="s">
        <v>36312</v>
      </c>
      <c r="C28832" s="5" t="str">
        <f>IFERROR(__xludf.DUMMYFUNCTION("GOOGLETRANSLATE(B28832,""en"",""it"")"),"Le persone giocano a una partita di pallavolo l'una contro l'altra.")</f>
        <v>Le persone giocano a una partita di pallavolo l'una contro l'altra.</v>
      </c>
    </row>
    <row r="28833">
      <c r="A28833" s="4" t="s">
        <v>36313</v>
      </c>
      <c r="B28833" s="4" t="s">
        <v>36314</v>
      </c>
      <c r="C28833" s="5" t="str">
        <f>IFERROR(__xludf.DUMMYFUNCTION("GOOGLETRANSLATE(B28833,""en"",""it"")"),"Due persone coreografano una routine con nunchucks.")</f>
        <v>Due persone coreografano una routine con nunchucks.</v>
      </c>
    </row>
    <row r="28834">
      <c r="A28834" s="4" t="s">
        <v>36313</v>
      </c>
      <c r="B28834" s="4" t="s">
        <v>36315</v>
      </c>
      <c r="C28834" s="5" t="str">
        <f>IFERROR(__xludf.DUMMYFUNCTION("GOOGLETRANSLATE(B28834,""en"",""it"")"),"Le ragazze lasciano cadere i nunchucks, poi ballano in giro.")</f>
        <v>Le ragazze lasciano cadere i nunchucks, poi ballano in giro.</v>
      </c>
    </row>
    <row r="28835">
      <c r="A28835" s="4" t="s">
        <v>36313</v>
      </c>
      <c r="B28835" s="4" t="s">
        <v>36316</v>
      </c>
      <c r="C28835" s="5" t="str">
        <f>IFERROR(__xludf.DUMMYFUNCTION("GOOGLETRANSLATE(B28835,""en"",""it"")"),"Una terza persona si unisce e poi se ne va.")</f>
        <v>Una terza persona si unisce e poi se ne va.</v>
      </c>
    </row>
    <row r="28836">
      <c r="A28836" s="4" t="s">
        <v>36317</v>
      </c>
      <c r="B28836" s="4" t="s">
        <v>36318</v>
      </c>
      <c r="C28836" s="5" t="str">
        <f>IFERROR(__xludf.DUMMYFUNCTION("GOOGLETRANSLATE(B28836,""en"",""it"")"),"Una sega a mano si trova sopra un tetto.")</f>
        <v>Una sega a mano si trova sopra un tetto.</v>
      </c>
    </row>
    <row r="28837">
      <c r="A28837" s="4" t="s">
        <v>36317</v>
      </c>
      <c r="B28837" s="4" t="s">
        <v>36319</v>
      </c>
      <c r="C28837" s="5" t="str">
        <f>IFERROR(__xludf.DUMMYFUNCTION("GOOGLETRANSLATE(B28837,""en"",""it"")"),"Una scala si appoggia su di essa.")</f>
        <v>Una scala si appoggia su di essa.</v>
      </c>
    </row>
    <row r="28838">
      <c r="A28838" s="4" t="s">
        <v>36317</v>
      </c>
      <c r="B28838" s="4" t="s">
        <v>36320</v>
      </c>
      <c r="C28838" s="5" t="str">
        <f>IFERROR(__xludf.DUMMYFUNCTION("GOOGLETRANSLATE(B28838,""en"",""it"")"),"Il tetto è vecchio e fatiscente.")</f>
        <v>Il tetto è vecchio e fatiscente.</v>
      </c>
    </row>
    <row r="28839">
      <c r="A28839" s="4" t="s">
        <v>36317</v>
      </c>
      <c r="B28839" s="4" t="s">
        <v>36321</v>
      </c>
      <c r="C28839" s="5" t="str">
        <f>IFERROR(__xludf.DUMMYFUNCTION("GOOGLETRANSLATE(B28839,""en"",""it"")"),"La fotocamera quindi fa la panoramica.")</f>
        <v>La fotocamera quindi fa la panoramica.</v>
      </c>
    </row>
    <row r="28840">
      <c r="A28840" s="4" t="s">
        <v>36322</v>
      </c>
      <c r="B28840" s="4" t="s">
        <v>36323</v>
      </c>
      <c r="C28840" s="5" t="str">
        <f>IFERROR(__xludf.DUMMYFUNCTION("GOOGLETRANSLATE(B28840,""en"",""it"")"),"Un sollevatore di peso apre la bocca larga.")</f>
        <v>Un sollevatore di peso apre la bocca larga.</v>
      </c>
    </row>
    <row r="28841">
      <c r="A28841" s="4" t="s">
        <v>36322</v>
      </c>
      <c r="B28841" s="4" t="s">
        <v>36324</v>
      </c>
      <c r="C28841" s="5" t="str">
        <f>IFERROR(__xludf.DUMMYFUNCTION("GOOGLETRANSLATE(B28841,""en"",""it"")"),"Solleva un bilanciere gigante con tutte le sue forze.")</f>
        <v>Solleva un bilanciere gigante con tutte le sue forze.</v>
      </c>
    </row>
    <row r="28842">
      <c r="A28842" s="4" t="s">
        <v>36322</v>
      </c>
      <c r="B28842" s="4" t="s">
        <v>36325</v>
      </c>
      <c r="C28842" s="5" t="str">
        <f>IFERROR(__xludf.DUMMYFUNCTION("GOOGLETRANSLATE(B28842,""en"",""it"")"),"Lo solleva sul petto, poi sopra la sua testa.")</f>
        <v>Lo solleva sul petto, poi sopra la sua testa.</v>
      </c>
    </row>
    <row r="28843">
      <c r="A28843" s="4" t="s">
        <v>36326</v>
      </c>
      <c r="B28843" s="4" t="s">
        <v>36327</v>
      </c>
      <c r="C28843" s="5" t="str">
        <f>IFERROR(__xludf.DUMMYFUNCTION("GOOGLETRANSLATE(B28843,""en"",""it"")"),"Una donna è vista in piedi in un cortile con un tosaerba davanti a lei.")</f>
        <v>Una donna è vista in piedi in un cortile con un tosaerba davanti a lei.</v>
      </c>
    </row>
    <row r="28844">
      <c r="A28844" s="4" t="s">
        <v>36326</v>
      </c>
      <c r="B28844" s="4" t="s">
        <v>36328</v>
      </c>
      <c r="C28844" s="5" t="str">
        <f>IFERROR(__xludf.DUMMYFUNCTION("GOOGLETRANSLATE(B28844,""en"",""it"")"),"La ragazza spinge quindi il tosaerba lungo il cortile.")</f>
        <v>La ragazza spinge quindi il tosaerba lungo il cortile.</v>
      </c>
    </row>
    <row r="28845">
      <c r="A28845" s="4" t="s">
        <v>36326</v>
      </c>
      <c r="B28845" s="4" t="s">
        <v>36329</v>
      </c>
      <c r="C28845" s="5" t="str">
        <f>IFERROR(__xludf.DUMMYFUNCTION("GOOGLETRANSLATE(B28845,""en"",""it"")"),"La fotocamera si avvicina alla donna che continua a spingere il tosaerba e parlare alla telecamera.")</f>
        <v>La fotocamera si avvicina alla donna che continua a spingere il tosaerba e parlare alla telecamera.</v>
      </c>
    </row>
    <row r="28846">
      <c r="A28846" s="4" t="s">
        <v>36330</v>
      </c>
      <c r="B28846" s="4" t="s">
        <v>36331</v>
      </c>
      <c r="C28846" s="5" t="str">
        <f>IFERROR(__xludf.DUMMYFUNCTION("GOOGLETRANSLATE(B28846,""en"",""it"")"),"Un uomo è in piedi fuori sotto una tenda che colpisce una pinata con un bastone.")</f>
        <v>Un uomo è in piedi fuori sotto una tenda che colpisce una pinata con un bastone.</v>
      </c>
    </row>
    <row r="28847">
      <c r="A28847" s="4" t="s">
        <v>36330</v>
      </c>
      <c r="B28847" s="6" t="s">
        <v>36332</v>
      </c>
      <c r="C28847" s="5" t="str">
        <f>IFERROR(__xludf.DUMMYFUNCTION("GOOGLETRANSLATE(B28847,""en"",""it"")"),"Dopo circa tre corde, si muove e dà il bastone a una ragazza con un abito grigio e nero.")</f>
        <v>Dopo circa tre corde, si muove e dà il bastone a una ragazza con un abito grigio e nero.</v>
      </c>
    </row>
    <row r="28848">
      <c r="A28848" s="4" t="s">
        <v>36330</v>
      </c>
      <c r="B28848" s="6" t="s">
        <v>36333</v>
      </c>
      <c r="C28848" s="5" t="str">
        <f>IFERROR(__xludf.DUMMYFUNCTION("GOOGLETRANSLATE(B28848,""en"",""it"")"),"Una volta che ha il bastone, sta colpendo nella direzione sbagliata e poi viene reindirizzata verso la Pinata e finisce ancora per perdere.")</f>
        <v>Una volta che ha il bastone, sta colpendo nella direzione sbagliata e poi viene reindirizzata verso la Pinata e finisce ancora per perdere.</v>
      </c>
    </row>
    <row r="28849">
      <c r="A28849" s="4" t="s">
        <v>36334</v>
      </c>
      <c r="B28849" s="4" t="s">
        <v>36335</v>
      </c>
      <c r="C28849" s="5" t="str">
        <f>IFERROR(__xludf.DUMMYFUNCTION("GOOGLETRANSLATE(B28849,""en"",""it"")"),"Un uomo e una donna stanno ballando facendo una coreogphy Zumba nel mezzo del palcoscenico.")</f>
        <v>Un uomo e una donna stanno ballando facendo una coreogphy Zumba nel mezzo del palcoscenico.</v>
      </c>
    </row>
    <row r="28850">
      <c r="A28850" s="4" t="s">
        <v>36334</v>
      </c>
      <c r="B28850" s="4" t="s">
        <v>36336</v>
      </c>
      <c r="C28850" s="5" t="str">
        <f>IFERROR(__xludf.DUMMYFUNCTION("GOOGLETRANSLATE(B28850,""en"",""it"")"),"L'uomo che indossa un approccio di camicie grigie sul palcoscenico e continua a ballare.")</f>
        <v>L'uomo che indossa un approccio di camicie grigie sul palcoscenico e continua a ballare.</v>
      </c>
    </row>
    <row r="28851">
      <c r="A28851" s="4" t="s">
        <v>36334</v>
      </c>
      <c r="B28851" s="4" t="s">
        <v>36337</v>
      </c>
      <c r="C28851" s="5" t="str">
        <f>IFERROR(__xludf.DUMMYFUNCTION("GOOGLETRANSLATE(B28851,""en"",""it"")"),"La donna che indossa una camicia rosa è sullo sfondo con in mano un cellulare bianco e scatta foto.")</f>
        <v>La donna che indossa una camicia rosa è sullo sfondo con in mano un cellulare bianco e scatta foto.</v>
      </c>
    </row>
    <row r="28852">
      <c r="A28852" s="4" t="s">
        <v>36338</v>
      </c>
      <c r="B28852" s="4" t="s">
        <v>36339</v>
      </c>
      <c r="C28852" s="5" t="str">
        <f>IFERROR(__xludf.DUMMYFUNCTION("GOOGLETRANSLATE(B28852,""en"",""it"")"),"Un paio di ruote un piccolo vagone e un dispositivo di raffreddamento in una zona del parco.")</f>
        <v>Un paio di ruote un piccolo vagone e un dispositivo di raffreddamento in una zona del parco.</v>
      </c>
    </row>
    <row r="28853">
      <c r="A28853" s="4" t="s">
        <v>36338</v>
      </c>
      <c r="B28853" s="6" t="s">
        <v>36340</v>
      </c>
      <c r="C28853" s="5" t="str">
        <f>IFERROR(__xludf.DUMMYFUNCTION("GOOGLETRANSLATE(B28853,""en"",""it"")"),"I bastoncini vengono raccolti, quindi un anello di pietre è costrutto con i bastoncini impilati insieme a rametti all'interno.")</f>
        <v>I bastoncini vengono raccolti, quindi un anello di pietre è costrutto con i bastoncini impilati insieme a rametti all'interno.</v>
      </c>
    </row>
    <row r="28854">
      <c r="A28854" s="4" t="s">
        <v>36338</v>
      </c>
      <c r="B28854" s="4" t="s">
        <v>36341</v>
      </c>
      <c r="C28854" s="5" t="str">
        <f>IFERROR(__xludf.DUMMYFUNCTION("GOOGLETRANSLATE(B28854,""en"",""it"")"),"Il fascio di boschi è acceso e vengono aggiunti più bastoncini per continuare.")</f>
        <v>Il fascio di boschi è acceso e vengono aggiunti più bastoncini per continuare.</v>
      </c>
    </row>
    <row r="28855">
      <c r="A28855" s="4" t="s">
        <v>36338</v>
      </c>
      <c r="B28855" s="4" t="s">
        <v>36342</v>
      </c>
      <c r="C28855" s="5" t="str">
        <f>IFERROR(__xludf.DUMMYFUNCTION("GOOGLETRANSLATE(B28855,""en"",""it"")"),"L'uomo si siede su una sedia da giardino e gode della giornata.")</f>
        <v>L'uomo si siede su una sedia da giardino e gode della giornata.</v>
      </c>
    </row>
    <row r="28856">
      <c r="A28856" s="4" t="s">
        <v>36338</v>
      </c>
      <c r="B28856" s="4" t="s">
        <v>36343</v>
      </c>
      <c r="C28856" s="5" t="str">
        <f>IFERROR(__xludf.DUMMYFUNCTION("GOOGLETRANSLATE(B28856,""en"",""it"")"),"L'uomo avvita un ugello su un serbatoio di propano e alimenta il fuoco con esso.")</f>
        <v>L'uomo avvita un ugello su un serbatoio di propano e alimenta il fuoco con esso.</v>
      </c>
    </row>
    <row r="28857">
      <c r="A28857" s="4" t="s">
        <v>36338</v>
      </c>
      <c r="B28857" s="4" t="s">
        <v>36344</v>
      </c>
      <c r="C28857" s="5" t="str">
        <f>IFERROR(__xludf.DUMMYFUNCTION("GOOGLETRANSLATE(B28857,""en"",""it"")"),"Il fuoco viene messo fuori con un secchio d'acqua e coperto di terra.")</f>
        <v>Il fuoco viene messo fuori con un secchio d'acqua e coperto di terra.</v>
      </c>
    </row>
    <row r="28858">
      <c r="A28858" s="4" t="s">
        <v>36345</v>
      </c>
      <c r="B28858" s="4" t="s">
        <v>36346</v>
      </c>
      <c r="C28858" s="5" t="str">
        <f>IFERROR(__xludf.DUMMYFUNCTION("GOOGLETRANSLATE(B28858,""en"",""it"")"),"Un uomo sta togliendo una gomma da un hub con uno strumento.")</f>
        <v>Un uomo sta togliendo una gomma da un hub con uno strumento.</v>
      </c>
    </row>
    <row r="28859">
      <c r="A28859" s="4" t="s">
        <v>36345</v>
      </c>
      <c r="B28859" s="4" t="s">
        <v>36347</v>
      </c>
      <c r="C28859" s="5" t="str">
        <f>IFERROR(__xludf.DUMMYFUNCTION("GOOGLETRANSLATE(B28859,""en"",""it"")"),"Quindi mette la gomma sopra lo strumento per finire di toglierlo.")</f>
        <v>Quindi mette la gomma sopra lo strumento per finire di toglierlo.</v>
      </c>
    </row>
    <row r="28860">
      <c r="A28860" s="4" t="s">
        <v>36348</v>
      </c>
      <c r="B28860" s="4" t="s">
        <v>36349</v>
      </c>
      <c r="C28860" s="5" t="str">
        <f>IFERROR(__xludf.DUMMYFUNCTION("GOOGLETRANSLATE(B28860,""en"",""it"")"),"Una squadra di giocatori corre su un campo.")</f>
        <v>Una squadra di giocatori corre su un campo.</v>
      </c>
    </row>
    <row r="28861">
      <c r="A28861" s="4" t="s">
        <v>36348</v>
      </c>
      <c r="B28861" s="4" t="s">
        <v>36350</v>
      </c>
      <c r="C28861" s="5" t="str">
        <f>IFERROR(__xludf.DUMMYFUNCTION("GOOGLETRANSLATE(B28861,""en"",""it"")"),"Stanno tenendo una sorta di racchette.")</f>
        <v>Stanno tenendo una sorta di racchette.</v>
      </c>
    </row>
    <row r="28862">
      <c r="A28862" s="4" t="s">
        <v>36348</v>
      </c>
      <c r="B28862" s="4" t="s">
        <v>36351</v>
      </c>
      <c r="C28862" s="5" t="str">
        <f>IFERROR(__xludf.DUMMYFUNCTION("GOOGLETRANSLATE(B28862,""en"",""it"")"),"Gli oscillano l'un l'altro.")</f>
        <v>Gli oscillano l'un l'altro.</v>
      </c>
    </row>
    <row r="28863">
      <c r="A28863" s="4" t="s">
        <v>36348</v>
      </c>
      <c r="B28863" s="4" t="s">
        <v>36352</v>
      </c>
      <c r="C28863" s="5" t="str">
        <f>IFERROR(__xludf.DUMMYFUNCTION("GOOGLETRANSLATE(B28863,""en"",""it"")"),"Alcuni giocatori corrono oltre una linea gialla.")</f>
        <v>Alcuni giocatori corrono oltre una linea gialla.</v>
      </c>
    </row>
    <row r="28864">
      <c r="A28864" s="4" t="s">
        <v>36353</v>
      </c>
      <c r="B28864" s="4" t="s">
        <v>36354</v>
      </c>
      <c r="C28864" s="5" t="str">
        <f>IFERROR(__xludf.DUMMYFUNCTION("GOOGLETRANSLATE(B28864,""en"",""it"")"),"I crediti di apertura mostrano le prossime attività.")</f>
        <v>I crediti di apertura mostrano le prossime attività.</v>
      </c>
    </row>
    <row r="28865">
      <c r="A28865" s="4" t="s">
        <v>36353</v>
      </c>
      <c r="B28865" s="4" t="s">
        <v>36355</v>
      </c>
      <c r="C28865" s="5" t="str">
        <f>IFERROR(__xludf.DUMMYFUNCTION("GOOGLETRANSLATE(B28865,""en"",""it"")"),"Un uomo in plaid è in piedi contro un microfono riconoscendo la folla.")</f>
        <v>Un uomo in plaid è in piedi contro un microfono riconoscendo la folla.</v>
      </c>
    </row>
    <row r="28866">
      <c r="A28866" s="4" t="s">
        <v>36353</v>
      </c>
      <c r="B28866" s="4" t="s">
        <v>36356</v>
      </c>
      <c r="C28866" s="5" t="str">
        <f>IFERROR(__xludf.DUMMYFUNCTION("GOOGLETRANSLATE(B28866,""en"",""it"")"),"Comincia a suonare l'armonica.")</f>
        <v>Comincia a suonare l'armonica.</v>
      </c>
    </row>
    <row r="28867">
      <c r="A28867" s="4" t="s">
        <v>36353</v>
      </c>
      <c r="B28867" s="4" t="s">
        <v>36357</v>
      </c>
      <c r="C28867" s="5" t="str">
        <f>IFERROR(__xludf.DUMMYFUNCTION("GOOGLETRANSLATE(B28867,""en"",""it"")"),"L'uomo smette di suonare e balla in atto.")</f>
        <v>L'uomo smette di suonare e balla in atto.</v>
      </c>
    </row>
    <row r="28868">
      <c r="A28868" s="4" t="s">
        <v>36353</v>
      </c>
      <c r="B28868" s="4" t="s">
        <v>36358</v>
      </c>
      <c r="C28868" s="5" t="str">
        <f>IFERROR(__xludf.DUMMYFUNCTION("GOOGLETRANSLATE(B28868,""en"",""it"")"),"L'uomo continua a suonare la sua armonica.")</f>
        <v>L'uomo continua a suonare la sua armonica.</v>
      </c>
    </row>
    <row r="28869">
      <c r="A28869" s="4" t="s">
        <v>36353</v>
      </c>
      <c r="B28869" s="4" t="s">
        <v>36359</v>
      </c>
      <c r="C28869" s="5" t="str">
        <f>IFERROR(__xludf.DUMMYFUNCTION("GOOGLETRANSLATE(B28869,""en"",""it"")"),"L'uomo smette di sparare e ringrazia la folla mentre appaiono i titoli di coda.")</f>
        <v>L'uomo smette di sparare e ringrazia la folla mentre appaiono i titoli di coda.</v>
      </c>
    </row>
    <row r="28870">
      <c r="A28870" s="4" t="s">
        <v>36360</v>
      </c>
      <c r="B28870" s="4" t="s">
        <v>36361</v>
      </c>
      <c r="C28870" s="5" t="str">
        <f>IFERROR(__xludf.DUMMYFUNCTION("GOOGLETRANSLATE(B28870,""en"",""it"")"),"C'è un ragazzino vestito con una camicia rossa e jeans blu seduti su una poltrona in pelle nera.")</f>
        <v>C'è un ragazzino vestito con una camicia rossa e jeans blu seduti su una poltrona in pelle nera.</v>
      </c>
    </row>
    <row r="28871">
      <c r="A28871" s="4" t="s">
        <v>36360</v>
      </c>
      <c r="B28871" s="4" t="s">
        <v>36362</v>
      </c>
      <c r="C28871" s="5" t="str">
        <f>IFERROR(__xludf.DUMMYFUNCTION("GOOGLETRANSLATE(B28871,""en"",""it"")"),"È seduto con le mani distese.")</f>
        <v>È seduto con le mani distese.</v>
      </c>
    </row>
    <row r="28872">
      <c r="A28872" s="4" t="s">
        <v>36360</v>
      </c>
      <c r="B28872" s="4" t="s">
        <v>36363</v>
      </c>
      <c r="C28872" s="5" t="str">
        <f>IFERROR(__xludf.DUMMYFUNCTION("GOOGLETRANSLATE(B28872,""en"",""it"")"),"Un uomo in piedi accanto a lui con un piccolo bastone sollecita la mano del ragazzo con il bastone.")</f>
        <v>Un uomo in piedi accanto a lui con un piccolo bastone sollecita la mano del ragazzo con il bastone.</v>
      </c>
    </row>
    <row r="28873">
      <c r="A28873" s="4" t="s">
        <v>36360</v>
      </c>
      <c r="B28873" s="4" t="s">
        <v>36364</v>
      </c>
      <c r="C28873" s="5" t="str">
        <f>IFERROR(__xludf.DUMMYFUNCTION("GOOGLETRANSLATE(B28873,""en"",""it"")"),"Al ragazzo sembra piacere e gli chiede di farlo anche all'altra mano.")</f>
        <v>Al ragazzo sembra piacere e gli chiede di farlo anche all'altra mano.</v>
      </c>
    </row>
    <row r="28874">
      <c r="A28874" s="4" t="s">
        <v>36360</v>
      </c>
      <c r="B28874" s="4" t="s">
        <v>36365</v>
      </c>
      <c r="C28874" s="5" t="str">
        <f>IFERROR(__xludf.DUMMYFUNCTION("GOOGLETRANSLATE(B28874,""en"",""it"")"),"L'uomo solletica anche l'altra mano del ragazzino.")</f>
        <v>L'uomo solletica anche l'altra mano del ragazzino.</v>
      </c>
    </row>
    <row r="28875">
      <c r="A28875" s="4" t="s">
        <v>36360</v>
      </c>
      <c r="B28875" s="4" t="s">
        <v>36366</v>
      </c>
      <c r="C28875" s="5" t="str">
        <f>IFERROR(__xludf.DUMMYFUNCTION("GOOGLETRANSLATE(B28875,""en"",""it"")"),"Il ragazzo sorride e chiede di più.")</f>
        <v>Il ragazzo sorride e chiede di più.</v>
      </c>
    </row>
    <row r="28876">
      <c r="A28876" s="4" t="s">
        <v>36367</v>
      </c>
      <c r="B28876" s="4" t="s">
        <v>36368</v>
      </c>
      <c r="C28876" s="5" t="str">
        <f>IFERROR(__xludf.DUMMYFUNCTION("GOOGLETRANSLATE(B28876,""en"",""it"")"),"Una telecamera si lancia attorno all'erba e porta a una recinzione.")</f>
        <v>Una telecamera si lancia attorno all'erba e porta a una recinzione.</v>
      </c>
    </row>
    <row r="28877">
      <c r="A28877" s="4" t="s">
        <v>36367</v>
      </c>
      <c r="B28877" s="4" t="s">
        <v>36369</v>
      </c>
      <c r="C28877" s="5" t="str">
        <f>IFERROR(__xludf.DUMMYFUNCTION("GOOGLETRANSLATE(B28877,""en"",""it"")"),"La fotocamera si panoramica intorno alla recinzione con fiori sul lato.")</f>
        <v>La fotocamera si panoramica intorno alla recinzione con fiori sul lato.</v>
      </c>
    </row>
    <row r="28878">
      <c r="A28878" s="4" t="s">
        <v>36367</v>
      </c>
      <c r="B28878" s="4" t="s">
        <v>36370</v>
      </c>
      <c r="C28878" s="5" t="str">
        <f>IFERROR(__xludf.DUMMYFUNCTION("GOOGLETRANSLATE(B28878,""en"",""it"")"),"La fotocamera continua a panoramica attorno alla recinzione e ai diversi colori.")</f>
        <v>La fotocamera continua a panoramica attorno alla recinzione e ai diversi colori.</v>
      </c>
    </row>
    <row r="28879">
      <c r="A28879" s="4" t="s">
        <v>36371</v>
      </c>
      <c r="B28879" s="4" t="s">
        <v>36372</v>
      </c>
      <c r="C28879" s="5" t="str">
        <f>IFERROR(__xludf.DUMMYFUNCTION("GOOGLETRANSLATE(B28879,""en"",""it"")"),"Un uomo prende un narghilè ed espira anelli di fumo.")</f>
        <v>Un uomo prende un narghilè ed espira anelli di fumo.</v>
      </c>
    </row>
    <row r="28880">
      <c r="A28880" s="4" t="s">
        <v>36371</v>
      </c>
      <c r="B28880" s="4" t="s">
        <v>36373</v>
      </c>
      <c r="C28880" s="5" t="str">
        <f>IFERROR(__xludf.DUMMYFUNCTION("GOOGLETRANSLATE(B28880,""en"",""it"")"),"Si inala e lo fa di nuovo.")</f>
        <v>Si inala e lo fa di nuovo.</v>
      </c>
    </row>
    <row r="28881">
      <c r="A28881" s="4" t="s">
        <v>36374</v>
      </c>
      <c r="B28881" s="6" t="s">
        <v>36375</v>
      </c>
      <c r="C28881" s="5" t="str">
        <f>IFERROR(__xludf.DUMMYFUNCTION("GOOGLETRANSLATE(B28881,""en"",""it"")"),"Otto uomini bianchi di mezza età sono su uno di una corda che tenta di vincere una partita di tiro alla fune fuori in un campo in quello che sembra essere un torneo.")</f>
        <v>Otto uomini bianchi di mezza età sono su uno di una corda che tenta di vincere una partita di tiro alla fune fuori in un campo in quello che sembra essere un torneo.</v>
      </c>
    </row>
    <row r="28882">
      <c r="A28882" s="4" t="s">
        <v>36374</v>
      </c>
      <c r="B28882" s="4" t="s">
        <v>36376</v>
      </c>
      <c r="C28882" s="5" t="str">
        <f>IFERROR(__xludf.DUMMYFUNCTION("GOOGLETRANSLATE(B28882,""en"",""it"")"),"All'inizio del gioco, gli uomini cadono tutti in una posizione inclinata mentre lottano per tirare la corda.")</f>
        <v>All'inizio del gioco, gli uomini cadono tutti in una posizione inclinata mentre lottano per tirare la corda.</v>
      </c>
    </row>
    <row r="28883">
      <c r="A28883" s="4" t="s">
        <v>36374</v>
      </c>
      <c r="B28883" s="6" t="s">
        <v>36377</v>
      </c>
      <c r="C28883" s="5" t="str">
        <f>IFERROR(__xludf.DUMMYFUNCTION("GOOGLETRANSLATE(B28883,""en"",""it"")"),"All'improvviso, un uomo dei lati inizia a parlare con l'uomo davanti e si mette in faccia come se gli stesse dando un discorso per rimanere forte, vincere e non lasciare che l'altra squadra abbia il meglio da lui.")</f>
        <v>All'improvviso, un uomo dei lati inizia a parlare con l'uomo davanti e si mette in faccia come se gli stesse dando un discorso per rimanere forte, vincere e non lasciare che l'altra squadra abbia il meglio da lui.</v>
      </c>
    </row>
    <row r="28884">
      <c r="A28884" s="4" t="s">
        <v>36374</v>
      </c>
      <c r="B28884" s="6" t="s">
        <v>36378</v>
      </c>
      <c r="C28884" s="5" t="str">
        <f>IFERROR(__xludf.DUMMYFUNCTION("GOOGLETRANSLATE(B28884,""en"",""it"")"),"Il gioco continua e puoi vedere che la squadra è droga, ma improvvisamente guadagnano forza e tirano indietro la corda al loro fianco, quindi si alzano tutti mentre il gioco è finito.")</f>
        <v>Il gioco continua e puoi vedere che la squadra è droga, ma improvvisamente guadagnano forza e tirano indietro la corda al loro fianco, quindi si alzano tutti mentre il gioco è finito.</v>
      </c>
    </row>
    <row r="28885">
      <c r="A28885" s="4" t="s">
        <v>36379</v>
      </c>
      <c r="B28885" s="4" t="s">
        <v>36380</v>
      </c>
      <c r="C28885" s="5" t="str">
        <f>IFERROR(__xludf.DUMMYFUNCTION("GOOGLETRANSLATE(B28885,""en"",""it"")"),"Due persone entrano in un camion.")</f>
        <v>Due persone entrano in un camion.</v>
      </c>
    </row>
    <row r="28886">
      <c r="A28886" s="4" t="s">
        <v>36379</v>
      </c>
      <c r="B28886" s="4" t="s">
        <v>36381</v>
      </c>
      <c r="C28886" s="5" t="str">
        <f>IFERROR(__xludf.DUMMYFUNCTION("GOOGLETRANSLATE(B28886,""en"",""it"")"),"Guidano sulla strada.")</f>
        <v>Guidano sulla strada.</v>
      </c>
    </row>
    <row r="28887">
      <c r="A28887" s="4" t="s">
        <v>36379</v>
      </c>
      <c r="B28887" s="4" t="s">
        <v>36382</v>
      </c>
      <c r="C28887" s="5" t="str">
        <f>IFERROR(__xludf.DUMMYFUNCTION("GOOGLETRANSLATE(B28887,""en"",""it"")"),"Un uomo che trasporta una scala lo mette contro una casa.")</f>
        <v>Un uomo che trasporta una scala lo mette contro una casa.</v>
      </c>
    </row>
    <row r="28888">
      <c r="A28888" s="4" t="s">
        <v>36379</v>
      </c>
      <c r="B28888" s="4" t="s">
        <v>36383</v>
      </c>
      <c r="C28888" s="5" t="str">
        <f>IFERROR(__xludf.DUMMYFUNCTION("GOOGLETRANSLATE(B28888,""en"",""it"")"),"La donna guarda l'uomo.")</f>
        <v>La donna guarda l'uomo.</v>
      </c>
    </row>
    <row r="28889">
      <c r="A28889" s="4" t="s">
        <v>36379</v>
      </c>
      <c r="B28889" s="4" t="s">
        <v>36384</v>
      </c>
      <c r="C28889" s="5" t="str">
        <f>IFERROR(__xludf.DUMMYFUNCTION("GOOGLETRANSLATE(B28889,""en"",""it"")"),"L'uomo guarda il tetto della casa sulla scala.")</f>
        <v>L'uomo guarda il tetto della casa sulla scala.</v>
      </c>
    </row>
    <row r="28890">
      <c r="A28890" s="4" t="s">
        <v>36379</v>
      </c>
      <c r="B28890" s="4" t="s">
        <v>36385</v>
      </c>
      <c r="C28890" s="5" t="str">
        <f>IFERROR(__xludf.DUMMYFUNCTION("GOOGLETRANSLATE(B28890,""en"",""it"")"),"Le mostra qualcosa e lei se lo tiene in mano.")</f>
        <v>Le mostra qualcosa e lei se lo tiene in mano.</v>
      </c>
    </row>
    <row r="28891">
      <c r="A28891" s="4" t="s">
        <v>36379</v>
      </c>
      <c r="B28891" s="4" t="s">
        <v>36386</v>
      </c>
      <c r="C28891" s="5" t="str">
        <f>IFERROR(__xludf.DUMMYFUNCTION("GOOGLETRANSLATE(B28891,""en"",""it"")"),"Un uomo parla di fronte a una casa.")</f>
        <v>Un uomo parla di fronte a una casa.</v>
      </c>
    </row>
    <row r="28892">
      <c r="A28892" s="4" t="s">
        <v>36379</v>
      </c>
      <c r="B28892" s="4" t="s">
        <v>36387</v>
      </c>
      <c r="C28892" s="5" t="str">
        <f>IFERROR(__xludf.DUMMYFUNCTION("GOOGLETRANSLATE(B28892,""en"",""it"")"),"Un uomo si arrampica su una scala e guarda un tetto.")</f>
        <v>Un uomo si arrampica su una scala e guarda un tetto.</v>
      </c>
    </row>
    <row r="28893">
      <c r="A28893" s="4" t="s">
        <v>36379</v>
      </c>
      <c r="B28893" s="4" t="s">
        <v>36388</v>
      </c>
      <c r="C28893" s="5" t="str">
        <f>IFERROR(__xludf.DUMMYFUNCTION("GOOGLETRANSLATE(B28893,""en"",""it"")"),"Un uomo attraversa una pila di carte.")</f>
        <v>Un uomo attraversa una pila di carte.</v>
      </c>
    </row>
    <row r="28894">
      <c r="A28894" s="4" t="s">
        <v>36379</v>
      </c>
      <c r="B28894" s="4" t="s">
        <v>36389</v>
      </c>
      <c r="C28894" s="5" t="str">
        <f>IFERROR(__xludf.DUMMYFUNCTION("GOOGLETRANSLATE(B28894,""en"",""it"")"),"Mostra i documenti sullo schermo.")</f>
        <v>Mostra i documenti sullo schermo.</v>
      </c>
    </row>
    <row r="28895">
      <c r="A28895" s="4" t="s">
        <v>36390</v>
      </c>
      <c r="B28895" s="4" t="s">
        <v>36391</v>
      </c>
      <c r="C28895" s="5" t="str">
        <f>IFERROR(__xludf.DUMMYFUNCTION("GOOGLETRANSLATE(B28895,""en"",""it"")"),"Una ginnasta si vede in piedi davanti a un raggio che alza le braccia e altri che guardano sul lato.")</f>
        <v>Una ginnasta si vede in piedi davanti a un raggio che alza le braccia e altri che guardano sul lato.</v>
      </c>
    </row>
    <row r="28896">
      <c r="A28896" s="4" t="s">
        <v>36390</v>
      </c>
      <c r="B28896" s="4" t="s">
        <v>36392</v>
      </c>
      <c r="C28896" s="5" t="str">
        <f>IFERROR(__xludf.DUMMYFUNCTION("GOOGLETRANSLATE(B28896,""en"",""it"")"),"La donna esegue quindi una routine di ginnaste di fronte a un folto gruppo di persone.")</f>
        <v>La donna esegue quindi una routine di ginnaste di fronte a un folto gruppo di persone.</v>
      </c>
    </row>
    <row r="28897">
      <c r="A28897" s="4" t="s">
        <v>36390</v>
      </c>
      <c r="B28897" s="6" t="s">
        <v>36393</v>
      </c>
      <c r="C28897" s="5" t="str">
        <f>IFERROR(__xludf.DUMMYFUNCTION("GOOGLETRANSLATE(B28897,""en"",""it"")"),"A un certo punto cade e salta di nuovo per finire la sua routine e termina saltando di lato.")</f>
        <v>A un certo punto cade e salta di nuovo per finire la sua routine e termina saltando di lato.</v>
      </c>
    </row>
    <row r="28898">
      <c r="A28898" s="4" t="s">
        <v>36394</v>
      </c>
      <c r="B28898" s="4" t="s">
        <v>36395</v>
      </c>
      <c r="C28898" s="5" t="str">
        <f>IFERROR(__xludf.DUMMYFUNCTION("GOOGLETRANSLATE(B28898,""en"",""it"")"),"Un uomo sta spiegando come suonare la batteria sui bong.")</f>
        <v>Un uomo sta spiegando come suonare la batteria sui bong.</v>
      </c>
    </row>
    <row r="28899">
      <c r="A28899" s="4" t="s">
        <v>36394</v>
      </c>
      <c r="B28899" s="4" t="s">
        <v>36396</v>
      </c>
      <c r="C28899" s="5" t="str">
        <f>IFERROR(__xludf.DUMMYFUNCTION("GOOGLETRANSLATE(B28899,""en"",""it"")"),"Dimostra come alterna tra tre bongos.")</f>
        <v>Dimostra come alterna tra tre bongos.</v>
      </c>
    </row>
    <row r="28900">
      <c r="A28900" s="4" t="s">
        <v>36394</v>
      </c>
      <c r="B28900" s="4" t="s">
        <v>36397</v>
      </c>
      <c r="C28900" s="5" t="str">
        <f>IFERROR(__xludf.DUMMYFUNCTION("GOOGLETRANSLATE(B28900,""en"",""it"")"),"Successivamente passa a un ritmo e ritmo molto più lento battendo i bongos.")</f>
        <v>Successivamente passa a un ritmo e ritmo molto più lento battendo i bongos.</v>
      </c>
    </row>
    <row r="28901">
      <c r="A28901" s="4" t="s">
        <v>36394</v>
      </c>
      <c r="B28901" s="4" t="s">
        <v>36398</v>
      </c>
      <c r="C28901" s="5" t="str">
        <f>IFERROR(__xludf.DUMMYFUNCTION("GOOGLETRANSLATE(B28901,""en"",""it"")"),"Spiega come i battiti sul tamburo cambiano quando il ritmo cambia.")</f>
        <v>Spiega come i battiti sul tamburo cambiano quando il ritmo cambia.</v>
      </c>
    </row>
    <row r="28902">
      <c r="A28902" s="4" t="s">
        <v>36394</v>
      </c>
      <c r="B28902" s="6" t="s">
        <v>36399</v>
      </c>
      <c r="C28902" s="5" t="str">
        <f>IFERROR(__xludf.DUMMYFUNCTION("GOOGLETRANSLATE(B28902,""en"",""it"")"),"Quindi torna a un ritmo più veloce e ritmo ai tamburi alternando tra due tamburi.")</f>
        <v>Quindi torna a un ritmo più veloce e ritmo ai tamburi alternando tra due tamburi.</v>
      </c>
    </row>
    <row r="28903">
      <c r="A28903" s="4" t="s">
        <v>36400</v>
      </c>
      <c r="B28903" s="4" t="s">
        <v>36401</v>
      </c>
      <c r="C28903" s="5" t="str">
        <f>IFERROR(__xludf.DUMMYFUNCTION("GOOGLETRANSLATE(B28903,""en"",""it"")"),"Una donna si trova alla fine di una tavola da immersione.")</f>
        <v>Una donna si trova alla fine di una tavola da immersione.</v>
      </c>
    </row>
    <row r="28904">
      <c r="A28904" s="4" t="s">
        <v>36400</v>
      </c>
      <c r="B28904" s="4" t="s">
        <v>36402</v>
      </c>
      <c r="C28904" s="5" t="str">
        <f>IFERROR(__xludf.DUMMYFUNCTION("GOOGLETRANSLATE(B28904,""en"",""it"")"),"Rimbalza leggermente su e giù.")</f>
        <v>Rimbalza leggermente su e giù.</v>
      </c>
    </row>
    <row r="28905">
      <c r="A28905" s="4" t="s">
        <v>36400</v>
      </c>
      <c r="B28905" s="4" t="s">
        <v>36403</v>
      </c>
      <c r="C28905" s="5" t="str">
        <f>IFERROR(__xludf.DUMMYFUNCTION("GOOGLETRANSLATE(B28905,""en"",""it"")"),"Quindi fa un backflip nell'acqua.")</f>
        <v>Quindi fa un backflip nell'acqua.</v>
      </c>
    </row>
    <row r="28906">
      <c r="A28906" s="4" t="s">
        <v>36404</v>
      </c>
      <c r="B28906" s="4" t="s">
        <v>36405</v>
      </c>
      <c r="C28906" s="5" t="str">
        <f>IFERROR(__xludf.DUMMYFUNCTION("GOOGLETRANSLATE(B28906,""en"",""it"")"),"Un gruppo di donne viene raccolto in una stanza, quindi vai in spiaggia.")</f>
        <v>Un gruppo di donne viene raccolto in una stanza, quindi vai in spiaggia.</v>
      </c>
    </row>
    <row r="28907">
      <c r="A28907" s="4" t="s">
        <v>36404</v>
      </c>
      <c r="B28907" s="4" t="s">
        <v>36406</v>
      </c>
      <c r="C28907" s="5" t="str">
        <f>IFERROR(__xludf.DUMMYFUNCTION("GOOGLETRANSLATE(B28907,""en"",""it"")"),"Una donna fotografa gli altri sotto il molo.")</f>
        <v>Una donna fotografa gli altri sotto il molo.</v>
      </c>
    </row>
    <row r="28908">
      <c r="A28908" s="4" t="s">
        <v>36404</v>
      </c>
      <c r="B28908" s="4" t="s">
        <v>36407</v>
      </c>
      <c r="C28908" s="5" t="str">
        <f>IFERROR(__xludf.DUMMYFUNCTION("GOOGLETRANSLATE(B28908,""en"",""it"")"),"Parlano con la telecamera tra i germogli.")</f>
        <v>Parlano con la telecamera tra i germogli.</v>
      </c>
    </row>
    <row r="28909">
      <c r="A28909" s="4" t="s">
        <v>36408</v>
      </c>
      <c r="B28909" s="4" t="s">
        <v>36409</v>
      </c>
      <c r="C28909" s="5" t="str">
        <f>IFERROR(__xludf.DUMMYFUNCTION("GOOGLETRANSLATE(B28909,""en"",""it"")"),"Un uomo si prende un momento per sé prima di iniziare a suonare la chitarra.")</f>
        <v>Un uomo si prende un momento per sé prima di iniziare a suonare la chitarra.</v>
      </c>
    </row>
    <row r="28910">
      <c r="A28910" s="4" t="s">
        <v>36408</v>
      </c>
      <c r="B28910" s="4" t="s">
        <v>36410</v>
      </c>
      <c r="C28910" s="5" t="str">
        <f>IFERROR(__xludf.DUMMYFUNCTION("GOOGLETRANSLATE(B28910,""en"",""it"")"),"L'uomo suona la chitarra.")</f>
        <v>L'uomo suona la chitarra.</v>
      </c>
    </row>
    <row r="28911">
      <c r="A28911" s="4" t="s">
        <v>36408</v>
      </c>
      <c r="B28911" s="4" t="s">
        <v>36411</v>
      </c>
      <c r="C28911" s="5" t="str">
        <f>IFERROR(__xludf.DUMMYFUNCTION("GOOGLETRANSLATE(B28911,""en"",""it"")"),"L'uomo smette di suonare la chitarra.")</f>
        <v>L'uomo smette di suonare la chitarra.</v>
      </c>
    </row>
    <row r="28912">
      <c r="A28912" s="4" t="s">
        <v>36412</v>
      </c>
      <c r="B28912" s="4" t="s">
        <v>36413</v>
      </c>
      <c r="C28912" s="5" t="str">
        <f>IFERROR(__xludf.DUMMYFUNCTION("GOOGLETRANSLATE(B28912,""en"",""it"")"),"Due persone stanno giocando a Ping Pong.")</f>
        <v>Due persone stanno giocando a Ping Pong.</v>
      </c>
    </row>
    <row r="28913">
      <c r="A28913" s="4" t="s">
        <v>36412</v>
      </c>
      <c r="B28913" s="4" t="s">
        <v>36414</v>
      </c>
      <c r="C28913" s="5" t="str">
        <f>IFERROR(__xludf.DUMMYFUNCTION("GOOGLETRANSLATE(B28913,""en"",""it"")"),"Le persone giocano a basket dietro di loro.")</f>
        <v>Le persone giocano a basket dietro di loro.</v>
      </c>
    </row>
    <row r="28914">
      <c r="A28914" s="4" t="s">
        <v>36412</v>
      </c>
      <c r="B28914" s="4" t="s">
        <v>36415</v>
      </c>
      <c r="C28914" s="5" t="str">
        <f>IFERROR(__xludf.DUMMYFUNCTION("GOOGLETRANSLATE(B28914,""en"",""it"")"),"L'uomo afferra di nuovo la palla e la serve attraverso il tavolo.")</f>
        <v>L'uomo afferra di nuovo la palla e la serve attraverso il tavolo.</v>
      </c>
    </row>
    <row r="28915">
      <c r="A28915" s="4" t="s">
        <v>36412</v>
      </c>
      <c r="B28915" s="4" t="s">
        <v>36416</v>
      </c>
      <c r="C28915" s="5" t="str">
        <f>IFERROR(__xludf.DUMMYFUNCTION("GOOGLETRANSLATE(B28915,""en"",""it"")"),"L'uomo tiene un telefono e scatta una foto con la ragazza.")</f>
        <v>L'uomo tiene un telefono e scatta una foto con la ragazza.</v>
      </c>
    </row>
    <row r="28916">
      <c r="A28916" s="4" t="s">
        <v>36417</v>
      </c>
      <c r="B28916" s="4" t="s">
        <v>36418</v>
      </c>
      <c r="C28916" s="5" t="str">
        <f>IFERROR(__xludf.DUMMYFUNCTION("GOOGLETRANSLATE(B28916,""en"",""it"")"),"Una signora anziana in un tutore al collo urla alla telecamera in un negozio di alimentari.")</f>
        <v>Una signora anziana in un tutore al collo urla alla telecamera in un negozio di alimentari.</v>
      </c>
    </row>
    <row r="28917">
      <c r="A28917" s="4" t="s">
        <v>36417</v>
      </c>
      <c r="B28917" s="4" t="s">
        <v>36419</v>
      </c>
      <c r="C28917" s="5" t="str">
        <f>IFERROR(__xludf.DUMMYFUNCTION("GOOGLETRANSLATE(B28917,""en"",""it"")"),"La signora aspira il pavimento nel negozio.")</f>
        <v>La signora aspira il pavimento nel negozio.</v>
      </c>
    </row>
    <row r="28918">
      <c r="A28918" s="4" t="s">
        <v>36417</v>
      </c>
      <c r="B28918" s="4" t="s">
        <v>36420</v>
      </c>
      <c r="C28918" s="5" t="str">
        <f>IFERROR(__xludf.DUMMYFUNCTION("GOOGLETRANSLATE(B28918,""en"",""it"")"),"La signora balla alla musica e finge di suonare una chitarra.")</f>
        <v>La signora balla alla musica e finge di suonare una chitarra.</v>
      </c>
    </row>
    <row r="28919">
      <c r="A28919" s="4" t="s">
        <v>36417</v>
      </c>
      <c r="B28919" s="4" t="s">
        <v>36421</v>
      </c>
      <c r="C28919" s="5" t="str">
        <f>IFERROR(__xludf.DUMMYFUNCTION("GOOGLETRANSLATE(B28919,""en"",""it"")"),"La signora si toglie gli occhiali da sole e parla alla telecamera.")</f>
        <v>La signora si toglie gli occhiali da sole e parla alla telecamera.</v>
      </c>
    </row>
    <row r="28920">
      <c r="A28920" s="4" t="s">
        <v>36417</v>
      </c>
      <c r="B28920" s="4" t="s">
        <v>36422</v>
      </c>
      <c r="C28920" s="5" t="str">
        <f>IFERROR(__xludf.DUMMYFUNCTION("GOOGLETRANSLATE(B28920,""en"",""it"")"),"Finiamo vederla in piedi in un corridoio.")</f>
        <v>Finiamo vederla in piedi in un corridoio.</v>
      </c>
    </row>
    <row r="28921">
      <c r="A28921" s="4" t="s">
        <v>36423</v>
      </c>
      <c r="B28921" s="4" t="s">
        <v>36424</v>
      </c>
      <c r="C28921" s="5" t="str">
        <f>IFERROR(__xludf.DUMMYFUNCTION("GOOGLETRANSLATE(B28921,""en"",""it"")"),"C'è un gruppo di cantanti pop coreani che si esibiscono su un palcoscenico.")</f>
        <v>C'è un gruppo di cantanti pop coreani che si esibiscono su un palcoscenico.</v>
      </c>
    </row>
    <row r="28922">
      <c r="A28922" s="4" t="s">
        <v>36423</v>
      </c>
      <c r="B28922" s="4" t="s">
        <v>36425</v>
      </c>
      <c r="C28922" s="5" t="str">
        <f>IFERROR(__xludf.DUMMYFUNCTION("GOOGLETRANSLATE(B28922,""en"",""it"")"),"Uno dei cantanti sta suonando il violino mentre il pubblico applaude e applaude per lui.")</f>
        <v>Uno dei cantanti sta suonando il violino mentre il pubblico applaude e applaude per lui.</v>
      </c>
    </row>
    <row r="28923">
      <c r="A28923" s="4" t="s">
        <v>36423</v>
      </c>
      <c r="B28923" s="4" t="s">
        <v>36426</v>
      </c>
      <c r="C28923" s="5" t="str">
        <f>IFERROR(__xludf.DUMMYFUNCTION("GOOGLETRANSLATE(B28923,""en"",""it"")"),"Quindi un altro cantante afferra il microfono e parla al pubblico.")</f>
        <v>Quindi un altro cantante afferra il microfono e parla al pubblico.</v>
      </c>
    </row>
    <row r="28924">
      <c r="A28924" s="4" t="s">
        <v>36423</v>
      </c>
      <c r="B28924" s="4" t="s">
        <v>36427</v>
      </c>
      <c r="C28924" s="5" t="str">
        <f>IFERROR(__xludf.DUMMYFUNCTION("GOOGLETRANSLATE(B28924,""en"",""it"")"),"Il pubblico applaude e sorride mentre guardano.")</f>
        <v>Il pubblico applaude e sorride mentre guardano.</v>
      </c>
    </row>
    <row r="28925">
      <c r="A28925" s="4" t="s">
        <v>36423</v>
      </c>
      <c r="B28925" s="4" t="s">
        <v>36428</v>
      </c>
      <c r="C28925" s="5" t="str">
        <f>IFERROR(__xludf.DUMMYFUNCTION("GOOGLETRANSLATE(B28925,""en"",""it"")"),"L'esecutore canta mentre suona il violino e poi si inchina di fronte al pubblico.")</f>
        <v>L'esecutore canta mentre suona il violino e poi si inchina di fronte al pubblico.</v>
      </c>
    </row>
    <row r="28926">
      <c r="A28926" s="4" t="s">
        <v>36423</v>
      </c>
      <c r="B28926" s="4" t="s">
        <v>36429</v>
      </c>
      <c r="C28926" s="5" t="str">
        <f>IFERROR(__xludf.DUMMYFUNCTION("GOOGLETRANSLATE(B28926,""en"",""it"")"),"La folla applaude e applaude per lui.")</f>
        <v>La folla applaude e applaude per lui.</v>
      </c>
    </row>
    <row r="28927">
      <c r="A28927" s="4" t="s">
        <v>36430</v>
      </c>
      <c r="B28927" s="4" t="s">
        <v>36431</v>
      </c>
      <c r="C28927" s="5" t="str">
        <f>IFERROR(__xludf.DUMMYFUNCTION("GOOGLETRANSLATE(B28927,""en"",""it"")"),"Un uomo è in palestra preparando a sollevare una serie di pesi posizionati su un bar.")</f>
        <v>Un uomo è in palestra preparando a sollevare una serie di pesi posizionati su un bar.</v>
      </c>
    </row>
    <row r="28928">
      <c r="A28928" s="4" t="s">
        <v>36430</v>
      </c>
      <c r="B28928" s="4" t="s">
        <v>36432</v>
      </c>
      <c r="C28928" s="5" t="str">
        <f>IFERROR(__xludf.DUMMYFUNCTION("GOOGLETRANSLATE(B28928,""en"",""it"")"),"Successivamente lo schermo lampeggia a un maschio più giovane che si masturba e poi lascia cadere la barra a terra.")</f>
        <v>Successivamente lo schermo lampeggia a un maschio più giovane che si masturba e poi lascia cadere la barra a terra.</v>
      </c>
    </row>
    <row r="28929">
      <c r="A28929" s="4" t="s">
        <v>36430</v>
      </c>
      <c r="B28929" s="4" t="s">
        <v>36433</v>
      </c>
      <c r="C28929" s="5" t="str">
        <f>IFERROR(__xludf.DUMMYFUNCTION("GOOGLETRANSLATE(B28929,""en"",""it"")"),"Diverse altre persone vengono mostrate sollevare pesi e lasciarli cadere a terra.")</f>
        <v>Diverse altre persone vengono mostrate sollevare pesi e lasciarli cadere a terra.</v>
      </c>
    </row>
    <row r="28930">
      <c r="A28930" s="4" t="s">
        <v>36430</v>
      </c>
      <c r="B28930" s="6" t="s">
        <v>36434</v>
      </c>
      <c r="C28930" s="5" t="str">
        <f>IFERROR(__xludf.DUMMYFUNCTION("GOOGLETRANSLATE(B28930,""en"",""it"")"),"L'uomo inizia a ballare mentre si solleva e lascia cadere la barra e si ripete la continuazione del sollevamento pesi.")</f>
        <v>L'uomo inizia a ballare mentre si solleva e lascia cadere la barra e si ripete la continuazione del sollevamento pesi.</v>
      </c>
    </row>
    <row r="28931">
      <c r="A28931" s="4" t="s">
        <v>36430</v>
      </c>
      <c r="B28931" s="4" t="s">
        <v>36435</v>
      </c>
      <c r="C28931" s="5" t="str">
        <f>IFERROR(__xludf.DUMMYFUNCTION("GOOGLETRANSLATE(B28931,""en"",""it"")"),"Dopo, gli uomini continuano a camminare in palestra mangiando una barra proteica.")</f>
        <v>Dopo, gli uomini continuano a camminare in palestra mangiando una barra proteica.</v>
      </c>
    </row>
    <row r="28932">
      <c r="A28932" s="4" t="s">
        <v>36436</v>
      </c>
      <c r="B28932" s="4" t="s">
        <v>36437</v>
      </c>
      <c r="C28932" s="5" t="str">
        <f>IFERROR(__xludf.DUMMYFUNCTION("GOOGLETRANSLATE(B28932,""en"",""it"")"),"Una persona è vista puntare una pistola da paintball in lontananza in un grande campo.")</f>
        <v>Una persona è vista puntare una pistola da paintball in lontananza in un grande campo.</v>
      </c>
    </row>
    <row r="28933">
      <c r="A28933" s="4" t="s">
        <v>36436</v>
      </c>
      <c r="B28933" s="4" t="s">
        <v>36438</v>
      </c>
      <c r="C28933" s="5" t="str">
        <f>IFERROR(__xludf.DUMMYFUNCTION("GOOGLETRANSLATE(B28933,""en"",""it"")"),"Molte persone guardano sul lato mentre mira l'uomo.")</f>
        <v>Molte persone guardano sul lato mentre mira l'uomo.</v>
      </c>
    </row>
    <row r="28934">
      <c r="A28934" s="4" t="s">
        <v>36436</v>
      </c>
      <c r="B28934" s="4" t="s">
        <v>36439</v>
      </c>
      <c r="C28934" s="5" t="str">
        <f>IFERROR(__xludf.DUMMYFUNCTION("GOOGLETRANSLATE(B28934,""en"",""it"")"),"All'improvviso un'altra persona entra in cornice e gioca con l'uomo.")</f>
        <v>All'improvviso un'altra persona entra in cornice e gioca con l'uomo.</v>
      </c>
    </row>
    <row r="28935">
      <c r="A28935" s="4" t="s">
        <v>36440</v>
      </c>
      <c r="B28935" s="4" t="s">
        <v>36441</v>
      </c>
      <c r="C28935" s="5" t="str">
        <f>IFERROR(__xludf.DUMMYFUNCTION("GOOGLETRANSLATE(B28935,""en"",""it"")"),"Un ragazzo prende un rastrello da terra e lo porta.")</f>
        <v>Un ragazzo prende un rastrello da terra e lo porta.</v>
      </c>
    </row>
    <row r="28936">
      <c r="A28936" s="4" t="s">
        <v>36440</v>
      </c>
      <c r="B28936" s="4" t="s">
        <v>36442</v>
      </c>
      <c r="C28936" s="5" t="str">
        <f>IFERROR(__xludf.DUMMYFUNCTION("GOOGLETRANSLATE(B28936,""en"",""it"")"),"Un uomo scende una diapositiva indossando un casco blu.")</f>
        <v>Un uomo scende una diapositiva indossando un casco blu.</v>
      </c>
    </row>
    <row r="28937">
      <c r="A28937" s="4" t="s">
        <v>36440</v>
      </c>
      <c r="B28937" s="4" t="s">
        <v>36443</v>
      </c>
      <c r="C28937" s="5" t="str">
        <f>IFERROR(__xludf.DUMMYFUNCTION("GOOGLETRANSLATE(B28937,""en"",""it"")"),"Cade a terra dopo essere sceso dalla diapositiva.")</f>
        <v>Cade a terra dopo essere sceso dalla diapositiva.</v>
      </c>
    </row>
    <row r="28938">
      <c r="A28938" s="4" t="s">
        <v>36444</v>
      </c>
      <c r="B28938" s="6" t="s">
        <v>36445</v>
      </c>
      <c r="C28938" s="5" t="str">
        <f>IFERROR(__xludf.DUMMYFUNCTION("GOOGLETRANSLATE(B28938,""en"",""it"")"),"Un piccolo gruppo di ragazze è visto in piedi pronti con bandiere e conducono in esse eseguendo una routine.")</f>
        <v>Un piccolo gruppo di ragazze è visto in piedi pronti con bandiere e conducono in esse eseguendo una routine.</v>
      </c>
    </row>
    <row r="28939">
      <c r="A28939" s="4" t="s">
        <v>36444</v>
      </c>
      <c r="B28939" s="6" t="s">
        <v>36446</v>
      </c>
      <c r="C28939" s="5" t="str">
        <f>IFERROR(__xludf.DUMMYFUNCTION("GOOGLETRANSLATE(B28939,""en"",""it"")"),"Un uomo si siede di fronte a loro suonando uno strumento mentre continuano a girare e molti sui lati.")</f>
        <v>Un uomo si siede di fronte a loro suonando uno strumento mentre continuano a girare e molti sui lati.</v>
      </c>
    </row>
    <row r="28940">
      <c r="A28940" s="4" t="s">
        <v>36447</v>
      </c>
      <c r="B28940" s="4" t="s">
        <v>36448</v>
      </c>
      <c r="C28940" s="5" t="str">
        <f>IFERROR(__xludf.DUMMYFUNCTION("GOOGLETRANSLATE(B28940,""en"",""it"")"),"Un giocatore sulla squadra arancione pattina con il disco fino a quando non viene inciampato e cade.")</f>
        <v>Un giocatore sulla squadra arancione pattina con il disco fino a quando non viene inciampato e cade.</v>
      </c>
    </row>
    <row r="28941">
      <c r="A28941" s="4" t="s">
        <v>36447</v>
      </c>
      <c r="B28941" s="6" t="s">
        <v>36449</v>
      </c>
      <c r="C28941" s="5" t="str">
        <f>IFERROR(__xludf.DUMMYFUNCTION("GOOGLETRANSLATE(B28941,""en"",""it"")"),"Il giocatore 18 della squadra grigia recupera il disco e fa una rompata dal ghiaccio per esaminare i difensori.")</f>
        <v>Il giocatore 18 della squadra grigia recupera il disco e fa una rompata dal ghiaccio per esaminare i difensori.</v>
      </c>
    </row>
    <row r="28942">
      <c r="A28942" s="4" t="s">
        <v>36447</v>
      </c>
      <c r="B28942" s="4" t="s">
        <v>36450</v>
      </c>
      <c r="C28942" s="5" t="str">
        <f>IFERROR(__xludf.DUMMYFUNCTION("GOOGLETRANSLATE(B28942,""en"",""it"")"),"Il giocatore 18 prende un tiro in porta.")</f>
        <v>Il giocatore 18 prende un tiro in porta.</v>
      </c>
    </row>
    <row r="28943">
      <c r="A28943" s="4" t="s">
        <v>36447</v>
      </c>
      <c r="B28943" s="4" t="s">
        <v>36451</v>
      </c>
      <c r="C28943" s="5" t="str">
        <f>IFERROR(__xludf.DUMMYFUNCTION("GOOGLETRANSLATE(B28943,""en"",""it"")"),"Il portiere sulla squadra arancione blocca il tiro e rimette in gioco il disco.")</f>
        <v>Il portiere sulla squadra arancione blocca il tiro e rimette in gioco il disco.</v>
      </c>
    </row>
    <row r="28944">
      <c r="A28944" s="4" t="s">
        <v>36447</v>
      </c>
      <c r="B28944" s="6" t="s">
        <v>36452</v>
      </c>
      <c r="C28944" s="5" t="str">
        <f>IFERROR(__xludf.DUMMYFUNCTION("GOOGLETRANSLATE(B28944,""en"",""it"")"),"Il giocatore 4 della squadra arancione porta il disco lungo il ghiaccio passando una volta su di sé i difensori.")</f>
        <v>Il giocatore 4 della squadra arancione porta il disco lungo il ghiaccio passando una volta su di sé i difensori.</v>
      </c>
    </row>
    <row r="28945">
      <c r="A28945" s="4" t="s">
        <v>36447</v>
      </c>
      <c r="B28945" s="4" t="s">
        <v>36453</v>
      </c>
      <c r="C28945" s="5" t="str">
        <f>IFERROR(__xludf.DUMMYFUNCTION("GOOGLETRANSLATE(B28945,""en"",""it"")"),"Il giocatore 4 prende un tiro in porta e segna.")</f>
        <v>Il giocatore 4 prende un tiro in porta e segna.</v>
      </c>
    </row>
    <row r="28946">
      <c r="A28946" s="4" t="s">
        <v>36447</v>
      </c>
      <c r="B28946" s="4" t="s">
        <v>36454</v>
      </c>
      <c r="C28946" s="5" t="str">
        <f>IFERROR(__xludf.DUMMYFUNCTION("GOOGLETRANSLATE(B28946,""en"",""it"")"),"Il giocatore 4 e i compagni di squadra festeggiano e la vittoria e pattinano dal ghiaccio.")</f>
        <v>Il giocatore 4 e i compagni di squadra festeggiano e la vittoria e pattinano dal ghiaccio.</v>
      </c>
    </row>
    <row r="28947">
      <c r="A28947" s="4" t="s">
        <v>36455</v>
      </c>
      <c r="B28947" s="4" t="s">
        <v>36456</v>
      </c>
      <c r="C28947" s="5" t="str">
        <f>IFERROR(__xludf.DUMMYFUNCTION("GOOGLETRANSLATE(B28947,""en"",""it"")"),"Un uomo seduto pulisce una scarpa in un ambiente di classe con altre persone.")</f>
        <v>Un uomo seduto pulisce una scarpa in un ambiente di classe con altre persone.</v>
      </c>
    </row>
    <row r="28948">
      <c r="A28948" s="4" t="s">
        <v>36455</v>
      </c>
      <c r="B28948" s="4" t="s">
        <v>36457</v>
      </c>
      <c r="C28948" s="5" t="str">
        <f>IFERROR(__xludf.DUMMYFUNCTION("GOOGLETRANSLATE(B28948,""en"",""it"")"),"L'uomo si gira verso la fotocamera e sorride.")</f>
        <v>L'uomo si gira verso la fotocamera e sorride.</v>
      </c>
    </row>
    <row r="28949">
      <c r="A28949" s="4" t="s">
        <v>36455</v>
      </c>
      <c r="B28949" s="4" t="s">
        <v>36458</v>
      </c>
      <c r="C28949" s="5" t="str">
        <f>IFERROR(__xludf.DUMMYFUNCTION("GOOGLETRANSLATE(B28949,""en"",""it"")"),"L'uomo ride mentre tiene la scarpa verso il basso.")</f>
        <v>L'uomo ride mentre tiene la scarpa verso il basso.</v>
      </c>
    </row>
    <row r="28950">
      <c r="A28950" s="4" t="s">
        <v>36459</v>
      </c>
      <c r="B28950" s="4" t="s">
        <v>36460</v>
      </c>
      <c r="C28950" s="5" t="str">
        <f>IFERROR(__xludf.DUMMYFUNCTION("GOOGLETRANSLATE(B28950,""en"",""it"")"),"Vediamo zattere e persone in un edificio.")</f>
        <v>Vediamo zattere e persone in un edificio.</v>
      </c>
    </row>
    <row r="28951">
      <c r="A28951" s="4" t="s">
        <v>36459</v>
      </c>
      <c r="B28951" s="4" t="s">
        <v>36461</v>
      </c>
      <c r="C28951" s="5" t="str">
        <f>IFERROR(__xludf.DUMMYFUNCTION("GOOGLETRANSLATE(B28951,""en"",""it"")"),"La gente saliva a bordo di un autobus e uscirà in un parco acquatico.")</f>
        <v>La gente saliva a bordo di un autobus e uscirà in un parco acquatico.</v>
      </c>
    </row>
    <row r="28952">
      <c r="A28952" s="4" t="s">
        <v>36459</v>
      </c>
      <c r="B28952" s="4" t="s">
        <v>36462</v>
      </c>
      <c r="C28952" s="5" t="str">
        <f>IFERROR(__xludf.DUMMYFUNCTION("GOOGLETRANSLATE(B28952,""en"",""it"")"),"Le persone afferrano le zattere e le persone su zattere riempiono un fiume.")</f>
        <v>Le persone afferrano le zattere e le persone su zattere riempiono un fiume.</v>
      </c>
    </row>
    <row r="28953">
      <c r="A28953" s="4" t="s">
        <v>36459</v>
      </c>
      <c r="B28953" s="4" t="s">
        <v>36463</v>
      </c>
      <c r="C28953" s="5" t="str">
        <f>IFERROR(__xludf.DUMMYFUNCTION("GOOGLETRANSLATE(B28953,""en"",""it"")"),"Vediamo una cascata artificiale e le persone scivolano attraverso di essa.")</f>
        <v>Vediamo una cascata artificiale e le persone scivolano attraverso di essa.</v>
      </c>
    </row>
    <row r="28954">
      <c r="A28954" s="4" t="s">
        <v>36459</v>
      </c>
      <c r="B28954" s="4" t="s">
        <v>36464</v>
      </c>
      <c r="C28954" s="5" t="str">
        <f>IFERROR(__xludf.DUMMYFUNCTION("GOOGLETRANSLATE(B28954,""en"",""it"")"),"Una persona cade dalla loro zattera.")</f>
        <v>Una persona cade dalla loro zattera.</v>
      </c>
    </row>
    <row r="28955">
      <c r="A28955" s="4" t="s">
        <v>36459</v>
      </c>
      <c r="B28955" s="4" t="s">
        <v>36465</v>
      </c>
      <c r="C28955" s="5" t="str">
        <f>IFERROR(__xludf.DUMMYFUNCTION("GOOGLETRANSLATE(B28955,""en"",""it"")"),"Un uomo che tiene un selfie stick sta cavalcando una zattera.")</f>
        <v>Un uomo che tiene un selfie stick sta cavalcando una zattera.</v>
      </c>
    </row>
    <row r="28956">
      <c r="A28956" s="4" t="s">
        <v>36459</v>
      </c>
      <c r="B28956" s="4" t="s">
        <v>36466</v>
      </c>
      <c r="C28956" s="5" t="str">
        <f>IFERROR(__xludf.DUMMYFUNCTION("GOOGLETRANSLATE(B28956,""en"",""it"")"),"Un altro uomo che tiene un selfie stick.")</f>
        <v>Un altro uomo che tiene un selfie stick.</v>
      </c>
    </row>
    <row r="28957">
      <c r="A28957" s="4" t="s">
        <v>36459</v>
      </c>
      <c r="B28957" s="4" t="s">
        <v>36467</v>
      </c>
      <c r="C28957" s="5" t="str">
        <f>IFERROR(__xludf.DUMMYFUNCTION("GOOGLETRANSLATE(B28957,""en"",""it"")"),"Vediamo il numero di telefono e i crediti per il video.")</f>
        <v>Vediamo il numero di telefono e i crediti per il video.</v>
      </c>
    </row>
    <row r="28958">
      <c r="A28958" s="4" t="s">
        <v>36468</v>
      </c>
      <c r="B28958" s="4" t="s">
        <v>36469</v>
      </c>
      <c r="C28958" s="5" t="str">
        <f>IFERROR(__xludf.DUMMYFUNCTION("GOOGLETRANSLATE(B28958,""en"",""it"")"),"Un piccolo gruppo di persone è visto fuori con uno che viene bendato e con in mano una mazza.")</f>
        <v>Un piccolo gruppo di persone è visto fuori con uno che viene bendato e con in mano una mazza.</v>
      </c>
    </row>
    <row r="28959">
      <c r="A28959" s="4" t="s">
        <v>36468</v>
      </c>
      <c r="B28959" s="4" t="s">
        <v>36470</v>
      </c>
      <c r="C28959" s="5" t="str">
        <f>IFERROR(__xludf.DUMMYFUNCTION("GOOGLETRANSLATE(B28959,""en"",""it"")"),"Una persona quindi tira su un pinata e inizia a oscillare contro l'oggetto.")</f>
        <v>Una persona quindi tira su un pinata e inizia a oscillare contro l'oggetto.</v>
      </c>
    </row>
    <row r="28960">
      <c r="A28960" s="4" t="s">
        <v>36468</v>
      </c>
      <c r="B28960" s="4" t="s">
        <v>36471</v>
      </c>
      <c r="C28960" s="5" t="str">
        <f>IFERROR(__xludf.DUMMYFUNCTION("GOOGLETRANSLATE(B28960,""en"",""it"")"),"Il ragazzo muove le mani e continua a oscillare contro l'oggetto.")</f>
        <v>Il ragazzo muove le mani e continua a oscillare contro l'oggetto.</v>
      </c>
    </row>
    <row r="28961">
      <c r="A28961" s="4" t="s">
        <v>36472</v>
      </c>
      <c r="B28961" s="4" t="s">
        <v>36473</v>
      </c>
      <c r="C28961" s="5" t="str">
        <f>IFERROR(__xludf.DUMMYFUNCTION("GOOGLETRANSLATE(B28961,""en"",""it"")"),"Le persone si radunano in una struttura di tour nel dessert.")</f>
        <v>Le persone si radunano in una struttura di tour nel dessert.</v>
      </c>
    </row>
    <row r="28962">
      <c r="A28962" s="4" t="s">
        <v>36472</v>
      </c>
      <c r="B28962" s="4" t="s">
        <v>36474</v>
      </c>
      <c r="C28962" s="5" t="str">
        <f>IFERROR(__xludf.DUMMYFUNCTION("GOOGLETRANSLATE(B28962,""en"",""it"")"),"Quindi, la gente cavalca cammelli tirati dagli uomini.")</f>
        <v>Quindi, la gente cavalca cammelli tirati dagli uomini.</v>
      </c>
    </row>
    <row r="28963">
      <c r="A28963" s="4" t="s">
        <v>36472</v>
      </c>
      <c r="B28963" s="4" t="s">
        <v>36475</v>
      </c>
      <c r="C28963" s="5" t="str">
        <f>IFERROR(__xludf.DUMMYFUNCTION("GOOGLETRANSLATE(B28963,""en"",""it"")"),"La roulotte avanza nel deserto, mentre i cammelli camminano in fila.")</f>
        <v>La roulotte avanza nel deserto, mentre i cammelli camminano in fila.</v>
      </c>
    </row>
    <row r="28964">
      <c r="A28964" s="4" t="s">
        <v>36472</v>
      </c>
      <c r="B28964" s="4" t="s">
        <v>36476</v>
      </c>
      <c r="C28964" s="5" t="str">
        <f>IFERROR(__xludf.DUMMYFUNCTION("GOOGLETRANSLATE(B28964,""en"",""it"")"),"Un parcheggio bianco dietro i cammelli.")</f>
        <v>Un parcheggio bianco dietro i cammelli.</v>
      </c>
    </row>
    <row r="28965">
      <c r="A28965" s="4" t="s">
        <v>36472</v>
      </c>
      <c r="B28965" s="4" t="s">
        <v>36477</v>
      </c>
      <c r="C28965" s="5" t="str">
        <f>IFERROR(__xludf.DUMMYFUNCTION("GOOGLETRANSLATE(B28965,""en"",""it"")"),"Quindi, l'uomo fa inginocchiare i cammelli e le persone scendono i cammelli.")</f>
        <v>Quindi, l'uomo fa inginocchiare i cammelli e le persone scendono i cammelli.</v>
      </c>
    </row>
    <row r="28966">
      <c r="A28966" s="4" t="s">
        <v>36472</v>
      </c>
      <c r="B28966" s="4" t="s">
        <v>36478</v>
      </c>
      <c r="C28966" s="5" t="str">
        <f>IFERROR(__xludf.DUMMYFUNCTION("GOOGLETRANSLATE(B28966,""en"",""it"")"),"Dopo, un gruppo di turisti cavalca cammelli e passa davanti alla struttura del tour.")</f>
        <v>Dopo, un gruppo di turisti cavalca cammelli e passa davanti alla struttura del tour.</v>
      </c>
    </row>
    <row r="28967">
      <c r="A28967" s="4" t="s">
        <v>36479</v>
      </c>
      <c r="B28967" s="6" t="s">
        <v>36480</v>
      </c>
      <c r="C28967" s="5" t="str">
        <f>IFERROR(__xludf.DUMMYFUNCTION("GOOGLETRANSLATE(B28967,""en"",""it"")"),"Un'introduzione conduce in diversi colpi di subacquei che si muovono intorno all'oceano e passano vari pesci e oggetti sott'acqua.")</f>
        <v>Un'introduzione conduce in diversi colpi di subacquei che si muovono intorno all'oceano e passano vari pesci e oggetti sott'acqua.</v>
      </c>
    </row>
    <row r="28968">
      <c r="A28968" s="4" t="s">
        <v>36479</v>
      </c>
      <c r="B28968" s="4" t="s">
        <v>36481</v>
      </c>
      <c r="C28968" s="5" t="str">
        <f>IFERROR(__xludf.DUMMYFUNCTION("GOOGLETRANSLATE(B28968,""en"",""it"")"),"Il subacqueo si presenta sopra l'acqua che tiene un serbatoio e gira intorno mentre la telecamera segue.")</f>
        <v>Il subacqueo si presenta sopra l'acqua che tiene un serbatoio e gira intorno mentre la telecamera segue.</v>
      </c>
    </row>
    <row r="28969">
      <c r="A28969" s="4" t="s">
        <v>36482</v>
      </c>
      <c r="B28969" s="4" t="s">
        <v>36483</v>
      </c>
      <c r="C28969" s="5" t="str">
        <f>IFERROR(__xludf.DUMMYFUNCTION("GOOGLETRANSLATE(B28969,""en"",""it"")"),"Un uomo e una donna ballano su una pista da ballo di fronte a una folla di persone.")</f>
        <v>Un uomo e una donna ballano su una pista da ballo di fronte a una folla di persone.</v>
      </c>
    </row>
    <row r="28970">
      <c r="A28970" s="4" t="s">
        <v>36482</v>
      </c>
      <c r="B28970" s="4" t="s">
        <v>36484</v>
      </c>
      <c r="C28970" s="5" t="str">
        <f>IFERROR(__xludf.DUMMYFUNCTION("GOOGLETRANSLATE(B28970,""en"",""it"")"),"La folla applaude per loro.")</f>
        <v>La folla applaude per loro.</v>
      </c>
    </row>
    <row r="28971">
      <c r="A28971" s="4" t="s">
        <v>36482</v>
      </c>
      <c r="B28971" s="4" t="s">
        <v>36485</v>
      </c>
      <c r="C28971" s="5" t="str">
        <f>IFERROR(__xludf.DUMMYFUNCTION("GOOGLETRANSLATE(B28971,""en"",""it"")"),"La coppia abbraccia la folla.")</f>
        <v>La coppia abbraccia la folla.</v>
      </c>
    </row>
    <row r="28972">
      <c r="A28972" s="4" t="s">
        <v>36486</v>
      </c>
      <c r="B28972" s="4" t="s">
        <v>36487</v>
      </c>
      <c r="C28972" s="5" t="str">
        <f>IFERROR(__xludf.DUMMYFUNCTION("GOOGLETRANSLATE(B28972,""en"",""it"")"),"Una persona è vista seduta su una panchina con in mano un cubo Rubix.")</f>
        <v>Una persona è vista seduta su una panchina con in mano un cubo Rubix.</v>
      </c>
    </row>
    <row r="28973">
      <c r="A28973" s="4" t="s">
        <v>36486</v>
      </c>
      <c r="B28973" s="4" t="s">
        <v>36488</v>
      </c>
      <c r="C28973" s="5" t="str">
        <f>IFERROR(__xludf.DUMMYFUNCTION("GOOGLETRANSLATE(B28973,""en"",""it"")"),"La persona inizia quindi a muovere le mani attorno al cubo.")</f>
        <v>La persona inizia quindi a muovere le mani attorno al cubo.</v>
      </c>
    </row>
    <row r="28974">
      <c r="A28974" s="4" t="s">
        <v>36486</v>
      </c>
      <c r="B28974" s="4" t="s">
        <v>36489</v>
      </c>
      <c r="C28974" s="5" t="str">
        <f>IFERROR(__xludf.DUMMYFUNCTION("GOOGLETRANSLATE(B28974,""en"",""it"")"),"La persona risolve il cubo quindi spegne la fotocamera.")</f>
        <v>La persona risolve il cubo quindi spegne la fotocamera.</v>
      </c>
    </row>
    <row r="28975">
      <c r="A28975" s="4" t="s">
        <v>36490</v>
      </c>
      <c r="B28975" s="6" t="s">
        <v>36491</v>
      </c>
      <c r="C28975" s="5" t="str">
        <f>IFERROR(__xludf.DUMMYFUNCTION("GOOGLETRANSLATE(B28975,""en"",""it"")"),"Due uomini vengono visti oscillare le braccia e le gambe l'una attorno all'altra mentre un gruppo di persone sta intorno e li guardano.")</f>
        <v>Due uomini vengono visti oscillare le braccia e le gambe l'una attorno all'altra mentre un gruppo di persone sta intorno e li guardano.</v>
      </c>
    </row>
    <row r="28976">
      <c r="A28976" s="4" t="s">
        <v>36490</v>
      </c>
      <c r="B28976" s="6" t="s">
        <v>36492</v>
      </c>
      <c r="C28976" s="5" t="str">
        <f>IFERROR(__xludf.DUMMYFUNCTION("GOOGLETRANSLATE(B28976,""en"",""it"")"),"Gli uomini continuano a girare intorno alle persone di Wile e finiscono con loro che si stringono a vicenda.")</f>
        <v>Gli uomini continuano a girare intorno alle persone di Wile e finiscono con loro che si stringono a vicenda.</v>
      </c>
    </row>
    <row r="28977">
      <c r="A28977" s="4" t="s">
        <v>36493</v>
      </c>
      <c r="B28977" s="4" t="s">
        <v>36494</v>
      </c>
      <c r="C28977" s="5" t="str">
        <f>IFERROR(__xludf.DUMMYFUNCTION("GOOGLETRANSLATE(B28977,""en"",""it"")"),"Una persona sta mettendo qualcosa su una catena di bici.")</f>
        <v>Una persona sta mettendo qualcosa su una catena di bici.</v>
      </c>
    </row>
    <row r="28978">
      <c r="A28978" s="4" t="s">
        <v>36493</v>
      </c>
      <c r="B28978" s="4" t="s">
        <v>36495</v>
      </c>
      <c r="C28978" s="5" t="str">
        <f>IFERROR(__xludf.DUMMYFUNCTION("GOOGLETRANSLATE(B28978,""en"",""it"")"),"Usano uno strumento blu per smontare la catena.")</f>
        <v>Usano uno strumento blu per smontare la catena.</v>
      </c>
    </row>
    <row r="28979">
      <c r="A28979" s="4" t="s">
        <v>36493</v>
      </c>
      <c r="B28979" s="4" t="s">
        <v>36496</v>
      </c>
      <c r="C28979" s="5" t="str">
        <f>IFERROR(__xludf.DUMMYFUNCTION("GOOGLETRANSLATE(B28979,""en"",""it"")"),"Lo hanno rimesso insieme usando uno strumento.")</f>
        <v>Lo hanno rimesso insieme usando uno strumento.</v>
      </c>
    </row>
    <row r="28980">
      <c r="A28980" s="4" t="s">
        <v>36497</v>
      </c>
      <c r="B28980" s="4" t="s">
        <v>36498</v>
      </c>
      <c r="C28980" s="5" t="str">
        <f>IFERROR(__xludf.DUMMYFUNCTION("GOOGLETRANSLATE(B28980,""en"",""it"")"),"Un uomo sta facendo una routine ginnastica su un raggio di equilibrio.")</f>
        <v>Un uomo sta facendo una routine ginnastica su un raggio di equilibrio.</v>
      </c>
    </row>
    <row r="28981">
      <c r="A28981" s="4" t="s">
        <v>36497</v>
      </c>
      <c r="B28981" s="4" t="s">
        <v>36499</v>
      </c>
      <c r="C28981" s="5" t="str">
        <f>IFERROR(__xludf.DUMMYFUNCTION("GOOGLETRANSLATE(B28981,""en"",""it"")"),"Salta giù dal raggio su un tappetino.")</f>
        <v>Salta giù dal raggio su un tappetino.</v>
      </c>
    </row>
    <row r="28982">
      <c r="A28982" s="4" t="s">
        <v>36497</v>
      </c>
      <c r="B28982" s="4" t="s">
        <v>36500</v>
      </c>
      <c r="C28982" s="5" t="str">
        <f>IFERROR(__xludf.DUMMYFUNCTION("GOOGLETRANSLATE(B28982,""en"",""it"")"),"Un altro uomo salta su un raggio di equilibrio e fa una routine.")</f>
        <v>Un altro uomo salta su un raggio di equilibrio e fa una routine.</v>
      </c>
    </row>
    <row r="28983">
      <c r="A28983" s="4" t="s">
        <v>36501</v>
      </c>
      <c r="B28983" s="4" t="s">
        <v>36502</v>
      </c>
      <c r="C28983" s="5" t="str">
        <f>IFERROR(__xludf.DUMMYFUNCTION("GOOGLETRANSLATE(B28983,""en"",""it"")"),"Diversi uomini vestiti per il freddo stanno aspettando in una stanza fuori dalla neve.")</f>
        <v>Diversi uomini vestiti per il freddo stanno aspettando in una stanza fuori dalla neve.</v>
      </c>
    </row>
    <row r="28984">
      <c r="A28984" s="4" t="s">
        <v>36501</v>
      </c>
      <c r="B28984" s="4" t="s">
        <v>36503</v>
      </c>
      <c r="C28984" s="5" t="str">
        <f>IFERROR(__xludf.DUMMYFUNCTION("GOOGLETRANSLATE(B28984,""en"",""it"")"),"Vengono fuori, si preparano a sciare.")</f>
        <v>Vengono fuori, si preparano a sciare.</v>
      </c>
    </row>
    <row r="28985">
      <c r="A28985" s="4" t="s">
        <v>36501</v>
      </c>
      <c r="B28985" s="6" t="s">
        <v>36504</v>
      </c>
      <c r="C28985" s="5" t="str">
        <f>IFERROR(__xludf.DUMMYFUNCTION("GOOGLETRANSLATE(B28985,""en"",""it"")"),"Iniziano a sciare, scendendo da una ripida collina, muovendosi da un lato all'altro e inclinarsi attraverso gli alberi innevati.")</f>
        <v>Iniziano a sciare, scendendo da una ripida collina, muovendosi da un lato all'altro e inclinarsi attraverso gli alberi innevati.</v>
      </c>
    </row>
    <row r="28986">
      <c r="A28986" s="4" t="s">
        <v>36505</v>
      </c>
      <c r="B28986" s="4" t="s">
        <v>36506</v>
      </c>
      <c r="C28986" s="5" t="str">
        <f>IFERROR(__xludf.DUMMYFUNCTION("GOOGLETRANSLATE(B28986,""en"",""it"")"),"Un gruppo di persone si trova su un campo all'aperto sulla spiaggia.")</f>
        <v>Un gruppo di persone si trova su un campo all'aperto sulla spiaggia.</v>
      </c>
    </row>
    <row r="28987">
      <c r="A28987" s="4" t="s">
        <v>36505</v>
      </c>
      <c r="B28987" s="4" t="s">
        <v>36507</v>
      </c>
      <c r="C28987" s="5" t="str">
        <f>IFERROR(__xludf.DUMMYFUNCTION("GOOGLETRANSLATE(B28987,""en"",""it"")"),"Stanno giocando una partita di pallavolo.")</f>
        <v>Stanno giocando una partita di pallavolo.</v>
      </c>
    </row>
    <row r="28988">
      <c r="A28988" s="4" t="s">
        <v>36505</v>
      </c>
      <c r="B28988" s="6" t="s">
        <v>36508</v>
      </c>
      <c r="C28988" s="5" t="str">
        <f>IFERROR(__xludf.DUMMYFUNCTION("GOOGLETRANSLATE(B28988,""en"",""it"")"),"Calciano e colpiscono la palla avanti e indietro, celebrando quando vincono mentre la folla si avvicina e applausi.")</f>
        <v>Calciano e colpiscono la palla avanti e indietro, celebrando quando vincono mentre la folla si avvicina e applausi.</v>
      </c>
    </row>
    <row r="28989">
      <c r="A28989" s="4" t="s">
        <v>36509</v>
      </c>
      <c r="B28989" s="4" t="s">
        <v>36510</v>
      </c>
      <c r="C28989" s="5" t="str">
        <f>IFERROR(__xludf.DUMMYFUNCTION("GOOGLETRANSLATE(B28989,""en"",""it"")"),"Una bambina è su uno swing accanto al suo fratellino.")</f>
        <v>Una bambina è su uno swing accanto al suo fratellino.</v>
      </c>
    </row>
    <row r="28990">
      <c r="A28990" s="4" t="s">
        <v>36509</v>
      </c>
      <c r="B28990" s="4" t="s">
        <v>36511</v>
      </c>
      <c r="C28990" s="5" t="str">
        <f>IFERROR(__xludf.DUMMYFUNCTION("GOOGLETRANSLATE(B28990,""en"",""it"")"),"Vengono spinti mentre oscillano avanti e indietro.")</f>
        <v>Vengono spinti mentre oscillano avanti e indietro.</v>
      </c>
    </row>
    <row r="28991">
      <c r="A28991" s="4" t="s">
        <v>36512</v>
      </c>
      <c r="B28991" s="4" t="s">
        <v>36513</v>
      </c>
      <c r="C28991" s="5" t="str">
        <f>IFERROR(__xludf.DUMMYFUNCTION("GOOGLETRANSLATE(B28991,""en"",""it"")"),"Le persone camminano per macchine e tende e si siedono sulle sedie sullo sfondo facendo cose diverse.")</f>
        <v>Le persone camminano per macchine e tende e si siedono sulle sedie sullo sfondo facendo cose diverse.</v>
      </c>
    </row>
    <row r="28992">
      <c r="A28992" s="4" t="s">
        <v>36512</v>
      </c>
      <c r="B28992" s="4" t="s">
        <v>36514</v>
      </c>
      <c r="C28992" s="5" t="str">
        <f>IFERROR(__xludf.DUMMYFUNCTION("GOOGLETRANSLATE(B28992,""en"",""it"")"),"Un uomo e un cane sono nel mezzo di un campo che si preparano a giocare a frisbee.")</f>
        <v>Un uomo e un cane sono nel mezzo di un campo che si preparano a giocare a frisbee.</v>
      </c>
    </row>
    <row r="28993">
      <c r="A28993" s="4" t="s">
        <v>36512</v>
      </c>
      <c r="B28993" s="4" t="s">
        <v>36515</v>
      </c>
      <c r="C28993" s="5" t="str">
        <f>IFERROR(__xludf.DUMMYFUNCTION("GOOGLETRANSLATE(B28993,""en"",""it"")"),"L'uomo lancia un frisbee e il cane corre, lo prende e lo riporta indietro.")</f>
        <v>L'uomo lancia un frisbee e il cane corre, lo prende e lo riporta indietro.</v>
      </c>
    </row>
    <row r="28994">
      <c r="A28994" s="4" t="s">
        <v>36512</v>
      </c>
      <c r="B28994" s="4" t="s">
        <v>36516</v>
      </c>
      <c r="C28994" s="5" t="str">
        <f>IFERROR(__xludf.DUMMYFUNCTION("GOOGLETRANSLATE(B28994,""en"",""it"")"),"Il cane è molto eccitato a prepararsi per il suo prossimo trucco.")</f>
        <v>Il cane è molto eccitato a prepararsi per il suo prossimo trucco.</v>
      </c>
    </row>
    <row r="28995">
      <c r="A28995" s="4" t="s">
        <v>36512</v>
      </c>
      <c r="B28995" s="4" t="s">
        <v>36517</v>
      </c>
      <c r="C28995" s="5" t="str">
        <f>IFERROR(__xludf.DUMMYFUNCTION("GOOGLETRANSLATE(B28995,""en"",""it"")"),"L'uomo si inginocchia e getta i frisbees per il cane mentre rotola, gira e cammina.")</f>
        <v>L'uomo si inginocchia e getta i frisbees per il cane mentre rotola, gira e cammina.</v>
      </c>
    </row>
    <row r="28996">
      <c r="A28996" s="4" t="s">
        <v>36512</v>
      </c>
      <c r="B28996" s="6" t="s">
        <v>36518</v>
      </c>
      <c r="C28996" s="5" t="str">
        <f>IFERROR(__xludf.DUMMYFUNCTION("GOOGLETRANSLATE(B28996,""en"",""it"")"),"Un secondo uomo si unisce al primo uomo sul campo ed entrambi sollevano un braccio e poi si voltano per allontanarsi insieme.")</f>
        <v>Un secondo uomo si unisce al primo uomo sul campo ed entrambi sollevano un braccio e poi si voltano per allontanarsi insieme.</v>
      </c>
    </row>
    <row r="28997">
      <c r="A28997" s="4" t="s">
        <v>36519</v>
      </c>
      <c r="B28997" s="4" t="s">
        <v>36520</v>
      </c>
      <c r="C28997" s="5" t="str">
        <f>IFERROR(__xludf.DUMMYFUNCTION("GOOGLETRANSLATE(B28997,""en"",""it"")"),"Una donna viene vista correre indietro e quarto su una piccola pista e conduce a mettere un casco.")</f>
        <v>Una donna viene vista correre indietro e quarto su una piccola pista e conduce a mettere un casco.</v>
      </c>
    </row>
    <row r="28998">
      <c r="A28998" s="4" t="s">
        <v>36519</v>
      </c>
      <c r="B28998" s="4" t="s">
        <v>36521</v>
      </c>
      <c r="C28998" s="5" t="str">
        <f>IFERROR(__xludf.DUMMYFUNCTION("GOOGLETRANSLATE(B28998,""en"",""it"")"),"Afferra un palo e corre lungo la pista saltando su un bar e su un tappetino.")</f>
        <v>Afferra un palo e corre lungo la pista saltando su un bar e su un tappetino.</v>
      </c>
    </row>
    <row r="28999">
      <c r="A28999" s="4" t="s">
        <v>36519</v>
      </c>
      <c r="B28999" s="4" t="s">
        <v>36522</v>
      </c>
      <c r="C28999" s="5" t="str">
        <f>IFERROR(__xludf.DUMMYFUNCTION("GOOGLETRANSLATE(B28999,""en"",""it"")"),"Salta e si avvicina a un gruppo di persone che mantengono il suo punteggio.")</f>
        <v>Salta e si avvicina a un gruppo di persone che mantengono il suo punteggio.</v>
      </c>
    </row>
    <row r="29000">
      <c r="A29000" s="4" t="s">
        <v>36523</v>
      </c>
      <c r="B29000" s="4" t="s">
        <v>36524</v>
      </c>
      <c r="C29000" s="5" t="str">
        <f>IFERROR(__xludf.DUMMYFUNCTION("GOOGLETRANSLATE(B29000,""en"",""it"")"),"I bambini guidano macchine per paraurti in un parco di divertimenti.")</f>
        <v>I bambini guidano macchine per paraurti in un parco di divertimenti.</v>
      </c>
    </row>
    <row r="29001">
      <c r="A29001" s="4" t="s">
        <v>36523</v>
      </c>
      <c r="B29001" s="4" t="s">
        <v>36525</v>
      </c>
      <c r="C29001" s="5" t="str">
        <f>IFERROR(__xludf.DUMMYFUNCTION("GOOGLETRANSLATE(B29001,""en"",""it"")"),"I genitori sono seduti su macchine per paraurti con i suoi figli.")</f>
        <v>I genitori sono seduti su macchine per paraurti con i suoi figli.</v>
      </c>
    </row>
    <row r="29002">
      <c r="A29002" s="4" t="s">
        <v>36523</v>
      </c>
      <c r="B29002" s="4" t="s">
        <v>36526</v>
      </c>
      <c r="C29002" s="5" t="str">
        <f>IFERROR(__xludf.DUMMYFUNCTION("GOOGLETRANSLATE(B29002,""en"",""it"")"),"L'uomo che indossa un giubbotto giallo è seduto sullo sfondo.")</f>
        <v>L'uomo che indossa un giubbotto giallo è seduto sullo sfondo.</v>
      </c>
    </row>
    <row r="29003">
      <c r="A29003" s="4" t="s">
        <v>36527</v>
      </c>
      <c r="B29003" s="6" t="s">
        <v>36528</v>
      </c>
      <c r="C29003" s="5" t="str">
        <f>IFERROR(__xludf.DUMMYFUNCTION("GOOGLETRANSLATE(B29003,""en"",""it"")"),"Un folto gruppo di persone si vede che indossano un ascolto protettivo e vagando per un'area che parlano tra loro.")</f>
        <v>Un folto gruppo di persone si vede che indossano un ascolto protettivo e vagando per un'area che parlano tra loro.</v>
      </c>
    </row>
    <row r="29004">
      <c r="A29004" s="4" t="s">
        <v>36527</v>
      </c>
      <c r="B29004" s="6" t="s">
        <v>36529</v>
      </c>
      <c r="C29004" s="5" t="str">
        <f>IFERROR(__xludf.DUMMYFUNCTION("GOOGLETRANSLATE(B29004,""en"",""it"")"),"Un'altra persona si imbatte e parla con gli altri mentre tiene una pistola e altri che mirano sui lati.")</f>
        <v>Un'altra persona si imbatte e parla con gli altri mentre tiene una pistola e altri che mirano sui lati.</v>
      </c>
    </row>
    <row r="29005">
      <c r="A29005" s="4" t="s">
        <v>36527</v>
      </c>
      <c r="B29005" s="4" t="s">
        <v>36530</v>
      </c>
      <c r="C29005" s="5" t="str">
        <f>IFERROR(__xludf.DUMMYFUNCTION("GOOGLETRANSLATE(B29005,""en"",""it"")"),"Una donna afferra una giraffa giocattolo mentre altri reagiscono e altri guardano in lontananza.")</f>
        <v>Una donna afferra una giraffa giocattolo mentre altri reagiscono e altri guardano in lontananza.</v>
      </c>
    </row>
    <row r="29006">
      <c r="A29006" s="4" t="s">
        <v>36531</v>
      </c>
      <c r="B29006" s="4" t="s">
        <v>36532</v>
      </c>
      <c r="C29006" s="5" t="str">
        <f>IFERROR(__xludf.DUMMYFUNCTION("GOOGLETRANSLATE(B29006,""en"",""it"")"),"Un uomo sta parlando di come funziona le cose mentre una donna lavora su un cavallo.")</f>
        <v>Un uomo sta parlando di come funziona le cose mentre una donna lavora su un cavallo.</v>
      </c>
    </row>
    <row r="29007">
      <c r="A29007" s="4" t="s">
        <v>36531</v>
      </c>
      <c r="B29007" s="4" t="s">
        <v>36533</v>
      </c>
      <c r="C29007" s="5" t="str">
        <f>IFERROR(__xludf.DUMMYFUNCTION("GOOGLETRANSLATE(B29007,""en"",""it"")"),"Mentre parla, si lava le mani con un po 'di disinfettante per le mani.")</f>
        <v>Mentre parla, si lava le mani con un po 'di disinfettante per le mani.</v>
      </c>
    </row>
    <row r="29008">
      <c r="A29008" s="4" t="s">
        <v>36531</v>
      </c>
      <c r="B29008" s="4" t="s">
        <v>36534</v>
      </c>
      <c r="C29008" s="5" t="str">
        <f>IFERROR(__xludf.DUMMYFUNCTION("GOOGLETRANSLATE(B29008,""en"",""it"")"),"Quindi ottiene il sapone e inizia a lavarsi le mani in modo molto interamente.")</f>
        <v>Quindi ottiene il sapone e inizia a lavarsi le mani in modo molto interamente.</v>
      </c>
    </row>
    <row r="29009">
      <c r="A29009" s="4" t="s">
        <v>36531</v>
      </c>
      <c r="B29009" s="4" t="s">
        <v>36535</v>
      </c>
      <c r="C29009" s="5" t="str">
        <f>IFERROR(__xludf.DUMMYFUNCTION("GOOGLETRANSLATE(B29009,""en"",""it"")"),"Afferra un tovagliolo e si asciuga le mani continuando a parlare.")</f>
        <v>Afferra un tovagliolo e si asciuga le mani continuando a parlare.</v>
      </c>
    </row>
    <row r="29010">
      <c r="A29010" s="4" t="s">
        <v>36536</v>
      </c>
      <c r="B29010" s="4" t="s">
        <v>36537</v>
      </c>
      <c r="C29010" s="5" t="str">
        <f>IFERROR(__xludf.DUMMYFUNCTION("GOOGLETRANSLATE(B29010,""en"",""it"")"),"Viene vista una persona che tiene in mano i capelli lunghi di una donna e un pennello.")</f>
        <v>Viene vista una persona che tiene in mano i capelli lunghi di una donna e un pennello.</v>
      </c>
    </row>
    <row r="29011">
      <c r="A29011" s="4" t="s">
        <v>36536</v>
      </c>
      <c r="B29011" s="4" t="s">
        <v>36538</v>
      </c>
      <c r="C29011" s="5" t="str">
        <f>IFERROR(__xludf.DUMMYFUNCTION("GOOGLETRANSLATE(B29011,""en"",""it"")"),"L'uomo continua a giocare con i capelli e lo conduce a sfiorare i capelli e intrecciarli.")</f>
        <v>L'uomo continua a giocare con i capelli e lo conduce a sfiorare i capelli e intrecciarli.</v>
      </c>
    </row>
    <row r="29012">
      <c r="A29012" s="4" t="s">
        <v>36539</v>
      </c>
      <c r="B29012" s="4" t="s">
        <v>36540</v>
      </c>
      <c r="C29012" s="5" t="str">
        <f>IFERROR(__xludf.DUMMYFUNCTION("GOOGLETRANSLATE(B29012,""en"",""it"")"),"Due persone sono viste sedute a un tavolo parlando con tazze di caffè sul tavolo di fronte a loro.")</f>
        <v>Due persone sono viste sedute a un tavolo parlando con tazze di caffè sul tavolo di fronte a loro.</v>
      </c>
    </row>
    <row r="29013">
      <c r="A29013" s="4" t="s">
        <v>36539</v>
      </c>
      <c r="B29013" s="4" t="s">
        <v>36541</v>
      </c>
      <c r="C29013" s="5" t="str">
        <f>IFERROR(__xludf.DUMMYFUNCTION("GOOGLETRANSLATE(B29013,""en"",""it"")"),"L'uomo viene quindi visto seduto da solo in varie località e poi inizia a ballare su un muro.")</f>
        <v>L'uomo viene quindi visto seduto da solo in varie località e poi inizia a ballare su un muro.</v>
      </c>
    </row>
    <row r="29014">
      <c r="A29014" s="4" t="s">
        <v>36539</v>
      </c>
      <c r="B29014" s="4" t="s">
        <v>36542</v>
      </c>
      <c r="C29014" s="5" t="str">
        <f>IFERROR(__xludf.DUMMYFUNCTION("GOOGLETRANSLATE(B29014,""en"",""it"")"),"Viene quindi mostrato svegliarsi nel suo letto supponendo che fosse tutto un sogno.")</f>
        <v>Viene quindi mostrato svegliarsi nel suo letto supponendo che fosse tutto un sogno.</v>
      </c>
    </row>
    <row r="29015">
      <c r="A29015" s="4" t="s">
        <v>36543</v>
      </c>
      <c r="B29015" s="4" t="s">
        <v>36544</v>
      </c>
      <c r="C29015" s="5" t="str">
        <f>IFERROR(__xludf.DUMMYFUNCTION("GOOGLETRANSLATE(B29015,""en"",""it"")"),"Un ragazzo seduto su un letto a castello.")</f>
        <v>Un ragazzo seduto su un letto a castello.</v>
      </c>
    </row>
    <row r="29016">
      <c r="A29016" s="4" t="s">
        <v>36543</v>
      </c>
      <c r="B29016" s="4" t="s">
        <v>36545</v>
      </c>
      <c r="C29016" s="5" t="str">
        <f>IFERROR(__xludf.DUMMYFUNCTION("GOOGLETRANSLATE(B29016,""en"",""it"")"),"Un altro ragazzo si avvicina mentre gli avvolge le gambe intorno al collo.")</f>
        <v>Un altro ragazzo si avvicina mentre gli avvolge le gambe intorno al collo.</v>
      </c>
    </row>
    <row r="29017">
      <c r="A29017" s="4" t="s">
        <v>36543</v>
      </c>
      <c r="B29017" s="4" t="s">
        <v>36546</v>
      </c>
      <c r="C29017" s="5" t="str">
        <f>IFERROR(__xludf.DUMMYFUNCTION("GOOGLETRANSLATE(B29017,""en"",""it"")"),"Il secondo ragazzo lo gira in giro e lo sbatte a terra.")</f>
        <v>Il secondo ragazzo lo gira in giro e lo sbatte a terra.</v>
      </c>
    </row>
    <row r="29018">
      <c r="A29018" s="4" t="s">
        <v>36547</v>
      </c>
      <c r="B29018" s="6" t="s">
        <v>36548</v>
      </c>
      <c r="C29018" s="5" t="str">
        <f>IFERROR(__xludf.DUMMYFUNCTION("GOOGLETRANSLATE(B29018,""en"",""it"")"),"Ci sono 4 persone che giocano tutte a badminton e il ragazzo con la camicia bianca è il primo a servire all'uomo con la camicia nera.")</f>
        <v>Ci sono 4 persone che giocano tutte a badminton e il ragazzo con la camicia bianca è il primo a servire all'uomo con la camicia nera.</v>
      </c>
    </row>
    <row r="29019">
      <c r="A29019" s="4" t="s">
        <v>36547</v>
      </c>
      <c r="B29019" s="4" t="s">
        <v>36549</v>
      </c>
      <c r="C29019" s="5" t="str">
        <f>IFERROR(__xludf.DUMMYFUNCTION("GOOGLETRANSLATE(B29019,""en"",""it"")"),"Quindi l'uomo che indossa la camicia nera serve al ragazzo di cui indossa la camicia d'oro.")</f>
        <v>Quindi l'uomo che indossa la camicia nera serve al ragazzo di cui indossa la camicia d'oro.</v>
      </c>
    </row>
    <row r="29020">
      <c r="A29020" s="4" t="s">
        <v>36547</v>
      </c>
      <c r="B29020" s="6" t="s">
        <v>36550</v>
      </c>
      <c r="C29020" s="5" t="str">
        <f>IFERROR(__xludf.DUMMYFUNCTION("GOOGLETRANSLATE(B29020,""en"",""it"")"),"Quindi il ragazzo che indossa la camicia bianca colpisce la navetta e serve alla ragazza che indossa la camicia rosa e il gioco continua e tutti continuano a servire l'uno all'altro e tutti usano diversi shuttlecock.")</f>
        <v>Quindi il ragazzo che indossa la camicia bianca colpisce la navetta e serve alla ragazza che indossa la camicia rosa e il gioco continua e tutti continuano a servire l'uno all'altro e tutti usano diversi shuttlecock.</v>
      </c>
    </row>
    <row r="29021">
      <c r="A29021" s="4" t="s">
        <v>36551</v>
      </c>
      <c r="B29021" s="4" t="s">
        <v>36552</v>
      </c>
      <c r="C29021" s="5" t="str">
        <f>IFERROR(__xludf.DUMMYFUNCTION("GOOGLETRANSLATE(B29021,""en"",""it"")"),"Un ragazzo è seduto a un tavolo armeggiare con un cubo di Rubik e poi lo mette sul tavolo.")</f>
        <v>Un ragazzo è seduto a un tavolo armeggiare con un cubo di Rubik e poi lo mette sul tavolo.</v>
      </c>
    </row>
    <row r="29022">
      <c r="A29022" s="4" t="s">
        <v>36551</v>
      </c>
      <c r="B29022" s="4" t="s">
        <v>36553</v>
      </c>
      <c r="C29022" s="5" t="str">
        <f>IFERROR(__xludf.DUMMYFUNCTION("GOOGLETRANSLATE(B29022,""en"",""it"")"),"Il ragazzo poi lo raccoglie e inizia a competere con altri quattro maschi per risolverlo.")</f>
        <v>Il ragazzo poi lo raccoglie e inizia a competere con altri quattro maschi per risolverlo.</v>
      </c>
    </row>
    <row r="29023">
      <c r="A29023" s="4" t="s">
        <v>36551</v>
      </c>
      <c r="B29023" s="6" t="s">
        <v>36554</v>
      </c>
      <c r="C29023" s="5" t="str">
        <f>IFERROR(__xludf.DUMMYFUNCTION("GOOGLETRANSLATE(B29023,""en"",""it"")"),"Una volta risolto, il ragazzo sbatte le braccia contro una barra nera che ferma il timer e il giudice lo tocca a 20 secondi.")</f>
        <v>Una volta risolto, il ragazzo sbatte le braccia contro una barra nera che ferma il timer e il giudice lo tocca a 20 secondi.</v>
      </c>
    </row>
    <row r="29024">
      <c r="A29024" s="4" t="s">
        <v>36555</v>
      </c>
      <c r="B29024" s="4" t="s">
        <v>36556</v>
      </c>
      <c r="C29024" s="5" t="str">
        <f>IFERROR(__xludf.DUMMYFUNCTION("GOOGLETRANSLATE(B29024,""en"",""it"")"),"Un gruppo di frequentatori della spiaggia gioca una partita di pallavolo su una spiaggia trafficata indossando costumi da bagno.")</f>
        <v>Un gruppo di frequentatori della spiaggia gioca una partita di pallavolo su una spiaggia trafficata indossando costumi da bagno.</v>
      </c>
    </row>
    <row r="29025">
      <c r="A29025" s="4" t="s">
        <v>36555</v>
      </c>
      <c r="B29025" s="4" t="s">
        <v>36557</v>
      </c>
      <c r="C29025" s="5" t="str">
        <f>IFERROR(__xludf.DUMMYFUNCTION("GOOGLETRANSLATE(B29025,""en"",""it"")"),"Una donna balla dopo aver fatto un servizio e abbraccia la sua amica.")</f>
        <v>Una donna balla dopo aver fatto un servizio e abbraccia la sua amica.</v>
      </c>
    </row>
    <row r="29026">
      <c r="A29026" s="4" t="s">
        <v>36555</v>
      </c>
      <c r="B29026" s="4" t="s">
        <v>36558</v>
      </c>
      <c r="C29026" s="5" t="str">
        <f>IFERROR(__xludf.DUMMYFUNCTION("GOOGLETRANSLATE(B29026,""en"",""it"")"),"Un giocatore segna un punto e dà un compagno di squadra un alto cinque.")</f>
        <v>Un giocatore segna un punto e dà un compagno di squadra un alto cinque.</v>
      </c>
    </row>
    <row r="29027">
      <c r="A29027" s="4" t="s">
        <v>36555</v>
      </c>
      <c r="B29027" s="4" t="s">
        <v>36559</v>
      </c>
      <c r="C29027" s="5" t="str">
        <f>IFERROR(__xludf.DUMMYFUNCTION("GOOGLETRANSLATE(B29027,""en"",""it"")"),"I frequentatori della spiaggia sono visti giocare in acqua.")</f>
        <v>I frequentatori della spiaggia sono visti giocare in acqua.</v>
      </c>
    </row>
    <row r="29028">
      <c r="A29028" s="4" t="s">
        <v>36560</v>
      </c>
      <c r="B29028" s="4" t="s">
        <v>36561</v>
      </c>
      <c r="C29028" s="5" t="str">
        <f>IFERROR(__xludf.DUMMYFUNCTION("GOOGLETRANSLATE(B29028,""en"",""it"")"),"Viene mostrato un primo piano di un'immersione alta seguita da persone che camminano su per i gradini.")</f>
        <v>Viene mostrato un primo piano di un'immersione alta seguita da persone che camminano su per i gradini.</v>
      </c>
    </row>
    <row r="29029">
      <c r="A29029" s="4" t="s">
        <v>36560</v>
      </c>
      <c r="B29029" s="4" t="s">
        <v>36562</v>
      </c>
      <c r="C29029" s="5" t="str">
        <f>IFERROR(__xludf.DUMMYFUNCTION("GOOGLETRANSLATE(B29029,""en"",""it"")"),"All'improvviso viene vista una persona saltare dall'immersione alta e in piscina.")</f>
        <v>All'improvviso viene vista una persona saltare dall'immersione alta e in piscina.</v>
      </c>
    </row>
    <row r="29030">
      <c r="A29030" s="4" t="s">
        <v>36563</v>
      </c>
      <c r="B29030" s="6" t="s">
        <v>36564</v>
      </c>
      <c r="C29030" s="5" t="str">
        <f>IFERROR(__xludf.DUMMYFUNCTION("GOOGLETRANSLATE(B29030,""en"",""it"")"),"Un primo piano di ingredienti viene mostrato seguito da un uomo che lecca il cucchiaio e mescola gli ingredienti in una pentola.")</f>
        <v>Un primo piano di ingredienti viene mostrato seguito da un uomo che lecca il cucchiaio e mescola gli ingredienti in una pentola.</v>
      </c>
    </row>
    <row r="29031">
      <c r="A29031" s="4" t="s">
        <v>36563</v>
      </c>
      <c r="B29031" s="4" t="s">
        <v>36565</v>
      </c>
      <c r="C29031" s="5" t="str">
        <f>IFERROR(__xludf.DUMMYFUNCTION("GOOGLETRANSLATE(B29031,""en"",""it"")"),"Mescola più ingredienti in un frullatore e li schiaccia tutti in palline per mettere in forno.")</f>
        <v>Mescola più ingredienti in un frullatore e li schiaccia tutti in palline per mettere in forno.</v>
      </c>
    </row>
    <row r="29032">
      <c r="A29032" s="4" t="s">
        <v>36563</v>
      </c>
      <c r="B29032" s="4" t="s">
        <v>36566</v>
      </c>
      <c r="C29032" s="5" t="str">
        <f>IFERROR(__xludf.DUMMYFUNCTION("GOOGLETRANSLATE(B29032,""en"",""it"")"),"Li tira fuori e finisce decorandoli.")</f>
        <v>Li tira fuori e finisce decorandoli.</v>
      </c>
    </row>
    <row r="29033">
      <c r="A29033" s="4" t="s">
        <v>36567</v>
      </c>
      <c r="B29033" s="4" t="s">
        <v>36568</v>
      </c>
      <c r="C29033" s="5" t="str">
        <f>IFERROR(__xludf.DUMMYFUNCTION("GOOGLETRANSLATE(B29033,""en"",""it"")"),"Un'introduzione porta a un primo piano di un dipinto e un pennello che turbina intorno e intorno.")</f>
        <v>Un'introduzione porta a un primo piano di un dipinto e un pennello che turbina intorno e intorno.</v>
      </c>
    </row>
    <row r="29034">
      <c r="A29034" s="4" t="s">
        <v>36567</v>
      </c>
      <c r="B29034" s="4" t="s">
        <v>36569</v>
      </c>
      <c r="C29034" s="5" t="str">
        <f>IFERROR(__xludf.DUMMYFUNCTION("GOOGLETRANSLATE(B29034,""en"",""it"")"),"La mano che tiene il pennello inizia a dipingere erba nel dipinto lentamente lungo il quadro.")</f>
        <v>La mano che tiene il pennello inizia a dipingere erba nel dipinto lentamente lungo il quadro.</v>
      </c>
    </row>
    <row r="29035">
      <c r="A29035" s="4" t="s">
        <v>36570</v>
      </c>
      <c r="B29035" s="4" t="s">
        <v>36571</v>
      </c>
      <c r="C29035" s="5" t="str">
        <f>IFERROR(__xludf.DUMMYFUNCTION("GOOGLETRANSLATE(B29035,""en"",""it"")"),"Due uomini sono in piedi in una stanza giocando a un gioco di tennis.")</f>
        <v>Due uomini sono in piedi in una stanza giocando a un gioco di tennis.</v>
      </c>
    </row>
    <row r="29036">
      <c r="A29036" s="4" t="s">
        <v>36570</v>
      </c>
      <c r="B29036" s="6" t="s">
        <v>36572</v>
      </c>
      <c r="C29036" s="5" t="str">
        <f>IFERROR(__xludf.DUMMYFUNCTION("GOOGLETRANSLATE(B29036,""en"",""it"")"),"Dietro l'uomo, c'è una fila di bambini seduti contro il muro dove una fila di bambini li sta guardando giocare.")</f>
        <v>Dietro l'uomo, c'è una fila di bambini seduti contro il muro dove una fila di bambini li sta guardando giocare.</v>
      </c>
    </row>
    <row r="29037">
      <c r="A29037" s="4" t="s">
        <v>36570</v>
      </c>
      <c r="B29037" s="6" t="s">
        <v>36573</v>
      </c>
      <c r="C29037" s="5" t="str">
        <f>IFERROR(__xludf.DUMMYFUNCTION("GOOGLETRANSLATE(B29037,""en"",""it"")"),"Il gioco continua, il bambino tiene il suo fino a quando l'adulto finisce per colpirlo e il bambino non è in grado di restituire la palla.")</f>
        <v>Il gioco continua, il bambino tiene il suo fino a quando l'adulto finisce per colpirlo e il bambino non è in grado di restituire la palla.</v>
      </c>
    </row>
    <row r="29038">
      <c r="A29038" s="4" t="s">
        <v>36574</v>
      </c>
      <c r="B29038" s="6" t="s">
        <v>36575</v>
      </c>
      <c r="C29038" s="5" t="str">
        <f>IFERROR(__xludf.DUMMYFUNCTION("GOOGLETRANSLATE(B29038,""en"",""it"")"),"Ci sono due ancore di notizie, una signora e un gentiluomo entrambi vestiti di nero che presentano una sezione di notizie.")</f>
        <v>Ci sono due ancore di notizie, una signora e un gentiluomo entrambi vestiti di nero che presentano una sezione di notizie.</v>
      </c>
    </row>
    <row r="29039">
      <c r="A29039" s="4" t="s">
        <v>36574</v>
      </c>
      <c r="B29039" s="4" t="s">
        <v>36576</v>
      </c>
      <c r="C29039" s="5" t="str">
        <f>IFERROR(__xludf.DUMMYFUNCTION("GOOGLETRANSLATE(B29039,""en"",""it"")"),"La signora tiene in mano due piccole carte mentre parla del prodotto agli spettatori.")</f>
        <v>La signora tiene in mano due piccole carte mentre parla del prodotto agli spettatori.</v>
      </c>
    </row>
    <row r="29040">
      <c r="A29040" s="4" t="s">
        <v>36574</v>
      </c>
      <c r="B29040" s="6" t="s">
        <v>36577</v>
      </c>
      <c r="C29040" s="5" t="str">
        <f>IFERROR(__xludf.DUMMYFUNCTION("GOOGLETRANSLATE(B29040,""en"",""it"")"),"C'è un'altra signora seduta su un tavolo insieme ad altre due donne, che dimostra come indossare lenti colorate negli occhi.")</f>
        <v>C'è un'altra signora seduta su un tavolo insieme ad altre due donne, che dimostra come indossare lenti colorate negli occhi.</v>
      </c>
    </row>
    <row r="29041">
      <c r="A29041" s="4" t="s">
        <v>36574</v>
      </c>
      <c r="B29041" s="4" t="s">
        <v>36578</v>
      </c>
      <c r="C29041" s="5" t="str">
        <f>IFERROR(__xludf.DUMMYFUNCTION("GOOGLETRANSLATE(B29041,""en"",""it"")"),"Stanno parlando e discutendo delle lenti e di come funziona.")</f>
        <v>Stanno parlando e discutendo delle lenti e di come funziona.</v>
      </c>
    </row>
    <row r="29042">
      <c r="A29042" s="4" t="s">
        <v>36574</v>
      </c>
      <c r="B29042" s="6" t="s">
        <v>36579</v>
      </c>
      <c r="C29042" s="5" t="str">
        <f>IFERROR(__xludf.DUMMYFUNCTION("GOOGLETRANSLATE(B29042,""en"",""it"")"),"C'è una pubblicità mostrata in cui le stesse lenti sono indossate da diverse persone per mostrare come può essere utilizzato.")</f>
        <v>C'è una pubblicità mostrata in cui le stesse lenti sono indossate da diverse persone per mostrare come può essere utilizzato.</v>
      </c>
    </row>
    <row r="29043">
      <c r="A29043" s="4" t="s">
        <v>36574</v>
      </c>
      <c r="B29043" s="4" t="s">
        <v>36580</v>
      </c>
      <c r="C29043" s="5" t="str">
        <f>IFERROR(__xludf.DUMMYFUNCTION("GOOGLETRANSLATE(B29043,""en"",""it"")"),"Un dottore in un cappotto da laboratorio parla anche delle lenti, mentre le persone mostrano come usarli.")</f>
        <v>Un dottore in un cappotto da laboratorio parla anche delle lenti, mentre le persone mostrano come usarli.</v>
      </c>
    </row>
    <row r="29044">
      <c r="A29044" s="4" t="s">
        <v>36574</v>
      </c>
      <c r="B29044" s="6" t="s">
        <v>36581</v>
      </c>
      <c r="C29044" s="5" t="str">
        <f>IFERROR(__xludf.DUMMYFUNCTION("GOOGLETRANSLATE(B29044,""en"",""it"")"),"Un'altra ancora di notizie parla anche delle stesse lenti e di come è diventata una tendenza pericolosa tra gli adolescenti.")</f>
        <v>Un'altra ancora di notizie parla anche delle stesse lenti e di come è diventata una tendenza pericolosa tra gli adolescenti.</v>
      </c>
    </row>
    <row r="29045">
      <c r="A29045" s="4" t="s">
        <v>36574</v>
      </c>
      <c r="B29045" s="4" t="s">
        <v>36582</v>
      </c>
      <c r="C29045" s="5" t="str">
        <f>IFERROR(__xludf.DUMMYFUNCTION("GOOGLETRANSLATE(B29045,""en"",""it"")"),"L'ancora di Lady News torna con l'ancora delle notizie maschili per continuare il programma.")</f>
        <v>L'ancora di Lady News torna con l'ancora delle notizie maschili per continuare il programma.</v>
      </c>
    </row>
    <row r="29046">
      <c r="A29046" s="4" t="s">
        <v>36583</v>
      </c>
      <c r="B29046" s="4" t="s">
        <v>36584</v>
      </c>
      <c r="C29046" s="5" t="str">
        <f>IFERROR(__xludf.DUMMYFUNCTION("GOOGLETRANSLATE(B29046,""en"",""it"")"),"Diversi giocatori sono mostrati su una pista di pattinaggio.")</f>
        <v>Diversi giocatori sono mostrati su una pista di pattinaggio.</v>
      </c>
    </row>
    <row r="29047">
      <c r="A29047" s="4" t="s">
        <v>36583</v>
      </c>
      <c r="B29047" s="4" t="s">
        <v>36585</v>
      </c>
      <c r="C29047" s="5" t="str">
        <f>IFERROR(__xludf.DUMMYFUNCTION("GOOGLETRANSLATE(B29047,""en"",""it"")"),"Sono impegnati in diversi giochi di curling.")</f>
        <v>Sono impegnati in diversi giochi di curling.</v>
      </c>
    </row>
    <row r="29048">
      <c r="A29048" s="4" t="s">
        <v>36583</v>
      </c>
      <c r="B29048" s="4" t="s">
        <v>36586</v>
      </c>
      <c r="C29048" s="5" t="str">
        <f>IFERROR(__xludf.DUMMYFUNCTION("GOOGLETRANSLATE(B29048,""en"",""it"")"),"Usano i loro pipistrelli per spostare il disco, con la fascia alta quando hanno finito.")</f>
        <v>Usano i loro pipistrelli per spostare il disco, con la fascia alta quando hanno finito.</v>
      </c>
    </row>
    <row r="29049">
      <c r="A29049" s="4" t="s">
        <v>36587</v>
      </c>
      <c r="B29049" s="4" t="s">
        <v>36588</v>
      </c>
      <c r="C29049" s="5" t="str">
        <f>IFERROR(__xludf.DUMMYFUNCTION("GOOGLETRANSLATE(B29049,""en"",""it"")"),"Viene riprodotto uno spettacolo di una rete di cartoni animati.")</f>
        <v>Viene riprodotto uno spettacolo di una rete di cartoni animati.</v>
      </c>
    </row>
    <row r="29050">
      <c r="A29050" s="4" t="s">
        <v>36587</v>
      </c>
      <c r="B29050" s="4" t="s">
        <v>36589</v>
      </c>
      <c r="C29050" s="5" t="str">
        <f>IFERROR(__xludf.DUMMYFUNCTION("GOOGLETRANSLATE(B29050,""en"",""it"")"),"Un personaggio blu taglia un blocco ma fallisce più volte.")</f>
        <v>Un personaggio blu taglia un blocco ma fallisce più volte.</v>
      </c>
    </row>
    <row r="29051">
      <c r="A29051" s="4" t="s">
        <v>36590</v>
      </c>
      <c r="B29051" s="6" t="s">
        <v>36591</v>
      </c>
      <c r="C29051" s="5" t="str">
        <f>IFERROR(__xludf.DUMMYFUNCTION("GOOGLETRANSLATE(B29051,""en"",""it"")"),"La squadra di giocatori di bowling boliviani si prepara a iniziare a bowling esercitando una tecnica insegnata da Jason Belmont mettendo due dita nei fori e usando due mani per girare la palla.")</f>
        <v>La squadra di giocatori di bowling boliviani si prepara a iniziare a bowling esercitando una tecnica insegnata da Jason Belmont mettendo due dita nei fori e usando due mani per girare la palla.</v>
      </c>
    </row>
    <row r="29052">
      <c r="A29052" s="4" t="s">
        <v>36590</v>
      </c>
      <c r="B29052" s="4" t="s">
        <v>36592</v>
      </c>
      <c r="C29052" s="5" t="str">
        <f>IFERROR(__xludf.DUMMYFUNCTION("GOOGLETRANSLATE(B29052,""en"",""it"")"),"I giovani giocatori dilettanti iniziano a lanciarsi usando la tecnica a due mani.")</f>
        <v>I giovani giocatori dilettanti iniziano a lanciarsi usando la tecnica a due mani.</v>
      </c>
    </row>
    <row r="29053">
      <c r="A29053" s="4" t="s">
        <v>36590</v>
      </c>
      <c r="B29053" s="4" t="s">
        <v>36593</v>
      </c>
      <c r="C29053" s="5" t="str">
        <f>IFERROR(__xludf.DUMMYFUNCTION("GOOGLETRANSLATE(B29053,""en"",""it"")"),"Viene introdotto il presidente della Federazione Bowling Marcelo Garafulic.")</f>
        <v>Viene introdotto il presidente della Federazione Bowling Marcelo Garafulic.</v>
      </c>
    </row>
    <row r="29054">
      <c r="A29054" s="4" t="s">
        <v>36590</v>
      </c>
      <c r="B29054" s="6" t="s">
        <v>36594</v>
      </c>
      <c r="C29054" s="5" t="str">
        <f>IFERROR(__xludf.DUMMYFUNCTION("GOOGLETRANSLATE(B29054,""en"",""it"")"),"L'annunciatore inizia a spiegare come si allenano la squadra di giocatori di bowling boliviani e viene mostrata più pratica.")</f>
        <v>L'annunciatore inizia a spiegare come si allenano la squadra di giocatori di bowling boliviani e viene mostrata più pratica.</v>
      </c>
    </row>
    <row r="29055">
      <c r="A29055" s="4" t="s">
        <v>36590</v>
      </c>
      <c r="B29055" s="4" t="s">
        <v>36595</v>
      </c>
      <c r="C29055" s="5" t="str">
        <f>IFERROR(__xludf.DUMMYFUNCTION("GOOGLETRANSLATE(B29055,""en"",""it"")"),"Garafulic inizia a spiegare le cliniche e le medaglie che hanno vinto giochi perfetti.")</f>
        <v>Garafulic inizia a spiegare le cliniche e le medaglie che hanno vinto giochi perfetti.</v>
      </c>
    </row>
    <row r="29056">
      <c r="A29056" s="4" t="s">
        <v>36590</v>
      </c>
      <c r="B29056" s="4" t="s">
        <v>36596</v>
      </c>
      <c r="C29056" s="5" t="str">
        <f>IFERROR(__xludf.DUMMYFUNCTION("GOOGLETRANSLATE(B29056,""en"",""it"")"),"I giocatori di bowling vengono mostrati di nuovo esercitati.")</f>
        <v>I giocatori di bowling vengono mostrati di nuovo esercitati.</v>
      </c>
    </row>
    <row r="29057">
      <c r="A29057" s="4" t="s">
        <v>36597</v>
      </c>
      <c r="B29057" s="4" t="s">
        <v>36598</v>
      </c>
      <c r="C29057" s="5" t="str">
        <f>IFERROR(__xludf.DUMMYFUNCTION("GOOGLETRANSLATE(B29057,""en"",""it"")"),"Un ragazzo è scalzo, spingendo un tosaerba nel suo cortile.")</f>
        <v>Un ragazzo è scalzo, spingendo un tosaerba nel suo cortile.</v>
      </c>
    </row>
    <row r="29058">
      <c r="A29058" s="4" t="s">
        <v>36597</v>
      </c>
      <c r="B29058" s="4" t="s">
        <v>36599</v>
      </c>
      <c r="C29058" s="5" t="str">
        <f>IFERROR(__xludf.DUMMYFUNCTION("GOOGLETRANSLATE(B29058,""en"",""it"")"),"Una bambina corre mentre falcia.")</f>
        <v>Una bambina corre mentre falcia.</v>
      </c>
    </row>
    <row r="29059">
      <c r="A29059" s="4" t="s">
        <v>36600</v>
      </c>
      <c r="B29059" s="4" t="s">
        <v>36601</v>
      </c>
      <c r="C29059" s="5" t="str">
        <f>IFERROR(__xludf.DUMMYFUNCTION("GOOGLETRANSLATE(B29059,""en"",""it"")"),"Un uomo è in una stanza con una folla di persone che lo guardano mentre si prepara a esibirsi.")</f>
        <v>Un uomo è in una stanza con una folla di persone che lo guardano mentre si prepara a esibirsi.</v>
      </c>
    </row>
    <row r="29060">
      <c r="A29060" s="4" t="s">
        <v>36600</v>
      </c>
      <c r="B29060" s="6" t="s">
        <v>36602</v>
      </c>
      <c r="C29060" s="5" t="str">
        <f>IFERROR(__xludf.DUMMYFUNCTION("GOOGLETRANSLATE(B29060,""en"",""it"")"),"Il maschio si alza a destra e mette una sedia di plastica blu tra le gambe e inizia a girare intorno alla sua testa.")</f>
        <v>Il maschio si alza a destra e mette una sedia di plastica blu tra le gambe e inizia a girare intorno alla sua testa.</v>
      </c>
    </row>
    <row r="29061">
      <c r="A29061" s="4" t="s">
        <v>36600</v>
      </c>
      <c r="B29061" s="6" t="s">
        <v>36603</v>
      </c>
      <c r="C29061" s="5" t="str">
        <f>IFERROR(__xludf.DUMMYFUNCTION("GOOGLETRANSLATE(B29061,""en"",""it"")"),"Una volta che ha finito, si alza un'altra persona e inizia a girarsi in testa mentre un colorato hula Hoop inizia a girare intorno alla sua vita.")</f>
        <v>Una volta che ha finito, si alza un'altra persona e inizia a girarsi in testa mentre un colorato hula Hoop inizia a girare intorno alla sua vita.</v>
      </c>
    </row>
    <row r="29062">
      <c r="A29062" s="4" t="s">
        <v>36600</v>
      </c>
      <c r="B29062" s="4" t="s">
        <v>36604</v>
      </c>
      <c r="C29062" s="5" t="str">
        <f>IFERROR(__xludf.DUMMYFUNCTION("GOOGLETRANSLATE(B29062,""en"",""it"")"),"Completa la sua esibizione e la folla salta e si congratula con l'uomo.")</f>
        <v>Completa la sua esibizione e la folla salta e si congratula con l'uomo.</v>
      </c>
    </row>
    <row r="29063">
      <c r="A29063" s="4" t="s">
        <v>36605</v>
      </c>
      <c r="B29063" s="6" t="s">
        <v>36606</v>
      </c>
      <c r="C29063" s="5" t="str">
        <f>IFERROR(__xludf.DUMMYFUNCTION("GOOGLETRANSLATE(B29063,""en"",""it"")"),"Una macchina elettrica è collegata all'estremità di un tavolo da ping pong e si muove con i sensi del movimento della mano di una persona.")</f>
        <v>Una macchina elettrica è collegata all'estremità di un tavolo da ping pong e si muove con i sensi del movimento della mano di una persona.</v>
      </c>
    </row>
    <row r="29064">
      <c r="A29064" s="4" t="s">
        <v>36605</v>
      </c>
      <c r="B29064" s="4" t="s">
        <v>36607</v>
      </c>
      <c r="C29064" s="5" t="str">
        <f>IFERROR(__xludf.DUMMYFUNCTION("GOOGLETRANSLATE(B29064,""en"",""it"")"),"Dopo, diverse palline vengono quindi lanciate verso la pagaia e restituite dalla macchina.")</f>
        <v>Dopo, diverse palline vengono quindi lanciate verso la pagaia e restituite dalla macchina.</v>
      </c>
    </row>
    <row r="29065">
      <c r="A29065" s="4" t="s">
        <v>36605</v>
      </c>
      <c r="B29065" s="6" t="s">
        <v>36608</v>
      </c>
      <c r="C29065" s="5" t="str">
        <f>IFERROR(__xludf.DUMMYFUNCTION("GOOGLETRANSLATE(B29065,""en"",""it"")"),"La persona quindi attraversa il tavolo e inizia a colpire le palle più velocemente e la macchina accelera per colpire la palla.")</f>
        <v>La persona quindi attraversa il tavolo e inizia a colpire le palle più velocemente e la macchina accelera per colpire la palla.</v>
      </c>
    </row>
    <row r="29066">
      <c r="A29066" s="4" t="s">
        <v>36609</v>
      </c>
      <c r="B29066" s="4" t="s">
        <v>36610</v>
      </c>
      <c r="C29066" s="5" t="str">
        <f>IFERROR(__xludf.DUMMYFUNCTION("GOOGLETRANSLATE(B29066,""en"",""it"")"),"Gli adulti stanno giocando a pallavolo su un campo.")</f>
        <v>Gli adulti stanno giocando a pallavolo su un campo.</v>
      </c>
    </row>
    <row r="29067">
      <c r="A29067" s="4" t="s">
        <v>36609</v>
      </c>
      <c r="B29067" s="4" t="s">
        <v>5896</v>
      </c>
      <c r="C29067" s="5" t="str">
        <f>IFERROR(__xludf.DUMMYFUNCTION("GOOGLETRANSLATE(B29067,""en"",""it"")"),"Una folla li sta guardando giocare.")</f>
        <v>Una folla li sta guardando giocare.</v>
      </c>
    </row>
    <row r="29068">
      <c r="A29068" s="4" t="s">
        <v>36611</v>
      </c>
      <c r="B29068" s="4" t="s">
        <v>29742</v>
      </c>
      <c r="C29068" s="5" t="str">
        <f>IFERROR(__xludf.DUMMYFUNCTION("GOOGLETRANSLATE(B29068,""en"",""it"")"),"Le persone si stanno allenando in palestra.")</f>
        <v>Le persone si stanno allenando in palestra.</v>
      </c>
    </row>
    <row r="29069">
      <c r="A29069" s="4" t="s">
        <v>36611</v>
      </c>
      <c r="B29069" s="4" t="s">
        <v>36612</v>
      </c>
      <c r="C29069" s="5" t="str">
        <f>IFERROR(__xludf.DUMMYFUNCTION("GOOGLETRANSLATE(B29069,""en"",""it"")"),"Le persone si stanno allenando con le bici da spin.")</f>
        <v>Le persone si stanno allenando con le bici da spin.</v>
      </c>
    </row>
    <row r="29070">
      <c r="A29070" s="4" t="s">
        <v>36611</v>
      </c>
      <c r="B29070" s="4" t="s">
        <v>36613</v>
      </c>
      <c r="C29070" s="5" t="str">
        <f>IFERROR(__xludf.DUMMYFUNCTION("GOOGLETRANSLATE(B29070,""en"",""it"")"),"Una donna in una canotta gialla parla alla telecamera.")</f>
        <v>Una donna in una canotta gialla parla alla telecamera.</v>
      </c>
    </row>
    <row r="29071">
      <c r="A29071" s="4" t="s">
        <v>36611</v>
      </c>
      <c r="B29071" s="4" t="s">
        <v>36614</v>
      </c>
      <c r="C29071" s="5" t="str">
        <f>IFERROR(__xludf.DUMMYFUNCTION("GOOGLETRANSLATE(B29071,""en"",""it"")"),"Una donna in una canotta verde parla alla telecamera.")</f>
        <v>Una donna in una canotta verde parla alla telecamera.</v>
      </c>
    </row>
    <row r="29072">
      <c r="A29072" s="4" t="s">
        <v>36615</v>
      </c>
      <c r="B29072" s="6" t="s">
        <v>36616</v>
      </c>
      <c r="C29072" s="5" t="str">
        <f>IFERROR(__xludf.DUMMYFUNCTION("GOOGLETRANSLATE(B29072,""en"",""it"")"),"Una donna viene vista camminare nel telaio e parlare alla telecamera mentre tiene in mano vari oggetti.")</f>
        <v>Una donna viene vista camminare nel telaio e parlare alla telecamera mentre tiene in mano vari oggetti.</v>
      </c>
    </row>
    <row r="29073">
      <c r="A29073" s="4" t="s">
        <v>36615</v>
      </c>
      <c r="B29073" s="4" t="s">
        <v>36617</v>
      </c>
      <c r="C29073" s="5" t="str">
        <f>IFERROR(__xludf.DUMMYFUNCTION("GOOGLETRANSLATE(B29073,""en"",""it"")"),"Continua a estrarre più oggetti mentre parla ancora alla telecamera.")</f>
        <v>Continua a estrarre più oggetti mentre parla ancora alla telecamera.</v>
      </c>
    </row>
    <row r="29074">
      <c r="A29074" s="4" t="s">
        <v>36618</v>
      </c>
      <c r="B29074" s="4" t="s">
        <v>36619</v>
      </c>
      <c r="C29074" s="5" t="str">
        <f>IFERROR(__xludf.DUMMYFUNCTION("GOOGLETRANSLATE(B29074,""en"",""it"")"),"Due ragazzi camminano lungo un marciapiede vicino a una piscina.")</f>
        <v>Due ragazzi camminano lungo un marciapiede vicino a una piscina.</v>
      </c>
    </row>
    <row r="29075">
      <c r="A29075" s="4" t="s">
        <v>36618</v>
      </c>
      <c r="B29075" s="4" t="s">
        <v>36620</v>
      </c>
      <c r="C29075" s="5" t="str">
        <f>IFERROR(__xludf.DUMMYFUNCTION("GOOGLETRANSLATE(B29075,""en"",""it"")"),"Ci sono molte persone che fanno cose diverse dentro e intorno alla piscina.")</f>
        <v>Ci sono molte persone che fanno cose diverse dentro e intorno alla piscina.</v>
      </c>
    </row>
    <row r="29076">
      <c r="A29076" s="4" t="s">
        <v>36618</v>
      </c>
      <c r="B29076" s="4" t="s">
        <v>36621</v>
      </c>
      <c r="C29076" s="5" t="str">
        <f>IFERROR(__xludf.DUMMYFUNCTION("GOOGLETRANSLATE(B29076,""en"",""it"")"),"Alcuni ragazzi saltano giù dalle tavole per immersioni facendo giri e altri trucchi.")</f>
        <v>Alcuni ragazzi saltano giù dalle tavole per immersioni facendo giri e altri trucchi.</v>
      </c>
    </row>
    <row r="29077">
      <c r="A29077" s="4" t="s">
        <v>36622</v>
      </c>
      <c r="B29077" s="4" t="s">
        <v>1251</v>
      </c>
      <c r="C29077" s="5" t="str">
        <f>IFERROR(__xludf.DUMMYFUNCTION("GOOGLETRANSLATE(B29077,""en"",""it"")"),"Vengono visualizzati i crediti della clip.")</f>
        <v>Vengono visualizzati i crediti della clip.</v>
      </c>
    </row>
    <row r="29078">
      <c r="A29078" s="4" t="s">
        <v>36622</v>
      </c>
      <c r="B29078" s="4" t="s">
        <v>36623</v>
      </c>
      <c r="C29078" s="5" t="str">
        <f>IFERROR(__xludf.DUMMYFUNCTION("GOOGLETRANSLATE(B29078,""en"",""it"")"),"Le persone hanno le mani su un tavolo da casinò.")</f>
        <v>Le persone hanno le mani su un tavolo da casinò.</v>
      </c>
    </row>
    <row r="29079">
      <c r="A29079" s="4" t="s">
        <v>36622</v>
      </c>
      <c r="B29079" s="4" t="s">
        <v>573</v>
      </c>
      <c r="C29079" s="5" t="str">
        <f>IFERROR(__xludf.DUMMYFUNCTION("GOOGLETRANSLATE(B29079,""en"",""it"")"),"Vengono visualizzati i crediti del video.")</f>
        <v>Vengono visualizzati i crediti del video.</v>
      </c>
    </row>
    <row r="29080">
      <c r="A29080" s="4" t="s">
        <v>36624</v>
      </c>
      <c r="B29080" s="4" t="s">
        <v>36625</v>
      </c>
      <c r="C29080" s="5" t="str">
        <f>IFERROR(__xludf.DUMMYFUNCTION("GOOGLETRANSLATE(B29080,""en"",""it"")"),"Una donna è seduta dietro un pianoforte.")</f>
        <v>Una donna è seduta dietro un pianoforte.</v>
      </c>
    </row>
    <row r="29081">
      <c r="A29081" s="4" t="s">
        <v>36624</v>
      </c>
      <c r="B29081" s="4" t="s">
        <v>36626</v>
      </c>
      <c r="C29081" s="5" t="str">
        <f>IFERROR(__xludf.DUMMYFUNCTION("GOOGLETRANSLATE(B29081,""en"",""it"")"),"Un bambino è seduto dietro una tastiera giocando.")</f>
        <v>Un bambino è seduto dietro una tastiera giocando.</v>
      </c>
    </row>
    <row r="29082">
      <c r="A29082" s="4" t="s">
        <v>36624</v>
      </c>
      <c r="B29082" s="4" t="s">
        <v>36627</v>
      </c>
      <c r="C29082" s="5" t="str">
        <f>IFERROR(__xludf.DUMMYFUNCTION("GOOGLETRANSLATE(B29082,""en"",""it"")"),"Le immagini dei pianoforti sono mostrate alla fine.")</f>
        <v>Le immagini dei pianoforti sono mostrate alla fine.</v>
      </c>
    </row>
    <row r="29083">
      <c r="A29083" s="4" t="s">
        <v>36628</v>
      </c>
      <c r="B29083" s="4" t="s">
        <v>36629</v>
      </c>
      <c r="C29083" s="5" t="str">
        <f>IFERROR(__xludf.DUMMYFUNCTION("GOOGLETRANSLATE(B29083,""en"",""it"")"),"Una ragazza viene mostrata più volte in esecuzione su una traccia.")</f>
        <v>Una ragazza viene mostrata più volte in esecuzione su una traccia.</v>
      </c>
    </row>
    <row r="29084">
      <c r="A29084" s="4" t="s">
        <v>36628</v>
      </c>
      <c r="B29084" s="4" t="s">
        <v>36630</v>
      </c>
      <c r="C29084" s="5" t="str">
        <f>IFERROR(__xludf.DUMMYFUNCTION("GOOGLETRANSLATE(B29084,""en"",""it"")"),"Usa un palo per passare da una barra.")</f>
        <v>Usa un palo per passare da una barra.</v>
      </c>
    </row>
    <row r="29085">
      <c r="A29085" s="4" t="s">
        <v>36628</v>
      </c>
      <c r="B29085" s="4" t="s">
        <v>36631</v>
      </c>
      <c r="C29085" s="5" t="str">
        <f>IFERROR(__xludf.DUMMYFUNCTION("GOOGLETRANSLATE(B29085,""en"",""it"")"),"Atterra su un tappetino dall'altra parte.")</f>
        <v>Atterra su un tappetino dall'altra parte.</v>
      </c>
    </row>
    <row r="29086">
      <c r="A29086" s="4" t="s">
        <v>36632</v>
      </c>
      <c r="B29086" s="4" t="s">
        <v>36633</v>
      </c>
      <c r="C29086" s="5" t="str">
        <f>IFERROR(__xludf.DUMMYFUNCTION("GOOGLETRANSLATE(B29086,""en"",""it"")"),"Una barca che ha una vela blu con due persone naviga in un corpo d'acqua.")</f>
        <v>Una barca che ha una vela blu con due persone naviga in un corpo d'acqua.</v>
      </c>
    </row>
    <row r="29087">
      <c r="A29087" s="4" t="s">
        <v>36632</v>
      </c>
      <c r="B29087" s="4" t="s">
        <v>36634</v>
      </c>
      <c r="C29087" s="5" t="str">
        <f>IFERROR(__xludf.DUMMYFUNCTION("GOOGLETRANSLATE(B29087,""en"",""it"")"),"La persona nella parte anteriore della barca si sporge di lato e apparentemente colpisce l'acqua.")</f>
        <v>La persona nella parte anteriore della barca si sporge di lato e apparentemente colpisce l'acqua.</v>
      </c>
    </row>
    <row r="29088">
      <c r="A29088" s="4" t="s">
        <v>36632</v>
      </c>
      <c r="B29088" s="4" t="s">
        <v>36635</v>
      </c>
      <c r="C29088" s="5" t="str">
        <f>IFERROR(__xludf.DUMMYFUNCTION("GOOGLETRANSLATE(B29088,""en"",""it"")"),"L'acqua inizia a diventare sempre più mosse.")</f>
        <v>L'acqua inizia a diventare sempre più mosse.</v>
      </c>
    </row>
    <row r="29089">
      <c r="A29089" s="4" t="s">
        <v>36632</v>
      </c>
      <c r="B29089" s="4" t="s">
        <v>36636</v>
      </c>
      <c r="C29089" s="5" t="str">
        <f>IFERROR(__xludf.DUMMYFUNCTION("GOOGLETRANSLATE(B29089,""en"",""it"")"),"La barca fa una svolta a destra.")</f>
        <v>La barca fa una svolta a destra.</v>
      </c>
    </row>
    <row r="29090">
      <c r="A29090" s="4" t="s">
        <v>36632</v>
      </c>
      <c r="B29090" s="4" t="s">
        <v>36637</v>
      </c>
      <c r="C29090" s="5" t="str">
        <f>IFERROR(__xludf.DUMMYFUNCTION("GOOGLETRANSLATE(B29090,""en"",""it"")"),"La barca inizia a dirigersi verso la riva.")</f>
        <v>La barca inizia a dirigersi verso la riva.</v>
      </c>
    </row>
    <row r="29091">
      <c r="A29091" s="4" t="s">
        <v>36638</v>
      </c>
      <c r="B29091" s="4" t="s">
        <v>36639</v>
      </c>
      <c r="C29091" s="5" t="str">
        <f>IFERROR(__xludf.DUMMYFUNCTION("GOOGLETRANSLATE(B29091,""en"",""it"")"),"Vediamo due persone sott'acqua in una piscina.")</f>
        <v>Vediamo due persone sott'acqua in una piscina.</v>
      </c>
    </row>
    <row r="29092">
      <c r="A29092" s="4" t="s">
        <v>36638</v>
      </c>
      <c r="B29092" s="4" t="s">
        <v>36640</v>
      </c>
      <c r="C29092" s="5" t="str">
        <f>IFERROR(__xludf.DUMMYFUNCTION("GOOGLETRANSLATE(B29092,""en"",""it"")"),"Le persone scambiano una pinna.")</f>
        <v>Le persone scambiano una pinna.</v>
      </c>
    </row>
    <row r="29093">
      <c r="A29093" s="4" t="s">
        <v>36638</v>
      </c>
      <c r="B29093" s="4" t="s">
        <v>36641</v>
      </c>
      <c r="C29093" s="5" t="str">
        <f>IFERROR(__xludf.DUMMYFUNCTION("GOOGLETRANSLATE(B29093,""en"",""it"")"),"Gli uomini iniziano a condividere un respiro.")</f>
        <v>Gli uomini iniziano a condividere un respiro.</v>
      </c>
    </row>
    <row r="29094">
      <c r="A29094" s="4" t="s">
        <v>36638</v>
      </c>
      <c r="B29094" s="4" t="s">
        <v>36642</v>
      </c>
      <c r="C29094" s="5" t="str">
        <f>IFERROR(__xludf.DUMMYFUNCTION("GOOGLETRANSLATE(B29094,""en"",""it"")"),"Lo scambio le loro altre pinne.")</f>
        <v>Lo scambio le loro altre pinne.</v>
      </c>
    </row>
    <row r="29095">
      <c r="A29095" s="4" t="s">
        <v>36638</v>
      </c>
      <c r="B29095" s="4" t="s">
        <v>36643</v>
      </c>
      <c r="C29095" s="5" t="str">
        <f>IFERROR(__xludf.DUMMYFUNCTION("GOOGLETRANSLATE(B29095,""en"",""it"")"),"Gli uomini cambiano la loro attrezzatura aerea.")</f>
        <v>Gli uomini cambiano la loro attrezzatura aerea.</v>
      </c>
    </row>
    <row r="29096">
      <c r="A29096" s="4" t="s">
        <v>36638</v>
      </c>
      <c r="B29096" s="4" t="s">
        <v>36644</v>
      </c>
      <c r="C29096" s="5" t="str">
        <f>IFERROR(__xludf.DUMMYFUNCTION("GOOGLETRANSLATE(B29096,""en"",""it"")"),"L'uomo giusto non è in grado di trovare il buco del braccio.")</f>
        <v>L'uomo giusto non è in grado di trovare il buco del braccio.</v>
      </c>
    </row>
    <row r="29097">
      <c r="A29097" s="4" t="s">
        <v>36645</v>
      </c>
      <c r="B29097" s="4" t="s">
        <v>36646</v>
      </c>
      <c r="C29097" s="5" t="str">
        <f>IFERROR(__xludf.DUMMYFUNCTION("GOOGLETRANSLATE(B29097,""en"",""it"")"),"Innanzitutto le persone vengono mostrate nuotando all'indietro.")</f>
        <v>Innanzitutto le persone vengono mostrate nuotando all'indietro.</v>
      </c>
    </row>
    <row r="29098">
      <c r="A29098" s="4" t="s">
        <v>36645</v>
      </c>
      <c r="B29098" s="4" t="s">
        <v>36647</v>
      </c>
      <c r="C29098" s="5" t="str">
        <f>IFERROR(__xludf.DUMMYFUNCTION("GOOGLETRANSLATE(B29098,""en"",""it"")"),"Quindi vengono mostrati giocando a pallavolo in acqua.")</f>
        <v>Quindi vengono mostrati giocando a pallavolo in acqua.</v>
      </c>
    </row>
    <row r="29099">
      <c r="A29099" s="4" t="s">
        <v>36648</v>
      </c>
      <c r="B29099" s="4" t="s">
        <v>36649</v>
      </c>
      <c r="C29099" s="5" t="str">
        <f>IFERROR(__xludf.DUMMYFUNCTION("GOOGLETRANSLATE(B29099,""en"",""it"")"),"Una donna sta parlando di fronte a un'immagine di due cervi su una pianura.")</f>
        <v>Una donna sta parlando di fronte a un'immagine di due cervi su una pianura.</v>
      </c>
    </row>
    <row r="29100">
      <c r="A29100" s="4" t="s">
        <v>36648</v>
      </c>
      <c r="B29100" s="4" t="s">
        <v>36650</v>
      </c>
      <c r="C29100" s="5" t="str">
        <f>IFERROR(__xludf.DUMMYFUNCTION("GOOGLETRANSLATE(B29100,""en"",""it"")"),"Quindi vediamo un uomo che parla mentre perforano buchi nel ghiaccio.")</f>
        <v>Quindi vediamo un uomo che parla mentre perforano buchi nel ghiaccio.</v>
      </c>
    </row>
    <row r="29101">
      <c r="A29101" s="4" t="s">
        <v>36648</v>
      </c>
      <c r="B29101" s="4" t="s">
        <v>36651</v>
      </c>
      <c r="C29101" s="5" t="str">
        <f>IFERROR(__xludf.DUMMYFUNCTION("GOOGLETRANSLATE(B29101,""en"",""it"")"),"Alcuni stand servono hot dog alle persone mentre ghiacciano.")</f>
        <v>Alcuni stand servono hot dog alle persone mentre ghiacciano.</v>
      </c>
    </row>
    <row r="29102">
      <c r="A29102" s="4" t="s">
        <v>36648</v>
      </c>
      <c r="B29102" s="4" t="s">
        <v>36652</v>
      </c>
      <c r="C29102" s="5" t="str">
        <f>IFERROR(__xludf.DUMMYFUNCTION("GOOGLETRANSLATE(B29102,""en"",""it"")"),"Un ragazzino e una ragazza tentano di catturare un pesce.")</f>
        <v>Un ragazzino e una ragazza tentano di catturare un pesce.</v>
      </c>
    </row>
    <row r="29103">
      <c r="A29103" s="4" t="s">
        <v>36648</v>
      </c>
      <c r="B29103" s="4" t="s">
        <v>36653</v>
      </c>
      <c r="C29103" s="5" t="str">
        <f>IFERROR(__xludf.DUMMYFUNCTION("GOOGLETRANSLATE(B29103,""en"",""it"")"),"Sono intervistati mentre pescano.")</f>
        <v>Sono intervistati mentre pescano.</v>
      </c>
    </row>
    <row r="29104">
      <c r="A29104" s="4" t="s">
        <v>36654</v>
      </c>
      <c r="B29104" s="4" t="s">
        <v>36655</v>
      </c>
      <c r="C29104" s="5" t="str">
        <f>IFERROR(__xludf.DUMMYFUNCTION("GOOGLETRANSLATE(B29104,""en"",""it"")"),"Le dita stanno premendo i tasti neri.")</f>
        <v>Le dita stanno premendo i tasti neri.</v>
      </c>
    </row>
    <row r="29105">
      <c r="A29105" s="4" t="s">
        <v>36654</v>
      </c>
      <c r="B29105" s="4" t="s">
        <v>36656</v>
      </c>
      <c r="C29105" s="5" t="str">
        <f>IFERROR(__xludf.DUMMYFUNCTION("GOOGLETRANSLATE(B29105,""en"",""it"")"),"Un dito sta premendo un tasto.")</f>
        <v>Un dito sta premendo un tasto.</v>
      </c>
    </row>
    <row r="29106">
      <c r="A29106" s="4" t="s">
        <v>36654</v>
      </c>
      <c r="B29106" s="4" t="s">
        <v>36657</v>
      </c>
      <c r="C29106" s="5" t="str">
        <f>IFERROR(__xludf.DUMMYFUNCTION("GOOGLETRANSLATE(B29106,""en"",""it"")"),"Le dita si stanno spostando su tasti diversi e premendole.")</f>
        <v>Le dita si stanno spostando su tasti diversi e premendole.</v>
      </c>
    </row>
    <row r="29107">
      <c r="A29107" s="4" t="s">
        <v>36658</v>
      </c>
      <c r="B29107" s="6" t="s">
        <v>36659</v>
      </c>
      <c r="C29107" s="5" t="str">
        <f>IFERROR(__xludf.DUMMYFUNCTION("GOOGLETRANSLATE(B29107,""en"",""it"")"),"Viene vista una donna parlare alla telecamera usando le mani e le porta in ginocchio scaricando un secchio.")</f>
        <v>Viene vista una donna parlare alla telecamera usando le mani e le porta in ginocchio scaricando un secchio.</v>
      </c>
    </row>
    <row r="29108">
      <c r="A29108" s="4" t="s">
        <v>36658</v>
      </c>
      <c r="B29108" s="6" t="s">
        <v>36660</v>
      </c>
      <c r="C29108" s="5" t="str">
        <f>IFERROR(__xludf.DUMMYFUNCTION("GOOGLETRANSLATE(B29108,""en"",""it"")"),"Quindi usa un rastrello per strofinarlo tutto lo sporco attorno all'albero mentre si ferma a parlare alla telecamera.")</f>
        <v>Quindi usa un rastrello per strofinarlo tutto lo sporco attorno all'albero mentre si ferma a parlare alla telecamera.</v>
      </c>
    </row>
    <row r="29109">
      <c r="A29109" s="4" t="s">
        <v>36661</v>
      </c>
      <c r="B29109" s="4" t="s">
        <v>36662</v>
      </c>
      <c r="C29109" s="5" t="str">
        <f>IFERROR(__xludf.DUMMYFUNCTION("GOOGLETRANSLATE(B29109,""en"",""it"")"),"Una donna viene mostrata con un tiro messo e parlare con la telecamera mentre si trova in una grande palestra.")</f>
        <v>Una donna viene mostrata con un tiro messo e parlare con la telecamera mentre si trova in una grande palestra.</v>
      </c>
    </row>
    <row r="29110">
      <c r="A29110" s="4" t="s">
        <v>36661</v>
      </c>
      <c r="B29110" s="6" t="s">
        <v>36663</v>
      </c>
      <c r="C29110" s="5" t="str">
        <f>IFERROR(__xludf.DUMMYFUNCTION("GOOGLETRANSLATE(B29110,""en"",""it"")"),"Dimostra come lanciare correttamente lo strumento ed esegue diversi tiri per mostrare come sia uno correttamente.")</f>
        <v>Dimostra come lanciare correttamente lo strumento ed esegue diversi tiri per mostrare come sia uno correttamente.</v>
      </c>
    </row>
    <row r="29111">
      <c r="A29111" s="4" t="s">
        <v>36664</v>
      </c>
      <c r="B29111" s="4" t="s">
        <v>36665</v>
      </c>
      <c r="C29111" s="5" t="str">
        <f>IFERROR(__xludf.DUMMYFUNCTION("GOOGLETRANSLATE(B29111,""en"",""it"")"),"L'esterno A un negozio è visto dal parcheggio.")</f>
        <v>L'esterno A un negozio è visto dal parcheggio.</v>
      </c>
    </row>
    <row r="29112">
      <c r="A29112" s="4" t="s">
        <v>36664</v>
      </c>
      <c r="B29112" s="4" t="s">
        <v>36666</v>
      </c>
      <c r="C29112" s="5" t="str">
        <f>IFERROR(__xludf.DUMMYFUNCTION("GOOGLETRANSLATE(B29112,""en"",""it"")"),"Un uomo si siede su una panchina di legno contro una finestra con trofei.")</f>
        <v>Un uomo si siede su una panchina di legno contro una finestra con trofei.</v>
      </c>
    </row>
    <row r="29113">
      <c r="A29113" s="4" t="s">
        <v>36664</v>
      </c>
      <c r="B29113" s="4" t="s">
        <v>36667</v>
      </c>
      <c r="C29113" s="5" t="str">
        <f>IFERROR(__xludf.DUMMYFUNCTION("GOOGLETRANSLATE(B29113,""en"",""it"")"),"L'uomo parla mentre un seduto con un tatuatore che gli lavora sulla spalla.")</f>
        <v>L'uomo parla mentre un seduto con un tatuatore che gli lavora sulla spalla.</v>
      </c>
    </row>
    <row r="29114">
      <c r="A29114" s="4" t="s">
        <v>36664</v>
      </c>
      <c r="B29114" s="4" t="s">
        <v>36668</v>
      </c>
      <c r="C29114" s="5" t="str">
        <f>IFERROR(__xludf.DUMMYFUNCTION("GOOGLETRANSLATE(B29114,""en"",""it"")"),"Il tatuatore asciuga l'area su cui sta lavorando e continua a disegnare.")</f>
        <v>Il tatuatore asciuga l'area su cui sta lavorando e continua a disegnare.</v>
      </c>
    </row>
    <row r="29115">
      <c r="A29115" s="4" t="s">
        <v>36664</v>
      </c>
      <c r="B29115" s="4" t="s">
        <v>36669</v>
      </c>
      <c r="C29115" s="5" t="str">
        <f>IFERROR(__xludf.DUMMYFUNCTION("GOOGLETRANSLATE(B29115,""en"",""it"")"),"Il tatuatore spegne la luce e ferma il suo lavoro.")</f>
        <v>Il tatuatore spegne la luce e ferma il suo lavoro.</v>
      </c>
    </row>
    <row r="29116">
      <c r="A29116" s="4" t="s">
        <v>36664</v>
      </c>
      <c r="B29116" s="4" t="s">
        <v>36670</v>
      </c>
      <c r="C29116" s="5" t="str">
        <f>IFERROR(__xludf.DUMMYFUNCTION("GOOGLETRANSLATE(B29116,""en"",""it"")"),"L'uomo si alza e mostra il suo tatuaggio.")</f>
        <v>L'uomo si alza e mostra il suo tatuaggio.</v>
      </c>
    </row>
    <row r="29117">
      <c r="A29117" s="4" t="s">
        <v>36671</v>
      </c>
      <c r="B29117" s="4" t="s">
        <v>36672</v>
      </c>
      <c r="C29117" s="5" t="str">
        <f>IFERROR(__xludf.DUMMYFUNCTION("GOOGLETRANSLATE(B29117,""en"",""it"")"),"Gli uomini sono ai lati di un'auto che lucida un'auto blu in un autolavaggio a mano.")</f>
        <v>Gli uomini sono ai lati di un'auto che lucida un'auto blu in un autolavaggio a mano.</v>
      </c>
    </row>
    <row r="29118">
      <c r="A29118" s="4" t="s">
        <v>36671</v>
      </c>
      <c r="B29118" s="4" t="s">
        <v>36673</v>
      </c>
      <c r="C29118" s="5" t="str">
        <f>IFERROR(__xludf.DUMMYFUNCTION("GOOGLETRANSLATE(B29118,""en"",""it"")"),"La macchina blu è all'interno di un autolavaggio blu e gli uomini lo lucidano.")</f>
        <v>La macchina blu è all'interno di un autolavaggio blu e gli uomini lo lucidano.</v>
      </c>
    </row>
    <row r="29119">
      <c r="A29119" s="4" t="s">
        <v>36671</v>
      </c>
      <c r="B29119" s="4" t="s">
        <v>36674</v>
      </c>
      <c r="C29119" s="5" t="str">
        <f>IFERROR(__xludf.DUMMYFUNCTION("GOOGLETRANSLATE(B29119,""en"",""it"")"),"Gli uomini tengono i vestiti su di loro che puliscono la macchina.")</f>
        <v>Gli uomini tengono i vestiti su di loro che puliscono la macchina.</v>
      </c>
    </row>
    <row r="29120">
      <c r="A29120" s="4" t="s">
        <v>36675</v>
      </c>
      <c r="B29120" s="4" t="s">
        <v>36676</v>
      </c>
      <c r="C29120" s="5" t="str">
        <f>IFERROR(__xludf.DUMMYFUNCTION("GOOGLETRANSLATE(B29120,""en"",""it"")"),"Una persona sta aspirando in un corridoio.")</f>
        <v>Una persona sta aspirando in un corridoio.</v>
      </c>
    </row>
    <row r="29121">
      <c r="A29121" s="4" t="s">
        <v>36675</v>
      </c>
      <c r="B29121" s="6" t="s">
        <v>36677</v>
      </c>
      <c r="C29121" s="5" t="str">
        <f>IFERROR(__xludf.DUMMYFUNCTION("GOOGLETRANSLATE(B29121,""en"",""it"")"),"Un bambino in pigiama corre oltre freneticamente, corre in altre stanze e saltando eccitato perché vuole essere raccolto.")</f>
        <v>Un bambino in pigiama corre oltre freneticamente, corre in altre stanze e saltando eccitato perché vuole essere raccolto.</v>
      </c>
    </row>
    <row r="29122">
      <c r="A29122" s="4" t="s">
        <v>36675</v>
      </c>
      <c r="B29122" s="4" t="s">
        <v>36678</v>
      </c>
      <c r="C29122" s="5" t="str">
        <f>IFERROR(__xludf.DUMMYFUNCTION("GOOGLETRANSLATE(B29122,""en"",""it"")"),"È arrabbiato quando sua madre entra in bagno con il vuoto.")</f>
        <v>È arrabbiato quando sua madre entra in bagno con il vuoto.</v>
      </c>
    </row>
    <row r="29123">
      <c r="A29123" s="4" t="s">
        <v>36675</v>
      </c>
      <c r="B29123" s="4" t="s">
        <v>36679</v>
      </c>
      <c r="C29123" s="5" t="str">
        <f>IFERROR(__xludf.DUMMYFUNCTION("GOOGLETRANSLATE(B29123,""en"",""it"")"),"La donna dà al ragazzo il vuoto e aspira i pavimenti.")</f>
        <v>La donna dà al ragazzo il vuoto e aspira i pavimenti.</v>
      </c>
    </row>
    <row r="29124">
      <c r="A29124" s="4" t="s">
        <v>36680</v>
      </c>
      <c r="B29124" s="4" t="s">
        <v>36681</v>
      </c>
      <c r="C29124" s="5" t="str">
        <f>IFERROR(__xludf.DUMMYFUNCTION("GOOGLETRANSLATE(B29124,""en"",""it"")"),"Le persone sono sedute sulle sedie in piscina.")</f>
        <v>Le persone sono sedute sulle sedie in piscina.</v>
      </c>
    </row>
    <row r="29125">
      <c r="A29125" s="4" t="s">
        <v>36680</v>
      </c>
      <c r="B29125" s="4" t="s">
        <v>36682</v>
      </c>
      <c r="C29125" s="5" t="str">
        <f>IFERROR(__xludf.DUMMYFUNCTION("GOOGLETRANSLATE(B29125,""en"",""it"")"),"Uomo e donna stanno parlando e presentando l'uomo che cammina vicino alla piscina.")</f>
        <v>Uomo e donna stanno parlando e presentando l'uomo che cammina vicino alla piscina.</v>
      </c>
    </row>
    <row r="29126">
      <c r="A29126" s="4" t="s">
        <v>36680</v>
      </c>
      <c r="B29126" s="4" t="s">
        <v>36683</v>
      </c>
      <c r="C29126" s="5" t="str">
        <f>IFERROR(__xludf.DUMMYFUNCTION("GOOGLETRANSLATE(B29126,""en"",""it"")"),"L'uomo sta sollevando pesi e fa un grande salto da un trampolino e parla con la telecamera.")</f>
        <v>L'uomo sta sollevando pesi e fa un grande salto da un trampolino e parla con la telecamera.</v>
      </c>
    </row>
    <row r="29127">
      <c r="A29127" s="4" t="s">
        <v>36680</v>
      </c>
      <c r="B29127" s="4" t="s">
        <v>36684</v>
      </c>
      <c r="C29127" s="5" t="str">
        <f>IFERROR(__xludf.DUMMYFUNCTION("GOOGLETRANSLATE(B29127,""en"",""it"")"),"Viene mostrato un grande platfom e un uomo viene intervistato da una donna in cima al trampolino.")</f>
        <v>Viene mostrato un grande platfom e un uomo viene intervistato da una donna in cima al trampolino.</v>
      </c>
    </row>
    <row r="29128">
      <c r="A29128" s="4" t="s">
        <v>36680</v>
      </c>
      <c r="B29128" s="4" t="s">
        <v>36685</v>
      </c>
      <c r="C29128" s="5" t="str">
        <f>IFERROR(__xludf.DUMMYFUNCTION("GOOGLETRANSLATE(B29128,""en"",""it"")"),"La donna tra il pubblico sta urlando e lancia baci.")</f>
        <v>La donna tra il pubblico sta urlando e lancia baci.</v>
      </c>
    </row>
    <row r="29129">
      <c r="A29129" s="4" t="s">
        <v>36680</v>
      </c>
      <c r="B29129" s="4" t="s">
        <v>36686</v>
      </c>
      <c r="C29129" s="5" t="str">
        <f>IFERROR(__xludf.DUMMYFUNCTION("GOOGLETRANSLATE(B29129,""en"",""it"")"),"L'uomo è sul trampolino da 10 M e fa una mano per fare il salto in piscina.")</f>
        <v>L'uomo è sul trampolino da 10 M e fa una mano per fare il salto in piscina.</v>
      </c>
    </row>
    <row r="29130">
      <c r="A29130" s="4" t="s">
        <v>36680</v>
      </c>
      <c r="B29130" s="4" t="s">
        <v>36687</v>
      </c>
      <c r="C29130" s="5" t="str">
        <f>IFERROR(__xludf.DUMMYFUNCTION("GOOGLETRANSLATE(B29130,""en"",""it"")"),"La donna è impressionata a sedersi vicino alla piscina e avere le mani sul viso.")</f>
        <v>La donna è impressionata a sedersi vicino alla piscina e avere le mani sul viso.</v>
      </c>
    </row>
    <row r="29131">
      <c r="A29131" s="4" t="s">
        <v>36680</v>
      </c>
      <c r="B29131" s="4" t="s">
        <v>36688</v>
      </c>
      <c r="C29131" s="5" t="str">
        <f>IFERROR(__xludf.DUMMYFUNCTION("GOOGLETRANSLATE(B29131,""en"",""it"")"),"Presentator sta intervistando l'uomo.")</f>
        <v>Presentator sta intervistando l'uomo.</v>
      </c>
    </row>
    <row r="29132">
      <c r="A29132" s="4" t="s">
        <v>36689</v>
      </c>
      <c r="B29132" s="4" t="s">
        <v>36690</v>
      </c>
      <c r="C29132" s="5" t="str">
        <f>IFERROR(__xludf.DUMMYFUNCTION("GOOGLETRANSLATE(B29132,""en"",""it"")"),"Un gruppo di persone sta cavalcando i cavalli su un campo.")</f>
        <v>Un gruppo di persone sta cavalcando i cavalli su un campo.</v>
      </c>
    </row>
    <row r="29133">
      <c r="A29133" s="4" t="s">
        <v>36689</v>
      </c>
      <c r="B29133" s="4" t="s">
        <v>36691</v>
      </c>
      <c r="C29133" s="5" t="str">
        <f>IFERROR(__xludf.DUMMYFUNCTION("GOOGLETRANSLATE(B29133,""en"",""it"")"),"Iniziano una partita di Polo.")</f>
        <v>Iniziano una partita di Polo.</v>
      </c>
    </row>
    <row r="29134">
      <c r="A29134" s="4" t="s">
        <v>36689</v>
      </c>
      <c r="B29134" s="4" t="s">
        <v>36692</v>
      </c>
      <c r="C29134" s="5" t="str">
        <f>IFERROR(__xludf.DUMMYFUNCTION("GOOGLETRANSLATE(B29134,""en"",""it"")"),"Corse i loro cavalli, cercando di prendere la palla.")</f>
        <v>Corse i loro cavalli, cercando di prendere la palla.</v>
      </c>
    </row>
    <row r="29135">
      <c r="A29135" s="4" t="s">
        <v>36693</v>
      </c>
      <c r="B29135" s="4" t="s">
        <v>36694</v>
      </c>
      <c r="C29135" s="5" t="str">
        <f>IFERROR(__xludf.DUMMYFUNCTION("GOOGLETRANSLATE(B29135,""en"",""it"")"),"Le donne sono in piedi sulla sabbia a guardare mentre alcune altre donne navigano.")</f>
        <v>Le donne sono in piedi sulla sabbia a guardare mentre alcune altre donne navigano.</v>
      </c>
    </row>
    <row r="29136">
      <c r="A29136" s="4" t="s">
        <v>36693</v>
      </c>
      <c r="B29136" s="4" t="s">
        <v>36695</v>
      </c>
      <c r="C29136" s="5" t="str">
        <f>IFERROR(__xludf.DUMMYFUNCTION("GOOGLETRANSLATE(B29136,""en"",""it"")"),"Alcuni di loro sono là fuori nell'oceano che cavalcano le onde che si godono la corsa.")</f>
        <v>Alcuni di loro sono là fuori nell'oceano che cavalcano le onde che si godono la corsa.</v>
      </c>
    </row>
    <row r="29137">
      <c r="A29137" s="4" t="s">
        <v>36693</v>
      </c>
      <c r="B29137" s="4" t="s">
        <v>36696</v>
      </c>
      <c r="C29137" s="5" t="str">
        <f>IFERROR(__xludf.DUMMYFUNCTION("GOOGLETRANSLATE(B29137,""en"",""it"")"),"Uno di loro ha solo un braccio e naviga così bene, è incredibile.")</f>
        <v>Uno di loro ha solo un braccio e naviga così bene, è incredibile.</v>
      </c>
    </row>
    <row r="29138">
      <c r="A29138" s="4" t="s">
        <v>36693</v>
      </c>
      <c r="B29138" s="6" t="s">
        <v>36697</v>
      </c>
      <c r="C29138" s="5" t="str">
        <f>IFERROR(__xludf.DUMMYFUNCTION("GOOGLETRANSLATE(B29138,""en"",""it"")"),"La portano oltre e poi 4 ragazze si fermano mentre ottengono regali per la loro esibizione e la ragazza a portata di mano può parlarne.")</f>
        <v>La portano oltre e poi 4 ragazze si fermano mentre ottengono regali per la loro esibizione e la ragazza a portata di mano può parlarne.</v>
      </c>
    </row>
    <row r="29139">
      <c r="A29139" s="4" t="s">
        <v>36698</v>
      </c>
      <c r="B29139" s="4" t="s">
        <v>1487</v>
      </c>
      <c r="C29139" s="5" t="str">
        <f>IFERROR(__xludf.DUMMYFUNCTION("GOOGLETRANSLATE(B29139,""en"",""it"")"),"Vediamo una schermata del titolo di apertura.")</f>
        <v>Vediamo una schermata del titolo di apertura.</v>
      </c>
    </row>
    <row r="29140">
      <c r="A29140" s="4" t="s">
        <v>36698</v>
      </c>
      <c r="B29140" s="4" t="s">
        <v>36699</v>
      </c>
      <c r="C29140" s="5" t="str">
        <f>IFERROR(__xludf.DUMMYFUNCTION("GOOGLETRANSLATE(B29140,""en"",""it"")"),"Una donna in una stanza buia suona la batteria con la mano.")</f>
        <v>Una donna in una stanza buia suona la batteria con la mano.</v>
      </c>
    </row>
    <row r="29141">
      <c r="A29141" s="4" t="s">
        <v>36698</v>
      </c>
      <c r="B29141" s="4" t="s">
        <v>36700</v>
      </c>
      <c r="C29141" s="5" t="str">
        <f>IFERROR(__xludf.DUMMYFUNCTION("GOOGLETRANSLATE(B29141,""en"",""it"")"),"La fotocamera si inclina sul lato, quindi torna in posizione verticale.")</f>
        <v>La fotocamera si inclina sul lato, quindi torna in posizione verticale.</v>
      </c>
    </row>
    <row r="29142">
      <c r="A29142" s="4" t="s">
        <v>36698</v>
      </c>
      <c r="B29142" s="4" t="s">
        <v>36701</v>
      </c>
      <c r="C29142" s="5" t="str">
        <f>IFERROR(__xludf.DUMMYFUNCTION("GOOGLETRANSLATE(B29142,""en"",""it"")"),"Vediamo la stanza intorno alla signora.")</f>
        <v>Vediamo la stanza intorno alla signora.</v>
      </c>
    </row>
    <row r="29143">
      <c r="A29143" s="4" t="s">
        <v>36698</v>
      </c>
      <c r="B29143" s="4" t="s">
        <v>777</v>
      </c>
      <c r="C29143" s="5" t="str">
        <f>IFERROR(__xludf.DUMMYFUNCTION("GOOGLETRANSLATE(B29143,""en"",""it"")"),"Vediamo la schermata del titolo finale.")</f>
        <v>Vediamo la schermata del titolo finale.</v>
      </c>
    </row>
    <row r="29144">
      <c r="A29144" s="4" t="s">
        <v>36702</v>
      </c>
      <c r="B29144" s="4" t="s">
        <v>36703</v>
      </c>
      <c r="C29144" s="5" t="str">
        <f>IFERROR(__xludf.DUMMYFUNCTION("GOOGLETRANSLATE(B29144,""en"",""it"")"),"Una donna è vista seduta su un pezzo di attrezzatura da esercizio in attesa.")</f>
        <v>Una donna è vista seduta su un pezzo di attrezzatura da esercizio in attesa.</v>
      </c>
    </row>
    <row r="29145">
      <c r="A29145" s="4" t="s">
        <v>36702</v>
      </c>
      <c r="B29145" s="4" t="s">
        <v>36704</v>
      </c>
      <c r="C29145" s="5" t="str">
        <f>IFERROR(__xludf.DUMMYFUNCTION("GOOGLETRANSLATE(B29145,""en"",""it"")"),"Quindi afferra la leva davanti e inizia a tirarsi.")</f>
        <v>Quindi afferra la leva davanti e inizia a tirarsi.</v>
      </c>
    </row>
    <row r="29146">
      <c r="A29146" s="4" t="s">
        <v>36702</v>
      </c>
      <c r="B29146" s="6" t="s">
        <v>36705</v>
      </c>
      <c r="C29146" s="5" t="str">
        <f>IFERROR(__xludf.DUMMYFUNCTION("GOOGLETRANSLATE(B29146,""en"",""it"")"),"La ragazza poi si tira indietro e la quarta sulla macchina mentre la telecamera cattura i suoi movimenti.")</f>
        <v>La ragazza poi si tira indietro e la quarta sulla macchina mentre la telecamera cattura i suoi movimenti.</v>
      </c>
    </row>
    <row r="29147">
      <c r="A29147" s="4" t="s">
        <v>36706</v>
      </c>
      <c r="B29147" s="4" t="s">
        <v>36707</v>
      </c>
      <c r="C29147" s="5" t="str">
        <f>IFERROR(__xludf.DUMMYFUNCTION("GOOGLETRANSLATE(B29147,""en"",""it"")"),"Un uomo con i timori sta parlando e riunendo i suoi strumenti per fare un po 'di musica.")</f>
        <v>Un uomo con i timori sta parlando e riunendo i suoi strumenti per fare un po 'di musica.</v>
      </c>
    </row>
    <row r="29148">
      <c r="A29148" s="4" t="s">
        <v>36706</v>
      </c>
      <c r="B29148" s="4" t="s">
        <v>36708</v>
      </c>
      <c r="C29148" s="5" t="str">
        <f>IFERROR(__xludf.DUMMYFUNCTION("GOOGLETRANSLATE(B29148,""en"",""it"")"),"Si sta bloccando in macchina molto felicemente.")</f>
        <v>Si sta bloccando in macchina molto felicemente.</v>
      </c>
    </row>
    <row r="29149">
      <c r="A29149" s="4" t="s">
        <v>36706</v>
      </c>
      <c r="B29149" s="4" t="s">
        <v>36709</v>
      </c>
      <c r="C29149" s="5" t="str">
        <f>IFERROR(__xludf.DUMMYFUNCTION("GOOGLETRANSLATE(B29149,""en"",""it"")"),"C'è anche molto traffico e ambulenza.")</f>
        <v>C'è anche molto traffico e ambulenza.</v>
      </c>
    </row>
    <row r="29150">
      <c r="A29150" s="4" t="s">
        <v>36706</v>
      </c>
      <c r="B29150" s="4" t="s">
        <v>36710</v>
      </c>
      <c r="C29150" s="5" t="str">
        <f>IFERROR(__xludf.DUMMYFUNCTION("GOOGLETRANSLATE(B29150,""en"",""it"")"),"Registra tutta la musica su un laptop.")</f>
        <v>Registra tutta la musica su un laptop.</v>
      </c>
    </row>
    <row r="29151">
      <c r="A29151" s="4" t="s">
        <v>36711</v>
      </c>
      <c r="B29151" s="6" t="s">
        <v>36712</v>
      </c>
      <c r="C29151" s="5" t="str">
        <f>IFERROR(__xludf.DUMMYFUNCTION("GOOGLETRANSLATE(B29151,""en"",""it"")"),"Il ragazzo si trova sul fondo di una piccola scala e poi sale per scivolare lungo la diapositiva blu.")</f>
        <v>Il ragazzo si trova sul fondo di una piccola scala e poi sale per scivolare lungo la diapositiva blu.</v>
      </c>
    </row>
    <row r="29152">
      <c r="A29152" s="4" t="s">
        <v>36711</v>
      </c>
      <c r="B29152" s="4" t="s">
        <v>36713</v>
      </c>
      <c r="C29152" s="5" t="str">
        <f>IFERROR(__xludf.DUMMYFUNCTION("GOOGLETRANSLATE(B29152,""en"",""it"")"),"Quando ha finito di scivolare giù, scappa e cerca di uscire dal cancello.")</f>
        <v>Quando ha finito di scivolare giù, scappa e cerca di uscire dal cancello.</v>
      </c>
    </row>
    <row r="29153">
      <c r="A29153" s="4" t="s">
        <v>36714</v>
      </c>
      <c r="B29153" s="4" t="s">
        <v>36715</v>
      </c>
      <c r="C29153" s="5" t="str">
        <f>IFERROR(__xludf.DUMMYFUNCTION("GOOGLETRANSLATE(B29153,""en"",""it"")"),"L'uomo sta parlando con la telecamera che pulirà un capannone in legno e inizia a dipingerlo.")</f>
        <v>L'uomo sta parlando con la telecamera che pulirà un capannone in legno e inizia a dipingerlo.</v>
      </c>
    </row>
    <row r="29154">
      <c r="A29154" s="4" t="s">
        <v>36714</v>
      </c>
      <c r="B29154" s="4" t="s">
        <v>36716</v>
      </c>
      <c r="C29154" s="5" t="str">
        <f>IFERROR(__xludf.DUMMYFUNCTION("GOOGLETRANSLATE(B29154,""en"",""it"")"),"L'uomo mescola la vernice e con una vernice a pennello tutto il capannone.")</f>
        <v>L'uomo mescola la vernice e con una vernice a pennello tutto il capannone.</v>
      </c>
    </row>
    <row r="29155">
      <c r="A29155" s="4" t="s">
        <v>36714</v>
      </c>
      <c r="B29155" s="4" t="s">
        <v>36717</v>
      </c>
      <c r="C29155" s="5" t="str">
        <f>IFERROR(__xludf.DUMMYFUNCTION("GOOGLETRANSLATE(B29155,""en"",""it"")"),"Alla fine l'uomo parla con la fotocamera e mostra l'elenco dei materiali.")</f>
        <v>Alla fine l'uomo parla con la fotocamera e mostra l'elenco dei materiali.</v>
      </c>
    </row>
    <row r="29156">
      <c r="A29156" s="4" t="s">
        <v>36718</v>
      </c>
      <c r="B29156" s="4" t="s">
        <v>1487</v>
      </c>
      <c r="C29156" s="5" t="str">
        <f>IFERROR(__xludf.DUMMYFUNCTION("GOOGLETRANSLATE(B29156,""en"",""it"")"),"Vediamo una schermata del titolo di apertura.")</f>
        <v>Vediamo una schermata del titolo di apertura.</v>
      </c>
    </row>
    <row r="29157">
      <c r="A29157" s="4" t="s">
        <v>36718</v>
      </c>
      <c r="B29157" s="4" t="s">
        <v>36719</v>
      </c>
      <c r="C29157" s="5" t="str">
        <f>IFERROR(__xludf.DUMMYFUNCTION("GOOGLETRANSLATE(B29157,""en"",""it"")"),"Vediamo una scena della città di notte.")</f>
        <v>Vediamo una scena della città di notte.</v>
      </c>
    </row>
    <row r="29158">
      <c r="A29158" s="4" t="s">
        <v>36718</v>
      </c>
      <c r="B29158" s="4" t="s">
        <v>36720</v>
      </c>
      <c r="C29158" s="5" t="str">
        <f>IFERROR(__xludf.DUMMYFUNCTION("GOOGLETRANSLATE(B29158,""en"",""it"")"),"Vediamo persone che giocano a calcio all'aperto di notte.")</f>
        <v>Vediamo persone che giocano a calcio all'aperto di notte.</v>
      </c>
    </row>
    <row r="29159">
      <c r="A29159" s="4" t="s">
        <v>36718</v>
      </c>
      <c r="B29159" s="4" t="s">
        <v>36721</v>
      </c>
      <c r="C29159" s="5" t="str">
        <f>IFERROR(__xludf.DUMMYFUNCTION("GOOGLETRANSLATE(B29159,""en"",""it"")"),"Un uomo cade a terra.")</f>
        <v>Un uomo cade a terra.</v>
      </c>
    </row>
    <row r="29160">
      <c r="A29160" s="4" t="s">
        <v>36718</v>
      </c>
      <c r="B29160" s="4" t="s">
        <v>36722</v>
      </c>
      <c r="C29160" s="5" t="str">
        <f>IFERROR(__xludf.DUMMYFUNCTION("GOOGLETRANSLATE(B29160,""en"",""it"")"),"Vediamo un uomo che sposta la palla con i piedi.")</f>
        <v>Vediamo un uomo che sposta la palla con i piedi.</v>
      </c>
    </row>
    <row r="29161">
      <c r="A29161" s="4" t="s">
        <v>36718</v>
      </c>
      <c r="B29161" s="4" t="s">
        <v>36723</v>
      </c>
      <c r="C29161" s="5" t="str">
        <f>IFERROR(__xludf.DUMMYFUNCTION("GOOGLETRANSLATE(B29161,""en"",""it"")"),"Vediamo due uomini alti cinque l'un l'altro.")</f>
        <v>Vediamo due uomini alti cinque l'un l'altro.</v>
      </c>
    </row>
    <row r="29162">
      <c r="A29162" s="4" t="s">
        <v>36718</v>
      </c>
      <c r="B29162" s="4" t="s">
        <v>36724</v>
      </c>
      <c r="C29162" s="5" t="str">
        <f>IFERROR(__xludf.DUMMYFUNCTION("GOOGLETRANSLATE(B29162,""en"",""it"")"),"Vediamo lo schermo di piastrelle di chiusura.")</f>
        <v>Vediamo lo schermo di piastrelle di chiusura.</v>
      </c>
    </row>
    <row r="29163">
      <c r="A29163" s="4" t="s">
        <v>36725</v>
      </c>
      <c r="B29163" s="4" t="s">
        <v>36726</v>
      </c>
      <c r="C29163" s="5" t="str">
        <f>IFERROR(__xludf.DUMMYFUNCTION("GOOGLETRANSLATE(B29163,""en"",""it"")"),"Due ragazze sono fuori in un cortile.")</f>
        <v>Due ragazze sono fuori in un cortile.</v>
      </c>
    </row>
    <row r="29164">
      <c r="A29164" s="4" t="s">
        <v>36725</v>
      </c>
      <c r="B29164" s="4" t="s">
        <v>36727</v>
      </c>
      <c r="C29164" s="5" t="str">
        <f>IFERROR(__xludf.DUMMYFUNCTION("GOOGLETRANSLATE(B29164,""en"",""it"")"),"Si stanno rimbalzando e si lanciano una palla.")</f>
        <v>Si stanno rimbalzando e si lanciano una palla.</v>
      </c>
    </row>
    <row r="29165">
      <c r="A29165" s="4" t="s">
        <v>36725</v>
      </c>
      <c r="B29165" s="4" t="s">
        <v>36728</v>
      </c>
      <c r="C29165" s="5" t="str">
        <f>IFERROR(__xludf.DUMMYFUNCTION("GOOGLETRANSLATE(B29165,""en"",""it"")"),"Si inseguono giocosamente con la palla.")</f>
        <v>Si inseguono giocosamente con la palla.</v>
      </c>
    </row>
    <row r="29166">
      <c r="A29166" s="4" t="s">
        <v>36725</v>
      </c>
      <c r="B29166" s="4" t="s">
        <v>36729</v>
      </c>
      <c r="C29166" s="5" t="str">
        <f>IFERROR(__xludf.DUMMYFUNCTION("GOOGLETRANSLATE(B29166,""en"",""it"")"),"Corre alla telecamera e parlano per un po '.")</f>
        <v>Corre alla telecamera e parlano per un po '.</v>
      </c>
    </row>
    <row r="29167">
      <c r="A29167" s="4" t="s">
        <v>36730</v>
      </c>
      <c r="B29167" s="4" t="s">
        <v>36731</v>
      </c>
      <c r="C29167" s="5" t="str">
        <f>IFERROR(__xludf.DUMMYFUNCTION("GOOGLETRANSLATE(B29167,""en"",""it"")"),"Vediamo un negozio di gelati fuori.")</f>
        <v>Vediamo un negozio di gelati fuori.</v>
      </c>
    </row>
    <row r="29168">
      <c r="A29168" s="4" t="s">
        <v>36730</v>
      </c>
      <c r="B29168" s="4" t="s">
        <v>36732</v>
      </c>
      <c r="C29168" s="5" t="str">
        <f>IFERROR(__xludf.DUMMYFUNCTION("GOOGLETRANSLATE(B29168,""en"",""it"")"),"Vediamo uno schermo del titolo per una torta.")</f>
        <v>Vediamo uno schermo del titolo per una torta.</v>
      </c>
    </row>
    <row r="29169">
      <c r="A29169" s="4" t="s">
        <v>36730</v>
      </c>
      <c r="B29169" s="4" t="s">
        <v>36733</v>
      </c>
      <c r="C29169" s="5" t="str">
        <f>IFERROR(__xludf.DUMMYFUNCTION("GOOGLETRANSLATE(B29169,""en"",""it"")"),"Quindi vediamo una signora che cucina.")</f>
        <v>Quindi vediamo una signora che cucina.</v>
      </c>
    </row>
    <row r="29170">
      <c r="A29170" s="4" t="s">
        <v>36730</v>
      </c>
      <c r="B29170" s="4" t="s">
        <v>36734</v>
      </c>
      <c r="C29170" s="5" t="str">
        <f>IFERROR(__xludf.DUMMYFUNCTION("GOOGLETRANSLATE(B29170,""en"",""it"")"),"La signora mette il gelato in una ciotola.")</f>
        <v>La signora mette il gelato in una ciotola.</v>
      </c>
    </row>
    <row r="29171">
      <c r="A29171" s="4" t="s">
        <v>36730</v>
      </c>
      <c r="B29171" s="4" t="s">
        <v>36735</v>
      </c>
      <c r="C29171" s="5" t="str">
        <f>IFERROR(__xludf.DUMMYFUNCTION("GOOGLETRANSLATE(B29171,""en"",""it"")"),"La signora ci mette le palette di riso.")</f>
        <v>La signora ci mette le palette di riso.</v>
      </c>
    </row>
    <row r="29172">
      <c r="A29172" s="4" t="s">
        <v>36730</v>
      </c>
      <c r="B29172" s="4" t="s">
        <v>36736</v>
      </c>
      <c r="C29172" s="5" t="str">
        <f>IFERROR(__xludf.DUMMYFUNCTION("GOOGLETRANSLATE(B29172,""en"",""it"")"),"La signora mette una cupola in una cupola di cioccolato e ci mette un cerchio di croccanti.")</f>
        <v>La signora mette una cupola in una cupola di cioccolato e ci mette un cerchio di croccanti.</v>
      </c>
    </row>
    <row r="29173">
      <c r="A29173" s="4" t="s">
        <v>36730</v>
      </c>
      <c r="B29173" s="4" t="s">
        <v>36737</v>
      </c>
      <c r="C29173" s="5" t="str">
        <f>IFERROR(__xludf.DUMMYFUNCTION("GOOGLETRANSLATE(B29173,""en"",""it"")"),"La signora mette buchi in una cupola di cioccolato.")</f>
        <v>La signora mette buchi in una cupola di cioccolato.</v>
      </c>
    </row>
    <row r="29174">
      <c r="A29174" s="4" t="s">
        <v>36730</v>
      </c>
      <c r="B29174" s="4" t="s">
        <v>36738</v>
      </c>
      <c r="C29174" s="5" t="str">
        <f>IFERROR(__xludf.DUMMYFUNCTION("GOOGLETRANSLATE(B29174,""en"",""it"")"),"La signora spruzza le cupole.")</f>
        <v>La signora spruzza le cupole.</v>
      </c>
    </row>
    <row r="29175">
      <c r="A29175" s="4" t="s">
        <v>36730</v>
      </c>
      <c r="B29175" s="4" t="s">
        <v>36739</v>
      </c>
      <c r="C29175" s="5" t="str">
        <f>IFERROR(__xludf.DUMMYFUNCTION("GOOGLETRANSLATE(B29175,""en"",""it"")"),"La signora mette la cupola rossa sopra una nera e mette la cupola con i buchi sopra.")</f>
        <v>La signora mette la cupola rossa sopra una nera e mette la cupola con i buchi sopra.</v>
      </c>
    </row>
    <row r="29176">
      <c r="A29176" s="4" t="s">
        <v>36730</v>
      </c>
      <c r="B29176" s="4" t="s">
        <v>36740</v>
      </c>
      <c r="C29176" s="5" t="str">
        <f>IFERROR(__xludf.DUMMYFUNCTION("GOOGLETRANSLATE(B29176,""en"",""it"")"),"La signora mette la torta in una vetrina.")</f>
        <v>La signora mette la torta in una vetrina.</v>
      </c>
    </row>
    <row r="29177">
      <c r="A29177" s="4" t="s">
        <v>36730</v>
      </c>
      <c r="B29177" s="4" t="s">
        <v>2486</v>
      </c>
      <c r="C29177" s="5" t="str">
        <f>IFERROR(__xludf.DUMMYFUNCTION("GOOGLETRANSLATE(B29177,""en"",""it"")"),"Vediamo lo schermo di chiusura.")</f>
        <v>Vediamo lo schermo di chiusura.</v>
      </c>
    </row>
    <row r="29178">
      <c r="A29178" s="4" t="s">
        <v>36741</v>
      </c>
      <c r="B29178" s="4" t="s">
        <v>36742</v>
      </c>
      <c r="C29178" s="5" t="str">
        <f>IFERROR(__xludf.DUMMYFUNCTION("GOOGLETRANSLATE(B29178,""en"",""it"")"),"Una persona è vista in discesa in lontananza con un'altra in piedi intorno a un buco.")</f>
        <v>Una persona è vista in discesa in lontananza con un'altra in piedi intorno a un buco.</v>
      </c>
    </row>
    <row r="29179">
      <c r="A29179" s="4" t="s">
        <v>36741</v>
      </c>
      <c r="B29179" s="4" t="s">
        <v>36743</v>
      </c>
      <c r="C29179" s="5" t="str">
        <f>IFERROR(__xludf.DUMMYFUNCTION("GOOGLETRANSLATE(B29179,""en"",""it"")"),"La persona usa un palo da pesca sul buco e tenta di estrarre un pesce.")</f>
        <v>La persona usa un palo da pesca sul buco e tenta di estrarre un pesce.</v>
      </c>
    </row>
    <row r="29180">
      <c r="A29180" s="4" t="s">
        <v>36741</v>
      </c>
      <c r="B29180" s="4" t="s">
        <v>36744</v>
      </c>
      <c r="C29180" s="5" t="str">
        <f>IFERROR(__xludf.DUMMYFUNCTION("GOOGLETRANSLATE(B29180,""en"",""it"")"),"La persona continua a tirare mentre gli altri orologi sul lato.")</f>
        <v>La persona continua a tirare mentre gli altri orologi sul lato.</v>
      </c>
    </row>
    <row r="29181">
      <c r="A29181" s="4" t="s">
        <v>36745</v>
      </c>
      <c r="B29181" s="4" t="s">
        <v>36746</v>
      </c>
      <c r="C29181" s="5" t="str">
        <f>IFERROR(__xludf.DUMMYFUNCTION("GOOGLETRANSLATE(B29181,""en"",""it"")"),"Una donna viene vista a spazzolare i capelli bagnati e strofinare la lozione su tutti i capelli.")</f>
        <v>Una donna viene vista a spazzolare i capelli bagnati e strofinare la lozione su tutti i capelli.</v>
      </c>
    </row>
    <row r="29182">
      <c r="A29182" s="4" t="s">
        <v>36745</v>
      </c>
      <c r="B29182" s="4" t="s">
        <v>36747</v>
      </c>
      <c r="C29182" s="5" t="str">
        <f>IFERROR(__xludf.DUMMYFUNCTION("GOOGLETRANSLATE(B29182,""en"",""it"")"),"Quindi soffia i capelli e viene visti di nuovo con i capelli bloccati intorno alla parte superiore.")</f>
        <v>Quindi soffia i capelli e viene visti di nuovo con i capelli bloccati intorno alla parte superiore.</v>
      </c>
    </row>
    <row r="29183">
      <c r="A29183" s="4" t="s">
        <v>36745</v>
      </c>
      <c r="B29183" s="4" t="s">
        <v>36748</v>
      </c>
      <c r="C29183" s="5" t="str">
        <f>IFERROR(__xludf.DUMMYFUNCTION("GOOGLETRANSLATE(B29183,""en"",""it"")"),"Lei soffia asciuga il fondo dei suoi capelli e viene poi vista con tutti i capelli bloccati.")</f>
        <v>Lei soffia asciuga il fondo dei suoi capelli e viene poi vista con tutti i capelli bloccati.</v>
      </c>
    </row>
    <row r="29184">
      <c r="A29184" s="4" t="s">
        <v>36745</v>
      </c>
      <c r="B29184" s="4" t="s">
        <v>36749</v>
      </c>
      <c r="C29184" s="5" t="str">
        <f>IFERROR(__xludf.DUMMYFUNCTION("GOOGLETRANSLATE(B29184,""en"",""it"")"),"Annulla le spille per mostrare i suoi nuovi capelli.")</f>
        <v>Annulla le spille per mostrare i suoi nuovi capelli.</v>
      </c>
    </row>
    <row r="29185">
      <c r="A29185" s="4" t="s">
        <v>36750</v>
      </c>
      <c r="B29185" s="4" t="s">
        <v>36751</v>
      </c>
      <c r="C29185" s="5" t="str">
        <f>IFERROR(__xludf.DUMMYFUNCTION("GOOGLETRANSLATE(B29185,""en"",""it"")"),"Un bambino suona il piano in una casa, poi si piega a sinistra e parla.")</f>
        <v>Un bambino suona il piano in una casa, poi si piega a sinistra e parla.</v>
      </c>
    </row>
    <row r="29186">
      <c r="A29186" s="4" t="s">
        <v>36750</v>
      </c>
      <c r="B29186" s="4" t="s">
        <v>36752</v>
      </c>
      <c r="C29186" s="5" t="str">
        <f>IFERROR(__xludf.DUMMYFUNCTION("GOOGLETRANSLATE(B29186,""en"",""it"")"),"Dopo, il ragazzo continua a suonare il piano, poi si riposa.")</f>
        <v>Dopo, il ragazzo continua a suonare il piano, poi si riposa.</v>
      </c>
    </row>
    <row r="29187">
      <c r="A29187" s="4" t="s">
        <v>36750</v>
      </c>
      <c r="B29187" s="4" t="s">
        <v>36753</v>
      </c>
      <c r="C29187" s="5" t="str">
        <f>IFERROR(__xludf.DUMMYFUNCTION("GOOGLETRANSLATE(B29187,""en"",""it"")"),"Il ragazzo cambia vestiti e continua a suonare il piano.")</f>
        <v>Il ragazzo cambia vestiti e continua a suonare il piano.</v>
      </c>
    </row>
    <row r="29188">
      <c r="A29188" s="4" t="s">
        <v>36754</v>
      </c>
      <c r="B29188" s="4" t="s">
        <v>36755</v>
      </c>
      <c r="C29188" s="5" t="str">
        <f>IFERROR(__xludf.DUMMYFUNCTION("GOOGLETRANSLATE(B29188,""en"",""it"")"),"Un cane shaggy sta facendo un bagno da un veterinario.")</f>
        <v>Un cane shaggy sta facendo un bagno da un veterinario.</v>
      </c>
    </row>
    <row r="29189">
      <c r="A29189" s="4" t="s">
        <v>36754</v>
      </c>
      <c r="B29189" s="4" t="s">
        <v>36756</v>
      </c>
      <c r="C29189" s="5" t="str">
        <f>IFERROR(__xludf.DUMMYFUNCTION("GOOGLETRANSLATE(B29189,""en"",""it"")"),"Il veterinario sta asciugando il cane dopo averlo lavato.")</f>
        <v>Il veterinario sta asciugando il cane dopo averlo lavato.</v>
      </c>
    </row>
    <row r="29190">
      <c r="A29190" s="4" t="s">
        <v>36754</v>
      </c>
      <c r="B29190" s="4" t="s">
        <v>36757</v>
      </c>
      <c r="C29190" s="5" t="str">
        <f>IFERROR(__xludf.DUMMYFUNCTION("GOOGLETRANSLATE(B29190,""en"",""it"")"),"Un veterinario diverso è accarezzare e spazzolare il cane.")</f>
        <v>Un veterinario diverso è accarezzare e spazzolare il cane.</v>
      </c>
    </row>
    <row r="29191">
      <c r="A29191" s="4" t="s">
        <v>36754</v>
      </c>
      <c r="B29191" s="4" t="s">
        <v>36758</v>
      </c>
      <c r="C29191" s="5" t="str">
        <f>IFERROR(__xludf.DUMMYFUNCTION("GOOGLETRANSLATE(B29191,""en"",""it"")"),"Un montaggio video del cane riproduce e poi attribuisce il rullo.")</f>
        <v>Un montaggio video del cane riproduce e poi attribuisce il rullo.</v>
      </c>
    </row>
    <row r="29192">
      <c r="A29192" s="4" t="s">
        <v>36759</v>
      </c>
      <c r="B29192" s="4" t="s">
        <v>36760</v>
      </c>
      <c r="C29192" s="5" t="str">
        <f>IFERROR(__xludf.DUMMYFUNCTION("GOOGLETRANSLATE(B29192,""en"",""it"")"),"Una bambina è in piedi davanti a un lavello da cucina.")</f>
        <v>Una bambina è in piedi davanti a un lavello da cucina.</v>
      </c>
    </row>
    <row r="29193">
      <c r="A29193" s="4" t="s">
        <v>36759</v>
      </c>
      <c r="B29193" s="4" t="s">
        <v>36761</v>
      </c>
      <c r="C29193" s="5" t="str">
        <f>IFERROR(__xludf.DUMMYFUNCTION("GOOGLETRANSLATE(B29193,""en"",""it"")"),"Ha una ciotola e un coltello in mano.")</f>
        <v>Ha una ciotola e un coltello in mano.</v>
      </c>
    </row>
    <row r="29194">
      <c r="A29194" s="4" t="s">
        <v>36759</v>
      </c>
      <c r="B29194" s="4" t="s">
        <v>36762</v>
      </c>
      <c r="C29194" s="5" t="str">
        <f>IFERROR(__xludf.DUMMYFUNCTION("GOOGLETRANSLATE(B29194,""en"",""it"")"),"Sta sbucciando le patate con il coltello.")</f>
        <v>Sta sbucciando le patate con il coltello.</v>
      </c>
    </row>
    <row r="29195">
      <c r="A29195" s="4" t="s">
        <v>36763</v>
      </c>
      <c r="B29195" s="6" t="s">
        <v>36764</v>
      </c>
      <c r="C29195" s="5" t="str">
        <f>IFERROR(__xludf.DUMMYFUNCTION("GOOGLETRANSLATE(B29195,""en"",""it"")"),"Due ragazzi con camicie abbinate si siedono su un divano e parlano con un giocattolo di caramelle in mano mentre tengono le caramelle alla telecamera, giocano con i pulsanti giocattoli a caramelle e parlano.")</f>
        <v>Due ragazzi con camicie abbinate si siedono su un divano e parlano con un giocattolo di caramelle in mano mentre tengono le caramelle alla telecamera, giocano con i pulsanti giocattoli a caramelle e parlano.</v>
      </c>
    </row>
    <row r="29196">
      <c r="A29196" s="4" t="s">
        <v>36763</v>
      </c>
      <c r="B29196" s="6" t="s">
        <v>36765</v>
      </c>
      <c r="C29196" s="5" t="str">
        <f>IFERROR(__xludf.DUMMYFUNCTION("GOOGLETRANSLATE(B29196,""en"",""it"")"),"I due ragazzi deridono combattono con il giocattolo, che ha la forma di una mano con dita retrattili, e la fotocamera accelera quando lo fanno.")</f>
        <v>I due ragazzi deridono combattono con il giocattolo, che ha la forma di una mano con dita retrattili, e la fotocamera accelera quando lo fanno.</v>
      </c>
    </row>
    <row r="29197">
      <c r="A29197" s="4" t="s">
        <v>36763</v>
      </c>
      <c r="B29197" s="6" t="s">
        <v>36766</v>
      </c>
      <c r="C29197" s="5" t="str">
        <f>IFERROR(__xludf.DUMMYFUNCTION("GOOGLETRANSLATE(B29197,""en"",""it"")"),"I ragazzi quindi cambiano giocattoli e aprono le caramelle giocattoli a quel punto iniziano a mangiare le caramelle e parlano mentre masticano.")</f>
        <v>I ragazzi quindi cambiano giocattoli e aprono le caramelle giocattoli a quel punto iniziano a mangiare le caramelle e parlano mentre masticano.</v>
      </c>
    </row>
    <row r="29198">
      <c r="A29198" s="4" t="s">
        <v>36763</v>
      </c>
      <c r="B29198" s="4" t="s">
        <v>36767</v>
      </c>
      <c r="C29198" s="5" t="str">
        <f>IFERROR(__xludf.DUMMYFUNCTION("GOOGLETRANSLATE(B29198,""en"",""it"")"),"Viene quindi mostrato un primo piano della caramella giocattolo, con le caramelle giace su uno sfondo marrone e posato.")</f>
        <v>Viene quindi mostrato un primo piano della caramella giocattolo, con le caramelle giace su uno sfondo marrone e posato.</v>
      </c>
    </row>
    <row r="29199">
      <c r="A29199" s="4" t="s">
        <v>36768</v>
      </c>
      <c r="B29199" s="4" t="s">
        <v>36769</v>
      </c>
      <c r="C29199" s="5" t="str">
        <f>IFERROR(__xludf.DUMMYFUNCTION("GOOGLETRANSLATE(B29199,""en"",""it"")"),"Una persona è in un fuoco da campo che colpisce il bosco.")</f>
        <v>Una persona è in un fuoco da campo che colpisce il bosco.</v>
      </c>
    </row>
    <row r="29200">
      <c r="A29200" s="4" t="s">
        <v>36768</v>
      </c>
      <c r="B29200" s="4" t="s">
        <v>36770</v>
      </c>
      <c r="C29200" s="5" t="str">
        <f>IFERROR(__xludf.DUMMYFUNCTION("GOOGLETRANSLATE(B29200,""en"",""it"")"),"La telecamera si avvicina a un bambino mentre parla con la persona.")</f>
        <v>La telecamera si avvicina a un bambino mentre parla con la persona.</v>
      </c>
    </row>
    <row r="29201">
      <c r="A29201" s="4" t="s">
        <v>36768</v>
      </c>
      <c r="B29201" s="4" t="s">
        <v>36771</v>
      </c>
      <c r="C29201" s="5" t="str">
        <f>IFERROR(__xludf.DUMMYFUNCTION("GOOGLETRANSLATE(B29201,""en"",""it"")"),"La persona della telecamera continua a narrare la situazione mentre registra il fuoco.")</f>
        <v>La persona della telecamera continua a narrare la situazione mentre registra il fuoco.</v>
      </c>
    </row>
    <row r="29202">
      <c r="A29202" s="4" t="s">
        <v>36772</v>
      </c>
      <c r="B29202" s="4" t="s">
        <v>36773</v>
      </c>
      <c r="C29202" s="5" t="str">
        <f>IFERROR(__xludf.DUMMYFUNCTION("GOOGLETRANSLATE(B29202,""en"",""it"")"),"Varie persone sono viste dalla vista a volo d'uccello che lavora in condizioni difficili all'aperto.")</f>
        <v>Varie persone sono viste dalla vista a volo d'uccello che lavora in condizioni difficili all'aperto.</v>
      </c>
    </row>
    <row r="29203">
      <c r="A29203" s="4" t="s">
        <v>36772</v>
      </c>
      <c r="B29203" s="4" t="s">
        <v>36774</v>
      </c>
      <c r="C29203" s="5" t="str">
        <f>IFERROR(__xludf.DUMMYFUNCTION("GOOGLETRANSLATE(B29203,""en"",""it"")"),"Stanno strofinando i vestiti e li appendono mentre la telecamera si muove e guarda.")</f>
        <v>Stanno strofinando i vestiti e li appendono mentre la telecamera si muove e guarda.</v>
      </c>
    </row>
    <row r="29204">
      <c r="A29204" s="4" t="s">
        <v>36775</v>
      </c>
      <c r="B29204" s="4" t="s">
        <v>36776</v>
      </c>
      <c r="C29204" s="5" t="str">
        <f>IFERROR(__xludf.DUMMYFUNCTION("GOOGLETRANSLATE(B29204,""en"",""it"")"),"Le persone camminano accanto a un toro.")</f>
        <v>Le persone camminano accanto a un toro.</v>
      </c>
    </row>
    <row r="29205">
      <c r="A29205" s="4" t="s">
        <v>36775</v>
      </c>
      <c r="B29205" s="4" t="s">
        <v>36777</v>
      </c>
      <c r="C29205" s="5" t="str">
        <f>IFERROR(__xludf.DUMMYFUNCTION("GOOGLETRANSLATE(B29205,""en"",""it"")"),"C'è un grande gruppo che cammina dietro il toro.")</f>
        <v>C'è un grande gruppo che cammina dietro il toro.</v>
      </c>
    </row>
    <row r="29206">
      <c r="A29206" s="4" t="s">
        <v>36775</v>
      </c>
      <c r="B29206" s="4" t="s">
        <v>36778</v>
      </c>
      <c r="C29206" s="5" t="str">
        <f>IFERROR(__xludf.DUMMYFUNCTION("GOOGLETRANSLATE(B29206,""en"",""it"")"),"C'è un altro toro e iniziano a combattere.")</f>
        <v>C'è un altro toro e iniziano a combattere.</v>
      </c>
    </row>
    <row r="29207">
      <c r="A29207" s="4" t="s">
        <v>36775</v>
      </c>
      <c r="B29207" s="4" t="s">
        <v>36779</v>
      </c>
      <c r="C29207" s="5" t="str">
        <f>IFERROR(__xludf.DUMMYFUNCTION("GOOGLETRANSLATE(B29207,""en"",""it"")"),"La folla si sta radunando attorno ai tori.")</f>
        <v>La folla si sta radunando attorno ai tori.</v>
      </c>
    </row>
    <row r="29208">
      <c r="A29208" s="4" t="s">
        <v>36775</v>
      </c>
      <c r="B29208" s="4" t="s">
        <v>36780</v>
      </c>
      <c r="C29208" s="5" t="str">
        <f>IFERROR(__xludf.DUMMYFUNCTION("GOOGLETRANSLATE(B29208,""en"",""it"")"),"Un uomo con una camicia rossa sta parlando in un microfono.")</f>
        <v>Un uomo con una camicia rossa sta parlando in un microfono.</v>
      </c>
    </row>
    <row r="29209">
      <c r="A29209" s="4" t="s">
        <v>36775</v>
      </c>
      <c r="B29209" s="4" t="s">
        <v>36781</v>
      </c>
      <c r="C29209" s="5" t="str">
        <f>IFERROR(__xludf.DUMMYFUNCTION("GOOGLETRANSLATE(B29209,""en"",""it"")"),"Un uomo sta mettendo una camicia nera.")</f>
        <v>Un uomo sta mettendo una camicia nera.</v>
      </c>
    </row>
    <row r="29210">
      <c r="A29210" s="4" t="s">
        <v>36782</v>
      </c>
      <c r="B29210" s="4" t="s">
        <v>36783</v>
      </c>
      <c r="C29210" s="5" t="str">
        <f>IFERROR(__xludf.DUMMYFUNCTION("GOOGLETRANSLATE(B29210,""en"",""it"")"),"Un uomo di mezza età è in piedi sul campo preparandosi a colpire una palla.")</f>
        <v>Un uomo di mezza età è in piedi sul campo preparandosi a colpire una palla.</v>
      </c>
    </row>
    <row r="29211">
      <c r="A29211" s="4" t="s">
        <v>36782</v>
      </c>
      <c r="B29211" s="6" t="s">
        <v>36784</v>
      </c>
      <c r="C29211" s="5" t="str">
        <f>IFERROR(__xludf.DUMMYFUNCTION("GOOGLETRANSLATE(B29211,""en"",""it"")"),"Una volta che l'uomo colpisce la palla, viene catturato e le altre squadre saltano e salutano per l'eccitazione e c'è un replay.")</f>
        <v>Una volta che l'uomo colpisce la palla, viene catturato e le altre squadre saltano e salutano per l'eccitazione e c'è un replay.</v>
      </c>
    </row>
    <row r="29212">
      <c r="A29212" s="4" t="s">
        <v>36785</v>
      </c>
      <c r="B29212" s="4" t="s">
        <v>36786</v>
      </c>
      <c r="C29212" s="5" t="str">
        <f>IFERROR(__xludf.DUMMYFUNCTION("GOOGLETRANSLATE(B29212,""en"",""it"")"),"Un uomo mostra come affinare un coltello con una macchina.")</f>
        <v>Un uomo mostra come affinare un coltello con una macchina.</v>
      </c>
    </row>
    <row r="29213">
      <c r="A29213" s="4" t="s">
        <v>36785</v>
      </c>
      <c r="B29213" s="4" t="s">
        <v>36787</v>
      </c>
      <c r="C29213" s="5" t="str">
        <f>IFERROR(__xludf.DUMMYFUNCTION("GOOGLETRANSLATE(B29213,""en"",""it"")"),"Quindi, affila coltelli l'uno contro l'altro.")</f>
        <v>Quindi, affila coltelli l'uno contro l'altro.</v>
      </c>
    </row>
    <row r="29214">
      <c r="A29214" s="4" t="s">
        <v>36788</v>
      </c>
      <c r="B29214" s="4" t="s">
        <v>36789</v>
      </c>
      <c r="C29214" s="5" t="str">
        <f>IFERROR(__xludf.DUMMYFUNCTION("GOOGLETRANSLATE(B29214,""en"",""it"")"),"Un primo piano di capelli di una ragazza viene mostrato seguito da una persona intrecciata i capelli.")</f>
        <v>Un primo piano di capelli di una ragazza viene mostrato seguito da una persona intrecciata i capelli.</v>
      </c>
    </row>
    <row r="29215">
      <c r="A29215" s="4" t="s">
        <v>36788</v>
      </c>
      <c r="B29215" s="4" t="s">
        <v>36790</v>
      </c>
      <c r="C29215" s="5" t="str">
        <f>IFERROR(__xludf.DUMMYFUNCTION("GOOGLETRANSLATE(B29215,""en"",""it"")"),"La persona continua a intrecciare i capelli e la telecamera si muove dal viso.")</f>
        <v>La persona continua a intrecciare i capelli e la telecamera si muove dal viso.</v>
      </c>
    </row>
    <row r="29216">
      <c r="A29216" s="4" t="s">
        <v>36791</v>
      </c>
      <c r="B29216" s="4" t="s">
        <v>36792</v>
      </c>
      <c r="C29216" s="5" t="str">
        <f>IFERROR(__xludf.DUMMYFUNCTION("GOOGLETRANSLATE(B29216,""en"",""it"")"),"Diverse persone sono fuori a guardare una corrida di circa quattro uomini con un mantello.")</f>
        <v>Diverse persone sono fuori a guardare una corrida di circa quattro uomini con un mantello.</v>
      </c>
    </row>
    <row r="29217">
      <c r="A29217" s="4" t="s">
        <v>36791</v>
      </c>
      <c r="B29217" s="6" t="s">
        <v>36793</v>
      </c>
      <c r="C29217" s="5" t="str">
        <f>IFERROR(__xludf.DUMMYFUNCTION("GOOGLETRANSLATE(B29217,""en"",""it"")"),"Una volta catturato il toro, iniziano a spostarlo e hanno difficoltà perché la folla è sulla schiena.")</f>
        <v>Una volta catturato il toro, iniziano a spostarlo e hanno difficoltà perché la folla è sulla schiena.</v>
      </c>
    </row>
    <row r="29218">
      <c r="A29218" s="4" t="s">
        <v>36791</v>
      </c>
      <c r="B29218" s="6" t="s">
        <v>36794</v>
      </c>
      <c r="C29218" s="5" t="str">
        <f>IFERROR(__xludf.DUMMYFUNCTION("GOOGLETRANSLATE(B29218,""en"",""it"")"),"Successivamente, un uomo senza camicia si sdraia sulla terra, viene calpestato dal toro e salta felice per quello che è appena successo.")</f>
        <v>Successivamente, un uomo senza camicia si sdraia sulla terra, viene calpestato dal toro e salta felice per quello che è appena successo.</v>
      </c>
    </row>
    <row r="29219">
      <c r="A29219" s="4" t="s">
        <v>36791</v>
      </c>
      <c r="B29219" s="6" t="s">
        <v>36795</v>
      </c>
      <c r="C29219" s="5" t="str">
        <f>IFERROR(__xludf.DUMMYFUNCTION("GOOGLETRANSLATE(B29219,""en"",""it"")"),"Arriva un altro toro, corre su una persona e la persona rimane a terra e una folla di persone viene a correre da lui posando una coperta attraverso il suo corpo.")</f>
        <v>Arriva un altro toro, corre su una persona e la persona rimane a terra e una folla di persone viene a correre da lui posando una coperta attraverso il suo corpo.</v>
      </c>
    </row>
    <row r="29220">
      <c r="A29220" s="4" t="s">
        <v>36796</v>
      </c>
      <c r="B29220" s="6" t="s">
        <v>36797</v>
      </c>
      <c r="C29220" s="5" t="str">
        <f>IFERROR(__xludf.DUMMYFUNCTION("GOOGLETRANSLATE(B29220,""en"",""it"")"),"Un ragazzo viene visto parlare con gli altri mentre avvolge le scarpe da ballo intorno a lui e camminano oltre gli altri.")</f>
        <v>Un ragazzo viene visto parlare con gli altri mentre avvolge le scarpe da ballo intorno a lui e camminano oltre gli altri.</v>
      </c>
    </row>
    <row r="29221">
      <c r="A29221" s="4" t="s">
        <v>36796</v>
      </c>
      <c r="B29221" s="4" t="s">
        <v>36798</v>
      </c>
      <c r="C29221" s="5" t="str">
        <f>IFERROR(__xludf.DUMMYFUNCTION("GOOGLETRANSLATE(B29221,""en"",""it"")"),"L'uomo quindi entra nella classe di balletto e interagisce con i ballerini e termina bevendo una birra.")</f>
        <v>L'uomo quindi entra nella classe di balletto e interagisce con i ballerini e termina bevendo una birra.</v>
      </c>
    </row>
    <row r="29222">
      <c r="A29222" s="4" t="s">
        <v>36799</v>
      </c>
      <c r="B29222" s="4" t="s">
        <v>36800</v>
      </c>
      <c r="C29222" s="5" t="str">
        <f>IFERROR(__xludf.DUMMYFUNCTION("GOOGLETRANSLATE(B29222,""en"",""it"")"),"Una signora e una ragazza sono in camera con un albero di Natale.")</f>
        <v>Una signora e una ragazza sono in camera con un albero di Natale.</v>
      </c>
    </row>
    <row r="29223">
      <c r="A29223" s="4" t="s">
        <v>36799</v>
      </c>
      <c r="B29223" s="4" t="s">
        <v>36801</v>
      </c>
      <c r="C29223" s="5" t="str">
        <f>IFERROR(__xludf.DUMMYFUNCTION("GOOGLETRANSLATE(B29223,""en"",""it"")"),"Le luci sono accese sull'albero e la bambina balla di fronte.")</f>
        <v>Le luci sono accese sull'albero e la bambina balla di fronte.</v>
      </c>
    </row>
    <row r="29224">
      <c r="A29224" s="4" t="s">
        <v>36799</v>
      </c>
      <c r="B29224" s="4" t="s">
        <v>36802</v>
      </c>
      <c r="C29224" s="5" t="str">
        <f>IFERROR(__xludf.DUMMYFUNCTION("GOOGLETRANSLATE(B29224,""en"",""it"")"),"Un ragazzo gioca e toglie ornamenti dall'albero e li mostra alla telecamera.")</f>
        <v>Un ragazzo gioca e toglie ornamenti dall'albero e li mostra alla telecamera.</v>
      </c>
    </row>
    <row r="29225">
      <c r="A29225" s="4" t="s">
        <v>36799</v>
      </c>
      <c r="B29225" s="4" t="s">
        <v>36803</v>
      </c>
      <c r="C29225" s="5" t="str">
        <f>IFERROR(__xludf.DUMMYFUNCTION("GOOGLETRANSLATE(B29225,""en"",""it"")"),"L'uomo lo prende e lo mostra alla fotocamera, quindi lo rimette indietro.")</f>
        <v>L'uomo lo prende e lo mostra alla fotocamera, quindi lo rimette indietro.</v>
      </c>
    </row>
    <row r="29226">
      <c r="A29226" s="4" t="s">
        <v>36804</v>
      </c>
      <c r="B29226" s="4" t="s">
        <v>36805</v>
      </c>
      <c r="C29226" s="5" t="str">
        <f>IFERROR(__xludf.DUMMYFUNCTION("GOOGLETRANSLATE(B29226,""en"",""it"")"),"Una ragazza viene vista parlare con la telecamera sul pavimento.")</f>
        <v>Una ragazza viene vista parlare con la telecamera sul pavimento.</v>
      </c>
    </row>
    <row r="29227">
      <c r="A29227" s="4" t="s">
        <v>36804</v>
      </c>
      <c r="B29227" s="4" t="s">
        <v>36806</v>
      </c>
      <c r="C29227" s="5" t="str">
        <f>IFERROR(__xludf.DUMMYFUNCTION("GOOGLETRANSLATE(B29227,""en"",""it"")"),"Un'altra donna è vista seduta su una swingset guardando alla telecamera.")</f>
        <v>Un'altra donna è vista seduta su una swingset guardando alla telecamera.</v>
      </c>
    </row>
    <row r="29228">
      <c r="A29228" s="4" t="s">
        <v>36804</v>
      </c>
      <c r="B29228" s="4" t="s">
        <v>36807</v>
      </c>
      <c r="C29228" s="5" t="str">
        <f>IFERROR(__xludf.DUMMYFUNCTION("GOOGLETRANSLATE(B29228,""en"",""it"")"),"La donna torna indietro e quarta mentre guarda la mano.")</f>
        <v>La donna torna indietro e quarta mentre guarda la mano.</v>
      </c>
    </row>
    <row r="29229">
      <c r="A29229" s="4" t="s">
        <v>36808</v>
      </c>
      <c r="B29229" s="4" t="s">
        <v>36809</v>
      </c>
      <c r="C29229" s="5" t="str">
        <f>IFERROR(__xludf.DUMMYFUNCTION("GOOGLETRANSLATE(B29229,""en"",""it"")"),"Un uomo in giacca e cravatta suona un pianoforte.")</f>
        <v>Un uomo in giacca e cravatta suona un pianoforte.</v>
      </c>
    </row>
    <row r="29230">
      <c r="A29230" s="4" t="s">
        <v>36808</v>
      </c>
      <c r="B29230" s="4" t="s">
        <v>36810</v>
      </c>
      <c r="C29230" s="5" t="str">
        <f>IFERROR(__xludf.DUMMYFUNCTION("GOOGLETRANSLATE(B29230,""en"",""it"")"),"Il pubblico si alza e si aggrappa per lui.")</f>
        <v>Il pubblico si alza e si aggrappa per lui.</v>
      </c>
    </row>
    <row r="29231">
      <c r="A29231" s="4" t="s">
        <v>36808</v>
      </c>
      <c r="B29231" s="4" t="s">
        <v>36811</v>
      </c>
      <c r="C29231" s="5" t="str">
        <f>IFERROR(__xludf.DUMMYFUNCTION("GOOGLETRANSLATE(B29231,""en"",""it"")"),"Le persone si abbracciano e si mescolano su un palco.")</f>
        <v>Le persone si abbracciano e si mescolano su un palco.</v>
      </c>
    </row>
    <row r="29232">
      <c r="A29232" s="4" t="s">
        <v>36812</v>
      </c>
      <c r="B29232" s="4" t="s">
        <v>36813</v>
      </c>
      <c r="C29232" s="5" t="str">
        <f>IFERROR(__xludf.DUMMYFUNCTION("GOOGLETRANSLATE(B29232,""en"",""it"")"),"Un piccolo gruppo di persone viene visto in giro su macchine per paraurti mentre si imbattono l'uno nell'altro.")</f>
        <v>Un piccolo gruppo di persone viene visto in giro su macchine per paraurti mentre si imbattono l'uno nell'altro.</v>
      </c>
    </row>
    <row r="29233">
      <c r="A29233" s="4" t="s">
        <v>36812</v>
      </c>
      <c r="B29233" s="6" t="s">
        <v>36814</v>
      </c>
      <c r="C29233" s="5" t="str">
        <f>IFERROR(__xludf.DUMMYFUNCTION("GOOGLETRANSLATE(B29233,""en"",""it"")"),"I bambini continuano a guidare le macchine quando un uomo entra e fuori dal telaio assicurandosi che i bambini e i genitori siano al sicuro.")</f>
        <v>I bambini continuano a guidare le macchine quando un uomo entra e fuori dal telaio assicurandosi che i bambini e i genitori siano al sicuro.</v>
      </c>
    </row>
    <row r="29234">
      <c r="A29234" s="4" t="s">
        <v>36815</v>
      </c>
      <c r="B29234" s="4" t="s">
        <v>36816</v>
      </c>
      <c r="C29234" s="5" t="str">
        <f>IFERROR(__xludf.DUMMYFUNCTION("GOOGLETRANSLATE(B29234,""en"",""it"")"),"Si vede un giardino all'aperto e un uomo in maglietta si trova dentro con un paio di tene.")</f>
        <v>Si vede un giardino all'aperto e un uomo in maglietta si trova dentro con un paio di tene.</v>
      </c>
    </row>
    <row r="29235">
      <c r="A29235" s="4" t="s">
        <v>36815</v>
      </c>
      <c r="B29235" s="4" t="s">
        <v>36817</v>
      </c>
      <c r="C29235" s="5" t="str">
        <f>IFERROR(__xludf.DUMMYFUNCTION("GOOGLETRANSLATE(B29235,""en"",""it"")"),"Mellons sono visti in tutto il giardino.")</f>
        <v>Mellons sono visti in tutto il giardino.</v>
      </c>
    </row>
    <row r="29236">
      <c r="A29236" s="4" t="s">
        <v>36815</v>
      </c>
      <c r="B29236" s="6" t="s">
        <v>36818</v>
      </c>
      <c r="C29236" s="5" t="str">
        <f>IFERROR(__xludf.DUMMYFUNCTION("GOOGLETRANSLATE(B29236,""en"",""it"")"),"L'uomo indica i meloni contro il muro e inizia a tagliarli con le sue tene che li gettano di lato.")</f>
        <v>L'uomo indica i meloni contro il muro e inizia a tagliarli con le sue tene che li gettano di lato.</v>
      </c>
    </row>
    <row r="29237">
      <c r="A29237" s="4" t="s">
        <v>36815</v>
      </c>
      <c r="B29237" s="6" t="s">
        <v>36819</v>
      </c>
      <c r="C29237" s="5" t="str">
        <f>IFERROR(__xludf.DUMMYFUNCTION("GOOGLETRANSLATE(B29237,""en"",""it"")"),"L'uomo si avvicina al bordo esterno delle piante di melone e raccoglie una grande vite in una mano, quindi taglia le foglie con l'altra mano.")</f>
        <v>L'uomo si avvicina al bordo esterno delle piante di melone e raccoglie una grande vite in una mano, quindi taglia le foglie con l'altra mano.</v>
      </c>
    </row>
    <row r="29238">
      <c r="A29238" s="4" t="s">
        <v>36815</v>
      </c>
      <c r="B29238" s="4" t="s">
        <v>36820</v>
      </c>
      <c r="C29238" s="5" t="str">
        <f>IFERROR(__xludf.DUMMYFUNCTION("GOOGLETRANSLATE(B29238,""en"",""it"")"),"L'uomo fa movimenti circolari con le mani attorno ai suoi rifiuti per dimostrare le dimensioni.")</f>
        <v>L'uomo fa movimenti circolari con le mani attorno ai suoi rifiuti per dimostrare le dimensioni.</v>
      </c>
    </row>
    <row r="29239">
      <c r="A29239" s="4" t="s">
        <v>36815</v>
      </c>
      <c r="B29239" s="4" t="s">
        <v>36821</v>
      </c>
      <c r="C29239" s="5" t="str">
        <f>IFERROR(__xludf.DUMMYFUNCTION("GOOGLETRANSLATE(B29239,""en"",""it"")"),"Si vede un sito web del giardino.")</f>
        <v>Si vede un sito web del giardino.</v>
      </c>
    </row>
    <row r="29240">
      <c r="A29240" s="4" t="s">
        <v>36822</v>
      </c>
      <c r="B29240" s="4" t="s">
        <v>36823</v>
      </c>
      <c r="C29240" s="5" t="str">
        <f>IFERROR(__xludf.DUMMYFUNCTION("GOOGLETRANSLATE(B29240,""en"",""it"")"),"Un pezzo di carta da costruzione dipinto si trova su un tavolo insieme a una valigia di rifornimenti.")</f>
        <v>Un pezzo di carta da costruzione dipinto si trova su un tavolo insieme a una valigia di rifornimenti.</v>
      </c>
    </row>
    <row r="29241">
      <c r="A29241" s="4" t="s">
        <v>36822</v>
      </c>
      <c r="B29241" s="4" t="s">
        <v>36824</v>
      </c>
      <c r="C29241" s="5" t="str">
        <f>IFERROR(__xludf.DUMMYFUNCTION("GOOGLETRANSLATE(B29241,""en"",""it"")"),"Io taglia un pezzo di carta da costruzione.")</f>
        <v>Io taglia un pezzo di carta da costruzione.</v>
      </c>
    </row>
    <row r="29242">
      <c r="A29242" s="4" t="s">
        <v>36822</v>
      </c>
      <c r="B29242" s="4" t="s">
        <v>36825</v>
      </c>
      <c r="C29242" s="5" t="str">
        <f>IFERROR(__xludf.DUMMYFUNCTION("GOOGLETRANSLATE(B29242,""en"",""it"")"),"I disegni sono disegnati sulla carta con marcatori.")</f>
        <v>I disegni sono disegnati sulla carta con marcatori.</v>
      </c>
    </row>
    <row r="29243">
      <c r="A29243" s="4" t="s">
        <v>36822</v>
      </c>
      <c r="B29243" s="6" t="s">
        <v>36826</v>
      </c>
      <c r="C29243" s="5" t="str">
        <f>IFERROR(__xludf.DUMMYFUNCTION("GOOGLETRANSLATE(B29243,""en"",""it"")"),"La carta da costruzione viene piegata su un oggetto e un pezzo di nastro protegge la carta da costruzione nel mezzo.")</f>
        <v>La carta da costruzione viene piegata su un oggetto e un pezzo di nastro protegge la carta da costruzione nel mezzo.</v>
      </c>
    </row>
    <row r="29244">
      <c r="A29244" s="4" t="s">
        <v>36822</v>
      </c>
      <c r="B29244" s="6" t="s">
        <v>36827</v>
      </c>
      <c r="C29244" s="5" t="str">
        <f>IFERROR(__xludf.DUMMYFUNCTION("GOOGLETRANSLATE(B29244,""en"",""it"")"),"Gli angoli sono piegati come un presente e i pezzi di nastro vengono utilizzati per fissare le estremità piegate del pacchetto.")</f>
        <v>Gli angoli sono piegati come un presente e i pezzi di nastro vengono utilizzati per fissare le estremità piegate del pacchetto.</v>
      </c>
    </row>
    <row r="29245">
      <c r="A29245" s="4" t="s">
        <v>36822</v>
      </c>
      <c r="B29245" s="4" t="s">
        <v>36828</v>
      </c>
      <c r="C29245" s="5" t="str">
        <f>IFERROR(__xludf.DUMMYFUNCTION("GOOGLETRANSLATE(B29245,""en"",""it"")"),"Un nastro viene fatto scivolare sotto il pacchetto e legato a un arco.")</f>
        <v>Un nastro viene fatto scivolare sotto il pacchetto e legato a un arco.</v>
      </c>
    </row>
    <row r="29246">
      <c r="A29246" s="4" t="s">
        <v>36829</v>
      </c>
      <c r="B29246" s="4" t="s">
        <v>36830</v>
      </c>
      <c r="C29246" s="5" t="str">
        <f>IFERROR(__xludf.DUMMYFUNCTION("GOOGLETRANSLATE(B29246,""en"",""it"")"),"Un gruppo di persone è in palestra giocando a Dodgeball.")</f>
        <v>Un gruppo di persone è in palestra giocando a Dodgeball.</v>
      </c>
    </row>
    <row r="29247">
      <c r="A29247" s="4" t="s">
        <v>36829</v>
      </c>
      <c r="B29247" s="4" t="s">
        <v>36831</v>
      </c>
      <c r="C29247" s="5" t="str">
        <f>IFERROR(__xludf.DUMMYFUNCTION("GOOGLETRANSLATE(B29247,""en"",""it"")"),"Viene visualizzato un logo sullo schermo.")</f>
        <v>Viene visualizzato un logo sullo schermo.</v>
      </c>
    </row>
    <row r="29248">
      <c r="A29248" s="4" t="s">
        <v>36829</v>
      </c>
      <c r="B29248" s="4" t="s">
        <v>36832</v>
      </c>
      <c r="C29248" s="5" t="str">
        <f>IFERROR(__xludf.DUMMYFUNCTION("GOOGLETRANSLATE(B29248,""en"",""it"")"),"Un uomo sta parlando con la telecamera mentre le persone giocano a Dodgeball dietro di lui.")</f>
        <v>Un uomo sta parlando con la telecamera mentre le persone giocano a Dodgeball dietro di lui.</v>
      </c>
    </row>
    <row r="29249">
      <c r="A29249" s="4" t="s">
        <v>36829</v>
      </c>
      <c r="B29249" s="4" t="s">
        <v>36833</v>
      </c>
      <c r="C29249" s="5" t="str">
        <f>IFERROR(__xludf.DUMMYFUNCTION("GOOGLETRANSLATE(B29249,""en"",""it"")"),"L'uomo e i giocatori dimostrano tecniche di dodgeball.")</f>
        <v>L'uomo e i giocatori dimostrano tecniche di dodgeball.</v>
      </c>
    </row>
    <row r="29250">
      <c r="A29250" s="4" t="s">
        <v>36829</v>
      </c>
      <c r="B29250" s="4" t="s">
        <v>36834</v>
      </c>
      <c r="C29250" s="5" t="str">
        <f>IFERROR(__xludf.DUMMYFUNCTION("GOOGLETRANSLATE(B29250,""en"",""it"")"),"Le didascalie compaiono periodicamente sullo schermo che spiegano Dodgeball.")</f>
        <v>Le didascalie compaiono periodicamente sullo schermo che spiegano Dodgeball.</v>
      </c>
    </row>
    <row r="29251">
      <c r="A29251" s="4" t="s">
        <v>36835</v>
      </c>
      <c r="B29251" s="6" t="s">
        <v>36836</v>
      </c>
      <c r="C29251" s="5" t="str">
        <f>IFERROR(__xludf.DUMMYFUNCTION("GOOGLETRANSLATE(B29251,""en"",""it"")"),"C'è un uomo con una camicia verde che parla e viene intervistato da un altro uomo vestito con una giacca nera e pantaloni grigi.")</f>
        <v>C'è un uomo con una camicia verde che parla e viene intervistato da un altro uomo vestito con una giacca nera e pantaloni grigi.</v>
      </c>
    </row>
    <row r="29252">
      <c r="A29252" s="4" t="s">
        <v>36835</v>
      </c>
      <c r="B29252" s="4" t="s">
        <v>36837</v>
      </c>
      <c r="C29252" s="5" t="str">
        <f>IFERROR(__xludf.DUMMYFUNCTION("GOOGLETRANSLATE(B29252,""en"",""it"")"),"Sono seduti sulle sedie in una grande stanza con pavimenti in legno.")</f>
        <v>Sono seduti sulle sedie in una grande stanza con pavimenti in legno.</v>
      </c>
    </row>
    <row r="29253">
      <c r="A29253" s="4" t="s">
        <v>36835</v>
      </c>
      <c r="B29253" s="4" t="s">
        <v>36838</v>
      </c>
      <c r="C29253" s="5" t="str">
        <f>IFERROR(__xludf.DUMMYFUNCTION("GOOGLETRANSLATE(B29253,""en"",""it"")"),"Viene mostrato l'ingresso del Valqueire Tennis Club.")</f>
        <v>Viene mostrato l'ingresso del Valqueire Tennis Club.</v>
      </c>
    </row>
    <row r="29254">
      <c r="A29254" s="4" t="s">
        <v>36835</v>
      </c>
      <c r="B29254" s="4" t="s">
        <v>36839</v>
      </c>
      <c r="C29254" s="5" t="str">
        <f>IFERROR(__xludf.DUMMYFUNCTION("GOOGLETRANSLATE(B29254,""en"",""it"")"),"Viene anche mostrata la carta d'identità della persona che viene intervistata.")</f>
        <v>Viene anche mostrata la carta d'identità della persona che viene intervistata.</v>
      </c>
    </row>
    <row r="29255">
      <c r="A29255" s="4" t="s">
        <v>36835</v>
      </c>
      <c r="B29255" s="4" t="s">
        <v>36840</v>
      </c>
      <c r="C29255" s="5" t="str">
        <f>IFERROR(__xludf.DUMMYFUNCTION("GOOGLETRANSLATE(B29255,""en"",""it"")"),"L'uomo in verde continua a parlare di calcio con l'intervistatore.")</f>
        <v>L'uomo in verde continua a parlare di calcio con l'intervistatore.</v>
      </c>
    </row>
    <row r="29256">
      <c r="A29256" s="4" t="s">
        <v>36835</v>
      </c>
      <c r="B29256" s="4" t="s">
        <v>36841</v>
      </c>
      <c r="C29256" s="5" t="str">
        <f>IFERROR(__xludf.DUMMYFUNCTION("GOOGLETRANSLATE(B29256,""en"",""it"")"),"Viene mostrato la partita di calcio in Brasile contro Venezuela.")</f>
        <v>Viene mostrato la partita di calcio in Brasile contro Venezuela.</v>
      </c>
    </row>
    <row r="29257">
      <c r="A29257" s="4" t="s">
        <v>36835</v>
      </c>
      <c r="B29257" s="6" t="s">
        <v>36842</v>
      </c>
      <c r="C29257" s="5" t="str">
        <f>IFERROR(__xludf.DUMMYFUNCTION("GOOGLETRANSLATE(B29257,""en"",""it"")"),"L'uomo di Green parla di un articolo di giornale relativo al calcio mentre vengono mostrate clip della partita di calcio.")</f>
        <v>L'uomo di Green parla di un articolo di giornale relativo al calcio mentre vengono mostrate clip della partita di calcio.</v>
      </c>
    </row>
    <row r="29258">
      <c r="A29258" s="4" t="s">
        <v>36843</v>
      </c>
      <c r="B29258" s="6" t="s">
        <v>36844</v>
      </c>
      <c r="C29258" s="5" t="str">
        <f>IFERROR(__xludf.DUMMYFUNCTION("GOOGLETRANSLATE(B29258,""en"",""it"")"),"Due persone sono viste in piedi l'uno accanto all'altro parlando con la telecamera e conducono nelle due esibizioni di danza tra loro.")</f>
        <v>Due persone sono viste in piedi l'uno accanto all'altro parlando con la telecamera e conducono nelle due esibizioni di danza tra loro.</v>
      </c>
    </row>
    <row r="29259">
      <c r="A29259" s="4" t="s">
        <v>36843</v>
      </c>
      <c r="B29259" s="6" t="s">
        <v>36845</v>
      </c>
      <c r="C29259" s="5" t="str">
        <f>IFERROR(__xludf.DUMMYFUNCTION("GOOGLETRANSLATE(B29259,""en"",""it"")"),"La gente continua a ballare sul lato di una strada e finisce con loro in posa e ridendo.")</f>
        <v>La gente continua a ballare sul lato di una strada e finisce con loro in posa e ridendo.</v>
      </c>
    </row>
    <row r="29260">
      <c r="A29260" s="4" t="s">
        <v>36846</v>
      </c>
      <c r="B29260" s="4" t="s">
        <v>36847</v>
      </c>
      <c r="C29260" s="5" t="str">
        <f>IFERROR(__xludf.DUMMYFUNCTION("GOOGLETRANSLATE(B29260,""en"",""it"")"),"Un uomo con una camicia bianca sta parlando.")</f>
        <v>Un uomo con una camicia bianca sta parlando.</v>
      </c>
    </row>
    <row r="29261">
      <c r="A29261" s="4" t="s">
        <v>36846</v>
      </c>
      <c r="B29261" s="4" t="s">
        <v>36848</v>
      </c>
      <c r="C29261" s="5" t="str">
        <f>IFERROR(__xludf.DUMMYFUNCTION("GOOGLETRANSLATE(B29261,""en"",""it"")"),"Un arco e una freccia sono allestiti nell'erba.")</f>
        <v>Un arco e una freccia sono allestiti nell'erba.</v>
      </c>
    </row>
    <row r="29262">
      <c r="A29262" s="4" t="s">
        <v>36846</v>
      </c>
      <c r="B29262" s="4" t="s">
        <v>36849</v>
      </c>
      <c r="C29262" s="5" t="str">
        <f>IFERROR(__xludf.DUMMYFUNCTION("GOOGLETRANSLATE(B29262,""en"",""it"")"),"Un uomo spara un arco e una freccia mentre si trova in acqua.")</f>
        <v>Un uomo spara un arco e una freccia mentre si trova in acqua.</v>
      </c>
    </row>
    <row r="29263">
      <c r="A29263" s="4" t="s">
        <v>36850</v>
      </c>
      <c r="B29263" s="4" t="s">
        <v>36851</v>
      </c>
      <c r="C29263" s="5" t="str">
        <f>IFERROR(__xludf.DUMMYFUNCTION("GOOGLETRANSLATE(B29263,""en"",""it"")"),"Una mano viene messa in un pennello e sposta i capelli per essere ammucchiati e vaccumi con l'altra mano.")</f>
        <v>Una mano viene messa in un pennello e sposta i capelli per essere ammucchiati e vaccumi con l'altra mano.</v>
      </c>
    </row>
    <row r="29264">
      <c r="A29264" s="4" t="s">
        <v>36850</v>
      </c>
      <c r="B29264" s="4" t="s">
        <v>36852</v>
      </c>
      <c r="C29264" s="5" t="str">
        <f>IFERROR(__xludf.DUMMYFUNCTION("GOOGLETRANSLATE(B29264,""en"",""it"")"),"La sezione centrale è fatta e il cavallo si ferma mentre viene tagliato.")</f>
        <v>La sezione centrale è fatta e il cavallo si ferma mentre viene tagliato.</v>
      </c>
    </row>
    <row r="29265">
      <c r="A29265" s="4" t="s">
        <v>36850</v>
      </c>
      <c r="B29265" s="6" t="s">
        <v>36853</v>
      </c>
      <c r="C29265" s="5" t="str">
        <f>IFERROR(__xludf.DUMMYFUNCTION("GOOGLETRANSLATE(B29265,""en"",""it"")"),"Ora, il mezzo è finito e la persona si sposta sul retro del cavallo fino a quando tutto il corpo del cavallo non viene abbattuto.")</f>
        <v>Ora, il mezzo è finito e la persona si sposta sul retro del cavallo fino a quando tutto il corpo del cavallo non viene abbattuto.</v>
      </c>
    </row>
    <row r="29266">
      <c r="A29266" s="4" t="s">
        <v>36854</v>
      </c>
      <c r="B29266" s="4" t="s">
        <v>36855</v>
      </c>
      <c r="C29266" s="5" t="str">
        <f>IFERROR(__xludf.DUMMYFUNCTION("GOOGLETRANSLATE(B29266,""en"",""it"")"),"Una persona suona una chitarra acustica mentre si trova su un divano beige in jeans e una maglietta.")</f>
        <v>Una persona suona una chitarra acustica mentre si trova su un divano beige in jeans e una maglietta.</v>
      </c>
    </row>
    <row r="29267">
      <c r="A29267" s="4" t="s">
        <v>36854</v>
      </c>
      <c r="B29267" s="6" t="s">
        <v>36856</v>
      </c>
      <c r="C29267" s="5" t="str">
        <f>IFERROR(__xludf.DUMMYFUNCTION("GOOGLETRANSLATE(B29267,""en"",""it"")"),"Una stanza viene mostrata con una chitarra acustica che giace attraverso un divano beige e una pezzo d'arte in pietra davanti al divano con rocce al suo interno.")</f>
        <v>Una stanza viene mostrata con una chitarra acustica che giace attraverso un divano beige e una pezzo d'arte in pietra davanti al divano con rocce al suo interno.</v>
      </c>
    </row>
    <row r="29268">
      <c r="A29268" s="4" t="s">
        <v>36854</v>
      </c>
      <c r="B29268" s="4" t="s">
        <v>36857</v>
      </c>
      <c r="C29268" s="5" t="str">
        <f>IFERROR(__xludf.DUMMYFUNCTION("GOOGLETRANSLATE(B29268,""en"",""it"")"),"Una persona, faccia invisibile, si avvicina al divano e raccoglie la chitarra.")</f>
        <v>Una persona, faccia invisibile, si avvicina al divano e raccoglie la chitarra.</v>
      </c>
    </row>
    <row r="29269">
      <c r="A29269" s="4" t="s">
        <v>36854</v>
      </c>
      <c r="B29269" s="6" t="s">
        <v>36858</v>
      </c>
      <c r="C29269" s="5" t="str">
        <f>IFERROR(__xludf.DUMMYFUNCTION("GOOGLETRANSLATE(B29269,""en"",""it"")"),"La persona quindi si siede e suona la chitarra acustica, che ha un capo sul collo e suona fino a quando la scena svanisce per un sottotitolo spagnolo.")</f>
        <v>La persona quindi si siede e suona la chitarra acustica, che ha un capo sul collo e suona fino a quando la scena svanisce per un sottotitolo spagnolo.</v>
      </c>
    </row>
    <row r="29270">
      <c r="A29270" s="4" t="s">
        <v>36859</v>
      </c>
      <c r="B29270" s="6" t="s">
        <v>36860</v>
      </c>
      <c r="C29270" s="5" t="str">
        <f>IFERROR(__xludf.DUMMYFUNCTION("GOOGLETRANSLATE(B29270,""en"",""it"")"),"C'è un uomo che fa un esperimento scientifico nella sua cucina usando una bottiglia pepsi su litro piena di schiuma.")</f>
        <v>C'è un uomo che fa un esperimento scientifico nella sua cucina usando una bottiglia pepsi su litro piena di schiuma.</v>
      </c>
    </row>
    <row r="29271">
      <c r="A29271" s="4" t="s">
        <v>36859</v>
      </c>
      <c r="B29271" s="4" t="s">
        <v>36861</v>
      </c>
      <c r="C29271" s="5" t="str">
        <f>IFERROR(__xludf.DUMMYFUNCTION("GOOGLETRANSLATE(B29271,""en"",""it"")"),"C'è un ragazzo che si sdraia sul pavimento con le gambe che si estende contro il mobile.")</f>
        <v>C'è un ragazzo che si sdraia sul pavimento con le gambe che si estende contro il mobile.</v>
      </c>
    </row>
    <row r="29272">
      <c r="A29272" s="4" t="s">
        <v>36859</v>
      </c>
      <c r="B29272" s="4" t="s">
        <v>36862</v>
      </c>
      <c r="C29272" s="5" t="str">
        <f>IFERROR(__xludf.DUMMYFUNCTION("GOOGLETRANSLATE(B29272,""en"",""it"")"),"L'uomo tiene un tubo in una mano e soffia contemporaneamente aria nella bottiglia.")</f>
        <v>L'uomo tiene un tubo in una mano e soffia contemporaneamente aria nella bottiglia.</v>
      </c>
    </row>
    <row r="29273">
      <c r="A29273" s="4" t="s">
        <v>36859</v>
      </c>
      <c r="B29273" s="4" t="s">
        <v>36863</v>
      </c>
      <c r="C29273" s="5" t="str">
        <f>IFERROR(__xludf.DUMMYFUNCTION("GOOGLETRANSLATE(B29273,""en"",""it"")"),"Quindi lascia cadere l'enorme bolla dalla bottiglia sul viso del ragazzo.")</f>
        <v>Quindi lascia cadere l'enorme bolla dalla bottiglia sul viso del ragazzo.</v>
      </c>
    </row>
    <row r="29274">
      <c r="A29274" s="4" t="s">
        <v>36864</v>
      </c>
      <c r="B29274" s="4" t="s">
        <v>36865</v>
      </c>
      <c r="C29274" s="5" t="str">
        <f>IFERROR(__xludf.DUMMYFUNCTION("GOOGLETRANSLATE(B29274,""en"",""it"")"),"Un indirizzo Web viene visualizzato sulla diapositiva.")</f>
        <v>Un indirizzo Web viene visualizzato sulla diapositiva.</v>
      </c>
    </row>
    <row r="29275">
      <c r="A29275" s="4" t="s">
        <v>36864</v>
      </c>
      <c r="B29275" s="4" t="s">
        <v>36866</v>
      </c>
      <c r="C29275" s="5" t="str">
        <f>IFERROR(__xludf.DUMMYFUNCTION("GOOGLETRANSLATE(B29275,""en"",""it"")"),"Viene mostrato il nome di una crema solare.")</f>
        <v>Viene mostrato il nome di una crema solare.</v>
      </c>
    </row>
    <row r="29276">
      <c r="A29276" s="4" t="s">
        <v>36864</v>
      </c>
      <c r="B29276" s="4" t="s">
        <v>36867</v>
      </c>
      <c r="C29276" s="5" t="str">
        <f>IFERROR(__xludf.DUMMYFUNCTION("GOOGLETRANSLATE(B29276,""en"",""it"")"),"Viene mostrata la bottiglia di crema solare.")</f>
        <v>Viene mostrata la bottiglia di crema solare.</v>
      </c>
    </row>
    <row r="29277">
      <c r="A29277" s="4" t="s">
        <v>36864</v>
      </c>
      <c r="B29277" s="4" t="s">
        <v>36868</v>
      </c>
      <c r="C29277" s="5" t="str">
        <f>IFERROR(__xludf.DUMMYFUNCTION("GOOGLETRANSLATE(B29277,""en"",""it"")"),"Viene mostrato il prezzo della crema solare.")</f>
        <v>Viene mostrato il prezzo della crema solare.</v>
      </c>
    </row>
    <row r="29278">
      <c r="A29278" s="4" t="s">
        <v>36864</v>
      </c>
      <c r="B29278" s="4" t="s">
        <v>36869</v>
      </c>
      <c r="C29278" s="5" t="str">
        <f>IFERROR(__xludf.DUMMYFUNCTION("GOOGLETRANSLATE(B29278,""en"",""it"")"),"Viene presentata la bottiglia di crema solare.")</f>
        <v>Viene presentata la bottiglia di crema solare.</v>
      </c>
    </row>
    <row r="29279">
      <c r="A29279" s="4" t="s">
        <v>36864</v>
      </c>
      <c r="B29279" s="4" t="s">
        <v>36870</v>
      </c>
      <c r="C29279" s="5" t="str">
        <f>IFERROR(__xludf.DUMMYFUNCTION("GOOGLETRANSLATE(B29279,""en"",""it"")"),"Viene mostrata una linea guida informativa.")</f>
        <v>Viene mostrata una linea guida informativa.</v>
      </c>
    </row>
    <row r="29280">
      <c r="A29280" s="4" t="s">
        <v>36871</v>
      </c>
      <c r="B29280" s="4" t="s">
        <v>36872</v>
      </c>
      <c r="C29280" s="5" t="str">
        <f>IFERROR(__xludf.DUMMYFUNCTION("GOOGLETRANSLATE(B29280,""en"",""it"")"),"Il titolo è sullo schermo.")</f>
        <v>Il titolo è sullo schermo.</v>
      </c>
    </row>
    <row r="29281">
      <c r="A29281" s="4" t="s">
        <v>36871</v>
      </c>
      <c r="B29281" s="4" t="s">
        <v>36873</v>
      </c>
      <c r="C29281" s="5" t="str">
        <f>IFERROR(__xludf.DUMMYFUNCTION("GOOGLETRANSLATE(B29281,""en"",""it"")"),"Lo schermo passa all'uomo che spiega la sua arte.")</f>
        <v>Lo schermo passa all'uomo che spiega la sua arte.</v>
      </c>
    </row>
    <row r="29282">
      <c r="A29282" s="4" t="s">
        <v>36871</v>
      </c>
      <c r="B29282" s="4" t="s">
        <v>36874</v>
      </c>
      <c r="C29282" s="5" t="str">
        <f>IFERROR(__xludf.DUMMYFUNCTION("GOOGLETRANSLATE(B29282,""en"",""it"")"),"Vediamo le opere d'arte dell'uomo.")</f>
        <v>Vediamo le opere d'arte dell'uomo.</v>
      </c>
    </row>
    <row r="29283">
      <c r="A29283" s="4" t="s">
        <v>36871</v>
      </c>
      <c r="B29283" s="4" t="s">
        <v>36875</v>
      </c>
      <c r="C29283" s="5" t="str">
        <f>IFERROR(__xludf.DUMMYFUNCTION("GOOGLETRANSLATE(B29283,""en"",""it"")"),"Vediamo l'uomo parlare di nuovo.")</f>
        <v>Vediamo l'uomo parlare di nuovo.</v>
      </c>
    </row>
    <row r="29284">
      <c r="A29284" s="4" t="s">
        <v>36871</v>
      </c>
      <c r="B29284" s="4" t="s">
        <v>36876</v>
      </c>
      <c r="C29284" s="5" t="str">
        <f>IFERROR(__xludf.DUMMYFUNCTION("GOOGLETRANSLATE(B29284,""en"",""it"")"),"Afferra la vernice sul suo pennello.")</f>
        <v>Afferra la vernice sul suo pennello.</v>
      </c>
    </row>
    <row r="29285">
      <c r="A29285" s="4" t="s">
        <v>36871</v>
      </c>
      <c r="B29285" s="4" t="s">
        <v>36877</v>
      </c>
      <c r="C29285" s="5" t="str">
        <f>IFERROR(__xludf.DUMMYFUNCTION("GOOGLETRANSLATE(B29285,""en"",""it"")"),"Discute la sua tecnica di pittura.")</f>
        <v>Discute la sua tecnica di pittura.</v>
      </c>
    </row>
    <row r="29286">
      <c r="A29286" s="4" t="s">
        <v>36871</v>
      </c>
      <c r="B29286" s="4" t="s">
        <v>36878</v>
      </c>
      <c r="C29286" s="5" t="str">
        <f>IFERROR(__xludf.DUMMYFUNCTION("GOOGLETRANSLATE(B29286,""en"",""it"")"),"Sta dipingendo sull'arte.")</f>
        <v>Sta dipingendo sull'arte.</v>
      </c>
    </row>
    <row r="29287">
      <c r="A29287" s="4" t="s">
        <v>36871</v>
      </c>
      <c r="B29287" s="4" t="s">
        <v>36879</v>
      </c>
      <c r="C29287" s="5" t="str">
        <f>IFERROR(__xludf.DUMMYFUNCTION("GOOGLETRANSLATE(B29287,""en"",""it"")"),"Pulisce il pennello sulla carta.")</f>
        <v>Pulisce il pennello sulla carta.</v>
      </c>
    </row>
    <row r="29288">
      <c r="A29288" s="4" t="s">
        <v>36871</v>
      </c>
      <c r="B29288" s="4" t="s">
        <v>36880</v>
      </c>
      <c r="C29288" s="5" t="str">
        <f>IFERROR(__xludf.DUMMYFUNCTION("GOOGLETRANSLATE(B29288,""en"",""it"")"),"Aggiunge più vernice al pennello.")</f>
        <v>Aggiunge più vernice al pennello.</v>
      </c>
    </row>
    <row r="29289">
      <c r="A29289" s="4" t="s">
        <v>36871</v>
      </c>
      <c r="B29289" s="4" t="s">
        <v>36881</v>
      </c>
      <c r="C29289" s="5" t="str">
        <f>IFERROR(__xludf.DUMMYFUNCTION("GOOGLETRANSLATE(B29289,""en"",""it"")"),"Sta dipingendo di nuovo l'arte.")</f>
        <v>Sta dipingendo di nuovo l'arte.</v>
      </c>
    </row>
    <row r="29290">
      <c r="A29290" s="4" t="s">
        <v>36871</v>
      </c>
      <c r="B29290" s="4" t="s">
        <v>36882</v>
      </c>
      <c r="C29290" s="5" t="str">
        <f>IFERROR(__xludf.DUMMYFUNCTION("GOOGLETRANSLATE(B29290,""en"",""it"")"),"Pulisce di nuovo il pennello sulla carta.")</f>
        <v>Pulisce di nuovo il pennello sulla carta.</v>
      </c>
    </row>
    <row r="29291">
      <c r="A29291" s="4" t="s">
        <v>36871</v>
      </c>
      <c r="B29291" s="4" t="s">
        <v>36883</v>
      </c>
      <c r="C29291" s="5" t="str">
        <f>IFERROR(__xludf.DUMMYFUNCTION("GOOGLETRANSLATE(B29291,""en"",""it"")"),"Aggiunge la vernice bianca al pennello.")</f>
        <v>Aggiunge la vernice bianca al pennello.</v>
      </c>
    </row>
    <row r="29292">
      <c r="A29292" s="4" t="s">
        <v>36871</v>
      </c>
      <c r="B29292" s="4" t="s">
        <v>36884</v>
      </c>
      <c r="C29292" s="5" t="str">
        <f>IFERROR(__xludf.DUMMYFUNCTION("GOOGLETRANSLATE(B29292,""en"",""it"")"),"Dipinge bianco sulle opere d'arte.")</f>
        <v>Dipinge bianco sulle opere d'arte.</v>
      </c>
    </row>
    <row r="29293">
      <c r="A29293" s="4" t="s">
        <v>36871</v>
      </c>
      <c r="B29293" s="4" t="s">
        <v>36885</v>
      </c>
      <c r="C29293" s="5" t="str">
        <f>IFERROR(__xludf.DUMMYFUNCTION("GOOGLETRANSLATE(B29293,""en"",""it"")"),"Attraversa le braccia e parla.")</f>
        <v>Attraversa le braccia e parla.</v>
      </c>
    </row>
    <row r="29294">
      <c r="A29294" s="4" t="s">
        <v>36871</v>
      </c>
      <c r="B29294" s="4" t="s">
        <v>36886</v>
      </c>
      <c r="C29294" s="5" t="str">
        <f>IFERROR(__xludf.DUMMYFUNCTION("GOOGLETRANSLATE(B29294,""en"",""it"")"),"Vediamo la scheda del titolo.")</f>
        <v>Vediamo la scheda del titolo.</v>
      </c>
    </row>
    <row r="29295">
      <c r="A29295" s="4" t="s">
        <v>36887</v>
      </c>
      <c r="B29295" s="4" t="s">
        <v>36888</v>
      </c>
      <c r="C29295" s="5" t="str">
        <f>IFERROR(__xludf.DUMMYFUNCTION("GOOGLETRANSLATE(B29295,""en"",""it"")"),"Le persone si tuffano in piscina e iniziano a nuotare.")</f>
        <v>Le persone si tuffano in piscina e iniziano a nuotare.</v>
      </c>
    </row>
    <row r="29296">
      <c r="A29296" s="4" t="s">
        <v>36887</v>
      </c>
      <c r="B29296" s="4" t="s">
        <v>36889</v>
      </c>
      <c r="C29296" s="5" t="str">
        <f>IFERROR(__xludf.DUMMYFUNCTION("GOOGLETRANSLATE(B29296,""en"",""it"")"),"Una persona raggiunge la fine e si toglie gli occhiali.")</f>
        <v>Una persona raggiunge la fine e si toglie gli occhiali.</v>
      </c>
    </row>
    <row r="29297">
      <c r="A29297" s="4" t="s">
        <v>36887</v>
      </c>
      <c r="B29297" s="4" t="s">
        <v>36890</v>
      </c>
      <c r="C29297" s="5" t="str">
        <f>IFERROR(__xludf.DUMMYFUNCTION("GOOGLETRANSLATE(B29297,""en"",""it"")"),"Agitano alla telecamera e sorridono.")</f>
        <v>Agitano alla telecamera e sorridono.</v>
      </c>
    </row>
    <row r="29298">
      <c r="A29298" s="4" t="s">
        <v>36887</v>
      </c>
      <c r="B29298" s="4" t="s">
        <v>36891</v>
      </c>
      <c r="C29298" s="5" t="str">
        <f>IFERROR(__xludf.DUMMYFUNCTION("GOOGLETRANSLATE(B29298,""en"",""it"")"),"Gli altri nuotatori arrivano al traguardo.")</f>
        <v>Gli altri nuotatori arrivano al traguardo.</v>
      </c>
    </row>
    <row r="29299">
      <c r="A29299" s="4" t="s">
        <v>36892</v>
      </c>
      <c r="B29299" s="6" t="s">
        <v>36893</v>
      </c>
      <c r="C29299" s="5" t="str">
        <f>IFERROR(__xludf.DUMMYFUNCTION("GOOGLETRANSLATE(B29299,""en"",""it"")"),"Un uomo che indossa un elmetto e che porta uno skateboard giace su uno skateboard e scende una corsia da bowling per far cadere le spille.")</f>
        <v>Un uomo che indossa un elmetto e che porta uno skateboard giace su uno skateboard e scende una corsia da bowling per far cadere le spille.</v>
      </c>
    </row>
    <row r="29300">
      <c r="A29300" s="4" t="s">
        <v>36892</v>
      </c>
      <c r="B29300" s="4" t="s">
        <v>36894</v>
      </c>
      <c r="C29300" s="5" t="str">
        <f>IFERROR(__xludf.DUMMYFUNCTION("GOOGLETRANSLATE(B29300,""en"",""it"")"),"La gente cerca di vederlo scendere dalla corsia.")</f>
        <v>La gente cerca di vederlo scendere dalla corsia.</v>
      </c>
    </row>
    <row r="29301">
      <c r="A29301" s="4" t="s">
        <v>36892</v>
      </c>
      <c r="B29301" s="4" t="s">
        <v>36895</v>
      </c>
      <c r="C29301" s="5" t="str">
        <f>IFERROR(__xludf.DUMMYFUNCTION("GOOGLETRANSLATE(B29301,""en"",""it"")"),"Qualcuno spinge qualcuno sdraiato su uno skateboard lungo una corsia da bowling.")</f>
        <v>Qualcuno spinge qualcuno sdraiato su uno skateboard lungo una corsia da bowling.</v>
      </c>
    </row>
    <row r="29302">
      <c r="A29302" s="4" t="s">
        <v>36892</v>
      </c>
      <c r="B29302" s="4" t="s">
        <v>36896</v>
      </c>
      <c r="C29302" s="5" t="str">
        <f>IFERROR(__xludf.DUMMYFUNCTION("GOOGLETRANSLATE(B29302,""en"",""it"")"),"Le persone lanciano palle da bowling dopo la persona.")</f>
        <v>Le persone lanciano palle da bowling dopo la persona.</v>
      </c>
    </row>
    <row r="29303">
      <c r="A29303" s="4" t="s">
        <v>36892</v>
      </c>
      <c r="B29303" s="4" t="s">
        <v>36897</v>
      </c>
      <c r="C29303" s="5" t="str">
        <f>IFERROR(__xludf.DUMMYFUNCTION("GOOGLETRANSLATE(B29303,""en"",""it"")"),"Due uomini ridono guardando l'uomo.")</f>
        <v>Due uomini ridono guardando l'uomo.</v>
      </c>
    </row>
    <row r="29304">
      <c r="A29304" s="4" t="s">
        <v>36892</v>
      </c>
      <c r="B29304" s="4" t="s">
        <v>36898</v>
      </c>
      <c r="C29304" s="5" t="str">
        <f>IFERROR(__xludf.DUMMYFUNCTION("GOOGLETRANSLATE(B29304,""en"",""it"")"),"Qualcuno spinge un'altra persona sdraiata su uno skateboard lungo una corsia da bowling.")</f>
        <v>Qualcuno spinge un'altra persona sdraiata su uno skateboard lungo una corsia da bowling.</v>
      </c>
    </row>
    <row r="29305">
      <c r="A29305" s="4" t="s">
        <v>36899</v>
      </c>
      <c r="B29305" s="4" t="s">
        <v>36900</v>
      </c>
      <c r="C29305" s="5" t="str">
        <f>IFERROR(__xludf.DUMMYFUNCTION("GOOGLETRANSLATE(B29305,""en"",""it"")"),"Una persona versa diversi colori di vernice su una superficie.")</f>
        <v>Una persona versa diversi colori di vernice su una superficie.</v>
      </c>
    </row>
    <row r="29306">
      <c r="A29306" s="4" t="s">
        <v>36899</v>
      </c>
      <c r="B29306" s="4" t="s">
        <v>36901</v>
      </c>
      <c r="C29306" s="5" t="str">
        <f>IFERROR(__xludf.DUMMYFUNCTION("GOOGLETRANSLATE(B29306,""en"",""it"")"),"Quindi, la donna dipinge fiori sulla testiera di un letto.")</f>
        <v>Quindi, la donna dipinge fiori sulla testiera di un letto.</v>
      </c>
    </row>
    <row r="29307">
      <c r="A29307" s="4" t="s">
        <v>36902</v>
      </c>
      <c r="B29307" s="4" t="s">
        <v>36903</v>
      </c>
      <c r="C29307" s="5" t="str">
        <f>IFERROR(__xludf.DUMMYFUNCTION("GOOGLETRANSLATE(B29307,""en"",""it"")"),"Una bambina si siede davanti a una tazza di gelato, poi prende un pezzo di cibo dalla tazza e lo mangia.")</f>
        <v>Una bambina si siede davanti a una tazza di gelato, poi prende un pezzo di cibo dalla tazza e lo mangia.</v>
      </c>
    </row>
    <row r="29308">
      <c r="A29308" s="4" t="s">
        <v>36902</v>
      </c>
      <c r="B29308" s="4" t="s">
        <v>36904</v>
      </c>
      <c r="C29308" s="5" t="str">
        <f>IFERROR(__xludf.DUMMYFUNCTION("GOOGLETRANSLATE(B29308,""en"",""it"")"),"Quindi, la ragazza afferra il cucchiaio e mangia il gelato.")</f>
        <v>Quindi, la ragazza afferra il cucchiaio e mangia il gelato.</v>
      </c>
    </row>
    <row r="29309">
      <c r="A29309" s="4" t="s">
        <v>36902</v>
      </c>
      <c r="B29309" s="4" t="s">
        <v>36905</v>
      </c>
      <c r="C29309" s="5" t="str">
        <f>IFERROR(__xludf.DUMMYFUNCTION("GOOGLETRANSLATE(B29309,""en"",""it"")"),"Una mano prende noci dalla fatica del ghiaccio.")</f>
        <v>Una mano prende noci dalla fatica del ghiaccio.</v>
      </c>
    </row>
    <row r="29310">
      <c r="A29310" s="4" t="s">
        <v>36906</v>
      </c>
      <c r="B29310" s="4" t="s">
        <v>36907</v>
      </c>
      <c r="C29310" s="5" t="str">
        <f>IFERROR(__xludf.DUMMYFUNCTION("GOOGLETRANSLATE(B29310,""en"",""it"")"),"Un uomo e una donna sono visti ballare in un soggiorno eseguendo una routine di tango.")</f>
        <v>Un uomo e una donna sono visti ballare in un soggiorno eseguendo una routine di tango.</v>
      </c>
    </row>
    <row r="29311">
      <c r="A29311" s="4" t="s">
        <v>36906</v>
      </c>
      <c r="B29311" s="4" t="s">
        <v>36908</v>
      </c>
      <c r="C29311" s="5" t="str">
        <f>IFERROR(__xludf.DUMMYFUNCTION("GOOGLETRANSLATE(B29311,""en"",""it"")"),"Si girano a vicenda e finiscono con i titoli di coda.")</f>
        <v>Si girano a vicenda e finiscono con i titoli di coda.</v>
      </c>
    </row>
    <row r="29312">
      <c r="A29312" s="4" t="s">
        <v>36909</v>
      </c>
      <c r="B29312" s="4" t="s">
        <v>36910</v>
      </c>
      <c r="C29312" s="5" t="str">
        <f>IFERROR(__xludf.DUMMYFUNCTION("GOOGLETRANSLATE(B29312,""en"",""it"")"),"Una persona muove le dita intorno al centro della ruota di una bici.")</f>
        <v>Una persona muove le dita intorno al centro della ruota di una bici.</v>
      </c>
    </row>
    <row r="29313">
      <c r="A29313" s="4" t="s">
        <v>36909</v>
      </c>
      <c r="B29313" s="4" t="s">
        <v>36911</v>
      </c>
      <c r="C29313" s="5" t="str">
        <f>IFERROR(__xludf.DUMMYFUNCTION("GOOGLETRANSLATE(B29313,""en"",""it"")"),"La persona prende una parte nera e la aggiunge.")</f>
        <v>La persona prende una parte nera e la aggiunge.</v>
      </c>
    </row>
    <row r="29314">
      <c r="A29314" s="4" t="s">
        <v>36909</v>
      </c>
      <c r="B29314" s="4" t="s">
        <v>36912</v>
      </c>
      <c r="C29314" s="5" t="str">
        <f>IFERROR(__xludf.DUMMYFUNCTION("GOOGLETRANSLATE(B29314,""en"",""it"")"),"La persona aggiunge una parte nera più piccola e la fissa.")</f>
        <v>La persona aggiunge una parte nera più piccola e la fissa.</v>
      </c>
    </row>
    <row r="29315">
      <c r="A29315" s="4" t="s">
        <v>36909</v>
      </c>
      <c r="B29315" s="4" t="s">
        <v>36913</v>
      </c>
      <c r="C29315" s="5" t="str">
        <f>IFERROR(__xludf.DUMMYFUNCTION("GOOGLETRANSLATE(B29315,""en"",""it"")"),"La persona rimuove le mani dal centro della ruota della bici.")</f>
        <v>La persona rimuove le mani dal centro della ruota della bici.</v>
      </c>
    </row>
    <row r="29316">
      <c r="A29316" s="4" t="s">
        <v>36914</v>
      </c>
      <c r="B29316" s="4" t="s">
        <v>36915</v>
      </c>
      <c r="C29316" s="5" t="str">
        <f>IFERROR(__xludf.DUMMYFUNCTION("GOOGLETRANSLATE(B29316,""en"",""it"")"),"Ci sono molte persone in un parco e alcune giocano mentre altri stanno solo guardando.")</f>
        <v>Ci sono molte persone in un parco e alcune giocano mentre altri stanno solo guardando.</v>
      </c>
    </row>
    <row r="29317">
      <c r="A29317" s="4" t="s">
        <v>36914</v>
      </c>
      <c r="B29317" s="4" t="s">
        <v>36916</v>
      </c>
      <c r="C29317" s="5" t="str">
        <f>IFERROR(__xludf.DUMMYFUNCTION("GOOGLETRANSLATE(B29317,""en"",""it"")"),"Un uomo e una donna sono in piedi all'ingresso del campo di gioco e si preparano a giocare.")</f>
        <v>Un uomo e una donna sono in piedi all'ingresso del campo di gioco e si preparano a giocare.</v>
      </c>
    </row>
    <row r="29318">
      <c r="A29318" s="4" t="s">
        <v>36914</v>
      </c>
      <c r="B29318" s="6" t="s">
        <v>36917</v>
      </c>
      <c r="C29318" s="5" t="str">
        <f>IFERROR(__xludf.DUMMYFUNCTION("GOOGLETRANSLATE(B29318,""en"",""it"")"),"Quando la palla rotola verso di loro, l'uomo lo prende a calci e corre mentre altri giocatori cercano di entrare in moto per il gioco.")</f>
        <v>Quando la palla rotola verso di loro, l'uomo lo prende a calci e corre mentre altri giocatori cercano di entrare in moto per il gioco.</v>
      </c>
    </row>
    <row r="29319">
      <c r="A29319" s="4" t="s">
        <v>36914</v>
      </c>
      <c r="B29319" s="6" t="s">
        <v>36918</v>
      </c>
      <c r="C29319" s="5" t="str">
        <f>IFERROR(__xludf.DUMMYFUNCTION("GOOGLETRANSLATE(B29319,""en"",""it"")"),"Un altro uomo corre verso la base di casa e si tuffa sulla terra per toccare la base che stanno proteggendo e un altro uomo sta cercando di prendere la palla per far uscire l'uomo.")</f>
        <v>Un altro uomo corre verso la base di casa e si tuffa sulla terra per toccare la base che stanno proteggendo e un altro uomo sta cercando di prendere la palla per far uscire l'uomo.</v>
      </c>
    </row>
    <row r="29320">
      <c r="A29320" s="4" t="s">
        <v>36914</v>
      </c>
      <c r="B29320" s="6" t="s">
        <v>36919</v>
      </c>
      <c r="C29320" s="5" t="str">
        <f>IFERROR(__xludf.DUMMYFUNCTION("GOOGLETRANSLATE(B29320,""en"",""it"")"),"L'uomo tenta di catturare la palla, manca, cade a terra per catturarla, la lancia alla testa dell'uomo che è già sulla base e tutti ridono e la squadra che ha appena segnato si dà l'un l'altro alti cinque.")</f>
        <v>L'uomo tenta di catturare la palla, manca, cade a terra per catturarla, la lancia alla testa dell'uomo che è già sulla base e tutti ridono e la squadra che ha appena segnato si dà l'un l'altro alti cinque.</v>
      </c>
    </row>
    <row r="29321">
      <c r="A29321" s="4" t="s">
        <v>36920</v>
      </c>
      <c r="B29321" s="4" t="s">
        <v>36921</v>
      </c>
      <c r="C29321" s="5" t="str">
        <f>IFERROR(__xludf.DUMMYFUNCTION("GOOGLETRANSLATE(B29321,""en"",""it"")"),"Due bambini sono fuori giocando insieme in un parco giochi.")</f>
        <v>Due bambini sono fuori giocando insieme in un parco giochi.</v>
      </c>
    </row>
    <row r="29322">
      <c r="A29322" s="4" t="s">
        <v>36920</v>
      </c>
      <c r="B29322" s="4" t="s">
        <v>36922</v>
      </c>
      <c r="C29322" s="5" t="str">
        <f>IFERROR(__xludf.DUMMYFUNCTION("GOOGLETRANSLATE(B29322,""en"",""it"")"),"Un ragazzo salta via e cammina dall'altra parte mentre l'altro inizia a fare le barre delle scimmie.")</f>
        <v>Un ragazzo salta via e cammina dall'altra parte mentre l'altro inizia a fare le barre delle scimmie.</v>
      </c>
    </row>
    <row r="29323">
      <c r="A29323" s="4" t="s">
        <v>36920</v>
      </c>
      <c r="B29323" s="6" t="s">
        <v>36923</v>
      </c>
      <c r="C29323" s="5" t="str">
        <f>IFERROR(__xludf.DUMMYFUNCTION("GOOGLETRANSLATE(B29323,""en"",""it"")"),"Dopo essere arrivato dall'altra parte, si arrampica e corre verso un'altra serie di barre di scimmia e segue anche quelle.")</f>
        <v>Dopo essere arrivato dall'altra parte, si arrampica e corre verso un'altra serie di barre di scimmia e segue anche quelle.</v>
      </c>
    </row>
    <row r="29324">
      <c r="A29324" s="4" t="s">
        <v>36924</v>
      </c>
      <c r="B29324" s="4" t="s">
        <v>36925</v>
      </c>
      <c r="C29324" s="5" t="str">
        <f>IFERROR(__xludf.DUMMYFUNCTION("GOOGLETRANSLATE(B29324,""en"",""it"")"),"Una pietra arricciacata scivola lungo il ghiaccio.")</f>
        <v>Una pietra arricciacata scivola lungo il ghiaccio.</v>
      </c>
    </row>
    <row r="29325">
      <c r="A29325" s="4" t="s">
        <v>36924</v>
      </c>
      <c r="B29325" s="4" t="s">
        <v>36926</v>
      </c>
      <c r="C29325" s="5" t="str">
        <f>IFERROR(__xludf.DUMMYFUNCTION("GOOGLETRANSLATE(B29325,""en"",""it"")"),"Il team blu discute della loro strategia.")</f>
        <v>Il team blu discute della loro strategia.</v>
      </c>
    </row>
    <row r="29326">
      <c r="A29326" s="4" t="s">
        <v>36924</v>
      </c>
      <c r="B29326" s="4" t="s">
        <v>36927</v>
      </c>
      <c r="C29326" s="5" t="str">
        <f>IFERROR(__xludf.DUMMYFUNCTION("GOOGLETRANSLATE(B29326,""en"",""it"")"),"La squadra bianca è alta cinque.")</f>
        <v>La squadra bianca è alta cinque.</v>
      </c>
    </row>
    <row r="29327">
      <c r="A29327" s="4" t="s">
        <v>36924</v>
      </c>
      <c r="B29327" s="4" t="s">
        <v>36928</v>
      </c>
      <c r="C29327" s="5" t="str">
        <f>IFERROR(__xludf.DUMMYFUNCTION("GOOGLETRANSLATE(B29327,""en"",""it"")"),"La squadra blu discute mentre un membro punta.")</f>
        <v>La squadra blu discute mentre un membro punta.</v>
      </c>
    </row>
    <row r="29328">
      <c r="A29328" s="4" t="s">
        <v>36924</v>
      </c>
      <c r="B29328" s="4" t="s">
        <v>36929</v>
      </c>
      <c r="C29328" s="5" t="str">
        <f>IFERROR(__xludf.DUMMYFUNCTION("GOOGLETRANSLATE(B29328,""en"",""it"")"),"Un giocatore di squadra blu si svolge e si arriccia al centro.")</f>
        <v>Un giocatore di squadra blu si svolge e si arriccia al centro.</v>
      </c>
    </row>
    <row r="29329">
      <c r="A29329" s="4" t="s">
        <v>36924</v>
      </c>
      <c r="B29329" s="4" t="s">
        <v>36930</v>
      </c>
      <c r="C29329" s="5" t="str">
        <f>IFERROR(__xludf.DUMMYFUNCTION("GOOGLETRANSLATE(B29329,""en"",""it"")"),"La squadra blu arriva e abbraccia il giocatore mentre festeggiano.")</f>
        <v>La squadra blu arriva e abbraccia il giocatore mentre festeggiano.</v>
      </c>
    </row>
    <row r="29330">
      <c r="A29330" s="4" t="s">
        <v>36924</v>
      </c>
      <c r="B29330" s="4" t="s">
        <v>573</v>
      </c>
      <c r="C29330" s="5" t="str">
        <f>IFERROR(__xludf.DUMMYFUNCTION("GOOGLETRANSLATE(B29330,""en"",""it"")"),"Vengono visualizzati i crediti del video.")</f>
        <v>Vengono visualizzati i crediti del video.</v>
      </c>
    </row>
    <row r="29331">
      <c r="A29331" s="4" t="s">
        <v>36931</v>
      </c>
      <c r="B29331" s="4" t="s">
        <v>36932</v>
      </c>
      <c r="C29331" s="5" t="str">
        <f>IFERROR(__xludf.DUMMYFUNCTION("GOOGLETRANSLATE(B29331,""en"",""it"")"),"Una persona è vista seduta su un cavallo di fronte a una grande folla.")</f>
        <v>Una persona è vista seduta su un cavallo di fronte a una grande folla.</v>
      </c>
    </row>
    <row r="29332">
      <c r="A29332" s="4" t="s">
        <v>36931</v>
      </c>
      <c r="B29332" s="4" t="s">
        <v>36933</v>
      </c>
      <c r="C29332" s="5" t="str">
        <f>IFERROR(__xludf.DUMMYFUNCTION("GOOGLETRANSLATE(B29332,""en"",""it"")"),"L'uomo quindi cavalca sul cavallo e sale un vitello.")</f>
        <v>L'uomo quindi cavalca sul cavallo e sale un vitello.</v>
      </c>
    </row>
    <row r="29333">
      <c r="A29333" s="4" t="s">
        <v>36931</v>
      </c>
      <c r="B29333" s="4" t="s">
        <v>36934</v>
      </c>
      <c r="C29333" s="5" t="str">
        <f>IFERROR(__xludf.DUMMYFUNCTION("GOOGLETRANSLATE(B29333,""en"",""it"")"),"Si lega il vitello mentre altri cavalcano i cavalli per aiutare.")</f>
        <v>Si lega il vitello mentre altri cavalcano i cavalli per aiutare.</v>
      </c>
    </row>
    <row r="29334">
      <c r="A29334" s="4" t="s">
        <v>36935</v>
      </c>
      <c r="B29334" s="4" t="s">
        <v>36936</v>
      </c>
      <c r="C29334" s="5" t="str">
        <f>IFERROR(__xludf.DUMMYFUNCTION("GOOGLETRANSLATE(B29334,""en"",""it"")"),"Un gruppo di cheerleader si trova in una linea in un grande auditorium in preparazione.")</f>
        <v>Un gruppo di cheerleader si trova in una linea in un grande auditorium in preparazione.</v>
      </c>
    </row>
    <row r="29335">
      <c r="A29335" s="4" t="s">
        <v>36935</v>
      </c>
      <c r="B29335" s="4" t="s">
        <v>36937</v>
      </c>
      <c r="C29335" s="5" t="str">
        <f>IFERROR(__xludf.DUMMYFUNCTION("GOOGLETRANSLATE(B29335,""en"",""it"")"),"Il gruppo di cheerleader fa una routine di danza in tutte le danza all'unisono.")</f>
        <v>Il gruppo di cheerleader fa una routine di danza in tutte le danza all'unisono.</v>
      </c>
    </row>
    <row r="29336">
      <c r="A29336" s="4" t="s">
        <v>36935</v>
      </c>
      <c r="B29336" s="4" t="s">
        <v>36938</v>
      </c>
      <c r="C29336" s="5" t="str">
        <f>IFERROR(__xludf.DUMMYFUNCTION("GOOGLETRANSLATE(B29336,""en"",""it"")"),"La metà del gruppo si inginocchia sul pavimento e l'altro gruppo permanente esce ai lati.")</f>
        <v>La metà del gruppo si inginocchia sul pavimento e l'altro gruppo permanente esce ai lati.</v>
      </c>
    </row>
    <row r="29337">
      <c r="A29337" s="4" t="s">
        <v>36935</v>
      </c>
      <c r="B29337" s="4" t="s">
        <v>36939</v>
      </c>
      <c r="C29337" s="5" t="str">
        <f>IFERROR(__xludf.DUMMYFUNCTION("GOOGLETRANSLATE(B29337,""en"",""it"")"),"Il gruppo rimanente si alza e fa una seconda routine di danza insieme.")</f>
        <v>Il gruppo rimanente si alza e fa una seconda routine di danza insieme.</v>
      </c>
    </row>
    <row r="29338">
      <c r="A29338" s="4" t="s">
        <v>36935</v>
      </c>
      <c r="B29338" s="4" t="s">
        <v>36940</v>
      </c>
      <c r="C29338" s="5" t="str">
        <f>IFERROR(__xludf.DUMMYFUNCTION("GOOGLETRANSLATE(B29338,""en"",""it"")"),"Il gruppo di cheerleader termina la loro routine e salta su e giù prima di inchinarsi alla folla.")</f>
        <v>Il gruppo di cheerleader termina la loro routine e salta su e giù prima di inchinarsi alla folla.</v>
      </c>
    </row>
    <row r="29339">
      <c r="A29339" s="4" t="s">
        <v>36941</v>
      </c>
      <c r="B29339" s="4" t="s">
        <v>36942</v>
      </c>
      <c r="C29339" s="5" t="str">
        <f>IFERROR(__xludf.DUMMYFUNCTION("GOOGLETRANSLATE(B29339,""en"",""it"")"),"Vari atleti sono visti in piedi pronti mentre uno salta in posizione e si prepara.")</f>
        <v>Vari atleti sono visti in piedi pronti mentre uno salta in posizione e si prepara.</v>
      </c>
    </row>
    <row r="29340">
      <c r="A29340" s="4" t="s">
        <v>36941</v>
      </c>
      <c r="B29340" s="4" t="s">
        <v>36943</v>
      </c>
      <c r="C29340" s="5" t="str">
        <f>IFERROR(__xludf.DUMMYFUNCTION("GOOGLETRANSLATE(B29340,""en"",""it"")"),"Quindi corre lungo una lunga pista in una buca di sabbia e infila le mani in aria.")</f>
        <v>Quindi corre lungo una lunga pista in una buca di sabbia e infila le mani in aria.</v>
      </c>
    </row>
    <row r="29341">
      <c r="A29341" s="4" t="s">
        <v>36941</v>
      </c>
      <c r="B29341" s="6" t="s">
        <v>36944</v>
      </c>
      <c r="C29341" s="5" t="str">
        <f>IFERROR(__xludf.DUMMYFUNCTION("GOOGLETRANSLATE(B29341,""en"",""it"")"),"Un uomo tiene in mano un frocio bianco mentre l'atleta celebra e le sue reazioni di salto e le persone tra il pubblico vengono mostrate di nuovo.")</f>
        <v>Un uomo tiene in mano un frocio bianco mentre l'atleta celebra e le sue reazioni di salto e le persone tra il pubblico vengono mostrate di nuovo.</v>
      </c>
    </row>
    <row r="29342">
      <c r="A29342" s="4" t="s">
        <v>36945</v>
      </c>
      <c r="B29342" s="4" t="s">
        <v>36946</v>
      </c>
      <c r="C29342" s="5" t="str">
        <f>IFERROR(__xludf.DUMMYFUNCTION("GOOGLETRANSLATE(B29342,""en"",""it"")"),"Una giovane donna che indossa un costume da bagno colorato è sott'acqua che nuota in una piscina.")</f>
        <v>Una giovane donna che indossa un costume da bagno colorato è sott'acqua che nuota in una piscina.</v>
      </c>
    </row>
    <row r="29343">
      <c r="A29343" s="4" t="s">
        <v>36945</v>
      </c>
      <c r="B29343" s="6" t="s">
        <v>36947</v>
      </c>
      <c r="C29343" s="5" t="str">
        <f>IFERROR(__xludf.DUMMYFUNCTION("GOOGLETRANSLATE(B29343,""en"",""it"")"),"Uno schermo lampeggia e mostra il secondo passaggio mentre la ragazza dimostra il nuoto con i piedi vicini.")</f>
        <v>Uno schermo lampeggia e mostra il secondo passaggio mentre la ragazza dimostra il nuoto con i piedi vicini.</v>
      </c>
    </row>
    <row r="29344">
      <c r="A29344" s="4" t="s">
        <v>36945</v>
      </c>
      <c r="B29344" s="6" t="s">
        <v>36948</v>
      </c>
      <c r="C29344" s="5" t="str">
        <f>IFERROR(__xludf.DUMMYFUNCTION("GOOGLETRANSLATE(B29344,""en"",""it"")"),"Successivamente, appare uno schermo di avvertimento che dice di non nuotare senza occhiali poiché la ragazza fa esattamente il contrario.")</f>
        <v>Successivamente, appare uno schermo di avvertimento che dice di non nuotare senza occhiali poiché la ragazza fa esattamente il contrario.</v>
      </c>
    </row>
    <row r="29345">
      <c r="A29345" s="4" t="s">
        <v>36945</v>
      </c>
      <c r="B29345" s="6" t="s">
        <v>36949</v>
      </c>
      <c r="C29345" s="5" t="str">
        <f>IFERROR(__xludf.DUMMYFUNCTION("GOOGLETRANSLATE(B29345,""en"",""it"")"),"Dopo, la ragazza viene mostrata con una coda sirena arancione sul nuoto sott'acqua mentre si unisce a un'altra ""sirena"".")</f>
        <v>Dopo, la ragazza viene mostrata con una coda sirena arancione sul nuoto sott'acqua mentre si unisce a un'altra "sirena".</v>
      </c>
    </row>
    <row r="29346">
      <c r="A29346" s="4" t="s">
        <v>36950</v>
      </c>
      <c r="B29346" s="4" t="s">
        <v>36951</v>
      </c>
      <c r="C29346" s="5" t="str">
        <f>IFERROR(__xludf.DUMMYFUNCTION("GOOGLETRANSLATE(B29346,""en"",""it"")"),"Un uomo in un piccolo tipo di barca in kayak sta remando la barca.")</f>
        <v>Un uomo in un piccolo tipo di barca in kayak sta remando la barca.</v>
      </c>
    </row>
    <row r="29347">
      <c r="A29347" s="4" t="s">
        <v>36950</v>
      </c>
      <c r="B29347" s="4" t="s">
        <v>36952</v>
      </c>
      <c r="C29347" s="5" t="str">
        <f>IFERROR(__xludf.DUMMYFUNCTION("GOOGLETRANSLATE(B29347,""en"",""it"")"),"È seduto da solo perché è così piccolo che si adatta davvero a una persona.")</f>
        <v>È seduto da solo perché è così piccolo che si adatta davvero a una persona.</v>
      </c>
    </row>
    <row r="29348">
      <c r="A29348" s="4" t="s">
        <v>36950</v>
      </c>
      <c r="B29348" s="4" t="s">
        <v>36953</v>
      </c>
      <c r="C29348" s="5" t="str">
        <f>IFERROR(__xludf.DUMMYFUNCTION("GOOGLETRANSLATE(B29348,""en"",""it"")"),"Usa molta energia nella pagaiata, andando molto veloce.")</f>
        <v>Usa molta energia nella pagaiata, andando molto veloce.</v>
      </c>
    </row>
    <row r="29349">
      <c r="A29349" s="4" t="s">
        <v>36950</v>
      </c>
      <c r="B29349" s="4" t="s">
        <v>36954</v>
      </c>
      <c r="C29349" s="5" t="str">
        <f>IFERROR(__xludf.DUMMYFUNCTION("GOOGLETRANSLATE(B29349,""en"",""it"")"),"Credo che probabilmente si stia esercitando per un evento in futuro.")</f>
        <v>Credo che probabilmente si stia esercitando per un evento in futuro.</v>
      </c>
    </row>
    <row r="29350">
      <c r="A29350" s="4" t="s">
        <v>36955</v>
      </c>
      <c r="B29350" s="4" t="s">
        <v>36956</v>
      </c>
      <c r="C29350" s="5" t="str">
        <f>IFERROR(__xludf.DUMMYFUNCTION("GOOGLETRANSLATE(B29350,""en"",""it"")"),"Una donna è in piedi fuori di fronte a un edificio.")</f>
        <v>Una donna è in piedi fuori di fronte a un edificio.</v>
      </c>
    </row>
    <row r="29351">
      <c r="A29351" s="4" t="s">
        <v>36955</v>
      </c>
      <c r="B29351" s="4" t="s">
        <v>36957</v>
      </c>
      <c r="C29351" s="5" t="str">
        <f>IFERROR(__xludf.DUMMYFUNCTION("GOOGLETRANSLATE(B29351,""en"",""it"")"),"Comincia a ballare con Hula Hoops.")</f>
        <v>Comincia a ballare con Hula Hoops.</v>
      </c>
    </row>
    <row r="29352">
      <c r="A29352" s="4" t="s">
        <v>36955</v>
      </c>
      <c r="B29352" s="4" t="s">
        <v>36958</v>
      </c>
      <c r="C29352" s="5" t="str">
        <f>IFERROR(__xludf.DUMMYFUNCTION("GOOGLETRANSLATE(B29352,""en"",""it"")"),"Lei finisce e le parole arrivano sullo schermo.")</f>
        <v>Lei finisce e le parole arrivano sullo schermo.</v>
      </c>
    </row>
    <row r="29353">
      <c r="A29353" s="4" t="s">
        <v>36959</v>
      </c>
      <c r="B29353" s="4" t="s">
        <v>36960</v>
      </c>
      <c r="C29353" s="5" t="str">
        <f>IFERROR(__xludf.DUMMYFUNCTION("GOOGLETRANSLATE(B29353,""en"",""it"")"),"Un folto gruppo di persone viene visto che gira e girano manganelli in città.")</f>
        <v>Un folto gruppo di persone viene visto che gira e girano manganelli in città.</v>
      </c>
    </row>
    <row r="29354">
      <c r="A29354" s="4" t="s">
        <v>36959</v>
      </c>
      <c r="B29354" s="4" t="s">
        <v>36961</v>
      </c>
      <c r="C29354" s="5" t="str">
        <f>IFERROR(__xludf.DUMMYFUNCTION("GOOGLETRANSLATE(B29354,""en"",""it"")"),"Un folto gruppo di persone è visto seduto intorno al gruppo a guardare.")</f>
        <v>Un folto gruppo di persone è visto seduto intorno al gruppo a guardare.</v>
      </c>
    </row>
    <row r="29355">
      <c r="A29355" s="4" t="s">
        <v>36959</v>
      </c>
      <c r="B29355" s="6" t="s">
        <v>36962</v>
      </c>
      <c r="C29355" s="5" t="str">
        <f>IFERROR(__xludf.DUMMYFUNCTION("GOOGLETRANSLATE(B29355,""en"",""it"")"),"Il gruppo continua a ballare intorno al blocco della città mentre la telecamera si muove e li guarda allontanarsi.")</f>
        <v>Il gruppo continua a ballare intorno al blocco della città mentre la telecamera si muove e li guarda allontanarsi.</v>
      </c>
    </row>
    <row r="29356">
      <c r="A29356" s="4" t="s">
        <v>36963</v>
      </c>
      <c r="B29356" s="4" t="s">
        <v>36964</v>
      </c>
      <c r="C29356" s="5" t="str">
        <f>IFERROR(__xludf.DUMMYFUNCTION("GOOGLETRANSLATE(B29356,""en"",""it"")"),"Un uomo si siede su una bici fissa su un palco e inizia ad allenarti.")</f>
        <v>Un uomo si siede su una bici fissa su un palco e inizia ad allenarti.</v>
      </c>
    </row>
    <row r="29357">
      <c r="A29357" s="4" t="s">
        <v>36963</v>
      </c>
      <c r="B29357" s="4" t="s">
        <v>36965</v>
      </c>
      <c r="C29357" s="5" t="str">
        <f>IFERROR(__xludf.DUMMYFUNCTION("GOOGLETRANSLATE(B29357,""en"",""it"")"),"Si attacca una gamba di lato.")</f>
        <v>Si attacca una gamba di lato.</v>
      </c>
    </row>
    <row r="29358">
      <c r="A29358" s="4" t="s">
        <v>36963</v>
      </c>
      <c r="B29358" s="4" t="s">
        <v>36966</v>
      </c>
      <c r="C29358" s="5" t="str">
        <f>IFERROR(__xludf.DUMMYFUNCTION("GOOGLETRANSLATE(B29358,""en"",""it"")"),"Si scende e fa un supporto per le mani.")</f>
        <v>Si scende e fa un supporto per le mani.</v>
      </c>
    </row>
    <row r="29359">
      <c r="A29359" s="4" t="s">
        <v>36967</v>
      </c>
      <c r="B29359" s="4" t="s">
        <v>36968</v>
      </c>
      <c r="C29359" s="5" t="str">
        <f>IFERROR(__xludf.DUMMYFUNCTION("GOOGLETRANSLATE(B29359,""en"",""it"")"),"C'è una tavola di hopscotch disegnata con gesso sul marciapiede.")</f>
        <v>C'è una tavola di hopscotch disegnata con gesso sul marciapiede.</v>
      </c>
    </row>
    <row r="29360">
      <c r="A29360" s="4" t="s">
        <v>36967</v>
      </c>
      <c r="B29360" s="4" t="s">
        <v>36969</v>
      </c>
      <c r="C29360" s="5" t="str">
        <f>IFERROR(__xludf.DUMMYFUNCTION("GOOGLETRANSLATE(B29360,""en"",""it"")"),"Una bambina in Green prende il suo turno e poi più le sue amiche seguono.")</f>
        <v>Una bambina in Green prende il suo turno e poi più le sue amiche seguono.</v>
      </c>
    </row>
    <row r="29361">
      <c r="A29361" s="4" t="s">
        <v>36967</v>
      </c>
      <c r="B29361" s="4" t="s">
        <v>36970</v>
      </c>
      <c r="C29361" s="5" t="str">
        <f>IFERROR(__xludf.DUMMYFUNCTION("GOOGLETRANSLATE(B29361,""en"",""it"")"),"Tutte e tre le ragazze stanno e poi lasciano cadere un berretto per andare avanti con i loro salti.")</f>
        <v>Tutte e tre le ragazze stanno e poi lasciano cadere un berretto per andare avanti con i loro salti.</v>
      </c>
    </row>
    <row r="29362">
      <c r="A29362" s="4" t="s">
        <v>36967</v>
      </c>
      <c r="B29362" s="6" t="s">
        <v>36971</v>
      </c>
      <c r="C29362" s="5" t="str">
        <f>IFERROR(__xludf.DUMMYFUNCTION("GOOGLETRANSLATE(B29362,""en"",""it"")"),"Giocano diverse varianti del gioco solo divertendosi a farlo e quando è sopra una delle ragazze lancia le mani in aria.")</f>
        <v>Giocano diverse varianti del gioco solo divertendosi a farlo e quando è sopra una delle ragazze lancia le mani in aria.</v>
      </c>
    </row>
    <row r="29363">
      <c r="A29363" s="4" t="s">
        <v>36972</v>
      </c>
      <c r="B29363" s="4" t="s">
        <v>36973</v>
      </c>
      <c r="C29363" s="5" t="str">
        <f>IFERROR(__xludf.DUMMYFUNCTION("GOOGLETRANSLATE(B29363,""en"",""it"")"),"Un folto gruppo di persone è visto in piedi su un palco con le persone che guardano a margine.")</f>
        <v>Un folto gruppo di persone è visto in piedi su un palco con le persone che guardano a margine.</v>
      </c>
    </row>
    <row r="29364">
      <c r="A29364" s="4" t="s">
        <v>36972</v>
      </c>
      <c r="B29364" s="4" t="s">
        <v>36974</v>
      </c>
      <c r="C29364" s="5" t="str">
        <f>IFERROR(__xludf.DUMMYFUNCTION("GOOGLETRANSLATE(B29364,""en"",""it"")"),"Le persone a turno saltano su un grande tappetino sopra un raggio e tifano con i compagni di squadra.")</f>
        <v>Le persone a turno saltano su un grande tappetino sopra un raggio e tifano con i compagni di squadra.</v>
      </c>
    </row>
    <row r="29365">
      <c r="A29365" s="4" t="s">
        <v>36972</v>
      </c>
      <c r="B29365" s="4" t="s">
        <v>36975</v>
      </c>
      <c r="C29365" s="5" t="str">
        <f>IFERROR(__xludf.DUMMYFUNCTION("GOOGLETRANSLATE(B29365,""en"",""it"")"),"Vengono mostrati più scatti di bambini che si ingannano mentre guardano e ridono per la telecamera.")</f>
        <v>Vengono mostrati più scatti di bambini che si ingannano mentre guardano e ridono per la telecamera.</v>
      </c>
    </row>
    <row r="29366">
      <c r="A29366" s="4" t="s">
        <v>36976</v>
      </c>
      <c r="B29366" s="4" t="s">
        <v>36977</v>
      </c>
      <c r="C29366" s="5" t="str">
        <f>IFERROR(__xludf.DUMMYFUNCTION("GOOGLETRANSLATE(B29366,""en"",""it"")"),"Un bambino si arrampica sui gradini di un parco giochi.")</f>
        <v>Un bambino si arrampica sui gradini di un parco giochi.</v>
      </c>
    </row>
    <row r="29367">
      <c r="A29367" s="4" t="s">
        <v>36976</v>
      </c>
      <c r="B29367" s="4" t="s">
        <v>36978</v>
      </c>
      <c r="C29367" s="5" t="str">
        <f>IFERROR(__xludf.DUMMYFUNCTION("GOOGLETRANSLATE(B29367,""en"",""it"")"),"Quindi, il ragazzo scivola giù fino a raggiungere il terreno.")</f>
        <v>Quindi, il ragazzo scivola giù fino a raggiungere il terreno.</v>
      </c>
    </row>
    <row r="29368">
      <c r="A29368" s="4" t="s">
        <v>36979</v>
      </c>
      <c r="B29368" s="6" t="s">
        <v>36980</v>
      </c>
      <c r="C29368" s="5" t="str">
        <f>IFERROR(__xludf.DUMMYFUNCTION("GOOGLETRANSLATE(B29368,""en"",""it"")"),"Un gruppo di persone è visto in piedi su un campo di calcio e conduce a cadere e ad essere aiutato a eseguire il backup.")</f>
        <v>Un gruppo di persone è visto in piedi su un campo di calcio e conduce a cadere e ad essere aiutato a eseguire il backup.</v>
      </c>
    </row>
    <row r="29369">
      <c r="A29369" s="4" t="s">
        <v>36979</v>
      </c>
      <c r="B29369" s="6" t="s">
        <v>36981</v>
      </c>
      <c r="C29369" s="5" t="str">
        <f>IFERROR(__xludf.DUMMYFUNCTION("GOOGLETRANSLATE(B29369,""en"",""it"")"),"Lo stesso scatto viene nuovamente mostrato al rallentatore e porta a segnare un goal con altri che non prestano attenzione.")</f>
        <v>Lo stesso scatto viene nuovamente mostrato al rallentatore e porta a segnare un goal con altri che non prestano attenzione.</v>
      </c>
    </row>
    <row r="29370">
      <c r="A29370" s="4" t="s">
        <v>36979</v>
      </c>
      <c r="B29370" s="4" t="s">
        <v>36982</v>
      </c>
      <c r="C29370" s="5" t="str">
        <f>IFERROR(__xludf.DUMMYFUNCTION("GOOGLETRANSLATE(B29370,""en"",""it"")"),"Lo stesso scatto viene nuovamente mostrato al rallentatore più volte e torna a tutti i giocatori.")</f>
        <v>Lo stesso scatto viene nuovamente mostrato al rallentatore più volte e torna a tutti i giocatori.</v>
      </c>
    </row>
    <row r="29371">
      <c r="A29371" s="4" t="s">
        <v>36983</v>
      </c>
      <c r="B29371" s="4" t="s">
        <v>36984</v>
      </c>
      <c r="C29371" s="5" t="str">
        <f>IFERROR(__xludf.DUMMYFUNCTION("GOOGLETRANSLATE(B29371,""en"",""it"")"),"Una signora sta girando una ragazza e un ragazzo che sono all'aperto in un parco giochi del parco.")</f>
        <v>Una signora sta girando una ragazza e un ragazzo che sono all'aperto in un parco giochi del parco.</v>
      </c>
    </row>
    <row r="29372">
      <c r="A29372" s="4" t="s">
        <v>36983</v>
      </c>
      <c r="B29372" s="6" t="s">
        <v>36985</v>
      </c>
      <c r="C29372" s="5" t="str">
        <f>IFERROR(__xludf.DUMMYFUNCTION("GOOGLETRANSLATE(B29372,""en"",""it"")"),"La ragazza si blocca e attraversa le barre delle scimmie usando le braccia mentre il ragazzo si trova dietro binari e orologi.")</f>
        <v>La ragazza si blocca e attraversa le barre delle scimmie usando le braccia mentre il ragazzo si trova dietro binari e orologi.</v>
      </c>
    </row>
    <row r="29373">
      <c r="A29373" s="4" t="s">
        <v>36983</v>
      </c>
      <c r="B29373" s="6" t="s">
        <v>36986</v>
      </c>
      <c r="C29373" s="5" t="str">
        <f>IFERROR(__xludf.DUMMYFUNCTION("GOOGLETRANSLATE(B29373,""en"",""it"")"),"I salti alla fine delle barre delle scimmie e poi saltano su e giù e danno un alto cinque alla donna eccitata che la filtra.")</f>
        <v>I salti alla fine delle barre delle scimmie e poi saltano su e giù e danno un alto cinque alla donna eccitata che la filtra.</v>
      </c>
    </row>
    <row r="29374">
      <c r="A29374" s="4" t="s">
        <v>36983</v>
      </c>
      <c r="B29374" s="6" t="s">
        <v>36987</v>
      </c>
      <c r="C29374" s="5" t="str">
        <f>IFERROR(__xludf.DUMMYFUNCTION("GOOGLETRANSLATE(B29374,""en"",""it"")"),"La signora dietro la telecamera si avvicina e si accartoccia al ragazzino che ora è alle barre delle scimmie e tiene una conversazione con lui.")</f>
        <v>La signora dietro la telecamera si avvicina e si accartoccia al ragazzino che ora è alle barre delle scimmie e tiene una conversazione con lui.</v>
      </c>
    </row>
    <row r="29375">
      <c r="A29375" s="4" t="s">
        <v>36988</v>
      </c>
      <c r="B29375" s="4" t="s">
        <v>36989</v>
      </c>
      <c r="C29375" s="5" t="str">
        <f>IFERROR(__xludf.DUMMYFUNCTION("GOOGLETRANSLATE(B29375,""en"",""it"")"),"Una bici viene vista sottosopra in un negozio.")</f>
        <v>Una bici viene vista sottosopra in un negozio.</v>
      </c>
    </row>
    <row r="29376">
      <c r="A29376" s="4" t="s">
        <v>36988</v>
      </c>
      <c r="B29376" s="4" t="s">
        <v>36990</v>
      </c>
      <c r="C29376" s="5" t="str">
        <f>IFERROR(__xludf.DUMMYFUNCTION("GOOGLETRANSLATE(B29376,""en"",""it"")"),"Un uomo mostra come rimuovere uno pneumatico.")</f>
        <v>Un uomo mostra come rimuovere uno pneumatico.</v>
      </c>
    </row>
    <row r="29377">
      <c r="A29377" s="4" t="s">
        <v>36988</v>
      </c>
      <c r="B29377" s="4" t="s">
        <v>36991</v>
      </c>
      <c r="C29377" s="5" t="str">
        <f>IFERROR(__xludf.DUMMYFUNCTION("GOOGLETRANSLATE(B29377,""en"",""it"")"),"Quindi lo sostituisce e lo stringe di nuovo in posizione.")</f>
        <v>Quindi lo sostituisce e lo stringe di nuovo in posizione.</v>
      </c>
    </row>
    <row r="29378">
      <c r="A29378" s="4" t="s">
        <v>36992</v>
      </c>
      <c r="B29378" s="4" t="s">
        <v>36993</v>
      </c>
      <c r="C29378" s="5" t="str">
        <f>IFERROR(__xludf.DUMMYFUNCTION("GOOGLETRANSLATE(B29378,""en"",""it"")"),"Viene visto un uomo parlare alla telecamera e conduce a sciare.")</f>
        <v>Viene visto un uomo parlare alla telecamera e conduce a sciare.</v>
      </c>
    </row>
    <row r="29379">
      <c r="A29379" s="4" t="s">
        <v>36992</v>
      </c>
      <c r="B29379" s="4" t="s">
        <v>36994</v>
      </c>
      <c r="C29379" s="5" t="str">
        <f>IFERROR(__xludf.DUMMYFUNCTION("GOOGLETRANSLATE(B29379,""en"",""it"")"),"Gli uomini si muovono lungo tutta la montagna mentre altri vengono mostrati sciare accanto a loro.")</f>
        <v>Gli uomini si muovono lungo tutta la montagna mentre altri vengono mostrati sciare accanto a loro.</v>
      </c>
    </row>
    <row r="29380">
      <c r="A29380" s="4" t="s">
        <v>36992</v>
      </c>
      <c r="B29380" s="4" t="s">
        <v>36995</v>
      </c>
      <c r="C29380" s="5" t="str">
        <f>IFERROR(__xludf.DUMMYFUNCTION("GOOGLETRANSLATE(B29380,""en"",""it"")"),"Le persone continuano a cavalcare giù per la collina e finiscono fermandosi in fondo.")</f>
        <v>Le persone continuano a cavalcare giù per la collina e finiscono fermandosi in fondo.</v>
      </c>
    </row>
    <row r="29381">
      <c r="A29381" s="4" t="s">
        <v>36996</v>
      </c>
      <c r="B29381" s="4" t="s">
        <v>36997</v>
      </c>
      <c r="C29381" s="5" t="str">
        <f>IFERROR(__xludf.DUMMYFUNCTION("GOOGLETRANSLATE(B29381,""en"",""it"")"),"Un gruppo di ragazze in una squadra di salto in corda fa una routine in una grande sala da musica.")</f>
        <v>Un gruppo di ragazze in una squadra di salto in corda fa una routine in una grande sala da musica.</v>
      </c>
    </row>
    <row r="29382">
      <c r="A29382" s="4" t="s">
        <v>36996</v>
      </c>
      <c r="B29382" s="4" t="s">
        <v>36998</v>
      </c>
      <c r="C29382" s="5" t="str">
        <f>IFERROR(__xludf.DUMMYFUNCTION("GOOGLETRANSLATE(B29382,""en"",""it"")"),"Un gruppo di ragazze salta la corda individualmente.")</f>
        <v>Un gruppo di ragazze salta la corda individualmente.</v>
      </c>
    </row>
    <row r="29383">
      <c r="A29383" s="4" t="s">
        <v>36996</v>
      </c>
      <c r="B29383" s="4" t="s">
        <v>36999</v>
      </c>
      <c r="C29383" s="5" t="str">
        <f>IFERROR(__xludf.DUMMYFUNCTION("GOOGLETRANSLATE(B29383,""en"",""it"")"),"Tre ragazze saltano la corda con due che tengono una sola corda su ciascuna estremità.")</f>
        <v>Tre ragazze saltano la corda con due che tengono una sola corda su ciascuna estremità.</v>
      </c>
    </row>
    <row r="29384">
      <c r="A29384" s="4" t="s">
        <v>36996</v>
      </c>
      <c r="B29384" s="4" t="s">
        <v>37000</v>
      </c>
      <c r="C29384" s="5" t="str">
        <f>IFERROR(__xludf.DUMMYFUNCTION("GOOGLETRANSLATE(B29384,""en"",""it"")"),"Tre ragazze saltano insieme all'interno di una sola corda.")</f>
        <v>Tre ragazze saltano insieme all'interno di una sola corda.</v>
      </c>
    </row>
    <row r="29385">
      <c r="A29385" s="4" t="s">
        <v>36996</v>
      </c>
      <c r="B29385" s="6" t="s">
        <v>37001</v>
      </c>
      <c r="C29385" s="5" t="str">
        <f>IFERROR(__xludf.DUMMYFUNCTION("GOOGLETRANSLATE(B29385,""en"",""it"")"),"Un gruppo di ragazze tiene due corde e a turno facendo doppi olandesi mentre i membri attraversano e saltano la corda.")</f>
        <v>Un gruppo di ragazze tiene due corde e a turno facendo doppi olandesi mentre i membri attraversano e saltano la corda.</v>
      </c>
    </row>
    <row r="29386">
      <c r="A29386" s="4" t="s">
        <v>37002</v>
      </c>
      <c r="B29386" s="4" t="s">
        <v>37003</v>
      </c>
      <c r="C29386" s="5" t="str">
        <f>IFERROR(__xludf.DUMMYFUNCTION("GOOGLETRANSLATE(B29386,""en"",""it"")"),"Viene visto un uomo muoversi al rallentatore con in mano una racchetta da tennis e lancia una palla in aria.")</f>
        <v>Viene visto un uomo muoversi al rallentatore con in mano una racchetta da tennis e lancia una palla in aria.</v>
      </c>
    </row>
    <row r="29387">
      <c r="A29387" s="4" t="s">
        <v>37002</v>
      </c>
      <c r="B29387" s="6" t="s">
        <v>37004</v>
      </c>
      <c r="C29387" s="5" t="str">
        <f>IFERROR(__xludf.DUMMYFUNCTION("GOOGLETRANSLATE(B29387,""en"",""it"")"),"Le frecce indicano il suo corpo e lo mostrano colpire la palla mentre si ferma per sfoggiare i movimenti del suo corpo.")</f>
        <v>Le frecce indicano il suo corpo e lo mostrano colpire la palla mentre si ferma per sfoggiare i movimenti del suo corpo.</v>
      </c>
    </row>
    <row r="29388">
      <c r="A29388" s="4" t="s">
        <v>37005</v>
      </c>
      <c r="B29388" s="4" t="s">
        <v>37006</v>
      </c>
      <c r="C29388" s="5" t="str">
        <f>IFERROR(__xludf.DUMMYFUNCTION("GOOGLETRANSLATE(B29388,""en"",""it"")"),"Una macchina ellittica in bicicletta è seduta in soggiorno da un divano.")</f>
        <v>Una macchina ellittica in bicicletta è seduta in soggiorno da un divano.</v>
      </c>
    </row>
    <row r="29389">
      <c r="A29389" s="4" t="s">
        <v>37005</v>
      </c>
      <c r="B29389" s="4" t="s">
        <v>37007</v>
      </c>
      <c r="C29389" s="5" t="str">
        <f>IFERROR(__xludf.DUMMYFUNCTION("GOOGLETRANSLATE(B29389,""en"",""it"")"),"Un cane appare sul divano e improvvisamente una persona si siede sulla macchina e lo accende.")</f>
        <v>Un cane appare sul divano e improvvisamente una persona si siede sulla macchina e lo accende.</v>
      </c>
    </row>
    <row r="29390">
      <c r="A29390" s="4" t="s">
        <v>37005</v>
      </c>
      <c r="B29390" s="6" t="s">
        <v>37008</v>
      </c>
      <c r="C29390" s="5" t="str">
        <f>IFERROR(__xludf.DUMMYFUNCTION("GOOGLETRANSLATE(B29390,""en"",""it"")"),"Una volta che la macchina è accesa, inizia a lampeggiare 30 minuti più volte e la persona inizia a esercitare sulla macchina spingendo le barre avanti e indietro.")</f>
        <v>Una volta che la macchina è accesa, inizia a lampeggiare 30 minuti più volte e la persona inizia a esercitare sulla macchina spingendo le barre avanti e indietro.</v>
      </c>
    </row>
    <row r="29391">
      <c r="A29391" s="4" t="s">
        <v>37009</v>
      </c>
      <c r="B29391" s="6" t="s">
        <v>37010</v>
      </c>
      <c r="C29391" s="5" t="str">
        <f>IFERROR(__xludf.DUMMYFUNCTION("GOOGLETRANSLATE(B29391,""en"",""it"")"),"Un uomo con camicia nera sollevò il barbiglio e iniziò a portarlo su e giù per poche volte, mentre dietro di lui, due uomini stanno rimuovendo le piastre di metallo su un altro barbol.")</f>
        <v>Un uomo con camicia nera sollevò il barbiglio e iniziò a portarlo su e giù per poche volte, mentre dietro di lui, due uomini stanno rimuovendo le piastre di metallo su un altro barbol.</v>
      </c>
    </row>
    <row r="29392">
      <c r="A29392" s="4" t="s">
        <v>37009</v>
      </c>
      <c r="B29392" s="6" t="s">
        <v>37011</v>
      </c>
      <c r="C29392" s="5" t="str">
        <f>IFERROR(__xludf.DUMMYFUNCTION("GOOGLETRANSLATE(B29392,""en"",""it"")"),"L'uomo con camicia nera ha aggiunto più peso sul barbel aggiungendo piastre gialle su entrambi i lati, quindi continua a sollevare pesi.")</f>
        <v>L'uomo con camicia nera ha aggiunto più peso sul barbel aggiungendo piastre gialle su entrambi i lati, quindi continua a sollevare pesi.</v>
      </c>
    </row>
    <row r="29393">
      <c r="A29393" s="4" t="s">
        <v>37012</v>
      </c>
      <c r="B29393" s="4" t="s">
        <v>37013</v>
      </c>
      <c r="C29393" s="5" t="str">
        <f>IFERROR(__xludf.DUMMYFUNCTION("GOOGLETRANSLATE(B29393,""en"",""it"")"),"Un uomo e un bambino sono seduti su un divano mentre il adulto fuma il tabacco da narghilè.")</f>
        <v>Un uomo e un bambino sono seduti su un divano mentre il adulto fuma il tabacco da narghilè.</v>
      </c>
    </row>
    <row r="29394">
      <c r="A29394" s="4" t="s">
        <v>37012</v>
      </c>
      <c r="B29394" s="4" t="s">
        <v>37014</v>
      </c>
      <c r="C29394" s="5" t="str">
        <f>IFERROR(__xludf.DUMMYFUNCTION("GOOGLETRANSLATE(B29394,""en"",""it"")"),"Il bambino lo afferra come per fumare solo per farlo allontanare.")</f>
        <v>Il bambino lo afferra come per fumare solo per farlo allontanare.</v>
      </c>
    </row>
    <row r="29395">
      <c r="A29395" s="4" t="s">
        <v>37012</v>
      </c>
      <c r="B29395" s="4" t="s">
        <v>37015</v>
      </c>
      <c r="C29395" s="5" t="str">
        <f>IFERROR(__xludf.DUMMYFUNCTION("GOOGLETRANSLATE(B29395,""en"",""it"")"),"Il bambino è quindi in grado di attaccarlo nella propria bocca ma non sa cosa fare.")</f>
        <v>Il bambino è quindi in grado di attaccarlo nella propria bocca ma non sa cosa fare.</v>
      </c>
    </row>
    <row r="29396">
      <c r="A29396" s="4" t="s">
        <v>37012</v>
      </c>
      <c r="B29396" s="6" t="s">
        <v>37016</v>
      </c>
      <c r="C29396" s="5" t="str">
        <f>IFERROR(__xludf.DUMMYFUNCTION("GOOGLETRANSLATE(B29396,""en"",""it"")"),"Finisce per restituirlo nella bocca degli adulti e l'adulto continua a fumare dal tubo del narghilè.")</f>
        <v>Finisce per restituirlo nella bocca degli adulti e l'adulto continua a fumare dal tubo del narghilè.</v>
      </c>
    </row>
    <row r="29397">
      <c r="A29397" s="4" t="s">
        <v>37017</v>
      </c>
      <c r="B29397" s="4" t="s">
        <v>37018</v>
      </c>
      <c r="C29397" s="5" t="str">
        <f>IFERROR(__xludf.DUMMYFUNCTION("GOOGLETRANSLATE(B29397,""en"",""it"")"),"I dettagli aziendali sono scritti in testo bianco su uno sfondo nero.")</f>
        <v>I dettagli aziendali sono scritti in testo bianco su uno sfondo nero.</v>
      </c>
    </row>
    <row r="29398">
      <c r="A29398" s="4" t="s">
        <v>37017</v>
      </c>
      <c r="B29398" s="4" t="s">
        <v>37019</v>
      </c>
      <c r="C29398" s="5" t="str">
        <f>IFERROR(__xludf.DUMMYFUNCTION("GOOGLETRANSLATE(B29398,""en"",""it"")"),"Uomini che indossano le giacche pressione lavano un'auto bianca in un parcheggio.")</f>
        <v>Uomini che indossano le giacche pressione lavano un'auto bianca in un parcheggio.</v>
      </c>
    </row>
    <row r="29399">
      <c r="A29399" s="4" t="s">
        <v>37017</v>
      </c>
      <c r="B29399" s="4" t="s">
        <v>37020</v>
      </c>
      <c r="C29399" s="5" t="str">
        <f>IFERROR(__xludf.DUMMYFUNCTION("GOOGLETRANSLATE(B29399,""en"",""it"")"),"Due uomini lavano un SUV nero con un tubo di lavaggio della pressione.")</f>
        <v>Due uomini lavano un SUV nero con un tubo di lavaggio della pressione.</v>
      </c>
    </row>
    <row r="29400">
      <c r="A29400" s="4" t="s">
        <v>37017</v>
      </c>
      <c r="B29400" s="4" t="s">
        <v>37021</v>
      </c>
      <c r="C29400" s="5" t="str">
        <f>IFERROR(__xludf.DUMMYFUNCTION("GOOGLETRANSLATE(B29400,""en"",""it"")"),"Gli uomini lavano un'auto bianca usando asciugamani.")</f>
        <v>Gli uomini lavano un'auto bianca usando asciugamani.</v>
      </c>
    </row>
    <row r="29401">
      <c r="A29401" s="4" t="s">
        <v>37017</v>
      </c>
      <c r="B29401" s="4" t="s">
        <v>37022</v>
      </c>
      <c r="C29401" s="5" t="str">
        <f>IFERROR(__xludf.DUMMYFUNCTION("GOOGLETRANSLATE(B29401,""en"",""it"")"),"Vengono visualizzati i dettagli del business prima che vengano visualizzati i crediti finali per il video.")</f>
        <v>Vengono visualizzati i dettagli del business prima che vengano visualizzati i crediti finali per il video.</v>
      </c>
    </row>
    <row r="29402">
      <c r="A29402" s="4" t="s">
        <v>37023</v>
      </c>
      <c r="B29402" s="4" t="s">
        <v>37024</v>
      </c>
      <c r="C29402" s="5" t="str">
        <f>IFERROR(__xludf.DUMMYFUNCTION("GOOGLETRANSLATE(B29402,""en"",""it"")"),"Il video si svolge in una palestra di varie ginnaste.")</f>
        <v>Il video si svolge in una palestra di varie ginnaste.</v>
      </c>
    </row>
    <row r="29403">
      <c r="A29403" s="4" t="s">
        <v>37023</v>
      </c>
      <c r="B29403" s="4" t="s">
        <v>37025</v>
      </c>
      <c r="C29403" s="5" t="str">
        <f>IFERROR(__xludf.DUMMYFUNCTION("GOOGLETRANSLATE(B29403,""en"",""it"")"),"Una ragazza si trova in cima al trampolino in preparazione al salto.")</f>
        <v>Una ragazza si trova in cima al trampolino in preparazione al salto.</v>
      </c>
    </row>
    <row r="29404">
      <c r="A29404" s="4" t="s">
        <v>37023</v>
      </c>
      <c r="B29404" s="4" t="s">
        <v>37026</v>
      </c>
      <c r="C29404" s="5" t="str">
        <f>IFERROR(__xludf.DUMMYFUNCTION("GOOGLETRANSLATE(B29404,""en"",""it"")"),"Salta sul bar e inizia a fare diversi lanci tra due bar.")</f>
        <v>Salta sul bar e inizia a fare diversi lanci tra due bar.</v>
      </c>
    </row>
    <row r="29405">
      <c r="A29405" s="4" t="s">
        <v>37023</v>
      </c>
      <c r="B29405" s="4" t="s">
        <v>37027</v>
      </c>
      <c r="C29405" s="5" t="str">
        <f>IFERROR(__xludf.DUMMYFUNCTION("GOOGLETRANSLATE(B29405,""en"",""it"")"),"Quindi salta nell'area imbottita e alza le mani e un uomo le dà un abbraccio.")</f>
        <v>Quindi salta nell'area imbottita e alza le mani e un uomo le dà un abbraccio.</v>
      </c>
    </row>
    <row r="29406">
      <c r="A29406" s="4" t="s">
        <v>37028</v>
      </c>
      <c r="B29406" s="4" t="s">
        <v>37029</v>
      </c>
      <c r="C29406" s="5" t="str">
        <f>IFERROR(__xludf.DUMMYFUNCTION("GOOGLETRANSLATE(B29406,""en"",""it"")"),"Una grande barca con una vela di vento è vista cavalcare lungo una grande tempesta con le persone a bordo.")</f>
        <v>Una grande barca con una vela di vento è vista cavalcare lungo una grande tempesta con le persone a bordo.</v>
      </c>
    </row>
    <row r="29407">
      <c r="A29407" s="4" t="s">
        <v>37028</v>
      </c>
      <c r="B29407" s="4" t="s">
        <v>37030</v>
      </c>
      <c r="C29407" s="5" t="str">
        <f>IFERROR(__xludf.DUMMYFUNCTION("GOOGLETRANSLATE(B29407,""en"",""it"")"),"La barca si rivolge ad un punto in cui arriva anche un'altra barca e cade.")</f>
        <v>La barca si rivolge ad un punto in cui arriva anche un'altra barca e cade.</v>
      </c>
    </row>
    <row r="29408">
      <c r="A29408" s="4" t="s">
        <v>37031</v>
      </c>
      <c r="B29408" s="6" t="s">
        <v>37032</v>
      </c>
      <c r="C29408" s="5" t="str">
        <f>IFERROR(__xludf.DUMMYFUNCTION("GOOGLETRANSLATE(B29408,""en"",""it"")"),"La donna è seduta su un divano con un gatto sulle gambe, prenderà un Scisoor dal tavolo accanto a lei e inizia a tagliare le unghie del gatto anteriore.")</f>
        <v>La donna è seduta su un divano con un gatto sulle gambe, prenderà un Scisoor dal tavolo accanto a lei e inizia a tagliare le unghie del gatto anteriore.</v>
      </c>
    </row>
    <row r="29409">
      <c r="A29409" s="4" t="s">
        <v>37031</v>
      </c>
      <c r="B29409" s="4" t="s">
        <v>37033</v>
      </c>
      <c r="C29409" s="5" t="str">
        <f>IFERROR(__xludf.DUMMYFUNCTION("GOOGLETRANSLATE(B29409,""en"",""it"")"),"Lei guarda le zampe posteriori e diede al suo gatto un po 'di cibo per gatti.")</f>
        <v>Lei guarda le zampe posteriori e diede al suo gatto un po 'di cibo per gatti.</v>
      </c>
    </row>
    <row r="29410">
      <c r="A29410" s="4" t="s">
        <v>37031</v>
      </c>
      <c r="B29410" s="4" t="s">
        <v>37034</v>
      </c>
      <c r="C29410" s="5" t="str">
        <f>IFERROR(__xludf.DUMMYFUNCTION("GOOGLETRANSLATE(B29410,""en"",""it"")"),"La ragazza si congratula nel gatto e lo mise sul pavimento.")</f>
        <v>La ragazza si congratula nel gatto e lo mise sul pavimento.</v>
      </c>
    </row>
    <row r="29411">
      <c r="A29411" s="4" t="s">
        <v>37035</v>
      </c>
      <c r="B29411" s="4" t="s">
        <v>37036</v>
      </c>
      <c r="C29411" s="5" t="str">
        <f>IFERROR(__xludf.DUMMYFUNCTION("GOOGLETRANSLATE(B29411,""en"",""it"")"),"Un uomo senza camicia si trova fuori dagli alberi e beve da una tazza di caffè.")</f>
        <v>Un uomo senza camicia si trova fuori dagli alberi e beve da una tazza di caffè.</v>
      </c>
    </row>
    <row r="29412">
      <c r="A29412" s="4" t="s">
        <v>37035</v>
      </c>
      <c r="B29412" s="4" t="s">
        <v>37037</v>
      </c>
      <c r="C29412" s="5" t="str">
        <f>IFERROR(__xludf.DUMMYFUNCTION("GOOGLETRANSLATE(B29412,""en"",""it"")"),"Una persona viene vista accarezzare un gatto.")</f>
        <v>Una persona viene vista accarezzare un gatto.</v>
      </c>
    </row>
    <row r="29413">
      <c r="A29413" s="4" t="s">
        <v>37038</v>
      </c>
      <c r="B29413" s="4" t="s">
        <v>37039</v>
      </c>
      <c r="C29413" s="5" t="str">
        <f>IFERROR(__xludf.DUMMYFUNCTION("GOOGLETRANSLATE(B29413,""en"",""it"")"),"Un ragazzo sta costruendo un sabbia vicino al bordo dell'oceano.")</f>
        <v>Un ragazzo sta costruendo un sabbia vicino al bordo dell'oceano.</v>
      </c>
    </row>
    <row r="29414">
      <c r="A29414" s="4" t="s">
        <v>37038</v>
      </c>
      <c r="B29414" s="4" t="s">
        <v>37040</v>
      </c>
      <c r="C29414" s="5" t="str">
        <f>IFERROR(__xludf.DUMMYFUNCTION("GOOGLETRANSLATE(B29414,""en"",""it"")"),"Forme enormi cerchi e si alza.")</f>
        <v>Forme enormi cerchi e si alza.</v>
      </c>
    </row>
    <row r="29415">
      <c r="A29415" s="4" t="s">
        <v>37041</v>
      </c>
      <c r="B29415" s="4" t="s">
        <v>37042</v>
      </c>
      <c r="C29415" s="5" t="str">
        <f>IFERROR(__xludf.DUMMYFUNCTION("GOOGLETRANSLATE(B29415,""en"",""it"")"),"Un uomo bacia una ragazza sulla spiaggia.")</f>
        <v>Un uomo bacia una ragazza sulla spiaggia.</v>
      </c>
    </row>
    <row r="29416">
      <c r="A29416" s="4" t="s">
        <v>37041</v>
      </c>
      <c r="B29416" s="4" t="s">
        <v>37043</v>
      </c>
      <c r="C29416" s="5" t="str">
        <f>IFERROR(__xludf.DUMMYFUNCTION("GOOGLETRANSLATE(B29416,""en"",""it"")"),"Le persone suonano le forbici di carta rocciosa sulla spiaggia.")</f>
        <v>Le persone suonano le forbici di carta rocciosa sulla spiaggia.</v>
      </c>
    </row>
    <row r="29417">
      <c r="A29417" s="4" t="s">
        <v>37041</v>
      </c>
      <c r="B29417" s="4" t="s">
        <v>37044</v>
      </c>
      <c r="C29417" s="5" t="str">
        <f>IFERROR(__xludf.DUMMYFUNCTION("GOOGLETRANSLATE(B29417,""en"",""it"")"),"Un uomo con una camicia nera è in piedi sulla spiaggia.")</f>
        <v>Un uomo con una camicia nera è in piedi sulla spiaggia.</v>
      </c>
    </row>
    <row r="29418">
      <c r="A29418" s="4" t="s">
        <v>37045</v>
      </c>
      <c r="B29418" s="4" t="s">
        <v>37046</v>
      </c>
      <c r="C29418" s="5" t="str">
        <f>IFERROR(__xludf.DUMMYFUNCTION("GOOGLETRANSLATE(B29418,""en"",""it"")"),"Un uomo collega un cavo alla sua chitarra.")</f>
        <v>Un uomo collega un cavo alla sua chitarra.</v>
      </c>
    </row>
    <row r="29419">
      <c r="A29419" s="4" t="s">
        <v>37045</v>
      </c>
      <c r="B29419" s="4" t="s">
        <v>37047</v>
      </c>
      <c r="C29419" s="5" t="str">
        <f>IFERROR(__xludf.DUMMYFUNCTION("GOOGLETRANSLATE(B29419,""en"",""it"")"),"Comincia a suonare la chitarra.")</f>
        <v>Comincia a suonare la chitarra.</v>
      </c>
    </row>
    <row r="29420">
      <c r="A29420" s="4" t="s">
        <v>37045</v>
      </c>
      <c r="B29420" s="4" t="s">
        <v>37048</v>
      </c>
      <c r="C29420" s="5" t="str">
        <f>IFERROR(__xludf.DUMMYFUNCTION("GOOGLETRANSLATE(B29420,""en"",""it"")"),"Alza lo sguardo e parla.")</f>
        <v>Alza lo sguardo e parla.</v>
      </c>
    </row>
    <row r="29421">
      <c r="A29421" s="4" t="s">
        <v>37045</v>
      </c>
      <c r="B29421" s="4" t="s">
        <v>37049</v>
      </c>
      <c r="C29421" s="5" t="str">
        <f>IFERROR(__xludf.DUMMYFUNCTION("GOOGLETRANSLATE(B29421,""en"",""it"")"),"Torna a suonare la sua chitarra.")</f>
        <v>Torna a suonare la sua chitarra.</v>
      </c>
    </row>
    <row r="29422">
      <c r="A29422" s="4" t="s">
        <v>37045</v>
      </c>
      <c r="B29422" s="4" t="s">
        <v>37050</v>
      </c>
      <c r="C29422" s="5" t="str">
        <f>IFERROR(__xludf.DUMMYFUNCTION("GOOGLETRANSLATE(B29422,""en"",""it"")"),"Alza lo sguardo e parla mentre fa i gesti delle mani.")</f>
        <v>Alza lo sguardo e parla mentre fa i gesti delle mani.</v>
      </c>
    </row>
    <row r="29423">
      <c r="A29423" s="4" t="s">
        <v>37045</v>
      </c>
      <c r="B29423" s="4" t="s">
        <v>37051</v>
      </c>
      <c r="C29423" s="5" t="str">
        <f>IFERROR(__xludf.DUMMYFUNCTION("GOOGLETRANSLATE(B29423,""en"",""it"")"),"Comincia a suonare di nuovo la sua chitarra.")</f>
        <v>Comincia a suonare di nuovo la sua chitarra.</v>
      </c>
    </row>
    <row r="29424">
      <c r="A29424" s="4" t="s">
        <v>37045</v>
      </c>
      <c r="B29424" s="4" t="s">
        <v>37052</v>
      </c>
      <c r="C29424" s="5" t="str">
        <f>IFERROR(__xludf.DUMMYFUNCTION("GOOGLETRANSLATE(B29424,""en"",""it"")"),"Si scivola il dito lungo la sua chitarra.")</f>
        <v>Si scivola il dito lungo la sua chitarra.</v>
      </c>
    </row>
    <row r="29425">
      <c r="A29425" s="4" t="s">
        <v>37053</v>
      </c>
      <c r="B29425" s="4" t="s">
        <v>37054</v>
      </c>
      <c r="C29425" s="5" t="str">
        <f>IFERROR(__xludf.DUMMYFUNCTION("GOOGLETRANSLATE(B29425,""en"",""it"")"),"Una donna è in cucina, mescolando il cibo in una pentola.")</f>
        <v>Una donna è in cucina, mescolando il cibo in una pentola.</v>
      </c>
    </row>
    <row r="29426">
      <c r="A29426" s="4" t="s">
        <v>37053</v>
      </c>
      <c r="B29426" s="4" t="s">
        <v>37055</v>
      </c>
      <c r="C29426" s="5" t="str">
        <f>IFERROR(__xludf.DUMMYFUNCTION("GOOGLETRANSLATE(B29426,""en"",""it"")"),"Aggiunge i suoi ingredienti raccolti una volta mentre parla, mostrando la pasta che sta usando.")</f>
        <v>Aggiunge i suoi ingredienti raccolti una volta mentre parla, mostrando la pasta che sta usando.</v>
      </c>
    </row>
    <row r="29427">
      <c r="A29427" s="4" t="s">
        <v>37053</v>
      </c>
      <c r="B29427" s="4" t="s">
        <v>37056</v>
      </c>
      <c r="C29427" s="5" t="str">
        <f>IFERROR(__xludf.DUMMYFUNCTION("GOOGLETRANSLATE(B29427,""en"",""it"")"),"Quindi aggiunge una ciotola di verdure che ha mescolato.")</f>
        <v>Quindi aggiunge una ciotola di verdure che ha mescolato.</v>
      </c>
    </row>
    <row r="29428">
      <c r="A29428" s="4" t="s">
        <v>37057</v>
      </c>
      <c r="B29428" s="4" t="s">
        <v>37058</v>
      </c>
      <c r="C29428" s="5" t="str">
        <f>IFERROR(__xludf.DUMMYFUNCTION("GOOGLETRANSLATE(B29428,""en"",""it"")"),"Una persona è vista seduta davanti alla fotocamera con in mano uno strumento.")</f>
        <v>Una persona è vista seduta davanti alla fotocamera con in mano uno strumento.</v>
      </c>
    </row>
    <row r="29429">
      <c r="A29429" s="4" t="s">
        <v>37057</v>
      </c>
      <c r="B29429" s="4" t="s">
        <v>37059</v>
      </c>
      <c r="C29429" s="5" t="str">
        <f>IFERROR(__xludf.DUMMYFUNCTION("GOOGLETRANSLATE(B29429,""en"",""it"")"),"L'uomo inizia quindi a suonare lo strumento mentre la fotocamera cattura è movimenti.")</f>
        <v>L'uomo inizia quindi a suonare lo strumento mentre la fotocamera cattura è movimenti.</v>
      </c>
    </row>
    <row r="29430">
      <c r="A29430" s="4" t="s">
        <v>37057</v>
      </c>
      <c r="B29430" s="6" t="s">
        <v>37060</v>
      </c>
      <c r="C29430" s="5" t="str">
        <f>IFERROR(__xludf.DUMMYFUNCTION("GOOGLETRANSLATE(B29430,""en"",""it"")"),"L'uomo continua a suonare muovendo le mani lungo lo strumento e finalmente spegnere la telecamera.")</f>
        <v>L'uomo continua a suonare muovendo le mani lungo lo strumento e finalmente spegnere la telecamera.</v>
      </c>
    </row>
    <row r="29431">
      <c r="A29431" s="4" t="s">
        <v>37061</v>
      </c>
      <c r="B29431" s="4" t="s">
        <v>37062</v>
      </c>
      <c r="C29431" s="5" t="str">
        <f>IFERROR(__xludf.DUMMYFUNCTION("GOOGLETRANSLATE(B29431,""en"",""it"")"),"Un uomo sta cercando dappertutto il suo cane.")</f>
        <v>Un uomo sta cercando dappertutto il suo cane.</v>
      </c>
    </row>
    <row r="29432">
      <c r="A29432" s="4" t="s">
        <v>37061</v>
      </c>
      <c r="B29432" s="4" t="s">
        <v>37063</v>
      </c>
      <c r="C29432" s="5" t="str">
        <f>IFERROR(__xludf.DUMMYFUNCTION("GOOGLETRANSLATE(B29432,""en"",""it"")"),"Ha detto che ha pagato il suo cane 10 dollari per tagliare l'erba e ora se ne è andato.")</f>
        <v>Ha detto che ha pagato il suo cane 10 dollari per tagliare l'erba e ora se ne è andato.</v>
      </c>
    </row>
    <row r="29433">
      <c r="A29433" s="4" t="s">
        <v>37061</v>
      </c>
      <c r="B29433" s="4" t="s">
        <v>37064</v>
      </c>
      <c r="C29433" s="5" t="str">
        <f>IFERROR(__xludf.DUMMYFUNCTION("GOOGLETRANSLATE(B29433,""en"",""it"")"),"Alla fine trova il cane che sta guidando il tosaerba.")</f>
        <v>Alla fine trova il cane che sta guidando il tosaerba.</v>
      </c>
    </row>
    <row r="29434">
      <c r="A29434" s="4" t="s">
        <v>37061</v>
      </c>
      <c r="B29434" s="4" t="s">
        <v>37065</v>
      </c>
      <c r="C29434" s="5" t="str">
        <f>IFERROR(__xludf.DUMMYFUNCTION("GOOGLETRANSLATE(B29434,""en"",""it"")"),"Secondo il proprietario, il cane chiede un aumento.")</f>
        <v>Secondo il proprietario, il cane chiede un aumento.</v>
      </c>
    </row>
    <row r="29435">
      <c r="A29435" s="4" t="s">
        <v>37061</v>
      </c>
      <c r="B29435" s="4" t="s">
        <v>37066</v>
      </c>
      <c r="C29435" s="5" t="str">
        <f>IFERROR(__xludf.DUMMYFUNCTION("GOOGLETRANSLATE(B29435,""en"",""it"")"),"Continua a falciare in linee non molto rette mentre gli altri cani guardano.")</f>
        <v>Continua a falciare in linee non molto rette mentre gli altri cani guardano.</v>
      </c>
    </row>
    <row r="29436">
      <c r="A29436" s="4" t="s">
        <v>37067</v>
      </c>
      <c r="B29436" s="4" t="s">
        <v>37068</v>
      </c>
      <c r="C29436" s="5" t="str">
        <f>IFERROR(__xludf.DUMMYFUNCTION("GOOGLETRANSLATE(B29436,""en"",""it"")"),"Due bambini sono visti tenere pali con un altro uomo e giocare una partita di shuffle board su un tappetino.")</f>
        <v>Due bambini sono visti tenere pali con un altro uomo e giocare una partita di shuffle board su un tappetino.</v>
      </c>
    </row>
    <row r="29437">
      <c r="A29437" s="4" t="s">
        <v>37067</v>
      </c>
      <c r="B29437" s="6" t="s">
        <v>37069</v>
      </c>
      <c r="C29437" s="5" t="str">
        <f>IFERROR(__xludf.DUMMYFUNCTION("GOOGLETRANSLATE(B29437,""en"",""it"")"),"I bambini spingono il disco intorno e quarto mentre si camminano l'uno intorno all'altro e finiscono con una donna che entra nella cornice e un primo piano del ragazzo.")</f>
        <v>I bambini spingono il disco intorno e quarto mentre si camminano l'uno intorno all'altro e finiscono con una donna che entra nella cornice e un primo piano del ragazzo.</v>
      </c>
    </row>
    <row r="29438">
      <c r="A29438" s="4" t="s">
        <v>37070</v>
      </c>
      <c r="B29438" s="6" t="s">
        <v>37071</v>
      </c>
      <c r="C29438" s="5" t="str">
        <f>IFERROR(__xludf.DUMMYFUNCTION("GOOGLETRANSLATE(B29438,""en"",""it"")"),"Una telecamera si panoramica attorno a un edificio e persone all'interno della posa per le foto e mettere gli attrezzi di scherma.")</f>
        <v>Una telecamera si panoramica attorno a un edificio e persone all'interno della posa per le foto e mettere gli attrezzi di scherma.</v>
      </c>
    </row>
    <row r="29439">
      <c r="A29439" s="4" t="s">
        <v>37070</v>
      </c>
      <c r="B29439" s="6" t="s">
        <v>37072</v>
      </c>
      <c r="C29439" s="5" t="str">
        <f>IFERROR(__xludf.DUMMYFUNCTION("GOOGLETRANSLATE(B29439,""en"",""it"")"),"Vengono mostrate più clip di oggetti di scherma, persone che guardano sui lati e altri si preparano a recintare.")</f>
        <v>Vengono mostrate più clip di oggetti di scherma, persone che guardano sui lati e altri si preparano a recintare.</v>
      </c>
    </row>
    <row r="29440">
      <c r="A29440" s="4" t="s">
        <v>37070</v>
      </c>
      <c r="B29440" s="6" t="s">
        <v>37073</v>
      </c>
      <c r="C29440" s="5" t="str">
        <f>IFERROR(__xludf.DUMMYFUNCTION("GOOGLETRANSLATE(B29440,""en"",""it"")"),"Vengono quindi mostrate diverse clip di due persone che si scherzano con una donna che si refmeva sui lati e le persone che guardano dai lati.")</f>
        <v>Vengono quindi mostrate diverse clip di due persone che si scherzano con una donna che si refmeva sui lati e le persone che guardano dai lati.</v>
      </c>
    </row>
    <row r="29441">
      <c r="A29441" s="4" t="s">
        <v>37074</v>
      </c>
      <c r="B29441" s="4" t="s">
        <v>37075</v>
      </c>
      <c r="C29441" s="5" t="str">
        <f>IFERROR(__xludf.DUMMYFUNCTION("GOOGLETRANSLATE(B29441,""en"",""it"")"),"Un uomo si esercita davanti a uno specchio in uno studio mentre un altro guarda.")</f>
        <v>Un uomo si esercita davanti a uno specchio in uno studio mentre un altro guarda.</v>
      </c>
    </row>
    <row r="29442">
      <c r="A29442" s="4" t="s">
        <v>37074</v>
      </c>
      <c r="B29442" s="4" t="s">
        <v>37076</v>
      </c>
      <c r="C29442" s="5" t="str">
        <f>IFERROR(__xludf.DUMMYFUNCTION("GOOGLETRANSLATE(B29442,""en"",""it"")"),"Iniziano a turno davanti allo specchio cercando di perfezionare le loro mosse.")</f>
        <v>Iniziano a turno davanti allo specchio cercando di perfezionare le loro mosse.</v>
      </c>
    </row>
    <row r="29443">
      <c r="A29443" s="4" t="s">
        <v>37074</v>
      </c>
      <c r="B29443" s="4" t="s">
        <v>37077</v>
      </c>
      <c r="C29443" s="5" t="str">
        <f>IFERROR(__xludf.DUMMYFUNCTION("GOOGLETRANSLATE(B29443,""en"",""it"")"),"Stanno facendo tutti i tipi di folli lanci acrobatici e altre mosse.")</f>
        <v>Stanno facendo tutti i tipi di folli lanci acrobatici e altre mosse.</v>
      </c>
    </row>
    <row r="29444">
      <c r="A29444" s="4" t="s">
        <v>37074</v>
      </c>
      <c r="B29444" s="6" t="s">
        <v>37078</v>
      </c>
      <c r="C29444" s="5" t="str">
        <f>IFERROR(__xludf.DUMMYFUNCTION("GOOGLETRANSLATE(B29444,""en"",""it"")"),"Ci sono circa sei o sette uomini seduti contro il muro che guarda mentre l'altro si sposta in aria.")</f>
        <v>Ci sono circa sei o sette uomini seduti contro il muro che guarda mentre l'altro si sposta in aria.</v>
      </c>
    </row>
    <row r="29445">
      <c r="A29445" s="4" t="s">
        <v>37079</v>
      </c>
      <c r="B29445" s="4" t="s">
        <v>37080</v>
      </c>
      <c r="C29445" s="5" t="str">
        <f>IFERROR(__xludf.DUMMYFUNCTION("GOOGLETRANSLATE(B29445,""en"",""it"")"),"Una persona viene vista camminare per tutta la lunghezza di una tavola da immersione mentre la fotocamera si ingrandisce.")</f>
        <v>Una persona viene vista camminare per tutta la lunghezza di una tavola da immersione mentre la fotocamera si ingrandisce.</v>
      </c>
    </row>
    <row r="29446">
      <c r="A29446" s="4" t="s">
        <v>37079</v>
      </c>
      <c r="B29446" s="4" t="s">
        <v>37081</v>
      </c>
      <c r="C29446" s="5" t="str">
        <f>IFERROR(__xludf.DUMMYFUNCTION("GOOGLETRANSLATE(B29446,""en"",""it"")"),"L'uomo si gira e esegue un capovolgimento della schiena dalla tavola in acqua.")</f>
        <v>L'uomo si gira e esegue un capovolgimento della schiena dalla tavola in acqua.</v>
      </c>
    </row>
    <row r="29447">
      <c r="A29447" s="4" t="s">
        <v>37082</v>
      </c>
      <c r="B29447" s="4" t="s">
        <v>37083</v>
      </c>
      <c r="C29447" s="5" t="str">
        <f>IFERROR(__xludf.DUMMYFUNCTION("GOOGLETRANSLATE(B29447,""en"",""it"")"),"Una signora balla su una scala aerobica in una palestra di fitness.")</f>
        <v>Una signora balla su una scala aerobica in una palestra di fitness.</v>
      </c>
    </row>
    <row r="29448">
      <c r="A29448" s="4" t="s">
        <v>37082</v>
      </c>
      <c r="B29448" s="4" t="s">
        <v>37084</v>
      </c>
      <c r="C29448" s="5" t="str">
        <f>IFERROR(__xludf.DUMMYFUNCTION("GOOGLETRANSLATE(B29448,""en"",""it"")"),"La signora gira dal gradino.")</f>
        <v>La signora gira dal gradino.</v>
      </c>
    </row>
    <row r="29449">
      <c r="A29449" s="4" t="s">
        <v>37082</v>
      </c>
      <c r="B29449" s="4" t="s">
        <v>37085</v>
      </c>
      <c r="C29449" s="5" t="str">
        <f>IFERROR(__xludf.DUMMYFUNCTION("GOOGLETRANSLATE(B29449,""en"",""it"")"),"La signora le tocca le dita dei piedi al passo.")</f>
        <v>La signora le tocca le dita dei piedi al passo.</v>
      </c>
    </row>
    <row r="29450">
      <c r="A29450" s="4" t="s">
        <v>37082</v>
      </c>
      <c r="B29450" s="4" t="s">
        <v>37086</v>
      </c>
      <c r="C29450" s="5" t="str">
        <f>IFERROR(__xludf.DUMMYFUNCTION("GOOGLETRANSLATE(B29450,""en"",""it"")"),"La signora ripete ripetutamente la routine.")</f>
        <v>La signora ripete ripetutamente la routine.</v>
      </c>
    </row>
    <row r="29451">
      <c r="A29451" s="4" t="s">
        <v>37082</v>
      </c>
      <c r="B29451" s="4" t="s">
        <v>37087</v>
      </c>
      <c r="C29451" s="5" t="str">
        <f>IFERROR(__xludf.DUMMYFUNCTION("GOOGLETRANSLATE(B29451,""en"",""it"")"),"La signora si allontana dal suo passo davanti e guarda la telecamera.")</f>
        <v>La signora si allontana dal suo passo davanti e guarda la telecamera.</v>
      </c>
    </row>
    <row r="29452">
      <c r="A29452" s="4" t="s">
        <v>37088</v>
      </c>
      <c r="B29452" s="4" t="s">
        <v>37089</v>
      </c>
      <c r="C29452" s="5" t="str">
        <f>IFERROR(__xludf.DUMMYFUNCTION("GOOGLETRANSLATE(B29452,""en"",""it"")"),"Una donna anziana lancia una palla bianca verso una tazza verde.")</f>
        <v>Una donna anziana lancia una palla bianca verso una tazza verde.</v>
      </c>
    </row>
    <row r="29453">
      <c r="A29453" s="4" t="s">
        <v>37088</v>
      </c>
      <c r="B29453" s="4" t="s">
        <v>37090</v>
      </c>
      <c r="C29453" s="5" t="str">
        <f>IFERROR(__xludf.DUMMYFUNCTION("GOOGLETRANSLATE(B29453,""en"",""it"")"),"Un ragazzo le fa la schiena.")</f>
        <v>Un ragazzo le fa la schiena.</v>
      </c>
    </row>
    <row r="29454">
      <c r="A29454" s="4" t="s">
        <v>37088</v>
      </c>
      <c r="B29454" s="4" t="s">
        <v>37091</v>
      </c>
      <c r="C29454" s="5" t="str">
        <f>IFERROR(__xludf.DUMMYFUNCTION("GOOGLETRANSLATE(B29454,""en"",""it"")"),"La donna lancia di nuovo la palla.")</f>
        <v>La donna lancia di nuovo la palla.</v>
      </c>
    </row>
    <row r="29455">
      <c r="A29455" s="4" t="s">
        <v>37088</v>
      </c>
      <c r="B29455" s="4" t="s">
        <v>37092</v>
      </c>
      <c r="C29455" s="5" t="str">
        <f>IFERROR(__xludf.DUMMYFUNCTION("GOOGLETRANSLATE(B29455,""en"",""it"")"),"Fa una danza e lo lancia di nuovo.")</f>
        <v>Fa una danza e lo lancia di nuovo.</v>
      </c>
    </row>
    <row r="29456">
      <c r="A29456" s="4" t="s">
        <v>37088</v>
      </c>
      <c r="B29456" s="4" t="s">
        <v>37093</v>
      </c>
      <c r="C29456" s="5" t="str">
        <f>IFERROR(__xludf.DUMMYFUNCTION("GOOGLETRANSLATE(B29456,""en"",""it"")"),"Lancia di nuovo la palla bianca.")</f>
        <v>Lancia di nuovo la palla bianca.</v>
      </c>
    </row>
    <row r="29457">
      <c r="A29457" s="4" t="s">
        <v>37088</v>
      </c>
      <c r="B29457" s="4" t="s">
        <v>37094</v>
      </c>
      <c r="C29457" s="5" t="str">
        <f>IFERROR(__xludf.DUMMYFUNCTION("GOOGLETRANSLATE(B29457,""en"",""it"")"),"Il ragazzo consegna alla donna la palla e lei la lancia di nuovo.")</f>
        <v>Il ragazzo consegna alla donna la palla e lei la lancia di nuovo.</v>
      </c>
    </row>
    <row r="29458">
      <c r="A29458" s="4" t="s">
        <v>37088</v>
      </c>
      <c r="B29458" s="4" t="s">
        <v>37095</v>
      </c>
      <c r="C29458" s="5" t="str">
        <f>IFERROR(__xludf.DUMMYFUNCTION("GOOGLETRANSLATE(B29458,""en"",""it"")"),"La donna anziana inizia a ridere.")</f>
        <v>La donna anziana inizia a ridere.</v>
      </c>
    </row>
    <row r="29459">
      <c r="A29459" s="4" t="s">
        <v>37096</v>
      </c>
      <c r="B29459" s="4" t="s">
        <v>37097</v>
      </c>
      <c r="C29459" s="5" t="str">
        <f>IFERROR(__xludf.DUMMYFUNCTION("GOOGLETRANSLATE(B29459,""en"",""it"")"),"Un gruppo di travi pagaia lì una zattera lungo un fiume con rapide e ostacoli.")</f>
        <v>Un gruppo di travi pagaia lì una zattera lungo un fiume con rapide e ostacoli.</v>
      </c>
    </row>
    <row r="29460">
      <c r="A29460" s="4" t="s">
        <v>37096</v>
      </c>
      <c r="B29460" s="4" t="s">
        <v>37098</v>
      </c>
      <c r="C29460" s="5" t="str">
        <f>IFERROR(__xludf.DUMMYFUNCTION("GOOGLETRANSLATE(B29460,""en"",""it"")"),"Un gruppo di trave si spense da una roccia e gira lì la barca per affrontare la corrente.")</f>
        <v>Un gruppo di trave si spense da una roccia e gira lì la barca per affrontare la corrente.</v>
      </c>
    </row>
    <row r="29461">
      <c r="A29461" s="4" t="s">
        <v>37096</v>
      </c>
      <c r="B29461" s="4" t="s">
        <v>37099</v>
      </c>
      <c r="C29461" s="5" t="str">
        <f>IFERROR(__xludf.DUMMYFUNCTION("GOOGLETRANSLATE(B29461,""en"",""it"")"),"Le travi si muovono attraverso una struttura in cemento.")</f>
        <v>Le travi si muovono attraverso una struttura in cemento.</v>
      </c>
    </row>
    <row r="29462">
      <c r="A29462" s="4" t="s">
        <v>37096</v>
      </c>
      <c r="B29462" s="4" t="s">
        <v>37100</v>
      </c>
      <c r="C29462" s="5" t="str">
        <f>IFERROR(__xludf.DUMMYFUNCTION("GOOGLETRANSLATE(B29462,""en"",""it"")"),"Il gruppo pagaia attorno a un grande masso che si attacca in alto nel mezzo del fiume.")</f>
        <v>Il gruppo pagaia attorno a un grande masso che si attacca in alto nel mezzo del fiume.</v>
      </c>
    </row>
    <row r="29463">
      <c r="A29463" s="4" t="s">
        <v>37096</v>
      </c>
      <c r="B29463" s="4" t="s">
        <v>37101</v>
      </c>
      <c r="C29463" s="5" t="str">
        <f>IFERROR(__xludf.DUMMYFUNCTION("GOOGLETRANSLATE(B29463,""en"",""it"")"),"Il gruppo salta da una roccia nel fiume.")</f>
        <v>Il gruppo salta da una roccia nel fiume.</v>
      </c>
    </row>
    <row r="29464">
      <c r="A29464" s="4" t="s">
        <v>37102</v>
      </c>
      <c r="B29464" s="6" t="s">
        <v>37103</v>
      </c>
      <c r="C29464" s="5" t="str">
        <f>IFERROR(__xludf.DUMMYFUNCTION("GOOGLETRANSLATE(B29464,""en"",""it"")"),"Viene visualizzato uno schermo azzurro e ha più parole blu che non sono in inglese e stanno scorrendo dal basso verso l'alto.")</f>
        <v>Viene visualizzato uno schermo azzurro e ha più parole blu che non sono in inglese e stanno scorrendo dal basso verso l'alto.</v>
      </c>
    </row>
    <row r="29465">
      <c r="A29465" s="4" t="s">
        <v>37102</v>
      </c>
      <c r="B29465" s="4" t="s">
        <v>37104</v>
      </c>
      <c r="C29465" s="5" t="str">
        <f>IFERROR(__xludf.DUMMYFUNCTION("GOOGLETRANSLATE(B29465,""en"",""it"")"),"La direzione delle lettere a scorrimento cambia dal basso verso l'alto e ora sono nel mezzo.")</f>
        <v>La direzione delle lettere a scorrimento cambia dal basso verso l'alto e ora sono nel mezzo.</v>
      </c>
    </row>
    <row r="29466">
      <c r="A29466" s="4" t="s">
        <v>37102</v>
      </c>
      <c r="B29466" s="6" t="s">
        <v>37105</v>
      </c>
      <c r="C29466" s="5" t="str">
        <f>IFERROR(__xludf.DUMMYFUNCTION("GOOGLETRANSLATE(B29466,""en"",""it"")"),"Un uomo che indossa una camicia a maniche corte bianca e pantaloni lunghi neri è in piedi su erba verde che si trova vicino all'acqua, con un grande cespuglio dietro di lui e sta facendo movimenti coordinati molto lenti.")</f>
        <v>Un uomo che indossa una camicia a maniche corte bianca e pantaloni lunghi neri è in piedi su erba verde che si trova vicino all'acqua, con un grande cespuglio dietro di lui e sta facendo movimenti coordinati molto lenti.</v>
      </c>
    </row>
    <row r="29467">
      <c r="A29467" s="4" t="s">
        <v>37106</v>
      </c>
      <c r="B29467" s="4" t="s">
        <v>37107</v>
      </c>
      <c r="C29467" s="5" t="str">
        <f>IFERROR(__xludf.DUMMYFUNCTION("GOOGLETRANSLATE(B29467,""en"",""it"")"),"Un allenatore sta allenando un ragazzo e una ragazza a fare kickboxing.")</f>
        <v>Un allenatore sta allenando un ragazzo e una ragazza a fare kickboxing.</v>
      </c>
    </row>
    <row r="29468">
      <c r="A29468" s="4" t="s">
        <v>37106</v>
      </c>
      <c r="B29468" s="4" t="s">
        <v>37108</v>
      </c>
      <c r="C29468" s="5" t="str">
        <f>IFERROR(__xludf.DUMMYFUNCTION("GOOGLETRANSLATE(B29468,""en"",""it"")"),"C'è una donna in piedi in una camicia viola, che gira l'allenatore insegna ai bambini.")</f>
        <v>C'è una donna in piedi in una camicia viola, che gira l'allenatore insegna ai bambini.</v>
      </c>
    </row>
    <row r="29469">
      <c r="A29469" s="4" t="s">
        <v>37106</v>
      </c>
      <c r="B29469" s="4" t="s">
        <v>37109</v>
      </c>
      <c r="C29469" s="5" t="str">
        <f>IFERROR(__xludf.DUMMYFUNCTION("GOOGLETRANSLATE(B29469,""en"",""it"")"),"Sia la ragazza che il ragazzo stanno aternando i pugni e i calci all'allenatore.")</f>
        <v>Sia la ragazza che il ragazzo stanno aternando i pugni e i calci all'allenatore.</v>
      </c>
    </row>
    <row r="29470">
      <c r="A29470" s="4" t="s">
        <v>37106</v>
      </c>
      <c r="B29470" s="4" t="s">
        <v>37110</v>
      </c>
      <c r="C29470" s="5" t="str">
        <f>IFERROR(__xludf.DUMMYFUNCTION("GOOGLETRANSLATE(B29470,""en"",""it"")"),"L'allenatore sta incoraggiando gli studenti a colpire costantemente e restituire i calci.")</f>
        <v>L'allenatore sta incoraggiando gli studenti a colpire costantemente e restituire i calci.</v>
      </c>
    </row>
    <row r="29471">
      <c r="A29471" s="4" t="s">
        <v>37111</v>
      </c>
      <c r="B29471" s="4" t="s">
        <v>37112</v>
      </c>
      <c r="C29471" s="5" t="str">
        <f>IFERROR(__xludf.DUMMYFUNCTION("GOOGLETRANSLATE(B29471,""en"",""it"")"),"Un piccolo gruppo di bambini è visto seduto in una piscina mentre la telecamera si muove intorno alla piscina.")</f>
        <v>Un piccolo gruppo di bambini è visto seduto in una piscina mentre la telecamera si muove intorno alla piscina.</v>
      </c>
    </row>
    <row r="29472">
      <c r="A29472" s="4" t="s">
        <v>37111</v>
      </c>
      <c r="B29472" s="4" t="s">
        <v>37113</v>
      </c>
      <c r="C29472" s="5" t="str">
        <f>IFERROR(__xludf.DUMMYFUNCTION("GOOGLETRANSLATE(B29472,""en"",""it"")"),"I bambini calciano i piedi e mostrano un istruttore che aiuta un bambino.")</f>
        <v>I bambini calciano i piedi e mostrano un istruttore che aiuta un bambino.</v>
      </c>
    </row>
    <row r="29473">
      <c r="A29473" s="4" t="s">
        <v>37111</v>
      </c>
      <c r="B29473" s="4" t="s">
        <v>37114</v>
      </c>
      <c r="C29473" s="5" t="str">
        <f>IFERROR(__xludf.DUMMYFUNCTION("GOOGLETRANSLATE(B29473,""en"",""it"")"),"L'uomo continua a nuotare in piscina con bambini e primi piani di bambini.")</f>
        <v>L'uomo continua a nuotare in piscina con bambini e primi piani di bambini.</v>
      </c>
    </row>
    <row r="29474">
      <c r="A29474" s="4" t="s">
        <v>37115</v>
      </c>
      <c r="B29474" s="4" t="s">
        <v>37116</v>
      </c>
      <c r="C29474" s="5" t="str">
        <f>IFERROR(__xludf.DUMMYFUNCTION("GOOGLETRANSLATE(B29474,""en"",""it"")"),"Un ragazzino sta spingendo una scopa.")</f>
        <v>Un ragazzino sta spingendo una scopa.</v>
      </c>
    </row>
    <row r="29475">
      <c r="A29475" s="4" t="s">
        <v>37115</v>
      </c>
      <c r="B29475" s="4" t="s">
        <v>37117</v>
      </c>
      <c r="C29475" s="5" t="str">
        <f>IFERROR(__xludf.DUMMYFUNCTION("GOOGLETRANSLATE(B29475,""en"",""it"")"),"Chiude una porta del forno aperta.")</f>
        <v>Chiude una porta del forno aperta.</v>
      </c>
    </row>
    <row r="29476">
      <c r="A29476" s="4" t="s">
        <v>37115</v>
      </c>
      <c r="B29476" s="4" t="s">
        <v>37118</v>
      </c>
      <c r="C29476" s="5" t="str">
        <f>IFERROR(__xludf.DUMMYFUNCTION("GOOGLETRANSLATE(B29476,""en"",""it"")"),"Continua a pulire il pavimento.")</f>
        <v>Continua a pulire il pavimento.</v>
      </c>
    </row>
    <row r="29477">
      <c r="A29477" s="4" t="s">
        <v>37115</v>
      </c>
      <c r="B29477" s="4" t="s">
        <v>37119</v>
      </c>
      <c r="C29477" s="5" t="str">
        <f>IFERROR(__xludf.DUMMYFUNCTION("GOOGLETRANSLATE(B29477,""en"",""it"")"),"Prende il MOP e lo mette in aria.")</f>
        <v>Prende il MOP e lo mette in aria.</v>
      </c>
    </row>
    <row r="29478">
      <c r="A29478" s="4" t="s">
        <v>37115</v>
      </c>
      <c r="B29478" s="4" t="s">
        <v>37120</v>
      </c>
      <c r="C29478" s="5" t="str">
        <f>IFERROR(__xludf.DUMMYFUNCTION("GOOGLETRANSLATE(B29478,""en"",""it"")"),"Lo mette giù e continua a pulire.")</f>
        <v>Lo mette giù e continua a pulire.</v>
      </c>
    </row>
    <row r="29479">
      <c r="A29479" s="4" t="s">
        <v>37121</v>
      </c>
      <c r="B29479" s="4" t="s">
        <v>37122</v>
      </c>
      <c r="C29479" s="5" t="str">
        <f>IFERROR(__xludf.DUMMYFUNCTION("GOOGLETRANSLATE(B29479,""en"",""it"")"),"Qualcuno viene mostrato guidare lungo una strada innevata in Ucraina.")</f>
        <v>Qualcuno viene mostrato guidare lungo una strada innevata in Ucraina.</v>
      </c>
    </row>
    <row r="29480">
      <c r="A29480" s="4" t="s">
        <v>37121</v>
      </c>
      <c r="B29480" s="4" t="s">
        <v>37123</v>
      </c>
      <c r="C29480" s="5" t="str">
        <f>IFERROR(__xludf.DUMMYFUNCTION("GOOGLETRANSLATE(B29480,""en"",""it"")"),"Diversi sciatori stanno sciare lungo le piste sul lato di una montagna.")</f>
        <v>Diversi sciatori stanno sciare lungo le piste sul lato di una montagna.</v>
      </c>
    </row>
    <row r="29481">
      <c r="A29481" s="4" t="s">
        <v>37121</v>
      </c>
      <c r="B29481" s="4" t="s">
        <v>37124</v>
      </c>
      <c r="C29481" s="5" t="str">
        <f>IFERROR(__xludf.DUMMYFUNCTION("GOOGLETRANSLATE(B29481,""en"",""it"")"),"Un primo piano è visto di alcuni sciatori mentre vanno.")</f>
        <v>Un primo piano è visto di alcuni sciatori mentre vanno.</v>
      </c>
    </row>
    <row r="29482">
      <c r="A29482" s="4" t="s">
        <v>37125</v>
      </c>
      <c r="B29482" s="4" t="s">
        <v>37126</v>
      </c>
      <c r="C29482" s="5" t="str">
        <f>IFERROR(__xludf.DUMMYFUNCTION("GOOGLETRANSLATE(B29482,""en"",""it"")"),"Una persona viene vista andare in giro su una bici da terra che porta a lui parlando alla telecamera.")</f>
        <v>Una persona viene vista andare in giro su una bici da terra che porta a lui parlando alla telecamera.</v>
      </c>
    </row>
    <row r="29483">
      <c r="A29483" s="4" t="s">
        <v>37125</v>
      </c>
      <c r="B29483" s="4" t="s">
        <v>37127</v>
      </c>
      <c r="C29483" s="5" t="str">
        <f>IFERROR(__xludf.DUMMYFUNCTION("GOOGLETRANSLATE(B29483,""en"",""it"")"),"Mostra la sua bici e la macchina fotografica e conduce in diverse clip di lui in giro.")</f>
        <v>Mostra la sua bici e la macchina fotografica e conduce in diverse clip di lui in giro.</v>
      </c>
    </row>
    <row r="29484">
      <c r="A29484" s="4" t="s">
        <v>37125</v>
      </c>
      <c r="B29484" s="6" t="s">
        <v>37128</v>
      </c>
      <c r="C29484" s="5" t="str">
        <f>IFERROR(__xludf.DUMMYFUNCTION("GOOGLETRANSLATE(B29484,""en"",""it"")"),"Continua a cavalcare in pista mentre mostra anche chiusure di se stesso e la telecamera.")</f>
        <v>Continua a cavalcare in pista mentre mostra anche chiusure di se stesso e la telecamera.</v>
      </c>
    </row>
    <row r="29485">
      <c r="A29485" s="4" t="s">
        <v>37129</v>
      </c>
      <c r="B29485" s="4" t="s">
        <v>37130</v>
      </c>
      <c r="C29485" s="5" t="str">
        <f>IFERROR(__xludf.DUMMYFUNCTION("GOOGLETRANSLATE(B29485,""en"",""it"")"),"Viene visto un giovane suonare un singolo tamburo in piedi accanto a un gruppo di persone che battevano.")</f>
        <v>Viene visto un giovane suonare un singolo tamburo in piedi accanto a un gruppo di persone che battevano.</v>
      </c>
    </row>
    <row r="29486">
      <c r="A29486" s="4" t="s">
        <v>37129</v>
      </c>
      <c r="B29486" s="6" t="s">
        <v>37131</v>
      </c>
      <c r="C29486" s="5" t="str">
        <f>IFERROR(__xludf.DUMMYFUNCTION("GOOGLETRANSLATE(B29486,""en"",""it"")"),"Il ragazzo continua a fare la batteria con il gruppo e la telecamera si muove intorno alle persone che guardano sui lati.")</f>
        <v>Il ragazzo continua a fare la batteria con il gruppo e la telecamera si muove intorno alle persone che guardano sui lati.</v>
      </c>
    </row>
    <row r="29487">
      <c r="A29487" s="4" t="s">
        <v>37132</v>
      </c>
      <c r="B29487" s="4" t="s">
        <v>37133</v>
      </c>
      <c r="C29487" s="5" t="str">
        <f>IFERROR(__xludf.DUMMYFUNCTION("GOOGLETRANSLATE(B29487,""en"",""it"")"),"Un uomo viene mostrato in diversi colpi in giro su uno skateboard.")</f>
        <v>Un uomo viene mostrato in diversi colpi in giro su uno skateboard.</v>
      </c>
    </row>
    <row r="29488">
      <c r="A29488" s="4" t="s">
        <v>37132</v>
      </c>
      <c r="B29488" s="4" t="s">
        <v>37134</v>
      </c>
      <c r="C29488" s="5" t="str">
        <f>IFERROR(__xludf.DUMMYFUNCTION("GOOGLETRANSLATE(B29488,""en"",""it"")"),"I primi piani sono mostrati su oggetti, nonché skateboard e luoghi in cui puoi acquistarli.")</f>
        <v>I primi piani sono mostrati su oggetti, nonché skateboard e luoghi in cui puoi acquistarli.</v>
      </c>
    </row>
    <row r="29489">
      <c r="A29489" s="4" t="s">
        <v>37132</v>
      </c>
      <c r="B29489" s="4" t="s">
        <v>37135</v>
      </c>
      <c r="C29489" s="5" t="str">
        <f>IFERROR(__xludf.DUMMYFUNCTION("GOOGLETRANSLATE(B29489,""en"",""it"")"),"Sono mostrati altri primi piani.")</f>
        <v>Sono mostrati altri primi piani.</v>
      </c>
    </row>
    <row r="29490">
      <c r="A29490" s="4" t="s">
        <v>37136</v>
      </c>
      <c r="B29490" s="4" t="s">
        <v>37137</v>
      </c>
      <c r="C29490" s="5" t="str">
        <f>IFERROR(__xludf.DUMMYFUNCTION("GOOGLETRANSLATE(B29490,""en"",""it"")"),"Vediamo un jet ski.")</f>
        <v>Vediamo un jet ski.</v>
      </c>
    </row>
    <row r="29491">
      <c r="A29491" s="4" t="s">
        <v>37136</v>
      </c>
      <c r="B29491" s="4" t="s">
        <v>37138</v>
      </c>
      <c r="C29491" s="5" t="str">
        <f>IFERROR(__xludf.DUMMYFUNCTION("GOOGLETRANSLATE(B29491,""en"",""it"")"),"Vediamo una vela rossa e nera su una tavola da surf.")</f>
        <v>Vediamo una vela rossa e nera su una tavola da surf.</v>
      </c>
    </row>
    <row r="29492">
      <c r="A29492" s="4" t="s">
        <v>37136</v>
      </c>
      <c r="B29492" s="4" t="s">
        <v>37139</v>
      </c>
      <c r="C29492" s="5" t="str">
        <f>IFERROR(__xludf.DUMMYFUNCTION("GOOGLETRANSLATE(B29492,""en"",""it"")"),"Vediamo quindi una vela gialla e blu.")</f>
        <v>Vediamo quindi una vela gialla e blu.</v>
      </c>
    </row>
    <row r="29493">
      <c r="A29493" s="4" t="s">
        <v>37136</v>
      </c>
      <c r="B29493" s="4" t="s">
        <v>37140</v>
      </c>
      <c r="C29493" s="5" t="str">
        <f>IFERROR(__xludf.DUMMYFUNCTION("GOOGLETRANSLATE(B29493,""en"",""it"")"),"Uno giallo passa uno nero e continua, poi quello giallo si gira.")</f>
        <v>Uno giallo passa uno nero e continua, poi quello giallo si gira.</v>
      </c>
    </row>
    <row r="29494">
      <c r="A29494" s="4" t="s">
        <v>37136</v>
      </c>
      <c r="B29494" s="4" t="s">
        <v>37141</v>
      </c>
      <c r="C29494" s="5" t="str">
        <f>IFERROR(__xludf.DUMMYFUNCTION("GOOGLETRANSLATE(B29494,""en"",""it"")"),"Uno verde giallastro appare sullo schermo.")</f>
        <v>Uno verde giallastro appare sullo schermo.</v>
      </c>
    </row>
    <row r="29495">
      <c r="A29495" s="4" t="s">
        <v>37136</v>
      </c>
      <c r="B29495" s="4" t="s">
        <v>37142</v>
      </c>
      <c r="C29495" s="5" t="str">
        <f>IFERROR(__xludf.DUMMYFUNCTION("GOOGLETRANSLATE(B29495,""en"",""it"")"),"Tre passano uno rosso e blu che va in direzioni opposte.")</f>
        <v>Tre passano uno rosso e blu che va in direzioni opposte.</v>
      </c>
    </row>
    <row r="29496">
      <c r="A29496" s="4" t="s">
        <v>37136</v>
      </c>
      <c r="B29496" s="4" t="s">
        <v>37143</v>
      </c>
      <c r="C29496" s="5" t="str">
        <f>IFERROR(__xludf.DUMMYFUNCTION("GOOGLETRANSLATE(B29496,""en"",""it"")"),"Il pilota di quello rosso e blu cade dalla sua tavola.")</f>
        <v>Il pilota di quello rosso e blu cade dalla sua tavola.</v>
      </c>
    </row>
    <row r="29497">
      <c r="A29497" s="4" t="s">
        <v>37144</v>
      </c>
      <c r="B29497" s="4" t="s">
        <v>37145</v>
      </c>
      <c r="C29497" s="5" t="str">
        <f>IFERROR(__xludf.DUMMYFUNCTION("GOOGLETRANSLATE(B29497,""en"",""it"")"),"Un uomo è in piedi su un allenamento ellittico.")</f>
        <v>Un uomo è in piedi su un allenamento ellittico.</v>
      </c>
    </row>
    <row r="29498">
      <c r="A29498" s="4" t="s">
        <v>37144</v>
      </c>
      <c r="B29498" s="4" t="s">
        <v>37146</v>
      </c>
      <c r="C29498" s="5" t="str">
        <f>IFERROR(__xludf.DUMMYFUNCTION("GOOGLETRANSLATE(B29498,""en"",""it"")"),"Muove le braccia avanti e indietro.")</f>
        <v>Muove le braccia avanti e indietro.</v>
      </c>
    </row>
    <row r="29499">
      <c r="A29499" s="4" t="s">
        <v>37144</v>
      </c>
      <c r="B29499" s="4" t="s">
        <v>37147</v>
      </c>
      <c r="C29499" s="5" t="str">
        <f>IFERROR(__xludf.DUMMYFUNCTION("GOOGLETRANSLATE(B29499,""en"",""it"")"),"C'è un lago dietro di lui.")</f>
        <v>C'è un lago dietro di lui.</v>
      </c>
    </row>
    <row r="29500">
      <c r="A29500" s="4" t="s">
        <v>37148</v>
      </c>
      <c r="B29500" s="6" t="s">
        <v>37149</v>
      </c>
      <c r="C29500" s="5" t="str">
        <f>IFERROR(__xludf.DUMMYFUNCTION("GOOGLETRANSLATE(B29500,""en"",""it"")"),"Tre bambini sono visti distinguersi davanti a una casa quando si gioca a Scotch Hop con una persona che arriva in un telaio.")</f>
        <v>Tre bambini sono visti distinguersi davanti a una casa quando si gioca a Scotch Hop con una persona che arriva in un telaio.</v>
      </c>
    </row>
    <row r="29501">
      <c r="A29501" s="4" t="s">
        <v>37148</v>
      </c>
      <c r="B29501" s="6" t="s">
        <v>37150</v>
      </c>
      <c r="C29501" s="5" t="str">
        <f>IFERROR(__xludf.DUMMYFUNCTION("GOOGLETRANSLATE(B29501,""en"",""it"")"),"La telecamera segue la stessa ragazza saltando lungo un lungo percorso e continua a tornare a dove ha iniziato.")</f>
        <v>La telecamera segue la stessa ragazza saltando lungo un lungo percorso e continua a tornare a dove ha iniziato.</v>
      </c>
    </row>
    <row r="29502">
      <c r="A29502" s="4" t="s">
        <v>37151</v>
      </c>
      <c r="B29502" s="4" t="s">
        <v>37152</v>
      </c>
      <c r="C29502" s="5" t="str">
        <f>IFERROR(__xludf.DUMMYFUNCTION("GOOGLETRANSLATE(B29502,""en"",""it"")"),"Un giovane è seduto nella sua stanza.")</f>
        <v>Un giovane è seduto nella sua stanza.</v>
      </c>
    </row>
    <row r="29503">
      <c r="A29503" s="4" t="s">
        <v>37151</v>
      </c>
      <c r="B29503" s="4" t="s">
        <v>37153</v>
      </c>
      <c r="C29503" s="5" t="str">
        <f>IFERROR(__xludf.DUMMYFUNCTION("GOOGLETRANSLATE(B29503,""en"",""it"")"),"Il giovane iniziò a suonare la sua chitarra.")</f>
        <v>Il giovane iniziò a suonare la sua chitarra.</v>
      </c>
    </row>
    <row r="29504">
      <c r="A29504" s="4" t="s">
        <v>37151</v>
      </c>
      <c r="B29504" s="4" t="s">
        <v>37154</v>
      </c>
      <c r="C29504" s="5" t="str">
        <f>IFERROR(__xludf.DUMMYFUNCTION("GOOGLETRANSLATE(B29504,""en"",""it"")"),"Il giovane muove le dita mentre preme i fili sulla chitarra.")</f>
        <v>Il giovane muove le dita mentre preme i fili sulla chitarra.</v>
      </c>
    </row>
    <row r="29505">
      <c r="A29505" s="4" t="s">
        <v>37155</v>
      </c>
      <c r="B29505" s="6" t="s">
        <v>37156</v>
      </c>
      <c r="C29505" s="5" t="str">
        <f>IFERROR(__xludf.DUMMYFUNCTION("GOOGLETRANSLATE(B29505,""en"",""it"")"),"Un uomo bendato è in piedi fuori con veicoli parcheggiati dietro di lui e sta suonando un piccolo set di bongos e un ampio set di bongos proprio accanto ad esso.")</f>
        <v>Un uomo bendato è in piedi fuori con veicoli parcheggiati dietro di lui e sta suonando un piccolo set di bongos e un ampio set di bongos proprio accanto ad esso.</v>
      </c>
    </row>
    <row r="29506">
      <c r="A29506" s="4" t="s">
        <v>37155</v>
      </c>
      <c r="B29506" s="6" t="s">
        <v>37157</v>
      </c>
      <c r="C29506" s="5" t="str">
        <f>IFERROR(__xludf.DUMMYFUNCTION("GOOGLETRANSLATE(B29506,""en"",""it"")"),"L'uomo colpisce rapidamente solo i piccoli bong e poi si sposta sui grandi bong che vanno dalla sua destra alla sua sinistra.")</f>
        <v>L'uomo colpisce rapidamente solo i piccoli bong e poi si sposta sui grandi bong che vanno dalla sua destra alla sua sinistra.</v>
      </c>
    </row>
    <row r="29507">
      <c r="A29507" s="4" t="s">
        <v>37155</v>
      </c>
      <c r="B29507" s="6" t="s">
        <v>37158</v>
      </c>
      <c r="C29507" s="5" t="str">
        <f>IFERROR(__xludf.DUMMYFUNCTION("GOOGLETRANSLATE(B29507,""en"",""it"")"),"Al ritorno tornando dalla sua sinistra alla sua destra, colpisce prima solo i grandi bongos, quindi colpisce i bongos più piccoli.")</f>
        <v>Al ritorno tornando dalla sua sinistra alla sua destra, colpisce prima solo i grandi bongos, quindi colpisce i bongos più piccoli.</v>
      </c>
    </row>
    <row r="29508">
      <c r="A29508" s="4" t="s">
        <v>37159</v>
      </c>
      <c r="B29508" s="4" t="s">
        <v>37160</v>
      </c>
      <c r="C29508" s="5" t="str">
        <f>IFERROR(__xludf.DUMMYFUNCTION("GOOGLETRANSLATE(B29508,""en"",""it"")"),"Viene mostrato un primo piano da una donna che indossa occhiali.")</f>
        <v>Viene mostrato un primo piano da una donna che indossa occhiali.</v>
      </c>
    </row>
    <row r="29509">
      <c r="A29509" s="4" t="s">
        <v>37159</v>
      </c>
      <c r="B29509" s="4" t="s">
        <v>37161</v>
      </c>
      <c r="C29509" s="5" t="str">
        <f>IFERROR(__xludf.DUMMYFUNCTION("GOOGLETRANSLATE(B29509,""en"",""it"")"),"Comincia a fumare una sigaretta, poi si sporge.")</f>
        <v>Comincia a fumare una sigaretta, poi si sporge.</v>
      </c>
    </row>
    <row r="29510">
      <c r="A29510" s="4" t="s">
        <v>37159</v>
      </c>
      <c r="B29510" s="4" t="s">
        <v>37162</v>
      </c>
      <c r="C29510" s="5" t="str">
        <f>IFERROR(__xludf.DUMMYFUNCTION("GOOGLETRANSLATE(B29510,""en"",""it"")"),"Una donna a letto sta ridendo mentre cade sul suo letto, ancora fumando.")</f>
        <v>Una donna a letto sta ridendo mentre cade sul suo letto, ancora fumando.</v>
      </c>
    </row>
    <row r="29511">
      <c r="A29511" s="4" t="s">
        <v>37163</v>
      </c>
      <c r="B29511" s="6" t="s">
        <v>37164</v>
      </c>
      <c r="C29511" s="5" t="str">
        <f>IFERROR(__xludf.DUMMYFUNCTION("GOOGLETRANSLATE(B29511,""en"",""it"")"),"L'uomo è in piedi davanti a un tavolo che taglia le verdure e prepara un sandwich, ha messo un formaggio di burro di pane, avoado e prosciutto e un sandwich arrotolato.")</f>
        <v>L'uomo è in piedi davanti a un tavolo che taglia le verdure e prepara un sandwich, ha messo un formaggio di burro di pane, avoado e prosciutto e un sandwich arrotolato.</v>
      </c>
    </row>
    <row r="29512">
      <c r="A29512" s="4" t="s">
        <v>37163</v>
      </c>
      <c r="B29512" s="6" t="s">
        <v>37165</v>
      </c>
      <c r="C29512" s="5" t="str">
        <f>IFERROR(__xludf.DUMMYFUNCTION("GOOGLETRANSLATE(B29512,""en"",""it"")"),"L'uomo parla della telecamera e diffondere il burro a fette di pane con un coltello mette al formaggio cheddar, prosciutto e ketchup e tagliato a quattro fette e li serve in un piatto.")</f>
        <v>L'uomo parla della telecamera e diffondere il burro a fette di pane con un coltello mette al formaggio cheddar, prosciutto e ketchup e tagliato a quattro fette e li serve in un piatto.</v>
      </c>
    </row>
    <row r="29513">
      <c r="A29513" s="4" t="s">
        <v>37166</v>
      </c>
      <c r="B29513" s="4" t="s">
        <v>37167</v>
      </c>
      <c r="C29513" s="5" t="str">
        <f>IFERROR(__xludf.DUMMYFUNCTION("GOOGLETRANSLATE(B29513,""en"",""it"")"),"Un uomo in un cappotto blu sta parlando fuori da una roccia.")</f>
        <v>Un uomo in un cappotto blu sta parlando fuori da una roccia.</v>
      </c>
    </row>
    <row r="29514">
      <c r="A29514" s="4" t="s">
        <v>37166</v>
      </c>
      <c r="B29514" s="4" t="s">
        <v>37168</v>
      </c>
      <c r="C29514" s="5" t="str">
        <f>IFERROR(__xludf.DUMMYFUNCTION("GOOGLETRANSLATE(B29514,""en"",""it"")"),"Indossa un'imbracatura da arrampicata su roccia.")</f>
        <v>Indossa un'imbracatura da arrampicata su roccia.</v>
      </c>
    </row>
    <row r="29515">
      <c r="A29515" s="4" t="s">
        <v>37166</v>
      </c>
      <c r="B29515" s="4" t="s">
        <v>37169</v>
      </c>
      <c r="C29515" s="5" t="str">
        <f>IFERROR(__xludf.DUMMYFUNCTION("GOOGLETRANSLATE(B29515,""en"",""it"")"),"Comincia a salire sulla roccia.")</f>
        <v>Comincia a salire sulla roccia.</v>
      </c>
    </row>
    <row r="29516">
      <c r="A29516" s="4" t="s">
        <v>37166</v>
      </c>
      <c r="B29516" s="4" t="s">
        <v>37170</v>
      </c>
      <c r="C29516" s="5" t="str">
        <f>IFERROR(__xludf.DUMMYFUNCTION("GOOGLETRANSLATE(B29516,""en"",""it"")"),"Ha una corda intorno al collo con diversi strumenti di arrampicata su roccia.")</f>
        <v>Ha una corda intorno al collo con diversi strumenti di arrampicata su roccia.</v>
      </c>
    </row>
    <row r="29517">
      <c r="A29517" s="4" t="s">
        <v>37166</v>
      </c>
      <c r="B29517" s="4" t="s">
        <v>37171</v>
      </c>
      <c r="C29517" s="5" t="str">
        <f>IFERROR(__xludf.DUMMYFUNCTION("GOOGLETRANSLATE(B29517,""en"",""it"")"),"Dà un'altra persona un alto cinque.")</f>
        <v>Dà un'altra persona un alto cinque.</v>
      </c>
    </row>
    <row r="29518">
      <c r="A29518" s="4" t="s">
        <v>37172</v>
      </c>
      <c r="B29518" s="4" t="s">
        <v>37173</v>
      </c>
      <c r="C29518" s="5" t="str">
        <f>IFERROR(__xludf.DUMMYFUNCTION("GOOGLETRANSLATE(B29518,""en"",""it"")"),"Due persone sono viste cavalcare una collina con una su sci e l'altra su una slitta.")</f>
        <v>Due persone sono viste cavalcare una collina con una su sci e l'altra su una slitta.</v>
      </c>
    </row>
    <row r="29519">
      <c r="A29519" s="4" t="s">
        <v>37172</v>
      </c>
      <c r="B29519" s="6" t="s">
        <v>37174</v>
      </c>
      <c r="C29519" s="5" t="str">
        <f>IFERROR(__xludf.DUMMYFUNCTION("GOOGLETRANSLATE(B29519,""en"",""it"")"),"La persona quindi fa un salto e si schianta contro un banco di neve, mostrando di nuovo lo stesso tiro al rallentatore.")</f>
        <v>La persona quindi fa un salto e si schianta contro un banco di neve, mostrando di nuovo lo stesso tiro al rallentatore.</v>
      </c>
    </row>
    <row r="29520">
      <c r="A29520" s="4" t="s">
        <v>37175</v>
      </c>
      <c r="B29520" s="6" t="s">
        <v>37176</v>
      </c>
      <c r="C29520" s="5" t="str">
        <f>IFERROR(__xludf.DUMMYFUNCTION("GOOGLETRANSLATE(B29520,""en"",""it"")"),"Un uomo e una donna vestiti con un abito da sera nero e un abito nero balla in uno stile di ballo della sala da ballo in una grande stanza con pavimenti in pietra e finestre grattugiate.")</f>
        <v>Un uomo e una donna vestiti con un abito da sera nero e un abito nero balla in uno stile di ballo della sala da ballo in una grande stanza con pavimenti in pietra e finestre grattugiate.</v>
      </c>
    </row>
    <row r="29521">
      <c r="A29521" s="4" t="s">
        <v>37175</v>
      </c>
      <c r="B29521" s="4" t="s">
        <v>37177</v>
      </c>
      <c r="C29521" s="5" t="str">
        <f>IFERROR(__xludf.DUMMYFUNCTION("GOOGLETRANSLATE(B29521,""en"",""it"")"),"L'uomo e la donna iniziano con una danza veloce con un sacco di lavoro a roteare intorno al pavimento.")</f>
        <v>L'uomo e la donna iniziano con una danza veloce con un sacco di lavoro a roteare intorno al pavimento.</v>
      </c>
    </row>
    <row r="29522">
      <c r="A29522" s="4" t="s">
        <v>37175</v>
      </c>
      <c r="B29522" s="6" t="s">
        <v>37178</v>
      </c>
      <c r="C29522" s="5" t="str">
        <f>IFERROR(__xludf.DUMMYFUNCTION("GOOGLETRANSLATE(B29522,""en"",""it"")"),"L'uomo e la donna iniziano quindi una danza lenta in cui scivolano, accarezzano, si girano e girano a vicenda sul pavimento a volte indugiando in posture fumanti che implicano romanticismo.")</f>
        <v>L'uomo e la donna iniziano quindi una danza lenta in cui scivolano, accarezzano, si girano e girano a vicenda sul pavimento a volte indugiando in posture fumanti che implicano romanticismo.</v>
      </c>
    </row>
    <row r="29523">
      <c r="A29523" s="4" t="s">
        <v>37175</v>
      </c>
      <c r="B29523" s="6" t="s">
        <v>37179</v>
      </c>
      <c r="C29523" s="5" t="str">
        <f>IFERROR(__xludf.DUMMYFUNCTION("GOOGLETRANSLATE(B29523,""en"",""it"")"),"L'uomo e la donna iniziano quindi a ballare di nuovo velocemente utilizzando gironi veloci e lavoro del piede e con l'uomo che raccoglie la donna e girala in aria fino a un ultimo tuffo.")</f>
        <v>L'uomo e la donna iniziano quindi a ballare di nuovo velocemente utilizzando gironi veloci e lavoro del piede e con l'uomo che raccoglie la donna e girala in aria fino a un ultimo tuffo.</v>
      </c>
    </row>
    <row r="29524">
      <c r="A29524" s="4" t="s">
        <v>37180</v>
      </c>
      <c r="B29524" s="4" t="s">
        <v>37181</v>
      </c>
      <c r="C29524" s="5" t="str">
        <f>IFERROR(__xludf.DUMMYFUNCTION("GOOGLETRANSLATE(B29524,""en"",""it"")"),"Un ragazzo viene visto nuotare in giro con un'altra persona in piedi in acqua.")</f>
        <v>Un ragazzo viene visto nuotare in giro con un'altra persona in piedi in acqua.</v>
      </c>
    </row>
    <row r="29525">
      <c r="A29525" s="4" t="s">
        <v>37180</v>
      </c>
      <c r="B29525" s="4" t="s">
        <v>37182</v>
      </c>
      <c r="C29525" s="5" t="str">
        <f>IFERROR(__xludf.DUMMYFUNCTION("GOOGLETRANSLATE(B29525,""en"",""it"")"),"Il ragazzo continua a nuotare con le altre persone e fa capovolgere sotto l'acqua.")</f>
        <v>Il ragazzo continua a nuotare con le altre persone e fa capovolgere sotto l'acqua.</v>
      </c>
    </row>
    <row r="29526">
      <c r="A29526" s="4" t="s">
        <v>37180</v>
      </c>
      <c r="B29526" s="4" t="s">
        <v>37183</v>
      </c>
      <c r="C29526" s="5" t="str">
        <f>IFERROR(__xludf.DUMMYFUNCTION("GOOGLETRANSLATE(B29526,""en"",""it"")"),"I bambini si muovono sotto e sopra l'acqua mentre la telecamera continua a seguirli.")</f>
        <v>I bambini si muovono sotto e sopra l'acqua mentre la telecamera continua a seguirli.</v>
      </c>
    </row>
    <row r="29527">
      <c r="A29527" s="4" t="s">
        <v>37184</v>
      </c>
      <c r="B29527" s="4" t="s">
        <v>37185</v>
      </c>
      <c r="C29527" s="5" t="str">
        <f>IFERROR(__xludf.DUMMYFUNCTION("GOOGLETRANSLATE(B29527,""en"",""it"")"),"Un uomo canta una canzone con qualcuno suona una fisarmonica in un ristorante.")</f>
        <v>Un uomo canta una canzone con qualcuno suona una fisarmonica in un ristorante.</v>
      </c>
    </row>
    <row r="29528">
      <c r="A29528" s="4" t="s">
        <v>37184</v>
      </c>
      <c r="B29528" s="4" t="s">
        <v>37186</v>
      </c>
      <c r="C29528" s="5" t="str">
        <f>IFERROR(__xludf.DUMMYFUNCTION("GOOGLETRANSLATE(B29528,""en"",""it"")"),"L'uomo che suona la fisarmonica spezza il suo strumento a metà.")</f>
        <v>L'uomo che suona la fisarmonica spezza il suo strumento a metà.</v>
      </c>
    </row>
    <row r="29529">
      <c r="A29529" s="4" t="s">
        <v>37184</v>
      </c>
      <c r="B29529" s="4" t="s">
        <v>37187</v>
      </c>
      <c r="C29529" s="5" t="str">
        <f>IFERROR(__xludf.DUMMYFUNCTION("GOOGLETRANSLATE(B29529,""en"",""it"")"),"Le persone sono sorprese ma continuano a cantare la canzone.")</f>
        <v>Le persone sono sorprese ma continuano a cantare la canzone.</v>
      </c>
    </row>
    <row r="29530">
      <c r="A29530" s="4" t="s">
        <v>37188</v>
      </c>
      <c r="B29530" s="4" t="s">
        <v>37189</v>
      </c>
      <c r="C29530" s="5" t="str">
        <f>IFERROR(__xludf.DUMMYFUNCTION("GOOGLETRANSLATE(B29530,""en"",""it"")"),"Un bambino è in piedi nel parcheggio, non indossa una camicia, ha parlato con la telecamera.")</f>
        <v>Un bambino è in piedi nel parcheggio, non indossa una camicia, ha parlato con la telecamera.</v>
      </c>
    </row>
    <row r="29531">
      <c r="A29531" s="4" t="s">
        <v>37188</v>
      </c>
      <c r="B29531" s="4" t="s">
        <v>37190</v>
      </c>
      <c r="C29531" s="5" t="str">
        <f>IFERROR(__xludf.DUMMYFUNCTION("GOOGLETRANSLATE(B29531,""en"",""it"")"),"Quindi camminò con entrambi i gomiti verso la strada.")</f>
        <v>Quindi camminò con entrambi i gomiti verso la strada.</v>
      </c>
    </row>
    <row r="29532">
      <c r="A29532" s="4" t="s">
        <v>37188</v>
      </c>
      <c r="B29532" s="6" t="s">
        <v>37191</v>
      </c>
      <c r="C29532" s="5" t="str">
        <f>IFERROR(__xludf.DUMMYFUNCTION("GOOGLETRANSLATE(B29532,""en"",""it"")"),"Il ragazzo è sul palco suonando una chitarra marrone, non indossa una camicia, c'è un microfono davanti a lui, dietro di lui c'è anche un uomo che suona una chitarra.")</f>
        <v>Il ragazzo è sul palco suonando una chitarra marrone, non indossa una camicia, c'è un microfono davanti a lui, dietro di lui c'è anche un uomo che suona una chitarra.</v>
      </c>
    </row>
    <row r="29533">
      <c r="A29533" s="4" t="s">
        <v>37192</v>
      </c>
      <c r="B29533" s="4" t="s">
        <v>37193</v>
      </c>
      <c r="C29533" s="5" t="str">
        <f>IFERROR(__xludf.DUMMYFUNCTION("GOOGLETRANSLATE(B29533,""en"",""it"")"),"Un ragazzo sta correndo giù per una pista.")</f>
        <v>Un ragazzo sta correndo giù per una pista.</v>
      </c>
    </row>
    <row r="29534">
      <c r="A29534" s="4" t="s">
        <v>37192</v>
      </c>
      <c r="B29534" s="4" t="s">
        <v>37194</v>
      </c>
      <c r="C29534" s="5" t="str">
        <f>IFERROR(__xludf.DUMMYFUNCTION("GOOGLETRANSLATE(B29534,""en"",""it"")"),"Il ragazzo solleva il suo corpo sopra l'altezza di un palo.")</f>
        <v>Il ragazzo solleva il suo corpo sopra l'altezza di un palo.</v>
      </c>
    </row>
    <row r="29535">
      <c r="A29535" s="4" t="s">
        <v>37192</v>
      </c>
      <c r="B29535" s="4" t="s">
        <v>37195</v>
      </c>
      <c r="C29535" s="5" t="str">
        <f>IFERROR(__xludf.DUMMYFUNCTION("GOOGLETRANSLATE(B29535,""en"",""it"")"),"Il ragazzo atterra sulla schiena su una stuoia rossa.")</f>
        <v>Il ragazzo atterra sulla schiena su una stuoia rossa.</v>
      </c>
    </row>
    <row r="29536">
      <c r="A29536" s="4" t="s">
        <v>37192</v>
      </c>
      <c r="B29536" s="4" t="s">
        <v>37196</v>
      </c>
      <c r="C29536" s="5" t="str">
        <f>IFERROR(__xludf.DUMMYFUNCTION("GOOGLETRANSLATE(B29536,""en"",""it"")"),"Il ragazzo si alza dal tappeto.")</f>
        <v>Il ragazzo si alza dal tappeto.</v>
      </c>
    </row>
    <row r="29537">
      <c r="A29537" s="4" t="s">
        <v>37192</v>
      </c>
      <c r="B29537" s="4" t="s">
        <v>37197</v>
      </c>
      <c r="C29537" s="5" t="str">
        <f>IFERROR(__xludf.DUMMYFUNCTION("GOOGLETRANSLATE(B29537,""en"",""it"")"),"Il ragazzo festeggia battendo e flettendo entrambe le braccia.")</f>
        <v>Il ragazzo festeggia battendo e flettendo entrambe le braccia.</v>
      </c>
    </row>
    <row r="29538">
      <c r="A29538" s="4" t="s">
        <v>37192</v>
      </c>
      <c r="B29538" s="4" t="s">
        <v>37198</v>
      </c>
      <c r="C29538" s="5" t="str">
        <f>IFERROR(__xludf.DUMMYFUNCTION("GOOGLETRANSLATE(B29538,""en"",""it"")"),"Un uomo si alza e osserva.")</f>
        <v>Un uomo si alza e osserva.</v>
      </c>
    </row>
    <row r="29539">
      <c r="A29539" s="4" t="s">
        <v>37199</v>
      </c>
      <c r="B29539" s="4" t="s">
        <v>17268</v>
      </c>
      <c r="C29539" s="5" t="str">
        <f>IFERROR(__xludf.DUMMYFUNCTION("GOOGLETRANSLATE(B29539,""en"",""it"")"),"Un uomo parla alla telecamera.")</f>
        <v>Un uomo parla alla telecamera.</v>
      </c>
    </row>
    <row r="29540">
      <c r="A29540" s="4" t="s">
        <v>37199</v>
      </c>
      <c r="B29540" s="4" t="s">
        <v>37200</v>
      </c>
      <c r="C29540" s="5" t="str">
        <f>IFERROR(__xludf.DUMMYFUNCTION("GOOGLETRANSLATE(B29540,""en"",""it"")"),"L'uomo cammina verso un parco giochi per bambini.")</f>
        <v>L'uomo cammina verso un parco giochi per bambini.</v>
      </c>
    </row>
    <row r="29541">
      <c r="A29541" s="4" t="s">
        <v>37199</v>
      </c>
      <c r="B29541" s="4" t="s">
        <v>37201</v>
      </c>
      <c r="C29541" s="5" t="str">
        <f>IFERROR(__xludf.DUMMYFUNCTION("GOOGLETRANSLATE(B29541,""en"",""it"")"),"L'uomo pende dai dispositivi di tipo bar montato nel parco giochi.")</f>
        <v>L'uomo pende dai dispositivi di tipo bar montato nel parco giochi.</v>
      </c>
    </row>
    <row r="29542">
      <c r="A29542" s="4" t="s">
        <v>37199</v>
      </c>
      <c r="B29542" s="4" t="s">
        <v>37202</v>
      </c>
      <c r="C29542" s="5" t="str">
        <f>IFERROR(__xludf.DUMMYFUNCTION("GOOGLETRANSLATE(B29542,""en"",""it"")"),"L'uomo smonde e torna alla telecamera.")</f>
        <v>L'uomo smonde e torna alla telecamera.</v>
      </c>
    </row>
    <row r="29543">
      <c r="A29543" s="4" t="s">
        <v>37203</v>
      </c>
      <c r="B29543" s="4" t="s">
        <v>37204</v>
      </c>
      <c r="C29543" s="5" t="str">
        <f>IFERROR(__xludf.DUMMYFUNCTION("GOOGLETRANSLATE(B29543,""en"",""it"")"),"Un uomo parla a una macchina fotografica.")</f>
        <v>Un uomo parla a una macchina fotografica.</v>
      </c>
    </row>
    <row r="29544">
      <c r="A29544" s="4" t="s">
        <v>37203</v>
      </c>
      <c r="B29544" s="4" t="s">
        <v>37205</v>
      </c>
      <c r="C29544" s="5" t="str">
        <f>IFERROR(__xludf.DUMMYFUNCTION("GOOGLETRANSLATE(B29544,""en"",""it"")"),"Un altro uomo si rade il viso coperto di crema da barba.")</f>
        <v>Un altro uomo si rade il viso coperto di crema da barba.</v>
      </c>
    </row>
    <row r="29545">
      <c r="A29545" s="4" t="s">
        <v>37203</v>
      </c>
      <c r="B29545" s="4" t="s">
        <v>37206</v>
      </c>
      <c r="C29545" s="5" t="str">
        <f>IFERROR(__xludf.DUMMYFUNCTION("GOOGLETRANSLATE(B29545,""en"",""it"")"),"L'uomo si rade parte del suo collo.")</f>
        <v>L'uomo si rade parte del suo collo.</v>
      </c>
    </row>
    <row r="29546">
      <c r="A29546" s="4" t="s">
        <v>37203</v>
      </c>
      <c r="B29546" s="4" t="s">
        <v>37207</v>
      </c>
      <c r="C29546" s="5" t="str">
        <f>IFERROR(__xludf.DUMMYFUNCTION("GOOGLETRANSLATE(B29546,""en"",""it"")"),"Il rasoio dell'uomo è coperto di crema da barba, quindi sciacqua il rasoio con acqua.")</f>
        <v>Il rasoio dell'uomo è coperto di crema da barba, quindi sciacqua il rasoio con acqua.</v>
      </c>
    </row>
    <row r="29547">
      <c r="A29547" s="4" t="s">
        <v>37203</v>
      </c>
      <c r="B29547" s="4" t="s">
        <v>37208</v>
      </c>
      <c r="C29547" s="5" t="str">
        <f>IFERROR(__xludf.DUMMYFUNCTION("GOOGLETRANSLATE(B29547,""en"",""it"")"),"L'uomo parla di nuovo alla fotocamera.")</f>
        <v>L'uomo parla di nuovo alla fotocamera.</v>
      </c>
    </row>
    <row r="29548">
      <c r="A29548" s="4" t="s">
        <v>37203</v>
      </c>
      <c r="B29548" s="4" t="s">
        <v>37209</v>
      </c>
      <c r="C29548" s="5" t="str">
        <f>IFERROR(__xludf.DUMMYFUNCTION("GOOGLETRANSLATE(B29548,""en"",""it"")"),"L'uomo rasatura si rade di nuovo parte della sua area della guancia.")</f>
        <v>L'uomo rasatura si rade di nuovo parte della sua area della guancia.</v>
      </c>
    </row>
    <row r="29549">
      <c r="A29549" s="4" t="s">
        <v>37203</v>
      </c>
      <c r="B29549" s="4" t="s">
        <v>2807</v>
      </c>
      <c r="C29549" s="5" t="str">
        <f>IFERROR(__xludf.DUMMYFUNCTION("GOOGLETRANSLATE(B29549,""en"",""it"")"),"L'uomo torna a parlare con la fotocamera.")</f>
        <v>L'uomo torna a parlare con la fotocamera.</v>
      </c>
    </row>
    <row r="29550">
      <c r="A29550" s="4" t="s">
        <v>37203</v>
      </c>
      <c r="B29550" s="4" t="s">
        <v>37210</v>
      </c>
      <c r="C29550" s="5" t="str">
        <f>IFERROR(__xludf.DUMMYFUNCTION("GOOGLETRANSLATE(B29550,""en"",""it"")"),"Viene mostrata un'animazione di rasatura.")</f>
        <v>Viene mostrata un'animazione di rasatura.</v>
      </c>
    </row>
    <row r="29551">
      <c r="A29551" s="4" t="s">
        <v>37203</v>
      </c>
      <c r="B29551" s="4" t="s">
        <v>37211</v>
      </c>
      <c r="C29551" s="5" t="str">
        <f>IFERROR(__xludf.DUMMYFUNCTION("GOOGLETRANSLATE(B29551,""en"",""it"")"),"L'uomo continua a parlare con la fotocamera.")</f>
        <v>L'uomo continua a parlare con la fotocamera.</v>
      </c>
    </row>
    <row r="29552">
      <c r="A29552" s="4" t="s">
        <v>37203</v>
      </c>
      <c r="B29552" s="4" t="s">
        <v>37212</v>
      </c>
      <c r="C29552" s="5" t="str">
        <f>IFERROR(__xludf.DUMMYFUNCTION("GOOGLETRANSLATE(B29552,""en"",""it"")"),"L'uomo rasatura si rade più verso il mento, compresa la sua guancia superiore.")</f>
        <v>L'uomo rasatura si rade più verso il mento, compresa la sua guancia superiore.</v>
      </c>
    </row>
    <row r="29553">
      <c r="A29553" s="4" t="s">
        <v>37203</v>
      </c>
      <c r="B29553" s="4" t="s">
        <v>37213</v>
      </c>
      <c r="C29553" s="5" t="str">
        <f>IFERROR(__xludf.DUMMYFUNCTION("GOOGLETRANSLATE(B29553,""en"",""it"")"),"L'uomo parla un po 'di più alla fotocamera.")</f>
        <v>L'uomo parla un po 'di più alla fotocamera.</v>
      </c>
    </row>
    <row r="29554">
      <c r="A29554" s="4" t="s">
        <v>37214</v>
      </c>
      <c r="B29554" s="4" t="s">
        <v>37215</v>
      </c>
      <c r="C29554" s="5" t="str">
        <f>IFERROR(__xludf.DUMMYFUNCTION("GOOGLETRANSLATE(B29554,""en"",""it"")"),"Un uomo è seduto dietro due congas con una spalla arrotolata.")</f>
        <v>Un uomo è seduto dietro due congas con una spalla arrotolata.</v>
      </c>
    </row>
    <row r="29555">
      <c r="A29555" s="4" t="s">
        <v>37214</v>
      </c>
      <c r="B29555" s="4" t="s">
        <v>37216</v>
      </c>
      <c r="C29555" s="5" t="str">
        <f>IFERROR(__xludf.DUMMYFUNCTION("GOOGLETRANSLATE(B29555,""en"",""it"")"),"Dopo aver finito di parlare, inizia a colpire la Conga.")</f>
        <v>Dopo aver finito di parlare, inizia a colpire la Conga.</v>
      </c>
    </row>
    <row r="29556">
      <c r="A29556" s="4" t="s">
        <v>37214</v>
      </c>
      <c r="B29556" s="4" t="s">
        <v>37217</v>
      </c>
      <c r="C29556" s="5" t="str">
        <f>IFERROR(__xludf.DUMMYFUNCTION("GOOGLETRANSLATE(B29556,""en"",""it"")"),"Dopo diversi colpi, aggiunge l'altra conga e inizia a colpire l'altra conga.")</f>
        <v>Dopo diversi colpi, aggiunge l'altra conga e inizia a colpire l'altra conga.</v>
      </c>
    </row>
    <row r="29557">
      <c r="A29557" s="4" t="s">
        <v>37218</v>
      </c>
      <c r="B29557" s="4" t="s">
        <v>37219</v>
      </c>
      <c r="C29557" s="5" t="str">
        <f>IFERROR(__xludf.DUMMYFUNCTION("GOOGLETRANSLATE(B29557,""en"",""it"")"),"Un uomo mescola un mazzo di carte e le tratta.")</f>
        <v>Un uomo mescola un mazzo di carte e le tratta.</v>
      </c>
    </row>
    <row r="29558">
      <c r="A29558" s="4" t="s">
        <v>37218</v>
      </c>
      <c r="B29558" s="4" t="s">
        <v>37220</v>
      </c>
      <c r="C29558" s="5" t="str">
        <f>IFERROR(__xludf.DUMMYFUNCTION("GOOGLETRANSLATE(B29558,""en"",""it"")"),"Quattro assi sono mostrati a faccia in su sul tavolo.")</f>
        <v>Quattro assi sono mostrati a faccia in su sul tavolo.</v>
      </c>
    </row>
    <row r="29559">
      <c r="A29559" s="4" t="s">
        <v>37218</v>
      </c>
      <c r="B29559" s="4" t="s">
        <v>37221</v>
      </c>
      <c r="C29559" s="5" t="str">
        <f>IFERROR(__xludf.DUMMYFUNCTION("GOOGLETRANSLATE(B29559,""en"",""it"")"),"Un uomo si siede a un tavolo e suona il blackjack.")</f>
        <v>Un uomo si siede a un tavolo e suona il blackjack.</v>
      </c>
    </row>
    <row r="29560">
      <c r="A29560" s="4" t="s">
        <v>37222</v>
      </c>
      <c r="B29560" s="4" t="s">
        <v>37223</v>
      </c>
      <c r="C29560" s="5" t="str">
        <f>IFERROR(__xludf.DUMMYFUNCTION("GOOGLETRANSLATE(B29560,""en"",""it"")"),"Una squadra cavalca insieme su un autobus.")</f>
        <v>Una squadra cavalca insieme su un autobus.</v>
      </c>
    </row>
    <row r="29561">
      <c r="A29561" s="4" t="s">
        <v>37222</v>
      </c>
      <c r="B29561" s="4" t="s">
        <v>37224</v>
      </c>
      <c r="C29561" s="5" t="str">
        <f>IFERROR(__xludf.DUMMYFUNCTION("GOOGLETRANSLATE(B29561,""en"",""it"")"),"Le squadre giocano a Soccer Beach.")</f>
        <v>Le squadre giocano a Soccer Beach.</v>
      </c>
    </row>
    <row r="29562">
      <c r="A29562" s="4" t="s">
        <v>37222</v>
      </c>
      <c r="B29562" s="4" t="s">
        <v>37225</v>
      </c>
      <c r="C29562" s="5" t="str">
        <f>IFERROR(__xludf.DUMMYFUNCTION("GOOGLETRANSLATE(B29562,""en"",""it"")"),"Un uomo fa un calcio in bicicletta nella sabbia.")</f>
        <v>Un uomo fa un calcio in bicicletta nella sabbia.</v>
      </c>
    </row>
    <row r="29563">
      <c r="A29563" s="4" t="s">
        <v>37222</v>
      </c>
      <c r="B29563" s="4" t="s">
        <v>37226</v>
      </c>
      <c r="C29563" s="5" t="str">
        <f>IFERROR(__xludf.DUMMYFUNCTION("GOOGLETRANSLATE(B29563,""en"",""it"")"),"La squadra vincente regge un trofeo insieme e celebra.")</f>
        <v>La squadra vincente regge un trofeo insieme e celebra.</v>
      </c>
    </row>
    <row r="29564">
      <c r="A29564" s="4" t="s">
        <v>37222</v>
      </c>
      <c r="B29564" s="4" t="s">
        <v>37227</v>
      </c>
      <c r="C29564" s="5" t="str">
        <f>IFERROR(__xludf.DUMMYFUNCTION("GOOGLETRANSLATE(B29564,""en"",""it"")"),"I compagni di squadra chiamano dalla panchina e allegria.")</f>
        <v>I compagni di squadra chiamano dalla panchina e allegria.</v>
      </c>
    </row>
    <row r="29565">
      <c r="A29565" s="4" t="s">
        <v>37228</v>
      </c>
      <c r="B29565" s="6" t="s">
        <v>37229</v>
      </c>
      <c r="C29565" s="5" t="str">
        <f>IFERROR(__xludf.DUMMYFUNCTION("GOOGLETRANSLATE(B29565,""en"",""it"")"),"Due uomini dell'esercito nelle loro uniformi sono legati insieme e si tirano l'un l'altro in direzione opposta come parte del loro addestramento.")</f>
        <v>Due uomini dell'esercito nelle loro uniformi sono legati insieme e si tirano l'un l'altro in direzione opposta come parte del loro addestramento.</v>
      </c>
    </row>
    <row r="29566">
      <c r="A29566" s="4" t="s">
        <v>37228</v>
      </c>
      <c r="B29566" s="6" t="s">
        <v>37230</v>
      </c>
      <c r="C29566" s="5" t="str">
        <f>IFERROR(__xludf.DUMMYFUNCTION("GOOGLETRANSLATE(B29566,""en"",""it"")"),"C'è una folla di ufficiali dell'esercito che li guardano incoraggiando per loro mentre fanno l'esercizio di addestramento della forza.")</f>
        <v>C'è una folla di ufficiali dell'esercito che li guardano incoraggiando per loro mentre fanno l'esercizio di addestramento della forza.</v>
      </c>
    </row>
    <row r="29567">
      <c r="A29567" s="4" t="s">
        <v>37228</v>
      </c>
      <c r="B29567" s="6" t="s">
        <v>37231</v>
      </c>
      <c r="C29567" s="5" t="str">
        <f>IFERROR(__xludf.DUMMYFUNCTION("GOOGLETRANSLATE(B29567,""en"",""it"")"),"La partita è finita dopo che uno degli ufficiali dell'esercito trascina l'altro ufficiale a terra e vince la partita.")</f>
        <v>La partita è finita dopo che uno degli ufficiali dell'esercito trascina l'altro ufficiale a terra e vince la partita.</v>
      </c>
    </row>
    <row r="29568">
      <c r="A29568" s="4" t="s">
        <v>37232</v>
      </c>
      <c r="B29568" s="4" t="s">
        <v>37233</v>
      </c>
      <c r="C29568" s="5" t="str">
        <f>IFERROR(__xludf.DUMMYFUNCTION("GOOGLETRANSLATE(B29568,""en"",""it"")"),"L'uomo con camicia blu sta strimpellando il tamburo di fronte a lui.")</f>
        <v>L'uomo con camicia blu sta strimpellando il tamburo di fronte a lui.</v>
      </c>
    </row>
    <row r="29569">
      <c r="A29569" s="4" t="s">
        <v>37232</v>
      </c>
      <c r="B29569" s="4" t="s">
        <v>37234</v>
      </c>
      <c r="C29569" s="5" t="str">
        <f>IFERROR(__xludf.DUMMYFUNCTION("GOOGLETRANSLATE(B29569,""en"",""it"")"),"Il giovane strumi il tamburo di fronte a lui, poi il tamburo successivo.")</f>
        <v>Il giovane strumi il tamburo di fronte a lui, poi il tamburo successivo.</v>
      </c>
    </row>
    <row r="29570">
      <c r="A29570" s="4" t="s">
        <v>37232</v>
      </c>
      <c r="B29570" s="4" t="s">
        <v>37235</v>
      </c>
      <c r="C29570" s="5" t="str">
        <f>IFERROR(__xludf.DUMMYFUNCTION("GOOGLETRANSLATE(B29570,""en"",""it"")"),"Il giovane strumi i tamburi di fronte a lui.")</f>
        <v>Il giovane strumi i tamburi di fronte a lui.</v>
      </c>
    </row>
    <row r="29571">
      <c r="A29571" s="4" t="s">
        <v>37236</v>
      </c>
      <c r="B29571" s="4" t="s">
        <v>37237</v>
      </c>
      <c r="C29571" s="5" t="str">
        <f>IFERROR(__xludf.DUMMYFUNCTION("GOOGLETRANSLATE(B29571,""en"",""it"")"),"Una donna apre il bagagliaio di un'auto.")</f>
        <v>Una donna apre il bagagliaio di un'auto.</v>
      </c>
    </row>
    <row r="29572">
      <c r="A29572" s="4" t="s">
        <v>37236</v>
      </c>
      <c r="B29572" s="4" t="s">
        <v>37238</v>
      </c>
      <c r="C29572" s="5" t="str">
        <f>IFERROR(__xludf.DUMMYFUNCTION("GOOGLETRANSLATE(B29572,""en"",""it"")"),"Prende una ruota di scorta e la mette a terra.")</f>
        <v>Prende una ruota di scorta e la mette a terra.</v>
      </c>
    </row>
    <row r="29573">
      <c r="A29573" s="4" t="s">
        <v>37236</v>
      </c>
      <c r="B29573" s="4" t="s">
        <v>37239</v>
      </c>
      <c r="C29573" s="5" t="str">
        <f>IFERROR(__xludf.DUMMYFUNCTION("GOOGLETRANSLATE(B29573,""en"",""it"")"),"Si toglie la vecchia gomma.")</f>
        <v>Si toglie la vecchia gomma.</v>
      </c>
    </row>
    <row r="29574">
      <c r="A29574" s="4" t="s">
        <v>37236</v>
      </c>
      <c r="B29574" s="4" t="s">
        <v>37240</v>
      </c>
      <c r="C29574" s="5" t="str">
        <f>IFERROR(__xludf.DUMMYFUNCTION("GOOGLETRANSLATE(B29574,""en"",""it"")"),"Indossa la nuova gomma.")</f>
        <v>Indossa la nuova gomma.</v>
      </c>
    </row>
    <row r="29575">
      <c r="A29575" s="4" t="s">
        <v>37236</v>
      </c>
      <c r="B29575" s="4" t="s">
        <v>37241</v>
      </c>
      <c r="C29575" s="5" t="str">
        <f>IFERROR(__xludf.DUMMYFUNCTION("GOOGLETRANSLATE(B29575,""en"",""it"")"),"Mette il mozzo della gomma.")</f>
        <v>Mette il mozzo della gomma.</v>
      </c>
    </row>
    <row r="29576">
      <c r="A29576" s="4" t="s">
        <v>37242</v>
      </c>
      <c r="B29576" s="4" t="s">
        <v>37243</v>
      </c>
      <c r="C29576" s="5" t="str">
        <f>IFERROR(__xludf.DUMMYFUNCTION("GOOGLETRANSLATE(B29576,""en"",""it"")"),"Un uomo con una camicia rossa si tiene su un disco e pattina lungo il ghiaccio.")</f>
        <v>Un uomo con una camicia rossa si tiene su un disco e pattina lungo il ghiaccio.</v>
      </c>
    </row>
    <row r="29577">
      <c r="A29577" s="4" t="s">
        <v>37242</v>
      </c>
      <c r="B29577" s="4" t="s">
        <v>37244</v>
      </c>
      <c r="C29577" s="5" t="str">
        <f>IFERROR(__xludf.DUMMYFUNCTION("GOOGLETRANSLATE(B29577,""en"",""it"")"),"Lascia andare il disco e torna indietro.")</f>
        <v>Lascia andare il disco e torna indietro.</v>
      </c>
    </row>
    <row r="29578">
      <c r="A29578" s="4" t="s">
        <v>37245</v>
      </c>
      <c r="B29578" s="4" t="s">
        <v>37246</v>
      </c>
      <c r="C29578" s="5" t="str">
        <f>IFERROR(__xludf.DUMMYFUNCTION("GOOGLETRANSLATE(B29578,""en"",""it"")"),"Una bambina si esibisce con gli anelli.")</f>
        <v>Una bambina si esibisce con gli anelli.</v>
      </c>
    </row>
    <row r="29579">
      <c r="A29579" s="4" t="s">
        <v>37245</v>
      </c>
      <c r="B29579" s="4" t="s">
        <v>37247</v>
      </c>
      <c r="C29579" s="5" t="str">
        <f>IFERROR(__xludf.DUMMYFUNCTION("GOOGLETRANSLATE(B29579,""en"",""it"")"),"Un ragazzo si trova dopo un uomo, poi alza una mano e cammina per esibirsi sui bardi paralleli.")</f>
        <v>Un ragazzo si trova dopo un uomo, poi alza una mano e cammina per esibirsi sui bardi paralleli.</v>
      </c>
    </row>
    <row r="29580">
      <c r="A29580" s="4" t="s">
        <v>37245</v>
      </c>
      <c r="B29580" s="4" t="s">
        <v>37248</v>
      </c>
      <c r="C29580" s="5" t="str">
        <f>IFERROR(__xludf.DUMMYFUNCTION("GOOGLETRANSLATE(B29580,""en"",""it"")"),"Il ragazzo oscilla sulle sbarre e poi salta sul tappeto.")</f>
        <v>Il ragazzo oscilla sulle sbarre e poi salta sul tappeto.</v>
      </c>
    </row>
    <row r="29581">
      <c r="A29581" s="4" t="s">
        <v>37249</v>
      </c>
      <c r="B29581" s="4" t="s">
        <v>37250</v>
      </c>
      <c r="C29581" s="5" t="str">
        <f>IFERROR(__xludf.DUMMYFUNCTION("GOOGLETRANSLATE(B29581,""en"",""it"")"),"C'è una donna in una camicia marrone che si lava il viso nel lavandino.")</f>
        <v>C'è una donna in una camicia marrone che si lava il viso nel lavandino.</v>
      </c>
    </row>
    <row r="29582">
      <c r="A29582" s="4" t="s">
        <v>37249</v>
      </c>
      <c r="B29582" s="4" t="s">
        <v>37251</v>
      </c>
      <c r="C29582" s="5" t="str">
        <f>IFERROR(__xludf.DUMMYFUNCTION("GOOGLETRANSLATE(B29582,""en"",""it"")"),"Un estetista sta parlando di routine per la cura della pelle e dando consigli su come mantenere pulita la pelle del viso.")</f>
        <v>Un estetista sta parlando di routine per la cura della pelle e dando consigli su come mantenere pulita la pelle del viso.</v>
      </c>
    </row>
    <row r="29583">
      <c r="A29583" s="4" t="s">
        <v>37249</v>
      </c>
      <c r="B29583" s="4" t="s">
        <v>37252</v>
      </c>
      <c r="C29583" s="5" t="str">
        <f>IFERROR(__xludf.DUMMYFUNCTION("GOOGLETRANSLATE(B29583,""en"",""it"")"),"La modella si lava il viso e poi si asciuga delicatamente con un asciugamano.")</f>
        <v>La modella si lava il viso e poi si asciuga delicatamente con un asciugamano.</v>
      </c>
    </row>
    <row r="29584">
      <c r="A29584" s="4" t="s">
        <v>37253</v>
      </c>
      <c r="B29584" s="4" t="s">
        <v>37254</v>
      </c>
      <c r="C29584" s="5" t="str">
        <f>IFERROR(__xludf.DUMMYFUNCTION("GOOGLETRANSLATE(B29584,""en"",""it"")"),"Tre ragazze si esercitano all'interno di una casa.")</f>
        <v>Tre ragazze si esercitano all'interno di una casa.</v>
      </c>
    </row>
    <row r="29585">
      <c r="A29585" s="4" t="s">
        <v>37253</v>
      </c>
      <c r="B29585" s="4" t="s">
        <v>37255</v>
      </c>
      <c r="C29585" s="5" t="str">
        <f>IFERROR(__xludf.DUMMYFUNCTION("GOOGLETRANSLATE(B29585,""en"",""it"")"),"Le ragazze ballano mentre saltano, girano e muovono i fianchi.")</f>
        <v>Le ragazze ballano mentre saltano, girano e muovono i fianchi.</v>
      </c>
    </row>
    <row r="29586">
      <c r="A29586" s="4" t="s">
        <v>37253</v>
      </c>
      <c r="B29586" s="4" t="s">
        <v>37256</v>
      </c>
      <c r="C29586" s="5" t="str">
        <f>IFERROR(__xludf.DUMMYFUNCTION("GOOGLETRANSLATE(B29586,""en"",""it"")"),"Quindi, le ragazze una ad una gettata a terra, quindi si alzano e continuano a ballare.")</f>
        <v>Quindi, le ragazze una ad una gettata a terra, quindi si alzano e continuano a ballare.</v>
      </c>
    </row>
    <row r="29587">
      <c r="A29587" s="4" t="s">
        <v>37253</v>
      </c>
      <c r="B29587" s="6" t="s">
        <v>37257</v>
      </c>
      <c r="C29587" s="5" t="str">
        <f>IFERROR(__xludf.DUMMYFUNCTION("GOOGLETRANSLATE(B29587,""en"",""it"")"),"Dopo, due ragazze si inginocchiano e un bambino si alzano sulle gambe e solleva le braccia, dopo che le ragazze hanno terminato la loro esibizione.")</f>
        <v>Dopo, due ragazze si inginocchiano e un bambino si alzano sulle gambe e solleva le braccia, dopo che le ragazze hanno terminato la loro esibizione.</v>
      </c>
    </row>
    <row r="29588">
      <c r="A29588" s="4" t="s">
        <v>37258</v>
      </c>
      <c r="B29588" s="4" t="s">
        <v>37259</v>
      </c>
      <c r="C29588" s="5" t="str">
        <f>IFERROR(__xludf.DUMMYFUNCTION("GOOGLETRANSLATE(B29588,""en"",""it"")"),"Due cani camminano sul marciapiede attaccato da una corda.")</f>
        <v>Due cani camminano sul marciapiede attaccato da una corda.</v>
      </c>
    </row>
    <row r="29589">
      <c r="A29589" s="4" t="s">
        <v>37258</v>
      </c>
      <c r="B29589" s="4" t="s">
        <v>37260</v>
      </c>
      <c r="C29589" s="5" t="str">
        <f>IFERROR(__xludf.DUMMYFUNCTION("GOOGLETRANSLATE(B29589,""en"",""it"")"),"Due persone camminano sul marciapiede accanto a loro.")</f>
        <v>Due persone camminano sul marciapiede accanto a loro.</v>
      </c>
    </row>
    <row r="29590">
      <c r="A29590" s="4" t="s">
        <v>37258</v>
      </c>
      <c r="B29590" s="4" t="s">
        <v>37261</v>
      </c>
      <c r="C29590" s="5" t="str">
        <f>IFERROR(__xludf.DUMMYFUNCTION("GOOGLETRANSLATE(B29590,""en"",""it"")"),"Una delle persone porta una bottiglia d'acqua.")</f>
        <v>Una delle persone porta una bottiglia d'acqua.</v>
      </c>
    </row>
    <row r="29591">
      <c r="A29591" s="4" t="s">
        <v>37262</v>
      </c>
      <c r="B29591" s="4" t="s">
        <v>37263</v>
      </c>
      <c r="C29591" s="5" t="str">
        <f>IFERROR(__xludf.DUMMYFUNCTION("GOOGLETRANSLATE(B29591,""en"",""it"")"),"Un'ombra è a terra, causata da un arbusto progettato.")</f>
        <v>Un'ombra è a terra, causata da un arbusto progettato.</v>
      </c>
    </row>
    <row r="29592">
      <c r="A29592" s="4" t="s">
        <v>37262</v>
      </c>
      <c r="B29592" s="4" t="s">
        <v>37264</v>
      </c>
      <c r="C29592" s="5" t="str">
        <f>IFERROR(__xludf.DUMMYFUNCTION("GOOGLETRANSLATE(B29592,""en"",""it"")"),"Un uomo viene mostrato all'aperto, che mostra la sua moltitudine di cespugli decorativi nel suo cortile.")</f>
        <v>Un uomo viene mostrato all'aperto, che mostra la sua moltitudine di cespugli decorativi nel suo cortile.</v>
      </c>
    </row>
    <row r="29593">
      <c r="A29593" s="4" t="s">
        <v>37262</v>
      </c>
      <c r="B29593" s="4" t="s">
        <v>37265</v>
      </c>
      <c r="C29593" s="5" t="str">
        <f>IFERROR(__xludf.DUMMYFUNCTION("GOOGLETRANSLATE(B29593,""en"",""it"")"),"Clip e li misura per assicurarsi che appaiano al meglio.")</f>
        <v>Clip e li misura per assicurarsi che appaiano al meglio.</v>
      </c>
    </row>
    <row r="29594">
      <c r="A29594" s="4" t="s">
        <v>37262</v>
      </c>
      <c r="B29594" s="4" t="s">
        <v>37266</v>
      </c>
      <c r="C29594" s="5" t="str">
        <f>IFERROR(__xludf.DUMMYFUNCTION("GOOGLETRANSLATE(B29594,""en"",""it"")"),"Trova due che sembrano pugili e finge di farli combattere.")</f>
        <v>Trova due che sembrano pugili e finge di farli combattere.</v>
      </c>
    </row>
    <row r="29595">
      <c r="A29595" s="4" t="s">
        <v>37267</v>
      </c>
      <c r="B29595" s="6" t="s">
        <v>37268</v>
      </c>
      <c r="C29595" s="5" t="str">
        <f>IFERROR(__xludf.DUMMYFUNCTION("GOOGLETRANSLATE(B29595,""en"",""it"")"),"Viene vista una donna parlare con la gente in pubblico seguito da un uomo che si lava la bocca e bacia un'altra ragazza.")</f>
        <v>Viene vista una donna parlare con la gente in pubblico seguito da un uomo che si lava la bocca e bacia un'altra ragazza.</v>
      </c>
    </row>
    <row r="29596">
      <c r="A29596" s="4" t="s">
        <v>37267</v>
      </c>
      <c r="B29596" s="6" t="s">
        <v>37269</v>
      </c>
      <c r="C29596" s="5" t="str">
        <f>IFERROR(__xludf.DUMMYFUNCTION("GOOGLETRANSLATE(B29596,""en"",""it"")"),"Presenta quindi la bocca a varie persone che si estendono durante i giorni e fa sì che le persone parlano alla telecamera della loro esperienza.")</f>
        <v>Presenta quindi la bocca a varie persone che si estendono durante i giorni e fa sì che le persone parlano alla telecamera della loro esperienza.</v>
      </c>
    </row>
    <row r="29597">
      <c r="A29597" s="4" t="s">
        <v>37270</v>
      </c>
      <c r="B29597" s="4" t="s">
        <v>37271</v>
      </c>
      <c r="C29597" s="5" t="str">
        <f>IFERROR(__xludf.DUMMYFUNCTION("GOOGLETRANSLATE(B29597,""en"",""it"")"),"Vediamo Ellen che gioca a tennis da tavolo.")</f>
        <v>Vediamo Ellen che gioca a tennis da tavolo.</v>
      </c>
    </row>
    <row r="29598">
      <c r="A29598" s="4" t="s">
        <v>37270</v>
      </c>
      <c r="B29598" s="4" t="s">
        <v>37272</v>
      </c>
      <c r="C29598" s="5" t="str">
        <f>IFERROR(__xludf.DUMMYFUNCTION("GOOGLETRANSLATE(B29598,""en"",""it"")"),"Viene fuori un tennista da tavolo.")</f>
        <v>Viene fuori un tennista da tavolo.</v>
      </c>
    </row>
    <row r="29599">
      <c r="A29599" s="4" t="s">
        <v>37270</v>
      </c>
      <c r="B29599" s="4" t="s">
        <v>37273</v>
      </c>
      <c r="C29599" s="5" t="str">
        <f>IFERROR(__xludf.DUMMYFUNCTION("GOOGLETRANSLATE(B29599,""en"",""it"")"),"Si gioca la nuova partita.")</f>
        <v>Si gioca la nuova partita.</v>
      </c>
    </row>
    <row r="29600">
      <c r="A29600" s="4" t="s">
        <v>37270</v>
      </c>
      <c r="B29600" s="4" t="s">
        <v>37274</v>
      </c>
      <c r="C29600" s="5" t="str">
        <f>IFERROR(__xludf.DUMMYFUNCTION("GOOGLETRANSLATE(B29600,""en"",""it"")"),"L'uomo tiene fuori le braccia.")</f>
        <v>L'uomo tiene fuori le braccia.</v>
      </c>
    </row>
    <row r="29601">
      <c r="A29601" s="4" t="s">
        <v>37270</v>
      </c>
      <c r="B29601" s="4" t="s">
        <v>37275</v>
      </c>
      <c r="C29601" s="5" t="str">
        <f>IFERROR(__xludf.DUMMYFUNCTION("GOOGLETRANSLATE(B29601,""en"",""it"")"),"Ellen si abbassa vicino al tavolo.")</f>
        <v>Ellen si abbassa vicino al tavolo.</v>
      </c>
    </row>
    <row r="29602">
      <c r="A29602" s="4" t="s">
        <v>37270</v>
      </c>
      <c r="B29602" s="4" t="s">
        <v>37276</v>
      </c>
      <c r="C29602" s="5" t="str">
        <f>IFERROR(__xludf.DUMMYFUNCTION("GOOGLETRANSLATE(B29602,""en"",""it"")"),"I giocatori si stringono la mano, la signora abbraccia Ellen e ride.")</f>
        <v>I giocatori si stringono la mano, la signora abbraccia Ellen e ride.</v>
      </c>
    </row>
    <row r="29603">
      <c r="A29603" s="4" t="s">
        <v>37270</v>
      </c>
      <c r="B29603" s="4" t="s">
        <v>37277</v>
      </c>
      <c r="C29603" s="5" t="str">
        <f>IFERROR(__xludf.DUMMYFUNCTION("GOOGLETRANSLATE(B29603,""en"",""it"")"),"Vediamo lo schermo finale con Ellen su di esso.")</f>
        <v>Vediamo lo schermo finale con Ellen su di esso.</v>
      </c>
    </row>
    <row r="29604">
      <c r="A29604" s="4" t="s">
        <v>37278</v>
      </c>
      <c r="B29604" s="4" t="s">
        <v>37279</v>
      </c>
      <c r="C29604" s="5" t="str">
        <f>IFERROR(__xludf.DUMMYFUNCTION("GOOGLETRANSLATE(B29604,""en"",""it"")"),"Un uomo sta scivolando su un pendio, rapidamente.")</f>
        <v>Un uomo sta scivolando su un pendio, rapidamente.</v>
      </c>
    </row>
    <row r="29605">
      <c r="A29605" s="4" t="s">
        <v>37278</v>
      </c>
      <c r="B29605" s="4" t="s">
        <v>37280</v>
      </c>
      <c r="C29605" s="5" t="str">
        <f>IFERROR(__xludf.DUMMYFUNCTION("GOOGLETRANSLATE(B29605,""en"",""it"")"),"Si gira mentre passa tra gli altri sciatori lungo la strada.")</f>
        <v>Si gira mentre passa tra gli altri sciatori lungo la strada.</v>
      </c>
    </row>
    <row r="29606">
      <c r="A29606" s="4" t="s">
        <v>37278</v>
      </c>
      <c r="B29606" s="6" t="s">
        <v>37281</v>
      </c>
      <c r="C29606" s="5" t="str">
        <f>IFERROR(__xludf.DUMMYFUNCTION("GOOGLETRANSLATE(B29606,""en"",""it"")"),"L'uomo continua fino a quando non ha finito, quindi si rimuove al tabellone e si unisce ad altri sciatori nel punto di riposo.")</f>
        <v>L'uomo continua fino a quando non ha finito, quindi si rimuove al tabellone e si unisce ad altri sciatori nel punto di riposo.</v>
      </c>
    </row>
    <row r="29607">
      <c r="A29607" s="4" t="s">
        <v>37282</v>
      </c>
      <c r="B29607" s="4" t="s">
        <v>37283</v>
      </c>
      <c r="C29607" s="5" t="str">
        <f>IFERROR(__xludf.DUMMYFUNCTION("GOOGLETRANSLATE(B29607,""en"",""it"")"),"Viene mostrato un primo piano di foglie che vengono colpite.")</f>
        <v>Viene mostrato un primo piano di foglie che vengono colpite.</v>
      </c>
    </row>
    <row r="29608">
      <c r="A29608" s="4" t="s">
        <v>37282</v>
      </c>
      <c r="B29608" s="4" t="s">
        <v>37284</v>
      </c>
      <c r="C29608" s="5" t="str">
        <f>IFERROR(__xludf.DUMMYFUNCTION("GOOGLETRANSLATE(B29608,""en"",""it"")"),"Una persona soffia foglie con un soffiatore di foglie.")</f>
        <v>Una persona soffia foglie con un soffiatore di foglie.</v>
      </c>
    </row>
    <row r="29609">
      <c r="A29609" s="4" t="s">
        <v>37282</v>
      </c>
      <c r="B29609" s="4" t="s">
        <v>37285</v>
      </c>
      <c r="C29609" s="5" t="str">
        <f>IFERROR(__xludf.DUMMYFUNCTION("GOOGLETRANSLATE(B29609,""en"",""it"")"),"Continuano a soffiare le foglie attraverso il cortile.")</f>
        <v>Continuano a soffiare le foglie attraverso il cortile.</v>
      </c>
    </row>
    <row r="29610">
      <c r="A29610" s="4" t="s">
        <v>37286</v>
      </c>
      <c r="B29610" s="4" t="s">
        <v>37287</v>
      </c>
      <c r="C29610" s="5" t="str">
        <f>IFERROR(__xludf.DUMMYFUNCTION("GOOGLETRANSLATE(B29610,""en"",""it"")"),"Una donna sta pattinando su un marciapiede fuori.")</f>
        <v>Una donna sta pattinando su un marciapiede fuori.</v>
      </c>
    </row>
    <row r="29611">
      <c r="A29611" s="4" t="s">
        <v>37286</v>
      </c>
      <c r="B29611" s="4" t="s">
        <v>37288</v>
      </c>
      <c r="C29611" s="5" t="str">
        <f>IFERROR(__xludf.DUMMYFUNCTION("GOOGLETRANSLATE(B29611,""en"",""it"")"),"Rotola lentamente oltre la telecamera.")</f>
        <v>Rotola lentamente oltre la telecamera.</v>
      </c>
    </row>
    <row r="29612">
      <c r="A29612" s="4" t="s">
        <v>37286</v>
      </c>
      <c r="B29612" s="4" t="s">
        <v>37289</v>
      </c>
      <c r="C29612" s="5" t="str">
        <f>IFERROR(__xludf.DUMMYFUNCTION("GOOGLETRANSLATE(B29612,""en"",""it"")"),"Continua a pattinare lungo il marciapiede oltre il bordo dell'oceano.")</f>
        <v>Continua a pattinare lungo il marciapiede oltre il bordo dell'oceano.</v>
      </c>
    </row>
    <row r="29613">
      <c r="A29613" s="4" t="s">
        <v>37290</v>
      </c>
      <c r="B29613" s="4" t="s">
        <v>37291</v>
      </c>
      <c r="C29613" s="5" t="str">
        <f>IFERROR(__xludf.DUMMYFUNCTION("GOOGLETRANSLATE(B29613,""en"",""it"")"),"Una fotocamera si panoramica in un primo piano sottovuoto e mostra i piedi di una persona.")</f>
        <v>Una fotocamera si panoramica in un primo piano sottovuoto e mostra i piedi di una persona.</v>
      </c>
    </row>
    <row r="29614">
      <c r="A29614" s="4" t="s">
        <v>37290</v>
      </c>
      <c r="B29614" s="4" t="s">
        <v>37292</v>
      </c>
      <c r="C29614" s="5" t="str">
        <f>IFERROR(__xludf.DUMMYFUNCTION("GOOGLETRANSLATE(B29614,""en"",""it"")"),"La persona cammina con il vuoto e lo spinge lungo un tappeto.")</f>
        <v>La persona cammina con il vuoto e lo spinge lungo un tappeto.</v>
      </c>
    </row>
    <row r="29615">
      <c r="A29615" s="4" t="s">
        <v>37290</v>
      </c>
      <c r="B29615" s="6" t="s">
        <v>37293</v>
      </c>
      <c r="C29615" s="5" t="str">
        <f>IFERROR(__xludf.DUMMYFUNCTION("GOOGLETRANSLATE(B29615,""en"",""it"")"),"Vengono mostrati più scatti della persona che utilizza gli allegati sulla fotocamera e mostrano come è fatta.")</f>
        <v>Vengono mostrati più scatti della persona che utilizza gli allegati sulla fotocamera e mostrano come è fatta.</v>
      </c>
    </row>
    <row r="29616">
      <c r="A29616" s="4" t="s">
        <v>37294</v>
      </c>
      <c r="B29616" s="4" t="s">
        <v>37295</v>
      </c>
      <c r="C29616" s="5" t="str">
        <f>IFERROR(__xludf.DUMMYFUNCTION("GOOGLETRANSLATE(B29616,""en"",""it"")"),"Due ragazze vengono viste in ginocchio prima di una vasca mentre parlano alla telecamera.")</f>
        <v>Due ragazze vengono viste in ginocchio prima di una vasca mentre parlano alla telecamera.</v>
      </c>
    </row>
    <row r="29617">
      <c r="A29617" s="4" t="s">
        <v>37294</v>
      </c>
      <c r="B29617" s="6" t="s">
        <v>37296</v>
      </c>
      <c r="C29617" s="5" t="str">
        <f>IFERROR(__xludf.DUMMYFUNCTION("GOOGLETRANSLATE(B29617,""en"",""it"")"),"Le ragazze reggono un prodotto e lo misurano seguite da metterlo in bocca e facendolo girare in giro.")</f>
        <v>Le ragazze reggono un prodotto e lo misurano seguite da metterlo in bocca e facendolo girare in giro.</v>
      </c>
    </row>
    <row r="29618">
      <c r="A29618" s="4" t="s">
        <v>37294</v>
      </c>
      <c r="B29618" s="4" t="s">
        <v>37297</v>
      </c>
      <c r="C29618" s="5" t="str">
        <f>IFERROR(__xludf.DUMMYFUNCTION("GOOGLETRANSLATE(B29618,""en"",""it"")"),"Le ragazze quindi sputarono il liquido e continuano a parlare con la telecamera.")</f>
        <v>Le ragazze quindi sputarono il liquido e continuano a parlare con la telecamera.</v>
      </c>
    </row>
    <row r="29619">
      <c r="A29619" s="4" t="s">
        <v>37298</v>
      </c>
      <c r="B29619" s="4" t="s">
        <v>37299</v>
      </c>
      <c r="C29619" s="5" t="str">
        <f>IFERROR(__xludf.DUMMYFUNCTION("GOOGLETRANSLATE(B29619,""en"",""it"")"),"Un giovane risolve un puzzle del cubo mentre un uomo lo sta su fronte.")</f>
        <v>Un giovane risolve un puzzle del cubo mentre un uomo lo sta su fronte.</v>
      </c>
    </row>
    <row r="29620">
      <c r="A29620" s="4" t="s">
        <v>37298</v>
      </c>
      <c r="B29620" s="4" t="s">
        <v>37300</v>
      </c>
      <c r="C29620" s="5" t="str">
        <f>IFERROR(__xludf.DUMMYFUNCTION("GOOGLETRANSLATE(B29620,""en"",""it"")"),"Quindi, un uomo scrive su un giornale e mostra il giovane.")</f>
        <v>Quindi, un uomo scrive su un giornale e mostra il giovane.</v>
      </c>
    </row>
    <row r="29621">
      <c r="A29621" s="4" t="s">
        <v>37298</v>
      </c>
      <c r="B29621" s="4" t="s">
        <v>37301</v>
      </c>
      <c r="C29621" s="5" t="str">
        <f>IFERROR(__xludf.DUMMYFUNCTION("GOOGLETRANSLATE(B29621,""en"",""it"")"),"Il giovane risolve di nuovo il puzzle è meno tempo e l'uomo prende atto.")</f>
        <v>Il giovane risolve di nuovo il puzzle è meno tempo e l'uomo prende atto.</v>
      </c>
    </row>
    <row r="29622">
      <c r="A29622" s="4" t="s">
        <v>37298</v>
      </c>
      <c r="B29622" s="4" t="s">
        <v>37302</v>
      </c>
      <c r="C29622" s="5" t="str">
        <f>IFERROR(__xludf.DUMMYFUNCTION("GOOGLETRANSLATE(B29622,""en"",""it"")"),"Dopo che il giovane risolve di nuovo due volte il puzzle in meno tempo.")</f>
        <v>Dopo che il giovane risolve di nuovo due volte il puzzle in meno tempo.</v>
      </c>
    </row>
    <row r="29623">
      <c r="A29623" s="4" t="s">
        <v>37298</v>
      </c>
      <c r="B29623" s="6" t="s">
        <v>37303</v>
      </c>
      <c r="C29623" s="5" t="str">
        <f>IFERROR(__xludf.DUMMYFUNCTION("GOOGLETRANSLATE(B29623,""en"",""it"")"),"Alla fine, il giovane risolve il puzzle in meno tempo rispetto ai tempi precedenti, si solleva dalla sua sedia.")</f>
        <v>Alla fine, il giovane risolve il puzzle in meno tempo rispetto ai tempi precedenti, si solleva dalla sua sedia.</v>
      </c>
    </row>
    <row r="29624">
      <c r="A29624" s="4" t="s">
        <v>37304</v>
      </c>
      <c r="B29624" s="4" t="s">
        <v>37305</v>
      </c>
      <c r="C29624" s="5" t="str">
        <f>IFERROR(__xludf.DUMMYFUNCTION("GOOGLETRANSLATE(B29624,""en"",""it"")"),"Una ragazza è seduta su una sedia, in attesa nervosa.")</f>
        <v>Una ragazza è seduta su una sedia, in attesa nervosa.</v>
      </c>
    </row>
    <row r="29625">
      <c r="A29625" s="4" t="s">
        <v>37304</v>
      </c>
      <c r="B29625" s="4" t="s">
        <v>37306</v>
      </c>
      <c r="C29625" s="5" t="str">
        <f>IFERROR(__xludf.DUMMYFUNCTION("GOOGLETRANSLATE(B29625,""en"",""it"")"),"L'artista penetrante dipinge un punto sopra il labbro.")</f>
        <v>L'artista penetrante dipinge un punto sopra il labbro.</v>
      </c>
    </row>
    <row r="29626">
      <c r="A29626" s="4" t="s">
        <v>37304</v>
      </c>
      <c r="B29626" s="4" t="s">
        <v>37307</v>
      </c>
      <c r="C29626" s="5" t="str">
        <f>IFERROR(__xludf.DUMMYFUNCTION("GOOGLETRANSLATE(B29626,""en"",""it"")"),"Significa i suoi strumenti e procede a perforare il labbro della ragazza.")</f>
        <v>Significa i suoi strumenti e procede a perforare il labbro della ragazza.</v>
      </c>
    </row>
    <row r="29627">
      <c r="A29627" s="4" t="s">
        <v>37304</v>
      </c>
      <c r="B29627" s="4" t="s">
        <v>37308</v>
      </c>
      <c r="C29627" s="5" t="str">
        <f>IFERROR(__xludf.DUMMYFUNCTION("GOOGLETRANSLATE(B29627,""en"",""it"")"),"Inserisce un anello nel piercing.")</f>
        <v>Inserisce un anello nel piercing.</v>
      </c>
    </row>
    <row r="29628">
      <c r="A29628" s="4" t="s">
        <v>37304</v>
      </c>
      <c r="B29628" s="4" t="s">
        <v>37309</v>
      </c>
      <c r="C29628" s="5" t="str">
        <f>IFERROR(__xludf.DUMMYFUNCTION("GOOGLETRANSLATE(B29628,""en"",""it"")"),"Rigrigna il piercing e pulisce il piercing.")</f>
        <v>Rigrigna il piercing e pulisce il piercing.</v>
      </c>
    </row>
    <row r="29629">
      <c r="A29629" s="4" t="s">
        <v>37304</v>
      </c>
      <c r="B29629" s="4" t="s">
        <v>37310</v>
      </c>
      <c r="C29629" s="5" t="str">
        <f>IFERROR(__xludf.DUMMYFUNCTION("GOOGLETRANSLATE(B29629,""en"",""it"")"),"La ragazza si guarda in uno specchio consegnato dall'artista penetrante e sembra contenta.")</f>
        <v>La ragazza si guarda in uno specchio consegnato dall'artista penetrante e sembra contenta.</v>
      </c>
    </row>
    <row r="29630">
      <c r="A29630" s="4" t="s">
        <v>37311</v>
      </c>
      <c r="B29630" s="4" t="s">
        <v>37312</v>
      </c>
      <c r="C29630" s="5" t="str">
        <f>IFERROR(__xludf.DUMMYFUNCTION("GOOGLETRANSLATE(B29630,""en"",""it"")"),"Si vede un bambino accendere un rubinetto e inizia a lavarsi i piatti in un lavandino.")</f>
        <v>Si vede un bambino accendere un rubinetto e inizia a lavarsi i piatti in un lavandino.</v>
      </c>
    </row>
    <row r="29631">
      <c r="A29631" s="4" t="s">
        <v>37311</v>
      </c>
      <c r="B29631" s="6" t="s">
        <v>37313</v>
      </c>
      <c r="C29631" s="5" t="str">
        <f>IFERROR(__xludf.DUMMYFUNCTION("GOOGLETRANSLATE(B29631,""en"",""it"")"),"Il bambino spegne di nuovo l'acqua e strofina i piatti e un'altra persona che entra per aiutare.")</f>
        <v>Il bambino spegne di nuovo l'acqua e strofina i piatti e un'altra persona che entra per aiutare.</v>
      </c>
    </row>
    <row r="29632">
      <c r="A29632" s="4" t="s">
        <v>37314</v>
      </c>
      <c r="B29632" s="6" t="s">
        <v>37315</v>
      </c>
      <c r="C29632" s="5" t="str">
        <f>IFERROR(__xludf.DUMMYFUNCTION("GOOGLETRANSLATE(B29632,""en"",""it"")"),"La squadra di Cherleader che indossa le uniformi viola sta facendo una coreografia nel mezzo di un campo di legno.")</f>
        <v>La squadra di Cherleader che indossa le uniformi viola sta facendo una coreografia nel mezzo di un campo di legno.</v>
      </c>
    </row>
    <row r="29633">
      <c r="A29633" s="4" t="s">
        <v>37314</v>
      </c>
      <c r="B29633" s="4" t="s">
        <v>37316</v>
      </c>
      <c r="C29633" s="5" t="str">
        <f>IFERROR(__xludf.DUMMYFUNCTION("GOOGLETRANSLATE(B29633,""en"",""it"")"),"Molte persone sono sedute su stand in campo.")</f>
        <v>Molte persone sono sedute su stand in campo.</v>
      </c>
    </row>
    <row r="29634">
      <c r="A29634" s="4" t="s">
        <v>37314</v>
      </c>
      <c r="B29634" s="4" t="s">
        <v>37317</v>
      </c>
      <c r="C29634" s="5" t="str">
        <f>IFERROR(__xludf.DUMMYFUNCTION("GOOGLETRANSLATE(B29634,""en"",""it"")"),"La gente cammina ai lati del campo di legno in una palestra coperta.")</f>
        <v>La gente cammina ai lati del campo di legno in una palestra coperta.</v>
      </c>
    </row>
    <row r="29635">
      <c r="A29635" s="4" t="s">
        <v>37318</v>
      </c>
      <c r="B29635" s="4" t="s">
        <v>37319</v>
      </c>
      <c r="C29635" s="5" t="str">
        <f>IFERROR(__xludf.DUMMYFUNCTION("GOOGLETRANSLATE(B29635,""en"",""it"")"),"Vediamo una ragazza che si prepara a immergersi in una piscina al coperto.")</f>
        <v>Vediamo una ragazza che si prepara a immergersi in una piscina al coperto.</v>
      </c>
    </row>
    <row r="29636">
      <c r="A29636" s="4" t="s">
        <v>37318</v>
      </c>
      <c r="B29636" s="4" t="s">
        <v>37320</v>
      </c>
      <c r="C29636" s="5" t="str">
        <f>IFERROR(__xludf.DUMMYFUNCTION("GOOGLETRANSLATE(B29636,""en"",""it"")"),"La ragazza salta e si alza con l'aspetto dell'altezza.")</f>
        <v>La ragazza salta e si alza con l'aspetto dell'altezza.</v>
      </c>
    </row>
    <row r="29637">
      <c r="A29637" s="4" t="s">
        <v>37318</v>
      </c>
      <c r="B29637" s="4" t="s">
        <v>37321</v>
      </c>
      <c r="C29637" s="5" t="str">
        <f>IFERROR(__xludf.DUMMYFUNCTION("GOOGLETRANSLATE(B29637,""en"",""it"")"),"La ragazza si trasforma e si tuffa in acqua.")</f>
        <v>La ragazza si trasforma e si tuffa in acqua.</v>
      </c>
    </row>
    <row r="29638">
      <c r="A29638" s="4" t="s">
        <v>37318</v>
      </c>
      <c r="B29638" s="4" t="s">
        <v>37322</v>
      </c>
      <c r="C29638" s="5" t="str">
        <f>IFERROR(__xludf.DUMMYFUNCTION("GOOGLETRANSLATE(B29638,""en"",""it"")"),"La ragazza emerge e nuota sul bordo della piscina.")</f>
        <v>La ragazza emerge e nuota sul bordo della piscina.</v>
      </c>
    </row>
    <row r="29639">
      <c r="A29639" s="4" t="s">
        <v>37323</v>
      </c>
      <c r="B29639" s="4" t="s">
        <v>37324</v>
      </c>
      <c r="C29639" s="5" t="str">
        <f>IFERROR(__xludf.DUMMYFUNCTION("GOOGLETRANSLATE(B29639,""en"",""it"")"),"Il video inizia con un logo delle cattedrali della luce.")</f>
        <v>Il video inizia con un logo delle cattedrali della luce.</v>
      </c>
    </row>
    <row r="29640">
      <c r="A29640" s="4" t="s">
        <v>37323</v>
      </c>
      <c r="B29640" s="4" t="s">
        <v>37325</v>
      </c>
      <c r="C29640" s="5" t="str">
        <f>IFERROR(__xludf.DUMMYFUNCTION("GOOGLETRANSLATE(B29640,""en"",""it"")"),"Successivamente viene mostrato un gruppo di persone.")</f>
        <v>Successivamente viene mostrato un gruppo di persone.</v>
      </c>
    </row>
    <row r="29641">
      <c r="A29641" s="4" t="s">
        <v>37323</v>
      </c>
      <c r="B29641" s="4" t="s">
        <v>37326</v>
      </c>
      <c r="C29641" s="5" t="str">
        <f>IFERROR(__xludf.DUMMYFUNCTION("GOOGLETRANSLATE(B29641,""en"",""it"")"),"Quindi le persone vengono mostrate nuotare in un mondo sottomarino.")</f>
        <v>Quindi le persone vengono mostrate nuotare in un mondo sottomarino.</v>
      </c>
    </row>
    <row r="29642">
      <c r="A29642" s="4" t="s">
        <v>37323</v>
      </c>
      <c r="B29642" s="4" t="s">
        <v>37327</v>
      </c>
      <c r="C29642" s="5" t="str">
        <f>IFERROR(__xludf.DUMMYFUNCTION("GOOGLETRANSLATE(B29642,""en"",""it"")"),"Le barriere coralline e le rocce sono mostrate sott'acqua.")</f>
        <v>Le barriere coralline e le rocce sono mostrate sott'acqua.</v>
      </c>
    </row>
    <row r="29643">
      <c r="A29643" s="4" t="s">
        <v>37323</v>
      </c>
      <c r="B29643" s="4" t="s">
        <v>37328</v>
      </c>
      <c r="C29643" s="5" t="str">
        <f>IFERROR(__xludf.DUMMYFUNCTION("GOOGLETRANSLATE(B29643,""en"",""it"")"),"I subacquei subacquei vengono mostrati nuotando in profondità nell'acqua che esplorano ciò che è in giro.")</f>
        <v>I subacquei subacquei vengono mostrati nuotando in profondità nell'acqua che esplorano ciò che è in giro.</v>
      </c>
    </row>
    <row r="29644">
      <c r="A29644" s="4" t="s">
        <v>37329</v>
      </c>
      <c r="B29644" s="4" t="s">
        <v>37330</v>
      </c>
      <c r="C29644" s="5" t="str">
        <f>IFERROR(__xludf.DUMMYFUNCTION("GOOGLETRANSLATE(B29644,""en"",""it"")"),"Due uomini sono accanto al tavolo che indossano camicie blu e caschi di saldatura.")</f>
        <v>Due uomini sono accanto al tavolo che indossano camicie blu e caschi di saldatura.</v>
      </c>
    </row>
    <row r="29645">
      <c r="A29645" s="4" t="s">
        <v>37329</v>
      </c>
      <c r="B29645" s="6" t="s">
        <v>37331</v>
      </c>
      <c r="C29645" s="5" t="str">
        <f>IFERROR(__xludf.DUMMYFUNCTION("GOOGLETRANSLATE(B29645,""en"",""it"")"),"L'uomo tiene una saldatrice e lavora su un metallo che provoca scintille, accanto a lui c'è un altro uomo che guarda da vicino sul metallo.")</f>
        <v>L'uomo tiene una saldatrice e lavora su un metallo che provoca scintille, accanto a lui c'è un altro uomo che guarda da vicino sul metallo.</v>
      </c>
    </row>
    <row r="29646">
      <c r="A29646" s="4" t="s">
        <v>37329</v>
      </c>
      <c r="B29646" s="4" t="s">
        <v>37332</v>
      </c>
      <c r="C29646" s="5" t="str">
        <f>IFERROR(__xludf.DUMMYFUNCTION("GOOGLETRANSLATE(B29646,""en"",""it"")"),"Le luci illuminate, l'uomo sta colpendo il metallo.")</f>
        <v>Le luci illuminate, l'uomo sta colpendo il metallo.</v>
      </c>
    </row>
    <row r="29647">
      <c r="A29647" s="4" t="s">
        <v>37333</v>
      </c>
      <c r="B29647" s="4" t="s">
        <v>37334</v>
      </c>
      <c r="C29647" s="5" t="str">
        <f>IFERROR(__xludf.DUMMYFUNCTION("GOOGLETRANSLATE(B29647,""en"",""it"")"),"Una ginnasta è nervosa in attesa del suo inizio.")</f>
        <v>Una ginnasta è nervosa in attesa del suo inizio.</v>
      </c>
    </row>
    <row r="29648">
      <c r="A29648" s="4" t="s">
        <v>37333</v>
      </c>
      <c r="B29648" s="4" t="s">
        <v>37335</v>
      </c>
      <c r="C29648" s="5" t="str">
        <f>IFERROR(__xludf.DUMMYFUNCTION("GOOGLETRANSLATE(B29648,""en"",""it"")"),"La folla nell'arena la guarda.")</f>
        <v>La folla nell'arena la guarda.</v>
      </c>
    </row>
    <row r="29649">
      <c r="A29649" s="4" t="s">
        <v>37333</v>
      </c>
      <c r="B29649" s="4" t="s">
        <v>37336</v>
      </c>
      <c r="C29649" s="5" t="str">
        <f>IFERROR(__xludf.DUMMYFUNCTION("GOOGLETRANSLATE(B29649,""en"",""it"")"),"Si arrampica in un bar ed esegue vari lanci, cartwheels, oltre a fare le divisioni a metà aria.")</f>
        <v>Si arrampica in un bar ed esegue vari lanci, cartwheels, oltre a fare le divisioni a metà aria.</v>
      </c>
    </row>
    <row r="29650">
      <c r="A29650" s="4" t="s">
        <v>37333</v>
      </c>
      <c r="B29650" s="4" t="s">
        <v>37337</v>
      </c>
      <c r="C29650" s="5" t="str">
        <f>IFERROR(__xludf.DUMMYFUNCTION("GOOGLETRANSLATE(B29650,""en"",""it"")"),"Salta giù dal bar e atterra su un tappetino blu.")</f>
        <v>Salta giù dal bar e atterra su un tappetino blu.</v>
      </c>
    </row>
    <row r="29651">
      <c r="A29651" s="4" t="s">
        <v>37338</v>
      </c>
      <c r="B29651" s="6" t="s">
        <v>37339</v>
      </c>
      <c r="C29651" s="5" t="str">
        <f>IFERROR(__xludf.DUMMYFUNCTION("GOOGLETRANSLATE(B29651,""en"",""it"")"),"L'auto di una persona è mostrata da diversi angoli con una persona all'interno e conduce alla macchina alla guida con le persone all'interno.")</f>
        <v>L'auto di una persona è mostrata da diversi angoli con una persona all'interno e conduce alla macchina alla guida con le persone all'interno.</v>
      </c>
    </row>
    <row r="29652">
      <c r="A29652" s="4" t="s">
        <v>37338</v>
      </c>
      <c r="B29652" s="4" t="s">
        <v>37340</v>
      </c>
      <c r="C29652" s="5" t="str">
        <f>IFERROR(__xludf.DUMMYFUNCTION("GOOGLETRANSLATE(B29652,""en"",""it"")"),"La gente viene quindi mostrata in vari angoli che cavalca una montagna innevata e scendendo una collina.")</f>
        <v>La gente viene quindi mostrata in vari angoli che cavalca una montagna innevata e scendendo una collina.</v>
      </c>
    </row>
    <row r="29653">
      <c r="A29653" s="4" t="s">
        <v>37338</v>
      </c>
      <c r="B29653" s="6" t="s">
        <v>37341</v>
      </c>
      <c r="C29653" s="5" t="str">
        <f>IFERROR(__xludf.DUMMYFUNCTION("GOOGLETRANSLATE(B29653,""en"",""it"")"),"I primi piani dei volti della gente vengono mostrati mentre vanno su e giù per la collina più volte e atterrano sul fondo di una collina.")</f>
        <v>I primi piani dei volti della gente vengono mostrati mentre vanno su e giù per la collina più volte e atterrano sul fondo di una collina.</v>
      </c>
    </row>
    <row r="29654">
      <c r="A29654" s="4" t="s">
        <v>37342</v>
      </c>
      <c r="B29654" s="4" t="s">
        <v>37343</v>
      </c>
      <c r="C29654" s="5" t="str">
        <f>IFERROR(__xludf.DUMMYFUNCTION("GOOGLETRANSLATE(B29654,""en"",""it"")"),"Un uomo è a un tumulo, girando un disco in tondo.")</f>
        <v>Un uomo è a un tumulo, girando un disco in tondo.</v>
      </c>
    </row>
    <row r="29655">
      <c r="A29655" s="4" t="s">
        <v>37342</v>
      </c>
      <c r="B29655" s="4" t="s">
        <v>37344</v>
      </c>
      <c r="C29655" s="5" t="str">
        <f>IFERROR(__xludf.DUMMYFUNCTION("GOOGLETRANSLATE(B29655,""en"",""it"")"),"Lascia andare il disco e lo guarda volare.")</f>
        <v>Lascia andare il disco e lo guarda volare.</v>
      </c>
    </row>
    <row r="29656">
      <c r="A29656" s="4" t="s">
        <v>37342</v>
      </c>
      <c r="B29656" s="4" t="s">
        <v>37345</v>
      </c>
      <c r="C29656" s="5" t="str">
        <f>IFERROR(__xludf.DUMMYFUNCTION("GOOGLETRANSLATE(B29656,""en"",""it"")"),"Una linea di dischi viene mostrata davanti a un gruppo di persone sul campo, scegliendo il proprio disco.")</f>
        <v>Una linea di dischi viene mostrata davanti a un gruppo di persone sul campo, scegliendo il proprio disco.</v>
      </c>
    </row>
    <row r="29657">
      <c r="A29657" s="4" t="s">
        <v>37342</v>
      </c>
      <c r="B29657" s="4" t="s">
        <v>37346</v>
      </c>
      <c r="C29657" s="5" t="str">
        <f>IFERROR(__xludf.DUMMYFUNCTION("GOOGLETRANSLATE(B29657,""en"",""it"")"),"Le persone vengono mostrate, una alla volta, lanciando i dischi.")</f>
        <v>Le persone vengono mostrate, una alla volta, lanciando i dischi.</v>
      </c>
    </row>
    <row r="29658">
      <c r="A29658" s="4" t="s">
        <v>37342</v>
      </c>
      <c r="B29658" s="4" t="s">
        <v>37347</v>
      </c>
      <c r="C29658" s="5" t="str">
        <f>IFERROR(__xludf.DUMMYFUNCTION("GOOGLETRANSLATE(B29658,""en"",""it"")"),"Il vincitore si trova con il suo trofeo, stringendo le mani di persone che si avvicinano a lui.")</f>
        <v>Il vincitore si trova con il suo trofeo, stringendo le mani di persone che si avvicinano a lui.</v>
      </c>
    </row>
    <row r="29659">
      <c r="A29659" s="4" t="s">
        <v>37348</v>
      </c>
      <c r="B29659" s="6" t="s">
        <v>37349</v>
      </c>
      <c r="C29659" s="5" t="str">
        <f>IFERROR(__xludf.DUMMYFUNCTION("GOOGLETRANSLATE(B29659,""en"",""it"")"),"Vengono mostrate varie clip di persone che giocano a lacrosse seguite da un uomo che tiene il bastone e parla alla telecamera.")</f>
        <v>Vengono mostrate varie clip di persone che giocano a lacrosse seguite da un uomo che tiene il bastone e parla alla telecamera.</v>
      </c>
    </row>
    <row r="29660">
      <c r="A29660" s="4" t="s">
        <v>37348</v>
      </c>
      <c r="B29660" s="4" t="s">
        <v>37350</v>
      </c>
      <c r="C29660" s="5" t="str">
        <f>IFERROR(__xludf.DUMMYFUNCTION("GOOGLETRANSLATE(B29660,""en"",""it"")"),"Muove il bastone tutt'intorno a dimostrare come giocare correttamente.")</f>
        <v>Muove il bastone tutt'intorno a dimostrare come giocare correttamente.</v>
      </c>
    </row>
    <row r="29661">
      <c r="A29661" s="4" t="s">
        <v>37351</v>
      </c>
      <c r="B29661" s="4" t="s">
        <v>37352</v>
      </c>
      <c r="C29661" s="5" t="str">
        <f>IFERROR(__xludf.DUMMYFUNCTION("GOOGLETRANSLATE(B29661,""en"",""it"")"),"Una bambina prende a calci una grande palla rosa a sua madre, che la prende e la riprende.")</f>
        <v>Una bambina prende a calci una grande palla rosa a sua madre, che la prende e la riprende.</v>
      </c>
    </row>
    <row r="29662">
      <c r="A29662" s="4" t="s">
        <v>37351</v>
      </c>
      <c r="B29662" s="4" t="s">
        <v>37353</v>
      </c>
      <c r="C29662" s="5" t="str">
        <f>IFERROR(__xludf.DUMMYFUNCTION("GOOGLETRANSLATE(B29662,""en"",""it"")"),"Continuano a calciare e lanciarsi l'uno contro l'altro e un uomo si unisce.")</f>
        <v>Continuano a calciare e lanciarsi l'uno contro l'altro e un uomo si unisce.</v>
      </c>
    </row>
    <row r="29663">
      <c r="A29663" s="4" t="s">
        <v>37351</v>
      </c>
      <c r="B29663" s="4" t="s">
        <v>37354</v>
      </c>
      <c r="C29663" s="5" t="str">
        <f>IFERROR(__xludf.DUMMYFUNCTION("GOOGLETRANSLATE(B29663,""en"",""it"")"),"La bambina insegue la palla, riportandola indietro.")</f>
        <v>La bambina insegue la palla, riportandola indietro.</v>
      </c>
    </row>
    <row r="29664">
      <c r="A29664" s="4" t="s">
        <v>37355</v>
      </c>
      <c r="B29664" s="6" t="s">
        <v>37356</v>
      </c>
      <c r="C29664" s="5" t="str">
        <f>IFERROR(__xludf.DUMMYFUNCTION("GOOGLETRANSLATE(B29664,""en"",""it"")"),"Una ginnasta femminile salta su un raggio di equilibrio e fa molti trucchi, lancia e atterra in piedi.")</f>
        <v>Una ginnasta femminile salta su un raggio di equilibrio e fa molti trucchi, lancia e atterra in piedi.</v>
      </c>
    </row>
    <row r="29665">
      <c r="A29665" s="4" t="s">
        <v>37355</v>
      </c>
      <c r="B29665" s="6" t="s">
        <v>37357</v>
      </c>
      <c r="C29665" s="5" t="str">
        <f>IFERROR(__xludf.DUMMYFUNCTION("GOOGLETRANSLATE(B29665,""en"",""it"")"),"La ginnasta fa due belle schiena si sposta indietro mentre mantiene l'equilibrio e l'atterraggio prefetto in piedi.")</f>
        <v>La ginnasta fa due belle schiena si sposta indietro mentre mantiene l'equilibrio e l'atterraggio prefetto in piedi.</v>
      </c>
    </row>
    <row r="29666">
      <c r="A29666" s="4" t="s">
        <v>37355</v>
      </c>
      <c r="B29666" s="6" t="s">
        <v>37358</v>
      </c>
      <c r="C29666" s="5" t="str">
        <f>IFERROR(__xludf.DUMMYFUNCTION("GOOGLETRANSLATE(B29666,""en"",""it"")"),"Alla fine la ginnasta femminile termina con un alto due volte capovolge dal raggio di equilibrio in aria e atterra sul prefetto del tappeto.")</f>
        <v>Alla fine la ginnasta femminile termina con un alto due volte capovolge dal raggio di equilibrio in aria e atterra sul prefetto del tappeto.</v>
      </c>
    </row>
    <row r="29667">
      <c r="A29667" s="4" t="s">
        <v>37359</v>
      </c>
      <c r="B29667" s="6" t="s">
        <v>37360</v>
      </c>
      <c r="C29667" s="5" t="str">
        <f>IFERROR(__xludf.DUMMYFUNCTION("GOOGLETRANSLATE(B29667,""en"",""it"")"),"Un'introduzione appare di una persona che si trova davanti agli oggetti su un bancone, quindi uno schermo bianco appare con un'immagine di un gufo e le parole sullo schermo che includono un sito Web e le parole grigie ""Samurai Pro Knife Ainitatore"".")</f>
        <v>Un'introduzione appare di una persona che si trova davanti agli oggetti su un bancone, quindi uno schermo bianco appare con un'immagine di un gufo e le parole sullo schermo che includono un sito Web e le parole grigie "Samurai Pro Knife Ainitatore".</v>
      </c>
    </row>
    <row r="29668">
      <c r="A29668" s="4" t="s">
        <v>37359</v>
      </c>
      <c r="B29668" s="6" t="s">
        <v>37361</v>
      </c>
      <c r="C29668" s="5" t="str">
        <f>IFERROR(__xludf.DUMMYFUNCTION("GOOGLETRANSLATE(B29668,""en"",""it"")"),"L'uomo quindi raccoglie i due coltelli vicino al suo tagliere e dimostra come ognuno taglia un pezzo di cipolla verde il tagliere, quindi fissa la affilata sul bancone, fa scorrere il coltello attraverso la penna alcune volte, poi torna a mostrare Come ta"&amp;"glia la cipolla verde e come appaiono le lame.")</f>
        <v>L'uomo quindi raccoglie i due coltelli vicino al suo tagliere e dimostra come ognuno taglia un pezzo di cipolla verde il tagliere, quindi fissa la affilata sul bancone, fa scorrere il coltello attraverso la penna alcune volte, poi torna a mostrare Come taglia la cipolla verde e come appaiono le lame.</v>
      </c>
    </row>
    <row r="29669">
      <c r="A29669" s="4" t="s">
        <v>37359</v>
      </c>
      <c r="B29669" s="4" t="s">
        <v>37362</v>
      </c>
      <c r="C29669" s="5" t="str">
        <f>IFERROR(__xludf.DUMMYFUNCTION("GOOGLETRANSLATE(B29669,""en"",""it"")"),"L'uomo tocca, tiene in mano e mostra alla fotocamera uno sguardo più vicino della penombra.")</f>
        <v>L'uomo tocca, tiene in mano e mostra alla fotocamera uno sguardo più vicino della penombra.</v>
      </c>
    </row>
    <row r="29670">
      <c r="A29670" s="4" t="s">
        <v>37359</v>
      </c>
      <c r="B29670" s="6" t="s">
        <v>37363</v>
      </c>
      <c r="C29670" s="5" t="str">
        <f>IFERROR(__xludf.DUMMYFUNCTION("GOOGLETRANSLATE(B29670,""en"",""it"")"),"L'outro è una persona che disegna il gufo e il sito Web su un grande pezzo di carta con i pennarelli, dà un pollice in su quando hanno finito, quindi lo schermo va a uno schermo bianco digitale dello stesso gufo appena disegnato e al sito Web sotto di ess"&amp;"o.")</f>
        <v>L'outro è una persona che disegna il gufo e il sito Web su un grande pezzo di carta con i pennarelli, dà un pollice in su quando hanno finito, quindi lo schermo va a uno schermo bianco digitale dello stesso gufo appena disegnato e al sito Web sotto di esso.</v>
      </c>
    </row>
    <row r="29671">
      <c r="A29671" s="4" t="s">
        <v>37364</v>
      </c>
      <c r="B29671" s="4" t="s">
        <v>37365</v>
      </c>
      <c r="C29671" s="5" t="str">
        <f>IFERROR(__xludf.DUMMYFUNCTION("GOOGLETRANSLATE(B29671,""en"",""it"")"),"Le donne tengono una palla e girano in giro prima di gettarla sul campo.")</f>
        <v>Le donne tengono una palla e girano in giro prima di gettarla sul campo.</v>
      </c>
    </row>
    <row r="29672">
      <c r="A29672" s="4" t="s">
        <v>37364</v>
      </c>
      <c r="B29672" s="4" t="s">
        <v>37366</v>
      </c>
      <c r="C29672" s="5" t="str">
        <f>IFERROR(__xludf.DUMMYFUNCTION("GOOGLETRANSLATE(B29672,""en"",""it"")"),"Un uomo con una camicia rossa tiene una scopa.")</f>
        <v>Un uomo con una camicia rossa tiene una scopa.</v>
      </c>
    </row>
    <row r="29673">
      <c r="A29673" s="4" t="s">
        <v>37364</v>
      </c>
      <c r="B29673" s="4" t="s">
        <v>37367</v>
      </c>
      <c r="C29673" s="5" t="str">
        <f>IFERROR(__xludf.DUMMYFUNCTION("GOOGLETRANSLATE(B29673,""en"",""it"")"),"Le persone li stanno guardando lanciare le palle.")</f>
        <v>Le persone li stanno guardando lanciare le palle.</v>
      </c>
    </row>
    <row r="29674">
      <c r="A29674" s="4" t="s">
        <v>37368</v>
      </c>
      <c r="B29674" s="4" t="s">
        <v>37369</v>
      </c>
      <c r="C29674" s="5" t="str">
        <f>IFERROR(__xludf.DUMMYFUNCTION("GOOGLETRANSLATE(B29674,""en"",""it"")"),"Vengono mostrate diverse immagini di un bowling di un uomo calvo e poi appare e lancia una palla curva.")</f>
        <v>Vengono mostrate diverse immagini di un bowling di un uomo calvo e poi appare e lancia una palla curva.</v>
      </c>
    </row>
    <row r="29675">
      <c r="A29675" s="4" t="s">
        <v>37368</v>
      </c>
      <c r="B29675" s="6" t="s">
        <v>37370</v>
      </c>
      <c r="C29675" s="5" t="str">
        <f>IFERROR(__xludf.DUMMYFUNCTION("GOOGLETRANSLATE(B29675,""en"",""it"")"),"Vengono mostrati diversi video di diverse posizioni della palla curva e la palla va quasi alla grondaia ma curve a circa due o tre piedi di distanza dai perni di bowling.")</f>
        <v>Vengono mostrati diversi video di diverse posizioni della palla curva e la palla va quasi alla grondaia ma curve a circa due o tre piedi di distanza dai perni di bowling.</v>
      </c>
    </row>
    <row r="29676">
      <c r="A29676" s="4" t="s">
        <v>37371</v>
      </c>
      <c r="B29676" s="4" t="s">
        <v>37372</v>
      </c>
      <c r="C29676" s="5" t="str">
        <f>IFERROR(__xludf.DUMMYFUNCTION("GOOGLETRANSLATE(B29676,""en"",""it"")"),"Un uomo si accumula più volte lungo una corsia.")</f>
        <v>Un uomo si accumula più volte lungo una corsia.</v>
      </c>
    </row>
    <row r="29677">
      <c r="A29677" s="4" t="s">
        <v>37371</v>
      </c>
      <c r="B29677" s="4" t="s">
        <v>37373</v>
      </c>
      <c r="C29677" s="5" t="str">
        <f>IFERROR(__xludf.DUMMYFUNCTION("GOOGLETRANSLATE(B29677,""en"",""it"")"),"Viene mostrato lo schermo della scheda dei punteggi.")</f>
        <v>Viene mostrato lo schermo della scheda dei punteggi.</v>
      </c>
    </row>
    <row r="29678">
      <c r="A29678" s="4" t="s">
        <v>37374</v>
      </c>
      <c r="B29678" s="4" t="s">
        <v>37375</v>
      </c>
      <c r="C29678" s="5" t="str">
        <f>IFERROR(__xludf.DUMMYFUNCTION("GOOGLETRANSLATE(B29678,""en"",""it"")"),"Viene visto un primo piano di un cane che procede a scappare verso un altro cane.")</f>
        <v>Viene visto un primo piano di un cane che procede a scappare verso un altro cane.</v>
      </c>
    </row>
    <row r="29679">
      <c r="A29679" s="4" t="s">
        <v>37374</v>
      </c>
      <c r="B29679" s="4" t="s">
        <v>37376</v>
      </c>
      <c r="C29679" s="5" t="str">
        <f>IFERROR(__xludf.DUMMYFUNCTION("GOOGLETRANSLATE(B29679,""en"",""it"")"),"Il grande cane porta quindi il cagnolino al guinzaglio.")</f>
        <v>Il grande cane porta quindi il cagnolino al guinzaglio.</v>
      </c>
    </row>
    <row r="29680">
      <c r="A29680" s="4" t="s">
        <v>37377</v>
      </c>
      <c r="B29680" s="4" t="s">
        <v>37378</v>
      </c>
      <c r="C29680" s="5" t="str">
        <f>IFERROR(__xludf.DUMMYFUNCTION("GOOGLETRANSLATE(B29680,""en"",""it"")"),"Questo è un tutorial video su come ottenere trecce.")</f>
        <v>Questo è un tutorial video su come ottenere trecce.</v>
      </c>
    </row>
    <row r="29681">
      <c r="A29681" s="4" t="s">
        <v>37377</v>
      </c>
      <c r="B29681" s="4" t="s">
        <v>37379</v>
      </c>
      <c r="C29681" s="5" t="str">
        <f>IFERROR(__xludf.DUMMYFUNCTION("GOOGLETRANSLATE(B29681,""en"",""it"")"),"Uno schermo viene visualizzato con diversi siti Web e indirizzi di social media.")</f>
        <v>Uno schermo viene visualizzato con diversi siti Web e indirizzi di social media.</v>
      </c>
    </row>
    <row r="29682">
      <c r="A29682" s="4" t="s">
        <v>37377</v>
      </c>
      <c r="B29682" s="4" t="s">
        <v>37380</v>
      </c>
      <c r="C29682" s="5" t="str">
        <f>IFERROR(__xludf.DUMMYFUNCTION("GOOGLETRANSLATE(B29682,""en"",""it"")"),"Ci sono ferme dei processi per realizzare le trecce mostrate su una ragazza con una giacca rosa.")</f>
        <v>Ci sono ferme dei processi per realizzare le trecce mostrate su una ragazza con una giacca rosa.</v>
      </c>
    </row>
    <row r="29683">
      <c r="A29683" s="4" t="s">
        <v>37377</v>
      </c>
      <c r="B29683" s="6" t="s">
        <v>37381</v>
      </c>
      <c r="C29683" s="5" t="str">
        <f>IFERROR(__xludf.DUMMYFUNCTION("GOOGLETRANSLATE(B29683,""en"",""it"")"),"Quindi un video mostra come il processo appare nel tempo effettivo usando un pettine e la tecnica di separare le trecce come una treccia a mano.")</f>
        <v>Quindi un video mostra come il processo appare nel tempo effettivo usando un pettine e la tecnica di separare le trecce come una treccia a mano.</v>
      </c>
    </row>
    <row r="29684">
      <c r="A29684" s="4" t="s">
        <v>37377</v>
      </c>
      <c r="B29684" s="6" t="s">
        <v>37382</v>
      </c>
      <c r="C29684" s="5" t="str">
        <f>IFERROR(__xludf.DUMMYFUNCTION("GOOGLETRANSLATE(B29684,""en"",""it"")"),"Poi c'è una vista frontale della bambina in rosa mentre la donna dietro le sue fini nel processo intrecciata nella parte anteriore della sua testa.")</f>
        <v>Poi c'è una vista frontale della bambina in rosa mentre la donna dietro le sue fini nel processo intrecciata nella parte anteriore della sua testa.</v>
      </c>
    </row>
    <row r="29685">
      <c r="A29685" s="4" t="s">
        <v>37377</v>
      </c>
      <c r="B29685" s="4" t="s">
        <v>37383</v>
      </c>
      <c r="C29685" s="5" t="str">
        <f>IFERROR(__xludf.DUMMYFUNCTION("GOOGLETRANSLATE(B29685,""en"",""it"")"),"Ci sono testo dello schermo che menziona come i capelli appaiono sei ore dopo.")</f>
        <v>Ci sono testo dello schermo che menziona come i capelli appaiono sei ore dopo.</v>
      </c>
    </row>
    <row r="29686">
      <c r="A29686" s="4" t="s">
        <v>37377</v>
      </c>
      <c r="B29686" s="4" t="s">
        <v>37384</v>
      </c>
      <c r="C29686" s="5" t="str">
        <f>IFERROR(__xludf.DUMMYFUNCTION("GOOGLETRANSLATE(B29686,""en"",""it"")"),"Poi ci sono ancora scatti dei risultati dei suoi capelli intrecciati.")</f>
        <v>Poi ci sono ancora scatti dei risultati dei suoi capelli intrecciati.</v>
      </c>
    </row>
    <row r="29687">
      <c r="A29687" s="4" t="s">
        <v>37385</v>
      </c>
      <c r="B29687" s="6" t="s">
        <v>37386</v>
      </c>
      <c r="C29687" s="5" t="str">
        <f>IFERROR(__xludf.DUMMYFUNCTION("GOOGLETRANSLATE(B29687,""en"",""it"")"),"Una cascata appare sullo schermo accanto a un fiume con il titolo ""H20 Adventures Savegre River"".")</f>
        <v>Una cascata appare sullo schermo accanto a un fiume con il titolo "H20 Adventures Savegre River".</v>
      </c>
    </row>
    <row r="29688">
      <c r="A29688" s="4" t="s">
        <v>37385</v>
      </c>
      <c r="B29688" s="4" t="s">
        <v>37387</v>
      </c>
      <c r="C29688" s="5" t="str">
        <f>IFERROR(__xludf.DUMMYFUNCTION("GOOGLETRANSLATE(B29688,""en"",""it"")"),"Un gruppo di persone attraversa un ponte a piedi a sospensione rossa sopra il fiume.")</f>
        <v>Un gruppo di persone attraversa un ponte a piedi a sospensione rossa sopra il fiume.</v>
      </c>
    </row>
    <row r="29689">
      <c r="A29689" s="4" t="s">
        <v>37385</v>
      </c>
      <c r="B29689" s="4" t="s">
        <v>37388</v>
      </c>
      <c r="C29689" s="5" t="str">
        <f>IFERROR(__xludf.DUMMYFUNCTION("GOOGLETRANSLATE(B29689,""en"",""it"")"),"Un gruppo di persone che indossano giubbotti di vita e tiene remi ascoltano le istruzioni.")</f>
        <v>Un gruppo di persone che indossano giubbotti di vita e tiene remi ascoltano le istruzioni.</v>
      </c>
    </row>
    <row r="29690">
      <c r="A29690" s="4" t="s">
        <v>37385</v>
      </c>
      <c r="B29690" s="4" t="s">
        <v>37389</v>
      </c>
      <c r="C29690" s="5" t="str">
        <f>IFERROR(__xludf.DUMMYFUNCTION("GOOGLETRANSLATE(B29690,""en"",""it"")"),"Gruppi di persone che rigano le zattere gonfiabili lungo il fiume veloce.")</f>
        <v>Gruppi di persone che rigano le zattere gonfiabili lungo il fiume veloce.</v>
      </c>
    </row>
    <row r="29691">
      <c r="A29691" s="4" t="s">
        <v>37385</v>
      </c>
      <c r="B29691" s="4" t="s">
        <v>37390</v>
      </c>
      <c r="C29691" s="5" t="str">
        <f>IFERROR(__xludf.DUMMYFUNCTION("GOOGLETRANSLATE(B29691,""en"",""it"")"),"Le persone si trovano sulla riva a parlare e bere bevande.")</f>
        <v>Le persone si trovano sulla riva a parlare e bere bevande.</v>
      </c>
    </row>
    <row r="29692">
      <c r="A29692" s="4" t="s">
        <v>37385</v>
      </c>
      <c r="B29692" s="4" t="s">
        <v>37391</v>
      </c>
      <c r="C29692" s="5" t="str">
        <f>IFERROR(__xludf.DUMMYFUNCTION("GOOGLETRANSLATE(B29692,""en"",""it"")"),"I crediti video appaiono sullo schermo sul video di una lucertola su una roccia.")</f>
        <v>I crediti video appaiono sullo schermo sul video di una lucertola su una roccia.</v>
      </c>
    </row>
    <row r="29693">
      <c r="A29693" s="4" t="s">
        <v>37385</v>
      </c>
      <c r="B29693" s="4" t="s">
        <v>37392</v>
      </c>
      <c r="C29693" s="5" t="str">
        <f>IFERROR(__xludf.DUMMYFUNCTION("GOOGLETRANSLATE(B29693,""en"",""it"")"),"Lo schermo diventa completamente nero dopo la fine dei crediti.")</f>
        <v>Lo schermo diventa completamente nero dopo la fine dei crediti.</v>
      </c>
    </row>
    <row r="29694">
      <c r="A29694" s="4" t="s">
        <v>37393</v>
      </c>
      <c r="B29694" s="4" t="s">
        <v>37394</v>
      </c>
      <c r="C29694" s="5" t="str">
        <f>IFERROR(__xludf.DUMMYFUNCTION("GOOGLETRANSLATE(B29694,""en"",""it"")"),"Un paio di uomini sono su un campo da tennis al coperto.")</f>
        <v>Un paio di uomini sono su un campo da tennis al coperto.</v>
      </c>
    </row>
    <row r="29695">
      <c r="A29695" s="4" t="s">
        <v>37393</v>
      </c>
      <c r="B29695" s="4" t="s">
        <v>37395</v>
      </c>
      <c r="C29695" s="5" t="str">
        <f>IFERROR(__xludf.DUMMYFUNCTION("GOOGLETRANSLATE(B29695,""en"",""it"")"),"Lanciano la palla avanti e indietro sopra la rete.")</f>
        <v>Lanciano la palla avanti e indietro sopra la rete.</v>
      </c>
    </row>
    <row r="29696">
      <c r="A29696" s="4" t="s">
        <v>37393</v>
      </c>
      <c r="B29696" s="4" t="s">
        <v>37396</v>
      </c>
      <c r="C29696" s="5" t="str">
        <f>IFERROR(__xludf.DUMMYFUNCTION("GOOGLETRANSLATE(B29696,""en"",""it"")"),"Si colpiscono la palla l'uno contro l'altro.")</f>
        <v>Si colpiscono la palla l'uno contro l'altro.</v>
      </c>
    </row>
    <row r="29697">
      <c r="A29697" s="4" t="s">
        <v>37397</v>
      </c>
      <c r="B29697" s="4" t="s">
        <v>37398</v>
      </c>
      <c r="C29697" s="5" t="str">
        <f>IFERROR(__xludf.DUMMYFUNCTION("GOOGLETRANSLATE(B29697,""en"",""it"")"),"Due uomini alternativamente ballano per strada mentre passano il traffico pedonale e stradale.")</f>
        <v>Due uomini alternativamente ballano per strada mentre passano il traffico pedonale e stradale.</v>
      </c>
    </row>
    <row r="29698">
      <c r="A29698" s="4" t="s">
        <v>37397</v>
      </c>
      <c r="B29698" s="4" t="s">
        <v>37399</v>
      </c>
      <c r="C29698" s="5" t="str">
        <f>IFERROR(__xludf.DUMMYFUNCTION("GOOGLETRANSLATE(B29698,""en"",""it"")"),"Due donne si fermano a guardare i ballerini.")</f>
        <v>Due donne si fermano a guardare i ballerini.</v>
      </c>
    </row>
    <row r="29699">
      <c r="A29699" s="4" t="s">
        <v>37397</v>
      </c>
      <c r="B29699" s="4" t="s">
        <v>37400</v>
      </c>
      <c r="C29699" s="5" t="str">
        <f>IFERROR(__xludf.DUMMYFUNCTION("GOOGLETRANSLATE(B29699,""en"",""it"")"),"Un uomo e una donna si fermano a guardare i ballerini.")</f>
        <v>Un uomo e una donna si fermano a guardare i ballerini.</v>
      </c>
    </row>
    <row r="29700">
      <c r="A29700" s="4" t="s">
        <v>37401</v>
      </c>
      <c r="B29700" s="4" t="s">
        <v>37402</v>
      </c>
      <c r="C29700" s="5" t="str">
        <f>IFERROR(__xludf.DUMMYFUNCTION("GOOGLETRANSLATE(B29700,""en"",""it"")"),"Un ragazzo è all'interno di una rete all'aperto.")</f>
        <v>Un ragazzo è all'interno di una rete all'aperto.</v>
      </c>
    </row>
    <row r="29701">
      <c r="A29701" s="4" t="s">
        <v>37401</v>
      </c>
      <c r="B29701" s="4" t="s">
        <v>37403</v>
      </c>
      <c r="C29701" s="5" t="str">
        <f>IFERROR(__xludf.DUMMYFUNCTION("GOOGLETRANSLATE(B29701,""en"",""it"")"),"Fai oscillare una palla su una corda molto rapidamente.")</f>
        <v>Fai oscillare una palla su una corda molto rapidamente.</v>
      </c>
    </row>
    <row r="29702">
      <c r="A29702" s="4" t="s">
        <v>37401</v>
      </c>
      <c r="B29702" s="4" t="s">
        <v>37404</v>
      </c>
      <c r="C29702" s="5" t="str">
        <f>IFERROR(__xludf.DUMMYFUNCTION("GOOGLETRANSLATE(B29702,""en"",""it"")"),"Lo lascia andare e guarda mentre vola attraverso il campo.")</f>
        <v>Lo lascia andare e guarda mentre vola attraverso il campo.</v>
      </c>
    </row>
    <row r="29703">
      <c r="A29703" s="4" t="s">
        <v>37405</v>
      </c>
      <c r="B29703" s="4" t="s">
        <v>37406</v>
      </c>
      <c r="C29703" s="5" t="str">
        <f>IFERROR(__xludf.DUMMYFUNCTION("GOOGLETRANSLATE(B29703,""en"",""it"")"),"Un ragazzo che balla sul davanti di un libro con i crediti che descrivono.")</f>
        <v>Un ragazzo che balla sul davanti di un libro con i crediti che descrivono.</v>
      </c>
    </row>
    <row r="29704">
      <c r="A29704" s="4" t="s">
        <v>37405</v>
      </c>
      <c r="B29704" s="4" t="s">
        <v>37407</v>
      </c>
      <c r="C29704" s="5" t="str">
        <f>IFERROR(__xludf.DUMMYFUNCTION("GOOGLETRANSLATE(B29704,""en"",""it"")"),"Il ragazzo è seduto in una stanza vuota a parlare delle sue mosse di danza.")</f>
        <v>Il ragazzo è seduto in una stanza vuota a parlare delle sue mosse di danza.</v>
      </c>
    </row>
    <row r="29705">
      <c r="A29705" s="4" t="s">
        <v>37405</v>
      </c>
      <c r="B29705" s="6" t="s">
        <v>37408</v>
      </c>
      <c r="C29705" s="5" t="str">
        <f>IFERROR(__xludf.DUMMYFUNCTION("GOOGLETRANSLATE(B29705,""en"",""it"")"),"Il ragazzo è in piedi nella stanza a mostrare una mossa che inizia con il calcio di sinistra mentre si gira lentamente e mostra il resto dell'attuale mossa di danza.")</f>
        <v>Il ragazzo è in piedi nella stanza a mostrare una mossa che inizia con il calcio di sinistra mentre si gira lentamente e mostra il resto dell'attuale mossa di danza.</v>
      </c>
    </row>
    <row r="29706">
      <c r="A29706" s="4" t="s">
        <v>37405</v>
      </c>
      <c r="B29706" s="4" t="s">
        <v>37409</v>
      </c>
      <c r="C29706" s="5" t="str">
        <f>IFERROR(__xludf.DUMMYFUNCTION("GOOGLETRANSLATE(B29706,""en"",""it"")"),"Successivamente il ragazzo inizia con la stessa mossa ma si muove più velocemente.")</f>
        <v>Successivamente il ragazzo inizia con la stessa mossa ma si muove più velocemente.</v>
      </c>
    </row>
    <row r="29707">
      <c r="A29707" s="4" t="s">
        <v>37405</v>
      </c>
      <c r="B29707" s="4" t="s">
        <v>37410</v>
      </c>
      <c r="C29707" s="5" t="str">
        <f>IFERROR(__xludf.DUMMYFUNCTION("GOOGLETRANSLATE(B29707,""en"",""it"")"),"Le istruzioni per esercitarsi sono mostrate mentre il ragazzo balla nella stanza quasi vuota.")</f>
        <v>Le istruzioni per esercitarsi sono mostrate mentre il ragazzo balla nella stanza quasi vuota.</v>
      </c>
    </row>
    <row r="29708">
      <c r="A29708" s="4" t="s">
        <v>37411</v>
      </c>
      <c r="B29708" s="4" t="s">
        <v>17353</v>
      </c>
      <c r="C29708" s="5" t="str">
        <f>IFERROR(__xludf.DUMMYFUNCTION("GOOGLETRANSLATE(B29708,""en"",""it"")"),"Le persone fluttuano lungo un fiume nei tubi.")</f>
        <v>Le persone fluttuano lungo un fiume nei tubi.</v>
      </c>
    </row>
    <row r="29709">
      <c r="A29709" s="4" t="s">
        <v>37411</v>
      </c>
      <c r="B29709" s="4" t="s">
        <v>37412</v>
      </c>
      <c r="C29709" s="5" t="str">
        <f>IFERROR(__xludf.DUMMYFUNCTION("GOOGLETRANSLATE(B29709,""en"",""it"")"),"Gli alberi sono mostrati sopra l'acqua.")</f>
        <v>Gli alberi sono mostrati sopra l'acqua.</v>
      </c>
    </row>
    <row r="29710">
      <c r="A29710" s="4" t="s">
        <v>37411</v>
      </c>
      <c r="B29710" s="4" t="s">
        <v>37413</v>
      </c>
      <c r="C29710" s="5" t="str">
        <f>IFERROR(__xludf.DUMMYFUNCTION("GOOGLETRANSLATE(B29710,""en"",""it"")"),"Un uomo mette le mani dietro la testa.")</f>
        <v>Un uomo mette le mani dietro la testa.</v>
      </c>
    </row>
    <row r="29711">
      <c r="A29711" s="4" t="s">
        <v>37414</v>
      </c>
      <c r="B29711" s="4" t="s">
        <v>37415</v>
      </c>
      <c r="C29711" s="5" t="str">
        <f>IFERROR(__xludf.DUMMYFUNCTION("GOOGLETRANSLATE(B29711,""en"",""it"")"),"I bambini cavalcano le auto paraurti in un carnevale.")</f>
        <v>I bambini cavalcano le auto paraurti in un carnevale.</v>
      </c>
    </row>
    <row r="29712">
      <c r="A29712" s="4" t="s">
        <v>37414</v>
      </c>
      <c r="B29712" s="4" t="s">
        <v>37416</v>
      </c>
      <c r="C29712" s="5" t="str">
        <f>IFERROR(__xludf.DUMMYFUNCTION("GOOGLETRANSLATE(B29712,""en"",""it"")"),"I bambini rimangono bloccati al centro, ma liberano e guidano.")</f>
        <v>I bambini rimangono bloccati al centro, ma liberano e guidano.</v>
      </c>
    </row>
    <row r="29713">
      <c r="A29713" s="4" t="s">
        <v>37414</v>
      </c>
      <c r="B29713" s="4" t="s">
        <v>37417</v>
      </c>
      <c r="C29713" s="5" t="str">
        <f>IFERROR(__xludf.DUMMYFUNCTION("GOOGLETRANSLATE(B29713,""en"",""it"")"),"Una donna spinge un passeggino per strada.")</f>
        <v>Una donna spinge un passeggino per strada.</v>
      </c>
    </row>
    <row r="29714">
      <c r="A29714" s="4" t="s">
        <v>37414</v>
      </c>
      <c r="B29714" s="4" t="s">
        <v>37418</v>
      </c>
      <c r="C29714" s="5" t="str">
        <f>IFERROR(__xludf.DUMMYFUNCTION("GOOGLETRANSLATE(B29714,""en"",""it"")"),"I bambini sbattono le auto e vanno in giro.")</f>
        <v>I bambini sbattono le auto e vanno in giro.</v>
      </c>
    </row>
    <row r="29715">
      <c r="A29715" s="4" t="s">
        <v>37414</v>
      </c>
      <c r="B29715" s="4" t="s">
        <v>37419</v>
      </c>
      <c r="C29715" s="5" t="str">
        <f>IFERROR(__xludf.DUMMYFUNCTION("GOOGLETRANSLATE(B29715,""en"",""it"")"),"I bambini scendono dalle auto del paraurti e camminano verso l'uscita.")</f>
        <v>I bambini scendono dalle auto del paraurti e camminano verso l'uscita.</v>
      </c>
    </row>
    <row r="29716">
      <c r="A29716" s="4" t="s">
        <v>37420</v>
      </c>
      <c r="B29716" s="4" t="s">
        <v>37421</v>
      </c>
      <c r="C29716" s="5" t="str">
        <f>IFERROR(__xludf.DUMMYFUNCTION("GOOGLETRANSLATE(B29716,""en"",""it"")"),"Una persona fa scivolare una palla pesante sul pavimento mentre tiene un pennello sulla mano sinistra.")</f>
        <v>Una persona fa scivolare una palla pesante sul pavimento mentre tiene un pennello sulla mano sinistra.</v>
      </c>
    </row>
    <row r="29717">
      <c r="A29717" s="4" t="s">
        <v>37420</v>
      </c>
      <c r="B29717" s="4" t="s">
        <v>37422</v>
      </c>
      <c r="C29717" s="5" t="str">
        <f>IFERROR(__xludf.DUMMYFUNCTION("GOOGLETRANSLATE(B29717,""en"",""it"")"),"Quindi, due uomini spazzolano il pavimento sulla sfera pesante senza toccarla.")</f>
        <v>Quindi, due uomini spazzolano il pavimento sulla sfera pesante senza toccarla.</v>
      </c>
    </row>
    <row r="29718">
      <c r="A29718" s="4" t="s">
        <v>37420</v>
      </c>
      <c r="B29718" s="4" t="s">
        <v>37423</v>
      </c>
      <c r="C29718" s="5" t="str">
        <f>IFERROR(__xludf.DUMMYFUNCTION("GOOGLETRANSLATE(B29718,""en"",""it"")"),"Le persone giocano dietro la persona.")</f>
        <v>Le persone giocano dietro la persona.</v>
      </c>
    </row>
    <row r="29719">
      <c r="A29719" s="4" t="s">
        <v>37420</v>
      </c>
      <c r="B29719" s="4" t="s">
        <v>37424</v>
      </c>
      <c r="C29719" s="5" t="str">
        <f>IFERROR(__xludf.DUMMYFUNCTION("GOOGLETRANSLATE(B29719,""en"",""it"")"),"La palla gialla raggiunge il centro del cerchio rosso.")</f>
        <v>La palla gialla raggiunge il centro del cerchio rosso.</v>
      </c>
    </row>
    <row r="29720">
      <c r="A29720" s="4" t="s">
        <v>37425</v>
      </c>
      <c r="B29720" s="4" t="s">
        <v>37426</v>
      </c>
      <c r="C29720" s="5" t="str">
        <f>IFERROR(__xludf.DUMMYFUNCTION("GOOGLETRANSLATE(B29720,""en"",""it"")"),"Un uomo indossa un cappello rosso e occhiali da sole.")</f>
        <v>Un uomo indossa un cappello rosso e occhiali da sole.</v>
      </c>
    </row>
    <row r="29721">
      <c r="A29721" s="4" t="s">
        <v>37425</v>
      </c>
      <c r="B29721" s="4" t="s">
        <v>37427</v>
      </c>
      <c r="C29721" s="5" t="str">
        <f>IFERROR(__xludf.DUMMYFUNCTION("GOOGLETRANSLATE(B29721,""en"",""it"")"),"Lancia un dardo di fronte a lui.")</f>
        <v>Lancia un dardo di fronte a lui.</v>
      </c>
    </row>
    <row r="29722">
      <c r="A29722" s="4" t="s">
        <v>37425</v>
      </c>
      <c r="B29722" s="4" t="s">
        <v>37428</v>
      </c>
      <c r="C29722" s="5" t="str">
        <f>IFERROR(__xludf.DUMMYFUNCTION("GOOGLETRANSLATE(B29722,""en"",""it"")"),"Fa un occhio di tori sul tabellone da dardo.")</f>
        <v>Fa un occhio di tori sul tabellone da dardo.</v>
      </c>
    </row>
    <row r="29723">
      <c r="A29723" s="4" t="s">
        <v>37429</v>
      </c>
      <c r="B29723" s="4" t="s">
        <v>37430</v>
      </c>
      <c r="C29723" s="5" t="str">
        <f>IFERROR(__xludf.DUMMYFUNCTION("GOOGLETRANSLATE(B29723,""en"",""it"")"),"Una telecamera si panoramica attorno ai bicchieri di limonata seguiti da una persona che stringe il succo dai limoni.")</f>
        <v>Una telecamera si panoramica attorno ai bicchieri di limonata seguiti da una persona che stringe il succo dai limoni.</v>
      </c>
    </row>
    <row r="29724">
      <c r="A29724" s="4" t="s">
        <v>37429</v>
      </c>
      <c r="B29724" s="4" t="s">
        <v>37431</v>
      </c>
      <c r="C29724" s="5" t="str">
        <f>IFERROR(__xludf.DUMMYFUNCTION("GOOGLETRANSLATE(B29724,""en"",""it"")"),"La persona mescola vari ingredienti insieme in una ciotola e la versa in un bicchiere.")</f>
        <v>La persona mescola vari ingredienti insieme in una ciotola e la versa in un bicchiere.</v>
      </c>
    </row>
    <row r="29725">
      <c r="A29725" s="4" t="s">
        <v>37429</v>
      </c>
      <c r="B29725" s="4" t="s">
        <v>37432</v>
      </c>
      <c r="C29725" s="5" t="str">
        <f>IFERROR(__xludf.DUMMYFUNCTION("GOOGLETRANSLATE(B29725,""en"",""it"")"),"Vengono mostrati diversi scatti sugli occhiali e presentati alla telecamera.")</f>
        <v>Vengono mostrati diversi scatti sugli occhiali e presentati alla telecamera.</v>
      </c>
    </row>
    <row r="29726">
      <c r="A29726" s="4" t="s">
        <v>37433</v>
      </c>
      <c r="B29726" s="4" t="s">
        <v>37434</v>
      </c>
      <c r="C29726" s="5" t="str">
        <f>IFERROR(__xludf.DUMMYFUNCTION("GOOGLETRANSLATE(B29726,""en"",""it"")"),"Un uomo si siede a un tavolo e una donna si muove una scatola da lui.")</f>
        <v>Un uomo si siede a un tavolo e una donna si muove una scatola da lui.</v>
      </c>
    </row>
    <row r="29727">
      <c r="A29727" s="4" t="s">
        <v>37433</v>
      </c>
      <c r="B29727" s="4" t="s">
        <v>37435</v>
      </c>
      <c r="C29727" s="5" t="str">
        <f>IFERROR(__xludf.DUMMYFUNCTION("GOOGLETRANSLATE(B29727,""en"",""it"")"),"Mette le mani sul tavolo, quindi inizia a risolvere un cubo di Rubix.")</f>
        <v>Mette le mani sul tavolo, quindi inizia a risolvere un cubo di Rubix.</v>
      </c>
    </row>
    <row r="29728">
      <c r="A29728" s="4" t="s">
        <v>37433</v>
      </c>
      <c r="B29728" s="4" t="s">
        <v>37436</v>
      </c>
      <c r="C29728" s="5" t="str">
        <f>IFERROR(__xludf.DUMMYFUNCTION("GOOGLETRANSLATE(B29728,""en"",""it"")"),"Il timer continua mentre risolve il cubo.")</f>
        <v>Il timer continua mentre risolve il cubo.</v>
      </c>
    </row>
    <row r="29729">
      <c r="A29729" s="4" t="s">
        <v>37437</v>
      </c>
      <c r="B29729" s="4" t="s">
        <v>37438</v>
      </c>
      <c r="C29729" s="5" t="str">
        <f>IFERROR(__xludf.DUMMYFUNCTION("GOOGLETRANSLATE(B29729,""en"",""it"")"),"Due uomini sono in piedi su una barca a vela in mare.")</f>
        <v>Due uomini sono in piedi su una barca a vela in mare.</v>
      </c>
    </row>
    <row r="29730">
      <c r="A29730" s="4" t="s">
        <v>37437</v>
      </c>
      <c r="B29730" s="4" t="s">
        <v>37439</v>
      </c>
      <c r="C29730" s="5" t="str">
        <f>IFERROR(__xludf.DUMMYFUNCTION("GOOGLETRANSLATE(B29730,""en"",""it"")"),"L'uomo è in piedi in un molo indossando una camicia rossa e poi è nel Saillboat.")</f>
        <v>L'uomo è in piedi in un molo indossando una camicia rossa e poi è nel Saillboat.</v>
      </c>
    </row>
    <row r="29731">
      <c r="A29731" s="4" t="s">
        <v>37437</v>
      </c>
      <c r="B29731" s="4" t="s">
        <v>37440</v>
      </c>
      <c r="C29731" s="5" t="str">
        <f>IFERROR(__xludf.DUMMYFUNCTION("GOOGLETRANSLATE(B29731,""en"",""it"")"),"I delfini nuotano accanto alla barca.")</f>
        <v>I delfini nuotano accanto alla barca.</v>
      </c>
    </row>
    <row r="29732">
      <c r="A29732" s="4" t="s">
        <v>37437</v>
      </c>
      <c r="B29732" s="4" t="s">
        <v>37441</v>
      </c>
      <c r="C29732" s="5" t="str">
        <f>IFERROR(__xludf.DUMMYFUNCTION("GOOGLETRANSLATE(B29732,""en"",""it"")"),"Le persone si trovano in una giornata di sole in un molo.")</f>
        <v>Le persone si trovano in una giornata di sole in un molo.</v>
      </c>
    </row>
    <row r="29733">
      <c r="A29733" s="4" t="s">
        <v>37442</v>
      </c>
      <c r="B29733" s="4" t="s">
        <v>37443</v>
      </c>
      <c r="C29733" s="5" t="str">
        <f>IFERROR(__xludf.DUMMYFUNCTION("GOOGLETRANSLATE(B29733,""en"",""it"")"),"Un uomo si inginocchia sul ghiaccio con un altro accanto a Hide tirando la corda da un buco.")</f>
        <v>Un uomo si inginocchia sul ghiaccio con un altro accanto a Hide tirando la corda da un buco.</v>
      </c>
    </row>
    <row r="29734">
      <c r="A29734" s="4" t="s">
        <v>37442</v>
      </c>
      <c r="B29734" s="4" t="s">
        <v>37444</v>
      </c>
      <c r="C29734" s="5" t="str">
        <f>IFERROR(__xludf.DUMMYFUNCTION("GOOGLETRANSLATE(B29734,""en"",""it"")"),"Continuano a tirare la corda mentre l'uomo accanto a lui afferra un gancio.")</f>
        <v>Continuano a tirare la corda mentre l'uomo accanto a lui afferra un gancio.</v>
      </c>
    </row>
    <row r="29735">
      <c r="A29735" s="4" t="s">
        <v>37442</v>
      </c>
      <c r="B29735" s="4" t="s">
        <v>37445</v>
      </c>
      <c r="C29735" s="5" t="str">
        <f>IFERROR(__xludf.DUMMYFUNCTION("GOOGLETRANSLATE(B29735,""en"",""it"")"),"Mette il gancio vicino al buco ma l'uomo afferra un pesce su una corda.")</f>
        <v>Mette il gancio vicino al buco ma l'uomo afferra un pesce su una corda.</v>
      </c>
    </row>
    <row r="29736">
      <c r="A29736" s="4" t="s">
        <v>37442</v>
      </c>
      <c r="B29736" s="4" t="s">
        <v>37446</v>
      </c>
      <c r="C29736" s="5" t="str">
        <f>IFERROR(__xludf.DUMMYFUNCTION("GOOGLETRANSLATE(B29736,""en"",""it"")"),"Il pesce si infila e l'uomo afferra il pesce e lo solleva.")</f>
        <v>Il pesce si infila e l'uomo afferra il pesce e lo solleva.</v>
      </c>
    </row>
    <row r="29737">
      <c r="A29737" s="4" t="s">
        <v>37447</v>
      </c>
      <c r="B29737" s="4" t="s">
        <v>37448</v>
      </c>
      <c r="C29737" s="5" t="str">
        <f>IFERROR(__xludf.DUMMYFUNCTION("GOOGLETRANSLATE(B29737,""en"",""it"")"),"Le persone guidano le auto paraurti in un carnevale.")</f>
        <v>Le persone guidano le auto paraurti in un carnevale.</v>
      </c>
    </row>
    <row r="29738">
      <c r="A29738" s="4" t="s">
        <v>37447</v>
      </c>
      <c r="B29738" s="4" t="s">
        <v>37449</v>
      </c>
      <c r="C29738" s="5" t="str">
        <f>IFERROR(__xludf.DUMMYFUNCTION("GOOGLETRANSLATE(B29738,""en"",""it"")"),"Una bambina segue un ragazzo in una macchina per paraurti gialla.")</f>
        <v>Una bambina segue un ragazzo in una macchina per paraurti gialla.</v>
      </c>
    </row>
    <row r="29739">
      <c r="A29739" s="4" t="s">
        <v>37447</v>
      </c>
      <c r="B29739" s="4" t="s">
        <v>37450</v>
      </c>
      <c r="C29739" s="5" t="str">
        <f>IFERROR(__xludf.DUMMYFUNCTION("GOOGLETRANSLATE(B29739,""en"",""it"")"),"Quindi, il ragazzo e la ragazza hanno colpito altre macchine per paraurti.")</f>
        <v>Quindi, il ragazzo e la ragazza hanno colpito altre macchine per paraurti.</v>
      </c>
    </row>
    <row r="29740">
      <c r="A29740" s="4" t="s">
        <v>37451</v>
      </c>
      <c r="B29740" s="4" t="s">
        <v>37452</v>
      </c>
      <c r="C29740" s="5" t="str">
        <f>IFERROR(__xludf.DUMMYFUNCTION("GOOGLETRANSLATE(B29740,""en"",""it"")"),"Un gruppo di persone è su zattere, rafting di acque bianche attraverso acque rocciose.")</f>
        <v>Un gruppo di persone è su zattere, rafting di acque bianche attraverso acque rocciose.</v>
      </c>
    </row>
    <row r="29741">
      <c r="A29741" s="4" t="s">
        <v>37451</v>
      </c>
      <c r="B29741" s="4" t="s">
        <v>37453</v>
      </c>
      <c r="C29741" s="5" t="str">
        <f>IFERROR(__xludf.DUMMYFUNCTION("GOOGLETRANSLATE(B29741,""en"",""it"")"),"Alla fine, viaggiano attraverso l'acqua e finiscono per colpire una roccia enorme e perdere le pagaie.")</f>
        <v>Alla fine, viaggiano attraverso l'acqua e finiscono per colpire una roccia enorme e perdere le pagaie.</v>
      </c>
    </row>
    <row r="29742">
      <c r="A29742" s="4" t="s">
        <v>37451</v>
      </c>
      <c r="B29742" s="4" t="s">
        <v>37454</v>
      </c>
      <c r="C29742" s="5" t="str">
        <f>IFERROR(__xludf.DUMMYFUNCTION("GOOGLETRANSLATE(B29742,""en"",""it"")"),"Dopo, continuano a attraversare parti rocciose dell'acqua e scivolano giù per piccole colline.")</f>
        <v>Dopo, continuano a attraversare parti rocciose dell'acqua e scivolano giù per piccole colline.</v>
      </c>
    </row>
    <row r="29743">
      <c r="A29743" s="4" t="s">
        <v>37455</v>
      </c>
      <c r="B29743" s="6" t="s">
        <v>37456</v>
      </c>
      <c r="C29743" s="5" t="str">
        <f>IFERROR(__xludf.DUMMYFUNCTION("GOOGLETRANSLATE(B29743,""en"",""it"")"),"Un giornalista riporta una storia su amputati e non amputati che utilizzano arti sostitutivi con tecnologia avanzata o come estensori delle gambe e potenziatori delle prestazioni per i non amputati.")</f>
        <v>Un giornalista riporta una storia su amputati e non amputati che utilizzano arti sostitutivi con tecnologia avanzata o come estensori delle gambe e potenziatori delle prestazioni per i non amputati.</v>
      </c>
    </row>
    <row r="29744">
      <c r="A29744" s="4" t="s">
        <v>37455</v>
      </c>
      <c r="B29744" s="6" t="s">
        <v>37457</v>
      </c>
      <c r="C29744" s="5" t="str">
        <f>IFERROR(__xludf.DUMMYFUNCTION("GOOGLETRANSLATE(B29744,""en"",""it"")"),"Un giornalista si trova a un tavolo dei giornalisti durante una trasmissione di notizie prima che la clip taglierà le persone che indossano la tecnologia di sostituzione degli arti.")</f>
        <v>Un giornalista si trova a un tavolo dei giornalisti durante una trasmissione di notizie prima che la clip taglierà le persone che indossano la tecnologia di sostituzione degli arti.</v>
      </c>
    </row>
    <row r="29745">
      <c r="A29745" s="4" t="s">
        <v>37455</v>
      </c>
      <c r="B29745" s="6" t="s">
        <v>37458</v>
      </c>
      <c r="C29745" s="5" t="str">
        <f>IFERROR(__xludf.DUMMYFUNCTION("GOOGLETRANSLATE(B29745,""en"",""it"")"),"Diverse clip di uomini che non sono amputati che indossano le gambe di estensione amputato sono mostrate con i soggetti che corrono e rimbalzati in strada.")</f>
        <v>Diverse clip di uomini che non sono amputati che indossano le gambe di estensione amputato sono mostrate con i soggetti che corrono e rimbalzati in strada.</v>
      </c>
    </row>
    <row r="29746">
      <c r="A29746" s="4" t="s">
        <v>37459</v>
      </c>
      <c r="B29746" s="6" t="s">
        <v>37460</v>
      </c>
      <c r="C29746" s="5" t="str">
        <f>IFERROR(__xludf.DUMMYFUNCTION("GOOGLETRANSLATE(B29746,""en"",""it"")"),"Hulk Hogan viene visto parlare alla telecamera mentre tiene le braccia e un altro uomo si trova sullo sfondo.")</f>
        <v>Hulk Hogan viene visto parlare alla telecamera mentre tiene le braccia e un altro uomo si trova sullo sfondo.</v>
      </c>
    </row>
    <row r="29747">
      <c r="A29747" s="4" t="s">
        <v>37459</v>
      </c>
      <c r="B29747" s="6" t="s">
        <v>37461</v>
      </c>
      <c r="C29747" s="5" t="str">
        <f>IFERROR(__xludf.DUMMYFUNCTION("GOOGLETRANSLATE(B29747,""en"",""it"")"),"L'uomo continua a parlare con la telecamera e conduce in clip di un braccio ragazzo che lottano e un altro uomo che tiene il braccio.")</f>
        <v>L'uomo continua a parlare con la telecamera e conduce in clip di un braccio ragazzo che lottano e un altro uomo che tiene il braccio.</v>
      </c>
    </row>
    <row r="29748">
      <c r="A29748" s="4" t="s">
        <v>37462</v>
      </c>
      <c r="B29748" s="6" t="s">
        <v>37463</v>
      </c>
      <c r="C29748" s="5" t="str">
        <f>IFERROR(__xludf.DUMMYFUNCTION("GOOGLETRANSLATE(B29748,""en"",""it"")"),"Un maschio asiatico è in piedi su un pavimento in legno duro e inizia a parlare e inizia a girare sulla sua testa.")</f>
        <v>Un maschio asiatico è in piedi su un pavimento in legno duro e inizia a parlare e inizia a girare sulla sua testa.</v>
      </c>
    </row>
    <row r="29749">
      <c r="A29749" s="4" t="s">
        <v>37462</v>
      </c>
      <c r="B29749" s="4" t="s">
        <v>37464</v>
      </c>
      <c r="C29749" s="5" t="str">
        <f>IFERROR(__xludf.DUMMYFUNCTION("GOOGLETRANSLATE(B29749,""en"",""it"")"),"Dopo la clip, ritorna e mostra come posizionare correttamente le mani sul pavimento.")</f>
        <v>Dopo la clip, ritorna e mostra come posizionare correttamente le mani sul pavimento.</v>
      </c>
    </row>
    <row r="29750">
      <c r="A29750" s="4" t="s">
        <v>37462</v>
      </c>
      <c r="B29750" s="4" t="s">
        <v>37465</v>
      </c>
      <c r="C29750" s="5" t="str">
        <f>IFERROR(__xludf.DUMMYFUNCTION("GOOGLETRANSLATE(B29750,""en"",""it"")"),"Mentre continua, afferra un berretto e lo mette in mano per renderlo più facile.")</f>
        <v>Mentre continua, afferra un berretto e lo mette in mano per renderlo più facile.</v>
      </c>
    </row>
    <row r="29751">
      <c r="A29751" s="4" t="s">
        <v>37462</v>
      </c>
      <c r="B29751" s="6" t="s">
        <v>37466</v>
      </c>
      <c r="C29751" s="5" t="str">
        <f>IFERROR(__xludf.DUMMYFUNCTION("GOOGLETRANSLATE(B29751,""en"",""it"")"),"L'uomo quindi fa la svolta continuamente e mostra la posizione di cricket prima di tornare per parlare di nuovo.")</f>
        <v>L'uomo quindi fa la svolta continuamente e mostra la posizione di cricket prima di tornare per parlare di nuovo.</v>
      </c>
    </row>
    <row r="29752">
      <c r="A29752" s="4" t="s">
        <v>37467</v>
      </c>
      <c r="B29752" s="4" t="s">
        <v>37468</v>
      </c>
      <c r="C29752" s="5" t="str">
        <f>IFERROR(__xludf.DUMMYFUNCTION("GOOGLETRANSLATE(B29752,""en"",""it"")"),"L'uomo salda una macchina in metallo in una stanza.")</f>
        <v>L'uomo salda una macchina in metallo in una stanza.</v>
      </c>
    </row>
    <row r="29753">
      <c r="A29753" s="4" t="s">
        <v>37467</v>
      </c>
      <c r="B29753" s="4" t="s">
        <v>37469</v>
      </c>
      <c r="C29753" s="5" t="str">
        <f>IFERROR(__xludf.DUMMYFUNCTION("GOOGLETRANSLATE(B29753,""en"",""it"")"),"L'uomo parla della telecamera e tiene in mano un smerigliamento in una sala macchine.")</f>
        <v>L'uomo parla della telecamera e tiene in mano un smerigliamento in una sala macchine.</v>
      </c>
    </row>
    <row r="29754">
      <c r="A29754" s="4" t="s">
        <v>37470</v>
      </c>
      <c r="B29754" s="4" t="s">
        <v>37471</v>
      </c>
      <c r="C29754" s="5" t="str">
        <f>IFERROR(__xludf.DUMMYFUNCTION("GOOGLETRANSLATE(B29754,""en"",""it"")"),"Un gruppo di uomini è visto affollato attorno a un tavolo in cui sono seduti più uomini e parlando.")</f>
        <v>Un gruppo di uomini è visto affollato attorno a un tavolo in cui sono seduti più uomini e parlando.</v>
      </c>
    </row>
    <row r="29755">
      <c r="A29755" s="4" t="s">
        <v>37470</v>
      </c>
      <c r="B29755" s="4" t="s">
        <v>37472</v>
      </c>
      <c r="C29755" s="5" t="str">
        <f>IFERROR(__xludf.DUMMYFUNCTION("GOOGLETRANSLATE(B29755,""en"",""it"")"),"Alla fine due uomini che tagliano una birra seguirono una fila di più uomini che bevevano la loro birra.")</f>
        <v>Alla fine due uomini che tagliano una birra seguirono una fila di più uomini che bevevano la loro birra.</v>
      </c>
    </row>
    <row r="29756">
      <c r="A29756" s="4" t="s">
        <v>37470</v>
      </c>
      <c r="B29756" s="4" t="s">
        <v>37473</v>
      </c>
      <c r="C29756" s="5" t="str">
        <f>IFERROR(__xludf.DUMMYFUNCTION("GOOGLETRANSLATE(B29756,""en"",""it"")"),"Gli uomini finiscono le loro birre e ridono e si applaudono a vicenda mentre molti guardano sui lati.")</f>
        <v>Gli uomini finiscono le loro birre e ridono e si applaudono a vicenda mentre molti guardano sui lati.</v>
      </c>
    </row>
    <row r="29757">
      <c r="A29757" s="4" t="s">
        <v>37474</v>
      </c>
      <c r="B29757" s="6" t="s">
        <v>37475</v>
      </c>
      <c r="C29757" s="5" t="str">
        <f>IFERROR(__xludf.DUMMYFUNCTION("GOOGLETRANSLATE(B29757,""en"",""it"")"),"Diverse persone sono in acqua giocando una partita e l'uomo lancia una palla arancione a una persona.")</f>
        <v>Diverse persone sono in acqua giocando una partita e l'uomo lancia una palla arancione a una persona.</v>
      </c>
    </row>
    <row r="29758">
      <c r="A29758" s="4" t="s">
        <v>37474</v>
      </c>
      <c r="B29758" s="4" t="s">
        <v>37476</v>
      </c>
      <c r="C29758" s="5" t="str">
        <f>IFERROR(__xludf.DUMMYFUNCTION("GOOGLETRANSLATE(B29758,""en"",""it"")"),"La persona quindi prende la palla e la lancia all'uomo seduto accanto all'obiettivo.")</f>
        <v>La persona quindi prende la palla e la lancia all'uomo seduto accanto all'obiettivo.</v>
      </c>
    </row>
    <row r="29759">
      <c r="A29759" s="4" t="s">
        <v>37474</v>
      </c>
      <c r="B29759" s="4" t="s">
        <v>37477</v>
      </c>
      <c r="C29759" s="5" t="str">
        <f>IFERROR(__xludf.DUMMYFUNCTION("GOOGLETRANSLATE(B29759,""en"",""it"")"),"Quindi si sposta dall'altra parte della piscina e prende l'obiettivo.")</f>
        <v>Quindi si sposta dall'altra parte della piscina e prende l'obiettivo.</v>
      </c>
    </row>
    <row r="29760">
      <c r="A29760" s="4" t="s">
        <v>37478</v>
      </c>
      <c r="B29760" s="4" t="s">
        <v>37479</v>
      </c>
      <c r="C29760" s="5" t="str">
        <f>IFERROR(__xludf.DUMMYFUNCTION("GOOGLETRANSLATE(B29760,""en"",""it"")"),"Un uomo è seduto accanto a una scrivania dove viene posizionato un pezzo di attrezzatura di fitness.")</f>
        <v>Un uomo è seduto accanto a una scrivania dove viene posizionato un pezzo di attrezzatura di fitness.</v>
      </c>
    </row>
    <row r="29761">
      <c r="A29761" s="4" t="s">
        <v>37478</v>
      </c>
      <c r="B29761" s="4" t="s">
        <v>37480</v>
      </c>
      <c r="C29761" s="5" t="str">
        <f>IFERROR(__xludf.DUMMYFUNCTION("GOOGLETRANSLATE(B29761,""en"",""it"")"),"L'uomo mostra i pedali dell'attrezzatura e un timer sull'apparecchiatura.")</f>
        <v>L'uomo mostra i pedali dell'attrezzatura e un timer sull'apparecchiatura.</v>
      </c>
    </row>
    <row r="29762">
      <c r="A29762" s="4" t="s">
        <v>37478</v>
      </c>
      <c r="B29762" s="4" t="s">
        <v>37481</v>
      </c>
      <c r="C29762" s="5" t="str">
        <f>IFERROR(__xludf.DUMMYFUNCTION("GOOGLETRANSLATE(B29762,""en"",""it"")"),"Una donna viene vista camminare sull'attrezzatura.")</f>
        <v>Una donna viene vista camminare sull'attrezzatura.</v>
      </c>
    </row>
    <row r="29763">
      <c r="A29763" s="4" t="s">
        <v>37478</v>
      </c>
      <c r="B29763" s="4" t="s">
        <v>37482</v>
      </c>
      <c r="C29763" s="5" t="str">
        <f>IFERROR(__xludf.DUMMYFUNCTION("GOOGLETRANSLATE(B29763,""en"",""it"")"),"Un uomo estrae l'attrezzatura di fitness da sotto una scrivania.")</f>
        <v>Un uomo estrae l'attrezzatura di fitness da sotto una scrivania.</v>
      </c>
    </row>
    <row r="29764">
      <c r="A29764" s="4" t="s">
        <v>37478</v>
      </c>
      <c r="B29764" s="4" t="s">
        <v>37483</v>
      </c>
      <c r="C29764" s="5" t="str">
        <f>IFERROR(__xludf.DUMMYFUNCTION("GOOGLETRANSLATE(B29764,""en"",""it"")"),"L'uomo è di nuovo visto dalla scrivania, parlando dell'attrezzatura di fitness.")</f>
        <v>L'uomo è di nuovo visto dalla scrivania, parlando dell'attrezzatura di fitness.</v>
      </c>
    </row>
    <row r="29765">
      <c r="A29765" s="4" t="s">
        <v>37484</v>
      </c>
      <c r="B29765" s="6" t="s">
        <v>37485</v>
      </c>
      <c r="C29765" s="5" t="str">
        <f>IFERROR(__xludf.DUMMYFUNCTION("GOOGLETRANSLATE(B29765,""en"",""it"")"),"Uno screenshot di una donna che indossa una tuta blu è in posa con due mangonamenti e parole bianche nel mezzo dello schermo dicono ""2 Baton Nicole"".")</f>
        <v>Uno screenshot di una donna che indossa una tuta blu è in posa con due mangonamenti e parole bianche nel mezzo dello schermo dicono "2 Baton Nicole".</v>
      </c>
    </row>
    <row r="29766">
      <c r="A29766" s="4" t="s">
        <v>37484</v>
      </c>
      <c r="B29766" s="6" t="s">
        <v>37486</v>
      </c>
      <c r="C29766" s="5" t="str">
        <f>IFERROR(__xludf.DUMMYFUNCTION("GOOGLETRANSLATE(B29766,""en"",""it"")"),"La donna è ora in piedi su un pavimento con molte linee colorate e trattini e inizia la sua routine di 2 manganelli che include un sacco di roteare, girare e lanciare e catturare i manganelli.")</f>
        <v>La donna è ora in piedi su un pavimento con molte linee colorate e trattini e inizia la sua routine di 2 manganelli che include un sacco di roteare, girare e lanciare e catturare i manganelli.</v>
      </c>
    </row>
    <row r="29767">
      <c r="A29767" s="4" t="s">
        <v>37484</v>
      </c>
      <c r="B29767" s="6" t="s">
        <v>37487</v>
      </c>
      <c r="C29767" s="5" t="str">
        <f>IFERROR(__xludf.DUMMYFUNCTION("GOOGLETRANSLATE(B29767,""en"",""it"")"),"Quasi alla fine della sua routine la donna lascia cadere il testimone due volte, li raccoglie e continua a fare la sua routine fino alla fine.")</f>
        <v>Quasi alla fine della sua routine la donna lascia cadere il testimone due volte, li raccoglie e continua a fare la sua routine fino alla fine.</v>
      </c>
    </row>
    <row r="29768">
      <c r="A29768" s="4" t="s">
        <v>37488</v>
      </c>
      <c r="B29768" s="4" t="s">
        <v>37489</v>
      </c>
      <c r="C29768" s="5" t="str">
        <f>IFERROR(__xludf.DUMMYFUNCTION("GOOGLETRANSLATE(B29768,""en"",""it"")"),"Una signora parla con due zucche su un tavolo.")</f>
        <v>Una signora parla con due zucche su un tavolo.</v>
      </c>
    </row>
    <row r="29769">
      <c r="A29769" s="4" t="s">
        <v>37488</v>
      </c>
      <c r="B29769" s="4" t="s">
        <v>37490</v>
      </c>
      <c r="C29769" s="5" t="str">
        <f>IFERROR(__xludf.DUMMYFUNCTION("GOOGLETRANSLATE(B29769,""en"",""it"")"),"Una donna mostra il suo palmo.")</f>
        <v>Una donna mostra il suo palmo.</v>
      </c>
    </row>
    <row r="29770">
      <c r="A29770" s="4" t="s">
        <v>37488</v>
      </c>
      <c r="B29770" s="4" t="s">
        <v>37491</v>
      </c>
      <c r="C29770" s="5" t="str">
        <f>IFERROR(__xludf.DUMMYFUNCTION("GOOGLETRANSLATE(B29770,""en"",""it"")"),"Una persona scolpisce una zucca.")</f>
        <v>Una persona scolpisce una zucca.</v>
      </c>
    </row>
    <row r="29771">
      <c r="A29771" s="4" t="s">
        <v>37488</v>
      </c>
      <c r="B29771" s="4" t="s">
        <v>37492</v>
      </c>
      <c r="C29771" s="5" t="str">
        <f>IFERROR(__xludf.DUMMYFUNCTION("GOOGLETRANSLATE(B29771,""en"",""it"")"),"Una femmina rilascia un'intervista sul kit di intaglio.")</f>
        <v>Una femmina rilascia un'intervista sul kit di intaglio.</v>
      </c>
    </row>
    <row r="29772">
      <c r="A29772" s="4" t="s">
        <v>37488</v>
      </c>
      <c r="B29772" s="4" t="s">
        <v>37493</v>
      </c>
      <c r="C29772" s="5" t="str">
        <f>IFERROR(__xludf.DUMMYFUNCTION("GOOGLETRANSLATE(B29772,""en"",""it"")"),"I bambini tengono le zucche con sorrisi sul volto.")</f>
        <v>I bambini tengono le zucche con sorrisi sul volto.</v>
      </c>
    </row>
    <row r="29773">
      <c r="A29773" s="4" t="s">
        <v>37488</v>
      </c>
      <c r="B29773" s="4" t="s">
        <v>37494</v>
      </c>
      <c r="C29773" s="5" t="str">
        <f>IFERROR(__xludf.DUMMYFUNCTION("GOOGLETRANSLATE(B29773,""en"",""it"")"),"Un uomo tira fuori la cima di una zucca.")</f>
        <v>Un uomo tira fuori la cima di una zucca.</v>
      </c>
    </row>
    <row r="29774">
      <c r="A29774" s="4" t="s">
        <v>37488</v>
      </c>
      <c r="B29774" s="4" t="s">
        <v>37495</v>
      </c>
      <c r="C29774" s="5" t="str">
        <f>IFERROR(__xludf.DUMMYFUNCTION("GOOGLETRANSLATE(B29774,""en"",""it"")"),"La signora presenta un coltello e un coltello più piccolo.")</f>
        <v>La signora presenta un coltello e un coltello più piccolo.</v>
      </c>
    </row>
    <row r="29775">
      <c r="A29775" s="4" t="s">
        <v>37488</v>
      </c>
      <c r="B29775" s="4" t="s">
        <v>37496</v>
      </c>
      <c r="C29775" s="5" t="str">
        <f>IFERROR(__xludf.DUMMYFUNCTION("GOOGLETRANSLATE(B29775,""en"",""it"")"),"Due persone siedono con le carte di fronte a loro.")</f>
        <v>Due persone siedono con le carte di fronte a loro.</v>
      </c>
    </row>
    <row r="29776">
      <c r="A29776" s="4" t="s">
        <v>37497</v>
      </c>
      <c r="B29776" s="4" t="s">
        <v>37498</v>
      </c>
      <c r="C29776" s="5" t="str">
        <f>IFERROR(__xludf.DUMMYFUNCTION("GOOGLETRANSLATE(B29776,""en"",""it"")"),"Un uomo con la camicia sudore lava piatti e tazze in un lavandino con acqua saponata.")</f>
        <v>Un uomo con la camicia sudore lava piatti e tazze in un lavandino con acqua saponata.</v>
      </c>
    </row>
    <row r="29777">
      <c r="A29777" s="4" t="s">
        <v>37497</v>
      </c>
      <c r="B29777" s="4" t="s">
        <v>37499</v>
      </c>
      <c r="C29777" s="5" t="str">
        <f>IFERROR(__xludf.DUMMYFUNCTION("GOOGLETRANSLATE(B29777,""en"",""it"")"),"L'uomo raccoglie l'argenteria immergendosi nel lavandino e li lava via.")</f>
        <v>L'uomo raccoglie l'argenteria immergendosi nel lavandino e li lava via.</v>
      </c>
    </row>
    <row r="29778">
      <c r="A29778" s="4" t="s">
        <v>37497</v>
      </c>
      <c r="B29778" s="4" t="s">
        <v>37500</v>
      </c>
      <c r="C29778" s="5" t="str">
        <f>IFERROR(__xludf.DUMMYFUNCTION("GOOGLETRANSLATE(B29778,""en"",""it"")"),"L'uomo lava i vasi e un tagliere.")</f>
        <v>L'uomo lava i vasi e un tagliere.</v>
      </c>
    </row>
    <row r="29779">
      <c r="A29779" s="4" t="s">
        <v>37497</v>
      </c>
      <c r="B29779" s="4" t="s">
        <v>37501</v>
      </c>
      <c r="C29779" s="5" t="str">
        <f>IFERROR(__xludf.DUMMYFUNCTION("GOOGLETRANSLATE(B29779,""en"",""it"")"),"L'uomo lava un gadget per la pressa per caffè.")</f>
        <v>L'uomo lava un gadget per la pressa per caffè.</v>
      </c>
    </row>
    <row r="29780">
      <c r="A29780" s="4" t="s">
        <v>37497</v>
      </c>
      <c r="B29780" s="4" t="s">
        <v>37502</v>
      </c>
      <c r="C29780" s="5" t="str">
        <f>IFERROR(__xludf.DUMMYFUNCTION("GOOGLETRANSLATE(B29780,""en"",""it"")"),"L'uomo spegne l'acqua e scarica il lavandino.")</f>
        <v>L'uomo spegne l'acqua e scarica il lavandino.</v>
      </c>
    </row>
    <row r="29781">
      <c r="A29781" s="4" t="s">
        <v>37503</v>
      </c>
      <c r="B29781" s="4" t="s">
        <v>37504</v>
      </c>
      <c r="C29781" s="5" t="str">
        <f>IFERROR(__xludf.DUMMYFUNCTION("GOOGLETRANSLATE(B29781,""en"",""it"")"),"Le persone sono sedute sul bordo dell'acqua.")</f>
        <v>Le persone sono sedute sul bordo dell'acqua.</v>
      </c>
    </row>
    <row r="29782">
      <c r="A29782" s="4" t="s">
        <v>37503</v>
      </c>
      <c r="B29782" s="4" t="s">
        <v>37505</v>
      </c>
      <c r="C29782" s="5" t="str">
        <f>IFERROR(__xludf.DUMMYFUNCTION("GOOGLETRANSLATE(B29782,""en"",""it"")"),"Un ragazzo sta tagliando qualcosa per terra.")</f>
        <v>Un ragazzo sta tagliando qualcosa per terra.</v>
      </c>
    </row>
    <row r="29783">
      <c r="A29783" s="4" t="s">
        <v>37503</v>
      </c>
      <c r="B29783" s="4" t="s">
        <v>37506</v>
      </c>
      <c r="C29783" s="5" t="str">
        <f>IFERROR(__xludf.DUMMYFUNCTION("GOOGLETRANSLATE(B29783,""en"",""it"")"),"Una donna si alza e si allontana.")</f>
        <v>Una donna si alza e si allontana.</v>
      </c>
    </row>
    <row r="29784">
      <c r="A29784" s="4" t="s">
        <v>37507</v>
      </c>
      <c r="B29784" s="4" t="s">
        <v>37508</v>
      </c>
      <c r="C29784" s="5" t="str">
        <f>IFERROR(__xludf.DUMMYFUNCTION("GOOGLETRANSLATE(B29784,""en"",""it"")"),"Viene mostrata una sala da toelettatura e tre persone stanno lavando diversi cani.")</f>
        <v>Viene mostrata una sala da toelettatura e tre persone stanno lavando diversi cani.</v>
      </c>
    </row>
    <row r="29785">
      <c r="A29785" s="4" t="s">
        <v>37507</v>
      </c>
      <c r="B29785" s="6" t="s">
        <v>37509</v>
      </c>
      <c r="C29785" s="5" t="str">
        <f>IFERROR(__xludf.DUMMYFUNCTION("GOOGLETRANSLATE(B29785,""en"",""it"")"),"Vengono mostrate altre stanze e i cani continuano a essere curati e sdraiati a terra in attesa del loro turno.")</f>
        <v>Vengono mostrate altre stanze e i cani continuano a essere curati e sdraiati a terra in attesa del loro turno.</v>
      </c>
    </row>
    <row r="29786">
      <c r="A29786" s="4" t="s">
        <v>37507</v>
      </c>
      <c r="B29786" s="4" t="s">
        <v>37510</v>
      </c>
      <c r="C29786" s="5" t="str">
        <f>IFERROR(__xludf.DUMMYFUNCTION("GOOGLETRANSLATE(B29786,""en"",""it"")"),"Dopo, la fotocamera lascia la parte posteriore dell'ufficio e viene mostrata l'area di accoglienza.")</f>
        <v>Dopo, la fotocamera lascia la parte posteriore dell'ufficio e viene mostrata l'area di accoglienza.</v>
      </c>
    </row>
    <row r="29787">
      <c r="A29787" s="4" t="s">
        <v>37511</v>
      </c>
      <c r="B29787" s="4" t="s">
        <v>37512</v>
      </c>
      <c r="C29787" s="5" t="str">
        <f>IFERROR(__xludf.DUMMYFUNCTION("GOOGLETRANSLATE(B29787,""en"",""it"")"),"Le persone remellano i remi in una zattera blu.")</f>
        <v>Le persone remellano i remi in una zattera blu.</v>
      </c>
    </row>
    <row r="29788">
      <c r="A29788" s="4" t="s">
        <v>37511</v>
      </c>
      <c r="B29788" s="4" t="s">
        <v>37513</v>
      </c>
      <c r="C29788" s="5" t="str">
        <f>IFERROR(__xludf.DUMMYFUNCTION("GOOGLETRANSLATE(B29788,""en"",""it"")"),"Esaminano un'onda in acqua.")</f>
        <v>Esaminano un'onda in acqua.</v>
      </c>
    </row>
    <row r="29789">
      <c r="A29789" s="4" t="s">
        <v>37511</v>
      </c>
      <c r="B29789" s="4" t="s">
        <v>37514</v>
      </c>
      <c r="C29789" s="5" t="str">
        <f>IFERROR(__xludf.DUMMYFUNCTION("GOOGLETRANSLATE(B29789,""en"",""it"")"),"Continuano a scendere dal fiume.")</f>
        <v>Continuano a scendere dal fiume.</v>
      </c>
    </row>
    <row r="29790">
      <c r="A29790" s="4" t="s">
        <v>37515</v>
      </c>
      <c r="B29790" s="4" t="s">
        <v>37516</v>
      </c>
      <c r="C29790" s="5" t="str">
        <f>IFERROR(__xludf.DUMMYFUNCTION("GOOGLETRANSLATE(B29790,""en"",""it"")"),"Un uomo è seduto su una sedia in un parrucchiere.")</f>
        <v>Un uomo è seduto su una sedia in un parrucchiere.</v>
      </c>
    </row>
    <row r="29791">
      <c r="A29791" s="4" t="s">
        <v>37515</v>
      </c>
      <c r="B29791" s="4" t="s">
        <v>37517</v>
      </c>
      <c r="C29791" s="5" t="str">
        <f>IFERROR(__xludf.DUMMYFUNCTION("GOOGLETRANSLATE(B29791,""en"",""it"")"),"Sta facendo un taglio di capelli da un parrucchiere che indossa un abito blu.")</f>
        <v>Sta facendo un taglio di capelli da un parrucchiere che indossa un abito blu.</v>
      </c>
    </row>
    <row r="29792">
      <c r="A29792" s="4" t="s">
        <v>37515</v>
      </c>
      <c r="B29792" s="4" t="s">
        <v>37518</v>
      </c>
      <c r="C29792" s="5" t="str">
        <f>IFERROR(__xludf.DUMMYFUNCTION("GOOGLETRANSLATE(B29792,""en"",""it"")"),"L'uomo è seduto con una macchina fotografica in mano.")</f>
        <v>L'uomo è seduto con una macchina fotografica in mano.</v>
      </c>
    </row>
    <row r="29793">
      <c r="A29793" s="4" t="s">
        <v>37515</v>
      </c>
      <c r="B29793" s="4" t="s">
        <v>37519</v>
      </c>
      <c r="C29793" s="5" t="str">
        <f>IFERROR(__xludf.DUMMYFUNCTION("GOOGLETRANSLATE(B29793,""en"",""it"")"),"Il parrucchiere finisce di tagliarsi i capelli e poi fa un passo indietro.")</f>
        <v>Il parrucchiere finisce di tagliarsi i capelli e poi fa un passo indietro.</v>
      </c>
    </row>
    <row r="29794">
      <c r="A29794" s="4" t="s">
        <v>37520</v>
      </c>
      <c r="B29794" s="4" t="s">
        <v>37521</v>
      </c>
      <c r="C29794" s="5" t="str">
        <f>IFERROR(__xludf.DUMMYFUNCTION("GOOGLETRANSLATE(B29794,""en"",""it"")"),"Un uomo in ginocchio tenta di accendere un fuoco mentre molti altri guardano.")</f>
        <v>Un uomo in ginocchio tenta di accendere un fuoco mentre molti altri guardano.</v>
      </c>
    </row>
    <row r="29795">
      <c r="A29795" s="4" t="s">
        <v>37520</v>
      </c>
      <c r="B29795" s="4" t="s">
        <v>37522</v>
      </c>
      <c r="C29795" s="5" t="str">
        <f>IFERROR(__xludf.DUMMYFUNCTION("GOOGLETRANSLATE(B29795,""en"",""it"")"),"Uno degli spettatori si se ne va brevemente.")</f>
        <v>Uno degli spettatori si se ne va brevemente.</v>
      </c>
    </row>
    <row r="29796">
      <c r="A29796" s="4" t="s">
        <v>37520</v>
      </c>
      <c r="B29796" s="4" t="s">
        <v>37523</v>
      </c>
      <c r="C29796" s="5" t="str">
        <f>IFERROR(__xludf.DUMMYFUNCTION("GOOGLETRANSLATE(B29796,""en"",""it"")"),"L'uomo in ginocchio inizia un fuoco.")</f>
        <v>L'uomo in ginocchio inizia un fuoco.</v>
      </c>
    </row>
    <row r="29797">
      <c r="A29797" s="4" t="s">
        <v>37520</v>
      </c>
      <c r="B29797" s="4" t="s">
        <v>37524</v>
      </c>
      <c r="C29797" s="5" t="str">
        <f>IFERROR(__xludf.DUMMYFUNCTION("GOOGLETRANSLATE(B29797,""en"",""it"")"),"Uno degli spettatori bacia l'uomo del ginocchio.")</f>
        <v>Uno degli spettatori bacia l'uomo del ginocchio.</v>
      </c>
    </row>
    <row r="29798">
      <c r="A29798" s="4" t="s">
        <v>37525</v>
      </c>
      <c r="B29798" s="4" t="s">
        <v>37526</v>
      </c>
      <c r="C29798" s="5" t="str">
        <f>IFERROR(__xludf.DUMMYFUNCTION("GOOGLETRANSLATE(B29798,""en"",""it"")"),"Un gruppo di uomini si siede attorno a un bar che flirta con un barista dietro la barra.")</f>
        <v>Un gruppo di uomini si siede attorno a un bar che flirta con un barista dietro la barra.</v>
      </c>
    </row>
    <row r="29799">
      <c r="A29799" s="4" t="s">
        <v>37525</v>
      </c>
      <c r="B29799" s="6" t="s">
        <v>37527</v>
      </c>
      <c r="C29799" s="5" t="str">
        <f>IFERROR(__xludf.DUMMYFUNCTION("GOOGLETRANSLATE(B29799,""en"",""it"")"),"La donna continua a parlare con gli uomini mentre la telecamera si muove attorno a vari gruppi di persone nelle vicinanze del bar.")</f>
        <v>La donna continua a parlare con gli uomini mentre la telecamera si muove attorno a vari gruppi di persone nelle vicinanze del bar.</v>
      </c>
    </row>
    <row r="29800">
      <c r="A29800" s="4" t="s">
        <v>37525</v>
      </c>
      <c r="B29800" s="4" t="s">
        <v>37528</v>
      </c>
      <c r="C29800" s="5" t="str">
        <f>IFERROR(__xludf.DUMMYFUNCTION("GOOGLETRANSLATE(B29800,""en"",""it"")"),"La donna si scintilla con le mani mentre si occupa anche delle carte per le persone al bar.")</f>
        <v>La donna si scintilla con le mani mentre si occupa anche delle carte per le persone al bar.</v>
      </c>
    </row>
    <row r="29801">
      <c r="A29801" s="4" t="s">
        <v>37529</v>
      </c>
      <c r="B29801" s="4" t="s">
        <v>37530</v>
      </c>
      <c r="C29801" s="5" t="str">
        <f>IFERROR(__xludf.DUMMYFUNCTION("GOOGLETRANSLATE(B29801,""en"",""it"")"),"Viene visto un uomo parlare alla telecamera con un paio di scarpe davanti a lui.")</f>
        <v>Viene visto un uomo parlare alla telecamera con un paio di scarpe davanti a lui.</v>
      </c>
    </row>
    <row r="29802">
      <c r="A29802" s="4" t="s">
        <v>37529</v>
      </c>
      <c r="B29802" s="4" t="s">
        <v>37531</v>
      </c>
      <c r="C29802" s="5" t="str">
        <f>IFERROR(__xludf.DUMMYFUNCTION("GOOGLETRANSLATE(B29802,""en"",""it"")"),"Solleva le scarpe e per la pulizia dei prodotti e inizia a usarli sulle scarpe.")</f>
        <v>Solleva le scarpe e per la pulizia dei prodotti e inizia a usarli sulle scarpe.</v>
      </c>
    </row>
    <row r="29803">
      <c r="A29803" s="4" t="s">
        <v>37529</v>
      </c>
      <c r="B29803" s="4" t="s">
        <v>37532</v>
      </c>
      <c r="C29803" s="5" t="str">
        <f>IFERROR(__xludf.DUMMYFUNCTION("GOOGLETRANSLATE(B29803,""en"",""it"")"),"Elimina le scarpe mentre mostra ancora i prodotti per la pulizia e parla alla fotocamera.")</f>
        <v>Elimina le scarpe mentre mostra ancora i prodotti per la pulizia e parla alla fotocamera.</v>
      </c>
    </row>
    <row r="29804">
      <c r="A29804" s="4" t="s">
        <v>37533</v>
      </c>
      <c r="B29804" s="4" t="s">
        <v>37534</v>
      </c>
      <c r="C29804" s="5" t="str">
        <f>IFERROR(__xludf.DUMMYFUNCTION("GOOGLETRANSLATE(B29804,""en"",""it"")"),"L'uomo è seduto nel carattere di un tavolo a parlare di come pulire una sneaker bianca.")</f>
        <v>L'uomo è seduto nel carattere di un tavolo a parlare di come pulire una sneaker bianca.</v>
      </c>
    </row>
    <row r="29805">
      <c r="A29805" s="4" t="s">
        <v>37533</v>
      </c>
      <c r="B29805" s="4" t="s">
        <v>37535</v>
      </c>
      <c r="C29805" s="5" t="str">
        <f>IFERROR(__xludf.DUMMYFUNCTION("GOOGLETRANSLATE(B29805,""en"",""it"")"),"L'uomo versa un liquido sull'acqua e pulisce la scarpa con un pennello e con uno smalto.")</f>
        <v>L'uomo versa un liquido sull'acqua e pulisce la scarpa con un pennello e con uno smalto.</v>
      </c>
    </row>
    <row r="29806">
      <c r="A29806" s="4" t="s">
        <v>37536</v>
      </c>
      <c r="B29806" s="4" t="s">
        <v>37537</v>
      </c>
      <c r="C29806" s="5" t="str">
        <f>IFERROR(__xludf.DUMMYFUNCTION("GOOGLETRANSLATE(B29806,""en"",""it"")"),"Le ragazze vengono mostrate uno alla volta, usando i tubi in PVC per la volta in una palestra interna su un tappetino.")</f>
        <v>Le ragazze vengono mostrate uno alla volta, usando i tubi in PVC per la volta in una palestra interna su un tappetino.</v>
      </c>
    </row>
    <row r="29807">
      <c r="A29807" s="4" t="s">
        <v>37536</v>
      </c>
      <c r="B29807" s="4" t="s">
        <v>37538</v>
      </c>
      <c r="C29807" s="5" t="str">
        <f>IFERROR(__xludf.DUMMYFUNCTION("GOOGLETRANSLATE(B29807,""en"",""it"")"),"Finalmente viene mostrato anche un ragazzo.")</f>
        <v>Finalmente viene mostrato anche un ragazzo.</v>
      </c>
    </row>
    <row r="29808">
      <c r="A29808" s="4" t="s">
        <v>37539</v>
      </c>
      <c r="B29808" s="4" t="s">
        <v>37540</v>
      </c>
      <c r="C29808" s="5" t="str">
        <f>IFERROR(__xludf.DUMMYFUNCTION("GOOGLETRANSLATE(B29808,""en"",""it"")"),"Viene mostrato un primo piano di una terra di cartoni animati, seguito da un cartone animato con un giavellotto.")</f>
        <v>Viene mostrato un primo piano di una terra di cartoni animati, seguito da un cartone animato con un giavellotto.</v>
      </c>
    </row>
    <row r="29809">
      <c r="A29809" s="4" t="s">
        <v>37539</v>
      </c>
      <c r="B29809" s="6" t="s">
        <v>37541</v>
      </c>
      <c r="C29809" s="5" t="str">
        <f>IFERROR(__xludf.DUMMYFUNCTION("GOOGLETRANSLATE(B29809,""en"",""it"")"),"L'uomo viene quindi mostrato lanciando tre diversi giavelli in competizione, intervallati dalle parole sullo schermo.")</f>
        <v>L'uomo viene quindi mostrato lanciando tre diversi giavelli in competizione, intervallati dalle parole sullo schermo.</v>
      </c>
    </row>
    <row r="29810">
      <c r="A29810" s="4" t="s">
        <v>37542</v>
      </c>
      <c r="B29810" s="4" t="s">
        <v>37543</v>
      </c>
      <c r="C29810" s="5" t="str">
        <f>IFERROR(__xludf.DUMMYFUNCTION("GOOGLETRANSLATE(B29810,""en"",""it"")"),"Una donna è vista in piedi accanto a un'auto congelata mentre discese lo sguardo dalla telecamera.")</f>
        <v>Una donna è vista in piedi accanto a un'auto congelata mentre discese lo sguardo dalla telecamera.</v>
      </c>
    </row>
    <row r="29811">
      <c r="A29811" s="4" t="s">
        <v>37542</v>
      </c>
      <c r="B29811" s="4" t="s">
        <v>37544</v>
      </c>
      <c r="C29811" s="5" t="str">
        <f>IFERROR(__xludf.DUMMYFUNCTION("GOOGLETRANSLATE(B29811,""en"",""it"")"),"La donna inizia quindi a usare un raschietto per raschiare i lati.")</f>
        <v>La donna inizia quindi a usare un raschietto per raschiare i lati.</v>
      </c>
    </row>
    <row r="29812">
      <c r="A29812" s="4" t="s">
        <v>37542</v>
      </c>
      <c r="B29812" s="4" t="s">
        <v>37545</v>
      </c>
      <c r="C29812" s="5" t="str">
        <f>IFERROR(__xludf.DUMMYFUNCTION("GOOGLETRANSLATE(B29812,""en"",""it"")"),"La donna continua a raschiare la macchina e guardando in lontananza.")</f>
        <v>La donna continua a raschiare la macchina e guardando in lontananza.</v>
      </c>
    </row>
    <row r="29813">
      <c r="A29813" s="4" t="s">
        <v>37546</v>
      </c>
      <c r="B29813" s="4" t="s">
        <v>37547</v>
      </c>
      <c r="C29813" s="5" t="str">
        <f>IFERROR(__xludf.DUMMYFUNCTION("GOOGLETRANSLATE(B29813,""en"",""it"")"),"Gli atleti stanno fornendo interviste e alcuni mostrano le loro medaglie di partecipazione.")</f>
        <v>Gli atleti stanno fornendo interviste e alcuni mostrano le loro medaglie di partecipazione.</v>
      </c>
    </row>
    <row r="29814">
      <c r="A29814" s="4" t="s">
        <v>37546</v>
      </c>
      <c r="B29814" s="4" t="s">
        <v>37548</v>
      </c>
      <c r="C29814" s="5" t="str">
        <f>IFERROR(__xludf.DUMMYFUNCTION("GOOGLETRANSLATE(B29814,""en"",""it"")"),"Gli atleti si imbarcano su autobus bianchi.")</f>
        <v>Gli atleti si imbarcano su autobus bianchi.</v>
      </c>
    </row>
    <row r="29815">
      <c r="A29815" s="4" t="s">
        <v>37546</v>
      </c>
      <c r="B29815" s="4" t="s">
        <v>37549</v>
      </c>
      <c r="C29815" s="5" t="str">
        <f>IFERROR(__xludf.DUMMYFUNCTION("GOOGLETRANSLATE(B29815,""en"",""it"")"),"Gli autobus si muovono lungo la strada.")</f>
        <v>Gli autobus si muovono lungo la strada.</v>
      </c>
    </row>
    <row r="29816">
      <c r="A29816" s="4" t="s">
        <v>37546</v>
      </c>
      <c r="B29816" s="4" t="s">
        <v>37550</v>
      </c>
      <c r="C29816" s="5" t="str">
        <f>IFERROR(__xludf.DUMMYFUNCTION("GOOGLETRANSLATE(B29816,""en"",""it"")"),"Una persona impila le magliette.")</f>
        <v>Una persona impila le magliette.</v>
      </c>
    </row>
    <row r="29817">
      <c r="A29817" s="4" t="s">
        <v>37546</v>
      </c>
      <c r="B29817" s="4" t="s">
        <v>37551</v>
      </c>
      <c r="C29817" s="5" t="str">
        <f>IFERROR(__xludf.DUMMYFUNCTION("GOOGLETRANSLATE(B29817,""en"",""it"")"),"Gli atleti aspettano alla linea di partenza.")</f>
        <v>Gli atleti aspettano alla linea di partenza.</v>
      </c>
    </row>
    <row r="29818">
      <c r="A29818" s="4" t="s">
        <v>37546</v>
      </c>
      <c r="B29818" s="4" t="s">
        <v>37552</v>
      </c>
      <c r="C29818" s="5" t="str">
        <f>IFERROR(__xludf.DUMMYFUNCTION("GOOGLETRANSLATE(B29818,""en"",""it"")"),"Gli atleti stanno correndo lungo la strada.")</f>
        <v>Gli atleti stanno correndo lungo la strada.</v>
      </c>
    </row>
    <row r="29819">
      <c r="A29819" s="4" t="s">
        <v>37546</v>
      </c>
      <c r="B29819" s="4" t="s">
        <v>37553</v>
      </c>
      <c r="C29819" s="5" t="str">
        <f>IFERROR(__xludf.DUMMYFUNCTION("GOOGLETRANSLATE(B29819,""en"",""it"")"),"Gli atleti tagliano il traguardo.")</f>
        <v>Gli atleti tagliano il traguardo.</v>
      </c>
    </row>
    <row r="29820">
      <c r="A29820" s="4" t="s">
        <v>37546</v>
      </c>
      <c r="B29820" s="4" t="s">
        <v>1251</v>
      </c>
      <c r="C29820" s="5" t="str">
        <f>IFERROR(__xludf.DUMMYFUNCTION("GOOGLETRANSLATE(B29820,""en"",""it"")"),"Vengono visualizzati i crediti della clip.")</f>
        <v>Vengono visualizzati i crediti della clip.</v>
      </c>
    </row>
    <row r="29821">
      <c r="A29821" s="4" t="s">
        <v>37554</v>
      </c>
      <c r="B29821" s="4" t="s">
        <v>37555</v>
      </c>
      <c r="C29821" s="5" t="str">
        <f>IFERROR(__xludf.DUMMYFUNCTION("GOOGLETRANSLATE(B29821,""en"",""it"")"),"Un atleta viene visto seduto a terra quando un uomo si avvicina e gli consegna le scarpe.")</f>
        <v>Un atleta viene visto seduto a terra quando un uomo si avvicina e gli consegna le scarpe.</v>
      </c>
    </row>
    <row r="29822">
      <c r="A29822" s="4" t="s">
        <v>37554</v>
      </c>
      <c r="B29822" s="4" t="s">
        <v>37556</v>
      </c>
      <c r="C29822" s="5" t="str">
        <f>IFERROR(__xludf.DUMMYFUNCTION("GOOGLETRANSLATE(B29822,""en"",""it"")"),"L'uomo quindi mette le scarpe e inizia a muoversi nel campo.")</f>
        <v>L'uomo quindi mette le scarpe e inizia a muoversi nel campo.</v>
      </c>
    </row>
    <row r="29823">
      <c r="A29823" s="4" t="s">
        <v>37554</v>
      </c>
      <c r="B29823" s="4" t="s">
        <v>37557</v>
      </c>
      <c r="C29823" s="5" t="str">
        <f>IFERROR(__xludf.DUMMYFUNCTION("GOOGLETRANSLATE(B29823,""en"",""it"")"),"L'uomo prende a calci una palla mentre la telecamera lo segue da dietro.")</f>
        <v>L'uomo prende a calci una palla mentre la telecamera lo segue da dietro.</v>
      </c>
    </row>
    <row r="29824">
      <c r="A29824" s="4" t="s">
        <v>37558</v>
      </c>
      <c r="B29824" s="6" t="s">
        <v>37559</v>
      </c>
      <c r="C29824" s="5" t="str">
        <f>IFERROR(__xludf.DUMMYFUNCTION("GOOGLETRANSLATE(B29824,""en"",""it"")"),"Le persone che giocano a una partita di baseball sono mostrate su un grande campo con dozzine di persone che guardano sul lato.")</f>
        <v>Le persone che giocano a una partita di baseball sono mostrate su un grande campo con dozzine di persone che guardano sul lato.</v>
      </c>
    </row>
    <row r="29825">
      <c r="A29825" s="4" t="s">
        <v>37558</v>
      </c>
      <c r="B29825" s="6" t="s">
        <v>37560</v>
      </c>
      <c r="C29825" s="5" t="str">
        <f>IFERROR(__xludf.DUMMYFUNCTION("GOOGLETRANSLATE(B29825,""en"",""it"")"),"La gente continua a giocare e termina con diversi giocatori che corrono al campo alla fine.")</f>
        <v>La gente continua a giocare e termina con diversi giocatori che corrono al campo alla fine.</v>
      </c>
    </row>
    <row r="29826">
      <c r="A29826" s="4" t="s">
        <v>37561</v>
      </c>
      <c r="B29826" s="4" t="s">
        <v>37562</v>
      </c>
      <c r="C29826" s="5" t="str">
        <f>IFERROR(__xludf.DUMMYFUNCTION("GOOGLETRANSLATE(B29826,""en"",""it"")"),"Una persona sta aiutando un giovane a saltare dietro le rotaie di un ponte e controllare le cinture.")</f>
        <v>Una persona sta aiutando un giovane a saltare dietro le rotaie di un ponte e controllare le cinture.</v>
      </c>
    </row>
    <row r="29827">
      <c r="A29827" s="4" t="s">
        <v>37561</v>
      </c>
      <c r="B29827" s="4" t="s">
        <v>37563</v>
      </c>
      <c r="C29827" s="5" t="str">
        <f>IFERROR(__xludf.DUMMYFUNCTION("GOOGLETRANSLATE(B29827,""en"",""it"")"),"Quindi, l'uomo salta giù dal ponte.")</f>
        <v>Quindi, l'uomo salta giù dal ponte.</v>
      </c>
    </row>
    <row r="29828">
      <c r="A29828" s="4" t="s">
        <v>37564</v>
      </c>
      <c r="B29828" s="4" t="s">
        <v>37565</v>
      </c>
      <c r="C29828" s="5" t="str">
        <f>IFERROR(__xludf.DUMMYFUNCTION("GOOGLETRANSLATE(B29828,""en"",""it"")"),"È in corso un gioco di croquette.")</f>
        <v>È in corso un gioco di croquette.</v>
      </c>
    </row>
    <row r="29829">
      <c r="A29829" s="4" t="s">
        <v>37564</v>
      </c>
      <c r="B29829" s="4" t="s">
        <v>37566</v>
      </c>
      <c r="C29829" s="5" t="str">
        <f>IFERROR(__xludf.DUMMYFUNCTION("GOOGLETRANSLATE(B29829,""en"",""it"")"),"Un uomo ha messo in fila numerose palline colorate.")</f>
        <v>Un uomo ha messo in fila numerose palline colorate.</v>
      </c>
    </row>
    <row r="29830">
      <c r="A29830" s="4" t="s">
        <v>37564</v>
      </c>
      <c r="B29830" s="4" t="s">
        <v>37567</v>
      </c>
      <c r="C29830" s="5" t="str">
        <f>IFERROR(__xludf.DUMMYFUNCTION("GOOGLETRANSLATE(B29830,""en"",""it"")"),"Si muove lungo la linea, colpendo ogni palla attraverso l'obiettivo.")</f>
        <v>Si muove lungo la linea, colpendo ogni palla attraverso l'obiettivo.</v>
      </c>
    </row>
    <row r="29831">
      <c r="A29831" s="4" t="s">
        <v>37568</v>
      </c>
      <c r="B29831" s="4" t="s">
        <v>37569</v>
      </c>
      <c r="C29831" s="5" t="str">
        <f>IFERROR(__xludf.DUMMYFUNCTION("GOOGLETRANSLATE(B29831,""en"",""it"")"),"Questo video è un tutorial che mostra alle persone come sciare correttamente.")</f>
        <v>Questo video è un tutorial che mostra alle persone come sciare correttamente.</v>
      </c>
    </row>
    <row r="29832">
      <c r="A29832" s="4" t="s">
        <v>37568</v>
      </c>
      <c r="B29832" s="4" t="s">
        <v>37570</v>
      </c>
      <c r="C29832" s="5" t="str">
        <f>IFERROR(__xludf.DUMMYFUNCTION("GOOGLETRANSLATE(B29832,""en"",""it"")"),"Per prima cosa ti dice in quale ambiente dovresti sciare.")</f>
        <v>Per prima cosa ti dice in quale ambiente dovresti sciare.</v>
      </c>
    </row>
    <row r="29833">
      <c r="A29833" s="4" t="s">
        <v>37568</v>
      </c>
      <c r="B29833" s="4" t="s">
        <v>37571</v>
      </c>
      <c r="C29833" s="5" t="str">
        <f>IFERROR(__xludf.DUMMYFUNCTION("GOOGLETRANSLATE(B29833,""en"",""it"")"),"Mostra anche qualcuno che schi sulla neve per accompagnare i passi fatti.")</f>
        <v>Mostra anche qualcuno che schi sulla neve per accompagnare i passi fatti.</v>
      </c>
    </row>
    <row r="29834">
      <c r="A29834" s="4" t="s">
        <v>37572</v>
      </c>
      <c r="B29834" s="4" t="s">
        <v>37573</v>
      </c>
      <c r="C29834" s="5" t="str">
        <f>IFERROR(__xludf.DUMMYFUNCTION("GOOGLETRANSLATE(B29834,""en"",""it"")"),"Un uomo si sta allenando su una macchina ellittica.")</f>
        <v>Un uomo si sta allenando su una macchina ellittica.</v>
      </c>
    </row>
    <row r="29835">
      <c r="A29835" s="4" t="s">
        <v>37572</v>
      </c>
      <c r="B29835" s="4" t="s">
        <v>37574</v>
      </c>
      <c r="C29835" s="5" t="str">
        <f>IFERROR(__xludf.DUMMYFUNCTION("GOOGLETRANSLATE(B29835,""en"",""it"")"),"Mostra lo schermo sulla macchina.")</f>
        <v>Mostra lo schermo sulla macchina.</v>
      </c>
    </row>
    <row r="29836">
      <c r="A29836" s="4" t="s">
        <v>37575</v>
      </c>
      <c r="B29836" s="4" t="s">
        <v>37576</v>
      </c>
      <c r="C29836" s="5" t="str">
        <f>IFERROR(__xludf.DUMMYFUNCTION("GOOGLETRANSLATE(B29836,""en"",""it"")"),"Un'introduzione conduce in una barca piena di persone che volano in acqua.")</f>
        <v>Un'introduzione conduce in una barca piena di persone che volano in acqua.</v>
      </c>
    </row>
    <row r="29837">
      <c r="A29837" s="4" t="s">
        <v>37575</v>
      </c>
      <c r="B29837" s="6" t="s">
        <v>37577</v>
      </c>
      <c r="C29837" s="5" t="str">
        <f>IFERROR(__xludf.DUMMYFUNCTION("GOOGLETRANSLATE(B29837,""en"",""it"")"),"La fotocamera mostra vari angoli della barca che si muovono lungo l'acqua e dai primi piani alle persone a bordo.")</f>
        <v>La fotocamera mostra vari angoli della barca che si muovono lungo l'acqua e dai primi piani alle persone a bordo.</v>
      </c>
    </row>
    <row r="29838">
      <c r="A29838" s="4" t="s">
        <v>37578</v>
      </c>
      <c r="B29838" s="4" t="s">
        <v>37579</v>
      </c>
      <c r="C29838" s="5" t="str">
        <f>IFERROR(__xludf.DUMMYFUNCTION("GOOGLETRANSLATE(B29838,""en"",""it"")"),"Vediamo uomini giocare a calcio e segnare ripetutamente all'interno.")</f>
        <v>Vediamo uomini giocare a calcio e segnare ripetutamente all'interno.</v>
      </c>
    </row>
    <row r="29839">
      <c r="A29839" s="4" t="s">
        <v>37578</v>
      </c>
      <c r="B29839" s="4" t="s">
        <v>37580</v>
      </c>
      <c r="C29839" s="5" t="str">
        <f>IFERROR(__xludf.DUMMYFUNCTION("GOOGLETRANSLATE(B29839,""en"",""it"")"),"Vediamo un portiere saltare in giro e un uomo sparare e segnare.")</f>
        <v>Vediamo un portiere saltare in giro e un uomo sparare e segnare.</v>
      </c>
    </row>
    <row r="29840">
      <c r="A29840" s="4" t="s">
        <v>37578</v>
      </c>
      <c r="B29840" s="4" t="s">
        <v>37581</v>
      </c>
      <c r="C29840" s="5" t="str">
        <f>IFERROR(__xludf.DUMMYFUNCTION("GOOGLETRANSLATE(B29840,""en"",""it"")"),"Vediamo un giovane felice che si agela la camicia.")</f>
        <v>Vediamo un giovane felice che si agela la camicia.</v>
      </c>
    </row>
    <row r="29841">
      <c r="A29841" s="4" t="s">
        <v>37582</v>
      </c>
      <c r="B29841" s="4" t="s">
        <v>37583</v>
      </c>
      <c r="C29841" s="5" t="str">
        <f>IFERROR(__xludf.DUMMYFUNCTION("GOOGLETRANSLATE(B29841,""en"",""it"")"),"Applicare le piastrelle nella stessa direzione esatta.")</f>
        <v>Applicare le piastrelle nella stessa direzione esatta.</v>
      </c>
    </row>
    <row r="29842">
      <c r="A29842" s="4" t="s">
        <v>37582</v>
      </c>
      <c r="B29842" s="4" t="s">
        <v>37584</v>
      </c>
      <c r="C29842" s="5" t="str">
        <f>IFERROR(__xludf.DUMMYFUNCTION("GOOGLETRANSLATE(B29842,""en"",""it"")"),"La piastrella deve essere installata sull'adesivo.")</f>
        <v>La piastrella deve essere installata sull'adesivo.</v>
      </c>
    </row>
    <row r="29843">
      <c r="A29843" s="4" t="s">
        <v>37582</v>
      </c>
      <c r="B29843" s="4" t="s">
        <v>37585</v>
      </c>
      <c r="C29843" s="5" t="str">
        <f>IFERROR(__xludf.DUMMYFUNCTION("GOOGLETRANSLATE(B29843,""en"",""it"")"),"Quindi rotola immediatamente con un rullo da cento punti.")</f>
        <v>Quindi rotola immediatamente con un rullo da cento punti.</v>
      </c>
    </row>
    <row r="29844">
      <c r="A29844" s="4" t="s">
        <v>37582</v>
      </c>
      <c r="B29844" s="4" t="s">
        <v>37586</v>
      </c>
      <c r="C29844" s="5" t="str">
        <f>IFERROR(__xludf.DUMMYFUNCTION("GOOGLETRANSLATE(B29844,""en"",""it"")"),"Tagliare le piastrelle vicino al perimetro per garantire un'installazione regolare.")</f>
        <v>Tagliare le piastrelle vicino al perimetro per garantire un'installazione regolare.</v>
      </c>
    </row>
    <row r="29845">
      <c r="A29845" s="4" t="s">
        <v>37587</v>
      </c>
      <c r="B29845" s="4" t="s">
        <v>37588</v>
      </c>
      <c r="C29845" s="5" t="str">
        <f>IFERROR(__xludf.DUMMYFUNCTION("GOOGLETRANSLATE(B29845,""en"",""it"")"),"Una persona mostra la pancetta su un piatto, quindi mette la maionese su due pezzi di pane.")</f>
        <v>Una persona mostra la pancetta su un piatto, quindi mette la maionese su due pezzi di pane.</v>
      </c>
    </row>
    <row r="29846">
      <c r="A29846" s="4" t="s">
        <v>37587</v>
      </c>
      <c r="B29846" s="6" t="s">
        <v>37589</v>
      </c>
      <c r="C29846" s="5" t="str">
        <f>IFERROR(__xludf.DUMMYFUNCTION("GOOGLETRANSLATE(B29846,""en"",""it"")"),"Quindi, la persona mette la pancetta su un pane, lattuga e pomodoro sull'altro pane, quindi diffonde la peper e forma il sandwich.")</f>
        <v>Quindi, la persona mette la pancetta su un pane, lattuga e pomodoro sull'altro pane, quindi diffonde la peper e forma il sandwich.</v>
      </c>
    </row>
    <row r="29847">
      <c r="A29847" s="4" t="s">
        <v>37587</v>
      </c>
      <c r="B29847" s="4" t="s">
        <v>37590</v>
      </c>
      <c r="C29847" s="5" t="str">
        <f>IFERROR(__xludf.DUMMYFUNCTION("GOOGLETRANSLATE(B29847,""en"",""it"")"),"Successivamente, la persona taglia il sandwich a metà, quindi prende metà e dà un boccone.")</f>
        <v>Successivamente, la persona taglia il sandwich a metà, quindi prende metà e dà un boccone.</v>
      </c>
    </row>
    <row r="29848">
      <c r="A29848" s="4" t="s">
        <v>37591</v>
      </c>
      <c r="B29848" s="4" t="s">
        <v>37592</v>
      </c>
      <c r="C29848" s="5" t="str">
        <f>IFERROR(__xludf.DUMMYFUNCTION("GOOGLETRANSLATE(B29848,""en"",""it"")"),"Un uomo usa uno strumento per anche intonacare su un muro.")</f>
        <v>Un uomo usa uno strumento per anche intonacare su un muro.</v>
      </c>
    </row>
    <row r="29849">
      <c r="A29849" s="4" t="s">
        <v>37591</v>
      </c>
      <c r="B29849" s="4" t="s">
        <v>37593</v>
      </c>
      <c r="C29849" s="5" t="str">
        <f>IFERROR(__xludf.DUMMYFUNCTION("GOOGLETRANSLATE(B29849,""en"",""it"")"),"L'uomo lavora sul muro sotto il telaio visibile della fotocamera.")</f>
        <v>L'uomo lavora sul muro sotto il telaio visibile della fotocamera.</v>
      </c>
    </row>
    <row r="29850">
      <c r="A29850" s="4" t="s">
        <v>37591</v>
      </c>
      <c r="B29850" s="4" t="s">
        <v>37594</v>
      </c>
      <c r="C29850" s="5" t="str">
        <f>IFERROR(__xludf.DUMMYFUNCTION("GOOGLETRANSLATE(B29850,""en"",""it"")"),"L'uomo si alza davanti alla telecamera e la cammina oltre.")</f>
        <v>L'uomo si alza davanti alla telecamera e la cammina oltre.</v>
      </c>
    </row>
    <row r="29851">
      <c r="A29851" s="4" t="s">
        <v>37595</v>
      </c>
      <c r="B29851" s="4" t="s">
        <v>37596</v>
      </c>
      <c r="C29851" s="5" t="str">
        <f>IFERROR(__xludf.DUMMYFUNCTION("GOOGLETRANSLATE(B29851,""en"",""it"")"),"Le persone stanno cavalcando una barca in acqua.")</f>
        <v>Le persone stanno cavalcando una barca in acqua.</v>
      </c>
    </row>
    <row r="29852">
      <c r="A29852" s="4" t="s">
        <v>37595</v>
      </c>
      <c r="B29852" s="4" t="s">
        <v>37597</v>
      </c>
      <c r="C29852" s="5" t="str">
        <f>IFERROR(__xludf.DUMMYFUNCTION("GOOGLETRANSLATE(B29852,""en"",""it"")"),"La barca sta tirando un tubo con un uomo dietro di esso.")</f>
        <v>La barca sta tirando un tubo con un uomo dietro di esso.</v>
      </c>
    </row>
    <row r="29853">
      <c r="A29853" s="4" t="s">
        <v>37595</v>
      </c>
      <c r="B29853" s="4" t="s">
        <v>37598</v>
      </c>
      <c r="C29853" s="5" t="str">
        <f>IFERROR(__xludf.DUMMYFUNCTION("GOOGLETRANSLATE(B29853,""en"",""it"")"),"La persona vola fuori dal tubo.")</f>
        <v>La persona vola fuori dal tubo.</v>
      </c>
    </row>
    <row r="29854">
      <c r="A29854" s="4" t="s">
        <v>37595</v>
      </c>
      <c r="B29854" s="4" t="s">
        <v>37599</v>
      </c>
      <c r="C29854" s="5" t="str">
        <f>IFERROR(__xludf.DUMMYFUNCTION("GOOGLETRANSLATE(B29854,""en"",""it"")"),"La barca sta tirando lo stesso tubo con diversi giovani.")</f>
        <v>La barca sta tirando lo stesso tubo con diversi giovani.</v>
      </c>
    </row>
    <row r="29855">
      <c r="A29855" s="4" t="s">
        <v>37595</v>
      </c>
      <c r="B29855" s="4" t="s">
        <v>37600</v>
      </c>
      <c r="C29855" s="5" t="str">
        <f>IFERROR(__xludf.DUMMYFUNCTION("GOOGLETRANSLATE(B29855,""en"",""it"")"),"Una persona d'acqua d'acqua dietro la barca.")</f>
        <v>Una persona d'acqua d'acqua dietro la barca.</v>
      </c>
    </row>
    <row r="29856">
      <c r="A29856" s="4" t="s">
        <v>37595</v>
      </c>
      <c r="B29856" s="4" t="s">
        <v>37601</v>
      </c>
      <c r="C29856" s="5" t="str">
        <f>IFERROR(__xludf.DUMMYFUNCTION("GOOGLETRANSLATE(B29856,""en"",""it"")"),"Un jet ski passa dalla barca, quindi vediamo i passeggeri.")</f>
        <v>Un jet ski passa dalla barca, quindi vediamo i passeggeri.</v>
      </c>
    </row>
    <row r="29857">
      <c r="A29857" s="4" t="s">
        <v>37602</v>
      </c>
      <c r="B29857" s="4" t="s">
        <v>37603</v>
      </c>
      <c r="C29857" s="5" t="str">
        <f>IFERROR(__xludf.DUMMYFUNCTION("GOOGLETRANSLATE(B29857,""en"",""it"")"),"Un uomo in possesso di un mantello rosso è in piedi davanti a un toro.")</f>
        <v>Un uomo in possesso di un mantello rosso è in piedi davanti a un toro.</v>
      </c>
    </row>
    <row r="29858">
      <c r="A29858" s="4" t="s">
        <v>37602</v>
      </c>
      <c r="B29858" s="4" t="s">
        <v>37604</v>
      </c>
      <c r="C29858" s="5" t="str">
        <f>IFERROR(__xludf.DUMMYFUNCTION("GOOGLETRANSLATE(B29858,""en"",""it"")"),"Il toro lo colpisce e lo bussa a terra.")</f>
        <v>Il toro lo colpisce e lo bussa a terra.</v>
      </c>
    </row>
    <row r="29859">
      <c r="A29859" s="4" t="s">
        <v>37602</v>
      </c>
      <c r="B29859" s="4" t="s">
        <v>37605</v>
      </c>
      <c r="C29859" s="5" t="str">
        <f>IFERROR(__xludf.DUMMYFUNCTION("GOOGLETRANSLATE(B29859,""en"",""it"")"),"Le persone portano l'uomo dall'arena.")</f>
        <v>Le persone portano l'uomo dall'arena.</v>
      </c>
    </row>
    <row r="29860">
      <c r="A29860" s="4" t="s">
        <v>37606</v>
      </c>
      <c r="B29860" s="4" t="s">
        <v>37607</v>
      </c>
      <c r="C29860" s="5" t="str">
        <f>IFERROR(__xludf.DUMMYFUNCTION("GOOGLETRANSLATE(B29860,""en"",""it"")"),"Un barbiere strofina la crema da barba sulla testa calva di un uomo.")</f>
        <v>Un barbiere strofina la crema da barba sulla testa calva di un uomo.</v>
      </c>
    </row>
    <row r="29861">
      <c r="A29861" s="4" t="s">
        <v>37606</v>
      </c>
      <c r="B29861" s="4" t="s">
        <v>37608</v>
      </c>
      <c r="C29861" s="5" t="str">
        <f>IFERROR(__xludf.DUMMYFUNCTION("GOOGLETRANSLATE(B29861,""en"",""it"")"),"Il barbiere si ferma a pulire le mani con un asciugamano.")</f>
        <v>Il barbiere si ferma a pulire le mani con un asciugamano.</v>
      </c>
    </row>
    <row r="29862">
      <c r="A29862" s="4" t="s">
        <v>37606</v>
      </c>
      <c r="B29862" s="4" t="s">
        <v>37609</v>
      </c>
      <c r="C29862" s="5" t="str">
        <f>IFERROR(__xludf.DUMMYFUNCTION("GOOGLETRANSLATE(B29862,""en"",""it"")"),"Il barbiere afferra un rasoio e rade lentamente la testa dell'uomo.")</f>
        <v>Il barbiere afferra un rasoio e rade lentamente la testa dell'uomo.</v>
      </c>
    </row>
    <row r="29863">
      <c r="A29863" s="4" t="s">
        <v>37610</v>
      </c>
      <c r="B29863" s="4" t="s">
        <v>37611</v>
      </c>
      <c r="C29863" s="5" t="str">
        <f>IFERROR(__xludf.DUMMYFUNCTION("GOOGLETRANSLATE(B29863,""en"",""it"")"),"Un giovane si piega per sollevare un peso alle spalle, quindi solleva il peso sopra la sua testa.")</f>
        <v>Un giovane si piega per sollevare un peso alle spalle, quindi solleva il peso sopra la sua testa.</v>
      </c>
    </row>
    <row r="29864">
      <c r="A29864" s="4" t="s">
        <v>37610</v>
      </c>
      <c r="B29864" s="4" t="s">
        <v>37612</v>
      </c>
      <c r="C29864" s="5" t="str">
        <f>IFERROR(__xludf.DUMMYFUNCTION("GOOGLETRANSLATE(B29864,""en"",""it"")"),"Il giovane lascia che il peso cade sul pavimento.")</f>
        <v>Il giovane lascia che il peso cade sul pavimento.</v>
      </c>
    </row>
    <row r="29865">
      <c r="A29865" s="4" t="s">
        <v>37610</v>
      </c>
      <c r="B29865" s="4" t="s">
        <v>37613</v>
      </c>
      <c r="C29865" s="5" t="str">
        <f>IFERROR(__xludf.DUMMYFUNCTION("GOOGLETRANSLATE(B29865,""en"",""it"")"),"Dopo, l'uomo gira, e poi un uomo viene e abbraccia il giovane.")</f>
        <v>Dopo, l'uomo gira, e poi un uomo viene e abbraccia il giovane.</v>
      </c>
    </row>
    <row r="29866">
      <c r="A29866" s="4" t="s">
        <v>37614</v>
      </c>
      <c r="B29866" s="4" t="s">
        <v>37615</v>
      </c>
      <c r="C29866" s="5" t="str">
        <f>IFERROR(__xludf.DUMMYFUNCTION("GOOGLETRANSLATE(B29866,""en"",""it"")"),"Un'introduzione arriva sullo schermo che fornisce informazioni per un'azienda a percussione.")</f>
        <v>Un'introduzione arriva sullo schermo che fornisce informazioni per un'azienda a percussione.</v>
      </c>
    </row>
    <row r="29867">
      <c r="A29867" s="4" t="s">
        <v>37614</v>
      </c>
      <c r="B29867" s="4" t="s">
        <v>37616</v>
      </c>
      <c r="C29867" s="5" t="str">
        <f>IFERROR(__xludf.DUMMYFUNCTION("GOOGLETRANSLATE(B29867,""en"",""it"")"),"Un uomo inizia a suonare una serie di tamburi con la fotocamera che gli mostra da diverse angolazioni.")</f>
        <v>Un uomo inizia a suonare una serie di tamburi con la fotocamera che gli mostra da diverse angolazioni.</v>
      </c>
    </row>
    <row r="29868">
      <c r="A29868" s="4" t="s">
        <v>37614</v>
      </c>
      <c r="B29868" s="4" t="s">
        <v>37617</v>
      </c>
      <c r="C29868" s="5" t="str">
        <f>IFERROR(__xludf.DUMMYFUNCTION("GOOGLETRANSLATE(B29868,""en"",""it"")"),"La fotocamera mostra il suo piede usando un pedale per suonare la batteria.")</f>
        <v>La fotocamera mostra il suo piede usando un pedale per suonare la batteria.</v>
      </c>
    </row>
    <row r="29869">
      <c r="A29869" s="4" t="s">
        <v>37614</v>
      </c>
      <c r="B29869" s="4" t="s">
        <v>37618</v>
      </c>
      <c r="C29869" s="5" t="str">
        <f>IFERROR(__xludf.DUMMYFUNCTION("GOOGLETRANSLATE(B29869,""en"",""it"")"),"Al termine del video, vengono visualizzati i crediti di chiusura.")</f>
        <v>Al termine del video, vengono visualizzati i crediti di chiusura.</v>
      </c>
    </row>
    <row r="29870">
      <c r="A29870" s="4" t="s">
        <v>37619</v>
      </c>
      <c r="B29870" s="4" t="s">
        <v>37620</v>
      </c>
      <c r="C29870" s="5" t="str">
        <f>IFERROR(__xludf.DUMMYFUNCTION("GOOGLETRANSLATE(B29870,""en"",""it"")"),"Una donna parla e sorride mentre stira un indumento da una lavanderia.")</f>
        <v>Una donna parla e sorride mentre stira un indumento da una lavanderia.</v>
      </c>
    </row>
    <row r="29871">
      <c r="A29871" s="4" t="s">
        <v>37619</v>
      </c>
      <c r="B29871" s="6" t="s">
        <v>37621</v>
      </c>
      <c r="C29871" s="5" t="str">
        <f>IFERROR(__xludf.DUMMYFUNCTION("GOOGLETRANSLATE(B29871,""en"",""it"")"),"Una donna che indossa una camicia rosa e un grembiule si trova in una lavanderia di fronte a una lavatrice e asciugatrice e parla di fronte alla telecamera.")</f>
        <v>Una donna che indossa una camicia rosa e un grembiule si trova in una lavanderia di fronte a una lavatrice e asciugatrice e parla di fronte alla telecamera.</v>
      </c>
    </row>
    <row r="29872">
      <c r="A29872" s="4" t="s">
        <v>37619</v>
      </c>
      <c r="B29872" s="4" t="s">
        <v>37622</v>
      </c>
      <c r="C29872" s="5" t="str">
        <f>IFERROR(__xludf.DUMMYFUNCTION("GOOGLETRANSLATE(B29872,""en"",""it"")"),"La donna si china per prendere un indumento e poi lo diffonde sopra un tavolo da stiro.")</f>
        <v>La donna si china per prendere un indumento e poi lo diffonde sopra un tavolo da stiro.</v>
      </c>
    </row>
    <row r="29873">
      <c r="A29873" s="4" t="s">
        <v>37619</v>
      </c>
      <c r="B29873" s="6" t="s">
        <v>37623</v>
      </c>
      <c r="C29873" s="5" t="str">
        <f>IFERROR(__xludf.DUMMYFUNCTION("GOOGLETRANSLATE(B29873,""en"",""it"")"),"La donna procede a stirare il capo, fermandosi momentaneamente, a spruzzare il capo con un liquido da un flacone a spruzzo bianco, quindi termina la stiratura del capo e se lo tiene sul viso e le guance e sorride.")</f>
        <v>La donna procede a stirare il capo, fermandosi momentaneamente, a spruzzare il capo con un liquido da un flacone a spruzzo bianco, quindi termina la stiratura del capo e se lo tiene sul viso e le guance e sorride.</v>
      </c>
    </row>
    <row r="29874">
      <c r="A29874" s="4" t="s">
        <v>37624</v>
      </c>
      <c r="B29874" s="4" t="s">
        <v>37625</v>
      </c>
      <c r="C29874" s="5" t="str">
        <f>IFERROR(__xludf.DUMMYFUNCTION("GOOGLETRANSLATE(B29874,""en"",""it"")"),"C'è un uomo con una camicia rosa e una signora in una canotta bianca che tiene in mano cornamusa.")</f>
        <v>C'è un uomo con una camicia rosa e una signora in una canotta bianca che tiene in mano cornamusa.</v>
      </c>
    </row>
    <row r="29875">
      <c r="A29875" s="4" t="s">
        <v>37624</v>
      </c>
      <c r="B29875" s="4" t="s">
        <v>37626</v>
      </c>
      <c r="C29875" s="5" t="str">
        <f>IFERROR(__xludf.DUMMYFUNCTION("GOOGLETRANSLATE(B29875,""en"",""it"")"),"Sono in piedi in un parcheggio vicino a un'auto d'argento.")</f>
        <v>Sono in piedi in un parcheggio vicino a un'auto d'argento.</v>
      </c>
    </row>
    <row r="29876">
      <c r="A29876" s="4" t="s">
        <v>37624</v>
      </c>
      <c r="B29876" s="4" t="s">
        <v>37627</v>
      </c>
      <c r="C29876" s="5" t="str">
        <f>IFERROR(__xludf.DUMMYFUNCTION("GOOGLETRANSLATE(B29876,""en"",""it"")"),"La signora inizia a suonare le cornamuse mentre l'uomo la guarda.")</f>
        <v>La signora inizia a suonare le cornamuse mentre l'uomo la guarda.</v>
      </c>
    </row>
    <row r="29877">
      <c r="A29877" s="4" t="s">
        <v>37624</v>
      </c>
      <c r="B29877" s="4" t="s">
        <v>37628</v>
      </c>
      <c r="C29877" s="5" t="str">
        <f>IFERROR(__xludf.DUMMYFUNCTION("GOOGLETRANSLATE(B29877,""en"",""it"")"),"Continua a suonare e dopo aver finito, l'uomo si appaga per lei e le abbraccia.")</f>
        <v>Continua a suonare e dopo aver finito, l'uomo si appaga per lei e le abbraccia.</v>
      </c>
    </row>
    <row r="29878">
      <c r="A29878" s="4" t="s">
        <v>37629</v>
      </c>
      <c r="B29878" s="4" t="s">
        <v>37630</v>
      </c>
      <c r="C29878" s="5" t="str">
        <f>IFERROR(__xludf.DUMMYFUNCTION("GOOGLETRANSLATE(B29878,""en"",""it"")"),"Il bambino è in piedi in campo.")</f>
        <v>Il bambino è in piedi in campo.</v>
      </c>
    </row>
    <row r="29879">
      <c r="A29879" s="4" t="s">
        <v>37629</v>
      </c>
      <c r="B29879" s="4" t="s">
        <v>37631</v>
      </c>
      <c r="C29879" s="5" t="str">
        <f>IFERROR(__xludf.DUMMYFUNCTION("GOOGLETRANSLATE(B29879,""en"",""it"")"),"La bambina è seduta all'altra estremità di un tappetino.")</f>
        <v>La bambina è seduta all'altra estremità di un tappetino.</v>
      </c>
    </row>
    <row r="29880">
      <c r="A29880" s="4" t="s">
        <v>37629</v>
      </c>
      <c r="B29880" s="4" t="s">
        <v>37632</v>
      </c>
      <c r="C29880" s="5" t="str">
        <f>IFERROR(__xludf.DUMMYFUNCTION("GOOGLETRANSLATE(B29880,""en"",""it"")"),"Il ragazzo corre verso il tappeto e salta sopra il palo.")</f>
        <v>Il ragazzo corre verso il tappeto e salta sopra il palo.</v>
      </c>
    </row>
    <row r="29881">
      <c r="A29881" s="4" t="s">
        <v>37633</v>
      </c>
      <c r="B29881" s="4" t="s">
        <v>37634</v>
      </c>
      <c r="C29881" s="5" t="str">
        <f>IFERROR(__xludf.DUMMYFUNCTION("GOOGLETRANSLATE(B29881,""en"",""it"")"),"Una barista donna è in piedi dietro un bar.")</f>
        <v>Una barista donna è in piedi dietro un bar.</v>
      </c>
    </row>
    <row r="29882">
      <c r="A29882" s="4" t="s">
        <v>37633</v>
      </c>
      <c r="B29882" s="4" t="s">
        <v>37635</v>
      </c>
      <c r="C29882" s="5" t="str">
        <f>IFERROR(__xludf.DUMMYFUNCTION("GOOGLETRANSLATE(B29882,""en"",""it"")"),"Un bicchiere vuoto è di fronte a lei mentre parla.")</f>
        <v>Un bicchiere vuoto è di fronte a lei mentre parla.</v>
      </c>
    </row>
    <row r="29883">
      <c r="A29883" s="4" t="s">
        <v>37633</v>
      </c>
      <c r="B29883" s="4" t="s">
        <v>37636</v>
      </c>
      <c r="C29883" s="5" t="str">
        <f>IFERROR(__xludf.DUMMYFUNCTION("GOOGLETRANSLATE(B29883,""en"",""it"")"),"Aggiunge ghiaccio al bicchiere con uno scoop.")</f>
        <v>Aggiunge ghiaccio al bicchiere con uno scoop.</v>
      </c>
    </row>
    <row r="29884">
      <c r="A29884" s="4" t="s">
        <v>37633</v>
      </c>
      <c r="B29884" s="4" t="s">
        <v>37637</v>
      </c>
      <c r="C29884" s="5" t="str">
        <f>IFERROR(__xludf.DUMMYFUNCTION("GOOGLETRANSLATE(B29884,""en"",""it"")"),"Aggiunge tre diversi liquidi da tre bottiglie al vetro.")</f>
        <v>Aggiunge tre diversi liquidi da tre bottiglie al vetro.</v>
      </c>
    </row>
    <row r="29885">
      <c r="A29885" s="4" t="s">
        <v>37633</v>
      </c>
      <c r="B29885" s="4" t="s">
        <v>37638</v>
      </c>
      <c r="C29885" s="5" t="str">
        <f>IFERROR(__xludf.DUMMYFUNCTION("GOOGLETRANSLATE(B29885,""en"",""it"")"),"Si agita e continua a parlare della bevanda.")</f>
        <v>Si agita e continua a parlare della bevanda.</v>
      </c>
    </row>
    <row r="29886">
      <c r="A29886" s="4" t="s">
        <v>37639</v>
      </c>
      <c r="B29886" s="4" t="s">
        <v>37640</v>
      </c>
      <c r="C29886" s="5" t="str">
        <f>IFERROR(__xludf.DUMMYFUNCTION("GOOGLETRANSLATE(B29886,""en"",""it"")"),"Vediamo persone su una barca e poi vediamo scatti veloci di persone su una barca in attrezzatura per le immersioni.")</f>
        <v>Vediamo persone su una barca e poi vediamo scatti veloci di persone su una barca in attrezzatura per le immersioni.</v>
      </c>
    </row>
    <row r="29887">
      <c r="A29887" s="4" t="s">
        <v>37639</v>
      </c>
      <c r="B29887" s="4" t="s">
        <v>37641</v>
      </c>
      <c r="C29887" s="5" t="str">
        <f>IFERROR(__xludf.DUMMYFUNCTION("GOOGLETRANSLATE(B29887,""en"",""it"")"),"Vediamo persone sotto le immersioni in acqua.")</f>
        <v>Vediamo persone sotto le immersioni in acqua.</v>
      </c>
    </row>
    <row r="29888">
      <c r="A29888" s="4" t="s">
        <v>37639</v>
      </c>
      <c r="B29888" s="4" t="s">
        <v>37642</v>
      </c>
      <c r="C29888" s="5" t="str">
        <f>IFERROR(__xludf.DUMMYFUNCTION("GOOGLETRANSLATE(B29888,""en"",""it"")"),"Un uomo tiene una cosa bianca e la tocca ancora e ancora.")</f>
        <v>Un uomo tiene una cosa bianca e la tocca ancora e ancora.</v>
      </c>
    </row>
    <row r="29889">
      <c r="A29889" s="4" t="s">
        <v>37639</v>
      </c>
      <c r="B29889" s="6" t="s">
        <v>37643</v>
      </c>
      <c r="C29889" s="5" t="str">
        <f>IFERROR(__xludf.DUMMYFUNCTION("GOOGLETRANSLATE(B29889,""en"",""it"")"),"Le persone sopra l'acqua sono sulla barca e una persona cade nell'acqua, vediamo persone subacquee che si immergono e guardano Sealfe di notte.")</f>
        <v>Le persone sopra l'acqua sono sulla barca e una persona cade nell'acqua, vediamo persone subacquee che si immergono e guardano Sealfe di notte.</v>
      </c>
    </row>
    <row r="29890">
      <c r="A29890" s="4" t="s">
        <v>37639</v>
      </c>
      <c r="B29890" s="4" t="s">
        <v>37644</v>
      </c>
      <c r="C29890" s="5" t="str">
        <f>IFERROR(__xludf.DUMMYFUNCTION("GOOGLETRANSLATE(B29890,""en"",""it"")"),"Una persona cade di nuovo in acqua e siamo sott'acqua vicino a un naufragio nel corso della giornata.")</f>
        <v>Una persona cade di nuovo in acqua e siamo sott'acqua vicino a un naufragio nel corso della giornata.</v>
      </c>
    </row>
    <row r="29891">
      <c r="A29891" s="4" t="s">
        <v>37639</v>
      </c>
      <c r="B29891" s="4" t="s">
        <v>37645</v>
      </c>
      <c r="C29891" s="5" t="str">
        <f>IFERROR(__xludf.DUMMYFUNCTION("GOOGLETRANSLATE(B29891,""en"",""it"")"),"Gli uomini salgono sulla barca dopo aver finito.")</f>
        <v>Gli uomini salgono sulla barca dopo aver finito.</v>
      </c>
    </row>
    <row r="29892">
      <c r="A29892" s="4" t="s">
        <v>37646</v>
      </c>
      <c r="B29892" s="4" t="s">
        <v>37647</v>
      </c>
      <c r="C29892" s="5" t="str">
        <f>IFERROR(__xludf.DUMMYFUNCTION("GOOGLETRANSLATE(B29892,""en"",""it"")"),"Viene visto un uomo parlare alla fotocamera mentre tiene in mano vari oggetti e affila un bastone.")</f>
        <v>Viene visto un uomo parlare alla fotocamera mentre tiene in mano vari oggetti e affila un bastone.</v>
      </c>
    </row>
    <row r="29893">
      <c r="A29893" s="4" t="s">
        <v>37646</v>
      </c>
      <c r="B29893" s="6" t="s">
        <v>37648</v>
      </c>
      <c r="C29893" s="5" t="str">
        <f>IFERROR(__xludf.DUMMYFUNCTION("GOOGLETRANSLATE(B29893,""en"",""it"")"),"L'uomo quindi mette un casco e attaccò il bastone a un supporto, portando all'uomo creando una scintilla e tagliando un oggetto.")</f>
        <v>L'uomo quindi mette un casco e attaccò il bastone a un supporto, portando all'uomo creando una scintilla e tagliando un oggetto.</v>
      </c>
    </row>
    <row r="29894">
      <c r="A29894" s="4" t="s">
        <v>37646</v>
      </c>
      <c r="B29894" s="4" t="s">
        <v>37649</v>
      </c>
      <c r="C29894" s="5" t="str">
        <f>IFERROR(__xludf.DUMMYFUNCTION("GOOGLETRANSLATE(B29894,""en"",""it"")"),"Fa una pausa per parlare di più con la telecamera e guardando in basso l'oggetto per vedere come è andata a finire.")</f>
        <v>Fa una pausa per parlare di più con la telecamera e guardando in basso l'oggetto per vedere come è andata a finire.</v>
      </c>
    </row>
    <row r="29895">
      <c r="A29895" s="4" t="s">
        <v>37650</v>
      </c>
      <c r="B29895" s="4" t="s">
        <v>37651</v>
      </c>
      <c r="C29895" s="5" t="str">
        <f>IFERROR(__xludf.DUMMYFUNCTION("GOOGLETRANSLATE(B29895,""en"",""it"")"),"Un uomo sta falciando il suo prato, ha polli nella sua gabbia.")</f>
        <v>Un uomo sta falciando il suo prato, ha polli nella sua gabbia.</v>
      </c>
    </row>
    <row r="29896">
      <c r="A29896" s="4" t="s">
        <v>37650</v>
      </c>
      <c r="B29896" s="4" t="s">
        <v>37652</v>
      </c>
      <c r="C29896" s="5" t="str">
        <f>IFERROR(__xludf.DUMMYFUNCTION("GOOGLETRANSLATE(B29896,""en"",""it"")"),"Il tempo è accelerato così rapidamente, quindi sembra che sia in doppio tempo.")</f>
        <v>Il tempo è accelerato così rapidamente, quindi sembra che sia in doppio tempo.</v>
      </c>
    </row>
    <row r="29897">
      <c r="A29897" s="4" t="s">
        <v>37650</v>
      </c>
      <c r="B29897" s="4" t="s">
        <v>37653</v>
      </c>
      <c r="C29897" s="5" t="str">
        <f>IFERROR(__xludf.DUMMYFUNCTION("GOOGLETRANSLATE(B29897,""en"",""it"")"),"Cammina per il cortile guardandosi intorno.")</f>
        <v>Cammina per il cortile guardandosi intorno.</v>
      </c>
    </row>
    <row r="29898">
      <c r="A29898" s="4" t="s">
        <v>37650</v>
      </c>
      <c r="B29898" s="4" t="s">
        <v>37654</v>
      </c>
      <c r="C29898" s="5" t="str">
        <f>IFERROR(__xludf.DUMMYFUNCTION("GOOGLETRANSLATE(B29898,""en"",""it"")"),"Il cortile sembra molto verde e molto ben tenuto.")</f>
        <v>Il cortile sembra molto verde e molto ben tenuto.</v>
      </c>
    </row>
    <row r="29899">
      <c r="A29899" s="4" t="s">
        <v>37655</v>
      </c>
      <c r="B29899" s="4" t="s">
        <v>37656</v>
      </c>
      <c r="C29899" s="5" t="str">
        <f>IFERROR(__xludf.DUMMYFUNCTION("GOOGLETRANSLATE(B29899,""en"",""it"")"),"Un cowboy su un cavallo corre dopo una mucca.")</f>
        <v>Un cowboy su un cavallo corre dopo una mucca.</v>
      </c>
    </row>
    <row r="29900">
      <c r="A29900" s="4" t="s">
        <v>37655</v>
      </c>
      <c r="B29900" s="4" t="s">
        <v>37657</v>
      </c>
      <c r="C29900" s="5" t="str">
        <f>IFERROR(__xludf.DUMMYFUNCTION("GOOGLETRANSLATE(B29900,""en"",""it"")"),"Il cowboy salta giù dal cavallo e corre dopo la mucca.")</f>
        <v>Il cowboy salta giù dal cavallo e corre dopo la mucca.</v>
      </c>
    </row>
    <row r="29901">
      <c r="A29901" s="4" t="s">
        <v>37655</v>
      </c>
      <c r="B29901" s="4" t="s">
        <v>37658</v>
      </c>
      <c r="C29901" s="5" t="str">
        <f>IFERROR(__xludf.DUMMYFUNCTION("GOOGLETRANSLATE(B29901,""en"",""it"")"),"Il cowboy lega il mucchio.")</f>
        <v>Il cowboy lega il mucchio.</v>
      </c>
    </row>
    <row r="29902">
      <c r="A29902" s="4" t="s">
        <v>37659</v>
      </c>
      <c r="B29902" s="4" t="s">
        <v>37660</v>
      </c>
      <c r="C29902" s="5" t="str">
        <f>IFERROR(__xludf.DUMMYFUNCTION("GOOGLETRANSLATE(B29902,""en"",""it"")"),"Una persona è seduta in una zattera che scende in un ruscello.")</f>
        <v>Una persona è seduta in una zattera che scende in un ruscello.</v>
      </c>
    </row>
    <row r="29903">
      <c r="A29903" s="4" t="s">
        <v>37659</v>
      </c>
      <c r="B29903" s="4" t="s">
        <v>37661</v>
      </c>
      <c r="C29903" s="5" t="str">
        <f>IFERROR(__xludf.DUMMYFUNCTION("GOOGLETRANSLATE(B29903,""en"",""it"")"),"Ci sono più persone in una zattera che vanno nel fiume.")</f>
        <v>Ci sono più persone in una zattera che vanno nel fiume.</v>
      </c>
    </row>
    <row r="29904">
      <c r="A29904" s="4" t="s">
        <v>37659</v>
      </c>
      <c r="B29904" s="4" t="s">
        <v>37662</v>
      </c>
      <c r="C29904" s="5" t="str">
        <f>IFERROR(__xludf.DUMMYFUNCTION("GOOGLETRANSLATE(B29904,""en"",""it"")"),"Qualcuno cade nell'acqua e si aiuta a rientrare.")</f>
        <v>Qualcuno cade nell'acqua e si aiuta a rientrare.</v>
      </c>
    </row>
    <row r="29905">
      <c r="A29905" s="4" t="s">
        <v>37663</v>
      </c>
      <c r="B29905" s="4" t="s">
        <v>2837</v>
      </c>
      <c r="C29905" s="5" t="str">
        <f>IFERROR(__xludf.DUMMYFUNCTION("GOOGLETRANSLATE(B29905,""en"",""it"")"),"Le persone si stanno allenando in una stanza.")</f>
        <v>Le persone si stanno allenando in una stanza.</v>
      </c>
    </row>
    <row r="29906">
      <c r="A29906" s="4" t="s">
        <v>37663</v>
      </c>
      <c r="B29906" s="4" t="s">
        <v>37664</v>
      </c>
      <c r="C29906" s="5" t="str">
        <f>IFERROR(__xludf.DUMMYFUNCTION("GOOGLETRANSLATE(B29906,""en"",""it"")"),"Stanno calpestando le feci di passo.")</f>
        <v>Stanno calpestando le feci di passo.</v>
      </c>
    </row>
    <row r="29907">
      <c r="A29907" s="4" t="s">
        <v>37663</v>
      </c>
      <c r="B29907" s="4" t="s">
        <v>37665</v>
      </c>
      <c r="C29907" s="5" t="str">
        <f>IFERROR(__xludf.DUMMYFUNCTION("GOOGLETRANSLATE(B29907,""en"",""it"")"),"Stanno ballando insieme mentre si allenano.")</f>
        <v>Stanno ballando insieme mentre si allenano.</v>
      </c>
    </row>
    <row r="29908">
      <c r="A29908" s="4" t="s">
        <v>37666</v>
      </c>
      <c r="B29908" s="4" t="s">
        <v>37667</v>
      </c>
      <c r="C29908" s="5" t="str">
        <f>IFERROR(__xludf.DUMMYFUNCTION("GOOGLETRANSLATE(B29908,""en"",""it"")"),"Vediamo un occhio da donna e no da vicino.")</f>
        <v>Vediamo un occhio da donna e no da vicino.</v>
      </c>
    </row>
    <row r="29909">
      <c r="A29909" s="4" t="s">
        <v>37666</v>
      </c>
      <c r="B29909" s="4" t="s">
        <v>37668</v>
      </c>
      <c r="C29909" s="5" t="str">
        <f>IFERROR(__xludf.DUMMYFUNCTION("GOOGLETRANSLATE(B29909,""en"",""it"")"),"Vediamo la signora nel deserto che gira Hula Hoops ed eseguire trucchi.")</f>
        <v>Vediamo la signora nel deserto che gira Hula Hoops ed eseguire trucchi.</v>
      </c>
    </row>
    <row r="29910">
      <c r="A29910" s="4" t="s">
        <v>37666</v>
      </c>
      <c r="B29910" s="4" t="s">
        <v>37669</v>
      </c>
      <c r="C29910" s="5" t="str">
        <f>IFERROR(__xludf.DUMMYFUNCTION("GOOGLETRANSLATE(B29910,""en"",""it"")"),"I cerchi Lady Hula con circa 10 cerchi d'hula dorati.")</f>
        <v>I cerchi Lady Hula con circa 10 cerchi d'hula dorati.</v>
      </c>
    </row>
    <row r="29911">
      <c r="A29911" s="4" t="s">
        <v>37666</v>
      </c>
      <c r="B29911" s="6" t="s">
        <v>37670</v>
      </c>
      <c r="C29911" s="5" t="str">
        <f>IFERROR(__xludf.DUMMYFUNCTION("GOOGLETRANSLATE(B29911,""en"",""it"")"),"La signora gira il cerchio sulla sua mano, quindi lo trasferisce alla gamba si estendeva verso l'alto e la vediamo di nuovo nei cerchi d'oro.")</f>
        <v>La signora gira il cerchio sulla sua mano, quindi lo trasferisce alla gamba si estendeva verso l'alto e la vediamo di nuovo nei cerchi d'oro.</v>
      </c>
    </row>
    <row r="29912">
      <c r="A29912" s="4" t="s">
        <v>37666</v>
      </c>
      <c r="B29912" s="6" t="s">
        <v>37671</v>
      </c>
      <c r="C29912" s="5" t="str">
        <f>IFERROR(__xludf.DUMMYFUNCTION("GOOGLETRANSLATE(B29912,""en"",""it"")"),"La signora gira il suo corpo dentro e fuori dai cerchi e la vediamo in un verticale con il cerchio di hula in piedi.")</f>
        <v>La signora gira il suo corpo dentro e fuori dai cerchi e la vediamo in un verticale con il cerchio di hula in piedi.</v>
      </c>
    </row>
    <row r="29913">
      <c r="A29913" s="4" t="s">
        <v>37666</v>
      </c>
      <c r="B29913" s="6" t="s">
        <v>37672</v>
      </c>
      <c r="C29913" s="5" t="str">
        <f>IFERROR(__xludf.DUMMYFUNCTION("GOOGLETRANSLATE(B29913,""en"",""it"")"),"È nei cerchi d'oro mentre cadono a terra, poi gira molti cerchi rosa dalle mani ai suoi piedi e come una gonna.")</f>
        <v>È nei cerchi d'oro mentre cadono a terra, poi gira molti cerchi rosa dalle mani ai suoi piedi e come una gonna.</v>
      </c>
    </row>
    <row r="29914">
      <c r="A29914" s="4" t="s">
        <v>37666</v>
      </c>
      <c r="B29914" s="4" t="s">
        <v>4513</v>
      </c>
      <c r="C29914" s="5" t="str">
        <f>IFERROR(__xludf.DUMMYFUNCTION("GOOGLETRANSLATE(B29914,""en"",""it"")"),"Vediamo i titoli di coda.")</f>
        <v>Vediamo i titoli di coda.</v>
      </c>
    </row>
    <row r="29915">
      <c r="A29915" s="4" t="s">
        <v>37673</v>
      </c>
      <c r="B29915" s="4" t="s">
        <v>37674</v>
      </c>
      <c r="C29915" s="5" t="str">
        <f>IFERROR(__xludf.DUMMYFUNCTION("GOOGLETRANSLATE(B29915,""en"",""it"")"),"Un uomo con una camicia bianca è in piedi accanto a una piscina.")</f>
        <v>Un uomo con una camicia bianca è in piedi accanto a una piscina.</v>
      </c>
    </row>
    <row r="29916">
      <c r="A29916" s="4" t="s">
        <v>37673</v>
      </c>
      <c r="B29916" s="4" t="s">
        <v>37675</v>
      </c>
      <c r="C29916" s="5" t="str">
        <f>IFERROR(__xludf.DUMMYFUNCTION("GOOGLETRANSLATE(B29916,""en"",""it"")"),"Un uomo tiene in mano una macchina fotografica che lo gira salendo le scale.")</f>
        <v>Un uomo tiene in mano una macchina fotografica che lo gira salendo le scale.</v>
      </c>
    </row>
    <row r="29917">
      <c r="A29917" s="4" t="s">
        <v>37673</v>
      </c>
      <c r="B29917" s="4" t="s">
        <v>37676</v>
      </c>
      <c r="C29917" s="5" t="str">
        <f>IFERROR(__xludf.DUMMYFUNCTION("GOOGLETRANSLATE(B29917,""en"",""it"")"),"Si trova su una tavola da immersione e salta nella piscina sotto di lui.")</f>
        <v>Si trova su una tavola da immersione e salta nella piscina sotto di lui.</v>
      </c>
    </row>
    <row r="29918">
      <c r="A29918" s="4" t="s">
        <v>37673</v>
      </c>
      <c r="B29918" s="4" t="s">
        <v>37677</v>
      </c>
      <c r="C29918" s="5" t="str">
        <f>IFERROR(__xludf.DUMMYFUNCTION("GOOGLETRANSLATE(B29918,""en"",""it"")"),"Esce dall'acqua e cammina per abbracciare le persone.")</f>
        <v>Esce dall'acqua e cammina per abbracciare le persone.</v>
      </c>
    </row>
    <row r="29919">
      <c r="A29919" s="4" t="s">
        <v>37678</v>
      </c>
      <c r="B29919" s="4" t="s">
        <v>37679</v>
      </c>
      <c r="C29919" s="5" t="str">
        <f>IFERROR(__xludf.DUMMYFUNCTION("GOOGLETRANSLATE(B29919,""en"",""it"")"),"Una donna è vista seduta su una vasca con un asciugamano avvolto intorno a lei e radersi le gambe.")</f>
        <v>Una donna è vista seduta su una vasca con un asciugamano avvolto intorno a lei e radersi le gambe.</v>
      </c>
    </row>
    <row r="29920">
      <c r="A29920" s="4" t="s">
        <v>37678</v>
      </c>
      <c r="B29920" s="4" t="s">
        <v>37680</v>
      </c>
      <c r="C29920" s="5" t="str">
        <f>IFERROR(__xludf.DUMMYFUNCTION("GOOGLETRANSLATE(B29920,""en"",""it"")"),"Quindi ride della telecamera e si esaurisce con un ragazzo che la spinge a terra.")</f>
        <v>Quindi ride della telecamera e si esaurisce con un ragazzo che la spinge a terra.</v>
      </c>
    </row>
    <row r="29921">
      <c r="A29921" s="4" t="s">
        <v>37681</v>
      </c>
      <c r="B29921" s="4" t="s">
        <v>37682</v>
      </c>
      <c r="C29921" s="5" t="str">
        <f>IFERROR(__xludf.DUMMYFUNCTION("GOOGLETRANSLATE(B29921,""en"",""it"")"),"Due uomini sono seduti a un tavolo da picnic che si preparano per il lotta del braccio.")</f>
        <v>Due uomini sono seduti a un tavolo da picnic che si preparano per il lotta del braccio.</v>
      </c>
    </row>
    <row r="29922">
      <c r="A29922" s="4" t="s">
        <v>37681</v>
      </c>
      <c r="B29922" s="4" t="s">
        <v>37683</v>
      </c>
      <c r="C29922" s="5" t="str">
        <f>IFERROR(__xludf.DUMMYFUNCTION("GOOGLETRANSLATE(B29922,""en"",""it"")"),"Varie persone stanno guardando dai lati e gli uomini iniziano a armare il wrestle.")</f>
        <v>Varie persone stanno guardando dai lati e gli uomini iniziano a armare il wrestle.</v>
      </c>
    </row>
    <row r="29923">
      <c r="A29923" s="4" t="s">
        <v>37681</v>
      </c>
      <c r="B29923" s="4" t="s">
        <v>37684</v>
      </c>
      <c r="C29923" s="5" t="str">
        <f>IFERROR(__xludf.DUMMYFUNCTION("GOOGLETRANSLATE(B29923,""en"",""it"")"),"Un uomo viene intervistato dal cameraman e mostra i suoi bicipiti alla telecamera.")</f>
        <v>Un uomo viene intervistato dal cameraman e mostra i suoi bicipiti alla telecamera.</v>
      </c>
    </row>
    <row r="29924">
      <c r="A29924" s="4" t="s">
        <v>37681</v>
      </c>
      <c r="B29924" s="4" t="s">
        <v>37685</v>
      </c>
      <c r="C29924" s="5" t="str">
        <f>IFERROR(__xludf.DUMMYFUNCTION("GOOGLETRANSLATE(B29924,""en"",""it"")"),"Due uomini continuano a parlare con la telecamera e alla fine ricominciano il wrestling del braccio.")</f>
        <v>Due uomini continuano a parlare con la telecamera e alla fine ricominciano il wrestling del braccio.</v>
      </c>
    </row>
    <row r="29925">
      <c r="A29925" s="4" t="s">
        <v>37681</v>
      </c>
      <c r="B29925" s="6" t="s">
        <v>37686</v>
      </c>
      <c r="C29925" s="5" t="str">
        <f>IFERROR(__xludf.DUMMYFUNCTION("GOOGLETRANSLATE(B29925,""en"",""it"")"),"Giocano varie partite di braccio di wrestling e intervistano una donna spettacolare che vuole anche armare il wrestle.")</f>
        <v>Giocano varie partite di braccio di wrestling e intervistano una donna spettacolare che vuole anche armare il wrestle.</v>
      </c>
    </row>
    <row r="29926">
      <c r="A29926" s="4" t="s">
        <v>37681</v>
      </c>
      <c r="B29926" s="4" t="s">
        <v>37687</v>
      </c>
      <c r="C29926" s="5" t="str">
        <f>IFERROR(__xludf.DUMMYFUNCTION("GOOGLETRANSLATE(B29926,""en"",""it"")"),"L'uomo la permette di vincere la partita di wrestling del braccio e la ragazza sembra vertiginosa.")</f>
        <v>L'uomo la permette di vincere la partita di wrestling del braccio e la ragazza sembra vertiginosa.</v>
      </c>
    </row>
    <row r="29927">
      <c r="A29927" s="4" t="s">
        <v>37688</v>
      </c>
      <c r="B29927" s="4" t="s">
        <v>37689</v>
      </c>
      <c r="C29927" s="5" t="str">
        <f>IFERROR(__xludf.DUMMYFUNCTION("GOOGLETRANSLATE(B29927,""en"",""it"")"),"Un ragazzo sta tatuando la parte superiore del braccio di una donna.")</f>
        <v>Un ragazzo sta tatuando la parte superiore del braccio di una donna.</v>
      </c>
    </row>
    <row r="29928">
      <c r="A29928" s="4" t="s">
        <v>37688</v>
      </c>
      <c r="B29928" s="4" t="s">
        <v>37690</v>
      </c>
      <c r="C29928" s="5" t="str">
        <f>IFERROR(__xludf.DUMMYFUNCTION("GOOGLETRANSLATE(B29928,""en"",""it"")"),"La signora sta soffrendo.")</f>
        <v>La signora sta soffrendo.</v>
      </c>
    </row>
    <row r="29929">
      <c r="A29929" s="4" t="s">
        <v>37688</v>
      </c>
      <c r="B29929" s="4" t="s">
        <v>37691</v>
      </c>
      <c r="C29929" s="5" t="str">
        <f>IFERROR(__xludf.DUMMYFUNCTION("GOOGLETRANSLATE(B29929,""en"",""it"")"),"Il ragazzo frusta con un tovagliolo di carta bianca.")</f>
        <v>Il ragazzo frusta con un tovagliolo di carta bianca.</v>
      </c>
    </row>
    <row r="29930">
      <c r="A29930" s="4" t="s">
        <v>37692</v>
      </c>
      <c r="B29930" s="4" t="s">
        <v>37693</v>
      </c>
      <c r="C29930" s="5" t="str">
        <f>IFERROR(__xludf.DUMMYFUNCTION("GOOGLETRANSLATE(B29930,""en"",""it"")"),"Una ginnasta viene vista appoggiata a un lungo raggio e inizia a eseguire una routine di ginnastica.")</f>
        <v>Una ginnasta viene vista appoggiata a un lungo raggio e inizia a eseguire una routine di ginnastica.</v>
      </c>
    </row>
    <row r="29931">
      <c r="A29931" s="4" t="s">
        <v>37692</v>
      </c>
      <c r="B29931" s="4" t="s">
        <v>37694</v>
      </c>
      <c r="C29931" s="5" t="str">
        <f>IFERROR(__xludf.DUMMYFUNCTION("GOOGLETRANSLATE(B29931,""en"",""it"")"),"La ragazza capovolge e trucca lungo il raggio mentre altri guardano sul lato.")</f>
        <v>La ragazza capovolge e trucca lungo il raggio mentre altri guardano sul lato.</v>
      </c>
    </row>
    <row r="29932">
      <c r="A29932" s="4" t="s">
        <v>37692</v>
      </c>
      <c r="B29932" s="6" t="s">
        <v>37695</v>
      </c>
      <c r="C29932" s="5" t="str">
        <f>IFERROR(__xludf.DUMMYFUNCTION("GOOGLETRANSLATE(B29932,""en"",""it"")"),"La donna continua a muoversi lungo il raggio e termina saltando di lato e camminando dal palco.")</f>
        <v>La donna continua a muoversi lungo il raggio e termina saltando di lato e camminando dal palco.</v>
      </c>
    </row>
    <row r="29933">
      <c r="A29933" s="4" t="s">
        <v>37696</v>
      </c>
      <c r="B29933" s="4" t="s">
        <v>37697</v>
      </c>
      <c r="C29933" s="5" t="str">
        <f>IFERROR(__xludf.DUMMYFUNCTION("GOOGLETRANSLATE(B29933,""en"",""it"")"),"Il rubinetto è quindi una mano attaccata il tubo e stringere il tubo.")</f>
        <v>Il rubinetto è quindi una mano attaccata il tubo e stringere il tubo.</v>
      </c>
    </row>
    <row r="29934">
      <c r="A29934" s="4" t="s">
        <v>37696</v>
      </c>
      <c r="B29934" s="4" t="s">
        <v>37698</v>
      </c>
      <c r="C29934" s="5" t="str">
        <f>IFERROR(__xludf.DUMMYFUNCTION("GOOGLETRANSLATE(B29934,""en"",""it"")"),"Una cannuccia è attaccata a un serbatoio.")</f>
        <v>Una cannuccia è attaccata a un serbatoio.</v>
      </c>
    </row>
    <row r="29935">
      <c r="A29935" s="4" t="s">
        <v>37696</v>
      </c>
      <c r="B29935" s="4" t="s">
        <v>37699</v>
      </c>
      <c r="C29935" s="5" t="str">
        <f>IFERROR(__xludf.DUMMYFUNCTION("GOOGLETRANSLATE(B29935,""en"",""it"")"),"La donna sta lavando il cane con il tubo nella vasca da bagno.")</f>
        <v>La donna sta lavando il cane con il tubo nella vasca da bagno.</v>
      </c>
    </row>
    <row r="29936">
      <c r="A29936" s="4" t="s">
        <v>37700</v>
      </c>
      <c r="B29936" s="4" t="s">
        <v>37701</v>
      </c>
      <c r="C29936" s="5" t="str">
        <f>IFERROR(__xludf.DUMMYFUNCTION("GOOGLETRANSLATE(B29936,""en"",""it"")"),"Un vassoio di patatine è mostrato su una tabella.")</f>
        <v>Un vassoio di patatine è mostrato su una tabella.</v>
      </c>
    </row>
    <row r="29937">
      <c r="A29937" s="4" t="s">
        <v>37700</v>
      </c>
      <c r="B29937" s="4" t="s">
        <v>37702</v>
      </c>
      <c r="C29937" s="5" t="str">
        <f>IFERROR(__xludf.DUMMYFUNCTION("GOOGLETRANSLATE(B29937,""en"",""it"")"),"Una persona sta trattando le carte sul tavolo.")</f>
        <v>Una persona sta trattando le carte sul tavolo.</v>
      </c>
    </row>
    <row r="29938">
      <c r="A29938" s="4" t="s">
        <v>37700</v>
      </c>
      <c r="B29938" s="4" t="s">
        <v>37703</v>
      </c>
      <c r="C29938" s="5" t="str">
        <f>IFERROR(__xludf.DUMMYFUNCTION("GOOGLETRANSLATE(B29938,""en"",""it"")"),"Le persone sedute al tavolo si danno a vicenda.")</f>
        <v>Le persone sedute al tavolo si danno a vicenda.</v>
      </c>
    </row>
    <row r="29939">
      <c r="A29939" s="4" t="s">
        <v>37704</v>
      </c>
      <c r="B29939" s="6" t="s">
        <v>37705</v>
      </c>
      <c r="C29939" s="5" t="str">
        <f>IFERROR(__xludf.DUMMYFUNCTION("GOOGLETRANSLATE(B29939,""en"",""it"")"),"Viene mostrato un disco rotante con cerchi di colore, che fa la panoramica di una bobina di un film e le parole dei film dell'India.")</f>
        <v>Viene mostrato un disco rotante con cerchi di colore, che fa la panoramica di una bobina di un film e le parole dei film dell'India.</v>
      </c>
    </row>
    <row r="29940">
      <c r="A29940" s="4" t="s">
        <v>37704</v>
      </c>
      <c r="B29940" s="4" t="s">
        <v>37706</v>
      </c>
      <c r="C29940" s="5" t="str">
        <f>IFERROR(__xludf.DUMMYFUNCTION("GOOGLETRANSLATE(B29940,""en"",""it"")"),"Un uomo viene mostrato che si estende prima di impegnarsi in una partita di tennis di fronte a una folla.")</f>
        <v>Un uomo viene mostrato che si estende prima di impegnarsi in una partita di tennis di fronte a una folla.</v>
      </c>
    </row>
    <row r="29941">
      <c r="A29941" s="4" t="s">
        <v>37704</v>
      </c>
      <c r="B29941" s="4" t="s">
        <v>37707</v>
      </c>
      <c r="C29941" s="5" t="str">
        <f>IFERROR(__xludf.DUMMYFUNCTION("GOOGLETRANSLATE(B29941,""en"",""it"")"),"Quindi parla con la folla tra le telecamere lampeggianti attraverso un microfono.")</f>
        <v>Quindi parla con la folla tra le telecamere lampeggianti attraverso un microfono.</v>
      </c>
    </row>
    <row r="29942">
      <c r="A29942" s="4" t="s">
        <v>37704</v>
      </c>
      <c r="B29942" s="4" t="s">
        <v>37708</v>
      </c>
      <c r="C29942" s="5" t="str">
        <f>IFERROR(__xludf.DUMMYFUNCTION("GOOGLETRANSLATE(B29942,""en"",""it"")"),"L'uomo viene occasionalmente mostrato suonare il tennis, quindi torna a parlare con il gruppo.")</f>
        <v>L'uomo viene occasionalmente mostrato suonare il tennis, quindi torna a parlare con il gruppo.</v>
      </c>
    </row>
    <row r="29943">
      <c r="A29943" s="4" t="s">
        <v>37709</v>
      </c>
      <c r="B29943" s="4" t="s">
        <v>37710</v>
      </c>
      <c r="C29943" s="5" t="str">
        <f>IFERROR(__xludf.DUMMYFUNCTION("GOOGLETRANSLATE(B29943,""en"",""it"")"),"Un uomo è in piedi ai piedi di un grande muro.")</f>
        <v>Un uomo è in piedi ai piedi di un grande muro.</v>
      </c>
    </row>
    <row r="29944">
      <c r="A29944" s="4" t="s">
        <v>37709</v>
      </c>
      <c r="B29944" s="4" t="s">
        <v>37711</v>
      </c>
      <c r="C29944" s="5" t="str">
        <f>IFERROR(__xludf.DUMMYFUNCTION("GOOGLETRANSLATE(B29944,""en"",""it"")"),"Sta allungando e fissandolo sembra che potrebbe scalare.")</f>
        <v>Sta allungando e fissandolo sembra che potrebbe scalare.</v>
      </c>
    </row>
    <row r="29945">
      <c r="A29945" s="4" t="s">
        <v>37709</v>
      </c>
      <c r="B29945" s="4" t="s">
        <v>37712</v>
      </c>
      <c r="C29945" s="5" t="str">
        <f>IFERROR(__xludf.DUMMYFUNCTION("GOOGLETRANSLATE(B29945,""en"",""it"")"),"Si alza su e giù prima di mettere un piede sulla base del muro.")</f>
        <v>Si alza su e giù prima di mettere un piede sulla base del muro.</v>
      </c>
    </row>
    <row r="29946">
      <c r="A29946" s="4" t="s">
        <v>37709</v>
      </c>
      <c r="B29946" s="4" t="s">
        <v>37713</v>
      </c>
      <c r="C29946" s="5" t="str">
        <f>IFERROR(__xludf.DUMMYFUNCTION("GOOGLETRANSLATE(B29946,""en"",""it"")"),"Quindi inizia a salire sempre più in alto.")</f>
        <v>Quindi inizia a salire sempre più in alto.</v>
      </c>
    </row>
    <row r="29947">
      <c r="A29947" s="4" t="s">
        <v>37709</v>
      </c>
      <c r="B29947" s="4" t="s">
        <v>37714</v>
      </c>
      <c r="C29947" s="5" t="str">
        <f>IFERROR(__xludf.DUMMYFUNCTION("GOOGLETRANSLATE(B29947,""en"",""it"")"),"Scalla molto metodicamente il muro.")</f>
        <v>Scalla molto metodicamente il muro.</v>
      </c>
    </row>
    <row r="29948">
      <c r="A29948" s="4" t="s">
        <v>37709</v>
      </c>
      <c r="B29948" s="4" t="s">
        <v>37715</v>
      </c>
      <c r="C29948" s="5" t="str">
        <f>IFERROR(__xludf.DUMMYFUNCTION("GOOGLETRANSLATE(B29948,""en"",""it"")"),"Alla fine arriva in cima con relativa facilità.")</f>
        <v>Alla fine arriva in cima con relativa facilità.</v>
      </c>
    </row>
    <row r="29949">
      <c r="A29949" s="4" t="s">
        <v>37716</v>
      </c>
      <c r="B29949" s="4" t="s">
        <v>37717</v>
      </c>
      <c r="C29949" s="5" t="str">
        <f>IFERROR(__xludf.DUMMYFUNCTION("GOOGLETRANSLATE(B29949,""en"",""it"")"),"Un adolescente è in piedi in cucina, tiene un lanciatore e parla.")</f>
        <v>Un adolescente è in piedi in cucina, tiene un lanciatore e parla.</v>
      </c>
    </row>
    <row r="29950">
      <c r="A29950" s="4" t="s">
        <v>37716</v>
      </c>
      <c r="B29950" s="4" t="s">
        <v>37718</v>
      </c>
      <c r="C29950" s="5" t="str">
        <f>IFERROR(__xludf.DUMMYFUNCTION("GOOGLETRANSLATE(B29950,""en"",""it"")"),"Riempi la brocca con acqua nel lavandino.")</f>
        <v>Riempi la brocca con acqua nel lavandino.</v>
      </c>
    </row>
    <row r="29951">
      <c r="A29951" s="4" t="s">
        <v>37716</v>
      </c>
      <c r="B29951" s="4" t="s">
        <v>37719</v>
      </c>
      <c r="C29951" s="5" t="str">
        <f>IFERROR(__xludf.DUMMYFUNCTION("GOOGLETRANSLATE(B29951,""en"",""it"")"),"Quindi mescola una polvere nell'acqua, creando un mix di bevande.")</f>
        <v>Quindi mescola una polvere nell'acqua, creando un mix di bevande.</v>
      </c>
    </row>
    <row r="29952">
      <c r="A29952" s="4" t="s">
        <v>37716</v>
      </c>
      <c r="B29952" s="4" t="s">
        <v>37720</v>
      </c>
      <c r="C29952" s="5" t="str">
        <f>IFERROR(__xludf.DUMMYFUNCTION("GOOGLETRANSLATE(B29952,""en"",""it"")"),"Accenda alcol, quindi beve dalla brocca per testare il sapore.")</f>
        <v>Accenda alcol, quindi beve dalla brocca per testare il sapore.</v>
      </c>
    </row>
    <row r="29953">
      <c r="A29953" s="4" t="s">
        <v>37721</v>
      </c>
      <c r="B29953" s="4" t="s">
        <v>37722</v>
      </c>
      <c r="C29953" s="5" t="str">
        <f>IFERROR(__xludf.DUMMYFUNCTION("GOOGLETRANSLATE(B29953,""en"",""it"")"),"Un gruppo di persone è all'interno di un edificio.")</f>
        <v>Un gruppo di persone è all'interno di un edificio.</v>
      </c>
    </row>
    <row r="29954">
      <c r="A29954" s="4" t="s">
        <v>37721</v>
      </c>
      <c r="B29954" s="4" t="s">
        <v>37723</v>
      </c>
      <c r="C29954" s="5" t="str">
        <f>IFERROR(__xludf.DUMMYFUNCTION("GOOGLETRANSLATE(B29954,""en"",""it"")"),"Stanno giocando insieme una partita di biliardo.")</f>
        <v>Stanno giocando insieme una partita di biliardo.</v>
      </c>
    </row>
    <row r="29955">
      <c r="A29955" s="4" t="s">
        <v>37721</v>
      </c>
      <c r="B29955" s="4" t="s">
        <v>37724</v>
      </c>
      <c r="C29955" s="5" t="str">
        <f>IFERROR(__xludf.DUMMYFUNCTION("GOOGLETRANSLATE(B29955,""en"",""it"")"),"Calcolano le cifre avanti e indietro, cercando di vincere la partita.")</f>
        <v>Calcolano le cifre avanti e indietro, cercando di vincere la partita.</v>
      </c>
    </row>
    <row r="29956">
      <c r="A29956" s="4" t="s">
        <v>37725</v>
      </c>
      <c r="B29956" s="4" t="s">
        <v>37726</v>
      </c>
      <c r="C29956" s="5" t="str">
        <f>IFERROR(__xludf.DUMMYFUNCTION("GOOGLETRANSLATE(B29956,""en"",""it"")"),"Un uomo pratica hockey su ghiaccio lanciando un disco con un bastone.")</f>
        <v>Un uomo pratica hockey su ghiaccio lanciando un disco con un bastone.</v>
      </c>
    </row>
    <row r="29957">
      <c r="A29957" s="4" t="s">
        <v>37725</v>
      </c>
      <c r="B29957" s="4" t="s">
        <v>37727</v>
      </c>
      <c r="C29957" s="5" t="str">
        <f>IFERROR(__xludf.DUMMYFUNCTION("GOOGLETRANSLATE(B29957,""en"",""it"")"),"Quindi, il giocatore segna in una partita e si congratula con i compagni di squadra.")</f>
        <v>Quindi, il giocatore segna in una partita e si congratula con i compagni di squadra.</v>
      </c>
    </row>
    <row r="29958">
      <c r="A29958" s="4" t="s">
        <v>37725</v>
      </c>
      <c r="B29958" s="4" t="s">
        <v>37728</v>
      </c>
      <c r="C29958" s="5" t="str">
        <f>IFERROR(__xludf.DUMMYFUNCTION("GOOGLETRANSLATE(B29958,""en"",""it"")"),"Altri giocatori parlano e parlano quando il punteggio mentre gli uomini giocano a hockey su ghiaccio.")</f>
        <v>Altri giocatori parlano e parlano quando il punteggio mentre gli uomini giocano a hockey su ghiaccio.</v>
      </c>
    </row>
    <row r="29959">
      <c r="A29959" s="4" t="s">
        <v>37725</v>
      </c>
      <c r="B29959" s="4" t="s">
        <v>37729</v>
      </c>
      <c r="C29959" s="5" t="str">
        <f>IFERROR(__xludf.DUMMYFUNCTION("GOOGLETRANSLATE(B29959,""en"",""it"")"),"Un giocatore parla e le squadre stanno giocando nel campo di ghiaccio e i giocatori segnano.")</f>
        <v>Un giocatore parla e le squadre stanno giocando nel campo di ghiaccio e i giocatori segnano.</v>
      </c>
    </row>
    <row r="29960">
      <c r="A29960" s="4" t="s">
        <v>37730</v>
      </c>
      <c r="B29960" s="4" t="s">
        <v>37731</v>
      </c>
      <c r="C29960" s="5" t="str">
        <f>IFERROR(__xludf.DUMMYFUNCTION("GOOGLETRANSLATE(B29960,""en"",""it"")"),"Un uomo in maglietta si appoggia a un bancone della cucina accanto a sacchi di ingredienti.")</f>
        <v>Un uomo in maglietta si appoggia a un bancone della cucina accanto a sacchi di ingredienti.</v>
      </c>
    </row>
    <row r="29961">
      <c r="A29961" s="4" t="s">
        <v>37730</v>
      </c>
      <c r="B29961" s="4" t="s">
        <v>37732</v>
      </c>
      <c r="C29961" s="5" t="str">
        <f>IFERROR(__xludf.DUMMYFUNCTION("GOOGLETRANSLATE(B29961,""en"",""it"")"),"L'uomo presenta ogni ingrediente separato e li toglie mostrando ciascuno.")</f>
        <v>L'uomo presenta ogni ingrediente separato e li toglie mostrando ciascuno.</v>
      </c>
    </row>
    <row r="29962">
      <c r="A29962" s="4" t="s">
        <v>37730</v>
      </c>
      <c r="B29962" s="4" t="s">
        <v>37733</v>
      </c>
      <c r="C29962" s="5" t="str">
        <f>IFERROR(__xludf.DUMMYFUNCTION("GOOGLETRANSLATE(B29962,""en"",""it"")"),"Una padella di salsiccia a fette e peperoni cucina su una stufa.")</f>
        <v>Una padella di salsiccia a fette e peperoni cucina su una stufa.</v>
      </c>
    </row>
    <row r="29963">
      <c r="A29963" s="4" t="s">
        <v>37730</v>
      </c>
      <c r="B29963" s="4" t="s">
        <v>37734</v>
      </c>
      <c r="C29963" s="5" t="str">
        <f>IFERROR(__xludf.DUMMYFUNCTION("GOOGLETRANSLATE(B29963,""en"",""it"")"),"Una pentola di zuppa bolle.")</f>
        <v>Una pentola di zuppa bolle.</v>
      </c>
    </row>
    <row r="29964">
      <c r="A29964" s="4" t="s">
        <v>37730</v>
      </c>
      <c r="B29964" s="4" t="s">
        <v>37735</v>
      </c>
      <c r="C29964" s="5" t="str">
        <f>IFERROR(__xludf.DUMMYFUNCTION("GOOGLETRANSLATE(B29964,""en"",""it"")"),"Gli ingredienti si siedono accanto al piano cottura e vengono utilizzati per preparare il cibo.")</f>
        <v>Gli ingredienti si siedono accanto al piano cottura e vengono utilizzati per preparare il cibo.</v>
      </c>
    </row>
    <row r="29965">
      <c r="A29965" s="4" t="s">
        <v>37730</v>
      </c>
      <c r="B29965" s="4" t="s">
        <v>37736</v>
      </c>
      <c r="C29965" s="5" t="str">
        <f>IFERROR(__xludf.DUMMYFUNCTION("GOOGLETRANSLATE(B29965,""en"",""it"")"),"Una ciotola di verdure a fette ha aggiunti gli ingredienti delle padelle.")</f>
        <v>Una ciotola di verdure a fette ha aggiunti gli ingredienti delle padelle.</v>
      </c>
    </row>
    <row r="29966">
      <c r="A29966" s="4" t="s">
        <v>37730</v>
      </c>
      <c r="B29966" s="4" t="s">
        <v>37737</v>
      </c>
      <c r="C29966" s="5" t="str">
        <f>IFERROR(__xludf.DUMMYFUNCTION("GOOGLETRANSLATE(B29966,""en"",""it"")"),"Una ciotola di coltivatore di pasta viene aggiunta alla ciotola e scossa.")</f>
        <v>Una ciotola di coltivatore di pasta viene aggiunta alla ciotola e scossa.</v>
      </c>
    </row>
    <row r="29967">
      <c r="A29967" s="4" t="s">
        <v>37730</v>
      </c>
      <c r="B29967" s="4" t="s">
        <v>37738</v>
      </c>
      <c r="C29967" s="5" t="str">
        <f>IFERROR(__xludf.DUMMYFUNCTION("GOOGLETRANSLATE(B29967,""en"",""it"")"),"È trattenuto un sacchetto di formaggio.")</f>
        <v>È trattenuto un sacchetto di formaggio.</v>
      </c>
    </row>
    <row r="29968">
      <c r="A29968" s="4" t="s">
        <v>37730</v>
      </c>
      <c r="B29968" s="4" t="s">
        <v>37739</v>
      </c>
      <c r="C29968" s="5" t="str">
        <f>IFERROR(__xludf.DUMMYFUNCTION("GOOGLETRANSLATE(B29968,""en"",""it"")"),"L'uomo parla vicino alla fotocamera.")</f>
        <v>L'uomo parla vicino alla fotocamera.</v>
      </c>
    </row>
    <row r="29969">
      <c r="A29969" s="4" t="s">
        <v>37740</v>
      </c>
      <c r="B29969" s="4" t="s">
        <v>37741</v>
      </c>
      <c r="C29969" s="5" t="str">
        <f>IFERROR(__xludf.DUMMYFUNCTION("GOOGLETRANSLATE(B29969,""en"",""it"")"),"Una donna parla in un ufficio.")</f>
        <v>Una donna parla in un ufficio.</v>
      </c>
    </row>
    <row r="29970">
      <c r="A29970" s="4" t="s">
        <v>37740</v>
      </c>
      <c r="B29970" s="4" t="s">
        <v>37742</v>
      </c>
      <c r="C29970" s="5" t="str">
        <f>IFERROR(__xludf.DUMMYFUNCTION("GOOGLETRANSLATE(B29970,""en"",""it"")"),"La donna spiega come si arriccia i capelli.")</f>
        <v>La donna spiega come si arriccia i capelli.</v>
      </c>
    </row>
    <row r="29971">
      <c r="A29971" s="4" t="s">
        <v>37743</v>
      </c>
      <c r="B29971" s="6" t="s">
        <v>37744</v>
      </c>
      <c r="C29971" s="5" t="str">
        <f>IFERROR(__xludf.DUMMYFUNCTION("GOOGLETRANSLATE(B29971,""en"",""it"")"),"Un folto gruppo di persone è visto in piedi e seduto attorno a una buca di sabbia mentre un corridore salta al suo interno.")</f>
        <v>Un folto gruppo di persone è visto in piedi e seduto attorno a una buca di sabbia mentre un corridore salta al suo interno.</v>
      </c>
    </row>
    <row r="29972">
      <c r="A29972" s="4" t="s">
        <v>37743</v>
      </c>
      <c r="B29972" s="6" t="s">
        <v>37745</v>
      </c>
      <c r="C29972" s="5" t="str">
        <f>IFERROR(__xludf.DUMMYFUNCTION("GOOGLETRANSLATE(B29972,""en"",""it"")"),"L'uomo viene mostrato più volte saltando con le persone che misurano il suo salto in seguito e rastrellano la sabbia.")</f>
        <v>L'uomo viene mostrato più volte saltando con le persone che misurano il suo salto in seguito e rastrellano la sabbia.</v>
      </c>
    </row>
    <row r="29973">
      <c r="A29973" s="4" t="s">
        <v>37746</v>
      </c>
      <c r="B29973" s="4" t="s">
        <v>37747</v>
      </c>
      <c r="C29973" s="5" t="str">
        <f>IFERROR(__xludf.DUMMYFUNCTION("GOOGLETRANSLATE(B29973,""en"",""it"")"),"Due cheerleader si allenano in palestra mentre parlano.")</f>
        <v>Due cheerleader si allenano in palestra mentre parlano.</v>
      </c>
    </row>
    <row r="29974">
      <c r="A29974" s="4" t="s">
        <v>37746</v>
      </c>
      <c r="B29974" s="4" t="s">
        <v>37748</v>
      </c>
      <c r="C29974" s="5" t="str">
        <f>IFERROR(__xludf.DUMMYFUNCTION("GOOGLETRANSLATE(B29974,""en"",""it"")"),"Una cheerleader è in una stanza e poi solleva il peso, mentre l'altro parla sul suo telefono.")</f>
        <v>Una cheerleader è in una stanza e poi solleva il peso, mentre l'altro parla sul suo telefono.</v>
      </c>
    </row>
    <row r="29975">
      <c r="A29975" s="4" t="s">
        <v>37746</v>
      </c>
      <c r="B29975" s="4" t="s">
        <v>37749</v>
      </c>
      <c r="C29975" s="5" t="str">
        <f>IFERROR(__xludf.DUMMYFUNCTION("GOOGLETRANSLATE(B29975,""en"",""it"")"),"Dopo, le cheerleader parlano ed esercitano.")</f>
        <v>Dopo, le cheerleader parlano ed esercitano.</v>
      </c>
    </row>
    <row r="29976">
      <c r="A29976" s="4" t="s">
        <v>37746</v>
      </c>
      <c r="B29976" s="4" t="s">
        <v>37750</v>
      </c>
      <c r="C29976" s="5" t="str">
        <f>IFERROR(__xludf.DUMMYFUNCTION("GOOGLETRANSLATE(B29976,""en"",""it"")"),"Dopo, le cheerleader si esercitano e parlano anche.")</f>
        <v>Dopo, le cheerleader si esercitano e parlano anche.</v>
      </c>
    </row>
    <row r="29977">
      <c r="A29977" s="4" t="s">
        <v>37751</v>
      </c>
      <c r="B29977" s="4" t="s">
        <v>37752</v>
      </c>
      <c r="C29977" s="5" t="str">
        <f>IFERROR(__xludf.DUMMYFUNCTION("GOOGLETRANSLATE(B29977,""en"",""it"")"),"Una donna è su un tribunale concreto fuori.")</f>
        <v>Una donna è su un tribunale concreto fuori.</v>
      </c>
    </row>
    <row r="29978">
      <c r="A29978" s="4" t="s">
        <v>37751</v>
      </c>
      <c r="B29978" s="4" t="s">
        <v>37753</v>
      </c>
      <c r="C29978" s="5" t="str">
        <f>IFERROR(__xludf.DUMMYFUNCTION("GOOGLETRANSLATE(B29978,""en"",""it"")"),"Sta saltando attraverso un gioco di hopscotch disegnato da gesso.")</f>
        <v>Sta saltando attraverso un gioco di hopscotch disegnato da gesso.</v>
      </c>
    </row>
    <row r="29979">
      <c r="A29979" s="4" t="s">
        <v>37751</v>
      </c>
      <c r="B29979" s="4" t="s">
        <v>37754</v>
      </c>
      <c r="C29979" s="5" t="str">
        <f>IFERROR(__xludf.DUMMYFUNCTION("GOOGLETRANSLATE(B29979,""en"",""it"")"),"Va avanti e indietro sopra il puzzle due volte.")</f>
        <v>Va avanti e indietro sopra il puzzle due volte.</v>
      </c>
    </row>
    <row r="29980">
      <c r="A29980" s="4" t="s">
        <v>37755</v>
      </c>
      <c r="B29980" s="4" t="s">
        <v>37756</v>
      </c>
      <c r="C29980" s="5" t="str">
        <f>IFERROR(__xludf.DUMMYFUNCTION("GOOGLETRANSLATE(B29980,""en"",""it"")"),"Due cani che indossano abiti corrono insieme per le scale.")</f>
        <v>Due cani che indossano abiti corrono insieme per le scale.</v>
      </c>
    </row>
    <row r="29981">
      <c r="A29981" s="4" t="s">
        <v>37755</v>
      </c>
      <c r="B29981" s="6" t="s">
        <v>37757</v>
      </c>
      <c r="C29981" s="5" t="str">
        <f>IFERROR(__xludf.DUMMYFUNCTION("GOOGLETRANSLATE(B29981,""en"",""it"")"),"I due cani vengono mostrati che corrono insieme tra la folla in diverse località mentre seguono un uomo.")</f>
        <v>I due cani vengono mostrati che corrono insieme tra la folla in diverse località mentre seguono un uomo.</v>
      </c>
    </row>
    <row r="29982">
      <c r="A29982" s="4" t="s">
        <v>37755</v>
      </c>
      <c r="B29982" s="4" t="s">
        <v>37758</v>
      </c>
      <c r="C29982" s="5" t="str">
        <f>IFERROR(__xludf.DUMMYFUNCTION("GOOGLETRANSLATE(B29982,""en"",""it"")"),"L'uomo insegna a un cane a tirarne un altro al guinzaglio.")</f>
        <v>L'uomo insegna a un cane a tirarne un altro al guinzaglio.</v>
      </c>
    </row>
    <row r="29983">
      <c r="A29983" s="4" t="s">
        <v>37759</v>
      </c>
      <c r="B29983" s="4" t="s">
        <v>37760</v>
      </c>
      <c r="C29983" s="5" t="str">
        <f>IFERROR(__xludf.DUMMYFUNCTION("GOOGLETRANSLATE(B29983,""en"",""it"")"),"Una signora in abito parla in una stanza bianca.")</f>
        <v>Una signora in abito parla in una stanza bianca.</v>
      </c>
    </row>
    <row r="29984">
      <c r="A29984" s="4" t="s">
        <v>37759</v>
      </c>
      <c r="B29984" s="4" t="s">
        <v>37761</v>
      </c>
      <c r="C29984" s="5" t="str">
        <f>IFERROR(__xludf.DUMMYFUNCTION("GOOGLETRANSLATE(B29984,""en"",""it"")"),"Vediamo un uomo che lavare un'auto con un asciugamano.")</f>
        <v>Vediamo un uomo che lavare un'auto con un asciugamano.</v>
      </c>
    </row>
    <row r="29985">
      <c r="A29985" s="4" t="s">
        <v>37759</v>
      </c>
      <c r="B29985" s="4" t="s">
        <v>37762</v>
      </c>
      <c r="C29985" s="5" t="str">
        <f>IFERROR(__xludf.DUMMYFUNCTION("GOOGLETRANSLATE(B29985,""en"",""it"")"),"Vediamo che l'auto viene sciacquata con una rondella di pressione e la ruota viene cancellata.")</f>
        <v>Vediamo che l'auto viene sciacquata con una rondella di pressione e la ruota viene cancellata.</v>
      </c>
    </row>
    <row r="29986">
      <c r="A29986" s="4" t="s">
        <v>37759</v>
      </c>
      <c r="B29986" s="4" t="s">
        <v>37763</v>
      </c>
      <c r="C29986" s="5" t="str">
        <f>IFERROR(__xludf.DUMMYFUNCTION("GOOGLETRANSLATE(B29986,""en"",""it"")"),"L'emblema appare sullo schermo mentre la schiuma scivola giù per un'auto.")</f>
        <v>L'emblema appare sullo schermo mentre la schiuma scivola giù per un'auto.</v>
      </c>
    </row>
    <row r="29987">
      <c r="A29987" s="4" t="s">
        <v>37764</v>
      </c>
      <c r="B29987" s="6" t="s">
        <v>37765</v>
      </c>
      <c r="C29987" s="5" t="str">
        <f>IFERROR(__xludf.DUMMYFUNCTION("GOOGLETRANSLATE(B29987,""en"",""it"")"),"Un uomo è in piedi in una stanza con tre pareti e una parete di vetro dietro di lui che colpisce una palla con una racchetta.")</f>
        <v>Un uomo è in piedi in una stanza con tre pareti e una parete di vetro dietro di lui che colpisce una palla con una racchetta.</v>
      </c>
    </row>
    <row r="29988">
      <c r="A29988" s="4" t="s">
        <v>37764</v>
      </c>
      <c r="B29988" s="4" t="s">
        <v>37766</v>
      </c>
      <c r="C29988" s="5" t="str">
        <f>IFERROR(__xludf.DUMMYFUNCTION("GOOGLETRANSLATE(B29988,""en"",""it"")"),"Vengono quindi mostrate una serie di parole e un video di YouTube.")</f>
        <v>Vengono quindi mostrate una serie di parole e un video di YouTube.</v>
      </c>
    </row>
    <row r="29989">
      <c r="A29989" s="4" t="s">
        <v>37764</v>
      </c>
      <c r="B29989" s="4" t="s">
        <v>37767</v>
      </c>
      <c r="C29989" s="5" t="str">
        <f>IFERROR(__xludf.DUMMYFUNCTION("GOOGLETRANSLATE(B29989,""en"",""it"")"),"Lo schermo successivo arriva con una grande mongolfiera e auto animate.")</f>
        <v>Lo schermo successivo arriva con una grande mongolfiera e auto animate.</v>
      </c>
    </row>
    <row r="29990">
      <c r="A29990" s="4" t="s">
        <v>37768</v>
      </c>
      <c r="B29990" s="4" t="s">
        <v>37769</v>
      </c>
      <c r="C29990" s="5" t="str">
        <f>IFERROR(__xludf.DUMMYFUNCTION("GOOGLETRANSLATE(B29990,""en"",""it"")"),"Viene mostrato un oggetto sfocato e viene visualizzato il testo bianco che recita ""Shine Shoe Shine"".")</f>
        <v>Viene mostrato un oggetto sfocato e viene visualizzato il testo bianco che recita "Shine Shoe Shine".</v>
      </c>
    </row>
    <row r="29991">
      <c r="A29991" s="4" t="s">
        <v>37768</v>
      </c>
      <c r="B29991" s="6" t="s">
        <v>37770</v>
      </c>
      <c r="C29991" s="5" t="str">
        <f>IFERROR(__xludf.DUMMYFUNCTION("GOOGLETRANSLATE(B29991,""en"",""it"")"),"Man mano che l'immagine diventa più chiara, c'è una piccola lattina d'argento con una vite sul coperchio e la scrittura sul ""Dr Martens Airwair"" di Can Say.")</f>
        <v>Man mano che l'immagine diventa più chiara, c'è una piccola lattina d'argento con una vite sul coperchio e la scrittura sul "Dr Martens Airwair" di Can Say.</v>
      </c>
    </row>
    <row r="29992">
      <c r="A29992" s="4" t="s">
        <v>37768</v>
      </c>
      <c r="B29992" s="6" t="s">
        <v>37771</v>
      </c>
      <c r="C29992" s="5" t="str">
        <f>IFERROR(__xludf.DUMMYFUNCTION("GOOGLETRANSLATE(B29992,""en"",""it"")"),"Sono in piedi un paio di stivali neri luccicanti e i loro lacci delle scarpe nere sono legate e il testo ""dopo"" appare nella zona anteriore sinistra dello stivale.")</f>
        <v>Sono in piedi un paio di stivali neri luccicanti e i loro lacci delle scarpe nere sono legate e il testo "dopo" appare nella zona anteriore sinistra dello stivale.</v>
      </c>
    </row>
    <row r="29993">
      <c r="A29993" s="4" t="s">
        <v>37768</v>
      </c>
      <c r="B29993" s="4" t="s">
        <v>37772</v>
      </c>
      <c r="C29993" s="5" t="str">
        <f>IFERROR(__xludf.DUMMYFUNCTION("GOOGLETRANSLATE(B29993,""en"",""it"")"),"Vengono mostrati alcuni angoli degli stivali e si presentano varie parole davanti a loro.")</f>
        <v>Vengono mostrati alcuni angoli degli stivali e si presentano varie parole davanti a loro.</v>
      </c>
    </row>
    <row r="29994">
      <c r="A29994" s="4" t="s">
        <v>37768</v>
      </c>
      <c r="B29994" s="4" t="s">
        <v>37773</v>
      </c>
      <c r="C29994" s="5" t="str">
        <f>IFERROR(__xludf.DUMMYFUNCTION("GOOGLETRANSLATE(B29994,""en"",""it"")"),"Una persona viene quindi vista pulire lo stivale con un panno e si presentano più testi.")</f>
        <v>Una persona viene quindi vista pulire lo stivale con un panno e si presentano più testi.</v>
      </c>
    </row>
    <row r="29995">
      <c r="A29995" s="4" t="s">
        <v>37768</v>
      </c>
      <c r="B29995" s="6" t="s">
        <v>37774</v>
      </c>
      <c r="C29995" s="5" t="str">
        <f>IFERROR(__xludf.DUMMYFUNCTION("GOOGLETRANSLATE(B29995,""en"",""it"")"),"Un primo piano dell'argento può essere aperto da una mano mostra il contenuto in esso e come utilizzare il contenuto su uno stivale.")</f>
        <v>Un primo piano dell'argento può essere aperto da una mano mostra il contenuto in esso e come utilizzare il contenuto su uno stivale.</v>
      </c>
    </row>
    <row r="29996">
      <c r="A29996" s="4" t="s">
        <v>37768</v>
      </c>
      <c r="B29996" s="4" t="s">
        <v>37775</v>
      </c>
      <c r="C29996" s="5" t="str">
        <f>IFERROR(__xludf.DUMMYFUNCTION("GOOGLETRANSLATE(B29996,""en"",""it"")"),"La lattina viene quindi nuovamente avvitata e i testi ""ci vediamo la prossima volta"" terminano il video.")</f>
        <v>La lattina viene quindi nuovamente avvitata e i testi "ci vediamo la prossima volta" terminano il video.</v>
      </c>
    </row>
    <row r="29997">
      <c r="A29997" s="4" t="s">
        <v>37768</v>
      </c>
      <c r="B29997" s="4" t="s">
        <v>37776</v>
      </c>
      <c r="C29997" s="5" t="str">
        <f>IFERROR(__xludf.DUMMYFUNCTION("GOOGLETRANSLATE(B29997,""en"",""it"")"),"I testi pop -up si verificano per tutto il tempo.")</f>
        <v>I testi pop -up si verificano per tutto il tempo.</v>
      </c>
    </row>
    <row r="29998">
      <c r="A29998" s="4" t="s">
        <v>37777</v>
      </c>
      <c r="B29998" s="4" t="s">
        <v>37778</v>
      </c>
      <c r="C29998" s="5" t="str">
        <f>IFERROR(__xludf.DUMMYFUNCTION("GOOGLETRANSLATE(B29998,""en"",""it"")"),"Una persona sta cavalcando una bici lungo una pista sporca.")</f>
        <v>Una persona sta cavalcando una bici lungo una pista sporca.</v>
      </c>
    </row>
    <row r="29999">
      <c r="A29999" s="4" t="s">
        <v>37777</v>
      </c>
      <c r="B29999" s="4" t="s">
        <v>37779</v>
      </c>
      <c r="C29999" s="5" t="str">
        <f>IFERROR(__xludf.DUMMYFUNCTION("GOOGLETRANSLATE(B29999,""en"",""it"")"),"Un ragazzino che indossa il rosso sta cavalcando una piccola bici lungo la pista.")</f>
        <v>Un ragazzino che indossa il rosso sta cavalcando una piccola bici lungo la pista.</v>
      </c>
    </row>
    <row r="30000">
      <c r="A30000" s="4" t="s">
        <v>37777</v>
      </c>
      <c r="B30000" s="4" t="s">
        <v>37780</v>
      </c>
      <c r="C30000" s="5" t="str">
        <f>IFERROR(__xludf.DUMMYFUNCTION("GOOGLETRANSLATE(B30000,""en"",""it"")"),"Una persona cade alla fine.")</f>
        <v>Una persona cade alla fine.</v>
      </c>
    </row>
    <row r="30001">
      <c r="A30001" s="4" t="s">
        <v>37781</v>
      </c>
      <c r="B30001" s="4" t="s">
        <v>37782</v>
      </c>
      <c r="C30001" s="5" t="str">
        <f>IFERROR(__xludf.DUMMYFUNCTION("GOOGLETRANSLATE(B30001,""en"",""it"")"),"Il cibo sfrigola in olio caldo in una padella nera sulla stufa, un cucchiaio a gambo lungo si trova nella padella.")</f>
        <v>Il cibo sfrigola in olio caldo in una padella nera sulla stufa, un cucchiaio a gambo lungo si trova nella padella.</v>
      </c>
    </row>
    <row r="30002">
      <c r="A30002" s="4" t="s">
        <v>37781</v>
      </c>
      <c r="B30002" s="4" t="s">
        <v>37783</v>
      </c>
      <c r="C30002" s="5" t="str">
        <f>IFERROR(__xludf.DUMMYFUNCTION("GOOGLETRANSLATE(B30002,""en"",""it"")"),"Le cipolle vengono aggiunte alla padella.")</f>
        <v>Le cipolle vengono aggiunte alla padella.</v>
      </c>
    </row>
    <row r="30003">
      <c r="A30003" s="4" t="s">
        <v>37781</v>
      </c>
      <c r="B30003" s="4" t="s">
        <v>37784</v>
      </c>
      <c r="C30003" s="5" t="str">
        <f>IFERROR(__xludf.DUMMYFUNCTION("GOOGLETRANSLATE(B30003,""en"",""it"")"),"La padella viene agitata e il cucchiaio rimosso.")</f>
        <v>La padella viene agitata e il cucchiaio rimosso.</v>
      </c>
    </row>
    <row r="30004">
      <c r="A30004" s="4" t="s">
        <v>37781</v>
      </c>
      <c r="B30004" s="4" t="s">
        <v>37785</v>
      </c>
      <c r="C30004" s="5" t="str">
        <f>IFERROR(__xludf.DUMMYFUNCTION("GOOGLETRANSLATE(B30004,""en"",""it"")"),"Il sale viene aggiunto e mescolato.")</f>
        <v>Il sale viene aggiunto e mescolato.</v>
      </c>
    </row>
    <row r="30005">
      <c r="A30005" s="4" t="s">
        <v>37781</v>
      </c>
      <c r="B30005" s="4" t="s">
        <v>37786</v>
      </c>
      <c r="C30005" s="5" t="str">
        <f>IFERROR(__xludf.DUMMYFUNCTION("GOOGLETRANSLATE(B30005,""en"",""it"")"),"La padella sfrigola delicatamente mentre la miscela cucina.")</f>
        <v>La padella sfrigola delicatamente mentre la miscela cucina.</v>
      </c>
    </row>
    <row r="30006">
      <c r="A30006" s="4" t="s">
        <v>37781</v>
      </c>
      <c r="B30006" s="4" t="s">
        <v>37787</v>
      </c>
      <c r="C30006" s="5" t="str">
        <f>IFERROR(__xludf.DUMMYFUNCTION("GOOGLETRANSLATE(B30006,""en"",""it"")"),"Le spezie vengono aggiunte alla padella.")</f>
        <v>Le spezie vengono aggiunte alla padella.</v>
      </c>
    </row>
    <row r="30007">
      <c r="A30007" s="4" t="s">
        <v>37781</v>
      </c>
      <c r="B30007" s="6" t="s">
        <v>37788</v>
      </c>
      <c r="C30007" s="5" t="str">
        <f>IFERROR(__xludf.DUMMYFUNCTION("GOOGLETRANSLATE(B30007,""en"",""it"")"),"La fiamma è visibile mentre la padella sfrigola in modo più vigoroso, la padella viene mescolata e il cibo è dorato.")</f>
        <v>La fiamma è visibile mentre la padella sfrigola in modo più vigoroso, la padella viene mescolata e il cibo è dorato.</v>
      </c>
    </row>
    <row r="30008">
      <c r="A30008" s="4" t="s">
        <v>37781</v>
      </c>
      <c r="B30008" s="4" t="s">
        <v>37789</v>
      </c>
      <c r="C30008" s="5" t="str">
        <f>IFERROR(__xludf.DUMMYFUNCTION("GOOGLETRANSLATE(B30008,""en"",""it"")"),"4 uova vengono suddivise nella padella.")</f>
        <v>4 uova vengono suddivise nella padella.</v>
      </c>
    </row>
    <row r="30009">
      <c r="A30009" s="4" t="s">
        <v>37781</v>
      </c>
      <c r="B30009" s="4" t="s">
        <v>37790</v>
      </c>
      <c r="C30009" s="5" t="str">
        <f>IFERROR(__xludf.DUMMYFUNCTION("GOOGLETRANSLATE(B30009,""en"",""it"")"),"La miscela viene mescolata e lasciata cuocere.")</f>
        <v>La miscela viene mescolata e lasciata cuocere.</v>
      </c>
    </row>
    <row r="30010">
      <c r="A30010" s="4" t="s">
        <v>37781</v>
      </c>
      <c r="B30010" s="4" t="s">
        <v>37791</v>
      </c>
      <c r="C30010" s="5" t="str">
        <f>IFERROR(__xludf.DUMMYFUNCTION("GOOGLETRANSLATE(B30010,""en"",""it"")"),"La pasta viene versata e mescolata alla miscela da un setaccio.")</f>
        <v>La pasta viene versata e mescolata alla miscela da un setaccio.</v>
      </c>
    </row>
    <row r="30011">
      <c r="A30011" s="4" t="s">
        <v>37781</v>
      </c>
      <c r="B30011" s="4" t="s">
        <v>37792</v>
      </c>
      <c r="C30011" s="5" t="str">
        <f>IFERROR(__xludf.DUMMYFUNCTION("GOOGLETRANSLATE(B30011,""en"",""it"")"),"È lasciato cucinare di più.")</f>
        <v>È lasciato cucinare di più.</v>
      </c>
    </row>
    <row r="30012">
      <c r="A30012" s="4" t="s">
        <v>37781</v>
      </c>
      <c r="B30012" s="4" t="s">
        <v>37793</v>
      </c>
      <c r="C30012" s="5" t="str">
        <f>IFERROR(__xludf.DUMMYFUNCTION("GOOGLETRANSLATE(B30012,""en"",""it"")"),"Ora è placcato e le erbe fresche sono cosparse in cima.")</f>
        <v>Ora è placcato e le erbe fresche sono cosparse in cima.</v>
      </c>
    </row>
    <row r="30013">
      <c r="A30013" s="4" t="s">
        <v>37794</v>
      </c>
      <c r="B30013" s="4" t="s">
        <v>37795</v>
      </c>
      <c r="C30013" s="5" t="str">
        <f>IFERROR(__xludf.DUMMYFUNCTION("GOOGLETRANSLATE(B30013,""en"",""it"")"),"Viene visto un uomo che cammina per una zona che indica se stesso e parla con la telecamera.")</f>
        <v>Viene visto un uomo che cammina per una zona che indica se stesso e parla con la telecamera.</v>
      </c>
    </row>
    <row r="30014">
      <c r="A30014" s="4" t="s">
        <v>37794</v>
      </c>
      <c r="B30014" s="4" t="s">
        <v>37796</v>
      </c>
      <c r="C30014" s="5" t="str">
        <f>IFERROR(__xludf.DUMMYFUNCTION("GOOGLETRANSLATE(B30014,""en"",""it"")"),"L'uomo inizia quindi a eseguire varie mosse di arti marziali e calciare verso la telecamera.")</f>
        <v>L'uomo inizia quindi a eseguire varie mosse di arti marziali e calciare verso la telecamera.</v>
      </c>
    </row>
    <row r="30015">
      <c r="A30015" s="4" t="s">
        <v>37794</v>
      </c>
      <c r="B30015" s="4" t="s">
        <v>37797</v>
      </c>
      <c r="C30015" s="5" t="str">
        <f>IFERROR(__xludf.DUMMYFUNCTION("GOOGLETRANSLATE(B30015,""en"",""it"")"),"L'uomo continua a muoversi mentre la telecamera cattura i suoi movimenti.")</f>
        <v>L'uomo continua a muoversi mentre la telecamera cattura i suoi movimenti.</v>
      </c>
    </row>
    <row r="30016">
      <c r="A30016" s="4" t="s">
        <v>37798</v>
      </c>
      <c r="B30016" s="4" t="s">
        <v>37799</v>
      </c>
      <c r="C30016" s="5" t="str">
        <f>IFERROR(__xludf.DUMMYFUNCTION("GOOGLETRANSLATE(B30016,""en"",""it"")"),"Una ginnasta si inchina prima di camminare fino al raggio.")</f>
        <v>Una ginnasta si inchina prima di camminare fino al raggio.</v>
      </c>
    </row>
    <row r="30017">
      <c r="A30017" s="4" t="s">
        <v>37798</v>
      </c>
      <c r="B30017" s="4" t="s">
        <v>37800</v>
      </c>
      <c r="C30017" s="5" t="str">
        <f>IFERROR(__xludf.DUMMYFUNCTION("GOOGLETRANSLATE(B30017,""en"",""it"")"),"Monta il raggio e inizia a esibirsi.")</f>
        <v>Monta il raggio e inizia a esibirsi.</v>
      </c>
    </row>
    <row r="30018">
      <c r="A30018" s="4" t="s">
        <v>37798</v>
      </c>
      <c r="B30018" s="4" t="s">
        <v>37801</v>
      </c>
      <c r="C30018" s="5" t="str">
        <f>IFERROR(__xludf.DUMMYFUNCTION("GOOGLETRANSLATE(B30018,""en"",""it"")"),"Si gira intorno al raggio più volte.")</f>
        <v>Si gira intorno al raggio più volte.</v>
      </c>
    </row>
    <row r="30019">
      <c r="A30019" s="4" t="s">
        <v>37798</v>
      </c>
      <c r="B30019" s="4" t="s">
        <v>37802</v>
      </c>
      <c r="C30019" s="5" t="str">
        <f>IFERROR(__xludf.DUMMYFUNCTION("GOOGLETRANSLATE(B30019,""en"",""it"")"),"Salta giù dal raggio in un finale.")</f>
        <v>Salta giù dal raggio in un finale.</v>
      </c>
    </row>
    <row r="30020">
      <c r="A30020" s="4" t="s">
        <v>37803</v>
      </c>
      <c r="B30020" s="4" t="s">
        <v>37804</v>
      </c>
      <c r="C30020" s="5" t="str">
        <f>IFERROR(__xludf.DUMMYFUNCTION("GOOGLETRANSLATE(B30020,""en"",""it"")"),"Un gruppo di uomini vestiti da rosso marcia su un palco.")</f>
        <v>Un gruppo di uomini vestiti da rosso marcia su un palco.</v>
      </c>
    </row>
    <row r="30021">
      <c r="A30021" s="4" t="s">
        <v>37803</v>
      </c>
      <c r="B30021" s="6" t="s">
        <v>37805</v>
      </c>
      <c r="C30021" s="5" t="str">
        <f>IFERROR(__xludf.DUMMYFUNCTION("GOOGLETRANSLATE(B30021,""en"",""it"")"),"Vediamo quindi una donna che tiene una bandiera al centro e molte donne accanto a lei mentre saltano su un enorme jumprope.")</f>
        <v>Vediamo quindi una donna che tiene una bandiera al centro e molte donne accanto a lei mentre saltano su un enorme jumprope.</v>
      </c>
    </row>
    <row r="30022">
      <c r="A30022" s="4" t="s">
        <v>37803</v>
      </c>
      <c r="B30022" s="6" t="s">
        <v>37806</v>
      </c>
      <c r="C30022" s="5" t="str">
        <f>IFERROR(__xludf.DUMMYFUNCTION("GOOGLETRANSLATE(B30022,""en"",""it"")"),"Eseguono molti trucchi per saltare e lanciare con le corde, portando più corde ogni pochi minuti.")</f>
        <v>Eseguono molti trucchi per saltare e lanciare con le corde, portando più corde ogni pochi minuti.</v>
      </c>
    </row>
    <row r="30023">
      <c r="A30023" s="4" t="s">
        <v>37803</v>
      </c>
      <c r="B30023" s="4" t="s">
        <v>37807</v>
      </c>
      <c r="C30023" s="5" t="str">
        <f>IFERROR(__xludf.DUMMYFUNCTION("GOOGLETRANSLATE(B30023,""en"",""it"")"),"Quando finiscono, si congelano in posa e lo schermo diventa nero.")</f>
        <v>Quando finiscono, si congelano in posa e lo schermo diventa nero.</v>
      </c>
    </row>
    <row r="30024">
      <c r="A30024" s="4" t="s">
        <v>37808</v>
      </c>
      <c r="B30024" s="4" t="s">
        <v>37809</v>
      </c>
      <c r="C30024" s="5" t="str">
        <f>IFERROR(__xludf.DUMMYFUNCTION("GOOGLETRANSLATE(B30024,""en"",""it"")"),"Una donna si sta lavando i denti.")</f>
        <v>Una donna si sta lavando i denti.</v>
      </c>
    </row>
    <row r="30025">
      <c r="A30025" s="4" t="s">
        <v>37808</v>
      </c>
      <c r="B30025" s="4" t="s">
        <v>37810</v>
      </c>
      <c r="C30025" s="5" t="str">
        <f>IFERROR(__xludf.DUMMYFUNCTION("GOOGLETRANSLATE(B30025,""en"",""it"")"),"Una donna si avvicina alle sue spalle.")</f>
        <v>Una donna si avvicina alle sue spalle.</v>
      </c>
    </row>
    <row r="30026">
      <c r="A30026" s="4" t="s">
        <v>37808</v>
      </c>
      <c r="B30026" s="4" t="s">
        <v>37811</v>
      </c>
      <c r="C30026" s="5" t="str">
        <f>IFERROR(__xludf.DUMMYFUNCTION("GOOGLETRANSLATE(B30026,""en"",""it"")"),"La donna smette di lavarsi i denti.")</f>
        <v>La donna smette di lavarsi i denti.</v>
      </c>
    </row>
    <row r="30027">
      <c r="A30027" s="4" t="s">
        <v>37808</v>
      </c>
      <c r="B30027" s="4" t="s">
        <v>37812</v>
      </c>
      <c r="C30027" s="5" t="str">
        <f>IFERROR(__xludf.DUMMYFUNCTION("GOOGLETRANSLATE(B30027,""en"",""it"")"),"Una donna sorride davvero grande.")</f>
        <v>Una donna sorride davvero grande.</v>
      </c>
    </row>
    <row r="30028">
      <c r="A30028" s="4" t="s">
        <v>37813</v>
      </c>
      <c r="B30028" s="4" t="s">
        <v>37814</v>
      </c>
      <c r="C30028" s="5" t="str">
        <f>IFERROR(__xludf.DUMMYFUNCTION("GOOGLETRANSLATE(B30028,""en"",""it"")"),"Una bambina che indossa un fiocco marrone è in piedi davanti al lavandino che sfiora i denti.")</f>
        <v>Una bambina che indossa un fiocco marrone è in piedi davanti al lavandino che sfiora i denti.</v>
      </c>
    </row>
    <row r="30029">
      <c r="A30029" s="4" t="s">
        <v>37813</v>
      </c>
      <c r="B30029" s="4" t="s">
        <v>37815</v>
      </c>
      <c r="C30029" s="5" t="str">
        <f>IFERROR(__xludf.DUMMYFUNCTION("GOOGLETRANSLATE(B30029,""en"",""it"")"),"La bambina, quindi accende l'acqua e sputa più volte nel lavandino.")</f>
        <v>La bambina, quindi accende l'acqua e sputa più volte nel lavandino.</v>
      </c>
    </row>
    <row r="30030">
      <c r="A30030" s="4" t="s">
        <v>37813</v>
      </c>
      <c r="B30030" s="4" t="s">
        <v>37816</v>
      </c>
      <c r="C30030" s="5" t="str">
        <f>IFERROR(__xludf.DUMMYFUNCTION("GOOGLETRANSLATE(B30030,""en"",""it"")"),"Alla fine, mette giù il pennello, sciacqua la bocca e la asciuga con un asciugamano marrone.")</f>
        <v>Alla fine, mette giù il pennello, sciacqua la bocca e la asciuga con un asciugamano marrone.</v>
      </c>
    </row>
    <row r="30031">
      <c r="A30031" s="4" t="s">
        <v>37817</v>
      </c>
      <c r="B30031" s="4" t="s">
        <v>37818</v>
      </c>
      <c r="C30031" s="5" t="str">
        <f>IFERROR(__xludf.DUMMYFUNCTION("GOOGLETRANSLATE(B30031,""en"",""it"")"),"Un bambino piccolo viene visto seduto in cima a uno scivolo e si guarda indietro verso la fotocamera.")</f>
        <v>Un bambino piccolo viene visto seduto in cima a uno scivolo e si guarda indietro verso la fotocamera.</v>
      </c>
    </row>
    <row r="30032">
      <c r="A30032" s="4" t="s">
        <v>37817</v>
      </c>
      <c r="B30032" s="6" t="s">
        <v>37819</v>
      </c>
      <c r="C30032" s="5" t="str">
        <f>IFERROR(__xludf.DUMMYFUNCTION("GOOGLETRANSLATE(B30032,""en"",""it"")"),"Il ragazzo quindi si spinge all'indietro lungo la diapositiva mentre gira alla fine e salta via.")</f>
        <v>Il ragazzo quindi si spinge all'indietro lungo la diapositiva mentre gira alla fine e salta via.</v>
      </c>
    </row>
    <row r="30033">
      <c r="A30033" s="4" t="s">
        <v>37820</v>
      </c>
      <c r="B30033" s="4" t="s">
        <v>37821</v>
      </c>
      <c r="C30033" s="5" t="str">
        <f>IFERROR(__xludf.DUMMYFUNCTION("GOOGLETRANSLATE(B30033,""en"",""it"")"),"Una ragazza viene vista parlare alla telecamera e inizia a giocare con i capelli.")</f>
        <v>Una ragazza viene vista parlare alla telecamera e inizia a giocare con i capelli.</v>
      </c>
    </row>
    <row r="30034">
      <c r="A30034" s="4" t="s">
        <v>37820</v>
      </c>
      <c r="B30034" s="4" t="s">
        <v>37822</v>
      </c>
      <c r="C30034" s="5" t="str">
        <f>IFERROR(__xludf.DUMMYFUNCTION("GOOGLETRANSLATE(B30034,""en"",""it"")"),"La si appogge e le mette una fascia tra i capelli.")</f>
        <v>La si appogge e le mette una fascia tra i capelli.</v>
      </c>
    </row>
    <row r="30035">
      <c r="A30035" s="4" t="s">
        <v>37820</v>
      </c>
      <c r="B30035" s="4" t="s">
        <v>37823</v>
      </c>
      <c r="C30035" s="5" t="str">
        <f>IFERROR(__xludf.DUMMYFUNCTION("GOOGLETRANSLATE(B30035,""en"",""it"")"),"Quindi mette più capelli finti e si trucca.")</f>
        <v>Quindi mette più capelli finti e si trucca.</v>
      </c>
    </row>
    <row r="30036">
      <c r="A30036" s="4" t="s">
        <v>37820</v>
      </c>
      <c r="B30036" s="4" t="s">
        <v>37824</v>
      </c>
      <c r="C30036" s="5" t="str">
        <f>IFERROR(__xludf.DUMMYFUNCTION("GOOGLETRANSLATE(B30036,""en"",""it"")"),"Indica la telecamera alla fine e sorride.")</f>
        <v>Indica la telecamera alla fine e sorride.</v>
      </c>
    </row>
    <row r="30037">
      <c r="A30037" s="4" t="s">
        <v>37825</v>
      </c>
      <c r="B30037" s="4" t="s">
        <v>37826</v>
      </c>
      <c r="C30037" s="5" t="str">
        <f>IFERROR(__xludf.DUMMYFUNCTION("GOOGLETRANSLATE(B30037,""en"",""it"")"),"Una ragazza è seduta in un tubo circondato da un folto gruppo di persone sedute anche su tubi.")</f>
        <v>Una ragazza è seduta in un tubo circondato da un folto gruppo di persone sedute anche su tubi.</v>
      </c>
    </row>
    <row r="30038">
      <c r="A30038" s="4" t="s">
        <v>37825</v>
      </c>
      <c r="B30038" s="4" t="s">
        <v>37827</v>
      </c>
      <c r="C30038" s="5" t="str">
        <f>IFERROR(__xludf.DUMMYFUNCTION("GOOGLETRANSLATE(B30038,""en"",""it"")"),"La telecamera si muove intorno alle varie persone sedute nei tubi.")</f>
        <v>La telecamera si muove intorno alle varie persone sedute nei tubi.</v>
      </c>
    </row>
    <row r="30039">
      <c r="A30039" s="4" t="s">
        <v>37825</v>
      </c>
      <c r="B30039" s="4" t="s">
        <v>37828</v>
      </c>
      <c r="C30039" s="5" t="str">
        <f>IFERROR(__xludf.DUMMYFUNCTION("GOOGLETRANSLATE(B30039,""en"",""it"")"),"La ragazza salta fuori dal suo tubo e si ritrova a nuotare nell'acqua.")</f>
        <v>La ragazza salta fuori dal suo tubo e si ritrova a nuotare nell'acqua.</v>
      </c>
    </row>
    <row r="30040">
      <c r="A30040" s="4" t="s">
        <v>37829</v>
      </c>
      <c r="B30040" s="4" t="s">
        <v>37830</v>
      </c>
      <c r="C30040" s="5" t="str">
        <f>IFERROR(__xludf.DUMMYFUNCTION("GOOGLETRANSLATE(B30040,""en"",""it"")"),"Una donna con una camicia da allenamento rossa sta parlando dei benefici di un trainer ellittico.")</f>
        <v>Una donna con una camicia da allenamento rossa sta parlando dei benefici di un trainer ellittico.</v>
      </c>
    </row>
    <row r="30041">
      <c r="A30041" s="4" t="s">
        <v>37829</v>
      </c>
      <c r="B30041" s="4" t="s">
        <v>37831</v>
      </c>
      <c r="C30041" s="5" t="str">
        <f>IFERROR(__xludf.DUMMYFUNCTION("GOOGLETRANSLATE(B30041,""en"",""it"")"),"Un'altra donna in una canotta rosa sta dimostrando l'uso dell'ellittica.")</f>
        <v>Un'altra donna in una canotta rosa sta dimostrando l'uso dell'ellittica.</v>
      </c>
    </row>
    <row r="30042">
      <c r="A30042" s="4" t="s">
        <v>37829</v>
      </c>
      <c r="B30042" s="4" t="s">
        <v>37832</v>
      </c>
      <c r="C30042" s="5" t="str">
        <f>IFERROR(__xludf.DUMMYFUNCTION("GOOGLETRANSLATE(B30042,""en"",""it"")"),"La donna in rosso continua a spiegare l'uso dell'ellittica.")</f>
        <v>La donna in rosso continua a spiegare l'uso dell'ellittica.</v>
      </c>
    </row>
    <row r="30043">
      <c r="A30043" s="4" t="s">
        <v>37829</v>
      </c>
      <c r="B30043" s="4" t="s">
        <v>37833</v>
      </c>
      <c r="C30043" s="5" t="str">
        <f>IFERROR(__xludf.DUMMYFUNCTION("GOOGLETRANSLATE(B30043,""en"",""it"")"),"Quindi viene mostrata una dimostrazione di come le gambe devono muoversi sull'ellittica.")</f>
        <v>Quindi viene mostrata una dimostrazione di come le gambe devono muoversi sull'ellittica.</v>
      </c>
    </row>
    <row r="30044">
      <c r="A30044" s="4" t="s">
        <v>37829</v>
      </c>
      <c r="B30044" s="4" t="s">
        <v>37834</v>
      </c>
      <c r="C30044" s="5" t="str">
        <f>IFERROR(__xludf.DUMMYFUNCTION("GOOGLETRANSLATE(B30044,""en"",""it"")"),"La donna in rosso spiega ulteriormente i vantaggi dell'allenamento con un ellittico.")</f>
        <v>La donna in rosso spiega ulteriormente i vantaggi dell'allenamento con un ellittico.</v>
      </c>
    </row>
    <row r="30045">
      <c r="A30045" s="4" t="s">
        <v>37829</v>
      </c>
      <c r="B30045" s="6" t="s">
        <v>37835</v>
      </c>
      <c r="C30045" s="5" t="str">
        <f>IFERROR(__xludf.DUMMYFUNCTION("GOOGLETRANSLATE(B30045,""en"",""it"")"),"La donna sulla macchina continua a mostrare agli spettatori il modo corretto di esercitarsi sull'ellittica.")</f>
        <v>La donna sulla macchina continua a mostrare agli spettatori il modo corretto di esercitarsi sull'ellittica.</v>
      </c>
    </row>
    <row r="30046">
      <c r="A30046" s="4" t="s">
        <v>37829</v>
      </c>
      <c r="B30046" s="4" t="s">
        <v>37836</v>
      </c>
      <c r="C30046" s="5" t="str">
        <f>IFERROR(__xludf.DUMMYFUNCTION("GOOGLETRANSLATE(B30046,""en"",""it"")"),"L'host conclude quindi il tutorial.")</f>
        <v>L'host conclude quindi il tutorial.</v>
      </c>
    </row>
    <row r="30047">
      <c r="A30047" s="4" t="s">
        <v>37837</v>
      </c>
      <c r="B30047" s="4" t="s">
        <v>37838</v>
      </c>
      <c r="C30047" s="5" t="str">
        <f>IFERROR(__xludf.DUMMYFUNCTION("GOOGLETRANSLATE(B30047,""en"",""it"")"),"Diverse immagini di diversi individui sono mostrati rafting in acque bianche come introduzione per un video.")</f>
        <v>Diverse immagini di diversi individui sono mostrati rafting in acque bianche come introduzione per un video.</v>
      </c>
    </row>
    <row r="30048">
      <c r="A30048" s="4" t="s">
        <v>37837</v>
      </c>
      <c r="B30048" s="4" t="s">
        <v>37839</v>
      </c>
      <c r="C30048" s="5" t="str">
        <f>IFERROR(__xludf.DUMMYFUNCTION("GOOGLETRANSLATE(B30048,""en"",""it"")"),"Gli uomini arrivano quindi in un campo e tirano fuori le zattere prima che vengano mostrate altre immagini.")</f>
        <v>Gli uomini arrivano quindi in un campo e tirano fuori le zattere prima che vengano mostrate altre immagini.</v>
      </c>
    </row>
    <row r="30049">
      <c r="A30049" s="4" t="s">
        <v>37837</v>
      </c>
      <c r="B30049" s="6" t="s">
        <v>37840</v>
      </c>
      <c r="C30049" s="5" t="str">
        <f>IFERROR(__xludf.DUMMYFUNCTION("GOOGLETRANSLATE(B30049,""en"",""it"")"),"Gli uomini si trovano quindi sul campo con le loro pagaie e si mettono effettivamente nella zattera dimostrando il modo corretto di remare.")</f>
        <v>Gli uomini si trovano quindi sul campo con le loro pagaie e si mettono effettivamente nella zattera dimostrando il modo corretto di remare.</v>
      </c>
    </row>
    <row r="30050">
      <c r="A30050" s="4" t="s">
        <v>37837</v>
      </c>
      <c r="B30050" s="4" t="s">
        <v>37841</v>
      </c>
      <c r="C30050" s="5" t="str">
        <f>IFERROR(__xludf.DUMMYFUNCTION("GOOGLETRANSLATE(B30050,""en"",""it"")"),"Infine, sono nell'acqua e tutti iniziano a remare in tutta l'acqua.")</f>
        <v>Infine, sono nell'acqua e tutti iniziano a remare in tutta l'acqua.</v>
      </c>
    </row>
    <row r="30051">
      <c r="A30051" s="4" t="s">
        <v>37837</v>
      </c>
      <c r="B30051" s="4" t="s">
        <v>37842</v>
      </c>
      <c r="C30051" s="5" t="str">
        <f>IFERROR(__xludf.DUMMYFUNCTION("GOOGLETRANSLATE(B30051,""en"",""it"")"),"Più persone si uniscono a loro e alla fine escono dall'acqua e tornano a terra.")</f>
        <v>Più persone si uniscono a loro e alla fine escono dall'acqua e tornano a terra.</v>
      </c>
    </row>
    <row r="30052">
      <c r="A30052" s="4" t="s">
        <v>37843</v>
      </c>
      <c r="B30052" s="4" t="s">
        <v>37844</v>
      </c>
      <c r="C30052" s="5" t="str">
        <f>IFERROR(__xludf.DUMMYFUNCTION("GOOGLETRANSLATE(B30052,""en"",""it"")"),"Un tutorial video è mostrato da una famiglia che fa piatti in un campeggio.")</f>
        <v>Un tutorial video è mostrato da una famiglia che fa piatti in un campeggio.</v>
      </c>
    </row>
    <row r="30053">
      <c r="A30053" s="4" t="s">
        <v>37843</v>
      </c>
      <c r="B30053" s="4" t="s">
        <v>37845</v>
      </c>
      <c r="C30053" s="5" t="str">
        <f>IFERROR(__xludf.DUMMYFUNCTION("GOOGLETRANSLATE(B30053,""en"",""it"")"),"Tutto viene gettato in due secchi.")</f>
        <v>Tutto viene gettato in due secchi.</v>
      </c>
    </row>
    <row r="30054">
      <c r="A30054" s="4" t="s">
        <v>37843</v>
      </c>
      <c r="B30054" s="4" t="s">
        <v>37846</v>
      </c>
      <c r="C30054" s="5" t="str">
        <f>IFERROR(__xludf.DUMMYFUNCTION("GOOGLETRANSLATE(B30054,""en"",""it"")"),"Uno con sapone e l'altro per risciacquare.")</f>
        <v>Uno con sapone e l'altro per risciacquare.</v>
      </c>
    </row>
    <row r="30055">
      <c r="A30055" s="4" t="s">
        <v>37847</v>
      </c>
      <c r="B30055" s="4" t="s">
        <v>37848</v>
      </c>
      <c r="C30055" s="5" t="str">
        <f>IFERROR(__xludf.DUMMYFUNCTION("GOOGLETRANSLATE(B30055,""en"",""it"")"),"La donna lancia un coltello da lancio a bordo.")</f>
        <v>La donna lancia un coltello da lancio a bordo.</v>
      </c>
    </row>
    <row r="30056">
      <c r="A30056" s="4" t="s">
        <v>37847</v>
      </c>
      <c r="B30056" s="4" t="s">
        <v>37849</v>
      </c>
      <c r="C30056" s="5" t="str">
        <f>IFERROR(__xludf.DUMMYFUNCTION("GOOGLETRANSLATE(B30056,""en"",""it"")"),"Tre uomini lanciano coltelli.")</f>
        <v>Tre uomini lanciano coltelli.</v>
      </c>
    </row>
    <row r="30057">
      <c r="A30057" s="4" t="s">
        <v>37847</v>
      </c>
      <c r="B30057" s="4" t="s">
        <v>37850</v>
      </c>
      <c r="C30057" s="5" t="str">
        <f>IFERROR(__xludf.DUMMYFUNCTION("GOOGLETRANSLATE(B30057,""en"",""it"")"),"I coltelli hanno colpito una tavola.")</f>
        <v>I coltelli hanno colpito una tavola.</v>
      </c>
    </row>
    <row r="30058">
      <c r="A30058" s="4" t="s">
        <v>37847</v>
      </c>
      <c r="B30058" s="4" t="s">
        <v>37851</v>
      </c>
      <c r="C30058" s="5" t="str">
        <f>IFERROR(__xludf.DUMMYFUNCTION("GOOGLETRANSLATE(B30058,""en"",""it"")"),"Due uomini lanciano coltelli da lancio all'indietro.")</f>
        <v>Due uomini lanciano coltelli da lancio all'indietro.</v>
      </c>
    </row>
    <row r="30059">
      <c r="A30059" s="4" t="s">
        <v>37847</v>
      </c>
      <c r="B30059" s="4" t="s">
        <v>37852</v>
      </c>
      <c r="C30059" s="5" t="str">
        <f>IFERROR(__xludf.DUMMYFUNCTION("GOOGLETRANSLATE(B30059,""en"",""it"")"),"L'uomo lancia un coltello da lancio.")</f>
        <v>L'uomo lancia un coltello da lancio.</v>
      </c>
    </row>
    <row r="30060">
      <c r="A30060" s="4" t="s">
        <v>37847</v>
      </c>
      <c r="B30060" s="4" t="s">
        <v>37853</v>
      </c>
      <c r="C30060" s="5" t="str">
        <f>IFERROR(__xludf.DUMMYFUNCTION("GOOGLETRANSLATE(B30060,""en"",""it"")"),"La donna lancia un coltello da lancio.")</f>
        <v>La donna lancia un coltello da lancio.</v>
      </c>
    </row>
    <row r="30061">
      <c r="A30061" s="4" t="s">
        <v>37847</v>
      </c>
      <c r="B30061" s="4" t="s">
        <v>37854</v>
      </c>
      <c r="C30061" s="5" t="str">
        <f>IFERROR(__xludf.DUMMYFUNCTION("GOOGLETRANSLATE(B30061,""en"",""it"")"),"Un uomo e una donna lanciano coltelli.")</f>
        <v>Un uomo e una donna lanciano coltelli.</v>
      </c>
    </row>
    <row r="30062">
      <c r="A30062" s="4" t="s">
        <v>37847</v>
      </c>
      <c r="B30062" s="4" t="s">
        <v>37855</v>
      </c>
      <c r="C30062" s="5" t="str">
        <f>IFERROR(__xludf.DUMMYFUNCTION("GOOGLETRANSLATE(B30062,""en"",""it"")"),"L'uomo getta il coltello mentre si sdraia.")</f>
        <v>L'uomo getta il coltello mentre si sdraia.</v>
      </c>
    </row>
    <row r="30063">
      <c r="A30063" s="4" t="s">
        <v>37847</v>
      </c>
      <c r="B30063" s="4" t="s">
        <v>37856</v>
      </c>
      <c r="C30063" s="5" t="str">
        <f>IFERROR(__xludf.DUMMYFUNCTION("GOOGLETRANSLATE(B30063,""en"",""it"")"),"L'uomo dimostra tecniche agli studenti.")</f>
        <v>L'uomo dimostra tecniche agli studenti.</v>
      </c>
    </row>
    <row r="30064">
      <c r="A30064" s="4" t="s">
        <v>37847</v>
      </c>
      <c r="B30064" s="4" t="s">
        <v>37857</v>
      </c>
      <c r="C30064" s="5" t="str">
        <f>IFERROR(__xludf.DUMMYFUNCTION("GOOGLETRANSLATE(B30064,""en"",""it"")"),"I membri di Dojo praticano tecniche.")</f>
        <v>I membri di Dojo praticano tecniche.</v>
      </c>
    </row>
    <row r="30065">
      <c r="A30065" s="4" t="s">
        <v>37847</v>
      </c>
      <c r="B30065" s="4" t="s">
        <v>37858</v>
      </c>
      <c r="C30065" s="5" t="str">
        <f>IFERROR(__xludf.DUMMYFUNCTION("GOOGLETRANSLATE(B30065,""en"",""it"")"),"I membri di Dojo si inchinano all'uomo.")</f>
        <v>I membri di Dojo si inchinano all'uomo.</v>
      </c>
    </row>
    <row r="30066">
      <c r="A30066" s="4" t="s">
        <v>37859</v>
      </c>
      <c r="B30066" s="4" t="s">
        <v>37860</v>
      </c>
      <c r="C30066" s="5" t="str">
        <f>IFERROR(__xludf.DUMMYFUNCTION("GOOGLETRANSLATE(B30066,""en"",""it"")"),"Un bambino cammina con un modello di hopscotch.")</f>
        <v>Un bambino cammina con un modello di hopscotch.</v>
      </c>
    </row>
    <row r="30067">
      <c r="A30067" s="4" t="s">
        <v>37859</v>
      </c>
      <c r="B30067" s="4" t="s">
        <v>37861</v>
      </c>
      <c r="C30067" s="5" t="str">
        <f>IFERROR(__xludf.DUMMYFUNCTION("GOOGLETRANSLATE(B30067,""en"",""it"")"),"Il bambino mette i palmi delle mani sul modello di hopscotch.")</f>
        <v>Il bambino mette i palmi delle mani sul modello di hopscotch.</v>
      </c>
    </row>
    <row r="30068">
      <c r="A30068" s="4" t="s">
        <v>37859</v>
      </c>
      <c r="B30068" s="4" t="s">
        <v>37862</v>
      </c>
      <c r="C30068" s="5" t="str">
        <f>IFERROR(__xludf.DUMMYFUNCTION("GOOGLETRANSLATE(B30068,""en"",""it"")"),"Il bambino salta sul modello di hopscotch.")</f>
        <v>Il bambino salta sul modello di hopscotch.</v>
      </c>
    </row>
    <row r="30069">
      <c r="A30069" s="4" t="s">
        <v>37863</v>
      </c>
      <c r="B30069" s="4" t="s">
        <v>37864</v>
      </c>
      <c r="C30069" s="5" t="str">
        <f>IFERROR(__xludf.DUMMYFUNCTION("GOOGLETRANSLATE(B30069,""en"",""it"")"),"Una giovane donna è in piedi dietro un bancone con una padella nera.")</f>
        <v>Una giovane donna è in piedi dietro un bancone con una padella nera.</v>
      </c>
    </row>
    <row r="30070">
      <c r="A30070" s="4" t="s">
        <v>37863</v>
      </c>
      <c r="B30070" s="6" t="s">
        <v>37865</v>
      </c>
      <c r="C30070" s="5" t="str">
        <f>IFERROR(__xludf.DUMMYFUNCTION("GOOGLETRANSLATE(B30070,""en"",""it"")"),"Nelle sue mani, tiene in mano due cipolle, quindi il video la mostra rapidamente con un pomodoro, Rutabaga e una borsa di cheddar maturo della città della Cattedrale.")</f>
        <v>Nelle sue mani, tiene in mano due cipolle, quindi il video la mostra rapidamente con un pomodoro, Rutabaga e una borsa di cheddar maturo della città della Cattedrale.</v>
      </c>
    </row>
    <row r="30071">
      <c r="A30071" s="4" t="s">
        <v>37863</v>
      </c>
      <c r="B30071" s="4" t="s">
        <v>37866</v>
      </c>
      <c r="C30071" s="5" t="str">
        <f>IFERROR(__xludf.DUMMYFUNCTION("GOOGLETRANSLATE(B30071,""en"",""it"")"),"Successivamente, inizia a tagliare ciascuno degli ingredienti e aggiunge burro a una padella.")</f>
        <v>Successivamente, inizia a tagliare ciascuno degli ingredienti e aggiunge burro a una padella.</v>
      </c>
    </row>
    <row r="30072">
      <c r="A30072" s="4" t="s">
        <v>37863</v>
      </c>
      <c r="B30072" s="4" t="s">
        <v>37867</v>
      </c>
      <c r="C30072" s="5" t="str">
        <f>IFERROR(__xludf.DUMMYFUNCTION("GOOGLETRANSLATE(B30072,""en"",""it"")"),"Dopo che è stato fritto per cinque minuti, i funghi vanno nella pentola e tre uova sono rotti.")</f>
        <v>Dopo che è stato fritto per cinque minuti, i funghi vanno nella pentola e tre uova sono rotti.</v>
      </c>
    </row>
    <row r="30073">
      <c r="A30073" s="4" t="s">
        <v>37863</v>
      </c>
      <c r="B30073" s="6" t="s">
        <v>37868</v>
      </c>
      <c r="C30073" s="5" t="str">
        <f>IFERROR(__xludf.DUMMYFUNCTION("GOOGLETRANSLATE(B30073,""en"",""it"")"),"Il resto del contenuto viene aggiunto in una tazza di misurazione, quindi alla fine tutto il contenuto viene versato in una padella.")</f>
        <v>Il resto del contenuto viene aggiunto in una tazza di misurazione, quindi alla fine tutto il contenuto viene versato in una padella.</v>
      </c>
    </row>
    <row r="30074">
      <c r="A30074" s="4" t="s">
        <v>37863</v>
      </c>
      <c r="B30074" s="4" t="s">
        <v>37869</v>
      </c>
      <c r="C30074" s="5" t="str">
        <f>IFERROR(__xludf.DUMMYFUNCTION("GOOGLETRANSLATE(B30074,""en"",""it"")"),"Dopo qualche tempo, una frittata viene creata e messa su un piatto insieme a due fette di toast.")</f>
        <v>Dopo qualche tempo, una frittata viene creata e messa su un piatto insieme a due fette di toast.</v>
      </c>
    </row>
    <row r="30075">
      <c r="A30075" s="4" t="s">
        <v>37870</v>
      </c>
      <c r="B30075" s="4" t="s">
        <v>37871</v>
      </c>
      <c r="C30075" s="5" t="str">
        <f>IFERROR(__xludf.DUMMYFUNCTION("GOOGLETRANSLATE(B30075,""en"",""it"")"),"Una telecamera si allontana da un cartello e conduce a persone che spingono materiale intorno a un pavimento.")</f>
        <v>Una telecamera si allontana da un cartello e conduce a persone che spingono materiale intorno a un pavimento.</v>
      </c>
    </row>
    <row r="30076">
      <c r="A30076" s="4" t="s">
        <v>37870</v>
      </c>
      <c r="B30076" s="4" t="s">
        <v>37872</v>
      </c>
      <c r="C30076" s="5" t="str">
        <f>IFERROR(__xludf.DUMMYFUNCTION("GOOGLETRANSLATE(B30076,""en"",""it"")"),"Una curva si piega attorno a un pavimento e spinge il materiale intorno alla stanza.")</f>
        <v>Una curva si piega attorno a un pavimento e spinge il materiale intorno alla stanza.</v>
      </c>
    </row>
    <row r="30077">
      <c r="A30077" s="4" t="s">
        <v>37870</v>
      </c>
      <c r="B30077" s="4" t="s">
        <v>37873</v>
      </c>
      <c r="C30077" s="5" t="str">
        <f>IFERROR(__xludf.DUMMYFUNCTION("GOOGLETRANSLATE(B30077,""en"",""it"")"),"Alla fine la fotocamera si muove attorno al pavimento finito.")</f>
        <v>Alla fine la fotocamera si muove attorno al pavimento finito.</v>
      </c>
    </row>
    <row r="30078">
      <c r="A30078" s="4" t="s">
        <v>37874</v>
      </c>
      <c r="B30078" s="4" t="s">
        <v>37875</v>
      </c>
      <c r="C30078" s="5" t="str">
        <f>IFERROR(__xludf.DUMMYFUNCTION("GOOGLETRANSLATE(B30078,""en"",""it"")"),"Le donne del Team USA sono alle Olimpiadi.")</f>
        <v>Le donne del Team USA sono alle Olimpiadi.</v>
      </c>
    </row>
    <row r="30079">
      <c r="A30079" s="4" t="s">
        <v>37874</v>
      </c>
      <c r="B30079" s="4" t="s">
        <v>37876</v>
      </c>
      <c r="C30079" s="5" t="str">
        <f>IFERROR(__xludf.DUMMYFUNCTION("GOOGLETRANSLATE(B30079,""en"",""it"")"),"Tracy, Natalie, Nicole, Allison e Debbie sono un gruppo fotografato in più scene.")</f>
        <v>Tracy, Natalie, Nicole, Allison e Debbie sono un gruppo fotografato in più scene.</v>
      </c>
    </row>
    <row r="30080">
      <c r="A30080" s="4" t="s">
        <v>37874</v>
      </c>
      <c r="B30080" s="4" t="s">
        <v>37877</v>
      </c>
      <c r="C30080" s="5" t="str">
        <f>IFERROR(__xludf.DUMMYFUNCTION("GOOGLETRANSLATE(B30080,""en"",""it"")"),"Come segna il Team USA, i compagni di squadra si abbracciano.")</f>
        <v>Come segna il Team USA, i compagni di squadra si abbracciano.</v>
      </c>
    </row>
    <row r="30081">
      <c r="A30081" s="4" t="s">
        <v>37878</v>
      </c>
      <c r="B30081" s="4" t="s">
        <v>37879</v>
      </c>
      <c r="C30081" s="5" t="str">
        <f>IFERROR(__xludf.DUMMYFUNCTION("GOOGLETRANSLATE(B30081,""en"",""it"")"),"Le persone cavalcano cammelli nel deserto.")</f>
        <v>Le persone cavalcano cammelli nel deserto.</v>
      </c>
    </row>
    <row r="30082">
      <c r="A30082" s="4" t="s">
        <v>37878</v>
      </c>
      <c r="B30082" s="4" t="s">
        <v>37880</v>
      </c>
      <c r="C30082" s="5" t="str">
        <f>IFERROR(__xludf.DUMMYFUNCTION("GOOGLETRANSLATE(B30082,""en"",""it"")"),"Le persone camminano accanto ai cammelli.")</f>
        <v>Le persone camminano accanto ai cammelli.</v>
      </c>
    </row>
    <row r="30083">
      <c r="A30083" s="4" t="s">
        <v>37878</v>
      </c>
      <c r="B30083" s="4" t="s">
        <v>37881</v>
      </c>
      <c r="C30083" s="5" t="str">
        <f>IFERROR(__xludf.DUMMYFUNCTION("GOOGLETRANSLATE(B30083,""en"",""it"")"),"Una signora guarda in basso e sul lato del suo cammello.")</f>
        <v>Una signora guarda in basso e sul lato del suo cammello.</v>
      </c>
    </row>
    <row r="30084">
      <c r="A30084" s="4" t="s">
        <v>37882</v>
      </c>
      <c r="B30084" s="4" t="s">
        <v>37883</v>
      </c>
      <c r="C30084" s="5" t="str">
        <f>IFERROR(__xludf.DUMMYFUNCTION("GOOGLETRANSLATE(B30084,""en"",""it"")"),"Una grande folla siede in un teatro che applaude e guardando.")</f>
        <v>Una grande folla siede in un teatro che applaude e guardando.</v>
      </c>
    </row>
    <row r="30085">
      <c r="A30085" s="4" t="s">
        <v>37882</v>
      </c>
      <c r="B30085" s="4" t="s">
        <v>37884</v>
      </c>
      <c r="C30085" s="5" t="str">
        <f>IFERROR(__xludf.DUMMYFUNCTION("GOOGLETRANSLATE(B30085,""en"",""it"")"),"Due donne sono viste sul palco ballare.")</f>
        <v>Due donne sono viste sul palco ballare.</v>
      </c>
    </row>
    <row r="30086">
      <c r="A30086" s="4" t="s">
        <v>37882</v>
      </c>
      <c r="B30086" s="4" t="s">
        <v>37885</v>
      </c>
      <c r="C30086" s="5" t="str">
        <f>IFERROR(__xludf.DUMMYFUNCTION("GOOGLETRANSLATE(B30086,""en"",""it"")"),"Una delle donne mostra il suo talento bilancia le spade sulle sue diverse parti del suo corpo.")</f>
        <v>Una delle donne mostra il suo talento bilancia le spade sulle sue diverse parti del suo corpo.</v>
      </c>
    </row>
    <row r="30087">
      <c r="A30087" s="4" t="s">
        <v>37886</v>
      </c>
      <c r="B30087" s="4" t="s">
        <v>37887</v>
      </c>
      <c r="C30087" s="5" t="str">
        <f>IFERROR(__xludf.DUMMYFUNCTION("GOOGLETRANSLATE(B30087,""en"",""it"")"),"Vengono mostrati diversi colpi di spiagge e conducono in donne in bikini che giocano a pallavolo.")</f>
        <v>Vengono mostrati diversi colpi di spiagge e conducono in donne in bikini che giocano a pallavolo.</v>
      </c>
    </row>
    <row r="30088">
      <c r="A30088" s="4" t="s">
        <v>37886</v>
      </c>
      <c r="B30088" s="4" t="s">
        <v>37888</v>
      </c>
      <c r="C30088" s="5" t="str">
        <f>IFERROR(__xludf.DUMMYFUNCTION("GOOGLETRANSLATE(B30088,""en"",""it"")"),"Le ragazze continuano a giocare, quindi si siedono sui lati e toccano le gambe reciproche.")</f>
        <v>Le ragazze continuano a giocare, quindi si siedono sui lati e toccano le gambe reciproche.</v>
      </c>
    </row>
    <row r="30089">
      <c r="A30089" s="4" t="s">
        <v>37886</v>
      </c>
      <c r="B30089" s="6" t="s">
        <v>37889</v>
      </c>
      <c r="C30089" s="5" t="str">
        <f>IFERROR(__xludf.DUMMYFUNCTION("GOOGLETRANSLATE(B30089,""en"",""it"")"),"Quindi mettono la lozione su tutte le gambe e iniziano a radersi le gambe e tenendo la palla ridendo alla fine.")</f>
        <v>Quindi mettono la lozione su tutte le gambe e iniziano a radersi le gambe e tenendo la palla ridendo alla fine.</v>
      </c>
    </row>
    <row r="30090">
      <c r="A30090" s="4" t="s">
        <v>37890</v>
      </c>
      <c r="B30090" s="4" t="s">
        <v>37891</v>
      </c>
      <c r="C30090" s="5" t="str">
        <f>IFERROR(__xludf.DUMMYFUNCTION("GOOGLETRANSLATE(B30090,""en"",""it"")"),"Un uomo cammina su palafitte in un parco.")</f>
        <v>Un uomo cammina su palafitte in un parco.</v>
      </c>
    </row>
    <row r="30091">
      <c r="A30091" s="4" t="s">
        <v>37890</v>
      </c>
      <c r="B30091" s="4" t="s">
        <v>37892</v>
      </c>
      <c r="C30091" s="5" t="str">
        <f>IFERROR(__xludf.DUMMYFUNCTION("GOOGLETRANSLATE(B30091,""en"",""it"")"),"Si gira alla sua destra e le passeggiate passano una fila di panchine.")</f>
        <v>Si gira alla sua destra e le passeggiate passano una fila di panchine.</v>
      </c>
    </row>
    <row r="30092">
      <c r="A30092" s="4" t="s">
        <v>37890</v>
      </c>
      <c r="B30092" s="4" t="s">
        <v>37893</v>
      </c>
      <c r="C30092" s="5" t="str">
        <f>IFERROR(__xludf.DUMMYFUNCTION("GOOGLETRANSLATE(B30092,""en"",""it"")"),"L'uomo accelera quindi ritorna alla sua velocità iniziale.")</f>
        <v>L'uomo accelera quindi ritorna alla sua velocità iniziale.</v>
      </c>
    </row>
    <row r="30093">
      <c r="A30093" s="4" t="s">
        <v>37890</v>
      </c>
      <c r="B30093" s="4" t="s">
        <v>37894</v>
      </c>
      <c r="C30093" s="5" t="str">
        <f>IFERROR(__xludf.DUMMYFUNCTION("GOOGLETRANSLATE(B30093,""en"",""it"")"),"L'uomo raggiunge il cartello del parco e si ferma.")</f>
        <v>L'uomo raggiunge il cartello del parco e si ferma.</v>
      </c>
    </row>
    <row r="30094">
      <c r="A30094" s="4" t="s">
        <v>37895</v>
      </c>
      <c r="B30094" s="6" t="s">
        <v>37896</v>
      </c>
      <c r="C30094" s="5" t="str">
        <f>IFERROR(__xludf.DUMMYFUNCTION("GOOGLETRANSLATE(B30094,""en"",""it"")"),"Un uomo con i baffi spessi è vestito con abiti invernali è seduto su un secchio bianco capovolto su un corpo d'acqua congelato mentre beve una birra da una lattina blu e parla.")</f>
        <v>Un uomo con i baffi spessi è vestito con abiti invernali è seduto su un secchio bianco capovolto su un corpo d'acqua congelato mentre beve una birra da una lattina blu e parla.</v>
      </c>
    </row>
    <row r="30095">
      <c r="A30095" s="4" t="s">
        <v>37895</v>
      </c>
      <c r="B30095" s="6" t="s">
        <v>37897</v>
      </c>
      <c r="C30095" s="5" t="str">
        <f>IFERROR(__xludf.DUMMYFUNCTION("GOOGLETRANSLATE(B30095,""en"",""it"")"),"L'uomo quindi raccoglie la sua canna da pesca e tira il filo di pesca che si trova nella buca davanti a lui, tiene il filo, poi lo rimette nel buco mentre sta ancora parlando.")</f>
        <v>L'uomo quindi raccoglie la sua canna da pesca e tira il filo di pesca che si trova nella buca davanti a lui, tiene il filo, poi lo rimette nel buco mentre sta ancora parlando.</v>
      </c>
    </row>
    <row r="30096">
      <c r="A30096" s="4" t="s">
        <v>37895</v>
      </c>
      <c r="B30096" s="6" t="s">
        <v>37898</v>
      </c>
      <c r="C30096" s="5" t="str">
        <f>IFERROR(__xludf.DUMMYFUNCTION("GOOGLETRANSLATE(B30096,""en"",""it"")"),"L'uomo si allontana quindi dal suo secchio e mentre era in ginocchio, mette le dita dentro e fuori dalla buca e continua a parlare.")</f>
        <v>L'uomo si allontana quindi dal suo secchio e mentre era in ginocchio, mette le dita dentro e fuori dalla buca e continua a parlare.</v>
      </c>
    </row>
    <row r="30097">
      <c r="A30097" s="4" t="s">
        <v>37899</v>
      </c>
      <c r="B30097" s="4" t="s">
        <v>37900</v>
      </c>
      <c r="C30097" s="5" t="str">
        <f>IFERROR(__xludf.DUMMYFUNCTION("GOOGLETRANSLATE(B30097,""en"",""it"")"),"Un uomo è visto seduto in una trafficata città di città suonare una fisarmonica mentre altri guardano.")</f>
        <v>Un uomo è visto seduto in una trafficata città di città suonare una fisarmonica mentre altri guardano.</v>
      </c>
    </row>
    <row r="30098">
      <c r="A30098" s="4" t="s">
        <v>37899</v>
      </c>
      <c r="B30098" s="4" t="s">
        <v>37901</v>
      </c>
      <c r="C30098" s="5" t="str">
        <f>IFERROR(__xludf.DUMMYFUNCTION("GOOGLETRANSLATE(B30098,""en"",""it"")"),"L'uomo continua a suonare mentre le persone camminano e notano.")</f>
        <v>L'uomo continua a suonare mentre le persone camminano e notano.</v>
      </c>
    </row>
    <row r="30099">
      <c r="A30099" s="4" t="s">
        <v>37902</v>
      </c>
      <c r="B30099" s="4" t="s">
        <v>37903</v>
      </c>
      <c r="C30099" s="5" t="str">
        <f>IFERROR(__xludf.DUMMYFUNCTION("GOOGLETRANSLATE(B30099,""en"",""it"")"),"Un uomo è di fronte a uno specchio.")</f>
        <v>Un uomo è di fronte a uno specchio.</v>
      </c>
    </row>
    <row r="30100">
      <c r="A30100" s="4" t="s">
        <v>37902</v>
      </c>
      <c r="B30100" s="4" t="s">
        <v>37904</v>
      </c>
      <c r="C30100" s="5" t="str">
        <f>IFERROR(__xludf.DUMMYFUNCTION("GOOGLETRANSLATE(B30100,""en"",""it"")"),"Si sta coprendo il viso in una sostanza liquida bianca.")</f>
        <v>Si sta coprendo il viso in una sostanza liquida bianca.</v>
      </c>
    </row>
    <row r="30101">
      <c r="A30101" s="4" t="s">
        <v>37902</v>
      </c>
      <c r="B30101" s="4" t="s">
        <v>37905</v>
      </c>
      <c r="C30101" s="5" t="str">
        <f>IFERROR(__xludf.DUMMYFUNCTION("GOOGLETRANSLATE(B30101,""en"",""it"")"),"Quindi scompare per un po 'e ritorna con una faccia bagnata ma pulita.")</f>
        <v>Quindi scompare per un po 'e ritorna con una faccia bagnata ma pulita.</v>
      </c>
    </row>
    <row r="30102">
      <c r="A30102" s="4" t="s">
        <v>37906</v>
      </c>
      <c r="B30102" s="4" t="s">
        <v>16436</v>
      </c>
      <c r="C30102" s="5" t="str">
        <f>IFERROR(__xludf.DUMMYFUNCTION("GOOGLETRANSLATE(B30102,""en"",""it"")"),"Una donna si inginocchia su un tappetino blu.")</f>
        <v>Una donna si inginocchia su un tappetino blu.</v>
      </c>
    </row>
    <row r="30103">
      <c r="A30103" s="4" t="s">
        <v>37906</v>
      </c>
      <c r="B30103" s="4" t="s">
        <v>37907</v>
      </c>
      <c r="C30103" s="5" t="str">
        <f>IFERROR(__xludf.DUMMYFUNCTION("GOOGLETRANSLATE(B30103,""en"",""it"")"),"Afferra un po 'bar e se lo tiene accanto a lei.")</f>
        <v>Afferra un po 'bar e se lo tiene accanto a lei.</v>
      </c>
    </row>
    <row r="30104">
      <c r="A30104" s="4" t="s">
        <v>37906</v>
      </c>
      <c r="B30104" s="4" t="s">
        <v>37908</v>
      </c>
      <c r="C30104" s="5" t="str">
        <f>IFERROR(__xludf.DUMMYFUNCTION("GOOGLETRANSLATE(B30104,""en"",""it"")"),"Mette giù il bar e raccoglie una campana del bollitore.")</f>
        <v>Mette giù il bar e raccoglie una campana del bollitore.</v>
      </c>
    </row>
    <row r="30105">
      <c r="A30105" s="4" t="s">
        <v>37906</v>
      </c>
      <c r="B30105" s="4" t="s">
        <v>37909</v>
      </c>
      <c r="C30105" s="5" t="str">
        <f>IFERROR(__xludf.DUMMYFUNCTION("GOOGLETRANSLATE(B30105,""en"",""it"")"),"Solleva la campana del bollitore e la mette giù.")</f>
        <v>Solleva la campana del bollitore e la mette giù.</v>
      </c>
    </row>
    <row r="30106">
      <c r="A30106" s="4" t="s">
        <v>37906</v>
      </c>
      <c r="B30106" s="4" t="s">
        <v>37910</v>
      </c>
      <c r="C30106" s="5" t="str">
        <f>IFERROR(__xludf.DUMMYFUNCTION("GOOGLETRANSLATE(B30106,""en"",""it"")"),"Quindi lo raccoglie di nuovo e lo solleva su e giù più volte davanti a lei.")</f>
        <v>Quindi lo raccoglie di nuovo e lo solleva su e giù più volte davanti a lei.</v>
      </c>
    </row>
    <row r="30107">
      <c r="A30107" s="4" t="s">
        <v>37911</v>
      </c>
      <c r="B30107" s="4" t="s">
        <v>37912</v>
      </c>
      <c r="C30107" s="5" t="str">
        <f>IFERROR(__xludf.DUMMYFUNCTION("GOOGLETRANSLATE(B30107,""en"",""it"")"),"Una donna si presenta alla telecamera e inizia a parlare dell'argomento del video, Pasta.")</f>
        <v>Una donna si presenta alla telecamera e inizia a parlare dell'argomento del video, Pasta.</v>
      </c>
    </row>
    <row r="30108">
      <c r="A30108" s="4" t="s">
        <v>37911</v>
      </c>
      <c r="B30108" s="4" t="s">
        <v>37913</v>
      </c>
      <c r="C30108" s="5" t="str">
        <f>IFERROR(__xludf.DUMMYFUNCTION("GOOGLETRANSLATE(B30108,""en"",""it"")"),"La fotocamera mostra gli ingredienti che vanno in pasta per cucinare.")</f>
        <v>La fotocamera mostra gli ingredienti che vanno in pasta per cucinare.</v>
      </c>
    </row>
    <row r="30109">
      <c r="A30109" s="4" t="s">
        <v>37911</v>
      </c>
      <c r="B30109" s="4" t="s">
        <v>37914</v>
      </c>
      <c r="C30109" s="5" t="str">
        <f>IFERROR(__xludf.DUMMYFUNCTION("GOOGLETRANSLATE(B30109,""en"",""it"")"),"La donna lascia cadere sale in una pentola d'acqua e accende i bruciatori.")</f>
        <v>La donna lascia cadere sale in una pentola d'acqua e accende i bruciatori.</v>
      </c>
    </row>
    <row r="30110">
      <c r="A30110" s="4" t="s">
        <v>37911</v>
      </c>
      <c r="B30110" s="4" t="s">
        <v>37915</v>
      </c>
      <c r="C30110" s="5" t="str">
        <f>IFERROR(__xludf.DUMMYFUNCTION("GOOGLETRANSLATE(B30110,""en"",""it"")"),"Una volta, bollendo, aggiunge la pasta nella pentola.")</f>
        <v>Una volta, bollendo, aggiunge la pasta nella pentola.</v>
      </c>
    </row>
    <row r="30111">
      <c r="A30111" s="4" t="s">
        <v>37911</v>
      </c>
      <c r="B30111" s="4" t="s">
        <v>37916</v>
      </c>
      <c r="C30111" s="5" t="str">
        <f>IFERROR(__xludf.DUMMYFUNCTION("GOOGLETRANSLATE(B30111,""en"",""it"")"),"Muove la pasta e poi svuota la pentola in uno scolapasta una volta che la pasta è al dente.")</f>
        <v>Muove la pasta e poi svuota la pentola in uno scolapasta una volta che la pasta è al dente.</v>
      </c>
    </row>
    <row r="30112">
      <c r="A30112" s="4" t="s">
        <v>37911</v>
      </c>
      <c r="B30112" s="4" t="s">
        <v>37917</v>
      </c>
      <c r="C30112" s="5" t="str">
        <f>IFERROR(__xludf.DUMMYFUNCTION("GOOGLETRANSLATE(B30112,""en"",""it"")"),"Restituisce la pasta alla pentola e aggiunge olio d'oliva.")</f>
        <v>Restituisce la pasta alla pentola e aggiunge olio d'oliva.</v>
      </c>
    </row>
    <row r="30113">
      <c r="A30113" s="4" t="s">
        <v>37918</v>
      </c>
      <c r="B30113" s="6" t="s">
        <v>37919</v>
      </c>
      <c r="C30113" s="5" t="str">
        <f>IFERROR(__xludf.DUMMYFUNCTION("GOOGLETRANSLATE(B30113,""en"",""it"")"),"Una donna e una giornalista di notizie sportive maschili, riferiscono, durante un telegiornale dal vivo, da dietro un tavolo da telegiornale, su una storia sui pericoli del Dodgeball nelle scuole e se una palla da schifo fa male più di un pallone da calci"&amp;"o quando colpito con uno o il Altro.")</f>
        <v>Una donna e una giornalista di notizie sportive maschili, riferiscono, durante un telegiornale dal vivo, da dietro un tavolo da telegiornale, su una storia sui pericoli del Dodgeball nelle scuole e se una palla da schifo fa male più di un pallone da calcio quando colpito con uno o il Altro.</v>
      </c>
    </row>
    <row r="30114">
      <c r="A30114" s="4" t="s">
        <v>37918</v>
      </c>
      <c r="B30114" s="4" t="s">
        <v>37920</v>
      </c>
      <c r="C30114" s="5" t="str">
        <f>IFERROR(__xludf.DUMMYFUNCTION("GOOGLETRANSLATE(B30114,""en"",""it"")"),"Due giornalisti si parlano da dietro un tavolo da telegiornale.")</f>
        <v>Due giornalisti si parlano da dietro un tavolo da telegiornale.</v>
      </c>
    </row>
    <row r="30115">
      <c r="A30115" s="4" t="s">
        <v>37918</v>
      </c>
      <c r="B30115" s="6" t="s">
        <v>37921</v>
      </c>
      <c r="C30115" s="5" t="str">
        <f>IFERROR(__xludf.DUMMYFUNCTION("GOOGLETRANSLATE(B30115,""en"",""it"")"),"La clip cambia per visualizzare una serie di video clip di diversi bambini che giocano a Dodgeball in palestra e vengono colpiti dal Dodgeball.")</f>
        <v>La clip cambia per visualizzare una serie di video clip di diversi bambini che giocano a Dodgeball in palestra e vengono colpiti dal Dodgeball.</v>
      </c>
    </row>
    <row r="30116">
      <c r="A30116" s="4" t="s">
        <v>37918</v>
      </c>
      <c r="B30116" s="6" t="s">
        <v>37922</v>
      </c>
      <c r="C30116" s="5" t="str">
        <f>IFERROR(__xludf.DUMMYFUNCTION("GOOGLETRANSLATE(B30116,""en"",""it"")"),"La reporter della donna porta quindi un gruppo di uomini in un'area chiusa e asfaltata, all'aperto e procede a lanciare sia un pallone da calcio che un pallone da calcio, a quel punto molti degli uomini mostrano che sono stati colpiti e feriti da entrambe"&amp;" le palle .")</f>
        <v>La reporter della donna porta quindi un gruppo di uomini in un'area chiusa e asfaltata, all'aperto e procede a lanciare sia un pallone da calcio che un pallone da calcio, a quel punto molti degli uomini mostrano che sono stati colpiti e feriti da entrambe le palle .</v>
      </c>
    </row>
    <row r="30117">
      <c r="A30117" s="4" t="s">
        <v>37923</v>
      </c>
      <c r="B30117" s="6" t="s">
        <v>37924</v>
      </c>
      <c r="C30117" s="5" t="str">
        <f>IFERROR(__xludf.DUMMYFUNCTION("GOOGLETRANSLATE(B30117,""en"",""it"")"),"Un folto gruppo di donne è visto in piedi su un palco colpire la batteria mentre un altro gruppo di uomini suona dietro di loro.")</f>
        <v>Un folto gruppo di donne è visto in piedi su un palco colpire la batteria mentre un altro gruppo di uomini suona dietro di loro.</v>
      </c>
    </row>
    <row r="30118">
      <c r="A30118" s="4" t="s">
        <v>37923</v>
      </c>
      <c r="B30118" s="6" t="s">
        <v>37925</v>
      </c>
      <c r="C30118" s="5" t="str">
        <f>IFERROR(__xludf.DUMMYFUNCTION("GOOGLETRANSLATE(B30118,""en"",""it"")"),"Il gruppo suona continuamente di fronte a una grande folla e termina con crediti che rotolano lungo lo schermo.")</f>
        <v>Il gruppo suona continuamente di fronte a una grande folla e termina con crediti che rotolano lungo lo schermo.</v>
      </c>
    </row>
    <row r="30119">
      <c r="A30119" s="4" t="s">
        <v>37926</v>
      </c>
      <c r="B30119" s="4" t="s">
        <v>37927</v>
      </c>
      <c r="C30119" s="5" t="str">
        <f>IFERROR(__xludf.DUMMYFUNCTION("GOOGLETRANSLATE(B30119,""en"",""it"")"),"Una giovane donna viene mostrata che si esercita su un'ellittica nera.")</f>
        <v>Una giovane donna viene mostrata che si esercita su un'ellittica nera.</v>
      </c>
    </row>
    <row r="30120">
      <c r="A30120" s="4" t="s">
        <v>37926</v>
      </c>
      <c r="B30120" s="4" t="s">
        <v>37928</v>
      </c>
      <c r="C30120" s="5" t="str">
        <f>IFERROR(__xludf.DUMMYFUNCTION("GOOGLETRANSLATE(B30120,""en"",""it"")"),"Continua a fare esercizio e viene mostrato un primo piano della macchina.")</f>
        <v>Continua a fare esercizio e viene mostrato un primo piano della macchina.</v>
      </c>
    </row>
    <row r="30121">
      <c r="A30121" s="4" t="s">
        <v>37926</v>
      </c>
      <c r="B30121" s="6" t="s">
        <v>37929</v>
      </c>
      <c r="C30121" s="5" t="str">
        <f>IFERROR(__xludf.DUMMYFUNCTION("GOOGLETRANSLATE(B30121,""en"",""it"")"),"Alla fine, prende un sorso di acqua mentre finisce il suo allenamento vivace e poi la palestra di Golds appare al centro dello schermo.")</f>
        <v>Alla fine, prende un sorso di acqua mentre finisce il suo allenamento vivace e poi la palestra di Golds appare al centro dello schermo.</v>
      </c>
    </row>
    <row r="30122">
      <c r="A30122" s="4" t="s">
        <v>37930</v>
      </c>
      <c r="B30122" s="4" t="s">
        <v>37931</v>
      </c>
      <c r="C30122" s="5" t="str">
        <f>IFERROR(__xludf.DUMMYFUNCTION("GOOGLETRANSLATE(B30122,""en"",""it"")"),"Viene visto un uomo parlare alla telecamera e conduce in lui con crema da barba.")</f>
        <v>Viene visto un uomo parlare alla telecamera e conduce in lui con crema da barba.</v>
      </c>
    </row>
    <row r="30123">
      <c r="A30123" s="4" t="s">
        <v>37930</v>
      </c>
      <c r="B30123" s="4" t="s">
        <v>37932</v>
      </c>
      <c r="C30123" s="5" t="str">
        <f>IFERROR(__xludf.DUMMYFUNCTION("GOOGLETRANSLATE(B30123,""en"",""it"")"),"Quindi tiene un rasoio e inizia a radersi il viso mentre vengono mostrati vecchi colpi di film.")</f>
        <v>Quindi tiene un rasoio e inizia a radersi il viso mentre vengono mostrati vecchi colpi di film.</v>
      </c>
    </row>
    <row r="30124">
      <c r="A30124" s="4" t="s">
        <v>37930</v>
      </c>
      <c r="B30124" s="4" t="s">
        <v>37933</v>
      </c>
      <c r="C30124" s="5" t="str">
        <f>IFERROR(__xludf.DUMMYFUNCTION("GOOGLETRANSLATE(B30124,""en"",""it"")"),"Gli uomini continuano a radersi e finiscono con il testo sullo schermo.")</f>
        <v>Gli uomini continuano a radersi e finiscono con il testo sullo schermo.</v>
      </c>
    </row>
    <row r="30125">
      <c r="A30125" s="4" t="s">
        <v>37934</v>
      </c>
      <c r="B30125" s="6" t="s">
        <v>37935</v>
      </c>
      <c r="C30125" s="5" t="str">
        <f>IFERROR(__xludf.DUMMYFUNCTION("GOOGLETRANSLATE(B30125,""en"",""it"")"),"Una paziente seduta su una sedia da ospedale in una stanza d'ospedale si fa le unghie da un manicure che indossa una camicetta verde.")</f>
        <v>Una paziente seduta su una sedia da ospedale in una stanza d'ospedale si fa le unghie da un manicure che indossa una camicetta verde.</v>
      </c>
    </row>
    <row r="30126">
      <c r="A30126" s="4" t="s">
        <v>37934</v>
      </c>
      <c r="B30126" s="4" t="s">
        <v>37936</v>
      </c>
      <c r="C30126" s="5" t="str">
        <f>IFERROR(__xludf.DUMMYFUNCTION("GOOGLETRANSLATE(B30126,""en"",""it"")"),"La paziente sta ascoltando la musica mentre si muove i piedi al ritmo di un po 'di musica.")</f>
        <v>La paziente sta ascoltando la musica mentre si muove i piedi al ritmo di un po 'di musica.</v>
      </c>
    </row>
    <row r="30127">
      <c r="A30127" s="4" t="s">
        <v>37937</v>
      </c>
      <c r="B30127" s="4" t="s">
        <v>37938</v>
      </c>
      <c r="C30127" s="5" t="str">
        <f>IFERROR(__xludf.DUMMYFUNCTION("GOOGLETRANSLATE(B30127,""en"",""it"")"),"Vediamo una partita di biliardo che si gioca.")</f>
        <v>Vediamo una partita di biliardo che si gioca.</v>
      </c>
    </row>
    <row r="30128">
      <c r="A30128" s="4" t="s">
        <v>37937</v>
      </c>
      <c r="B30128" s="4" t="s">
        <v>37939</v>
      </c>
      <c r="C30128" s="5" t="str">
        <f>IFERROR(__xludf.DUMMYFUNCTION("GOOGLETRANSLATE(B30128,""en"",""it"")"),"Facciamo la panoramica e vediamo i giocatori.")</f>
        <v>Facciamo la panoramica e vediamo i giocatori.</v>
      </c>
    </row>
    <row r="30129">
      <c r="A30129" s="4" t="s">
        <v>37937</v>
      </c>
      <c r="B30129" s="4" t="s">
        <v>37940</v>
      </c>
      <c r="C30129" s="5" t="str">
        <f>IFERROR(__xludf.DUMMYFUNCTION("GOOGLETRANSLATE(B30129,""en"",""it"")"),"Vediamo i giocatori a sinistra.")</f>
        <v>Vediamo i giocatori a sinistra.</v>
      </c>
    </row>
    <row r="30130">
      <c r="A30130" s="4" t="s">
        <v>37937</v>
      </c>
      <c r="B30130" s="4" t="s">
        <v>37941</v>
      </c>
      <c r="C30130" s="5" t="str">
        <f>IFERROR(__xludf.DUMMYFUNCTION("GOOGLETRANSLATE(B30130,""en"",""it"")"),"Una persona gira il secondo dalla barra destra.")</f>
        <v>Una persona gira il secondo dalla barra destra.</v>
      </c>
    </row>
    <row r="30131">
      <c r="A30131" s="4" t="s">
        <v>37942</v>
      </c>
      <c r="B30131" s="4" t="s">
        <v>37943</v>
      </c>
      <c r="C30131" s="5" t="str">
        <f>IFERROR(__xludf.DUMMYFUNCTION("GOOGLETRANSLATE(B30131,""en"",""it"")"),"Un video a movimento rapido mostra un ragazzo che inizia a arrampicarsi su una serie di barre di scimmia.")</f>
        <v>Un video a movimento rapido mostra un ragazzo che inizia a arrampicarsi su una serie di barre di scimmia.</v>
      </c>
    </row>
    <row r="30132">
      <c r="A30132" s="4" t="s">
        <v>37942</v>
      </c>
      <c r="B30132" s="4" t="s">
        <v>37944</v>
      </c>
      <c r="C30132" s="5" t="str">
        <f>IFERROR(__xludf.DUMMYFUNCTION("GOOGLETRANSLATE(B30132,""en"",""it"")"),"Il ragazzo arriva e salta giù mentre un'altra persona tenta proprio dietro di lui.")</f>
        <v>Il ragazzo arriva e salta giù mentre un'altra persona tenta proprio dietro di lui.</v>
      </c>
    </row>
    <row r="30133">
      <c r="A30133" s="4" t="s">
        <v>37945</v>
      </c>
      <c r="B30133" s="6" t="s">
        <v>37946</v>
      </c>
      <c r="C30133" s="5" t="str">
        <f>IFERROR(__xludf.DUMMYFUNCTION("GOOGLETRANSLATE(B30133,""en"",""it"")"),"Un uomo di mezza età sta spalando la neve su un marciapiede mentre un cane marrone di medie dimensioni insegue la pala.")</f>
        <v>Un uomo di mezza età sta spalando la neve su un marciapiede mentre un cane marrone di medie dimensioni insegue la pala.</v>
      </c>
    </row>
    <row r="30134">
      <c r="A30134" s="4" t="s">
        <v>37945</v>
      </c>
      <c r="B30134" s="6" t="s">
        <v>37947</v>
      </c>
      <c r="C30134" s="5" t="str">
        <f>IFERROR(__xludf.DUMMYFUNCTION("GOOGLETRANSLATE(B30134,""en"",""it"")"),"L'uomo getta la neve e gira l'altra parte per ripetere lo spallo mentre il cane continua a inseguire la pala.")</f>
        <v>L'uomo getta la neve e gira l'altra parte per ripetere lo spallo mentre il cane continua a inseguire la pala.</v>
      </c>
    </row>
    <row r="30135">
      <c r="A30135" s="4" t="s">
        <v>37945</v>
      </c>
      <c r="B30135" s="6" t="s">
        <v>37948</v>
      </c>
      <c r="C30135" s="5" t="str">
        <f>IFERROR(__xludf.DUMMYFUNCTION("GOOGLETRANSLATE(B30135,""en"",""it"")"),"Alla fine del marciapiede vicino a un vialetto una giovane donna in una neve sdraiata sullo stomaco vede il cane inseguire la pala e ride.")</f>
        <v>Alla fine del marciapiede vicino a un vialetto una giovane donna in una neve sdraiata sullo stomaco vede il cane inseguire la pala e ride.</v>
      </c>
    </row>
    <row r="30136">
      <c r="A30136" s="4" t="s">
        <v>37945</v>
      </c>
      <c r="B30136" s="6" t="s">
        <v>37949</v>
      </c>
      <c r="C30136" s="5" t="str">
        <f>IFERROR(__xludf.DUMMYFUNCTION("GOOGLETRANSLATE(B30136,""en"",""it"")"),"L'uomo ora gira e corre lungo il marciapiede che spala di nuovo la neve e il cane corre insieme a lui.")</f>
        <v>L'uomo ora gira e corre lungo il marciapiede che spala di nuovo la neve e il cane corre insieme a lui.</v>
      </c>
    </row>
    <row r="30137">
      <c r="A30137" s="4" t="s">
        <v>37945</v>
      </c>
      <c r="B30137" s="6" t="s">
        <v>37950</v>
      </c>
      <c r="C30137" s="5" t="str">
        <f>IFERROR(__xludf.DUMMYFUNCTION("GOOGLETRANSLATE(B30137,""en"",""it"")"),"L'uomo non si gira e spala di nuovo il marciapiede, ma porta la neve nella pala e si allontana dal cane.")</f>
        <v>L'uomo non si gira e spala di nuovo il marciapiede, ma porta la neve nella pala e si allontana dal cane.</v>
      </c>
    </row>
    <row r="30138">
      <c r="A30138" s="4" t="s">
        <v>37945</v>
      </c>
      <c r="B30138" s="4" t="s">
        <v>37951</v>
      </c>
      <c r="C30138" s="5" t="str">
        <f>IFERROR(__xludf.DUMMYFUNCTION("GOOGLETRANSLATE(B30138,""en"",""it"")"),"Il cane si sposta dietro come stanco.")</f>
        <v>Il cane si sposta dietro come stanco.</v>
      </c>
    </row>
    <row r="30139">
      <c r="A30139" s="4" t="s">
        <v>37952</v>
      </c>
      <c r="B30139" s="4" t="s">
        <v>37953</v>
      </c>
      <c r="C30139" s="5" t="str">
        <f>IFERROR(__xludf.DUMMYFUNCTION("GOOGLETRANSLATE(B30139,""en"",""it"")"),"Le persone sono in piedi su un palco.")</f>
        <v>Le persone sono in piedi su un palco.</v>
      </c>
    </row>
    <row r="30140">
      <c r="A30140" s="4" t="s">
        <v>37952</v>
      </c>
      <c r="B30140" s="4" t="s">
        <v>37954</v>
      </c>
      <c r="C30140" s="5" t="str">
        <f>IFERROR(__xludf.DUMMYFUNCTION("GOOGLETRANSLATE(B30140,""en"",""it"")"),"Iniziano a giocare a forbici di carta rock.")</f>
        <v>Iniziano a giocare a forbici di carta rock.</v>
      </c>
    </row>
    <row r="30141">
      <c r="A30141" s="4" t="s">
        <v>37952</v>
      </c>
      <c r="B30141" s="4" t="s">
        <v>37955</v>
      </c>
      <c r="C30141" s="5" t="str">
        <f>IFERROR(__xludf.DUMMYFUNCTION("GOOGLETRANSLATE(B30141,""en"",""it"")"),"Gli uomini in piedi nelle camicie degli arbitri sono in piedi dietro di loro.")</f>
        <v>Gli uomini in piedi nelle camicie degli arbitri sono in piedi dietro di loro.</v>
      </c>
    </row>
    <row r="30142">
      <c r="A30142" s="4" t="s">
        <v>37956</v>
      </c>
      <c r="B30142" s="6" t="s">
        <v>37957</v>
      </c>
      <c r="C30142" s="5" t="str">
        <f>IFERROR(__xludf.DUMMYFUNCTION("GOOGLETRANSLATE(B30142,""en"",""it"")"),"La donna che indossa una camicia rossa è Holdgina Ball e sta cercando di lanciare la palla a qualcuno quando qualcuno le lancia una palla e ora ne ha due e li lancia.")</f>
        <v>La donna che indossa una camicia rossa è Holdgina Ball e sta cercando di lanciare la palla a qualcuno quando qualcuno le lancia una palla e ora ne ha due e li lancia.</v>
      </c>
    </row>
    <row r="30143">
      <c r="A30143" s="4" t="s">
        <v>37956</v>
      </c>
      <c r="B30143" s="4" t="s">
        <v>37958</v>
      </c>
      <c r="C30143" s="5" t="str">
        <f>IFERROR(__xludf.DUMMYFUNCTION("GOOGLETRANSLATE(B30143,""en"",""it"")"),"L'uomo tiene una palla rossa e sta camminando in un campo di legno e lancia la palla.")</f>
        <v>L'uomo tiene una palla rossa e sta camminando in un campo di legno e lancia la palla.</v>
      </c>
    </row>
    <row r="30144">
      <c r="A30144" s="4" t="s">
        <v>37956</v>
      </c>
      <c r="B30144" s="4" t="s">
        <v>37959</v>
      </c>
      <c r="C30144" s="5" t="str">
        <f>IFERROR(__xludf.DUMMYFUNCTION("GOOGLETRANSLATE(B30144,""en"",""it"")"),"Le persone giocano a Dodgeball in una palestra sul tetto.")</f>
        <v>Le persone giocano a Dodgeball in una palestra sul tetto.</v>
      </c>
    </row>
    <row r="30145">
      <c r="A30145" s="4" t="s">
        <v>37960</v>
      </c>
      <c r="B30145" s="6" t="s">
        <v>37961</v>
      </c>
      <c r="C30145" s="5" t="str">
        <f>IFERROR(__xludf.DUMMYFUNCTION("GOOGLETRANSLATE(B30145,""en"",""it"")"),"Una ragazza è in piedi fuori nel mezzo della strada facendo trucchi con un cerchio di hula, muovendolo attorno ai fianchi e alle braccia.")</f>
        <v>Una ragazza è in piedi fuori nel mezzo della strada facendo trucchi con un cerchio di hula, muovendolo attorno ai fianchi e alle braccia.</v>
      </c>
    </row>
    <row r="30146">
      <c r="A30146" s="4" t="s">
        <v>37960</v>
      </c>
      <c r="B30146" s="4" t="s">
        <v>37962</v>
      </c>
      <c r="C30146" s="5" t="str">
        <f>IFERROR(__xludf.DUMMYFUNCTION("GOOGLETRANSLATE(B30146,""en"",""it"")"),"Mentre si esibisce, una donna è seduta dietro di lei con le sue borse a terra.")</f>
        <v>Mentre si esibisce, una donna è seduta dietro di lei con le sue borse a terra.</v>
      </c>
    </row>
    <row r="30147">
      <c r="A30147" s="4" t="s">
        <v>37960</v>
      </c>
      <c r="B30147" s="6" t="s">
        <v>37963</v>
      </c>
      <c r="C30147" s="5" t="str">
        <f>IFERROR(__xludf.DUMMYFUNCTION("GOOGLETRANSLATE(B30147,""en"",""it"")"),"Quando la ragazza ha finito di esibirsi, afferra un berretto, lo toglie e poi inizia a chiedere soldi alla folla di persone che la guardavano.")</f>
        <v>Quando la ragazza ha finito di esibirsi, afferra un berretto, lo toglie e poi inizia a chiedere soldi alla folla di persone che la guardavano.</v>
      </c>
    </row>
    <row r="30148">
      <c r="A30148" s="4" t="s">
        <v>37964</v>
      </c>
      <c r="B30148" s="4" t="s">
        <v>37965</v>
      </c>
      <c r="C30148" s="5" t="str">
        <f>IFERROR(__xludf.DUMMYFUNCTION("GOOGLETRANSLATE(B30148,""en"",""it"")"),"Due lottatori di sumo sono mostrati in un anello come spettatori e un orologio da arbitro.")</f>
        <v>Due lottatori di sumo sono mostrati in un anello come spettatori e un orologio da arbitro.</v>
      </c>
    </row>
    <row r="30149">
      <c r="A30149" s="4" t="s">
        <v>37964</v>
      </c>
      <c r="B30149" s="4" t="s">
        <v>37966</v>
      </c>
      <c r="C30149" s="5" t="str">
        <f>IFERROR(__xludf.DUMMYFUNCTION("GOOGLETRANSLATE(B30149,""en"",""it"")"),"I lottatori si accovacciano e si imbattono nell'altro.")</f>
        <v>I lottatori si accovacciano e si imbattono nell'altro.</v>
      </c>
    </row>
    <row r="30150">
      <c r="A30150" s="4" t="s">
        <v>37964</v>
      </c>
      <c r="B30150" s="4" t="s">
        <v>37967</v>
      </c>
      <c r="C30150" s="5" t="str">
        <f>IFERROR(__xludf.DUMMYFUNCTION("GOOGLETRANSLATE(B30150,""en"",""it"")"),"Lottano brevemente mentre un uomo viene gettato fuori dal ring.")</f>
        <v>Lottano brevemente mentre un uomo viene gettato fuori dal ring.</v>
      </c>
    </row>
    <row r="30151">
      <c r="A30151" s="4" t="s">
        <v>37964</v>
      </c>
      <c r="B30151" s="4" t="s">
        <v>37968</v>
      </c>
      <c r="C30151" s="5" t="str">
        <f>IFERROR(__xludf.DUMMYFUNCTION("GOOGLETRANSLATE(B30151,""en"",""it"")"),"Il vincitore esegue un segnale manuale con l'arbitro.")</f>
        <v>Il vincitore esegue un segnale manuale con l'arbitro.</v>
      </c>
    </row>
    <row r="30152">
      <c r="A30152" s="4" t="s">
        <v>37964</v>
      </c>
      <c r="B30152" s="4" t="s">
        <v>37969</v>
      </c>
      <c r="C30152" s="5" t="str">
        <f>IFERROR(__xludf.DUMMYFUNCTION("GOOGLETRANSLATE(B30152,""en"",""it"")"),"Il perdente cammina alle spalle mentre mostrano un replay della vittoria.")</f>
        <v>Il perdente cammina alle spalle mentre mostrano un replay della vittoria.</v>
      </c>
    </row>
    <row r="30153">
      <c r="A30153" s="4" t="s">
        <v>37964</v>
      </c>
      <c r="B30153" s="4" t="s">
        <v>37970</v>
      </c>
      <c r="C30153" s="5" t="str">
        <f>IFERROR(__xludf.DUMMYFUNCTION("GOOGLETRANSLATE(B30153,""en"",""it"")"),"Il video termina con l'host che intervista il perdente e mostra l'anello di sumo.")</f>
        <v>Il video termina con l'host che intervista il perdente e mostra l'anello di sumo.</v>
      </c>
    </row>
    <row r="30154">
      <c r="A30154" s="4" t="s">
        <v>37971</v>
      </c>
      <c r="B30154" s="4" t="s">
        <v>1251</v>
      </c>
      <c r="C30154" s="5" t="str">
        <f>IFERROR(__xludf.DUMMYFUNCTION("GOOGLETRANSLATE(B30154,""en"",""it"")"),"Vengono visualizzati i crediti della clip.")</f>
        <v>Vengono visualizzati i crediti della clip.</v>
      </c>
    </row>
    <row r="30155">
      <c r="A30155" s="4" t="s">
        <v>37971</v>
      </c>
      <c r="B30155" s="4" t="s">
        <v>37972</v>
      </c>
      <c r="C30155" s="5" t="str">
        <f>IFERROR(__xludf.DUMMYFUNCTION("GOOGLETRANSLATE(B30155,""en"",""it"")"),"Gli uomini stanno lavorando su un tetto.")</f>
        <v>Gli uomini stanno lavorando su un tetto.</v>
      </c>
    </row>
    <row r="30156">
      <c r="A30156" s="4" t="s">
        <v>37971</v>
      </c>
      <c r="B30156" s="6" t="s">
        <v>37973</v>
      </c>
      <c r="C30156" s="5" t="str">
        <f>IFERROR(__xludf.DUMMYFUNCTION("GOOGLETRANSLATE(B30156,""en"",""it"")"),"Un uomo sta spruzzando la pasta sul tetto, un maschio sta distribuendo i pezzi e un ragazzo sta aggiungendo i pezzi all'area incollata sul tetto.")</f>
        <v>Un uomo sta spruzzando la pasta sul tetto, un maschio sta distribuendo i pezzi e un ragazzo sta aggiungendo i pezzi all'area incollata sul tetto.</v>
      </c>
    </row>
    <row r="30157">
      <c r="A30157" s="4" t="s">
        <v>37971</v>
      </c>
      <c r="B30157" s="4" t="s">
        <v>37974</v>
      </c>
      <c r="C30157" s="5" t="str">
        <f>IFERROR(__xludf.DUMMYFUNCTION("GOOGLETRANSLATE(B30157,""en"",""it"")"),"Una persona sta spruzzando la pasta sui pezzi del tetto.")</f>
        <v>Una persona sta spruzzando la pasta sui pezzi del tetto.</v>
      </c>
    </row>
    <row r="30158">
      <c r="A30158" s="4" t="s">
        <v>37971</v>
      </c>
      <c r="B30158" s="4" t="s">
        <v>573</v>
      </c>
      <c r="C30158" s="5" t="str">
        <f>IFERROR(__xludf.DUMMYFUNCTION("GOOGLETRANSLATE(B30158,""en"",""it"")"),"Vengono visualizzati i crediti del video.")</f>
        <v>Vengono visualizzati i crediti del video.</v>
      </c>
    </row>
    <row r="30159">
      <c r="A30159" s="4" t="s">
        <v>37975</v>
      </c>
      <c r="B30159" s="4" t="s">
        <v>37976</v>
      </c>
      <c r="C30159" s="5" t="str">
        <f>IFERROR(__xludf.DUMMYFUNCTION("GOOGLETRANSLATE(B30159,""en"",""it"")"),"Un giovane asiatico è in piedi in un soggiorno con una scopa in mano.")</f>
        <v>Un giovane asiatico è in piedi in un soggiorno con una scopa in mano.</v>
      </c>
    </row>
    <row r="30160">
      <c r="A30160" s="4" t="s">
        <v>37975</v>
      </c>
      <c r="B30160" s="4" t="s">
        <v>37977</v>
      </c>
      <c r="C30160" s="5" t="str">
        <f>IFERROR(__xludf.DUMMYFUNCTION("GOOGLETRANSLATE(B30160,""en"",""it"")"),"Il ragazzo si china, raccoglie un flacone spray e lo schizza sul pavimento.")</f>
        <v>Il ragazzo si china, raccoglie un flacone spray e lo schizza sul pavimento.</v>
      </c>
    </row>
    <row r="30161">
      <c r="A30161" s="4" t="s">
        <v>37975</v>
      </c>
      <c r="B30161" s="4" t="s">
        <v>37978</v>
      </c>
      <c r="C30161" s="5" t="str">
        <f>IFERROR(__xludf.DUMMYFUNCTION("GOOGLETRANSLATE(B30161,""en"",""it"")"),"Quindi sposta la scopa avanti e indietro e pulisce il pavimento.")</f>
        <v>Quindi sposta la scopa avanti e indietro e pulisce il pavimento.</v>
      </c>
    </row>
    <row r="30162">
      <c r="A30162" s="4" t="s">
        <v>37979</v>
      </c>
      <c r="B30162" s="4" t="s">
        <v>37980</v>
      </c>
      <c r="C30162" s="5" t="str">
        <f>IFERROR(__xludf.DUMMYFUNCTION("GOOGLETRANSLATE(B30162,""en"",""it"")"),"Una donna si siede di fronte a una grande folla mentre tiene crema da barba e un rasoio.")</f>
        <v>Una donna si siede di fronte a una grande folla mentre tiene crema da barba e un rasoio.</v>
      </c>
    </row>
    <row r="30163">
      <c r="A30163" s="4" t="s">
        <v>37979</v>
      </c>
      <c r="B30163" s="4" t="s">
        <v>37981</v>
      </c>
      <c r="C30163" s="5" t="str">
        <f>IFERROR(__xludf.DUMMYFUNCTION("GOOGLETRANSLATE(B30163,""en"",""it"")"),"Un altro uomo viene visto sul palco radersi il viso e la donna inizia a radersi le gambe.")</f>
        <v>Un altro uomo viene visto sul palco radersi il viso e la donna inizia a radersi le gambe.</v>
      </c>
    </row>
    <row r="30164">
      <c r="A30164" s="4" t="s">
        <v>37979</v>
      </c>
      <c r="B30164" s="4" t="s">
        <v>37982</v>
      </c>
      <c r="C30164" s="5" t="str">
        <f>IFERROR(__xludf.DUMMYFUNCTION("GOOGLETRANSLATE(B30164,""en"",""it"")"),"La folla li rallegra per la competizione da barba.")</f>
        <v>La folla li rallegra per la competizione da barba.</v>
      </c>
    </row>
    <row r="30165">
      <c r="A30165" s="4" t="s">
        <v>37983</v>
      </c>
      <c r="B30165" s="6" t="s">
        <v>37984</v>
      </c>
      <c r="C30165" s="5" t="str">
        <f>IFERROR(__xludf.DUMMYFUNCTION("GOOGLETRANSLATE(B30165,""en"",""it"")"),"Un piccolo gruppo di persone è visto in piedi fianco a fianco l'uno con l'altro che colpisce una borsa uno dopo l'altro.")</f>
        <v>Un piccolo gruppo di persone è visto in piedi fianco a fianco l'uno con l'altro che colpisce una borsa uno dopo l'altro.</v>
      </c>
    </row>
    <row r="30166">
      <c r="A30166" s="4" t="s">
        <v>37983</v>
      </c>
      <c r="B30166" s="4" t="s">
        <v>37985</v>
      </c>
      <c r="C30166" s="5" t="str">
        <f>IFERROR(__xludf.DUMMYFUNCTION("GOOGLETRANSLATE(B30166,""en"",""it"")"),"Molte persone vengono quindi mostrate a calci le borse uno accanto all'altro.")</f>
        <v>Molte persone vengono quindi mostrate a calci le borse uno accanto all'altro.</v>
      </c>
    </row>
    <row r="30167">
      <c r="A30167" s="4" t="s">
        <v>37986</v>
      </c>
      <c r="B30167" s="4" t="s">
        <v>37987</v>
      </c>
      <c r="C30167" s="5" t="str">
        <f>IFERROR(__xludf.DUMMYFUNCTION("GOOGLETRANSLATE(B30167,""en"",""it"")"),"Un uomo sta accendendo un bastone con i campeggiatori sullo sfondo e un fuoco ardente.")</f>
        <v>Un uomo sta accendendo un bastone con i campeggiatori sullo sfondo e un fuoco ardente.</v>
      </c>
    </row>
    <row r="30168">
      <c r="A30168" s="4" t="s">
        <v>37986</v>
      </c>
      <c r="B30168" s="4" t="s">
        <v>37988</v>
      </c>
      <c r="C30168" s="5" t="str">
        <f>IFERROR(__xludf.DUMMYFUNCTION("GOOGLETRANSLATE(B30168,""en"",""it"")"),"Attacca il cono nel fuoco e la fine del bastone inizia a prendere fuoco.")</f>
        <v>Attacca il cono nel fuoco e la fine del bastone inizia a prendere fuoco.</v>
      </c>
    </row>
    <row r="30169">
      <c r="A30169" s="4" t="s">
        <v>37989</v>
      </c>
      <c r="B30169" s="4" t="s">
        <v>37990</v>
      </c>
      <c r="C30169" s="5" t="str">
        <f>IFERROR(__xludf.DUMMYFUNCTION("GOOGLETRANSLATE(B30169,""en"",""it"")"),"Viene mostrato un primo piano di un tavolo di foose e persone che giocano sul tavolo.")</f>
        <v>Viene mostrato un primo piano di un tavolo di foose e persone che giocano sul tavolo.</v>
      </c>
    </row>
    <row r="30170">
      <c r="A30170" s="4" t="s">
        <v>37989</v>
      </c>
      <c r="B30170" s="6" t="s">
        <v>37991</v>
      </c>
      <c r="C30170" s="5" t="str">
        <f>IFERROR(__xludf.DUMMYFUNCTION("GOOGLETRANSLATE(B30170,""en"",""it"")"),"Il gioco continua mentre le persone usano le barre per spostare il gioco mentre la palla si sposta indietro e quarta.")</f>
        <v>Il gioco continua mentre le persone usano le barre per spostare il gioco mentre la palla si sposta indietro e quarta.</v>
      </c>
    </row>
    <row r="30171">
      <c r="A30171" s="4" t="s">
        <v>37992</v>
      </c>
      <c r="B30171" s="4" t="s">
        <v>37993</v>
      </c>
      <c r="C30171" s="5" t="str">
        <f>IFERROR(__xludf.DUMMYFUNCTION("GOOGLETRANSLATE(B30171,""en"",""it"")"),"Un gruppo di persone indossa un attrezzatura da snorkeling sul bordo dell'acqua dell'oceano.")</f>
        <v>Un gruppo di persone indossa un attrezzatura da snorkeling sul bordo dell'acqua dell'oceano.</v>
      </c>
    </row>
    <row r="30172">
      <c r="A30172" s="4" t="s">
        <v>37992</v>
      </c>
      <c r="B30172" s="4" t="s">
        <v>37994</v>
      </c>
      <c r="C30172" s="5" t="str">
        <f>IFERROR(__xludf.DUMMYFUNCTION("GOOGLETRANSLATE(B30172,""en"",""it"")"),"Vengono quindi visti sotto l'acqua, esplorando e guardando il pesce.")</f>
        <v>Vengono quindi visti sotto l'acqua, esplorando e guardando il pesce.</v>
      </c>
    </row>
    <row r="30173">
      <c r="A30173" s="4" t="s">
        <v>37992</v>
      </c>
      <c r="B30173" s="4" t="s">
        <v>37995</v>
      </c>
      <c r="C30173" s="5" t="str">
        <f>IFERROR(__xludf.DUMMYFUNCTION("GOOGLETRANSLATE(B30173,""en"",""it"")"),"Raggiungono per toccare il pesce mentre nuotano.")</f>
        <v>Raggiungono per toccare il pesce mentre nuotano.</v>
      </c>
    </row>
    <row r="30174">
      <c r="A30174" s="4" t="s">
        <v>37996</v>
      </c>
      <c r="B30174" s="4" t="s">
        <v>37997</v>
      </c>
      <c r="C30174" s="5" t="str">
        <f>IFERROR(__xludf.DUMMYFUNCTION("GOOGLETRANSLATE(B30174,""en"",""it"")"),"Una ragazza sta giocando in un parco giochi.")</f>
        <v>Una ragazza sta giocando in un parco giochi.</v>
      </c>
    </row>
    <row r="30175">
      <c r="A30175" s="4" t="s">
        <v>37996</v>
      </c>
      <c r="B30175" s="4" t="s">
        <v>37998</v>
      </c>
      <c r="C30175" s="5" t="str">
        <f>IFERROR(__xludf.DUMMYFUNCTION("GOOGLETRANSLATE(B30175,""en"",""it"")"),"Va indietro sulle barre delle scimmie.")</f>
        <v>Va indietro sulle barre delle scimmie.</v>
      </c>
    </row>
    <row r="30176">
      <c r="A30176" s="4" t="s">
        <v>37996</v>
      </c>
      <c r="B30176" s="4" t="s">
        <v>37999</v>
      </c>
      <c r="C30176" s="5" t="str">
        <f>IFERROR(__xludf.DUMMYFUNCTION("GOOGLETRANSLATE(B30176,""en"",""it"")"),"Mostra le mani alla telecamera e continua a parlare.")</f>
        <v>Mostra le mani alla telecamera e continua a parlare.</v>
      </c>
    </row>
    <row r="30177">
      <c r="A30177" s="4" t="s">
        <v>38000</v>
      </c>
      <c r="B30177" s="4" t="s">
        <v>38001</v>
      </c>
      <c r="C30177" s="5" t="str">
        <f>IFERROR(__xludf.DUMMYFUNCTION("GOOGLETRANSLATE(B30177,""en"",""it"")"),"Una donna suona una canzone classica sul piano in un film in bianco e nero.")</f>
        <v>Una donna suona una canzone classica sul piano in un film in bianco e nero.</v>
      </c>
    </row>
    <row r="30178">
      <c r="A30178" s="4" t="s">
        <v>38000</v>
      </c>
      <c r="B30178" s="4" t="s">
        <v>38002</v>
      </c>
      <c r="C30178" s="5" t="str">
        <f>IFERROR(__xludf.DUMMYFUNCTION("GOOGLETRANSLATE(B30178,""en"",""it"")"),"Comincia ad accelerare il ritmo della musica che sta suonando.")</f>
        <v>Comincia ad accelerare il ritmo della musica che sta suonando.</v>
      </c>
    </row>
    <row r="30179">
      <c r="A30179" s="4" t="s">
        <v>38000</v>
      </c>
      <c r="B30179" s="4" t="s">
        <v>38003</v>
      </c>
      <c r="C30179" s="5" t="str">
        <f>IFERROR(__xludf.DUMMYFUNCTION("GOOGLETRANSLATE(B30179,""en"",""it"")"),"La telecamera la mostra che suona il piano dall'alto.")</f>
        <v>La telecamera la mostra che suona il piano dall'alto.</v>
      </c>
    </row>
    <row r="30180">
      <c r="A30180" s="4" t="s">
        <v>38000</v>
      </c>
      <c r="B30180" s="4" t="s">
        <v>38004</v>
      </c>
      <c r="C30180" s="5" t="str">
        <f>IFERROR(__xludf.DUMMYFUNCTION("GOOGLETRANSLATE(B30180,""en"",""it"")"),"Il pubblico applaude per la donna e il video finisce.")</f>
        <v>Il pubblico applaude per la donna e il video finisce.</v>
      </c>
    </row>
    <row r="30181">
      <c r="A30181" s="4" t="s">
        <v>38005</v>
      </c>
      <c r="B30181" s="4" t="s">
        <v>38006</v>
      </c>
      <c r="C30181" s="5" t="str">
        <f>IFERROR(__xludf.DUMMYFUNCTION("GOOGLETRANSLATE(B30181,""en"",""it"")"),"Una posa di gruppo sorride per la fotocamera.")</f>
        <v>Una posa di gruppo sorride per la fotocamera.</v>
      </c>
    </row>
    <row r="30182">
      <c r="A30182" s="4" t="s">
        <v>38005</v>
      </c>
      <c r="B30182" s="4" t="s">
        <v>38007</v>
      </c>
      <c r="C30182" s="5" t="str">
        <f>IFERROR(__xludf.DUMMYFUNCTION("GOOGLETRANSLATE(B30182,""en"",""it"")"),"Un gruppo di gruppo alla telecamera mentre più persone sullo sfondo camminano attraverso l'acqua.")</f>
        <v>Un gruppo di gruppo alla telecamera mentre più persone sullo sfondo camminano attraverso l'acqua.</v>
      </c>
    </row>
    <row r="30183">
      <c r="A30183" s="4" t="s">
        <v>38005</v>
      </c>
      <c r="B30183" s="4" t="s">
        <v>38008</v>
      </c>
      <c r="C30183" s="5" t="str">
        <f>IFERROR(__xludf.DUMMYFUNCTION("GOOGLETRANSLATE(B30183,""en"",""it"")"),"Il gruppo va di rafting sull'acqua.")</f>
        <v>Il gruppo va di rafting sull'acqua.</v>
      </c>
    </row>
    <row r="30184">
      <c r="A30184" s="4" t="s">
        <v>38005</v>
      </c>
      <c r="B30184" s="4" t="s">
        <v>38009</v>
      </c>
      <c r="C30184" s="5" t="str">
        <f>IFERROR(__xludf.DUMMYFUNCTION("GOOGLETRANSLATE(B30184,""en"",""it"")"),"Salutano di nuovo alla fotocamera.")</f>
        <v>Salutano di nuovo alla fotocamera.</v>
      </c>
    </row>
    <row r="30185">
      <c r="A30185" s="4" t="s">
        <v>38005</v>
      </c>
      <c r="B30185" s="4" t="s">
        <v>38010</v>
      </c>
      <c r="C30185" s="5" t="str">
        <f>IFERROR(__xludf.DUMMYFUNCTION("GOOGLETRANSLATE(B30185,""en"",""it"")"),"Il gruppo è mostrato nella loro zattera mentre navigano lungo il fiume.")</f>
        <v>Il gruppo è mostrato nella loro zattera mentre navigano lungo il fiume.</v>
      </c>
    </row>
    <row r="30186">
      <c r="A30186" s="4" t="s">
        <v>38005</v>
      </c>
      <c r="B30186" s="4" t="s">
        <v>38011</v>
      </c>
      <c r="C30186" s="5" t="str">
        <f>IFERROR(__xludf.DUMMYFUNCTION("GOOGLETRANSLATE(B30186,""en"",""it"")"),"Vengono mostrati fare una pausa nel fiume.")</f>
        <v>Vengono mostrati fare una pausa nel fiume.</v>
      </c>
    </row>
    <row r="30187">
      <c r="A30187" s="4" t="s">
        <v>38005</v>
      </c>
      <c r="B30187" s="4" t="s">
        <v>38012</v>
      </c>
      <c r="C30187" s="5" t="str">
        <f>IFERROR(__xludf.DUMMYFUNCTION("GOOGLETRANSLATE(B30187,""en"",""it"")"),"Filmati POV da una delle travi.")</f>
        <v>Filmati POV da una delle travi.</v>
      </c>
    </row>
    <row r="30188">
      <c r="A30188" s="4" t="s">
        <v>38005</v>
      </c>
      <c r="B30188" s="4" t="s">
        <v>38013</v>
      </c>
      <c r="C30188" s="5" t="str">
        <f>IFERROR(__xludf.DUMMYFUNCTION("GOOGLETRANSLATE(B30188,""en"",""it"")"),"Il gruppo è fuori dal fiume e escursioni.")</f>
        <v>Il gruppo è fuori dal fiume e escursioni.</v>
      </c>
    </row>
    <row r="30189">
      <c r="A30189" s="4" t="s">
        <v>38014</v>
      </c>
      <c r="B30189" s="4" t="s">
        <v>38015</v>
      </c>
      <c r="C30189" s="5" t="str">
        <f>IFERROR(__xludf.DUMMYFUNCTION("GOOGLETRANSLATE(B30189,""en"",""it"")"),"Gli uomini sono di fronte a uno specchio in una stanza.")</f>
        <v>Gli uomini sono di fronte a uno specchio in una stanza.</v>
      </c>
    </row>
    <row r="30190">
      <c r="A30190" s="4" t="s">
        <v>38014</v>
      </c>
      <c r="B30190" s="4" t="s">
        <v>38016</v>
      </c>
      <c r="C30190" s="5" t="str">
        <f>IFERROR(__xludf.DUMMYFUNCTION("GOOGLETRANSLATE(B30190,""en"",""it"")"),"L'uomo è solo a praticare calci e pugni.")</f>
        <v>L'uomo è solo a praticare calci e pugni.</v>
      </c>
    </row>
    <row r="30191">
      <c r="A30191" s="4" t="s">
        <v>38014</v>
      </c>
      <c r="B30191" s="4" t="s">
        <v>38017</v>
      </c>
      <c r="C30191" s="5" t="str">
        <f>IFERROR(__xludf.DUMMYFUNCTION("GOOGLETRANSLATE(B30191,""en"",""it"")"),"L'uomo che indossa una camicia bianca si allunga le gambe lega l'altro uomo.")</f>
        <v>L'uomo che indossa una camicia bianca si allunga le gambe lega l'altro uomo.</v>
      </c>
    </row>
    <row r="30192">
      <c r="A30192" s="4" t="s">
        <v>38018</v>
      </c>
      <c r="B30192" s="6" t="s">
        <v>38019</v>
      </c>
      <c r="C30192" s="5" t="str">
        <f>IFERROR(__xludf.DUMMYFUNCTION("GOOGLETRANSLATE(B30192,""en"",""it"")"),"Un folto gruppo di persone viene visto vagare per una piazza con un bambino nel mezzo che suona uno strumento.")</f>
        <v>Un folto gruppo di persone viene visto vagare per una piazza con un bambino nel mezzo che suona uno strumento.</v>
      </c>
    </row>
    <row r="30193">
      <c r="A30193" s="4" t="s">
        <v>38018</v>
      </c>
      <c r="B30193" s="4" t="s">
        <v>38020</v>
      </c>
      <c r="C30193" s="5" t="str">
        <f>IFERROR(__xludf.DUMMYFUNCTION("GOOGLETRANSLATE(B30193,""en"",""it"")"),"Il ragazzo suona un sassofono mentre le persone lo superano e mettono i soldi.")</f>
        <v>Il ragazzo suona un sassofono mentre le persone lo superano e mettono i soldi.</v>
      </c>
    </row>
    <row r="30194">
      <c r="A30194" s="4" t="s">
        <v>38018</v>
      </c>
      <c r="B30194" s="4" t="s">
        <v>38021</v>
      </c>
      <c r="C30194" s="5" t="str">
        <f>IFERROR(__xludf.DUMMYFUNCTION("GOOGLETRANSLATE(B30194,""en"",""it"")"),"Il ragazzo continua a suonare mentre la telecamera cattura i suoi movimenti e altri si fermano a guardare.")</f>
        <v>Il ragazzo continua a suonare mentre la telecamera cattura i suoi movimenti e altri si fermano a guardare.</v>
      </c>
    </row>
    <row r="30195">
      <c r="A30195" s="4" t="s">
        <v>38022</v>
      </c>
      <c r="B30195" s="4" t="s">
        <v>38023</v>
      </c>
      <c r="C30195" s="5" t="str">
        <f>IFERROR(__xludf.DUMMYFUNCTION("GOOGLETRANSLATE(B30195,""en"",""it"")"),"Le persone saltano giù dalle tavole da immersione nella piscina sotto di loro.")</f>
        <v>Le persone saltano giù dalle tavole da immersione nella piscina sotto di loro.</v>
      </c>
    </row>
    <row r="30196">
      <c r="A30196" s="4" t="s">
        <v>38022</v>
      </c>
      <c r="B30196" s="4" t="s">
        <v>38024</v>
      </c>
      <c r="C30196" s="5" t="str">
        <f>IFERROR(__xludf.DUMMYFUNCTION("GOOGLETRANSLATE(B30196,""en"",""it"")"),"Stanno salendo un set di scale per arrivare al tabellone.")</f>
        <v>Stanno salendo un set di scale per arrivare al tabellone.</v>
      </c>
    </row>
    <row r="30197">
      <c r="A30197" s="4" t="s">
        <v>38022</v>
      </c>
      <c r="B30197" s="4" t="s">
        <v>38025</v>
      </c>
      <c r="C30197" s="5" t="str">
        <f>IFERROR(__xludf.DUMMYFUNCTION("GOOGLETRANSLATE(B30197,""en"",""it"")"),"Una persona fa una schiena in acqua.")</f>
        <v>Una persona fa una schiena in acqua.</v>
      </c>
    </row>
    <row r="30198">
      <c r="A30198" s="4" t="s">
        <v>38026</v>
      </c>
      <c r="B30198" s="4" t="s">
        <v>38027</v>
      </c>
      <c r="C30198" s="5" t="str">
        <f>IFERROR(__xludf.DUMMYFUNCTION("GOOGLETRANSLATE(B30198,""en"",""it"")"),"La bambina scivola giù per lo scivolo giallo e cadde sulla piscina di palline.")</f>
        <v>La bambina scivola giù per lo scivolo giallo e cadde sulla piscina di palline.</v>
      </c>
    </row>
    <row r="30199">
      <c r="A30199" s="4" t="s">
        <v>38026</v>
      </c>
      <c r="B30199" s="4" t="s">
        <v>38028</v>
      </c>
      <c r="C30199" s="5" t="str">
        <f>IFERROR(__xludf.DUMMYFUNCTION("GOOGLETRANSLATE(B30199,""en"",""it"")"),"La ragazza raggiunge la mano mentre si arrampica sulla cima della diapositiva.")</f>
        <v>La ragazza raggiunge la mano mentre si arrampica sulla cima della diapositiva.</v>
      </c>
    </row>
    <row r="30200">
      <c r="A30200" s="4" t="s">
        <v>38026</v>
      </c>
      <c r="B30200" s="4" t="s">
        <v>38029</v>
      </c>
      <c r="C30200" s="5" t="str">
        <f>IFERROR(__xludf.DUMMYFUNCTION("GOOGLETRANSLATE(B30200,""en"",""it"")"),"La ragazza scivola di nuovo e cadde sulla piscina di palla ma sullo stomaco.")</f>
        <v>La ragazza scivola di nuovo e cadde sulla piscina di palla ma sullo stomaco.</v>
      </c>
    </row>
    <row r="30201">
      <c r="A30201" s="4" t="s">
        <v>38030</v>
      </c>
      <c r="B30201" s="4" t="s">
        <v>38031</v>
      </c>
      <c r="C30201" s="5" t="str">
        <f>IFERROR(__xludf.DUMMYFUNCTION("GOOGLETRANSLATE(B30201,""en"",""it"")"),"Le ragazze stanno andando giù per un piccolo scivolo rosso.")</f>
        <v>Le ragazze stanno andando giù per un piccolo scivolo rosso.</v>
      </c>
    </row>
    <row r="30202">
      <c r="A30202" s="4" t="s">
        <v>38030</v>
      </c>
      <c r="B30202" s="4" t="s">
        <v>38032</v>
      </c>
      <c r="C30202" s="5" t="str">
        <f>IFERROR(__xludf.DUMMYFUNCTION("GOOGLETRANSLATE(B30202,""en"",""it"")"),"Un uomo con una camicia rossa è in piedi dietro di loro.")</f>
        <v>Un uomo con una camicia rossa è in piedi dietro di loro.</v>
      </c>
    </row>
    <row r="30203">
      <c r="A30203" s="4" t="s">
        <v>38030</v>
      </c>
      <c r="B30203" s="4" t="s">
        <v>38033</v>
      </c>
      <c r="C30203" s="5" t="str">
        <f>IFERROR(__xludf.DUMMYFUNCTION("GOOGLETRANSLATE(B30203,""en"",""it"")"),"Si allontana verso la casa.")</f>
        <v>Si allontana verso la casa.</v>
      </c>
    </row>
    <row r="30204">
      <c r="A30204" s="4" t="s">
        <v>38034</v>
      </c>
      <c r="B30204" s="4" t="s">
        <v>38035</v>
      </c>
      <c r="C30204" s="5" t="str">
        <f>IFERROR(__xludf.DUMMYFUNCTION("GOOGLETRANSLATE(B30204,""en"",""it"")"),"Una ragazza è fuori di corsa lungo la strada tra una foresta e poi finisce in aeroporto.")</f>
        <v>Una ragazza è fuori di corsa lungo la strada tra una foresta e poi finisce in aeroporto.</v>
      </c>
    </row>
    <row r="30205">
      <c r="A30205" s="4" t="s">
        <v>38034</v>
      </c>
      <c r="B30205" s="4" t="s">
        <v>38036</v>
      </c>
      <c r="C30205" s="5" t="str">
        <f>IFERROR(__xludf.DUMMYFUNCTION("GOOGLETRANSLATE(B30205,""en"",""it"")"),"Si sede a giocare sul suo iPad e poi inizia a salire a bordo di un aereo.")</f>
        <v>Si sede a giocare sul suo iPad e poi inizia a salire a bordo di un aereo.</v>
      </c>
    </row>
    <row r="30206">
      <c r="A30206" s="4" t="s">
        <v>38034</v>
      </c>
      <c r="B30206" s="4" t="s">
        <v>38037</v>
      </c>
      <c r="C30206" s="5" t="str">
        <f>IFERROR(__xludf.DUMMYFUNCTION("GOOGLETRANSLATE(B30206,""en"",""it"")"),"L'aereo atterra ed è in una cabina e inizia a sciare in un resort.")</f>
        <v>L'aereo atterra ed è in una cabina e inizia a sciare in un resort.</v>
      </c>
    </row>
    <row r="30207">
      <c r="A30207" s="4" t="s">
        <v>38034</v>
      </c>
      <c r="B30207" s="6" t="s">
        <v>38038</v>
      </c>
      <c r="C30207" s="5" t="str">
        <f>IFERROR(__xludf.DUMMYFUNCTION("GOOGLETRANSLATE(B30207,""en"",""it"")"),"Mentre sta pattinando, cambia i suoi sci e lo schermo è coperto da un film statico grigio e la persona continua con le sue attività di neve.")</f>
        <v>Mentre sta pattinando, cambia i suoi sci e lo schermo è coperto da un film statico grigio e la persona continua con le sue attività di neve.</v>
      </c>
    </row>
    <row r="30208">
      <c r="A30208" s="4" t="s">
        <v>38039</v>
      </c>
      <c r="B30208" s="4" t="s">
        <v>38040</v>
      </c>
      <c r="C30208" s="5" t="str">
        <f>IFERROR(__xludf.DUMMYFUNCTION("GOOGLETRANSLATE(B30208,""en"",""it"")"),"Un uomo sta fluttuando nel parlare in acqua dell'oceano.")</f>
        <v>Un uomo sta fluttuando nel parlare in acqua dell'oceano.</v>
      </c>
    </row>
    <row r="30209">
      <c r="A30209" s="4" t="s">
        <v>38039</v>
      </c>
      <c r="B30209" s="4" t="s">
        <v>38041</v>
      </c>
      <c r="C30209" s="5" t="str">
        <f>IFERROR(__xludf.DUMMYFUNCTION("GOOGLETRANSLATE(B30209,""en"",""it"")"),"Quindi parla con un gruppo di persone mentre beve una bevanda energetica.")</f>
        <v>Quindi parla con un gruppo di persone mentre beve una bevanda energetica.</v>
      </c>
    </row>
    <row r="30210">
      <c r="A30210" s="4" t="s">
        <v>38039</v>
      </c>
      <c r="B30210" s="4" t="s">
        <v>38042</v>
      </c>
      <c r="C30210" s="5" t="str">
        <f>IFERROR(__xludf.DUMMYFUNCTION("GOOGLETRANSLATE(B30210,""en"",""it"")"),"Bungee salta dal lato di un ponte.")</f>
        <v>Bungee salta dal lato di un ponte.</v>
      </c>
    </row>
    <row r="30211">
      <c r="A30211" s="4" t="s">
        <v>38039</v>
      </c>
      <c r="B30211" s="4" t="s">
        <v>38043</v>
      </c>
      <c r="C30211" s="5" t="str">
        <f>IFERROR(__xludf.DUMMYFUNCTION("GOOGLETRANSLATE(B30211,""en"",""it"")"),"Sta parlando con la telecamera mentre oscilla sopra l'acqua.")</f>
        <v>Sta parlando con la telecamera mentre oscilla sopra l'acqua.</v>
      </c>
    </row>
    <row r="30212">
      <c r="A30212" s="4" t="s">
        <v>38044</v>
      </c>
      <c r="B30212" s="4" t="s">
        <v>38045</v>
      </c>
      <c r="C30212" s="5" t="str">
        <f>IFERROR(__xludf.DUMMYFUNCTION("GOOGLETRANSLATE(B30212,""en"",""it"")"),"Vediamo uno spogliatoio e la schermata del titolo.")</f>
        <v>Vediamo uno spogliatoio e la schermata del titolo.</v>
      </c>
    </row>
    <row r="30213">
      <c r="A30213" s="4" t="s">
        <v>38044</v>
      </c>
      <c r="B30213" s="4" t="s">
        <v>38046</v>
      </c>
      <c r="C30213" s="5" t="str">
        <f>IFERROR(__xludf.DUMMYFUNCTION("GOOGLETRANSLATE(B30213,""en"",""it"")"),"Vediamo un uomo che finisce per gettare il martello in pista e campo al suo terzo tentativo.")</f>
        <v>Vediamo un uomo che finisce per gettare il martello in pista e campo al suo terzo tentativo.</v>
      </c>
    </row>
    <row r="30214">
      <c r="A30214" s="4" t="s">
        <v>38044</v>
      </c>
      <c r="B30214" s="4" t="s">
        <v>38047</v>
      </c>
      <c r="C30214" s="5" t="str">
        <f>IFERROR(__xludf.DUMMYFUNCTION("GOOGLETRANSLATE(B30214,""en"",""it"")"),"Dopo che è stato lanciato vediamo uomini che misurano la distanza.")</f>
        <v>Dopo che è stato lanciato vediamo uomini che misurano la distanza.</v>
      </c>
    </row>
    <row r="30215">
      <c r="A30215" s="4" t="s">
        <v>38044</v>
      </c>
      <c r="B30215" s="4" t="s">
        <v>38048</v>
      </c>
      <c r="C30215" s="5" t="str">
        <f>IFERROR(__xludf.DUMMYFUNCTION("GOOGLETRANSLATE(B30215,""en"",""it"")"),"Vediamo quindi il suo quinto tentativo e la misurazione.")</f>
        <v>Vediamo quindi il suo quinto tentativo e la misurazione.</v>
      </c>
    </row>
    <row r="30216">
      <c r="A30216" s="4" t="s">
        <v>38044</v>
      </c>
      <c r="B30216" s="4" t="s">
        <v>38049</v>
      </c>
      <c r="C30216" s="5" t="str">
        <f>IFERROR(__xludf.DUMMYFUNCTION("GOOGLETRANSLATE(B30216,""en"",""it"")"),"Vediamo quindi il suo sesto tentativo e misurare.")</f>
        <v>Vediamo quindi il suo sesto tentativo e misurare.</v>
      </c>
    </row>
    <row r="30217">
      <c r="A30217" s="4" t="s">
        <v>38044</v>
      </c>
      <c r="B30217" s="4" t="s">
        <v>38050</v>
      </c>
      <c r="C30217" s="5" t="str">
        <f>IFERROR(__xludf.DUMMYFUNCTION("GOOGLETRANSLATE(B30217,""en"",""it"")"),"La telecamera ingrandisce l'uomo mentre scuote un'altra mano.")</f>
        <v>La telecamera ingrandisce l'uomo mentre scuote un'altra mano.</v>
      </c>
    </row>
    <row r="30218">
      <c r="A30218" s="4" t="s">
        <v>38044</v>
      </c>
      <c r="B30218" s="4" t="s">
        <v>38051</v>
      </c>
      <c r="C30218" s="5" t="str">
        <f>IFERROR(__xludf.DUMMYFUNCTION("GOOGLETRANSLATE(B30218,""en"",""it"")"),"Vediamo quindi 8 uomini in piedi su piattaforme con placche.")</f>
        <v>Vediamo quindi 8 uomini in piedi su piattaforme con placche.</v>
      </c>
    </row>
    <row r="30219">
      <c r="A30219" s="4" t="s">
        <v>38052</v>
      </c>
      <c r="B30219" s="4" t="s">
        <v>38053</v>
      </c>
      <c r="C30219" s="5" t="str">
        <f>IFERROR(__xludf.DUMMYFUNCTION("GOOGLETRANSLATE(B30219,""en"",""it"")"),"Una ragazza suona il clarinetto.")</f>
        <v>Una ragazza suona il clarinetto.</v>
      </c>
    </row>
    <row r="30220">
      <c r="A30220" s="4" t="s">
        <v>38052</v>
      </c>
      <c r="B30220" s="4" t="s">
        <v>38054</v>
      </c>
      <c r="C30220" s="5" t="str">
        <f>IFERROR(__xludf.DUMMYFUNCTION("GOOGLETRANSLATE(B30220,""en"",""it"")"),"La ragazza fa una pausa per un secondo per lanciare il suo foglio musicale in piedi davanti a lei.")</f>
        <v>La ragazza fa una pausa per un secondo per lanciare il suo foglio musicale in piedi davanti a lei.</v>
      </c>
    </row>
    <row r="30221">
      <c r="A30221" s="4" t="s">
        <v>38052</v>
      </c>
      <c r="B30221" s="4" t="s">
        <v>38055</v>
      </c>
      <c r="C30221" s="5" t="str">
        <f>IFERROR(__xludf.DUMMYFUNCTION("GOOGLETRANSLATE(B30221,""en"",""it"")"),"La ragazza riprende giocando il suo clarinetto.")</f>
        <v>La ragazza riprende giocando il suo clarinetto.</v>
      </c>
    </row>
    <row r="30222">
      <c r="A30222" s="4" t="s">
        <v>38052</v>
      </c>
      <c r="B30222" s="4" t="s">
        <v>38056</v>
      </c>
      <c r="C30222" s="5" t="str">
        <f>IFERROR(__xludf.DUMMYFUNCTION("GOOGLETRANSLATE(B30222,""en"",""it"")"),"La ragazza si ferma e sembra soddisfatta della sua esibizione.")</f>
        <v>La ragazza si ferma e sembra soddisfatta della sua esibizione.</v>
      </c>
    </row>
    <row r="30223">
      <c r="A30223" s="4" t="s">
        <v>38057</v>
      </c>
      <c r="B30223" s="4" t="s">
        <v>38058</v>
      </c>
      <c r="C30223" s="5" t="str">
        <f>IFERROR(__xludf.DUMMYFUNCTION("GOOGLETRANSLATE(B30223,""en"",""it"")"),"Diverse introduzioni portano in una corsa in bicicletta tra 3 uomini in bici.")</f>
        <v>Diverse introduzioni portano in una corsa in bicicletta tra 3 uomini in bici.</v>
      </c>
    </row>
    <row r="30224">
      <c r="A30224" s="4" t="s">
        <v>38057</v>
      </c>
      <c r="B30224" s="4" t="s">
        <v>38059</v>
      </c>
      <c r="C30224" s="5" t="str">
        <f>IFERROR(__xludf.DUMMYFUNCTION("GOOGLETRANSLATE(B30224,""en"",""it"")"),"Uno si schianta duramente mentre gli altri passano e continuano la gara.")</f>
        <v>Uno si schianta duramente mentre gli altri passano e continuano la gara.</v>
      </c>
    </row>
    <row r="30225">
      <c r="A30225" s="4" t="s">
        <v>38057</v>
      </c>
      <c r="B30225" s="4" t="s">
        <v>38060</v>
      </c>
      <c r="C30225" s="5" t="str">
        <f>IFERROR(__xludf.DUMMYFUNCTION("GOOGLETRANSLATE(B30225,""en"",""it"")"),"Tutti gli uomini continuano a cavalcare la pista fino a quando uno alla fine vince mentre uno lo insegue.")</f>
        <v>Tutti gli uomini continuano a cavalcare la pista fino a quando uno alla fine vince mentre uno lo insegue.</v>
      </c>
    </row>
    <row r="30226">
      <c r="A30226" s="4" t="s">
        <v>38061</v>
      </c>
      <c r="B30226" s="4" t="s">
        <v>38062</v>
      </c>
      <c r="C30226" s="5" t="str">
        <f>IFERROR(__xludf.DUMMYFUNCTION("GOOGLETRANSLATE(B30226,""en"",""it"")"),"Una ragazza sta pulendo il lavandino.")</f>
        <v>Una ragazza sta pulendo il lavandino.</v>
      </c>
    </row>
    <row r="30227">
      <c r="A30227" s="4" t="s">
        <v>38061</v>
      </c>
      <c r="B30227" s="4" t="s">
        <v>38063</v>
      </c>
      <c r="C30227" s="5" t="str">
        <f>IFERROR(__xludf.DUMMYFUNCTION("GOOGLETRANSLATE(B30227,""en"",""it"")"),"La ragazza si bagna tutta la camicia.")</f>
        <v>La ragazza si bagna tutta la camicia.</v>
      </c>
    </row>
    <row r="30228">
      <c r="A30228" s="4" t="s">
        <v>38061</v>
      </c>
      <c r="B30228" s="4" t="s">
        <v>38064</v>
      </c>
      <c r="C30228" s="5" t="str">
        <f>IFERROR(__xludf.DUMMYFUNCTION("GOOGLETRANSLATE(B30228,""en"",""it"")"),"La ragazza indica lo scarico del lavandino.")</f>
        <v>La ragazza indica lo scarico del lavandino.</v>
      </c>
    </row>
    <row r="30229">
      <c r="A30229" s="4" t="s">
        <v>38065</v>
      </c>
      <c r="B30229" s="4" t="s">
        <v>38066</v>
      </c>
      <c r="C30229" s="5" t="str">
        <f>IFERROR(__xludf.DUMMYFUNCTION("GOOGLETRANSLATE(B30229,""en"",""it"")"),"Un bambino piccolo viene mostrato strofinando glitter su tutte le labbra e si avvicina a uno specchio.")</f>
        <v>Un bambino piccolo viene mostrato strofinando glitter su tutte le labbra e si avvicina a uno specchio.</v>
      </c>
    </row>
    <row r="30230">
      <c r="A30230" s="4" t="s">
        <v>38065</v>
      </c>
      <c r="B30230" s="6" t="s">
        <v>38067</v>
      </c>
      <c r="C30230" s="5" t="str">
        <f>IFERROR(__xludf.DUMMYFUNCTION("GOOGLETRANSLATE(B30230,""en"",""it"")"),"Continua a mettere la lucentezza sulle labbra e schiacciando le labbra e finalmente girandosi verso la telecamera per parlare.")</f>
        <v>Continua a mettere la lucentezza sulle labbra e schiacciando le labbra e finalmente girandosi verso la telecamera per parlare.</v>
      </c>
    </row>
    <row r="30231">
      <c r="A30231" s="4" t="s">
        <v>38068</v>
      </c>
      <c r="B30231" s="4" t="s">
        <v>38069</v>
      </c>
      <c r="C30231" s="5" t="str">
        <f>IFERROR(__xludf.DUMMYFUNCTION("GOOGLETRANSLATE(B30231,""en"",""it"")"),"Un uomo e una donna lavorano con una macchina cardio.")</f>
        <v>Un uomo e una donna lavorano con una macchina cardio.</v>
      </c>
    </row>
    <row r="30232">
      <c r="A30232" s="4" t="s">
        <v>38068</v>
      </c>
      <c r="B30232" s="4" t="s">
        <v>38070</v>
      </c>
      <c r="C30232" s="5" t="str">
        <f>IFERROR(__xludf.DUMMYFUNCTION("GOOGLETRANSLATE(B30232,""en"",""it"")"),"La lunghezza del passo del pedale viene visualizzata nello schermo.")</f>
        <v>La lunghezza del passo del pedale viene visualizzata nello schermo.</v>
      </c>
    </row>
    <row r="30233">
      <c r="A30233" s="4" t="s">
        <v>38068</v>
      </c>
      <c r="B30233" s="4" t="s">
        <v>38071</v>
      </c>
      <c r="C30233" s="5" t="str">
        <f>IFERROR(__xludf.DUMMYFUNCTION("GOOGLETRANSLATE(B30233,""en"",""it"")"),"Quindi, l'uomo viene a incontrare la donna che esercizio.")</f>
        <v>Quindi, l'uomo viene a incontrare la donna che esercizio.</v>
      </c>
    </row>
    <row r="30234">
      <c r="A30234" s="4" t="s">
        <v>38068</v>
      </c>
      <c r="B30234" s="4" t="s">
        <v>38072</v>
      </c>
      <c r="C30234" s="5" t="str">
        <f>IFERROR(__xludf.DUMMYFUNCTION("GOOGLETRANSLATE(B30234,""en"",""it"")"),"Quindi vengono mostrati l'esercizio dell'uomo e i muscoli dell'addome.")</f>
        <v>Quindi vengono mostrati l'esercizio dell'uomo e i muscoli dell'addome.</v>
      </c>
    </row>
    <row r="30235">
      <c r="A30235" s="4" t="s">
        <v>38068</v>
      </c>
      <c r="B30235" s="4" t="s">
        <v>38073</v>
      </c>
      <c r="C30235" s="5" t="str">
        <f>IFERROR(__xludf.DUMMYFUNCTION("GOOGLETRANSLATE(B30235,""en"",""it"")"),"Vengono visualizzati i passaggi della macchina e il pannello dello schermo.")</f>
        <v>Vengono visualizzati i passaggi della macchina e il pannello dello schermo.</v>
      </c>
    </row>
    <row r="30236">
      <c r="A30236" s="4" t="s">
        <v>38074</v>
      </c>
      <c r="B30236" s="6" t="s">
        <v>38075</v>
      </c>
      <c r="C30236" s="5" t="str">
        <f>IFERROR(__xludf.DUMMYFUNCTION("GOOGLETRANSLATE(B30236,""en"",""it"")"),"Una ragazza e un ragazzo giocano a ping pong in una stanza di tipo seminterrato con un tavolo da ping pong e luci fluorescenti per l'illuminazione.")</f>
        <v>Una ragazza e un ragazzo giocano a ping pong in una stanza di tipo seminterrato con un tavolo da ping pong e luci fluorescenti per l'illuminazione.</v>
      </c>
    </row>
    <row r="30237">
      <c r="A30237" s="4" t="s">
        <v>38074</v>
      </c>
      <c r="B30237" s="4" t="s">
        <v>38076</v>
      </c>
      <c r="C30237" s="5" t="str">
        <f>IFERROR(__xludf.DUMMYFUNCTION("GOOGLETRANSLATE(B30237,""en"",""it"")"),"Il ragazzo si avvicina alla telecamera per un primo piano.")</f>
        <v>Il ragazzo si avvicina alla telecamera per un primo piano.</v>
      </c>
    </row>
    <row r="30238">
      <c r="A30238" s="4" t="s">
        <v>38074</v>
      </c>
      <c r="B30238" s="4" t="s">
        <v>38077</v>
      </c>
      <c r="C30238" s="5" t="str">
        <f>IFERROR(__xludf.DUMMYFUNCTION("GOOGLETRANSLATE(B30238,""en"",""it"")"),"Il ragazzo e la ragazza iniziano a giocare di nuovo a Ping Pong.")</f>
        <v>Il ragazzo e la ragazza iniziano a giocare di nuovo a Ping Pong.</v>
      </c>
    </row>
    <row r="30239">
      <c r="A30239" s="4" t="s">
        <v>38078</v>
      </c>
      <c r="B30239" s="6" t="s">
        <v>38079</v>
      </c>
      <c r="C30239" s="5" t="str">
        <f>IFERROR(__xludf.DUMMYFUNCTION("GOOGLETRANSLATE(B30239,""en"",""it"")"),"La ragazza con la camicia grigia sta spazzolando il perizoma, mentre la femmina in maglietta blu sta lavando le padelle e l'altra ragazza tiene una spugna.")</f>
        <v>La ragazza con la camicia grigia sta spazzolando il perizoma, mentre la femmina in maglietta blu sta lavando le padelle e l'altra ragazza tiene una spugna.</v>
      </c>
    </row>
    <row r="30240">
      <c r="A30240" s="4" t="s">
        <v>38078</v>
      </c>
      <c r="B30240" s="4" t="s">
        <v>38080</v>
      </c>
      <c r="C30240" s="5" t="str">
        <f>IFERROR(__xludf.DUMMYFUNCTION("GOOGLETRANSLATE(B30240,""en"",""it"")"),"La ragazza più grande in blu è lavare il coltello, mentre l'altra sta pulendo la ciotola.")</f>
        <v>La ragazza più grande in blu è lavare il coltello, mentre l'altra sta pulendo la ciotola.</v>
      </c>
    </row>
    <row r="30241">
      <c r="A30241" s="4" t="s">
        <v>38078</v>
      </c>
      <c r="B30241" s="4" t="s">
        <v>38081</v>
      </c>
      <c r="C30241" s="5" t="str">
        <f>IFERROR(__xludf.DUMMYFUNCTION("GOOGLETRANSLATE(B30241,""en"",""it"")"),"Le ragazze mettono i piatti puliti sulla griglia per asciugarlo.")</f>
        <v>Le ragazze mettono i piatti puliti sulla griglia per asciugarlo.</v>
      </c>
    </row>
    <row r="30242">
      <c r="A30242" s="4" t="s">
        <v>38082</v>
      </c>
      <c r="B30242" s="4" t="s">
        <v>38083</v>
      </c>
      <c r="C30242" s="5" t="str">
        <f>IFERROR(__xludf.DUMMYFUNCTION("GOOGLETRANSLATE(B30242,""en"",""it"")"),"Una donna sorride alla telecamera.")</f>
        <v>Una donna sorride alla telecamera.</v>
      </c>
    </row>
    <row r="30243">
      <c r="A30243" s="4" t="s">
        <v>38082</v>
      </c>
      <c r="B30243" s="4" t="s">
        <v>38084</v>
      </c>
      <c r="C30243" s="5" t="str">
        <f>IFERROR(__xludf.DUMMYFUNCTION("GOOGLETRANSLATE(B30243,""en"",""it"")"),"La donna sciacquare uno spazzolino da denti sott'acqua.")</f>
        <v>La donna sciacquare uno spazzolino da denti sott'acqua.</v>
      </c>
    </row>
    <row r="30244">
      <c r="A30244" s="4" t="s">
        <v>38082</v>
      </c>
      <c r="B30244" s="4" t="s">
        <v>38085</v>
      </c>
      <c r="C30244" s="5" t="str">
        <f>IFERROR(__xludf.DUMMYFUNCTION("GOOGLETRANSLATE(B30244,""en"",""it"")"),"La donna applica il dentifricio allo spazzolino.")</f>
        <v>La donna applica il dentifricio allo spazzolino.</v>
      </c>
    </row>
    <row r="30245">
      <c r="A30245" s="4" t="s">
        <v>38082</v>
      </c>
      <c r="B30245" s="4" t="s">
        <v>38086</v>
      </c>
      <c r="C30245" s="5" t="str">
        <f>IFERROR(__xludf.DUMMYFUNCTION("GOOGLETRANSLATE(B30245,""en"",""it"")"),"La donna dimostra che la sfiora i denti.")</f>
        <v>La donna dimostra che la sfiora i denti.</v>
      </c>
    </row>
    <row r="30246">
      <c r="A30246" s="4" t="s">
        <v>38082</v>
      </c>
      <c r="B30246" s="4" t="s">
        <v>38087</v>
      </c>
      <c r="C30246" s="5" t="str">
        <f>IFERROR(__xludf.DUMMYFUNCTION("GOOGLETRANSLATE(B30246,""en"",""it"")"),"La donna sciacqua di nuovo lo spazzolino da denti sott'acqua.")</f>
        <v>La donna sciacqua di nuovo lo spazzolino da denti sott'acqua.</v>
      </c>
    </row>
    <row r="30247">
      <c r="A30247" s="4" t="s">
        <v>38082</v>
      </c>
      <c r="B30247" s="4" t="s">
        <v>38088</v>
      </c>
      <c r="C30247" s="5" t="str">
        <f>IFERROR(__xludf.DUMMYFUNCTION("GOOGLETRANSLATE(B30247,""en"",""it"")"),"La donna si sciacqua la bocca con un bicchiere d'acqua.")</f>
        <v>La donna si sciacqua la bocca con un bicchiere d'acqua.</v>
      </c>
    </row>
    <row r="30248">
      <c r="A30248" s="4" t="s">
        <v>38082</v>
      </c>
      <c r="B30248" s="4" t="s">
        <v>38089</v>
      </c>
      <c r="C30248" s="5" t="str">
        <f>IFERROR(__xludf.DUMMYFUNCTION("GOOGLETRANSLATE(B30248,""en"",""it"")"),"La donna si asciugò la bocca e mostra i denti.")</f>
        <v>La donna si asciugò la bocca e mostra i denti.</v>
      </c>
    </row>
    <row r="30249">
      <c r="A30249" s="4" t="s">
        <v>38090</v>
      </c>
      <c r="B30249" s="4" t="s">
        <v>38091</v>
      </c>
      <c r="C30249" s="5" t="str">
        <f>IFERROR(__xludf.DUMMYFUNCTION("GOOGLETRANSLATE(B30249,""en"",""it"")"),"Un gruppo di atleti viene mostrato in piedi su un tumulo, mentre uno lancia una palla a un altro giocatore.")</f>
        <v>Un gruppo di atleti viene mostrato in piedi su un tumulo, mentre uno lancia una palla a un altro giocatore.</v>
      </c>
    </row>
    <row r="30250">
      <c r="A30250" s="4" t="s">
        <v>38090</v>
      </c>
      <c r="B30250" s="4" t="s">
        <v>38092</v>
      </c>
      <c r="C30250" s="5" t="str">
        <f>IFERROR(__xludf.DUMMYFUNCTION("GOOGLETRANSLATE(B30250,""en"",""it"")"),"La pastella colpisce la palla sugli spalti e il momento viene riconquistato in 3-D.")</f>
        <v>La pastella colpisce la palla sugli spalti e il momento viene riconquistato in 3-D.</v>
      </c>
    </row>
    <row r="30251">
      <c r="A30251" s="4" t="s">
        <v>38090</v>
      </c>
      <c r="B30251" s="4" t="s">
        <v>38093</v>
      </c>
      <c r="C30251" s="5" t="str">
        <f>IFERROR(__xludf.DUMMYFUNCTION("GOOGLETRANSLATE(B30251,""en"",""it"")"),"Un giornalista commenta quanto sia stato sorprendente il successo e lo riproduce da vari angoli.")</f>
        <v>Un giornalista commenta quanto sia stato sorprendente il successo e lo riproduce da vari angoli.</v>
      </c>
    </row>
    <row r="30252">
      <c r="A30252" s="4" t="s">
        <v>38090</v>
      </c>
      <c r="B30252" s="4" t="s">
        <v>38094</v>
      </c>
      <c r="C30252" s="5" t="str">
        <f>IFERROR(__xludf.DUMMYFUNCTION("GOOGLETRANSLATE(B30252,""en"",""it"")"),"Il giocatore viene intervistato da un giornalista e ancora una volta ha mostrato il suo momento in TV.")</f>
        <v>Il giocatore viene intervistato da un giornalista e ancora una volta ha mostrato il suo momento in TV.</v>
      </c>
    </row>
    <row r="30253">
      <c r="A30253" s="4" t="s">
        <v>38095</v>
      </c>
      <c r="B30253" s="4" t="s">
        <v>38096</v>
      </c>
      <c r="C30253" s="5" t="str">
        <f>IFERROR(__xludf.DUMMYFUNCTION("GOOGLETRANSLATE(B30253,""en"",""it"")"),"All'interno di un negozio di arrampicata su una roccia, gli uomini sono raccolti attorno a un salto su una corda.")</f>
        <v>All'interno di un negozio di arrampicata su una roccia, gli uomini sono raccolti attorno a un salto su una corda.</v>
      </c>
    </row>
    <row r="30254">
      <c r="A30254" s="4" t="s">
        <v>38095</v>
      </c>
      <c r="B30254" s="4" t="s">
        <v>38097</v>
      </c>
      <c r="C30254" s="5" t="str">
        <f>IFERROR(__xludf.DUMMYFUNCTION("GOOGLETRANSLATE(B30254,""en"",""it"")"),"L'uomo nel verde fa alcuni trucchi e poi un uomo in una felpa salta e ci cammina.")</f>
        <v>L'uomo nel verde fa alcuni trucchi e poi un uomo in una felpa salta e ci cammina.</v>
      </c>
    </row>
    <row r="30255">
      <c r="A30255" s="4" t="s">
        <v>38095</v>
      </c>
      <c r="B30255" s="4" t="s">
        <v>38098</v>
      </c>
      <c r="C30255" s="5" t="str">
        <f>IFERROR(__xludf.DUMMYFUNCTION("GOOGLETRANSLATE(B30255,""en"",""it"")"),"Qualcuno ha una macchina fotografica e tutti sono sparsi per fare le proprie cose.")</f>
        <v>Qualcuno ha una macchina fotografica e tutti sono sparsi per fare le proprie cose.</v>
      </c>
    </row>
    <row r="30256">
      <c r="A30256" s="4" t="s">
        <v>38095</v>
      </c>
      <c r="B30256" s="4" t="s">
        <v>38099</v>
      </c>
      <c r="C30256" s="5" t="str">
        <f>IFERROR(__xludf.DUMMYFUNCTION("GOOGLETRANSLATE(B30256,""en"",""it"")"),"L'uomo nel verde continua a saltare sulla corda fino a quando non lo abbatte.")</f>
        <v>L'uomo nel verde continua a saltare sulla corda fino a quando non lo abbatte.</v>
      </c>
    </row>
    <row r="30257">
      <c r="A30257" s="4" t="s">
        <v>38100</v>
      </c>
      <c r="B30257" s="6" t="s">
        <v>38101</v>
      </c>
      <c r="C30257" s="5" t="str">
        <f>IFERROR(__xludf.DUMMYFUNCTION("GOOGLETRANSLATE(B30257,""en"",""it"")"),"Un maglione lungo di atletica leggera dei Florida Gators vestiti di blu e arancione si prepara a fare la sua corsa mentre altri partecipanti, allenatori e funzionari si riuniscono attorno al percorso di atletica leggera.")</f>
        <v>Un maglione lungo di atletica leggera dei Florida Gators vestiti di blu e arancione si prepara a fare la sua corsa mentre altri partecipanti, allenatori e funzionari si riuniscono attorno al percorso di atletica leggera.</v>
      </c>
    </row>
    <row r="30258">
      <c r="A30258" s="4" t="s">
        <v>38100</v>
      </c>
      <c r="B30258" s="6" t="s">
        <v>38102</v>
      </c>
      <c r="C30258" s="5" t="str">
        <f>IFERROR(__xludf.DUMMYFUNCTION("GOOGLETRANSLATE(B30258,""en"",""it"")"),"Il jumper Long Gator della Florida inizia la sua corsa con una camminata in avanti graduale, quindi un salto e uno sprint veloce al pennarello che salta la fossa di sabbia.")</f>
        <v>Il jumper Long Gator della Florida inizia la sua corsa con una camminata in avanti graduale, quindi un salto e uno sprint veloce al pennarello che salta la fossa di sabbia.</v>
      </c>
    </row>
    <row r="30259">
      <c r="A30259" s="4" t="s">
        <v>38100</v>
      </c>
      <c r="B30259" s="4" t="s">
        <v>38103</v>
      </c>
      <c r="C30259" s="5" t="str">
        <f>IFERROR(__xludf.DUMMYFUNCTION("GOOGLETRANSLATE(B30259,""en"",""it"")"),"Il jumper Long Gator della Florida salta e vola nell'aria e atterra nella sabbia.")</f>
        <v>Il jumper Long Gator della Florida salta e vola nell'aria e atterra nella sabbia.</v>
      </c>
    </row>
    <row r="30260">
      <c r="A30260" s="4" t="s">
        <v>38100</v>
      </c>
      <c r="B30260" s="4" t="s">
        <v>38104</v>
      </c>
      <c r="C30260" s="5" t="str">
        <f>IFERROR(__xludf.DUMMYFUNCTION("GOOGLETRANSLATE(B30260,""en"",""it"")"),"La fotocamera si panoramica sul tabellone che mostra i risultati dei saltatori di lunghezza.")</f>
        <v>La fotocamera si panoramica sul tabellone che mostra i risultati dei saltatori di lunghezza.</v>
      </c>
    </row>
    <row r="30261">
      <c r="A30261" s="4" t="s">
        <v>38105</v>
      </c>
      <c r="B30261" s="4" t="s">
        <v>38106</v>
      </c>
      <c r="C30261" s="5" t="str">
        <f>IFERROR(__xludf.DUMMYFUNCTION("GOOGLETRANSLATE(B30261,""en"",""it"")"),"Un'introduzione inizia e conduce a una donna in piedi accanto a un pastore tedesco su un tavolo.")</f>
        <v>Un'introduzione inizia e conduce a una donna in piedi accanto a un pastore tedesco su un tavolo.</v>
      </c>
    </row>
    <row r="30262">
      <c r="A30262" s="4" t="s">
        <v>38105</v>
      </c>
      <c r="B30262" s="6" t="s">
        <v>38107</v>
      </c>
      <c r="C30262" s="5" t="str">
        <f>IFERROR(__xludf.DUMMYFUNCTION("GOOGLETRANSLATE(B30262,""en"",""it"")"),"Si verifica un orologio da movimento rapido del negozio, quindi mostra la donna che sfiora il cane con diversi strumenti.")</f>
        <v>Si verifica un orologio da movimento rapido del negozio, quindi mostra la donna che sfiora il cane con diversi strumenti.</v>
      </c>
    </row>
    <row r="30263">
      <c r="A30263" s="4" t="s">
        <v>38105</v>
      </c>
      <c r="B30263" s="4" t="s">
        <v>38108</v>
      </c>
      <c r="C30263" s="5" t="str">
        <f>IFERROR(__xludf.DUMMYFUNCTION("GOOGLETRANSLATE(B30263,""en"",""it"")"),"Accoglie un po 'il cane mentre continua a spazzolarlo e parlare con la telecamera.")</f>
        <v>Accoglie un po 'il cane mentre continua a spazzolarlo e parlare con la telecamera.</v>
      </c>
    </row>
    <row r="30264">
      <c r="A30264" s="4" t="s">
        <v>38109</v>
      </c>
      <c r="B30264" s="4" t="s">
        <v>38110</v>
      </c>
      <c r="C30264" s="5" t="str">
        <f>IFERROR(__xludf.DUMMYFUNCTION("GOOGLETRANSLATE(B30264,""en"",""it"")"),"Le bambine si esibiscono tenendo bastoncini che si muovono attorno a un bastone girando.")</f>
        <v>Le bambine si esibiscono tenendo bastoncini che si muovono attorno a un bastone girando.</v>
      </c>
    </row>
    <row r="30265">
      <c r="A30265" s="4" t="s">
        <v>38109</v>
      </c>
      <c r="B30265" s="4" t="s">
        <v>38111</v>
      </c>
      <c r="C30265" s="5" t="str">
        <f>IFERROR(__xludf.DUMMYFUNCTION("GOOGLETRANSLATE(B30265,""en"",""it"")"),"Le bambine tengono i bastoncini e saltano in giro.")</f>
        <v>Le bambine tengono i bastoncini e saltano in giro.</v>
      </c>
    </row>
    <row r="30266">
      <c r="A30266" s="4" t="s">
        <v>38109</v>
      </c>
      <c r="B30266" s="4" t="s">
        <v>38112</v>
      </c>
      <c r="C30266" s="5" t="str">
        <f>IFERROR(__xludf.DUMMYFUNCTION("GOOGLETRANSLATE(B30266,""en"",""it"")"),"Due donne camminano verso la porta.")</f>
        <v>Due donne camminano verso la porta.</v>
      </c>
    </row>
    <row r="30267">
      <c r="A30267" s="4" t="s">
        <v>38109</v>
      </c>
      <c r="B30267" s="4" t="s">
        <v>38113</v>
      </c>
      <c r="C30267" s="5" t="str">
        <f>IFERROR(__xludf.DUMMYFUNCTION("GOOGLETRANSLATE(B30267,""en"",""it"")"),"Dopo, le bambine gira sul pavimento, quindi continuano a saltare e girare in giro.")</f>
        <v>Dopo, le bambine gira sul pavimento, quindi continuano a saltare e girare in giro.</v>
      </c>
    </row>
    <row r="30268">
      <c r="A30268" s="4" t="s">
        <v>38109</v>
      </c>
      <c r="B30268" s="4" t="s">
        <v>38114</v>
      </c>
      <c r="C30268" s="5" t="str">
        <f>IFERROR(__xludf.DUMMYFUNCTION("GOOGLETRANSLATE(B30268,""en"",""it"")"),"Successivamente, le ragazze si riuniscono per salutare.")</f>
        <v>Successivamente, le ragazze si riuniscono per salutare.</v>
      </c>
    </row>
    <row r="30269">
      <c r="A30269" s="4" t="s">
        <v>38115</v>
      </c>
      <c r="B30269" s="4" t="s">
        <v>38116</v>
      </c>
      <c r="C30269" s="5" t="str">
        <f>IFERROR(__xludf.DUMMYFUNCTION("GOOGLETRANSLATE(B30269,""en"",""it"")"),"Un uomo suona Tam-Tam, e poi parla con le mani incrociate su un tan-tam.")</f>
        <v>Un uomo suona Tam-Tam, e poi parla con le mani incrociate su un tan-tam.</v>
      </c>
    </row>
    <row r="30270">
      <c r="A30270" s="4" t="s">
        <v>38115</v>
      </c>
      <c r="B30270" s="4" t="s">
        <v>38117</v>
      </c>
      <c r="C30270" s="5" t="str">
        <f>IFERROR(__xludf.DUMMYFUNCTION("GOOGLETRANSLATE(B30270,""en"",""it"")"),"Quindi, l'uomo suona Tam-Tam con la mano destra e gioca con i bastoncini con la mano sinistra.")</f>
        <v>Quindi, l'uomo suona Tam-Tam con la mano destra e gioca con i bastoncini con la mano sinistra.</v>
      </c>
    </row>
    <row r="30271">
      <c r="A30271" s="4" t="s">
        <v>38118</v>
      </c>
      <c r="B30271" s="4" t="s">
        <v>38119</v>
      </c>
      <c r="C30271" s="5" t="str">
        <f>IFERROR(__xludf.DUMMYFUNCTION("GOOGLETRANSLATE(B30271,""en"",""it"")"),"Un uomo esce su un campo di gioco con un grande dalmata.")</f>
        <v>Un uomo esce su un campo di gioco con un grande dalmata.</v>
      </c>
    </row>
    <row r="30272">
      <c r="A30272" s="4" t="s">
        <v>38118</v>
      </c>
      <c r="B30272" s="4" t="s">
        <v>38120</v>
      </c>
      <c r="C30272" s="5" t="str">
        <f>IFERROR(__xludf.DUMMYFUNCTION("GOOGLETRANSLATE(B30272,""en"",""it"")"),"L'uomo si ferma e lancia il frisbee e lo restituisce all'uomo.")</f>
        <v>L'uomo si ferma e lancia il frisbee e lo restituisce all'uomo.</v>
      </c>
    </row>
    <row r="30273">
      <c r="A30273" s="4" t="s">
        <v>38118</v>
      </c>
      <c r="B30273" s="4" t="s">
        <v>38121</v>
      </c>
      <c r="C30273" s="5" t="str">
        <f>IFERROR(__xludf.DUMMYFUNCTION("GOOGLETRANSLATE(B30273,""en"",""it"")"),"Il cane corre in cerchio sul campo con il frisbee.")</f>
        <v>Il cane corre in cerchio sul campo con il frisbee.</v>
      </c>
    </row>
    <row r="30274">
      <c r="A30274" s="4" t="s">
        <v>38122</v>
      </c>
      <c r="B30274" s="4" t="s">
        <v>38123</v>
      </c>
      <c r="C30274" s="5" t="str">
        <f>IFERROR(__xludf.DUMMYFUNCTION("GOOGLETRANSLATE(B30274,""en"",""it"")"),"Una persona sta tagliando Cordwood usando uno splitter di tronchi.")</f>
        <v>Una persona sta tagliando Cordwood usando uno splitter di tronchi.</v>
      </c>
    </row>
    <row r="30275">
      <c r="A30275" s="4" t="s">
        <v>38122</v>
      </c>
      <c r="B30275" s="4" t="s">
        <v>38124</v>
      </c>
      <c r="C30275" s="5" t="str">
        <f>IFERROR(__xludf.DUMMYFUNCTION("GOOGLETRANSLATE(B30275,""en"",""it"")"),"Viene mostrato il legno rimanente e i monconi vengono tagliati.")</f>
        <v>Viene mostrato il legno rimanente e i monconi vengono tagliati.</v>
      </c>
    </row>
    <row r="30276">
      <c r="A30276" s="4" t="s">
        <v>38125</v>
      </c>
      <c r="B30276" s="4" t="s">
        <v>38126</v>
      </c>
      <c r="C30276" s="5" t="str">
        <f>IFERROR(__xludf.DUMMYFUNCTION("GOOGLETRANSLATE(B30276,""en"",""it"")"),"Una telecamera si panoramica intorno a un lago e mostra una persona in giro su una canoa.")</f>
        <v>Una telecamera si panoramica intorno a un lago e mostra una persona in giro su una canoa.</v>
      </c>
    </row>
    <row r="30277">
      <c r="A30277" s="4" t="s">
        <v>38125</v>
      </c>
      <c r="B30277" s="4" t="s">
        <v>38127</v>
      </c>
      <c r="C30277" s="5" t="str">
        <f>IFERROR(__xludf.DUMMYFUNCTION("GOOGLETRANSLATE(B30277,""en"",""it"")"),"La persona rimane bloccata davanti a una roccia e alla fine si recava.")</f>
        <v>La persona rimane bloccata davanti a una roccia e alla fine si recava.</v>
      </c>
    </row>
    <row r="30278">
      <c r="A30278" s="4" t="s">
        <v>38125</v>
      </c>
      <c r="B30278" s="4" t="s">
        <v>38128</v>
      </c>
      <c r="C30278" s="5" t="str">
        <f>IFERROR(__xludf.DUMMYFUNCTION("GOOGLETRANSLATE(B30278,""en"",""it"")"),"La persona continua a rimanere bloccata nell'area ma si muove con successo.")</f>
        <v>La persona continua a rimanere bloccata nell'area ma si muove con successo.</v>
      </c>
    </row>
    <row r="30279">
      <c r="A30279" s="4" t="s">
        <v>38129</v>
      </c>
      <c r="B30279" s="4" t="s">
        <v>38130</v>
      </c>
      <c r="C30279" s="5" t="str">
        <f>IFERROR(__xludf.DUMMYFUNCTION("GOOGLETRANSLATE(B30279,""en"",""it"")"),"L'uomo in giacca e cravatta sta parlando con la telecamera mentre le persone sono dietro di lui.")</f>
        <v>L'uomo in giacca e cravatta sta parlando con la telecamera mentre le persone sono dietro di lui.</v>
      </c>
    </row>
    <row r="30280">
      <c r="A30280" s="4" t="s">
        <v>38129</v>
      </c>
      <c r="B30280" s="4" t="s">
        <v>38131</v>
      </c>
      <c r="C30280" s="5" t="str">
        <f>IFERROR(__xludf.DUMMYFUNCTION("GOOGLETRANSLATE(B30280,""en"",""it"")"),"L'uomo più anziano getta le freccette sul bordo di freccette e tre freccette atterrarono su un posto.")</f>
        <v>L'uomo più anziano getta le freccette sul bordo di freccette e tre freccette atterrarono su un posto.</v>
      </c>
    </row>
    <row r="30281">
      <c r="A30281" s="4" t="s">
        <v>38129</v>
      </c>
      <c r="B30281" s="6" t="s">
        <v>38132</v>
      </c>
      <c r="C30281" s="5" t="str">
        <f>IFERROR(__xludf.DUMMYFUNCTION("GOOGLETRANSLATE(B30281,""en"",""it"")"),"L'uomo si posizionò, quindi lanciava le freccette nel tabellone e le freccette si allontanano l'una dall'altra.")</f>
        <v>L'uomo si posizionò, quindi lanciava le freccette nel tabellone e le freccette si allontanano l'una dall'altra.</v>
      </c>
    </row>
    <row r="30282">
      <c r="A30282" s="4" t="s">
        <v>38129</v>
      </c>
      <c r="B30282" s="4" t="s">
        <v>38133</v>
      </c>
      <c r="C30282" s="5" t="str">
        <f>IFERROR(__xludf.DUMMYFUNCTION("GOOGLETRANSLATE(B30282,""en"",""it"")"),"L'uomo continua a colpire la tavola con freccette.")</f>
        <v>L'uomo continua a colpire la tavola con freccette.</v>
      </c>
    </row>
    <row r="30283">
      <c r="A30283" s="4" t="s">
        <v>38134</v>
      </c>
      <c r="B30283" s="6" t="s">
        <v>38135</v>
      </c>
      <c r="C30283" s="5" t="str">
        <f>IFERROR(__xludf.DUMMYFUNCTION("GOOGLETRANSLATE(B30283,""en"",""it"")"),"La telecamera si muove attorno a un folto gruppo di donne sedute a sedia a lavorare a maglia e parlano tra loro.")</f>
        <v>La telecamera si muove attorno a un folto gruppo di donne sedute a sedia a lavorare a maglia e parlano tra loro.</v>
      </c>
    </row>
    <row r="30284">
      <c r="A30284" s="4" t="s">
        <v>38134</v>
      </c>
      <c r="B30284" s="6" t="s">
        <v>38136</v>
      </c>
      <c r="C30284" s="5" t="str">
        <f>IFERROR(__xludf.DUMMYFUNCTION("GOOGLETRANSLATE(B30284,""en"",""it"")"),"Vengono mostrati diversi colpi di donne che lavorano a maglia e che riportano in persone che si aiutano a vicenda e altre foto mostrate.")</f>
        <v>Vengono mostrati diversi colpi di donne che lavorano a maglia e che riportano in persone che si aiutano a vicenda e altre foto mostrate.</v>
      </c>
    </row>
    <row r="30285">
      <c r="A30285" s="4" t="s">
        <v>38137</v>
      </c>
      <c r="B30285" s="4" t="s">
        <v>38138</v>
      </c>
      <c r="C30285" s="5" t="str">
        <f>IFERROR(__xludf.DUMMYFUNCTION("GOOGLETRANSLATE(B30285,""en"",""it"")"),"Un sacco di compagni di squadra stanno cavalcando cavalli sul campo.")</f>
        <v>Un sacco di compagni di squadra stanno cavalcando cavalli sul campo.</v>
      </c>
    </row>
    <row r="30286">
      <c r="A30286" s="4" t="s">
        <v>38137</v>
      </c>
      <c r="B30286" s="4" t="s">
        <v>38139</v>
      </c>
      <c r="C30286" s="5" t="str">
        <f>IFERROR(__xludf.DUMMYFUNCTION("GOOGLETRANSLATE(B30286,""en"",""it"")"),"Stanno giocando a polo.")</f>
        <v>Stanno giocando a polo.</v>
      </c>
    </row>
    <row r="30287">
      <c r="A30287" s="4" t="s">
        <v>38137</v>
      </c>
      <c r="B30287" s="4" t="s">
        <v>38140</v>
      </c>
      <c r="C30287" s="5" t="str">
        <f>IFERROR(__xludf.DUMMYFUNCTION("GOOGLETRANSLATE(B30287,""en"",""it"")"),"Le persone corrono sui loro cavalli, cercando di colpire la palla.")</f>
        <v>Le persone corrono sui loro cavalli, cercando di colpire la palla.</v>
      </c>
    </row>
    <row r="30288">
      <c r="A30288" s="4" t="s">
        <v>38141</v>
      </c>
      <c r="B30288" s="4" t="s">
        <v>38142</v>
      </c>
      <c r="C30288" s="5" t="str">
        <f>IFERROR(__xludf.DUMMYFUNCTION("GOOGLETRANSLATE(B30288,""en"",""it"")"),"Un uomo sta parlando di fronte a una parete di arrampicata su roccia.")</f>
        <v>Un uomo sta parlando di fronte a una parete di arrampicata su roccia.</v>
      </c>
    </row>
    <row r="30289">
      <c r="A30289" s="4" t="s">
        <v>38141</v>
      </c>
      <c r="B30289" s="4" t="s">
        <v>38143</v>
      </c>
      <c r="C30289" s="5" t="str">
        <f>IFERROR(__xludf.DUMMYFUNCTION("GOOGLETRANSLATE(B30289,""en"",""it"")"),"Comincia a scalare la parete di arrampicata su roccia.")</f>
        <v>Comincia a scalare la parete di arrampicata su roccia.</v>
      </c>
    </row>
    <row r="30290">
      <c r="A30290" s="4" t="s">
        <v>38141</v>
      </c>
      <c r="B30290" s="4" t="s">
        <v>38144</v>
      </c>
      <c r="C30290" s="5" t="str">
        <f>IFERROR(__xludf.DUMMYFUNCTION("GOOGLETRANSLATE(B30290,""en"",""it"")"),"Un uomo con un cappello giallo sta parlando.")</f>
        <v>Un uomo con un cappello giallo sta parlando.</v>
      </c>
    </row>
    <row r="30291">
      <c r="A30291" s="4" t="s">
        <v>38141</v>
      </c>
      <c r="B30291" s="4" t="s">
        <v>38145</v>
      </c>
      <c r="C30291" s="5" t="str">
        <f>IFERROR(__xludf.DUMMYFUNCTION("GOOGLETRANSLATE(B30291,""en"",""it"")"),"Si arrampica sul muro.")</f>
        <v>Si arrampica sul muro.</v>
      </c>
    </row>
    <row r="30292">
      <c r="A30292" s="4" t="s">
        <v>38141</v>
      </c>
      <c r="B30292" s="4" t="s">
        <v>38146</v>
      </c>
      <c r="C30292" s="5" t="str">
        <f>IFERROR(__xludf.DUMMYFUNCTION("GOOGLETRANSLATE(B30292,""en"",""it"")"),"Diverse persone si arrampicano sul muro di arrampicata su roccia.")</f>
        <v>Diverse persone si arrampicano sul muro di arrampicata su roccia.</v>
      </c>
    </row>
    <row r="30293">
      <c r="A30293" s="4" t="s">
        <v>38147</v>
      </c>
      <c r="B30293" s="4" t="s">
        <v>38148</v>
      </c>
      <c r="C30293" s="5" t="str">
        <f>IFERROR(__xludf.DUMMYFUNCTION("GOOGLETRANSLATE(B30293,""en"",""it"")"),"Un uomo che indossa bauli da bagno neri seduto su un tubo interno mentre scivola lungo uno scivolo del tubo.")</f>
        <v>Un uomo che indossa bauli da bagno neri seduto su un tubo interno mentre scivola lungo uno scivolo del tubo.</v>
      </c>
    </row>
    <row r="30294">
      <c r="A30294" s="4" t="s">
        <v>38147</v>
      </c>
      <c r="B30294" s="4" t="s">
        <v>38149</v>
      </c>
      <c r="C30294" s="5" t="str">
        <f>IFERROR(__xludf.DUMMYFUNCTION("GOOGLETRANSLATE(B30294,""en"",""it"")"),"Un uomo che indossa tronchi scuri si trova su un giro in acqua chiusa in un parco acquatico.")</f>
        <v>Un uomo che indossa tronchi scuri si trova su un giro in acqua chiusa in un parco acquatico.</v>
      </c>
    </row>
    <row r="30295">
      <c r="A30295" s="4" t="s">
        <v>38147</v>
      </c>
      <c r="B30295" s="4" t="s">
        <v>38150</v>
      </c>
      <c r="C30295" s="5" t="str">
        <f>IFERROR(__xludf.DUMMYFUNCTION("GOOGLETRANSLATE(B30295,""en"",""it"")"),"Due uomini scivolano giù per uno scivolo d'acqua blu in un parco acquatico e finiscono in un'enorme piscina.")</f>
        <v>Due uomini scivolano giù per uno scivolo d'acqua blu in un parco acquatico e finiscono in un'enorme piscina.</v>
      </c>
    </row>
    <row r="30296">
      <c r="A30296" s="4" t="s">
        <v>38147</v>
      </c>
      <c r="B30296" s="4" t="s">
        <v>38151</v>
      </c>
      <c r="C30296" s="5" t="str">
        <f>IFERROR(__xludf.DUMMYFUNCTION("GOOGLETRANSLATE(B30296,""en"",""it"")"),"Scene diverse di un gruppo di persone che nuotano in diverse parti di un parco acquatico.")</f>
        <v>Scene diverse di un gruppo di persone che nuotano in diverse parti di un parco acquatico.</v>
      </c>
    </row>
    <row r="30297">
      <c r="A30297" s="4" t="s">
        <v>38152</v>
      </c>
      <c r="B30297" s="4" t="s">
        <v>38153</v>
      </c>
      <c r="C30297" s="5" t="str">
        <f>IFERROR(__xludf.DUMMYFUNCTION("GOOGLETRANSLATE(B30297,""en"",""it"")"),"Un uomo vestito con attrezzatura bianca di curling sta partecipando a questo sport.")</f>
        <v>Un uomo vestito con attrezzatura bianca di curling sta partecipando a questo sport.</v>
      </c>
    </row>
    <row r="30298">
      <c r="A30298" s="4" t="s">
        <v>38152</v>
      </c>
      <c r="B30298" s="4" t="s">
        <v>38154</v>
      </c>
      <c r="C30298" s="5" t="str">
        <f>IFERROR(__xludf.DUMMYFUNCTION("GOOGLETRANSLATE(B30298,""en"",""it"")"),"Va sulla pista di arricciatura con il suo bastone e roccia.")</f>
        <v>Va sulla pista di arricciatura con il suo bastone e roccia.</v>
      </c>
    </row>
    <row r="30299">
      <c r="A30299" s="4" t="s">
        <v>38152</v>
      </c>
      <c r="B30299" s="4" t="s">
        <v>38155</v>
      </c>
      <c r="C30299" s="5" t="str">
        <f>IFERROR(__xludf.DUMMYFUNCTION("GOOGLETRANSLATE(B30299,""en"",""it"")"),"Sta praticando lo sport mentre in un altro luogo ci sono due musicisti che si esibiscono.")</f>
        <v>Sta praticando lo sport mentre in un altro luogo ci sono due musicisti che si esibiscono.</v>
      </c>
    </row>
    <row r="30300">
      <c r="A30300" s="4" t="s">
        <v>38152</v>
      </c>
      <c r="B30300" s="6" t="s">
        <v>38156</v>
      </c>
      <c r="C30300" s="5" t="str">
        <f>IFERROR(__xludf.DUMMYFUNCTION("GOOGLETRANSLATE(B30300,""en"",""it"")"),"Stanno entrambi cantando come un musicista suona una chitarra e l'altro sta battendo un tamburello.")</f>
        <v>Stanno entrambi cantando come un musicista suona una chitarra e l'altro sta battendo un tamburello.</v>
      </c>
    </row>
    <row r="30301">
      <c r="A30301" s="4" t="s">
        <v>38152</v>
      </c>
      <c r="B30301" s="4" t="s">
        <v>38157</v>
      </c>
      <c r="C30301" s="5" t="str">
        <f>IFERROR(__xludf.DUMMYFUNCTION("GOOGLETRANSLATE(B30301,""en"",""it"")"),"L'uomo continua a giocare a curling sulla pista di pattinaggio mentre spinge la roccia con il suo bastone arricciacapelli.")</f>
        <v>L'uomo continua a giocare a curling sulla pista di pattinaggio mentre spinge la roccia con il suo bastone arricciacapelli.</v>
      </c>
    </row>
    <row r="30302">
      <c r="A30302" s="4" t="s">
        <v>38152</v>
      </c>
      <c r="B30302" s="4" t="s">
        <v>38158</v>
      </c>
      <c r="C30302" s="5" t="str">
        <f>IFERROR(__xludf.DUMMYFUNCTION("GOOGLETRANSLATE(B30302,""en"",""it"")"),"Viene mostrato nella foto con un altro giovane.")</f>
        <v>Viene mostrato nella foto con un altro giovane.</v>
      </c>
    </row>
    <row r="30303">
      <c r="A30303" s="4" t="s">
        <v>38152</v>
      </c>
      <c r="B30303" s="4" t="s">
        <v>38159</v>
      </c>
      <c r="C30303" s="5" t="str">
        <f>IFERROR(__xludf.DUMMYFUNCTION("GOOGLETRANSLATE(B30303,""en"",""it"")"),"Sta in posa per foto con persone diverse mentre tiene in mano un manico di scopa.")</f>
        <v>Sta in posa per foto con persone diverse mentre tiene in mano un manico di scopa.</v>
      </c>
    </row>
    <row r="30304">
      <c r="A30304" s="4" t="s">
        <v>38152</v>
      </c>
      <c r="B30304" s="4" t="s">
        <v>38160</v>
      </c>
      <c r="C30304" s="5" t="str">
        <f>IFERROR(__xludf.DUMMYFUNCTION("GOOGLETRANSLATE(B30304,""en"",""it"")"),"È tornato nella pista di arricciacapelli, cantando e roteava il bastoncino di arricciatura tra le mani.")</f>
        <v>È tornato nella pista di arricciacapelli, cantando e roteava il bastoncino di arricciatura tra le mani.</v>
      </c>
    </row>
    <row r="30305">
      <c r="A30305" s="4" t="s">
        <v>38161</v>
      </c>
      <c r="B30305" s="4" t="s">
        <v>38162</v>
      </c>
      <c r="C30305" s="5" t="str">
        <f>IFERROR(__xludf.DUMMYFUNCTION("GOOGLETRANSLATE(B30305,""en"",""it"")"),"Un uomo è in piedi a un tavolo che tiene in prua in mano a parlare.")</f>
        <v>Un uomo è in piedi a un tavolo che tiene in prua in mano a parlare.</v>
      </c>
    </row>
    <row r="30306">
      <c r="A30306" s="4" t="s">
        <v>38161</v>
      </c>
      <c r="B30306" s="4" t="s">
        <v>38163</v>
      </c>
      <c r="C30306" s="5" t="str">
        <f>IFERROR(__xludf.DUMMYFUNCTION("GOOGLETRANSLATE(B30306,""en"",""it"")"),"Quindi esce e lancia una freccia a un bersaglio.")</f>
        <v>Quindi esce e lancia una freccia a un bersaglio.</v>
      </c>
    </row>
    <row r="30307">
      <c r="A30307" s="4" t="s">
        <v>38161</v>
      </c>
      <c r="B30307" s="4" t="s">
        <v>38164</v>
      </c>
      <c r="C30307" s="5" t="str">
        <f>IFERROR(__xludf.DUMMYFUNCTION("GOOGLETRANSLATE(B30307,""en"",""it"")"),"Viene mostrato un primo piano dell'arco.")</f>
        <v>Viene mostrato un primo piano dell'arco.</v>
      </c>
    </row>
    <row r="30308">
      <c r="A30308" s="4" t="s">
        <v>38165</v>
      </c>
      <c r="B30308" s="4" t="s">
        <v>7411</v>
      </c>
      <c r="C30308" s="5" t="str">
        <f>IFERROR(__xludf.DUMMYFUNCTION("GOOGLETRANSLATE(B30308,""en"",""it"")"),"Vediamo uno schermo di apertura blu.")</f>
        <v>Vediamo uno schermo di apertura blu.</v>
      </c>
    </row>
    <row r="30309">
      <c r="A30309" s="4" t="s">
        <v>38165</v>
      </c>
      <c r="B30309" s="4" t="s">
        <v>38166</v>
      </c>
      <c r="C30309" s="5" t="str">
        <f>IFERROR(__xludf.DUMMYFUNCTION("GOOGLETRANSLATE(B30309,""en"",""it"")"),"Vediamo quindi persone che risolvono i cubi di Rubiks in una competizione.")</f>
        <v>Vediamo quindi persone che risolvono i cubi di Rubiks in una competizione.</v>
      </c>
    </row>
    <row r="30310">
      <c r="A30310" s="4" t="s">
        <v>38165</v>
      </c>
      <c r="B30310" s="4" t="s">
        <v>38167</v>
      </c>
      <c r="C30310" s="5" t="str">
        <f>IFERROR(__xludf.DUMMYFUNCTION("GOOGLETRANSLATE(B30310,""en"",""it"")"),"Un ragazzo finisce, solleva le braccia e gira sulla sedia.")</f>
        <v>Un ragazzo finisce, solleva le braccia e gira sulla sedia.</v>
      </c>
    </row>
    <row r="30311">
      <c r="A30311" s="4" t="s">
        <v>38165</v>
      </c>
      <c r="B30311" s="4" t="s">
        <v>38168</v>
      </c>
      <c r="C30311" s="5" t="str">
        <f>IFERROR(__xludf.DUMMYFUNCTION("GOOGLETRANSLATE(B30311,""en"",""it"")"),"Vediamo un ragazzo gettare le braccia e urla.")</f>
        <v>Vediamo un ragazzo gettare le braccia e urla.</v>
      </c>
    </row>
    <row r="30312">
      <c r="A30312" s="4" t="s">
        <v>38169</v>
      </c>
      <c r="B30312" s="4" t="s">
        <v>38170</v>
      </c>
      <c r="C30312" s="5" t="str">
        <f>IFERROR(__xludf.DUMMYFUNCTION("GOOGLETRANSLATE(B30312,""en"",""it"")"),"Una squadra si prepara a giocare una partita chiamata Hurling.")</f>
        <v>Una squadra si prepara a giocare una partita chiamata Hurling.</v>
      </c>
    </row>
    <row r="30313">
      <c r="A30313" s="4" t="s">
        <v>38169</v>
      </c>
      <c r="B30313" s="4" t="s">
        <v>38171</v>
      </c>
      <c r="C30313" s="5" t="str">
        <f>IFERROR(__xludf.DUMMYFUNCTION("GOOGLETRANSLATE(B30313,""en"",""it"")"),"Vengono mostrati i punti salienti di un gioco e i giocatori vengono intervistati.")</f>
        <v>Vengono mostrati i punti salienti di un gioco e i giocatori vengono intervistati.</v>
      </c>
    </row>
    <row r="30314">
      <c r="A30314" s="4" t="s">
        <v>38169</v>
      </c>
      <c r="B30314" s="4" t="s">
        <v>38172</v>
      </c>
      <c r="C30314" s="5" t="str">
        <f>IFERROR(__xludf.DUMMYFUNCTION("GOOGLETRANSLATE(B30314,""en"",""it"")"),"I compagni di squadra esultano a margine.")</f>
        <v>I compagni di squadra esultano a margine.</v>
      </c>
    </row>
    <row r="30315">
      <c r="A30315" s="4" t="s">
        <v>38173</v>
      </c>
      <c r="B30315" s="4" t="s">
        <v>38174</v>
      </c>
      <c r="C30315" s="5" t="str">
        <f>IFERROR(__xludf.DUMMYFUNCTION("GOOGLETRANSLATE(B30315,""en"",""it"")"),"Un uomo in un cappotto blu è in piedi sulla neve a parlare.")</f>
        <v>Un uomo in un cappotto blu è in piedi sulla neve a parlare.</v>
      </c>
    </row>
    <row r="30316">
      <c r="A30316" s="4" t="s">
        <v>38173</v>
      </c>
      <c r="B30316" s="4" t="s">
        <v>38175</v>
      </c>
      <c r="C30316" s="5" t="str">
        <f>IFERROR(__xludf.DUMMYFUNCTION("GOOGLETRANSLATE(B30316,""en"",""it"")"),"Comincia a sciare lungo una collina di neve.")</f>
        <v>Comincia a sciare lungo una collina di neve.</v>
      </c>
    </row>
    <row r="30317">
      <c r="A30317" s="4" t="s">
        <v>38173</v>
      </c>
      <c r="B30317" s="4" t="s">
        <v>6460</v>
      </c>
      <c r="C30317" s="5" t="str">
        <f>IFERROR(__xludf.DUMMYFUNCTION("GOOGLETRANSLATE(B30317,""en"",""it"")"),"Continua a parlare con la telecamera.")</f>
        <v>Continua a parlare con la telecamera.</v>
      </c>
    </row>
    <row r="30318">
      <c r="A30318" s="4" t="s">
        <v>38176</v>
      </c>
      <c r="B30318" s="4" t="s">
        <v>38177</v>
      </c>
      <c r="C30318" s="5" t="str">
        <f>IFERROR(__xludf.DUMMYFUNCTION("GOOGLETRANSLATE(B30318,""en"",""it"")"),"Un uomo viene visto camminare in un cerchio e guardare in lontananza.")</f>
        <v>Un uomo viene visto camminare in un cerchio e guardare in lontananza.</v>
      </c>
    </row>
    <row r="30319">
      <c r="A30319" s="4" t="s">
        <v>38176</v>
      </c>
      <c r="B30319" s="4" t="s">
        <v>38178</v>
      </c>
      <c r="C30319" s="5" t="str">
        <f>IFERROR(__xludf.DUMMYFUNCTION("GOOGLETRANSLATE(B30319,""en"",""it"")"),"L'uomo si estende un po 'e inizia a girare.")</f>
        <v>L'uomo si estende un po 'e inizia a girare.</v>
      </c>
    </row>
    <row r="30320">
      <c r="A30320" s="4" t="s">
        <v>38176</v>
      </c>
      <c r="B30320" s="4" t="s">
        <v>38179</v>
      </c>
      <c r="C30320" s="5" t="str">
        <f>IFERROR(__xludf.DUMMYFUNCTION("GOOGLETRANSLATE(B30320,""en"",""it"")"),"Continua a girare e finisce allontanandosi.")</f>
        <v>Continua a girare e finisce allontanandosi.</v>
      </c>
    </row>
    <row r="30321">
      <c r="A30321" s="4" t="s">
        <v>38180</v>
      </c>
      <c r="B30321" s="4" t="s">
        <v>38181</v>
      </c>
      <c r="C30321" s="5" t="str">
        <f>IFERROR(__xludf.DUMMYFUNCTION("GOOGLETRANSLATE(B30321,""en"",""it"")"),"L'uomo con camicia blu tiene in mano un flacone spray bianco con coperchio verde e nero.")</f>
        <v>L'uomo con camicia blu tiene in mano un flacone spray bianco con coperchio verde e nero.</v>
      </c>
    </row>
    <row r="30322">
      <c r="A30322" s="4" t="s">
        <v>38180</v>
      </c>
      <c r="B30322" s="4" t="s">
        <v>38182</v>
      </c>
      <c r="C30322" s="5" t="str">
        <f>IFERROR(__xludf.DUMMYFUNCTION("GOOGLETRANSLATE(B30322,""en"",""it"")"),"Ha iniziato a spruzzare il contenuto della bottiglia sul cofano dell'auto bianca.")</f>
        <v>Ha iniziato a spruzzare il contenuto della bottiglia sul cofano dell'auto bianca.</v>
      </c>
    </row>
    <row r="30323">
      <c r="A30323" s="4" t="s">
        <v>38180</v>
      </c>
      <c r="B30323" s="4" t="s">
        <v>38183</v>
      </c>
      <c r="C30323" s="5" t="str">
        <f>IFERROR(__xludf.DUMMYFUNCTION("GOOGLETRANSLATE(B30323,""en"",""it"")"),"Si asciugò il cofano e la parte posteriore della macchina bianca con un panno giallo.")</f>
        <v>Si asciugò il cofano e la parte posteriore della macchina bianca con un panno giallo.</v>
      </c>
    </row>
    <row r="30324">
      <c r="A30324" s="4" t="s">
        <v>38180</v>
      </c>
      <c r="B30324" s="6" t="s">
        <v>38184</v>
      </c>
      <c r="C30324" s="5" t="str">
        <f>IFERROR(__xludf.DUMMYFUNCTION("GOOGLETRANSLATE(B30324,""en"",""it"")"),"Assumi il pavimento dell'auto sul lato del conducente, pulita lo sporco dal volante usando il panno giallo.")</f>
        <v>Assumi il pavimento dell'auto sul lato del conducente, pulita lo sporco dal volante usando il panno giallo.</v>
      </c>
    </row>
    <row r="30325">
      <c r="A30325" s="4" t="s">
        <v>38180</v>
      </c>
      <c r="B30325" s="4" t="s">
        <v>38185</v>
      </c>
      <c r="C30325" s="5" t="str">
        <f>IFERROR(__xludf.DUMMYFUNCTION("GOOGLETRANSLATE(B30325,""en"",""it"")"),"Si asciugò i metri, il finestrino laterale e il vetro e la ruota.")</f>
        <v>Si asciugò i metri, il finestrino laterale e il vetro e la ruota.</v>
      </c>
    </row>
    <row r="30326">
      <c r="A30326" s="4" t="s">
        <v>38180</v>
      </c>
      <c r="B30326" s="4" t="s">
        <v>38186</v>
      </c>
      <c r="C30326" s="5" t="str">
        <f>IFERROR(__xludf.DUMMYFUNCTION("GOOGLETRANSLATE(B30326,""en"",""it"")"),"Sta mostrando un flacone spray bianco con coperchio nero, mentre tiene un panno giallo.")</f>
        <v>Sta mostrando un flacone spray bianco con coperchio nero, mentre tiene un panno giallo.</v>
      </c>
    </row>
    <row r="30327">
      <c r="A30327" s="4" t="s">
        <v>38180</v>
      </c>
      <c r="B30327" s="4" t="s">
        <v>38187</v>
      </c>
      <c r="C30327" s="5" t="str">
        <f>IFERROR(__xludf.DUMMYFUNCTION("GOOGLETRANSLATE(B30327,""en"",""it"")"),"Sta pulendo il bordo dell'auto, quindi ha mostrato il flacone spray bianco.")</f>
        <v>Sta pulendo il bordo dell'auto, quindi ha mostrato il flacone spray bianco.</v>
      </c>
    </row>
    <row r="30328">
      <c r="A30328" s="4" t="s">
        <v>38180</v>
      </c>
      <c r="B30328" s="4" t="s">
        <v>38188</v>
      </c>
      <c r="C30328" s="5" t="str">
        <f>IFERROR(__xludf.DUMMYFUNCTION("GOOGLETRANSLATE(B30328,""en"",""it"")"),"Un'auto bianca viene mostrata sporca e poi dopo dove è pulita e lucida.")</f>
        <v>Un'auto bianca viene mostrata sporca e poi dopo dove è pulita e lucida.</v>
      </c>
    </row>
    <row r="30329">
      <c r="A30329" s="4" t="s">
        <v>38189</v>
      </c>
      <c r="B30329" s="4" t="s">
        <v>38190</v>
      </c>
      <c r="C30329" s="5" t="str">
        <f>IFERROR(__xludf.DUMMYFUNCTION("GOOGLETRANSLATE(B30329,""en"",""it"")"),"Si vede una pistola muoversi attorno a diversi angoli e colpire le persone in vari luoghi.")</f>
        <v>Si vede una pistola muoversi attorno a diversi angoli e colpire le persone in vari luoghi.</v>
      </c>
    </row>
    <row r="30330">
      <c r="A30330" s="4" t="s">
        <v>38189</v>
      </c>
      <c r="B30330" s="6" t="s">
        <v>38191</v>
      </c>
      <c r="C30330" s="5" t="str">
        <f>IFERROR(__xludf.DUMMYFUNCTION("GOOGLETRANSLATE(B30330,""en"",""it"")"),"Altri colpi di una persona che corre in un campo di paintball come mostrato e indicando gli altri, sparando agli altri e nascondersi dietro gli oggetti.")</f>
        <v>Altri colpi di una persona che corre in un campo di paintball come mostrato e indicando gli altri, sparando agli altri e nascondersi dietro gli oggetti.</v>
      </c>
    </row>
    <row r="30331">
      <c r="A30331" s="4" t="s">
        <v>38189</v>
      </c>
      <c r="B30331" s="4" t="s">
        <v>38192</v>
      </c>
      <c r="C30331" s="5" t="str">
        <f>IFERROR(__xludf.DUMMYFUNCTION("GOOGLETRANSLATE(B30331,""en"",""it"")"),"Gli uomini si raggruppano alla fine, danno un pollice in su e mostrano più colpi di persone che sparano.")</f>
        <v>Gli uomini si raggruppano alla fine, danno un pollice in su e mostrano più colpi di persone che sparano.</v>
      </c>
    </row>
    <row r="30332">
      <c r="A30332" s="4" t="s">
        <v>38193</v>
      </c>
      <c r="B30332" s="4" t="s">
        <v>38194</v>
      </c>
      <c r="C30332" s="5" t="str">
        <f>IFERROR(__xludf.DUMMYFUNCTION("GOOGLETRANSLATE(B30332,""en"",""it"")"),"Un fumetto di un uomo che dice come lavarsi con un detergente.")</f>
        <v>Un fumetto di un uomo che dice come lavarsi con un detergente.</v>
      </c>
    </row>
    <row r="30333">
      <c r="A30333" s="4" t="s">
        <v>38193</v>
      </c>
      <c r="B30333" s="4" t="s">
        <v>38195</v>
      </c>
      <c r="C30333" s="5" t="str">
        <f>IFERROR(__xludf.DUMMYFUNCTION("GOOGLETRANSLATE(B30333,""en"",""it"")"),"Una casa viene mostrata con una frase su come lavare il tetto.")</f>
        <v>Una casa viene mostrata con una frase su come lavare il tetto.</v>
      </c>
    </row>
    <row r="30334">
      <c r="A30334" s="4" t="s">
        <v>38193</v>
      </c>
      <c r="B30334" s="4" t="s">
        <v>38196</v>
      </c>
      <c r="C30334" s="5" t="str">
        <f>IFERROR(__xludf.DUMMYFUNCTION("GOOGLETRANSLATE(B30334,""en"",""it"")"),"I numeri e l'indirizzo sono mostrati nella pubblicità.")</f>
        <v>I numeri e l'indirizzo sono mostrati nella pubblicità.</v>
      </c>
    </row>
    <row r="30335">
      <c r="A30335" s="4" t="s">
        <v>38197</v>
      </c>
      <c r="B30335" s="4" t="s">
        <v>38198</v>
      </c>
      <c r="C30335" s="5" t="str">
        <f>IFERROR(__xludf.DUMMYFUNCTION("GOOGLETRANSLATE(B30335,""en"",""it"")"),"Vengono mostrati diversi scatti di segni e costruzione e immagini di subacquei.")</f>
        <v>Vengono mostrati diversi scatti di segni e costruzione e immagini di subacquei.</v>
      </c>
    </row>
    <row r="30336">
      <c r="A30336" s="4" t="s">
        <v>38197</v>
      </c>
      <c r="B30336" s="4" t="s">
        <v>38199</v>
      </c>
      <c r="C30336" s="5" t="str">
        <f>IFERROR(__xludf.DUMMYFUNCTION("GOOGLETRANSLATE(B30336,""en"",""it"")"),"Molte persone vengono viste parlare con la telecamera mentre si alternano tuffarsi da una tavola.")</f>
        <v>Molte persone vengono viste parlare con la telecamera mentre si alternano tuffarsi da una tavola.</v>
      </c>
    </row>
    <row r="30337">
      <c r="A30337" s="4" t="s">
        <v>38197</v>
      </c>
      <c r="B30337" s="6" t="s">
        <v>38200</v>
      </c>
      <c r="C30337" s="5" t="str">
        <f>IFERROR(__xludf.DUMMYFUNCTION("GOOGLETRANSLATE(B30337,""en"",""it"")"),"Vengono mostrate più clip di persone che si tuffano e salutano la telecamera, nonché parlano tra loro e reggono un punteggio.")</f>
        <v>Vengono mostrate più clip di persone che si tuffano e salutano la telecamera, nonché parlano tra loro e reggono un punteggio.</v>
      </c>
    </row>
    <row r="30338">
      <c r="A30338" s="4" t="s">
        <v>38201</v>
      </c>
      <c r="B30338" s="4" t="s">
        <v>38202</v>
      </c>
      <c r="C30338" s="5" t="str">
        <f>IFERROR(__xludf.DUMMYFUNCTION("GOOGLETRANSLATE(B30338,""en"",""it"")"),"Un gruppo di persone è in palestra.")</f>
        <v>Un gruppo di persone è in palestra.</v>
      </c>
    </row>
    <row r="30339">
      <c r="A30339" s="4" t="s">
        <v>38201</v>
      </c>
      <c r="B30339" s="4" t="s">
        <v>38203</v>
      </c>
      <c r="C30339" s="5" t="str">
        <f>IFERROR(__xludf.DUMMYFUNCTION("GOOGLETRANSLATE(B30339,""en"",""it"")"),"Stanno sollevando pesi e ballando.")</f>
        <v>Stanno sollevando pesi e ballando.</v>
      </c>
    </row>
    <row r="30340">
      <c r="A30340" s="4" t="s">
        <v>38201</v>
      </c>
      <c r="B30340" s="4" t="s">
        <v>38204</v>
      </c>
      <c r="C30340" s="5" t="str">
        <f>IFERROR(__xludf.DUMMYFUNCTION("GOOGLETRANSLATE(B30340,""en"",""it"")"),"Altri stanno usando bici recumbenti e pedalando rapidamente.")</f>
        <v>Altri stanno usando bici recumbenti e pedalando rapidamente.</v>
      </c>
    </row>
    <row r="30341">
      <c r="A30341" s="4" t="s">
        <v>38205</v>
      </c>
      <c r="B30341" s="4" t="s">
        <v>38206</v>
      </c>
      <c r="C30341" s="5" t="str">
        <f>IFERROR(__xludf.DUMMYFUNCTION("GOOGLETRANSLATE(B30341,""en"",""it"")"),"Un uomo prende a calci un pallone da calcio, poi gioca con altri giovani nella strada, l'uomo decla.")</f>
        <v>Un uomo prende a calci un pallone da calcio, poi gioca con altri giovani nella strada, l'uomo decla.</v>
      </c>
    </row>
    <row r="30342">
      <c r="A30342" s="4" t="s">
        <v>38205</v>
      </c>
      <c r="B30342" s="4" t="s">
        <v>38207</v>
      </c>
      <c r="C30342" s="5" t="str">
        <f>IFERROR(__xludf.DUMMYFUNCTION("GOOGLETRANSLATE(B30342,""en"",""it"")"),"Quindi, continuano a suonare e il giovane segna anche l'uomo.")</f>
        <v>Quindi, continuano a suonare e il giovane segna anche l'uomo.</v>
      </c>
    </row>
    <row r="30343">
      <c r="A30343" s="4" t="s">
        <v>38205</v>
      </c>
      <c r="B30343" s="6" t="s">
        <v>38208</v>
      </c>
      <c r="C30343" s="5" t="str">
        <f>IFERROR(__xludf.DUMMYFUNCTION("GOOGLETRANSLATE(B30343,""en"",""it"")"),"Le squadre stanno giocando a calcio indoor e l'uomo che indossa punteggi una maglietta gialla giocando con diverse squadre.")</f>
        <v>Le squadre stanno giocando a calcio indoor e l'uomo che indossa punteggi una maglietta gialla giocando con diverse squadre.</v>
      </c>
    </row>
    <row r="30344">
      <c r="A30344" s="4" t="s">
        <v>38205</v>
      </c>
      <c r="B30344" s="6" t="s">
        <v>38209</v>
      </c>
      <c r="C30344" s="5" t="str">
        <f>IFERROR(__xludf.DUMMYFUNCTION("GOOGLETRANSLATE(B30344,""en"",""it"")"),"L'uomo contesta la palla con un altro giocatore e lo calcia in un compagno di giochi, l'uomo continua a giocare a segnare per la sua squadra.")</f>
        <v>L'uomo contesta la palla con un altro giocatore e lo calcia in un compagno di giochi, l'uomo continua a giocare a segnare per la sua squadra.</v>
      </c>
    </row>
    <row r="30345">
      <c r="A30345" s="4" t="s">
        <v>38210</v>
      </c>
      <c r="B30345" s="4" t="s">
        <v>38211</v>
      </c>
      <c r="C30345" s="5" t="str">
        <f>IFERROR(__xludf.DUMMYFUNCTION("GOOGLETRANSLATE(B30345,""en"",""it"")"),"C'è un uomo in una camicia nera che rappresenta il paintball di Pev che parla del gioco ricreativo.")</f>
        <v>C'è un uomo in una camicia nera che rappresenta il paintball di Pev che parla del gioco ricreativo.</v>
      </c>
    </row>
    <row r="30346">
      <c r="A30346" s="4" t="s">
        <v>38210</v>
      </c>
      <c r="B30346" s="4" t="s">
        <v>38212</v>
      </c>
      <c r="C30346" s="5" t="str">
        <f>IFERROR(__xludf.DUMMYFUNCTION("GOOGLETRANSLATE(B30346,""en"",""it"")"),"Tiene in mano una pistola da paintball mentre parla di come si gioca lo sport.")</f>
        <v>Tiene in mano una pistola da paintball mentre parla di come si gioca lo sport.</v>
      </c>
    </row>
    <row r="30347">
      <c r="A30347" s="4" t="s">
        <v>38210</v>
      </c>
      <c r="B30347" s="4" t="s">
        <v>38213</v>
      </c>
      <c r="C30347" s="5" t="str">
        <f>IFERROR(__xludf.DUMMYFUNCTION("GOOGLETRANSLATE(B30347,""en"",""it"")"),"Un uomo vestito con un vestito di stampa mimetico si nasconde e corre con una pistola da paintball.")</f>
        <v>Un uomo vestito con un vestito di stampa mimetico si nasconde e corre con una pistola da paintball.</v>
      </c>
    </row>
    <row r="30348">
      <c r="A30348" s="4" t="s">
        <v>38210</v>
      </c>
      <c r="B30348" s="4" t="s">
        <v>38214</v>
      </c>
      <c r="C30348" s="5" t="str">
        <f>IFERROR(__xludf.DUMMYFUNCTION("GOOGLETRANSLATE(B30348,""en"",""it"")"),"Il rappresentante PEV sta spiegando le caratteristiche della pistola paintball e come utilizzare in modo efficace.")</f>
        <v>Il rappresentante PEV sta spiegando le caratteristiche della pistola paintball e come utilizzare in modo efficace.</v>
      </c>
    </row>
    <row r="30349">
      <c r="A30349" s="4" t="s">
        <v>38215</v>
      </c>
      <c r="B30349" s="4" t="s">
        <v>38216</v>
      </c>
      <c r="C30349" s="5" t="str">
        <f>IFERROR(__xludf.DUMMYFUNCTION("GOOGLETRANSLATE(B30349,""en"",""it"")"),"Vediamo un uomo che si prepara a gettare la discussione.")</f>
        <v>Vediamo un uomo che si prepara a gettare la discussione.</v>
      </c>
    </row>
    <row r="30350">
      <c r="A30350" s="4" t="s">
        <v>38215</v>
      </c>
      <c r="B30350" s="4" t="s">
        <v>38217</v>
      </c>
      <c r="C30350" s="5" t="str">
        <f>IFERROR(__xludf.DUMMYFUNCTION("GOOGLETRANSLATE(B30350,""en"",""it"")"),"Lancia e se ne va e lo vediamo al rallentatore.")</f>
        <v>Lancia e se ne va e lo vediamo al rallentatore.</v>
      </c>
    </row>
    <row r="30351">
      <c r="A30351" s="4" t="s">
        <v>38215</v>
      </c>
      <c r="B30351" s="4" t="s">
        <v>38218</v>
      </c>
      <c r="C30351" s="5" t="str">
        <f>IFERROR(__xludf.DUMMYFUNCTION("GOOGLETRANSLATE(B30351,""en"",""it"")"),"Vediamo il prossimo uomo camminare e lanciare e lo vediamo di nuovo.")</f>
        <v>Vediamo il prossimo uomo camminare e lanciare e lo vediamo di nuovo.</v>
      </c>
    </row>
    <row r="30352">
      <c r="A30352" s="4" t="s">
        <v>38215</v>
      </c>
      <c r="B30352" s="4" t="s">
        <v>38219</v>
      </c>
      <c r="C30352" s="5" t="str">
        <f>IFERROR(__xludf.DUMMYFUNCTION("GOOGLETRANSLATE(B30352,""en"",""it"")"),"Un ragazzo in pantaloncini gialli lancia e lo vediamo di nuovo.")</f>
        <v>Un ragazzo in pantaloncini gialli lancia e lo vediamo di nuovo.</v>
      </c>
    </row>
    <row r="30353">
      <c r="A30353" s="4" t="s">
        <v>38220</v>
      </c>
      <c r="B30353" s="4" t="s">
        <v>38221</v>
      </c>
      <c r="C30353" s="5" t="str">
        <f>IFERROR(__xludf.DUMMYFUNCTION("GOOGLETRANSLATE(B30353,""en"",""it"")"),"Una giovane donna viene vista eseguire diverse mosse di arti marziali nel mezzo di un grande tappetino.")</f>
        <v>Una giovane donna viene vista eseguire diverse mosse di arti marziali nel mezzo di un grande tappetino.</v>
      </c>
    </row>
    <row r="30354">
      <c r="A30354" s="4" t="s">
        <v>38220</v>
      </c>
      <c r="B30354" s="4" t="s">
        <v>38222</v>
      </c>
      <c r="C30354" s="5" t="str">
        <f>IFERROR(__xludf.DUMMYFUNCTION("GOOGLETRANSLATE(B30354,""en"",""it"")"),"La ragazza continua a muoversi e poi conduce a combattere un ragazzo.")</f>
        <v>La ragazza continua a muoversi e poi conduce a combattere un ragazzo.</v>
      </c>
    </row>
    <row r="30355">
      <c r="A30355" s="4" t="s">
        <v>38220</v>
      </c>
      <c r="B30355" s="4" t="s">
        <v>38223</v>
      </c>
      <c r="C30355" s="5" t="str">
        <f>IFERROR(__xludf.DUMMYFUNCTION("GOOGLETRANSLATE(B30355,""en"",""it"")"),"Vengono mostrate altre foto di lei così come i suoi combattimenti.")</f>
        <v>Vengono mostrate altre foto di lei così come i suoi combattimenti.</v>
      </c>
    </row>
    <row r="30356">
      <c r="A30356" s="4" t="s">
        <v>38224</v>
      </c>
      <c r="B30356" s="4" t="s">
        <v>38225</v>
      </c>
      <c r="C30356" s="5" t="str">
        <f>IFERROR(__xludf.DUMMYFUNCTION("GOOGLETRANSLATE(B30356,""en"",""it"")"),"Un uomo si alza in una zattera.")</f>
        <v>Un uomo si alza in una zattera.</v>
      </c>
    </row>
    <row r="30357">
      <c r="A30357" s="4" t="s">
        <v>38224</v>
      </c>
      <c r="B30357" s="4" t="s">
        <v>38226</v>
      </c>
      <c r="C30357" s="5" t="str">
        <f>IFERROR(__xludf.DUMMYFUNCTION("GOOGLETRANSLATE(B30357,""en"",""it"")"),"Diverse zattere sono a terra, piene di persone.")</f>
        <v>Diverse zattere sono a terra, piene di persone.</v>
      </c>
    </row>
    <row r="30358">
      <c r="A30358" s="4" t="s">
        <v>38224</v>
      </c>
      <c r="B30358" s="4" t="s">
        <v>38227</v>
      </c>
      <c r="C30358" s="5" t="str">
        <f>IFERROR(__xludf.DUMMYFUNCTION("GOOGLETRANSLATE(B30358,""en"",""it"")"),"Ascoltano un istruttore dire loro cosa devono fare.")</f>
        <v>Ascoltano un istruttore dire loro cosa devono fare.</v>
      </c>
    </row>
    <row r="30359">
      <c r="A30359" s="4" t="s">
        <v>38224</v>
      </c>
      <c r="B30359" s="4" t="s">
        <v>38228</v>
      </c>
      <c r="C30359" s="5" t="str">
        <f>IFERROR(__xludf.DUMMYFUNCTION("GOOGLETRANSLATE(B30359,""en"",""it"")"),"Si affrettano attraverso le rapide di un fiume fortemente fluente.")</f>
        <v>Si affrettano attraverso le rapide di un fiume fortemente fluente.</v>
      </c>
    </row>
    <row r="30360">
      <c r="A30360" s="4" t="s">
        <v>38224</v>
      </c>
      <c r="B30360" s="4" t="s">
        <v>38229</v>
      </c>
      <c r="C30360" s="5" t="str">
        <f>IFERROR(__xludf.DUMMYFUNCTION("GOOGLETRANSLATE(B30360,""en"",""it"")"),"Uno delle zattere si rivolge alla fine.")</f>
        <v>Uno delle zattere si rivolge alla fine.</v>
      </c>
    </row>
    <row r="30361">
      <c r="A30361" s="4" t="s">
        <v>38230</v>
      </c>
      <c r="B30361" s="4" t="s">
        <v>38231</v>
      </c>
      <c r="C30361" s="5" t="str">
        <f>IFERROR(__xludf.DUMMYFUNCTION("GOOGLETRANSLATE(B30361,""en"",""it"")"),"Un uomo galleggia in acqua calma e si tiene su una corda mentre aspetta la barca che guida.")</f>
        <v>Un uomo galleggia in acqua calma e si tiene su una corda mentre aspetta la barca che guida.</v>
      </c>
    </row>
    <row r="30362">
      <c r="A30362" s="4" t="s">
        <v>38230</v>
      </c>
      <c r="B30362" s="4" t="s">
        <v>38232</v>
      </c>
      <c r="C30362" s="5" t="str">
        <f>IFERROR(__xludf.DUMMYFUNCTION("GOOGLETRANSLATE(B30362,""en"",""it"")"),"L'uomo si nutre gli sci su una corda dal lato di una barca che tenta di alzarsi.")</f>
        <v>L'uomo si nutre gli sci su una corda dal lato di una barca che tenta di alzarsi.</v>
      </c>
    </row>
    <row r="30363">
      <c r="A30363" s="4" t="s">
        <v>38230</v>
      </c>
      <c r="B30363" s="4" t="s">
        <v>38233</v>
      </c>
      <c r="C30363" s="5" t="str">
        <f>IFERROR(__xludf.DUMMYFUNCTION("GOOGLETRANSLATE(B30363,""en"",""it"")"),"L'uomo si alza e cade immediatamente nell'acqua ad alta velocità.")</f>
        <v>L'uomo si alza e cade immediatamente nell'acqua ad alta velocità.</v>
      </c>
    </row>
    <row r="30364">
      <c r="A30364" s="4" t="s">
        <v>38234</v>
      </c>
      <c r="B30364" s="4" t="s">
        <v>38235</v>
      </c>
      <c r="C30364" s="5" t="str">
        <f>IFERROR(__xludf.DUMMYFUNCTION("GOOGLETRANSLATE(B30364,""en"",""it"")"),"Le persone giocano a Futsal in una palestra coperta.")</f>
        <v>Le persone giocano a Futsal in una palestra coperta.</v>
      </c>
    </row>
    <row r="30365">
      <c r="A30365" s="4" t="s">
        <v>38234</v>
      </c>
      <c r="B30365" s="4" t="s">
        <v>38236</v>
      </c>
      <c r="C30365" s="5" t="str">
        <f>IFERROR(__xludf.DUMMYFUNCTION("GOOGLETRANSLATE(B30365,""en"",""it"")"),"L'arbitro sta guardando il gioco che corre da un lato all'altro.")</f>
        <v>L'arbitro sta guardando il gioco che corre da un lato all'altro.</v>
      </c>
    </row>
    <row r="30366">
      <c r="A30366" s="4" t="s">
        <v>38237</v>
      </c>
      <c r="B30366" s="4" t="s">
        <v>38238</v>
      </c>
      <c r="C30366" s="5" t="str">
        <f>IFERROR(__xludf.DUMMYFUNCTION("GOOGLETRANSLATE(B30366,""en"",""it"")"),"Due uomini stanno decorando un albero di Natale.")</f>
        <v>Due uomini stanno decorando un albero di Natale.</v>
      </c>
    </row>
    <row r="30367">
      <c r="A30367" s="4" t="s">
        <v>38237</v>
      </c>
      <c r="B30367" s="4" t="s">
        <v>38239</v>
      </c>
      <c r="C30367" s="5" t="str">
        <f>IFERROR(__xludf.DUMMYFUNCTION("GOOGLETRANSLATE(B30367,""en"",""it"")"),"Stanno mettendo il nastro rosso attorno all'albero.")</f>
        <v>Stanno mettendo il nastro rosso attorno all'albero.</v>
      </c>
    </row>
    <row r="30368">
      <c r="A30368" s="4" t="s">
        <v>38237</v>
      </c>
      <c r="B30368" s="4" t="s">
        <v>38240</v>
      </c>
      <c r="C30368" s="5" t="str">
        <f>IFERROR(__xludf.DUMMYFUNCTION("GOOGLETRANSLATE(B30368,""en"",""it"")"),"Un comò viene mostrato alla fine.")</f>
        <v>Un comò viene mostrato alla fine.</v>
      </c>
    </row>
    <row r="30369">
      <c r="A30369" s="4" t="s">
        <v>38241</v>
      </c>
      <c r="B30369" s="4" t="s">
        <v>38242</v>
      </c>
      <c r="C30369" s="5" t="str">
        <f>IFERROR(__xludf.DUMMYFUNCTION("GOOGLETRANSLATE(B30369,""en"",""it"")"),"Due persone sono viste sedute su oscillazioni fuori.")</f>
        <v>Due persone sono viste sedute su oscillazioni fuori.</v>
      </c>
    </row>
    <row r="30370">
      <c r="A30370" s="4" t="s">
        <v>38241</v>
      </c>
      <c r="B30370" s="4" t="s">
        <v>38243</v>
      </c>
      <c r="C30370" s="5" t="str">
        <f>IFERROR(__xludf.DUMMYFUNCTION("GOOGLETRANSLATE(B30370,""en"",""it"")"),"Le persone iniziano quindi a tornare indietro e quarto.")</f>
        <v>Le persone iniziano quindi a tornare indietro e quarto.</v>
      </c>
    </row>
    <row r="30371">
      <c r="A30371" s="4" t="s">
        <v>38241</v>
      </c>
      <c r="B30371" s="4" t="s">
        <v>38244</v>
      </c>
      <c r="C30371" s="5" t="str">
        <f>IFERROR(__xludf.DUMMYFUNCTION("GOOGLETRANSLATE(B30371,""en"",""it"")"),"Le persone oscillano continuamente e quarto sulla swingset.")</f>
        <v>Le persone oscillano continuamente e quarto sulla swingset.</v>
      </c>
    </row>
    <row r="30372">
      <c r="A30372" s="4" t="s">
        <v>38245</v>
      </c>
      <c r="B30372" s="4" t="s">
        <v>38246</v>
      </c>
      <c r="C30372" s="5" t="str">
        <f>IFERROR(__xludf.DUMMYFUNCTION("GOOGLETRANSLATE(B30372,""en"",""it"")"),"C'è un uomo in una camicia blu che usa la macchina per pull lat in palestra.")</f>
        <v>C'è un uomo in una camicia blu che usa la macchina per pull lat in palestra.</v>
      </c>
    </row>
    <row r="30373">
      <c r="A30373" s="4" t="s">
        <v>38245</v>
      </c>
      <c r="B30373" s="4" t="s">
        <v>38247</v>
      </c>
      <c r="C30373" s="5" t="str">
        <f>IFERROR(__xludf.DUMMYFUNCTION("GOOGLETRANSLATE(B30373,""en"",""it"")"),"Ci sono alcune altre persone che corrono sul tapis roulant dietro l'uomo.")</f>
        <v>Ci sono alcune altre persone che corrono sul tapis roulant dietro l'uomo.</v>
      </c>
    </row>
    <row r="30374">
      <c r="A30374" s="4" t="s">
        <v>38245</v>
      </c>
      <c r="B30374" s="4" t="s">
        <v>38248</v>
      </c>
      <c r="C30374" s="5" t="str">
        <f>IFERROR(__xludf.DUMMYFUNCTION("GOOGLETRANSLATE(B30374,""en"",""it"")"),"Comincia tirando le maniglie della macchina e poi va avanti e indietro per esercitare.")</f>
        <v>Comincia tirando le maniglie della macchina e poi va avanti e indietro per esercitare.</v>
      </c>
    </row>
    <row r="30375">
      <c r="A30375" s="4" t="s">
        <v>38249</v>
      </c>
      <c r="B30375" s="4" t="s">
        <v>38250</v>
      </c>
      <c r="C30375" s="5" t="str">
        <f>IFERROR(__xludf.DUMMYFUNCTION("GOOGLETRANSLATE(B30375,""en"",""it"")"),"Un ragazzo viene mostrato che sta andando giù per una diapositiva.")</f>
        <v>Un ragazzo viene mostrato che sta andando giù per una diapositiva.</v>
      </c>
    </row>
    <row r="30376">
      <c r="A30376" s="4" t="s">
        <v>38249</v>
      </c>
      <c r="B30376" s="4" t="s">
        <v>38251</v>
      </c>
      <c r="C30376" s="5" t="str">
        <f>IFERROR(__xludf.DUMMYFUNCTION("GOOGLETRANSLATE(B30376,""en"",""it"")"),"Una donna sta parlando con la telecamera al parco.")</f>
        <v>Una donna sta parlando con la telecamera al parco.</v>
      </c>
    </row>
    <row r="30377">
      <c r="A30377" s="4" t="s">
        <v>38249</v>
      </c>
      <c r="B30377" s="4" t="s">
        <v>38252</v>
      </c>
      <c r="C30377" s="5" t="str">
        <f>IFERROR(__xludf.DUMMYFUNCTION("GOOGLETRANSLATE(B30377,""en"",""it"")"),"I bambini vengono mostrati giocando su varie attrezzature.")</f>
        <v>I bambini vengono mostrati giocando su varie attrezzature.</v>
      </c>
    </row>
    <row r="30378">
      <c r="A30378" s="4" t="s">
        <v>38253</v>
      </c>
      <c r="B30378" s="4" t="s">
        <v>38254</v>
      </c>
      <c r="C30378" s="5" t="str">
        <f>IFERROR(__xludf.DUMMYFUNCTION("GOOGLETRANSLATE(B30378,""en"",""it"")"),"Il video mostra un rallentatore di tre persone che giocano a biliardo.")</f>
        <v>Il video mostra un rallentatore di tre persone che giocano a biliardo.</v>
      </c>
    </row>
    <row r="30379">
      <c r="A30379" s="4" t="s">
        <v>38253</v>
      </c>
      <c r="B30379" s="4" t="s">
        <v>38255</v>
      </c>
      <c r="C30379" s="5" t="str">
        <f>IFERROR(__xludf.DUMMYFUNCTION("GOOGLETRANSLATE(B30379,""en"",""it"")"),"Ci sono due persone in piedi su un lato e un singolo giocatore dall'altra parte.")</f>
        <v>Ci sono due persone in piedi su un lato e un singolo giocatore dall'altra parte.</v>
      </c>
    </row>
    <row r="30380">
      <c r="A30380" s="4" t="s">
        <v>38253</v>
      </c>
      <c r="B30380" s="4" t="s">
        <v>38256</v>
      </c>
      <c r="C30380" s="5" t="str">
        <f>IFERROR(__xludf.DUMMYFUNCTION("GOOGLETRANSLATE(B30380,""en"",""it"")"),"Continuano a giocare a calcio.")</f>
        <v>Continuano a giocare a calcio.</v>
      </c>
    </row>
    <row r="30381">
      <c r="A30381" s="4" t="s">
        <v>38257</v>
      </c>
      <c r="B30381" s="6" t="s">
        <v>38258</v>
      </c>
      <c r="C30381" s="5" t="str">
        <f>IFERROR(__xludf.DUMMYFUNCTION("GOOGLETRANSLATE(B30381,""en"",""it"")"),"Un piccolo gruppo di ragazze che indossano costumi si vedono uscire su un pavimento in palestra e tenere una posa davanti a un vasto pubblico.")</f>
        <v>Un piccolo gruppo di ragazze che indossano costumi si vedono uscire su un pavimento in palestra e tenere una posa davanti a un vasto pubblico.</v>
      </c>
    </row>
    <row r="30382">
      <c r="A30382" s="4" t="s">
        <v>38257</v>
      </c>
      <c r="B30382" s="6" t="s">
        <v>38259</v>
      </c>
      <c r="C30382" s="5" t="str">
        <f>IFERROR(__xludf.DUMMYFUNCTION("GOOGLETRANSLATE(B30382,""en"",""it"")"),"Le ragazze eseguono una routine di danza con manganelli in mano e finiscono allineandoti e allontanandosi.")</f>
        <v>Le ragazze eseguono una routine di danza con manganelli in mano e finiscono allineandoti e allontanandosi.</v>
      </c>
    </row>
    <row r="30383">
      <c r="A30383" s="4" t="s">
        <v>38260</v>
      </c>
      <c r="B30383" s="4" t="s">
        <v>38261</v>
      </c>
      <c r="C30383" s="5" t="str">
        <f>IFERROR(__xludf.DUMMYFUNCTION("GOOGLETRANSLATE(B30383,""en"",""it"")"),"Una donna di nome Sapna appare in una foto.")</f>
        <v>Una donna di nome Sapna appare in una foto.</v>
      </c>
    </row>
    <row r="30384">
      <c r="A30384" s="4" t="s">
        <v>38260</v>
      </c>
      <c r="B30384" s="4" t="s">
        <v>38262</v>
      </c>
      <c r="C30384" s="5" t="str">
        <f>IFERROR(__xludf.DUMMYFUNCTION("GOOGLETRANSLATE(B30384,""en"",""it"")"),"Viene quindi vista dimostrando una varietà di mosse di corda di salto.")</f>
        <v>Viene quindi vista dimostrando una varietà di mosse di corda di salto.</v>
      </c>
    </row>
    <row r="30385">
      <c r="A30385" s="4" t="s">
        <v>38260</v>
      </c>
      <c r="B30385" s="4" t="s">
        <v>38263</v>
      </c>
      <c r="C30385" s="5" t="str">
        <f>IFERROR(__xludf.DUMMYFUNCTION("GOOGLETRANSLATE(B30385,""en"",""it"")"),"Salta in avanti e indietro e da un lato all'altro.")</f>
        <v>Salta in avanti e indietro e da un lato all'altro.</v>
      </c>
    </row>
    <row r="30386">
      <c r="A30386" s="4" t="s">
        <v>38264</v>
      </c>
      <c r="B30386" s="4" t="s">
        <v>38265</v>
      </c>
      <c r="C30386" s="5" t="str">
        <f>IFERROR(__xludf.DUMMYFUNCTION("GOOGLETRANSLATE(B30386,""en"",""it"")"),"Un uomo che indossa un cappello da costruzione applica intonaco a un muro usando un bordo piatto tenuto a mano.")</f>
        <v>Un uomo che indossa un cappello da costruzione applica intonaco a un muro usando un bordo piatto tenuto a mano.</v>
      </c>
    </row>
    <row r="30387">
      <c r="A30387" s="4" t="s">
        <v>38264</v>
      </c>
      <c r="B30387" s="4" t="s">
        <v>38266</v>
      </c>
      <c r="C30387" s="5" t="str">
        <f>IFERROR(__xludf.DUMMYFUNCTION("GOOGLETRANSLATE(B30387,""en"",""it"")"),"L'uomo fa una pausa per spiegare la sua procedura.")</f>
        <v>L'uomo fa una pausa per spiegare la sua procedura.</v>
      </c>
    </row>
    <row r="30388">
      <c r="A30388" s="4" t="s">
        <v>38264</v>
      </c>
      <c r="B30388" s="4" t="s">
        <v>38267</v>
      </c>
      <c r="C30388" s="5" t="str">
        <f>IFERROR(__xludf.DUMMYFUNCTION("GOOGLETRANSLATE(B30388,""en"",""it"")"),"Un nome e slogan dell'azienda sono visti nel testo bianco.")</f>
        <v>Un nome e slogan dell'azienda sono visti nel testo bianco.</v>
      </c>
    </row>
    <row r="30389">
      <c r="A30389" s="4" t="s">
        <v>38268</v>
      </c>
      <c r="B30389" s="4" t="s">
        <v>38269</v>
      </c>
      <c r="C30389" s="5" t="str">
        <f>IFERROR(__xludf.DUMMYFUNCTION("GOOGLETRANSLATE(B30389,""en"",""it"")"),"Una rock band suona una canzone rock in un ambiente bianco e nero.")</f>
        <v>Una rock band suona una canzone rock in un ambiente bianco e nero.</v>
      </c>
    </row>
    <row r="30390">
      <c r="A30390" s="4" t="s">
        <v>38268</v>
      </c>
      <c r="B30390" s="4" t="s">
        <v>38270</v>
      </c>
      <c r="C30390" s="5" t="str">
        <f>IFERROR(__xludf.DUMMYFUNCTION("GOOGLETRANSLATE(B30390,""en"",""it"")"),"Diversi bigodini si stanno preparando per una partita di curling mentre la band suona.")</f>
        <v>Diversi bigodini si stanno preparando per una partita di curling mentre la band suona.</v>
      </c>
    </row>
    <row r="30391">
      <c r="A30391" s="4" t="s">
        <v>38268</v>
      </c>
      <c r="B30391" s="4" t="s">
        <v>38271</v>
      </c>
      <c r="C30391" s="5" t="str">
        <f>IFERROR(__xludf.DUMMYFUNCTION("GOOGLETRANSLATE(B30391,""en"",""it"")"),"La banda e i bigodini sono entrambi sul ghiaccio che interagiscono tra loro.")</f>
        <v>La banda e i bigodini sono entrambi sul ghiaccio che interagiscono tra loro.</v>
      </c>
    </row>
    <row r="30392">
      <c r="A30392" s="4" t="s">
        <v>38268</v>
      </c>
      <c r="B30392" s="6" t="s">
        <v>38272</v>
      </c>
      <c r="C30392" s="5" t="str">
        <f>IFERROR(__xludf.DUMMYFUNCTION("GOOGLETRANSLATE(B30392,""en"",""it"")"),"Il video ritorna nell'ambiente in bianco e nero in cui cantano entrambi i membri della band e i membri della band.")</f>
        <v>Il video ritorna nell'ambiente in bianco e nero in cui cantano entrambi i membri della band e i membri della band.</v>
      </c>
    </row>
    <row r="30393">
      <c r="A30393" s="4" t="s">
        <v>38268</v>
      </c>
      <c r="B30393" s="4" t="s">
        <v>38273</v>
      </c>
      <c r="C30393" s="5" t="str">
        <f>IFERROR(__xludf.DUMMYFUNCTION("GOOGLETRANSLATE(B30393,""en"",""it"")"),"Il video si concentra su una donna che si prepara a arricciarsi mentre gli altri guardano.")</f>
        <v>Il video si concentra su una donna che si prepara a arricciarsi mentre gli altri guardano.</v>
      </c>
    </row>
    <row r="30394">
      <c r="A30394" s="4" t="s">
        <v>38268</v>
      </c>
      <c r="B30394" s="4" t="s">
        <v>4761</v>
      </c>
      <c r="C30394" s="5" t="str">
        <f>IFERROR(__xludf.DUMMYFUNCTION("GOOGLETRANSLATE(B30394,""en"",""it"")"),"Il video termina con i crediti di chiusura mostrati sullo schermo.")</f>
        <v>Il video termina con i crediti di chiusura mostrati sullo schermo.</v>
      </c>
    </row>
    <row r="30395">
      <c r="A30395" s="4" t="s">
        <v>38274</v>
      </c>
      <c r="B30395" s="4" t="s">
        <v>38275</v>
      </c>
      <c r="C30395" s="5" t="str">
        <f>IFERROR(__xludf.DUMMYFUNCTION("GOOGLETRANSLATE(B30395,""en"",""it"")"),"Una giovane donna viene vista a sfiorare il dente seguito da primi piani di un pennello da dente.")</f>
        <v>Una giovane donna viene vista a sfiorare il dente seguito da primi piani di un pennello da dente.</v>
      </c>
    </row>
    <row r="30396">
      <c r="A30396" s="4" t="s">
        <v>38274</v>
      </c>
      <c r="B30396" s="4" t="s">
        <v>38276</v>
      </c>
      <c r="C30396" s="5" t="str">
        <f>IFERROR(__xludf.DUMMYFUNCTION("GOOGLETRANSLATE(B30396,""en"",""it"")"),"Vengono mostrati colpi dei suoi denti ravvicinati e ancora a sfiorare.")</f>
        <v>Vengono mostrati colpi dei suoi denti ravvicinati e ancora a sfiorare.</v>
      </c>
    </row>
    <row r="30397">
      <c r="A30397" s="4" t="s">
        <v>38274</v>
      </c>
      <c r="B30397" s="4" t="s">
        <v>38277</v>
      </c>
      <c r="C30397" s="5" t="str">
        <f>IFERROR(__xludf.DUMMYFUNCTION("GOOGLETRANSLATE(B30397,""en"",""it"")"),"Continua a sfiorare i denti per dimostrare come è fatto.")</f>
        <v>Continua a sfiorare i denti per dimostrare come è fatto.</v>
      </c>
    </row>
    <row r="30398">
      <c r="A30398" s="4" t="s">
        <v>38278</v>
      </c>
      <c r="B30398" s="4" t="s">
        <v>38279</v>
      </c>
      <c r="C30398" s="5" t="str">
        <f>IFERROR(__xludf.DUMMYFUNCTION("GOOGLETRANSLATE(B30398,""en"",""it"")"),"Un annuncio GoPro appare sullo schermo.")</f>
        <v>Un annuncio GoPro appare sullo schermo.</v>
      </c>
    </row>
    <row r="30399">
      <c r="A30399" s="4" t="s">
        <v>38278</v>
      </c>
      <c r="B30399" s="4" t="s">
        <v>38280</v>
      </c>
      <c r="C30399" s="5" t="str">
        <f>IFERROR(__xludf.DUMMYFUNCTION("GOOGLETRANSLATE(B30399,""en"",""it"")"),"Qualcuno indossa il dispositivo mentre usa un tosaerba per falciare il prato.")</f>
        <v>Qualcuno indossa il dispositivo mentre usa un tosaerba per falciare il prato.</v>
      </c>
    </row>
    <row r="30400">
      <c r="A30400" s="4" t="s">
        <v>38278</v>
      </c>
      <c r="B30400" s="6" t="s">
        <v>38281</v>
      </c>
      <c r="C30400" s="5" t="str">
        <f>IFERROR(__xludf.DUMMYFUNCTION("GOOGLETRANSLATE(B30400,""en"",""it"")"),"È accelerato in quanto mostra ogni angolo mentre completa falciare il prato, avanti e indietro e superando gli stessi punti fino a quando non è perfetto.")</f>
        <v>È accelerato in quanto mostra ogni angolo mentre completa falciare il prato, avanti e indietro e superando gli stessi punti fino a quando non è perfetto.</v>
      </c>
    </row>
    <row r="30401">
      <c r="A30401" s="4" t="s">
        <v>38282</v>
      </c>
      <c r="B30401" s="6" t="s">
        <v>38283</v>
      </c>
      <c r="C30401" s="5" t="str">
        <f>IFERROR(__xludf.DUMMYFUNCTION("GOOGLETRANSLATE(B30401,""en"",""it"")"),"Vengono mostrate diverse clip di persone che eseguono lanci e trucchi nel mezzo di un pavimento mentre una luce brilla nel mezzo.")</f>
        <v>Vengono mostrate diverse clip di persone che eseguono lanci e trucchi nel mezzo di un pavimento mentre una luce brilla nel mezzo.</v>
      </c>
    </row>
    <row r="30402">
      <c r="A30402" s="4" t="s">
        <v>38282</v>
      </c>
      <c r="B30402" s="6" t="s">
        <v>38284</v>
      </c>
      <c r="C30402" s="5" t="str">
        <f>IFERROR(__xludf.DUMMYFUNCTION("GOOGLETRANSLATE(B30402,""en"",""it"")"),"I bambini continuano a girare l'uno verso l'altro e finiscono alzandosi insieme e cadendo.")</f>
        <v>I bambini continuano a girare l'uno verso l'altro e finiscono alzandosi insieme e cadendo.</v>
      </c>
    </row>
    <row r="30403">
      <c r="A30403" s="4" t="s">
        <v>38285</v>
      </c>
      <c r="B30403" s="4" t="s">
        <v>38286</v>
      </c>
      <c r="C30403" s="5" t="str">
        <f>IFERROR(__xludf.DUMMYFUNCTION("GOOGLETRANSLATE(B30403,""en"",""it"")"),"Due donne sono in una stanza a parlare.")</f>
        <v>Due donne sono in una stanza a parlare.</v>
      </c>
    </row>
    <row r="30404">
      <c r="A30404" s="4" t="s">
        <v>38285</v>
      </c>
      <c r="B30404" s="4" t="s">
        <v>38287</v>
      </c>
      <c r="C30404" s="5" t="str">
        <f>IFERROR(__xludf.DUMMYFUNCTION("GOOGLETRANSLATE(B30404,""en"",""it"")"),"Una donna inizia a truccarsi sull'altra donna.")</f>
        <v>Una donna inizia a truccarsi sull'altra donna.</v>
      </c>
    </row>
    <row r="30405">
      <c r="A30405" s="4" t="s">
        <v>38285</v>
      </c>
      <c r="B30405" s="4" t="s">
        <v>38288</v>
      </c>
      <c r="C30405" s="5" t="str">
        <f>IFERROR(__xludf.DUMMYFUNCTION("GOOGLETRANSLATE(B30405,""en"",""it"")"),"Si tampona il viso della donna con una spugna.")</f>
        <v>Si tampona il viso della donna con una spugna.</v>
      </c>
    </row>
    <row r="30406">
      <c r="A30406" s="4" t="s">
        <v>38289</v>
      </c>
      <c r="B30406" s="4" t="s">
        <v>38290</v>
      </c>
      <c r="C30406" s="5" t="str">
        <f>IFERROR(__xludf.DUMMYFUNCTION("GOOGLETRANSLATE(B30406,""en"",""it"")"),"Una donna con i capelli in un asciugamano introduce il suo video che mostra come si lava il viso.")</f>
        <v>Una donna con i capelli in un asciugamano introduce il suo video che mostra come si lava il viso.</v>
      </c>
    </row>
    <row r="30407">
      <c r="A30407" s="4" t="s">
        <v>38289</v>
      </c>
      <c r="B30407" s="4" t="s">
        <v>38291</v>
      </c>
      <c r="C30407" s="5" t="str">
        <f>IFERROR(__xludf.DUMMYFUNCTION("GOOGLETRANSLATE(B30407,""en"",""it"")"),"Applica una crema idratante sul viso mentre balla in giro.")</f>
        <v>Applica una crema idratante sul viso mentre balla in giro.</v>
      </c>
    </row>
    <row r="30408">
      <c r="A30408" s="4" t="s">
        <v>38289</v>
      </c>
      <c r="B30408" s="4" t="s">
        <v>38292</v>
      </c>
      <c r="C30408" s="5" t="str">
        <f>IFERROR(__xludf.DUMMYFUNCTION("GOOGLETRANSLATE(B30408,""en"",""it"")"),"Quindi balla in soggiorno con la crema idratante.")</f>
        <v>Quindi balla in soggiorno con la crema idratante.</v>
      </c>
    </row>
    <row r="30409">
      <c r="A30409" s="4" t="s">
        <v>38289</v>
      </c>
      <c r="B30409" s="4" t="s">
        <v>38293</v>
      </c>
      <c r="C30409" s="5" t="str">
        <f>IFERROR(__xludf.DUMMYFUNCTION("GOOGLETRANSLATE(B30409,""en"",""it"")"),"Alla fine, torna in bagno e si lava la faccia.")</f>
        <v>Alla fine, torna in bagno e si lava la faccia.</v>
      </c>
    </row>
    <row r="30410">
      <c r="A30410" s="4" t="s">
        <v>38294</v>
      </c>
      <c r="B30410" s="4" t="s">
        <v>38295</v>
      </c>
      <c r="C30410" s="5" t="str">
        <f>IFERROR(__xludf.DUMMYFUNCTION("GOOGLETRANSLATE(B30410,""en"",""it"")"),"L'uomo è in piedi sul lato dell'auto bloccato nel traffico.")</f>
        <v>L'uomo è in piedi sul lato dell'auto bloccato nel traffico.</v>
      </c>
    </row>
    <row r="30411">
      <c r="A30411" s="4" t="s">
        <v>38294</v>
      </c>
      <c r="B30411" s="4" t="s">
        <v>38296</v>
      </c>
      <c r="C30411" s="5" t="str">
        <f>IFERROR(__xludf.DUMMYFUNCTION("GOOGLETRANSLATE(B30411,""en"",""it"")"),"L'uomo che tiene cornamusa sta camminando in strada tra le auto.")</f>
        <v>L'uomo che tiene cornamusa sta camminando in strada tra le auto.</v>
      </c>
    </row>
    <row r="30412">
      <c r="A30412" s="4" t="s">
        <v>38297</v>
      </c>
      <c r="B30412" s="4" t="s">
        <v>38298</v>
      </c>
      <c r="C30412" s="5" t="str">
        <f>IFERROR(__xludf.DUMMYFUNCTION("GOOGLETRANSLATE(B30412,""en"",""it"")"),"Un giornalista televisivo sta parlando mentre mostra uno schermo di una persona che gioca a hockey sul ghiaccio.")</f>
        <v>Un giornalista televisivo sta parlando mentre mostra uno schermo di una persona che gioca a hockey sul ghiaccio.</v>
      </c>
    </row>
    <row r="30413">
      <c r="A30413" s="4" t="s">
        <v>38297</v>
      </c>
      <c r="B30413" s="4" t="s">
        <v>38299</v>
      </c>
      <c r="C30413" s="5" t="str">
        <f>IFERROR(__xludf.DUMMYFUNCTION("GOOGLETRANSLATE(B30413,""en"",""it"")"),"Quindi, i giornalisti si parlano e si commentano, mentre uno degli uomini è sulla parte anteriore un laptop.")</f>
        <v>Quindi, i giornalisti si parlano e si commentano, mentre uno degli uomini è sulla parte anteriore un laptop.</v>
      </c>
    </row>
    <row r="30414">
      <c r="A30414" s="4" t="s">
        <v>38300</v>
      </c>
      <c r="B30414" s="4" t="s">
        <v>38301</v>
      </c>
      <c r="C30414" s="5" t="str">
        <f>IFERROR(__xludf.DUMMYFUNCTION("GOOGLETRANSLATE(B30414,""en"",""it"")"),"Viene vista una ginnasta correre verso una serie di barre irregolari ed eseguire una routine sui bar.")</f>
        <v>Viene vista una ginnasta correre verso una serie di barre irregolari ed eseguire una routine sui bar.</v>
      </c>
    </row>
    <row r="30415">
      <c r="A30415" s="4" t="s">
        <v>38300</v>
      </c>
      <c r="B30415" s="4" t="s">
        <v>38302</v>
      </c>
      <c r="C30415" s="5" t="str">
        <f>IFERROR(__xludf.DUMMYFUNCTION("GOOGLETRANSLATE(B30415,""en"",""it"")"),"Si oscilla e salta sul tappeto per porre fine alla sua routine.")</f>
        <v>Si oscilla e salta sul tappeto per porre fine alla sua routine.</v>
      </c>
    </row>
    <row r="30416">
      <c r="A30416" s="4" t="s">
        <v>38303</v>
      </c>
      <c r="B30416" s="4" t="s">
        <v>38304</v>
      </c>
      <c r="C30416" s="5" t="str">
        <f>IFERROR(__xludf.DUMMYFUNCTION("GOOGLETRANSLATE(B30416,""en"",""it"")"),"Le persone giocano a calcio in un'arena di calcio indoor.")</f>
        <v>Le persone giocano a calcio in un'arena di calcio indoor.</v>
      </c>
    </row>
    <row r="30417">
      <c r="A30417" s="4" t="s">
        <v>38303</v>
      </c>
      <c r="B30417" s="4" t="s">
        <v>38305</v>
      </c>
      <c r="C30417" s="5" t="str">
        <f>IFERROR(__xludf.DUMMYFUNCTION("GOOGLETRANSLATE(B30417,""en"",""it"")"),"Due degli uomini si abbracciano in campo.")</f>
        <v>Due degli uomini si abbracciano in campo.</v>
      </c>
    </row>
    <row r="30418">
      <c r="A30418" s="4" t="s">
        <v>38303</v>
      </c>
      <c r="B30418" s="4" t="s">
        <v>38306</v>
      </c>
      <c r="C30418" s="5" t="str">
        <f>IFERROR(__xludf.DUMMYFUNCTION("GOOGLETRANSLATE(B30418,""en"",""it"")"),"Una persona prende una palla in porta.")</f>
        <v>Una persona prende una palla in porta.</v>
      </c>
    </row>
    <row r="30419">
      <c r="A30419" s="4" t="s">
        <v>38307</v>
      </c>
      <c r="B30419" s="4" t="s">
        <v>38308</v>
      </c>
      <c r="C30419" s="5" t="str">
        <f>IFERROR(__xludf.DUMMYFUNCTION("GOOGLETRANSLATE(B30419,""en"",""it"")"),"Una donna spruzza la lozione e gli sfiora i capelli.")</f>
        <v>Una donna spruzza la lozione e gli sfiora i capelli.</v>
      </c>
    </row>
    <row r="30420">
      <c r="A30420" s="4" t="s">
        <v>38307</v>
      </c>
      <c r="B30420" s="4" t="s">
        <v>38309</v>
      </c>
      <c r="C30420" s="5" t="str">
        <f>IFERROR(__xludf.DUMMYFUNCTION("GOOGLETRANSLATE(B30420,""en"",""it"")"),"Quindi, la donna fa una treccia con i capelli anteriori e fissarli con una spilla.")</f>
        <v>Quindi, la donna fa una treccia con i capelli anteriori e fissarli con una spilla.</v>
      </c>
    </row>
    <row r="30421">
      <c r="A30421" s="4" t="s">
        <v>38307</v>
      </c>
      <c r="B30421" s="4" t="s">
        <v>38310</v>
      </c>
      <c r="C30421" s="5" t="str">
        <f>IFERROR(__xludf.DUMMYFUNCTION("GOOGLETRANSLATE(B30421,""en"",""it"")"),"Dopo, la donna fa una coda di cavallo e una lozione spruzzata sui capelli.")</f>
        <v>Dopo, la donna fa una coda di cavallo e una lozione spruzzata sui capelli.</v>
      </c>
    </row>
    <row r="30422">
      <c r="A30422" s="4" t="s">
        <v>38311</v>
      </c>
      <c r="B30422" s="4" t="s">
        <v>38312</v>
      </c>
      <c r="C30422" s="5" t="str">
        <f>IFERROR(__xludf.DUMMYFUNCTION("GOOGLETRANSLATE(B30422,""en"",""it"")"),"Viene visualizzato il logo iniziale e una pagina Web.")</f>
        <v>Viene visualizzato il logo iniziale e una pagina Web.</v>
      </c>
    </row>
    <row r="30423">
      <c r="A30423" s="4" t="s">
        <v>38311</v>
      </c>
      <c r="B30423" s="4" t="s">
        <v>38313</v>
      </c>
      <c r="C30423" s="5" t="str">
        <f>IFERROR(__xludf.DUMMYFUNCTION("GOOGLETRANSLATE(B30423,""en"",""it"")"),"L'uomo è in uno skate park in pattini bianchi.")</f>
        <v>L'uomo è in uno skate park in pattini bianchi.</v>
      </c>
    </row>
    <row r="30424">
      <c r="A30424" s="4" t="s">
        <v>38311</v>
      </c>
      <c r="B30424" s="4" t="s">
        <v>38314</v>
      </c>
      <c r="C30424" s="5" t="str">
        <f>IFERROR(__xludf.DUMMYFUNCTION("GOOGLETRANSLATE(B30424,""en"",""it"")"),"L'uomo è seduto in un tubo e fa trucchi in uno skate park, l'altro uomo è seduto a guardarlo.")</f>
        <v>L'uomo è seduto in un tubo e fa trucchi in uno skate park, l'altro uomo è seduto a guardarlo.</v>
      </c>
    </row>
    <row r="30425">
      <c r="A30425" s="4" t="s">
        <v>38311</v>
      </c>
      <c r="B30425" s="4" t="s">
        <v>38315</v>
      </c>
      <c r="C30425" s="5" t="str">
        <f>IFERROR(__xludf.DUMMYFUNCTION("GOOGLETRANSLATE(B30425,""en"",""it"")"),"Little Kid sta parlando con qualcuno e guardando l'uomo in pattini che fa i trucchi in Skate Park.")</f>
        <v>Little Kid sta parlando con qualcuno e guardando l'uomo in pattini che fa i trucchi in Skate Park.</v>
      </c>
    </row>
    <row r="30426">
      <c r="A30426" s="4" t="s">
        <v>38316</v>
      </c>
      <c r="B30426" s="4" t="s">
        <v>38317</v>
      </c>
      <c r="C30426" s="5" t="str">
        <f>IFERROR(__xludf.DUMMYFUNCTION("GOOGLETRANSLATE(B30426,""en"",""it"")"),"Una donna più anziana sta usando un segnale per giocare a piscina.")</f>
        <v>Una donna più anziana sta usando un segnale per giocare a piscina.</v>
      </c>
    </row>
    <row r="30427">
      <c r="A30427" s="4" t="s">
        <v>38316</v>
      </c>
      <c r="B30427" s="4" t="s">
        <v>38318</v>
      </c>
      <c r="C30427" s="5" t="str">
        <f>IFERROR(__xludf.DUMMYFUNCTION("GOOGLETRANSLATE(B30427,""en"",""it"")"),"Spara la palla e se ne va.")</f>
        <v>Spara la palla e se ne va.</v>
      </c>
    </row>
    <row r="30428">
      <c r="A30428" s="4" t="s">
        <v>38316</v>
      </c>
      <c r="B30428" s="4" t="s">
        <v>38319</v>
      </c>
      <c r="C30428" s="5" t="str">
        <f>IFERROR(__xludf.DUMMYFUNCTION("GOOGLETRANSLATE(B30428,""en"",""it"")"),"Quindi sbatte spunti con un'altra persona.")</f>
        <v>Quindi sbatte spunti con un'altra persona.</v>
      </c>
    </row>
    <row r="30429">
      <c r="A30429" s="4" t="s">
        <v>38320</v>
      </c>
      <c r="B30429" s="4" t="s">
        <v>9420</v>
      </c>
      <c r="C30429" s="5" t="str">
        <f>IFERROR(__xludf.DUMMYFUNCTION("GOOGLETRANSLATE(B30429,""en"",""it"")"),"Le persone ballano su un palco.")</f>
        <v>Le persone ballano su un palco.</v>
      </c>
    </row>
    <row r="30430">
      <c r="A30430" s="4" t="s">
        <v>38320</v>
      </c>
      <c r="B30430" s="4" t="s">
        <v>38321</v>
      </c>
      <c r="C30430" s="5" t="str">
        <f>IFERROR(__xludf.DUMMYFUNCTION("GOOGLETRANSLATE(B30430,""en"",""it"")"),"Due persone parlano con una macchina fotografica fuori.")</f>
        <v>Due persone parlano con una macchina fotografica fuori.</v>
      </c>
    </row>
    <row r="30431">
      <c r="A30431" s="4" t="s">
        <v>38320</v>
      </c>
      <c r="B30431" s="4" t="s">
        <v>38322</v>
      </c>
      <c r="C30431" s="5" t="str">
        <f>IFERROR(__xludf.DUMMYFUNCTION("GOOGLETRANSLATE(B30431,""en"",""it"")"),"Una ballerina fa diversi vortici sul palco.")</f>
        <v>Una ballerina fa diversi vortici sul palco.</v>
      </c>
    </row>
    <row r="30432">
      <c r="A30432" s="4" t="s">
        <v>38323</v>
      </c>
      <c r="B30432" s="4" t="s">
        <v>38324</v>
      </c>
      <c r="C30432" s="5" t="str">
        <f>IFERROR(__xludf.DUMMYFUNCTION("GOOGLETRANSLATE(B30432,""en"",""it"")"),"L'uomo sta fumando una sigaretta in una strada buia.")</f>
        <v>L'uomo sta fumando una sigaretta in una strada buia.</v>
      </c>
    </row>
    <row r="30433">
      <c r="A30433" s="4" t="s">
        <v>38323</v>
      </c>
      <c r="B30433" s="4" t="s">
        <v>38325</v>
      </c>
      <c r="C30433" s="5" t="str">
        <f>IFERROR(__xludf.DUMMYFUNCTION("GOOGLETRANSLATE(B30433,""en"",""it"")"),"L'uomo indossa una maglietta bianca che fuma una sigaretta e guarda la telecamera.")</f>
        <v>L'uomo indossa una maglietta bianca che fuma una sigaretta e guarda la telecamera.</v>
      </c>
    </row>
    <row r="30434">
      <c r="A30434" s="4" t="s">
        <v>38323</v>
      </c>
      <c r="B30434" s="4" t="s">
        <v>38326</v>
      </c>
      <c r="C30434" s="5" t="str">
        <f>IFERROR(__xludf.DUMMYFUNCTION("GOOGLETRANSLATE(B30434,""en"",""it"")"),"L'uomo è di notte in un campo oscuro fumando.")</f>
        <v>L'uomo è di notte in un campo oscuro fumando.</v>
      </c>
    </row>
    <row r="30435">
      <c r="A30435" s="4" t="s">
        <v>38327</v>
      </c>
      <c r="B30435" s="4" t="s">
        <v>38328</v>
      </c>
      <c r="C30435" s="5" t="str">
        <f>IFERROR(__xludf.DUMMYFUNCTION("GOOGLETRANSLATE(B30435,""en"",""it"")"),"Un ragazzo è imbarcarsi in un corpo d'acqua.")</f>
        <v>Un ragazzo è imbarcarsi in un corpo d'acqua.</v>
      </c>
    </row>
    <row r="30436">
      <c r="A30436" s="4" t="s">
        <v>38327</v>
      </c>
      <c r="B30436" s="4" t="s">
        <v>38329</v>
      </c>
      <c r="C30436" s="5" t="str">
        <f>IFERROR(__xludf.DUMMYFUNCTION("GOOGLETRANSLATE(B30436,""en"",""it"")"),"Il ragazzo fa casino con i capelli.")</f>
        <v>Il ragazzo fa casino con i capelli.</v>
      </c>
    </row>
    <row r="30437">
      <c r="A30437" s="4" t="s">
        <v>38327</v>
      </c>
      <c r="B30437" s="4" t="s">
        <v>38330</v>
      </c>
      <c r="C30437" s="5" t="str">
        <f>IFERROR(__xludf.DUMMYFUNCTION("GOOGLETRANSLATE(B30437,""en"",""it"")"),"Il ragazzo dà il gesto delle mani.")</f>
        <v>Il ragazzo dà il gesto delle mani.</v>
      </c>
    </row>
    <row r="30438">
      <c r="A30438" s="4" t="s">
        <v>38331</v>
      </c>
      <c r="B30438" s="6" t="s">
        <v>38332</v>
      </c>
      <c r="C30438" s="5" t="str">
        <f>IFERROR(__xludf.DUMMYFUNCTION("GOOGLETRANSLATE(B30438,""en"",""it"")"),"Una donna atletica viene vista correre lungo una pista con un folto gruppo di persone che la guardano in disparte.")</f>
        <v>Una donna atletica viene vista correre lungo una pista con un folto gruppo di persone che la guardano in disparte.</v>
      </c>
    </row>
    <row r="30439">
      <c r="A30439" s="4" t="s">
        <v>38331</v>
      </c>
      <c r="B30439" s="6" t="s">
        <v>38333</v>
      </c>
      <c r="C30439" s="5" t="str">
        <f>IFERROR(__xludf.DUMMYFUNCTION("GOOGLETRANSLATE(B30439,""en"",""it"")"),"Continua a correre e finisce la gara mentre crolla a terra alla fine e respira pesantemente mentre piange.")</f>
        <v>Continua a correre e finisce la gara mentre crolla a terra alla fine e respira pesantemente mentre piange.</v>
      </c>
    </row>
    <row r="30440">
      <c r="A30440" s="4" t="s">
        <v>38331</v>
      </c>
      <c r="B30440" s="6" t="s">
        <v>38334</v>
      </c>
      <c r="C30440" s="5" t="str">
        <f>IFERROR(__xludf.DUMMYFUNCTION("GOOGLETRANSLATE(B30440,""en"",""it"")"),"Si siede a piangere e un'altra donna la aiuta, finendo con una breve clip di una ragazza che corre.")</f>
        <v>Si siede a piangere e un'altra donna la aiuta, finendo con una breve clip di una ragazza che corre.</v>
      </c>
    </row>
    <row r="30441">
      <c r="A30441" s="4" t="s">
        <v>38335</v>
      </c>
      <c r="B30441" s="4" t="s">
        <v>38336</v>
      </c>
      <c r="C30441" s="5" t="str">
        <f>IFERROR(__xludf.DUMMYFUNCTION("GOOGLETRANSLATE(B30441,""en"",""it"")"),"Un uomo sta correndo giù per la pista in una competizione di pista e campo.")</f>
        <v>Un uomo sta correndo giù per la pista in una competizione di pista e campo.</v>
      </c>
    </row>
    <row r="30442">
      <c r="A30442" s="4" t="s">
        <v>38335</v>
      </c>
      <c r="B30442" s="4" t="s">
        <v>38337</v>
      </c>
      <c r="C30442" s="5" t="str">
        <f>IFERROR(__xludf.DUMMYFUNCTION("GOOGLETRANSLATE(B30442,""en"",""it"")"),"Comincia a fare alcuni passi rapidi per darle così leva per un salto che sta cercando di fare.")</f>
        <v>Comincia a fare alcuni passi rapidi per darle così leva per un salto che sta cercando di fare.</v>
      </c>
    </row>
    <row r="30443">
      <c r="A30443" s="4" t="s">
        <v>38335</v>
      </c>
      <c r="B30443" s="4" t="s">
        <v>38338</v>
      </c>
      <c r="C30443" s="5" t="str">
        <f>IFERROR(__xludf.DUMMYFUNCTION("GOOGLETRANSLATE(B30443,""en"",""it"")"),"Si decolla in aria mentre inizia il salto.")</f>
        <v>Si decolla in aria mentre inizia il salto.</v>
      </c>
    </row>
    <row r="30444">
      <c r="A30444" s="4" t="s">
        <v>38335</v>
      </c>
      <c r="B30444" s="4" t="s">
        <v>38339</v>
      </c>
      <c r="C30444" s="5" t="str">
        <f>IFERROR(__xludf.DUMMYFUNCTION("GOOGLETRANSLATE(B30444,""en"",""it"")"),"Atterra a terra mentre completa il salto.")</f>
        <v>Atterra a terra mentre completa il salto.</v>
      </c>
    </row>
    <row r="30445">
      <c r="A30445" s="4" t="s">
        <v>38340</v>
      </c>
      <c r="B30445" s="6" t="s">
        <v>38341</v>
      </c>
      <c r="C30445" s="5" t="str">
        <f>IFERROR(__xludf.DUMMYFUNCTION("GOOGLETRANSLATE(B30445,""en"",""it"")"),"Un uomo con la barba lunga sta parlando nella telecamera mentre una mano si lava il lato della barba, quindi continua a parlare mentre nella sua schiena la TV sta correndo, poi si è chiuso la barba, ha mostrato un uomo in verde e il bambino seduto vicino "&amp;"a lui.")</f>
        <v>Un uomo con la barba lunga sta parlando nella telecamera mentre una mano si lava il lato della barba, quindi continua a parlare mentre nella sua schiena la TV sta correndo, poi si è chiuso la barba, ha mostrato un uomo in verde e il bambino seduto vicino a lui.</v>
      </c>
    </row>
    <row r="30446">
      <c r="A30446" s="4" t="s">
        <v>38340</v>
      </c>
      <c r="B30446" s="6" t="s">
        <v>38342</v>
      </c>
      <c r="C30446" s="5" t="str">
        <f>IFERROR(__xludf.DUMMYFUNCTION("GOOGLETRANSLATE(B30446,""en"",""it"")"),"L'uomo in verde rade la barba dell'uomo sul lato, quindi la spazzola la spazzolata, quindi continua a radere la barba lunga lasciando la stoppia.")</f>
        <v>L'uomo in verde rade la barba dell'uomo sul lato, quindi la spazzola la spazzolata, quindi continua a radere la barba lunga lasciando la stoppia.</v>
      </c>
    </row>
    <row r="30447">
      <c r="A30447" s="4" t="s">
        <v>38343</v>
      </c>
      <c r="B30447" s="4" t="s">
        <v>38344</v>
      </c>
      <c r="C30447" s="5" t="str">
        <f>IFERROR(__xludf.DUMMYFUNCTION("GOOGLETRANSLATE(B30447,""en"",""it"")"),"Viene mostrato un primo piano di un tavolo da biliardo seguito da un uomo che colpisce la palla.")</f>
        <v>Viene mostrato un primo piano di un tavolo da biliardo seguito da un uomo che colpisce la palla.</v>
      </c>
    </row>
    <row r="30448">
      <c r="A30448" s="4" t="s">
        <v>38343</v>
      </c>
      <c r="B30448" s="4" t="s">
        <v>38345</v>
      </c>
      <c r="C30448" s="5" t="str">
        <f>IFERROR(__xludf.DUMMYFUNCTION("GOOGLETRANSLATE(B30448,""en"",""it"")"),"L'uomo che celebra e scuote le mani dell'avversario.")</f>
        <v>L'uomo che celebra e scuote le mani dell'avversario.</v>
      </c>
    </row>
    <row r="30449">
      <c r="A30449" s="4" t="s">
        <v>38343</v>
      </c>
      <c r="B30449" s="4" t="s">
        <v>38346</v>
      </c>
      <c r="C30449" s="5" t="str">
        <f>IFERROR(__xludf.DUMMYFUNCTION("GOOGLETRANSLATE(B30449,""en"",""it"")"),"Cammina intorno al pubblico che celebra con loro e torna alla sua borsa.")</f>
        <v>Cammina intorno al pubblico che celebra con loro e torna alla sua borsa.</v>
      </c>
    </row>
    <row r="30450">
      <c r="A30450" s="4" t="s">
        <v>38347</v>
      </c>
      <c r="B30450" s="4" t="s">
        <v>38348</v>
      </c>
      <c r="C30450" s="5" t="str">
        <f>IFERROR(__xludf.DUMMYFUNCTION("GOOGLETRANSLATE(B30450,""en"",""it"")"),"Un uomo sta parlando con la telecamera mentre si prepara a cavalcare le macchine per paraurti.")</f>
        <v>Un uomo sta parlando con la telecamera mentre si prepara a cavalcare le macchine per paraurti.</v>
      </c>
    </row>
    <row r="30451">
      <c r="A30451" s="4" t="s">
        <v>38347</v>
      </c>
      <c r="B30451" s="6" t="s">
        <v>38349</v>
      </c>
      <c r="C30451" s="5" t="str">
        <f>IFERROR(__xludf.DUMMYFUNCTION("GOOGLETRANSLATE(B30451,""en"",""it"")"),"L'uomo cavalca nell'auto del paraurti che si avvicina alle altre persone mentre la telecamera osserva.")</f>
        <v>L'uomo cavalca nell'auto del paraurti che si avvicina alle altre persone mentre la telecamera osserva.</v>
      </c>
    </row>
    <row r="30452">
      <c r="A30452" s="4" t="s">
        <v>38347</v>
      </c>
      <c r="B30452" s="4" t="s">
        <v>38350</v>
      </c>
      <c r="C30452" s="5" t="str">
        <f>IFERROR(__xludf.DUMMYFUNCTION("GOOGLETRANSLATE(B30452,""en"",""it"")"),"La fotocamera ingrandisce le persone per uno sguardo più attento.")</f>
        <v>La fotocamera ingrandisce le persone per uno sguardo più attento.</v>
      </c>
    </row>
    <row r="30453">
      <c r="A30453" s="4" t="s">
        <v>38347</v>
      </c>
      <c r="B30453" s="4" t="s">
        <v>38351</v>
      </c>
      <c r="C30453" s="5" t="str">
        <f>IFERROR(__xludf.DUMMYFUNCTION("GOOGLETRANSLATE(B30453,""en"",""it"")"),"La corsa termina e le persone escono dalle auto paraurti.")</f>
        <v>La corsa termina e le persone escono dalle auto paraurti.</v>
      </c>
    </row>
    <row r="30454">
      <c r="A30454" s="4" t="s">
        <v>38352</v>
      </c>
      <c r="B30454" s="4" t="s">
        <v>38353</v>
      </c>
      <c r="C30454" s="5" t="str">
        <f>IFERROR(__xludf.DUMMYFUNCTION("GOOGLETRANSLATE(B30454,""en"",""it"")"),"Un uomo lancia un oggetto in un evento di atletica alle Olimpiadi.")</f>
        <v>Un uomo lancia un oggetto in un evento di atletica alle Olimpiadi.</v>
      </c>
    </row>
    <row r="30455">
      <c r="A30455" s="4" t="s">
        <v>38352</v>
      </c>
      <c r="B30455" s="4" t="s">
        <v>38354</v>
      </c>
      <c r="C30455" s="5" t="str">
        <f>IFERROR(__xludf.DUMMYFUNCTION("GOOGLETRANSLATE(B30455,""en"",""it"")"),"Questo viene quindi mostrato al rallentatore e quindi accelerato.")</f>
        <v>Questo viene quindi mostrato al rallentatore e quindi accelerato.</v>
      </c>
    </row>
    <row r="30456">
      <c r="A30456" s="4" t="s">
        <v>38352</v>
      </c>
      <c r="B30456" s="4" t="s">
        <v>38355</v>
      </c>
      <c r="C30456" s="5" t="str">
        <f>IFERROR(__xludf.DUMMYFUNCTION("GOOGLETRANSLATE(B30456,""en"",""it"")"),"L'allenatore reagisce e applausi.")</f>
        <v>L'allenatore reagisce e applausi.</v>
      </c>
    </row>
    <row r="30457">
      <c r="A30457" s="4" t="s">
        <v>38352</v>
      </c>
      <c r="B30457" s="4" t="s">
        <v>38356</v>
      </c>
      <c r="C30457" s="5" t="str">
        <f>IFERROR(__xludf.DUMMYFUNCTION("GOOGLETRANSLATE(B30457,""en"",""it"")"),"L'atleta riceve una medaglia e onde alla folla.")</f>
        <v>L'atleta riceve una medaglia e onde alla folla.</v>
      </c>
    </row>
    <row r="30458">
      <c r="A30458" s="4" t="s">
        <v>38357</v>
      </c>
      <c r="B30458" s="4" t="s">
        <v>38358</v>
      </c>
      <c r="C30458" s="5" t="str">
        <f>IFERROR(__xludf.DUMMYFUNCTION("GOOGLETRANSLATE(B30458,""en"",""it"")"),"Un uomo è all'aperto, tagliando i fili da una pila di sheetrock.")</f>
        <v>Un uomo è all'aperto, tagliando i fili da una pila di sheetrock.</v>
      </c>
    </row>
    <row r="30459">
      <c r="A30459" s="4" t="s">
        <v>38357</v>
      </c>
      <c r="B30459" s="4" t="s">
        <v>38359</v>
      </c>
      <c r="C30459" s="5" t="str">
        <f>IFERROR(__xludf.DUMMYFUNCTION("GOOGLETRANSLATE(B30459,""en"",""it"")"),"Muove le lenzuola, poi infastidisce i pavimenti prima di sdraiarli.")</f>
        <v>Muove le lenzuola, poi infastidisce i pavimenti prima di sdraiarli.</v>
      </c>
    </row>
    <row r="30460">
      <c r="A30460" s="4" t="s">
        <v>38357</v>
      </c>
      <c r="B30460" s="4" t="s">
        <v>38360</v>
      </c>
      <c r="C30460" s="5" t="str">
        <f>IFERROR(__xludf.DUMMYFUNCTION("GOOGLETRANSLATE(B30460,""en"",""it"")"),"L'uomo preme i grandi fogli a terra.")</f>
        <v>L'uomo preme i grandi fogli a terra.</v>
      </c>
    </row>
    <row r="30461">
      <c r="A30461" s="4" t="s">
        <v>38361</v>
      </c>
      <c r="B30461" s="6" t="s">
        <v>38362</v>
      </c>
      <c r="C30461" s="5" t="str">
        <f>IFERROR(__xludf.DUMMYFUNCTION("GOOGLETRANSLATE(B30461,""en"",""it"")"),"Un uomo tiene un frisbee accanto a un cane, quindi il cane salta sopra la parte posteriore dell'uomo e afferra un frisbee.")</f>
        <v>Un uomo tiene un frisbee accanto a un cane, quindi il cane salta sopra la parte posteriore dell'uomo e afferra un frisbee.</v>
      </c>
    </row>
    <row r="30462">
      <c r="A30462" s="4" t="s">
        <v>38361</v>
      </c>
      <c r="B30462" s="4" t="s">
        <v>38363</v>
      </c>
      <c r="C30462" s="5" t="str">
        <f>IFERROR(__xludf.DUMMYFUNCTION("GOOGLETRANSLATE(B30462,""en"",""it"")"),"L'uomo lancia un frisbee e il cane corre per ottenerlo, dopo che l'uomo fa trucchi con il cane.")</f>
        <v>L'uomo lancia un frisbee e il cane corre per ottenerlo, dopo che l'uomo fa trucchi con il cane.</v>
      </c>
    </row>
    <row r="30463">
      <c r="A30463" s="4" t="s">
        <v>38361</v>
      </c>
      <c r="B30463" s="4" t="s">
        <v>38364</v>
      </c>
      <c r="C30463" s="5" t="str">
        <f>IFERROR(__xludf.DUMMYFUNCTION("GOOGLETRANSLATE(B30463,""en"",""it"")"),"Una persona si sdraia con i piedi su, poi il cane si alza in piedi e gioca con il frisbee.")</f>
        <v>Una persona si sdraia con i piedi su, poi il cane si alza in piedi e gioca con il frisbee.</v>
      </c>
    </row>
    <row r="30464">
      <c r="A30464" s="4" t="s">
        <v>38361</v>
      </c>
      <c r="B30464" s="4" t="s">
        <v>38365</v>
      </c>
      <c r="C30464" s="5" t="str">
        <f>IFERROR(__xludf.DUMMYFUNCTION("GOOGLETRANSLATE(B30464,""en"",""it"")"),"L'uomo gioca con il cane Frisbee facendo trucchi e lancia il frisbee.")</f>
        <v>L'uomo gioca con il cane Frisbee facendo trucchi e lancia il frisbee.</v>
      </c>
    </row>
    <row r="30465">
      <c r="A30465" s="4" t="s">
        <v>38366</v>
      </c>
      <c r="B30465" s="4" t="s">
        <v>38367</v>
      </c>
      <c r="C30465" s="5" t="str">
        <f>IFERROR(__xludf.DUMMYFUNCTION("GOOGLETRANSLATE(B30465,""en"",""it"")"),"Viene mostrato l'esterno di una scatola contenente una pistola.")</f>
        <v>Viene mostrato l'esterno di una scatola contenente una pistola.</v>
      </c>
    </row>
    <row r="30466">
      <c r="A30466" s="4" t="s">
        <v>38366</v>
      </c>
      <c r="B30466" s="4" t="s">
        <v>38368</v>
      </c>
      <c r="C30466" s="5" t="str">
        <f>IFERROR(__xludf.DUMMYFUNCTION("GOOGLETRANSLATE(B30466,""en"",""it"")"),"Un uomo è unito da altri due davanti a un'esibizione di pistole.")</f>
        <v>Un uomo è unito da altri due davanti a un'esibizione di pistole.</v>
      </c>
    </row>
    <row r="30467">
      <c r="A30467" s="4" t="s">
        <v>38366</v>
      </c>
      <c r="B30467" s="6" t="s">
        <v>38369</v>
      </c>
      <c r="C30467" s="5" t="str">
        <f>IFERROR(__xludf.DUMMYFUNCTION("GOOGLETRANSLATE(B30467,""en"",""it"")"),"Parlano delle pistole, quindi si uniscono a una partita di paintball all'aperto, nascondendosi dietro gli ostacoli mentre si sparano.")</f>
        <v>Parlano delle pistole, quindi si uniscono a una partita di paintball all'aperto, nascondendosi dietro gli ostacoli mentre si sparano.</v>
      </c>
    </row>
    <row r="30468">
      <c r="A30468" s="4" t="s">
        <v>38370</v>
      </c>
      <c r="B30468" s="4" t="s">
        <v>38371</v>
      </c>
      <c r="C30468" s="5" t="str">
        <f>IFERROR(__xludf.DUMMYFUNCTION("GOOGLETRANSLATE(B30468,""en"",""it"")"),"Una signora in piedi accanto alla diapositiva tiene un bambino in cima alla diapositiva.")</f>
        <v>Una signora in piedi accanto alla diapositiva tiene un bambino in cima alla diapositiva.</v>
      </c>
    </row>
    <row r="30469">
      <c r="A30469" s="4" t="s">
        <v>38370</v>
      </c>
      <c r="B30469" s="4" t="s">
        <v>38372</v>
      </c>
      <c r="C30469" s="5" t="str">
        <f>IFERROR(__xludf.DUMMYFUNCTION("GOOGLETRANSLATE(B30469,""en"",""it"")"),"Guardò dentro il tunnel e spostò il bambino per mostrarlo e agitare la persona.")</f>
        <v>Guardò dentro il tunnel e spostò il bambino per mostrarlo e agitare la persona.</v>
      </c>
    </row>
    <row r="30470">
      <c r="A30470" s="4" t="s">
        <v>38370</v>
      </c>
      <c r="B30470" s="4" t="s">
        <v>38373</v>
      </c>
      <c r="C30470" s="5" t="str">
        <f>IFERROR(__xludf.DUMMYFUNCTION("GOOGLETRANSLATE(B30470,""en"",""it"")"),"La signora tiene il bambino mentre lo spinge giù per la diapositiva.")</f>
        <v>La signora tiene il bambino mentre lo spinge giù per la diapositiva.</v>
      </c>
    </row>
    <row r="30471">
      <c r="A30471" s="4" t="s">
        <v>38370</v>
      </c>
      <c r="B30471" s="4" t="s">
        <v>38374</v>
      </c>
      <c r="C30471" s="5" t="str">
        <f>IFERROR(__xludf.DUMMYFUNCTION("GOOGLETRANSLATE(B30471,""en"",""it"")"),"La signora fa scivolare il bambino in cima.")</f>
        <v>La signora fa scivolare il bambino in cima.</v>
      </c>
    </row>
    <row r="30472">
      <c r="A30472" s="4" t="s">
        <v>38370</v>
      </c>
      <c r="B30472" s="4" t="s">
        <v>38375</v>
      </c>
      <c r="C30472" s="5" t="str">
        <f>IFERROR(__xludf.DUMMYFUNCTION("GOOGLETRANSLATE(B30472,""en"",""it"")"),"La signora tiene il bambino e lo spinse lungo la diapositiva.")</f>
        <v>La signora tiene il bambino e lo spinse lungo la diapositiva.</v>
      </c>
    </row>
    <row r="30473">
      <c r="A30473" s="4" t="s">
        <v>38370</v>
      </c>
      <c r="B30473" s="4" t="s">
        <v>38376</v>
      </c>
      <c r="C30473" s="5" t="str">
        <f>IFERROR(__xludf.DUMMYFUNCTION("GOOGLETRANSLATE(B30473,""en"",""it"")"),"Il bambino si sedette sul fondo della diapositiva mentre guardava lo sguardo.")</f>
        <v>Il bambino si sedette sul fondo della diapositiva mentre guardava lo sguardo.</v>
      </c>
    </row>
    <row r="30474">
      <c r="A30474" s="4" t="s">
        <v>38377</v>
      </c>
      <c r="B30474" s="4" t="s">
        <v>38378</v>
      </c>
      <c r="C30474" s="5" t="str">
        <f>IFERROR(__xludf.DUMMYFUNCTION("GOOGLETRANSLATE(B30474,""en"",""it"")"),"Due persone saltano fuori corda fuori in un patio.")</f>
        <v>Due persone saltano fuori corda fuori in un patio.</v>
      </c>
    </row>
    <row r="30475">
      <c r="A30475" s="4" t="s">
        <v>38377</v>
      </c>
      <c r="B30475" s="4" t="s">
        <v>38379</v>
      </c>
      <c r="C30475" s="5" t="str">
        <f>IFERROR(__xludf.DUMMYFUNCTION("GOOGLETRANSLATE(B30475,""en"",""it"")"),"Il ragazzo se ne va e le ragazze iniziano a saltare da sola.")</f>
        <v>Il ragazzo se ne va e le ragazze iniziano a saltare da sola.</v>
      </c>
    </row>
    <row r="30476">
      <c r="A30476" s="4" t="s">
        <v>38377</v>
      </c>
      <c r="B30476" s="4" t="s">
        <v>38380</v>
      </c>
      <c r="C30476" s="5" t="str">
        <f>IFERROR(__xludf.DUMMYFUNCTION("GOOGLETRANSLATE(B30476,""en"",""it"")"),"La ragazza fa una mano.")</f>
        <v>La ragazza fa una mano.</v>
      </c>
    </row>
    <row r="30477">
      <c r="A30477" s="4" t="s">
        <v>38377</v>
      </c>
      <c r="B30477" s="4" t="s">
        <v>38381</v>
      </c>
      <c r="C30477" s="5" t="str">
        <f>IFERROR(__xludf.DUMMYFUNCTION("GOOGLETRANSLATE(B30477,""en"",""it"")"),"Il ragazzo inizia a saltare da solo.")</f>
        <v>Il ragazzo inizia a saltare da solo.</v>
      </c>
    </row>
    <row r="30478">
      <c r="A30478" s="4" t="s">
        <v>38377</v>
      </c>
      <c r="B30478" s="4" t="s">
        <v>38382</v>
      </c>
      <c r="C30478" s="5" t="str">
        <f>IFERROR(__xludf.DUMMYFUNCTION("GOOGLETRANSLATE(B30478,""en"",""it"")"),"La ragazza fa un giro in aria.")</f>
        <v>La ragazza fa un giro in aria.</v>
      </c>
    </row>
    <row r="30479">
      <c r="A30479" s="4" t="s">
        <v>38377</v>
      </c>
      <c r="B30479" s="4" t="s">
        <v>38383</v>
      </c>
      <c r="C30479" s="5" t="str">
        <f>IFERROR(__xludf.DUMMYFUNCTION("GOOGLETRANSLATE(B30479,""en"",""it"")"),"Il ragazzo fa un capovolgimento in aria.")</f>
        <v>Il ragazzo fa un capovolgimento in aria.</v>
      </c>
    </row>
    <row r="30480">
      <c r="A30480" s="4" t="s">
        <v>38384</v>
      </c>
      <c r="B30480" s="4" t="s">
        <v>38385</v>
      </c>
      <c r="C30480" s="5" t="str">
        <f>IFERROR(__xludf.DUMMYFUNCTION("GOOGLETRANSLATE(B30480,""en"",""it"")"),"Diverse persone sono mostrate in una parte posteriore di laser sono ritratti come membri di una squadra.")</f>
        <v>Diverse persone sono mostrate in una parte posteriore di laser sono ritratti come membri di una squadra.</v>
      </c>
    </row>
    <row r="30481">
      <c r="A30481" s="4" t="s">
        <v>38384</v>
      </c>
      <c r="B30481" s="6" t="s">
        <v>38386</v>
      </c>
      <c r="C30481" s="5" t="str">
        <f>IFERROR(__xludf.DUMMYFUNCTION("GOOGLETRANSLATE(B30481,""en"",""it"")"),"Un uomo della squadra arriva quindi e inizia a skateboard lungo la strada in un ambiente comunitario.")</f>
        <v>Un uomo della squadra arriva quindi e inizia a skateboard lungo la strada in un ambiente comunitario.</v>
      </c>
    </row>
    <row r="30482">
      <c r="A30482" s="4" t="s">
        <v>38384</v>
      </c>
      <c r="B30482" s="6" t="s">
        <v>38387</v>
      </c>
      <c r="C30482" s="5" t="str">
        <f>IFERROR(__xludf.DUMMYFUNCTION("GOOGLETRANSLATE(B30482,""en"",""it"")"),"Mentre continua a pattinare, si sposta in una zona più rurale con grandi montagne e campo all'aperto e i punti iniziano a accumularsi nell'angolo dello schermo.")</f>
        <v>Mentre continua a pattinare, si sposta in una zona più rurale con grandi montagne e campo all'aperto e i punti iniziano a accumularsi nell'angolo dello schermo.</v>
      </c>
    </row>
    <row r="30483">
      <c r="A30483" s="4" t="s">
        <v>38388</v>
      </c>
      <c r="B30483" s="4" t="s">
        <v>38389</v>
      </c>
      <c r="C30483" s="5" t="str">
        <f>IFERROR(__xludf.DUMMYFUNCTION("GOOGLETRANSLATE(B30483,""en"",""it"")"),"Una donna è seduta a prendere un drink.")</f>
        <v>Una donna è seduta a prendere un drink.</v>
      </c>
    </row>
    <row r="30484">
      <c r="A30484" s="4" t="s">
        <v>38388</v>
      </c>
      <c r="B30484" s="4" t="s">
        <v>38390</v>
      </c>
      <c r="C30484" s="5" t="str">
        <f>IFERROR(__xludf.DUMMYFUNCTION("GOOGLETRANSLATE(B30484,""en"",""it"")"),"Mette giù la bevanda e inizia a parlare.")</f>
        <v>Mette giù la bevanda e inizia a parlare.</v>
      </c>
    </row>
    <row r="30485">
      <c r="A30485" s="4" t="s">
        <v>38391</v>
      </c>
      <c r="B30485" s="4" t="s">
        <v>38392</v>
      </c>
      <c r="C30485" s="5" t="str">
        <f>IFERROR(__xludf.DUMMYFUNCTION("GOOGLETRANSLATE(B30485,""en"",""it"")"),"Un piccolo bambino sta camminando per la strada con il guinzaglio del cane.")</f>
        <v>Un piccolo bambino sta camminando per la strada con il guinzaglio del cane.</v>
      </c>
    </row>
    <row r="30486">
      <c r="A30486" s="4" t="s">
        <v>38391</v>
      </c>
      <c r="B30486" s="4" t="s">
        <v>38393</v>
      </c>
      <c r="C30486" s="5" t="str">
        <f>IFERROR(__xludf.DUMMYFUNCTION("GOOGLETRANSLATE(B30486,""en"",""it"")"),"Il cane sta camminando davanti a lei non ti sta tirando, è molto gentile.")</f>
        <v>Il cane sta camminando davanti a lei non ti sta tirando, è molto gentile.</v>
      </c>
    </row>
    <row r="30487">
      <c r="A30487" s="4" t="s">
        <v>38391</v>
      </c>
      <c r="B30487" s="4" t="s">
        <v>38394</v>
      </c>
      <c r="C30487" s="5" t="str">
        <f>IFERROR(__xludf.DUMMYFUNCTION("GOOGLETRANSLATE(B30487,""en"",""it"")"),"Il cane smette di annusare e poi ricomincia a camminare.")</f>
        <v>Il cane smette di annusare e poi ricomincia a camminare.</v>
      </c>
    </row>
    <row r="30488">
      <c r="A30488" s="4" t="s">
        <v>38391</v>
      </c>
      <c r="B30488" s="4" t="s">
        <v>38395</v>
      </c>
      <c r="C30488" s="5" t="str">
        <f>IFERROR(__xludf.DUMMYFUNCTION("GOOGLETRANSLATE(B30488,""en"",""it"")"),"La bambina che cerca di seguire da vicino dietro di lui.")</f>
        <v>La bambina che cerca di seguire da vicino dietro di lui.</v>
      </c>
    </row>
    <row r="30489">
      <c r="A30489" s="4" t="s">
        <v>38396</v>
      </c>
      <c r="B30489" s="4" t="s">
        <v>38397</v>
      </c>
      <c r="C30489" s="5" t="str">
        <f>IFERROR(__xludf.DUMMYFUNCTION("GOOGLETRANSLATE(B30489,""en"",""it"")"),"Un uomo si estende davanti alla telecamera.")</f>
        <v>Un uomo si estende davanti alla telecamera.</v>
      </c>
    </row>
    <row r="30490">
      <c r="A30490" s="4" t="s">
        <v>38396</v>
      </c>
      <c r="B30490" s="4" t="s">
        <v>38398</v>
      </c>
      <c r="C30490" s="5" t="str">
        <f>IFERROR(__xludf.DUMMYFUNCTION("GOOGLETRANSLATE(B30490,""en"",""it"")"),"La fotocamera si taglia alle scene dell'uomo su una piccola barca che rematrice.")</f>
        <v>La fotocamera si taglia alle scene dell'uomo su una piccola barca che rematrice.</v>
      </c>
    </row>
    <row r="30491">
      <c r="A30491" s="4" t="s">
        <v>38396</v>
      </c>
      <c r="B30491" s="6" t="s">
        <v>38399</v>
      </c>
      <c r="C30491" s="5" t="str">
        <f>IFERROR(__xludf.DUMMYFUNCTION("GOOGLETRANSLATE(B30491,""en"",""it"")"),"La fotocamera si taglia alle scene di vari uomini che remerono barche da vari angoli, con sfondi diversi.")</f>
        <v>La fotocamera si taglia alle scene di vari uomini che remerono barche da vari angoli, con sfondi diversi.</v>
      </c>
    </row>
    <row r="30492">
      <c r="A30492" s="4" t="s">
        <v>38396</v>
      </c>
      <c r="B30492" s="4" t="s">
        <v>38400</v>
      </c>
      <c r="C30492" s="5" t="str">
        <f>IFERROR(__xludf.DUMMYFUNCTION("GOOGLETRANSLATE(B30492,""en"",""it"")"),"La telecamera mostra gli uomini che mettono via le barche.")</f>
        <v>La telecamera mostra gli uomini che mettono via le barche.</v>
      </c>
    </row>
    <row r="30493">
      <c r="A30493" s="4" t="s">
        <v>38396</v>
      </c>
      <c r="B30493" s="4" t="s">
        <v>38401</v>
      </c>
      <c r="C30493" s="5" t="str">
        <f>IFERROR(__xludf.DUMMYFUNCTION("GOOGLETRANSLATE(B30493,""en"",""it"")"),"La fotocamera mostra diversi uomini in macchina.")</f>
        <v>La fotocamera mostra diversi uomini in macchina.</v>
      </c>
    </row>
    <row r="30494">
      <c r="A30494" s="4" t="s">
        <v>38396</v>
      </c>
      <c r="B30494" s="4" t="s">
        <v>38402</v>
      </c>
      <c r="C30494" s="5" t="str">
        <f>IFERROR(__xludf.DUMMYFUNCTION("GOOGLETRANSLATE(B30494,""en"",""it"")"),"La fotocamera mostra rapide clip di uomini che si esercitano in palestra.")</f>
        <v>La fotocamera mostra rapide clip di uomini che si esercitano in palestra.</v>
      </c>
    </row>
    <row r="30495">
      <c r="A30495" s="4" t="s">
        <v>38396</v>
      </c>
      <c r="B30495" s="4" t="s">
        <v>38403</v>
      </c>
      <c r="C30495" s="5" t="str">
        <f>IFERROR(__xludf.DUMMYFUNCTION("GOOGLETRANSLATE(B30495,""en"",""it"")"),"La fotocamera ritorna alle scene di uomini che remerono barche.")</f>
        <v>La fotocamera ritorna alle scene di uomini che remerono barche.</v>
      </c>
    </row>
    <row r="30496">
      <c r="A30496" s="4" t="s">
        <v>38396</v>
      </c>
      <c r="B30496" s="4" t="s">
        <v>38404</v>
      </c>
      <c r="C30496" s="5" t="str">
        <f>IFERROR(__xludf.DUMMYFUNCTION("GOOGLETRANSLATE(B30496,""en"",""it"")"),"La fotocamera taglia le riprese accelerate di un'auto che guida.")</f>
        <v>La fotocamera taglia le riprese accelerate di un'auto che guida.</v>
      </c>
    </row>
    <row r="30497">
      <c r="A30497" s="4" t="s">
        <v>38396</v>
      </c>
      <c r="B30497" s="4" t="s">
        <v>38405</v>
      </c>
      <c r="C30497" s="5" t="str">
        <f>IFERROR(__xludf.DUMMYFUNCTION("GOOGLETRANSLATE(B30497,""en"",""it"")"),"La fotocamera si taglia alle scene di uomini che si rilassano e lanciano una palla intorno.")</f>
        <v>La fotocamera si taglia alle scene di uomini che si rilassano e lanciano una palla intorno.</v>
      </c>
    </row>
    <row r="30498">
      <c r="A30498" s="4" t="s">
        <v>38396</v>
      </c>
      <c r="B30498" s="4" t="s">
        <v>38406</v>
      </c>
      <c r="C30498" s="5" t="str">
        <f>IFERROR(__xludf.DUMMYFUNCTION("GOOGLETRANSLATE(B30498,""en"",""it"")"),"La telecamera si taglia a una scena di un uomo seduto rilassandosi.")</f>
        <v>La telecamera si taglia a una scena di un uomo seduto rilassandosi.</v>
      </c>
    </row>
    <row r="30499">
      <c r="A30499" s="4" t="s">
        <v>38407</v>
      </c>
      <c r="B30499" s="4" t="s">
        <v>38408</v>
      </c>
      <c r="C30499" s="5" t="str">
        <f>IFERROR(__xludf.DUMMYFUNCTION("GOOGLETRANSLATE(B30499,""en"",""it"")"),"Una persona è seduta dietro un tavolo facendo un cubo Rubiks piegato alla cieca.")</f>
        <v>Una persona è seduta dietro un tavolo facendo un cubo Rubiks piegato alla cieca.</v>
      </c>
    </row>
    <row r="30500">
      <c r="A30500" s="4" t="s">
        <v>38407</v>
      </c>
      <c r="B30500" s="4" t="s">
        <v>38409</v>
      </c>
      <c r="C30500" s="5" t="str">
        <f>IFERROR(__xludf.DUMMYFUNCTION("GOOGLETRANSLATE(B30500,""en"",""it"")"),"Un timer è sulla scrivania di fronte a loro.")</f>
        <v>Un timer è sulla scrivania di fronte a loro.</v>
      </c>
    </row>
    <row r="30501">
      <c r="A30501" s="4" t="s">
        <v>38407</v>
      </c>
      <c r="B30501" s="4" t="s">
        <v>38410</v>
      </c>
      <c r="C30501" s="5" t="str">
        <f>IFERROR(__xludf.DUMMYFUNCTION("GOOGLETRANSLATE(B30501,""en"",""it"")"),"La persona completa il cubo Rubiks e lo mette sul tavolo.")</f>
        <v>La persona completa il cubo Rubiks e lo mette sul tavolo.</v>
      </c>
    </row>
    <row r="30502">
      <c r="A30502" s="4" t="s">
        <v>38411</v>
      </c>
      <c r="B30502" s="4" t="s">
        <v>38412</v>
      </c>
      <c r="C30502" s="5" t="str">
        <f>IFERROR(__xludf.DUMMYFUNCTION("GOOGLETRANSLATE(B30502,""en"",""it"")"),"Vediamo una signora seduta su un divano a parlare.")</f>
        <v>Vediamo una signora seduta su un divano a parlare.</v>
      </c>
    </row>
    <row r="30503">
      <c r="A30503" s="4" t="s">
        <v>38411</v>
      </c>
      <c r="B30503" s="4" t="s">
        <v>38413</v>
      </c>
      <c r="C30503" s="5" t="str">
        <f>IFERROR(__xludf.DUMMYFUNCTION("GOOGLETRANSLATE(B30503,""en"",""it"")"),"La signora fa i volti e applaude le mani.")</f>
        <v>La signora fa i volti e applaude le mani.</v>
      </c>
    </row>
    <row r="30504">
      <c r="A30504" s="4" t="s">
        <v>38411</v>
      </c>
      <c r="B30504" s="4" t="s">
        <v>38414</v>
      </c>
      <c r="C30504" s="5" t="str">
        <f>IFERROR(__xludf.DUMMYFUNCTION("GOOGLETRANSLATE(B30504,""en"",""it"")"),"Guardiamo la signora tirare i rulli fuori dalle sue trecce.")</f>
        <v>Guardiamo la signora tirare i rulli fuori dalle sue trecce.</v>
      </c>
    </row>
    <row r="30505">
      <c r="A30505" s="4" t="s">
        <v>38411</v>
      </c>
      <c r="B30505" s="4" t="s">
        <v>38415</v>
      </c>
      <c r="C30505" s="5" t="str">
        <f>IFERROR(__xludf.DUMMYFUNCTION("GOOGLETRANSLATE(B30505,""en"",""it"")"),"Vediamo i suoi capelli da vicino.")</f>
        <v>Vediamo i suoi capelli da vicino.</v>
      </c>
    </row>
    <row r="30506">
      <c r="A30506" s="4" t="s">
        <v>38411</v>
      </c>
      <c r="B30506" s="4" t="s">
        <v>38416</v>
      </c>
      <c r="C30506" s="5" t="str">
        <f>IFERROR(__xludf.DUMMYFUNCTION("GOOGLETRANSLATE(B30506,""en"",""it"")"),"La signora fa un segno di citazione con le dita.")</f>
        <v>La signora fa un segno di citazione con le dita.</v>
      </c>
    </row>
    <row r="30507">
      <c r="A30507" s="4" t="s">
        <v>38417</v>
      </c>
      <c r="B30507" s="4" t="s">
        <v>38418</v>
      </c>
      <c r="C30507" s="5" t="str">
        <f>IFERROR(__xludf.DUMMYFUNCTION("GOOGLETRANSLATE(B30507,""en"",""it"")"),"La ginnasta raccoglie il suo obiettivo e monta il cavallo di pomo per iniziare il suo evento.")</f>
        <v>La ginnasta raccoglie il suo obiettivo e monta il cavallo di pomo per iniziare il suo evento.</v>
      </c>
    </row>
    <row r="30508">
      <c r="A30508" s="4" t="s">
        <v>38417</v>
      </c>
      <c r="B30508" s="4" t="s">
        <v>38419</v>
      </c>
      <c r="C30508" s="5" t="str">
        <f>IFERROR(__xludf.DUMMYFUNCTION("GOOGLETRANSLATE(B30508,""en"",""it"")"),"Il pubblico guarda e applausi mentre gli annunciatori danno il loro commento.")</f>
        <v>Il pubblico guarda e applausi mentre gli annunciatori danno il loro commento.</v>
      </c>
    </row>
    <row r="30509">
      <c r="A30509" s="4" t="s">
        <v>38417</v>
      </c>
      <c r="B30509" s="4" t="s">
        <v>38420</v>
      </c>
      <c r="C30509" s="5" t="str">
        <f>IFERROR(__xludf.DUMMYFUNCTION("GOOGLETRANSLATE(B30509,""en"",""it"")"),"Si avvicina a uno stand a mano.")</f>
        <v>Si avvicina a uno stand a mano.</v>
      </c>
    </row>
    <row r="30510">
      <c r="A30510" s="4" t="s">
        <v>38417</v>
      </c>
      <c r="B30510" s="4" t="s">
        <v>38421</v>
      </c>
      <c r="C30510" s="5" t="str">
        <f>IFERROR(__xludf.DUMMYFUNCTION("GOOGLETRANSLATE(B30510,""en"",""it"")"),"Raccoglie la sua velocità una volta tornato dallo stand della mano.")</f>
        <v>Raccoglie la sua velocità una volta tornato dallo stand della mano.</v>
      </c>
    </row>
    <row r="30511">
      <c r="A30511" s="4" t="s">
        <v>38417</v>
      </c>
      <c r="B30511" s="4" t="s">
        <v>38422</v>
      </c>
      <c r="C30511" s="5" t="str">
        <f>IFERROR(__xludf.DUMMYFUNCTION("GOOGLETRANSLATE(B30511,""en"",""it"")"),"La ginnasta ha un bel smontaggio.")</f>
        <v>La ginnasta ha un bel smontaggio.</v>
      </c>
    </row>
    <row r="30512">
      <c r="A30512" s="4" t="s">
        <v>38417</v>
      </c>
      <c r="B30512" s="4" t="s">
        <v>38423</v>
      </c>
      <c r="C30512" s="5" t="str">
        <f>IFERROR(__xludf.DUMMYFUNCTION("GOOGLETRANSLATE(B30512,""en"",""it"")"),"Guardiamo di nuovo la performance al rallentatore, quindi vediamo il suo sorriso mentre è seduto afterword.")</f>
        <v>Guardiamo di nuovo la performance al rallentatore, quindi vediamo il suo sorriso mentre è seduto afterword.</v>
      </c>
    </row>
    <row r="30513">
      <c r="A30513" s="4" t="s">
        <v>38424</v>
      </c>
      <c r="B30513" s="4" t="s">
        <v>38425</v>
      </c>
      <c r="C30513" s="5" t="str">
        <f>IFERROR(__xludf.DUMMYFUNCTION("GOOGLETRANSLATE(B30513,""en"",""it"")"),"La donna sta parlando con la telecamera e tiene i pennelli per il trucco.")</f>
        <v>La donna sta parlando con la telecamera e tiene i pennelli per il trucco.</v>
      </c>
    </row>
    <row r="30514">
      <c r="A30514" s="4" t="s">
        <v>38424</v>
      </c>
      <c r="B30514" s="4" t="s">
        <v>38426</v>
      </c>
      <c r="C30514" s="5" t="str">
        <f>IFERROR(__xludf.DUMMYFUNCTION("GOOGLETRANSLATE(B30514,""en"",""it"")"),"La donna le sta cuocendo una treccia sui capelli e ha mostrato come fare la treccia.")</f>
        <v>La donna le sta cuocendo una treccia sui capelli e ha mostrato come fare la treccia.</v>
      </c>
    </row>
    <row r="30515">
      <c r="A30515" s="4" t="s">
        <v>38427</v>
      </c>
      <c r="B30515" s="4" t="s">
        <v>38428</v>
      </c>
      <c r="C30515" s="5" t="str">
        <f>IFERROR(__xludf.DUMMYFUNCTION("GOOGLETRANSLATE(B30515,""en"",""it"")"),"Una ragazza viaggia in macchina mentre parla.")</f>
        <v>Una ragazza viaggia in macchina mentre parla.</v>
      </c>
    </row>
    <row r="30516">
      <c r="A30516" s="4" t="s">
        <v>38427</v>
      </c>
      <c r="B30516" s="4" t="s">
        <v>38429</v>
      </c>
      <c r="C30516" s="5" t="str">
        <f>IFERROR(__xludf.DUMMYFUNCTION("GOOGLETRANSLATE(B30516,""en"",""it"")"),"La ragazza è in un negozio perforato, poi un uomo si strofina il naso con un tessuto e lascia un segno.")</f>
        <v>La ragazza è in un negozio perforato, poi un uomo si strofina il naso con un tessuto e lascia un segno.</v>
      </c>
    </row>
    <row r="30517">
      <c r="A30517" s="4" t="s">
        <v>38427</v>
      </c>
      <c r="B30517" s="4" t="s">
        <v>38430</v>
      </c>
      <c r="C30517" s="5" t="str">
        <f>IFERROR(__xludf.DUMMYFUNCTION("GOOGLETRANSLATE(B30517,""en"",""it"")"),"Dopo, l'uomo perfora il naso della ragazza e mette una punta.")</f>
        <v>Dopo, l'uomo perfora il naso della ragazza e mette una punta.</v>
      </c>
    </row>
    <row r="30518">
      <c r="A30518" s="4" t="s">
        <v>38427</v>
      </c>
      <c r="B30518" s="4" t="s">
        <v>38431</v>
      </c>
      <c r="C30518" s="5" t="str">
        <f>IFERROR(__xludf.DUMMYFUNCTION("GOOGLETRANSLATE(B30518,""en"",""it"")"),"Dopo, l'uomo pulisce la zona e la ragazza asciugò alcune lacrime sul viso.")</f>
        <v>Dopo, l'uomo pulisce la zona e la ragazza asciugò alcune lacrime sul viso.</v>
      </c>
    </row>
    <row r="30519">
      <c r="A30519" s="4" t="s">
        <v>38427</v>
      </c>
      <c r="B30519" s="4" t="s">
        <v>38432</v>
      </c>
      <c r="C30519" s="5" t="str">
        <f>IFERROR(__xludf.DUMMYFUNCTION("GOOGLETRANSLATE(B30519,""en"",""it"")"),"Dopo, la ragazza tiene una macchina fotografica sul viso e parla, mostra anche il suo piercing.")</f>
        <v>Dopo, la ragazza tiene una macchina fotografica sul viso e parla, mostra anche il suo piercing.</v>
      </c>
    </row>
    <row r="30520">
      <c r="A30520" s="4" t="s">
        <v>38433</v>
      </c>
      <c r="B30520" s="4" t="s">
        <v>38434</v>
      </c>
      <c r="C30520" s="5" t="str">
        <f>IFERROR(__xludf.DUMMYFUNCTION("GOOGLETRANSLATE(B30520,""en"",""it"")"),"Un pezzo di attrezzatura da esercizio si gira su un pannello quando improvvisamente appare una donna.")</f>
        <v>Un pezzo di attrezzatura da esercizio si gira su un pannello quando improvvisamente appare una donna.</v>
      </c>
    </row>
    <row r="30521">
      <c r="A30521" s="4" t="s">
        <v>38433</v>
      </c>
      <c r="B30521" s="4" t="s">
        <v>38435</v>
      </c>
      <c r="C30521" s="5" t="str">
        <f>IFERROR(__xludf.DUMMYFUNCTION("GOOGLETRANSLATE(B30521,""en"",""it"")"),"Si arrampica sulla macchina e inizia ad allenarsi mentre la telecamera si muove attorno ai suoi movimenti.")</f>
        <v>Si arrampica sulla macchina e inizia ad allenarsi mentre la telecamera si muove attorno ai suoi movimenti.</v>
      </c>
    </row>
    <row r="30522">
      <c r="A30522" s="4" t="s">
        <v>38433</v>
      </c>
      <c r="B30522" s="4" t="s">
        <v>38436</v>
      </c>
      <c r="C30522" s="5" t="str">
        <f>IFERROR(__xludf.DUMMYFUNCTION("GOOGLETRANSLATE(B30522,""en"",""it"")"),"Continua a usare l'attrezzatura e alla fine mostra un'immagine dell'attrezzatura.")</f>
        <v>Continua a usare l'attrezzatura e alla fine mostra un'immagine dell'attrezzatura.</v>
      </c>
    </row>
    <row r="30523">
      <c r="A30523" s="4" t="s">
        <v>38437</v>
      </c>
      <c r="B30523" s="4" t="s">
        <v>38438</v>
      </c>
      <c r="C30523" s="5" t="str">
        <f>IFERROR(__xludf.DUMMYFUNCTION("GOOGLETRANSLATE(B30523,""en"",""it"")"),"Il ragazzo sta mettendo un casco e sta sistemando il suo skateboard.")</f>
        <v>Il ragazzo sta mettendo un casco e sta sistemando il suo skateboard.</v>
      </c>
    </row>
    <row r="30524">
      <c r="A30524" s="4" t="s">
        <v>38437</v>
      </c>
      <c r="B30524" s="4" t="s">
        <v>38439</v>
      </c>
      <c r="C30524" s="5" t="str">
        <f>IFERROR(__xludf.DUMMYFUNCTION("GOOGLETRANSLATE(B30524,""en"",""it"")"),"Il ragazzo sta scendendo un pendio che passa vicino alle case fino a quando è buio.")</f>
        <v>Il ragazzo sta scendendo un pendio che passa vicino alle case fino a quando è buio.</v>
      </c>
    </row>
    <row r="30525">
      <c r="A30525" s="4" t="s">
        <v>38440</v>
      </c>
      <c r="B30525" s="4" t="s">
        <v>38441</v>
      </c>
      <c r="C30525" s="5" t="str">
        <f>IFERROR(__xludf.DUMMYFUNCTION("GOOGLETRANSLATE(B30525,""en"",""it"")"),"Un ragazzo è fuori a tagliare il legno.")</f>
        <v>Un ragazzo è fuori a tagliare il legno.</v>
      </c>
    </row>
    <row r="30526">
      <c r="A30526" s="4" t="s">
        <v>38440</v>
      </c>
      <c r="B30526" s="4" t="s">
        <v>38442</v>
      </c>
      <c r="C30526" s="5" t="str">
        <f>IFERROR(__xludf.DUMMYFUNCTION("GOOGLETRANSLATE(B30526,""en"",""it"")"),"L'ascia si blocca sul legno al suo primo tentativo.")</f>
        <v>L'ascia si blocca sul legno al suo primo tentativo.</v>
      </c>
    </row>
    <row r="30527">
      <c r="A30527" s="4" t="s">
        <v>38440</v>
      </c>
      <c r="B30527" s="4" t="s">
        <v>38443</v>
      </c>
      <c r="C30527" s="5" t="str">
        <f>IFERROR(__xludf.DUMMYFUNCTION("GOOGLETRANSLATE(B30527,""en"",""it"")"),"Il ragazzo tira fuori l'ascia.")</f>
        <v>Il ragazzo tira fuori l'ascia.</v>
      </c>
    </row>
    <row r="30528">
      <c r="A30528" s="4" t="s">
        <v>38440</v>
      </c>
      <c r="B30528" s="4" t="s">
        <v>38444</v>
      </c>
      <c r="C30528" s="5" t="str">
        <f>IFERROR(__xludf.DUMMYFUNCTION("GOOGLETRANSLATE(B30528,""en"",""it"")"),"Il ragazzo continua a tagliare il legno sempre più piccolo.")</f>
        <v>Il ragazzo continua a tagliare il legno sempre più piccolo.</v>
      </c>
    </row>
    <row r="30529">
      <c r="A30529" s="4" t="s">
        <v>38445</v>
      </c>
      <c r="B30529" s="4" t="s">
        <v>38446</v>
      </c>
      <c r="C30529" s="5" t="str">
        <f>IFERROR(__xludf.DUMMYFUNCTION("GOOGLETRANSLATE(B30529,""en"",""it"")"),"Un uomo e una donna stanno parlando in una stalla.")</f>
        <v>Un uomo e una donna stanno parlando in una stalla.</v>
      </c>
    </row>
    <row r="30530">
      <c r="A30530" s="4" t="s">
        <v>38445</v>
      </c>
      <c r="B30530" s="4" t="s">
        <v>38447</v>
      </c>
      <c r="C30530" s="5" t="str">
        <f>IFERROR(__xludf.DUMMYFUNCTION("GOOGLETRANSLATE(B30530,""en"",""it"")"),"L'uomo aiuta la donna a cavallo e lei la conduce intorno all'arena.")</f>
        <v>L'uomo aiuta la donna a cavallo e lei la conduce intorno all'arena.</v>
      </c>
    </row>
    <row r="30531">
      <c r="A30531" s="4" t="s">
        <v>38445</v>
      </c>
      <c r="B30531" s="4" t="s">
        <v>38448</v>
      </c>
      <c r="C30531" s="5" t="str">
        <f>IFERROR(__xludf.DUMMYFUNCTION("GOOGLETRANSLATE(B30531,""en"",""it"")"),"La donna scende dal cavallo e parla alla telecamera.")</f>
        <v>La donna scende dal cavallo e parla alla telecamera.</v>
      </c>
    </row>
    <row r="30532">
      <c r="A30532" s="4" t="s">
        <v>38449</v>
      </c>
      <c r="B30532" s="4" t="s">
        <v>38450</v>
      </c>
      <c r="C30532" s="5" t="str">
        <f>IFERROR(__xludf.DUMMYFUNCTION("GOOGLETRANSLATE(B30532,""en"",""it"")"),"Due uomini sono visti seduti su un divano a guardare la TV e parlare indietro e quarto l'uno all'altro.")</f>
        <v>Due uomini sono visti seduti su un divano a guardare la TV e parlare indietro e quarto l'uno all'altro.</v>
      </c>
    </row>
    <row r="30533">
      <c r="A30533" s="4" t="s">
        <v>38449</v>
      </c>
      <c r="B30533" s="6" t="s">
        <v>38451</v>
      </c>
      <c r="C30533" s="5" t="str">
        <f>IFERROR(__xludf.DUMMYFUNCTION("GOOGLETRANSLATE(B30533,""en"",""it"")"),"Un altro cammina nel telaio che parla e tiene un drink e i due uomini continuano a parlarsi.")</f>
        <v>Un altro cammina nel telaio che parla e tiene un drink e i due uomini continuano a parlarsi.</v>
      </c>
    </row>
    <row r="30534">
      <c r="A30534" s="4" t="s">
        <v>38452</v>
      </c>
      <c r="B30534" s="4" t="s">
        <v>38453</v>
      </c>
      <c r="C30534" s="5" t="str">
        <f>IFERROR(__xludf.DUMMYFUNCTION("GOOGLETRANSLATE(B30534,""en"",""it"")"),"Una mano tiene in mano un MOP umido alla fotocamera.")</f>
        <v>Una mano tiene in mano un MOP umido alla fotocamera.</v>
      </c>
    </row>
    <row r="30535">
      <c r="A30535" s="4" t="s">
        <v>38452</v>
      </c>
      <c r="B30535" s="4" t="s">
        <v>38454</v>
      </c>
      <c r="C30535" s="5" t="str">
        <f>IFERROR(__xludf.DUMMYFUNCTION("GOOGLETRANSLATE(B30535,""en"",""it"")"),"Una persona fa un pavimento, con la fotocamera che raccoglie solo una parte della persona e del mop.")</f>
        <v>Una persona fa un pavimento, con la fotocamera che raccoglie solo una parte della persona e del mop.</v>
      </c>
    </row>
    <row r="30536">
      <c r="A30536" s="4" t="s">
        <v>38452</v>
      </c>
      <c r="B30536" s="4" t="s">
        <v>38455</v>
      </c>
      <c r="C30536" s="5" t="str">
        <f>IFERROR(__xludf.DUMMYFUNCTION("GOOGLETRANSLATE(B30536,""en"",""it"")"),"La fotocamera mostra un primo piano della testa di MOP.")</f>
        <v>La fotocamera mostra un primo piano della testa di MOP.</v>
      </c>
    </row>
    <row r="30537">
      <c r="A30537" s="4" t="s">
        <v>38456</v>
      </c>
      <c r="B30537" s="4" t="s">
        <v>38457</v>
      </c>
      <c r="C30537" s="5" t="str">
        <f>IFERROR(__xludf.DUMMYFUNCTION("GOOGLETRANSLATE(B30537,""en"",""it"")"),"Viene mostrato un uomo che gira in cerchio mentre lancia un tiro rimandato in lontananza.")</f>
        <v>Viene mostrato un uomo che gira in cerchio mentre lancia un tiro rimandato in lontananza.</v>
      </c>
    </row>
    <row r="30538">
      <c r="A30538" s="4" t="s">
        <v>38456</v>
      </c>
      <c r="B30538" s="6" t="s">
        <v>38458</v>
      </c>
      <c r="C30538" s="5" t="str">
        <f>IFERROR(__xludf.DUMMYFUNCTION("GOOGLETRANSLATE(B30538,""en"",""it"")"),"Diversi uomini vengono quindi mostrati più e più volte gettando l'oggetto in lontananza in varie posizioni.")</f>
        <v>Diversi uomini vengono quindi mostrati più e più volte gettando l'oggetto in lontananza in varie posizioni.</v>
      </c>
    </row>
    <row r="30539">
      <c r="A30539" s="4" t="s">
        <v>38459</v>
      </c>
      <c r="B30539" s="4" t="s">
        <v>38460</v>
      </c>
      <c r="C30539" s="5" t="str">
        <f>IFERROR(__xludf.DUMMYFUNCTION("GOOGLETRANSLATE(B30539,""en"",""it"")"),"Un'introduzione con il testo ""How to Change a Tire"".")</f>
        <v>Un'introduzione con il testo "How to Change a Tire".</v>
      </c>
    </row>
    <row r="30540">
      <c r="A30540" s="4" t="s">
        <v>38459</v>
      </c>
      <c r="B30540" s="4" t="s">
        <v>38461</v>
      </c>
      <c r="C30540" s="5" t="str">
        <f>IFERROR(__xludf.DUMMYFUNCTION("GOOGLETRANSLATE(B30540,""en"",""it"")"),"Una donna ha uno strumento che ti consente di mettere la gomma su un bordo mentre un uomo tiene lo strumento.")</f>
        <v>Una donna ha uno strumento che ti consente di mettere la gomma su un bordo mentre un uomo tiene lo strumento.</v>
      </c>
    </row>
    <row r="30541">
      <c r="A30541" s="4" t="s">
        <v>38459</v>
      </c>
      <c r="B30541" s="4" t="s">
        <v>38462</v>
      </c>
      <c r="C30541" s="5" t="str">
        <f>IFERROR(__xludf.DUMMYFUNCTION("GOOGLETRANSLATE(B30541,""en"",""it"")"),"La donna usa quindi lo stesso strumento per rimuovere il pneumatico dal bordo.")</f>
        <v>La donna usa quindi lo stesso strumento per rimuovere il pneumatico dal bordo.</v>
      </c>
    </row>
    <row r="30542">
      <c r="A30542" s="4" t="s">
        <v>38459</v>
      </c>
      <c r="B30542" s="6" t="s">
        <v>38463</v>
      </c>
      <c r="C30542" s="5" t="str">
        <f>IFERROR(__xludf.DUMMYFUNCTION("GOOGLETRANSLATE(B30542,""en"",""it"")"),"Le riprese della persona mostra un timer di un iPhone in vari punti per mostrare quanto tempo dovrebbe richiedere un passo.")</f>
        <v>Le riprese della persona mostra un timer di un iPhone in vari punti per mostrare quanto tempo dovrebbe richiedere un passo.</v>
      </c>
    </row>
    <row r="30543">
      <c r="A30543" s="4" t="s">
        <v>38459</v>
      </c>
      <c r="B30543" s="4" t="s">
        <v>38464</v>
      </c>
      <c r="C30543" s="5" t="str">
        <f>IFERROR(__xludf.DUMMYFUNCTION("GOOGLETRANSLATE(B30543,""en"",""it"")"),"Viene mostrato lo strumento che rimuove il livello dal bordo e come funziona.")</f>
        <v>Viene mostrato lo strumento che rimuove il livello dal bordo e come funziona.</v>
      </c>
    </row>
    <row r="30544">
      <c r="A30544" s="4" t="s">
        <v>38459</v>
      </c>
      <c r="B30544" s="4" t="s">
        <v>38465</v>
      </c>
      <c r="C30544" s="5" t="str">
        <f>IFERROR(__xludf.DUMMYFUNCTION("GOOGLETRANSLATE(B30544,""en"",""it"")"),"Un uomo apre un armadietto o una macchina Bridgestone per mostrare l'interno.")</f>
        <v>Un uomo apre un armadietto o una macchina Bridgestone per mostrare l'interno.</v>
      </c>
    </row>
    <row r="30545">
      <c r="A30545" s="4" t="s">
        <v>38459</v>
      </c>
      <c r="B30545" s="4" t="s">
        <v>38466</v>
      </c>
      <c r="C30545" s="5" t="str">
        <f>IFERROR(__xludf.DUMMYFUNCTION("GOOGLETRANSLATE(B30545,""en"",""it"")"),"Il video termina con l'immagine di un veicolo a energia solare.")</f>
        <v>Il video termina con l'immagine di un veicolo a energia solare.</v>
      </c>
    </row>
    <row r="30546">
      <c r="A30546" s="4" t="s">
        <v>38467</v>
      </c>
      <c r="B30546" s="4" t="s">
        <v>38468</v>
      </c>
      <c r="C30546" s="5" t="str">
        <f>IFERROR(__xludf.DUMMYFUNCTION("GOOGLETRANSLATE(B30546,""en"",""it"")"),"People Skateboard lungo la strada di una città.")</f>
        <v>People Skateboard lungo la strada di una città.</v>
      </c>
    </row>
    <row r="30547">
      <c r="A30547" s="4" t="s">
        <v>38467</v>
      </c>
      <c r="B30547" s="4" t="s">
        <v>38469</v>
      </c>
      <c r="C30547" s="5" t="str">
        <f>IFERROR(__xludf.DUMMYFUNCTION("GOOGLETRANSLATE(B30547,""en"",""it"")"),"Un gruppo di adolescenti si incontra sulla strada e guarda uno skateboard per adolescenti.")</f>
        <v>Un gruppo di adolescenti si incontra sulla strada e guarda uno skateboard per adolescenti.</v>
      </c>
    </row>
    <row r="30548">
      <c r="A30548" s="4" t="s">
        <v>38467</v>
      </c>
      <c r="B30548" s="4" t="s">
        <v>38470</v>
      </c>
      <c r="C30548" s="5" t="str">
        <f>IFERROR(__xludf.DUMMYFUNCTION("GOOGLETRANSLATE(B30548,""en"",""it"")"),"Un adolescente entra in una rampa di skateboard e skateboard in giro.")</f>
        <v>Un adolescente entra in una rampa di skateboard e skateboard in giro.</v>
      </c>
    </row>
    <row r="30549">
      <c r="A30549" s="4" t="s">
        <v>38467</v>
      </c>
      <c r="B30549" s="4" t="s">
        <v>38471</v>
      </c>
      <c r="C30549" s="5" t="str">
        <f>IFERROR(__xludf.DUMMYFUNCTION("GOOGLETRANSLATE(B30549,""en"",""it"")"),"Un ragazzo skateboard su una strada che passa una città e un campo.")</f>
        <v>Un ragazzo skateboard su una strada che passa una città e un campo.</v>
      </c>
    </row>
    <row r="30550">
      <c r="A30550" s="4" t="s">
        <v>38467</v>
      </c>
      <c r="B30550" s="4" t="s">
        <v>38472</v>
      </c>
      <c r="C30550" s="5" t="str">
        <f>IFERROR(__xludf.DUMMYFUNCTION("GOOGLETRANSLATE(B30550,""en"",""it"")"),"Due adolescenti skateboard su una strada.")</f>
        <v>Due adolescenti skateboard su una strada.</v>
      </c>
    </row>
    <row r="30551">
      <c r="A30551" s="4" t="s">
        <v>38473</v>
      </c>
      <c r="B30551" s="4" t="s">
        <v>38474</v>
      </c>
      <c r="C30551" s="5" t="str">
        <f>IFERROR(__xludf.DUMMYFUNCTION("GOOGLETRANSLATE(B30551,""en"",""it"")"),"Otto persone sono in piedi in studio, una donna ha camminato sul retro del gruppo.")</f>
        <v>Otto persone sono in piedi in studio, una donna ha camminato sul retro del gruppo.</v>
      </c>
    </row>
    <row r="30552">
      <c r="A30552" s="4" t="s">
        <v>38473</v>
      </c>
      <c r="B30552" s="6" t="s">
        <v>38475</v>
      </c>
      <c r="C30552" s="5" t="str">
        <f>IFERROR(__xludf.DUMMYFUNCTION("GOOGLETRANSLATE(B30552,""en"",""it"")"),"Il gruppo ha iniziato a ballare, turbinare, scuotere i fianchi, ruotare, le braccia e le mani si muovono da un lato all'altro, di fronte.")</f>
        <v>Il gruppo ha iniziato a ballare, turbinare, scuotere i fianchi, ruotare, le braccia e le mani si muovono da un lato all'altro, di fronte.</v>
      </c>
    </row>
    <row r="30553">
      <c r="A30553" s="4" t="s">
        <v>38476</v>
      </c>
      <c r="B30553" s="4" t="s">
        <v>38477</v>
      </c>
      <c r="C30553" s="5" t="str">
        <f>IFERROR(__xludf.DUMMYFUNCTION("GOOGLETRANSLATE(B30553,""en"",""it"")"),"Una donna si trova di fronte a uno specchio che sorride e inizia a lavarsi i capelli.")</f>
        <v>Una donna si trova di fronte a uno specchio che sorride e inizia a lavarsi i capelli.</v>
      </c>
    </row>
    <row r="30554">
      <c r="A30554" s="4" t="s">
        <v>38476</v>
      </c>
      <c r="B30554" s="4" t="s">
        <v>38478</v>
      </c>
      <c r="C30554" s="5" t="str">
        <f>IFERROR(__xludf.DUMMYFUNCTION("GOOGLETRANSLATE(B30554,""en"",""it"")"),"Continua a lavarsi i capelli e guardandosi allo specchio.")</f>
        <v>Continua a lavarsi i capelli e guardandosi allo specchio.</v>
      </c>
    </row>
    <row r="30555">
      <c r="A30555" s="4" t="s">
        <v>38479</v>
      </c>
      <c r="B30555" s="4" t="s">
        <v>38480</v>
      </c>
      <c r="C30555" s="5" t="str">
        <f>IFERROR(__xludf.DUMMYFUNCTION("GOOGLETRANSLATE(B30555,""en"",""it"")"),"Un uomo è in piedi fuori su un marciapiede con una telecamera d'argento nella sua mano che filma qualcosa.")</f>
        <v>Un uomo è in piedi fuori su un marciapiede con una telecamera d'argento nella sua mano che filma qualcosa.</v>
      </c>
    </row>
    <row r="30556">
      <c r="A30556" s="4" t="s">
        <v>38479</v>
      </c>
      <c r="B30556" s="6" t="s">
        <v>38481</v>
      </c>
      <c r="C30556" s="5" t="str">
        <f>IFERROR(__xludf.DUMMYFUNCTION("GOOGLETRANSLATE(B30556,""en"",""it"")"),"Mentre la telecamera gira, l'uomo sta girando qualcuno su una pagaiata a una posti mentre suona un sacco di tubi.")</f>
        <v>Mentre la telecamera gira, l'uomo sta girando qualcuno su una pagaiata a una posti mentre suona un sacco di tubi.</v>
      </c>
    </row>
    <row r="30557">
      <c r="A30557" s="4" t="s">
        <v>38479</v>
      </c>
      <c r="B30557" s="6" t="s">
        <v>38482</v>
      </c>
      <c r="C30557" s="5" t="str">
        <f>IFERROR(__xludf.DUMMYFUNCTION("GOOGLETRANSLATE(B30557,""en"",""it"")"),"L'uomo continua e un groop di persone si affollano intorno a lui e lo guarda fino a quando non cade dal volante.")</f>
        <v>L'uomo continua e un groop di persone si affollano intorno a lui e lo guarda fino a quando non cade dal volante.</v>
      </c>
    </row>
    <row r="30558">
      <c r="A30558" s="4" t="s">
        <v>38483</v>
      </c>
      <c r="B30558" s="4" t="s">
        <v>38484</v>
      </c>
      <c r="C30558" s="5" t="str">
        <f>IFERROR(__xludf.DUMMYFUNCTION("GOOGLETRANSLATE(B30558,""en"",""it"")"),"L'uomo si avvicina ai pesi davanti a lui.")</f>
        <v>L'uomo si avvicina ai pesi davanti a lui.</v>
      </c>
    </row>
    <row r="30559">
      <c r="A30559" s="4" t="s">
        <v>38483</v>
      </c>
      <c r="B30559" s="4" t="s">
        <v>38485</v>
      </c>
      <c r="C30559" s="5" t="str">
        <f>IFERROR(__xludf.DUMMYFUNCTION("GOOGLETRANSLATE(B30559,""en"",""it"")"),"L'uomo solleva pesi e li lascia cadere a terra.")</f>
        <v>L'uomo solleva pesi e li lascia cadere a terra.</v>
      </c>
    </row>
    <row r="30560">
      <c r="A30560" s="4" t="s">
        <v>38483</v>
      </c>
      <c r="B30560" s="4" t="s">
        <v>38486</v>
      </c>
      <c r="C30560" s="5" t="str">
        <f>IFERROR(__xludf.DUMMYFUNCTION("GOOGLETRANSLATE(B30560,""en"",""it"")"),"L'uomo solleva pesi e li tiene per un po '.")</f>
        <v>L'uomo solleva pesi e li tiene per un po '.</v>
      </c>
    </row>
    <row r="30561">
      <c r="A30561" s="4" t="s">
        <v>38483</v>
      </c>
      <c r="B30561" s="4" t="s">
        <v>38487</v>
      </c>
      <c r="C30561" s="5" t="str">
        <f>IFERROR(__xludf.DUMMYFUNCTION("GOOGLETRANSLATE(B30561,""en"",""it"")"),"L'uomo scuote le mani per festeggiare.")</f>
        <v>L'uomo scuote le mani per festeggiare.</v>
      </c>
    </row>
    <row r="30562">
      <c r="A30562" s="4" t="s">
        <v>38483</v>
      </c>
      <c r="B30562" s="4" t="s">
        <v>38488</v>
      </c>
      <c r="C30562" s="5" t="str">
        <f>IFERROR(__xludf.DUMMYFUNCTION("GOOGLETRANSLATE(B30562,""en"",""it"")"),"L'uomo urla per festeggiare.")</f>
        <v>L'uomo urla per festeggiare.</v>
      </c>
    </row>
    <row r="30563">
      <c r="A30563" s="4" t="s">
        <v>38489</v>
      </c>
      <c r="B30563" s="4" t="s">
        <v>38490</v>
      </c>
      <c r="C30563" s="5" t="str">
        <f>IFERROR(__xludf.DUMMYFUNCTION("GOOGLETRANSLATE(B30563,""en"",""it"")"),"Una barca naviga nelle acque mosse di un oceano.")</f>
        <v>Una barca naviga nelle acque mosse di un oceano.</v>
      </c>
    </row>
    <row r="30564">
      <c r="A30564" s="4" t="s">
        <v>38489</v>
      </c>
      <c r="B30564" s="4" t="s">
        <v>38491</v>
      </c>
      <c r="C30564" s="5" t="str">
        <f>IFERROR(__xludf.DUMMYFUNCTION("GOOGLETRANSLATE(B30564,""en"",""it"")"),"Le grandi onde spostano la barca su e giù.")</f>
        <v>Le grandi onde spostano la barca su e giù.</v>
      </c>
    </row>
    <row r="30565">
      <c r="A30565" s="4" t="s">
        <v>38489</v>
      </c>
      <c r="B30565" s="4" t="s">
        <v>38492</v>
      </c>
      <c r="C30565" s="5" t="str">
        <f>IFERROR(__xludf.DUMMYFUNCTION("GOOGLETRANSLATE(B30565,""en"",""it"")"),"Una persona sta davanti alla barca che indossa abiti scuri.")</f>
        <v>Una persona sta davanti alla barca che indossa abiti scuri.</v>
      </c>
    </row>
    <row r="30566">
      <c r="A30566" s="4" t="s">
        <v>38493</v>
      </c>
      <c r="B30566" s="4" t="s">
        <v>38494</v>
      </c>
      <c r="C30566" s="5" t="str">
        <f>IFERROR(__xludf.DUMMYFUNCTION("GOOGLETRANSLATE(B30566,""en"",""it"")"),"Un folto gruppo di persone viene visto vagare per un'arena quando un uomo si avvicina a un peso.")</f>
        <v>Un folto gruppo di persone viene visto vagare per un'arena quando un uomo si avvicina a un peso.</v>
      </c>
    </row>
    <row r="30567">
      <c r="A30567" s="4" t="s">
        <v>38493</v>
      </c>
      <c r="B30567" s="4" t="s">
        <v>38495</v>
      </c>
      <c r="C30567" s="5" t="str">
        <f>IFERROR(__xludf.DUMMYFUNCTION("GOOGLETRANSLATE(B30567,""en"",""it"")"),"L'uomo solleva il peso sopra la testa e lo getta a terra.")</f>
        <v>L'uomo solleva il peso sopra la testa e lo getta a terra.</v>
      </c>
    </row>
    <row r="30568">
      <c r="A30568" s="4" t="s">
        <v>38493</v>
      </c>
      <c r="B30568" s="6" t="s">
        <v>38496</v>
      </c>
      <c r="C30568" s="5" t="str">
        <f>IFERROR(__xludf.DUMMYFUNCTION("GOOGLETRANSLATE(B30568,""en"",""it"")"),"Molti altri uomini si vedono nel tentativo di sollevare il peso con gli altri che hanno successo e incoraggianti e altri che lasciano cadere il peso.")</f>
        <v>Molti altri uomini si vedono nel tentativo di sollevare il peso con gli altri che hanno successo e incoraggianti e altri che lasciano cadere il peso.</v>
      </c>
    </row>
    <row r="30569">
      <c r="A30569" s="4" t="s">
        <v>38497</v>
      </c>
      <c r="B30569" s="4" t="s">
        <v>38498</v>
      </c>
      <c r="C30569" s="5" t="str">
        <f>IFERROR(__xludf.DUMMYFUNCTION("GOOGLETRANSLATE(B30569,""en"",""it"")"),"La grafica con ""FCC Presents"" seguita da ""The Great all'interno con Tracy Briggs"" appare sullo schermo.")</f>
        <v>La grafica con "FCC Presents" seguita da "The Great all'interno con Tracy Briggs" appare sullo schermo.</v>
      </c>
    </row>
    <row r="30570">
      <c r="A30570" s="4" t="s">
        <v>38497</v>
      </c>
      <c r="B30570" s="4" t="s">
        <v>38499</v>
      </c>
      <c r="C30570" s="5" t="str">
        <f>IFERROR(__xludf.DUMMYFUNCTION("GOOGLETRANSLATE(B30570,""en"",""it"")"),"Briggs parla alla telecamera da una cucina.")</f>
        <v>Briggs parla alla telecamera da una cucina.</v>
      </c>
    </row>
    <row r="30571">
      <c r="A30571" s="4" t="s">
        <v>38497</v>
      </c>
      <c r="B30571" s="4" t="s">
        <v>38500</v>
      </c>
      <c r="C30571" s="5" t="str">
        <f>IFERROR(__xludf.DUMMYFUNCTION("GOOGLETRANSLATE(B30571,""en"",""it"")"),"Comincia a preparare una patata e Tomtatos da mangiare.")</f>
        <v>Comincia a preparare una patata e Tomtatos da mangiare.</v>
      </c>
    </row>
    <row r="30572">
      <c r="A30572" s="4" t="s">
        <v>38501</v>
      </c>
      <c r="B30572" s="4" t="s">
        <v>38502</v>
      </c>
      <c r="C30572" s="5" t="str">
        <f>IFERROR(__xludf.DUMMYFUNCTION("GOOGLETRANSLATE(B30572,""en"",""it"")"),"Una donna è vista seduta su una sedia a rotelle che guarda alla telecamera e si spinge da parte di un lato.")</f>
        <v>Una donna è vista seduta su una sedia a rotelle che guarda alla telecamera e si spinge da parte di un lato.</v>
      </c>
    </row>
    <row r="30573">
      <c r="A30573" s="4" t="s">
        <v>38501</v>
      </c>
      <c r="B30573" s="4" t="s">
        <v>38503</v>
      </c>
      <c r="C30573" s="5" t="str">
        <f>IFERROR(__xludf.DUMMYFUNCTION("GOOGLETRANSLATE(B30573,""en"",""it"")"),"Quindi mette le scarpe con l'aiuto di un altro uomo mentre sorride ancora alla telecamera.")</f>
        <v>Quindi mette le scarpe con l'aiuto di un altro uomo mentre sorride ancora alla telecamera.</v>
      </c>
    </row>
    <row r="30574">
      <c r="A30574" s="4" t="s">
        <v>38501</v>
      </c>
      <c r="B30574" s="4" t="s">
        <v>38504</v>
      </c>
      <c r="C30574" s="5" t="str">
        <f>IFERROR(__xludf.DUMMYFUNCTION("GOOGLETRANSLATE(B30574,""en"",""it"")"),"Si spinge via e alla fine si aggrappa.")</f>
        <v>Si spinge via e alla fine si aggrappa.</v>
      </c>
    </row>
    <row r="30575">
      <c r="A30575" s="4" t="s">
        <v>38505</v>
      </c>
      <c r="B30575" s="4" t="s">
        <v>38506</v>
      </c>
      <c r="C30575" s="5" t="str">
        <f>IFERROR(__xludf.DUMMYFUNCTION("GOOGLETRANSLATE(B30575,""en"",""it"")"),"Lo chef inizia rimuovendo e tagliando l'entusiasmo.")</f>
        <v>Lo chef inizia rimuovendo e tagliando l'entusiasmo.</v>
      </c>
    </row>
    <row r="30576">
      <c r="A30576" s="4" t="s">
        <v>38505</v>
      </c>
      <c r="B30576" s="4" t="s">
        <v>38507</v>
      </c>
      <c r="C30576" s="5" t="str">
        <f>IFERROR(__xludf.DUMMYFUNCTION("GOOGLETRANSLATE(B30576,""en"",""it"")"),"Lo chef li mette quindi in un cestino, successivamente si taglia e si stacca di più.")</f>
        <v>Lo chef li mette quindi in un cestino, successivamente si taglia e si stacca di più.</v>
      </c>
    </row>
    <row r="30577">
      <c r="A30577" s="4" t="s">
        <v>38505</v>
      </c>
      <c r="B30577" s="4" t="s">
        <v>38508</v>
      </c>
      <c r="C30577" s="5" t="str">
        <f>IFERROR(__xludf.DUMMYFUNCTION("GOOGLETRANSLATE(B30577,""en"",""it"")"),"Lo chef quindi taglia Romaine e li mette in un cestino e si mescola all'infinito con la Romaine.")</f>
        <v>Lo chef quindi taglia Romaine e li mette in un cestino e si mescola all'infinito con la Romaine.</v>
      </c>
    </row>
    <row r="30578">
      <c r="A30578" s="4" t="s">
        <v>38505</v>
      </c>
      <c r="B30578" s="6" t="s">
        <v>38509</v>
      </c>
      <c r="C30578" s="5" t="str">
        <f>IFERROR(__xludf.DUMMYFUNCTION("GOOGLETRANSLATE(B30578,""en"",""it"")"),"Alla fine rimuove la miscela di insalata con un condimento da una ciotola argentata e posiziona l'insalata su un piatto bianco.")</f>
        <v>Alla fine rimuove la miscela di insalata con un condimento da una ciotola argentata e posiziona l'insalata su un piatto bianco.</v>
      </c>
    </row>
    <row r="30579">
      <c r="A30579" s="4" t="s">
        <v>38510</v>
      </c>
      <c r="B30579" s="4" t="s">
        <v>38511</v>
      </c>
      <c r="C30579" s="5" t="str">
        <f>IFERROR(__xludf.DUMMYFUNCTION("GOOGLETRANSLATE(B30579,""en"",""it"")"),"Diverse persone navigano su una grande ondata nell'acqua.")</f>
        <v>Diverse persone navigano su una grande ondata nell'acqua.</v>
      </c>
    </row>
    <row r="30580">
      <c r="A30580" s="4" t="s">
        <v>38510</v>
      </c>
      <c r="B30580" s="4" t="s">
        <v>38512</v>
      </c>
      <c r="C30580" s="5" t="str">
        <f>IFERROR(__xludf.DUMMYFUNCTION("GOOGLETRANSLATE(B30580,""en"",""it"")"),"Un uomo e una bambina nuotano nell'acqua.")</f>
        <v>Un uomo e una bambina nuotano nell'acqua.</v>
      </c>
    </row>
    <row r="30581">
      <c r="A30581" s="4" t="s">
        <v>38513</v>
      </c>
      <c r="B30581" s="4" t="s">
        <v>38514</v>
      </c>
      <c r="C30581" s="5" t="str">
        <f>IFERROR(__xludf.DUMMYFUNCTION("GOOGLETRANSLATE(B30581,""en"",""it"")"),"Un bambino piccolo viene visto prendere a calci nel mezzo di una stanza.")</f>
        <v>Un bambino piccolo viene visto prendere a calci nel mezzo di una stanza.</v>
      </c>
    </row>
    <row r="30582">
      <c r="A30582" s="4" t="s">
        <v>38513</v>
      </c>
      <c r="B30582" s="4" t="s">
        <v>38515</v>
      </c>
      <c r="C30582" s="5" t="str">
        <f>IFERROR(__xludf.DUMMYFUNCTION("GOOGLETRANSLATE(B30582,""en"",""it"")"),"Il bambino prende a calci entrambe le gambe mentre la telecamera si muove.")</f>
        <v>Il bambino prende a calci entrambe le gambe mentre la telecamera si muove.</v>
      </c>
    </row>
    <row r="30583">
      <c r="A30583" s="4" t="s">
        <v>38513</v>
      </c>
      <c r="B30583" s="4" t="s">
        <v>38516</v>
      </c>
      <c r="C30583" s="5" t="str">
        <f>IFERROR(__xludf.DUMMYFUNCTION("GOOGLETRANSLATE(B30583,""en"",""it"")"),"Un altro bambino viene visto calciare sul lato mentre un cane entra e fuori dalla cornice.")</f>
        <v>Un altro bambino viene visto calciare sul lato mentre un cane entra e fuori dalla cornice.</v>
      </c>
    </row>
    <row r="30584">
      <c r="A30584" s="4" t="s">
        <v>38517</v>
      </c>
      <c r="B30584" s="4" t="s">
        <v>38518</v>
      </c>
      <c r="C30584" s="5" t="str">
        <f>IFERROR(__xludf.DUMMYFUNCTION("GOOGLETRANSLATE(B30584,""en"",""it"")"),"Si vede un bambino piccolo che indossa una parrucca con in mano un violino e parla alla telecamera.")</f>
        <v>Si vede un bambino piccolo che indossa una parrucca con in mano un violino e parla alla telecamera.</v>
      </c>
    </row>
    <row r="30585">
      <c r="A30585" s="4" t="s">
        <v>38517</v>
      </c>
      <c r="B30585" s="6" t="s">
        <v>38519</v>
      </c>
      <c r="C30585" s="5" t="str">
        <f>IFERROR(__xludf.DUMMYFUNCTION("GOOGLETRANSLATE(B30585,""en"",""it"")"),"Quindi suona una canzone sul violino che muove le braccia e le mani indietro e la quarta e termina parlando in lontananza.")</f>
        <v>Quindi suona una canzone sul violino che muove le braccia e le mani indietro e la quarta e termina parlando in lontananza.</v>
      </c>
    </row>
    <row r="30586">
      <c r="A30586" s="4" t="s">
        <v>38520</v>
      </c>
      <c r="B30586" s="4" t="s">
        <v>38521</v>
      </c>
      <c r="C30586" s="5" t="str">
        <f>IFERROR(__xludf.DUMMYFUNCTION("GOOGLETRANSLATE(B30586,""en"",""it"")"),"Un uomo viene visto parlare con la telecamera e presenta il suo coltello e il suo affiliatore.")</f>
        <v>Un uomo viene visto parlare con la telecamera e presenta il suo coltello e il suo affiliatore.</v>
      </c>
    </row>
    <row r="30587">
      <c r="A30587" s="4" t="s">
        <v>38520</v>
      </c>
      <c r="B30587" s="6" t="s">
        <v>38522</v>
      </c>
      <c r="C30587" s="5" t="str">
        <f>IFERROR(__xludf.DUMMYFUNCTION("GOOGLETRANSLATE(B30587,""en"",""it"")"),"Quindi scivola il coltello lungo la temperama e mostra come gli altri coltelli funzionano con diversi affiliati.")</f>
        <v>Quindi scivola il coltello lungo la temperama e mostra come gli altri coltelli funzionano con diversi affiliati.</v>
      </c>
    </row>
    <row r="30588">
      <c r="A30588" s="4" t="s">
        <v>38520</v>
      </c>
      <c r="B30588" s="4" t="s">
        <v>38523</v>
      </c>
      <c r="C30588" s="5" t="str">
        <f>IFERROR(__xludf.DUMMYFUNCTION("GOOGLETRANSLATE(B30588,""en"",""it"")"),"Presenta il coltello un'ultima volta mentre parla ancora alla telecamera.")</f>
        <v>Presenta il coltello un'ultima volta mentre parla ancora alla telecamera.</v>
      </c>
    </row>
    <row r="30589">
      <c r="A30589" s="4" t="s">
        <v>38524</v>
      </c>
      <c r="B30589" s="4" t="s">
        <v>38525</v>
      </c>
      <c r="C30589" s="5" t="str">
        <f>IFERROR(__xludf.DUMMYFUNCTION("GOOGLETRANSLATE(B30589,""en"",""it"")"),"Un uomo sta moppando un pavimento.")</f>
        <v>Un uomo sta moppando un pavimento.</v>
      </c>
    </row>
    <row r="30590">
      <c r="A30590" s="4" t="s">
        <v>38524</v>
      </c>
      <c r="B30590" s="4" t="s">
        <v>38526</v>
      </c>
      <c r="C30590" s="5" t="str">
        <f>IFERROR(__xludf.DUMMYFUNCTION("GOOGLETRANSLATE(B30590,""en"",""it"")"),"Una donna sta mangiando.")</f>
        <v>Una donna sta mangiando.</v>
      </c>
    </row>
    <row r="30591">
      <c r="A30591" s="4" t="s">
        <v>38527</v>
      </c>
      <c r="B30591" s="4" t="s">
        <v>38528</v>
      </c>
      <c r="C30591" s="5" t="str">
        <f>IFERROR(__xludf.DUMMYFUNCTION("GOOGLETRANSLATE(B30591,""en"",""it"")"),"Una persona lava lì le mani e chiude uno scarico del lavandino.")</f>
        <v>Una persona lava lì le mani e chiude uno scarico del lavandino.</v>
      </c>
    </row>
    <row r="30592">
      <c r="A30592" s="4" t="s">
        <v>38527</v>
      </c>
      <c r="B30592" s="4" t="s">
        <v>38529</v>
      </c>
      <c r="C30592" s="5" t="str">
        <f>IFERROR(__xludf.DUMMYFUNCTION("GOOGLETRANSLATE(B30592,""en"",""it"")"),"La persona rimuove un contatto dal contenitore e si posiziona sulla punta del dito.")</f>
        <v>La persona rimuove un contatto dal contenitore e si posiziona sulla punta del dito.</v>
      </c>
    </row>
    <row r="30593">
      <c r="A30593" s="4" t="s">
        <v>38527</v>
      </c>
      <c r="B30593" s="4" t="s">
        <v>38530</v>
      </c>
      <c r="C30593" s="5" t="str">
        <f>IFERROR(__xludf.DUMMYFUNCTION("GOOGLETRANSLATE(B30593,""en"",""it"")"),"La persona tiene aperta una palpebra alla volta e inserisce il contatto negli occhi.")</f>
        <v>La persona tiene aperta una palpebra alla volta e inserisce il contatto negli occhi.</v>
      </c>
    </row>
    <row r="30594">
      <c r="A30594" s="4" t="s">
        <v>38527</v>
      </c>
      <c r="B30594" s="4" t="s">
        <v>38531</v>
      </c>
      <c r="C30594" s="5" t="str">
        <f>IFERROR(__xludf.DUMMYFUNCTION("GOOGLETRANSLATE(B30594,""en"",""it"")"),"Una soluzione detergente viene spruzzata nel contenitore per pulirlo.")</f>
        <v>Una soluzione detergente viene spruzzata nel contenitore per pulirlo.</v>
      </c>
    </row>
    <row r="30595">
      <c r="A30595" s="4" t="s">
        <v>38527</v>
      </c>
      <c r="B30595" s="4" t="s">
        <v>38532</v>
      </c>
      <c r="C30595" s="5" t="str">
        <f>IFERROR(__xludf.DUMMYFUNCTION("GOOGLETRANSLATE(B30595,""en"",""it"")"),"La lente a contatto viene rimossa dall'occhio.")</f>
        <v>La lente a contatto viene rimossa dall'occhio.</v>
      </c>
    </row>
    <row r="30596">
      <c r="A30596" s="4" t="s">
        <v>38527</v>
      </c>
      <c r="B30596" s="6" t="s">
        <v>38533</v>
      </c>
      <c r="C30596" s="5" t="str">
        <f>IFERROR(__xludf.DUMMYFUNCTION("GOOGLETRANSLATE(B30596,""en"",""it"")"),"La soluzione viene spruzzata sulla lente a contatto appoggiata nel palmo di una mano prima di essere riposta sul bancone.")</f>
        <v>La soluzione viene spruzzata sulla lente a contatto appoggiata nel palmo di una mano prima di essere riposta sul bancone.</v>
      </c>
    </row>
    <row r="30597">
      <c r="A30597" s="4" t="s">
        <v>38534</v>
      </c>
      <c r="B30597" s="4" t="s">
        <v>38535</v>
      </c>
      <c r="C30597" s="5" t="str">
        <f>IFERROR(__xludf.DUMMYFUNCTION("GOOGLETRANSLATE(B30597,""en"",""it"")"),"Una serie di maschere sono mostrate su un tavolo.")</f>
        <v>Una serie di maschere sono mostrate su un tavolo.</v>
      </c>
    </row>
    <row r="30598">
      <c r="A30598" s="4" t="s">
        <v>38534</v>
      </c>
      <c r="B30598" s="4" t="s">
        <v>38536</v>
      </c>
      <c r="C30598" s="5" t="str">
        <f>IFERROR(__xludf.DUMMYFUNCTION("GOOGLETRANSLATE(B30598,""en"",""it"")"),"Un cane Yorkie è mostrato da diversi angoli.")</f>
        <v>Un cane Yorkie è mostrato da diversi angoli.</v>
      </c>
    </row>
    <row r="30599">
      <c r="A30599" s="4" t="s">
        <v>38534</v>
      </c>
      <c r="B30599" s="4" t="s">
        <v>38537</v>
      </c>
      <c r="C30599" s="5" t="str">
        <f>IFERROR(__xludf.DUMMYFUNCTION("GOOGLETRANSLATE(B30599,""en"",""it"")"),"Vediamo quindi le competizioni vincenti del cane e farsi cura.")</f>
        <v>Vediamo quindi le competizioni vincenti del cane e farsi cura.</v>
      </c>
    </row>
    <row r="30600">
      <c r="A30600" s="4" t="s">
        <v>38538</v>
      </c>
      <c r="B30600" s="4" t="s">
        <v>1487</v>
      </c>
      <c r="C30600" s="5" t="str">
        <f>IFERROR(__xludf.DUMMYFUNCTION("GOOGLETRANSLATE(B30600,""en"",""it"")"),"Vediamo una schermata del titolo di apertura.")</f>
        <v>Vediamo una schermata del titolo di apertura.</v>
      </c>
    </row>
    <row r="30601">
      <c r="A30601" s="4" t="s">
        <v>38538</v>
      </c>
      <c r="B30601" s="4" t="s">
        <v>38539</v>
      </c>
      <c r="C30601" s="5" t="str">
        <f>IFERROR(__xludf.DUMMYFUNCTION("GOOGLETRANSLATE(B30601,""en"",""it"")"),"Vediamo un rasoio elettrico da vari angoli.")</f>
        <v>Vediamo un rasoio elettrico da vari angoli.</v>
      </c>
    </row>
    <row r="30602">
      <c r="A30602" s="4" t="s">
        <v>38538</v>
      </c>
      <c r="B30602" s="4" t="s">
        <v>38540</v>
      </c>
      <c r="C30602" s="5" t="str">
        <f>IFERROR(__xludf.DUMMYFUNCTION("GOOGLETRANSLATE(B30602,""en"",""it"")"),"L'uomo scarta il prodotto e lo toglie dalla borsa.")</f>
        <v>L'uomo scarta il prodotto e lo toglie dalla borsa.</v>
      </c>
    </row>
    <row r="30603">
      <c r="A30603" s="4" t="s">
        <v>38538</v>
      </c>
      <c r="B30603" s="4" t="s">
        <v>38541</v>
      </c>
      <c r="C30603" s="5" t="str">
        <f>IFERROR(__xludf.DUMMYFUNCTION("GOOGLETRANSLATE(B30603,""en"",""it"")"),"Il prodotto viene tolto dalla sua confezione.")</f>
        <v>Il prodotto viene tolto dalla sua confezione.</v>
      </c>
    </row>
    <row r="30604">
      <c r="A30604" s="4" t="s">
        <v>38538</v>
      </c>
      <c r="B30604" s="4" t="s">
        <v>38542</v>
      </c>
      <c r="C30604" s="5" t="str">
        <f>IFERROR(__xludf.DUMMYFUNCTION("GOOGLETRANSLATE(B30604,""en"",""it"")"),"L'uomo si rade la mano, quindi aggiunge una guardia e si rade la barba e l'attaccatura dei capelli sul retro.")</f>
        <v>L'uomo si rade la mano, quindi aggiunge una guardia e si rade la barba e l'attaccatura dei capelli sul retro.</v>
      </c>
    </row>
    <row r="30605">
      <c r="A30605" s="4" t="s">
        <v>38538</v>
      </c>
      <c r="B30605" s="4" t="s">
        <v>38543</v>
      </c>
      <c r="C30605" s="5" t="str">
        <f>IFERROR(__xludf.DUMMYFUNCTION("GOOGLETRANSLATE(B30605,""en"",""it"")"),"L'uomo sciacqua il rasoio e lavora sul collo.")</f>
        <v>L'uomo sciacqua il rasoio e lavora sul collo.</v>
      </c>
    </row>
    <row r="30606">
      <c r="A30606" s="4" t="s">
        <v>38538</v>
      </c>
      <c r="B30606" s="4" t="s">
        <v>4452</v>
      </c>
      <c r="C30606" s="5" t="str">
        <f>IFERROR(__xludf.DUMMYFUNCTION("GOOGLETRANSLATE(B30606,""en"",""it"")"),"Vediamo quindi lo schermo finale.")</f>
        <v>Vediamo quindi lo schermo finale.</v>
      </c>
    </row>
    <row r="30607">
      <c r="A30607" s="4" t="s">
        <v>38544</v>
      </c>
      <c r="B30607" s="6" t="s">
        <v>38545</v>
      </c>
      <c r="C30607" s="5" t="str">
        <f>IFERROR(__xludf.DUMMYFUNCTION("GOOGLETRANSLATE(B30607,""en"",""it"")"),"Un uomo e una donna vestiti con abiti da neve camminano sulla neve e iniziano a perforare la terra di ghiaccio con lunghe esercitazioni di manovella rossa portata.")</f>
        <v>Un uomo e una donna vestiti con abiti da neve camminano sulla neve e iniziano a perforare la terra di ghiaccio con lunghe esercitazioni di manovella rossa portata.</v>
      </c>
    </row>
    <row r="30608">
      <c r="A30608" s="4" t="s">
        <v>38544</v>
      </c>
      <c r="B30608" s="6" t="s">
        <v>38546</v>
      </c>
      <c r="C30608" s="5" t="str">
        <f>IFERROR(__xludf.DUMMYFUNCTION("GOOGLETRANSLATE(B30608,""en"",""it"")"),"Quando fanno un buco nel ghiaccio, mettono il loro filo di pesca attaccato con esca nel buco e iniziano a pescare il ghiaccio fino a quando la donna prende un pesce.")</f>
        <v>Quando fanno un buco nel ghiaccio, mettono il loro filo di pesca attaccato con esca nel buco e iniziano a pescare il ghiaccio fino a quando la donna prende un pesce.</v>
      </c>
    </row>
    <row r="30609">
      <c r="A30609" s="4" t="s">
        <v>38544</v>
      </c>
      <c r="B30609" s="4" t="s">
        <v>38547</v>
      </c>
      <c r="C30609" s="5" t="str">
        <f>IFERROR(__xludf.DUMMYFUNCTION("GOOGLETRANSLATE(B30609,""en"",""it"")"),"Dopo aver finito di pescare, ora sono a un fuoco in legno e il pesce cucina sul legno.")</f>
        <v>Dopo aver finito di pescare, ora sono a un fuoco in legno e il pesce cucina sul legno.</v>
      </c>
    </row>
    <row r="30610">
      <c r="A30610" s="4" t="s">
        <v>38548</v>
      </c>
      <c r="B30610" s="4" t="s">
        <v>38549</v>
      </c>
      <c r="C30610" s="5" t="str">
        <f>IFERROR(__xludf.DUMMYFUNCTION("GOOGLETRANSLATE(B30610,""en"",""it"")"),"Una donna esercita un bastone su una mano in un archiviato.")</f>
        <v>Una donna esercita un bastone su una mano in un archiviato.</v>
      </c>
    </row>
    <row r="30611">
      <c r="A30611" s="4" t="s">
        <v>38548</v>
      </c>
      <c r="B30611" s="4" t="s">
        <v>38550</v>
      </c>
      <c r="C30611" s="5" t="str">
        <f>IFERROR(__xludf.DUMMYFUNCTION("GOOGLETRANSLATE(B30611,""en"",""it"")"),"La donna si esercita sul davanti l'oceano che le gira il bastone sul collo.")</f>
        <v>La donna si esercita sul davanti l'oceano che le gira il bastone sul collo.</v>
      </c>
    </row>
    <row r="30612">
      <c r="A30612" s="4" t="s">
        <v>38548</v>
      </c>
      <c r="B30612" s="4" t="s">
        <v>38551</v>
      </c>
      <c r="C30612" s="5" t="str">
        <f>IFERROR(__xludf.DUMMYFUNCTION("GOOGLETRANSLATE(B30612,""en"",""it"")"),"Quindi, la donna lancia il bastone in aria.")</f>
        <v>Quindi, la donna lancia il bastone in aria.</v>
      </c>
    </row>
    <row r="30613">
      <c r="A30613" s="4" t="s">
        <v>38548</v>
      </c>
      <c r="B30613" s="4" t="s">
        <v>38552</v>
      </c>
      <c r="C30613" s="5" t="str">
        <f>IFERROR(__xludf.DUMMYFUNCTION("GOOGLETRANSLATE(B30613,""en"",""it"")"),"Dopo, la donna passa il bastone di mano all'altra sul braccio piegato.")</f>
        <v>Dopo, la donna passa il bastone di mano all'altra sul braccio piegato.</v>
      </c>
    </row>
    <row r="30614">
      <c r="A30614" s="4" t="s">
        <v>38553</v>
      </c>
      <c r="B30614" s="4" t="s">
        <v>38554</v>
      </c>
      <c r="C30614" s="5" t="str">
        <f>IFERROR(__xludf.DUMMYFUNCTION("GOOGLETRANSLATE(B30614,""en"",""it"")"),"Due uomini in costumi di sumo imbottiti vengono tirati lungo una corda di rimorchiatore su una pendenza da sci.")</f>
        <v>Due uomini in costumi di sumo imbottiti vengono tirati lungo una corda di rimorchiatore su una pendenza da sci.</v>
      </c>
    </row>
    <row r="30615">
      <c r="A30615" s="4" t="s">
        <v>38553</v>
      </c>
      <c r="B30615" s="4" t="s">
        <v>38555</v>
      </c>
      <c r="C30615" s="5" t="str">
        <f>IFERROR(__xludf.DUMMYFUNCTION("GOOGLETRANSLATE(B30615,""en"",""it"")"),"Due uomini in costumi di sumo imbottiti gialli fanno salti sul loro snowboard in un percorso in discesa.")</f>
        <v>Due uomini in costumi di sumo imbottiti gialli fanno salti sul loro snowboard in un percorso in discesa.</v>
      </c>
    </row>
    <row r="30616">
      <c r="A30616" s="4" t="s">
        <v>38553</v>
      </c>
      <c r="B30616" s="4" t="s">
        <v>38556</v>
      </c>
      <c r="C30616" s="5" t="str">
        <f>IFERROR(__xludf.DUMMYFUNCTION("GOOGLETRANSLATE(B30616,""en"",""it"")"),"Un cineatore rinuncia alla telecamera.")</f>
        <v>Un cineatore rinuncia alla telecamera.</v>
      </c>
    </row>
    <row r="30617">
      <c r="A30617" s="4" t="s">
        <v>38553</v>
      </c>
      <c r="B30617" s="4" t="s">
        <v>38557</v>
      </c>
      <c r="C30617" s="5" t="str">
        <f>IFERROR(__xludf.DUMMYFUNCTION("GOOGLETRANSLATE(B30617,""en"",""it"")"),"L'uomo gira mentre scivola su una piattaforma nella tuta di sumo.")</f>
        <v>L'uomo gira mentre scivola su una piattaforma nella tuta di sumo.</v>
      </c>
    </row>
    <row r="30618">
      <c r="A30618" s="4" t="s">
        <v>38553</v>
      </c>
      <c r="B30618" s="4" t="s">
        <v>38558</v>
      </c>
      <c r="C30618" s="5" t="str">
        <f>IFERROR(__xludf.DUMMYFUNCTION("GOOGLETRANSLATE(B30618,""en"",""it"")"),"I due uomini si danno un cinque alti.")</f>
        <v>I due uomini si danno un cinque alti.</v>
      </c>
    </row>
    <row r="30619">
      <c r="A30619" s="4" t="s">
        <v>38553</v>
      </c>
      <c r="B30619" s="4" t="s">
        <v>38559</v>
      </c>
      <c r="C30619" s="5" t="str">
        <f>IFERROR(__xludf.DUMMYFUNCTION("GOOGLETRANSLATE(B30619,""en"",""it"")"),"L'uomo in tuta sumo supera un piccolo ostacolo triangolare.")</f>
        <v>L'uomo in tuta sumo supera un piccolo ostacolo triangolare.</v>
      </c>
    </row>
    <row r="30620">
      <c r="A30620" s="4" t="s">
        <v>38553</v>
      </c>
      <c r="B30620" s="4" t="s">
        <v>38560</v>
      </c>
      <c r="C30620" s="5" t="str">
        <f>IFERROR(__xludf.DUMMYFUNCTION("GOOGLETRANSLATE(B30620,""en"",""it"")"),"Un uomo su piccoli sci si schianta mentre cerca di saltare.")</f>
        <v>Un uomo su piccoli sci si schianta mentre cerca di saltare.</v>
      </c>
    </row>
    <row r="30621">
      <c r="A30621" s="4" t="s">
        <v>38553</v>
      </c>
      <c r="B30621" s="4" t="s">
        <v>38561</v>
      </c>
      <c r="C30621" s="5" t="str">
        <f>IFERROR(__xludf.DUMMYFUNCTION("GOOGLETRANSLATE(B30621,""en"",""it"")"),"L'uomo salta su e scivola su una piattaforma mentre indossa un abito di sumo.")</f>
        <v>L'uomo salta su e scivola su una piattaforma mentre indossa un abito di sumo.</v>
      </c>
    </row>
    <row r="30622">
      <c r="A30622" s="4" t="s">
        <v>38553</v>
      </c>
      <c r="B30622" s="4" t="s">
        <v>38562</v>
      </c>
      <c r="C30622" s="5" t="str">
        <f>IFERROR(__xludf.DUMMYFUNCTION("GOOGLETRANSLATE(B30622,""en"",""it"")"),"L'uomo rimbalza su una mazza bassa.")</f>
        <v>L'uomo rimbalza su una mazza bassa.</v>
      </c>
    </row>
    <row r="30623">
      <c r="A30623" s="4" t="s">
        <v>38563</v>
      </c>
      <c r="B30623" s="4" t="s">
        <v>38564</v>
      </c>
      <c r="C30623" s="5" t="str">
        <f>IFERROR(__xludf.DUMMYFUNCTION("GOOGLETRANSLATE(B30623,""en"",""it"")"),"Un ragazzo è seduto su una sedia dietro un bancone.")</f>
        <v>Un ragazzo è seduto su una sedia dietro un bancone.</v>
      </c>
    </row>
    <row r="30624">
      <c r="A30624" s="4" t="s">
        <v>38563</v>
      </c>
      <c r="B30624" s="4" t="s">
        <v>38565</v>
      </c>
      <c r="C30624" s="5" t="str">
        <f>IFERROR(__xludf.DUMMYFUNCTION("GOOGLETRANSLATE(B30624,""en"",""it"")"),"Una ragazza viene accanto a lui e cerca di dargli da mangiare cereali.")</f>
        <v>Una ragazza viene accanto a lui e cerca di dargli da mangiare cereali.</v>
      </c>
    </row>
    <row r="30625">
      <c r="A30625" s="4" t="s">
        <v>38563</v>
      </c>
      <c r="B30625" s="4" t="s">
        <v>38566</v>
      </c>
      <c r="C30625" s="5" t="str">
        <f>IFERROR(__xludf.DUMMYFUNCTION("GOOGLETRANSLATE(B30625,""en"",""it"")"),"Comincia a lanciare freccette a bordo di freccette.")</f>
        <v>Comincia a lanciare freccette a bordo di freccette.</v>
      </c>
    </row>
    <row r="30626">
      <c r="A30626" s="4" t="s">
        <v>38567</v>
      </c>
      <c r="B30626" s="4" t="s">
        <v>38568</v>
      </c>
      <c r="C30626" s="5" t="str">
        <f>IFERROR(__xludf.DUMMYFUNCTION("GOOGLETRANSLATE(B30626,""en"",""it"")"),"Un primo piano è mostrato da un pavimento molto sporco pulito con un grande vuoto.")</f>
        <v>Un primo piano è mostrato da un pavimento molto sporco pulito con un grande vuoto.</v>
      </c>
    </row>
    <row r="30627">
      <c r="A30627" s="4" t="s">
        <v>38567</v>
      </c>
      <c r="B30627" s="4" t="s">
        <v>38569</v>
      </c>
      <c r="C30627" s="5" t="str">
        <f>IFERROR(__xludf.DUMMYFUNCTION("GOOGLETRANSLATE(B30627,""en"",""it"")"),"Le parole sullo schermo spiegano la forza del vuoto mentre la persona continua.")</f>
        <v>Le parole sullo schermo spiegano la forza del vuoto mentre la persona continua.</v>
      </c>
    </row>
    <row r="30628">
      <c r="A30628" s="4" t="s">
        <v>38567</v>
      </c>
      <c r="B30628" s="4" t="s">
        <v>38570</v>
      </c>
      <c r="C30628" s="5" t="str">
        <f>IFERROR(__xludf.DUMMYFUNCTION("GOOGLETRANSLATE(B30628,""en"",""it"")"),"Il pavimento viene pulito alla velocità di camminata.")</f>
        <v>Il pavimento viene pulito alla velocità di camminata.</v>
      </c>
    </row>
    <row r="30629">
      <c r="A30629" s="4" t="s">
        <v>38567</v>
      </c>
      <c r="B30629" s="4" t="s">
        <v>38571</v>
      </c>
      <c r="C30629" s="5" t="str">
        <f>IFERROR(__xludf.DUMMYFUNCTION("GOOGLETRANSLATE(B30629,""en"",""it"")"),"L'uomo continua a dimostrare l'uso fino a quando non appare un annuncio per l'azienda.")</f>
        <v>L'uomo continua a dimostrare l'uso fino a quando non appare un annuncio per l'azienda.</v>
      </c>
    </row>
    <row r="30630">
      <c r="A30630" s="4" t="s">
        <v>38572</v>
      </c>
      <c r="B30630" s="4" t="s">
        <v>38573</v>
      </c>
      <c r="C30630" s="5" t="str">
        <f>IFERROR(__xludf.DUMMYFUNCTION("GOOGLETRANSLATE(B30630,""en"",""it"")"),"Si vede una vista all'esterno di un aeroporto, quindi l'ala dell'aereo volante.")</f>
        <v>Si vede una vista all'esterno di un aeroporto, quindi l'ala dell'aereo volante.</v>
      </c>
    </row>
    <row r="30631">
      <c r="A30631" s="4" t="s">
        <v>38572</v>
      </c>
      <c r="B30631" s="4" t="s">
        <v>38574</v>
      </c>
      <c r="C30631" s="5" t="str">
        <f>IFERROR(__xludf.DUMMYFUNCTION("GOOGLETRANSLATE(B30631,""en"",""it"")"),"Un uomo è sull'aereo che indossa una maschera.")</f>
        <v>Un uomo è sull'aereo che indossa una maschera.</v>
      </c>
    </row>
    <row r="30632">
      <c r="A30632" s="4" t="s">
        <v>38572</v>
      </c>
      <c r="B30632" s="4" t="s">
        <v>38575</v>
      </c>
      <c r="C30632" s="5" t="str">
        <f>IFERROR(__xludf.DUMMYFUNCTION("GOOGLETRANSLATE(B30632,""en"",""it"")"),"Diverse persone dormono negli alloggi oscuri.")</f>
        <v>Diverse persone dormono negli alloggi oscuri.</v>
      </c>
    </row>
    <row r="30633">
      <c r="A30633" s="4" t="s">
        <v>38572</v>
      </c>
      <c r="B30633" s="4" t="s">
        <v>38576</v>
      </c>
      <c r="C30633" s="5" t="str">
        <f>IFERROR(__xludf.DUMMYFUNCTION("GOOGLETRANSLATE(B30633,""en"",""it"")"),"Arrivano in una stazione sciistica e cavalcano gli ascensori prima di indossare gli sci e sciare lungo le colline insidiose.")</f>
        <v>Arrivano in una stazione sciistica e cavalcano gli ascensori prima di indossare gli sci e sciare lungo le colline insidiose.</v>
      </c>
    </row>
    <row r="30634">
      <c r="A30634" s="4" t="s">
        <v>38577</v>
      </c>
      <c r="B30634" s="4" t="s">
        <v>38578</v>
      </c>
      <c r="C30634" s="5" t="str">
        <f>IFERROR(__xludf.DUMMYFUNCTION("GOOGLETRANSLATE(B30634,""en"",""it"")"),"Un uomo tiene il braccio di un aspirapolvere in uno showroom a vuoto.")</f>
        <v>Un uomo tiene il braccio di un aspirapolvere in uno showroom a vuoto.</v>
      </c>
    </row>
    <row r="30635">
      <c r="A30635" s="4" t="s">
        <v>38577</v>
      </c>
      <c r="B30635" s="4" t="s">
        <v>38579</v>
      </c>
      <c r="C30635" s="5" t="str">
        <f>IFERROR(__xludf.DUMMYFUNCTION("GOOGLETRANSLATE(B30635,""en"",""it"")"),"L'uomo solleva il braccio e lo mostra alla fotocamera.")</f>
        <v>L'uomo solleva il braccio e lo mostra alla fotocamera.</v>
      </c>
    </row>
    <row r="30636">
      <c r="A30636" s="4" t="s">
        <v>38577</v>
      </c>
      <c r="B30636" s="4" t="s">
        <v>38580</v>
      </c>
      <c r="C30636" s="5" t="str">
        <f>IFERROR(__xludf.DUMMYFUNCTION("GOOGLETRANSLATE(B30636,""en"",""it"")"),"L'uomo poi finge, quindi in realtà aspira il pavimento del linoleum con il vuoto.")</f>
        <v>L'uomo poi finge, quindi in realtà aspira il pavimento del linoleum con il vuoto.</v>
      </c>
    </row>
    <row r="30637">
      <c r="A30637" s="4" t="s">
        <v>38581</v>
      </c>
      <c r="B30637" s="4" t="s">
        <v>38582</v>
      </c>
      <c r="C30637" s="5" t="str">
        <f>IFERROR(__xludf.DUMMYFUNCTION("GOOGLETRANSLATE(B30637,""en"",""it"")"),"I punteggi sono mostrati su uno schermo davanti all'acqua della piscina.")</f>
        <v>I punteggi sono mostrati su uno schermo davanti all'acqua della piscina.</v>
      </c>
    </row>
    <row r="30638">
      <c r="A30638" s="4" t="s">
        <v>38581</v>
      </c>
      <c r="B30638" s="4" t="s">
        <v>38583</v>
      </c>
      <c r="C30638" s="5" t="str">
        <f>IFERROR(__xludf.DUMMYFUNCTION("GOOGLETRANSLATE(B30638,""en"",""it"")"),"Un uomo si asciugò in una stanza.")</f>
        <v>Un uomo si asciugò in una stanza.</v>
      </c>
    </row>
    <row r="30639">
      <c r="A30639" s="4" t="s">
        <v>38581</v>
      </c>
      <c r="B30639" s="4" t="s">
        <v>38584</v>
      </c>
      <c r="C30639" s="5" t="str">
        <f>IFERROR(__xludf.DUMMYFUNCTION("GOOGLETRANSLATE(B30639,""en"",""it"")"),"Entra in competizione, stringendo la mano dopo la sua immersione.")</f>
        <v>Entra in competizione, stringendo la mano dopo la sua immersione.</v>
      </c>
    </row>
    <row r="30640">
      <c r="A30640" s="4" t="s">
        <v>38581</v>
      </c>
      <c r="B30640" s="4" t="s">
        <v>38585</v>
      </c>
      <c r="C30640" s="5" t="str">
        <f>IFERROR(__xludf.DUMMYFUNCTION("GOOGLETRANSLATE(B30640,""en"",""it"")"),"Tra le immersioni, il tabellone viene mostrato di nuovo.")</f>
        <v>Tra le immersioni, il tabellone viene mostrato di nuovo.</v>
      </c>
    </row>
    <row r="30641">
      <c r="A30641" s="4" t="s">
        <v>38581</v>
      </c>
      <c r="B30641" s="4" t="s">
        <v>38586</v>
      </c>
      <c r="C30641" s="5" t="str">
        <f>IFERROR(__xludf.DUMMYFUNCTION("GOOGLETRANSLATE(B30641,""en"",""it"")"),"La scena finale è dell'uomo che si ritrò dalla tavola da immersione.")</f>
        <v>La scena finale è dell'uomo che si ritrò dalla tavola da immersione.</v>
      </c>
    </row>
    <row r="30642">
      <c r="A30642" s="4" t="s">
        <v>38587</v>
      </c>
      <c r="B30642" s="4" t="s">
        <v>38588</v>
      </c>
      <c r="C30642" s="5" t="str">
        <f>IFERROR(__xludf.DUMMYFUNCTION("GOOGLETRANSLATE(B30642,""en"",""it"")"),"Una donna viene vista sorridere alla telecamera che tiene in mano un asciugacapelli e vari attacchi.")</f>
        <v>Una donna viene vista sorridere alla telecamera che tiene in mano un asciugacapelli e vari attacchi.</v>
      </c>
    </row>
    <row r="30643">
      <c r="A30643" s="4" t="s">
        <v>38587</v>
      </c>
      <c r="B30643" s="6" t="s">
        <v>38589</v>
      </c>
      <c r="C30643" s="5" t="str">
        <f>IFERROR(__xludf.DUMMYFUNCTION("GOOGLETRANSLATE(B30643,""en"",""it"")"),"Viene quindi vista di nuovo con i capelli bagnati e poi spruzza liquido nei capelli e poi soffia di più i capelli.")</f>
        <v>Viene quindi vista di nuovo con i capelli bagnati e poi spruzza liquido nei capelli e poi soffia di più i capelli.</v>
      </c>
    </row>
    <row r="30644">
      <c r="A30644" s="4" t="s">
        <v>38587</v>
      </c>
      <c r="B30644" s="6" t="s">
        <v>38590</v>
      </c>
      <c r="C30644" s="5" t="str">
        <f>IFERROR(__xludf.DUMMYFUNCTION("GOOGLETRANSLATE(B30644,""en"",""it"")"),"Quindi si stringe i capelli, si attacca e si attacca all'asciugatrice e si asciuga i capelli tutt'intorno, girando alla telecamera alla fine.")</f>
        <v>Quindi si stringe i capelli, si attacca e si attacca all'asciugatrice e si asciuga i capelli tutt'intorno, girando alla telecamera alla fine.</v>
      </c>
    </row>
    <row r="30645">
      <c r="A30645" s="4" t="s">
        <v>38591</v>
      </c>
      <c r="B30645" s="4" t="s">
        <v>38592</v>
      </c>
      <c r="C30645" s="5" t="str">
        <f>IFERROR(__xludf.DUMMYFUNCTION("GOOGLETRANSLATE(B30645,""en"",""it"")"),"Un uomo usa una grande mazza blu di plastica.")</f>
        <v>Un uomo usa una grande mazza blu di plastica.</v>
      </c>
    </row>
    <row r="30646">
      <c r="A30646" s="4" t="s">
        <v>38591</v>
      </c>
      <c r="B30646" s="4" t="s">
        <v>38593</v>
      </c>
      <c r="C30646" s="5" t="str">
        <f>IFERROR(__xludf.DUMMYFUNCTION("GOOGLETRANSLATE(B30646,""en"",""it"")"),"Lo fa oscillare a una pinata a forma di squarepant di spongebob.")</f>
        <v>Lo fa oscillare a una pinata a forma di squarepant di spongebob.</v>
      </c>
    </row>
    <row r="30647">
      <c r="A30647" s="4" t="s">
        <v>38591</v>
      </c>
      <c r="B30647" s="4" t="s">
        <v>38594</v>
      </c>
      <c r="C30647" s="5" t="str">
        <f>IFERROR(__xludf.DUMMYFUNCTION("GOOGLETRANSLATE(B30647,""en"",""it"")"),"Gli manca più volte e continua a oscillare.")</f>
        <v>Gli manca più volte e continua a oscillare.</v>
      </c>
    </row>
    <row r="30648">
      <c r="A30648" s="4" t="s">
        <v>38595</v>
      </c>
      <c r="B30648" s="4" t="s">
        <v>38596</v>
      </c>
      <c r="C30648" s="5" t="str">
        <f>IFERROR(__xludf.DUMMYFUNCTION("GOOGLETRANSLATE(B30648,""en"",""it"")"),"Vediamo un dito sull'obiettivo e una spalla.")</f>
        <v>Vediamo un dito sull'obiettivo e una spalla.</v>
      </c>
    </row>
    <row r="30649">
      <c r="A30649" s="4" t="s">
        <v>38595</v>
      </c>
      <c r="B30649" s="4" t="s">
        <v>38597</v>
      </c>
      <c r="C30649" s="5" t="str">
        <f>IFERROR(__xludf.DUMMYFUNCTION("GOOGLETRANSLATE(B30649,""en"",""it"")"),"Una donna spinge un tosaerba attraverso l'erba.")</f>
        <v>Una donna spinge un tosaerba attraverso l'erba.</v>
      </c>
    </row>
    <row r="30650">
      <c r="A30650" s="4" t="s">
        <v>38595</v>
      </c>
      <c r="B30650" s="4" t="s">
        <v>38598</v>
      </c>
      <c r="C30650" s="5" t="str">
        <f>IFERROR(__xludf.DUMMYFUNCTION("GOOGLETRANSLATE(B30650,""en"",""it"")"),"La signora solleva il tosaerba e fa il backup.")</f>
        <v>La signora solleva il tosaerba e fa il backup.</v>
      </c>
    </row>
    <row r="30651">
      <c r="A30651" s="4" t="s">
        <v>38595</v>
      </c>
      <c r="B30651" s="4" t="s">
        <v>38599</v>
      </c>
      <c r="C30651" s="5" t="str">
        <f>IFERROR(__xludf.DUMMYFUNCTION("GOOGLETRANSLATE(B30651,""en"",""it"")"),"La signora gira il tosaerba.")</f>
        <v>La signora gira il tosaerba.</v>
      </c>
    </row>
    <row r="30652">
      <c r="A30652" s="4" t="s">
        <v>38600</v>
      </c>
      <c r="B30652" s="4" t="s">
        <v>38601</v>
      </c>
      <c r="C30652" s="5" t="str">
        <f>IFERROR(__xludf.DUMMYFUNCTION("GOOGLETRANSLATE(B30652,""en"",""it"")"),"La donna è in piedi nel carattere di un bancone e sta parlando con la telecamera.")</f>
        <v>La donna è in piedi nel carattere di un bancone e sta parlando con la telecamera.</v>
      </c>
    </row>
    <row r="30653">
      <c r="A30653" s="4" t="s">
        <v>38600</v>
      </c>
      <c r="B30653" s="6" t="s">
        <v>38602</v>
      </c>
      <c r="C30653" s="5" t="str">
        <f>IFERROR(__xludf.DUMMYFUNCTION("GOOGLETRANSLATE(B30653,""en"",""it"")"),"Viene mostrato un lavello pulito e una donna che clandestina la superficie dell'acqua e del vino con un panno e poi con una spugna.")</f>
        <v>Viene mostrato un lavello pulito e una donna che clandestina la superficie dell'acqua e del vino con un panno e poi con una spugna.</v>
      </c>
    </row>
    <row r="30654">
      <c r="A30654" s="4" t="s">
        <v>38600</v>
      </c>
      <c r="B30654" s="6" t="s">
        <v>38603</v>
      </c>
      <c r="C30654" s="5" t="str">
        <f>IFERROR(__xludf.DUMMYFUNCTION("GOOGLETRANSLATE(B30654,""en"",""it"")"),"La donna ha messo un detergente su un panno e pulisce il lavandino, quindi la donna sta parlando e un tavolo bianco copre il lavandino.")</f>
        <v>La donna ha messo un detergente su un panno e pulisce il lavandino, quindi la donna sta parlando e un tavolo bianco copre il lavandino.</v>
      </c>
    </row>
    <row r="30655">
      <c r="A30655" s="4" t="s">
        <v>38604</v>
      </c>
      <c r="B30655" s="6" t="s">
        <v>38605</v>
      </c>
      <c r="C30655" s="5" t="str">
        <f>IFERROR(__xludf.DUMMYFUNCTION("GOOGLETRANSLATE(B30655,""en"",""it"")"),"Un folto gruppo di persone è visto seduto attorno a un auditorium con un uomo che vola aquiloni nel mezzo.")</f>
        <v>Un folto gruppo di persone è visto seduto attorno a un auditorium con un uomo che vola aquiloni nel mezzo.</v>
      </c>
    </row>
    <row r="30656">
      <c r="A30656" s="4" t="s">
        <v>38604</v>
      </c>
      <c r="B30656" s="6" t="s">
        <v>38606</v>
      </c>
      <c r="C30656" s="5" t="str">
        <f>IFERROR(__xludf.DUMMYFUNCTION("GOOGLETRANSLATE(B30656,""en"",""it"")"),"La persona continua a muoversi con gli aquiloni e alla fine si allontana con una donna che parla alla folla.")</f>
        <v>La persona continua a muoversi con gli aquiloni e alla fine si allontana con una donna che parla alla folla.</v>
      </c>
    </row>
    <row r="30657">
      <c r="A30657" s="4" t="s">
        <v>38607</v>
      </c>
      <c r="B30657" s="4" t="s">
        <v>38608</v>
      </c>
      <c r="C30657" s="5" t="str">
        <f>IFERROR(__xludf.DUMMYFUNCTION("GOOGLETRANSLATE(B30657,""en"",""it"")"),"Vediamo persone in un campo che tiene bandiere.")</f>
        <v>Vediamo persone in un campo che tiene bandiere.</v>
      </c>
    </row>
    <row r="30658">
      <c r="A30658" s="4" t="s">
        <v>38607</v>
      </c>
      <c r="B30658" s="4" t="s">
        <v>38609</v>
      </c>
      <c r="C30658" s="5" t="str">
        <f>IFERROR(__xludf.DUMMYFUNCTION("GOOGLETRANSLATE(B30658,""en"",""it"")"),"Vediamo persone che giocano a paintball nei boschi.")</f>
        <v>Vediamo persone che giocano a paintball nei boschi.</v>
      </c>
    </row>
    <row r="30659">
      <c r="A30659" s="4" t="s">
        <v>38607</v>
      </c>
      <c r="B30659" s="4" t="s">
        <v>38610</v>
      </c>
      <c r="C30659" s="5" t="str">
        <f>IFERROR(__xludf.DUMMYFUNCTION("GOOGLETRANSLATE(B30659,""en"",""it"")"),"Vediamo persone in linee come soldati.")</f>
        <v>Vediamo persone in linee come soldati.</v>
      </c>
    </row>
    <row r="30660">
      <c r="A30660" s="4" t="s">
        <v>38607</v>
      </c>
      <c r="B30660" s="4" t="s">
        <v>38611</v>
      </c>
      <c r="C30660" s="5" t="str">
        <f>IFERROR(__xludf.DUMMYFUNCTION("GOOGLETRANSLATE(B30660,""en"",""it"")"),"Vediamo le persone nei boschi con attrezzatura a sfera di verniciatura.")</f>
        <v>Vediamo le persone nei boschi con attrezzatura a sfera di verniciatura.</v>
      </c>
    </row>
    <row r="30661">
      <c r="A30661" s="4" t="s">
        <v>38607</v>
      </c>
      <c r="B30661" s="4" t="s">
        <v>38612</v>
      </c>
      <c r="C30661" s="5" t="str">
        <f>IFERROR(__xludf.DUMMYFUNCTION("GOOGLETRANSLATE(B30661,""en"",""it"")"),"Vediamo un serbatoio di metallo vuoto.")</f>
        <v>Vediamo un serbatoio di metallo vuoto.</v>
      </c>
    </row>
    <row r="30662">
      <c r="A30662" s="4" t="s">
        <v>38607</v>
      </c>
      <c r="B30662" s="4" t="s">
        <v>38613</v>
      </c>
      <c r="C30662" s="5" t="str">
        <f>IFERROR(__xludf.DUMMYFUNCTION("GOOGLETRANSLATE(B30662,""en"",""it"")"),"Vediamo di nuovo le persone nei boschi.")</f>
        <v>Vediamo di nuovo le persone nei boschi.</v>
      </c>
    </row>
    <row r="30663">
      <c r="A30663" s="4" t="s">
        <v>38607</v>
      </c>
      <c r="B30663" s="4" t="s">
        <v>38614</v>
      </c>
      <c r="C30663" s="5" t="str">
        <f>IFERROR(__xludf.DUMMYFUNCTION("GOOGLETRANSLATE(B30663,""en"",""it"")"),"Vediamo dentro il serbatoio.")</f>
        <v>Vediamo dentro il serbatoio.</v>
      </c>
    </row>
    <row r="30664">
      <c r="A30664" s="4" t="s">
        <v>38607</v>
      </c>
      <c r="B30664" s="4" t="s">
        <v>38615</v>
      </c>
      <c r="C30664" s="5" t="str">
        <f>IFERROR(__xludf.DUMMYFUNCTION("GOOGLETRANSLATE(B30664,""en"",""it"")"),"Vediamo le persone che camminano attraverso il campo.")</f>
        <v>Vediamo le persone che camminano attraverso il campo.</v>
      </c>
    </row>
    <row r="30665">
      <c r="A30665" s="4" t="s">
        <v>38607</v>
      </c>
      <c r="B30665" s="4" t="s">
        <v>38616</v>
      </c>
      <c r="C30665" s="5" t="str">
        <f>IFERROR(__xludf.DUMMYFUNCTION("GOOGLETRANSLATE(B30665,""en"",""it"")"),"Vediamo persone che corrono con il fumo.")</f>
        <v>Vediamo persone che corrono con il fumo.</v>
      </c>
    </row>
    <row r="30666">
      <c r="A30666" s="4" t="s">
        <v>38607</v>
      </c>
      <c r="B30666" s="4" t="s">
        <v>38617</v>
      </c>
      <c r="C30666" s="5" t="str">
        <f>IFERROR(__xludf.DUMMYFUNCTION("GOOGLETRANSLATE(B30666,""en"",""it"")"),"Vediamo una schermata del titolo finale.")</f>
        <v>Vediamo una schermata del titolo finale.</v>
      </c>
    </row>
    <row r="30667">
      <c r="A30667" s="4" t="s">
        <v>38618</v>
      </c>
      <c r="B30667" s="4" t="s">
        <v>38619</v>
      </c>
      <c r="C30667" s="5" t="str">
        <f>IFERROR(__xludf.DUMMYFUNCTION("GOOGLETRANSLATE(B30667,""en"",""it"")"),"Un uomo si inginocchia da un albero in un cortile.")</f>
        <v>Un uomo si inginocchia da un albero in un cortile.</v>
      </c>
    </row>
    <row r="30668">
      <c r="A30668" s="4" t="s">
        <v>38618</v>
      </c>
      <c r="B30668" s="4" t="s">
        <v>38620</v>
      </c>
      <c r="C30668" s="5" t="str">
        <f>IFERROR(__xludf.DUMMYFUNCTION("GOOGLETRANSLATE(B30668,""en"",""it"")"),"Parla mentre scava con le mani.")</f>
        <v>Parla mentre scava con le mani.</v>
      </c>
    </row>
    <row r="30669">
      <c r="A30669" s="4" t="s">
        <v>38618</v>
      </c>
      <c r="B30669" s="4" t="s">
        <v>38621</v>
      </c>
      <c r="C30669" s="5" t="str">
        <f>IFERROR(__xludf.DUMMYFUNCTION("GOOGLETRANSLATE(B30669,""en"",""it"")"),"Mostra e istruisce su come applicare e impacchettare pacciame attorno alla base dell'albero.")</f>
        <v>Mostra e istruisce su come applicare e impacchettare pacciame attorno alla base dell'albero.</v>
      </c>
    </row>
    <row r="30670">
      <c r="A30670" s="4" t="s">
        <v>38622</v>
      </c>
      <c r="B30670" s="4" t="s">
        <v>38623</v>
      </c>
      <c r="C30670" s="5" t="str">
        <f>IFERROR(__xludf.DUMMYFUNCTION("GOOGLETRANSLATE(B30670,""en"",""it"")"),"Una persona corre e salta indossando scarpe rimbalzanti e un uomo fa un viso sorpreso.")</f>
        <v>Una persona corre e salta indossando scarpe rimbalzanti e un uomo fa un viso sorpreso.</v>
      </c>
    </row>
    <row r="30671">
      <c r="A30671" s="4" t="s">
        <v>38622</v>
      </c>
      <c r="B30671" s="6" t="s">
        <v>38624</v>
      </c>
      <c r="C30671" s="5" t="str">
        <f>IFERROR(__xludf.DUMMYFUNCTION("GOOGLETRANSLATE(B30671,""en"",""it"")"),"Le persone che indossano scarpe che rimbalzano rimbalzano e saltano in palestra, un presentatore parla e prova anche le scarpe da rimbalzo.")</f>
        <v>Le persone che indossano scarpe che rimbalzano rimbalzano e saltano in palestra, un presentatore parla e prova anche le scarpe da rimbalzo.</v>
      </c>
    </row>
    <row r="30672">
      <c r="A30672" s="4" t="s">
        <v>38622</v>
      </c>
      <c r="B30672" s="4" t="s">
        <v>38625</v>
      </c>
      <c r="C30672" s="5" t="str">
        <f>IFERROR(__xludf.DUMMYFUNCTION("GOOGLETRANSLATE(B30672,""en"",""it"")"),"Un uomo rimbalza e salta in alto in spiaggia, in strada.")</f>
        <v>Un uomo rimbalza e salta in alto in spiaggia, in strada.</v>
      </c>
    </row>
    <row r="30673">
      <c r="A30673" s="4" t="s">
        <v>38622</v>
      </c>
      <c r="B30673" s="6" t="s">
        <v>38626</v>
      </c>
      <c r="C30673" s="5" t="str">
        <f>IFERROR(__xludf.DUMMYFUNCTION("GOOGLETRANSLATE(B30673,""en"",""it"")"),"Quindi, gli uomini si capovolgono indossando scarpe rimbalzanti, dopo che un uomo gioca a basket indossando scarpe rimbalzanti in palestra.")</f>
        <v>Quindi, gli uomini si capovolgono indossando scarpe rimbalzanti, dopo che un uomo gioca a basket indossando scarpe rimbalzanti in palestra.</v>
      </c>
    </row>
    <row r="30674">
      <c r="A30674" s="4" t="s">
        <v>38622</v>
      </c>
      <c r="B30674" s="4" t="s">
        <v>38627</v>
      </c>
      <c r="C30674" s="5" t="str">
        <f>IFERROR(__xludf.DUMMYFUNCTION("GOOGLETRANSLATE(B30674,""en"",""it"")"),"Una persona va in bicicletta in palestra.")</f>
        <v>Una persona va in bicicletta in palestra.</v>
      </c>
    </row>
    <row r="30675">
      <c r="A30675" s="4" t="s">
        <v>38622</v>
      </c>
      <c r="B30675" s="4" t="s">
        <v>38628</v>
      </c>
      <c r="C30675" s="5" t="str">
        <f>IFERROR(__xludf.DUMMYFUNCTION("GOOGLETRANSLATE(B30675,""en"",""it"")"),"Due uomini che indossano scarpe rimbalzanti sono davanti a fronte in un televisore.")</f>
        <v>Due uomini che indossano scarpe rimbalzanti sono davanti a fronte in un televisore.</v>
      </c>
    </row>
    <row r="30676">
      <c r="A30676" s="4" t="s">
        <v>38629</v>
      </c>
      <c r="B30676" s="6" t="s">
        <v>38630</v>
      </c>
      <c r="C30676" s="5" t="str">
        <f>IFERROR(__xludf.DUMMYFUNCTION("GOOGLETRANSLATE(B30676,""en"",""it"")"),"Viene vista una donna parlare alla telecamera e conduce nel suo ghiaccio versato in un bicchiere seguito da vari liquidi.")</f>
        <v>Viene vista una donna parlare alla telecamera e conduce nel suo ghiaccio versato in un bicchiere seguito da vari liquidi.</v>
      </c>
    </row>
    <row r="30677">
      <c r="A30677" s="4" t="s">
        <v>38629</v>
      </c>
      <c r="B30677" s="6" t="s">
        <v>38631</v>
      </c>
      <c r="C30677" s="5" t="str">
        <f>IFERROR(__xludf.DUMMYFUNCTION("GOOGLETRANSLATE(B30677,""en"",""it"")"),"Mescola i liquidi indietro e il quarto e termina presentando la bevanda e mettendo un limone con paglia.")</f>
        <v>Mescola i liquidi indietro e il quarto e termina presentando la bevanda e mettendo un limone con paglia.</v>
      </c>
    </row>
    <row r="30678">
      <c r="A30678" s="4" t="s">
        <v>38632</v>
      </c>
      <c r="B30678" s="4" t="s">
        <v>38633</v>
      </c>
      <c r="C30678" s="5" t="str">
        <f>IFERROR(__xludf.DUMMYFUNCTION("GOOGLETRANSLATE(B30678,""en"",""it"")"),"Una donna esce sull'erba.")</f>
        <v>Una donna esce sull'erba.</v>
      </c>
    </row>
    <row r="30679">
      <c r="A30679" s="4" t="s">
        <v>38632</v>
      </c>
      <c r="B30679" s="4" t="s">
        <v>38634</v>
      </c>
      <c r="C30679" s="5" t="str">
        <f>IFERROR(__xludf.DUMMYFUNCTION("GOOGLETRANSLATE(B30679,""en"",""it"")"),"Due cani di piccola taglia la seguono ai guinzagli.")</f>
        <v>Due cani di piccola taglia la seguono ai guinzagli.</v>
      </c>
    </row>
    <row r="30680">
      <c r="A30680" s="4" t="s">
        <v>38632</v>
      </c>
      <c r="B30680" s="4" t="s">
        <v>38635</v>
      </c>
      <c r="C30680" s="5" t="str">
        <f>IFERROR(__xludf.DUMMYFUNCTION("GOOGLETRANSLATE(B30680,""en"",""it"")"),"Si china e i cani si avvicinano a lei.")</f>
        <v>Si china e i cani si avvicinano a lei.</v>
      </c>
    </row>
    <row r="30681">
      <c r="A30681" s="4" t="s">
        <v>38636</v>
      </c>
      <c r="B30681" s="4" t="s">
        <v>38637</v>
      </c>
      <c r="C30681" s="5" t="str">
        <f>IFERROR(__xludf.DUMMYFUNCTION("GOOGLETRANSLATE(B30681,""en"",""it"")"),"Un bambino è visto pronto prima di una partita di Scotch Hop.")</f>
        <v>Un bambino è visto pronto prima di una partita di Scotch Hop.</v>
      </c>
    </row>
    <row r="30682">
      <c r="A30682" s="4" t="s">
        <v>38636</v>
      </c>
      <c r="B30682" s="4" t="s">
        <v>38638</v>
      </c>
      <c r="C30682" s="5" t="str">
        <f>IFERROR(__xludf.DUMMYFUNCTION("GOOGLETRANSLATE(B30682,""en"",""it"")"),"La ragazza inizia quindi a saltare sul gesso.")</f>
        <v>La ragazza inizia quindi a saltare sul gesso.</v>
      </c>
    </row>
    <row r="30683">
      <c r="A30683" s="4" t="s">
        <v>38636</v>
      </c>
      <c r="B30683" s="4" t="s">
        <v>38639</v>
      </c>
      <c r="C30683" s="5" t="str">
        <f>IFERROR(__xludf.DUMMYFUNCTION("GOOGLETRANSLATE(B30683,""en"",""it"")"),"La ragazza salta fino alla fine e torna sullo schermo.")</f>
        <v>La ragazza salta fino alla fine e torna sullo schermo.</v>
      </c>
    </row>
    <row r="30684">
      <c r="A30684" s="4" t="s">
        <v>38640</v>
      </c>
      <c r="B30684" s="4" t="s">
        <v>38641</v>
      </c>
      <c r="C30684" s="5" t="str">
        <f>IFERROR(__xludf.DUMMYFUNCTION("GOOGLETRANSLATE(B30684,""en"",""it"")"),"Un gruppo di uomini si trova in un kayak che scende lungo la riva del fiume.")</f>
        <v>Un gruppo di uomini si trova in un kayak che scende lungo la riva del fiume.</v>
      </c>
    </row>
    <row r="30685">
      <c r="A30685" s="4" t="s">
        <v>38640</v>
      </c>
      <c r="B30685" s="4" t="s">
        <v>38642</v>
      </c>
      <c r="C30685" s="5" t="str">
        <f>IFERROR(__xludf.DUMMYFUNCTION("GOOGLETRANSLATE(B30685,""en"",""it"")"),"Sono remellati e guardando gli alberi in lontananza godendosi la giornata.")</f>
        <v>Sono remellati e guardando gli alberi in lontananza godendosi la giornata.</v>
      </c>
    </row>
    <row r="30686">
      <c r="A30686" s="4" t="s">
        <v>38640</v>
      </c>
      <c r="B30686" s="6" t="s">
        <v>38643</v>
      </c>
      <c r="C30686" s="5" t="str">
        <f>IFERROR(__xludf.DUMMYFUNCTION("GOOGLETRANSLATE(B30686,""en"",""it"")"),"Uno degli uomini esce dalla barca per andare a nuotare nell'acqua, entrano tutti e iniziano a schizzare acqua, nuotando sotto e godendosi il giorno prima di tornare per tornare indietro.")</f>
        <v>Uno degli uomini esce dalla barca per andare a nuotare nell'acqua, entrano tutti e iniziano a schizzare acqua, nuotando sotto e godendosi il giorno prima di tornare per tornare indietro.</v>
      </c>
    </row>
    <row r="30687">
      <c r="A30687" s="4" t="s">
        <v>38640</v>
      </c>
      <c r="B30687" s="4" t="s">
        <v>38644</v>
      </c>
      <c r="C30687" s="5" t="str">
        <f>IFERROR(__xludf.DUMMYFUNCTION("GOOGLETRANSLATE(B30687,""en"",""it"")"),"Una volta che iniziano a tornare a terra e a prepararsi a salire sul molo.")</f>
        <v>Una volta che iniziano a tornare a terra e a prepararsi a salire sul molo.</v>
      </c>
    </row>
    <row r="30688">
      <c r="A30688" s="4" t="s">
        <v>38645</v>
      </c>
      <c r="B30688" s="4" t="s">
        <v>38646</v>
      </c>
      <c r="C30688" s="5" t="str">
        <f>IFERROR(__xludf.DUMMYFUNCTION("GOOGLETRANSLATE(B30688,""en"",""it"")"),"Le persone stanno rafting in zattere lungo un fiume mosso.")</f>
        <v>Le persone stanno rafting in zattere lungo un fiume mosso.</v>
      </c>
    </row>
    <row r="30689">
      <c r="A30689" s="4" t="s">
        <v>38645</v>
      </c>
      <c r="B30689" s="4" t="s">
        <v>38647</v>
      </c>
      <c r="C30689" s="5" t="str">
        <f>IFERROR(__xludf.DUMMYFUNCTION("GOOGLETRANSLATE(B30689,""en"",""it"")"),"Le persone saltano giù da una roccia in acqua.")</f>
        <v>Le persone saltano giù da una roccia in acqua.</v>
      </c>
    </row>
    <row r="30690">
      <c r="A30690" s="4" t="s">
        <v>38645</v>
      </c>
      <c r="B30690" s="4" t="s">
        <v>38648</v>
      </c>
      <c r="C30690" s="5" t="str">
        <f>IFERROR(__xludf.DUMMYFUNCTION("GOOGLETRANSLATE(B30690,""en"",""it"")"),"Le persone stanno facendo giri dalla parte anteriore della zattera.")</f>
        <v>Le persone stanno facendo giri dalla parte anteriore della zattera.</v>
      </c>
    </row>
    <row r="30691">
      <c r="A30691" s="4" t="s">
        <v>38645</v>
      </c>
      <c r="B30691" s="4" t="s">
        <v>38649</v>
      </c>
      <c r="C30691" s="5" t="str">
        <f>IFERROR(__xludf.DUMMYFUNCTION("GOOGLETRANSLATE(B30691,""en"",""it"")"),"Le persone sono sedute su una barca che tira le zattere.")</f>
        <v>Le persone sono sedute su una barca che tira le zattere.</v>
      </c>
    </row>
    <row r="30692">
      <c r="A30692" s="4" t="s">
        <v>38650</v>
      </c>
      <c r="B30692" s="4" t="s">
        <v>38651</v>
      </c>
      <c r="C30692" s="5" t="str">
        <f>IFERROR(__xludf.DUMMYFUNCTION("GOOGLETRANSLATE(B30692,""en"",""it"")"),"Un atleta cammina davanti a una folla che si strofina le mani in polvere e afferrando un set di peso.")</f>
        <v>Un atleta cammina davanti a una folla che si strofina le mani in polvere e afferrando un set di peso.</v>
      </c>
    </row>
    <row r="30693">
      <c r="A30693" s="4" t="s">
        <v>38650</v>
      </c>
      <c r="B30693" s="6" t="s">
        <v>38652</v>
      </c>
      <c r="C30693" s="5" t="str">
        <f>IFERROR(__xludf.DUMMYFUNCTION("GOOGLETRANSLATE(B30693,""en"",""it"")"),"Solleva i pesi sopra la testa e lo butta giù dopo, alzando le mani con il suo allenatore.")</f>
        <v>Solleva i pesi sopra la testa e lo butta giù dopo, alzando le mani con il suo allenatore.</v>
      </c>
    </row>
    <row r="30694">
      <c r="A30694" s="4" t="s">
        <v>38653</v>
      </c>
      <c r="B30694" s="4" t="s">
        <v>38654</v>
      </c>
      <c r="C30694" s="5" t="str">
        <f>IFERROR(__xludf.DUMMYFUNCTION("GOOGLETRANSLATE(B30694,""en"",""it"")"),"Un Unicorn Pinata ondeggia nel vento da una linea.")</f>
        <v>Un Unicorn Pinata ondeggia nel vento da una linea.</v>
      </c>
    </row>
    <row r="30695">
      <c r="A30695" s="4" t="s">
        <v>38653</v>
      </c>
      <c r="B30695" s="4" t="s">
        <v>38655</v>
      </c>
      <c r="C30695" s="5" t="str">
        <f>IFERROR(__xludf.DUMMYFUNCTION("GOOGLETRANSLATE(B30695,""en"",""it"")"),"Una donna oscilla selvaggiamente con una mazza, mentre è bendata.")</f>
        <v>Una donna oscilla selvaggiamente con una mazza, mentre è bendata.</v>
      </c>
    </row>
    <row r="30696">
      <c r="A30696" s="4" t="s">
        <v>38656</v>
      </c>
      <c r="B30696" s="4" t="s">
        <v>38657</v>
      </c>
      <c r="C30696" s="5" t="str">
        <f>IFERROR(__xludf.DUMMYFUNCTION("GOOGLETRANSLATE(B30696,""en"",""it"")"),"Un uomo viene visto ospitare un segmento di notizie e parlare alla telecamera.")</f>
        <v>Un uomo viene visto ospitare un segmento di notizie e parlare alla telecamera.</v>
      </c>
    </row>
    <row r="30697">
      <c r="A30697" s="4" t="s">
        <v>38656</v>
      </c>
      <c r="B30697" s="4" t="s">
        <v>38658</v>
      </c>
      <c r="C30697" s="5" t="str">
        <f>IFERROR(__xludf.DUMMYFUNCTION("GOOGLETRANSLATE(B30697,""en"",""it"")"),"L'uomo viene quindi visto aiutare un altro gesso a sdraiare.")</f>
        <v>L'uomo viene quindi visto aiutare un altro gesso a sdraiare.</v>
      </c>
    </row>
    <row r="30698">
      <c r="A30698" s="4" t="s">
        <v>38656</v>
      </c>
      <c r="B30698" s="4" t="s">
        <v>38659</v>
      </c>
      <c r="C30698" s="5" t="str">
        <f>IFERROR(__xludf.DUMMYFUNCTION("GOOGLETRANSLATE(B30698,""en"",""it"")"),"L'ospite continua ad aiutare gli uomini a strappare il pavimento, a sdraiarlo e parlare alla telecamera.")</f>
        <v>L'ospite continua ad aiutare gli uomini a strappare il pavimento, a sdraiarlo e parlare alla telecamera.</v>
      </c>
    </row>
    <row r="30699">
      <c r="A30699" s="4" t="s">
        <v>38660</v>
      </c>
      <c r="B30699" s="4" t="s">
        <v>38661</v>
      </c>
      <c r="C30699" s="5" t="str">
        <f>IFERROR(__xludf.DUMMYFUNCTION("GOOGLETRANSLATE(B30699,""en"",""it"")"),"Vediamo un ragazzo che usa Jumpstilts in una strada residenziale.")</f>
        <v>Vediamo un ragazzo che usa Jumpstilts in una strada residenziale.</v>
      </c>
    </row>
    <row r="30700">
      <c r="A30700" s="4" t="s">
        <v>38660</v>
      </c>
      <c r="B30700" s="4" t="s">
        <v>38662</v>
      </c>
      <c r="C30700" s="5" t="str">
        <f>IFERROR(__xludf.DUMMYFUNCTION("GOOGLETRANSLATE(B30700,""en"",""it"")"),"L'uomo smette di saltare la prima volta.")</f>
        <v>L'uomo smette di saltare la prima volta.</v>
      </c>
    </row>
    <row r="30701">
      <c r="A30701" s="4" t="s">
        <v>38660</v>
      </c>
      <c r="B30701" s="4" t="s">
        <v>38663</v>
      </c>
      <c r="C30701" s="5" t="str">
        <f>IFERROR(__xludf.DUMMYFUNCTION("GOOGLETRANSLATE(B30701,""en"",""it"")"),"Vediamo una persona uscire fuori e poi entrare.")</f>
        <v>Vediamo una persona uscire fuori e poi entrare.</v>
      </c>
    </row>
    <row r="30702">
      <c r="A30702" s="4" t="s">
        <v>38660</v>
      </c>
      <c r="B30702" s="4" t="s">
        <v>38664</v>
      </c>
      <c r="C30702" s="5" t="str">
        <f>IFERROR(__xludf.DUMMYFUNCTION("GOOGLETRANSLATE(B30702,""en"",""it"")"),"L'uomo che salta affronta e cammina verso la telecamera.")</f>
        <v>L'uomo che salta affronta e cammina verso la telecamera.</v>
      </c>
    </row>
    <row r="30703">
      <c r="A30703" s="4" t="s">
        <v>38665</v>
      </c>
      <c r="B30703" s="4" t="s">
        <v>38666</v>
      </c>
      <c r="C30703" s="5" t="str">
        <f>IFERROR(__xludf.DUMMYFUNCTION("GOOGLETRANSLATE(B30703,""en"",""it"")"),"Vediamo la schermata del titolo su White A Lady siede su una sedia a parlare.")</f>
        <v>Vediamo la schermata del titolo su White A Lady siede su una sedia a parlare.</v>
      </c>
    </row>
    <row r="30704">
      <c r="A30704" s="4" t="s">
        <v>38665</v>
      </c>
      <c r="B30704" s="4" t="s">
        <v>38667</v>
      </c>
      <c r="C30704" s="5" t="str">
        <f>IFERROR(__xludf.DUMMYFUNCTION("GOOGLETRANSLATE(B30704,""en"",""it"")"),"La signora inizia a dipingere sulla sua mano.")</f>
        <v>La signora inizia a dipingere sulla sua mano.</v>
      </c>
    </row>
    <row r="30705">
      <c r="A30705" s="4" t="s">
        <v>38665</v>
      </c>
      <c r="B30705" s="4" t="s">
        <v>38668</v>
      </c>
      <c r="C30705" s="5" t="str">
        <f>IFERROR(__xludf.DUMMYFUNCTION("GOOGLETRANSLATE(B30705,""en"",""it"")"),"Vediamo i crediti di chiusura su uno schermo bianco.")</f>
        <v>Vediamo i crediti di chiusura su uno schermo bianco.</v>
      </c>
    </row>
    <row r="30706">
      <c r="A30706" s="4" t="s">
        <v>38669</v>
      </c>
      <c r="B30706" s="4" t="s">
        <v>38670</v>
      </c>
      <c r="C30706" s="5" t="str">
        <f>IFERROR(__xludf.DUMMYFUNCTION("GOOGLETRANSLATE(B30706,""en"",""it"")"),"Un giovane viene visto spingere un disco lungo un tavolo da un altro uomo dall'altra parte.")</f>
        <v>Un giovane viene visto spingere un disco lungo un tavolo da un altro uomo dall'altra parte.</v>
      </c>
    </row>
    <row r="30707">
      <c r="A30707" s="4" t="s">
        <v>38669</v>
      </c>
      <c r="B30707" s="4" t="s">
        <v>38671</v>
      </c>
      <c r="C30707" s="5" t="str">
        <f>IFERROR(__xludf.DUMMYFUNCTION("GOOGLETRANSLATE(B30707,""en"",""it"")"),"L'altro uomo spinge quindi un disco e i ragazzi continuano a giocare indietro e quarto.")</f>
        <v>L'altro uomo spinge quindi un disco e i ragazzi continuano a giocare indietro e quarto.</v>
      </c>
    </row>
    <row r="30708">
      <c r="A30708" s="4" t="s">
        <v>38669</v>
      </c>
      <c r="B30708" s="4" t="s">
        <v>38672</v>
      </c>
      <c r="C30708" s="5" t="str">
        <f>IFERROR(__xludf.DUMMYFUNCTION("GOOGLETRANSLATE(B30708,""en"",""it"")"),"La telecamera ingrandisce gli uomini alla fine e altre persone in piedi per la stanza.")</f>
        <v>La telecamera ingrandisce gli uomini alla fine e altre persone in piedi per la stanza.</v>
      </c>
    </row>
    <row r="30709">
      <c r="A30709" s="4" t="s">
        <v>38673</v>
      </c>
      <c r="B30709" s="4" t="s">
        <v>38674</v>
      </c>
      <c r="C30709" s="5" t="str">
        <f>IFERROR(__xludf.DUMMYFUNCTION("GOOGLETRANSLATE(B30709,""en"",""it"")"),"Le persone giocano a un gioco di lacrosse su un campo.")</f>
        <v>Le persone giocano a un gioco di lacrosse su un campo.</v>
      </c>
    </row>
    <row r="30710">
      <c r="A30710" s="4" t="s">
        <v>38673</v>
      </c>
      <c r="B30710" s="4" t="s">
        <v>38675</v>
      </c>
      <c r="C30710" s="5" t="str">
        <f>IFERROR(__xludf.DUMMYFUNCTION("GOOGLETRANSLATE(B30710,""en"",""it"")"),"Le squadre si allineano e si stringono la mano.")</f>
        <v>Le squadre si allineano e si stringono la mano.</v>
      </c>
    </row>
    <row r="30711">
      <c r="A30711" s="4" t="s">
        <v>38673</v>
      </c>
      <c r="B30711" s="4" t="s">
        <v>38676</v>
      </c>
      <c r="C30711" s="5" t="str">
        <f>IFERROR(__xludf.DUMMYFUNCTION("GOOGLETRANSLATE(B30711,""en"",""it"")"),"Una donna in un cappotto blu sta parlando con la telecamera.")</f>
        <v>Una donna in un cappotto blu sta parlando con la telecamera.</v>
      </c>
    </row>
    <row r="30712">
      <c r="A30712" s="4" t="s">
        <v>38673</v>
      </c>
      <c r="B30712" s="4" t="s">
        <v>38677</v>
      </c>
      <c r="C30712" s="5" t="str">
        <f>IFERROR(__xludf.DUMMYFUNCTION("GOOGLETRANSLATE(B30712,""en"",""it"")"),"Un uomo in abito marrone chiaro sta parlando in un microfono.")</f>
        <v>Un uomo in abito marrone chiaro sta parlando in un microfono.</v>
      </c>
    </row>
    <row r="30713">
      <c r="A30713" s="4" t="s">
        <v>38678</v>
      </c>
      <c r="B30713" s="4" t="s">
        <v>38679</v>
      </c>
      <c r="C30713" s="5" t="str">
        <f>IFERROR(__xludf.DUMMYFUNCTION("GOOGLETRANSLATE(B30713,""en"",""it"")"),"Una band in marcia suona in una sfilata mentre le persone guardano in piedi sul marciapiede.")</f>
        <v>Una band in marcia suona in una sfilata mentre le persone guardano in piedi sul marciapiede.</v>
      </c>
    </row>
    <row r="30714">
      <c r="A30714" s="4" t="s">
        <v>38678</v>
      </c>
      <c r="B30714" s="4" t="s">
        <v>38680</v>
      </c>
      <c r="C30714" s="5" t="str">
        <f>IFERROR(__xludf.DUMMYFUNCTION("GOOGLETRANSLATE(B30714,""en"",""it"")"),"La fascia musicale passa davanti a un carnevale e un campo verde.")</f>
        <v>La fascia musicale passa davanti a un carnevale e un campo verde.</v>
      </c>
    </row>
    <row r="30715">
      <c r="A30715" s="4" t="s">
        <v>38678</v>
      </c>
      <c r="B30715" s="4" t="s">
        <v>38681</v>
      </c>
      <c r="C30715" s="5" t="str">
        <f>IFERROR(__xludf.DUMMYFUNCTION("GOOGLETRANSLATE(B30715,""en"",""it"")"),"Quindi, la banda musicale arriva in una città.")</f>
        <v>Quindi, la banda musicale arriva in una città.</v>
      </c>
    </row>
    <row r="30716">
      <c r="A30716" s="4" t="s">
        <v>38678</v>
      </c>
      <c r="B30716" s="4" t="s">
        <v>38682</v>
      </c>
      <c r="C30716" s="5" t="str">
        <f>IFERROR(__xludf.DUMMYFUNCTION("GOOGLETRANSLATE(B30716,""en"",""it"")"),"Un vecchio che tiene un trofeo cammina davanti alla fascia musicale.")</f>
        <v>Un vecchio che tiene un trofeo cammina davanti alla fascia musicale.</v>
      </c>
    </row>
    <row r="30717">
      <c r="A30717" s="4" t="s">
        <v>38678</v>
      </c>
      <c r="B30717" s="4" t="s">
        <v>38683</v>
      </c>
      <c r="C30717" s="5" t="str">
        <f>IFERROR(__xludf.DUMMYFUNCTION("GOOGLETRANSLATE(B30717,""en"",""it"")"),"Dopo, la banda musicale arriva a una stazione degli autobus.")</f>
        <v>Dopo, la banda musicale arriva a una stazione degli autobus.</v>
      </c>
    </row>
    <row r="30718">
      <c r="A30718" s="4" t="s">
        <v>38678</v>
      </c>
      <c r="B30718" s="4" t="s">
        <v>38684</v>
      </c>
      <c r="C30718" s="5" t="str">
        <f>IFERROR(__xludf.DUMMYFUNCTION("GOOGLETRANSLATE(B30718,""en"",""it"")"),"Una signora Bond applaud, abbracci persone e parla.")</f>
        <v>Una signora Bond applaud, abbracci persone e parla.</v>
      </c>
    </row>
    <row r="30719">
      <c r="A30719" s="4" t="s">
        <v>38685</v>
      </c>
      <c r="B30719" s="4" t="s">
        <v>38686</v>
      </c>
      <c r="C30719" s="5" t="str">
        <f>IFERROR(__xludf.DUMMYFUNCTION("GOOGLETRANSLATE(B30719,""en"",""it"")"),"Viene mostrata un'introduzione con una bevanda versata in un bicchiere e una didascalia sulla miscelazione delle bevande.")</f>
        <v>Viene mostrata un'introduzione con una bevanda versata in un bicchiere e una didascalia sulla miscelazione delle bevande.</v>
      </c>
    </row>
    <row r="30720">
      <c r="A30720" s="4" t="s">
        <v>38685</v>
      </c>
      <c r="B30720" s="4" t="s">
        <v>38687</v>
      </c>
      <c r="C30720" s="5" t="str">
        <f>IFERROR(__xludf.DUMMYFUNCTION("GOOGLETRANSLATE(B30720,""en"",""it"")"),"Una ragazza inizia a fare un drink chiamato Mai Tai.")</f>
        <v>Una ragazza inizia a fare un drink chiamato Mai Tai.</v>
      </c>
    </row>
    <row r="30721">
      <c r="A30721" s="4" t="s">
        <v>38685</v>
      </c>
      <c r="B30721" s="4" t="s">
        <v>38688</v>
      </c>
      <c r="C30721" s="5" t="str">
        <f>IFERROR(__xludf.DUMMYFUNCTION("GOOGLETRANSLATE(B30721,""en"",""it"")"),"Tira fuori tutte le cose di cui avrà bisogno per preparare la bevanda.")</f>
        <v>Tira fuori tutte le cose di cui avrà bisogno per preparare la bevanda.</v>
      </c>
    </row>
    <row r="30722">
      <c r="A30722" s="4" t="s">
        <v>38685</v>
      </c>
      <c r="B30722" s="4" t="s">
        <v>38689</v>
      </c>
      <c r="C30722" s="5" t="str">
        <f>IFERROR(__xludf.DUMMYFUNCTION("GOOGLETRANSLATE(B30722,""en"",""it"")"),"Mette un po 'di ghiaccio in un bicchiere e nello shaker.")</f>
        <v>Mette un po 'di ghiaccio in un bicchiere e nello shaker.</v>
      </c>
    </row>
    <row r="30723">
      <c r="A30723" s="4" t="s">
        <v>38685</v>
      </c>
      <c r="B30723" s="4" t="s">
        <v>38690</v>
      </c>
      <c r="C30723" s="5" t="str">
        <f>IFERROR(__xludf.DUMMYFUNCTION("GOOGLETRANSLATE(B30723,""en"",""it"")"),"Aggiunge il rum, la tripla sec, lo sciroppo, l'Oson Mix e mette il coperchio sullo shaker.")</f>
        <v>Aggiunge il rum, la tripla sec, lo sciroppo, l'Oson Mix e mette il coperchio sullo shaker.</v>
      </c>
    </row>
    <row r="30724">
      <c r="A30724" s="4" t="s">
        <v>38685</v>
      </c>
      <c r="B30724" s="4" t="s">
        <v>38691</v>
      </c>
      <c r="C30724" s="5" t="str">
        <f>IFERROR(__xludf.DUMMYFUNCTION("GOOGLETRANSLATE(B30724,""en"",""it"")"),"Scuova un po 'lo shaker fino a quando non fa freddo e versa la bevanda nel bicchiere sul ghiaccio.")</f>
        <v>Scuova un po 'lo shaker fino a quando non fa freddo e versa la bevanda nel bicchiere sul ghiaccio.</v>
      </c>
    </row>
    <row r="30725">
      <c r="A30725" s="4" t="s">
        <v>38685</v>
      </c>
      <c r="B30725" s="4" t="s">
        <v>38692</v>
      </c>
      <c r="C30725" s="5" t="str">
        <f>IFERROR(__xludf.DUMMYFUNCTION("GOOGLETRANSLATE(B30725,""en"",""it"")"),"Lo completa con un po 'di miscela acida e ciliegie, oltre a una cannuccia.")</f>
        <v>Lo completa con un po 'di miscela acida e ciliegie, oltre a una cannuccia.</v>
      </c>
    </row>
    <row r="30726">
      <c r="A30726" s="4" t="s">
        <v>38685</v>
      </c>
      <c r="B30726" s="4" t="s">
        <v>38693</v>
      </c>
      <c r="C30726" s="5" t="str">
        <f>IFERROR(__xludf.DUMMYFUNCTION("GOOGLETRANSLATE(B30726,""en"",""it"")"),"Il video termina con la didascalia di chiusura.")</f>
        <v>Il video termina con la didascalia di chiusura.</v>
      </c>
    </row>
    <row r="30727">
      <c r="A30727" s="4" t="s">
        <v>38694</v>
      </c>
      <c r="B30727" s="4" t="s">
        <v>38695</v>
      </c>
      <c r="C30727" s="5" t="str">
        <f>IFERROR(__xludf.DUMMYFUNCTION("GOOGLETRANSLATE(B30727,""en"",""it"")"),"Un folto gruppo di persone si trova in una zona che cammina, parla e va in giro.")</f>
        <v>Un folto gruppo di persone si trova in una zona che cammina, parla e va in giro.</v>
      </c>
    </row>
    <row r="30728">
      <c r="A30728" s="4" t="s">
        <v>38694</v>
      </c>
      <c r="B30728" s="6" t="s">
        <v>38696</v>
      </c>
      <c r="C30728" s="5" t="str">
        <f>IFERROR(__xludf.DUMMYFUNCTION("GOOGLETRANSLATE(B30728,""en"",""it"")"),"Due uomini con un arbitro nel mezzo appaiono su un palco e si trovano in un'intensa partita di wrestling.")</f>
        <v>Due uomini con un arbitro nel mezzo appaiono su un palco e si trovano in un'intensa partita di wrestling.</v>
      </c>
    </row>
    <row r="30729">
      <c r="A30729" s="4" t="s">
        <v>38694</v>
      </c>
      <c r="B30729" s="4" t="s">
        <v>38697</v>
      </c>
      <c r="C30729" s="5" t="str">
        <f>IFERROR(__xludf.DUMMYFUNCTION("GOOGLETRANSLATE(B30729,""en"",""it"")"),"L'uomo senza cappello vince la partita e viene brevemente intervistato dove sorride e parla.")</f>
        <v>L'uomo senza cappello vince la partita e viene brevemente intervistato dove sorride e parla.</v>
      </c>
    </row>
    <row r="30730">
      <c r="A30730" s="4" t="s">
        <v>38694</v>
      </c>
      <c r="B30730" s="6" t="s">
        <v>38698</v>
      </c>
      <c r="C30730" s="5" t="str">
        <f>IFERROR(__xludf.DUMMYFUNCTION("GOOGLETRANSLATE(B30730,""en"",""it"")"),"Un'altra partita tra due uomini inizia e di nuovo lo stesso uomo che ha vinto di nuovo la prima partita.")</f>
        <v>Un'altra partita tra due uomini inizia e di nuovo lo stesso uomo che ha vinto di nuovo la prima partita.</v>
      </c>
    </row>
    <row r="30731">
      <c r="A30731" s="4" t="s">
        <v>38694</v>
      </c>
      <c r="B30731" s="6" t="s">
        <v>38699</v>
      </c>
      <c r="C30731" s="5" t="str">
        <f>IFERROR(__xludf.DUMMYFUNCTION("GOOGLETRANSLATE(B30731,""en"",""it"")"),"Tiene il braccio destro flettendolo mentre sorride e il suo nome Allen Fisher si apre sullo schermo e uno schermo nero con le parole 25 Campione del mondo TIME termina il video.")</f>
        <v>Tiene il braccio destro flettendolo mentre sorride e il suo nome Allen Fisher si apre sullo schermo e uno schermo nero con le parole 25 Campione del mondo TIME termina il video.</v>
      </c>
    </row>
    <row r="30732">
      <c r="A30732" s="4" t="s">
        <v>38700</v>
      </c>
      <c r="B30732" s="4" t="s">
        <v>38701</v>
      </c>
      <c r="C30732" s="5" t="str">
        <f>IFERROR(__xludf.DUMMYFUNCTION("GOOGLETRANSLATE(B30732,""en"",""it"")"),"Gli uomini sono in piedi in un grande campo verde giocando a lacrosse.")</f>
        <v>Gli uomini sono in piedi in un grande campo verde giocando a lacrosse.</v>
      </c>
    </row>
    <row r="30733">
      <c r="A30733" s="4" t="s">
        <v>38700</v>
      </c>
      <c r="B30733" s="4" t="s">
        <v>38702</v>
      </c>
      <c r="C30733" s="5" t="str">
        <f>IFERROR(__xludf.DUMMYFUNCTION("GOOGLETRANSLATE(B30733,""en"",""it"")"),"La gente è in campo a guardare la partita.")</f>
        <v>La gente è in campo a guardare la partita.</v>
      </c>
    </row>
    <row r="30734">
      <c r="A30734" s="4" t="s">
        <v>38700</v>
      </c>
      <c r="B30734" s="4" t="s">
        <v>38703</v>
      </c>
      <c r="C30734" s="5" t="str">
        <f>IFERROR(__xludf.DUMMYFUNCTION("GOOGLETRANSLATE(B30734,""en"",""it"")"),"Gli uomini corrono da un lato all'altro di Ield giocando a lacrosse cercando di segnare.")</f>
        <v>Gli uomini corrono da un lato all'altro di Ield giocando a lacrosse cercando di segnare.</v>
      </c>
    </row>
    <row r="30735">
      <c r="A30735" s="4" t="s">
        <v>38704</v>
      </c>
      <c r="B30735" s="4" t="s">
        <v>38705</v>
      </c>
      <c r="C30735" s="5" t="str">
        <f>IFERROR(__xludf.DUMMYFUNCTION("GOOGLETRANSLATE(B30735,""en"",""it"")"),"Una mano tiene una doccia vicino a un cane.")</f>
        <v>Una mano tiene una doccia vicino a un cane.</v>
      </c>
    </row>
    <row r="30736">
      <c r="A30736" s="4" t="s">
        <v>38704</v>
      </c>
      <c r="B30736" s="4" t="s">
        <v>38706</v>
      </c>
      <c r="C30736" s="5" t="str">
        <f>IFERROR(__xludf.DUMMYFUNCTION("GOOGLETRANSLATE(B30736,""en"",""it"")"),"Il cane si muove intorno alla vasca da bagno mentre cerca di mordere l'acqua che viene schizzata su di lui.")</f>
        <v>Il cane si muove intorno alla vasca da bagno mentre cerca di mordere l'acqua che viene schizzata su di lui.</v>
      </c>
    </row>
    <row r="30737">
      <c r="A30737" s="4" t="s">
        <v>38707</v>
      </c>
      <c r="B30737" s="4" t="s">
        <v>38708</v>
      </c>
      <c r="C30737" s="5" t="str">
        <f>IFERROR(__xludf.DUMMYFUNCTION("GOOGLETRANSLATE(B30737,""en"",""it"")"),"Una telecamera si lancia attorno a una serie di scale e conduce a persone che si allenano in una classe.")</f>
        <v>Una telecamera si lancia attorno a una serie di scale e conduce a persone che si allenano in una classe.</v>
      </c>
    </row>
    <row r="30738">
      <c r="A30738" s="4" t="s">
        <v>38707</v>
      </c>
      <c r="B30738" s="4" t="s">
        <v>38709</v>
      </c>
      <c r="C30738" s="5" t="str">
        <f>IFERROR(__xludf.DUMMYFUNCTION("GOOGLETRANSLATE(B30738,""en"",""it"")"),"Vengono mostrati diversi scatti di persone che si allenano insieme mentre un uomo parla alla telecamera.")</f>
        <v>Vengono mostrati diversi scatti di persone che si allenano insieme mentre un uomo parla alla telecamera.</v>
      </c>
    </row>
    <row r="30739">
      <c r="A30739" s="4" t="s">
        <v>38707</v>
      </c>
      <c r="B30739" s="4" t="s">
        <v>38710</v>
      </c>
      <c r="C30739" s="5" t="str">
        <f>IFERROR(__xludf.DUMMYFUNCTION("GOOGLETRANSLATE(B30739,""en"",""it"")"),"L'uomo continua a parlare mentre più persone vengono mostrate allenamenti insieme.")</f>
        <v>L'uomo continua a parlare mentre più persone vengono mostrate allenamenti insieme.</v>
      </c>
    </row>
    <row r="30740">
      <c r="A30740" s="4" t="s">
        <v>38711</v>
      </c>
      <c r="B30740" s="4" t="s">
        <v>38712</v>
      </c>
      <c r="C30740" s="5" t="str">
        <f>IFERROR(__xludf.DUMMYFUNCTION("GOOGLETRANSLATE(B30740,""en"",""it"")"),"Una donna sta sollevando la carta da parati mentre cerca di levigarlo senza bolle con uno strumento.")</f>
        <v>Una donna sta sollevando la carta da parati mentre cerca di levigarlo senza bolle con uno strumento.</v>
      </c>
    </row>
    <row r="30741">
      <c r="A30741" s="4" t="s">
        <v>38711</v>
      </c>
      <c r="B30741" s="4" t="s">
        <v>38713</v>
      </c>
      <c r="C30741" s="5" t="str">
        <f>IFERROR(__xludf.DUMMYFUNCTION("GOOGLETRANSLATE(B30741,""en"",""it"")"),"Applica lo strumento senza intoppi, assicurandosi di ripubblicare e correggere eventuali errori mentre procede.")</f>
        <v>Applica lo strumento senza intoppi, assicurandosi di ripubblicare e correggere eventuali errori mentre procede.</v>
      </c>
    </row>
    <row r="30742">
      <c r="A30742" s="4" t="s">
        <v>38714</v>
      </c>
      <c r="B30742" s="4" t="s">
        <v>38715</v>
      </c>
      <c r="C30742" s="5" t="str">
        <f>IFERROR(__xludf.DUMMYFUNCTION("GOOGLETRANSLATE(B30742,""en"",""it"")"),"Un piccolo gruppo di persone è visto in piedi in un campo che conduce in una partita di kickball.")</f>
        <v>Un piccolo gruppo di persone è visto in piedi in un campo che conduce in una partita di kickball.</v>
      </c>
    </row>
    <row r="30743">
      <c r="A30743" s="4" t="s">
        <v>38714</v>
      </c>
      <c r="B30743" s="4" t="s">
        <v>38716</v>
      </c>
      <c r="C30743" s="5" t="str">
        <f>IFERROR(__xludf.DUMMYFUNCTION("GOOGLETRANSLATE(B30743,""en"",""it"")"),"La gente prende a calci la palla e rallegra l'uno con l'altro mentre segnano punti dalla loro parte.")</f>
        <v>La gente prende a calci la palla e rallegra l'uno con l'altro mentre segnano punti dalla loro parte.</v>
      </c>
    </row>
    <row r="30744">
      <c r="A30744" s="4" t="s">
        <v>38714</v>
      </c>
      <c r="B30744" s="4" t="s">
        <v>38717</v>
      </c>
      <c r="C30744" s="5" t="str">
        <f>IFERROR(__xludf.DUMMYFUNCTION("GOOGLETRANSLATE(B30744,""en"",""it"")"),"Un altro membro del team segna un goal e i loro compagni di squadra si imbattono con le braccia.")</f>
        <v>Un altro membro del team segna un goal e i loro compagni di squadra si imbattono con le braccia.</v>
      </c>
    </row>
    <row r="30745">
      <c r="A30745" s="4" t="s">
        <v>38718</v>
      </c>
      <c r="B30745" s="6" t="s">
        <v>38719</v>
      </c>
      <c r="C30745" s="5" t="str">
        <f>IFERROR(__xludf.DUMMYFUNCTION("GOOGLETRANSLATE(B30745,""en"",""it"")"),"Un uomo atletico che indossa un abito da pista e un pettorale numero 171 sta camminando su una pista e si scalda.")</f>
        <v>Un uomo atletico che indossa un abito da pista e un pettorale numero 171 sta camminando su una pista e si scalda.</v>
      </c>
    </row>
    <row r="30746">
      <c r="A30746" s="4" t="s">
        <v>38718</v>
      </c>
      <c r="B30746" s="6" t="s">
        <v>38720</v>
      </c>
      <c r="C30746" s="5" t="str">
        <f>IFERROR(__xludf.DUMMYFUNCTION("GOOGLETRANSLATE(B30746,""en"",""it"")"),"L'uomo poi gli afferra la collana, se la mette in bocca e inizia a battere le mani sopra la sua testa e appare un nome sotto e dice Irving Saladino.")</f>
        <v>L'uomo poi gli afferra la collana, se la mette in bocca e inizia a battere le mani sopra la sua testa e appare un nome sotto e dice Irving Saladino.</v>
      </c>
    </row>
    <row r="30747">
      <c r="A30747" s="4" t="s">
        <v>38718</v>
      </c>
      <c r="B30747" s="6" t="s">
        <v>38721</v>
      </c>
      <c r="C30747" s="5" t="str">
        <f>IFERROR(__xludf.DUMMYFUNCTION("GOOGLETRANSLATE(B30747,""en"",""it"")"),"L'uomo lascia cadere la collana dalla sua bocca e inizia immediatamente a correre e fa il suo salto, salta e salta.")</f>
        <v>L'uomo lascia cadere la collana dalla sua bocca e inizia immediatamente a correre e fa il suo salto, salta e salta.</v>
      </c>
    </row>
    <row r="30748">
      <c r="A30748" s="4" t="s">
        <v>38718</v>
      </c>
      <c r="B30748" s="6" t="s">
        <v>38722</v>
      </c>
      <c r="C30748" s="5" t="str">
        <f>IFERROR(__xludf.DUMMYFUNCTION("GOOGLETRANSLATE(B30748,""en"",""it"")"),"Replays of the Man's Run and Jump Play e l'uomo viene mostrato che celebra se stesso, e con gli altri sul campo.")</f>
        <v>Replays of the Man's Run and Jump Play e l'uomo viene mostrato che celebra se stesso, e con gli altri sul campo.</v>
      </c>
    </row>
    <row r="30749">
      <c r="A30749" s="4" t="s">
        <v>38723</v>
      </c>
      <c r="B30749" s="4" t="s">
        <v>38724</v>
      </c>
      <c r="C30749" s="5" t="str">
        <f>IFERROR(__xludf.DUMMYFUNCTION("GOOGLETRANSLATE(B30749,""en"",""it"")"),"Un uomo sta acquovendo dietro una barca mentre tiene una corda.")</f>
        <v>Un uomo sta acquovendo dietro una barca mentre tiene una corda.</v>
      </c>
    </row>
    <row r="30750">
      <c r="A30750" s="4" t="s">
        <v>38723</v>
      </c>
      <c r="B30750" s="4" t="s">
        <v>38725</v>
      </c>
      <c r="C30750" s="5" t="str">
        <f>IFERROR(__xludf.DUMMYFUNCTION("GOOGLETRANSLATE(B30750,""en"",""it"")"),"Cerca di resistere mentre si zitta di lato.")</f>
        <v>Cerca di resistere mentre si zitta di lato.</v>
      </c>
    </row>
    <row r="30751">
      <c r="A30751" s="4" t="s">
        <v>38723</v>
      </c>
      <c r="B30751" s="4" t="s">
        <v>38726</v>
      </c>
      <c r="C30751" s="5" t="str">
        <f>IFERROR(__xludf.DUMMYFUNCTION("GOOGLETRANSLATE(B30751,""en"",""it"")"),"Scivola, si divide e cade nell'acqua.")</f>
        <v>Scivola, si divide e cade nell'acqua.</v>
      </c>
    </row>
    <row r="30752">
      <c r="A30752" s="4" t="s">
        <v>38727</v>
      </c>
      <c r="B30752" s="6" t="s">
        <v>38728</v>
      </c>
      <c r="C30752" s="5" t="str">
        <f>IFERROR(__xludf.DUMMYFUNCTION("GOOGLETRANSLATE(B30752,""en"",""it"")"),"Un piccolo gruppo di persone è visto in piedi insieme su un palco e conducono su di loro suonando gli strumenti e due uomini in ginocchio di fronte.")</f>
        <v>Un piccolo gruppo di persone è visto in piedi insieme su un palco e conducono su di loro suonando gli strumenti e due uomini in ginocchio di fronte.</v>
      </c>
    </row>
    <row r="30753">
      <c r="A30753" s="4" t="s">
        <v>38727</v>
      </c>
      <c r="B30753" s="6" t="s">
        <v>38729</v>
      </c>
      <c r="C30753" s="5" t="str">
        <f>IFERROR(__xludf.DUMMYFUNCTION("GOOGLETRANSLATE(B30753,""en"",""it"")"),"Gli uomini quindi eseguono varie arti marziali l'una verso l'altra mentre le persone stanno intorno e guardano.")</f>
        <v>Gli uomini quindi eseguono varie arti marziali l'una verso l'altra mentre le persone stanno intorno e guardano.</v>
      </c>
    </row>
    <row r="30754">
      <c r="A30754" s="4" t="s">
        <v>38730</v>
      </c>
      <c r="B30754" s="4" t="s">
        <v>38731</v>
      </c>
      <c r="C30754" s="5" t="str">
        <f>IFERROR(__xludf.DUMMYFUNCTION("GOOGLETRANSLATE(B30754,""en"",""it"")"),"Un uomo sta cavalcando un vogatore in palestra.")</f>
        <v>Un uomo sta cavalcando un vogatore in palestra.</v>
      </c>
    </row>
    <row r="30755">
      <c r="A30755" s="4" t="s">
        <v>38730</v>
      </c>
      <c r="B30755" s="4" t="s">
        <v>38732</v>
      </c>
      <c r="C30755" s="5" t="str">
        <f>IFERROR(__xludf.DUMMYFUNCTION("GOOGLETRANSLATE(B30755,""en"",""it"")"),"Un dito copre brevemente parte dell'obiettivo della fotocamera.")</f>
        <v>Un dito copre brevemente parte dell'obiettivo della fotocamera.</v>
      </c>
    </row>
    <row r="30756">
      <c r="A30756" s="4" t="s">
        <v>38730</v>
      </c>
      <c r="B30756" s="4" t="s">
        <v>38733</v>
      </c>
      <c r="C30756" s="5" t="str">
        <f>IFERROR(__xludf.DUMMYFUNCTION("GOOGLETRANSLATE(B30756,""en"",""it"")"),"L'uomo continua a remare mentre le persone camminano in palestra.")</f>
        <v>L'uomo continua a remare mentre le persone camminano in palestra.</v>
      </c>
    </row>
    <row r="30757">
      <c r="A30757" s="4" t="s">
        <v>38734</v>
      </c>
      <c r="B30757" s="4" t="s">
        <v>38735</v>
      </c>
      <c r="C30757" s="5" t="str">
        <f>IFERROR(__xludf.DUMMYFUNCTION("GOOGLETRANSLATE(B30757,""en"",""it"")"),"Una persona muove uno pneumatico verso il cancello.")</f>
        <v>Una persona muove uno pneumatico verso il cancello.</v>
      </c>
    </row>
    <row r="30758">
      <c r="A30758" s="4" t="s">
        <v>38734</v>
      </c>
      <c r="B30758" s="4" t="s">
        <v>38736</v>
      </c>
      <c r="C30758" s="5" t="str">
        <f>IFERROR(__xludf.DUMMYFUNCTION("GOOGLETRANSLATE(B30758,""en"",""it"")"),"Le porte si chiudono nelle loro corsie.")</f>
        <v>Le porte si chiudono nelle loro corsie.</v>
      </c>
    </row>
    <row r="30759">
      <c r="A30759" s="4" t="s">
        <v>38734</v>
      </c>
      <c r="B30759" s="4" t="s">
        <v>38737</v>
      </c>
      <c r="C30759" s="5" t="str">
        <f>IFERROR(__xludf.DUMMYFUNCTION("GOOGLETRANSLATE(B30759,""en"",""it"")"),"Le persone sono sedute su pneumatici dietro Gates.")</f>
        <v>Le persone sono sedute su pneumatici dietro Gates.</v>
      </c>
    </row>
    <row r="30760">
      <c r="A30760" s="4" t="s">
        <v>38734</v>
      </c>
      <c r="B30760" s="4" t="s">
        <v>38738</v>
      </c>
      <c r="C30760" s="5" t="str">
        <f>IFERROR(__xludf.DUMMYFUNCTION("GOOGLETRANSLATE(B30760,""en"",""it"")"),"Una persona si muove i piedi.")</f>
        <v>Una persona si muove i piedi.</v>
      </c>
    </row>
    <row r="30761">
      <c r="A30761" s="4" t="s">
        <v>38734</v>
      </c>
      <c r="B30761" s="4" t="s">
        <v>38739</v>
      </c>
      <c r="C30761" s="5" t="str">
        <f>IFERROR(__xludf.DUMMYFUNCTION("GOOGLETRANSLATE(B30761,""en"",""it"")"),"Quando il cancello viene rilasciato, le persone scivolano giù per il ghiaccio sulle gomme.")</f>
        <v>Quando il cancello viene rilasciato, le persone scivolano giù per il ghiaccio sulle gomme.</v>
      </c>
    </row>
    <row r="30762">
      <c r="A30762" s="4" t="s">
        <v>38734</v>
      </c>
      <c r="B30762" s="4" t="s">
        <v>38740</v>
      </c>
      <c r="C30762" s="5" t="str">
        <f>IFERROR(__xludf.DUMMYFUNCTION("GOOGLETRANSLATE(B30762,""en"",""it"")"),"Una persona celebra e alza le mani.")</f>
        <v>Una persona celebra e alza le mani.</v>
      </c>
    </row>
    <row r="30763">
      <c r="A30763" s="4" t="s">
        <v>38741</v>
      </c>
      <c r="B30763" s="4" t="s">
        <v>38742</v>
      </c>
      <c r="C30763" s="5" t="str">
        <f>IFERROR(__xludf.DUMMYFUNCTION("GOOGLETRANSLATE(B30763,""en"",""it"")"),"Molte persone sono riunite al traguardo di una maratona, in attesa che arrivino i corridori.")</f>
        <v>Molte persone sono riunite al traguardo di una maratona, in attesa che arrivino i corridori.</v>
      </c>
    </row>
    <row r="30764">
      <c r="A30764" s="4" t="s">
        <v>38741</v>
      </c>
      <c r="B30764" s="4" t="s">
        <v>38743</v>
      </c>
      <c r="C30764" s="5" t="str">
        <f>IFERROR(__xludf.DUMMYFUNCTION("GOOGLETRANSLATE(B30764,""en"",""it"")"),"Molti corridori iniziano a gocciolare e rallentare fermandosi una volta arrivati ​​a quel punto.")</f>
        <v>Molti corridori iniziano a gocciolare e rallentare fermandosi una volta arrivati ​​a quel punto.</v>
      </c>
    </row>
    <row r="30765">
      <c r="A30765" s="4" t="s">
        <v>38741</v>
      </c>
      <c r="B30765" s="6" t="s">
        <v>38744</v>
      </c>
      <c r="C30765" s="5" t="str">
        <f>IFERROR(__xludf.DUMMYFUNCTION("GOOGLETRANSLATE(B30765,""en"",""it"")"),"Ci sono molti corridori e alcune persone ai lati, ma gli stand sono completamente vuoti da quel lato.")</f>
        <v>Ci sono molti corridori e alcune persone ai lati, ma gli stand sono completamente vuoti da quel lato.</v>
      </c>
    </row>
    <row r="30766">
      <c r="A30766" s="4" t="s">
        <v>38741</v>
      </c>
      <c r="B30766" s="4" t="s">
        <v>38745</v>
      </c>
      <c r="C30766" s="5" t="str">
        <f>IFERROR(__xludf.DUMMYFUNCTION("GOOGLETRANSLATE(B30766,""en"",""it"")"),"Sempre più uomini continuano a correre a poco a poco.")</f>
        <v>Sempre più uomini continuano a correre a poco a poco.</v>
      </c>
    </row>
    <row r="30767">
      <c r="A30767" s="4" t="s">
        <v>38746</v>
      </c>
      <c r="B30767" s="4" t="s">
        <v>38747</v>
      </c>
      <c r="C30767" s="5" t="str">
        <f>IFERROR(__xludf.DUMMYFUNCTION("GOOGLETRANSLATE(B30767,""en"",""it"")"),"Alcune persone sono viste sugli sci d'acqua nel lago.")</f>
        <v>Alcune persone sono viste sugli sci d'acqua nel lago.</v>
      </c>
    </row>
    <row r="30768">
      <c r="A30768" s="4" t="s">
        <v>38746</v>
      </c>
      <c r="B30768" s="4" t="s">
        <v>38748</v>
      </c>
      <c r="C30768" s="5" t="str">
        <f>IFERROR(__xludf.DUMMYFUNCTION("GOOGLETRANSLATE(B30768,""en"",""it"")"),"Un uomo parla con la telecamera, dimostrando come sciiare.")</f>
        <v>Un uomo parla con la telecamera, dimostrando come sciiare.</v>
      </c>
    </row>
    <row r="30769">
      <c r="A30769" s="4" t="s">
        <v>38746</v>
      </c>
      <c r="B30769" s="4" t="s">
        <v>38749</v>
      </c>
      <c r="C30769" s="5" t="str">
        <f>IFERROR(__xludf.DUMMYFUNCTION("GOOGLETRANSLATE(B30769,""en"",""it"")"),"Vengono mostrate diverse mosse e posizioni mentre parla.")</f>
        <v>Vengono mostrate diverse mosse e posizioni mentre parla.</v>
      </c>
    </row>
    <row r="30770">
      <c r="A30770" s="4" t="s">
        <v>38750</v>
      </c>
      <c r="B30770" s="4" t="s">
        <v>38751</v>
      </c>
      <c r="C30770" s="5" t="str">
        <f>IFERROR(__xludf.DUMMYFUNCTION("GOOGLETRANSLATE(B30770,""en"",""it"")"),"Una donna sta bevendo una tazza di caffè.")</f>
        <v>Una donna sta bevendo una tazza di caffè.</v>
      </c>
    </row>
    <row r="30771">
      <c r="A30771" s="4" t="s">
        <v>38750</v>
      </c>
      <c r="B30771" s="4" t="s">
        <v>38752</v>
      </c>
      <c r="C30771" s="5" t="str">
        <f>IFERROR(__xludf.DUMMYFUNCTION("GOOGLETRANSLATE(B30771,""en"",""it"")"),"I chicchi di caffè sono mostrati in una tazza.")</f>
        <v>I chicchi di caffè sono mostrati in una tazza.</v>
      </c>
    </row>
    <row r="30772">
      <c r="A30772" s="4" t="s">
        <v>38750</v>
      </c>
      <c r="B30772" s="4" t="s">
        <v>38753</v>
      </c>
      <c r="C30772" s="5" t="str">
        <f>IFERROR(__xludf.DUMMYFUNCTION("GOOGLETRANSLATE(B30772,""en"",""it"")"),"Vengono mostrati articoli Web.")</f>
        <v>Vengono mostrati articoli Web.</v>
      </c>
    </row>
    <row r="30773">
      <c r="A30773" s="4" t="s">
        <v>38750</v>
      </c>
      <c r="B30773" s="4" t="s">
        <v>38754</v>
      </c>
      <c r="C30773" s="5" t="str">
        <f>IFERROR(__xludf.DUMMYFUNCTION("GOOGLETRANSLATE(B30773,""en"",""it"")"),"Una tazza di tazza è piena di caffè.")</f>
        <v>Una tazza di tazza è piena di caffè.</v>
      </c>
    </row>
    <row r="30774">
      <c r="A30774" s="4" t="s">
        <v>38750</v>
      </c>
      <c r="B30774" s="4" t="s">
        <v>38755</v>
      </c>
      <c r="C30774" s="5" t="str">
        <f>IFERROR(__xludf.DUMMYFUNCTION("GOOGLETRANSLATE(B30774,""en"",""it"")"),"Le persone stanno andando in bicicletta per strada.")</f>
        <v>Le persone stanno andando in bicicletta per strada.</v>
      </c>
    </row>
    <row r="30775">
      <c r="A30775" s="4" t="s">
        <v>38756</v>
      </c>
      <c r="B30775" s="4" t="s">
        <v>38757</v>
      </c>
      <c r="C30775" s="5" t="str">
        <f>IFERROR(__xludf.DUMMYFUNCTION("GOOGLETRANSLATE(B30775,""en"",""it"")"),"I motociclisti corrono attorno a una pista sporca durante una competizione.")</f>
        <v>I motociclisti corrono attorno a una pista sporca durante una competizione.</v>
      </c>
    </row>
    <row r="30776">
      <c r="A30776" s="4" t="s">
        <v>38756</v>
      </c>
      <c r="B30776" s="4" t="s">
        <v>38758</v>
      </c>
      <c r="C30776" s="5" t="str">
        <f>IFERROR(__xludf.DUMMYFUNCTION("GOOGLETRANSLATE(B30776,""en"",""it"")"),"Un pilota si schianta per un salto e cade dalla sua bici.")</f>
        <v>Un pilota si schianta per un salto e cade dalla sua bici.</v>
      </c>
    </row>
    <row r="30777">
      <c r="A30777" s="4" t="s">
        <v>38756</v>
      </c>
      <c r="B30777" s="4" t="s">
        <v>38759</v>
      </c>
      <c r="C30777" s="5" t="str">
        <f>IFERROR(__xludf.DUMMYFUNCTION("GOOGLETRANSLATE(B30777,""en"",""it"")"),"L'altro pilota rallenta e tira fuori dalla pista.")</f>
        <v>L'altro pilota rallenta e tira fuori dalla pista.</v>
      </c>
    </row>
    <row r="30778">
      <c r="A30778" s="4" t="s">
        <v>38756</v>
      </c>
      <c r="B30778" s="4" t="s">
        <v>38760</v>
      </c>
      <c r="C30778" s="5" t="str">
        <f>IFERROR(__xludf.DUMMYFUNCTION("GOOGLETRANSLATE(B30778,""en"",""it"")"),"Il pilota schianto striscia a terra ed è aiutato da un altro.")</f>
        <v>Il pilota schianto striscia a terra ed è aiutato da un altro.</v>
      </c>
    </row>
    <row r="30779">
      <c r="A30779" s="4" t="s">
        <v>38756</v>
      </c>
      <c r="B30779" s="4" t="s">
        <v>38761</v>
      </c>
      <c r="C30779" s="5" t="str">
        <f>IFERROR(__xludf.DUMMYFUNCTION("GOOGLETRANSLATE(B30779,""en"",""it"")"),"Il cavaliere agita le braccia per segnalare gli altri e toglie la bici schiantata dal percorso.")</f>
        <v>Il cavaliere agita le braccia per segnalare gli altri e toglie la bici schiantata dal percorso.</v>
      </c>
    </row>
    <row r="30780">
      <c r="A30780" s="4" t="s">
        <v>38756</v>
      </c>
      <c r="B30780" s="4" t="s">
        <v>38762</v>
      </c>
      <c r="C30780" s="5" t="str">
        <f>IFERROR(__xludf.DUMMYFUNCTION("GOOGLETRANSLATE(B30780,""en"",""it"")"),"Il pilota viene visto schiantarsi al rallentatore.")</f>
        <v>Il pilota viene visto schiantarsi al rallentatore.</v>
      </c>
    </row>
    <row r="30781">
      <c r="A30781" s="4" t="s">
        <v>38763</v>
      </c>
      <c r="B30781" s="4" t="s">
        <v>38764</v>
      </c>
      <c r="C30781" s="5" t="str">
        <f>IFERROR(__xludf.DUMMYFUNCTION("GOOGLETRANSLATE(B30781,""en"",""it"")"),"Un gruppo di persone è visto in giro per una stanza con alcuni strumenti.")</f>
        <v>Un gruppo di persone è visto in giro per una stanza con alcuni strumenti.</v>
      </c>
    </row>
    <row r="30782">
      <c r="A30782" s="4" t="s">
        <v>38763</v>
      </c>
      <c r="B30782" s="4" t="s">
        <v>38765</v>
      </c>
      <c r="C30782" s="5" t="str">
        <f>IFERROR(__xludf.DUMMYFUNCTION("GOOGLETRANSLATE(B30782,""en"",""it"")"),"Le persone sono sedute a un tavolo a giocare con le tazze.")</f>
        <v>Le persone sono sedute a un tavolo a giocare con le tazze.</v>
      </c>
    </row>
    <row r="30783">
      <c r="A30783" s="4" t="s">
        <v>38763</v>
      </c>
      <c r="B30783" s="4" t="s">
        <v>38766</v>
      </c>
      <c r="C30783" s="5" t="str">
        <f>IFERROR(__xludf.DUMMYFUNCTION("GOOGLETRANSLATE(B30783,""en"",""it"")"),"Più persone vengono viste tambureggiare sul lato mentre le persone continuano a giocare con le tazze.")</f>
        <v>Più persone vengono viste tambureggiare sul lato mentre le persone continuano a giocare con le tazze.</v>
      </c>
    </row>
    <row r="30784">
      <c r="A30784" s="4" t="s">
        <v>38763</v>
      </c>
      <c r="B30784" s="4" t="s">
        <v>38767</v>
      </c>
      <c r="C30784" s="5" t="str">
        <f>IFERROR(__xludf.DUMMYFUNCTION("GOOGLETRANSLATE(B30784,""en"",""it"")"),"Alla fine le persone suonano con una chitarra e finiscono camminando dal palco.")</f>
        <v>Alla fine le persone suonano con una chitarra e finiscono camminando dal palco.</v>
      </c>
    </row>
    <row r="30785">
      <c r="A30785" s="4" t="s">
        <v>38768</v>
      </c>
      <c r="B30785" s="4" t="s">
        <v>38769</v>
      </c>
      <c r="C30785" s="5" t="str">
        <f>IFERROR(__xludf.DUMMYFUNCTION("GOOGLETRANSLATE(B30785,""en"",""it"")"),"Un giovane è seduto su una sedia con la testa giù per radere la gamba con un rasoio elettrico.")</f>
        <v>Un giovane è seduto su una sedia con la testa giù per radere la gamba con un rasoio elettrico.</v>
      </c>
    </row>
    <row r="30786">
      <c r="A30786" s="4" t="s">
        <v>38768</v>
      </c>
      <c r="B30786" s="4" t="s">
        <v>38770</v>
      </c>
      <c r="C30786" s="5" t="str">
        <f>IFERROR(__xludf.DUMMYFUNCTION("GOOGLETRANSLATE(B30786,""en"",""it"")"),"L'uomo si ferma e pulisce il rasoio.")</f>
        <v>L'uomo si ferma e pulisce il rasoio.</v>
      </c>
    </row>
    <row r="30787">
      <c r="A30787" s="4" t="s">
        <v>38768</v>
      </c>
      <c r="B30787" s="6" t="s">
        <v>38771</v>
      </c>
      <c r="C30787" s="5" t="str">
        <f>IFERROR(__xludf.DUMMYFUNCTION("GOOGLETRANSLATE(B30787,""en"",""it"")"),"L'uomo scuote il rasoio quando smette di funzionare fino a quando non ricomincia e continua a radersi la gamba.")</f>
        <v>L'uomo scuote il rasoio quando smette di funzionare fino a quando non ricomincia e continua a radersi la gamba.</v>
      </c>
    </row>
    <row r="30788">
      <c r="A30788" s="4" t="s">
        <v>38772</v>
      </c>
      <c r="B30788" s="4" t="s">
        <v>38773</v>
      </c>
      <c r="C30788" s="5" t="str">
        <f>IFERROR(__xludf.DUMMYFUNCTION("GOOGLETRANSLATE(B30788,""en"",""it"")"),"Un cane è fuori in un grande campo e corre verso un uomo con un frisbee giallo.")</f>
        <v>Un cane è fuori in un grande campo e corre verso un uomo con un frisbee giallo.</v>
      </c>
    </row>
    <row r="30789">
      <c r="A30789" s="4" t="s">
        <v>38772</v>
      </c>
      <c r="B30789" s="4" t="s">
        <v>38774</v>
      </c>
      <c r="C30789" s="5" t="str">
        <f>IFERROR(__xludf.DUMMYFUNCTION("GOOGLETRANSLATE(B30789,""en"",""it"")"),"L'uomo inizia quindi a camminare e lancia il frisbee per il cane da catturare.")</f>
        <v>L'uomo inizia quindi a camminare e lancia il frisbee per il cane da catturare.</v>
      </c>
    </row>
    <row r="30790">
      <c r="A30790" s="4" t="s">
        <v>38772</v>
      </c>
      <c r="B30790" s="4" t="s">
        <v>38775</v>
      </c>
      <c r="C30790" s="5" t="str">
        <f>IFERROR(__xludf.DUMMYFUNCTION("GOOGLETRANSLATE(B30790,""en"",""it"")"),"Lo lancia diverse volte e il cane cattura ognuno.")</f>
        <v>Lo lancia diverse volte e il cane cattura ognuno.</v>
      </c>
    </row>
    <row r="30791">
      <c r="A30791" s="4" t="s">
        <v>38776</v>
      </c>
      <c r="B30791" s="4" t="s">
        <v>38777</v>
      </c>
      <c r="C30791" s="5" t="str">
        <f>IFERROR(__xludf.DUMMYFUNCTION("GOOGLETRANSLATE(B30791,""en"",""it"")"),"I bambini giocano a calcio da spiaggia in un campo polveroso.")</f>
        <v>I bambini giocano a calcio da spiaggia in un campo polveroso.</v>
      </c>
    </row>
    <row r="30792">
      <c r="A30792" s="4" t="s">
        <v>38776</v>
      </c>
      <c r="B30792" s="4" t="s">
        <v>38778</v>
      </c>
      <c r="C30792" s="5" t="str">
        <f>IFERROR(__xludf.DUMMYFUNCTION("GOOGLETRANSLATE(B30792,""en"",""it"")"),"Le persone sono in piedi in campo in stand.")</f>
        <v>Le persone sono in piedi in campo in stand.</v>
      </c>
    </row>
    <row r="30793">
      <c r="A30793" s="4" t="s">
        <v>38776</v>
      </c>
      <c r="B30793" s="4" t="s">
        <v>38779</v>
      </c>
      <c r="C30793" s="5" t="str">
        <f>IFERROR(__xludf.DUMMYFUNCTION("GOOGLETRANSLATE(B30793,""en"",""it"")"),"L'uomo fa un obiettivo e la squadra e le persone in stand stanno celebrando.")</f>
        <v>L'uomo fa un obiettivo e la squadra e le persone in stand stanno celebrando.</v>
      </c>
    </row>
    <row r="30794">
      <c r="A30794" s="4" t="s">
        <v>38776</v>
      </c>
      <c r="B30794" s="4" t="s">
        <v>38780</v>
      </c>
      <c r="C30794" s="5" t="str">
        <f>IFERROR(__xludf.DUMMYFUNCTION("GOOGLETRANSLATE(B30794,""en"",""it"")"),"L'uomo sta facendo un angolo e segna un goal e Ruun ai suoi compagni di squadra per festeggiare.")</f>
        <v>L'uomo sta facendo un angolo e segna un goal e Ruun ai suoi compagni di squadra per festeggiare.</v>
      </c>
    </row>
    <row r="30795">
      <c r="A30795" s="4" t="s">
        <v>38776</v>
      </c>
      <c r="B30795" s="6" t="s">
        <v>38781</v>
      </c>
      <c r="C30795" s="5" t="str">
        <f>IFERROR(__xludf.DUMMYFUNCTION("GOOGLETRANSLATE(B30795,""en"",""it"")"),"Il gioco inizia il gioco e gli uomini continuano a correre e segna un altro goal e celebra mentre c'è una ripetizione.")</f>
        <v>Il gioco inizia il gioco e gli uomini continuano a correre e segna un altro goal e celebra mentre c'è una ripetizione.</v>
      </c>
    </row>
    <row r="30796">
      <c r="A30796" s="4" t="s">
        <v>38782</v>
      </c>
      <c r="B30796" s="4" t="s">
        <v>38783</v>
      </c>
      <c r="C30796" s="5" t="str">
        <f>IFERROR(__xludf.DUMMYFUNCTION("GOOGLETRANSLATE(B30796,""en"",""it"")"),"Un adolescente su un cavallo che gira una corda nell'aria insegue una mucca.")</f>
        <v>Un adolescente su un cavallo che gira una corda nell'aria insegue una mucca.</v>
      </c>
    </row>
    <row r="30797">
      <c r="A30797" s="4" t="s">
        <v>38782</v>
      </c>
      <c r="B30797" s="4" t="s">
        <v>38784</v>
      </c>
      <c r="C30797" s="5" t="str">
        <f>IFERROR(__xludf.DUMMYFUNCTION("GOOGLETRANSLATE(B30797,""en"",""it"")"),"La mucca sta correndo e il ragazzo getta la corda attorno al collo.")</f>
        <v>La mucca sta correndo e il ragazzo getta la corda attorno al collo.</v>
      </c>
    </row>
    <row r="30798">
      <c r="A30798" s="4" t="s">
        <v>38782</v>
      </c>
      <c r="B30798" s="4" t="s">
        <v>38785</v>
      </c>
      <c r="C30798" s="5" t="str">
        <f>IFERROR(__xludf.DUMMYFUNCTION("GOOGLETRANSLATE(B30798,""en"",""it"")"),"Fa cadere la mucca dopo essere stata tirata indietro dalla corda.")</f>
        <v>Fa cadere la mucca dopo essere stata tirata indietro dalla corda.</v>
      </c>
    </row>
    <row r="30799">
      <c r="A30799" s="4" t="s">
        <v>38782</v>
      </c>
      <c r="B30799" s="4" t="s">
        <v>38786</v>
      </c>
      <c r="C30799" s="5" t="str">
        <f>IFERROR(__xludf.DUMMYFUNCTION("GOOGLETRANSLATE(B30799,""en"",""it"")"),"Il ragazzo va a correre dal cavallo dopo e stringe la mucca.")</f>
        <v>Il ragazzo va a correre dal cavallo dopo e stringe la mucca.</v>
      </c>
    </row>
    <row r="30800">
      <c r="A30800" s="4" t="s">
        <v>38787</v>
      </c>
      <c r="B30800" s="4" t="s">
        <v>38788</v>
      </c>
      <c r="C30800" s="5" t="str">
        <f>IFERROR(__xludf.DUMMYFUNCTION("GOOGLETRANSLATE(B30800,""en"",""it"")"),"Vediamo carne e formaggio su un bancone.")</f>
        <v>Vediamo carne e formaggio su un bancone.</v>
      </c>
    </row>
    <row r="30801">
      <c r="A30801" s="4" t="s">
        <v>38787</v>
      </c>
      <c r="B30801" s="4" t="s">
        <v>38789</v>
      </c>
      <c r="C30801" s="5" t="str">
        <f>IFERROR(__xludf.DUMMYFUNCTION("GOOGLETRANSLATE(B30801,""en"",""it"")"),"Un uomo parla con la telecamera in cucina.")</f>
        <v>Un uomo parla con la telecamera in cucina.</v>
      </c>
    </row>
    <row r="30802">
      <c r="A30802" s="4" t="s">
        <v>38787</v>
      </c>
      <c r="B30802" s="4" t="s">
        <v>38790</v>
      </c>
      <c r="C30802" s="5" t="str">
        <f>IFERROR(__xludf.DUMMYFUNCTION("GOOGLETRANSLATE(B30802,""en"",""it"")"),"L'uomo allarga la senape sul pane.")</f>
        <v>L'uomo allarga la senape sul pane.</v>
      </c>
    </row>
    <row r="30803">
      <c r="A30803" s="4" t="s">
        <v>38787</v>
      </c>
      <c r="B30803" s="4" t="s">
        <v>38791</v>
      </c>
      <c r="C30803" s="5" t="str">
        <f>IFERROR(__xludf.DUMMYFUNCTION("GOOGLETRANSLATE(B30803,""en"",""it"")"),"L'uomo assembla il sandwich.")</f>
        <v>L'uomo assembla il sandwich.</v>
      </c>
    </row>
    <row r="30804">
      <c r="A30804" s="4" t="s">
        <v>38787</v>
      </c>
      <c r="B30804" s="4" t="s">
        <v>38792</v>
      </c>
      <c r="C30804" s="5" t="str">
        <f>IFERROR(__xludf.DUMMYFUNCTION("GOOGLETRANSLATE(B30804,""en"",""it"")"),"Il sandwich è premuto.")</f>
        <v>Il sandwich è premuto.</v>
      </c>
    </row>
    <row r="30805">
      <c r="A30805" s="4" t="s">
        <v>38787</v>
      </c>
      <c r="B30805" s="4" t="s">
        <v>38793</v>
      </c>
      <c r="C30805" s="5" t="str">
        <f>IFERROR(__xludf.DUMMYFUNCTION("GOOGLETRANSLATE(B30805,""en"",""it"")"),"L'uomo taglia il sandwich.")</f>
        <v>L'uomo taglia il sandwich.</v>
      </c>
    </row>
    <row r="30806">
      <c r="A30806" s="4" t="s">
        <v>38787</v>
      </c>
      <c r="B30806" s="4" t="s">
        <v>38794</v>
      </c>
      <c r="C30806" s="5" t="str">
        <f>IFERROR(__xludf.DUMMYFUNCTION("GOOGLETRANSLATE(B30806,""en"",""it"")"),"L'uomo piazza tutto il cibo.")</f>
        <v>L'uomo piazza tutto il cibo.</v>
      </c>
    </row>
    <row r="30807">
      <c r="A30807" s="4" t="s">
        <v>38795</v>
      </c>
      <c r="B30807" s="4" t="s">
        <v>38796</v>
      </c>
      <c r="C30807" s="5" t="str">
        <f>IFERROR(__xludf.DUMMYFUNCTION("GOOGLETRANSLATE(B30807,""en"",""it"")"),"Una signora sta soffiando foglie da un tetto.")</f>
        <v>Una signora sta soffiando foglie da un tetto.</v>
      </c>
    </row>
    <row r="30808">
      <c r="A30808" s="4" t="s">
        <v>38795</v>
      </c>
      <c r="B30808" s="4" t="s">
        <v>38797</v>
      </c>
      <c r="C30808" s="5" t="str">
        <f>IFERROR(__xludf.DUMMYFUNCTION("GOOGLETRANSLATE(B30808,""en"",""it"")"),"La signora cammina verso destra allora verso la cima.")</f>
        <v>La signora cammina verso destra allora verso la cima.</v>
      </c>
    </row>
    <row r="30809">
      <c r="A30809" s="4" t="s">
        <v>38795</v>
      </c>
      <c r="B30809" s="4" t="s">
        <v>38798</v>
      </c>
      <c r="C30809" s="5" t="str">
        <f>IFERROR(__xludf.DUMMYFUNCTION("GOOGLETRANSLATE(B30809,""en"",""it"")"),"La telecamera si piove e vediamo un bambino a terra sottostante.")</f>
        <v>La telecamera si piove e vediamo un bambino a terra sottostante.</v>
      </c>
    </row>
    <row r="30810">
      <c r="A30810" s="4" t="s">
        <v>38799</v>
      </c>
      <c r="B30810" s="4" t="s">
        <v>38800</v>
      </c>
      <c r="C30810" s="5" t="str">
        <f>IFERROR(__xludf.DUMMYFUNCTION("GOOGLETRANSLATE(B30810,""en"",""it"")"),"Una persona lancia una palla da un adolescente che corre e calcia la palla.")</f>
        <v>Una persona lancia una palla da un adolescente che corre e calcia la palla.</v>
      </c>
    </row>
    <row r="30811">
      <c r="A30811" s="4" t="s">
        <v>38799</v>
      </c>
      <c r="B30811" s="4" t="s">
        <v>38801</v>
      </c>
      <c r="C30811" s="5" t="str">
        <f>IFERROR(__xludf.DUMMYFUNCTION("GOOGLETRANSLATE(B30811,""en"",""it"")"),"Un adolescente afferra la palla in aria e lancia a un'altra ragazza.")</f>
        <v>Un adolescente afferra la palla in aria e lancia a un'altra ragazza.</v>
      </c>
    </row>
    <row r="30812">
      <c r="A30812" s="4" t="s">
        <v>38799</v>
      </c>
      <c r="B30812" s="4" t="s">
        <v>38802</v>
      </c>
      <c r="C30812" s="5" t="str">
        <f>IFERROR(__xludf.DUMMYFUNCTION("GOOGLETRANSLATE(B30812,""en"",""it"")"),"Le cadute a terra e la ragazza lo prende.")</f>
        <v>Le cadute a terra e la ragazza lo prende.</v>
      </c>
    </row>
    <row r="30813">
      <c r="A30813" s="4" t="s">
        <v>38803</v>
      </c>
      <c r="B30813" s="4" t="s">
        <v>38804</v>
      </c>
      <c r="C30813" s="5" t="str">
        <f>IFERROR(__xludf.DUMMYFUNCTION("GOOGLETRANSLATE(B30813,""en"",""it"")"),"Una donna viene vista indossare lame a rulli e parlare alla telecamera.")</f>
        <v>Una donna viene vista indossare lame a rulli e parlare alla telecamera.</v>
      </c>
    </row>
    <row r="30814">
      <c r="A30814" s="4" t="s">
        <v>38803</v>
      </c>
      <c r="B30814" s="4" t="s">
        <v>38805</v>
      </c>
      <c r="C30814" s="5" t="str">
        <f>IFERROR(__xludf.DUMMYFUNCTION("GOOGLETRANSLATE(B30814,""en"",""it"")"),"Quindi cavalca sulle sue lame mentre guarda alla telecamera e parlando.")</f>
        <v>Quindi cavalca sulle sue lame mentre guarda alla telecamera e parlando.</v>
      </c>
    </row>
    <row r="30815">
      <c r="A30815" s="4" t="s">
        <v>38803</v>
      </c>
      <c r="B30815" s="4" t="s">
        <v>38806</v>
      </c>
      <c r="C30815" s="5" t="str">
        <f>IFERROR(__xludf.DUMMYFUNCTION("GOOGLETRANSLATE(B30815,""en"",""it"")"),"Continua a dimostrare come usare correttamente le lame e muoversi.")</f>
        <v>Continua a dimostrare come usare correttamente le lame e muoversi.</v>
      </c>
    </row>
    <row r="30816">
      <c r="A30816" s="4" t="s">
        <v>38807</v>
      </c>
      <c r="B30816" s="4" t="s">
        <v>38808</v>
      </c>
      <c r="C30816" s="5" t="str">
        <f>IFERROR(__xludf.DUMMYFUNCTION("GOOGLETRANSLATE(B30816,""en"",""it"")"),"Vediamo un uomo correre e fare un salto in alto 6'11 e vediamo il replay.")</f>
        <v>Vediamo un uomo correre e fare un salto in alto 6'11 e vediamo il replay.</v>
      </c>
    </row>
    <row r="30817">
      <c r="A30817" s="4" t="s">
        <v>38807</v>
      </c>
      <c r="B30817" s="4" t="s">
        <v>38809</v>
      </c>
      <c r="C30817" s="5" t="str">
        <f>IFERROR(__xludf.DUMMYFUNCTION("GOOGLETRANSLATE(B30817,""en"",""it"")"),"Vediamo quindi l'uomo saltare a 6'9 e vediamo il replay.")</f>
        <v>Vediamo quindi l'uomo saltare a 6'9 e vediamo il replay.</v>
      </c>
    </row>
    <row r="30818">
      <c r="A30818" s="4" t="s">
        <v>38807</v>
      </c>
      <c r="B30818" s="4" t="s">
        <v>38810</v>
      </c>
      <c r="C30818" s="5" t="str">
        <f>IFERROR(__xludf.DUMMYFUNCTION("GOOGLETRANSLATE(B30818,""en"",""it"")"),"L'uomo salta di nuovo al 6'11 e vediamo il replay.")</f>
        <v>L'uomo salta di nuovo al 6'11 e vediamo il replay.</v>
      </c>
    </row>
    <row r="30819">
      <c r="A30819" s="4" t="s">
        <v>38807</v>
      </c>
      <c r="B30819" s="4" t="s">
        <v>38811</v>
      </c>
      <c r="C30819" s="5" t="str">
        <f>IFERROR(__xludf.DUMMYFUNCTION("GOOGLETRANSLATE(B30819,""en"",""it"")"),"Vediamo l'uomo saltare a 7'2 e vediamo il replay.")</f>
        <v>Vediamo l'uomo saltare a 7'2 e vediamo il replay.</v>
      </c>
    </row>
    <row r="30820">
      <c r="A30820" s="4" t="s">
        <v>38807</v>
      </c>
      <c r="B30820" s="4" t="s">
        <v>38812</v>
      </c>
      <c r="C30820" s="5" t="str">
        <f>IFERROR(__xludf.DUMMYFUNCTION("GOOGLETRANSLATE(B30820,""en"",""it"")"),"Vediamo l'uomo saltare a 8'3 usando un trampolino e vediamo il replay.")</f>
        <v>Vediamo l'uomo saltare a 8'3 usando un trampolino e vediamo il replay.</v>
      </c>
    </row>
    <row r="30821">
      <c r="A30821" s="4" t="s">
        <v>38813</v>
      </c>
      <c r="B30821" s="4" t="s">
        <v>38814</v>
      </c>
      <c r="C30821" s="5" t="str">
        <f>IFERROR(__xludf.DUMMYFUNCTION("GOOGLETRANSLATE(B30821,""en"",""it"")"),"Ci sono alcuni sollevamenti di pesi sul palco che partecipano a eventi di sollevamento pesi.")</f>
        <v>Ci sono alcuni sollevamenti di pesi sul palco che partecipano a eventi di sollevamento pesi.</v>
      </c>
    </row>
    <row r="30822">
      <c r="A30822" s="4" t="s">
        <v>38813</v>
      </c>
      <c r="B30822" s="4" t="s">
        <v>38815</v>
      </c>
      <c r="C30822" s="5" t="str">
        <f>IFERROR(__xludf.DUMMYFUNCTION("GOOGLETRANSLATE(B30822,""en"",""it"")"),"Ci sono diversi spettatori che guardano l'evento.")</f>
        <v>Ci sono diversi spettatori che guardano l'evento.</v>
      </c>
    </row>
    <row r="30823">
      <c r="A30823" s="4" t="s">
        <v>38813</v>
      </c>
      <c r="B30823" s="4" t="s">
        <v>38816</v>
      </c>
      <c r="C30823" s="5" t="str">
        <f>IFERROR(__xludf.DUMMYFUNCTION("GOOGLETRANSLATE(B30823,""en"",""it"")"),"Uno dei sollevamenti di pesi solleva con successo la barra di peso in alto e poi la lascia cadere.")</f>
        <v>Uno dei sollevamenti di pesi solleva con successo la barra di peso in alto e poi la lascia cadere.</v>
      </c>
    </row>
    <row r="30824">
      <c r="A30824" s="4" t="s">
        <v>38813</v>
      </c>
      <c r="B30824" s="4" t="s">
        <v>38817</v>
      </c>
      <c r="C30824" s="5" t="str">
        <f>IFERROR(__xludf.DUMMYFUNCTION("GOOGLETRANSLATE(B30824,""en"",""it"")"),"Alza la mano destra sentendosi trionfante.")</f>
        <v>Alza la mano destra sentendosi trionfante.</v>
      </c>
    </row>
    <row r="30825">
      <c r="A30825" s="4" t="s">
        <v>38818</v>
      </c>
      <c r="B30825" s="4" t="s">
        <v>38819</v>
      </c>
      <c r="C30825" s="5" t="str">
        <f>IFERROR(__xludf.DUMMYFUNCTION("GOOGLETRANSLATE(B30825,""en"",""it"")"),"C'è un primo piano di diversi uomini e ragazzi che stanno sudando.")</f>
        <v>C'è un primo piano di diversi uomini e ragazzi che stanno sudando.</v>
      </c>
    </row>
    <row r="30826">
      <c r="A30826" s="4" t="s">
        <v>38818</v>
      </c>
      <c r="B30826" s="4" t="s">
        <v>38820</v>
      </c>
      <c r="C30826" s="5" t="str">
        <f>IFERROR(__xludf.DUMMYFUNCTION("GOOGLETRANSLATE(B30826,""en"",""it"")"),"Suonano forbici di carta rocciosa e il perdente si arrabbia.")</f>
        <v>Suonano forbici di carta rocciosa e il perdente si arrabbia.</v>
      </c>
    </row>
    <row r="30827">
      <c r="A30827" s="4" t="s">
        <v>38818</v>
      </c>
      <c r="B30827" s="4" t="s">
        <v>38821</v>
      </c>
      <c r="C30827" s="5" t="str">
        <f>IFERROR(__xludf.DUMMYFUNCTION("GOOGLETRANSLATE(B30827,""en"",""it"")"),"Corre attraverso l'edificio e all'aperto, urlando e colpendo l'aria.")</f>
        <v>Corre attraverso l'edificio e all'aperto, urlando e colpendo l'aria.</v>
      </c>
    </row>
    <row r="30828">
      <c r="A30828" s="4" t="s">
        <v>38818</v>
      </c>
      <c r="B30828" s="4" t="s">
        <v>38822</v>
      </c>
      <c r="C30828" s="5" t="str">
        <f>IFERROR(__xludf.DUMMYFUNCTION("GOOGLETRANSLATE(B30828,""en"",""it"")"),"L'uomo viene mostrato seduto su una sedia, parlando.")</f>
        <v>L'uomo viene mostrato seduto su una sedia, parlando.</v>
      </c>
    </row>
    <row r="30829">
      <c r="A30829" s="4" t="s">
        <v>38818</v>
      </c>
      <c r="B30829" s="4" t="s">
        <v>38823</v>
      </c>
      <c r="C30829" s="5" t="str">
        <f>IFERROR(__xludf.DUMMYFUNCTION("GOOGLETRANSLATE(B30829,""en"",""it"")"),"Scuote una bottiglia e prende un drink prima di soffocare.")</f>
        <v>Scuote una bottiglia e prende un drink prima di soffocare.</v>
      </c>
    </row>
    <row r="30830">
      <c r="A30830" s="4" t="s">
        <v>38818</v>
      </c>
      <c r="B30830" s="4" t="s">
        <v>38824</v>
      </c>
      <c r="C30830" s="5" t="str">
        <f>IFERROR(__xludf.DUMMYFUNCTION("GOOGLETRANSLATE(B30830,""en"",""it"")"),"Riproducino il gioco, finendo con lui a parlare di nuovo mentre era seduto sulla sedia.")</f>
        <v>Riproducino il gioco, finendo con lui a parlare di nuovo mentre era seduto sulla sedia.</v>
      </c>
    </row>
    <row r="30831">
      <c r="A30831" s="4" t="s">
        <v>38825</v>
      </c>
      <c r="B30831" s="4" t="s">
        <v>38826</v>
      </c>
      <c r="C30831" s="5" t="str">
        <f>IFERROR(__xludf.DUMMYFUNCTION("GOOGLETRANSLATE(B30831,""en"",""it"")"),"Un uomo è seduto su una pesca sul ghiaccio del secchio.")</f>
        <v>Un uomo è seduto su una pesca sul ghiaccio del secchio.</v>
      </c>
    </row>
    <row r="30832">
      <c r="A30832" s="4" t="s">
        <v>38825</v>
      </c>
      <c r="B30832" s="4" t="s">
        <v>38827</v>
      </c>
      <c r="C30832" s="5" t="str">
        <f>IFERROR(__xludf.DUMMYFUNCTION("GOOGLETRANSLATE(B30832,""en"",""it"")"),"Si alza e tira fuori un pesce dal buco.")</f>
        <v>Si alza e tira fuori un pesce dal buco.</v>
      </c>
    </row>
    <row r="30833">
      <c r="A30833" s="4" t="s">
        <v>38825</v>
      </c>
      <c r="B30833" s="4" t="s">
        <v>38828</v>
      </c>
      <c r="C30833" s="5" t="str">
        <f>IFERROR(__xludf.DUMMYFUNCTION("GOOGLETRANSLATE(B30833,""en"",""it"")"),"Taglia il gancio dal pesce e getta il pesce sul ghiaccio.")</f>
        <v>Taglia il gancio dal pesce e getta il pesce sul ghiaccio.</v>
      </c>
    </row>
    <row r="30834">
      <c r="A30834" s="4" t="s">
        <v>38825</v>
      </c>
      <c r="B30834" s="4" t="s">
        <v>38829</v>
      </c>
      <c r="C30834" s="5" t="str">
        <f>IFERROR(__xludf.DUMMYFUNCTION("GOOGLETRANSLATE(B30834,""en"",""it"")"),"Si siede sul secchio.")</f>
        <v>Si siede sul secchio.</v>
      </c>
    </row>
    <row r="30835">
      <c r="A30835" s="4" t="s">
        <v>38830</v>
      </c>
      <c r="B30835" s="4" t="s">
        <v>38831</v>
      </c>
      <c r="C30835" s="5" t="str">
        <f>IFERROR(__xludf.DUMMYFUNCTION("GOOGLETRANSLATE(B30835,""en"",""it"")"),"Viene mostrato uno scatto ancora di un uomo sugli sci d'acqua.")</f>
        <v>Viene mostrato uno scatto ancora di un uomo sugli sci d'acqua.</v>
      </c>
    </row>
    <row r="30836">
      <c r="A30836" s="4" t="s">
        <v>38830</v>
      </c>
      <c r="B30836" s="4" t="s">
        <v>38832</v>
      </c>
      <c r="C30836" s="5" t="str">
        <f>IFERROR(__xludf.DUMMYFUNCTION("GOOGLETRANSLATE(B30836,""en"",""it"")"),"Salta quindi allo stesso uomo che scivola molto intensamente.")</f>
        <v>Salta quindi allo stesso uomo che scivola molto intensamente.</v>
      </c>
    </row>
    <row r="30837">
      <c r="A30837" s="4" t="s">
        <v>38830</v>
      </c>
      <c r="B30837" s="4" t="s">
        <v>38833</v>
      </c>
      <c r="C30837" s="5" t="str">
        <f>IFERROR(__xludf.DUMMYFUNCTION("GOOGLETRANSLATE(B30837,""en"",""it"")"),"Cade alcune volte e fa del suo meglio per rimanere in piedi.")</f>
        <v>Cade alcune volte e fa del suo meglio per rimanere in piedi.</v>
      </c>
    </row>
    <row r="30838">
      <c r="A30838" s="4" t="s">
        <v>38830</v>
      </c>
      <c r="B30838" s="4" t="s">
        <v>38834</v>
      </c>
      <c r="C30838" s="5" t="str">
        <f>IFERROR(__xludf.DUMMYFUNCTION("GOOGLETRANSLATE(B30838,""en"",""it"")"),"Il video mostra quindi altre persone che fanno del loro meglio ma cadono ogni volta.")</f>
        <v>Il video mostra quindi altre persone che fanno del loro meglio ma cadono ogni volta.</v>
      </c>
    </row>
    <row r="30839">
      <c r="A30839" s="4" t="s">
        <v>38830</v>
      </c>
      <c r="B30839" s="4" t="s">
        <v>38835</v>
      </c>
      <c r="C30839" s="5" t="str">
        <f>IFERROR(__xludf.DUMMYFUNCTION("GOOGLETRANSLATE(B30839,""en"",""it"")"),"Il video continua a mostrare alla gente che cade ancora e ancora.")</f>
        <v>Il video continua a mostrare alla gente che cade ancora e ancora.</v>
      </c>
    </row>
    <row r="30840">
      <c r="A30840" s="4" t="s">
        <v>38830</v>
      </c>
      <c r="B30840" s="4" t="s">
        <v>38836</v>
      </c>
      <c r="C30840" s="5" t="str">
        <f>IFERROR(__xludf.DUMMYFUNCTION("GOOGLETRANSLATE(B30840,""en"",""it"")"),"Alla fine, i crediti vengono mostrati su chi ha filmato e recitato nel video.")</f>
        <v>Alla fine, i crediti vengono mostrati su chi ha filmato e recitato nel video.</v>
      </c>
    </row>
    <row r="30841">
      <c r="A30841" s="4" t="s">
        <v>38837</v>
      </c>
      <c r="B30841" s="4" t="s">
        <v>38838</v>
      </c>
      <c r="C30841" s="5" t="str">
        <f>IFERROR(__xludf.DUMMYFUNCTION("GOOGLETRANSLATE(B30841,""en"",""it"")"),"Un uomo sta giocando le cornamuse.")</f>
        <v>Un uomo sta giocando le cornamuse.</v>
      </c>
    </row>
    <row r="30842">
      <c r="A30842" s="4" t="s">
        <v>38837</v>
      </c>
      <c r="B30842" s="4" t="s">
        <v>38839</v>
      </c>
      <c r="C30842" s="5" t="str">
        <f>IFERROR(__xludf.DUMMYFUNCTION("GOOGLETRANSLATE(B30842,""en"",""it"")"),"Le persone stanno giocando fuori da lacrosse.")</f>
        <v>Le persone stanno giocando fuori da lacrosse.</v>
      </c>
    </row>
    <row r="30843">
      <c r="A30843" s="4" t="s">
        <v>38837</v>
      </c>
      <c r="B30843" s="4" t="s">
        <v>21371</v>
      </c>
      <c r="C30843" s="5" t="str">
        <f>IFERROR(__xludf.DUMMYFUNCTION("GOOGLETRANSLATE(B30843,""en"",""it"")"),"Un uomo con una camicia blu sta parlando con la telecamera.")</f>
        <v>Un uomo con una camicia blu sta parlando con la telecamera.</v>
      </c>
    </row>
    <row r="30844">
      <c r="A30844" s="4" t="s">
        <v>38840</v>
      </c>
      <c r="B30844" s="4" t="s">
        <v>38841</v>
      </c>
      <c r="C30844" s="5" t="str">
        <f>IFERROR(__xludf.DUMMYFUNCTION("GOOGLETRANSLATE(B30844,""en"",""it"")"),"Un ragazzo falcia un cortile usando un tosaerba che ha una borsa da raccolta sul retro.")</f>
        <v>Un ragazzo falcia un cortile usando un tosaerba che ha una borsa da raccolta sul retro.</v>
      </c>
    </row>
    <row r="30845">
      <c r="A30845" s="4" t="s">
        <v>38840</v>
      </c>
      <c r="B30845" s="4" t="s">
        <v>38842</v>
      </c>
      <c r="C30845" s="5" t="str">
        <f>IFERROR(__xludf.DUMMYFUNCTION("GOOGLETRANSLATE(B30845,""en"",""it"")"),"Il ragazzo passa il marciapiede e si gira verso il cortile per continuare a tagliare l'erba.")</f>
        <v>Il ragazzo passa il marciapiede e si gira verso il cortile per continuare a tagliare l'erba.</v>
      </c>
    </row>
    <row r="30846">
      <c r="A30846" s="4" t="s">
        <v>38843</v>
      </c>
      <c r="B30846" s="4" t="s">
        <v>38844</v>
      </c>
      <c r="C30846" s="5" t="str">
        <f>IFERROR(__xludf.DUMMYFUNCTION("GOOGLETRANSLATE(B30846,""en"",""it"")"),"Le persone stanno cavalcando i cavalli in un campo.")</f>
        <v>Le persone stanno cavalcando i cavalli in un campo.</v>
      </c>
    </row>
    <row r="30847">
      <c r="A30847" s="4" t="s">
        <v>38843</v>
      </c>
      <c r="B30847" s="4" t="s">
        <v>38845</v>
      </c>
      <c r="C30847" s="5" t="str">
        <f>IFERROR(__xludf.DUMMYFUNCTION("GOOGLETRANSLATE(B30847,""en"",""it"")"),"Una persona in una camicia rossa è in piedi accanto al cavallo.")</f>
        <v>Una persona in una camicia rossa è in piedi accanto al cavallo.</v>
      </c>
    </row>
    <row r="30848">
      <c r="A30848" s="4" t="s">
        <v>38843</v>
      </c>
      <c r="B30848" s="4" t="s">
        <v>38846</v>
      </c>
      <c r="C30848" s="5" t="str">
        <f>IFERROR(__xludf.DUMMYFUNCTION("GOOGLETRANSLATE(B30848,""en"",""it"")"),"Un uomo con un cappello nero è accanto al cavallo.")</f>
        <v>Un uomo con un cappello nero è accanto al cavallo.</v>
      </c>
    </row>
    <row r="30849">
      <c r="A30849" s="4" t="s">
        <v>38847</v>
      </c>
      <c r="B30849" s="6" t="s">
        <v>38848</v>
      </c>
      <c r="C30849" s="5" t="str">
        <f>IFERROR(__xludf.DUMMYFUNCTION("GOOGLETRANSLATE(B30849,""en"",""it"")"),"Una donna viene vista radersi la pelliccia di un cane mentre la telecamera mostra molti cani seduti in casse.")</f>
        <v>Una donna viene vista radersi la pelliccia di un cane mentre la telecamera mostra molti cani seduti in casse.</v>
      </c>
    </row>
    <row r="30850">
      <c r="A30850" s="4" t="s">
        <v>38847</v>
      </c>
      <c r="B30850" s="6" t="s">
        <v>38849</v>
      </c>
      <c r="C30850" s="5" t="str">
        <f>IFERROR(__xludf.DUMMYFUNCTION("GOOGLETRANSLATE(B30850,""en"",""it"")"),"Una donna viene vista parlare alla telecamera e mostrare diversi cani con i capelli lunghi e successivamente.")</f>
        <v>Una donna viene vista parlare alla telecamera e mostrare diversi cani con i capelli lunghi e successivamente.</v>
      </c>
    </row>
    <row r="30851">
      <c r="A30851" s="4" t="s">
        <v>38847</v>
      </c>
      <c r="B30851" s="6" t="s">
        <v>38850</v>
      </c>
      <c r="C30851" s="5" t="str">
        <f>IFERROR(__xludf.DUMMYFUNCTION("GOOGLETRANSLATE(B30851,""en"",""it"")"),"La donna continua a radersi i lati del cane mentre si ferma a parlare alla telecamera e mostra il cane rasato.")</f>
        <v>La donna continua a radersi i lati del cane mentre si ferma a parlare alla telecamera e mostra il cane rasato.</v>
      </c>
    </row>
    <row r="30852">
      <c r="A30852" s="4" t="s">
        <v>38851</v>
      </c>
      <c r="B30852" s="4" t="s">
        <v>38852</v>
      </c>
      <c r="C30852" s="5" t="str">
        <f>IFERROR(__xludf.DUMMYFUNCTION("GOOGLETRANSLATE(B30852,""en"",""it"")"),"Una persona in un cappotto nero sta raschiando il ghiaccio da una finestra.")</f>
        <v>Una persona in un cappotto nero sta raschiando il ghiaccio da una finestra.</v>
      </c>
    </row>
    <row r="30853">
      <c r="A30853" s="4" t="s">
        <v>38851</v>
      </c>
      <c r="B30853" s="4" t="s">
        <v>38853</v>
      </c>
      <c r="C30853" s="5" t="str">
        <f>IFERROR(__xludf.DUMMYFUNCTION("GOOGLETRANSLATE(B30853,""en"",""it"")"),"Un bambino in un cappotto giallo sorride alla fotocamera.")</f>
        <v>Un bambino in un cappotto giallo sorride alla fotocamera.</v>
      </c>
    </row>
    <row r="30854">
      <c r="A30854" s="4" t="s">
        <v>38851</v>
      </c>
      <c r="B30854" s="4" t="s">
        <v>38854</v>
      </c>
      <c r="C30854" s="5" t="str">
        <f>IFERROR(__xludf.DUMMYFUNCTION("GOOGLETRANSLATE(B30854,""en"",""it"")"),"Un ragazzo con una giacca verde sta raschiando il ghiaccio da un'altra macchina.")</f>
        <v>Un ragazzo con una giacca verde sta raschiando il ghiaccio da un'altra macchina.</v>
      </c>
    </row>
    <row r="30855">
      <c r="A30855" s="4" t="s">
        <v>38855</v>
      </c>
      <c r="B30855" s="6" t="s">
        <v>38856</v>
      </c>
      <c r="C30855" s="5" t="str">
        <f>IFERROR(__xludf.DUMMYFUNCTION("GOOGLETRANSLATE(B30855,""en"",""it"")"),"Le notizie mostrano una foto di un uomo di nome Albertinho Gazio, nel frattempo una donna che esce da casa sua con attrezzatura da neve verso la sua auto parcheggiata.")</f>
        <v>Le notizie mostrano una foto di un uomo di nome Albertinho Gazio, nel frattempo una donna che esce da casa sua con attrezzatura da neve verso la sua auto parcheggiata.</v>
      </c>
    </row>
    <row r="30856">
      <c r="A30856" s="4" t="s">
        <v>38855</v>
      </c>
      <c r="B30856" s="6" t="s">
        <v>38857</v>
      </c>
      <c r="C30856" s="5" t="str">
        <f>IFERROR(__xludf.DUMMYFUNCTION("GOOGLETRANSLATE(B30856,""en"",""it"")"),"L'uomo dietro la telecamera sembra essere Albertinho, sta camminando attraverso la neve e parla, lui e sua moglie e togliendo la neve dalle macchine nel parcheggio.")</f>
        <v>L'uomo dietro la telecamera sembra essere Albertinho, sta camminando attraverso la neve e parla, lui e sua moglie e togliendo la neve dalle macchine nel parcheggio.</v>
      </c>
    </row>
    <row r="30857">
      <c r="A30857" s="4" t="s">
        <v>38855</v>
      </c>
      <c r="B30857" s="4" t="s">
        <v>38858</v>
      </c>
      <c r="C30857" s="5" t="str">
        <f>IFERROR(__xludf.DUMMYFUNCTION("GOOGLETRANSLATE(B30857,""en"",""it"")"),"Le sue mani sono estremamente rosse dalla neve, ma sua moglie indossa guanti, quindi non è interessata.")</f>
        <v>Le sue mani sono estremamente rosse dalla neve, ma sua moglie indossa guanti, quindi non è interessata.</v>
      </c>
    </row>
    <row r="30858">
      <c r="A30858" s="4" t="s">
        <v>38855</v>
      </c>
      <c r="B30858" s="6" t="s">
        <v>38859</v>
      </c>
      <c r="C30858" s="5" t="str">
        <f>IFERROR(__xludf.DUMMYFUNCTION("GOOGLETRANSLATE(B30858,""en"",""it"")"),"Si toglie un foglio di tasca e lo legge, mentre sua moglie ride di lui prima di iniziare a tornare dentro.")</f>
        <v>Si toglie un foglio di tasca e lo legge, mentre sua moglie ride di lui prima di iniziare a tornare dentro.</v>
      </c>
    </row>
    <row r="30859">
      <c r="A30859" s="4" t="s">
        <v>38860</v>
      </c>
      <c r="B30859" s="4" t="s">
        <v>38861</v>
      </c>
      <c r="C30859" s="5" t="str">
        <f>IFERROR(__xludf.DUMMYFUNCTION("GOOGLETRANSLATE(B30859,""en"",""it"")"),"Una ragazza ha messo il piede su una linea e poi si tira su.")</f>
        <v>Una ragazza ha messo il piede su una linea e poi si tira su.</v>
      </c>
    </row>
    <row r="30860">
      <c r="A30860" s="4" t="s">
        <v>38860</v>
      </c>
      <c r="B30860" s="4" t="s">
        <v>38862</v>
      </c>
      <c r="C30860" s="5" t="str">
        <f>IFERROR(__xludf.DUMMYFUNCTION("GOOGLETRANSLATE(B30860,""en"",""it"")"),"I suoi piedi sono sporchi ma sta cercando di bilanciarsi sulla corda.")</f>
        <v>I suoi piedi sono sporchi ma sta cercando di bilanciarsi sulla corda.</v>
      </c>
    </row>
    <row r="30861">
      <c r="A30861" s="4" t="s">
        <v>38860</v>
      </c>
      <c r="B30861" s="6" t="s">
        <v>38863</v>
      </c>
      <c r="C30861" s="5" t="str">
        <f>IFERROR(__xludf.DUMMYFUNCTION("GOOGLETRANSLATE(B30861,""en"",""it"")"),"Un uomo si alza sulla corda cercando di bilanciarsi anche se stesso, ha difficoltà a mantenere l'equilibrio causandosi quasi un bel po '.")</f>
        <v>Un uomo si alza sulla corda cercando di bilanciarsi anche se stesso, ha difficoltà a mantenere l'equilibrio causandosi quasi un bel po '.</v>
      </c>
    </row>
    <row r="30862">
      <c r="A30862" s="4" t="s">
        <v>38860</v>
      </c>
      <c r="B30862" s="4" t="s">
        <v>38864</v>
      </c>
      <c r="C30862" s="5" t="str">
        <f>IFERROR(__xludf.DUMMYFUNCTION("GOOGLETRANSLATE(B30862,""en"",""it"")"),"Lo ha provato sull'acqua e poi guarda una donna cercare di bilanciarsi.")</f>
        <v>Lo ha provato sull'acqua e poi guarda una donna cercare di bilanciarsi.</v>
      </c>
    </row>
    <row r="30863">
      <c r="A30863" s="4" t="s">
        <v>38865</v>
      </c>
      <c r="B30863" s="6" t="s">
        <v>38866</v>
      </c>
      <c r="C30863" s="5" t="str">
        <f>IFERROR(__xludf.DUMMYFUNCTION("GOOGLETRANSLATE(B30863,""en"",""it"")"),"Una persona prende le mani un pennello piccolo e grande e un COM e punta una brocca di detergente e un flacone spray.")</f>
        <v>Una persona prende le mani un pennello piccolo e grande e un COM e punta una brocca di detergente e un flacone spray.</v>
      </c>
    </row>
    <row r="30864">
      <c r="A30864" s="4" t="s">
        <v>38865</v>
      </c>
      <c r="B30864" s="4" t="s">
        <v>38867</v>
      </c>
      <c r="C30864" s="5" t="str">
        <f>IFERROR(__xludf.DUMMYFUNCTION("GOOGLETRANSLATE(B30864,""en"",""it"")"),"La persona prende il pennello grande e spazzola la gamba posteriore del cane dall'alto verso il basso.")</f>
        <v>La persona prende il pennello grande e spazzola la gamba posteriore del cane dall'alto verso il basso.</v>
      </c>
    </row>
    <row r="30865">
      <c r="A30865" s="4" t="s">
        <v>38865</v>
      </c>
      <c r="B30865" s="6" t="s">
        <v>38868</v>
      </c>
      <c r="C30865" s="5" t="str">
        <f>IFERROR(__xludf.DUMMYFUNCTION("GOOGLETRANSLATE(B30865,""en"",""it"")"),"Dopo, la persona spazzola la gamba posteriore del cane usando il pennello grande, poi lei piccolo pennello e il pettine.")</f>
        <v>Dopo, la persona spazzola la gamba posteriore del cane usando il pennello grande, poi lei piccolo pennello e il pettine.</v>
      </c>
    </row>
    <row r="30866">
      <c r="A30866" s="4" t="s">
        <v>38865</v>
      </c>
      <c r="B30866" s="4" t="s">
        <v>38869</v>
      </c>
      <c r="C30866" s="5" t="str">
        <f>IFERROR(__xludf.DUMMYFUNCTION("GOOGLETRANSLATE(B30866,""en"",""it"")"),"Successivamente, la persona spruzza la gamba del cane e dei pettini.")</f>
        <v>Successivamente, la persona spruzza la gamba del cane e dei pettini.</v>
      </c>
    </row>
    <row r="30867">
      <c r="A30867" s="4" t="s">
        <v>38870</v>
      </c>
      <c r="B30867" s="4" t="s">
        <v>38871</v>
      </c>
      <c r="C30867" s="5" t="str">
        <f>IFERROR(__xludf.DUMMYFUNCTION("GOOGLETRANSLATE(B30867,""en"",""it"")"),"Una persona gioca cornamusa per le strade mentre la gente passa.")</f>
        <v>Una persona gioca cornamusa per le strade mentre la gente passa.</v>
      </c>
    </row>
    <row r="30868">
      <c r="A30868" s="4" t="s">
        <v>38870</v>
      </c>
      <c r="B30868" s="4" t="s">
        <v>38872</v>
      </c>
      <c r="C30868" s="5" t="str">
        <f>IFERROR(__xludf.DUMMYFUNCTION("GOOGLETRANSLATE(B30868,""en"",""it"")"),"La folla viene mostrata e qualcuno fa una foto con la donna.")</f>
        <v>La folla viene mostrata e qualcuno fa una foto con la donna.</v>
      </c>
    </row>
    <row r="30869">
      <c r="A30869" s="4" t="s">
        <v>38873</v>
      </c>
      <c r="B30869" s="6" t="s">
        <v>38874</v>
      </c>
      <c r="C30869" s="5" t="str">
        <f>IFERROR(__xludf.DUMMYFUNCTION("GOOGLETRANSLATE(B30869,""en"",""it"")"),"C'è una ginnasta che indossa body rossi che eseguono ginnastica in un bar in un grande stadio con spettatori e una giuria.")</f>
        <v>C'è una ginnasta che indossa body rossi che eseguono ginnastica in un bar in un grande stadio con spettatori e una giuria.</v>
      </c>
    </row>
    <row r="30870">
      <c r="A30870" s="4" t="s">
        <v>38873</v>
      </c>
      <c r="B30870" s="4" t="s">
        <v>38875</v>
      </c>
      <c r="C30870" s="5" t="str">
        <f>IFERROR(__xludf.DUMMYFUNCTION("GOOGLETRANSLATE(B30870,""en"",""it"")"),"Comincia entrando nella barra del cavallo e fa capovolgendo e un paio di ribaltamenti.")</f>
        <v>Comincia entrando nella barra del cavallo e fa capovolgendo e un paio di ribaltamenti.</v>
      </c>
    </row>
    <row r="30871">
      <c r="A30871" s="4" t="s">
        <v>38873</v>
      </c>
      <c r="B30871" s="4" t="s">
        <v>38876</v>
      </c>
      <c r="C30871" s="5" t="str">
        <f>IFERROR(__xludf.DUMMYFUNCTION("GOOGLETRANSLATE(B30871,""en"",""it"")"),"Quindi continua a torcere le gambe e fa un altro laterale torcendo il corpo.")</f>
        <v>Quindi continua a torcere le gambe e fa un altro laterale torcendo il corpo.</v>
      </c>
    </row>
    <row r="30872">
      <c r="A30872" s="4" t="s">
        <v>38873</v>
      </c>
      <c r="B30872" s="4" t="s">
        <v>38877</v>
      </c>
      <c r="C30872" s="5" t="str">
        <f>IFERROR(__xludf.DUMMYFUNCTION("GOOGLETRANSLATE(B30872,""en"",""it"")"),"Poi fa con grazia qualche altra schiena continua e salta giù dal bar e si allontana.")</f>
        <v>Poi fa con grazia qualche altra schiena continua e salta giù dal bar e si allontana.</v>
      </c>
    </row>
    <row r="30873">
      <c r="A30873" s="4" t="s">
        <v>38878</v>
      </c>
      <c r="B30873" s="4" t="s">
        <v>38879</v>
      </c>
      <c r="C30873" s="5" t="str">
        <f>IFERROR(__xludf.DUMMYFUNCTION("GOOGLETRANSLATE(B30873,""en"",""it"")"),"Due sumos sono faccia a faccia davanti a una donna.")</f>
        <v>Due sumos sono faccia a faccia davanti a una donna.</v>
      </c>
    </row>
    <row r="30874">
      <c r="A30874" s="4" t="s">
        <v>38878</v>
      </c>
      <c r="B30874" s="4" t="s">
        <v>38880</v>
      </c>
      <c r="C30874" s="5" t="str">
        <f>IFERROR(__xludf.DUMMYFUNCTION("GOOGLETRANSLATE(B30874,""en"",""it"")"),"Quindi, i sumos si spingono l'un l'altro mentre la donna li guarda.")</f>
        <v>Quindi, i sumos si spingono l'un l'altro mentre la donna li guarda.</v>
      </c>
    </row>
    <row r="30875">
      <c r="A30875" s="4" t="s">
        <v>38878</v>
      </c>
      <c r="B30875" s="4" t="s">
        <v>38881</v>
      </c>
      <c r="C30875" s="5" t="str">
        <f>IFERROR(__xludf.DUMMYFUNCTION("GOOGLETRANSLATE(B30875,""en"",""it"")"),"Dopo, un sumo cade pesantemente a terra, poi si alza.")</f>
        <v>Dopo, un sumo cade pesantemente a terra, poi si alza.</v>
      </c>
    </row>
    <row r="30876">
      <c r="A30876" s="4" t="s">
        <v>38878</v>
      </c>
      <c r="B30876" s="4" t="s">
        <v>38882</v>
      </c>
      <c r="C30876" s="5" t="str">
        <f>IFERROR(__xludf.DUMMYFUNCTION("GOOGLETRANSLATE(B30876,""en"",""it"")"),"Un uomo che indossa abiti gialli si avvicina all'anello.")</f>
        <v>Un uomo che indossa abiti gialli si avvicina all'anello.</v>
      </c>
    </row>
    <row r="30877">
      <c r="A30877" s="4" t="s">
        <v>38883</v>
      </c>
      <c r="B30877" s="4" t="s">
        <v>38884</v>
      </c>
      <c r="C30877" s="5" t="str">
        <f>IFERROR(__xludf.DUMMYFUNCTION("GOOGLETRANSLATE(B30877,""en"",""it"")"),"Cinque prodotti sono allineati su un tavolo, illustrando i prodotti necessari per radersi.")</f>
        <v>Cinque prodotti sono allineati su un tavolo, illustrando i prodotti necessari per radersi.</v>
      </c>
    </row>
    <row r="30878">
      <c r="A30878" s="4" t="s">
        <v>38883</v>
      </c>
      <c r="B30878" s="4" t="s">
        <v>38885</v>
      </c>
      <c r="C30878" s="5" t="str">
        <f>IFERROR(__xludf.DUMMYFUNCTION("GOOGLETRANSLATE(B30878,""en"",""it"")"),"Un giovane maschio bianco entra nel bagno, gira sull'acqua e inizia a strofinarti la barba.")</f>
        <v>Un giovane maschio bianco entra nel bagno, gira sull'acqua e inizia a strofinarti la barba.</v>
      </c>
    </row>
    <row r="30879">
      <c r="A30879" s="4" t="s">
        <v>38883</v>
      </c>
      <c r="B30879" s="6" t="s">
        <v>38886</v>
      </c>
      <c r="C30879" s="5" t="str">
        <f>IFERROR(__xludf.DUMMYFUNCTION("GOOGLETRANSLATE(B30879,""en"",""it"")"),"Viene mostrata una serie di diverse forme del prodotto e quindi l'uomo prepara la sua pelle con olio e la mette intorno alla barba.")</f>
        <v>Viene mostrata una serie di diverse forme del prodotto e quindi l'uomo prepara la sua pelle con olio e la mette intorno alla barba.</v>
      </c>
    </row>
    <row r="30880">
      <c r="A30880" s="4" t="s">
        <v>38883</v>
      </c>
      <c r="B30880" s="4" t="s">
        <v>38887</v>
      </c>
      <c r="C30880" s="5" t="str">
        <f>IFERROR(__xludf.DUMMYFUNCTION("GOOGLETRANSLATE(B30880,""en"",""it"")"),"Poi arriva il pennello e aggiunge un po 'di crema bianca per fare a più i capelli.")</f>
        <v>Poi arriva il pennello e aggiunge un po 'di crema bianca per fare a più i capelli.</v>
      </c>
    </row>
    <row r="30881">
      <c r="A30881" s="4" t="s">
        <v>38883</v>
      </c>
      <c r="B30881" s="4" t="s">
        <v>38888</v>
      </c>
      <c r="C30881" s="5" t="str">
        <f>IFERROR(__xludf.DUMMYFUNCTION("GOOGLETRANSLATE(B30881,""en"",""it"")"),"Infine, è il momento di radersi e la barba viene abbattuta completamente.")</f>
        <v>Infine, è il momento di radersi e la barba viene abbattuta completamente.</v>
      </c>
    </row>
    <row r="30882">
      <c r="A30882" s="4" t="s">
        <v>38883</v>
      </c>
      <c r="B30882" s="4" t="s">
        <v>38889</v>
      </c>
      <c r="C30882" s="5" t="str">
        <f>IFERROR(__xludf.DUMMYFUNCTION("GOOGLETRANSLATE(B30882,""en"",""it"")"),"Per gli ultimi ritocchi, viene aggiunta la lozione e l'uomo è ora vestito con un abito pronto per partire.")</f>
        <v>Per gli ultimi ritocchi, viene aggiunta la lozione e l'uomo è ora vestito con un abito pronto per partire.</v>
      </c>
    </row>
    <row r="30883">
      <c r="A30883" s="4" t="s">
        <v>38890</v>
      </c>
      <c r="B30883" s="4" t="s">
        <v>38891</v>
      </c>
      <c r="C30883" s="5" t="str">
        <f>IFERROR(__xludf.DUMMYFUNCTION("GOOGLETRANSLATE(B30883,""en"",""it"")"),"Si vede un uomo che indossa un cappello che parla alla telecamera e regge vari prodotti per la pulizia.")</f>
        <v>Si vede un uomo che indossa un cappello che parla alla telecamera e regge vari prodotti per la pulizia.</v>
      </c>
    </row>
    <row r="30884">
      <c r="A30884" s="4" t="s">
        <v>38890</v>
      </c>
      <c r="B30884" s="4" t="s">
        <v>38892</v>
      </c>
      <c r="C30884" s="5" t="str">
        <f>IFERROR(__xludf.DUMMYFUNCTION("GOOGLETRANSLATE(B30884,""en"",""it"")"),"Quindi solleva una bottiglia e uno straccio e inizia a pulire una porta di classe.")</f>
        <v>Quindi solleva una bottiglia e uno straccio e inizia a pulire una porta di classe.</v>
      </c>
    </row>
    <row r="30885">
      <c r="A30885" s="4" t="s">
        <v>38890</v>
      </c>
      <c r="B30885" s="4" t="s">
        <v>38893</v>
      </c>
      <c r="C30885" s="5" t="str">
        <f>IFERROR(__xludf.DUMMYFUNCTION("GOOGLETRANSLATE(B30885,""en"",""it"")"),"Continua a pulire una porta e parlando alla telecamera.")</f>
        <v>Continua a pulire una porta e parlando alla telecamera.</v>
      </c>
    </row>
    <row r="30886">
      <c r="A30886" s="4" t="s">
        <v>38894</v>
      </c>
      <c r="B30886" s="4" t="s">
        <v>38895</v>
      </c>
      <c r="C30886" s="5" t="str">
        <f>IFERROR(__xludf.DUMMYFUNCTION("GOOGLETRANSLATE(B30886,""en"",""it"")"),"Un uomo sta parlando con la telecamera mentre stipula i capelli di una donna.")</f>
        <v>Un uomo sta parlando con la telecamera mentre stipula i capelli di una donna.</v>
      </c>
    </row>
    <row r="30887">
      <c r="A30887" s="4" t="s">
        <v>38894</v>
      </c>
      <c r="B30887" s="4" t="s">
        <v>38896</v>
      </c>
      <c r="C30887" s="5" t="str">
        <f>IFERROR(__xludf.DUMMYFUNCTION("GOOGLETRANSLATE(B30887,""en"",""it"")"),"L'uomo mostra vari prodotti per la cura dei capelli.")</f>
        <v>L'uomo mostra vari prodotti per la cura dei capelli.</v>
      </c>
    </row>
    <row r="30888">
      <c r="A30888" s="4" t="s">
        <v>38894</v>
      </c>
      <c r="B30888" s="4" t="s">
        <v>38897</v>
      </c>
      <c r="C30888" s="5" t="str">
        <f>IFERROR(__xludf.DUMMYFUNCTION("GOOGLETRANSLATE(B30888,""en"",""it"")"),"L'uomo sta asciugando i capelli della donna con un asciugacapelli.")</f>
        <v>L'uomo sta asciugando i capelli della donna con un asciugacapelli.</v>
      </c>
    </row>
    <row r="30889">
      <c r="A30889" s="4" t="s">
        <v>38894</v>
      </c>
      <c r="B30889" s="4" t="s">
        <v>38898</v>
      </c>
      <c r="C30889" s="5" t="str">
        <f>IFERROR(__xludf.DUMMYFUNCTION("GOOGLETRANSLATE(B30889,""en"",""it"")"),"L'uomo mostra una spazzola per capelli.")</f>
        <v>L'uomo mostra una spazzola per capelli.</v>
      </c>
    </row>
    <row r="30890">
      <c r="A30890" s="4" t="s">
        <v>38894</v>
      </c>
      <c r="B30890" s="4" t="s">
        <v>38899</v>
      </c>
      <c r="C30890" s="5" t="str">
        <f>IFERROR(__xludf.DUMMYFUNCTION("GOOGLETRANSLATE(B30890,""en"",""it"")"),"L'uomo consegna alla donna il pennello e l'asciugacapelli.")</f>
        <v>L'uomo consegna alla donna il pennello e l'asciugacapelli.</v>
      </c>
    </row>
    <row r="30891">
      <c r="A30891" s="4" t="s">
        <v>38894</v>
      </c>
      <c r="B30891" s="4" t="s">
        <v>38900</v>
      </c>
      <c r="C30891" s="5" t="str">
        <f>IFERROR(__xludf.DUMMYFUNCTION("GOOGLETRANSLATE(B30891,""en"",""it"")"),"La donna procede ad asciugarsi i capelli.")</f>
        <v>La donna procede ad asciugarsi i capelli.</v>
      </c>
    </row>
    <row r="30892">
      <c r="A30892" s="4" t="s">
        <v>38894</v>
      </c>
      <c r="B30892" s="4" t="s">
        <v>38901</v>
      </c>
      <c r="C30892" s="5" t="str">
        <f>IFERROR(__xludf.DUMMYFUNCTION("GOOGLETRANSLATE(B30892,""en"",""it"")"),"L'uomo riprende soffia asciugando i capelli della donna.")</f>
        <v>L'uomo riprende soffia asciugando i capelli della donna.</v>
      </c>
    </row>
    <row r="30893">
      <c r="A30893" s="4" t="s">
        <v>38894</v>
      </c>
      <c r="B30893" s="4" t="s">
        <v>38902</v>
      </c>
      <c r="C30893" s="5" t="str">
        <f>IFERROR(__xludf.DUMMYFUNCTION("GOOGLETRANSLATE(B30893,""en"",""it"")"),"L'uomo spruzza i capelli della donna con la capelli.")</f>
        <v>L'uomo spruzza i capelli della donna con la capelli.</v>
      </c>
    </row>
    <row r="30894">
      <c r="A30894" s="4" t="s">
        <v>38894</v>
      </c>
      <c r="B30894" s="4" t="s">
        <v>38903</v>
      </c>
      <c r="C30894" s="5" t="str">
        <f>IFERROR(__xludf.DUMMYFUNCTION("GOOGLETRANSLATE(B30894,""en"",""it"")"),"Viene mostrata una fila di prodotti per la cura dei capelli.")</f>
        <v>Viene mostrata una fila di prodotti per la cura dei capelli.</v>
      </c>
    </row>
    <row r="30895">
      <c r="A30895" s="4" t="s">
        <v>38894</v>
      </c>
      <c r="B30895" s="4" t="s">
        <v>38904</v>
      </c>
      <c r="C30895" s="5" t="str">
        <f>IFERROR(__xludf.DUMMYFUNCTION("GOOGLETRANSLATE(B30895,""en"",""it"")"),"Viene mostrato un logo per i prodotti per la cura dei capelli.")</f>
        <v>Viene mostrato un logo per i prodotti per la cura dei capelli.</v>
      </c>
    </row>
    <row r="30896">
      <c r="A30896" s="4" t="s">
        <v>38905</v>
      </c>
      <c r="B30896" s="4" t="s">
        <v>38906</v>
      </c>
      <c r="C30896" s="5" t="str">
        <f>IFERROR(__xludf.DUMMYFUNCTION("GOOGLETRANSLATE(B30896,""en"",""it"")"),"Un gruppo di persone si trova nel cortile di una casa, giocando a crocchetta.")</f>
        <v>Un gruppo di persone si trova nel cortile di una casa, giocando a crocchetta.</v>
      </c>
    </row>
    <row r="30897">
      <c r="A30897" s="4" t="s">
        <v>38905</v>
      </c>
      <c r="B30897" s="4" t="s">
        <v>38907</v>
      </c>
      <c r="C30897" s="5" t="str">
        <f>IFERROR(__xludf.DUMMYFUNCTION("GOOGLETRANSLATE(B30897,""en"",""it"")"),"Una donna usa il martello per colpire la palla, poi altri si uniscono.")</f>
        <v>Una donna usa il martello per colpire la palla, poi altri si uniscono.</v>
      </c>
    </row>
    <row r="30898">
      <c r="A30898" s="4" t="s">
        <v>38905</v>
      </c>
      <c r="B30898" s="6" t="s">
        <v>38908</v>
      </c>
      <c r="C30898" s="5" t="str">
        <f>IFERROR(__xludf.DUMMYFUNCTION("GOOGLETRANSLATE(B30898,""en"",""it"")"),"Un uomo che tiene una mazza e una palla parla del processo di come giocare, giocare e colpire la palla e lo spiega.")</f>
        <v>Un uomo che tiene una mazza e una palla parla del processo di come giocare, giocare e colpire la palla e lo spiega.</v>
      </c>
    </row>
    <row r="30899">
      <c r="A30899" s="4" t="s">
        <v>38905</v>
      </c>
      <c r="B30899" s="4" t="s">
        <v>38909</v>
      </c>
      <c r="C30899" s="5" t="str">
        <f>IFERROR(__xludf.DUMMYFUNCTION("GOOGLETRANSLATE(B30899,""en"",""it"")"),"Quindi mette le braccia ai fianchi.")</f>
        <v>Quindi mette le braccia ai fianchi.</v>
      </c>
    </row>
    <row r="30900">
      <c r="A30900" s="4" t="s">
        <v>38910</v>
      </c>
      <c r="B30900" s="6" t="s">
        <v>38911</v>
      </c>
      <c r="C30900" s="5" t="str">
        <f>IFERROR(__xludf.DUMMYFUNCTION("GOOGLETRANSLATE(B30900,""en"",""it"")"),"È formato un cerchio di diversi bambini che parlano e si sbattono a vicenda in testa con mazze di schiuma.")</f>
        <v>È formato un cerchio di diversi bambini che parlano e si sbattono a vicenda in testa con mazze di schiuma.</v>
      </c>
    </row>
    <row r="30901">
      <c r="A30901" s="4" t="s">
        <v>38910</v>
      </c>
      <c r="B30901" s="4" t="s">
        <v>38912</v>
      </c>
      <c r="C30901" s="5" t="str">
        <f>IFERROR(__xludf.DUMMYFUNCTION("GOOGLETRANSLATE(B30901,""en"",""it"")"),"Le altre persone ridono mentre guardano.")</f>
        <v>Le altre persone ridono mentre guardano.</v>
      </c>
    </row>
    <row r="30902">
      <c r="A30902" s="4" t="s">
        <v>38913</v>
      </c>
      <c r="B30902" s="4" t="s">
        <v>38914</v>
      </c>
      <c r="C30902" s="5" t="str">
        <f>IFERROR(__xludf.DUMMYFUNCTION("GOOGLETRANSLATE(B30902,""en"",""it"")"),"Vediamo una traccia con le persone in piedi.")</f>
        <v>Vediamo una traccia con le persone in piedi.</v>
      </c>
    </row>
    <row r="30903">
      <c r="A30903" s="4" t="s">
        <v>38913</v>
      </c>
      <c r="B30903" s="4" t="s">
        <v>38915</v>
      </c>
      <c r="C30903" s="5" t="str">
        <f>IFERROR(__xludf.DUMMYFUNCTION("GOOGLETRANSLATE(B30903,""en"",""it"")"),"Vediamo un uomo con una corsa al giavellotto.")</f>
        <v>Vediamo un uomo con una corsa al giavellotto.</v>
      </c>
    </row>
    <row r="30904">
      <c r="A30904" s="4" t="s">
        <v>38913</v>
      </c>
      <c r="B30904" s="4" t="s">
        <v>38916</v>
      </c>
      <c r="C30904" s="5" t="str">
        <f>IFERROR(__xludf.DUMMYFUNCTION("GOOGLETRANSLATE(B30904,""en"",""it"")"),"L'uomo torna e vediamo un altro lanciatore di giavellotto con lui.")</f>
        <v>L'uomo torna e vediamo un altro lanciatore di giavellotto con lui.</v>
      </c>
    </row>
    <row r="30905">
      <c r="A30905" s="4" t="s">
        <v>38913</v>
      </c>
      <c r="B30905" s="4" t="s">
        <v>38917</v>
      </c>
      <c r="C30905" s="5" t="str">
        <f>IFERROR(__xludf.DUMMYFUNCTION("GOOGLETRANSLATE(B30905,""en"",""it"")"),"Un uomo in rosso e bianco corre lungo una pista ed esegue un salto in alto.")</f>
        <v>Un uomo in rosso e bianco corre lungo una pista ed esegue un salto in alto.</v>
      </c>
    </row>
    <row r="30906">
      <c r="A30906" s="4" t="s">
        <v>38913</v>
      </c>
      <c r="B30906" s="4" t="s">
        <v>38918</v>
      </c>
      <c r="C30906" s="5" t="str">
        <f>IFERROR(__xludf.DUMMYFUNCTION("GOOGLETRANSLATE(B30906,""en"",""it"")"),"La fotocamera è abbassata e coperta da una mano.")</f>
        <v>La fotocamera è abbassata e coperta da una mano.</v>
      </c>
    </row>
    <row r="30907">
      <c r="A30907" s="4" t="s">
        <v>38919</v>
      </c>
      <c r="B30907" s="4" t="s">
        <v>38920</v>
      </c>
      <c r="C30907" s="5" t="str">
        <f>IFERROR(__xludf.DUMMYFUNCTION("GOOGLETRANSLATE(B30907,""en"",""it"")"),"Un uomo viene mostrato a fare un salto al rallentatore su una traccia più volte indietro.")</f>
        <v>Un uomo viene mostrato a fare un salto al rallentatore su una traccia più volte indietro.</v>
      </c>
    </row>
    <row r="30908">
      <c r="A30908" s="4" t="s">
        <v>38919</v>
      </c>
      <c r="B30908" s="6" t="s">
        <v>38921</v>
      </c>
      <c r="C30908" s="5" t="str">
        <f>IFERROR(__xludf.DUMMYFUNCTION("GOOGLETRANSLATE(B30908,""en"",""it"")"),"La fotocamera mostra diversi angoli dell'atleta che salta in linea e nella fossa sulla sabbia.")</f>
        <v>La fotocamera mostra diversi angoli dell'atleta che salta in linea e nella fossa sulla sabbia.</v>
      </c>
    </row>
    <row r="30909">
      <c r="A30909" s="4" t="s">
        <v>38919</v>
      </c>
      <c r="B30909" s="4" t="s">
        <v>38922</v>
      </c>
      <c r="C30909" s="5" t="str">
        <f>IFERROR(__xludf.DUMMYFUNCTION("GOOGLETRANSLATE(B30909,""en"",""it"")"),"Esegui diversi salti in lungo dorso e mostra la sua distanza acquisita.")</f>
        <v>Esegui diversi salti in lungo dorso e mostra la sua distanza acquisita.</v>
      </c>
    </row>
    <row r="30910">
      <c r="A30910" s="4" t="s">
        <v>38923</v>
      </c>
      <c r="B30910" s="4" t="s">
        <v>38924</v>
      </c>
      <c r="C30910" s="5" t="str">
        <f>IFERROR(__xludf.DUMMYFUNCTION("GOOGLETRANSLATE(B30910,""en"",""it"")"),"Una ragazza sta accendendo una sigaretta e soffia fumo.")</f>
        <v>Una ragazza sta accendendo una sigaretta e soffia fumo.</v>
      </c>
    </row>
    <row r="30911">
      <c r="A30911" s="4" t="s">
        <v>38923</v>
      </c>
      <c r="B30911" s="4" t="s">
        <v>38925</v>
      </c>
      <c r="C30911" s="5" t="str">
        <f>IFERROR(__xludf.DUMMYFUNCTION("GOOGLETRANSLATE(B30911,""en"",""it"")"),"Viene in vista un braccio e la ragazza lo odora.")</f>
        <v>Viene in vista un braccio e la ragazza lo odora.</v>
      </c>
    </row>
    <row r="30912">
      <c r="A30912" s="4" t="s">
        <v>38923</v>
      </c>
      <c r="B30912" s="4" t="s">
        <v>38926</v>
      </c>
      <c r="C30912" s="5" t="str">
        <f>IFERROR(__xludf.DUMMYFUNCTION("GOOGLETRANSLATE(B30912,""en"",""it"")"),"Fuma di più e soffia fuma mentre gioca con i capelli.")</f>
        <v>Fuma di più e soffia fuma mentre gioca con i capelli.</v>
      </c>
    </row>
    <row r="30913">
      <c r="A30913" s="4" t="s">
        <v>38923</v>
      </c>
      <c r="B30913" s="4" t="s">
        <v>38927</v>
      </c>
      <c r="C30913" s="5" t="str">
        <f>IFERROR(__xludf.DUMMYFUNCTION("GOOGLETRANSLATE(B30913,""en"",""it"")"),"Sta dicendo qualcosa alla telecamera mentre fuma.")</f>
        <v>Sta dicendo qualcosa alla telecamera mentre fuma.</v>
      </c>
    </row>
    <row r="30914">
      <c r="A30914" s="4" t="s">
        <v>38923</v>
      </c>
      <c r="B30914" s="4" t="s">
        <v>38928</v>
      </c>
      <c r="C30914" s="5" t="str">
        <f>IFERROR(__xludf.DUMMYFUNCTION("GOOGLETRANSLATE(B30914,""en"",""it"")"),"Lei batte le ceneri e continua a fumare.")</f>
        <v>Lei batte le ceneri e continua a fumare.</v>
      </c>
    </row>
    <row r="30915">
      <c r="A30915" s="4" t="s">
        <v>38923</v>
      </c>
      <c r="B30915" s="4" t="s">
        <v>38929</v>
      </c>
      <c r="C30915" s="5" t="str">
        <f>IFERROR(__xludf.DUMMYFUNCTION("GOOGLETRANSLATE(B30915,""en"",""it"")"),"Si gira e poi torna al fumo.")</f>
        <v>Si gira e poi torna al fumo.</v>
      </c>
    </row>
    <row r="30916">
      <c r="A30916" s="4" t="s">
        <v>38923</v>
      </c>
      <c r="B30916" s="4" t="s">
        <v>38930</v>
      </c>
      <c r="C30916" s="5" t="str">
        <f>IFERROR(__xludf.DUMMYFUNCTION("GOOGLETRANSLATE(B30916,""en"",""it"")"),"Lei tira fuori la lingua.")</f>
        <v>Lei tira fuori la lingua.</v>
      </c>
    </row>
    <row r="30917">
      <c r="A30917" s="4" t="s">
        <v>38923</v>
      </c>
      <c r="B30917" s="4" t="s">
        <v>38931</v>
      </c>
      <c r="C30917" s="5" t="str">
        <f>IFERROR(__xludf.DUMMYFUNCTION("GOOGLETRANSLATE(B30917,""en"",""it"")"),"Si unisce a una foto di una donna dall'aspetto pazzo e cerca di imitarla.")</f>
        <v>Si unisce a una foto di una donna dall'aspetto pazzo e cerca di imitarla.</v>
      </c>
    </row>
    <row r="30918">
      <c r="A30918" s="4" t="s">
        <v>38923</v>
      </c>
      <c r="B30918" s="4" t="s">
        <v>38932</v>
      </c>
      <c r="C30918" s="5" t="str">
        <f>IFERROR(__xludf.DUMMYFUNCTION("GOOGLETRANSLATE(B30918,""en"",""it"")"),"Continua a fumare e parlare con la telecamera.")</f>
        <v>Continua a fumare e parlare con la telecamera.</v>
      </c>
    </row>
    <row r="30919">
      <c r="A30919" s="4" t="s">
        <v>38923</v>
      </c>
      <c r="B30919" s="4" t="s">
        <v>38933</v>
      </c>
      <c r="C30919" s="5" t="str">
        <f>IFERROR(__xludf.DUMMYFUNCTION("GOOGLETRANSLATE(B30919,""en"",""it"")"),"Fa facce alla telecamera.")</f>
        <v>Fa facce alla telecamera.</v>
      </c>
    </row>
    <row r="30920">
      <c r="A30920" s="4" t="s">
        <v>38923</v>
      </c>
      <c r="B30920" s="4" t="s">
        <v>38934</v>
      </c>
      <c r="C30920" s="5" t="str">
        <f>IFERROR(__xludf.DUMMYFUNCTION("GOOGLETRANSLATE(B30920,""en"",""it"")"),"Si avvicina alla telecamera mentre qualcuno le cammina dietro.")</f>
        <v>Si avvicina alla telecamera mentre qualcuno le cammina dietro.</v>
      </c>
    </row>
    <row r="30921">
      <c r="A30921" s="4" t="s">
        <v>38935</v>
      </c>
      <c r="B30921" s="6" t="s">
        <v>38936</v>
      </c>
      <c r="C30921" s="5" t="str">
        <f>IFERROR(__xludf.DUMMYFUNCTION("GOOGLETRANSLATE(B30921,""en"",""it"")"),"Si vedono le mani di una persona che lavorano sulla testa di un essere umano e mettono pezzi di capelli nella testa.")</f>
        <v>Si vedono le mani di una persona che lavorano sulla testa di un essere umano e mettono pezzi di capelli nella testa.</v>
      </c>
    </row>
    <row r="30922">
      <c r="A30922" s="4" t="s">
        <v>38935</v>
      </c>
      <c r="B30922" s="6" t="s">
        <v>38937</v>
      </c>
      <c r="C30922" s="5" t="str">
        <f>IFERROR(__xludf.DUMMYFUNCTION("GOOGLETRANSLATE(B30922,""en"",""it"")"),"La persona lega i capelli in diverse trecce e poi passa in immagini dei capelli in un updo.")</f>
        <v>La persona lega i capelli in diverse trecce e poi passa in immagini dei capelli in un updo.</v>
      </c>
    </row>
    <row r="30923">
      <c r="A30923" s="4" t="s">
        <v>38938</v>
      </c>
      <c r="B30923" s="4" t="s">
        <v>38939</v>
      </c>
      <c r="C30923" s="5" t="str">
        <f>IFERROR(__xludf.DUMMYFUNCTION("GOOGLETRANSLATE(B30923,""en"",""it"")"),"Una donna fa i cerchi di hula fuori e poi al buio alternanza.")</f>
        <v>Una donna fa i cerchi di hula fuori e poi al buio alternanza.</v>
      </c>
    </row>
    <row r="30924">
      <c r="A30924" s="4" t="s">
        <v>38938</v>
      </c>
      <c r="B30924" s="4" t="s">
        <v>38940</v>
      </c>
      <c r="C30924" s="5" t="str">
        <f>IFERROR(__xludf.DUMMYFUNCTION("GOOGLETRANSLATE(B30924,""en"",""it"")"),"Un uomo prende un cerchio di hula e lo descrive prima di tagliare la donna.")</f>
        <v>Un uomo prende un cerchio di hula e lo descrive prima di tagliare la donna.</v>
      </c>
    </row>
    <row r="30925">
      <c r="A30925" s="4" t="s">
        <v>38941</v>
      </c>
      <c r="B30925" s="4" t="s">
        <v>38942</v>
      </c>
      <c r="C30925" s="5" t="str">
        <f>IFERROR(__xludf.DUMMYFUNCTION("GOOGLETRANSLATE(B30925,""en"",""it"")"),"Un uomo viene visto piegarsi su un blocco di legno e levigare il proprio.")</f>
        <v>Un uomo viene visto piegarsi su un blocco di legno e levigare il proprio.</v>
      </c>
    </row>
    <row r="30926">
      <c r="A30926" s="4" t="s">
        <v>38941</v>
      </c>
      <c r="B30926" s="4" t="s">
        <v>38943</v>
      </c>
      <c r="C30926" s="5" t="str">
        <f>IFERROR(__xludf.DUMMYFUNCTION("GOOGLETRANSLATE(B30926,""en"",""it"")"),"Versa più liquidi davanti a un gruppo di persone e lo strofina lungo tutto il blocco di legno.")</f>
        <v>Versa più liquidi davanti a un gruppo di persone e lo strofina lungo tutto il blocco di legno.</v>
      </c>
    </row>
    <row r="30927">
      <c r="A30927" s="4" t="s">
        <v>38941</v>
      </c>
      <c r="B30927" s="4" t="s">
        <v>38944</v>
      </c>
      <c r="C30927" s="5" t="str">
        <f>IFERROR(__xludf.DUMMYFUNCTION("GOOGLETRANSLATE(B30927,""en"",""it"")"),"Continua a strofinarlo mentre le persone a margine d'oro.")</f>
        <v>Continua a strofinarlo mentre le persone a margine d'oro.</v>
      </c>
    </row>
    <row r="30928">
      <c r="A30928" s="4" t="s">
        <v>38945</v>
      </c>
      <c r="B30928" s="4" t="s">
        <v>38946</v>
      </c>
      <c r="C30928" s="5" t="str">
        <f>IFERROR(__xludf.DUMMYFUNCTION("GOOGLETRANSLATE(B30928,""en"",""it"")"),"Viene mostrato un primo piano di un albero di Natale seguito da un bambino che appese ornamenti.")</f>
        <v>Viene mostrato un primo piano di un albero di Natale seguito da un bambino che appese ornamenti.</v>
      </c>
    </row>
    <row r="30929">
      <c r="A30929" s="4" t="s">
        <v>38945</v>
      </c>
      <c r="B30929" s="4" t="s">
        <v>38947</v>
      </c>
      <c r="C30929" s="5" t="str">
        <f>IFERROR(__xludf.DUMMYFUNCTION("GOOGLETRANSLATE(B30929,""en"",""it"")"),"La ragazza torna indietro e la quarta sospensione di ornamenti su un albero.")</f>
        <v>La ragazza torna indietro e la quarta sospensione di ornamenti su un albero.</v>
      </c>
    </row>
    <row r="30930">
      <c r="A30930" s="4" t="s">
        <v>38945</v>
      </c>
      <c r="B30930" s="4" t="s">
        <v>38948</v>
      </c>
      <c r="C30930" s="5" t="str">
        <f>IFERROR(__xludf.DUMMYFUNCTION("GOOGLETRANSLATE(B30930,""en"",""it"")"),"La ragazza continua a appendere ornamenti mentre la telecamera cattura i suoi movimenti.")</f>
        <v>La ragazza continua a appendere ornamenti mentre la telecamera cattura i suoi movimenti.</v>
      </c>
    </row>
    <row r="30931">
      <c r="A30931" s="4" t="s">
        <v>38949</v>
      </c>
      <c r="B30931" s="4" t="s">
        <v>38950</v>
      </c>
      <c r="C30931" s="5" t="str">
        <f>IFERROR(__xludf.DUMMYFUNCTION("GOOGLETRANSLATE(B30931,""en"",""it"")"),"Un uomo sbuccia una patata mentre è bendato e due bambine guardano.")</f>
        <v>Un uomo sbuccia una patata mentre è bendato e due bambine guardano.</v>
      </c>
    </row>
    <row r="30932">
      <c r="A30932" s="4" t="s">
        <v>38949</v>
      </c>
      <c r="B30932" s="4" t="s">
        <v>38951</v>
      </c>
      <c r="C30932" s="5" t="str">
        <f>IFERROR(__xludf.DUMMYFUNCTION("GOOGLETRANSLATE(B30932,""en"",""it"")"),"L'uomo finisce e solleva la patata alla telecamera.")</f>
        <v>L'uomo finisce e solleva la patata alla telecamera.</v>
      </c>
    </row>
    <row r="30933">
      <c r="A30933" s="4" t="s">
        <v>38949</v>
      </c>
      <c r="B30933" s="4" t="s">
        <v>38952</v>
      </c>
      <c r="C30933" s="5" t="str">
        <f>IFERROR(__xludf.DUMMYFUNCTION("GOOGLETRANSLATE(B30933,""en"",""it"")"),"L'uomo prende una buccia dal tavolo.")</f>
        <v>L'uomo prende una buccia dal tavolo.</v>
      </c>
    </row>
    <row r="30934">
      <c r="A30934" s="4" t="s">
        <v>38949</v>
      </c>
      <c r="B30934" s="4" t="s">
        <v>38953</v>
      </c>
      <c r="C30934" s="5" t="str">
        <f>IFERROR(__xludf.DUMMYFUNCTION("GOOGLETRANSLATE(B30934,""en"",""it"")"),"L'uomo rimuove la sua benda.")</f>
        <v>L'uomo rimuove la sua benda.</v>
      </c>
    </row>
    <row r="30935">
      <c r="A30935" s="4" t="s">
        <v>38954</v>
      </c>
      <c r="B30935" s="4" t="s">
        <v>38955</v>
      </c>
      <c r="C30935" s="5" t="str">
        <f>IFERROR(__xludf.DUMMYFUNCTION("GOOGLETRANSLATE(B30935,""en"",""it"")"),"Il video inizia con diverse persone che giocano a shuffleboard su un campo di shuffleboard.")</f>
        <v>Il video inizia con diverse persone che giocano a shuffleboard su un campo di shuffleboard.</v>
      </c>
    </row>
    <row r="30936">
      <c r="A30936" s="4" t="s">
        <v>38954</v>
      </c>
      <c r="B30936" s="4" t="s">
        <v>38956</v>
      </c>
      <c r="C30936" s="5" t="str">
        <f>IFERROR(__xludf.DUMMYFUNCTION("GOOGLETRANSLATE(B30936,""en"",""it"")"),"Una persona fa un tiro con un disco nero.")</f>
        <v>Una persona fa un tiro con un disco nero.</v>
      </c>
    </row>
    <row r="30937">
      <c r="A30937" s="4" t="s">
        <v>38954</v>
      </c>
      <c r="B30937" s="4" t="s">
        <v>38957</v>
      </c>
      <c r="C30937" s="5" t="str">
        <f>IFERROR(__xludf.DUMMYFUNCTION("GOOGLETRANSLATE(B30937,""en"",""it"")"),"La persona successiva fa un tiro con un disco giallo.")</f>
        <v>La persona successiva fa un tiro con un disco giallo.</v>
      </c>
    </row>
    <row r="30938">
      <c r="A30938" s="4" t="s">
        <v>38954</v>
      </c>
      <c r="B30938" s="4" t="s">
        <v>38958</v>
      </c>
      <c r="C30938" s="5" t="str">
        <f>IFERROR(__xludf.DUMMYFUNCTION("GOOGLETRANSLATE(B30938,""en"",""it"")"),"Le persone continuano a alternare colpi tra un disco giallo e nero.")</f>
        <v>Le persone continuano a alternare colpi tra un disco giallo e nero.</v>
      </c>
    </row>
    <row r="30939">
      <c r="A30939" s="4" t="s">
        <v>38959</v>
      </c>
      <c r="B30939" s="4" t="s">
        <v>38960</v>
      </c>
      <c r="C30939" s="5" t="str">
        <f>IFERROR(__xludf.DUMMYFUNCTION("GOOGLETRANSLATE(B30939,""en"",""it"")"),"Un uomo anziano è seduto nel soggiorno.")</f>
        <v>Un uomo anziano è seduto nel soggiorno.</v>
      </c>
    </row>
    <row r="30940">
      <c r="A30940" s="4" t="s">
        <v>38959</v>
      </c>
      <c r="B30940" s="4" t="s">
        <v>38961</v>
      </c>
      <c r="C30940" s="5" t="str">
        <f>IFERROR(__xludf.DUMMYFUNCTION("GOOGLETRANSLATE(B30940,""en"",""it"")"),"Sta suonando un Accordo.")</f>
        <v>Sta suonando un Accordo.</v>
      </c>
    </row>
    <row r="30941">
      <c r="A30941" s="4" t="s">
        <v>38959</v>
      </c>
      <c r="B30941" s="4" t="s">
        <v>38962</v>
      </c>
      <c r="C30941" s="5" t="str">
        <f>IFERROR(__xludf.DUMMYFUNCTION("GOOGLETRANSLATE(B30941,""en"",""it"")"),"Continua a suonare l'accordo per la telecamera.")</f>
        <v>Continua a suonare l'accordo per la telecamera.</v>
      </c>
    </row>
    <row r="30942">
      <c r="A30942" s="4" t="s">
        <v>38963</v>
      </c>
      <c r="B30942" s="4" t="s">
        <v>38964</v>
      </c>
      <c r="C30942" s="5" t="str">
        <f>IFERROR(__xludf.DUMMYFUNCTION("GOOGLETRANSLATE(B30942,""en"",""it"")"),"Una donna suona una chitarra acustica.")</f>
        <v>Una donna suona una chitarra acustica.</v>
      </c>
    </row>
    <row r="30943">
      <c r="A30943" s="4" t="s">
        <v>38963</v>
      </c>
      <c r="B30943" s="4" t="s">
        <v>38965</v>
      </c>
      <c r="C30943" s="5" t="str">
        <f>IFERROR(__xludf.DUMMYFUNCTION("GOOGLETRANSLATE(B30943,""en"",""it"")"),"Una donna in piedi accanto a lei sta ballando e girando un testimone.")</f>
        <v>Una donna in piedi accanto a lei sta ballando e girando un testimone.</v>
      </c>
    </row>
    <row r="30944">
      <c r="A30944" s="4" t="s">
        <v>38963</v>
      </c>
      <c r="B30944" s="4" t="s">
        <v>14926</v>
      </c>
      <c r="C30944" s="5" t="str">
        <f>IFERROR(__xludf.DUMMYFUNCTION("GOOGLETRANSLATE(B30944,""en"",""it"")"),"Le parole vengono quindi mostrate sullo schermo.")</f>
        <v>Le parole vengono quindi mostrate sullo schermo.</v>
      </c>
    </row>
    <row r="30945">
      <c r="A30945" s="4" t="s">
        <v>38966</v>
      </c>
      <c r="B30945" s="4" t="s">
        <v>38967</v>
      </c>
      <c r="C30945" s="5" t="str">
        <f>IFERROR(__xludf.DUMMYFUNCTION("GOOGLETRANSLATE(B30945,""en"",""it"")"),"Una persona viene mostrata guardando intorno a una città e inizia a lavare le finestre con i suoi strumenti.")</f>
        <v>Una persona viene mostrata guardando intorno a una città e inizia a lavare le finestre con i suoi strumenti.</v>
      </c>
    </row>
    <row r="30946">
      <c r="A30946" s="4" t="s">
        <v>38966</v>
      </c>
      <c r="B30946" s="6" t="s">
        <v>38968</v>
      </c>
      <c r="C30946" s="5" t="str">
        <f>IFERROR(__xludf.DUMMYFUNCTION("GOOGLETRANSLATE(B30946,""en"",""it"")"),"Si supera su e giù dalle finestre a un ritmo rapido e continua a girare attraverso il vetro.")</f>
        <v>Si supera su e giù dalle finestre a un ritmo rapido e continua a girare attraverso il vetro.</v>
      </c>
    </row>
    <row r="30947">
      <c r="A30947" s="4" t="s">
        <v>38966</v>
      </c>
      <c r="B30947" s="4" t="s">
        <v>38969</v>
      </c>
      <c r="C30947" s="5" t="str">
        <f>IFERROR(__xludf.DUMMYFUNCTION("GOOGLETRANSLATE(B30947,""en"",""it"")"),"Finisce il vetro a tempo di record e spegne la fotocamera.")</f>
        <v>Finisce il vetro a tempo di record e spegne la fotocamera.</v>
      </c>
    </row>
    <row r="30948">
      <c r="A30948" s="4" t="s">
        <v>38970</v>
      </c>
      <c r="B30948" s="4" t="s">
        <v>38971</v>
      </c>
      <c r="C30948" s="5" t="str">
        <f>IFERROR(__xludf.DUMMYFUNCTION("GOOGLETRANSLATE(B30948,""en"",""it"")"),"Un uomo sta spiegando a un altro uomo come usare una macchina a vogatura.")</f>
        <v>Un uomo sta spiegando a un altro uomo come usare una macchina a vogatura.</v>
      </c>
    </row>
    <row r="30949">
      <c r="A30949" s="4" t="s">
        <v>38970</v>
      </c>
      <c r="B30949" s="4" t="s">
        <v>38972</v>
      </c>
      <c r="C30949" s="5" t="str">
        <f>IFERROR(__xludf.DUMMYFUNCTION("GOOGLETRANSLATE(B30949,""en"",""it"")"),"Uno dei principali inizia a remare sulla macchina di canottaggio davanti all'altro.")</f>
        <v>Uno dei principali inizia a remare sulla macchina di canottaggio davanti all'altro.</v>
      </c>
    </row>
    <row r="30950">
      <c r="A30950" s="4" t="s">
        <v>38970</v>
      </c>
      <c r="B30950" s="4" t="s">
        <v>38973</v>
      </c>
      <c r="C30950" s="5" t="str">
        <f>IFERROR(__xludf.DUMMYFUNCTION("GOOGLETRANSLATE(B30950,""en"",""it"")"),"Successivamente, l'altro uomo si unisce al primo uomo e inizia a remare.")</f>
        <v>Successivamente, l'altro uomo si unisce al primo uomo e inizia a remare.</v>
      </c>
    </row>
    <row r="30951">
      <c r="A30951" s="4" t="s">
        <v>38974</v>
      </c>
      <c r="B30951" s="4" t="s">
        <v>38975</v>
      </c>
      <c r="C30951" s="5" t="str">
        <f>IFERROR(__xludf.DUMMYFUNCTION("GOOGLETRANSLATE(B30951,""en"",""it"")"),"Un uomo in pantaloncini è mostrato di fronte ad alcuni cespugli e li sta tagliando con un trimmer manuale.")</f>
        <v>Un uomo in pantaloncini è mostrato di fronte ad alcuni cespugli e li sta tagliando con un trimmer manuale.</v>
      </c>
    </row>
    <row r="30952">
      <c r="A30952" s="4" t="s">
        <v>38974</v>
      </c>
      <c r="B30952" s="4" t="s">
        <v>38976</v>
      </c>
      <c r="C30952" s="5" t="str">
        <f>IFERROR(__xludf.DUMMYFUNCTION("GOOGLETRANSLATE(B30952,""en"",""it"")"),"È molto preciso e sta andando un lavoro molto dettagliato.")</f>
        <v>È molto preciso e sta andando un lavoro molto dettagliato.</v>
      </c>
    </row>
    <row r="30953">
      <c r="A30953" s="4" t="s">
        <v>38974</v>
      </c>
      <c r="B30953" s="4" t="s">
        <v>38977</v>
      </c>
      <c r="C30953" s="5" t="str">
        <f>IFERROR(__xludf.DUMMYFUNCTION("GOOGLETRANSLATE(B30953,""en"",""it"")"),"Va su e giù per tutta la lunghezza dei cespugli e sta prestando attenzione a ogni parte di essi.")</f>
        <v>Va su e giù per tutta la lunghezza dei cespugli e sta prestando attenzione a ogni parte di essi.</v>
      </c>
    </row>
    <row r="30954">
      <c r="A30954" s="4" t="s">
        <v>38974</v>
      </c>
      <c r="B30954" s="4" t="s">
        <v>38978</v>
      </c>
      <c r="C30954" s="5" t="str">
        <f>IFERROR(__xludf.DUMMYFUNCTION("GOOGLETRANSLATE(B30954,""en"",""it"")"),"Quindi si muove sempre più in alto ottenendo la cima del cespuglio.")</f>
        <v>Quindi si muove sempre più in alto ottenendo la cima del cespuglio.</v>
      </c>
    </row>
    <row r="30955">
      <c r="A30955" s="4" t="s">
        <v>38979</v>
      </c>
      <c r="B30955" s="4" t="s">
        <v>38980</v>
      </c>
      <c r="C30955" s="5" t="str">
        <f>IFERROR(__xludf.DUMMYFUNCTION("GOOGLETRANSLATE(B30955,""en"",""it"")"),"I bambini si trovano in un parco intorno a un squarepants Bob Sponge Piñata che tira i fili.")</f>
        <v>I bambini si trovano in un parco intorno a un squarepants Bob Sponge Piñata che tira i fili.</v>
      </c>
    </row>
    <row r="30956">
      <c r="A30956" s="4" t="s">
        <v>38979</v>
      </c>
      <c r="B30956" s="4" t="s">
        <v>38981</v>
      </c>
      <c r="C30956" s="5" t="str">
        <f>IFERROR(__xludf.DUMMYFUNCTION("GOOGLETRANSLATE(B30956,""en"",""it"")"),"La donna è dietro il parco giochi con in mano una borsa e guarda i bambini.")</f>
        <v>La donna è dietro il parco giochi con in mano una borsa e guarda i bambini.</v>
      </c>
    </row>
    <row r="30957">
      <c r="A30957" s="4" t="s">
        <v>38979</v>
      </c>
      <c r="B30957" s="4" t="s">
        <v>38982</v>
      </c>
      <c r="C30957" s="5" t="str">
        <f>IFERROR(__xludf.DUMMYFUNCTION("GOOGLETRANSLATE(B30957,""en"",""it"")"),"La donna tiene la piñata mentre i bambini continuano a tirare dalla piñata.")</f>
        <v>La donna tiene la piñata mentre i bambini continuano a tirare dalla piñata.</v>
      </c>
    </row>
    <row r="30958">
      <c r="A30958" s="4" t="s">
        <v>38979</v>
      </c>
      <c r="B30958" s="4" t="s">
        <v>38983</v>
      </c>
      <c r="C30958" s="5" t="str">
        <f>IFERROR(__xludf.DUMMYFUNCTION("GOOGLETRANSLATE(B30958,""en"",""it"")"),"Kid tira il filo e opn il piñata e si inginocchia sul pavimento raccogliendo caramelle.")</f>
        <v>Kid tira il filo e opn il piñata e si inginocchia sul pavimento raccogliendo caramelle.</v>
      </c>
    </row>
    <row r="30959">
      <c r="A30959" s="4" t="s">
        <v>38984</v>
      </c>
      <c r="B30959" s="6" t="s">
        <v>38985</v>
      </c>
      <c r="C30959" s="5" t="str">
        <f>IFERROR(__xludf.DUMMYFUNCTION("GOOGLETRANSLATE(B30959,""en"",""it"")"),"Diverse persone vengono viste saltare l'uno con l'altro e da soli come altri guardano sul lato.")</f>
        <v>Diverse persone vengono viste saltare l'uno con l'altro e da soli come altri guardano sul lato.</v>
      </c>
    </row>
    <row r="30960">
      <c r="A30960" s="4" t="s">
        <v>38984</v>
      </c>
      <c r="B30960" s="6" t="s">
        <v>38986</v>
      </c>
      <c r="C30960" s="5" t="str">
        <f>IFERROR(__xludf.DUMMYFUNCTION("GOOGLETRANSLATE(B30960,""en"",""it"")"),"Le persone che eseguono diversi salti e giri con la corda del salto e i colpi che sono mostrati al rallentatore.")</f>
        <v>Le persone che eseguono diversi salti e giri con la corda del salto e i colpi che sono mostrati al rallentatore.</v>
      </c>
    </row>
    <row r="30961">
      <c r="A30961" s="4" t="s">
        <v>38987</v>
      </c>
      <c r="B30961" s="6" t="s">
        <v>38988</v>
      </c>
      <c r="C30961" s="5" t="str">
        <f>IFERROR(__xludf.DUMMYFUNCTION("GOOGLETRANSLATE(B30961,""en"",""it"")"),"Una persona seduta su una bicicletta è vista seduta prima di iniziare una pista con gli altri e conduce in lui completando una gara.")</f>
        <v>Una persona seduta su una bicicletta è vista seduta prima di iniziare una pista con gli altri e conduce in lui completando una gara.</v>
      </c>
    </row>
    <row r="30962">
      <c r="A30962" s="4" t="s">
        <v>38987</v>
      </c>
      <c r="B30962" s="6" t="s">
        <v>38989</v>
      </c>
      <c r="C30962" s="5" t="str">
        <f>IFERROR(__xludf.DUMMYFUNCTION("GOOGLETRANSLATE(B30962,""en"",""it"")"),"Vengono mostrati molti altri scatti di persone che corrono tutti insieme così come l'uomo in giro e altri che lo registrano.")</f>
        <v>Vengono mostrati molti altri scatti di persone che corrono tutti insieme così come l'uomo in giro e altri che lo registrano.</v>
      </c>
    </row>
    <row r="30963">
      <c r="A30963" s="4" t="s">
        <v>38990</v>
      </c>
      <c r="B30963" s="4" t="s">
        <v>38991</v>
      </c>
      <c r="C30963" s="5" t="str">
        <f>IFERROR(__xludf.DUMMYFUNCTION("GOOGLETRANSLATE(B30963,""en"",""it"")"),"Un surfista del vento naviga contro onde pesanti.")</f>
        <v>Un surfista del vento naviga contro onde pesanti.</v>
      </c>
    </row>
    <row r="30964">
      <c r="A30964" s="4" t="s">
        <v>38990</v>
      </c>
      <c r="B30964" s="4" t="s">
        <v>38992</v>
      </c>
      <c r="C30964" s="5" t="str">
        <f>IFERROR(__xludf.DUMMYFUNCTION("GOOGLETRANSLATE(B30964,""en"",""it"")"),"Il surfista lancia la sua tavola contro un'onda, volando in alto in aria.")</f>
        <v>Il surfista lancia la sua tavola contro un'onda, volando in alto in aria.</v>
      </c>
    </row>
    <row r="30965">
      <c r="A30965" s="4" t="s">
        <v>38990</v>
      </c>
      <c r="B30965" s="4" t="s">
        <v>38993</v>
      </c>
      <c r="C30965" s="5" t="str">
        <f>IFERROR(__xludf.DUMMYFUNCTION("GOOGLETRANSLATE(B30965,""en"",""it"")"),"Il surfista torna sulle acque e riprende il suo surf.")</f>
        <v>Il surfista torna sulle acque e riprende il suo surf.</v>
      </c>
    </row>
    <row r="30966">
      <c r="A30966" s="4" t="s">
        <v>38994</v>
      </c>
      <c r="B30966" s="4" t="s">
        <v>38995</v>
      </c>
      <c r="C30966" s="5" t="str">
        <f>IFERROR(__xludf.DUMMYFUNCTION("GOOGLETRANSLATE(B30966,""en"",""it"")"),"Una donna sta facendo kickboxing davanti a un muro a specchio.")</f>
        <v>Una donna sta facendo kickboxing davanti a un muro a specchio.</v>
      </c>
    </row>
    <row r="30967">
      <c r="A30967" s="4" t="s">
        <v>38994</v>
      </c>
      <c r="B30967" s="4" t="s">
        <v>38996</v>
      </c>
      <c r="C30967" s="5" t="str">
        <f>IFERROR(__xludf.DUMMYFUNCTION("GOOGLETRANSLATE(B30967,""en"",""it"")"),"Altò le gambe in aria.")</f>
        <v>Altò le gambe in aria.</v>
      </c>
    </row>
    <row r="30968">
      <c r="A30968" s="4" t="s">
        <v>38994</v>
      </c>
      <c r="B30968" s="4" t="s">
        <v>38997</v>
      </c>
      <c r="C30968" s="5" t="str">
        <f>IFERROR(__xludf.DUMMYFUNCTION("GOOGLETRANSLATE(B30968,""en"",""it"")"),"Alterna i calci con pugni.")</f>
        <v>Alterna i calci con pugni.</v>
      </c>
    </row>
    <row r="30969">
      <c r="A30969" s="4" t="s">
        <v>38998</v>
      </c>
      <c r="B30969" s="4" t="s">
        <v>38999</v>
      </c>
      <c r="C30969" s="5" t="str">
        <f>IFERROR(__xludf.DUMMYFUNCTION("GOOGLETRANSLATE(B30969,""en"",""it"")"),"Un uomo è fuori con una grande scatola di metallo.")</f>
        <v>Un uomo è fuori con una grande scatola di metallo.</v>
      </c>
    </row>
    <row r="30970">
      <c r="A30970" s="4" t="s">
        <v>38998</v>
      </c>
      <c r="B30970" s="4" t="s">
        <v>39000</v>
      </c>
      <c r="C30970" s="5" t="str">
        <f>IFERROR(__xludf.DUMMYFUNCTION("GOOGLETRANSLATE(B30970,""en"",""it"")"),"Un altro uomo sta levigando un muro e un soffitto all'interno di un edificio.")</f>
        <v>Un altro uomo sta levigando un muro e un soffitto all'interno di un edificio.</v>
      </c>
    </row>
    <row r="30971">
      <c r="A30971" s="4" t="s">
        <v>38998</v>
      </c>
      <c r="B30971" s="4" t="s">
        <v>39001</v>
      </c>
      <c r="C30971" s="5" t="str">
        <f>IFERROR(__xludf.DUMMYFUNCTION("GOOGLETRANSLATE(B30971,""en"",""it"")"),"Quindi levigano i pavimenti.")</f>
        <v>Quindi levigano i pavimenti.</v>
      </c>
    </row>
    <row r="30972">
      <c r="A30972" s="4" t="s">
        <v>39002</v>
      </c>
      <c r="B30972" s="4" t="s">
        <v>39003</v>
      </c>
      <c r="C30972" s="5" t="str">
        <f>IFERROR(__xludf.DUMMYFUNCTION("GOOGLETRANSLATE(B30972,""en"",""it"")"),"Un giocatore di cricket colpisce una palla che è lanciata.")</f>
        <v>Un giocatore di cricket colpisce una palla che è lanciata.</v>
      </c>
    </row>
    <row r="30973">
      <c r="A30973" s="4" t="s">
        <v>39002</v>
      </c>
      <c r="B30973" s="4" t="s">
        <v>39004</v>
      </c>
      <c r="C30973" s="5" t="str">
        <f>IFERROR(__xludf.DUMMYFUNCTION("GOOGLETRANSLATE(B30973,""en"",""it"")"),"Un giocatore fa una cattura subacquea in campo.")</f>
        <v>Un giocatore fa una cattura subacquea in campo.</v>
      </c>
    </row>
    <row r="30974">
      <c r="A30974" s="4" t="s">
        <v>39002</v>
      </c>
      <c r="B30974" s="4" t="s">
        <v>39005</v>
      </c>
      <c r="C30974" s="5" t="str">
        <f>IFERROR(__xludf.DUMMYFUNCTION("GOOGLETRANSLATE(B30974,""en"",""it"")"),"Il giocatore sorride ed è un buon sport.")</f>
        <v>Il giocatore sorride ed è un buon sport.</v>
      </c>
    </row>
    <row r="30975">
      <c r="A30975" s="4" t="s">
        <v>39006</v>
      </c>
      <c r="B30975" s="6" t="s">
        <v>39007</v>
      </c>
      <c r="C30975" s="5" t="str">
        <f>IFERROR(__xludf.DUMMYFUNCTION("GOOGLETRANSLATE(B30975,""en"",""it"")"),"Viene visto un giovane che spruzza un cane con l'acqua nel mezzo di un vicolo mentre il cane si allontana dall'acqua.")</f>
        <v>Viene visto un giovane che spruzza un cane con l'acqua nel mezzo di un vicolo mentre il cane si allontana dall'acqua.</v>
      </c>
    </row>
    <row r="30976">
      <c r="A30976" s="4" t="s">
        <v>39006</v>
      </c>
      <c r="B30976" s="4" t="s">
        <v>39008</v>
      </c>
      <c r="C30976" s="5" t="str">
        <f>IFERROR(__xludf.DUMMYFUNCTION("GOOGLETRANSLATE(B30976,""en"",""it"")"),"La persona continua a spruzzare il cane con il tubo e in piedi in attesa del cane.")</f>
        <v>La persona continua a spruzzare il cane con il tubo e in piedi in attesa del cane.</v>
      </c>
    </row>
    <row r="30977">
      <c r="A30977" s="4" t="s">
        <v>39009</v>
      </c>
      <c r="B30977" s="4" t="s">
        <v>39010</v>
      </c>
      <c r="C30977" s="5" t="str">
        <f>IFERROR(__xludf.DUMMYFUNCTION("GOOGLETRANSLATE(B30977,""en"",""it"")"),"Due persone a braccio lottano in una competizione.")</f>
        <v>Due persone a braccio lottano in una competizione.</v>
      </c>
    </row>
    <row r="30978">
      <c r="A30978" s="4" t="s">
        <v>39009</v>
      </c>
      <c r="B30978" s="4" t="s">
        <v>39011</v>
      </c>
      <c r="C30978" s="5" t="str">
        <f>IFERROR(__xludf.DUMMYFUNCTION("GOOGLETRANSLATE(B30978,""en"",""it"")"),"Il braccio dei perdenti è ferito.")</f>
        <v>Il braccio dei perdenti è ferito.</v>
      </c>
    </row>
    <row r="30979">
      <c r="A30979" s="4" t="s">
        <v>39012</v>
      </c>
      <c r="B30979" s="4" t="s">
        <v>39013</v>
      </c>
      <c r="C30979" s="5" t="str">
        <f>IFERROR(__xludf.DUMMYFUNCTION("GOOGLETRANSLATE(B30979,""en"",""it"")"),"Un gruppo di persone si vede andare su e giù per le montagne innevate sugli sci e nelle macchine da sci.")</f>
        <v>Un gruppo di persone si vede andare su e giù per le montagne innevate sugli sci e nelle macchine da sci.</v>
      </c>
    </row>
    <row r="30980">
      <c r="A30980" s="4" t="s">
        <v>39012</v>
      </c>
      <c r="B30980" s="4" t="s">
        <v>39014</v>
      </c>
      <c r="C30980" s="5" t="str">
        <f>IFERROR(__xludf.DUMMYFUNCTION("GOOGLETRANSLATE(B30980,""en"",""it"")"),"Viene quindi vista una vista delle montagne innevate con un ponte davanti.")</f>
        <v>Viene quindi vista una vista delle montagne innevate con un ponte davanti.</v>
      </c>
    </row>
    <row r="30981">
      <c r="A30981" s="4" t="s">
        <v>39015</v>
      </c>
      <c r="B30981" s="4" t="s">
        <v>39016</v>
      </c>
      <c r="C30981" s="5" t="str">
        <f>IFERROR(__xludf.DUMMYFUNCTION("GOOGLETRANSLATE(B30981,""en"",""it"")"),"Un uomo viene visto in ginocchio accanto a un'auto mentre parla alla telecamera.")</f>
        <v>Un uomo viene visto in ginocchio accanto a un'auto mentre parla alla telecamera.</v>
      </c>
    </row>
    <row r="30982">
      <c r="A30982" s="4" t="s">
        <v>39015</v>
      </c>
      <c r="B30982" s="6" t="s">
        <v>39017</v>
      </c>
      <c r="C30982" s="5" t="str">
        <f>IFERROR(__xludf.DUMMYFUNCTION("GOOGLETRANSLATE(B30982,""en"",""it"")"),"La fotocamera si panoramica intorno all'auto e lo pneumatico mentre l'uomo continua a parlare con la fotocamera.")</f>
        <v>La fotocamera si panoramica intorno all'auto e lo pneumatico mentre l'uomo continua a parlare con la fotocamera.</v>
      </c>
    </row>
    <row r="30983">
      <c r="A30983" s="4" t="s">
        <v>39018</v>
      </c>
      <c r="B30983" s="6" t="s">
        <v>39019</v>
      </c>
      <c r="C30983" s="5" t="str">
        <f>IFERROR(__xludf.DUMMYFUNCTION("GOOGLETRANSLATE(B30983,""en"",""it"")"),"Un uomo serve una palla in una partita di pallavolo da spiaggia, poi corre in avanti per ricevere la palla mentre le persone guardano la partita in una spiaggia.")</f>
        <v>Un uomo serve una palla in una partita di pallavolo da spiaggia, poi corre in avanti per ricevere la palla mentre le persone guardano la partita in una spiaggia.</v>
      </c>
    </row>
    <row r="30984">
      <c r="A30984" s="4" t="s">
        <v>39018</v>
      </c>
      <c r="B30984" s="4" t="s">
        <v>39020</v>
      </c>
      <c r="C30984" s="5" t="str">
        <f>IFERROR(__xludf.DUMMYFUNCTION("GOOGLETRANSLATE(B30984,""en"",""it"")"),"A serve una palla e gioca mentre le persone guardano il gioco in una spiaggia.")</f>
        <v>A serve una palla e gioca mentre le persone guardano il gioco in una spiaggia.</v>
      </c>
    </row>
    <row r="30985">
      <c r="A30985" s="4" t="s">
        <v>39021</v>
      </c>
      <c r="B30985" s="4" t="s">
        <v>39022</v>
      </c>
      <c r="C30985" s="5" t="str">
        <f>IFERROR(__xludf.DUMMYFUNCTION("GOOGLETRANSLATE(B30985,""en"",""it"")"),"Una coppia di porte francesi è mostrata su una casa.")</f>
        <v>Una coppia di porte francesi è mostrata su una casa.</v>
      </c>
    </row>
    <row r="30986">
      <c r="A30986" s="4" t="s">
        <v>39021</v>
      </c>
      <c r="B30986" s="4" t="s">
        <v>39023</v>
      </c>
      <c r="C30986" s="5" t="str">
        <f>IFERROR(__xludf.DUMMYFUNCTION("GOOGLETRANSLATE(B30986,""en"",""it"")"),"Un uomo dimostra come pulire il vetro nelle finestre delle porte.")</f>
        <v>Un uomo dimostra come pulire il vetro nelle finestre delle porte.</v>
      </c>
    </row>
    <row r="30987">
      <c r="A30987" s="4" t="s">
        <v>39021</v>
      </c>
      <c r="B30987" s="4" t="s">
        <v>39024</v>
      </c>
      <c r="C30987" s="5" t="str">
        <f>IFERROR(__xludf.DUMMYFUNCTION("GOOGLETRANSLATE(B30987,""en"",""it"")"),"Li strofina con un panno, asciugandoli puliti.")</f>
        <v>Li strofina con un panno, asciugandoli puliti.</v>
      </c>
    </row>
    <row r="30988">
      <c r="A30988" s="4" t="s">
        <v>39021</v>
      </c>
      <c r="B30988" s="4" t="s">
        <v>39025</v>
      </c>
      <c r="C30988" s="5" t="str">
        <f>IFERROR(__xludf.DUMMYFUNCTION("GOOGLETRANSLATE(B30988,""en"",""it"")"),"Continua a scendere una porta, pulendo ogni singola finestra.")</f>
        <v>Continua a scendere una porta, pulendo ogni singola finestra.</v>
      </c>
    </row>
    <row r="30989">
      <c r="A30989" s="4" t="s">
        <v>39026</v>
      </c>
      <c r="B30989" s="4" t="s">
        <v>39027</v>
      </c>
      <c r="C30989" s="5" t="str">
        <f>IFERROR(__xludf.DUMMYFUNCTION("GOOGLETRANSLATE(B30989,""en"",""it"")"),"Una donna sta falciando un prato, spingendo avanti e indietro il tosaerba.")</f>
        <v>Una donna sta falciando un prato, spingendo avanti e indietro il tosaerba.</v>
      </c>
    </row>
    <row r="30990">
      <c r="A30990" s="4" t="s">
        <v>39026</v>
      </c>
      <c r="B30990" s="4" t="s">
        <v>39028</v>
      </c>
      <c r="C30990" s="5" t="str">
        <f>IFERROR(__xludf.DUMMYFUNCTION("GOOGLETRANSLATE(B30990,""en"",""it"")"),"Copre metà del prato e del vialetto prima della fine del video.")</f>
        <v>Copre metà del prato e del vialetto prima della fine del video.</v>
      </c>
    </row>
    <row r="30991">
      <c r="A30991" s="4" t="s">
        <v>39029</v>
      </c>
      <c r="B30991" s="4" t="s">
        <v>39030</v>
      </c>
      <c r="C30991" s="5" t="str">
        <f>IFERROR(__xludf.DUMMYFUNCTION("GOOGLETRANSLATE(B30991,""en"",""it"")"),"Un gruppo di uomini gioca a calcio in una zona di sabbia.")</f>
        <v>Un gruppo di uomini gioca a calcio in una zona di sabbia.</v>
      </c>
    </row>
    <row r="30992">
      <c r="A30992" s="4" t="s">
        <v>39029</v>
      </c>
      <c r="B30992" s="4" t="s">
        <v>39031</v>
      </c>
      <c r="C30992" s="5" t="str">
        <f>IFERROR(__xludf.DUMMYFUNCTION("GOOGLETRANSLATE(B30992,""en"",""it"")"),"Una folla guarda dagli spalti.")</f>
        <v>Una folla guarda dagli spalti.</v>
      </c>
    </row>
    <row r="30993">
      <c r="A30993" s="4" t="s">
        <v>39029</v>
      </c>
      <c r="B30993" s="4" t="s">
        <v>39032</v>
      </c>
      <c r="C30993" s="5" t="str">
        <f>IFERROR(__xludf.DUMMYFUNCTION("GOOGLETRANSLATE(B30993,""en"",""it"")"),"Un portiere cerca di bloccare una palla e fa le divisioni ma manca la palla.")</f>
        <v>Un portiere cerca di bloccare una palla e fa le divisioni ma manca la palla.</v>
      </c>
    </row>
    <row r="30994">
      <c r="A30994" s="4" t="s">
        <v>39033</v>
      </c>
      <c r="B30994" s="4" t="s">
        <v>39034</v>
      </c>
      <c r="C30994" s="5" t="str">
        <f>IFERROR(__xludf.DUMMYFUNCTION("GOOGLETRANSLATE(B30994,""en"",""it"")"),"Due uomini entrano nella sala Racquetball.")</f>
        <v>Due uomini entrano nella sala Racquetball.</v>
      </c>
    </row>
    <row r="30995">
      <c r="A30995" s="4" t="s">
        <v>39033</v>
      </c>
      <c r="B30995" s="4" t="s">
        <v>39035</v>
      </c>
      <c r="C30995" s="5" t="str">
        <f>IFERROR(__xludf.DUMMYFUNCTION("GOOGLETRANSLATE(B30995,""en"",""it"")"),"I due uomini iniziano a giocare a Racquetball, correndo per la stanza cercando di colpire la palla.")</f>
        <v>I due uomini iniziano a giocare a Racquetball, correndo per la stanza cercando di colpire la palla.</v>
      </c>
    </row>
    <row r="30996">
      <c r="A30996" s="4" t="s">
        <v>39033</v>
      </c>
      <c r="B30996" s="4" t="s">
        <v>39036</v>
      </c>
      <c r="C30996" s="5" t="str">
        <f>IFERROR(__xludf.DUMMYFUNCTION("GOOGLETRANSLATE(B30996,""en"",""it"")"),"Un uomo ha saltato la stanza e guarda nella telecamera.")</f>
        <v>Un uomo ha saltato la stanza e guarda nella telecamera.</v>
      </c>
    </row>
    <row r="30997">
      <c r="A30997" s="4" t="s">
        <v>39037</v>
      </c>
      <c r="B30997" s="4" t="s">
        <v>39038</v>
      </c>
      <c r="C30997" s="5" t="str">
        <f>IFERROR(__xludf.DUMMYFUNCTION("GOOGLETRANSLATE(B30997,""en"",""it"")"),"La donna è in piedi in cucina e sta mangiando una torta piena di crema.")</f>
        <v>La donna è in piedi in cucina e sta mangiando una torta piena di crema.</v>
      </c>
    </row>
    <row r="30998">
      <c r="A30998" s="4" t="s">
        <v>39037</v>
      </c>
      <c r="B30998" s="4" t="s">
        <v>39039</v>
      </c>
      <c r="C30998" s="5" t="str">
        <f>IFERROR(__xludf.DUMMYFUNCTION("GOOGLETRANSLATE(B30998,""en"",""it"")"),"Una torta è in una pentola sul bancone, la donna sta parlando alla telecamera in cucina.")</f>
        <v>Una torta è in una pentola sul bancone, la donna sta parlando alla telecamera in cucina.</v>
      </c>
    </row>
    <row r="30999">
      <c r="A30999" s="4" t="s">
        <v>39037</v>
      </c>
      <c r="B30999" s="4" t="s">
        <v>39040</v>
      </c>
      <c r="C30999" s="5" t="str">
        <f>IFERROR(__xludf.DUMMYFUNCTION("GOOGLETRANSLATE(B30999,""en"",""it"")"),"La torta viene battuta con un mixer, la donna continua a parlare e mescolare la torta.")</f>
        <v>La torta viene battuta con un mixer, la donna continua a parlare e mescolare la torta.</v>
      </c>
    </row>
    <row r="31000">
      <c r="A31000" s="4" t="s">
        <v>39037</v>
      </c>
      <c r="B31000" s="4" t="s">
        <v>39041</v>
      </c>
      <c r="C31000" s="5" t="str">
        <f>IFERROR(__xludf.DUMMYFUNCTION("GOOGLETRANSLATE(B31000,""en"",""it"")"),"L'olio è in una pentola.")</f>
        <v>L'olio è in una pentola.</v>
      </c>
    </row>
    <row r="31001">
      <c r="A31001" s="4" t="s">
        <v>39037</v>
      </c>
      <c r="B31001" s="4" t="s">
        <v>39042</v>
      </c>
      <c r="C31001" s="5" t="str">
        <f>IFERROR(__xludf.DUMMYFUNCTION("GOOGLETRANSLATE(B31001,""en"",""it"")"),"La donna tiene una pentola verde piena di sabbia ed è messa sulla pentola a pressione.")</f>
        <v>La donna tiene una pentola verde piena di sabbia ed è messa sulla pentola a pressione.</v>
      </c>
    </row>
    <row r="31002">
      <c r="A31002" s="4" t="s">
        <v>39037</v>
      </c>
      <c r="B31002" s="4" t="s">
        <v>39043</v>
      </c>
      <c r="C31002" s="5" t="str">
        <f>IFERROR(__xludf.DUMMYFUNCTION("GOOGLETRANSLATE(B31002,""en"",""it"")"),"Metti il ​​mixer sul vaso oleoso.")</f>
        <v>Metti il ​​mixer sul vaso oleoso.</v>
      </c>
    </row>
    <row r="31003">
      <c r="A31003" s="4" t="s">
        <v>39037</v>
      </c>
      <c r="B31003" s="6" t="s">
        <v>39044</v>
      </c>
      <c r="C31003" s="5" t="str">
        <f>IFERROR(__xludf.DUMMYFUNCTION("GOOGLETRANSLATE(B31003,""en"",""it"")"),"Il mix di pressione è aperto e poi chiuso mentre la donna continua a parlare in cucina, dopo un ime apriva la pentola e la torta è pronta.")</f>
        <v>Il mix di pressione è aperto e poi chiuso mentre la donna continua a parlare in cucina, dopo un ime apriva la pentola e la torta è pronta.</v>
      </c>
    </row>
    <row r="31004">
      <c r="A31004" s="4" t="s">
        <v>39037</v>
      </c>
      <c r="B31004" s="4" t="s">
        <v>39045</v>
      </c>
      <c r="C31004" s="5" t="str">
        <f>IFERROR(__xludf.DUMMYFUNCTION("GOOGLETRANSLATE(B31004,""en"",""it"")"),"Viene mostrata una torta decorata e le torte lungo la pentola di pressione.")</f>
        <v>Viene mostrata una torta decorata e le torte lungo la pentola di pressione.</v>
      </c>
    </row>
    <row r="31005">
      <c r="A31005" s="4" t="s">
        <v>39046</v>
      </c>
      <c r="B31005" s="4" t="s">
        <v>39047</v>
      </c>
      <c r="C31005" s="5" t="str">
        <f>IFERROR(__xludf.DUMMYFUNCTION("GOOGLETRANSLATE(B31005,""en"",""it"")"),"Un video in bianco e nero mostra due persone in una camera da letto, giocando a chitarre.")</f>
        <v>Un video in bianco e nero mostra due persone in una camera da letto, giocando a chitarre.</v>
      </c>
    </row>
    <row r="31006">
      <c r="A31006" s="4" t="s">
        <v>39046</v>
      </c>
      <c r="B31006" s="4" t="s">
        <v>39048</v>
      </c>
      <c r="C31006" s="5" t="str">
        <f>IFERROR(__xludf.DUMMYFUNCTION("GOOGLETRANSLATE(B31006,""en"",""it"")"),"Continuano durante il video, tremando un po 'mentre suonano.")</f>
        <v>Continuano durante il video, tremando un po 'mentre suonano.</v>
      </c>
    </row>
    <row r="31007">
      <c r="A31007" s="4" t="s">
        <v>39049</v>
      </c>
      <c r="B31007" s="4" t="s">
        <v>39050</v>
      </c>
      <c r="C31007" s="5" t="str">
        <f>IFERROR(__xludf.DUMMYFUNCTION("GOOGLETRANSLATE(B31007,""en"",""it"")"),"Un gruppo di corridori cammina lungo un percorso sterrato.")</f>
        <v>Un gruppo di corridori cammina lungo un percorso sterrato.</v>
      </c>
    </row>
    <row r="31008">
      <c r="A31008" s="4" t="s">
        <v>39049</v>
      </c>
      <c r="B31008" s="4" t="s">
        <v>39051</v>
      </c>
      <c r="C31008" s="5" t="str">
        <f>IFERROR(__xludf.DUMMYFUNCTION("GOOGLETRANSLATE(B31008,""en"",""it"")"),"Cominciano a correre, passando per auto mentre vanno.")</f>
        <v>Cominciano a correre, passando per auto mentre vanno.</v>
      </c>
    </row>
    <row r="31009">
      <c r="A31009" s="4" t="s">
        <v>39049</v>
      </c>
      <c r="B31009" s="4" t="s">
        <v>39052</v>
      </c>
      <c r="C31009" s="5" t="str">
        <f>IFERROR(__xludf.DUMMYFUNCTION("GOOGLETRANSLATE(B31009,""en"",""it"")"),"Continuano a correre insieme per la città.")</f>
        <v>Continuano a correre insieme per la città.</v>
      </c>
    </row>
    <row r="31010">
      <c r="A31010" s="4" t="s">
        <v>39053</v>
      </c>
      <c r="B31010" s="4" t="s">
        <v>39054</v>
      </c>
      <c r="C31010" s="5" t="str">
        <f>IFERROR(__xludf.DUMMYFUNCTION("GOOGLETRANSLATE(B31010,""en"",""it"")"),"Viene mostrato un primo piano di una palla seguita da una persona che colpisce la palla in diverse località.")</f>
        <v>Viene mostrato un primo piano di una palla seguita da una persona che colpisce la palla in diverse località.</v>
      </c>
    </row>
    <row r="31011">
      <c r="A31011" s="4" t="s">
        <v>39053</v>
      </c>
      <c r="B31011" s="6" t="s">
        <v>39055</v>
      </c>
      <c r="C31011" s="5" t="str">
        <f>IFERROR(__xludf.DUMMYFUNCTION("GOOGLETRANSLATE(B31011,""en"",""it"")"),"L'uomo continua a dimostrare come colpire la palla in vari angoli e inginocchiarsi a terra per sparare.")</f>
        <v>L'uomo continua a dimostrare come colpire la palla in vari angoli e inginocchiarsi a terra per sparare.</v>
      </c>
    </row>
    <row r="31012">
      <c r="A31012" s="4" t="s">
        <v>39056</v>
      </c>
      <c r="B31012" s="4" t="s">
        <v>39057</v>
      </c>
      <c r="C31012" s="5" t="str">
        <f>IFERROR(__xludf.DUMMYFUNCTION("GOOGLETRANSLATE(B31012,""en"",""it"")"),"C'è una ragazza con lunghi capelli castani che giocano l'armonica in un ascensore dell'ospedale.")</f>
        <v>C'è una ragazza con lunghi capelli castani che giocano l'armonica in un ascensore dell'ospedale.</v>
      </c>
    </row>
    <row r="31013">
      <c r="A31013" s="4" t="s">
        <v>39056</v>
      </c>
      <c r="B31013" s="4" t="s">
        <v>39058</v>
      </c>
      <c r="C31013" s="5" t="str">
        <f>IFERROR(__xludf.DUMMYFUNCTION("GOOGLETRANSLATE(B31013,""en"",""it"")"),"La porta dell'ascensore si apre e diverse persone entrano nell'ascensore.")</f>
        <v>La porta dell'ascensore si apre e diverse persone entrano nell'ascensore.</v>
      </c>
    </row>
    <row r="31014">
      <c r="A31014" s="4" t="s">
        <v>39056</v>
      </c>
      <c r="B31014" s="4" t="s">
        <v>39059</v>
      </c>
      <c r="C31014" s="5" t="str">
        <f>IFERROR(__xludf.DUMMYFUNCTION("GOOGLETRANSLATE(B31014,""en"",""it"")"),"Continua a suonare la sua armonica.")</f>
        <v>Continua a suonare la sua armonica.</v>
      </c>
    </row>
    <row r="31015">
      <c r="A31015" s="4" t="s">
        <v>39056</v>
      </c>
      <c r="B31015" s="4" t="s">
        <v>39060</v>
      </c>
      <c r="C31015" s="5" t="str">
        <f>IFERROR(__xludf.DUMMYFUNCTION("GOOGLETRANSLATE(B31015,""en"",""it"")"),"C'è un ragazzo e sua madre che sorridono alla signora mentre gioca.")</f>
        <v>C'è un ragazzo e sua madre che sorridono alla signora mentre gioca.</v>
      </c>
    </row>
    <row r="31016">
      <c r="A31016" s="4" t="s">
        <v>39056</v>
      </c>
      <c r="B31016" s="4" t="s">
        <v>39061</v>
      </c>
      <c r="C31016" s="5" t="str">
        <f>IFERROR(__xludf.DUMMYFUNCTION("GOOGLETRANSLATE(B31016,""en"",""it"")"),"Quindi scendono dall'ascensore quando raggiungono il loro livello.")</f>
        <v>Quindi scendono dall'ascensore quando raggiungono il loro livello.</v>
      </c>
    </row>
    <row r="31017">
      <c r="A31017" s="4" t="s">
        <v>39056</v>
      </c>
      <c r="B31017" s="6" t="s">
        <v>39062</v>
      </c>
      <c r="C31017" s="5" t="str">
        <f>IFERROR(__xludf.DUMMYFUNCTION("GOOGLETRANSLATE(B31017,""en"",""it"")"),"La signora continua a suonare l'armonica mentre l'ascensore si muove ulteriormente e si ferma ad altri livelli e più persone entrano.")</f>
        <v>La signora continua a suonare l'armonica mentre l'ascensore si muove ulteriormente e si ferma ad altri livelli e più persone entrano.</v>
      </c>
    </row>
    <row r="31018">
      <c r="A31018" s="4" t="s">
        <v>39056</v>
      </c>
      <c r="B31018" s="4" t="s">
        <v>39063</v>
      </c>
      <c r="C31018" s="5" t="str">
        <f>IFERROR(__xludf.DUMMYFUNCTION("GOOGLETRANSLATE(B31018,""en"",""it"")"),"La gente continua a salire e fuori dall'ascensore, ma continua a suonare la sua armonica.")</f>
        <v>La gente continua a salire e fuori dall'ascensore, ma continua a suonare la sua armonica.</v>
      </c>
    </row>
    <row r="31019">
      <c r="A31019" s="4" t="s">
        <v>39056</v>
      </c>
      <c r="B31019" s="4" t="s">
        <v>39064</v>
      </c>
      <c r="C31019" s="5" t="str">
        <f>IFERROR(__xludf.DUMMYFUNCTION("GOOGLETRANSLATE(B31019,""en"",""it"")"),"Una persona entra nell'ascensore con un uomo su una barella insieme ad altre persone.")</f>
        <v>Una persona entra nell'ascensore con un uomo su una barella insieme ad altre persone.</v>
      </c>
    </row>
    <row r="31020">
      <c r="A31020" s="4" t="s">
        <v>39056</v>
      </c>
      <c r="B31020" s="4" t="s">
        <v>39065</v>
      </c>
      <c r="C31020" s="5" t="str">
        <f>IFERROR(__xludf.DUMMYFUNCTION("GOOGLETRANSLATE(B31020,""en"",""it"")"),"Le sorridono e si complimentano con lei.")</f>
        <v>Le sorridono e si complimentano con lei.</v>
      </c>
    </row>
    <row r="31021">
      <c r="A31021" s="4" t="s">
        <v>39056</v>
      </c>
      <c r="B31021" s="4" t="s">
        <v>39066</v>
      </c>
      <c r="C31021" s="5" t="str">
        <f>IFERROR(__xludf.DUMMYFUNCTION("GOOGLETRANSLATE(B31021,""en"",""it"")"),"Scendono dall'ascensore quando raggiungono il livello desiderato in ospedale.")</f>
        <v>Scendono dall'ascensore quando raggiungono il livello desiderato in ospedale.</v>
      </c>
    </row>
    <row r="31022">
      <c r="A31022" s="4" t="s">
        <v>39067</v>
      </c>
      <c r="B31022" s="4" t="s">
        <v>39068</v>
      </c>
      <c r="C31022" s="5" t="str">
        <f>IFERROR(__xludf.DUMMYFUNCTION("GOOGLETRANSLATE(B31022,""en"",""it"")"),"Un bambino si lava le mani nel lavandino.")</f>
        <v>Un bambino si lava le mani nel lavandino.</v>
      </c>
    </row>
    <row r="31023">
      <c r="A31023" s="4" t="s">
        <v>39067</v>
      </c>
      <c r="B31023" s="4" t="s">
        <v>39069</v>
      </c>
      <c r="C31023" s="5" t="str">
        <f>IFERROR(__xludf.DUMMYFUNCTION("GOOGLETRANSLATE(B31023,""en"",""it"")"),"Quindi, il bambino schizzava d'acqua sul viso e sorride.")</f>
        <v>Quindi, il bambino schizzava d'acqua sul viso e sorride.</v>
      </c>
    </row>
    <row r="31024">
      <c r="A31024" s="4" t="s">
        <v>39067</v>
      </c>
      <c r="B31024" s="4" t="s">
        <v>39070</v>
      </c>
      <c r="C31024" s="5" t="str">
        <f>IFERROR(__xludf.DUMMYFUNCTION("GOOGLETRANSLATE(B31024,""en"",""it"")"),"Il segnato gli mette l'acqua sul viso e poi si muove la testa.")</f>
        <v>Il segnato gli mette l'acqua sul viso e poi si muove la testa.</v>
      </c>
    </row>
    <row r="31025">
      <c r="A31025" s="4" t="s">
        <v>39071</v>
      </c>
      <c r="B31025" s="4" t="s">
        <v>39072</v>
      </c>
      <c r="C31025" s="5" t="str">
        <f>IFERROR(__xludf.DUMMYFUNCTION("GOOGLETRANSLATE(B31025,""en"",""it"")"),"Due persone si vedono il braccio che lotta l'uno con l'altro mentre un uomo tiene le mani.")</f>
        <v>Due persone si vedono il braccio che lotta l'uno con l'altro mentre un uomo tiene le mani.</v>
      </c>
    </row>
    <row r="31026">
      <c r="A31026" s="4" t="s">
        <v>39071</v>
      </c>
      <c r="B31026" s="4" t="s">
        <v>39073</v>
      </c>
      <c r="C31026" s="5" t="str">
        <f>IFERROR(__xludf.DUMMYFUNCTION("GOOGLETRANSLATE(B31026,""en"",""it"")"),"Gli uomini quindi continuano a lottare con uno che sbatte la mano dell'altro.")</f>
        <v>Gli uomini quindi continuano a lottare con uno che sbatte la mano dell'altro.</v>
      </c>
    </row>
    <row r="31027">
      <c r="A31027" s="4" t="s">
        <v>39074</v>
      </c>
      <c r="B31027" s="6" t="s">
        <v>39075</v>
      </c>
      <c r="C31027" s="5" t="str">
        <f>IFERROR(__xludf.DUMMYFUNCTION("GOOGLETRANSLATE(B31027,""en"",""it"")"),"Un gruppo di persone viene visto rannicchiato e conduce in un gruppo di loro cavalcando un fiume con l'aiuto di un uomo.")</f>
        <v>Un gruppo di persone viene visto rannicchiato e conduce in un gruppo di loro cavalcando un fiume con l'aiuto di un uomo.</v>
      </c>
    </row>
    <row r="31028">
      <c r="A31028" s="4" t="s">
        <v>39074</v>
      </c>
      <c r="B31028" s="6" t="s">
        <v>39076</v>
      </c>
      <c r="C31028" s="5" t="str">
        <f>IFERROR(__xludf.DUMMYFUNCTION("GOOGLETRANSLATE(B31028,""en"",""it"")"),"La corsa continuamente lungo il fiume si urta nelle rocce lungo la strada e porta a loro uscire sul lato.")</f>
        <v>La corsa continuamente lungo il fiume si urta nelle rocce lungo la strada e porta a loro uscire sul lato.</v>
      </c>
    </row>
    <row r="31029">
      <c r="A31029" s="4" t="s">
        <v>39074</v>
      </c>
      <c r="B31029" s="4" t="s">
        <v>39077</v>
      </c>
      <c r="C31029" s="5" t="str">
        <f>IFERROR(__xludf.DUMMYFUNCTION("GOOGLETRANSLATE(B31029,""en"",""it"")"),"Finalmente una foto di loro tutti insieme in mostrata alla fine.")</f>
        <v>Finalmente una foto di loro tutti insieme in mostrata alla fine.</v>
      </c>
    </row>
    <row r="31030">
      <c r="A31030" s="4" t="s">
        <v>39078</v>
      </c>
      <c r="B31030" s="6" t="s">
        <v>39079</v>
      </c>
      <c r="C31030" s="5" t="str">
        <f>IFERROR(__xludf.DUMMYFUNCTION("GOOGLETRANSLATE(B31030,""en"",""it"")"),"Una donna più anziana viene vista seduta su una sedia a maglia mentre tiene due aghi e porta a mostrare il suo cestino a maglia e parlare alla telecamera.")</f>
        <v>Una donna più anziana viene vista seduta su una sedia a maglia mentre tiene due aghi e porta a mostrare il suo cestino a maglia e parlare alla telecamera.</v>
      </c>
    </row>
    <row r="31031">
      <c r="A31031" s="4" t="s">
        <v>39078</v>
      </c>
      <c r="B31031" s="4" t="s">
        <v>39080</v>
      </c>
      <c r="C31031" s="5" t="str">
        <f>IFERROR(__xludf.DUMMYFUNCTION("GOOGLETRANSLATE(B31031,""en"",""it"")"),"La donna continua a parlare mentre tiene gli strumenti a maglia e termina svanendo al nero.")</f>
        <v>La donna continua a parlare mentre tiene gli strumenti a maglia e termina svanendo al nero.</v>
      </c>
    </row>
    <row r="31032">
      <c r="A31032" s="4" t="s">
        <v>39081</v>
      </c>
      <c r="B31032" s="4" t="s">
        <v>39082</v>
      </c>
      <c r="C31032" s="5" t="str">
        <f>IFERROR(__xludf.DUMMYFUNCTION("GOOGLETRANSLATE(B31032,""en"",""it"")"),"Un gruppo di due donne e due uomini si mettono insieme.")</f>
        <v>Un gruppo di due donne e due uomini si mettono insieme.</v>
      </c>
    </row>
    <row r="31033">
      <c r="A31033" s="4" t="s">
        <v>39081</v>
      </c>
      <c r="B31033" s="4" t="s">
        <v>39083</v>
      </c>
      <c r="C31033" s="5" t="str">
        <f>IFERROR(__xludf.DUMMYFUNCTION("GOOGLETRANSLATE(B31033,""en"",""it"")"),"Vengono quindi mostrati eseguendo un esercizio d'arte chiamato Zumba all'interno di un edificio.")</f>
        <v>Vengono quindi mostrati eseguendo un esercizio d'arte chiamato Zumba all'interno di un edificio.</v>
      </c>
    </row>
    <row r="31034">
      <c r="A31034" s="4" t="s">
        <v>39081</v>
      </c>
      <c r="B31034" s="6" t="s">
        <v>39084</v>
      </c>
      <c r="C31034" s="5" t="str">
        <f>IFERROR(__xludf.DUMMYFUNCTION("GOOGLETRANSLATE(B31034,""en"",""it"")"),"Ballano avanti e indietro all'unisono, quindi vengono mostrati in posa insieme alla fine mentre le note musicali galleggiano sullo schermo.")</f>
        <v>Ballano avanti e indietro all'unisono, quindi vengono mostrati in posa insieme alla fine mentre le note musicali galleggiano sullo schermo.</v>
      </c>
    </row>
    <row r="31035">
      <c r="A31035" s="4" t="s">
        <v>39085</v>
      </c>
      <c r="B31035" s="4" t="s">
        <v>39086</v>
      </c>
      <c r="C31035" s="5" t="str">
        <f>IFERROR(__xludf.DUMMYFUNCTION("GOOGLETRANSLATE(B31035,""en"",""it"")"),"Un uomo con un cappotto marrone e un cappello sta spingendo la neve dal suo vialetto.")</f>
        <v>Un uomo con un cappotto marrone e un cappello sta spingendo la neve dal suo vialetto.</v>
      </c>
    </row>
    <row r="31036">
      <c r="A31036" s="4" t="s">
        <v>39085</v>
      </c>
      <c r="B31036" s="4" t="s">
        <v>39087</v>
      </c>
      <c r="C31036" s="5" t="str">
        <f>IFERROR(__xludf.DUMMYFUNCTION("GOOGLETRANSLATE(B31036,""en"",""it"")"),"Le immagini dell'uomo vengono mostrate.")</f>
        <v>Le immagini dell'uomo vengono mostrate.</v>
      </c>
    </row>
    <row r="31037">
      <c r="A31037" s="4" t="s">
        <v>39085</v>
      </c>
      <c r="B31037" s="4" t="s">
        <v>39088</v>
      </c>
      <c r="C31037" s="5" t="str">
        <f>IFERROR(__xludf.DUMMYFUNCTION("GOOGLETRANSLATE(B31037,""en"",""it"")"),"L'uomo esce da un cognome e inizia a sbucare il suo vialetto.")</f>
        <v>L'uomo esce da un cognome e inizia a sbucare il suo vialetto.</v>
      </c>
    </row>
    <row r="31038">
      <c r="A31038" s="4" t="s">
        <v>39085</v>
      </c>
      <c r="B31038" s="4" t="s">
        <v>39089</v>
      </c>
      <c r="C31038" s="5" t="str">
        <f>IFERROR(__xludf.DUMMYFUNCTION("GOOGLETRANSLATE(B31038,""en"",""it"")"),"Una donna in un cappotto blu sta parlando.")</f>
        <v>Una donna in un cappotto blu sta parlando.</v>
      </c>
    </row>
    <row r="31039">
      <c r="A31039" s="4" t="s">
        <v>39085</v>
      </c>
      <c r="B31039" s="4" t="s">
        <v>39090</v>
      </c>
      <c r="C31039" s="5" t="str">
        <f>IFERROR(__xludf.DUMMYFUNCTION("GOOGLETRANSLATE(B31039,""en"",""it"")"),"L'uomo continua a soffiare prima di parlare con la telecamera.")</f>
        <v>L'uomo continua a soffiare prima di parlare con la telecamera.</v>
      </c>
    </row>
    <row r="31040">
      <c r="A31040" s="4" t="s">
        <v>39091</v>
      </c>
      <c r="B31040" s="4" t="s">
        <v>39092</v>
      </c>
      <c r="C31040" s="5" t="str">
        <f>IFERROR(__xludf.DUMMYFUNCTION("GOOGLETRANSLATE(B31040,""en"",""it"")"),"Una persona salda una cucitura di un grande tubo di metallo che indossa una maschera protettiva.")</f>
        <v>Una persona salda una cucitura di un grande tubo di metallo che indossa una maschera protettiva.</v>
      </c>
    </row>
    <row r="31041">
      <c r="A31041" s="4" t="s">
        <v>39091</v>
      </c>
      <c r="B31041" s="4" t="s">
        <v>39093</v>
      </c>
      <c r="C31041" s="5" t="str">
        <f>IFERROR(__xludf.DUMMYFUNCTION("GOOGLETRANSLATE(B31041,""en"",""it"")"),"La persona scruta attraverso un piccolo buco in un pezzo di metallo.")</f>
        <v>La persona scruta attraverso un piccolo buco in un pezzo di metallo.</v>
      </c>
    </row>
    <row r="31042">
      <c r="A31042" s="4" t="s">
        <v>39091</v>
      </c>
      <c r="B31042" s="4" t="s">
        <v>39094</v>
      </c>
      <c r="C31042" s="5" t="str">
        <f>IFERROR(__xludf.DUMMYFUNCTION("GOOGLETRANSLATE(B31042,""en"",""it"")"),"L'uomo finisce la saldatura e la cucitura è vista che brilla rossa.")</f>
        <v>L'uomo finisce la saldatura e la cucitura è vista che brilla rossa.</v>
      </c>
    </row>
    <row r="31043">
      <c r="A31043" s="4" t="s">
        <v>39091</v>
      </c>
      <c r="B31043" s="4" t="s">
        <v>39095</v>
      </c>
      <c r="C31043" s="5" t="str">
        <f>IFERROR(__xludf.DUMMYFUNCTION("GOOGLETRANSLATE(B31043,""en"",""it"")"),"Un uomo tocca il rifinito con un file di metallo.")</f>
        <v>Un uomo tocca il rifinito con un file di metallo.</v>
      </c>
    </row>
    <row r="31044">
      <c r="A31044" s="4" t="s">
        <v>39096</v>
      </c>
      <c r="B31044" s="4" t="s">
        <v>39097</v>
      </c>
      <c r="C31044" s="5" t="str">
        <f>IFERROR(__xludf.DUMMYFUNCTION("GOOGLETRANSLATE(B31044,""en"",""it"")"),"Il video mostra la mano di una persona che tiene in mano una chitarra acustica.")</f>
        <v>Il video mostra la mano di una persona che tiene in mano una chitarra acustica.</v>
      </c>
    </row>
    <row r="31045">
      <c r="A31045" s="4" t="s">
        <v>39096</v>
      </c>
      <c r="B31045" s="4" t="s">
        <v>39098</v>
      </c>
      <c r="C31045" s="5" t="str">
        <f>IFERROR(__xludf.DUMMYFUNCTION("GOOGLETRANSLATE(B31045,""en"",""it"")"),"Viene anche mostrato il caso Yamaha della chitarra.")</f>
        <v>Viene anche mostrato il caso Yamaha della chitarra.</v>
      </c>
    </row>
    <row r="31046">
      <c r="A31046" s="4" t="s">
        <v>39096</v>
      </c>
      <c r="B31046" s="4" t="s">
        <v>39099</v>
      </c>
      <c r="C31046" s="5" t="str">
        <f>IFERROR(__xludf.DUMMYFUNCTION("GOOGLETRANSLATE(B31046,""en"",""it"")"),"Un giovane è visto suonare la sua chitarra acustica.")</f>
        <v>Un giovane è visto suonare la sua chitarra acustica.</v>
      </c>
    </row>
    <row r="31047">
      <c r="A31047" s="4" t="s">
        <v>39096</v>
      </c>
      <c r="B31047" s="4" t="s">
        <v>39100</v>
      </c>
      <c r="C31047" s="5" t="str">
        <f>IFERROR(__xludf.DUMMYFUNCTION("GOOGLETRANSLATE(B31047,""en"",""it"")"),"Sta strimpellando la sua chitarra su una melodia.")</f>
        <v>Sta strimpellando la sua chitarra su una melodia.</v>
      </c>
    </row>
    <row r="31048">
      <c r="A31048" s="4" t="s">
        <v>39101</v>
      </c>
      <c r="B31048" s="4" t="s">
        <v>39102</v>
      </c>
      <c r="C31048" s="5" t="str">
        <f>IFERROR(__xludf.DUMMYFUNCTION("GOOGLETRANSLATE(B31048,""en"",""it"")"),"Un uomo è visto in diverse località che cammina lungo una lunga corda legata a due alberi.")</f>
        <v>Un uomo è visto in diverse località che cammina lungo una lunga corda legata a due alberi.</v>
      </c>
    </row>
    <row r="31049">
      <c r="A31049" s="4" t="s">
        <v>39101</v>
      </c>
      <c r="B31049" s="6" t="s">
        <v>39103</v>
      </c>
      <c r="C31049" s="5" t="str">
        <f>IFERROR(__xludf.DUMMYFUNCTION("GOOGLETRANSLATE(B31049,""en"",""it"")"),"L'uomo continua a eseguire diverse varianti su come camminare sulla corda, oltre a saltare su e giù e continuare a camminare.")</f>
        <v>L'uomo continua a eseguire diverse varianti su come camminare sulla corda, oltre a saltare su e giù e continuare a camminare.</v>
      </c>
    </row>
    <row r="31050">
      <c r="A31050" s="4" t="s">
        <v>39104</v>
      </c>
      <c r="B31050" s="4" t="s">
        <v>39105</v>
      </c>
      <c r="C31050" s="5" t="str">
        <f>IFERROR(__xludf.DUMMYFUNCTION("GOOGLETRANSLATE(B31050,""en"",""it"")"),"Diversi gatti vengono mostrati seduti in giro seguiti da un uomo che parla alla telecamera.")</f>
        <v>Diversi gatti vengono mostrati seduti in giro seguiti da un uomo che parla alla telecamera.</v>
      </c>
    </row>
    <row r="31051">
      <c r="A31051" s="4" t="s">
        <v>39104</v>
      </c>
      <c r="B31051" s="4" t="s">
        <v>39106</v>
      </c>
      <c r="C31051" s="5" t="str">
        <f>IFERROR(__xludf.DUMMYFUNCTION("GOOGLETRANSLATE(B31051,""en"",""it"")"),"Vengono mostrati più colpi di auto e conducono in una donna che taglia gli artigli di un gatto.")</f>
        <v>Vengono mostrati più colpi di auto e conducono in una donna che taglia gli artigli di un gatto.</v>
      </c>
    </row>
    <row r="31052">
      <c r="A31052" s="4" t="s">
        <v>39104</v>
      </c>
      <c r="B31052" s="4" t="s">
        <v>39107</v>
      </c>
      <c r="C31052" s="5" t="str">
        <f>IFERROR(__xludf.DUMMYFUNCTION("GOOGLETRANSLATE(B31052,""en"",""it"")"),"Vengono mostrati diversi prodotti e diverse persone che tengono gatti e si tagliano le unghie.")</f>
        <v>Vengono mostrati diversi prodotti e diverse persone che tengono gatti e si tagliano le unghie.</v>
      </c>
    </row>
    <row r="31053">
      <c r="A31053" s="4" t="s">
        <v>39108</v>
      </c>
      <c r="B31053" s="4" t="s">
        <v>39109</v>
      </c>
      <c r="C31053" s="5" t="str">
        <f>IFERROR(__xludf.DUMMYFUNCTION("GOOGLETRANSLATE(B31053,""en"",""it"")"),"Gli uomini tengono un secchio ed è in piedi nell'OOF di una casa e ci sta lavorando.")</f>
        <v>Gli uomini tengono un secchio ed è in piedi nell'OOF di una casa e ci sta lavorando.</v>
      </c>
    </row>
    <row r="31054">
      <c r="A31054" s="4" t="s">
        <v>39108</v>
      </c>
      <c r="B31054" s="4" t="s">
        <v>39110</v>
      </c>
      <c r="C31054" s="5" t="str">
        <f>IFERROR(__xludf.DUMMYFUNCTION("GOOGLETRANSLATE(B31054,""en"",""it"")"),"L'uomo sta facendo il mix in un secchio in un pavimento e di nuovo sul tetto.")</f>
        <v>L'uomo sta facendo il mix in un secchio in un pavimento e di nuovo sul tetto.</v>
      </c>
    </row>
    <row r="31055">
      <c r="A31055" s="4" t="s">
        <v>39111</v>
      </c>
      <c r="B31055" s="4" t="s">
        <v>39112</v>
      </c>
      <c r="C31055" s="5" t="str">
        <f>IFERROR(__xludf.DUMMYFUNCTION("GOOGLETRANSLATE(B31055,""en"",""it"")"),"Il testo viene mostrato sullo schermo che porta a due donne che parlano tra loro.")</f>
        <v>Il testo viene mostrato sullo schermo che porta a due donne che parlano tra loro.</v>
      </c>
    </row>
    <row r="31056">
      <c r="A31056" s="4" t="s">
        <v>39111</v>
      </c>
      <c r="B31056" s="4" t="s">
        <v>39113</v>
      </c>
      <c r="C31056" s="5" t="str">
        <f>IFERROR(__xludf.DUMMYFUNCTION("GOOGLETRANSLATE(B31056,""en"",""it"")"),"Uno prende un sorso di lavaggio della bocca e lo sputa nel lavandino.")</f>
        <v>Uno prende un sorso di lavaggio della bocca e lo sputa nel lavandino.</v>
      </c>
    </row>
    <row r="31057">
      <c r="A31057" s="4" t="s">
        <v>39111</v>
      </c>
      <c r="B31057" s="4" t="s">
        <v>39114</v>
      </c>
      <c r="C31057" s="5" t="str">
        <f>IFERROR(__xludf.DUMMYFUNCTION("GOOGLETRANSLATE(B31057,""en"",""it"")"),"Diede il contenitore alla donna che si gira per parlare alla telecamera.")</f>
        <v>Diede il contenitore alla donna che si gira per parlare alla telecamera.</v>
      </c>
    </row>
    <row r="31058">
      <c r="A31058" s="4" t="s">
        <v>39115</v>
      </c>
      <c r="B31058" s="6" t="s">
        <v>39116</v>
      </c>
      <c r="C31058" s="5" t="str">
        <f>IFERROR(__xludf.DUMMYFUNCTION("GOOGLETRANSLATE(B31058,""en"",""it"")"),"Tre atleti eseguono i tiri di Hammer in un evento sportivo professionista di fronte a un pubblico in gradinate e custodi.")</f>
        <v>Tre atleti eseguono i tiri di Hammer in un evento sportivo professionista di fronte a un pubblico in gradinate e custodi.</v>
      </c>
    </row>
    <row r="31059">
      <c r="A31059" s="4" t="s">
        <v>39115</v>
      </c>
      <c r="B31059" s="6" t="s">
        <v>39117</v>
      </c>
      <c r="C31059" s="5" t="str">
        <f>IFERROR(__xludf.DUMMYFUNCTION("GOOGLETRANSLATE(B31059,""en"",""it"")"),"Un uomo gira un martello sportivo a martello in giro e di nuovo in un evento sportivo professionista e poi lo lascia volare in un campo circondato da un pubblico in gradinate.")</f>
        <v>Un uomo gira un martello sportivo a martello in giro e di nuovo in un evento sportivo professionista e poi lo lascia volare in un campo circondato da un pubblico in gradinate.</v>
      </c>
    </row>
    <row r="31060">
      <c r="A31060" s="4" t="s">
        <v>39115</v>
      </c>
      <c r="B31060" s="4" t="s">
        <v>39118</v>
      </c>
      <c r="C31060" s="5" t="str">
        <f>IFERROR(__xludf.DUMMYFUNCTION("GOOGLETRANSLATE(B31060,""en"",""it"")"),"L'atleta si allontana e sembra deluso quando un tabellone segnala rivela il punteggio.")</f>
        <v>L'atleta si allontana e sembra deluso quando un tabellone segnala rivela il punteggio.</v>
      </c>
    </row>
    <row r="31061">
      <c r="A31061" s="4" t="s">
        <v>39115</v>
      </c>
      <c r="B31061" s="4" t="s">
        <v>39119</v>
      </c>
      <c r="C31061" s="5" t="str">
        <f>IFERROR(__xludf.DUMMYFUNCTION("GOOGLETRANSLATE(B31061,""en"",""it"")"),"Altri due atleti eseguono lo stesso sport allo stesso modo lasciando che il martello voli in aria.")</f>
        <v>Altri due atleti eseguono lo stesso sport allo stesso modo lasciando che il martello voli in aria.</v>
      </c>
    </row>
    <row r="31062">
      <c r="A31062" s="4" t="s">
        <v>39115</v>
      </c>
      <c r="B31062" s="4" t="s">
        <v>39120</v>
      </c>
      <c r="C31062" s="5" t="str">
        <f>IFERROR(__xludf.DUMMYFUNCTION("GOOGLETRANSLATE(B31062,""en"",""it"")"),"Un tabellone finale mostra che mostrano punteggi di lancio di martelli.")</f>
        <v>Un tabellone finale mostra che mostrano punteggi di lancio di martelli.</v>
      </c>
    </row>
    <row r="31063">
      <c r="A31063" s="4" t="s">
        <v>39121</v>
      </c>
      <c r="B31063" s="4" t="s">
        <v>39122</v>
      </c>
      <c r="C31063" s="5" t="str">
        <f>IFERROR(__xludf.DUMMYFUNCTION("GOOGLETRANSLATE(B31063,""en"",""it"")"),"Un uomo indossa un giubbotto giallo.")</f>
        <v>Un uomo indossa un giubbotto giallo.</v>
      </c>
    </row>
    <row r="31064">
      <c r="A31064" s="4" t="s">
        <v>39121</v>
      </c>
      <c r="B31064" s="4" t="s">
        <v>39123</v>
      </c>
      <c r="C31064" s="5" t="str">
        <f>IFERROR(__xludf.DUMMYFUNCTION("GOOGLETRANSLATE(B31064,""en"",""it"")"),"È in piedi davanti a un edificio che puliva una finestra.")</f>
        <v>È in piedi davanti a un edificio che puliva una finestra.</v>
      </c>
    </row>
    <row r="31065">
      <c r="A31065" s="4" t="s">
        <v>39121</v>
      </c>
      <c r="B31065" s="4" t="s">
        <v>39124</v>
      </c>
      <c r="C31065" s="5" t="str">
        <f>IFERROR(__xludf.DUMMYFUNCTION("GOOGLETRANSLATE(B31065,""en"",""it"")"),"Una persona è vista guardare fuori una delle finestre.")</f>
        <v>Una persona è vista guardare fuori una delle finestre.</v>
      </c>
    </row>
    <row r="31066">
      <c r="A31066" s="4" t="s">
        <v>39125</v>
      </c>
      <c r="B31066" s="6" t="s">
        <v>39126</v>
      </c>
      <c r="C31066" s="5" t="str">
        <f>IFERROR(__xludf.DUMMYFUNCTION("GOOGLETRANSLATE(B31066,""en"",""it"")"),"Uno chef viene visto in piedi davanti a un tavolo con vari oggetti disposti e tirando fuori un pezzo di cibo.")</f>
        <v>Uno chef viene visto in piedi davanti a un tavolo con vari oggetti disposti e tirando fuori un pezzo di cibo.</v>
      </c>
    </row>
    <row r="31067">
      <c r="A31067" s="4" t="s">
        <v>39125</v>
      </c>
      <c r="B31067" s="4" t="s">
        <v>39127</v>
      </c>
      <c r="C31067" s="5" t="str">
        <f>IFERROR(__xludf.DUMMYFUNCTION("GOOGLETRANSLATE(B31067,""en"",""it"")"),"Mostra l'oggetto alla telecamera e inizia a staccarlo in una ciotola.")</f>
        <v>Mostra l'oggetto alla telecamera e inizia a staccarlo in una ciotola.</v>
      </c>
    </row>
    <row r="31068">
      <c r="A31068" s="4" t="s">
        <v>39125</v>
      </c>
      <c r="B31068" s="4" t="s">
        <v>39128</v>
      </c>
      <c r="C31068" s="5" t="str">
        <f>IFERROR(__xludf.DUMMYFUNCTION("GOOGLETRANSLATE(B31068,""en"",""it"")"),"La persona quindi taglia il cibo e continua a staccare di più in una pentola.")</f>
        <v>La persona quindi taglia il cibo e continua a staccare di più in una pentola.</v>
      </c>
    </row>
    <row r="31069">
      <c r="A31069" s="4" t="s">
        <v>39129</v>
      </c>
      <c r="B31069" s="4" t="s">
        <v>39130</v>
      </c>
      <c r="C31069" s="5" t="str">
        <f>IFERROR(__xludf.DUMMYFUNCTION("GOOGLETRANSLATE(B31069,""en"",""it"")"),"C'è una donna che fa un tutorial su come usare un ferro arricciacapelli sui capelli di un modello.")</f>
        <v>C'è una donna che fa un tutorial su come usare un ferro arricciacapelli sui capelli di un modello.</v>
      </c>
    </row>
    <row r="31070">
      <c r="A31070" s="4" t="s">
        <v>39129</v>
      </c>
      <c r="B31070" s="6" t="s">
        <v>39131</v>
      </c>
      <c r="C31070" s="5" t="str">
        <f>IFERROR(__xludf.DUMMYFUNCTION("GOOGLETRANSLATE(B31070,""en"",""it"")"),"Prende sezioni dei capelli della modella uno alla volta e li mette nel ferro arricciacapelli e poi li rilascia gradualmente per estrarre i ricci.")</f>
        <v>Prende sezioni dei capelli della modella uno alla volta e li mette nel ferro arricciacapelli e poi li rilascia gradualmente per estrarre i ricci.</v>
      </c>
    </row>
    <row r="31071">
      <c r="A31071" s="4" t="s">
        <v>39129</v>
      </c>
      <c r="B31071" s="4" t="s">
        <v>39132</v>
      </c>
      <c r="C31071" s="5" t="str">
        <f>IFERROR(__xludf.DUMMYFUNCTION("GOOGLETRANSLATE(B31071,""en"",""it"")"),"Continua il processo fino a quando l'intera testa di capelli è arricciata con il ferro.")</f>
        <v>Continua il processo fino a quando l'intera testa di capelli è arricciata con il ferro.</v>
      </c>
    </row>
    <row r="31072">
      <c r="A31072" s="4" t="s">
        <v>39129</v>
      </c>
      <c r="B31072" s="4" t="s">
        <v>39133</v>
      </c>
      <c r="C31072" s="5" t="str">
        <f>IFERROR(__xludf.DUMMYFUNCTION("GOOGLETRANSLATE(B31072,""en"",""it"")"),"Il modello quindi sorride e fa un selfie mentre si guarda allo specchio.")</f>
        <v>Il modello quindi sorride e fa un selfie mentre si guarda allo specchio.</v>
      </c>
    </row>
    <row r="31073">
      <c r="A31073" s="4" t="s">
        <v>39134</v>
      </c>
      <c r="B31073" s="4" t="s">
        <v>39135</v>
      </c>
      <c r="C31073" s="5" t="str">
        <f>IFERROR(__xludf.DUMMYFUNCTION("GOOGLETRANSLATE(B31073,""en"",""it"")"),"Una telecamera mostra i piedi di una persona che cavalcano una montagna di neve mentre gira in cerchio.")</f>
        <v>Una telecamera mostra i piedi di una persona che cavalcano una montagna di neve mentre gira in cerchio.</v>
      </c>
    </row>
    <row r="31074">
      <c r="A31074" s="4" t="s">
        <v>39134</v>
      </c>
      <c r="B31074" s="6" t="s">
        <v>39136</v>
      </c>
      <c r="C31074" s="5" t="str">
        <f>IFERROR(__xludf.DUMMYFUNCTION("GOOGLETRANSLATE(B31074,""en"",""it"")"),"La persona continua a girare giù per la collina mentre una grande folla guarda sul lato e un ragazzo salta in fondo.")</f>
        <v>La persona continua a girare giù per la collina mentre una grande folla guarda sul lato e un ragazzo salta in fondo.</v>
      </c>
    </row>
    <row r="31075">
      <c r="A31075" s="4" t="s">
        <v>39137</v>
      </c>
      <c r="B31075" s="4" t="s">
        <v>39138</v>
      </c>
      <c r="C31075" s="5" t="str">
        <f>IFERROR(__xludf.DUMMYFUNCTION("GOOGLETRANSLATE(B31075,""en"",""it"")"),"Una persona su uno skateboard si sposta e rampa e su un angolo.")</f>
        <v>Una persona su uno skateboard si sposta e rampa e su un angolo.</v>
      </c>
    </row>
    <row r="31076">
      <c r="A31076" s="4" t="s">
        <v>39137</v>
      </c>
      <c r="B31076" s="4" t="s">
        <v>39139</v>
      </c>
      <c r="C31076" s="5" t="str">
        <f>IFERROR(__xludf.DUMMYFUNCTION("GOOGLETRANSLATE(B31076,""en"",""it"")"),"La telecamera gli mostra fare varie mosse e intervistando la telecamera.")</f>
        <v>La telecamera gli mostra fare varie mosse e intervistando la telecamera.</v>
      </c>
    </row>
    <row r="31077">
      <c r="A31077" s="4" t="s">
        <v>39137</v>
      </c>
      <c r="B31077" s="4" t="s">
        <v>39140</v>
      </c>
      <c r="C31077" s="5" t="str">
        <f>IFERROR(__xludf.DUMMYFUNCTION("GOOGLETRANSLATE(B31077,""en"",""it"")"),"Un altro uomo cavalca un wakeboard e trucca e alla fine cade.")</f>
        <v>Un altro uomo cavalca un wakeboard e trucca e alla fine cade.</v>
      </c>
    </row>
    <row r="31078">
      <c r="A31078" s="4" t="s">
        <v>39137</v>
      </c>
      <c r="B31078" s="4" t="s">
        <v>39141</v>
      </c>
      <c r="C31078" s="5" t="str">
        <f>IFERROR(__xludf.DUMMYFUNCTION("GOOGLETRANSLATE(B31078,""en"",""it"")"),"Vengono mostrate diverse altre clip di persone in kayak che fanno diverse acrobazie mentre la telecamera registra.")</f>
        <v>Vengono mostrate diverse altre clip di persone in kayak che fanno diverse acrobazie mentre la telecamera registra.</v>
      </c>
    </row>
    <row r="31079">
      <c r="A31079" s="4" t="s">
        <v>39142</v>
      </c>
      <c r="B31079" s="4" t="s">
        <v>39143</v>
      </c>
      <c r="C31079" s="5" t="str">
        <f>IFERROR(__xludf.DUMMYFUNCTION("GOOGLETRANSLATE(B31079,""en"",""it"")"),"Viene mostrato un uomo facendo diversi salti lunghi all'indietro mentre la telecamera lo cattura.")</f>
        <v>Viene mostrato un uomo facendo diversi salti lunghi all'indietro mentre la telecamera lo cattura.</v>
      </c>
    </row>
    <row r="31080">
      <c r="A31080" s="4" t="s">
        <v>39142</v>
      </c>
      <c r="B31080" s="4" t="s">
        <v>39144</v>
      </c>
      <c r="C31080" s="5" t="str">
        <f>IFERROR(__xludf.DUMMYFUNCTION("GOOGLETRANSLATE(B31080,""en"",""it"")"),"Fa oscillare le braccia per dimostrare una mossa adeguata seguita da molti altri salti.")</f>
        <v>Fa oscillare le braccia per dimostrare una mossa adeguata seguita da molti altri salti.</v>
      </c>
    </row>
    <row r="31081">
      <c r="A31081" s="4" t="s">
        <v>39145</v>
      </c>
      <c r="B31081" s="4" t="s">
        <v>39146</v>
      </c>
      <c r="C31081" s="5" t="str">
        <f>IFERROR(__xludf.DUMMYFUNCTION("GOOGLETRANSLATE(B31081,""en"",""it"")"),"Un uomo è raffigurato accanto a un annuncio per lo yoga.")</f>
        <v>Un uomo è raffigurato accanto a un annuncio per lo yoga.</v>
      </c>
    </row>
    <row r="31082">
      <c r="A31082" s="4" t="s">
        <v>39145</v>
      </c>
      <c r="B31082" s="4" t="s">
        <v>39147</v>
      </c>
      <c r="C31082" s="5" t="str">
        <f>IFERROR(__xludf.DUMMYFUNCTION("GOOGLETRANSLATE(B31082,""en"",""it"")"),"Sta in piedi in una foresta, facendo mosse di yoga lente e aggraziate.")</f>
        <v>Sta in piedi in una foresta, facendo mosse di yoga lente e aggraziate.</v>
      </c>
    </row>
    <row r="31083">
      <c r="A31083" s="4" t="s">
        <v>39145</v>
      </c>
      <c r="B31083" s="4" t="s">
        <v>39148</v>
      </c>
      <c r="C31083" s="5" t="str">
        <f>IFERROR(__xludf.DUMMYFUNCTION("GOOGLETRANSLATE(B31083,""en"",""it"")"),"Si trova su una piattaforma, continuando i movimenti aggraziati.")</f>
        <v>Si trova su una piattaforma, continuando i movimenti aggraziati.</v>
      </c>
    </row>
    <row r="31084">
      <c r="A31084" s="4" t="s">
        <v>39145</v>
      </c>
      <c r="B31084" s="4" t="s">
        <v>39149</v>
      </c>
      <c r="C31084" s="5" t="str">
        <f>IFERROR(__xludf.DUMMYFUNCTION("GOOGLETRANSLATE(B31084,""en"",""it"")"),"Lo vediamo quindi di nuovo nei boschi, eseguendo ancora lo yoga in silenzio.")</f>
        <v>Lo vediamo quindi di nuovo nei boschi, eseguendo ancora lo yoga in silenzio.</v>
      </c>
    </row>
    <row r="31085">
      <c r="A31085" s="4" t="s">
        <v>39150</v>
      </c>
      <c r="B31085" s="4" t="s">
        <v>39151</v>
      </c>
      <c r="C31085" s="5" t="str">
        <f>IFERROR(__xludf.DUMMYFUNCTION("GOOGLETRANSLATE(B31085,""en"",""it"")"),"Questi due uomini vengono mostrati che spruzzano l'esterno dell'auto nera con sapone.")</f>
        <v>Questi due uomini vengono mostrati che spruzzano l'esterno dell'auto nera con sapone.</v>
      </c>
    </row>
    <row r="31086">
      <c r="A31086" s="4" t="s">
        <v>39150</v>
      </c>
      <c r="B31086" s="4" t="s">
        <v>39152</v>
      </c>
      <c r="C31086" s="5" t="str">
        <f>IFERROR(__xludf.DUMMYFUNCTION("GOOGLETRANSLATE(B31086,""en"",""it"")"),"Quindi hanno iniziato a lavare a mano la macchina usando le mani e un asciugamano.")</f>
        <v>Quindi hanno iniziato a lavare a mano la macchina usando le mani e un asciugamano.</v>
      </c>
    </row>
    <row r="31087">
      <c r="A31087" s="4" t="s">
        <v>39150</v>
      </c>
      <c r="B31087" s="4" t="s">
        <v>39153</v>
      </c>
      <c r="C31087" s="5" t="str">
        <f>IFERROR(__xludf.DUMMYFUNCTION("GOOGLETRANSLATE(B31087,""en"",""it"")"),"Hanno strofinato quasi ovunque per far diventare il nero in lucentezza.")</f>
        <v>Hanno strofinato quasi ovunque per far diventare il nero in lucentezza.</v>
      </c>
    </row>
    <row r="31088">
      <c r="A31088" s="4" t="s">
        <v>39154</v>
      </c>
      <c r="B31088" s="4" t="s">
        <v>39155</v>
      </c>
      <c r="C31088" s="5" t="str">
        <f>IFERROR(__xludf.DUMMYFUNCTION("GOOGLETRANSLATE(B31088,""en"",""it"")"),"Una persona sta tagliando una patata.")</f>
        <v>Una persona sta tagliando una patata.</v>
      </c>
    </row>
    <row r="31089">
      <c r="A31089" s="4" t="s">
        <v>39154</v>
      </c>
      <c r="B31089" s="4" t="s">
        <v>39156</v>
      </c>
      <c r="C31089" s="5" t="str">
        <f>IFERROR(__xludf.DUMMYFUNCTION("GOOGLETRANSLATE(B31089,""en"",""it"")"),"Impilano le fette di patate e iniziano a tagliarle in piccoli pezzi.")</f>
        <v>Impilano le fette di patate e iniziano a tagliarle in piccoli pezzi.</v>
      </c>
    </row>
    <row r="31090">
      <c r="A31090" s="4" t="s">
        <v>39154</v>
      </c>
      <c r="B31090" s="4" t="s">
        <v>39157</v>
      </c>
      <c r="C31090" s="5" t="str">
        <f>IFERROR(__xludf.DUMMYFUNCTION("GOOGLETRANSLATE(B31090,""en"",""it"")"),"Mette i pezzi su un piatto seduto in un lavandino.")</f>
        <v>Mette i pezzi su un piatto seduto in un lavandino.</v>
      </c>
    </row>
    <row r="31091">
      <c r="A31091" s="4" t="s">
        <v>39154</v>
      </c>
      <c r="B31091" s="4" t="s">
        <v>39158</v>
      </c>
      <c r="C31091" s="5" t="str">
        <f>IFERROR(__xludf.DUMMYFUNCTION("GOOGLETRANSLATE(B31091,""en"",""it"")"),"Ci sono piatti di cibo nel lavandino.")</f>
        <v>Ci sono piatti di cibo nel lavandino.</v>
      </c>
    </row>
    <row r="31092">
      <c r="A31092" s="4" t="s">
        <v>39154</v>
      </c>
      <c r="B31092" s="4" t="s">
        <v>39159</v>
      </c>
      <c r="C31092" s="5" t="str">
        <f>IFERROR(__xludf.DUMMYFUNCTION("GOOGLETRANSLATE(B31092,""en"",""it"")"),"Scattona le piastre in una pentola.")</f>
        <v>Scattona le piastre in una pentola.</v>
      </c>
    </row>
    <row r="31093">
      <c r="A31093" s="4" t="s">
        <v>39154</v>
      </c>
      <c r="B31093" s="4" t="s">
        <v>39160</v>
      </c>
      <c r="C31093" s="5" t="str">
        <f>IFERROR(__xludf.DUMMYFUNCTION("GOOGLETRANSLATE(B31093,""en"",""it"")"),"Muove tutto nella pentola insieme.")</f>
        <v>Muove tutto nella pentola insieme.</v>
      </c>
    </row>
    <row r="31094">
      <c r="A31094" s="4" t="s">
        <v>39154</v>
      </c>
      <c r="B31094" s="4" t="s">
        <v>39161</v>
      </c>
      <c r="C31094" s="5" t="str">
        <f>IFERROR(__xludf.DUMMYFUNCTION("GOOGLETRANSLATE(B31094,""en"",""it"")"),"Quindi ne prende una pallina e lo mette su un piatto con verdure.")</f>
        <v>Quindi ne prende una pallina e lo mette su un piatto con verdure.</v>
      </c>
    </row>
    <row r="31095">
      <c r="A31095" s="4" t="s">
        <v>39154</v>
      </c>
      <c r="B31095" s="4" t="s">
        <v>39162</v>
      </c>
      <c r="C31095" s="5" t="str">
        <f>IFERROR(__xludf.DUMMYFUNCTION("GOOGLETRANSLATE(B31095,""en"",""it"")"),"Lo è in cima a condotti.")</f>
        <v>Lo è in cima a condotti.</v>
      </c>
    </row>
    <row r="31096">
      <c r="A31096" s="4" t="s">
        <v>39163</v>
      </c>
      <c r="B31096" s="4" t="s">
        <v>39164</v>
      </c>
      <c r="C31096" s="5" t="str">
        <f>IFERROR(__xludf.DUMMYFUNCTION("GOOGLETRANSLATE(B31096,""en"",""it"")"),"Gli uomini stanno parlando con la telecamera seduta su una sedia.")</f>
        <v>Gli uomini stanno parlando con la telecamera seduta su una sedia.</v>
      </c>
    </row>
    <row r="31097">
      <c r="A31097" s="4" t="s">
        <v>39163</v>
      </c>
      <c r="B31097" s="6" t="s">
        <v>39165</v>
      </c>
      <c r="C31097" s="5" t="str">
        <f>IFERROR(__xludf.DUMMYFUNCTION("GOOGLETRANSLATE(B31097,""en"",""it"")"),"Gli uomini si tolgono gli occhiali e si radono la metà dei volti mentre una donna si truccava, si fa le sopracciglia e mette un eyeliner e le ciglia.")</f>
        <v>Gli uomini si tolgono gli occhiali e si radono la metà dei volti mentre una donna si truccava, si fa le sopracciglia e mette un eyeliner e le ciglia.</v>
      </c>
    </row>
    <row r="31098">
      <c r="A31098" s="4" t="s">
        <v>39163</v>
      </c>
      <c r="B31098" s="6" t="s">
        <v>39166</v>
      </c>
      <c r="C31098" s="5" t="str">
        <f>IFERROR(__xludf.DUMMYFUNCTION("GOOGLETRANSLATE(B31098,""en"",""it"")"),"Gli uomini li guardano allo specchio con la metà del viso con il trucco e la metà senza trucco e parlano con la telecamera.")</f>
        <v>Gli uomini li guardano allo specchio con la metà del viso con il trucco e la metà senza trucco e parlano con la telecamera.</v>
      </c>
    </row>
    <row r="31099">
      <c r="A31099" s="4" t="s">
        <v>39167</v>
      </c>
      <c r="B31099" s="4" t="s">
        <v>39168</v>
      </c>
      <c r="C31099" s="5" t="str">
        <f>IFERROR(__xludf.DUMMYFUNCTION("GOOGLETRANSLATE(B31099,""en"",""it"")"),"La gente spala la neve usando una pala di neve a ruote.")</f>
        <v>La gente spala la neve usando una pala di neve a ruote.</v>
      </c>
    </row>
    <row r="31100">
      <c r="A31100" s="4" t="s">
        <v>39167</v>
      </c>
      <c r="B31100" s="4" t="s">
        <v>39169</v>
      </c>
      <c r="C31100" s="5" t="str">
        <f>IFERROR(__xludf.DUMMYFUNCTION("GOOGLETRANSLATE(B31100,""en"",""it"")"),"Quindi, un uomo dimostra come spalare la neve, usa una borsa.")</f>
        <v>Quindi, un uomo dimostra come spalare la neve, usa una borsa.</v>
      </c>
    </row>
    <row r="31101">
      <c r="A31101" s="4" t="s">
        <v>39170</v>
      </c>
      <c r="B31101" s="4" t="s">
        <v>39171</v>
      </c>
      <c r="C31101" s="5" t="str">
        <f>IFERROR(__xludf.DUMMYFUNCTION("GOOGLETRANSLATE(B31101,""en"",""it"")"),"Un gruppo di persone sta cavalcando cavalli e giocando a polo.")</f>
        <v>Un gruppo di persone sta cavalcando cavalli e giocando a polo.</v>
      </c>
    </row>
    <row r="31102">
      <c r="A31102" s="4" t="s">
        <v>39170</v>
      </c>
      <c r="B31102" s="4" t="s">
        <v>39172</v>
      </c>
      <c r="C31102" s="5" t="str">
        <f>IFERROR(__xludf.DUMMYFUNCTION("GOOGLETRANSLATE(B31102,""en"",""it"")"),"Combattono sopra la palla di fronte alla folla che guarda.")</f>
        <v>Combattono sopra la palla di fronte alla folla che guarda.</v>
      </c>
    </row>
    <row r="31103">
      <c r="A31103" s="4" t="s">
        <v>39170</v>
      </c>
      <c r="B31103" s="4" t="s">
        <v>39173</v>
      </c>
      <c r="C31103" s="5" t="str">
        <f>IFERROR(__xludf.DUMMYFUNCTION("GOOGLETRANSLATE(B31103,""en"",""it"")"),"Quando è finita, si posano per le immagini al di fuori del rodeo e dello stadio.")</f>
        <v>Quando è finita, si posano per le immagini al di fuori del rodeo e dello stadio.</v>
      </c>
    </row>
    <row r="31104">
      <c r="A31104" s="4" t="s">
        <v>39174</v>
      </c>
      <c r="B31104" s="4" t="s">
        <v>39175</v>
      </c>
      <c r="C31104" s="5" t="str">
        <f>IFERROR(__xludf.DUMMYFUNCTION("GOOGLETRANSLATE(B31104,""en"",""it"")"),"Una signora con una camicia rosa si trova in una lavanderia che parla con la telecamera.")</f>
        <v>Una signora con una camicia rosa si trova in una lavanderia che parla con la telecamera.</v>
      </c>
    </row>
    <row r="31105">
      <c r="A31105" s="4" t="s">
        <v>39174</v>
      </c>
      <c r="B31105" s="4" t="s">
        <v>39176</v>
      </c>
      <c r="C31105" s="5" t="str">
        <f>IFERROR(__xludf.DUMMYFUNCTION("GOOGLETRANSLATE(B31105,""en"",""it"")"),"La fotocamera si zoom è per mostrarci l'intera stanza.")</f>
        <v>La fotocamera si zoom è per mostrarci l'intera stanza.</v>
      </c>
    </row>
    <row r="31106">
      <c r="A31106" s="4" t="s">
        <v>39174</v>
      </c>
      <c r="B31106" s="4" t="s">
        <v>39177</v>
      </c>
      <c r="C31106" s="5" t="str">
        <f>IFERROR(__xludf.DUMMYFUNCTION("GOOGLETRANSLATE(B31106,""en"",""it"")"),"La signora ci mostra un flacone spray e lo scuote.")</f>
        <v>La signora ci mostra un flacone spray e lo scuote.</v>
      </c>
    </row>
    <row r="31107">
      <c r="A31107" s="4" t="s">
        <v>39174</v>
      </c>
      <c r="B31107" s="4" t="s">
        <v>39178</v>
      </c>
      <c r="C31107" s="5" t="str">
        <f>IFERROR(__xludf.DUMMYFUNCTION("GOOGLETRANSLATE(B31107,""en"",""it"")"),"La signora parla quindi alla telecamera.")</f>
        <v>La signora parla quindi alla telecamera.</v>
      </c>
    </row>
    <row r="31108">
      <c r="A31108" s="4" t="s">
        <v>39179</v>
      </c>
      <c r="B31108" s="4" t="s">
        <v>39180</v>
      </c>
      <c r="C31108" s="5" t="str">
        <f>IFERROR(__xludf.DUMMYFUNCTION("GOOGLETRANSLATE(B31108,""en"",""it"")"),"Viene mostrato un primo piano di un muro seguito da diverse clip di uomini che aprono una finestra.")</f>
        <v>Viene mostrato un primo piano di un muro seguito da diverse clip di uomini che aprono una finestra.</v>
      </c>
    </row>
    <row r="31109">
      <c r="A31109" s="4" t="s">
        <v>39179</v>
      </c>
      <c r="B31109" s="4" t="s">
        <v>39181</v>
      </c>
      <c r="C31109" s="5" t="str">
        <f>IFERROR(__xludf.DUMMYFUNCTION("GOOGLETRANSLATE(B31109,""en"",""it"")"),"Sono anche visti lavorare su un tetto e mettere le piastrelle sul lato.")</f>
        <v>Sono anche visti lavorare su un tetto e mettere le piastrelle sul lato.</v>
      </c>
    </row>
    <row r="31110">
      <c r="A31110" s="4" t="s">
        <v>39179</v>
      </c>
      <c r="B31110" s="4" t="s">
        <v>39182</v>
      </c>
      <c r="C31110" s="5" t="str">
        <f>IFERROR(__xludf.DUMMYFUNCTION("GOOGLETRANSLATE(B31110,""en"",""it"")"),"Si sono messi in una finestra e finiscono chiudendo.")</f>
        <v>Si sono messi in una finestra e finiscono chiudendo.</v>
      </c>
    </row>
    <row r="31111">
      <c r="A31111" s="4" t="s">
        <v>39183</v>
      </c>
      <c r="B31111" s="4" t="s">
        <v>39184</v>
      </c>
      <c r="C31111" s="5" t="str">
        <f>IFERROR(__xludf.DUMMYFUNCTION("GOOGLETRANSLATE(B31111,""en"",""it"")"),"Un uomo sta pulendo foglie da un marciapiede con una scopa e una pala.")</f>
        <v>Un uomo sta pulendo foglie da un marciapiede con una scopa e una pala.</v>
      </c>
    </row>
    <row r="31112">
      <c r="A31112" s="4" t="s">
        <v>39183</v>
      </c>
      <c r="B31112" s="4" t="s">
        <v>39185</v>
      </c>
      <c r="C31112" s="5" t="str">
        <f>IFERROR(__xludf.DUMMYFUNCTION("GOOGLETRANSLATE(B31112,""en"",""it"")"),"L'uomo spazza le foglie in un cerchio e le mette nel cestino.")</f>
        <v>L'uomo spazza le foglie in un cerchio e le mette nel cestino.</v>
      </c>
    </row>
    <row r="31113">
      <c r="A31113" s="4" t="s">
        <v>39183</v>
      </c>
      <c r="B31113" s="4" t="s">
        <v>39186</v>
      </c>
      <c r="C31113" s="5" t="str">
        <f>IFERROR(__xludf.DUMMYFUNCTION("GOOGLETRANSLATE(B31113,""en"",""it"")"),"Un autobus giallo supera l'uomo.")</f>
        <v>Un autobus giallo supera l'uomo.</v>
      </c>
    </row>
    <row r="31114">
      <c r="A31114" s="4" t="s">
        <v>39183</v>
      </c>
      <c r="B31114" s="4" t="s">
        <v>39187</v>
      </c>
      <c r="C31114" s="5" t="str">
        <f>IFERROR(__xludf.DUMMYFUNCTION("GOOGLETRANSLATE(B31114,""en"",""it"")"),"L'uomo spazza di nuovo e mette le foglie nel cestino.")</f>
        <v>L'uomo spazza di nuovo e mette le foglie nel cestino.</v>
      </c>
    </row>
    <row r="31115">
      <c r="A31115" s="4" t="s">
        <v>39188</v>
      </c>
      <c r="B31115" s="4" t="s">
        <v>39189</v>
      </c>
      <c r="C31115" s="5" t="str">
        <f>IFERROR(__xludf.DUMMYFUNCTION("GOOGLETRANSLATE(B31115,""en"",""it"")"),"Un tutorial è presentato su come fare semplici mosse di balletto.")</f>
        <v>Un tutorial è presentato su come fare semplici mosse di balletto.</v>
      </c>
    </row>
    <row r="31116">
      <c r="A31116" s="4" t="s">
        <v>39188</v>
      </c>
      <c r="B31116" s="4" t="s">
        <v>39190</v>
      </c>
      <c r="C31116" s="5" t="str">
        <f>IFERROR(__xludf.DUMMYFUNCTION("GOOGLETRANSLATE(B31116,""en"",""it"")"),"Dopo aver mostrato i materiali, l'insegnante tocca lo studente per mostrare una forma perfetta.")</f>
        <v>Dopo aver mostrato i materiali, l'insegnante tocca lo studente per mostrare una forma perfetta.</v>
      </c>
    </row>
    <row r="31117">
      <c r="A31117" s="4" t="s">
        <v>39191</v>
      </c>
      <c r="B31117" s="4" t="s">
        <v>39192</v>
      </c>
      <c r="C31117" s="5" t="str">
        <f>IFERROR(__xludf.DUMMYFUNCTION("GOOGLETRANSLATE(B31117,""en"",""it"")"),"Vediamo un uomo e un bambino che decora un albero di Natale.")</f>
        <v>Vediamo un uomo e un bambino che decora un albero di Natale.</v>
      </c>
    </row>
    <row r="31118">
      <c r="A31118" s="4" t="s">
        <v>39191</v>
      </c>
      <c r="B31118" s="4" t="s">
        <v>39193</v>
      </c>
      <c r="C31118" s="5" t="str">
        <f>IFERROR(__xludf.DUMMYFUNCTION("GOOGLETRANSLATE(B31118,""en"",""it"")"),"Il bambino toglie una lampadina blu dall'albero.")</f>
        <v>Il bambino toglie una lampadina blu dall'albero.</v>
      </c>
    </row>
    <row r="31119">
      <c r="A31119" s="4" t="s">
        <v>39191</v>
      </c>
      <c r="B31119" s="4" t="s">
        <v>39194</v>
      </c>
      <c r="C31119" s="5" t="str">
        <f>IFERROR(__xludf.DUMMYFUNCTION("GOOGLETRANSLATE(B31119,""en"",""it"")"),"Il papà lo rimette indietro e il bambino lo riprende.")</f>
        <v>Il papà lo rimette indietro e il bambino lo riprende.</v>
      </c>
    </row>
    <row r="31120">
      <c r="A31120" s="4" t="s">
        <v>39191</v>
      </c>
      <c r="B31120" s="4" t="s">
        <v>39195</v>
      </c>
      <c r="C31120" s="5" t="str">
        <f>IFERROR(__xludf.DUMMYFUNCTION("GOOGLETRANSLATE(B31120,""en"",""it"")"),"Il bambino si gira verso la telecamera e il papà cammina verso un bancone.")</f>
        <v>Il bambino si gira verso la telecamera e il papà cammina verso un bancone.</v>
      </c>
    </row>
    <row r="31121">
      <c r="A31121" s="4" t="s">
        <v>39191</v>
      </c>
      <c r="B31121" s="4" t="s">
        <v>39196</v>
      </c>
      <c r="C31121" s="5" t="str">
        <f>IFERROR(__xludf.DUMMYFUNCTION("GOOGLETRANSLATE(B31121,""en"",""it"")"),"Il bambino lascia cadere il bulbo blu e ne va per un altro.")</f>
        <v>Il bambino lascia cadere il bulbo blu e ne va per un altro.</v>
      </c>
    </row>
    <row r="31122">
      <c r="A31122" s="4" t="s">
        <v>39191</v>
      </c>
      <c r="B31122" s="4" t="s">
        <v>39197</v>
      </c>
      <c r="C31122" s="5" t="str">
        <f>IFERROR(__xludf.DUMMYFUNCTION("GOOGLETRANSLATE(B31122,""en"",""it"")"),"Il bambino aggiunge un altro bulbo blu all'albero.")</f>
        <v>Il bambino aggiunge un altro bulbo blu all'albero.</v>
      </c>
    </row>
    <row r="31123">
      <c r="A31123" s="4" t="s">
        <v>39191</v>
      </c>
      <c r="B31123" s="4" t="s">
        <v>39198</v>
      </c>
      <c r="C31123" s="5" t="str">
        <f>IFERROR(__xludf.DUMMYFUNCTION("GOOGLETRANSLATE(B31123,""en"",""it"")"),"La fotocamera si pone per mostrare l'albero e poi mostra le calze.")</f>
        <v>La fotocamera si pone per mostrare l'albero e poi mostra le calze.</v>
      </c>
    </row>
    <row r="31124">
      <c r="A31124" s="4" t="s">
        <v>39199</v>
      </c>
      <c r="B31124" s="6" t="s">
        <v>39200</v>
      </c>
      <c r="C31124" s="5" t="str">
        <f>IFERROR(__xludf.DUMMYFUNCTION("GOOGLETRANSLATE(B31124,""en"",""it"")"),"Viene visto un uomo parlare con la telecamera e lavorare su una bici seguita da lui che tirava catene e ruota ruota sulla bici.")</f>
        <v>Viene visto un uomo parlare con la telecamera e lavorare su una bici seguita da lui che tirava catene e ruota ruota sulla bici.</v>
      </c>
    </row>
    <row r="31125">
      <c r="A31125" s="4" t="s">
        <v>39199</v>
      </c>
      <c r="B31125" s="6" t="s">
        <v>39201</v>
      </c>
      <c r="C31125" s="5" t="str">
        <f>IFERROR(__xludf.DUMMYFUNCTION("GOOGLETRANSLATE(B31125,""en"",""it"")"),"Accenda la bici e mostra di nuovo la gomma che gira di nuovo, finendo con lui stringendo la gomma e girandola ancora una volta.")</f>
        <v>Accenda la bici e mostra di nuovo la gomma che gira di nuovo, finendo con lui stringendo la gomma e girandola ancora una volta.</v>
      </c>
    </row>
    <row r="31126">
      <c r="A31126" s="4" t="s">
        <v>39202</v>
      </c>
      <c r="B31126" s="4" t="s">
        <v>39203</v>
      </c>
      <c r="C31126" s="5" t="str">
        <f>IFERROR(__xludf.DUMMYFUNCTION("GOOGLETRANSLATE(B31126,""en"",""it"")"),"Uno specialista di saldatura della Tulsa Welding School sta dimostrando come saldare.")</f>
        <v>Uno specialista di saldatura della Tulsa Welding School sta dimostrando come saldare.</v>
      </c>
    </row>
    <row r="31127">
      <c r="A31127" s="4" t="s">
        <v>39202</v>
      </c>
      <c r="B31127" s="6" t="s">
        <v>39204</v>
      </c>
      <c r="C31127" s="5" t="str">
        <f>IFERROR(__xludf.DUMMYFUNCTION("GOOGLETRANSLATE(B31127,""en"",""it"")"),"Spiega le tecniche di saldatura con l'aiuto del saldatore che indossa attrezzature e maschera protettive, usando la torcia.")</f>
        <v>Spiega le tecniche di saldatura con l'aiuto del saldatore che indossa attrezzature e maschera protettive, usando la torcia.</v>
      </c>
    </row>
    <row r="31128">
      <c r="A31128" s="4" t="s">
        <v>39205</v>
      </c>
      <c r="B31128" s="4" t="s">
        <v>39206</v>
      </c>
      <c r="C31128" s="5" t="str">
        <f>IFERROR(__xludf.DUMMYFUNCTION("GOOGLETRANSLATE(B31128,""en"",""it"")"),"Una persona taglia un pepe e mette in una ciotola.")</f>
        <v>Una persona taglia un pepe e mette in una ciotola.</v>
      </c>
    </row>
    <row r="31129">
      <c r="A31129" s="4" t="s">
        <v>39205</v>
      </c>
      <c r="B31129" s="4" t="s">
        <v>39207</v>
      </c>
      <c r="C31129" s="5" t="str">
        <f>IFERROR(__xludf.DUMMYFUNCTION("GOOGLETRANSLATE(B31129,""en"",""it"")"),"Inoltre, la persona cucina i noodles in una pentola.")</f>
        <v>Inoltre, la persona cucina i noodles in una pentola.</v>
      </c>
    </row>
    <row r="31130">
      <c r="A31130" s="4" t="s">
        <v>39205</v>
      </c>
      <c r="B31130" s="4" t="s">
        <v>39208</v>
      </c>
      <c r="C31130" s="5" t="str">
        <f>IFERROR(__xludf.DUMMYFUNCTION("GOOGLETRANSLATE(B31130,""en"",""it"")"),"Quindi, la persona friggi i funghi in una padella, aggiungi sale, aglio, pomodori e radici.")</f>
        <v>Quindi, la persona friggi i funghi in una padella, aggiungi sale, aglio, pomodori e radici.</v>
      </c>
    </row>
    <row r="31131">
      <c r="A31131" s="4" t="s">
        <v>39205</v>
      </c>
      <c r="B31131" s="4" t="s">
        <v>39209</v>
      </c>
      <c r="C31131" s="5" t="str">
        <f>IFERROR(__xludf.DUMMYFUNCTION("GOOGLETRANSLATE(B31131,""en"",""it"")"),"Dopo, la persona aggiunge il pepe e i noodles, mescola e serve.")</f>
        <v>Dopo, la persona aggiunge il pepe e i noodles, mescola e serve.</v>
      </c>
    </row>
    <row r="31132">
      <c r="A31132" s="4" t="s">
        <v>39210</v>
      </c>
      <c r="B31132" s="6" t="s">
        <v>39211</v>
      </c>
      <c r="C31132" s="5" t="str">
        <f>IFERROR(__xludf.DUMMYFUNCTION("GOOGLETRANSLATE(B31132,""en"",""it"")"),"Una donna viene vista piegarsi sopra un tavolo con un tatuatore che si strofina la schiena da dietro e afferrando un ago per tatuaggi.")</f>
        <v>Una donna viene vista piegarsi sopra un tavolo con un tatuatore che si strofina la schiena da dietro e afferrando un ago per tatuaggi.</v>
      </c>
    </row>
    <row r="31133">
      <c r="A31133" s="4" t="s">
        <v>39210</v>
      </c>
      <c r="B31133" s="6" t="s">
        <v>39212</v>
      </c>
      <c r="C31133" s="5" t="str">
        <f>IFERROR(__xludf.DUMMYFUNCTION("GOOGLETRANSLATE(B31133,""en"",""it"")"),"La donna inizia quindi a tatuare il retro della donna mentre la telecamera si muove da vari angoli.")</f>
        <v>La donna inizia quindi a tatuare il retro della donna mentre la telecamera si muove da vari angoli.</v>
      </c>
    </row>
    <row r="31134">
      <c r="A31134" s="4" t="s">
        <v>39213</v>
      </c>
      <c r="B31134" s="4" t="s">
        <v>39214</v>
      </c>
      <c r="C31134" s="5" t="str">
        <f>IFERROR(__xludf.DUMMYFUNCTION("GOOGLETRANSLATE(B31134,""en"",""it"")"),"Una vista di un soffiatore di foglie si trova a terra in un cortile.")</f>
        <v>Una vista di un soffiatore di foglie si trova a terra in un cortile.</v>
      </c>
    </row>
    <row r="31135">
      <c r="A31135" s="4" t="s">
        <v>39213</v>
      </c>
      <c r="B31135" s="4" t="s">
        <v>39215</v>
      </c>
      <c r="C31135" s="5" t="str">
        <f>IFERROR(__xludf.DUMMYFUNCTION("GOOGLETRANSLATE(B31135,""en"",""it"")"),"Il soffiatore a foglia soffia le foglie marroni asciugate usando il soffiatore a foglia.")</f>
        <v>Il soffiatore a foglia soffia le foglie marroni asciugate usando il soffiatore a foglia.</v>
      </c>
    </row>
    <row r="31136">
      <c r="A31136" s="4" t="s">
        <v>39213</v>
      </c>
      <c r="B31136" s="4" t="s">
        <v>39216</v>
      </c>
      <c r="C31136" s="5" t="str">
        <f>IFERROR(__xludf.DUMMYFUNCTION("GOOGLETRANSLATE(B31136,""en"",""it"")"),"Le foglie sono spazzate via da alcuni mobili da prato e spazzate verso il centro del cortile.")</f>
        <v>Le foglie sono spazzate via da alcuni mobili da prato e spazzate verso il centro del cortile.</v>
      </c>
    </row>
    <row r="31137">
      <c r="A31137" s="4" t="s">
        <v>39217</v>
      </c>
      <c r="B31137" s="4" t="s">
        <v>39218</v>
      </c>
      <c r="C31137" s="5" t="str">
        <f>IFERROR(__xludf.DUMMYFUNCTION("GOOGLETRANSLATE(B31137,""en"",""it"")"),"Un grande oggetto nero viene disegnato su un lungo foglio di carta bianca.")</f>
        <v>Un grande oggetto nero viene disegnato su un lungo foglio di carta bianca.</v>
      </c>
    </row>
    <row r="31138">
      <c r="A31138" s="4" t="s">
        <v>39217</v>
      </c>
      <c r="B31138" s="4" t="s">
        <v>39219</v>
      </c>
      <c r="C31138" s="5" t="str">
        <f>IFERROR(__xludf.DUMMYFUNCTION("GOOGLETRANSLATE(B31138,""en"",""it"")"),"Una persona usa un pennello per continuare il dipinto.")</f>
        <v>Una persona usa un pennello per continuare il dipinto.</v>
      </c>
    </row>
    <row r="31139">
      <c r="A31139" s="4" t="s">
        <v>39217</v>
      </c>
      <c r="B31139" s="4" t="s">
        <v>39220</v>
      </c>
      <c r="C31139" s="5" t="str">
        <f>IFERROR(__xludf.DUMMYFUNCTION("GOOGLETRANSLATE(B31139,""en"",""it"")"),"Aggiungono foglie, creando una pianta nera.")</f>
        <v>Aggiungono foglie, creando una pianta nera.</v>
      </c>
    </row>
    <row r="31140">
      <c r="A31140" s="4" t="s">
        <v>39221</v>
      </c>
      <c r="B31140" s="6" t="s">
        <v>39222</v>
      </c>
      <c r="C31140" s="5" t="str">
        <f>IFERROR(__xludf.DUMMYFUNCTION("GOOGLETRANSLATE(B31140,""en"",""it"")"),"Un giovane si vede tenendo gli occhi aperti davanti a uno specchio e tentando di mettere una lente a contatto.")</f>
        <v>Un giovane si vede tenendo gli occhi aperti davanti a uno specchio e tentando di mettere una lente a contatto.</v>
      </c>
    </row>
    <row r="31141">
      <c r="A31141" s="4" t="s">
        <v>39221</v>
      </c>
      <c r="B31141" s="4" t="s">
        <v>39223</v>
      </c>
      <c r="C31141" s="5" t="str">
        <f>IFERROR(__xludf.DUMMYFUNCTION("GOOGLETRANSLATE(B31141,""en"",""it"")"),"Lascia cadere l'obiettivo sul lavandino e cerca di nuovo di mettere il contatto negli occhi.")</f>
        <v>Lascia cadere l'obiettivo sul lavandino e cerca di nuovo di mettere il contatto negli occhi.</v>
      </c>
    </row>
    <row r="31142">
      <c r="A31142" s="4" t="s">
        <v>39221</v>
      </c>
      <c r="B31142" s="6" t="s">
        <v>39224</v>
      </c>
      <c r="C31142" s="5" t="str">
        <f>IFERROR(__xludf.DUMMYFUNCTION("GOOGLETRANSLATE(B31142,""en"",""it"")"),"Lascia cadere di nuovo l'obiettivo e continua a provare a metterlo negli occhi e la telecamera si muove alla fine.")</f>
        <v>Lascia cadere di nuovo l'obiettivo e continua a provare a metterlo negli occhi e la telecamera si muove alla fine.</v>
      </c>
    </row>
    <row r="31143">
      <c r="A31143" s="4" t="s">
        <v>39225</v>
      </c>
      <c r="B31143" s="4" t="s">
        <v>39226</v>
      </c>
      <c r="C31143" s="5" t="str">
        <f>IFERROR(__xludf.DUMMYFUNCTION("GOOGLETRANSLATE(B31143,""en"",""it"")"),"Il video è un tutorial su come preparare la pasta di salsa Alfredo.")</f>
        <v>Il video è un tutorial su come preparare la pasta di salsa Alfredo.</v>
      </c>
    </row>
    <row r="31144">
      <c r="A31144" s="4" t="s">
        <v>39225</v>
      </c>
      <c r="B31144" s="6" t="s">
        <v>39227</v>
      </c>
      <c r="C31144" s="5" t="str">
        <f>IFERROR(__xludf.DUMMYFUNCTION("GOOGLETRANSLATE(B31144,""en"",""it"")"),"Una signora con capelli biondi che indossa una canotta marrone si sta dimostrando come far bollire l'acqua per preparare la pasta a cravatta.")</f>
        <v>Una signora con capelli biondi che indossa una canotta marrone si sta dimostrando come far bollire l'acqua per preparare la pasta a cravatta.</v>
      </c>
    </row>
    <row r="31145">
      <c r="A31145" s="4" t="s">
        <v>39225</v>
      </c>
      <c r="B31145" s="4" t="s">
        <v>39228</v>
      </c>
      <c r="C31145" s="5" t="str">
        <f>IFERROR(__xludf.DUMMYFUNCTION("GOOGLETRANSLATE(B31145,""en"",""it"")"),"Poi sforza la pasta in una ciotola gettando fuori l'acqua in eccesso.")</f>
        <v>Poi sforza la pasta in una ciotola gettando fuori l'acqua in eccesso.</v>
      </c>
    </row>
    <row r="31146">
      <c r="A31146" s="4" t="s">
        <v>39225</v>
      </c>
      <c r="B31146" s="4" t="s">
        <v>39229</v>
      </c>
      <c r="C31146" s="5" t="str">
        <f>IFERROR(__xludf.DUMMYFUNCTION("GOOGLETRANSLATE(B31146,""en"",""it"")"),"Quindi prende un bastone di burro e lo taglia e si aggiunge a una casseruola.")</f>
        <v>Quindi prende un bastone di burro e lo taglia e si aggiunge a una casseruola.</v>
      </c>
    </row>
    <row r="31147">
      <c r="A31147" s="4" t="s">
        <v>39225</v>
      </c>
      <c r="B31147" s="4" t="s">
        <v>39230</v>
      </c>
      <c r="C31147" s="5" t="str">
        <f>IFERROR(__xludf.DUMMYFUNCTION("GOOGLETRANSLATE(B31147,""en"",""it"")"),"Quindi aggiunge un po 'di latte e formaggio e lo mescola con la pasta cotta.")</f>
        <v>Quindi aggiunge un po 'di latte e formaggio e lo mescola con la pasta cotta.</v>
      </c>
    </row>
    <row r="31148">
      <c r="A31148" s="4" t="s">
        <v>39225</v>
      </c>
      <c r="B31148" s="4" t="s">
        <v>39231</v>
      </c>
      <c r="C31148" s="5" t="str">
        <f>IFERROR(__xludf.DUMMYFUNCTION("GOOGLETRANSLATE(B31148,""en"",""it"")"),"Aggiunge un po 'di più latte e formaggio alla pasta per preparare la salsa.")</f>
        <v>Aggiunge un po 'di più latte e formaggio alla pasta per preparare la salsa.</v>
      </c>
    </row>
    <row r="31149">
      <c r="A31149" s="4" t="s">
        <v>39225</v>
      </c>
      <c r="B31149" s="4" t="s">
        <v>39232</v>
      </c>
      <c r="C31149" s="5" t="str">
        <f>IFERROR(__xludf.DUMMYFUNCTION("GOOGLETRANSLATE(B31149,""en"",""it"")"),"Continua a mescolare la pasta nella casseruola.")</f>
        <v>Continua a mescolare la pasta nella casseruola.</v>
      </c>
    </row>
    <row r="31150">
      <c r="A31150" s="4" t="s">
        <v>39225</v>
      </c>
      <c r="B31150" s="4" t="s">
        <v>39233</v>
      </c>
      <c r="C31150" s="5" t="str">
        <f>IFERROR(__xludf.DUMMYFUNCTION("GOOGLETRANSLATE(B31150,""en"",""it"")"),"Serve la pasta in un piatto marrone quadrato e prende un cucchiaio di pasta per assaggiarla.")</f>
        <v>Serve la pasta in un piatto marrone quadrato e prende un cucchiaio di pasta per assaggiarla.</v>
      </c>
    </row>
    <row r="31151">
      <c r="A31151" s="4" t="s">
        <v>39225</v>
      </c>
      <c r="B31151" s="4" t="s">
        <v>39234</v>
      </c>
      <c r="C31151" s="5" t="str">
        <f>IFERROR(__xludf.DUMMYFUNCTION("GOOGLETRANSLATE(B31151,""en"",""it"")"),"È contenta del modo in cui è venuto fuori.")</f>
        <v>È contenta del modo in cui è venuto fuori.</v>
      </c>
    </row>
    <row r="31152">
      <c r="A31152" s="4" t="s">
        <v>39235</v>
      </c>
      <c r="B31152" s="4" t="s">
        <v>39236</v>
      </c>
      <c r="C31152" s="5" t="str">
        <f>IFERROR(__xludf.DUMMYFUNCTION("GOOGLETRANSLATE(B31152,""en"",""it"")"),"Una donna che indossa un vestito balla su un palco.")</f>
        <v>Una donna che indossa un vestito balla su un palco.</v>
      </c>
    </row>
    <row r="31153">
      <c r="A31153" s="4" t="s">
        <v>39235</v>
      </c>
      <c r="B31153" s="4" t="s">
        <v>39237</v>
      </c>
      <c r="C31153" s="5" t="str">
        <f>IFERROR(__xludf.DUMMYFUNCTION("GOOGLETRANSLATE(B31153,""en"",""it"")"),"Il fumo viene pompato sul palco dietro di lei.")</f>
        <v>Il fumo viene pompato sul palco dietro di lei.</v>
      </c>
    </row>
    <row r="31154">
      <c r="A31154" s="4" t="s">
        <v>39235</v>
      </c>
      <c r="B31154" s="4" t="s">
        <v>39238</v>
      </c>
      <c r="C31154" s="5" t="str">
        <f>IFERROR(__xludf.DUMMYFUNCTION("GOOGLETRANSLATE(B31154,""en"",""it"")"),"Si inchina alla fine e fa un passo indietro.")</f>
        <v>Si inchina alla fine e fa un passo indietro.</v>
      </c>
    </row>
    <row r="31155">
      <c r="A31155" s="4" t="s">
        <v>39239</v>
      </c>
      <c r="B31155" s="4" t="s">
        <v>39240</v>
      </c>
      <c r="C31155" s="5" t="str">
        <f>IFERROR(__xludf.DUMMYFUNCTION("GOOGLETRANSLATE(B31155,""en"",""it"")"),"Un uomo che indossa un cappotto nero sta tagliando un pezzo di legno con un'ascia.")</f>
        <v>Un uomo che indossa un cappotto nero sta tagliando un pezzo di legno con un'ascia.</v>
      </c>
    </row>
    <row r="31156">
      <c r="A31156" s="4" t="s">
        <v>39239</v>
      </c>
      <c r="B31156" s="4" t="s">
        <v>39241</v>
      </c>
      <c r="C31156" s="5" t="str">
        <f>IFERROR(__xludf.DUMMYFUNCTION("GOOGLETRANSLATE(B31156,""en"",""it"")"),"Ci prova di nuovo e lo taglia di nuovo.")</f>
        <v>Ci prova di nuovo e lo taglia di nuovo.</v>
      </c>
    </row>
    <row r="31157">
      <c r="A31157" s="4" t="s">
        <v>39239</v>
      </c>
      <c r="B31157" s="4" t="s">
        <v>39242</v>
      </c>
      <c r="C31157" s="5" t="str">
        <f>IFERROR(__xludf.DUMMYFUNCTION("GOOGLETRANSLATE(B31157,""en"",""it"")"),"Muove il moncone e cerca di tagliarlo di nuovo.")</f>
        <v>Muove il moncone e cerca di tagliarlo di nuovo.</v>
      </c>
    </row>
    <row r="31158">
      <c r="A31158" s="4" t="s">
        <v>39239</v>
      </c>
      <c r="B31158" s="4" t="s">
        <v>39243</v>
      </c>
      <c r="C31158" s="5" t="str">
        <f>IFERROR(__xludf.DUMMYFUNCTION("GOOGLETRANSLATE(B31158,""en"",""it"")"),"Continua a tagliare il legno.")</f>
        <v>Continua a tagliare il legno.</v>
      </c>
    </row>
    <row r="31159">
      <c r="A31159" s="4" t="s">
        <v>39244</v>
      </c>
      <c r="B31159" s="4" t="s">
        <v>39245</v>
      </c>
      <c r="C31159" s="5" t="str">
        <f>IFERROR(__xludf.DUMMYFUNCTION("GOOGLETRANSLATE(B31159,""en"",""it"")"),"I nuotatori stanno nuotando da un lato della piscina e poi si fermano brevemente.")</f>
        <v>I nuotatori stanno nuotando da un lato della piscina e poi si fermano brevemente.</v>
      </c>
    </row>
    <row r="31160">
      <c r="A31160" s="4" t="s">
        <v>39244</v>
      </c>
      <c r="B31160" s="4" t="s">
        <v>39246</v>
      </c>
      <c r="C31160" s="5" t="str">
        <f>IFERROR(__xludf.DUMMYFUNCTION("GOOGLETRANSLATE(B31160,""en"",""it"")"),"Alcuni nuotatori sulle linee laterali li stanno guardando.")</f>
        <v>Alcuni nuotatori sulle linee laterali li stanno guardando.</v>
      </c>
    </row>
    <row r="31161">
      <c r="A31161" s="4" t="s">
        <v>39244</v>
      </c>
      <c r="B31161" s="4" t="s">
        <v>39247</v>
      </c>
      <c r="C31161" s="5" t="str">
        <f>IFERROR(__xludf.DUMMYFUNCTION("GOOGLETRANSLATE(B31161,""en"",""it"")"),"Iniziano a lanciare una palla avanti e indietro.")</f>
        <v>Iniziano a lanciare una palla avanti e indietro.</v>
      </c>
    </row>
    <row r="31162">
      <c r="A31162" s="4" t="s">
        <v>39244</v>
      </c>
      <c r="B31162" s="4" t="s">
        <v>39248</v>
      </c>
      <c r="C31162" s="5" t="str">
        <f>IFERROR(__xludf.DUMMYFUNCTION("GOOGLETRANSLATE(B31162,""en"",""it"")"),"Un uomo nell'angolo della piscina cerca di catturare la palla e manca.")</f>
        <v>Un uomo nell'angolo della piscina cerca di catturare la palla e manca.</v>
      </c>
    </row>
    <row r="31163">
      <c r="A31163" s="4" t="s">
        <v>39249</v>
      </c>
      <c r="B31163" s="6" t="s">
        <v>39250</v>
      </c>
      <c r="C31163" s="5" t="str">
        <f>IFERROR(__xludf.DUMMYFUNCTION("GOOGLETRANSLATE(B31163,""en"",""it"")"),"Una donna parla, di fronte alla telecamera mentre tiene due manubri e poi dimostra un esercizio di ciclo di spin davanti a una classe in palestra.")</f>
        <v>Una donna parla, di fronte alla telecamera mentre tiene due manubri e poi dimostra un esercizio di ciclo di spin davanti a una classe in palestra.</v>
      </c>
    </row>
    <row r="31164">
      <c r="A31164" s="4" t="s">
        <v>39249</v>
      </c>
      <c r="B31164" s="6" t="s">
        <v>39251</v>
      </c>
      <c r="C31164" s="5" t="str">
        <f>IFERROR(__xludf.DUMMYFUNCTION("GOOGLETRANSLATE(B31164,""en"",""it"")"),"Una donna si alza e parla mentre si rivolge alla telecamera, in palestra, con un muro di specchi al suo fianco e diverse persone dietro di lei in piedi vicino a vari pezzi di attrezzatura da palestra.")</f>
        <v>Una donna si alza e parla mentre si rivolge alla telecamera, in palestra, con un muro di specchi al suo fianco e diverse persone dietro di lei in piedi vicino a vari pezzi di attrezzatura da palestra.</v>
      </c>
    </row>
    <row r="31165">
      <c r="A31165" s="4" t="s">
        <v>39249</v>
      </c>
      <c r="B31165" s="6" t="s">
        <v>39252</v>
      </c>
      <c r="C31165" s="5" t="str">
        <f>IFERROR(__xludf.DUMMYFUNCTION("GOOGLETRANSLATE(B31165,""en"",""it"")"),"La donna, ora che indossa un auricolare con un microfono attaccato al bocchino, inizia a pedalare molto velocemente su una macchina per ciclo di spin davanti a uno specchio con una classe di persone dietro di lei che si trovano anche su macchine per cicli"&amp;" di spin.")</f>
        <v>La donna, ora che indossa un auricolare con un microfono attaccato al bocchino, inizia a pedalare molto velocemente su una macchina per ciclo di spin davanti a uno specchio con una classe di persone dietro di lei che si trovano anche su macchine per cicli di spin.</v>
      </c>
    </row>
    <row r="31166">
      <c r="A31166" s="4" t="s">
        <v>39249</v>
      </c>
      <c r="B31166" s="6" t="s">
        <v>39253</v>
      </c>
      <c r="C31166" s="5" t="str">
        <f>IFERROR(__xludf.DUMMYFUNCTION("GOOGLETRANSLATE(B31166,""en"",""it"")"),"La donna solleva quindi manubri con le braccia mentre si trova in piedi, solleva manubri mentre si sede sul pavimento e poi torna alla macchina del ciclo di spin prima che la scena svanisca in nero.")</f>
        <v>La donna solleva quindi manubri con le braccia mentre si trova in piedi, solleva manubri mentre si sede sul pavimento e poi torna alla macchina del ciclo di spin prima che la scena svanisca in nero.</v>
      </c>
    </row>
    <row r="31167">
      <c r="A31167" s="4" t="s">
        <v>39254</v>
      </c>
      <c r="B31167" s="4" t="s">
        <v>39255</v>
      </c>
      <c r="C31167" s="5" t="str">
        <f>IFERROR(__xludf.DUMMYFUNCTION("GOOGLETRANSLATE(B31167,""en"",""it"")"),"Quattro uomini sono fuori in un campo che si lanciano una palla da baseball.")</f>
        <v>Quattro uomini sono fuori in un campo che si lanciano una palla da baseball.</v>
      </c>
    </row>
    <row r="31168">
      <c r="A31168" s="4" t="s">
        <v>39254</v>
      </c>
      <c r="B31168" s="4" t="s">
        <v>39256</v>
      </c>
      <c r="C31168" s="5" t="str">
        <f>IFERROR(__xludf.DUMMYFUNCTION("GOOGLETRANSLATE(B31168,""en"",""it"")"),"Una palla quindi rotola in uno stagno e un ragazzino lo afferra e lo lancia.")</f>
        <v>Una palla quindi rotola in uno stagno e un ragazzino lo afferra e lo lancia.</v>
      </c>
    </row>
    <row r="31169">
      <c r="A31169" s="4" t="s">
        <v>39254</v>
      </c>
      <c r="B31169" s="4" t="s">
        <v>39257</v>
      </c>
      <c r="C31169" s="5" t="str">
        <f>IFERROR(__xludf.DUMMYFUNCTION("GOOGLETRANSLATE(B31169,""en"",""it"")"),"La scena si sposta in un parco giochi e i ragazzi iniziano a scendere nella diapositiva.")</f>
        <v>La scena si sposta in un parco giochi e i ragazzi iniziano a scendere nella diapositiva.</v>
      </c>
    </row>
    <row r="31170">
      <c r="A31170" s="4" t="s">
        <v>39254</v>
      </c>
      <c r="B31170" s="6" t="s">
        <v>39258</v>
      </c>
      <c r="C31170" s="5" t="str">
        <f>IFERROR(__xludf.DUMMYFUNCTION("GOOGLETRANSLATE(B31170,""en"",""it"")"),"Vengono mostrati più bambini e stanno facendo varie attività mentre giocano come See Saw, Monkey Bar e Swings.")</f>
        <v>Vengono mostrati più bambini e stanno facendo varie attività mentre giocano come See Saw, Monkey Bar e Swings.</v>
      </c>
    </row>
    <row r="31171">
      <c r="A31171" s="4" t="s">
        <v>39254</v>
      </c>
      <c r="B31171" s="4" t="s">
        <v>39259</v>
      </c>
      <c r="C31171" s="5" t="str">
        <f>IFERROR(__xludf.DUMMYFUNCTION("GOOGLETRANSLATE(B31171,""en"",""it"")"),"Sul lato, un ragazzo inizia a pompare la sua gomma e un bambino piccolo viene mostrato in un bacino.")</f>
        <v>Sul lato, un ragazzo inizia a pompare la sua gomma e un bambino piccolo viene mostrato in un bacino.</v>
      </c>
    </row>
    <row r="31172">
      <c r="A31172" s="4" t="s">
        <v>39260</v>
      </c>
      <c r="B31172" s="4" t="s">
        <v>39261</v>
      </c>
      <c r="C31172" s="5" t="str">
        <f>IFERROR(__xludf.DUMMYFUNCTION("GOOGLETRANSLATE(B31172,""en"",""it"")"),"Un istruttore di esercizi sta spiegando il passo.")</f>
        <v>Un istruttore di esercizi sta spiegando il passo.</v>
      </c>
    </row>
    <row r="31173">
      <c r="A31173" s="4" t="s">
        <v>39260</v>
      </c>
      <c r="B31173" s="4" t="s">
        <v>39262</v>
      </c>
      <c r="C31173" s="5" t="str">
        <f>IFERROR(__xludf.DUMMYFUNCTION("GOOGLETRANSLATE(B31173,""en"",""it"")"),"Si fa avanti e inizia a mostrare gli esercizi.")</f>
        <v>Si fa avanti e inizia a mostrare gli esercizi.</v>
      </c>
    </row>
    <row r="31174">
      <c r="A31174" s="4" t="s">
        <v>39260</v>
      </c>
      <c r="B31174" s="6" t="s">
        <v>39263</v>
      </c>
      <c r="C31174" s="5" t="str">
        <f>IFERROR(__xludf.DUMMYFUNCTION("GOOGLETRANSLATE(B31174,""en"",""it"")"),"Ci va di fronte e mostra più esercizi, si alza su e giù e sollevando le braccia mentre fa un passo.")</f>
        <v>Ci va di fronte e mostra più esercizi, si alza su e giù e sollevando le braccia mentre fa un passo.</v>
      </c>
    </row>
    <row r="31175">
      <c r="A31175" s="4" t="s">
        <v>39260</v>
      </c>
      <c r="B31175" s="4" t="s">
        <v>39264</v>
      </c>
      <c r="C31175" s="5" t="str">
        <f>IFERROR(__xludf.DUMMYFUNCTION("GOOGLETRANSLATE(B31175,""en"",""it"")"),"Si ferma e spiega di più.")</f>
        <v>Si ferma e spiega di più.</v>
      </c>
    </row>
    <row r="31176">
      <c r="A31176" s="4" t="s">
        <v>39260</v>
      </c>
      <c r="B31176" s="4" t="s">
        <v>39265</v>
      </c>
      <c r="C31176" s="5" t="str">
        <f>IFERROR(__xludf.DUMMYFUNCTION("GOOGLETRANSLATE(B31176,""en"",""it"")"),"Si gira al passo e inizia ulteriori progressi.")</f>
        <v>Si gira al passo e inizia ulteriori progressi.</v>
      </c>
    </row>
    <row r="31177">
      <c r="A31177" s="4" t="s">
        <v>39260</v>
      </c>
      <c r="B31177" s="4" t="s">
        <v>39266</v>
      </c>
      <c r="C31177" s="5" t="str">
        <f>IFERROR(__xludf.DUMMYFUNCTION("GOOGLETRANSLATE(B31177,""en"",""it"")"),"Si ferma per il momento e mostra di nuovo il passo veloce.")</f>
        <v>Si ferma per il momento e mostra di nuovo il passo veloce.</v>
      </c>
    </row>
    <row r="31178">
      <c r="A31178" s="4" t="s">
        <v>39267</v>
      </c>
      <c r="B31178" s="4" t="s">
        <v>39268</v>
      </c>
      <c r="C31178" s="5" t="str">
        <f>IFERROR(__xludf.DUMMYFUNCTION("GOOGLETRANSLATE(B31178,""en"",""it"")"),"Due uomini suonano una canzone su una chitarre insieme in una stanza scarsamente illuminata.")</f>
        <v>Due uomini suonano una canzone su una chitarre insieme in una stanza scarsamente illuminata.</v>
      </c>
    </row>
    <row r="31179">
      <c r="A31179" s="4" t="s">
        <v>39267</v>
      </c>
      <c r="B31179" s="4" t="s">
        <v>39269</v>
      </c>
      <c r="C31179" s="5" t="str">
        <f>IFERROR(__xludf.DUMMYFUNCTION("GOOGLETRANSLATE(B31179,""en"",""it"")"),"Quelli giù per suonare la chitarra acustica.")</f>
        <v>Quelli giù per suonare la chitarra acustica.</v>
      </c>
    </row>
    <row r="31180">
      <c r="A31180" s="4" t="s">
        <v>39270</v>
      </c>
      <c r="B31180" s="4" t="s">
        <v>39271</v>
      </c>
      <c r="C31180" s="5" t="str">
        <f>IFERROR(__xludf.DUMMYFUNCTION("GOOGLETRANSLATE(B31180,""en"",""it"")"),"In modalità Speed ​​Up un uomo anziano cammina dalla parte anteriore di una casa e afferra un moto di neve blu.")</f>
        <v>In modalità Speed ​​Up un uomo anziano cammina dalla parte anteriore di una casa e afferra un moto di neve blu.</v>
      </c>
    </row>
    <row r="31181">
      <c r="A31181" s="4" t="s">
        <v>39270</v>
      </c>
      <c r="B31181" s="4" t="s">
        <v>39272</v>
      </c>
      <c r="C31181" s="5" t="str">
        <f>IFERROR(__xludf.DUMMYFUNCTION("GOOGLETRANSLATE(B31181,""en"",""it"")"),"Continuando in modalità Speed ​​Up, l'uomo inizia a arare la neve per fare un percorso.")</f>
        <v>Continuando in modalità Speed ​​Up, l'uomo inizia a arare la neve per fare un percorso.</v>
      </c>
    </row>
    <row r="31182">
      <c r="A31182" s="4" t="s">
        <v>39270</v>
      </c>
      <c r="B31182" s="4" t="s">
        <v>39273</v>
      </c>
      <c r="C31182" s="5" t="str">
        <f>IFERROR(__xludf.DUMMYFUNCTION("GOOGLETRANSLATE(B31182,""en"",""it"")"),"L'uomo quindi sposta la vista della telecamera e ara la neve in un'area diversa che è recintata.")</f>
        <v>L'uomo quindi sposta la vista della telecamera e ara la neve in un'area diversa che è recintata.</v>
      </c>
    </row>
    <row r="31183">
      <c r="A31183" s="4" t="s">
        <v>39270</v>
      </c>
      <c r="B31183" s="4" t="s">
        <v>39274</v>
      </c>
      <c r="C31183" s="5" t="str">
        <f>IFERROR(__xludf.DUMMYFUNCTION("GOOGLETRANSLATE(B31183,""en"",""it"")"),"L'uomo afferra la fotocamera, punta all'aratro e poi si lancia verso le diverse aree del cortile.")</f>
        <v>L'uomo afferra la fotocamera, punta all'aratro e poi si lancia verso le diverse aree del cortile.</v>
      </c>
    </row>
    <row r="31184">
      <c r="A31184" s="4" t="s">
        <v>39270</v>
      </c>
      <c r="B31184" s="6" t="s">
        <v>39275</v>
      </c>
      <c r="C31184" s="5" t="str">
        <f>IFERROR(__xludf.DUMMYFUNCTION("GOOGLETRANSLATE(B31184,""en"",""it"")"),"L'uomo quindi va in casa a mostrare un seminario disordinato e ingombra pieno di strumenti e forniture.")</f>
        <v>L'uomo quindi va in casa a mostrare un seminario disordinato e ingombra pieno di strumenti e forniture.</v>
      </c>
    </row>
    <row r="31185">
      <c r="A31185" s="4" t="s">
        <v>39270</v>
      </c>
      <c r="B31185" s="6" t="s">
        <v>39276</v>
      </c>
      <c r="C31185" s="5" t="str">
        <f>IFERROR(__xludf.DUMMYFUNCTION("GOOGLETRANSLATE(B31185,""en"",""it"")"),"L'uomo torna fuori, mostra il suo cane e cammina per il suo cortile, mette giù il suo cane e il cane corre di nuovo sul laboratorio e spinge la porta.")</f>
        <v>L'uomo torna fuori, mostra il suo cane e cammina per il suo cortile, mette giù il suo cane e il cane corre di nuovo sul laboratorio e spinge la porta.</v>
      </c>
    </row>
    <row r="31186">
      <c r="A31186" s="4" t="s">
        <v>39277</v>
      </c>
      <c r="B31186" s="4" t="s">
        <v>573</v>
      </c>
      <c r="C31186" s="5" t="str">
        <f>IFERROR(__xludf.DUMMYFUNCTION("GOOGLETRANSLATE(B31186,""en"",""it"")"),"Vengono visualizzati i crediti del video.")</f>
        <v>Vengono visualizzati i crediti del video.</v>
      </c>
    </row>
    <row r="31187">
      <c r="A31187" s="4" t="s">
        <v>39277</v>
      </c>
      <c r="B31187" s="4" t="s">
        <v>39278</v>
      </c>
      <c r="C31187" s="5" t="str">
        <f>IFERROR(__xludf.DUMMYFUNCTION("GOOGLETRANSLATE(B31187,""en"",""it"")"),"Una signora si siede, parla e beve caffè.")</f>
        <v>Una signora si siede, parla e beve caffè.</v>
      </c>
    </row>
    <row r="31188">
      <c r="A31188" s="4" t="s">
        <v>39277</v>
      </c>
      <c r="B31188" s="4" t="s">
        <v>39279</v>
      </c>
      <c r="C31188" s="5" t="str">
        <f>IFERROR(__xludf.DUMMYFUNCTION("GOOGLETRANSLATE(B31188,""en"",""it"")"),"Vengono visualizzati i crediti della clip.")</f>
        <v>Vengono visualizzati i crediti della clip.</v>
      </c>
    </row>
    <row r="31189">
      <c r="A31189" s="4" t="s">
        <v>39280</v>
      </c>
      <c r="B31189" s="4" t="s">
        <v>39281</v>
      </c>
      <c r="C31189" s="5" t="str">
        <f>IFERROR(__xludf.DUMMYFUNCTION("GOOGLETRANSLATE(B31189,""en"",""it"")"),"Un vecchio mette il sale sull'acqua di bowling in una pentola, quindi aggiunge pasta e lascia cuocere per un minuto.")</f>
        <v>Un vecchio mette il sale sull'acqua di bowling in una pentola, quindi aggiunge pasta e lascia cuocere per un minuto.</v>
      </c>
    </row>
    <row r="31190">
      <c r="A31190" s="4" t="s">
        <v>39280</v>
      </c>
      <c r="B31190" s="4" t="s">
        <v>39282</v>
      </c>
      <c r="C31190" s="5" t="str">
        <f>IFERROR(__xludf.DUMMYFUNCTION("GOOGLETRANSLATE(B31190,""en"",""it"")"),"Quindi, l'uomo spegne la stufa e mette sulla pentola un panno e un coperchio e lo lascia per 10 minuti.")</f>
        <v>Quindi, l'uomo spegne la stufa e mette sulla pentola un panno e un coperchio e lo lascia per 10 minuti.</v>
      </c>
    </row>
    <row r="31191">
      <c r="A31191" s="4" t="s">
        <v>39280</v>
      </c>
      <c r="B31191" s="4" t="s">
        <v>39283</v>
      </c>
      <c r="C31191" s="5" t="str">
        <f>IFERROR(__xludf.DUMMYFUNCTION("GOOGLETRANSLATE(B31191,""en"",""it"")"),"Dopo, l'uomo prosciuga la pasta nel lavandino.")</f>
        <v>Dopo, l'uomo prosciuga la pasta nel lavandino.</v>
      </c>
    </row>
    <row r="31192">
      <c r="A31192" s="4" t="s">
        <v>39280</v>
      </c>
      <c r="B31192" s="4" t="s">
        <v>39284</v>
      </c>
      <c r="C31192" s="5" t="str">
        <f>IFERROR(__xludf.DUMMYFUNCTION("GOOGLETRANSLATE(B31192,""en"",""it"")"),"Una donna arriva e assaggia la pasta cotta e dà un colpo in piedi.")</f>
        <v>Una donna arriva e assaggia la pasta cotta e dà un colpo in piedi.</v>
      </c>
    </row>
    <row r="31193">
      <c r="A31193" s="4" t="s">
        <v>39285</v>
      </c>
      <c r="B31193" s="4" t="s">
        <v>39286</v>
      </c>
      <c r="C31193" s="5" t="str">
        <f>IFERROR(__xludf.DUMMYFUNCTION("GOOGLETRANSLATE(B31193,""en"",""it"")"),"Un uomo viene visto seduto in un tubo che parla e conduce a persone che camminano con tubi.")</f>
        <v>Un uomo viene visto seduto in un tubo che parla e conduce a persone che camminano con tubi.</v>
      </c>
    </row>
    <row r="31194">
      <c r="A31194" s="4" t="s">
        <v>39285</v>
      </c>
      <c r="B31194" s="4" t="s">
        <v>39287</v>
      </c>
      <c r="C31194" s="5" t="str">
        <f>IFERROR(__xludf.DUMMYFUNCTION("GOOGLETRANSLATE(B31194,""en"",""it"")"),"I colpi dell'acqua sono mostrati seguiti da persone che cavalcano un fiume sui tubi.")</f>
        <v>I colpi dell'acqua sono mostrati seguiti da persone che cavalcano un fiume sui tubi.</v>
      </c>
    </row>
    <row r="31195">
      <c r="A31195" s="4" t="s">
        <v>39285</v>
      </c>
      <c r="B31195" s="4" t="s">
        <v>39288</v>
      </c>
      <c r="C31195" s="5" t="str">
        <f>IFERROR(__xludf.DUMMYFUNCTION("GOOGLETRANSLATE(B31195,""en"",""it"")"),"La gente continua a cavalcare uno dopo l'altro mentre le persone guardano sul lato.")</f>
        <v>La gente continua a cavalcare uno dopo l'altro mentre le persone guardano sul lato.</v>
      </c>
    </row>
    <row r="31196">
      <c r="A31196" s="4" t="s">
        <v>39289</v>
      </c>
      <c r="B31196" s="4" t="s">
        <v>39290</v>
      </c>
      <c r="C31196" s="5" t="str">
        <f>IFERROR(__xludf.DUMMYFUNCTION("GOOGLETRANSLATE(B31196,""en"",""it"")"),"Una ragazza colpisce una pinata con una mazza arancione e giocattolo.")</f>
        <v>Una ragazza colpisce una pinata con una mazza arancione e giocattolo.</v>
      </c>
    </row>
    <row r="31197">
      <c r="A31197" s="4" t="s">
        <v>39289</v>
      </c>
      <c r="B31197" s="4" t="s">
        <v>39291</v>
      </c>
      <c r="C31197" s="5" t="str">
        <f>IFERROR(__xludf.DUMMYFUNCTION("GOOGLETRANSLATE(B31197,""en"",""it"")"),"Il pipistrello cade e la ragazza lo raccoglie.")</f>
        <v>Il pipistrello cade e la ragazza lo raccoglie.</v>
      </c>
    </row>
    <row r="31198">
      <c r="A31198" s="4" t="s">
        <v>39289</v>
      </c>
      <c r="B31198" s="4" t="s">
        <v>39292</v>
      </c>
      <c r="C31198" s="5" t="str">
        <f>IFERROR(__xludf.DUMMYFUNCTION("GOOGLETRANSLATE(B31198,""en"",""it"")"),"Dietro di lei, un ragazzo dimostra come dovrebbe colpire e applaudire.")</f>
        <v>Dietro di lei, un ragazzo dimostra come dovrebbe colpire e applaudire.</v>
      </c>
    </row>
    <row r="31199">
      <c r="A31199" s="4" t="s">
        <v>39293</v>
      </c>
      <c r="B31199" s="4" t="s">
        <v>39294</v>
      </c>
      <c r="C31199" s="5" t="str">
        <f>IFERROR(__xludf.DUMMYFUNCTION("GOOGLETRANSLATE(B31199,""en"",""it"")"),"In una squadra di tribunali indoor gioca a calcio mentre il pubblico si trova allo stadio.")</f>
        <v>In una squadra di tribunali indoor gioca a calcio mentre il pubblico si trova allo stadio.</v>
      </c>
    </row>
    <row r="31200">
      <c r="A31200" s="4" t="s">
        <v>39293</v>
      </c>
      <c r="B31200" s="6" t="s">
        <v>39295</v>
      </c>
      <c r="C31200" s="5" t="str">
        <f>IFERROR(__xludf.DUMMYFUNCTION("GOOGLETRANSLATE(B31200,""en"",""it"")"),"La squadra in Black sta cercando di impedire all'altra squadra in rosso di segnare, il portiere blocca il punteggio.")</f>
        <v>La squadra in Black sta cercando di impedire all'altra squadra in rosso di segnare, il portiere blocca il punteggio.</v>
      </c>
    </row>
    <row r="31201">
      <c r="A31201" s="4" t="s">
        <v>39293</v>
      </c>
      <c r="B31201" s="4" t="s">
        <v>39296</v>
      </c>
      <c r="C31201" s="5" t="str">
        <f>IFERROR(__xludf.DUMMYFUNCTION("GOOGLETRANSLATE(B31201,""en"",""it"")"),"Corse su e giù per il campo cercando di segnare e impedire all'altro di segnare.")</f>
        <v>Corse su e giù per il campo cercando di segnare e impedire all'altro di segnare.</v>
      </c>
    </row>
    <row r="31202">
      <c r="A31202" s="4" t="s">
        <v>39293</v>
      </c>
      <c r="B31202" s="4" t="s">
        <v>39297</v>
      </c>
      <c r="C31202" s="5" t="str">
        <f>IFERROR(__xludf.DUMMYFUNCTION("GOOGLETRANSLATE(B31202,""en"",""it"")"),"La squadra rossa segna ed è 1-1, continuano a tornare in campo fino a quando il gioco è finito.")</f>
        <v>La squadra rossa segna ed è 1-1, continuano a tornare in campo fino a quando il gioco è finito.</v>
      </c>
    </row>
    <row r="31203">
      <c r="A31203" s="4" t="s">
        <v>39298</v>
      </c>
      <c r="B31203" s="4" t="s">
        <v>39299</v>
      </c>
      <c r="C31203" s="5" t="str">
        <f>IFERROR(__xludf.DUMMYFUNCTION("GOOGLETRANSLATE(B31203,""en"",""it"")"),"Una band suona su un palco.")</f>
        <v>Una band suona su un palco.</v>
      </c>
    </row>
    <row r="31204">
      <c r="A31204" s="4" t="s">
        <v>39298</v>
      </c>
      <c r="B31204" s="4" t="s">
        <v>39300</v>
      </c>
      <c r="C31204" s="5" t="str">
        <f>IFERROR(__xludf.DUMMYFUNCTION("GOOGLETRANSLATE(B31204,""en"",""it"")"),"Un uomo in abito suona il sassofono davanti indossando occhiali da sole.")</f>
        <v>Un uomo in abito suona il sassofono davanti indossando occhiali da sole.</v>
      </c>
    </row>
    <row r="31205">
      <c r="A31205" s="4" t="s">
        <v>39301</v>
      </c>
      <c r="B31205" s="6" t="s">
        <v>39302</v>
      </c>
      <c r="C31205" s="5" t="str">
        <f>IFERROR(__xludf.DUMMYFUNCTION("GOOGLETRANSLATE(B31205,""en"",""it"")"),"Vengono mostrate varie clip di un uomo che si vede e si lancia seguiti da lui seduto su una barca e parlando alla telecamera.")</f>
        <v>Vengono mostrate varie clip di un uomo che si vede e si lancia seguiti da lui seduto su una barca e parlando alla telecamera.</v>
      </c>
    </row>
    <row r="31206">
      <c r="A31206" s="4" t="s">
        <v>39301</v>
      </c>
      <c r="B31206" s="6" t="s">
        <v>39303</v>
      </c>
      <c r="C31206" s="5" t="str">
        <f>IFERROR(__xludf.DUMMYFUNCTION("GOOGLETRANSLATE(B31206,""en"",""it"")"),"Vengono mostrati molti altri scatti in cui cavalca e parlano, così come una donna bionda anche sveglia.")</f>
        <v>Vengono mostrati molti altri scatti in cui cavalca e parlano, così come una donna bionda anche sveglia.</v>
      </c>
    </row>
    <row r="31207">
      <c r="A31207" s="4" t="s">
        <v>39301</v>
      </c>
      <c r="B31207" s="4" t="s">
        <v>39304</v>
      </c>
      <c r="C31207" s="5" t="str">
        <f>IFERROR(__xludf.DUMMYFUNCTION("GOOGLETRANSLATE(B31207,""en"",""it"")"),"I due guidano lungo l'acqua mentre l'uomo continua a parlare con la telecamera.")</f>
        <v>I due guidano lungo l'acqua mentre l'uomo continua a parlare con la telecamera.</v>
      </c>
    </row>
    <row r="31208">
      <c r="A31208" s="4" t="s">
        <v>39305</v>
      </c>
      <c r="B31208" s="4" t="s">
        <v>31981</v>
      </c>
      <c r="C31208" s="5" t="str">
        <f>IFERROR(__xludf.DUMMYFUNCTION("GOOGLETRANSLATE(B31208,""en"",""it"")"),"Un emblema appare sullo schermo.")</f>
        <v>Un emblema appare sullo schermo.</v>
      </c>
    </row>
    <row r="31209">
      <c r="A31209" s="4" t="s">
        <v>39305</v>
      </c>
      <c r="B31209" s="4" t="s">
        <v>39306</v>
      </c>
      <c r="C31209" s="5" t="str">
        <f>IFERROR(__xludf.DUMMYFUNCTION("GOOGLETRANSLATE(B31209,""en"",""it"")"),"Appare una band, che cammina per strada e attraverso un campo mentre suonano per una folla.")</f>
        <v>Appare una band, che cammina per strada e attraverso un campo mentre suonano per una folla.</v>
      </c>
    </row>
    <row r="31210">
      <c r="A31210" s="4" t="s">
        <v>39305</v>
      </c>
      <c r="B31210" s="4" t="s">
        <v>39307</v>
      </c>
      <c r="C31210" s="5" t="str">
        <f>IFERROR(__xludf.DUMMYFUNCTION("GOOGLETRANSLATE(B31210,""en"",""it"")"),"Le parole appaiono sullo schermo che parlano di celebrare il 4 marzo con una sfilata.")</f>
        <v>Le parole appaiono sullo schermo che parlano di celebrare il 4 marzo con una sfilata.</v>
      </c>
    </row>
    <row r="31211">
      <c r="A31211" s="4" t="s">
        <v>39308</v>
      </c>
      <c r="B31211" s="4" t="s">
        <v>39309</v>
      </c>
      <c r="C31211" s="5" t="str">
        <f>IFERROR(__xludf.DUMMYFUNCTION("GOOGLETRANSLATE(B31211,""en"",""it"")"),"Un'introduzione arriva sullo schermo per un video su un tour per una band.")</f>
        <v>Un'introduzione arriva sullo schermo per un video su un tour per una band.</v>
      </c>
    </row>
    <row r="31212">
      <c r="A31212" s="4" t="s">
        <v>39308</v>
      </c>
      <c r="B31212" s="4" t="s">
        <v>39310</v>
      </c>
      <c r="C31212" s="5" t="str">
        <f>IFERROR(__xludf.DUMMYFUNCTION("GOOGLETRANSLATE(B31212,""en"",""it"")"),"Vengono mostrati tagli di capelli in un barbiere e commentano il taglio di capelli.")</f>
        <v>Vengono mostrati tagli di capelli in un barbiere e commentano il taglio di capelli.</v>
      </c>
    </row>
    <row r="31213">
      <c r="A31213" s="4" t="s">
        <v>39308</v>
      </c>
      <c r="B31213" s="6" t="s">
        <v>39311</v>
      </c>
      <c r="C31213" s="5" t="str">
        <f>IFERROR(__xludf.DUMMYFUNCTION("GOOGLETRANSLATE(B31213,""en"",""it"")"),"Vengono anche mostrati in una sessione con diverse persone che ballano in giro e si divertono.")</f>
        <v>Vengono anche mostrati in una sessione con diverse persone che ballano in giro e si divertono.</v>
      </c>
    </row>
    <row r="31214">
      <c r="A31214" s="4" t="s">
        <v>39308</v>
      </c>
      <c r="B31214" s="4" t="s">
        <v>4761</v>
      </c>
      <c r="C31214" s="5" t="str">
        <f>IFERROR(__xludf.DUMMYFUNCTION("GOOGLETRANSLATE(B31214,""en"",""it"")"),"Il video termina con i crediti di chiusura mostrati sullo schermo.")</f>
        <v>Il video termina con i crediti di chiusura mostrati sullo schermo.</v>
      </c>
    </row>
    <row r="31215">
      <c r="A31215" s="4" t="s">
        <v>39312</v>
      </c>
      <c r="B31215" s="4" t="s">
        <v>14047</v>
      </c>
      <c r="C31215" s="5" t="str">
        <f>IFERROR(__xludf.DUMMYFUNCTION("GOOGLETRANSLATE(B31215,""en"",""it"")"),"Vengono visualizzati i crediti del video.")</f>
        <v>Vengono visualizzati i crediti del video.</v>
      </c>
    </row>
    <row r="31216">
      <c r="A31216" s="4" t="s">
        <v>39312</v>
      </c>
      <c r="B31216" s="4" t="s">
        <v>39313</v>
      </c>
      <c r="C31216" s="5" t="str">
        <f>IFERROR(__xludf.DUMMYFUNCTION("GOOGLETRANSLATE(B31216,""en"",""it"")"),"Un uomo rastrella marrone parte in un prato.")</f>
        <v>Un uomo rastrella marrone parte in un prato.</v>
      </c>
    </row>
    <row r="31217">
      <c r="A31217" s="4" t="s">
        <v>39312</v>
      </c>
      <c r="B31217" s="4" t="s">
        <v>39314</v>
      </c>
      <c r="C31217" s="5" t="str">
        <f>IFERROR(__xludf.DUMMYFUNCTION("GOOGLETRANSLATE(B31217,""en"",""it"")"),"L'uomo mette le foglie in un cestino.")</f>
        <v>L'uomo mette le foglie in un cestino.</v>
      </c>
    </row>
    <row r="31218">
      <c r="A31218" s="4" t="s">
        <v>39312</v>
      </c>
      <c r="B31218" s="4" t="s">
        <v>39315</v>
      </c>
      <c r="C31218" s="5" t="str">
        <f>IFERROR(__xludf.DUMMYFUNCTION("GOOGLETRANSLATE(B31218,""en"",""it"")"),"L'uomo si ferma e muove il cestino.")</f>
        <v>L'uomo si ferma e muove il cestino.</v>
      </c>
    </row>
    <row r="31219">
      <c r="A31219" s="4" t="s">
        <v>39312</v>
      </c>
      <c r="B31219" s="4" t="s">
        <v>39316</v>
      </c>
      <c r="C31219" s="5" t="str">
        <f>IFERROR(__xludf.DUMMYFUNCTION("GOOGLETRANSLATE(B31219,""en"",""it"")"),"L'uomo tira fuori un oggetto nero dalla tasca e lo presenta.")</f>
        <v>L'uomo tira fuori un oggetto nero dalla tasca e lo presenta.</v>
      </c>
    </row>
    <row r="31220">
      <c r="A31220" s="4" t="s">
        <v>39312</v>
      </c>
      <c r="B31220" s="4" t="s">
        <v>39317</v>
      </c>
      <c r="C31220" s="5" t="str">
        <f>IFERROR(__xludf.DUMMYFUNCTION("GOOGLETRANSLATE(B31220,""en"",""it"")"),"L'uomo avvita l'oggetto nero all'estremità della maniglia del rastrello.")</f>
        <v>L'uomo avvita l'oggetto nero all'estremità della maniglia del rastrello.</v>
      </c>
    </row>
    <row r="31221">
      <c r="A31221" s="4" t="s">
        <v>39312</v>
      </c>
      <c r="B31221" s="4" t="s">
        <v>39318</v>
      </c>
      <c r="C31221" s="5" t="str">
        <f>IFERROR(__xludf.DUMMYFUNCTION("GOOGLETRANSLATE(B31221,""en"",""it"")"),"L'uomo muove il cestino e rastrella.")</f>
        <v>L'uomo muove il cestino e rastrella.</v>
      </c>
    </row>
    <row r="31222">
      <c r="A31222" s="4" t="s">
        <v>39312</v>
      </c>
      <c r="B31222" s="4" t="s">
        <v>39319</v>
      </c>
      <c r="C31222" s="5" t="str">
        <f>IFERROR(__xludf.DUMMYFUNCTION("GOOGLETRANSLATE(B31222,""en"",""it"")"),"L'uomo smette di rastrellare, cammina verso un albero e pende il rastrello sull'albero.")</f>
        <v>L'uomo smette di rastrellare, cammina verso un albero e pende il rastrello sull'albero.</v>
      </c>
    </row>
    <row r="31223">
      <c r="A31223" s="4" t="s">
        <v>39312</v>
      </c>
      <c r="B31223" s="4" t="s">
        <v>39320</v>
      </c>
      <c r="C31223" s="5" t="str">
        <f>IFERROR(__xludf.DUMMYFUNCTION("GOOGLETRANSLATE(B31223,""en"",""it"")"),"L'uomo rimuove un paio di rastrelli per l'albero e lo solleva sopra la sua testa.")</f>
        <v>L'uomo rimuove un paio di rastrelli per l'albero e lo solleva sopra la sua testa.</v>
      </c>
    </row>
    <row r="31224">
      <c r="A31224" s="4" t="s">
        <v>39312</v>
      </c>
      <c r="B31224" s="4" t="s">
        <v>39321</v>
      </c>
      <c r="C31224" s="5" t="str">
        <f>IFERROR(__xludf.DUMMYFUNCTION("GOOGLETRANSLATE(B31224,""en"",""it"")"),"L'uomo usa i doppi rastrelli per raccogliere le foglie e metterle nel cestino.")</f>
        <v>L'uomo usa i doppi rastrelli per raccogliere le foglie e metterle nel cestino.</v>
      </c>
    </row>
    <row r="31225">
      <c r="A31225" s="4" t="s">
        <v>39312</v>
      </c>
      <c r="B31225" s="4" t="s">
        <v>39322</v>
      </c>
      <c r="C31225" s="5" t="str">
        <f>IFERROR(__xludf.DUMMYFUNCTION("GOOGLETRANSLATE(B31225,""en"",""it"")"),"L'uomo solleva i doppi rastrelli sopra la sua testa e poi li abbina.")</f>
        <v>L'uomo solleva i doppi rastrelli sopra la sua testa e poi li abbina.</v>
      </c>
    </row>
    <row r="31226">
      <c r="A31226" s="4" t="s">
        <v>39312</v>
      </c>
      <c r="B31226" s="4" t="s">
        <v>39323</v>
      </c>
      <c r="C31226" s="5" t="str">
        <f>IFERROR(__xludf.DUMMYFUNCTION("GOOGLETRANSLATE(B31226,""en"",""it"")"),"L'uomo riporta i rastrelli accoppiati sull'albero dove li pende su un ramo.")</f>
        <v>L'uomo riporta i rastrelli accoppiati sull'albero dove li pende su un ramo.</v>
      </c>
    </row>
    <row r="31227">
      <c r="A31227" s="4" t="s">
        <v>39312</v>
      </c>
      <c r="B31227" s="4" t="s">
        <v>25249</v>
      </c>
      <c r="C31227" s="5" t="str">
        <f>IFERROR(__xludf.DUMMYFUNCTION("GOOGLETRANSLATE(B31227,""en"",""it"")"),"Vengono mostrati i crediti delle clip.")</f>
        <v>Vengono mostrati i crediti delle clip.</v>
      </c>
    </row>
    <row r="31228">
      <c r="A31228" s="4" t="s">
        <v>39324</v>
      </c>
      <c r="B31228" s="4" t="s">
        <v>39325</v>
      </c>
      <c r="C31228" s="5" t="str">
        <f>IFERROR(__xludf.DUMMYFUNCTION("GOOGLETRANSLATE(B31228,""en"",""it"")"),"Una donna in un grembiule bianco sta tagliando lattuga su una tavola.")</f>
        <v>Una donna in un grembiule bianco sta tagliando lattuga su una tavola.</v>
      </c>
    </row>
    <row r="31229">
      <c r="A31229" s="4" t="s">
        <v>39324</v>
      </c>
      <c r="B31229" s="4" t="s">
        <v>39326</v>
      </c>
      <c r="C31229" s="5" t="str">
        <f>IFERROR(__xludf.DUMMYFUNCTION("GOOGLETRANSLATE(B31229,""en"",""it"")"),"Si asciuga e taglia alcuni cetrioli da mettere in una ciotola di insalata.")</f>
        <v>Si asciuga e taglia alcuni cetrioli da mettere in una ciotola di insalata.</v>
      </c>
    </row>
    <row r="31230">
      <c r="A31230" s="4" t="s">
        <v>39324</v>
      </c>
      <c r="B31230" s="4" t="s">
        <v>39327</v>
      </c>
      <c r="C31230" s="5" t="str">
        <f>IFERROR(__xludf.DUMMYFUNCTION("GOOGLETRANSLATE(B31230,""en"",""it"")"),"Lancia l'insalata con le mani.")</f>
        <v>Lancia l'insalata con le mani.</v>
      </c>
    </row>
    <row r="31231">
      <c r="A31231" s="4" t="s">
        <v>39324</v>
      </c>
      <c r="B31231" s="4" t="s">
        <v>39328</v>
      </c>
      <c r="C31231" s="5" t="str">
        <f>IFERROR(__xludf.DUMMYFUNCTION("GOOGLETRANSLATE(B31231,""en"",""it"")"),"Afferra una bottiglia di aceto e la versa sopra l'insalata.")</f>
        <v>Afferra una bottiglia di aceto e la versa sopra l'insalata.</v>
      </c>
    </row>
    <row r="31232">
      <c r="A31232" s="4" t="s">
        <v>39324</v>
      </c>
      <c r="B31232" s="4" t="s">
        <v>39329</v>
      </c>
      <c r="C31232" s="5" t="str">
        <f>IFERROR(__xludf.DUMMYFUNCTION("GOOGLETRANSLATE(B31232,""en"",""it"")"),"Apre una bottiglia con i denti e la versa anche sull'insalata.")</f>
        <v>Apre una bottiglia con i denti e la versa anche sull'insalata.</v>
      </c>
    </row>
    <row r="31233">
      <c r="A31233" s="4" t="s">
        <v>39324</v>
      </c>
      <c r="B31233" s="4" t="s">
        <v>39330</v>
      </c>
      <c r="C31233" s="5" t="str">
        <f>IFERROR(__xludf.DUMMYFUNCTION("GOOGLETRANSLATE(B31233,""en"",""it"")"),"Mette più condimento sull'insalata.")</f>
        <v>Mette più condimento sull'insalata.</v>
      </c>
    </row>
    <row r="31234">
      <c r="A31234" s="4" t="s">
        <v>39324</v>
      </c>
      <c r="B31234" s="4" t="s">
        <v>39331</v>
      </c>
      <c r="C31234" s="5" t="str">
        <f>IFERROR(__xludf.DUMMYFUNCTION("GOOGLETRANSLATE(B31234,""en"",""it"")"),"Una signora sullo sfondo sta tirando fuori Saran.")</f>
        <v>Una signora sullo sfondo sta tirando fuori Saran.</v>
      </c>
    </row>
    <row r="31235">
      <c r="A31235" s="4" t="s">
        <v>39324</v>
      </c>
      <c r="B31235" s="4" t="s">
        <v>39332</v>
      </c>
      <c r="C31235" s="5" t="str">
        <f>IFERROR(__xludf.DUMMYFUNCTION("GOOGLETRANSLATE(B31235,""en"",""it"")"),"Continua a lanciare l'insalata e mescolando il condimento.")</f>
        <v>Continua a lanciare l'insalata e mescolando il condimento.</v>
      </c>
    </row>
    <row r="31236">
      <c r="A31236" s="4" t="s">
        <v>39324</v>
      </c>
      <c r="B31236" s="4" t="s">
        <v>39333</v>
      </c>
      <c r="C31236" s="5" t="str">
        <f>IFERROR(__xludf.DUMMYFUNCTION("GOOGLETRANSLATE(B31236,""en"",""it"")"),"Una donna dietro di lei versa condannando l'insalata.")</f>
        <v>Una donna dietro di lei versa condannando l'insalata.</v>
      </c>
    </row>
    <row r="31237">
      <c r="A31237" s="4" t="s">
        <v>39324</v>
      </c>
      <c r="B31237" s="4" t="s">
        <v>39334</v>
      </c>
      <c r="C31237" s="5" t="str">
        <f>IFERROR(__xludf.DUMMYFUNCTION("GOOGLETRANSLATE(B31237,""en"",""it"")"),"Una donna tiene la ciotola e mostra l'insalata mentre sorride.")</f>
        <v>Una donna tiene la ciotola e mostra l'insalata mentre sorride.</v>
      </c>
    </row>
    <row r="31238">
      <c r="A31238" s="4" t="s">
        <v>39324</v>
      </c>
      <c r="B31238" s="4" t="s">
        <v>39335</v>
      </c>
      <c r="C31238" s="5" t="str">
        <f>IFERROR(__xludf.DUMMYFUNCTION("GOOGLETRANSLATE(B31238,""en"",""it"")"),"La donna che ha gettato l'insalata si sta lavando le mani su un asciugamano.")</f>
        <v>La donna che ha gettato l'insalata si sta lavando le mani su un asciugamano.</v>
      </c>
    </row>
    <row r="31239">
      <c r="A31239" s="4" t="s">
        <v>39336</v>
      </c>
      <c r="B31239" s="4" t="s">
        <v>39337</v>
      </c>
      <c r="C31239" s="5" t="str">
        <f>IFERROR(__xludf.DUMMYFUNCTION("GOOGLETRANSLATE(B31239,""en"",""it"")"),"Un gioco grafico che dice ""stivalti"" con un link alla loro pagina Facebook.")</f>
        <v>Un gioco grafico che dice "stivalti" con un link alla loro pagina Facebook.</v>
      </c>
    </row>
    <row r="31240">
      <c r="A31240" s="4" t="s">
        <v>39336</v>
      </c>
      <c r="B31240" s="4" t="s">
        <v>39338</v>
      </c>
      <c r="C31240" s="5" t="str">
        <f>IFERROR(__xludf.DUMMYFUNCTION("GOOGLETRANSLATE(B31240,""en"",""it"")"),"Un uomo mette in mostra una varietà di trucchi in piscina sul suo tavolo da biliardo nella sua casa.")</f>
        <v>Un uomo mette in mostra una varietà di trucchi in piscina sul suo tavolo da biliardo nella sua casa.</v>
      </c>
    </row>
    <row r="31241">
      <c r="A31241" s="4" t="s">
        <v>39336</v>
      </c>
      <c r="B31241" s="4" t="s">
        <v>39339</v>
      </c>
      <c r="C31241" s="5" t="str">
        <f>IFERROR(__xludf.DUMMYFUNCTION("GOOGLETRANSLATE(B31241,""en"",""it"")"),"Un grafico riproduce che dice ""iscriviti"" e il video termina.")</f>
        <v>Un grafico riproduce che dice "iscriviti" e il video termina.</v>
      </c>
    </row>
    <row r="31242">
      <c r="A31242" s="4" t="s">
        <v>39340</v>
      </c>
      <c r="B31242" s="4" t="s">
        <v>39341</v>
      </c>
      <c r="C31242" s="5" t="str">
        <f>IFERROR(__xludf.DUMMYFUNCTION("GOOGLETRANSLATE(B31242,""en"",""it"")"),"Viene mostrata una stanza con un tavolo senza dipingere e un smerigliamento è sopra.")</f>
        <v>Viene mostrata una stanza con un tavolo senza dipingere e un smerigliamento è sopra.</v>
      </c>
    </row>
    <row r="31243">
      <c r="A31243" s="4" t="s">
        <v>39340</v>
      </c>
      <c r="B31243" s="4" t="s">
        <v>39342</v>
      </c>
      <c r="C31243" s="5" t="str">
        <f>IFERROR(__xludf.DUMMYFUNCTION("GOOGLETRANSLATE(B31243,""en"",""it"")"),"L'uomo entra in una stanza e usa l'Emery in cima al tavolo.")</f>
        <v>L'uomo entra in una stanza e usa l'Emery in cima al tavolo.</v>
      </c>
    </row>
    <row r="31244">
      <c r="A31244" s="4" t="s">
        <v>39340</v>
      </c>
      <c r="B31244" s="4" t="s">
        <v>39343</v>
      </c>
      <c r="C31244" s="5" t="str">
        <f>IFERROR(__xludf.DUMMYFUNCTION("GOOGLETRANSLATE(B31244,""en"",""it"")"),"L'uomo tira fuori gli occhiali e pulisce il disco dell'Emery.")</f>
        <v>L'uomo tira fuori gli occhiali e pulisce il disco dell'Emery.</v>
      </c>
    </row>
    <row r="31245">
      <c r="A31245" s="4" t="s">
        <v>39344</v>
      </c>
      <c r="B31245" s="4" t="s">
        <v>39345</v>
      </c>
      <c r="C31245" s="5" t="str">
        <f>IFERROR(__xludf.DUMMYFUNCTION("GOOGLETRANSLATE(B31245,""en"",""it"")"),"Vediamo una persona mano sulla fotocamera.")</f>
        <v>Vediamo una persona mano sulla fotocamera.</v>
      </c>
    </row>
    <row r="31246">
      <c r="A31246" s="4" t="s">
        <v>39344</v>
      </c>
      <c r="B31246" s="4" t="s">
        <v>39346</v>
      </c>
      <c r="C31246" s="5" t="str">
        <f>IFERROR(__xludf.DUMMYFUNCTION("GOOGLETRANSLATE(B31246,""en"",""it"")"),"Una ragazza poi ci mostra il suo pennello.")</f>
        <v>Una ragazza poi ci mostra il suo pennello.</v>
      </c>
    </row>
    <row r="31247">
      <c r="A31247" s="4" t="s">
        <v>39344</v>
      </c>
      <c r="B31247" s="4" t="s">
        <v>39347</v>
      </c>
      <c r="C31247" s="5" t="str">
        <f>IFERROR(__xludf.DUMMYFUNCTION("GOOGLETRANSLATE(B31247,""en"",""it"")"),"La ragazza usa il pennello per lavarsi i capelli.")</f>
        <v>La ragazza usa il pennello per lavarsi i capelli.</v>
      </c>
    </row>
    <row r="31248">
      <c r="A31248" s="4" t="s">
        <v>39344</v>
      </c>
      <c r="B31248" s="4" t="s">
        <v>39348</v>
      </c>
      <c r="C31248" s="5" t="str">
        <f>IFERROR(__xludf.DUMMYFUNCTION("GOOGLETRANSLATE(B31248,""en"",""it"")"),"Ci mostra di nuovo il suo pennello.")</f>
        <v>Ci mostra di nuovo il suo pennello.</v>
      </c>
    </row>
    <row r="31249">
      <c r="A31249" s="4" t="s">
        <v>39344</v>
      </c>
      <c r="B31249" s="4" t="s">
        <v>39349</v>
      </c>
      <c r="C31249" s="5" t="str">
        <f>IFERROR(__xludf.DUMMYFUNCTION("GOOGLETRANSLATE(B31249,""en"",""it"")"),"La sua mano copre quindi la telecamera.")</f>
        <v>La sua mano copre quindi la telecamera.</v>
      </c>
    </row>
    <row r="31250">
      <c r="A31250" s="4" t="s">
        <v>39350</v>
      </c>
      <c r="B31250" s="4" t="s">
        <v>39351</v>
      </c>
      <c r="C31250" s="5" t="str">
        <f>IFERROR(__xludf.DUMMYFUNCTION("GOOGLETRANSLATE(B31250,""en"",""it"")"),"Una donna asiatica viene vista in ginocchio sul pavimento.")</f>
        <v>Una donna asiatica viene vista in ginocchio sul pavimento.</v>
      </c>
    </row>
    <row r="31251">
      <c r="A31251" s="4" t="s">
        <v>39350</v>
      </c>
      <c r="B31251" s="4" t="s">
        <v>39352</v>
      </c>
      <c r="C31251" s="5" t="str">
        <f>IFERROR(__xludf.DUMMYFUNCTION("GOOGLETRANSLATE(B31251,""en"",""it"")"),"Si alza molto lentamente, prima le braccia.")</f>
        <v>Si alza molto lentamente, prima le braccia.</v>
      </c>
    </row>
    <row r="31252">
      <c r="A31252" s="4" t="s">
        <v>39350</v>
      </c>
      <c r="B31252" s="4" t="s">
        <v>39353</v>
      </c>
      <c r="C31252" s="5" t="str">
        <f>IFERROR(__xludf.DUMMYFUNCTION("GOOGLETRANSLATE(B31252,""en"",""it"")"),"Fa diverse mosse di arti marziali per la telecamera.")</f>
        <v>Fa diverse mosse di arti marziali per la telecamera.</v>
      </c>
    </row>
    <row r="31253">
      <c r="A31253" s="4" t="s">
        <v>39354</v>
      </c>
      <c r="B31253" s="4" t="s">
        <v>39355</v>
      </c>
      <c r="C31253" s="5" t="str">
        <f>IFERROR(__xludf.DUMMYFUNCTION("GOOGLETRANSLATE(B31253,""en"",""it"")"),"Un uomo viene visto entrare in un bagno e guardare attraverso spazzolini sporchi.")</f>
        <v>Un uomo viene visto entrare in un bagno e guardare attraverso spazzolini sporchi.</v>
      </c>
    </row>
    <row r="31254">
      <c r="A31254" s="4" t="s">
        <v>39354</v>
      </c>
      <c r="B31254" s="4" t="s">
        <v>39356</v>
      </c>
      <c r="C31254" s="5" t="str">
        <f>IFERROR(__xludf.DUMMYFUNCTION("GOOGLETRANSLATE(B31254,""en"",""it"")"),"La persona versa il dentifricio su un pennello e si lava continuamente i denti.")</f>
        <v>La persona versa il dentifricio su un pennello e si lava continuamente i denti.</v>
      </c>
    </row>
    <row r="31255">
      <c r="A31255" s="4" t="s">
        <v>39354</v>
      </c>
      <c r="B31255" s="6" t="s">
        <v>39357</v>
      </c>
      <c r="C31255" s="5" t="str">
        <f>IFERROR(__xludf.DUMMYFUNCTION("GOOGLETRANSLATE(B31255,""en"",""it"")"),"Quindi si sfiora di più e finisce sciacquando la bocca con il lavaggio della bocca e mostrando il lavandino.")</f>
        <v>Quindi si sfiora di più e finisce sciacquando la bocca con il lavaggio della bocca e mostrando il lavandino.</v>
      </c>
    </row>
    <row r="31256">
      <c r="A31256" s="4" t="s">
        <v>39358</v>
      </c>
      <c r="B31256" s="4" t="s">
        <v>39359</v>
      </c>
      <c r="C31256" s="5" t="str">
        <f>IFERROR(__xludf.DUMMYFUNCTION("GOOGLETRANSLATE(B31256,""en"",""it"")"),"Un tipo di ragazzo cammina su una corda mentre tiene un selfie stick che registra se stesso.")</f>
        <v>Un tipo di ragazzo cammina su una corda mentre tiene un selfie stick che registra se stesso.</v>
      </c>
    </row>
    <row r="31257">
      <c r="A31257" s="4" t="s">
        <v>39358</v>
      </c>
      <c r="B31257" s="6" t="s">
        <v>39360</v>
      </c>
      <c r="C31257" s="5" t="str">
        <f>IFERROR(__xludf.DUMMYFUNCTION("GOOGLETRANSLATE(B31257,""en"",""it"")"),"Il tipo di ragazzo cammina attraverso l'acqua su una corda che ha una breve distanza dal molo al bordo della barca mentre la gente guarda.")</f>
        <v>Il tipo di ragazzo cammina attraverso l'acqua su una corda che ha una breve distanza dal molo al bordo della barca mentre la gente guarda.</v>
      </c>
    </row>
    <row r="31258">
      <c r="A31258" s="4" t="s">
        <v>39358</v>
      </c>
      <c r="B31258" s="4" t="s">
        <v>39361</v>
      </c>
      <c r="C31258" s="5" t="str">
        <f>IFERROR(__xludf.DUMMYFUNCTION("GOOGLETRANSLATE(B31258,""en"",""it"")"),"Anche il ragazzo rimbalza e fa trucchi su una corda di tipo rosa.")</f>
        <v>Anche il ragazzo rimbalza e fa trucchi su una corda di tipo rosa.</v>
      </c>
    </row>
    <row r="31259">
      <c r="A31259" s="4" t="s">
        <v>39358</v>
      </c>
      <c r="B31259" s="4" t="s">
        <v>39362</v>
      </c>
      <c r="C31259" s="5" t="str">
        <f>IFERROR(__xludf.DUMMYFUNCTION("GOOGLETRANSLATE(B31259,""en"",""it"")"),"Guy cerca di digitare la passeggiata attraverso l'acqua ma cade e alcuni riescono a farcela.")</f>
        <v>Guy cerca di digitare la passeggiata attraverso l'acqua ma cade e alcuni riescono a farcela.</v>
      </c>
    </row>
    <row r="31260">
      <c r="A31260" s="4" t="s">
        <v>39363</v>
      </c>
      <c r="B31260" s="4" t="s">
        <v>39364</v>
      </c>
      <c r="C31260" s="5" t="str">
        <f>IFERROR(__xludf.DUMMYFUNCTION("GOOGLETRANSLATE(B31260,""en"",""it"")"),"Vengono mostrate due ragazze che rastrellano le foglie in un cortile mentre parlano continuamente con la telecamera.")</f>
        <v>Vengono mostrate due ragazze che rastrellano le foglie in un cortile mentre parlano continuamente con la telecamera.</v>
      </c>
    </row>
    <row r="31261">
      <c r="A31261" s="4" t="s">
        <v>39363</v>
      </c>
      <c r="B31261" s="6" t="s">
        <v>39365</v>
      </c>
      <c r="C31261" s="5" t="str">
        <f>IFERROR(__xludf.DUMMYFUNCTION("GOOGLETRANSLATE(B31261,""en"",""it"")"),"La ragazza più grande mostra quella più giovane come rastrellare mentre un'altra ragazza sta accanto e osserva una diapositiva vicina.")</f>
        <v>La ragazza più grande mostra quella più giovane come rastrellare mentre un'altra ragazza sta accanto e osserva una diapositiva vicina.</v>
      </c>
    </row>
    <row r="31262">
      <c r="A31262" s="4" t="s">
        <v>39363</v>
      </c>
      <c r="B31262" s="4" t="s">
        <v>39366</v>
      </c>
      <c r="C31262" s="5" t="str">
        <f>IFERROR(__xludf.DUMMYFUNCTION("GOOGLETRANSLATE(B31262,""en"",""it"")"),"La telecamera ingrandisce la ragazza più giovane e la guarda rastrellare le foglie.")</f>
        <v>La telecamera ingrandisce la ragazza più giovane e la guarda rastrellare le foglie.</v>
      </c>
    </row>
    <row r="31263">
      <c r="A31263" s="4" t="s">
        <v>39367</v>
      </c>
      <c r="B31263" s="4" t="s">
        <v>39368</v>
      </c>
      <c r="C31263" s="5" t="str">
        <f>IFERROR(__xludf.DUMMYFUNCTION("GOOGLETRANSLATE(B31263,""en"",""it"")"),"Due ragazzi si inginocchiano nell'erba tagliando l'erba con un paio di forbici.")</f>
        <v>Due ragazzi si inginocchiano nell'erba tagliando l'erba con un paio di forbici.</v>
      </c>
    </row>
    <row r="31264">
      <c r="A31264" s="4" t="s">
        <v>39367</v>
      </c>
      <c r="B31264" s="4" t="s">
        <v>39369</v>
      </c>
      <c r="C31264" s="5" t="str">
        <f>IFERROR(__xludf.DUMMYFUNCTION("GOOGLETRANSLATE(B31264,""en"",""it"")"),"Prendono alcuni pezzi e usano le forbici per tagliarlo.")</f>
        <v>Prendono alcuni pezzi e usano le forbici per tagliarlo.</v>
      </c>
    </row>
    <row r="31265">
      <c r="A31265" s="4" t="s">
        <v>39367</v>
      </c>
      <c r="B31265" s="4" t="s">
        <v>39370</v>
      </c>
      <c r="C31265" s="5" t="str">
        <f>IFERROR(__xludf.DUMMYFUNCTION("GOOGLETRANSLATE(B31265,""en"",""it"")"),"Quindi gettano l'erba che tagliano dietro di loro.")</f>
        <v>Quindi gettano l'erba che tagliano dietro di loro.</v>
      </c>
    </row>
    <row r="31266">
      <c r="A31266" s="4" t="s">
        <v>39367</v>
      </c>
      <c r="B31266" s="4" t="s">
        <v>39371</v>
      </c>
      <c r="C31266" s="5" t="str">
        <f>IFERROR(__xludf.DUMMYFUNCTION("GOOGLETRANSLATE(B31266,""en"",""it"")"),"Ci stanno andando in qualche modo, sembrano bambini molto annoiati con nient'altro da fare.")</f>
        <v>Ci stanno andando in qualche modo, sembrano bambini molto annoiati con nient'altro da fare.</v>
      </c>
    </row>
    <row r="31267">
      <c r="A31267" s="4" t="s">
        <v>39372</v>
      </c>
      <c r="B31267" s="6" t="s">
        <v>39373</v>
      </c>
      <c r="C31267" s="5" t="str">
        <f>IFERROR(__xludf.DUMMYFUNCTION("GOOGLETRANSLATE(B31267,""en"",""it"")"),"Un logo triplo-A rosso e blu è raffigurato su uno schermo bianco e quindi lo schermo lampeggia su un grande camion di neve.")</f>
        <v>Un logo triplo-A rosso e blu è raffigurato su uno schermo bianco e quindi lo schermo lampeggia su un grande camion di neve.</v>
      </c>
    </row>
    <row r="31268">
      <c r="A31268" s="4" t="s">
        <v>39372</v>
      </c>
      <c r="B31268" s="6" t="s">
        <v>39374</v>
      </c>
      <c r="C31268" s="5" t="str">
        <f>IFERROR(__xludf.DUMMYFUNCTION("GOOGLETRANSLATE(B31268,""en"",""it"")"),"Una volta che il camion è sparito, ci sono varie persone che scendono attraverso la neve nel tentativo di toglierlo dalle strade e di liberare una passerella.")</f>
        <v>Una volta che il camion è sparito, ci sono varie persone che scendono attraverso la neve nel tentativo di toglierlo dalle strade e di liberare una passerella.</v>
      </c>
    </row>
    <row r="31269">
      <c r="A31269" s="4" t="s">
        <v>39372</v>
      </c>
      <c r="B31269" s="6" t="s">
        <v>39375</v>
      </c>
      <c r="C31269" s="5" t="str">
        <f>IFERROR(__xludf.DUMMYFUNCTION("GOOGLETRANSLATE(B31269,""en"",""it"")"),"Dopo, un giovane maschio nero inizia a parlare e illustrare la neve sulle auto mentre rappresenta l'aspetto delle pubbliche relazioni di Triple A.")</f>
        <v>Dopo, un giovane maschio nero inizia a parlare e illustrare la neve sulle auto mentre rappresenta l'aspetto delle pubbliche relazioni di Triple A.</v>
      </c>
    </row>
    <row r="31270">
      <c r="A31270" s="4" t="s">
        <v>39372</v>
      </c>
      <c r="B31270" s="6" t="s">
        <v>39376</v>
      </c>
      <c r="C31270" s="5" t="str">
        <f>IFERROR(__xludf.DUMMYFUNCTION("GOOGLETRANSLATE(B31270,""en"",""it"")"),"Mentre l'uomo continua a parlare, viene mostrato un uomo con un secchio d'acqua e non c'è più acqua sulla sua auto.")</f>
        <v>Mentre l'uomo continua a parlare, viene mostrato un uomo con un secchio d'acqua e non c'è più acqua sulla sua auto.</v>
      </c>
    </row>
    <row r="31271">
      <c r="A31271" s="4" t="s">
        <v>39372</v>
      </c>
      <c r="B31271" s="6" t="s">
        <v>39377</v>
      </c>
      <c r="C31271" s="5" t="str">
        <f>IFERROR(__xludf.DUMMYFUNCTION("GOOGLETRANSLATE(B31271,""en"",""it"")"),"Dopo un po ', un altro uomo è raffigurato spalare la neve dalla sua auto e poi entrare per regolare la radio, all'improvviso, l'uomo è tornato fuori e sta raschiando la neve da ogni aspetto dell'auto, tra cui, finestre, tubi di scarico, parabrezza e Le lu"&amp;"ci della coda quindi il maschio nero ritorna e continua a parlare.")</f>
        <v>Dopo un po ', un altro uomo è raffigurato spalare la neve dalla sua auto e poi entrare per regolare la radio, all'improvviso, l'uomo è tornato fuori e sta raschiando la neve da ogni aspetto dell'auto, tra cui, finestre, tubi di scarico, parabrezza e Le luci della coda quindi il maschio nero ritorna e continua a parlare.</v>
      </c>
    </row>
    <row r="31272">
      <c r="A31272" s="4" t="s">
        <v>39378</v>
      </c>
      <c r="B31272" s="4" t="s">
        <v>39379</v>
      </c>
      <c r="C31272" s="5" t="str">
        <f>IFERROR(__xludf.DUMMYFUNCTION("GOOGLETRANSLATE(B31272,""en"",""it"")"),"Una bambina salta Hopscotch per strada.")</f>
        <v>Una bambina salta Hopscotch per strada.</v>
      </c>
    </row>
    <row r="31273">
      <c r="A31273" s="4" t="s">
        <v>39378</v>
      </c>
      <c r="B31273" s="4" t="s">
        <v>39380</v>
      </c>
      <c r="C31273" s="5" t="str">
        <f>IFERROR(__xludf.DUMMYFUNCTION("GOOGLETRANSLATE(B31273,""en"",""it"")"),"La bambina si gira e salta Hopscotch.")</f>
        <v>La bambina si gira e salta Hopscotch.</v>
      </c>
    </row>
    <row r="31274">
      <c r="A31274" s="4" t="s">
        <v>39381</v>
      </c>
      <c r="B31274" s="4" t="s">
        <v>39382</v>
      </c>
      <c r="C31274" s="5" t="str">
        <f>IFERROR(__xludf.DUMMYFUNCTION("GOOGLETRANSLATE(B31274,""en"",""it"")"),"Ci sono diversi passeggeri che viaggiano in un treno della metropolitana.")</f>
        <v>Ci sono diversi passeggeri che viaggiano in un treno della metropolitana.</v>
      </c>
    </row>
    <row r="31275">
      <c r="A31275" s="4" t="s">
        <v>39381</v>
      </c>
      <c r="B31275" s="4" t="s">
        <v>39383</v>
      </c>
      <c r="C31275" s="5" t="str">
        <f>IFERROR(__xludf.DUMMYFUNCTION("GOOGLETRANSLATE(B31275,""en"",""it"")"),"Due dei passeggeri sono seduti su sedie pieghevoli e suonano tamburi su bongos.")</f>
        <v>Due dei passeggeri sono seduti su sedie pieghevoli e suonano tamburi su bongos.</v>
      </c>
    </row>
    <row r="31276">
      <c r="A31276" s="4" t="s">
        <v>39381</v>
      </c>
      <c r="B31276" s="4" t="s">
        <v>39384</v>
      </c>
      <c r="C31276" s="5" t="str">
        <f>IFERROR(__xludf.DUMMYFUNCTION("GOOGLETRANSLATE(B31276,""en"",""it"")"),"Continuano a suonare i Bongos mentre gli altri passeggeri sono impegnati a fare le proprie cose.")</f>
        <v>Continuano a suonare i Bongos mentre gli altri passeggeri sono impegnati a fare le proprie cose.</v>
      </c>
    </row>
    <row r="31277">
      <c r="A31277" s="4" t="s">
        <v>39381</v>
      </c>
      <c r="B31277" s="4" t="s">
        <v>39385</v>
      </c>
      <c r="C31277" s="5" t="str">
        <f>IFERROR(__xludf.DUMMYFUNCTION("GOOGLETRANSLATE(B31277,""en"",""it"")"),"Un ragazzo che è seduto vicino ai giocatori li sta osservando giocare.")</f>
        <v>Un ragazzo che è seduto vicino ai giocatori li sta osservando giocare.</v>
      </c>
    </row>
    <row r="31278">
      <c r="A31278" s="4" t="s">
        <v>39381</v>
      </c>
      <c r="B31278" s="4" t="s">
        <v>39386</v>
      </c>
      <c r="C31278" s="5" t="str">
        <f>IFERROR(__xludf.DUMMYFUNCTION("GOOGLETRANSLATE(B31278,""en"",""it"")"),"I giocatori continuano a giocare ai bong e battendo su di loro.")</f>
        <v>I giocatori continuano a giocare ai bong e battendo su di loro.</v>
      </c>
    </row>
    <row r="31279">
      <c r="A31279" s="4" t="s">
        <v>39381</v>
      </c>
      <c r="B31279" s="4" t="s">
        <v>39387</v>
      </c>
      <c r="C31279" s="5" t="str">
        <f>IFERROR(__xludf.DUMMYFUNCTION("GOOGLETRANSLATE(B31279,""en"",""it"")"),"Dopo aver smesso di giocare, una persona li applaude.")</f>
        <v>Dopo aver smesso di giocare, una persona li applaude.</v>
      </c>
    </row>
    <row r="31280">
      <c r="A31280" s="4" t="s">
        <v>39388</v>
      </c>
      <c r="B31280" s="4" t="s">
        <v>39389</v>
      </c>
      <c r="C31280" s="5" t="str">
        <f>IFERROR(__xludf.DUMMYFUNCTION("GOOGLETRANSLATE(B31280,""en"",""it"")"),"Un uomo sta rastrellando le foglie in un grande cortile.")</f>
        <v>Un uomo sta rastrellando le foglie in un grande cortile.</v>
      </c>
    </row>
    <row r="31281">
      <c r="A31281" s="4" t="s">
        <v>39388</v>
      </c>
      <c r="B31281" s="4" t="s">
        <v>39390</v>
      </c>
      <c r="C31281" s="5" t="str">
        <f>IFERROR(__xludf.DUMMYFUNCTION("GOOGLETRANSLATE(B31281,""en"",""it"")"),"Usa il rastrello per spingere le foglie in pile.")</f>
        <v>Usa il rastrello per spingere le foglie in pile.</v>
      </c>
    </row>
    <row r="31282">
      <c r="A31282" s="4" t="s">
        <v>39388</v>
      </c>
      <c r="B31282" s="4" t="s">
        <v>39391</v>
      </c>
      <c r="C31282" s="5" t="str">
        <f>IFERROR(__xludf.DUMMYFUNCTION("GOOGLETRANSLATE(B31282,""en"",""it"")"),"Continua a rastrellare, eliminando un percorso di sporco sotto.")</f>
        <v>Continua a rastrellare, eliminando un percorso di sporco sotto.</v>
      </c>
    </row>
    <row r="31283">
      <c r="A31283" s="4" t="s">
        <v>39392</v>
      </c>
      <c r="B31283" s="4" t="s">
        <v>39393</v>
      </c>
      <c r="C31283" s="5" t="str">
        <f>IFERROR(__xludf.DUMMYFUNCTION("GOOGLETRANSLATE(B31283,""en"",""it"")"),"Una squadra sul campo che corre giocando a lacrosse.")</f>
        <v>Una squadra sul campo che corre giocando a lacrosse.</v>
      </c>
    </row>
    <row r="31284">
      <c r="A31284" s="4" t="s">
        <v>39392</v>
      </c>
      <c r="B31284" s="4" t="s">
        <v>39394</v>
      </c>
      <c r="C31284" s="5" t="str">
        <f>IFERROR(__xludf.DUMMYFUNCTION("GOOGLETRANSLATE(B31284,""en"",""it"")"),"Tutti corrono l'uno dopo cercando di fare l'obiettivo.")</f>
        <v>Tutti corrono l'uno dopo cercando di fare l'obiettivo.</v>
      </c>
    </row>
    <row r="31285">
      <c r="A31285" s="4" t="s">
        <v>39392</v>
      </c>
      <c r="B31285" s="4" t="s">
        <v>39395</v>
      </c>
      <c r="C31285" s="5" t="str">
        <f>IFERROR(__xludf.DUMMYFUNCTION("GOOGLETRANSLATE(B31285,""en"",""it"")"),"Tutti gestiscono molto cercando di impedire all'altra squadra di segnare.")</f>
        <v>Tutti gestiscono molto cercando di impedire all'altra squadra di segnare.</v>
      </c>
    </row>
    <row r="31286">
      <c r="A31286" s="4" t="s">
        <v>39392</v>
      </c>
      <c r="B31286" s="4" t="s">
        <v>39396</v>
      </c>
      <c r="C31286" s="5" t="str">
        <f>IFERROR(__xludf.DUMMYFUNCTION("GOOGLETRANSLATE(B31286,""en"",""it"")"),"La ragazza in rosso sembra quasi che la faccia prima di scappare.")</f>
        <v>La ragazza in rosso sembra quasi che la faccia prima di scappare.</v>
      </c>
    </row>
    <row r="31287">
      <c r="A31287" s="4" t="s">
        <v>39397</v>
      </c>
      <c r="B31287" s="4" t="s">
        <v>39398</v>
      </c>
      <c r="C31287" s="5" t="str">
        <f>IFERROR(__xludf.DUMMYFUNCTION("GOOGLETRANSLATE(B31287,""en"",""it"")"),"Grande grattacielo con una vista fantastica.")</f>
        <v>Grande grattacielo con una vista fantastica.</v>
      </c>
    </row>
    <row r="31288">
      <c r="A31288" s="4" t="s">
        <v>39397</v>
      </c>
      <c r="B31288" s="4" t="s">
        <v>39399</v>
      </c>
      <c r="C31288" s="5" t="str">
        <f>IFERROR(__xludf.DUMMYFUNCTION("GOOGLETRANSLATE(B31288,""en"",""it"")"),"Gli uomini stanno pulendo la finestra all'esterno appeso alle impalcature.")</f>
        <v>Gli uomini stanno pulendo la finestra all'esterno appeso alle impalcature.</v>
      </c>
    </row>
    <row r="31289">
      <c r="A31289" s="4" t="s">
        <v>39400</v>
      </c>
      <c r="B31289" s="6" t="s">
        <v>39401</v>
      </c>
      <c r="C31289" s="5" t="str">
        <f>IFERROR(__xludf.DUMMYFUNCTION("GOOGLETRANSLATE(B31289,""en"",""it"")"),"Un uomo atletico viene visto trattenere un equipaggiamento di esercizio e inginocchiarsi mentre parla alla telecamera.")</f>
        <v>Un uomo atletico viene visto trattenere un equipaggiamento di esercizio e inginocchiarsi mentre parla alla telecamera.</v>
      </c>
    </row>
    <row r="31290">
      <c r="A31290" s="4" t="s">
        <v>39400</v>
      </c>
      <c r="B31290" s="4" t="s">
        <v>39402</v>
      </c>
      <c r="C31290" s="5" t="str">
        <f>IFERROR(__xludf.DUMMYFUNCTION("GOOGLETRANSLATE(B31290,""en"",""it"")"),"Continua a parlare e inizia a spostare le braccia e il corpo indietro e quarto.")</f>
        <v>Continua a parlare e inizia a spostare le braccia e il corpo indietro e quarto.</v>
      </c>
    </row>
    <row r="31291">
      <c r="A31291" s="4" t="s">
        <v>39403</v>
      </c>
      <c r="B31291" s="4" t="s">
        <v>39404</v>
      </c>
      <c r="C31291" s="5" t="str">
        <f>IFERROR(__xludf.DUMMYFUNCTION("GOOGLETRANSLATE(B31291,""en"",""it"")"),"L'uomo naviga sulle onde e cade in acqua.")</f>
        <v>L'uomo naviga sulle onde e cade in acqua.</v>
      </c>
    </row>
    <row r="31292">
      <c r="A31292" s="4" t="s">
        <v>39403</v>
      </c>
      <c r="B31292" s="4" t="s">
        <v>39405</v>
      </c>
      <c r="C31292" s="5" t="str">
        <f>IFERROR(__xludf.DUMMYFUNCTION("GOOGLETRANSLATE(B31292,""en"",""it"")"),"L'uomo naviga mentre altri surfisti sono dietro di lui.")</f>
        <v>L'uomo naviga mentre altri surfisti sono dietro di lui.</v>
      </c>
    </row>
    <row r="31293">
      <c r="A31293" s="4" t="s">
        <v>39403</v>
      </c>
      <c r="B31293" s="4" t="s">
        <v>39406</v>
      </c>
      <c r="C31293" s="5" t="str">
        <f>IFERROR(__xludf.DUMMYFUNCTION("GOOGLETRANSLATE(B31293,""en"",""it"")"),"Il surfista sta navigando sull'acqua e è caduto vicino alle rocce.")</f>
        <v>Il surfista sta navigando sull'acqua e è caduto vicino alle rocce.</v>
      </c>
    </row>
    <row r="31294">
      <c r="A31294" s="4" t="s">
        <v>39407</v>
      </c>
      <c r="B31294" s="6" t="s">
        <v>39408</v>
      </c>
      <c r="C31294" s="5" t="str">
        <f>IFERROR(__xludf.DUMMYFUNCTION("GOOGLETRANSLATE(B31294,""en"",""it"")"),"Gli uomini sono vestiti con attrezzatura da calcio che hanno il logo Pepsi sulle loro camicie e stanno giocando su un campo erboso.")</f>
        <v>Gli uomini sono vestiti con attrezzatura da calcio che hanno il logo Pepsi sulle loro camicie e stanno giocando su un campo erboso.</v>
      </c>
    </row>
    <row r="31295">
      <c r="A31295" s="4" t="s">
        <v>39407</v>
      </c>
      <c r="B31295" s="6" t="s">
        <v>39409</v>
      </c>
      <c r="C31295" s="5" t="str">
        <f>IFERROR(__xludf.DUMMYFUNCTION("GOOGLETRANSLATE(B31295,""en"",""it"")"),"I sumos molto grandi iniziano a camminare sul campo con il loro pallone da calcio in mano, e gli uomini del calcio si avvicinano a loro e il sumo indica il dispositivo di raffreddamento pepsi pieno di soda.")</f>
        <v>I sumos molto grandi iniziano a camminare sul campo con il loro pallone da calcio in mano, e gli uomini del calcio si avvicinano a loro e il sumo indica il dispositivo di raffreddamento pepsi pieno di soda.</v>
      </c>
    </row>
    <row r="31296">
      <c r="A31296" s="4" t="s">
        <v>39407</v>
      </c>
      <c r="B31296" s="6" t="s">
        <v>39410</v>
      </c>
      <c r="C31296" s="5" t="str">
        <f>IFERROR(__xludf.DUMMYFUNCTION("GOOGLETRANSLATE(B31296,""en"",""it"")"),"Gli uomini e i sumos iniziano una partita di calcio l'uno contro l'altro e quando un uomo cerca di fare un goal un sumo blocca l'intero goal e in varie altre mosse le vittorie di sumo, incluso un goal quando un sumo è caduto e il pallone da calcio è volat"&amp;"o in rete.")</f>
        <v>Gli uomini e i sumos iniziano una partita di calcio l'uno contro l'altro e quando un uomo cerca di fare un goal un sumo blocca l'intero goal e in varie altre mosse le vittorie di sumo, incluso un goal quando un sumo è caduto e il pallone da calcio è volato in rete.</v>
      </c>
    </row>
    <row r="31297">
      <c r="A31297" s="4" t="s">
        <v>39407</v>
      </c>
      <c r="B31297" s="6" t="s">
        <v>39411</v>
      </c>
      <c r="C31297" s="5" t="str">
        <f>IFERROR(__xludf.DUMMYFUNCTION("GOOGLETRANSLATE(B31297,""en"",""it"")"),"Un uomo afferra una lattina di Pepsi e la getta a un sumo e tutto il sumos corre al dispositivo di raffreddamento, beve un pepsi, quindi vengono mostrati di camminare con il dispositivo di raffreddamento pepsi.")</f>
        <v>Un uomo afferra una lattina di Pepsi e la getta a un sumo e tutto il sumos corre al dispositivo di raffreddamento, beve un pepsi, quindi vengono mostrati di camminare con il dispositivo di raffreddamento pepsi.</v>
      </c>
    </row>
    <row r="31298">
      <c r="A31298" s="4" t="s">
        <v>39412</v>
      </c>
      <c r="B31298" s="4" t="s">
        <v>39413</v>
      </c>
      <c r="C31298" s="5" t="str">
        <f>IFERROR(__xludf.DUMMYFUNCTION("GOOGLETRANSLATE(B31298,""en"",""it"")"),"Viene visto un uomo che parla alla telecamera mentre si giocano a sollevare diverse partite di Ping Pong.")</f>
        <v>Viene visto un uomo che parla alla telecamera mentre si giocano a sollevare diverse partite di Ping Pong.</v>
      </c>
    </row>
    <row r="31299">
      <c r="A31299" s="4" t="s">
        <v>39412</v>
      </c>
      <c r="B31299" s="4" t="s">
        <v>39414</v>
      </c>
      <c r="C31299" s="5" t="str">
        <f>IFERROR(__xludf.DUMMYFUNCTION("GOOGLETRANSLATE(B31299,""en"",""it"")"),"L'uomo continua a colpire la palla mentre parla alla telecamera e regge gli strumenti Ping Pong.")</f>
        <v>L'uomo continua a colpire la palla mentre parla alla telecamera e regge gli strumenti Ping Pong.</v>
      </c>
    </row>
    <row r="31300">
      <c r="A31300" s="4" t="s">
        <v>39412</v>
      </c>
      <c r="B31300" s="6" t="s">
        <v>39415</v>
      </c>
      <c r="C31300" s="5" t="str">
        <f>IFERROR(__xludf.DUMMYFUNCTION("GOOGLETRANSLATE(B31300,""en"",""it"")"),"L'uomo dimostra come colpire correttamente la palla e muovere il suo corpo e colpire ancora la palla.")</f>
        <v>L'uomo dimostra come colpire correttamente la palla e muovere il suo corpo e colpire ancora la palla.</v>
      </c>
    </row>
    <row r="31301">
      <c r="A31301" s="4" t="s">
        <v>39416</v>
      </c>
      <c r="B31301" s="6" t="s">
        <v>39417</v>
      </c>
      <c r="C31301" s="5" t="str">
        <f>IFERROR(__xludf.DUMMYFUNCTION("GOOGLETRANSLATE(B31301,""en"",""it"")"),"C'è un saldatore in una camicia blu che indossa un casco protettivo giallo, saldando un grande tubo di metallo in un laboratorio.")</f>
        <v>C'è un saldatore in una camicia blu che indossa un casco protettivo giallo, saldando un grande tubo di metallo in un laboratorio.</v>
      </c>
    </row>
    <row r="31302">
      <c r="A31302" s="4" t="s">
        <v>39416</v>
      </c>
      <c r="B31302" s="6" t="s">
        <v>39418</v>
      </c>
      <c r="C31302" s="5" t="str">
        <f>IFERROR(__xludf.DUMMYFUNCTION("GOOGLETRANSLATE(B31302,""en"",""it"")"),"C'è un altro saldatore che indossa un abito protettivo blu e un casco bianco che salda un pezzo di metallo su un tavolo da officina.")</f>
        <v>C'è un altro saldatore che indossa un abito protettivo blu e un casco bianco che salda un pezzo di metallo su un tavolo da officina.</v>
      </c>
    </row>
    <row r="31303">
      <c r="A31303" s="4" t="s">
        <v>39416</v>
      </c>
      <c r="B31303" s="4" t="s">
        <v>39419</v>
      </c>
      <c r="C31303" s="5" t="str">
        <f>IFERROR(__xludf.DUMMYFUNCTION("GOOGLETRANSLATE(B31303,""en"",""it"")"),"Sta saldando il pezzo di metallo con precisione in modo orizzontale.")</f>
        <v>Sta saldando il pezzo di metallo con precisione in modo orizzontale.</v>
      </c>
    </row>
    <row r="31304">
      <c r="A31304" s="4" t="s">
        <v>39416</v>
      </c>
      <c r="B31304" s="4" t="s">
        <v>39420</v>
      </c>
      <c r="C31304" s="5" t="str">
        <f>IFERROR(__xludf.DUMMYFUNCTION("GOOGLETRANSLATE(B31304,""en"",""it"")"),"C'è una saldatura che mostra come funziona sullo scioglimento del metallo ad alta temperatura.")</f>
        <v>C'è una saldatura che mostra come funziona sullo scioglimento del metallo ad alta temperatura.</v>
      </c>
    </row>
    <row r="31305">
      <c r="A31305" s="4" t="s">
        <v>39421</v>
      </c>
      <c r="B31305" s="6" t="s">
        <v>39422</v>
      </c>
      <c r="C31305" s="5" t="str">
        <f>IFERROR(__xludf.DUMMYFUNCTION("GOOGLETRANSLATE(B31305,""en"",""it"")"),"Una ragazza è vista seduta su un letto a parlare alla telecamera e conduce nei suoi trucchi ginnastici su un trampolino.")</f>
        <v>Una ragazza è vista seduta su un letto a parlare alla telecamera e conduce nei suoi trucchi ginnastici su un trampolino.</v>
      </c>
    </row>
    <row r="31306">
      <c r="A31306" s="4" t="s">
        <v>39421</v>
      </c>
      <c r="B31306" s="6" t="s">
        <v>39423</v>
      </c>
      <c r="C31306" s="5" t="str">
        <f>IFERROR(__xludf.DUMMYFUNCTION("GOOGLETRANSLATE(B31306,""en"",""it"")"),"Vengono mostrati altri colpi di diverse ragazze che eseguono vari lanci e trucchi su un pavimento in palestra e che finiscono con un gruppo di ragazze che fanno ascensori di cheerleader.")</f>
        <v>Vengono mostrati altri colpi di diverse ragazze che eseguono vari lanci e trucchi su un pavimento in palestra e che finiscono con un gruppo di ragazze che fanno ascensori di cheerleader.</v>
      </c>
    </row>
    <row r="31307">
      <c r="A31307" s="4" t="s">
        <v>39424</v>
      </c>
      <c r="B31307" s="4" t="s">
        <v>39425</v>
      </c>
      <c r="C31307" s="5" t="str">
        <f>IFERROR(__xludf.DUMMYFUNCTION("GOOGLETRANSLATE(B31307,""en"",""it"")"),"Una ragazza tiene uno spazzolino da denti fino alla fotocamera.")</f>
        <v>Una ragazza tiene uno spazzolino da denti fino alla fotocamera.</v>
      </c>
    </row>
    <row r="31308">
      <c r="A31308" s="4" t="s">
        <v>39424</v>
      </c>
      <c r="B31308" s="4" t="s">
        <v>39426</v>
      </c>
      <c r="C31308" s="5" t="str">
        <f>IFERROR(__xludf.DUMMYFUNCTION("GOOGLETRANSLATE(B31308,""en"",""it"")"),"Usa il pennello per lavarsi i denti.")</f>
        <v>Usa il pennello per lavarsi i denti.</v>
      </c>
    </row>
    <row r="31309">
      <c r="A31309" s="4" t="s">
        <v>39424</v>
      </c>
      <c r="B31309" s="4" t="s">
        <v>39427</v>
      </c>
      <c r="C31309" s="5" t="str">
        <f>IFERROR(__xludf.DUMMYFUNCTION("GOOGLETRANSLATE(B31309,""en"",""it"")"),"Lei strofina i denti avanti e indietro per molto tempo.")</f>
        <v>Lei strofina i denti avanti e indietro per molto tempo.</v>
      </c>
    </row>
    <row r="31310">
      <c r="A31310" s="4" t="s">
        <v>39428</v>
      </c>
      <c r="B31310" s="4" t="s">
        <v>39429</v>
      </c>
      <c r="C31310" s="5" t="str">
        <f>IFERROR(__xludf.DUMMYFUNCTION("GOOGLETRANSLATE(B31310,""en"",""it"")"),"Una persona sullo schermo mostra una scatola contenente giocattoli di wrestling di sumo.")</f>
        <v>Una persona sullo schermo mostra una scatola contenente giocattoli di wrestling di sumo.</v>
      </c>
    </row>
    <row r="31311">
      <c r="A31311" s="4" t="s">
        <v>39428</v>
      </c>
      <c r="B31311" s="4" t="s">
        <v>39430</v>
      </c>
      <c r="C31311" s="5" t="str">
        <f>IFERROR(__xludf.DUMMYFUNCTION("GOOGLETRANSLATE(B31311,""en"",""it"")"),"La persona fornisce una dimostrazione su come usare i giocattoli.")</f>
        <v>La persona fornisce una dimostrazione su come usare i giocattoli.</v>
      </c>
    </row>
    <row r="31312">
      <c r="A31312" s="4" t="s">
        <v>39428</v>
      </c>
      <c r="B31312" s="6" t="s">
        <v>39431</v>
      </c>
      <c r="C31312" s="5" t="str">
        <f>IFERROR(__xludf.DUMMYFUNCTION("GOOGLETRANSLATE(B31312,""en"",""it"")"),"Successivamente la persona fa diverse dimostrazioni del set di giocattoli di wrestling di sumo usando giocattoli che hanno realizzato e giocattoli dal set.")</f>
        <v>Successivamente la persona fa diverse dimostrazioni del set di giocattoli di wrestling di sumo usando giocattoli che hanno realizzato e giocattoli dal set.</v>
      </c>
    </row>
    <row r="31313">
      <c r="A31313" s="4" t="s">
        <v>39428</v>
      </c>
      <c r="B31313" s="4" t="s">
        <v>15945</v>
      </c>
      <c r="C31313" s="5" t="str">
        <f>IFERROR(__xludf.DUMMYFUNCTION("GOOGLETRANSLATE(B31313,""en"",""it"")"),"Alla fine del video vengono mostrati i crediti di chiusura.")</f>
        <v>Alla fine del video vengono mostrati i crediti di chiusura.</v>
      </c>
    </row>
    <row r="31314">
      <c r="A31314" s="4" t="s">
        <v>39432</v>
      </c>
      <c r="B31314" s="4" t="s">
        <v>39433</v>
      </c>
      <c r="C31314" s="5" t="str">
        <f>IFERROR(__xludf.DUMMYFUNCTION("GOOGLETRANSLATE(B31314,""en"",""it"")"),"La gente guarda una ginnasta eseguire la sua routine.")</f>
        <v>La gente guarda una ginnasta eseguire la sua routine.</v>
      </c>
    </row>
    <row r="31315">
      <c r="A31315" s="4" t="s">
        <v>39432</v>
      </c>
      <c r="B31315" s="4" t="s">
        <v>39434</v>
      </c>
      <c r="C31315" s="5" t="str">
        <f>IFERROR(__xludf.DUMMYFUNCTION("GOOGLETRANSLATE(B31315,""en"",""it"")"),"La ginnasta si trova sul lato del raggio di equilibrio.")</f>
        <v>La ginnasta si trova sul lato del raggio di equilibrio.</v>
      </c>
    </row>
    <row r="31316">
      <c r="A31316" s="4" t="s">
        <v>39432</v>
      </c>
      <c r="B31316" s="4" t="s">
        <v>39435</v>
      </c>
      <c r="C31316" s="5" t="str">
        <f>IFERROR(__xludf.DUMMYFUNCTION("GOOGLETRANSLATE(B31316,""en"",""it"")"),"Il gyjmnast monta il raggio.")</f>
        <v>Il gyjmnast monta il raggio.</v>
      </c>
    </row>
    <row r="31317">
      <c r="A31317" s="4" t="s">
        <v>39432</v>
      </c>
      <c r="B31317" s="4" t="s">
        <v>39436</v>
      </c>
      <c r="C31317" s="5" t="str">
        <f>IFERROR(__xludf.DUMMYFUNCTION("GOOGLETRANSLATE(B31317,""en"",""it"")"),"La ginnasta esegue la sua routine sul raggio.")</f>
        <v>La ginnasta esegue la sua routine sul raggio.</v>
      </c>
    </row>
    <row r="31318">
      <c r="A31318" s="4" t="s">
        <v>39432</v>
      </c>
      <c r="B31318" s="4" t="s">
        <v>39437</v>
      </c>
      <c r="C31318" s="5" t="str">
        <f>IFERROR(__xludf.DUMMYFUNCTION("GOOGLETRANSLATE(B31318,""en"",""it"")"),"La ginnasta cade quasi, ma si prende.")</f>
        <v>La ginnasta cade quasi, ma si prende.</v>
      </c>
    </row>
    <row r="31319">
      <c r="A31319" s="4" t="s">
        <v>39432</v>
      </c>
      <c r="B31319" s="4" t="s">
        <v>39438</v>
      </c>
      <c r="C31319" s="5" t="str">
        <f>IFERROR(__xludf.DUMMYFUNCTION("GOOGLETRANSLATE(B31319,""en"",""it"")"),"La ginnasta smont e atterra sul tappeto blu.")</f>
        <v>La ginnasta smont e atterra sul tappeto blu.</v>
      </c>
    </row>
    <row r="31320">
      <c r="A31320" s="4" t="s">
        <v>39439</v>
      </c>
      <c r="B31320" s="4" t="s">
        <v>39440</v>
      </c>
      <c r="C31320" s="5" t="str">
        <f>IFERROR(__xludf.DUMMYFUNCTION("GOOGLETRANSLATE(B31320,""en"",""it"")"),"Diverse clip di persone mostrate di persone che giocavano a calcio l'una contro l'altra in un grande campo.")</f>
        <v>Diverse clip di persone mostrate di persone che giocavano a calcio l'una contro l'altra in un grande campo.</v>
      </c>
    </row>
    <row r="31321">
      <c r="A31321" s="4" t="s">
        <v>39439</v>
      </c>
      <c r="B31321" s="6" t="s">
        <v>39441</v>
      </c>
      <c r="C31321" s="5" t="str">
        <f>IFERROR(__xludf.DUMMYFUNCTION("GOOGLETRANSLATE(B31321,""en"",""it"")"),"Vengono mostrate diverse clip di persone che corrono in giro, catturano e lanciano la palla, nonché festeggiano sul lato.")</f>
        <v>Vengono mostrate diverse clip di persone che corrono in giro, catturano e lanciano la palla, nonché festeggiano sul lato.</v>
      </c>
    </row>
    <row r="31322">
      <c r="A31322" s="4" t="s">
        <v>39442</v>
      </c>
      <c r="B31322" s="4" t="s">
        <v>39443</v>
      </c>
      <c r="C31322" s="5" t="str">
        <f>IFERROR(__xludf.DUMMYFUNCTION("GOOGLETRANSLATE(B31322,""en"",""it"")"),"Un uomo viene visto mettere oggetti su un muro e posizionare una tavola lungo il muro.")</f>
        <v>Un uomo viene visto mettere oggetti su un muro e posizionare una tavola lungo il muro.</v>
      </c>
    </row>
    <row r="31323">
      <c r="A31323" s="4" t="s">
        <v>39442</v>
      </c>
      <c r="B31323" s="6" t="s">
        <v>39444</v>
      </c>
      <c r="C31323" s="5" t="str">
        <f>IFERROR(__xludf.DUMMYFUNCTION("GOOGLETRANSLATE(B31323,""en"",""it"")"),"Continua a muovere gli oggetti sul muro e poi li inchioda con una pistola per unghie e presenta gli scaffali che ha fatto.")</f>
        <v>Continua a muovere gli oggetti sul muro e poi li inchioda con una pistola per unghie e presenta gli scaffali che ha fatto.</v>
      </c>
    </row>
    <row r="31324">
      <c r="A31324" s="4" t="s">
        <v>39445</v>
      </c>
      <c r="B31324" s="4" t="s">
        <v>39446</v>
      </c>
      <c r="C31324" s="5" t="str">
        <f>IFERROR(__xludf.DUMMYFUNCTION("GOOGLETRANSLATE(B31324,""en"",""it"")"),"Viene visto un uomo suonare un tamburo bongo che muove rapidamente le mani intorno allo strumento.")</f>
        <v>Viene visto un uomo suonare un tamburo bongo che muove rapidamente le mani intorno allo strumento.</v>
      </c>
    </row>
    <row r="31325">
      <c r="A31325" s="4" t="s">
        <v>39445</v>
      </c>
      <c r="B31325" s="6" t="s">
        <v>39447</v>
      </c>
      <c r="C31325" s="5" t="str">
        <f>IFERROR(__xludf.DUMMYFUNCTION("GOOGLETRANSLATE(B31325,""en"",""it"")"),"Suona continuamente il tamburo mentre chiude gli occhi in concentrazione e finisce colpendo le mani più velocemente.")</f>
        <v>Suona continuamente il tamburo mentre chiude gli occhi in concentrazione e finisce colpendo le mani più velocemente.</v>
      </c>
    </row>
    <row r="31326">
      <c r="A31326" s="4" t="s">
        <v>39448</v>
      </c>
      <c r="B31326" s="4" t="s">
        <v>39449</v>
      </c>
      <c r="C31326" s="5" t="str">
        <f>IFERROR(__xludf.DUMMYFUNCTION("GOOGLETRANSLATE(B31326,""en"",""it"")"),"Un paio di scarpe viene visualizzata su un tavolo mentre un uomo e una donna hanno una conversazione.")</f>
        <v>Un paio di scarpe viene visualizzata su un tavolo mentre un uomo e una donna hanno una conversazione.</v>
      </c>
    </row>
    <row r="31327">
      <c r="A31327" s="4" t="s">
        <v>39448</v>
      </c>
      <c r="B31327" s="4" t="s">
        <v>39450</v>
      </c>
      <c r="C31327" s="5" t="str">
        <f>IFERROR(__xludf.DUMMYFUNCTION("GOOGLETRANSLATE(B31327,""en"",""it"")"),"Una donna sfida un uomo a bramare il wrestling.")</f>
        <v>Una donna sfida un uomo a bramare il wrestling.</v>
      </c>
    </row>
    <row r="31328">
      <c r="A31328" s="4" t="s">
        <v>39448</v>
      </c>
      <c r="B31328" s="4" t="s">
        <v>39451</v>
      </c>
      <c r="C31328" s="5" t="str">
        <f>IFERROR(__xludf.DUMMYFUNCTION("GOOGLETRANSLATE(B31328,""en"",""it"")"),"L'uomo rimuove le scarpe dal tavolo.")</f>
        <v>L'uomo rimuove le scarpe dal tavolo.</v>
      </c>
    </row>
    <row r="31329">
      <c r="A31329" s="4" t="s">
        <v>39448</v>
      </c>
      <c r="B31329" s="4" t="s">
        <v>39452</v>
      </c>
      <c r="C31329" s="5" t="str">
        <f>IFERROR(__xludf.DUMMYFUNCTION("GOOGLETRANSLATE(B31329,""en"",""it"")"),"La donna e l'uomo braccio lottano.")</f>
        <v>La donna e l'uomo braccio lottano.</v>
      </c>
    </row>
    <row r="31330">
      <c r="A31330" s="4" t="s">
        <v>39448</v>
      </c>
      <c r="B31330" s="4" t="s">
        <v>39453</v>
      </c>
      <c r="C31330" s="5" t="str">
        <f>IFERROR(__xludf.DUMMYFUNCTION("GOOGLETRANSLATE(B31330,""en"",""it"")"),"L'uomo batte la donna.")</f>
        <v>L'uomo batte la donna.</v>
      </c>
    </row>
    <row r="31331">
      <c r="A31331" s="4" t="s">
        <v>39448</v>
      </c>
      <c r="B31331" s="4" t="s">
        <v>39454</v>
      </c>
      <c r="C31331" s="5" t="str">
        <f>IFERROR(__xludf.DUMMYFUNCTION("GOOGLETRANSLATE(B31331,""en"",""it"")"),"Tira fuori le scarpe e le mostra sul tavolo.")</f>
        <v>Tira fuori le scarpe e le mostra sul tavolo.</v>
      </c>
    </row>
    <row r="31332">
      <c r="A31332" s="4" t="s">
        <v>39448</v>
      </c>
      <c r="B31332" s="4" t="s">
        <v>39455</v>
      </c>
      <c r="C31332" s="5" t="str">
        <f>IFERROR(__xludf.DUMMYFUNCTION("GOOGLETRANSLATE(B31332,""en"",""it"")"),"La donna e l'uomo ridono mentre portano avanti una conversazione.")</f>
        <v>La donna e l'uomo ridono mentre portano avanti una conversazione.</v>
      </c>
    </row>
    <row r="31333">
      <c r="A31333" s="4" t="s">
        <v>39456</v>
      </c>
      <c r="B31333" s="4" t="s">
        <v>39457</v>
      </c>
      <c r="C31333" s="5" t="str">
        <f>IFERROR(__xludf.DUMMYFUNCTION("GOOGLETRANSLATE(B31333,""en"",""it"")"),"Una donna parla in palestra.")</f>
        <v>Una donna parla in palestra.</v>
      </c>
    </row>
    <row r="31334">
      <c r="A31334" s="4" t="s">
        <v>39456</v>
      </c>
      <c r="B31334" s="4" t="s">
        <v>39458</v>
      </c>
      <c r="C31334" s="5" t="str">
        <f>IFERROR(__xludf.DUMMYFUNCTION("GOOGLETRANSLATE(B31334,""en"",""it"")"),"La donna si trova su una corsia, poi corre per eseguire un salto in lungo che atterra nella sabbia.")</f>
        <v>La donna si trova su una corsia, poi corre per eseguire un salto in lungo che atterra nella sabbia.</v>
      </c>
    </row>
    <row r="31335">
      <c r="A31335" s="4" t="s">
        <v>39456</v>
      </c>
      <c r="B31335" s="4" t="s">
        <v>39459</v>
      </c>
      <c r="C31335" s="5" t="str">
        <f>IFERROR(__xludf.DUMMYFUNCTION("GOOGLETRANSLATE(B31335,""en"",""it"")"),"Il salto della donna si ripete più volte.")</f>
        <v>Il salto della donna si ripete più volte.</v>
      </c>
    </row>
    <row r="31336">
      <c r="A31336" s="4" t="s">
        <v>39460</v>
      </c>
      <c r="B31336" s="4" t="s">
        <v>39461</v>
      </c>
      <c r="C31336" s="5" t="str">
        <f>IFERROR(__xludf.DUMMYFUNCTION("GOOGLETRANSLATE(B31336,""en"",""it"")"),"Diverse persone vengono viste navigare in aquilone lungo l'acqua e uno che esegue trucchi.")</f>
        <v>Diverse persone vengono viste navigare in aquilone lungo l'acqua e uno che esegue trucchi.</v>
      </c>
    </row>
    <row r="31337">
      <c r="A31337" s="4" t="s">
        <v>39460</v>
      </c>
      <c r="B31337" s="4" t="s">
        <v>39462</v>
      </c>
      <c r="C31337" s="5" t="str">
        <f>IFERROR(__xludf.DUMMYFUNCTION("GOOGLETRANSLATE(B31337,""en"",""it"")"),"Più persone eseguono trucchi e una caduta di lato, risalendo immediatamente.")</f>
        <v>Più persone eseguono trucchi e una caduta di lato, risalendo immediatamente.</v>
      </c>
    </row>
    <row r="31338">
      <c r="A31338" s="4" t="s">
        <v>39463</v>
      </c>
      <c r="B31338" s="4" t="s">
        <v>39464</v>
      </c>
      <c r="C31338" s="5" t="str">
        <f>IFERROR(__xludf.DUMMYFUNCTION("GOOGLETRANSLATE(B31338,""en"",""it"")"),"Un bambino dipinge le unghie dei piedi con smalto bianco sul davanti un bambino.")</f>
        <v>Un bambino dipinge le unghie dei piedi con smalto bianco sul davanti un bambino.</v>
      </c>
    </row>
    <row r="31339">
      <c r="A31339" s="4" t="s">
        <v>39463</v>
      </c>
      <c r="B31339" s="4" t="s">
        <v>39465</v>
      </c>
      <c r="C31339" s="5" t="str">
        <f>IFERROR(__xludf.DUMMYFUNCTION("GOOGLETRANSLATE(B31339,""en"",""it"")"),"Una persona entra nella stanza e cammina davanti ai bambini.")</f>
        <v>Una persona entra nella stanza e cammina davanti ai bambini.</v>
      </c>
    </row>
    <row r="31340">
      <c r="A31340" s="4" t="s">
        <v>39463</v>
      </c>
      <c r="B31340" s="4" t="s">
        <v>39466</v>
      </c>
      <c r="C31340" s="5" t="str">
        <f>IFERROR(__xludf.DUMMYFUNCTION("GOOGLETRANSLATE(B31340,""en"",""it"")"),"Quindi, il bambino si gira per ascoltare qualcuno per un secondo e continua a dipingere le unghie dei piedi.")</f>
        <v>Quindi, il bambino si gira per ascoltare qualcuno per un secondo e continua a dipingere le unghie dei piedi.</v>
      </c>
    </row>
    <row r="31341">
      <c r="A31341" s="4" t="s">
        <v>39463</v>
      </c>
      <c r="B31341" s="6" t="s">
        <v>39467</v>
      </c>
      <c r="C31341" s="5" t="str">
        <f>IFERROR(__xludf.DUMMYFUNCTION("GOOGLETRANSLATE(B31341,""en"",""it"")"),"Dopo, una mano tocca la parte posteriore del bambino due volte che si gira e poi continua a dipingere le unghie dei piedi.")</f>
        <v>Dopo, una mano tocca la parte posteriore del bambino due volte che si gira e poi continua a dipingere le unghie dei piedi.</v>
      </c>
    </row>
    <row r="31342">
      <c r="A31342" s="4" t="s">
        <v>39468</v>
      </c>
      <c r="B31342" s="4" t="s">
        <v>39469</v>
      </c>
      <c r="C31342" s="5" t="str">
        <f>IFERROR(__xludf.DUMMYFUNCTION("GOOGLETRANSLATE(B31342,""en"",""it"")"),"Una persona versa l'aceto in un lavandino su un asciugamano.")</f>
        <v>Una persona versa l'aceto in un lavandino su un asciugamano.</v>
      </c>
    </row>
    <row r="31343">
      <c r="A31343" s="4" t="s">
        <v>39468</v>
      </c>
      <c r="B31343" s="4" t="s">
        <v>39470</v>
      </c>
      <c r="C31343" s="5" t="str">
        <f>IFERROR(__xludf.DUMMYFUNCTION("GOOGLETRANSLATE(B31343,""en"",""it"")"),"La persona usa quindi l'asciugamano per strofinare la superficie del lavandino.")</f>
        <v>La persona usa quindi l'asciugamano per strofinare la superficie del lavandino.</v>
      </c>
    </row>
    <row r="31344">
      <c r="A31344" s="4" t="s">
        <v>39468</v>
      </c>
      <c r="B31344" s="4" t="s">
        <v>39471</v>
      </c>
      <c r="C31344" s="5" t="str">
        <f>IFERROR(__xludf.DUMMYFUNCTION("GOOGLETRANSLATE(B31344,""en"",""it"")"),"La persona lascia cadere l'asciugamano e lo raccoglie.")</f>
        <v>La persona lascia cadere l'asciugamano e lo raccoglie.</v>
      </c>
    </row>
    <row r="31345">
      <c r="A31345" s="4" t="s">
        <v>39472</v>
      </c>
      <c r="B31345" s="6" t="s">
        <v>39473</v>
      </c>
      <c r="C31345" s="5" t="str">
        <f>IFERROR(__xludf.DUMMYFUNCTION("GOOGLETRANSLATE(B31345,""en"",""it"")"),"Viene vista una donna parlare alla telecamera mentre si mostra le unghie e porta a lei reggere una lente a contatto.")</f>
        <v>Viene vista una donna parlare alla telecamera mentre si mostra le unghie e porta a lei reggere una lente a contatto.</v>
      </c>
    </row>
    <row r="31346">
      <c r="A31346" s="4" t="s">
        <v>39472</v>
      </c>
      <c r="B31346" s="6" t="s">
        <v>39474</v>
      </c>
      <c r="C31346" s="5" t="str">
        <f>IFERROR(__xludf.DUMMYFUNCTION("GOOGLETRANSLATE(B31346,""en"",""it"")"),"La ragazza versa quindi liquido in un contenitore e loro dimostra come inserire e assumere correttamente una lente a contatto.")</f>
        <v>La ragazza versa quindi liquido in un contenitore e loro dimostra come inserire e assumere correttamente una lente a contatto.</v>
      </c>
    </row>
    <row r="31347">
      <c r="A31347" s="4" t="s">
        <v>39475</v>
      </c>
      <c r="B31347" s="6" t="s">
        <v>39476</v>
      </c>
      <c r="C31347" s="5" t="str">
        <f>IFERROR(__xludf.DUMMYFUNCTION("GOOGLETRANSLATE(B31347,""en"",""it"")"),"La donna sta parlando con la telecamera che tiene un grosso gatto sulle gambe che è seduto in un cuscino di gatto e si accarezza la testa.")</f>
        <v>La donna sta parlando con la telecamera che tiene un grosso gatto sulle gambe che è seduto in un cuscino di gatto e si accarezza la testa.</v>
      </c>
    </row>
    <row r="31348">
      <c r="A31348" s="4" t="s">
        <v>39475</v>
      </c>
      <c r="B31348" s="4" t="s">
        <v>39477</v>
      </c>
      <c r="C31348" s="5" t="str">
        <f>IFERROR(__xludf.DUMMYFUNCTION("GOOGLETRANSLATE(B31348,""en"",""it"")"),"La donna tiene un chiodo e taglia le unghie del gatto che spiegano il modo giusto per farlo.")</f>
        <v>La donna tiene un chiodo e taglia le unghie del gatto che spiegano il modo giusto per farlo.</v>
      </c>
    </row>
    <row r="31349">
      <c r="A31349" s="4" t="s">
        <v>39478</v>
      </c>
      <c r="B31349" s="4" t="s">
        <v>39479</v>
      </c>
      <c r="C31349" s="5" t="str">
        <f>IFERROR(__xludf.DUMMYFUNCTION("GOOGLETRANSLATE(B31349,""en"",""it"")"),"Una persona sci nautico nell'acqua con una corda attaccata a una barca nel fiume.")</f>
        <v>Una persona sci nautico nell'acqua con una corda attaccata a una barca nel fiume.</v>
      </c>
    </row>
    <row r="31350">
      <c r="A31350" s="4" t="s">
        <v>39478</v>
      </c>
      <c r="B31350" s="4" t="s">
        <v>39480</v>
      </c>
      <c r="C31350" s="5" t="str">
        <f>IFERROR(__xludf.DUMMYFUNCTION("GOOGLETRANSLATE(B31350,""en"",""it"")"),"La persona passa davanti a una barca nel fiume mentre era acquirente.")</f>
        <v>La persona passa davanti a una barca nel fiume mentre era acquirente.</v>
      </c>
    </row>
    <row r="31351">
      <c r="A31351" s="4" t="s">
        <v>39478</v>
      </c>
      <c r="B31351" s="6" t="s">
        <v>39481</v>
      </c>
      <c r="C31351" s="5" t="str">
        <f>IFERROR(__xludf.DUMMYFUNCTION("GOOGLETRANSLATE(B31351,""en"",""it"")"),"Quindi, la persona dà un pollice mentre esegue Waterskii, dopo che la persona ha continuato gli acquirenti.")</f>
        <v>Quindi, la persona dà un pollice mentre esegue Waterskii, dopo che la persona ha continuato gli acquirenti.</v>
      </c>
    </row>
    <row r="31352">
      <c r="A31352" s="4" t="s">
        <v>39478</v>
      </c>
      <c r="B31352" s="4" t="s">
        <v>39482</v>
      </c>
      <c r="C31352" s="5" t="str">
        <f>IFERROR(__xludf.DUMMYFUNCTION("GOOGLETRANSLATE(B31352,""en"",""it"")"),"Quindi, la tavola da surf galleggia sulla parte anteriore di una struttura in metallo.")</f>
        <v>Quindi, la tavola da surf galleggia sulla parte anteriore di una struttura in metallo.</v>
      </c>
    </row>
    <row r="31353">
      <c r="A31353" s="4" t="s">
        <v>39483</v>
      </c>
      <c r="B31353" s="6" t="s">
        <v>39484</v>
      </c>
      <c r="C31353" s="5" t="str">
        <f>IFERROR(__xludf.DUMMYFUNCTION("GOOGLETRANSLATE(B31353,""en"",""it"")"),"Un addestratore che indossa una tuta bagnata dà un po 'di prelibatezze e il triaco annuisce in città per l'eccitazione all'inizio di uno spettacolo.")</f>
        <v>Un addestratore che indossa una tuta bagnata dà un po 'di prelibatezze e il triaco annuisce in città per l'eccitazione all'inizio di uno spettacolo.</v>
      </c>
    </row>
    <row r="31354">
      <c r="A31354" s="4" t="s">
        <v>39483</v>
      </c>
      <c r="B31354" s="4" t="s">
        <v>39485</v>
      </c>
      <c r="C31354" s="5" t="str">
        <f>IFERROR(__xludf.DUMMYFUNCTION("GOOGLETRANSLATE(B31354,""en"",""it"")"),"L'allenatore suona un piccolo sassofono e il tricheco annuisce e viene dato una sorpresa.")</f>
        <v>L'allenatore suona un piccolo sassofono e il tricheco annuisce e viene dato una sorpresa.</v>
      </c>
    </row>
    <row r="31355">
      <c r="A31355" s="4" t="s">
        <v>39483</v>
      </c>
      <c r="B31355" s="4" t="s">
        <v>39486</v>
      </c>
      <c r="C31355" s="5" t="str">
        <f>IFERROR(__xludf.DUMMYFUNCTION("GOOGLETRANSLATE(B31355,""en"",""it"")"),"Il walrus viene consegnato il sassofono e lo suona mentre balla con l'allenatore.")</f>
        <v>Il walrus viene consegnato il sassofono e lo suona mentre balla con l'allenatore.</v>
      </c>
    </row>
    <row r="31356">
      <c r="A31356" s="4" t="s">
        <v>39487</v>
      </c>
      <c r="B31356" s="4" t="s">
        <v>39488</v>
      </c>
      <c r="C31356" s="5" t="str">
        <f>IFERROR(__xludf.DUMMYFUNCTION("GOOGLETRANSLATE(B31356,""en"",""it"")"),"Le mani di una persona dimostrano come accendere e pettinare una bambola dai capelli biondi.")</f>
        <v>Le mani di una persona dimostrano come accendere e pettinare una bambola dai capelli biondi.</v>
      </c>
    </row>
    <row r="31357">
      <c r="A31357" s="4" t="s">
        <v>39487</v>
      </c>
      <c r="B31357" s="6" t="s">
        <v>39489</v>
      </c>
      <c r="C31357" s="5" t="str">
        <f>IFERROR(__xludf.DUMMYFUNCTION("GOOGLETRANSLATE(B31357,""en"",""it"")"),"La mano della persona inizia a spazzolare i capelli della bambola con un pennello a setole rosa prima di sollevare una bottiglia di prodotto per acconciatura.")</f>
        <v>La mano della persona inizia a spazzolare i capelli della bambola con un pennello a setole rosa prima di sollevare una bottiglia di prodotto per acconciatura.</v>
      </c>
    </row>
    <row r="31358">
      <c r="A31358" s="4" t="s">
        <v>39487</v>
      </c>
      <c r="B31358" s="6" t="s">
        <v>39490</v>
      </c>
      <c r="C31358" s="5" t="str">
        <f>IFERROR(__xludf.DUMMYFUNCTION("GOOGLETRANSLATE(B31358,""en"",""it"")"),"La mano spruzza parte del prodotto in stile capelli sui capelli della bambola e poi procede a spazzolare di nuovo i capelli.")</f>
        <v>La mano spruzza parte del prodotto in stile capelli sui capelli della bambola e poi procede a spazzolare di nuovo i capelli.</v>
      </c>
    </row>
    <row r="31359">
      <c r="A31359" s="4" t="s">
        <v>39487</v>
      </c>
      <c r="B31359" s="6" t="s">
        <v>39491</v>
      </c>
      <c r="C31359" s="5" t="str">
        <f>IFERROR(__xludf.DUMMYFUNCTION("GOOGLETRANSLATE(B31359,""en"",""it"")"),"La mano gira quindi la bambola per mostrare lo stile finito, la mano fa anche gestire le aree intorno ai capelli delle bambole.")</f>
        <v>La mano gira quindi la bambola per mostrare lo stile finito, la mano fa anche gestire le aree intorno ai capelli delle bambole.</v>
      </c>
    </row>
    <row r="31360">
      <c r="A31360" s="4" t="s">
        <v>39492</v>
      </c>
      <c r="B31360" s="4" t="s">
        <v>39493</v>
      </c>
      <c r="C31360" s="5" t="str">
        <f>IFERROR(__xludf.DUMMYFUNCTION("GOOGLETRANSLATE(B31360,""en"",""it"")"),"Una barca a vela con vele color prugne rosso scuro sta cavalcando sull'oceano.")</f>
        <v>Una barca a vela con vele color prugne rosso scuro sta cavalcando sull'oceano.</v>
      </c>
    </row>
    <row r="31361">
      <c r="A31361" s="4" t="s">
        <v>39492</v>
      </c>
      <c r="B31361" s="4" t="s">
        <v>39494</v>
      </c>
      <c r="C31361" s="5" t="str">
        <f>IFERROR(__xludf.DUMMYFUNCTION("GOOGLETRANSLATE(B31361,""en"",""it"")"),"La barca si gira e la vediamo da dietro mentre ci spostiamo sul lato sinistro.")</f>
        <v>La barca si gira e la vediamo da dietro mentre ci spostiamo sul lato sinistro.</v>
      </c>
    </row>
    <row r="31362">
      <c r="A31362" s="4" t="s">
        <v>39492</v>
      </c>
      <c r="B31362" s="4" t="s">
        <v>39495</v>
      </c>
      <c r="C31362" s="5" t="str">
        <f>IFERROR(__xludf.DUMMYFUNCTION("GOOGLETRANSLATE(B31362,""en"",""it"")"),"La fotocamera ingrandisce e esce, quindi lampeggia ad un'altra angolazione.")</f>
        <v>La fotocamera ingrandisce e esce, quindi lampeggia ad un'altra angolazione.</v>
      </c>
    </row>
    <row r="31363">
      <c r="A31363" s="4" t="s">
        <v>39492</v>
      </c>
      <c r="B31363" s="4" t="s">
        <v>39496</v>
      </c>
      <c r="C31363" s="5" t="str">
        <f>IFERROR(__xludf.DUMMYFUNCTION("GOOGLETRANSLATE(B31363,""en"",""it"")"),"Vediamo i crediti per il video.")</f>
        <v>Vediamo i crediti per il video.</v>
      </c>
    </row>
    <row r="31364">
      <c r="A31364" s="4" t="s">
        <v>39497</v>
      </c>
      <c r="B31364" s="4" t="s">
        <v>39498</v>
      </c>
      <c r="C31364" s="5" t="str">
        <f>IFERROR(__xludf.DUMMYFUNCTION("GOOGLETRANSLATE(B31364,""en"",""it"")"),"Un uomo fa oscillare le braccia intorno alla testa.")</f>
        <v>Un uomo fa oscillare le braccia intorno alla testa.</v>
      </c>
    </row>
    <row r="31365">
      <c r="A31365" s="4" t="s">
        <v>39497</v>
      </c>
      <c r="B31365" s="4" t="s">
        <v>39499</v>
      </c>
      <c r="C31365" s="5" t="str">
        <f>IFERROR(__xludf.DUMMYFUNCTION("GOOGLETRANSLATE(B31365,""en"",""it"")"),"Si sorseggia gira tutto il suo corpo.")</f>
        <v>Si sorseggia gira tutto il suo corpo.</v>
      </c>
    </row>
    <row r="31366">
      <c r="A31366" s="4" t="s">
        <v>39497</v>
      </c>
      <c r="B31366" s="4" t="s">
        <v>39500</v>
      </c>
      <c r="C31366" s="5" t="str">
        <f>IFERROR(__xludf.DUMMYFUNCTION("GOOGLETRANSLATE(B31366,""en"",""it"")"),"L'uomo rilascia il martello e abbassa le braccia.")</f>
        <v>L'uomo rilascia il martello e abbassa le braccia.</v>
      </c>
    </row>
    <row r="31367">
      <c r="A31367" s="4" t="s">
        <v>39501</v>
      </c>
      <c r="B31367" s="6" t="s">
        <v>39502</v>
      </c>
      <c r="C31367" s="5" t="str">
        <f>IFERROR(__xludf.DUMMYFUNCTION("GOOGLETRANSLATE(B31367,""en"",""it"")"),"Un uomo e una donna decorano un albero di Natale dalle decorazioni intorno alla stanza nel video Sped-Up.")</f>
        <v>Un uomo e una donna decorano un albero di Natale dalle decorazioni intorno alla stanza nel video Sped-Up.</v>
      </c>
    </row>
    <row r="31368">
      <c r="A31368" s="4" t="s">
        <v>39501</v>
      </c>
      <c r="B31368" s="4" t="s">
        <v>39503</v>
      </c>
      <c r="C31368" s="5" t="str">
        <f>IFERROR(__xludf.DUMMYFUNCTION("GOOGLETRANSLATE(B31368,""en"",""it"")"),"Un cane cammina attraverso il telaio della fotocamera.")</f>
        <v>Un cane cammina attraverso il telaio della fotocamera.</v>
      </c>
    </row>
    <row r="31369">
      <c r="A31369" s="4" t="s">
        <v>39501</v>
      </c>
      <c r="B31369" s="4" t="s">
        <v>39504</v>
      </c>
      <c r="C31369" s="5" t="str">
        <f>IFERROR(__xludf.DUMMYFUNCTION("GOOGLETRANSLATE(B31369,""en"",""it"")"),"L'uomo lascia il telaio della fotocamera.")</f>
        <v>L'uomo lascia il telaio della fotocamera.</v>
      </c>
    </row>
    <row r="31370">
      <c r="A31370" s="4" t="s">
        <v>39501</v>
      </c>
      <c r="B31370" s="4" t="s">
        <v>39505</v>
      </c>
      <c r="C31370" s="5" t="str">
        <f>IFERROR(__xludf.DUMMYFUNCTION("GOOGLETRANSLATE(B31370,""en"",""it"")"),"L'uomo torna a decorare indossando un cappello da Babbo Natale.")</f>
        <v>L'uomo torna a decorare indossando un cappello da Babbo Natale.</v>
      </c>
    </row>
    <row r="31371">
      <c r="A31371" s="4" t="s">
        <v>39501</v>
      </c>
      <c r="B31371" s="4" t="s">
        <v>39506</v>
      </c>
      <c r="C31371" s="5" t="str">
        <f>IFERROR(__xludf.DUMMYFUNCTION("GOOGLETRANSLATE(B31371,""en"",""it"")"),"L'uomo si trova su una sedia per mettere una decorazione nella parte superiore dell'albero.")</f>
        <v>L'uomo si trova su una sedia per mettere una decorazione nella parte superiore dell'albero.</v>
      </c>
    </row>
    <row r="31372">
      <c r="A31372" s="4" t="s">
        <v>39501</v>
      </c>
      <c r="B31372" s="4" t="s">
        <v>39507</v>
      </c>
      <c r="C31372" s="5" t="str">
        <f>IFERROR(__xludf.DUMMYFUNCTION("GOOGLETRANSLATE(B31372,""en"",""it"")"),"L'albero completato è mostrato da solo.")</f>
        <v>L'albero completato è mostrato da solo.</v>
      </c>
    </row>
    <row r="31373">
      <c r="A31373" s="4" t="s">
        <v>39508</v>
      </c>
      <c r="B31373" s="4" t="s">
        <v>39509</v>
      </c>
      <c r="C31373" s="5" t="str">
        <f>IFERROR(__xludf.DUMMYFUNCTION("GOOGLETRANSLATE(B31373,""en"",""it"")"),"Due persone sono in piedi per l'acqua una delle prese in qualche modo.")</f>
        <v>Due persone sono in piedi per l'acqua una delle prese in qualche modo.</v>
      </c>
    </row>
    <row r="31374">
      <c r="A31374" s="4" t="s">
        <v>39508</v>
      </c>
      <c r="B31374" s="4" t="s">
        <v>39510</v>
      </c>
      <c r="C31374" s="5" t="str">
        <f>IFERROR(__xludf.DUMMYFUNCTION("GOOGLETRANSLATE(B31374,""en"",""it"")"),"Lo mette in acqua e lo cavalca, va abbastanza velocemente.")</f>
        <v>Lo mette in acqua e lo cavalca, va abbastanza velocemente.</v>
      </c>
    </row>
    <row r="31375">
      <c r="A31375" s="4" t="s">
        <v>39508</v>
      </c>
      <c r="B31375" s="4" t="s">
        <v>39511</v>
      </c>
      <c r="C31375" s="5" t="str">
        <f>IFERROR(__xludf.DUMMYFUNCTION("GOOGLETRANSLATE(B31375,""en"",""it"")"),"Lo gira alcune volte e passa da qualcun altro su un altro.")</f>
        <v>Lo gira alcune volte e passa da qualcun altro su un altro.</v>
      </c>
    </row>
    <row r="31376">
      <c r="A31376" s="4" t="s">
        <v>39508</v>
      </c>
      <c r="B31376" s="4" t="s">
        <v>39512</v>
      </c>
      <c r="C31376" s="5" t="str">
        <f>IFERROR(__xludf.DUMMYFUNCTION("GOOGLETRANSLATE(B31376,""en"",""it"")"),"Si scende e cammina verso un campo con esso sopra la sua testa.")</f>
        <v>Si scende e cammina verso un campo con esso sopra la sua testa.</v>
      </c>
    </row>
    <row r="31377">
      <c r="A31377" s="4" t="s">
        <v>39513</v>
      </c>
      <c r="B31377" s="4" t="s">
        <v>39514</v>
      </c>
      <c r="C31377" s="5" t="str">
        <f>IFERROR(__xludf.DUMMYFUNCTION("GOOGLETRANSLATE(B31377,""en"",""it"")"),"Un uomo che indossa i guanti è all'interno di un edificio.")</f>
        <v>Un uomo che indossa i guanti è all'interno di un edificio.</v>
      </c>
    </row>
    <row r="31378">
      <c r="A31378" s="4" t="s">
        <v>39513</v>
      </c>
      <c r="B31378" s="4" t="s">
        <v>39515</v>
      </c>
      <c r="C31378" s="5" t="str">
        <f>IFERROR(__xludf.DUMMYFUNCTION("GOOGLETRANSLATE(B31378,""en"",""it"")"),"Rollette un tappeto e lo mette da parte.")</f>
        <v>Rollette un tappeto e lo mette da parte.</v>
      </c>
    </row>
    <row r="31379">
      <c r="A31379" s="4" t="s">
        <v>39513</v>
      </c>
      <c r="B31379" s="4" t="s">
        <v>39516</v>
      </c>
      <c r="C31379" s="5" t="str">
        <f>IFERROR(__xludf.DUMMYFUNCTION("GOOGLETRANSLATE(B31379,""en"",""it"")"),"Quindi spazza e fa mopi i pavimenti fino a quando non sono puliti.")</f>
        <v>Quindi spazza e fa mopi i pavimenti fino a quando non sono puliti.</v>
      </c>
    </row>
    <row r="31380">
      <c r="A31380" s="4" t="s">
        <v>39517</v>
      </c>
      <c r="B31380" s="4" t="s">
        <v>39518</v>
      </c>
      <c r="C31380" s="5" t="str">
        <f>IFERROR(__xludf.DUMMYFUNCTION("GOOGLETRANSLATE(B31380,""en"",""it"")"),"Un logo appare brevemente sullo schermo.")</f>
        <v>Un logo appare brevemente sullo schermo.</v>
      </c>
    </row>
    <row r="31381">
      <c r="A31381" s="4" t="s">
        <v>39517</v>
      </c>
      <c r="B31381" s="4" t="s">
        <v>39519</v>
      </c>
      <c r="C31381" s="5" t="str">
        <f>IFERROR(__xludf.DUMMYFUNCTION("GOOGLETRANSLATE(B31381,""en"",""it"")"),"Un uomo parla con un gruppo mentre si trova in una zattera.")</f>
        <v>Un uomo parla con un gruppo mentre si trova in una zattera.</v>
      </c>
    </row>
    <row r="31382">
      <c r="A31382" s="4" t="s">
        <v>39517</v>
      </c>
      <c r="B31382" s="4" t="s">
        <v>39520</v>
      </c>
      <c r="C31382" s="5" t="str">
        <f>IFERROR(__xludf.DUMMYFUNCTION("GOOGLETRANSLATE(B31382,""en"",""it"")"),"Un gruppo di persone sta rafting a fili con rapide.")</f>
        <v>Un gruppo di persone sta rafting a fili con rapide.</v>
      </c>
    </row>
    <row r="31383">
      <c r="A31383" s="4" t="s">
        <v>39517</v>
      </c>
      <c r="B31383" s="4" t="s">
        <v>39521</v>
      </c>
      <c r="C31383" s="5" t="str">
        <f>IFERROR(__xludf.DUMMYFUNCTION("GOOGLETRANSLATE(B31383,""en"",""it"")"),"Esultano sollevando le pagaie.")</f>
        <v>Esultano sollevando le pagaie.</v>
      </c>
    </row>
    <row r="31384">
      <c r="A31384" s="4" t="s">
        <v>39517</v>
      </c>
      <c r="B31384" s="4" t="s">
        <v>39522</v>
      </c>
      <c r="C31384" s="5" t="str">
        <f>IFERROR(__xludf.DUMMYFUNCTION("GOOGLETRANSLATE(B31384,""en"",""it"")"),"Continuano a fare la raft lungo il fiume.")</f>
        <v>Continuano a fare la raft lungo il fiume.</v>
      </c>
    </row>
    <row r="31385">
      <c r="A31385" s="4" t="s">
        <v>39517</v>
      </c>
      <c r="B31385" s="4" t="s">
        <v>39523</v>
      </c>
      <c r="C31385" s="5" t="str">
        <f>IFERROR(__xludf.DUMMYFUNCTION("GOOGLETRANSLATE(B31385,""en"",""it"")"),"Taglia le persone sulla banca in un campeggio.")</f>
        <v>Taglia le persone sulla banca in un campeggio.</v>
      </c>
    </row>
    <row r="31386">
      <c r="A31386" s="4" t="s">
        <v>39517</v>
      </c>
      <c r="B31386" s="4" t="s">
        <v>39524</v>
      </c>
      <c r="C31386" s="5" t="str">
        <f>IFERROR(__xludf.DUMMYFUNCTION("GOOGLETRANSLATE(B31386,""en"",""it"")"),"Le persone stanno di nuovo rafting lungo il fiume.")</f>
        <v>Le persone stanno di nuovo rafting lungo il fiume.</v>
      </c>
    </row>
    <row r="31387">
      <c r="A31387" s="4" t="s">
        <v>39517</v>
      </c>
      <c r="B31387" s="4" t="s">
        <v>39525</v>
      </c>
      <c r="C31387" s="5" t="str">
        <f>IFERROR(__xludf.DUMMYFUNCTION("GOOGLETRANSLATE(B31387,""en"",""it"")"),"Una persona kayak lungo il fiume.")</f>
        <v>Una persona kayak lungo il fiume.</v>
      </c>
    </row>
    <row r="31388">
      <c r="A31388" s="4" t="s">
        <v>39517</v>
      </c>
      <c r="B31388" s="4" t="s">
        <v>39526</v>
      </c>
      <c r="C31388" s="5" t="str">
        <f>IFERROR(__xludf.DUMMYFUNCTION("GOOGLETRANSLATE(B31388,""en"",""it"")"),"Un'altra persona kayak lungo il fiume.")</f>
        <v>Un'altra persona kayak lungo il fiume.</v>
      </c>
    </row>
    <row r="31389">
      <c r="A31389" s="4" t="s">
        <v>39517</v>
      </c>
      <c r="B31389" s="4" t="s">
        <v>39527</v>
      </c>
      <c r="C31389" s="5" t="str">
        <f>IFERROR(__xludf.DUMMYFUNCTION("GOOGLETRANSLATE(B31389,""en"",""it"")"),"Un altro gruppo si affretta lungo il fiume.")</f>
        <v>Un altro gruppo si affretta lungo il fiume.</v>
      </c>
    </row>
    <row r="31390">
      <c r="A31390" s="4" t="s">
        <v>39517</v>
      </c>
      <c r="B31390" s="4" t="s">
        <v>39528</v>
      </c>
      <c r="C31390" s="5" t="str">
        <f>IFERROR(__xludf.DUMMYFUNCTION("GOOGLETRANSLATE(B31390,""en"",""it"")"),"Mostra le scimmie sulla banca.")</f>
        <v>Mostra le scimmie sulla banca.</v>
      </c>
    </row>
    <row r="31391">
      <c r="A31391" s="4" t="s">
        <v>39517</v>
      </c>
      <c r="B31391" s="4" t="s">
        <v>39529</v>
      </c>
      <c r="C31391" s="5" t="str">
        <f>IFERROR(__xludf.DUMMYFUNCTION("GOOGLETRANSLATE(B31391,""en"",""it"")"),"Le persone vengono schizzate da una cascata.")</f>
        <v>Le persone vengono schizzate da una cascata.</v>
      </c>
    </row>
    <row r="31392">
      <c r="A31392" s="4" t="s">
        <v>39517</v>
      </c>
      <c r="B31392" s="4" t="s">
        <v>39530</v>
      </c>
      <c r="C31392" s="5" t="str">
        <f>IFERROR(__xludf.DUMMYFUNCTION("GOOGLETRANSLATE(B31392,""en"",""it"")"),"Si riduce al logo e alle informazioni.")</f>
        <v>Si riduce al logo e alle informazioni.</v>
      </c>
    </row>
    <row r="31393">
      <c r="A31393" s="4" t="s">
        <v>39531</v>
      </c>
      <c r="B31393" s="4" t="s">
        <v>39532</v>
      </c>
      <c r="C31393" s="5" t="str">
        <f>IFERROR(__xludf.DUMMYFUNCTION("GOOGLETRANSLATE(B31393,""en"",""it"")"),"Due donne sono viste in piedi davanti a un albero di Natale anche con bambini piccoli.")</f>
        <v>Due donne sono viste in piedi davanti a un albero di Natale anche con bambini piccoli.</v>
      </c>
    </row>
    <row r="31394">
      <c r="A31394" s="4" t="s">
        <v>39531</v>
      </c>
      <c r="B31394" s="4" t="s">
        <v>39533</v>
      </c>
      <c r="C31394" s="5" t="str">
        <f>IFERROR(__xludf.DUMMYFUNCTION("GOOGLETRANSLATE(B31394,""en"",""it"")"),"Le persone poi si muovono tutte intorno a mettendo ornamenti sull'albero in movimento veloce.")</f>
        <v>Le persone poi si muovono tutte intorno a mettendo ornamenti sull'albero in movimento veloce.</v>
      </c>
    </row>
    <row r="31395">
      <c r="A31395" s="4" t="s">
        <v>39531</v>
      </c>
      <c r="B31395" s="4" t="s">
        <v>39534</v>
      </c>
      <c r="C31395" s="5" t="str">
        <f>IFERROR(__xludf.DUMMYFUNCTION("GOOGLETRANSLATE(B31395,""en"",""it"")"),"Le ragazze continuano a mettere oggetti sull'albero e finiscono sorridendo alla telecamera.")</f>
        <v>Le ragazze continuano a mettere oggetti sull'albero e finiscono sorridendo alla telecamera.</v>
      </c>
    </row>
    <row r="31396">
      <c r="A31396" s="4" t="s">
        <v>39535</v>
      </c>
      <c r="B31396" s="4" t="s">
        <v>39536</v>
      </c>
      <c r="C31396" s="5" t="str">
        <f>IFERROR(__xludf.DUMMYFUNCTION("GOOGLETRANSLATE(B31396,""en"",""it"")"),"Un uomo è seduto su una sedia accanto a un conduttore di talk show.")</f>
        <v>Un uomo è seduto su una sedia accanto a un conduttore di talk show.</v>
      </c>
    </row>
    <row r="31397">
      <c r="A31397" s="4" t="s">
        <v>39535</v>
      </c>
      <c r="B31397" s="4" t="s">
        <v>39537</v>
      </c>
      <c r="C31397" s="5" t="str">
        <f>IFERROR(__xludf.DUMMYFUNCTION("GOOGLETRANSLATE(B31397,""en"",""it"")"),"Una donna ospita un torneo di birra pong e i due uomini vanno al tavolo.")</f>
        <v>Una donna ospita un torneo di birra pong e i due uomini vanno al tavolo.</v>
      </c>
    </row>
    <row r="31398">
      <c r="A31398" s="4" t="s">
        <v>39535</v>
      </c>
      <c r="B31398" s="4" t="s">
        <v>39538</v>
      </c>
      <c r="C31398" s="5" t="str">
        <f>IFERROR(__xludf.DUMMYFUNCTION("GOOGLETRANSLATE(B31398,""en"",""it"")"),"Bevono e cercano di gettare le palle nelle tazze.")</f>
        <v>Bevono e cercano di gettare le palle nelle tazze.</v>
      </c>
    </row>
    <row r="31399">
      <c r="A31399" s="4" t="s">
        <v>39535</v>
      </c>
      <c r="B31399" s="4" t="s">
        <v>39539</v>
      </c>
      <c r="C31399" s="5" t="str">
        <f>IFERROR(__xludf.DUMMYFUNCTION("GOOGLETRANSLATE(B31399,""en"",""it"")"),"La band suona in sottofondo mentre gli uomini suonano.")</f>
        <v>La band suona in sottofondo mentre gli uomini suonano.</v>
      </c>
    </row>
    <row r="31400">
      <c r="A31400" s="4" t="s">
        <v>39540</v>
      </c>
      <c r="B31400" s="4" t="s">
        <v>39541</v>
      </c>
      <c r="C31400" s="5" t="str">
        <f>IFERROR(__xludf.DUMMYFUNCTION("GOOGLETRANSLATE(B31400,""en"",""it"")"),"Un folto gruppo di persone è visto in piedi attorno a un tavolo con uno che parla alla telecamera.")</f>
        <v>Un folto gruppo di persone è visto in piedi attorno a un tavolo con uno che parla alla telecamera.</v>
      </c>
    </row>
    <row r="31401">
      <c r="A31401" s="4" t="s">
        <v>39540</v>
      </c>
      <c r="B31401" s="4" t="s">
        <v>39542</v>
      </c>
      <c r="C31401" s="5" t="str">
        <f>IFERROR(__xludf.DUMMYFUNCTION("GOOGLETRANSLATE(B31401,""en"",""it"")"),"Le persone si assistono quindi reciprocamente mettendo gli ingredienti nelle padelle e lanciandole.")</f>
        <v>Le persone si assistono quindi reciprocamente mettendo gli ingredienti nelle padelle e lanciandole.</v>
      </c>
    </row>
    <row r="31402">
      <c r="A31402" s="4" t="s">
        <v>39540</v>
      </c>
      <c r="B31402" s="4" t="s">
        <v>39543</v>
      </c>
      <c r="C31402" s="5" t="str">
        <f>IFERROR(__xludf.DUMMYFUNCTION("GOOGLETRANSLATE(B31402,""en"",""it"")"),"Le persone continuano a mescolare il cibo e finire presentandolo su un piatto.")</f>
        <v>Le persone continuano a mescolare il cibo e finire presentandolo su un piatto.</v>
      </c>
    </row>
    <row r="31403">
      <c r="A31403" s="4" t="s">
        <v>39544</v>
      </c>
      <c r="B31403" s="4" t="s">
        <v>39545</v>
      </c>
      <c r="C31403" s="5" t="str">
        <f>IFERROR(__xludf.DUMMYFUNCTION("GOOGLETRANSLATE(B31403,""en"",""it"")"),"Una donna è seduta su una sedia mentre una donna dietro di lei tiene un asciugacapelli.")</f>
        <v>Una donna è seduta su una sedia mentre una donna dietro di lei tiene un asciugacapelli.</v>
      </c>
    </row>
    <row r="31404">
      <c r="A31404" s="4" t="s">
        <v>39544</v>
      </c>
      <c r="B31404" s="4" t="s">
        <v>39546</v>
      </c>
      <c r="C31404" s="5" t="str">
        <f>IFERROR(__xludf.DUMMYFUNCTION("GOOGLETRANSLATE(B31404,""en"",""it"")"),"Comincia ad asciugare i capelli della donna.")</f>
        <v>Comincia ad asciugare i capelli della donna.</v>
      </c>
    </row>
    <row r="31405">
      <c r="A31405" s="4" t="s">
        <v>39544</v>
      </c>
      <c r="B31405" s="4" t="s">
        <v>39547</v>
      </c>
      <c r="C31405" s="5" t="str">
        <f>IFERROR(__xludf.DUMMYFUNCTION("GOOGLETRANSLATE(B31405,""en"",""it"")"),"La donna sta parlando con la telecamera che punta a un asciugacapelli.")</f>
        <v>La donna sta parlando con la telecamera che punta a un asciugacapelli.</v>
      </c>
    </row>
    <row r="31406">
      <c r="A31406" s="4" t="s">
        <v>39548</v>
      </c>
      <c r="B31406" s="4" t="s">
        <v>39549</v>
      </c>
      <c r="C31406" s="5" t="str">
        <f>IFERROR(__xludf.DUMMYFUNCTION("GOOGLETRANSLATE(B31406,""en"",""it"")"),"Una donna è seduta dietro un tavolo di legno.")</f>
        <v>Una donna è seduta dietro un tavolo di legno.</v>
      </c>
    </row>
    <row r="31407">
      <c r="A31407" s="4" t="s">
        <v>39548</v>
      </c>
      <c r="B31407" s="4" t="s">
        <v>39550</v>
      </c>
      <c r="C31407" s="5" t="str">
        <f>IFERROR(__xludf.DUMMYFUNCTION("GOOGLETRANSLATE(B31407,""en"",""it"")"),"Sposta rapidamente i blocchi di colore su un puzzle, cercando di risolverlo.")</f>
        <v>Sposta rapidamente i blocchi di colore su un puzzle, cercando di risolverlo.</v>
      </c>
    </row>
    <row r="31408">
      <c r="A31408" s="4" t="s">
        <v>39548</v>
      </c>
      <c r="B31408" s="4" t="s">
        <v>39551</v>
      </c>
      <c r="C31408" s="5" t="str">
        <f>IFERROR(__xludf.DUMMYFUNCTION("GOOGLETRANSLATE(B31408,""en"",""it"")"),"Risolve il puzzle e lo mostra alla fotocamera.")</f>
        <v>Risolve il puzzle e lo mostra alla fotocamera.</v>
      </c>
    </row>
    <row r="31409">
      <c r="A31409" s="4" t="s">
        <v>39552</v>
      </c>
      <c r="B31409" s="6" t="s">
        <v>39553</v>
      </c>
      <c r="C31409" s="5" t="str">
        <f>IFERROR(__xludf.DUMMYFUNCTION("GOOGLETRANSLATE(B31409,""en"",""it"")"),"Un piccolo gruppo di uomini viene visto che camminava lungo una strada sterrata seguita da diversi colpi di loro che cavalcano in tubi e ridono alla telecamera.")</f>
        <v>Un piccolo gruppo di uomini viene visto che camminava lungo una strada sterrata seguita da diversi colpi di loro che cavalcano in tubi e ridono alla telecamera.</v>
      </c>
    </row>
    <row r="31410">
      <c r="A31410" s="4" t="s">
        <v>39552</v>
      </c>
      <c r="B31410" s="4" t="s">
        <v>39554</v>
      </c>
      <c r="C31410" s="5" t="str">
        <f>IFERROR(__xludf.DUMMYFUNCTION("GOOGLETRANSLATE(B31410,""en"",""it"")"),"Continuano a cavalcare lungo il fiume sotto gli alberi e hanno più persone che tengono la macchina fotografica.")</f>
        <v>Continuano a cavalcare lungo il fiume sotto gli alberi e hanno più persone che tengono la macchina fotografica.</v>
      </c>
    </row>
    <row r="31411">
      <c r="A31411" s="4" t="s">
        <v>39555</v>
      </c>
      <c r="B31411" s="6" t="s">
        <v>39556</v>
      </c>
      <c r="C31411" s="5" t="str">
        <f>IFERROR(__xludf.DUMMYFUNCTION("GOOGLETRANSLATE(B31411,""en"",""it"")"),"Un ragazzo ti mostra come preparare un drink, il ragazzo versa il ghiaccio in un bicchiere alto, aggiunge una mezza tazza di un certo tipo di liquore e versalo nella tazza con il ghiaccio.")</f>
        <v>Un ragazzo ti mostra come preparare un drink, il ragazzo versa il ghiaccio in un bicchiere alto, aggiunge una mezza tazza di un certo tipo di liquore e versalo nella tazza con il ghiaccio.</v>
      </c>
    </row>
    <row r="31412">
      <c r="A31412" s="4" t="s">
        <v>39555</v>
      </c>
      <c r="B31412" s="6" t="s">
        <v>39557</v>
      </c>
      <c r="C31412" s="5" t="str">
        <f>IFERROR(__xludf.DUMMYFUNCTION("GOOGLETRANSLATE(B31412,""en"",""it"")"),"Quindi aggiunge soda alla tazza che rende la tazza piena in cima e inizia a mescolarla con uno strumento di metallo.")</f>
        <v>Quindi aggiunge soda alla tazza che rende la tazza piena in cima e inizia a mescolarla con uno strumento di metallo.</v>
      </c>
    </row>
    <row r="31413">
      <c r="A31413" s="4" t="s">
        <v>39555</v>
      </c>
      <c r="B31413" s="6" t="s">
        <v>39558</v>
      </c>
      <c r="C31413" s="5" t="str">
        <f>IFERROR(__xludf.DUMMYFUNCTION("GOOGLETRANSLATE(B31413,""en"",""it"")"),"Il ragazzo poi stringe tre mezze limes nella tazza e spinge le tre calce sul fondo della tazza con lo strumento di metallo che usa per mescolare la bevanda.")</f>
        <v>Il ragazzo poi stringe tre mezze limes nella tazza e spinge le tre calce sul fondo della tazza con lo strumento di metallo che usa per mescolare la bevanda.</v>
      </c>
    </row>
    <row r="31414">
      <c r="A31414" s="4" t="s">
        <v>39555</v>
      </c>
      <c r="B31414" s="6" t="s">
        <v>39559</v>
      </c>
      <c r="C31414" s="5" t="str">
        <f>IFERROR(__xludf.DUMMYFUNCTION("GOOGLETRANSLATE(B31414,""en"",""it"")"),"Alla fine versa la bevanda dall'alto bicchiere a un bicchiere più corto, aggiunge un diverso tipo di liquore con una cannuccia per finirlo.")</f>
        <v>Alla fine versa la bevanda dall'alto bicchiere a un bicchiere più corto, aggiunge un diverso tipo di liquore con una cannuccia per finirlo.</v>
      </c>
    </row>
    <row r="31415">
      <c r="A31415" s="4" t="s">
        <v>39560</v>
      </c>
      <c r="B31415" s="4" t="s">
        <v>6935</v>
      </c>
      <c r="C31415" s="5" t="str">
        <f>IFERROR(__xludf.DUMMYFUNCTION("GOOGLETRANSLATE(B31415,""en"",""it"")"),"Il testo appare brevemente sullo schermo.")</f>
        <v>Il testo appare brevemente sullo schermo.</v>
      </c>
    </row>
    <row r="31416">
      <c r="A31416" s="4" t="s">
        <v>39560</v>
      </c>
      <c r="B31416" s="4" t="s">
        <v>39561</v>
      </c>
      <c r="C31416" s="5" t="str">
        <f>IFERROR(__xludf.DUMMYFUNCTION("GOOGLETRANSLATE(B31416,""en"",""it"")"),"Due persone stanno di fronte a una torta e parlano.")</f>
        <v>Due persone stanno di fronte a una torta e parlano.</v>
      </c>
    </row>
    <row r="31417">
      <c r="A31417" s="4" t="s">
        <v>39560</v>
      </c>
      <c r="B31417" s="4" t="s">
        <v>39562</v>
      </c>
      <c r="C31417" s="5" t="str">
        <f>IFERROR(__xludf.DUMMYFUNCTION("GOOGLETRANSLATE(B31417,""en"",""it"")"),"Il testo appare sullo schermo mentre parlano.")</f>
        <v>Il testo appare sullo schermo mentre parlano.</v>
      </c>
    </row>
    <row r="31418">
      <c r="A31418" s="4" t="s">
        <v>39560</v>
      </c>
      <c r="B31418" s="4" t="s">
        <v>39563</v>
      </c>
      <c r="C31418" s="5" t="str">
        <f>IFERROR(__xludf.DUMMYFUNCTION("GOOGLETRANSLATE(B31418,""en"",""it"")"),"Una donna mescola gli ingredienti in una pentola sulla stufa.")</f>
        <v>Una donna mescola gli ingredienti in una pentola sulla stufa.</v>
      </c>
    </row>
    <row r="31419">
      <c r="A31419" s="4" t="s">
        <v>39560</v>
      </c>
      <c r="B31419" s="4" t="s">
        <v>39564</v>
      </c>
      <c r="C31419" s="5" t="str">
        <f>IFERROR(__xludf.DUMMYFUNCTION("GOOGLETRANSLATE(B31419,""en"",""it"")"),"Un uomo si riversa nel rum nella pentola e lo agita.")</f>
        <v>Un uomo si riversa nel rum nella pentola e lo agita.</v>
      </c>
    </row>
    <row r="31420">
      <c r="A31420" s="4" t="s">
        <v>39560</v>
      </c>
      <c r="B31420" s="4" t="s">
        <v>39565</v>
      </c>
      <c r="C31420" s="5" t="str">
        <f>IFERROR(__xludf.DUMMYFUNCTION("GOOGLETRANSLATE(B31420,""en"",""it"")"),"Colpiscono i buchi nella torta con coltelli e versano il composto su di esso.")</f>
        <v>Colpiscono i buchi nella torta con coltelli e versano il composto su di esso.</v>
      </c>
    </row>
    <row r="31421">
      <c r="A31421" s="4" t="s">
        <v>39560</v>
      </c>
      <c r="B31421" s="4" t="s">
        <v>39566</v>
      </c>
      <c r="C31421" s="5" t="str">
        <f>IFERROR(__xludf.DUMMYFUNCTION("GOOGLETRANSLATE(B31421,""en"",""it"")"),"Stanno di nuovo davanti alla torta e parlano.")</f>
        <v>Stanno di nuovo davanti alla torta e parlano.</v>
      </c>
    </row>
    <row r="31422">
      <c r="A31422" s="4" t="s">
        <v>39560</v>
      </c>
      <c r="B31422" s="4" t="s">
        <v>39567</v>
      </c>
      <c r="C31422" s="5" t="str">
        <f>IFERROR(__xludf.DUMMYFUNCTION("GOOGLETRANSLATE(B31422,""en"",""it"")"),"Mangiano la torta mentre parlano.")</f>
        <v>Mangiano la torta mentre parlano.</v>
      </c>
    </row>
    <row r="31423">
      <c r="A31423" s="4" t="s">
        <v>39568</v>
      </c>
      <c r="B31423" s="4" t="s">
        <v>39569</v>
      </c>
      <c r="C31423" s="5" t="str">
        <f>IFERROR(__xludf.DUMMYFUNCTION("GOOGLETRANSLATE(B31423,""en"",""it"")"),"Un uomo riempie un narghilè d'acqua e lo mette su un tavolo.")</f>
        <v>Un uomo riempie un narghilè d'acqua e lo mette su un tavolo.</v>
      </c>
    </row>
    <row r="31424">
      <c r="A31424" s="4" t="s">
        <v>39568</v>
      </c>
      <c r="B31424" s="4" t="s">
        <v>39570</v>
      </c>
      <c r="C31424" s="5" t="str">
        <f>IFERROR(__xludf.DUMMYFUNCTION("GOOGLETRANSLATE(B31424,""en"",""it"")"),"Mette il tabacco in un dispositivo e lo copre con un foglio di stagno.")</f>
        <v>Mette il tabacco in un dispositivo e lo copre con un foglio di stagno.</v>
      </c>
    </row>
    <row r="31425">
      <c r="A31425" s="4" t="s">
        <v>39568</v>
      </c>
      <c r="B31425" s="4" t="s">
        <v>39571</v>
      </c>
      <c r="C31425" s="5" t="str">
        <f>IFERROR(__xludf.DUMMYFUNCTION("GOOGLETRANSLATE(B31425,""en"",""it"")"),"Punta un buco nella parte superiore del foglio di stagno più volte.")</f>
        <v>Punta un buco nella parte superiore del foglio di stagno più volte.</v>
      </c>
    </row>
    <row r="31426">
      <c r="A31426" s="4" t="s">
        <v>39568</v>
      </c>
      <c r="B31426" s="4" t="s">
        <v>39572</v>
      </c>
      <c r="C31426" s="5" t="str">
        <f>IFERROR(__xludf.DUMMYFUNCTION("GOOGLETRANSLATE(B31426,""en"",""it"")"),"Lo mette sulla cima del narghilè.")</f>
        <v>Lo mette sulla cima del narghilè.</v>
      </c>
    </row>
    <row r="31427">
      <c r="A31427" s="4" t="s">
        <v>39568</v>
      </c>
      <c r="B31427" s="4" t="s">
        <v>39573</v>
      </c>
      <c r="C31427" s="5" t="str">
        <f>IFERROR(__xludf.DUMMYFUNCTION("GOOGLETRANSLATE(B31427,""en"",""it"")"),"Si toglie il fumo dal narghilè e soffia il fumo.")</f>
        <v>Si toglie il fumo dal narghilè e soffia il fumo.</v>
      </c>
    </row>
    <row r="31428">
      <c r="A31428" s="4" t="s">
        <v>39574</v>
      </c>
      <c r="B31428" s="4" t="s">
        <v>39575</v>
      </c>
      <c r="C31428" s="5" t="str">
        <f>IFERROR(__xludf.DUMMYFUNCTION("GOOGLETRANSLATE(B31428,""en"",""it"")"),"Un gruppo di persone cavalca su una barca verso l'isola di Catalina.")</f>
        <v>Un gruppo di persone cavalca su una barca verso l'isola di Catalina.</v>
      </c>
    </row>
    <row r="31429">
      <c r="A31429" s="4" t="s">
        <v>39574</v>
      </c>
      <c r="B31429" s="4" t="s">
        <v>39576</v>
      </c>
      <c r="C31429" s="5" t="str">
        <f>IFERROR(__xludf.DUMMYFUNCTION("GOOGLETRANSLATE(B31429,""en"",""it"")"),"Un uomo che indossa una maglietta grigia si filma da solo usando un selfie stick mentre cavalca su una barca.")</f>
        <v>Un uomo che indossa una maglietta grigia si filma da solo usando un selfie stick mentre cavalca su una barca.</v>
      </c>
    </row>
    <row r="31430">
      <c r="A31430" s="4" t="s">
        <v>39574</v>
      </c>
      <c r="B31430" s="4" t="s">
        <v>39577</v>
      </c>
      <c r="C31430" s="5" t="str">
        <f>IFERROR(__xludf.DUMMYFUNCTION("GOOGLETRANSLATE(B31430,""en"",""it"")"),"Il gruppo di persone sulla barca è vestita con attrezzatura per immersioni subacquee.")</f>
        <v>Il gruppo di persone sulla barca è vestita con attrezzatura per immersioni subacquee.</v>
      </c>
    </row>
    <row r="31431">
      <c r="A31431" s="4" t="s">
        <v>39574</v>
      </c>
      <c r="B31431" s="4" t="s">
        <v>39578</v>
      </c>
      <c r="C31431" s="5" t="str">
        <f>IFERROR(__xludf.DUMMYFUNCTION("GOOGLETRANSLATE(B31431,""en"",""it"")"),"Un uomo con attrezzatura subacquea entra in acqua mentre si filma mentre si tiene un bastone da selfie.")</f>
        <v>Un uomo con attrezzatura subacquea entra in acqua mentre si filma mentre si tiene un bastone da selfie.</v>
      </c>
    </row>
    <row r="31432">
      <c r="A31432" s="4" t="s">
        <v>39574</v>
      </c>
      <c r="B31432" s="4" t="s">
        <v>39579</v>
      </c>
      <c r="C31432" s="5" t="str">
        <f>IFERROR(__xludf.DUMMYFUNCTION("GOOGLETRANSLATE(B31432,""en"",""it"")"),"Lo stesso subacqueo si filma mentre si tuffa sott'acqua.")</f>
        <v>Lo stesso subacqueo si filma mentre si tuffa sott'acqua.</v>
      </c>
    </row>
    <row r="31433">
      <c r="A31433" s="4" t="s">
        <v>39574</v>
      </c>
      <c r="B31433" s="4" t="s">
        <v>39580</v>
      </c>
      <c r="C31433" s="5" t="str">
        <f>IFERROR(__xludf.DUMMYFUNCTION("GOOGLETRANSLATE(B31433,""en"",""it"")"),"Il ddiver filma una scuola di pesce e un pesce tropicale giallo brillante.")</f>
        <v>Il ddiver filma una scuola di pesce e un pesce tropicale giallo brillante.</v>
      </c>
    </row>
    <row r="31434">
      <c r="A31434" s="4" t="s">
        <v>39574</v>
      </c>
      <c r="B31434" s="4" t="s">
        <v>39581</v>
      </c>
      <c r="C31434" s="5" t="str">
        <f>IFERROR(__xludf.DUMMYFUNCTION("GOOGLETRANSLATE(B31434,""en"",""it"")"),"Il cameraman del subacqueo cammina all'indietro su gradini che portano fuori dall'acqua.")</f>
        <v>Il cameraman del subacqueo cammina all'indietro su gradini che portano fuori dall'acqua.</v>
      </c>
    </row>
    <row r="31435">
      <c r="A31435" s="4" t="s">
        <v>39574</v>
      </c>
      <c r="B31435" s="4" t="s">
        <v>39582</v>
      </c>
      <c r="C31435" s="5" t="str">
        <f>IFERROR(__xludf.DUMMYFUNCTION("GOOGLETRANSLATE(B31435,""en"",""it"")"),"Un gruppo di subacquei vestito in abiti da strada a cavalcare un carrello da golf.")</f>
        <v>Un gruppo di subacquei vestito in abiti da strada a cavalcare un carrello da golf.</v>
      </c>
    </row>
    <row r="31436">
      <c r="A31436" s="4" t="s">
        <v>39583</v>
      </c>
      <c r="B31436" s="4" t="s">
        <v>39584</v>
      </c>
      <c r="C31436" s="5" t="str">
        <f>IFERROR(__xludf.DUMMYFUNCTION("GOOGLETRANSLATE(B31436,""en"",""it"")"),"La donna è in piedi in una cucina davanti a una macchina fotografica e mostra ingredienti sopra il tavolo.")</f>
        <v>La donna è in piedi in una cucina davanti a una macchina fotografica e mostra ingredienti sopra il tavolo.</v>
      </c>
    </row>
    <row r="31437">
      <c r="A31437" s="4" t="s">
        <v>39583</v>
      </c>
      <c r="B31437" s="6" t="s">
        <v>39585</v>
      </c>
      <c r="C31437" s="5" t="str">
        <f>IFERROR(__xludf.DUMMYFUNCTION("GOOGLETRANSLATE(B31437,""en"",""it"")"),"La donna sta versando gli ingredienti all'interno di un aiuto in cucina e li mescola e spiega alla telecamera come fare la pasta.")</f>
        <v>La donna sta versando gli ingredienti all'interno di un aiuto in cucina e li mescola e spiega alla telecamera come fare la pasta.</v>
      </c>
    </row>
    <row r="31438">
      <c r="A31438" s="4" t="s">
        <v>39586</v>
      </c>
      <c r="B31438" s="4" t="s">
        <v>39587</v>
      </c>
      <c r="C31438" s="5" t="str">
        <f>IFERROR(__xludf.DUMMYFUNCTION("GOOGLETRANSLATE(B31438,""en"",""it"")"),"Una donna dietro il bar che parla, ha una bottiglia di corona.")</f>
        <v>Una donna dietro il bar che parla, ha una bottiglia di corona.</v>
      </c>
    </row>
    <row r="31439">
      <c r="A31439" s="4" t="s">
        <v>39586</v>
      </c>
      <c r="B31439" s="4" t="s">
        <v>39588</v>
      </c>
      <c r="C31439" s="5" t="str">
        <f>IFERROR(__xludf.DUMMYFUNCTION("GOOGLETRANSLATE(B31439,""en"",""it"")"),"Succhia la bottiglia di alcune volte.")</f>
        <v>Succhia la bottiglia di alcune volte.</v>
      </c>
    </row>
    <row r="31440">
      <c r="A31440" s="4" t="s">
        <v>39586</v>
      </c>
      <c r="B31440" s="4" t="s">
        <v>39589</v>
      </c>
      <c r="C31440" s="5" t="str">
        <f>IFERROR(__xludf.DUMMYFUNCTION("GOOGLETRANSLATE(B31440,""en"",""it"")"),"Quindi, lo afferra con solo la bocca e lo tiene a soffocare la birra.")</f>
        <v>Quindi, lo afferra con solo la bocca e lo tiene a soffocare la birra.</v>
      </c>
    </row>
    <row r="31441">
      <c r="A31441" s="4" t="s">
        <v>39586</v>
      </c>
      <c r="B31441" s="4" t="s">
        <v>39590</v>
      </c>
      <c r="C31441" s="5" t="str">
        <f>IFERROR(__xludf.DUMMYFUNCTION("GOOGLETRANSLATE(B31441,""en"",""it"")"),"Lei soffoca e si soffoca fino a quando non è completamente vuoto.")</f>
        <v>Lei soffoca e si soffoca fino a quando non è completamente vuoto.</v>
      </c>
    </row>
    <row r="31442">
      <c r="A31442" s="4" t="s">
        <v>39591</v>
      </c>
      <c r="B31442" s="4" t="s">
        <v>39592</v>
      </c>
      <c r="C31442" s="5" t="str">
        <f>IFERROR(__xludf.DUMMYFUNCTION("GOOGLETRANSLATE(B31442,""en"",""it"")"),"Un maschio caucasico è al di fuori del sollevamento di uno skateboard.")</f>
        <v>Un maschio caucasico è al di fuori del sollevamento di uno skateboard.</v>
      </c>
    </row>
    <row r="31443">
      <c r="A31443" s="4" t="s">
        <v>39591</v>
      </c>
      <c r="B31443" s="6" t="s">
        <v>39593</v>
      </c>
      <c r="C31443" s="5" t="str">
        <f>IFERROR(__xludf.DUMMYFUNCTION("GOOGLETRANSLATE(B31443,""en"",""it"")"),"Quindi scende lungo una strada tortuosa e scende per lo skateboard e l'immagine è ancora fino a quando non scivola in un trucco e poi viene nuovamente messo in pausa.")</f>
        <v>Quindi scende lungo una strada tortuosa e scende per lo skateboard e l'immagine è ancora fino a quando non scivola in un trucco e poi viene nuovamente messo in pausa.</v>
      </c>
    </row>
    <row r="31444">
      <c r="A31444" s="4" t="s">
        <v>39591</v>
      </c>
      <c r="B31444" s="4" t="s">
        <v>39594</v>
      </c>
      <c r="C31444" s="5" t="str">
        <f>IFERROR(__xludf.DUMMYFUNCTION("GOOGLETRANSLATE(B31444,""en"",""it"")"),"La routine continua e poi il giocatore si alza mentre continua ad andare lungo la strada.")</f>
        <v>La routine continua e poi il giocatore si alza mentre continua ad andare lungo la strada.</v>
      </c>
    </row>
    <row r="31445">
      <c r="A31445" s="4" t="s">
        <v>39591</v>
      </c>
      <c r="B31445" s="6" t="s">
        <v>39595</v>
      </c>
      <c r="C31445" s="5" t="str">
        <f>IFERROR(__xludf.DUMMYFUNCTION("GOOGLETRANSLATE(B31445,""en"",""it"")"),"Una volta che è completamente finito, torna dove inizialmente ha iniziato e continua a parlare con la telecamera mentre tiene il suo skateboard nella mano sinistra.")</f>
        <v>Una volta che è completamente finito, torna dove inizialmente ha iniziato e continua a parlare con la telecamera mentre tiene il suo skateboard nella mano sinistra.</v>
      </c>
    </row>
    <row r="31446">
      <c r="A31446" s="4" t="s">
        <v>39591</v>
      </c>
      <c r="B31446" s="6" t="s">
        <v>39596</v>
      </c>
      <c r="C31446" s="5" t="str">
        <f>IFERROR(__xludf.DUMMYFUNCTION("GOOGLETRANSLATE(B31446,""en"",""it"")"),"Dopo, l'uomo si gira e mostra come i suoi pantaloncini cargo marroni sono rattoppati con nastro adesivo.")</f>
        <v>Dopo, l'uomo si gira e mostra come i suoi pantaloncini cargo marroni sono rattoppati con nastro adesivo.</v>
      </c>
    </row>
    <row r="31447">
      <c r="A31447" s="4" t="s">
        <v>39597</v>
      </c>
      <c r="B31447" s="6" t="s">
        <v>39598</v>
      </c>
      <c r="C31447" s="5" t="str">
        <f>IFERROR(__xludf.DUMMYFUNCTION("GOOGLETRANSLATE(B31447,""en"",""it"")"),"È mostrato un primo piano di una persona che mette su un rack, seguito da diverse donne che sollevano grandi quantità di peso.")</f>
        <v>È mostrato un primo piano di una persona che mette su un rack, seguito da diverse donne che sollevano grandi quantità di peso.</v>
      </c>
    </row>
    <row r="31448">
      <c r="A31448" s="4" t="s">
        <v>39597</v>
      </c>
      <c r="B31448" s="6" t="s">
        <v>39599</v>
      </c>
      <c r="C31448" s="5" t="str">
        <f>IFERROR(__xludf.DUMMYFUNCTION("GOOGLETRANSLATE(B31448,""en"",""it"")"),"Più persone vengono viste sollevare i pesi pesanti sopra la testa e buttarlo giù quando hanno finito.")</f>
        <v>Più persone vengono viste sollevare i pesi pesanti sopra la testa e buttarlo giù quando hanno finito.</v>
      </c>
    </row>
    <row r="31449">
      <c r="A31449" s="4" t="s">
        <v>39600</v>
      </c>
      <c r="B31449" s="6" t="s">
        <v>39601</v>
      </c>
      <c r="C31449" s="5" t="str">
        <f>IFERROR(__xludf.DUMMYFUNCTION("GOOGLETRANSLATE(B31449,""en"",""it"")"),"Diverse persone sono viste sedute fuori a un tavolo da picnic e conducono in due persone che legano una corda attorno a un albero.")</f>
        <v>Diverse persone sono viste sedute fuori a un tavolo da picnic e conducono in due persone che legano una corda attorno a un albero.</v>
      </c>
    </row>
    <row r="31450">
      <c r="A31450" s="4" t="s">
        <v>39600</v>
      </c>
      <c r="B31450" s="4" t="s">
        <v>39602</v>
      </c>
      <c r="C31450" s="5" t="str">
        <f>IFERROR(__xludf.DUMMYFUNCTION("GOOGLETRANSLATE(B31450,""en"",""it"")"),"Più persone vengono ad aiutare e conducono a un ragazzo che cammina sulla corda con l'aiuto di un uomo.")</f>
        <v>Più persone vengono ad aiutare e conducono a un ragazzo che cammina sulla corda con l'aiuto di un uomo.</v>
      </c>
    </row>
    <row r="31451">
      <c r="A31451" s="4" t="s">
        <v>39600</v>
      </c>
      <c r="B31451" s="4" t="s">
        <v>39603</v>
      </c>
      <c r="C31451" s="5" t="str">
        <f>IFERROR(__xludf.DUMMYFUNCTION("GOOGLETRANSLATE(B31451,""en"",""it"")"),"Più persone tentano di camminare sulla corda con l'aiuto degli altri e da soli.")</f>
        <v>Più persone tentano di camminare sulla corda con l'aiuto degli altri e da soli.</v>
      </c>
    </row>
    <row r="31452">
      <c r="A31452" s="4" t="s">
        <v>39604</v>
      </c>
      <c r="B31452" s="4" t="s">
        <v>39605</v>
      </c>
      <c r="C31452" s="5" t="str">
        <f>IFERROR(__xludf.DUMMYFUNCTION("GOOGLETRANSLATE(B31452,""en"",""it"")"),"Le parole che nuotano freestyle galleggiano sullo schermo.")</f>
        <v>Le parole che nuotano freestyle galleggiano sullo schermo.</v>
      </c>
    </row>
    <row r="31453">
      <c r="A31453" s="4" t="s">
        <v>39604</v>
      </c>
      <c r="B31453" s="4" t="s">
        <v>39606</v>
      </c>
      <c r="C31453" s="5" t="str">
        <f>IFERROR(__xludf.DUMMYFUNCTION("GOOGLETRANSLATE(B31453,""en"",""it"")"),"Un uomo salta in piscina e nuota freestyle.")</f>
        <v>Un uomo salta in piscina e nuota freestyle.</v>
      </c>
    </row>
    <row r="31454">
      <c r="A31454" s="4" t="s">
        <v>39604</v>
      </c>
      <c r="B31454" s="4" t="s">
        <v>39607</v>
      </c>
      <c r="C31454" s="5" t="str">
        <f>IFERROR(__xludf.DUMMYFUNCTION("GOOGLETRANSLATE(B31454,""en"",""it"")"),"Le parole in stile dorso fluttuano sullo schermo.")</f>
        <v>Le parole in stile dorso fluttuano sullo schermo.</v>
      </c>
    </row>
    <row r="31455">
      <c r="A31455" s="4" t="s">
        <v>39604</v>
      </c>
      <c r="B31455" s="4" t="s">
        <v>39608</v>
      </c>
      <c r="C31455" s="5" t="str">
        <f>IFERROR(__xludf.DUMMYFUNCTION("GOOGLETRANSLATE(B31455,""en"",""it"")"),"Lo stesso uomo nuota controlla lungo la corsia da dove veniva.")</f>
        <v>Lo stesso uomo nuota controlla lungo la corsia da dove veniva.</v>
      </c>
    </row>
    <row r="31456">
      <c r="A31456" s="4" t="s">
        <v>39604</v>
      </c>
      <c r="B31456" s="4" t="s">
        <v>39609</v>
      </c>
      <c r="C31456" s="5" t="str">
        <f>IFERROR(__xludf.DUMMYFUNCTION("GOOGLETRANSLATE(B31456,""en"",""it"")"),"Le parole a rana vengono visualizzate sullo schermo.")</f>
        <v>Le parole a rana vengono visualizzate sullo schermo.</v>
      </c>
    </row>
    <row r="31457">
      <c r="A31457" s="4" t="s">
        <v>39604</v>
      </c>
      <c r="B31457" s="4" t="s">
        <v>39610</v>
      </c>
      <c r="C31457" s="5" t="str">
        <f>IFERROR(__xludf.DUMMYFUNCTION("GOOGLETRANSLATE(B31457,""en"",""it"")"),"L'uomo fa la rana di nuovo attraverso la piscina.")</f>
        <v>L'uomo fa la rana di nuovo attraverso la piscina.</v>
      </c>
    </row>
    <row r="31458">
      <c r="A31458" s="4" t="s">
        <v>39611</v>
      </c>
      <c r="B31458" s="4" t="s">
        <v>39612</v>
      </c>
      <c r="C31458" s="5" t="str">
        <f>IFERROR(__xludf.DUMMYFUNCTION("GOOGLETRANSLATE(B31458,""en"",""it"")"),"Un giornalista di notizie di uomo e donna è seduto di fronte a uno schermo TV mentre parlano.")</f>
        <v>Un giornalista di notizie di uomo e donna è seduto di fronte a uno schermo TV mentre parlano.</v>
      </c>
    </row>
    <row r="31459">
      <c r="A31459" s="4" t="s">
        <v>39611</v>
      </c>
      <c r="B31459" s="4" t="s">
        <v>39613</v>
      </c>
      <c r="C31459" s="5" t="str">
        <f>IFERROR(__xludf.DUMMYFUNCTION("GOOGLETRANSLATE(B31459,""en"",""it"")"),"Quindi mostrano clip da una partita di pallavolo all'aperto.")</f>
        <v>Quindi mostrano clip da una partita di pallavolo all'aperto.</v>
      </c>
    </row>
    <row r="31460">
      <c r="A31460" s="4" t="s">
        <v>39611</v>
      </c>
      <c r="B31460" s="4" t="s">
        <v>39614</v>
      </c>
      <c r="C31460" s="5" t="str">
        <f>IFERROR(__xludf.DUMMYFUNCTION("GOOGLETRANSLATE(B31460,""en"",""it"")"),"I compagni di squadra hanno colpito la palla avanti e indietro sulla rete.")</f>
        <v>I compagni di squadra hanno colpito la palla avanti e indietro sulla rete.</v>
      </c>
    </row>
    <row r="31461">
      <c r="A31461" s="4" t="s">
        <v>39611</v>
      </c>
      <c r="B31461" s="4" t="s">
        <v>39615</v>
      </c>
      <c r="C31461" s="5" t="str">
        <f>IFERROR(__xludf.DUMMYFUNCTION("GOOGLETRANSLATE(B31461,""en"",""it"")"),"Successivamente, si stringono la mano ai loro avversari.")</f>
        <v>Successivamente, si stringono la mano ai loro avversari.</v>
      </c>
    </row>
    <row r="31462">
      <c r="A31462" s="4" t="s">
        <v>39616</v>
      </c>
      <c r="B31462" s="6" t="s">
        <v>39617</v>
      </c>
      <c r="C31462" s="5" t="str">
        <f>IFERROR(__xludf.DUMMYFUNCTION("GOOGLETRANSLATE(B31462,""en"",""it"")"),"Due persone si vedono parlare alla telecamera e conducono in un sovrano che viene mostrato e la donna che tiene una spugna.")</f>
        <v>Due persone si vedono parlare alla telecamera e conducono in un sovrano che viene mostrato e la donna che tiene una spugna.</v>
      </c>
    </row>
    <row r="31463">
      <c r="A31463" s="4" t="s">
        <v>39616</v>
      </c>
      <c r="B31463" s="6" t="s">
        <v>39618</v>
      </c>
      <c r="C31463" s="5" t="str">
        <f>IFERROR(__xludf.DUMMYFUNCTION("GOOGLETRANSLATE(B31463,""en"",""it"")"),"Si asciuga un muro mentre l'uomo lo saccheggia e poi viene visto misurare la lunghezza del muro.")</f>
        <v>Si asciuga un muro mentre l'uomo lo saccheggia e poi viene visto misurare la lunghezza del muro.</v>
      </c>
    </row>
    <row r="31464">
      <c r="A31464" s="4" t="s">
        <v>39616</v>
      </c>
      <c r="B31464" s="4" t="s">
        <v>39619</v>
      </c>
      <c r="C31464" s="5" t="str">
        <f>IFERROR(__xludf.DUMMYFUNCTION("GOOGLETRANSLATE(B31464,""en"",""it"")"),"Quindi posano la carta, tagliano la carta e allineanola sul muro.")</f>
        <v>Quindi posano la carta, tagliano la carta e allineanola sul muro.</v>
      </c>
    </row>
    <row r="31465">
      <c r="A31465" s="4" t="s">
        <v>39616</v>
      </c>
      <c r="B31465" s="4" t="s">
        <v>39620</v>
      </c>
      <c r="C31465" s="5" t="str">
        <f>IFERROR(__xludf.DUMMYFUNCTION("GOOGLETRANSLATE(B31465,""en"",""it"")"),"Strofinano la carta, lo premono lungo il muro e sorridono alla telecamera.")</f>
        <v>Strofinano la carta, lo premono lungo il muro e sorridono alla telecamera.</v>
      </c>
    </row>
    <row r="31466">
      <c r="A31466" s="4" t="s">
        <v>39621</v>
      </c>
      <c r="B31466" s="4" t="s">
        <v>39622</v>
      </c>
      <c r="C31466" s="5" t="str">
        <f>IFERROR(__xludf.DUMMYFUNCTION("GOOGLETRANSLATE(B31466,""en"",""it"")"),"Le persone partecipano a una partita di tiro alla fune in palestra.")</f>
        <v>Le persone partecipano a una partita di tiro alla fune in palestra.</v>
      </c>
    </row>
    <row r="31467">
      <c r="A31467" s="4" t="s">
        <v>39621</v>
      </c>
      <c r="B31467" s="4" t="s">
        <v>39623</v>
      </c>
      <c r="C31467" s="5" t="str">
        <f>IFERROR(__xludf.DUMMYFUNCTION("GOOGLETRANSLATE(B31467,""en"",""it"")"),"La squadra gialla sul lato sinistro tira la corda principalmente a sinistra o vince.")</f>
        <v>La squadra gialla sul lato sinistro tira la corda principalmente a sinistra o vince.</v>
      </c>
    </row>
    <row r="31468">
      <c r="A31468" s="4" t="s">
        <v>39621</v>
      </c>
      <c r="B31468" s="4" t="s">
        <v>39624</v>
      </c>
      <c r="C31468" s="5" t="str">
        <f>IFERROR(__xludf.DUMMYFUNCTION("GOOGLETRANSLATE(B31468,""en"",""it"")"),"Un adulto afferra il braccio di un membro del team blu.")</f>
        <v>Un adulto afferra il braccio di un membro del team blu.</v>
      </c>
    </row>
    <row r="31469">
      <c r="A31469" s="4" t="s">
        <v>39625</v>
      </c>
      <c r="B31469" s="4" t="s">
        <v>39626</v>
      </c>
      <c r="C31469" s="5" t="str">
        <f>IFERROR(__xludf.DUMMYFUNCTION("GOOGLETRANSLATE(B31469,""en"",""it"")"),"Le parole ""Grandmaster Huang Sheng Shyan"" e ""Taiji Push Hands"" appaiono sullo schermo.")</f>
        <v>Le parole "Grandmaster Huang Sheng Shyan" e "Taiji Push Hands" appaiono sullo schermo.</v>
      </c>
    </row>
    <row r="31470">
      <c r="A31470" s="4" t="s">
        <v>39625</v>
      </c>
      <c r="B31470" s="6" t="s">
        <v>39627</v>
      </c>
      <c r="C31470" s="5" t="str">
        <f>IFERROR(__xludf.DUMMYFUNCTION("GOOGLETRANSLATE(B31470,""en"",""it"")"),"Diversi studenti si avvicinano individualmente al Gran Maestro tentando di combatterlo e vengono respinti rapidamente.")</f>
        <v>Diversi studenti si avvicinano individualmente al Gran Maestro tentando di combatterlo e vengono respinti rapidamente.</v>
      </c>
    </row>
    <row r="31471">
      <c r="A31471" s="4" t="s">
        <v>39625</v>
      </c>
      <c r="B31471" s="4" t="s">
        <v>39628</v>
      </c>
      <c r="C31471" s="5" t="str">
        <f>IFERROR(__xludf.DUMMYFUNCTION("GOOGLETRANSLATE(B31471,""en"",""it"")"),"Il Grandmaster tocca uno studente in testa e cade rapidamente a terra.")</f>
        <v>Il Grandmaster tocca uno studente in testa e cade rapidamente a terra.</v>
      </c>
    </row>
    <row r="31472">
      <c r="A31472" s="4" t="s">
        <v>39629</v>
      </c>
      <c r="B31472" s="4" t="s">
        <v>39630</v>
      </c>
      <c r="C31472" s="5" t="str">
        <f>IFERROR(__xludf.DUMMYFUNCTION("GOOGLETRANSLATE(B31472,""en"",""it"")"),"Una persona viene vista camminare attraverso il cortile che porta in una lunga corda.")</f>
        <v>Una persona viene vista camminare attraverso il cortile che porta in una lunga corda.</v>
      </c>
    </row>
    <row r="31473">
      <c r="A31473" s="4" t="s">
        <v>39629</v>
      </c>
      <c r="B31473" s="4" t="s">
        <v>39631</v>
      </c>
      <c r="C31473" s="5" t="str">
        <f>IFERROR(__xludf.DUMMYFUNCTION("GOOGLETRANSLATE(B31473,""en"",""it"")"),"L'uomo salta sulla corda e tenta di attraversarla.")</f>
        <v>L'uomo salta sulla corda e tenta di attraversarla.</v>
      </c>
    </row>
    <row r="31474">
      <c r="A31474" s="4" t="s">
        <v>39629</v>
      </c>
      <c r="B31474" s="4" t="s">
        <v>39632</v>
      </c>
      <c r="C31474" s="5" t="str">
        <f>IFERROR(__xludf.DUMMYFUNCTION("GOOGLETRANSLATE(B31474,""en"",""it"")"),"Continua a camminare e conduce a cadere.")</f>
        <v>Continua a camminare e conduce a cadere.</v>
      </c>
    </row>
    <row r="31475">
      <c r="A31475" s="4" t="s">
        <v>39633</v>
      </c>
      <c r="B31475" s="6" t="s">
        <v>39634</v>
      </c>
      <c r="C31475" s="5" t="str">
        <f>IFERROR(__xludf.DUMMYFUNCTION("GOOGLETRANSLATE(B31475,""en"",""it"")"),"Il gatto dorme in un tavolo peloso e un uomo lo tiene e mostra un clipper e inizia a tagliare le unghie del gatto sedute su un divano.")</f>
        <v>Il gatto dorme in un tavolo peloso e un uomo lo tiene e mostra un clipper e inizia a tagliare le unghie del gatto sedute su un divano.</v>
      </c>
    </row>
    <row r="31476">
      <c r="A31476" s="4" t="s">
        <v>39633</v>
      </c>
      <c r="B31476" s="4" t="s">
        <v>39635</v>
      </c>
      <c r="C31476" s="5" t="str">
        <f>IFERROR(__xludf.DUMMYFUNCTION("GOOGLETRANSLATE(B31476,""en"",""it"")"),"Il gatto è seduto su un tappeto rosso.")</f>
        <v>Il gatto è seduto su un tappeto rosso.</v>
      </c>
    </row>
    <row r="31477">
      <c r="A31477" s="4" t="s">
        <v>39636</v>
      </c>
      <c r="B31477" s="4" t="s">
        <v>39637</v>
      </c>
      <c r="C31477" s="5" t="str">
        <f>IFERROR(__xludf.DUMMYFUNCTION("GOOGLETRANSLATE(B31477,""en"",""it"")"),"Viene mostrato un video di vodka versato in un bicchiere di martini.")</f>
        <v>Viene mostrato un video di vodka versato in un bicchiere di martini.</v>
      </c>
    </row>
    <row r="31478">
      <c r="A31478" s="4" t="s">
        <v>39636</v>
      </c>
      <c r="B31478" s="4" t="s">
        <v>39638</v>
      </c>
      <c r="C31478" s="5" t="str">
        <f>IFERROR(__xludf.DUMMYFUNCTION("GOOGLETRANSLATE(B31478,""en"",""it"")"),"Una donna si trova dietro un bar con bottiglie e ingredienti.")</f>
        <v>Una donna si trova dietro un bar con bottiglie e ingredienti.</v>
      </c>
    </row>
    <row r="31479">
      <c r="A31479" s="4" t="s">
        <v>39636</v>
      </c>
      <c r="B31479" s="6" t="s">
        <v>39639</v>
      </c>
      <c r="C31479" s="5" t="str">
        <f>IFERROR(__xludf.DUMMYFUNCTION("GOOGLETRANSLATE(B31479,""en"",""it"")"),"Mescola gli alcoli in un bicchiere, poi li scuote prima di decorare e mostrare la bevanda.")</f>
        <v>Mescola gli alcoli in un bicchiere, poi li scuote prima di decorare e mostrare la bevanda.</v>
      </c>
    </row>
    <row r="31480">
      <c r="A31480" s="4" t="s">
        <v>39640</v>
      </c>
      <c r="B31480" s="6" t="s">
        <v>39641</v>
      </c>
      <c r="C31480" s="5" t="str">
        <f>IFERROR(__xludf.DUMMYFUNCTION("GOOGLETRANSLATE(B31480,""en"",""it"")"),"Viene mostrata una grande montagna nevosa e persone che guidano e persone in piedi lungo una montagna.")</f>
        <v>Viene mostrata una grande montagna nevosa e persone che guidano e persone in piedi lungo una montagna.</v>
      </c>
    </row>
    <row r="31481">
      <c r="A31481" s="4" t="s">
        <v>39640</v>
      </c>
      <c r="B31481" s="6" t="s">
        <v>39642</v>
      </c>
      <c r="C31481" s="5" t="str">
        <f>IFERROR(__xludf.DUMMYFUNCTION("GOOGLETRANSLATE(B31481,""en"",""it"")"),"Vengono mostrati diversi scatti di persone su snowboard, eseguendo trucchi e gestindo la telecamera.")</f>
        <v>Vengono mostrati diversi scatti di persone su snowboard, eseguendo trucchi e gestindo la telecamera.</v>
      </c>
    </row>
    <row r="31482">
      <c r="A31482" s="4" t="s">
        <v>39640</v>
      </c>
      <c r="B31482" s="6" t="s">
        <v>39643</v>
      </c>
      <c r="C31482" s="5" t="str">
        <f>IFERROR(__xludf.DUMMYFUNCTION("GOOGLETRANSLATE(B31482,""en"",""it"")"),"Il video continua con clip impressionanti di persone che fanno acrobazie e ravvicinati di persone che cavalcano.")</f>
        <v>Il video continua con clip impressionanti di persone che fanno acrobazie e ravvicinati di persone che cavalcano.</v>
      </c>
    </row>
    <row r="31483">
      <c r="A31483" s="4" t="s">
        <v>39644</v>
      </c>
      <c r="B31483" s="4" t="s">
        <v>39645</v>
      </c>
      <c r="C31483" s="5" t="str">
        <f>IFERROR(__xludf.DUMMYFUNCTION("GOOGLETRANSLATE(B31483,""en"",""it"")"),"Una donna si mette un imbracatura.")</f>
        <v>Una donna si mette un imbracatura.</v>
      </c>
    </row>
    <row r="31484">
      <c r="A31484" s="4" t="s">
        <v>39644</v>
      </c>
      <c r="B31484" s="4" t="s">
        <v>39646</v>
      </c>
      <c r="C31484" s="5" t="str">
        <f>IFERROR(__xludf.DUMMYFUNCTION("GOOGLETRANSLATE(B31484,""en"",""it"")"),"Un uomo ritaglia una corda dalla parte anteriore dell'imbracatura della donna.")</f>
        <v>Un uomo ritaglia una corda dalla parte anteriore dell'imbracatura della donna.</v>
      </c>
    </row>
    <row r="31485">
      <c r="A31485" s="4" t="s">
        <v>39644</v>
      </c>
      <c r="B31485" s="4" t="s">
        <v>39647</v>
      </c>
      <c r="C31485" s="5" t="str">
        <f>IFERROR(__xludf.DUMMYFUNCTION("GOOGLETRANSLATE(B31485,""en"",""it"")"),"Lega la corda in un nodo.")</f>
        <v>Lega la corda in un nodo.</v>
      </c>
    </row>
    <row r="31486">
      <c r="A31486" s="4" t="s">
        <v>39648</v>
      </c>
      <c r="B31486" s="4" t="s">
        <v>39649</v>
      </c>
      <c r="C31486" s="5" t="str">
        <f>IFERROR(__xludf.DUMMYFUNCTION("GOOGLETRANSLATE(B31486,""en"",""it"")"),"Una persona sta accanto a un fiume.")</f>
        <v>Una persona sta accanto a un fiume.</v>
      </c>
    </row>
    <row r="31487">
      <c r="A31487" s="4" t="s">
        <v>39648</v>
      </c>
      <c r="B31487" s="4" t="s">
        <v>39650</v>
      </c>
      <c r="C31487" s="5" t="str">
        <f>IFERROR(__xludf.DUMMYFUNCTION("GOOGLETRANSLATE(B31487,""en"",""it"")"),"Un gruppo di persone che indossano gilet kayak lungo un fiume.")</f>
        <v>Un gruppo di persone che indossano gilet kayak lungo un fiume.</v>
      </c>
    </row>
    <row r="31488">
      <c r="A31488" s="4" t="s">
        <v>39648</v>
      </c>
      <c r="B31488" s="4" t="s">
        <v>39651</v>
      </c>
      <c r="C31488" s="5" t="str">
        <f>IFERROR(__xludf.DUMMYFUNCTION("GOOGLETRANSLATE(B31488,""en"",""it"")"),"Una persona tiene la paletta sopra la testa.")</f>
        <v>Una persona tiene la paletta sopra la testa.</v>
      </c>
    </row>
    <row r="31489">
      <c r="A31489" s="4" t="s">
        <v>39648</v>
      </c>
      <c r="B31489" s="4" t="s">
        <v>39652</v>
      </c>
      <c r="C31489" s="5" t="str">
        <f>IFERROR(__xludf.DUMMYFUNCTION("GOOGLETRANSLATE(B31489,""en"",""it"")"),"Un paio di persone sono sedute accanto al fiume in una zona erbosa.")</f>
        <v>Un paio di persone sono sedute accanto al fiume in una zona erbosa.</v>
      </c>
    </row>
    <row r="31490">
      <c r="A31490" s="4" t="s">
        <v>39648</v>
      </c>
      <c r="B31490" s="4" t="s">
        <v>39653</v>
      </c>
      <c r="C31490" s="5" t="str">
        <f>IFERROR(__xludf.DUMMYFUNCTION("GOOGLETRANSLATE(B31490,""en"",""it"")"),"Le persone in kayak si avvicinano a un ponte.")</f>
        <v>Le persone in kayak si avvicinano a un ponte.</v>
      </c>
    </row>
    <row r="31491">
      <c r="A31491" s="4" t="s">
        <v>39648</v>
      </c>
      <c r="B31491" s="4" t="s">
        <v>39654</v>
      </c>
      <c r="C31491" s="5" t="str">
        <f>IFERROR(__xludf.DUMMYFUNCTION("GOOGLETRANSLATE(B31491,""en"",""it"")"),"Un paio di persone siedono vicino ad alcune macchine vicino al fiume.")</f>
        <v>Un paio di persone siedono vicino ad alcune macchine vicino al fiume.</v>
      </c>
    </row>
    <row r="31492">
      <c r="A31492" s="4" t="s">
        <v>39655</v>
      </c>
      <c r="B31492" s="4" t="s">
        <v>39656</v>
      </c>
      <c r="C31492" s="5" t="str">
        <f>IFERROR(__xludf.DUMMYFUNCTION("GOOGLETRANSLATE(B31492,""en"",""it"")"),"Un uomo sta kayak sull'acqua e sposta le braccia indietro e quarto rapidamente.")</f>
        <v>Un uomo sta kayak sull'acqua e sposta le braccia indietro e quarto rapidamente.</v>
      </c>
    </row>
    <row r="31493">
      <c r="A31493" s="4" t="s">
        <v>39655</v>
      </c>
      <c r="B31493" s="6" t="s">
        <v>39657</v>
      </c>
      <c r="C31493" s="5" t="str">
        <f>IFERROR(__xludf.DUMMYFUNCTION("GOOGLETRANSLATE(B31493,""en"",""it"")"),"La telecamera lo segue muovendosi attraverso l'acqua e alla fine si fa strada verso un ponte.")</f>
        <v>La telecamera lo segue muovendosi attraverso l'acqua e alla fine si fa strada verso un ponte.</v>
      </c>
    </row>
    <row r="31494">
      <c r="A31494" s="4" t="s">
        <v>39658</v>
      </c>
      <c r="B31494" s="4" t="s">
        <v>39659</v>
      </c>
      <c r="C31494" s="5" t="str">
        <f>IFERROR(__xludf.DUMMYFUNCTION("GOOGLETRANSLATE(B31494,""en"",""it"")"),"Vengono mostrati i crediti della clip accanto a un secchio di vernice.")</f>
        <v>Vengono mostrati i crediti della clip accanto a un secchio di vernice.</v>
      </c>
    </row>
    <row r="31495">
      <c r="A31495" s="4" t="s">
        <v>39658</v>
      </c>
      <c r="B31495" s="4" t="s">
        <v>39660</v>
      </c>
      <c r="C31495" s="5" t="str">
        <f>IFERROR(__xludf.DUMMYFUNCTION("GOOGLETRANSLATE(B31495,""en"",""it"")"),"Una mano dipinge un guardaroba bianco con un pennello.")</f>
        <v>Una mano dipinge un guardaroba bianco con un pennello.</v>
      </c>
    </row>
    <row r="31496">
      <c r="A31496" s="4" t="s">
        <v>39658</v>
      </c>
      <c r="B31496" s="4" t="s">
        <v>39661</v>
      </c>
      <c r="C31496" s="5" t="str">
        <f>IFERROR(__xludf.DUMMYFUNCTION("GOOGLETRANSLATE(B31496,""en"",""it"")"),"La mano raccoglie un tappeto bianco.")</f>
        <v>La mano raccoglie un tappeto bianco.</v>
      </c>
    </row>
    <row r="31497">
      <c r="A31497" s="4" t="s">
        <v>39658</v>
      </c>
      <c r="B31497" s="4" t="s">
        <v>39662</v>
      </c>
      <c r="C31497" s="5" t="str">
        <f>IFERROR(__xludf.DUMMYFUNCTION("GOOGLETRANSLATE(B31497,""en"",""it"")"),"La mano mette due dita all'interno del tappeto e procede a frustare il guardaroba dipinto.")</f>
        <v>La mano mette due dita all'interno del tappeto e procede a frustare il guardaroba dipinto.</v>
      </c>
    </row>
    <row r="31498">
      <c r="A31498" s="4" t="s">
        <v>39658</v>
      </c>
      <c r="B31498" s="4" t="s">
        <v>39663</v>
      </c>
      <c r="C31498" s="5" t="str">
        <f>IFERROR(__xludf.DUMMYFUNCTION("GOOGLETRANSLATE(B31498,""en"",""it"")"),"Viene mostrato il prodotto finale del guardaroba dipinto.")</f>
        <v>Viene mostrato il prodotto finale del guardaroba dipinto.</v>
      </c>
    </row>
    <row r="31499">
      <c r="A31499" s="4" t="s">
        <v>39658</v>
      </c>
      <c r="B31499" s="4" t="s">
        <v>573</v>
      </c>
      <c r="C31499" s="5" t="str">
        <f>IFERROR(__xludf.DUMMYFUNCTION("GOOGLETRANSLATE(B31499,""en"",""it"")"),"Vengono visualizzati i crediti del video.")</f>
        <v>Vengono visualizzati i crediti del video.</v>
      </c>
    </row>
    <row r="31500">
      <c r="A31500" s="4" t="s">
        <v>39664</v>
      </c>
      <c r="B31500" s="6" t="s">
        <v>39665</v>
      </c>
      <c r="C31500" s="5" t="str">
        <f>IFERROR(__xludf.DUMMYFUNCTION("GOOGLETRANSLATE(B31500,""en"",""it"")"),"Le braccia di una persona sono viste tornare indietro e quarto nell'acqua che controlla un kayak sotto alcune tombe che sporgono dall'acqua.")</f>
        <v>Le braccia di una persona sono viste tornare indietro e quarto nell'acqua che controlla un kayak sotto alcune tombe che sporgono dall'acqua.</v>
      </c>
    </row>
    <row r="31501">
      <c r="A31501" s="4" t="s">
        <v>39664</v>
      </c>
      <c r="B31501" s="4" t="s">
        <v>39666</v>
      </c>
      <c r="C31501" s="5" t="str">
        <f>IFERROR(__xludf.DUMMYFUNCTION("GOOGLETRANSLATE(B31501,""en"",""it"")"),"L'uomo continua a farsi strada e finisce con lui che attacca il suo palo nell'acqua.")</f>
        <v>L'uomo continua a farsi strada e finisce con lui che attacca il suo palo nell'acqua.</v>
      </c>
    </row>
    <row r="31502">
      <c r="A31502" s="4" t="s">
        <v>39667</v>
      </c>
      <c r="B31502" s="6" t="s">
        <v>39668</v>
      </c>
      <c r="C31502" s="5" t="str">
        <f>IFERROR(__xludf.DUMMYFUNCTION("GOOGLETRANSLATE(B31502,""en"",""it"")"),"Vari scatti di un negozio di tatuaggi sono mostrati seguiti da una donna seduta su una sedia e un uomo che prepara oggetti.")</f>
        <v>Vari scatti di un negozio di tatuaggi sono mostrati seguiti da una donna seduta su una sedia e un uomo che prepara oggetti.</v>
      </c>
    </row>
    <row r="31503">
      <c r="A31503" s="4" t="s">
        <v>39667</v>
      </c>
      <c r="B31503" s="4" t="s">
        <v>39669</v>
      </c>
      <c r="C31503" s="5" t="str">
        <f>IFERROR(__xludf.DUMMYFUNCTION("GOOGLETRANSLATE(B31503,""en"",""it"")"),"Prende un sorso d'acqua e l'uomo quindi trafigge il labbro con un ago.")</f>
        <v>Prende un sorso d'acqua e l'uomo quindi trafigge il labbro con un ago.</v>
      </c>
    </row>
    <row r="31504">
      <c r="A31504" s="4" t="s">
        <v>39667</v>
      </c>
      <c r="B31504" s="4" t="s">
        <v>39670</v>
      </c>
      <c r="C31504" s="5" t="str">
        <f>IFERROR(__xludf.DUMMYFUNCTION("GOOGLETRANSLATE(B31504,""en"",""it"")"),"Viene mostrata di nuovo in una foto del suo nuovo piercing.")</f>
        <v>Viene mostrata di nuovo in una foto del suo nuovo piercing.</v>
      </c>
    </row>
    <row r="31505">
      <c r="A31505" s="4" t="s">
        <v>39671</v>
      </c>
      <c r="B31505" s="4" t="s">
        <v>39672</v>
      </c>
      <c r="C31505" s="5" t="str">
        <f>IFERROR(__xludf.DUMMYFUNCTION("GOOGLETRANSLATE(B31505,""en"",""it"")"),"Un uomo suona un fisarten mentre fissa occasionalmente la telecamera.")</f>
        <v>Un uomo suona un fisarten mentre fissa occasionalmente la telecamera.</v>
      </c>
    </row>
    <row r="31506">
      <c r="A31506" s="4" t="s">
        <v>39671</v>
      </c>
      <c r="B31506" s="4" t="s">
        <v>39673</v>
      </c>
      <c r="C31506" s="5" t="str">
        <f>IFERROR(__xludf.DUMMYFUNCTION("GOOGLETRANSLATE(B31506,""en"",""it"")"),"L'uomo cambia costantemente le punte delle dita e si guarda in lontananza mentre gioca.")</f>
        <v>L'uomo cambia costantemente le punte delle dita e si guarda in lontananza mentre gioca.</v>
      </c>
    </row>
    <row r="31507">
      <c r="A31507" s="4" t="s">
        <v>39671</v>
      </c>
      <c r="B31507" s="4" t="s">
        <v>39674</v>
      </c>
      <c r="C31507" s="5" t="str">
        <f>IFERROR(__xludf.DUMMYFUNCTION("GOOGLETRANSLATE(B31507,""en"",""it"")"),"L'uomo continua la sua canzone e alla fine finisce sorridendo nella telecamera.")</f>
        <v>L'uomo continua la sua canzone e alla fine finisce sorridendo nella telecamera.</v>
      </c>
    </row>
    <row r="31508">
      <c r="A31508" s="4" t="s">
        <v>39675</v>
      </c>
      <c r="B31508" s="4" t="s">
        <v>39676</v>
      </c>
      <c r="C31508" s="5" t="str">
        <f>IFERROR(__xludf.DUMMYFUNCTION("GOOGLETRANSLATE(B31508,""en"",""it"")"),"Un uomo nel cortile che mostra come falciare il prato.")</f>
        <v>Un uomo nel cortile che mostra come falciare il prato.</v>
      </c>
    </row>
    <row r="31509">
      <c r="A31509" s="4" t="s">
        <v>39675</v>
      </c>
      <c r="B31509" s="6" t="s">
        <v>39677</v>
      </c>
      <c r="C31509" s="5" t="str">
        <f>IFERROR(__xludf.DUMMYFUNCTION("GOOGLETRANSLATE(B31509,""en"",""it"")"),"Prima si muove tutti i detriti in modo che nulla venga catturato nel tosaerba prima di falciare.")</f>
        <v>Prima si muove tutti i detriti in modo che nulla venga catturato nel tosaerba prima di falciare.</v>
      </c>
    </row>
    <row r="31510">
      <c r="A31510" s="4" t="s">
        <v>39675</v>
      </c>
      <c r="B31510" s="4" t="s">
        <v>39678</v>
      </c>
      <c r="C31510" s="5" t="str">
        <f>IFERROR(__xludf.DUMMYFUNCTION("GOOGLETRANSLATE(B31510,""en"",""it"")"),"Quindi usa uno stetoscopio per ascoltare il tosaerba mentre ci mette olio.")</f>
        <v>Quindi usa uno stetoscopio per ascoltare il tosaerba mentre ci mette olio.</v>
      </c>
    </row>
    <row r="31511">
      <c r="A31511" s="4" t="s">
        <v>39675</v>
      </c>
      <c r="B31511" s="6" t="s">
        <v>39679</v>
      </c>
      <c r="C31511" s="5" t="str">
        <f>IFERROR(__xludf.DUMMYFUNCTION("GOOGLETRANSLATE(B31511,""en"",""it"")"),"Ti suggerisce di finire di falciare al tramonto e se stai usando un tosaerba a spinta dovresti mantenere la schiena striaght e le braccia piegate.")</f>
        <v>Ti suggerisce di finire di falciare al tramonto e se stai usando un tosaerba a spinta dovresti mantenere la schiena striaght e le braccia piegate.</v>
      </c>
    </row>
    <row r="31512">
      <c r="A31512" s="4" t="s">
        <v>39680</v>
      </c>
      <c r="B31512" s="4" t="s">
        <v>39681</v>
      </c>
      <c r="C31512" s="5" t="str">
        <f>IFERROR(__xludf.DUMMYFUNCTION("GOOGLETRANSLATE(B31512,""en"",""it"")"),"Una bambina è in piedi in una cucina davanti a una ciotola e mix di biscotti di zucchero.")</f>
        <v>Una bambina è in piedi in una cucina davanti a una ciotola e mix di biscotti di zucchero.</v>
      </c>
    </row>
    <row r="31513">
      <c r="A31513" s="4" t="s">
        <v>39680</v>
      </c>
      <c r="B31513" s="6" t="s">
        <v>39682</v>
      </c>
      <c r="C31513" s="5" t="str">
        <f>IFERROR(__xludf.DUMMYFUNCTION("GOOGLETRANSLATE(B31513,""en"",""it"")"),"La ragazza inizia a mostrare gli ingredienti al suo pubblico, prima di versare il mix di biscotti in una ciotola.")</f>
        <v>La ragazza inizia a mostrare gli ingredienti al suo pubblico, prima di versare il mix di biscotti in una ciotola.</v>
      </c>
    </row>
    <row r="31514">
      <c r="A31514" s="4" t="s">
        <v>39680</v>
      </c>
      <c r="B31514" s="4" t="s">
        <v>39683</v>
      </c>
      <c r="C31514" s="5" t="str">
        <f>IFERROR(__xludf.DUMMYFUNCTION("GOOGLETRANSLATE(B31514,""en"",""it"")"),"Quindi aggiunge i tuorli di burro e uova e mescola tutto usando un mixer a mano.")</f>
        <v>Quindi aggiunge i tuorli di burro e uova e mescola tutto usando un mixer a mano.</v>
      </c>
    </row>
    <row r="31515">
      <c r="A31515" s="4" t="s">
        <v>39680</v>
      </c>
      <c r="B31515" s="6" t="s">
        <v>39684</v>
      </c>
      <c r="C31515" s="5" t="str">
        <f>IFERROR(__xludf.DUMMYFUNCTION("GOOGLETRANSLATE(B31515,""en"",""it"")"),"Rotola l'impasto in un involucro di plastica prima di diffonderlo e tagliare a forme con taglierine.")</f>
        <v>Rotola l'impasto in un involucro di plastica prima di diffonderlo e tagliare a forme con taglierine.</v>
      </c>
    </row>
    <row r="31516">
      <c r="A31516" s="4" t="s">
        <v>39680</v>
      </c>
      <c r="B31516" s="4" t="s">
        <v>39685</v>
      </c>
      <c r="C31516" s="5" t="str">
        <f>IFERROR(__xludf.DUMMYFUNCTION("GOOGLETRANSLATE(B31516,""en"",""it"")"),"I biscotti sono cotti e pronti per gelo con spruzzi e glassa.")</f>
        <v>I biscotti sono cotti e pronti per gelo con spruzzi e glassa.</v>
      </c>
    </row>
    <row r="31517">
      <c r="A31517" s="4" t="s">
        <v>39686</v>
      </c>
      <c r="B31517" s="4" t="s">
        <v>1251</v>
      </c>
      <c r="C31517" s="5" t="str">
        <f>IFERROR(__xludf.DUMMYFUNCTION("GOOGLETRANSLATE(B31517,""en"",""it"")"),"Vengono visualizzati i crediti della clip.")</f>
        <v>Vengono visualizzati i crediti della clip.</v>
      </c>
    </row>
    <row r="31518">
      <c r="A31518" s="4" t="s">
        <v>39686</v>
      </c>
      <c r="B31518" s="4" t="s">
        <v>39687</v>
      </c>
      <c r="C31518" s="5" t="str">
        <f>IFERROR(__xludf.DUMMYFUNCTION("GOOGLETRANSLATE(B31518,""en"",""it"")"),"Una mani lucida prende un pezzo di nastro.")</f>
        <v>Una mani lucida prende un pezzo di nastro.</v>
      </c>
    </row>
    <row r="31519">
      <c r="A31519" s="4" t="s">
        <v>39686</v>
      </c>
      <c r="B31519" s="4" t="s">
        <v>39688</v>
      </c>
      <c r="C31519" s="5" t="str">
        <f>IFERROR(__xludf.DUMMYFUNCTION("GOOGLETRANSLATE(B31519,""en"",""it"")"),"Le mani lucide mettono un pezzo di nastro adesivo sul bordo di un oggetto marrone.")</f>
        <v>Le mani lucide mettono un pezzo di nastro adesivo sul bordo di un oggetto marrone.</v>
      </c>
    </row>
    <row r="31520">
      <c r="A31520" s="4" t="s">
        <v>39686</v>
      </c>
      <c r="B31520" s="4" t="s">
        <v>39689</v>
      </c>
      <c r="C31520" s="5" t="str">
        <f>IFERROR(__xludf.DUMMYFUNCTION("GOOGLETRANSLATE(B31520,""en"",""it"")"),"La mano dipinge lo smalto turchese sul nastro.")</f>
        <v>La mano dipinge lo smalto turchese sul nastro.</v>
      </c>
    </row>
    <row r="31521">
      <c r="A31521" s="4" t="s">
        <v>39686</v>
      </c>
      <c r="B31521" s="4" t="s">
        <v>39690</v>
      </c>
      <c r="C31521" s="5" t="str">
        <f>IFERROR(__xludf.DUMMYFUNCTION("GOOGLETRANSLATE(B31521,""en"",""it"")"),"La mano taglia il nastro lucido in strisce.")</f>
        <v>La mano taglia il nastro lucido in strisce.</v>
      </c>
    </row>
    <row r="31522">
      <c r="A31522" s="4" t="s">
        <v>39686</v>
      </c>
      <c r="B31522" s="4" t="s">
        <v>39691</v>
      </c>
      <c r="C31522" s="5" t="str">
        <f>IFERROR(__xludf.DUMMYFUNCTION("GOOGLETRANSLATE(B31522,""en"",""it"")"),"La mano mette la striscia su un chiodo lucido.")</f>
        <v>La mano mette la striscia su un chiodo lucido.</v>
      </c>
    </row>
    <row r="31523">
      <c r="A31523" s="4" t="s">
        <v>39686</v>
      </c>
      <c r="B31523" s="4" t="s">
        <v>39692</v>
      </c>
      <c r="C31523" s="5" t="str">
        <f>IFERROR(__xludf.DUMMYFUNCTION("GOOGLETRANSLATE(B31523,""en"",""it"")"),"La mano dipinge l'unghia con smalto chiaro.")</f>
        <v>La mano dipinge l'unghia con smalto chiaro.</v>
      </c>
    </row>
    <row r="31524">
      <c r="A31524" s="4" t="s">
        <v>39686</v>
      </c>
      <c r="B31524" s="4" t="s">
        <v>39693</v>
      </c>
      <c r="C31524" s="5" t="str">
        <f>IFERROR(__xludf.DUMMYFUNCTION("GOOGLETRANSLATE(B31524,""en"",""it"")"),"La mano strofina un batuffolo di cotone imbevuto su una unghie in modo che lo smalto venga rimosso.")</f>
        <v>La mano strofina un batuffolo di cotone imbevuto su una unghie in modo che lo smalto venga rimosso.</v>
      </c>
    </row>
    <row r="31525">
      <c r="A31525" s="4" t="s">
        <v>39686</v>
      </c>
      <c r="B31525" s="4" t="s">
        <v>573</v>
      </c>
      <c r="C31525" s="5" t="str">
        <f>IFERROR(__xludf.DUMMYFUNCTION("GOOGLETRANSLATE(B31525,""en"",""it"")"),"Vengono visualizzati i crediti del video.")</f>
        <v>Vengono visualizzati i crediti del video.</v>
      </c>
    </row>
    <row r="31526">
      <c r="A31526" s="4" t="s">
        <v>39694</v>
      </c>
      <c r="B31526" s="6" t="s">
        <v>39695</v>
      </c>
      <c r="C31526" s="5" t="str">
        <f>IFERROR(__xludf.DUMMYFUNCTION("GOOGLETRANSLATE(B31526,""en"",""it"")"),"Un uomo allunga le camicie su una tavola da stiro in un'area dell'officina e usa un ferro da stiro per premere a vapore.")</f>
        <v>Un uomo allunga le camicie su una tavola da stiro in un'area dell'officina e usa un ferro da stiro per premere a vapore.</v>
      </c>
    </row>
    <row r="31527">
      <c r="A31527" s="4" t="s">
        <v>39694</v>
      </c>
      <c r="B31527" s="4" t="s">
        <v>39696</v>
      </c>
      <c r="C31527" s="5" t="str">
        <f>IFERROR(__xludf.DUMMYFUNCTION("GOOGLETRANSLATE(B31527,""en"",""it"")"),"L'uomo rimuove la camicia stirata e la mette su un gancio.")</f>
        <v>L'uomo rimuove la camicia stirata e la mette su un gancio.</v>
      </c>
    </row>
    <row r="31528">
      <c r="A31528" s="4" t="s">
        <v>39694</v>
      </c>
      <c r="B31528" s="4" t="s">
        <v>39697</v>
      </c>
      <c r="C31528" s="5" t="str">
        <f>IFERROR(__xludf.DUMMYFUNCTION("GOOGLETRANSLATE(B31528,""en"",""it"")"),"L'uomo dà alla camicia un altro stirpe veloce su un singolo punto, quindi appende la camicia su una griglia.")</f>
        <v>L'uomo dà alla camicia un altro stirpe veloce su un singolo punto, quindi appende la camicia su una griglia.</v>
      </c>
    </row>
    <row r="31529">
      <c r="A31529" s="4" t="s">
        <v>39698</v>
      </c>
      <c r="B31529" s="4" t="s">
        <v>39699</v>
      </c>
      <c r="C31529" s="5" t="str">
        <f>IFERROR(__xludf.DUMMYFUNCTION("GOOGLETRANSLATE(B31529,""en"",""it"")"),"Un uomo salta da un tabellone in una piscina più volte.")</f>
        <v>Un uomo salta da un tabellone in una piscina più volte.</v>
      </c>
    </row>
    <row r="31530">
      <c r="A31530" s="4" t="s">
        <v>39698</v>
      </c>
      <c r="B31530" s="4" t="s">
        <v>39700</v>
      </c>
      <c r="C31530" s="5" t="str">
        <f>IFERROR(__xludf.DUMMYFUNCTION("GOOGLETRANSLATE(B31530,""en"",""it"")"),"Un'altra persona è nuotare in piscina.")</f>
        <v>Un'altra persona è nuotare in piscina.</v>
      </c>
    </row>
    <row r="31531">
      <c r="A31531" s="4" t="s">
        <v>39698</v>
      </c>
      <c r="B31531" s="4" t="s">
        <v>39701</v>
      </c>
      <c r="C31531" s="5" t="str">
        <f>IFERROR(__xludf.DUMMYFUNCTION("GOOGLETRANSLATE(B31531,""en"",""it"")"),"Fa un capovolgimento e atterra nell'acqua prima di emergere.")</f>
        <v>Fa un capovolgimento e atterra nell'acqua prima di emergere.</v>
      </c>
    </row>
    <row r="31532">
      <c r="A31532" s="4" t="s">
        <v>39702</v>
      </c>
      <c r="B31532" s="4" t="s">
        <v>1487</v>
      </c>
      <c r="C31532" s="5" t="str">
        <f>IFERROR(__xludf.DUMMYFUNCTION("GOOGLETRANSLATE(B31532,""en"",""it"")"),"Vediamo una schermata del titolo di apertura.")</f>
        <v>Vediamo una schermata del titolo di apertura.</v>
      </c>
    </row>
    <row r="31533">
      <c r="A31533" s="4" t="s">
        <v>39702</v>
      </c>
      <c r="B31533" s="4" t="s">
        <v>39703</v>
      </c>
      <c r="C31533" s="5" t="str">
        <f>IFERROR(__xludf.DUMMYFUNCTION("GOOGLETRANSLATE(B31533,""en"",""it"")"),"Vediamo una signora seduta a un tavolo con scarpe e provviste che parlano alla telecamera.")</f>
        <v>Vediamo una signora seduta a un tavolo con scarpe e provviste che parlano alla telecamera.</v>
      </c>
    </row>
    <row r="31534">
      <c r="A31534" s="4" t="s">
        <v>39702</v>
      </c>
      <c r="B31534" s="4" t="s">
        <v>39704</v>
      </c>
      <c r="C31534" s="5" t="str">
        <f>IFERROR(__xludf.DUMMYFUNCTION("GOOGLETRANSLATE(B31534,""en"",""it"")"),"Vediamo schermi con le scarpe su di loro.")</f>
        <v>Vediamo schermi con le scarpe su di loro.</v>
      </c>
    </row>
    <row r="31535">
      <c r="A31535" s="4" t="s">
        <v>39702</v>
      </c>
      <c r="B31535" s="4" t="s">
        <v>39705</v>
      </c>
      <c r="C31535" s="5" t="str">
        <f>IFERROR(__xludf.DUMMYFUNCTION("GOOGLETRANSLATE(B31535,""en"",""it"")"),"La signora ci mostra varie scarpe.")</f>
        <v>La signora ci mostra varie scarpe.</v>
      </c>
    </row>
    <row r="31536">
      <c r="A31536" s="4" t="s">
        <v>39702</v>
      </c>
      <c r="B31536" s="4" t="s">
        <v>39706</v>
      </c>
      <c r="C31536" s="5" t="str">
        <f>IFERROR(__xludf.DUMMYFUNCTION("GOOGLETRANSLATE(B31536,""en"",""it"")"),"La signora ci mostra le forniture di scarpe.")</f>
        <v>La signora ci mostra le forniture di scarpe.</v>
      </c>
    </row>
    <row r="31537">
      <c r="A31537" s="4" t="s">
        <v>39702</v>
      </c>
      <c r="B31537" s="4" t="s">
        <v>39707</v>
      </c>
      <c r="C31537" s="5" t="str">
        <f>IFERROR(__xludf.DUMMYFUNCTION("GOOGLETRANSLATE(B31537,""en"",""it"")"),"La signora aggiunge un prodotto alle scarpe.")</f>
        <v>La signora aggiunge un prodotto alle scarpe.</v>
      </c>
    </row>
    <row r="31538">
      <c r="A31538" s="4" t="s">
        <v>39702</v>
      </c>
      <c r="B31538" s="4" t="s">
        <v>39708</v>
      </c>
      <c r="C31538" s="5" t="str">
        <f>IFERROR(__xludf.DUMMYFUNCTION("GOOGLETRANSLATE(B31538,""en"",""it"")"),"La signora quindi cancella il prodotto con un asciugamano.")</f>
        <v>La signora quindi cancella il prodotto con un asciugamano.</v>
      </c>
    </row>
    <row r="31539">
      <c r="A31539" s="4" t="s">
        <v>39702</v>
      </c>
      <c r="B31539" s="4" t="s">
        <v>39709</v>
      </c>
      <c r="C31539" s="5" t="str">
        <f>IFERROR(__xludf.DUMMYFUNCTION("GOOGLETRANSLATE(B31539,""en"",""it"")"),"La signora aggiunge quindi le scarpe cera alla scarpa e la asciuga.")</f>
        <v>La signora aggiunge quindi le scarpe cera alla scarpa e la asciuga.</v>
      </c>
    </row>
    <row r="31540">
      <c r="A31540" s="4" t="s">
        <v>39702</v>
      </c>
      <c r="B31540" s="4" t="s">
        <v>2892</v>
      </c>
      <c r="C31540" s="5" t="str">
        <f>IFERROR(__xludf.DUMMYFUNCTION("GOOGLETRANSLATE(B31540,""en"",""it"")"),"Vediamo la schermata del titolo di chiusura.")</f>
        <v>Vediamo la schermata del titolo di chiusura.</v>
      </c>
    </row>
    <row r="31541">
      <c r="A31541" s="4" t="s">
        <v>39710</v>
      </c>
      <c r="B31541" s="4" t="s">
        <v>39711</v>
      </c>
      <c r="C31541" s="5" t="str">
        <f>IFERROR(__xludf.DUMMYFUNCTION("GOOGLETRANSLATE(B31541,""en"",""it"")"),"Un uomo cancella la neve da un'auto nel parcheggio innevato.")</f>
        <v>Un uomo cancella la neve da un'auto nel parcheggio innevato.</v>
      </c>
    </row>
    <row r="31542">
      <c r="A31542" s="4" t="s">
        <v>39710</v>
      </c>
      <c r="B31542" s="6" t="s">
        <v>39712</v>
      </c>
      <c r="C31542" s="5" t="str">
        <f>IFERROR(__xludf.DUMMYFUNCTION("GOOGLETRANSLATE(B31542,""en"",""it"")"),"Un uomo in uno stretto corridoio tiene e dirige una telecamera nel corridoio, preme un pulsante nel corridoio, quindi esce attraverso la porta nel corridoio e esce.")</f>
        <v>Un uomo in uno stretto corridoio tiene e dirige una telecamera nel corridoio, preme un pulsante nel corridoio, quindi esce attraverso la porta nel corridoio e esce.</v>
      </c>
    </row>
    <row r="31543">
      <c r="A31543" s="4" t="s">
        <v>39710</v>
      </c>
      <c r="B31543" s="6" t="s">
        <v>39713</v>
      </c>
      <c r="C31543" s="5" t="str">
        <f>IFERROR(__xludf.DUMMYFUNCTION("GOOGLETRANSLATE(B31543,""en"",""it"")"),"Una volta fuori dalla telecamera, raccoglie un parcheggio innevato pieno di auto innevate e una ragazza con pantaloni rosa.")</f>
        <v>Una volta fuori dalla telecamera, raccoglie un parcheggio innevato pieno di auto innevate e una ragazza con pantaloni rosa.</v>
      </c>
    </row>
    <row r="31544">
      <c r="A31544" s="4" t="s">
        <v>39710</v>
      </c>
      <c r="B31544" s="6" t="s">
        <v>39714</v>
      </c>
      <c r="C31544" s="5" t="str">
        <f>IFERROR(__xludf.DUMMYFUNCTION("GOOGLETRANSLATE(B31544,""en"",""it"")"),"Un uomo che tiene un lungo pennello che rimuove la neve si avvicina a un'auto e inizia a spazzare via la neve dalla macchina a volte gestendo selvaggiamente con le braccia.")</f>
        <v>Un uomo che tiene un lungo pennello che rimuove la neve si avvicina a un'auto e inizia a spazzare via la neve dalla macchina a volte gestendo selvaggiamente con le braccia.</v>
      </c>
    </row>
    <row r="31545">
      <c r="A31545" s="4" t="s">
        <v>39710</v>
      </c>
      <c r="B31545" s="6" t="s">
        <v>39715</v>
      </c>
      <c r="C31545" s="5" t="str">
        <f>IFERROR(__xludf.DUMMYFUNCTION("GOOGLETRANSLATE(B31545,""en"",""it"")"),"L'uomo cancella l'intera macchina con la neve, con il pennello e una pala prima che la scena si tagliasse su un veicolo che guida lungo la strada nella neve.")</f>
        <v>L'uomo cancella l'intera macchina con la neve, con il pennello e una pala prima che la scena si tagliasse su un veicolo che guida lungo la strada nella neve.</v>
      </c>
    </row>
    <row r="31546">
      <c r="A31546" s="4" t="s">
        <v>39716</v>
      </c>
      <c r="B31546" s="4" t="s">
        <v>39717</v>
      </c>
      <c r="C31546" s="5" t="str">
        <f>IFERROR(__xludf.DUMMYFUNCTION("GOOGLETRANSLATE(B31546,""en"",""it"")"),"Vediamo uomini in piedi in un casinò con birre.")</f>
        <v>Vediamo uomini in piedi in un casinò con birre.</v>
      </c>
    </row>
    <row r="31547">
      <c r="A31547" s="4" t="s">
        <v>39716</v>
      </c>
      <c r="B31547" s="4" t="s">
        <v>39718</v>
      </c>
      <c r="C31547" s="5" t="str">
        <f>IFERROR(__xludf.DUMMYFUNCTION("GOOGLETRANSLATE(B31547,""en"",""it"")"),"Vediamo un uomo e mettiamo soldi sul tavolo.")</f>
        <v>Vediamo un uomo e mettiamo soldi sul tavolo.</v>
      </c>
    </row>
    <row r="31548">
      <c r="A31548" s="4" t="s">
        <v>39716</v>
      </c>
      <c r="B31548" s="4" t="s">
        <v>39719</v>
      </c>
      <c r="C31548" s="5" t="str">
        <f>IFERROR(__xludf.DUMMYFUNCTION("GOOGLETRANSLATE(B31548,""en"",""it"")"),"Il rivenditore conta i soldi e dà le patatine.")</f>
        <v>Il rivenditore conta i soldi e dà le patatine.</v>
      </c>
    </row>
    <row r="31549">
      <c r="A31549" s="4" t="s">
        <v>39716</v>
      </c>
      <c r="B31549" s="4" t="s">
        <v>39720</v>
      </c>
      <c r="C31549" s="5" t="str">
        <f>IFERROR(__xludf.DUMMYFUNCTION("GOOGLETRANSLATE(B31549,""en"",""it"")"),"Il rivenditore tratta le mani di Blackjack e noi vediamo gli uomini che applaudono e il rivenditore ridere.")</f>
        <v>Il rivenditore tratta le mani di Blackjack e noi vediamo gli uomini che applaudono e il rivenditore ridere.</v>
      </c>
    </row>
    <row r="31550">
      <c r="A31550" s="4" t="s">
        <v>39716</v>
      </c>
      <c r="B31550" s="6" t="s">
        <v>39721</v>
      </c>
      <c r="C31550" s="5" t="str">
        <f>IFERROR(__xludf.DUMMYFUNCTION("GOOGLETRANSLATE(B31550,""en"",""it"")"),"Vediamo il rivenditore dare chips all'uomo e l'uomo si trova nel suo gruppo mostrando ai suoi amici la sua pila di patatine.")</f>
        <v>Vediamo il rivenditore dare chips all'uomo e l'uomo si trova nel suo gruppo mostrando ai suoi amici la sua pila di patatine.</v>
      </c>
    </row>
    <row r="31551">
      <c r="A31551" s="4" t="s">
        <v>39716</v>
      </c>
      <c r="B31551" s="4" t="s">
        <v>39722</v>
      </c>
      <c r="C31551" s="5" t="str">
        <f>IFERROR(__xludf.DUMMYFUNCTION("GOOGLETRANSLATE(B31551,""en"",""it"")"),"Due uomini rallegrano e gettano i pugni in aria e me ride e tirano e camminano.")</f>
        <v>Due uomini rallegrano e gettano i pugni in aria e me ride e tirano e camminano.</v>
      </c>
    </row>
    <row r="31552">
      <c r="A31552" s="4" t="s">
        <v>39723</v>
      </c>
      <c r="B31552" s="4" t="s">
        <v>31448</v>
      </c>
      <c r="C31552" s="5" t="str">
        <f>IFERROR(__xludf.DUMMYFUNCTION("GOOGLETRANSLATE(B31552,""en"",""it"")"),"Un bambino scivola giù per una diapositiva.")</f>
        <v>Un bambino scivola giù per una diapositiva.</v>
      </c>
    </row>
    <row r="31553">
      <c r="A31553" s="4" t="s">
        <v>39723</v>
      </c>
      <c r="B31553" s="4" t="s">
        <v>39724</v>
      </c>
      <c r="C31553" s="5" t="str">
        <f>IFERROR(__xludf.DUMMYFUNCTION("GOOGLETRANSLATE(B31553,""en"",""it"")"),"Fa una pausa mentre un altro scivola verso il basso.")</f>
        <v>Fa una pausa mentre un altro scivola verso il basso.</v>
      </c>
    </row>
    <row r="31554">
      <c r="A31554" s="4" t="s">
        <v>39723</v>
      </c>
      <c r="B31554" s="4" t="s">
        <v>39725</v>
      </c>
      <c r="C31554" s="5" t="str">
        <f>IFERROR(__xludf.DUMMYFUNCTION("GOOGLETRANSLATE(B31554,""en"",""it"")"),"Si scivola giù mentre si ferma.")</f>
        <v>Si scivola giù mentre si ferma.</v>
      </c>
    </row>
    <row r="31555">
      <c r="A31555" s="4" t="s">
        <v>39723</v>
      </c>
      <c r="B31555" s="4" t="s">
        <v>39726</v>
      </c>
      <c r="C31555" s="5" t="str">
        <f>IFERROR(__xludf.DUMMYFUNCTION("GOOGLETRANSLATE(B31555,""en"",""it"")"),"Si corre su di lei e lei scivola fino alla fine.")</f>
        <v>Si corre su di lei e lei scivola fino alla fine.</v>
      </c>
    </row>
    <row r="31556">
      <c r="A31556" s="4" t="s">
        <v>39727</v>
      </c>
      <c r="B31556" s="4" t="s">
        <v>39728</v>
      </c>
      <c r="C31556" s="5" t="str">
        <f>IFERROR(__xludf.DUMMYFUNCTION("GOOGLETRANSLATE(B31556,""en"",""it"")"),"Vediamo il titolo su un paesaggio.")</f>
        <v>Vediamo il titolo su un paesaggio.</v>
      </c>
    </row>
    <row r="31557">
      <c r="A31557" s="4" t="s">
        <v>39727</v>
      </c>
      <c r="B31557" s="4" t="s">
        <v>39729</v>
      </c>
      <c r="C31557" s="5" t="str">
        <f>IFERROR(__xludf.DUMMYFUNCTION("GOOGLETRANSLATE(B31557,""en"",""it"")"),"Le persone suonano strumenti in un campo.")</f>
        <v>Le persone suonano strumenti in un campo.</v>
      </c>
    </row>
    <row r="31558">
      <c r="A31558" s="4" t="s">
        <v>39727</v>
      </c>
      <c r="B31558" s="4" t="s">
        <v>39730</v>
      </c>
      <c r="C31558" s="5" t="str">
        <f>IFERROR(__xludf.DUMMYFUNCTION("GOOGLETRANSLATE(B31558,""en"",""it"")"),"Vediamo quindi uomini che praticano arti marziali.")</f>
        <v>Vediamo quindi uomini che praticano arti marziali.</v>
      </c>
    </row>
    <row r="31559">
      <c r="A31559" s="4" t="s">
        <v>39727</v>
      </c>
      <c r="B31559" s="4" t="s">
        <v>39731</v>
      </c>
      <c r="C31559" s="5" t="str">
        <f>IFERROR(__xludf.DUMMYFUNCTION("GOOGLETRANSLATE(B31559,""en"",""it"")"),"Un uomo prende a calci un altro uomo a terra.")</f>
        <v>Un uomo prende a calci un altro uomo a terra.</v>
      </c>
    </row>
    <row r="31560">
      <c r="A31560" s="4" t="s">
        <v>39727</v>
      </c>
      <c r="B31560" s="4" t="s">
        <v>39732</v>
      </c>
      <c r="C31560" s="5" t="str">
        <f>IFERROR(__xludf.DUMMYFUNCTION("GOOGLETRANSLATE(B31560,""en"",""it"")"),"Vediamo un uomo gettare un altro uomo sulla schiena.")</f>
        <v>Vediamo un uomo gettare un altro uomo sulla schiena.</v>
      </c>
    </row>
    <row r="31561">
      <c r="A31561" s="4" t="s">
        <v>39727</v>
      </c>
      <c r="B31561" s="4" t="s">
        <v>39733</v>
      </c>
      <c r="C31561" s="5" t="str">
        <f>IFERROR(__xludf.DUMMYFUNCTION("GOOGLETRANSLATE(B31561,""en"",""it"")"),"Un uomo fa un capovolgimento, quindi fa un capovolgimento della schiena.")</f>
        <v>Un uomo fa un capovolgimento, quindi fa un capovolgimento della schiena.</v>
      </c>
    </row>
    <row r="31562">
      <c r="A31562" s="4" t="s">
        <v>39727</v>
      </c>
      <c r="B31562" s="4" t="s">
        <v>39734</v>
      </c>
      <c r="C31562" s="5" t="str">
        <f>IFERROR(__xludf.DUMMYFUNCTION("GOOGLETRANSLATE(B31562,""en"",""it"")"),"Vediamo di nuovo le persone che suonano strumenti.")</f>
        <v>Vediamo di nuovo le persone che suonano strumenti.</v>
      </c>
    </row>
    <row r="31563">
      <c r="A31563" s="4" t="s">
        <v>39727</v>
      </c>
      <c r="B31563" s="4" t="s">
        <v>39735</v>
      </c>
      <c r="C31563" s="5" t="str">
        <f>IFERROR(__xludf.DUMMYFUNCTION("GOOGLETRANSLATE(B31563,""en"",""it"")"),"130 Vediamo che le parole appaiano sullo schermo e compaiono i crediti finali.")</f>
        <v>130 Vediamo che le parole appaiano sullo schermo e compaiono i crediti finali.</v>
      </c>
    </row>
    <row r="31564">
      <c r="A31564" s="4" t="s">
        <v>39736</v>
      </c>
      <c r="B31564" s="4" t="s">
        <v>39737</v>
      </c>
      <c r="C31564" s="5" t="str">
        <f>IFERROR(__xludf.DUMMYFUNCTION("GOOGLETRANSLATE(B31564,""en"",""it"")"),"Un bambino è visto giocare con un giocattolo e mettere il labbro sulle labbra.")</f>
        <v>Un bambino è visto giocare con un giocattolo e mettere il labbro sulle labbra.</v>
      </c>
    </row>
    <row r="31565">
      <c r="A31565" s="4" t="s">
        <v>39736</v>
      </c>
      <c r="B31565" s="4" t="s">
        <v>39738</v>
      </c>
      <c r="C31565" s="5" t="str">
        <f>IFERROR(__xludf.DUMMYFUNCTION("GOOGLETRANSLATE(B31565,""en"",""it"")"),"La telecamera viene quindi vista muoversi per una stanza, scendendo le scale e seguendo la ragazza.")</f>
        <v>La telecamera viene quindi vista muoversi per una stanza, scendendo le scale e seguendo la ragazza.</v>
      </c>
    </row>
    <row r="31566">
      <c r="A31566" s="4" t="s">
        <v>39736</v>
      </c>
      <c r="B31566" s="4" t="s">
        <v>39739</v>
      </c>
      <c r="C31566" s="5" t="str">
        <f>IFERROR(__xludf.DUMMYFUNCTION("GOOGLETRANSLATE(B31566,""en"",""it"")"),"La ragazza torna nella sua stanza per giocare con il suo giocattolo mentre la telecamera segue.")</f>
        <v>La ragazza torna nella sua stanza per giocare con il suo giocattolo mentre la telecamera segue.</v>
      </c>
    </row>
    <row r="31567">
      <c r="A31567" s="4" t="s">
        <v>39740</v>
      </c>
      <c r="B31567" s="4" t="s">
        <v>39741</v>
      </c>
      <c r="C31567" s="5" t="str">
        <f>IFERROR(__xludf.DUMMYFUNCTION("GOOGLETRANSLATE(B31567,""en"",""it"")"),"Due uomini giocano a giochi di forbici di carta rocciosa di fronte a un arbitro.")</f>
        <v>Due uomini giocano a giochi di forbici di carta rocciosa di fronte a un arbitro.</v>
      </c>
    </row>
    <row r="31568">
      <c r="A31568" s="4" t="s">
        <v>39740</v>
      </c>
      <c r="B31568" s="4" t="s">
        <v>39742</v>
      </c>
      <c r="C31568" s="5" t="str">
        <f>IFERROR(__xludf.DUMMYFUNCTION("GOOGLETRANSLATE(B31568,""en"",""it"")"),"Una donna tocca uno di loro sulla schiena.")</f>
        <v>Una donna tocca uno di loro sulla schiena.</v>
      </c>
    </row>
    <row r="31569">
      <c r="A31569" s="4" t="s">
        <v>39740</v>
      </c>
      <c r="B31569" s="4" t="s">
        <v>39743</v>
      </c>
      <c r="C31569" s="5" t="str">
        <f>IFERROR(__xludf.DUMMYFUNCTION("GOOGLETRANSLATE(B31569,""en"",""it"")"),"Giocano un'ultima partita e un uomo celebra la sua vittoria.")</f>
        <v>Giocano un'ultima partita e un uomo celebra la sua vittoria.</v>
      </c>
    </row>
    <row r="31570">
      <c r="A31570" s="4" t="s">
        <v>39744</v>
      </c>
      <c r="B31570" s="4" t="s">
        <v>39745</v>
      </c>
      <c r="C31570" s="5" t="str">
        <f>IFERROR(__xludf.DUMMYFUNCTION("GOOGLETRANSLATE(B31570,""en"",""it"")"),"Un uomo è seduto dietro un tavolo.")</f>
        <v>Un uomo è seduto dietro un tavolo.</v>
      </c>
    </row>
    <row r="31571">
      <c r="A31571" s="4" t="s">
        <v>39744</v>
      </c>
      <c r="B31571" s="4" t="s">
        <v>39746</v>
      </c>
      <c r="C31571" s="5" t="str">
        <f>IFERROR(__xludf.DUMMYFUNCTION("GOOGLETRANSLATE(B31571,""en"",""it"")"),"Raccoglie un cubo di Rubiks e lo completa.")</f>
        <v>Raccoglie un cubo di Rubiks e lo completa.</v>
      </c>
    </row>
    <row r="31572">
      <c r="A31572" s="4" t="s">
        <v>39744</v>
      </c>
      <c r="B31572" s="4" t="s">
        <v>39747</v>
      </c>
      <c r="C31572" s="5" t="str">
        <f>IFERROR(__xludf.DUMMYFUNCTION("GOOGLETRANSLATE(B31572,""en"",""it"")"),"Un uomo sta accanto a lui e scrive qualcosa su un giornale.")</f>
        <v>Un uomo sta accanto a lui e scrive qualcosa su un giornale.</v>
      </c>
    </row>
    <row r="31573">
      <c r="A31573" s="4" t="s">
        <v>39748</v>
      </c>
      <c r="B31573" s="4" t="s">
        <v>39749</v>
      </c>
      <c r="C31573" s="5" t="str">
        <f>IFERROR(__xludf.DUMMYFUNCTION("GOOGLETRANSLATE(B31573,""en"",""it"")"),"Viene visto un uomo parlare alla telecamera e inizia a tenere i coltelli.")</f>
        <v>Viene visto un uomo parlare alla telecamera e inizia a tenere i coltelli.</v>
      </c>
    </row>
    <row r="31574">
      <c r="A31574" s="4" t="s">
        <v>39748</v>
      </c>
      <c r="B31574" s="4" t="s">
        <v>39750</v>
      </c>
      <c r="C31574" s="5" t="str">
        <f>IFERROR(__xludf.DUMMYFUNCTION("GOOGLETRANSLATE(B31574,""en"",""it"")"),"Si unisce a tutti i suoi strumenti e mostra un kit.")</f>
        <v>Si unisce a tutti i suoi strumenti e mostra un kit.</v>
      </c>
    </row>
    <row r="31575">
      <c r="A31575" s="4" t="s">
        <v>39748</v>
      </c>
      <c r="B31575" s="6" t="s">
        <v>39751</v>
      </c>
      <c r="C31575" s="5" t="str">
        <f>IFERROR(__xludf.DUMMYFUNCTION("GOOGLETRANSLATE(B31575,""en"",""it"")"),"Quindi porta ad affinare un coltello con varie assi e bastoncini mentre parla ancora alla telecamera.")</f>
        <v>Quindi porta ad affinare un coltello con varie assi e bastoncini mentre parla ancora alla telecamera.</v>
      </c>
    </row>
    <row r="31576">
      <c r="A31576" s="4" t="s">
        <v>39752</v>
      </c>
      <c r="B31576" s="4" t="s">
        <v>39753</v>
      </c>
      <c r="C31576" s="5" t="str">
        <f>IFERROR(__xludf.DUMMYFUNCTION("GOOGLETRANSLATE(B31576,""en"",""it"")"),"Un gruppo di nuotatori è pronto su una piattaforma e si piega in piedi.")</f>
        <v>Un gruppo di nuotatori è pronto su una piattaforma e si piega in piedi.</v>
      </c>
    </row>
    <row r="31577">
      <c r="A31577" s="4" t="s">
        <v>39752</v>
      </c>
      <c r="B31577" s="4" t="s">
        <v>39754</v>
      </c>
      <c r="C31577" s="5" t="str">
        <f>IFERROR(__xludf.DUMMYFUNCTION("GOOGLETRANSLATE(B31577,""en"",""it"")"),"Diversi uomini stanno dietro di loro quando saltano tutti contemporaneamente.")</f>
        <v>Diversi uomini stanno dietro di loro quando saltano tutti contemporaneamente.</v>
      </c>
    </row>
    <row r="31578">
      <c r="A31578" s="4" t="s">
        <v>39752</v>
      </c>
      <c r="B31578" s="6" t="s">
        <v>39755</v>
      </c>
      <c r="C31578" s="5" t="str">
        <f>IFERROR(__xludf.DUMMYFUNCTION("GOOGLETRANSLATE(B31578,""en"",""it"")"),"Gli uomini corrono indietro e quarto facendo un movimento a farfalla indietro e quarto fino a raggiungere tutti la fine.")</f>
        <v>Gli uomini corrono indietro e quarto facendo un movimento a farfalla indietro e quarto fino a raggiungere tutti la fine.</v>
      </c>
    </row>
    <row r="31579">
      <c r="A31579" s="4" t="s">
        <v>39756</v>
      </c>
      <c r="B31579" s="4" t="s">
        <v>39757</v>
      </c>
      <c r="C31579" s="5" t="str">
        <f>IFERROR(__xludf.DUMMYFUNCTION("GOOGLETRANSLATE(B31579,""en"",""it"")"),"Una ragazza adolescente si lava i capelli.")</f>
        <v>Una ragazza adolescente si lava i capelli.</v>
      </c>
    </row>
    <row r="31580">
      <c r="A31580" s="4" t="s">
        <v>39756</v>
      </c>
      <c r="B31580" s="4" t="s">
        <v>39758</v>
      </c>
      <c r="C31580" s="5" t="str">
        <f>IFERROR(__xludf.DUMMYFUNCTION("GOOGLETRANSLATE(B31580,""en"",""it"")"),"La ragazza guarda in basso come se fosse confusa.")</f>
        <v>La ragazza guarda in basso come se fosse confusa.</v>
      </c>
    </row>
    <row r="31581">
      <c r="A31581" s="4" t="s">
        <v>39756</v>
      </c>
      <c r="B31581" s="4" t="s">
        <v>32637</v>
      </c>
      <c r="C31581" s="5" t="str">
        <f>IFERROR(__xludf.DUMMYFUNCTION("GOOGLETRANSLATE(B31581,""en"",""it"")"),"La ragazza parla alla telecamera.")</f>
        <v>La ragazza parla alla telecamera.</v>
      </c>
    </row>
    <row r="31582">
      <c r="A31582" s="4" t="s">
        <v>39759</v>
      </c>
      <c r="B31582" s="6" t="s">
        <v>39760</v>
      </c>
      <c r="C31582" s="5" t="str">
        <f>IFERROR(__xludf.DUMMYFUNCTION("GOOGLETRANSLATE(B31582,""en"",""it"")"),"Varie persone sono mostrate all'inizio in una grande palestra che esegue diversi scivoli e trucchi su un trampolino alla volta.")</f>
        <v>Varie persone sono mostrate all'inizio in una grande palestra che esegue diversi scivoli e trucchi su un trampolino alla volta.</v>
      </c>
    </row>
    <row r="31583">
      <c r="A31583" s="4" t="s">
        <v>39759</v>
      </c>
      <c r="B31583" s="6" t="s">
        <v>39761</v>
      </c>
      <c r="C31583" s="5" t="str">
        <f>IFERROR(__xludf.DUMMYFUNCTION("GOOGLETRANSLATE(B31583,""en"",""it"")"),"La gente continua a saltare e girare in palestra con un finale in una grande buca alla fine.")</f>
        <v>La gente continua a saltare e girare in palestra con un finale in una grande buca alla fine.</v>
      </c>
    </row>
    <row r="31584">
      <c r="A31584" s="4" t="s">
        <v>39762</v>
      </c>
      <c r="B31584" s="4" t="s">
        <v>39763</v>
      </c>
      <c r="C31584" s="5" t="str">
        <f>IFERROR(__xludf.DUMMYFUNCTION("GOOGLETRANSLATE(B31584,""en"",""it"")"),"Il groomer spruzza il cane marrone.")</f>
        <v>Il groomer spruzza il cane marrone.</v>
      </c>
    </row>
    <row r="31585">
      <c r="A31585" s="4" t="s">
        <v>39762</v>
      </c>
      <c r="B31585" s="4" t="s">
        <v>39764</v>
      </c>
      <c r="C31585" s="5" t="str">
        <f>IFERROR(__xludf.DUMMYFUNCTION("GOOGLETRANSLATE(B31585,""en"",""it"")"),"Il cane corre nel negozio.")</f>
        <v>Il cane corre nel negozio.</v>
      </c>
    </row>
    <row r="31586">
      <c r="A31586" s="4" t="s">
        <v>39762</v>
      </c>
      <c r="B31586" s="4" t="s">
        <v>39765</v>
      </c>
      <c r="C31586" s="5" t="str">
        <f>IFERROR(__xludf.DUMMYFUNCTION("GOOGLETRANSLATE(B31586,""en"",""it"")"),"Il groomer bussa al cane marrone.")</f>
        <v>Il groomer bussa al cane marrone.</v>
      </c>
    </row>
    <row r="31587">
      <c r="A31587" s="4" t="s">
        <v>39766</v>
      </c>
      <c r="B31587" s="4" t="s">
        <v>39767</v>
      </c>
      <c r="C31587" s="5" t="str">
        <f>IFERROR(__xludf.DUMMYFUNCTION("GOOGLETRANSLATE(B31587,""en"",""it"")"),"Una persona viene vista sollevare vari prodotti alimentari mentre ride e parlo con gli altri.")</f>
        <v>Una persona viene vista sollevare vari prodotti alimentari mentre ride e parlo con gli altri.</v>
      </c>
    </row>
    <row r="31588">
      <c r="A31588" s="4" t="s">
        <v>39766</v>
      </c>
      <c r="B31588" s="6" t="s">
        <v>39768</v>
      </c>
      <c r="C31588" s="5" t="str">
        <f>IFERROR(__xludf.DUMMYFUNCTION("GOOGLETRANSLATE(B31588,""en"",""it"")"),"Gli uomini iniziano quindi a cuocere insieme mescolando vari ingredienti e presentandoli su un piatto.")</f>
        <v>Gli uomini iniziano quindi a cuocere insieme mescolando vari ingredienti e presentandoli su un piatto.</v>
      </c>
    </row>
    <row r="31589">
      <c r="A31589" s="4" t="s">
        <v>39766</v>
      </c>
      <c r="B31589" s="6" t="s">
        <v>39769</v>
      </c>
      <c r="C31589" s="5" t="str">
        <f>IFERROR(__xludf.DUMMYFUNCTION("GOOGLETRANSLATE(B31589,""en"",""it"")"),"La ricetta viene quindi mostrata su come cucinare il cibo e conduce in clip del cibo cucinato e presentato con gli uomini che mangiano insieme.")</f>
        <v>La ricetta viene quindi mostrata su come cucinare il cibo e conduce in clip del cibo cucinato e presentato con gli uomini che mangiano insieme.</v>
      </c>
    </row>
    <row r="31590">
      <c r="A31590" s="4" t="s">
        <v>39770</v>
      </c>
      <c r="B31590" s="6" t="s">
        <v>39771</v>
      </c>
      <c r="C31590" s="5" t="str">
        <f>IFERROR(__xludf.DUMMYFUNCTION("GOOGLETRANSLATE(B31590,""en"",""it"")"),"Un'introduzione conduce in diversi colpi di vapore d'acqua e una giovane donna che nuota indietro e quarta in acqua.")</f>
        <v>Un'introduzione conduce in diversi colpi di vapore d'acqua e una giovane donna che nuota indietro e quarta in acqua.</v>
      </c>
    </row>
    <row r="31591">
      <c r="A31591" s="4" t="s">
        <v>39770</v>
      </c>
      <c r="B31591" s="6" t="s">
        <v>39772</v>
      </c>
      <c r="C31591" s="5" t="str">
        <f>IFERROR(__xludf.DUMMYFUNCTION("GOOGLETRANSLATE(B31591,""en"",""it"")"),"Viene in superficie e parla alla telecamera mentre vengono mostrati molti altri scatti d'acqua.")</f>
        <v>Viene in superficie e parla alla telecamera mentre vengono mostrati molti altri scatti d'acqua.</v>
      </c>
    </row>
    <row r="31592">
      <c r="A31592" s="4" t="s">
        <v>39773</v>
      </c>
      <c r="B31592" s="4" t="s">
        <v>39774</v>
      </c>
      <c r="C31592" s="5" t="str">
        <f>IFERROR(__xludf.DUMMYFUNCTION("GOOGLETRANSLATE(B31592,""en"",""it"")"),"Un uomo viene visto seduto su un cammello seguito da scendere e un altro uomo che si arrampica.")</f>
        <v>Un uomo viene visto seduto su un cammello seguito da scendere e un altro uomo che si arrampica.</v>
      </c>
    </row>
    <row r="31593">
      <c r="A31593" s="4" t="s">
        <v>39773</v>
      </c>
      <c r="B31593" s="4" t="s">
        <v>39775</v>
      </c>
      <c r="C31593" s="5" t="str">
        <f>IFERROR(__xludf.DUMMYFUNCTION("GOOGLETRANSLATE(B31593,""en"",""it"")"),"L'uomo quindi conduce l'altro sul cammello.")</f>
        <v>L'uomo quindi conduce l'altro sul cammello.</v>
      </c>
    </row>
    <row r="31594">
      <c r="A31594" s="4" t="s">
        <v>39773</v>
      </c>
      <c r="B31594" s="4" t="s">
        <v>39776</v>
      </c>
      <c r="C31594" s="5" t="str">
        <f>IFERROR(__xludf.DUMMYFUNCTION("GOOGLETRANSLATE(B31594,""en"",""it"")"),"L'uomo ferma il cammello e toglie l'altra persona mentre risaliva.")</f>
        <v>L'uomo ferma il cammello e toglie l'altra persona mentre risaliva.</v>
      </c>
    </row>
    <row r="31595">
      <c r="A31595" s="4" t="s">
        <v>39777</v>
      </c>
      <c r="B31595" s="4" t="s">
        <v>39778</v>
      </c>
      <c r="C31595" s="5" t="str">
        <f>IFERROR(__xludf.DUMMYFUNCTION("GOOGLETRANSLATE(B31595,""en"",""it"")"),"Diversi artisti escono da una scatola e finisce per essere un maschio e una femmina.")</f>
        <v>Diversi artisti escono da una scatola e finisce per essere un maschio e una femmina.</v>
      </c>
    </row>
    <row r="31596">
      <c r="A31596" s="4" t="s">
        <v>39777</v>
      </c>
      <c r="B31596" s="4" t="s">
        <v>39779</v>
      </c>
      <c r="C31596" s="5" t="str">
        <f>IFERROR(__xludf.DUMMYFUNCTION("GOOGLETRANSLATE(B31596,""en"",""it"")"),"La signora inizia quindi a muoversi in strani modi e continuare a raccontare una storia in forma di ballerina.")</f>
        <v>La signora inizia quindi a muoversi in strani modi e continuare a raccontare una storia in forma di ballerina.</v>
      </c>
    </row>
    <row r="31597">
      <c r="A31597" s="4" t="s">
        <v>39777</v>
      </c>
      <c r="B31597" s="6" t="s">
        <v>39780</v>
      </c>
      <c r="C31597" s="5" t="str">
        <f>IFERROR(__xludf.DUMMYFUNCTION("GOOGLETRANSLATE(B31597,""en"",""it"")"),"Dopo alcuni minuti, il maschio si unisce a loro e continuano a ballare insieme a gambe forti e braccia sode.")</f>
        <v>Dopo alcuni minuti, il maschio si unisce a loro e continuano a ballare insieme a gambe forti e braccia sode.</v>
      </c>
    </row>
    <row r="31598">
      <c r="A31598" s="4" t="s">
        <v>39781</v>
      </c>
      <c r="B31598" s="4" t="s">
        <v>39782</v>
      </c>
      <c r="C31598" s="5" t="str">
        <f>IFERROR(__xludf.DUMMYFUNCTION("GOOGLETRANSLATE(B31598,""en"",""it"")"),"Un uomo tiene in mano un ferro giallo seduto sopra una scatola.")</f>
        <v>Un uomo tiene in mano un ferro giallo seduto sopra una scatola.</v>
      </c>
    </row>
    <row r="31599">
      <c r="A31599" s="4" t="s">
        <v>39781</v>
      </c>
      <c r="B31599" s="4" t="s">
        <v>39783</v>
      </c>
      <c r="C31599" s="5" t="str">
        <f>IFERROR(__xludf.DUMMYFUNCTION("GOOGLETRANSLATE(B31599,""en"",""it"")"),"Si scioglie una barra sul fondo del ferro caldo.")</f>
        <v>Si scioglie una barra sul fondo del ferro caldo.</v>
      </c>
    </row>
    <row r="31600">
      <c r="A31600" s="4" t="s">
        <v>39781</v>
      </c>
      <c r="B31600" s="4" t="s">
        <v>39784</v>
      </c>
      <c r="C31600" s="5" t="str">
        <f>IFERROR(__xludf.DUMMYFUNCTION("GOOGLETRANSLATE(B31600,""en"",""it"")"),"Quindi fa irrore sulla cera che gocciolava su uno sci.")</f>
        <v>Quindi fa irrore sulla cera che gocciolava su uno sci.</v>
      </c>
    </row>
    <row r="31601">
      <c r="A31601" s="4" t="s">
        <v>39781</v>
      </c>
      <c r="B31601" s="4" t="s">
        <v>39785</v>
      </c>
      <c r="C31601" s="5" t="str">
        <f>IFERROR(__xludf.DUMMYFUNCTION("GOOGLETRANSLATE(B31601,""en"",""it"")"),"Finisce e mette giù il ferro.")</f>
        <v>Finisce e mette giù il ferro.</v>
      </c>
    </row>
    <row r="31602">
      <c r="A31602" s="4" t="s">
        <v>39786</v>
      </c>
      <c r="B31602" s="4" t="s">
        <v>39787</v>
      </c>
      <c r="C31602" s="5" t="str">
        <f>IFERROR(__xludf.DUMMYFUNCTION("GOOGLETRANSLATE(B31602,""en"",""it"")"),"Un logo per un'azienda appare su uno schermo nero.")</f>
        <v>Un logo per un'azienda appare su uno schermo nero.</v>
      </c>
    </row>
    <row r="31603">
      <c r="A31603" s="4" t="s">
        <v>39786</v>
      </c>
      <c r="B31603" s="4" t="s">
        <v>39788</v>
      </c>
      <c r="C31603" s="5" t="str">
        <f>IFERROR(__xludf.DUMMYFUNCTION("GOOGLETRANSLATE(B31603,""en"",""it"")"),"Un uomo con una giacca gialla e un casco arancione viene mostrato in kayak dell'oceano.")</f>
        <v>Un uomo con una giacca gialla e un casco arancione viene mostrato in kayak dell'oceano.</v>
      </c>
    </row>
    <row r="31604">
      <c r="A31604" s="4" t="s">
        <v>39786</v>
      </c>
      <c r="B31604" s="4" t="s">
        <v>39789</v>
      </c>
      <c r="C31604" s="5" t="str">
        <f>IFERROR(__xludf.DUMMYFUNCTION("GOOGLETRANSLATE(B31604,""en"",""it"")"),"Altri kayaker vengono mostrati combattendo tra le onde e cavalcandole.")</f>
        <v>Altri kayaker vengono mostrati combattendo tra le onde e cavalcandole.</v>
      </c>
    </row>
    <row r="31605">
      <c r="A31605" s="4" t="s">
        <v>39786</v>
      </c>
      <c r="B31605" s="4" t="s">
        <v>39790</v>
      </c>
      <c r="C31605" s="5" t="str">
        <f>IFERROR(__xludf.DUMMYFUNCTION("GOOGLETRANSLATE(B31605,""en"",""it"")"),"Una serie di foto mostrano i kayakers che navigano sull'oceano e si schiantano contro le onde.")</f>
        <v>Una serie di foto mostrano i kayakers che navigano sull'oceano e si schiantano contro le onde.</v>
      </c>
    </row>
    <row r="31606">
      <c r="A31606" s="4" t="s">
        <v>39791</v>
      </c>
      <c r="B31606" s="4" t="s">
        <v>39792</v>
      </c>
      <c r="C31606" s="5" t="str">
        <f>IFERROR(__xludf.DUMMYFUNCTION("GOOGLETRANSLATE(B31606,""en"",""it"")"),"Una donna è in piedi all'interno di un campo da racchetta.")</f>
        <v>Una donna è in piedi all'interno di un campo da racchetta.</v>
      </c>
    </row>
    <row r="31607">
      <c r="A31607" s="4" t="s">
        <v>39791</v>
      </c>
      <c r="B31607" s="4" t="s">
        <v>39793</v>
      </c>
      <c r="C31607" s="5" t="str">
        <f>IFERROR(__xludf.DUMMYFUNCTION("GOOGLETRANSLATE(B31607,""en"",""it"")"),"Comincia a colpire la palla, correndo dopo di essa.")</f>
        <v>Comincia a colpire la palla, correndo dopo di essa.</v>
      </c>
    </row>
    <row r="31608">
      <c r="A31608" s="4" t="s">
        <v>39791</v>
      </c>
      <c r="B31608" s="4" t="s">
        <v>39794</v>
      </c>
      <c r="C31608" s="5" t="str">
        <f>IFERROR(__xludf.DUMMYFUNCTION("GOOGLETRANSLATE(B31608,""en"",""it"")"),"Incontra e cade, colpendo il terreno mentre un uomo salva la palla.")</f>
        <v>Incontra e cade, colpendo il terreno mentre un uomo salva la palla.</v>
      </c>
    </row>
    <row r="31609">
      <c r="A31609" s="4" t="s">
        <v>39795</v>
      </c>
      <c r="B31609" s="4" t="s">
        <v>39796</v>
      </c>
      <c r="C31609" s="5" t="str">
        <f>IFERROR(__xludf.DUMMYFUNCTION("GOOGLETRANSLATE(B31609,""en"",""it"")"),"Un uomo si trova fuori da una tenda.")</f>
        <v>Un uomo si trova fuori da una tenda.</v>
      </c>
    </row>
    <row r="31610">
      <c r="A31610" s="4" t="s">
        <v>39795</v>
      </c>
      <c r="B31610" s="4" t="s">
        <v>39797</v>
      </c>
      <c r="C31610" s="5" t="str">
        <f>IFERROR(__xludf.DUMMYFUNCTION("GOOGLETRANSLATE(B31610,""en"",""it"")"),"Guarda dentro la tenda in un gruppo di bambini che giocano a carte e una donna seduta fuori.")</f>
        <v>Guarda dentro la tenda in un gruppo di bambini che giocano a carte e una donna seduta fuori.</v>
      </c>
    </row>
    <row r="31611">
      <c r="A31611" s="4" t="s">
        <v>39795</v>
      </c>
      <c r="B31611" s="4" t="s">
        <v>39798</v>
      </c>
      <c r="C31611" s="5" t="str">
        <f>IFERROR(__xludf.DUMMYFUNCTION("GOOGLETRANSLATE(B31611,""en"",""it"")"),"Un ragazzo cammina attraverso macchine parcheggiate, sorridendo.")</f>
        <v>Un ragazzo cammina attraverso macchine parcheggiate, sorridendo.</v>
      </c>
    </row>
    <row r="31612">
      <c r="A31612" s="4" t="s">
        <v>39795</v>
      </c>
      <c r="B31612" s="4" t="s">
        <v>39799</v>
      </c>
      <c r="C31612" s="5" t="str">
        <f>IFERROR(__xludf.DUMMYFUNCTION("GOOGLETRANSLATE(B31612,""en"",""it"")"),"Viene quindi mostrato su un kayak in un lago.")</f>
        <v>Viene quindi mostrato su un kayak in un lago.</v>
      </c>
    </row>
    <row r="31613">
      <c r="A31613" s="4" t="s">
        <v>39795</v>
      </c>
      <c r="B31613" s="4" t="s">
        <v>39800</v>
      </c>
      <c r="C31613" s="5" t="str">
        <f>IFERROR(__xludf.DUMMYFUNCTION("GOOGLETRANSLATE(B31613,""en"",""it"")"),"Il resto della famiglia si unisce presto a lui.")</f>
        <v>Il resto della famiglia si unisce presto a lui.</v>
      </c>
    </row>
    <row r="31614">
      <c r="A31614" s="4" t="s">
        <v>39801</v>
      </c>
      <c r="B31614" s="4" t="s">
        <v>39802</v>
      </c>
      <c r="C31614" s="5" t="str">
        <f>IFERROR(__xludf.DUMMYFUNCTION("GOOGLETRANSLATE(B31614,""en"",""it"")"),"Un ragazzo è a una festa che tiene un bastone e colpisce una Pinata.")</f>
        <v>Un ragazzo è a una festa che tiene un bastone e colpisce una Pinata.</v>
      </c>
    </row>
    <row r="31615">
      <c r="A31615" s="4" t="s">
        <v>39801</v>
      </c>
      <c r="B31615" s="4" t="s">
        <v>39803</v>
      </c>
      <c r="C31615" s="5" t="str">
        <f>IFERROR(__xludf.DUMMYFUNCTION("GOOGLETRANSLATE(B31615,""en"",""it"")"),"Quando il ragazzo ha finito di colpirlo, un adulto cammina verso la Pinata.")</f>
        <v>Quando il ragazzo ha finito di colpirlo, un adulto cammina verso la Pinata.</v>
      </c>
    </row>
    <row r="31616">
      <c r="A31616" s="4" t="s">
        <v>39801</v>
      </c>
      <c r="B31616" s="4" t="s">
        <v>39804</v>
      </c>
      <c r="C31616" s="5" t="str">
        <f>IFERROR(__xludf.DUMMYFUNCTION("GOOGLETRANSLATE(B31616,""en"",""it"")"),"Un altro bambino in piedi con l'adulto inizia anche a camminare verso la Pinata.")</f>
        <v>Un altro bambino in piedi con l'adulto inizia anche a camminare verso la Pinata.</v>
      </c>
    </row>
    <row r="31617">
      <c r="A31617" s="4" t="s">
        <v>39805</v>
      </c>
      <c r="B31617" s="4" t="s">
        <v>39806</v>
      </c>
      <c r="C31617" s="5" t="str">
        <f>IFERROR(__xludf.DUMMYFUNCTION("GOOGLETRANSLATE(B31617,""en"",""it"")"),"Un oceano ruvido ha grandi onde bianche ricoperte di bianco e una barca a vela che lo attraversa.")</f>
        <v>Un oceano ruvido ha grandi onde bianche ricoperte di bianco e una barca a vela che lo attraversa.</v>
      </c>
    </row>
    <row r="31618">
      <c r="A31618" s="4" t="s">
        <v>39805</v>
      </c>
      <c r="B31618" s="4" t="s">
        <v>39807</v>
      </c>
      <c r="C31618" s="5" t="str">
        <f>IFERROR(__xludf.DUMMYFUNCTION("GOOGLETRANSLATE(B31618,""en"",""it"")"),"La barca a vela passa sopra le grandi onde e atterrano con un tuffo.")</f>
        <v>La barca a vela passa sopra le grandi onde e atterrano con un tuffo.</v>
      </c>
    </row>
    <row r="31619">
      <c r="A31619" s="4" t="s">
        <v>39805</v>
      </c>
      <c r="B31619" s="4" t="s">
        <v>39808</v>
      </c>
      <c r="C31619" s="5" t="str">
        <f>IFERROR(__xludf.DUMMYFUNCTION("GOOGLETRANSLATE(B31619,""en"",""it"")"),"Le manovre della barca ed è inclinata lateralmente mentre supera le onde.")</f>
        <v>Le manovre della barca ed è inclinata lateralmente mentre supera le onde.</v>
      </c>
    </row>
    <row r="31620">
      <c r="A31620" s="4" t="s">
        <v>39809</v>
      </c>
      <c r="B31620" s="4" t="s">
        <v>39810</v>
      </c>
      <c r="C31620" s="5" t="str">
        <f>IFERROR(__xludf.DUMMYFUNCTION("GOOGLETRANSLATE(B31620,""en"",""it"")"),"Due squadre giocano a pallavolo da spiaggia davanti a una folla.")</f>
        <v>Due squadre giocano a pallavolo da spiaggia davanti a una folla.</v>
      </c>
    </row>
    <row r="31621">
      <c r="A31621" s="4" t="s">
        <v>39809</v>
      </c>
      <c r="B31621" s="4" t="s">
        <v>39811</v>
      </c>
      <c r="C31621" s="5" t="str">
        <f>IFERROR(__xludf.DUMMYFUNCTION("GOOGLETRANSLATE(B31621,""en"",""it"")"),"Una donna contiene uno smartphone.")</f>
        <v>Una donna contiene uno smartphone.</v>
      </c>
    </row>
    <row r="31622">
      <c r="A31622" s="4" t="s">
        <v>39809</v>
      </c>
      <c r="B31622" s="4" t="s">
        <v>39812</v>
      </c>
      <c r="C31622" s="5" t="str">
        <f>IFERROR(__xludf.DUMMYFUNCTION("GOOGLETRANSLATE(B31622,""en"",""it"")"),"Un uomo serve una palla.")</f>
        <v>Un uomo serve una palla.</v>
      </c>
    </row>
    <row r="31623">
      <c r="A31623" s="4" t="s">
        <v>39809</v>
      </c>
      <c r="B31623" s="4" t="s">
        <v>39813</v>
      </c>
      <c r="C31623" s="5" t="str">
        <f>IFERROR(__xludf.DUMMYFUNCTION("GOOGLETRANSLATE(B31623,""en"",""it"")"),"Un uomo che indossa un berretto e una camicia a quadri passa davanti ai giocatori.")</f>
        <v>Un uomo che indossa un berretto e una camicia a quadri passa davanti ai giocatori.</v>
      </c>
    </row>
    <row r="31624">
      <c r="A31624" s="4" t="s">
        <v>39814</v>
      </c>
      <c r="B31624" s="4" t="s">
        <v>39815</v>
      </c>
      <c r="C31624" s="5" t="str">
        <f>IFERROR(__xludf.DUMMYFUNCTION("GOOGLETRANSLATE(B31624,""en"",""it"")"),"Un uomo è in piedi su una collina, festeggia davanti a una folla.")</f>
        <v>Un uomo è in piedi su una collina, festeggia davanti a una folla.</v>
      </c>
    </row>
    <row r="31625">
      <c r="A31625" s="4" t="s">
        <v>39814</v>
      </c>
      <c r="B31625" s="4" t="s">
        <v>39816</v>
      </c>
      <c r="C31625" s="5" t="str">
        <f>IFERROR(__xludf.DUMMYFUNCTION("GOOGLETRANSLATE(B31625,""en"",""it"")"),"Viene mostrato su una bici da terra BMX, esegue una pletora di acrobazie, ruote e gira per una folla.")</f>
        <v>Viene mostrato su una bici da terra BMX, esegue una pletora di acrobazie, ruote e gira per una folla.</v>
      </c>
    </row>
    <row r="31626">
      <c r="A31626" s="4" t="s">
        <v>39814</v>
      </c>
      <c r="B31626" s="4" t="s">
        <v>39817</v>
      </c>
      <c r="C31626" s="5" t="str">
        <f>IFERROR(__xludf.DUMMYFUNCTION("GOOGLETRANSLATE(B31626,""en"",""it"")"),"Le donne sono mostrate da vicino, ballando.")</f>
        <v>Le donne sono mostrate da vicino, ballando.</v>
      </c>
    </row>
    <row r="31627">
      <c r="A31627" s="4" t="s">
        <v>39818</v>
      </c>
      <c r="B31627" s="6" t="s">
        <v>39819</v>
      </c>
      <c r="C31627" s="5" t="str">
        <f>IFERROR(__xludf.DUMMYFUNCTION("GOOGLETRANSLATE(B31627,""en"",""it"")"),"Due ragazzi giocano a ping pong in palestra e uno dei ragazzi usa un nunchaku come racchetta per giocare e fare trucchi.")</f>
        <v>Due ragazzi giocano a ping pong in palestra e uno dei ragazzi usa un nunchaku come racchetta per giocare e fare trucchi.</v>
      </c>
    </row>
    <row r="31628">
      <c r="A31628" s="4" t="s">
        <v>39818</v>
      </c>
      <c r="B31628" s="4" t="s">
        <v>39820</v>
      </c>
      <c r="C31628" s="5" t="str">
        <f>IFERROR(__xludf.DUMMYFUNCTION("GOOGLETRANSLATE(B31628,""en"",""it"")"),"Un uomo passa davanti al tavolo da ping pong e si trova vicino al tavolo.")</f>
        <v>Un uomo passa davanti al tavolo da ping pong e si trova vicino al tavolo.</v>
      </c>
    </row>
    <row r="31629">
      <c r="A31629" s="4" t="s">
        <v>39818</v>
      </c>
      <c r="B31629" s="6" t="s">
        <v>39821</v>
      </c>
      <c r="C31629" s="5" t="str">
        <f>IFERROR(__xludf.DUMMYFUNCTION("GOOGLETRANSLATE(B31629,""en"",""it"")"),"Quindi, l'uomo congiunto uno dei giocatori e inizia a giocare, dopo, Bruce Lee appare sullo schermo di uno smartphone che gira.")</f>
        <v>Quindi, l'uomo congiunto uno dei giocatori e inizia a giocare, dopo, Bruce Lee appare sullo schermo di uno smartphone che gira.</v>
      </c>
    </row>
    <row r="31630">
      <c r="A31630" s="4" t="s">
        <v>39818</v>
      </c>
      <c r="B31630" s="6" t="s">
        <v>39822</v>
      </c>
      <c r="C31630" s="5" t="str">
        <f>IFERROR(__xludf.DUMMYFUNCTION("GOOGLETRANSLATE(B31630,""en"",""it"")"),"Un ragazzo fa le arti marziali si muove e piega una tavola, quindi aggiusta il Nunchaku e dopo averlo usato per accendere una corrispondenza nella bocca dell'altro ragazzo.")</f>
        <v>Un ragazzo fa le arti marziali si muove e piega una tavola, quindi aggiusta il Nunchaku e dopo averlo usato per accendere una corrispondenza nella bocca dell'altro ragazzo.</v>
      </c>
    </row>
    <row r="31631">
      <c r="A31631" s="4" t="s">
        <v>39823</v>
      </c>
      <c r="B31631" s="4" t="s">
        <v>39824</v>
      </c>
      <c r="C31631" s="5" t="str">
        <f>IFERROR(__xludf.DUMMYFUNCTION("GOOGLETRANSLATE(B31631,""en"",""it"")"),"Una donna tiene una bottiglia di smalto viola fino alla telecamera.")</f>
        <v>Una donna tiene una bottiglia di smalto viola fino alla telecamera.</v>
      </c>
    </row>
    <row r="31632">
      <c r="A31632" s="4" t="s">
        <v>39823</v>
      </c>
      <c r="B31632" s="4" t="s">
        <v>39825</v>
      </c>
      <c r="C31632" s="5" t="str">
        <f>IFERROR(__xludf.DUMMYFUNCTION("GOOGLETRANSLATE(B31632,""en"",""it"")"),"Quindi se la applica alle unghie.")</f>
        <v>Quindi se la applica alle unghie.</v>
      </c>
    </row>
    <row r="31633">
      <c r="A31633" s="4" t="s">
        <v>39823</v>
      </c>
      <c r="B31633" s="4" t="s">
        <v>39826</v>
      </c>
      <c r="C31633" s="5" t="str">
        <f>IFERROR(__xludf.DUMMYFUNCTION("GOOGLETRANSLATE(B31633,""en"",""it"")"),"Quando ha finito, si mostra le unghie e l'ultima volta lo smalto.")</f>
        <v>Quando ha finito, si mostra le unghie e l'ultima volta lo smalto.</v>
      </c>
    </row>
    <row r="31634">
      <c r="A31634" s="4" t="s">
        <v>39827</v>
      </c>
      <c r="B31634" s="4" t="s">
        <v>39828</v>
      </c>
      <c r="C31634" s="5" t="str">
        <f>IFERROR(__xludf.DUMMYFUNCTION("GOOGLETRANSLATE(B31634,""en"",""it"")"),"La corrida viene pubblicizzata sullo schermo.")</f>
        <v>La corrida viene pubblicizzata sullo schermo.</v>
      </c>
    </row>
    <row r="31635">
      <c r="A31635" s="4" t="s">
        <v>39827</v>
      </c>
      <c r="B31635" s="4" t="s">
        <v>39829</v>
      </c>
      <c r="C31635" s="5" t="str">
        <f>IFERROR(__xludf.DUMMYFUNCTION("GOOGLETRANSLATE(B31635,""en"",""it"")"),"Ci sono clip di combattimenti di tori e l'uomo sta parlando della sua esperienza di combattimento di tori.")</f>
        <v>Ci sono clip di combattimenti di tori e l'uomo sta parlando della sua esperienza di combattimento di tori.</v>
      </c>
    </row>
    <row r="31636">
      <c r="A31636" s="4" t="s">
        <v>39827</v>
      </c>
      <c r="B31636" s="4" t="s">
        <v>39830</v>
      </c>
      <c r="C31636" s="5" t="str">
        <f>IFERROR(__xludf.DUMMYFUNCTION("GOOGLETRANSLATE(B31636,""en"",""it"")"),"Il toro rotola una canna mentre il clown è dietro di esso.")</f>
        <v>Il toro rotola una canna mentre il clown è dietro di esso.</v>
      </c>
    </row>
    <row r="31637">
      <c r="A31637" s="4" t="s">
        <v>39827</v>
      </c>
      <c r="B31637" s="4" t="s">
        <v>39831</v>
      </c>
      <c r="C31637" s="5" t="str">
        <f>IFERROR(__xludf.DUMMYFUNCTION("GOOGLETRANSLATE(B31637,""en"",""it"")"),"Un trofeo viene assegnato al combattente toro.")</f>
        <v>Un trofeo viene assegnato al combattente toro.</v>
      </c>
    </row>
    <row r="31638">
      <c r="A31638" s="4" t="s">
        <v>39832</v>
      </c>
      <c r="B31638" s="6" t="s">
        <v>39833</v>
      </c>
      <c r="C31638" s="5" t="str">
        <f>IFERROR(__xludf.DUMMYFUNCTION("GOOGLETRANSLATE(B31638,""en"",""it"")"),"Una donna in piedi accanto a un veicolo parla alla telecamera mentre occasionalmente faceva gestire il veicolo.")</f>
        <v>Una donna in piedi accanto a un veicolo parla alla telecamera mentre occasionalmente faceva gestire il veicolo.</v>
      </c>
    </row>
    <row r="31639">
      <c r="A31639" s="4" t="s">
        <v>39832</v>
      </c>
      <c r="B31639" s="4" t="s">
        <v>39834</v>
      </c>
      <c r="C31639" s="5" t="str">
        <f>IFERROR(__xludf.DUMMYFUNCTION("GOOGLETRANSLATE(B31639,""en"",""it"")"),"La donna regge una bottiglia di spray.")</f>
        <v>La donna regge una bottiglia di spray.</v>
      </c>
    </row>
    <row r="31640">
      <c r="A31640" s="4" t="s">
        <v>39832</v>
      </c>
      <c r="B31640" s="4" t="s">
        <v>39835</v>
      </c>
      <c r="C31640" s="5" t="str">
        <f>IFERROR(__xludf.DUMMYFUNCTION("GOOGLETRANSLATE(B31640,""en"",""it"")"),"La donna spruzza il finestrino del veicolo con la bottiglia.")</f>
        <v>La donna spruzza il finestrino del veicolo con la bottiglia.</v>
      </c>
    </row>
    <row r="31641">
      <c r="A31641" s="4" t="s">
        <v>39832</v>
      </c>
      <c r="B31641" s="4" t="s">
        <v>39836</v>
      </c>
      <c r="C31641" s="5" t="str">
        <f>IFERROR(__xludf.DUMMYFUNCTION("GOOGLETRANSLATE(B31641,""en"",""it"")"),"La donna usa un asciugamano per pulire la finestra.")</f>
        <v>La donna usa un asciugamano per pulire la finestra.</v>
      </c>
    </row>
    <row r="31642">
      <c r="A31642" s="4" t="s">
        <v>39832</v>
      </c>
      <c r="B31642" s="4" t="s">
        <v>39837</v>
      </c>
      <c r="C31642" s="5" t="str">
        <f>IFERROR(__xludf.DUMMYFUNCTION("GOOGLETRANSLATE(B31642,""en"",""it"")"),"La donna parla di nuovo con la telecamera.")</f>
        <v>La donna parla di nuovo con la telecamera.</v>
      </c>
    </row>
    <row r="31643">
      <c r="A31643" s="4" t="s">
        <v>39832</v>
      </c>
      <c r="B31643" s="4" t="s">
        <v>39838</v>
      </c>
      <c r="C31643" s="5" t="str">
        <f>IFERROR(__xludf.DUMMYFUNCTION("GOOGLETRANSLATE(B31643,""en"",""it"")"),"La donna ritorna a pulire la finestra.")</f>
        <v>La donna ritorna a pulire la finestra.</v>
      </c>
    </row>
    <row r="31644">
      <c r="A31644" s="4" t="s">
        <v>39832</v>
      </c>
      <c r="B31644" s="4" t="s">
        <v>39839</v>
      </c>
      <c r="C31644" s="5" t="str">
        <f>IFERROR(__xludf.DUMMYFUNCTION("GOOGLETRANSLATE(B31644,""en"",""it"")"),"La donna parla ancora una volta alla telecamera.")</f>
        <v>La donna parla ancora una volta alla telecamera.</v>
      </c>
    </row>
    <row r="31645">
      <c r="A31645" s="4" t="s">
        <v>39840</v>
      </c>
      <c r="B31645" s="4" t="s">
        <v>39841</v>
      </c>
      <c r="C31645" s="5" t="str">
        <f>IFERROR(__xludf.DUMMYFUNCTION("GOOGLETRANSLATE(B31645,""en"",""it"")"),"Uno shuffleboard è mostrato in una stanza.")</f>
        <v>Uno shuffleboard è mostrato in una stanza.</v>
      </c>
    </row>
    <row r="31646">
      <c r="A31646" s="4" t="s">
        <v>39840</v>
      </c>
      <c r="B31646" s="4" t="s">
        <v>39842</v>
      </c>
      <c r="C31646" s="5" t="str">
        <f>IFERROR(__xludf.DUMMYFUNCTION("GOOGLETRANSLATE(B31646,""en"",""it"")"),"Un uomo in un maglione blu lancia una palla lungo lo shuffleboard.")</f>
        <v>Un uomo in un maglione blu lancia una palla lungo lo shuffleboard.</v>
      </c>
    </row>
    <row r="31647">
      <c r="A31647" s="4" t="s">
        <v>39840</v>
      </c>
      <c r="B31647" s="4" t="s">
        <v>29481</v>
      </c>
      <c r="C31647" s="5" t="str">
        <f>IFERROR(__xludf.DUMMYFUNCTION("GOOGLETRANSLATE(B31647,""en"",""it"")"),"Viene mostrato un bicchiere di birra.")</f>
        <v>Viene mostrato un bicchiere di birra.</v>
      </c>
    </row>
    <row r="31648">
      <c r="A31648" s="4" t="s">
        <v>39843</v>
      </c>
      <c r="B31648" s="6" t="s">
        <v>39844</v>
      </c>
      <c r="C31648" s="5" t="str">
        <f>IFERROR(__xludf.DUMMYFUNCTION("GOOGLETRANSLATE(B31648,""en"",""it"")"),"Un folto gruppo di persone è visto seduto in un pavimento seguito da persone che sparano arco e frecce e che corrono in un percorso.")</f>
        <v>Un folto gruppo di persone è visto seduto in un pavimento seguito da persone che sparano arco e frecce e che corrono in un percorso.</v>
      </c>
    </row>
    <row r="31649">
      <c r="A31649" s="4" t="s">
        <v>39843</v>
      </c>
      <c r="B31649" s="6" t="s">
        <v>39845</v>
      </c>
      <c r="C31649" s="5" t="str">
        <f>IFERROR(__xludf.DUMMYFUNCTION("GOOGLETRANSLATE(B31649,""en"",""it"")"),"I bambini continuano a correre l'un l'altro sparando l'arco e le frecce e finiscono con una donna che solleva la mano e mostra una foto.")</f>
        <v>I bambini continuano a correre l'un l'altro sparando l'arco e le frecce e finiscono con una donna che solleva la mano e mostra una foto.</v>
      </c>
    </row>
    <row r="31650">
      <c r="A31650" s="4" t="s">
        <v>39846</v>
      </c>
      <c r="B31650" s="6" t="s">
        <v>39847</v>
      </c>
      <c r="C31650" s="5" t="str">
        <f>IFERROR(__xludf.DUMMYFUNCTION("GOOGLETRANSLATE(B31650,""en"",""it"")"),"Un video più vecchio di cattiva qualità inizia a giocare e ci sono parole bianche su blocchi rossi che leggono ""Leichtathlek Leicht Gemacht Diskus"".")</f>
        <v>Un video più vecchio di cattiva qualità inizia a giocare e ci sono parole bianche su blocchi rossi che leggono "Leichtathlek Leicht Gemacht Diskus".</v>
      </c>
    </row>
    <row r="31651">
      <c r="A31651" s="4" t="s">
        <v>39846</v>
      </c>
      <c r="B31651" s="6" t="s">
        <v>39848</v>
      </c>
      <c r="C31651" s="5" t="str">
        <f>IFERROR(__xludf.DUMMYFUNCTION("GOOGLETRANSLATE(B31651,""en"",""it"")"),"Un disco sta volando attraverso l'aria e atterra su un campo, quindi una foto ancora sparata di un uomo nudo che tiene brevemente un disco appare fino a quando un'altra clip gioca di un uomo su un grande campo che lancia un disco.")</f>
        <v>Un disco sta volando attraverso l'aria e atterra su un campo, quindi una foto ancora sparata di un uomo nudo che tiene brevemente un disco appare fino a quando un'altra clip gioca di un uomo su un grande campo che lancia un disco.</v>
      </c>
    </row>
    <row r="31652">
      <c r="A31652" s="4" t="s">
        <v>39846</v>
      </c>
      <c r="B31652" s="6" t="s">
        <v>39849</v>
      </c>
      <c r="C31652" s="5" t="str">
        <f>IFERROR(__xludf.DUMMYFUNCTION("GOOGLETRANSLATE(B31652,""en"",""it"")"),"Un uomo è ora seduto su un campo e le parole sullo schermo dicono che è ""Lars Riedel"" e sotto di esso la parola ""Olympiasieger"", e lo mostra parlare mentre passa avanti e indietro verso le clip di un uomo su un campo è Tenendo un disco sul campo, osci"&amp;"llandolo e poi lanciandolo.")</f>
        <v>Un uomo è ora seduto su un campo e le parole sullo schermo dicono che è "Lars Riedel" e sotto di esso la parola "Olympiasieger", e lo mostra parlare mentre passa avanti e indietro verso le clip di un uomo su un campo è Tenendo un disco sul campo, oscillandolo e poi lanciandolo.</v>
      </c>
    </row>
    <row r="31653">
      <c r="A31653" s="4" t="s">
        <v>39846</v>
      </c>
      <c r="B31653" s="6" t="s">
        <v>39850</v>
      </c>
      <c r="C31653" s="5" t="str">
        <f>IFERROR(__xludf.DUMMYFUNCTION("GOOGLETRANSLATE(B31653,""en"",""it"")"),"La foto ancora scattata dell'uomo nudo che tiene il Dickus si presenta di nuovo e poi torna alle clip dell'uomo che ora sta solo camminando sul campo.")</f>
        <v>La foto ancora scattata dell'uomo nudo che tiene il Dickus si presenta di nuovo e poi torna alle clip dell'uomo che ora sta solo camminando sul campo.</v>
      </c>
    </row>
    <row r="31654">
      <c r="A31654" s="4" t="s">
        <v>39851</v>
      </c>
      <c r="B31654" s="4" t="s">
        <v>39852</v>
      </c>
      <c r="C31654" s="5" t="str">
        <f>IFERROR(__xludf.DUMMYFUNCTION("GOOGLETRANSLATE(B31654,""en"",""it"")"),"Un gruppo di persone inizia a camminare in una stanza e iniziano a giocare una partita di biliardo.")</f>
        <v>Un gruppo di persone inizia a camminare in una stanza e iniziano a giocare una partita di biliardo.</v>
      </c>
    </row>
    <row r="31655">
      <c r="A31655" s="4" t="s">
        <v>39851</v>
      </c>
      <c r="B31655" s="6" t="s">
        <v>39853</v>
      </c>
      <c r="C31655" s="5" t="str">
        <f>IFERROR(__xludf.DUMMYFUNCTION("GOOGLETRANSLATE(B31655,""en"",""it"")"),"Il gioco inizia a intensifica e gli uomini iniziano a guardarsi negli occhi mentre iniziano a fare obiettivi.")</f>
        <v>Il gioco inizia a intensifica e gli uomini iniziano a guardarsi negli occhi mentre iniziano a fare obiettivi.</v>
      </c>
    </row>
    <row r="31656">
      <c r="A31656" s="4" t="s">
        <v>39851</v>
      </c>
      <c r="B31656" s="6" t="s">
        <v>39854</v>
      </c>
      <c r="C31656" s="5" t="str">
        <f>IFERROR(__xludf.DUMMYFUNCTION("GOOGLETRANSLATE(B31656,""en"",""it"")"),"Una volta terminato il primo gioco, un altro set di uomini inizia a competere e inizia a tagliare la palla sulla gente.")</f>
        <v>Una volta terminato il primo gioco, un altro set di uomini inizia a competere e inizia a tagliare la palla sulla gente.</v>
      </c>
    </row>
    <row r="31657">
      <c r="A31657" s="4" t="s">
        <v>39851</v>
      </c>
      <c r="B31657" s="4" t="s">
        <v>39855</v>
      </c>
      <c r="C31657" s="5" t="str">
        <f>IFERROR(__xludf.DUMMYFUNCTION("GOOGLETRANSLATE(B31657,""en"",""it"")"),"Successivamente, le donne si uniscono e iniziano a rotolare la palla sul bordo del tavolo mentre fanno obiettivi.")</f>
        <v>Successivamente, le donne si uniscono e iniziano a rotolare la palla sul bordo del tavolo mentre fanno obiettivi.</v>
      </c>
    </row>
    <row r="31658">
      <c r="A31658" s="4" t="s">
        <v>39851</v>
      </c>
      <c r="B31658" s="6" t="s">
        <v>39856</v>
      </c>
      <c r="C31658" s="5" t="str">
        <f>IFERROR(__xludf.DUMMYFUNCTION("GOOGLETRANSLATE(B31658,""en"",""it"")"),"Infine, un uomo appare con un telefono Nokia che registra il gioco e mostra opzioni video di diversi trucchi che sono stati eseguiti.")</f>
        <v>Infine, un uomo appare con un telefono Nokia che registra il gioco e mostra opzioni video di diversi trucchi che sono stati eseguiti.</v>
      </c>
    </row>
    <row r="31659">
      <c r="A31659" s="4" t="s">
        <v>39857</v>
      </c>
      <c r="B31659" s="4" t="s">
        <v>39858</v>
      </c>
      <c r="C31659" s="5" t="str">
        <f>IFERROR(__xludf.DUMMYFUNCTION("GOOGLETRANSLATE(B31659,""en"",""it"")"),"C'è un uomo mostrato che solleva un peso che pesa oltre 90 libbre.")</f>
        <v>C'è un uomo mostrato che solleva un peso che pesa oltre 90 libbre.</v>
      </c>
    </row>
    <row r="31660">
      <c r="A31660" s="4" t="s">
        <v>39857</v>
      </c>
      <c r="B31660" s="4" t="s">
        <v>39859</v>
      </c>
      <c r="C31660" s="5" t="str">
        <f>IFERROR(__xludf.DUMMYFUNCTION("GOOGLETRANSLATE(B31660,""en"",""it"")"),"C'è una donna che corre sul tapis roulant dietro di lui.")</f>
        <v>C'è una donna che corre sul tapis roulant dietro di lui.</v>
      </c>
    </row>
    <row r="31661">
      <c r="A31661" s="4" t="s">
        <v>39860</v>
      </c>
      <c r="B31661" s="4" t="s">
        <v>39861</v>
      </c>
      <c r="C31661" s="5" t="str">
        <f>IFERROR(__xludf.DUMMYFUNCTION("GOOGLETRANSLATE(B31661,""en"",""it"")"),"Uno sciatore si sta adattando le scarpe sul tabellone.")</f>
        <v>Uno sciatore si sta adattando le scarpe sul tabellone.</v>
      </c>
    </row>
    <row r="31662">
      <c r="A31662" s="4" t="s">
        <v>39860</v>
      </c>
      <c r="B31662" s="4" t="s">
        <v>39862</v>
      </c>
      <c r="C31662" s="5" t="str">
        <f>IFERROR(__xludf.DUMMYFUNCTION("GOOGLETRANSLATE(B31662,""en"",""it"")"),"Quindi viene visto volare attraverso l'aria sul tabellone.")</f>
        <v>Quindi viene visto volare attraverso l'aria sul tabellone.</v>
      </c>
    </row>
    <row r="31663">
      <c r="A31663" s="4" t="s">
        <v>39860</v>
      </c>
      <c r="B31663" s="4" t="s">
        <v>39863</v>
      </c>
      <c r="C31663" s="5" t="str">
        <f>IFERROR(__xludf.DUMMYFUNCTION("GOOGLETRANSLATE(B31663,""en"",""it"")"),"Sta sciare mentre è attaccato alla parte posteriore di una barca.")</f>
        <v>Sta sciare mentre è attaccato alla parte posteriore di una barca.</v>
      </c>
    </row>
    <row r="31664">
      <c r="A31664" s="4" t="s">
        <v>39864</v>
      </c>
      <c r="B31664" s="6" t="s">
        <v>39865</v>
      </c>
      <c r="C31664" s="5" t="str">
        <f>IFERROR(__xludf.DUMMYFUNCTION("GOOGLETRANSLATE(B31664,""en"",""it"")"),"Un giocatore che tiene un basket dribba la palla, corre e salta per lanciare la palla nel cestino più volte.")</f>
        <v>Un giocatore che tiene un basket dribba la palla, corre e salta per lanciare la palla nel cestino più volte.</v>
      </c>
    </row>
    <row r="31665">
      <c r="A31665" s="4" t="s">
        <v>39864</v>
      </c>
      <c r="B31665" s="4" t="s">
        <v>39866</v>
      </c>
      <c r="C31665" s="5" t="str">
        <f>IFERROR(__xludf.DUMMYFUNCTION("GOOGLETRANSLATE(B31665,""en"",""it"")"),"Un uomo lancia un basket in campo e poi se ne va.")</f>
        <v>Un uomo lancia un basket in campo e poi se ne va.</v>
      </c>
    </row>
    <row r="31666">
      <c r="A31666" s="4" t="s">
        <v>39867</v>
      </c>
      <c r="B31666" s="4" t="s">
        <v>39868</v>
      </c>
      <c r="C31666" s="5" t="str">
        <f>IFERROR(__xludf.DUMMYFUNCTION("GOOGLETRANSLATE(B31666,""en"",""it"")"),"Viene visto un bambino che si aggrappa a un bastone in un soggiorno mentre spinge una palla intorno.")</f>
        <v>Viene visto un bambino che si aggrappa a un bastone in un soggiorno mentre spinge una palla intorno.</v>
      </c>
    </row>
    <row r="31667">
      <c r="A31667" s="4" t="s">
        <v>39867</v>
      </c>
      <c r="B31667" s="4" t="s">
        <v>39869</v>
      </c>
      <c r="C31667" s="5" t="str">
        <f>IFERROR(__xludf.DUMMYFUNCTION("GOOGLETRANSLATE(B31667,""en"",""it"")"),"Il ragazzo continua a spingere la palla mentre la telecamera cattura i suoi movimenti.")</f>
        <v>Il ragazzo continua a spingere la palla mentre la telecamera cattura i suoi movimenti.</v>
      </c>
    </row>
    <row r="31668">
      <c r="A31668" s="4" t="s">
        <v>39867</v>
      </c>
      <c r="B31668" s="4" t="s">
        <v>39870</v>
      </c>
      <c r="C31668" s="5" t="str">
        <f>IFERROR(__xludf.DUMMYFUNCTION("GOOGLETRANSLATE(B31668,""en"",""it"")"),"Si ferma a parlare con la telecamera e continua a colpire la palla in giro.")</f>
        <v>Si ferma a parlare con la telecamera e continua a colpire la palla in giro.</v>
      </c>
    </row>
    <row r="31669">
      <c r="A31669" s="4" t="s">
        <v>39871</v>
      </c>
      <c r="B31669" s="4" t="s">
        <v>39872</v>
      </c>
      <c r="C31669" s="5" t="str">
        <f>IFERROR(__xludf.DUMMYFUNCTION("GOOGLETRANSLATE(B31669,""en"",""it"")"),"Una ginnastica maschile si prepara a montare un raggio.")</f>
        <v>Una ginnastica maschile si prepara a montare un raggio.</v>
      </c>
    </row>
    <row r="31670">
      <c r="A31670" s="4" t="s">
        <v>39871</v>
      </c>
      <c r="B31670" s="4" t="s">
        <v>39873</v>
      </c>
      <c r="C31670" s="5" t="str">
        <f>IFERROR(__xludf.DUMMYFUNCTION("GOOGLETRANSLATE(B31670,""en"",""it"")"),"Salta su, facendo un verticale sul bar.")</f>
        <v>Salta su, facendo un verticale sul bar.</v>
      </c>
    </row>
    <row r="31671">
      <c r="A31671" s="4" t="s">
        <v>39871</v>
      </c>
      <c r="B31671" s="4" t="s">
        <v>39874</v>
      </c>
      <c r="C31671" s="5" t="str">
        <f>IFERROR(__xludf.DUMMYFUNCTION("GOOGLETRANSLATE(B31671,""en"",""it"")"),"Quindi gira e gira più volte.")</f>
        <v>Quindi gira e gira più volte.</v>
      </c>
    </row>
    <row r="31672">
      <c r="A31672" s="4" t="s">
        <v>39871</v>
      </c>
      <c r="B31672" s="4" t="s">
        <v>39875</v>
      </c>
      <c r="C31672" s="5" t="str">
        <f>IFERROR(__xludf.DUMMYFUNCTION("GOOGLETRANSLATE(B31672,""en"",""it"")"),"Smonde, vomitando le braccia in aria.")</f>
        <v>Smonde, vomitando le braccia in aria.</v>
      </c>
    </row>
    <row r="31673">
      <c r="A31673" s="4" t="s">
        <v>39876</v>
      </c>
      <c r="B31673" s="4" t="s">
        <v>39877</v>
      </c>
      <c r="C31673" s="5" t="str">
        <f>IFERROR(__xludf.DUMMYFUNCTION("GOOGLETRANSLATE(B31673,""en"",""it"")"),"Una bambina tiene in mano un bastone e sta colpendo delicatamente una grande pinata che è tema Turtled ninja.")</f>
        <v>Una bambina tiene in mano un bastone e sta colpendo delicatamente una grande pinata che è tema Turtled ninja.</v>
      </c>
    </row>
    <row r="31674">
      <c r="A31674" s="4" t="s">
        <v>39876</v>
      </c>
      <c r="B31674" s="4" t="s">
        <v>39878</v>
      </c>
      <c r="C31674" s="5" t="str">
        <f>IFERROR(__xludf.DUMMYFUNCTION("GOOGLETRANSLATE(B31674,""en"",""it"")"),"Sullo sfondo un ragazzo su una sedia bianca lancia delicatamente una palla in aria sopra il suo grembo.")</f>
        <v>Sullo sfondo un ragazzo su una sedia bianca lancia delicatamente una palla in aria sopra il suo grembo.</v>
      </c>
    </row>
    <row r="31675">
      <c r="A31675" s="4" t="s">
        <v>39876</v>
      </c>
      <c r="B31675" s="6" t="s">
        <v>39879</v>
      </c>
      <c r="C31675" s="5" t="str">
        <f>IFERROR(__xludf.DUMMYFUNCTION("GOOGLETRANSLATE(B31675,""en"",""it"")"),"Un ragazzo più alto è in piedi e cammina vicino al ragazzo seduto sulla sedia e ha un sacchetto di plastica verde sopra la mano sinistra che si sta muovendo avanti e indietro con una svolta al polso.")</f>
        <v>Un ragazzo più alto è in piedi e cammina vicino al ragazzo seduto sulla sedia e ha un sacchetto di plastica verde sopra la mano sinistra che si sta muovendo avanti e indietro con una svolta al polso.</v>
      </c>
    </row>
    <row r="31676">
      <c r="A31676" s="4" t="s">
        <v>39876</v>
      </c>
      <c r="B31676" s="4" t="s">
        <v>39880</v>
      </c>
      <c r="C31676" s="5" t="str">
        <f>IFERROR(__xludf.DUMMYFUNCTION("GOOGLETRANSLATE(B31676,""en"",""it"")"),"Una bambina sul lato inizia a saltare mentre aspetta il suo turno.")</f>
        <v>Una bambina sul lato inizia a saltare mentre aspetta il suo turno.</v>
      </c>
    </row>
    <row r="31677">
      <c r="A31677" s="4" t="s">
        <v>39881</v>
      </c>
      <c r="B31677" s="6" t="s">
        <v>39882</v>
      </c>
      <c r="C31677" s="5" t="str">
        <f>IFERROR(__xludf.DUMMYFUNCTION("GOOGLETRANSLATE(B31677,""en"",""it"")"),"Un ragazzo biondo che tiene un bastone da piscina colpisce le palline su un tavolo da biliardo che è sezionato dal nastro giallo mentre una grande folla viene raccolta al di fuori del nastro giallo.")</f>
        <v>Un ragazzo biondo che tiene un bastone da piscina colpisce le palline su un tavolo da biliardo che è sezionato dal nastro giallo mentre una grande folla viene raccolta al di fuori del nastro giallo.</v>
      </c>
    </row>
    <row r="31678">
      <c r="A31678" s="4" t="s">
        <v>39881</v>
      </c>
      <c r="B31678" s="6" t="s">
        <v>39883</v>
      </c>
      <c r="C31678" s="5" t="str">
        <f>IFERROR(__xludf.DUMMYFUNCTION("GOOGLETRANSLATE(B31678,""en"",""it"")"),"Il ragazzo afferra un altro bastone da sotto il tavolo da biliardo, lo mette sul tavolo, mette il suo bastone e poi colpisce con successo la palla nel buco nonostante una donna che cerchi di distrarlo.")</f>
        <v>Il ragazzo afferra un altro bastone da sotto il tavolo da biliardo, lo mette sul tavolo, mette il suo bastone e poi colpisce con successo la palla nel buco nonostante una donna che cerchi di distrarlo.</v>
      </c>
    </row>
    <row r="31679">
      <c r="A31679" s="4" t="s">
        <v>39881</v>
      </c>
      <c r="B31679" s="6" t="s">
        <v>39884</v>
      </c>
      <c r="C31679" s="5" t="str">
        <f>IFERROR(__xludf.DUMMYFUNCTION("GOOGLETRANSLATE(B31679,""en"",""it"")"),"Il ragazzo gira intorno al tavolo e continua a colpire le palle rimanenti nei buchi, la folla lo racchiude e gira intorno alla folla e dà a tutti i cinque alti.")</f>
        <v>Il ragazzo gira intorno al tavolo e continua a colpire le palle rimanenti nei buchi, la folla lo racchiude e gira intorno alla folla e dà a tutti i cinque alti.</v>
      </c>
    </row>
    <row r="31680">
      <c r="A31680" s="4" t="s">
        <v>39881</v>
      </c>
      <c r="B31680" s="6" t="s">
        <v>39885</v>
      </c>
      <c r="C31680" s="5" t="str">
        <f>IFERROR(__xludf.DUMMYFUNCTION("GOOGLETRANSLATE(B31680,""en"",""it"")"),"Il ragazzo abbraccia la donna che stava cercando di distrarlo tutto il tempo, mette giù il bastone e lei lo abbraccia di nuovo.")</f>
        <v>Il ragazzo abbraccia la donna che stava cercando di distrarlo tutto il tempo, mette giù il bastone e lei lo abbraccia di nuovo.</v>
      </c>
    </row>
    <row r="31681">
      <c r="A31681" s="4" t="s">
        <v>39881</v>
      </c>
      <c r="B31681" s="6" t="s">
        <v>39886</v>
      </c>
      <c r="C31681" s="5" t="str">
        <f>IFERROR(__xludf.DUMMYFUNCTION("GOOGLETRANSLATE(B31681,""en"",""it"")"),"Appare uno schermo nero e le parole bianche sullo schermo dicono ""The Black Widow Jeanette Lee Worlds Best Female Pool Policone A Ron Hawks Video"".")</f>
        <v>Appare uno schermo nero e le parole bianche sullo schermo dicono "The Black Widow Jeanette Lee Worlds Best Female Pool Policone A Ron Hawks Video".</v>
      </c>
    </row>
    <row r="31682">
      <c r="A31682" s="4" t="s">
        <v>39887</v>
      </c>
      <c r="B31682" s="4" t="s">
        <v>39888</v>
      </c>
      <c r="C31682" s="5" t="str">
        <f>IFERROR(__xludf.DUMMYFUNCTION("GOOGLETRANSLATE(B31682,""en"",""it"")"),"Un uomo vestito di tutto il bianco viene mostrato a combattere diversi uomini all'aperto e colpirli molto duramente.")</f>
        <v>Un uomo vestito di tutto il bianco viene mostrato a combattere diversi uomini all'aperto e colpirli molto duramente.</v>
      </c>
    </row>
    <row r="31683">
      <c r="A31683" s="4" t="s">
        <v>39887</v>
      </c>
      <c r="B31683" s="6" t="s">
        <v>39889</v>
      </c>
      <c r="C31683" s="5" t="str">
        <f>IFERROR(__xludf.DUMMYFUNCTION("GOOGLETRANSLATE(B31683,""en"",""it"")"),"Il combattimento Tai Chi insieme al suo sito Web e varie altre icone del sito Web si trovano in basso a destra.")</f>
        <v>Il combattimento Tai Chi insieme al suo sito Web e varie altre icone del sito Web si trovano in basso a destra.</v>
      </c>
    </row>
    <row r="31684">
      <c r="A31684" s="4" t="s">
        <v>39887</v>
      </c>
      <c r="B31684" s="6" t="s">
        <v>39890</v>
      </c>
      <c r="C31684" s="5" t="str">
        <f>IFERROR(__xludf.DUMMYFUNCTION("GOOGLETRANSLATE(B31684,""en"",""it"")"),"L'uomo è quindi in piedi da solo all'aperto dove indossa ancora lo stesso vestito bianco e sta parlando in modo molto appassionato usando movimenti manuali e molte espressioni facciali.")</f>
        <v>L'uomo è quindi in piedi da solo all'aperto dove indossa ancora lo stesso vestito bianco e sta parlando in modo molto appassionato usando movimenti manuali e molte espressioni facciali.</v>
      </c>
    </row>
    <row r="31685">
      <c r="A31685" s="4" t="s">
        <v>39887</v>
      </c>
      <c r="B31685" s="6" t="s">
        <v>39891</v>
      </c>
      <c r="C31685" s="5" t="str">
        <f>IFERROR(__xludf.DUMMYFUNCTION("GOOGLETRANSLATE(B31685,""en"",""it"")"),"L'uomo ha ancora una volta mostrato di combattere diversi uomini all'aperto e sembra vincere ogni combattimento.")</f>
        <v>L'uomo ha ancora una volta mostrato di combattere diversi uomini all'aperto e sembra vincere ogni combattimento.</v>
      </c>
    </row>
    <row r="31686">
      <c r="A31686" s="4" t="s">
        <v>39887</v>
      </c>
      <c r="B31686" s="6" t="s">
        <v>39892</v>
      </c>
      <c r="C31686" s="5" t="str">
        <f>IFERROR(__xludf.DUMMYFUNCTION("GOOGLETRANSLATE(B31686,""en"",""it"")"),"Dopo questo round di combattimenti, l'uomo parla ancora una volta molto appassionatamente con molti movimenti delle mani ed espressioni facciali.")</f>
        <v>Dopo questo round di combattimenti, l'uomo parla ancora una volta molto appassionatamente con molti movimenti delle mani ed espressioni facciali.</v>
      </c>
    </row>
    <row r="31687">
      <c r="A31687" s="4" t="s">
        <v>39887</v>
      </c>
      <c r="B31687" s="6" t="s">
        <v>39893</v>
      </c>
      <c r="C31687" s="5" t="str">
        <f>IFERROR(__xludf.DUMMYFUNCTION("GOOGLETRANSLATE(B31687,""en"",""it"")"),"L'uomo torna quindi a più combattimenti con diversi uomini da qualche parte all'aperto dove continua a vincere i combattimenti colpendo e occasionalmente calciando.")</f>
        <v>L'uomo torna quindi a più combattimenti con diversi uomini da qualche parte all'aperto dove continua a vincere i combattimenti colpendo e occasionalmente calciando.</v>
      </c>
    </row>
    <row r="31688">
      <c r="A31688" s="4" t="s">
        <v>39887</v>
      </c>
      <c r="B31688" s="6" t="s">
        <v>39894</v>
      </c>
      <c r="C31688" s="5" t="str">
        <f>IFERROR(__xludf.DUMMYFUNCTION("GOOGLETRANSLATE(B31688,""en"",""it"")"),"Infine, l'uomo mostra ancora una volta parlare in modo molto appassionato di movimenti delle mani e molte espressioni facciali e intorno a lui sono sovrapposizioni sullo schermo che pubblicizzano il suo canale YouTube insieme al suo sito Web per il combat"&amp;"timento Tai Chi.")</f>
        <v>Infine, l'uomo mostra ancora una volta parlare in modo molto appassionato di movimenti delle mani e molte espressioni facciali e intorno a lui sono sovrapposizioni sullo schermo che pubblicizzano il suo canale YouTube insieme al suo sito Web per il combattimento Tai Chi.</v>
      </c>
    </row>
    <row r="31689">
      <c r="A31689" s="4" t="s">
        <v>39895</v>
      </c>
      <c r="B31689" s="4" t="s">
        <v>39896</v>
      </c>
      <c r="C31689" s="5" t="str">
        <f>IFERROR(__xludf.DUMMYFUNCTION("GOOGLETRANSLATE(B31689,""en"",""it"")"),"Un uomo in un cappotto al neon sta guidando un'auto con la fotocamera su un bastone fuori dal finestrino.")</f>
        <v>Un uomo in un cappotto al neon sta guidando un'auto con la fotocamera su un bastone fuori dal finestrino.</v>
      </c>
    </row>
    <row r="31690">
      <c r="A31690" s="4" t="s">
        <v>39895</v>
      </c>
      <c r="B31690" s="4" t="s">
        <v>39897</v>
      </c>
      <c r="C31690" s="5" t="str">
        <f>IFERROR(__xludf.DUMMYFUNCTION("GOOGLETRANSLATE(B31690,""en"",""it"")"),"Guida rapidamente sulla neve, ridendo mentre si registra.")</f>
        <v>Guida rapidamente sulla neve, ridendo mentre si registra.</v>
      </c>
    </row>
    <row r="31691">
      <c r="A31691" s="4" t="s">
        <v>39895</v>
      </c>
      <c r="B31691" s="4" t="s">
        <v>39898</v>
      </c>
      <c r="C31691" s="5" t="str">
        <f>IFERROR(__xludf.DUMMYFUNCTION("GOOGLETRANSLATE(B31691,""en"",""it"")"),"Lui e i suoi passeggeri si trovano su un tumulo innevato, girando mentre si registrano.")</f>
        <v>Lui e i suoi passeggeri si trovano su un tumulo innevato, girando mentre si registrano.</v>
      </c>
    </row>
    <row r="31692">
      <c r="A31692" s="4" t="s">
        <v>39895</v>
      </c>
      <c r="B31692" s="4" t="s">
        <v>39899</v>
      </c>
      <c r="C31692" s="5" t="str">
        <f>IFERROR(__xludf.DUMMYFUNCTION("GOOGLETRANSLATE(B31692,""en"",""it"")"),"Quindi usano le seghe per tagliare un sentiero sulla neve.")</f>
        <v>Quindi usano le seghe per tagliare un sentiero sulla neve.</v>
      </c>
    </row>
    <row r="31693">
      <c r="A31693" s="4" t="s">
        <v>39895</v>
      </c>
      <c r="B31693" s="4" t="s">
        <v>39900</v>
      </c>
      <c r="C31693" s="5" t="str">
        <f>IFERROR(__xludf.DUMMYFUNCTION("GOOGLETRANSLATE(B31693,""en"",""it"")"),"Acqua lo sci sul percorso idrico congelato.")</f>
        <v>Acqua lo sci sul percorso idrico congelato.</v>
      </c>
    </row>
    <row r="31694">
      <c r="A31694" s="4" t="s">
        <v>39901</v>
      </c>
      <c r="B31694" s="4" t="s">
        <v>39902</v>
      </c>
      <c r="C31694" s="5" t="str">
        <f>IFERROR(__xludf.DUMMYFUNCTION("GOOGLETRANSLATE(B31694,""en"",""it"")"),"Una persona pulisce un lavello estremamente sporco con un tovagliolo di carta.")</f>
        <v>Una persona pulisce un lavello estremamente sporco con un tovagliolo di carta.</v>
      </c>
    </row>
    <row r="31695">
      <c r="A31695" s="4" t="s">
        <v>39901</v>
      </c>
      <c r="B31695" s="4" t="s">
        <v>39903</v>
      </c>
      <c r="C31695" s="5" t="str">
        <f>IFERROR(__xludf.DUMMYFUNCTION("GOOGLETRANSLATE(B31695,""en"",""it"")"),"Il titolo, Tubotowels, appare sullo schermo.")</f>
        <v>Il titolo, Tubotowels, appare sullo schermo.</v>
      </c>
    </row>
    <row r="31696">
      <c r="A31696" s="4" t="s">
        <v>39904</v>
      </c>
      <c r="B31696" s="4" t="s">
        <v>39905</v>
      </c>
      <c r="C31696" s="5" t="str">
        <f>IFERROR(__xludf.DUMMYFUNCTION("GOOGLETRANSLATE(B31696,""en"",""it"")"),"Un giovane in bianco corre sul palco ballando.")</f>
        <v>Un giovane in bianco corre sul palco ballando.</v>
      </c>
    </row>
    <row r="31697">
      <c r="A31697" s="4" t="s">
        <v>39904</v>
      </c>
      <c r="B31697" s="4" t="s">
        <v>39906</v>
      </c>
      <c r="C31697" s="5" t="str">
        <f>IFERROR(__xludf.DUMMYFUNCTION("GOOGLETRANSLATE(B31697,""en"",""it"")"),"Altri uomini ballano in background.")</f>
        <v>Altri uomini ballano in background.</v>
      </c>
    </row>
    <row r="31698">
      <c r="A31698" s="4" t="s">
        <v>39904</v>
      </c>
      <c r="B31698" s="4" t="s">
        <v>39907</v>
      </c>
      <c r="C31698" s="5" t="str">
        <f>IFERROR(__xludf.DUMMYFUNCTION("GOOGLETRANSLATE(B31698,""en"",""it"")"),"Un ragazzo più piccolo corre sul palco, confuso.")</f>
        <v>Un ragazzo più piccolo corre sul palco, confuso.</v>
      </c>
    </row>
    <row r="31699">
      <c r="A31699" s="4" t="s">
        <v>39904</v>
      </c>
      <c r="B31699" s="4" t="s">
        <v>39908</v>
      </c>
      <c r="C31699" s="5" t="str">
        <f>IFERROR(__xludf.DUMMYFUNCTION("GOOGLETRANSLATE(B31699,""en"",""it"")"),"Un uomo con un microfono parla al bambino.")</f>
        <v>Un uomo con un microfono parla al bambino.</v>
      </c>
    </row>
    <row r="31700">
      <c r="A31700" s="4" t="s">
        <v>39904</v>
      </c>
      <c r="B31700" s="4" t="s">
        <v>39909</v>
      </c>
      <c r="C31700" s="5" t="str">
        <f>IFERROR(__xludf.DUMMYFUNCTION("GOOGLETRANSLATE(B31700,""en"",""it"")"),"Il ragazzo inizia a ballare.")</f>
        <v>Il ragazzo inizia a ballare.</v>
      </c>
    </row>
    <row r="31701">
      <c r="A31701" s="4" t="s">
        <v>39904</v>
      </c>
      <c r="B31701" s="4" t="s">
        <v>39910</v>
      </c>
      <c r="C31701" s="5" t="str">
        <f>IFERROR(__xludf.DUMMYFUNCTION("GOOGLETRANSLATE(B31701,""en"",""it"")"),"Tutti sul palco smettono di ballare.")</f>
        <v>Tutti sul palco smettono di ballare.</v>
      </c>
    </row>
    <row r="31702">
      <c r="A31702" s="4" t="s">
        <v>39904</v>
      </c>
      <c r="B31702" s="4" t="s">
        <v>39911</v>
      </c>
      <c r="C31702" s="5" t="str">
        <f>IFERROR(__xludf.DUMMYFUNCTION("GOOGLETRANSLATE(B31702,""en"",""it"")"),"Gli uomini indicano il cantante.")</f>
        <v>Gli uomini indicano il cantante.</v>
      </c>
    </row>
    <row r="31703">
      <c r="A31703" s="4" t="s">
        <v>39904</v>
      </c>
      <c r="B31703" s="4" t="s">
        <v>39912</v>
      </c>
      <c r="C31703" s="5" t="str">
        <f>IFERROR(__xludf.DUMMYFUNCTION("GOOGLETRANSLATE(B31703,""en"",""it"")"),"Il cantante in rosso inizia a ballare.")</f>
        <v>Il cantante in rosso inizia a ballare.</v>
      </c>
    </row>
    <row r="31704">
      <c r="A31704" s="4" t="s">
        <v>39913</v>
      </c>
      <c r="B31704" s="6" t="s">
        <v>39914</v>
      </c>
      <c r="C31704" s="5" t="str">
        <f>IFERROR(__xludf.DUMMYFUNCTION("GOOGLETRANSLATE(B31704,""en"",""it"")"),"Un panno giallo, una spugna gialla e verde e un detergente per creme CIF viene posizionato sul bancone accanto a un lavello poco profondo con scarico d'argento.")</f>
        <v>Un panno giallo, una spugna gialla e verde e un detergente per creme CIF viene posizionato sul bancone accanto a un lavello poco profondo con scarico d'argento.</v>
      </c>
    </row>
    <row r="31705">
      <c r="A31705" s="4" t="s">
        <v>39913</v>
      </c>
      <c r="B31705" s="6" t="s">
        <v>39915</v>
      </c>
      <c r="C31705" s="5" t="str">
        <f>IFERROR(__xludf.DUMMYFUNCTION("GOOGLETRANSLATE(B31705,""en"",""it"")"),"Una mano versa una goccia di crema CIF, la asciugò con il lato verde della spugna, la asciugò con un movimento circolare, quindi asciugò il bancone con un panno giallo.")</f>
        <v>Una mano versa una goccia di crema CIF, la asciugò con il lato verde della spugna, la asciugò con un movimento circolare, quindi asciugò il bancone con un panno giallo.</v>
      </c>
    </row>
    <row r="31706">
      <c r="A31706" s="4" t="s">
        <v>39916</v>
      </c>
      <c r="B31706" s="4" t="s">
        <v>39917</v>
      </c>
      <c r="C31706" s="5" t="str">
        <f>IFERROR(__xludf.DUMMYFUNCTION("GOOGLETRANSLATE(B31706,""en"",""it"")"),"Un uomo prepara le sue provviste vicino a un tavolo da picnic e poi ne mette uno.")</f>
        <v>Un uomo prepara le sue provviste vicino a un tavolo da picnic e poi ne mette uno.</v>
      </c>
    </row>
    <row r="31707">
      <c r="A31707" s="4" t="s">
        <v>39916</v>
      </c>
      <c r="B31707" s="4" t="s">
        <v>39918</v>
      </c>
      <c r="C31707" s="5" t="str">
        <f>IFERROR(__xludf.DUMMYFUNCTION("GOOGLETRANSLATE(B31707,""en"",""it"")"),"L'uomo versa un fluido più leggero in un anello di fuoco da campo.")</f>
        <v>L'uomo versa un fluido più leggero in un anello di fuoco da campo.</v>
      </c>
    </row>
    <row r="31708">
      <c r="A31708" s="4" t="s">
        <v>39916</v>
      </c>
      <c r="B31708" s="4" t="s">
        <v>39919</v>
      </c>
      <c r="C31708" s="5" t="str">
        <f>IFERROR(__xludf.DUMMYFUNCTION("GOOGLETRANSLATE(B31708,""en"",""it"")"),"L'uomo recupera corrisponde che cade sul fuoco e scoppia in fiamme.")</f>
        <v>L'uomo recupera corrisponde che cade sul fuoco e scoppia in fiamme.</v>
      </c>
    </row>
    <row r="31709">
      <c r="A31709" s="4" t="s">
        <v>39920</v>
      </c>
      <c r="B31709" s="6" t="s">
        <v>39921</v>
      </c>
      <c r="C31709" s="5" t="str">
        <f>IFERROR(__xludf.DUMMYFUNCTION("GOOGLETRANSLATE(B31709,""en"",""it"")"),"Un gruppo di persone con attrezzatura da neve viene mostrato snow boarding su pendii nevosi innevati con enfasi visiva mostrata a una particolare bacheca da neve in un cappotto verde.")</f>
        <v>Un gruppo di persone con attrezzatura da neve viene mostrato snow boarding su pendii nevosi innevati con enfasi visiva mostrata a una particolare bacheca da neve in un cappotto verde.</v>
      </c>
    </row>
    <row r="31710">
      <c r="A31710" s="4" t="s">
        <v>39920</v>
      </c>
      <c r="B31710" s="6" t="s">
        <v>39922</v>
      </c>
      <c r="C31710" s="5" t="str">
        <f>IFERROR(__xludf.DUMMYFUNCTION("GOOGLETRANSLATE(B31710,""en"",""it"")"),"Un uomo con un cappotto verde slitte su molte superfici su e giù per le pendici mentre supera altri baliti di neve mentre circondati da fogliame marrone nudo e tetti e colline coperti in neve.")</f>
        <v>Un uomo con un cappotto verde slitte su molte superfici su e giù per le pendici mentre supera altri baliti di neve mentre circondati da fogliame marrone nudo e tetti e colline coperti in neve.</v>
      </c>
    </row>
    <row r="31711">
      <c r="A31711" s="4" t="s">
        <v>39920</v>
      </c>
      <c r="B31711" s="6" t="s">
        <v>39923</v>
      </c>
      <c r="C31711" s="5" t="str">
        <f>IFERROR(__xludf.DUMMYFUNCTION("GOOGLETRANSLATE(B31711,""en"",""it"")"),"Mentre l'uomo snowboard, una persona che passa cade e rompe la slitta e molti degli altri sciatori eseguono un trucco mentre lo snowboard, tra cui Snow Boarding da piattaforme elevate e fa salti mentre si bachetano.")</f>
        <v>Mentre l'uomo snowboard, una persona che passa cade e rompe la slitta e molti degli altri sciatori eseguono un trucco mentre lo snowboard, tra cui Snow Boarding da piattaforme elevate e fa salti mentre si bachetano.</v>
      </c>
    </row>
    <row r="31712">
      <c r="A31712" s="4" t="s">
        <v>39924</v>
      </c>
      <c r="B31712" s="4" t="s">
        <v>39925</v>
      </c>
      <c r="C31712" s="5" t="str">
        <f>IFERROR(__xludf.DUMMYFUNCTION("GOOGLETRANSLATE(B31712,""en"",""it"")"),"Un ragazzino lancia una rampa di legno, a piedi nudi, all'aperto con un mini mop e un secchio d'acqua.")</f>
        <v>Un ragazzino lancia una rampa di legno, a piedi nudi, all'aperto con un mini mop e un secchio d'acqua.</v>
      </c>
    </row>
    <row r="31713">
      <c r="A31713" s="4" t="s">
        <v>39924</v>
      </c>
      <c r="B31713" s="6" t="s">
        <v>39926</v>
      </c>
      <c r="C31713" s="5" t="str">
        <f>IFERROR(__xludf.DUMMYFUNCTION("GOOGLETRANSLATE(B31713,""en"",""it"")"),"Un ragazzo sta fuori, senza camicia, a piedi nudi e jeans e fa una rampa di legno con una mini mop gialla.")</f>
        <v>Un ragazzo sta fuori, senza camicia, a piedi nudi e jeans e fa una rampa di legno con una mini mop gialla.</v>
      </c>
    </row>
    <row r="31714">
      <c r="A31714" s="4" t="s">
        <v>39924</v>
      </c>
      <c r="B31714" s="4" t="s">
        <v>39927</v>
      </c>
      <c r="C31714" s="5" t="str">
        <f>IFERROR(__xludf.DUMMYFUNCTION("GOOGLETRANSLATE(B31714,""en"",""it"")"),"Il ragazzo schiaccia la scopa in acqua dopo un po 'e continua a pulire la rampa.")</f>
        <v>Il ragazzo schiaccia la scopa in acqua dopo un po 'e continua a pulire la rampa.</v>
      </c>
    </row>
    <row r="31715">
      <c r="A31715" s="4" t="s">
        <v>39928</v>
      </c>
      <c r="B31715" s="4" t="s">
        <v>39929</v>
      </c>
      <c r="C31715" s="5" t="str">
        <f>IFERROR(__xludf.DUMMYFUNCTION("GOOGLETRANSLATE(B31715,""en"",""it"")"),"Una donna di notizie sta parlando all'interno di una sala di notizia.")</f>
        <v>Una donna di notizie sta parlando all'interno di una sala di notizia.</v>
      </c>
    </row>
    <row r="31716">
      <c r="A31716" s="4" t="s">
        <v>39928</v>
      </c>
      <c r="B31716" s="6" t="s">
        <v>39930</v>
      </c>
      <c r="C31716" s="5" t="str">
        <f>IFERROR(__xludf.DUMMYFUNCTION("GOOGLETRANSLATE(B31716,""en"",""it"")"),"Un paio di ballerini professionisti vengono mostrati ballare ed eseguire balletto su un palco, con la femmina mostrata occasionalmente che parlava alla telecamera.")</f>
        <v>Un paio di ballerini professionisti vengono mostrati ballare ed eseguire balletto su un palco, con la femmina mostrata occasionalmente che parlava alla telecamera.</v>
      </c>
    </row>
    <row r="31717">
      <c r="A31717" s="4" t="s">
        <v>39928</v>
      </c>
      <c r="B31717" s="6" t="s">
        <v>39931</v>
      </c>
      <c r="C31717" s="5" t="str">
        <f>IFERROR(__xludf.DUMMYFUNCTION("GOOGLETRANSLATE(B31717,""en"",""it"")"),"Viene vista uscire dopo un'esibizione per vedere una stanza piena di persone e fare una conferenza stampa.")</f>
        <v>Viene vista uscire dopo un'esibizione per vedere una stanza piena di persone e fare una conferenza stampa.</v>
      </c>
    </row>
    <row r="31718">
      <c r="A31718" s="4" t="s">
        <v>39928</v>
      </c>
      <c r="B31718" s="4" t="s">
        <v>39932</v>
      </c>
      <c r="C31718" s="5" t="str">
        <f>IFERROR(__xludf.DUMMYFUNCTION("GOOGLETRANSLATE(B31718,""en"",""it"")"),"Alla fine viene mostrato un poster di tre donne.")</f>
        <v>Alla fine viene mostrato un poster di tre donne.</v>
      </c>
    </row>
    <row r="31719">
      <c r="A31719" s="4" t="s">
        <v>39933</v>
      </c>
      <c r="B31719" s="4" t="s">
        <v>39934</v>
      </c>
      <c r="C31719" s="5" t="str">
        <f>IFERROR(__xludf.DUMMYFUNCTION("GOOGLETRANSLATE(B31719,""en"",""it"")"),"Un uomo paga una tavola da surf con un bambino sul tabellone di fronte a lui.")</f>
        <v>Un uomo paga una tavola da surf con un bambino sul tabellone di fronte a lui.</v>
      </c>
    </row>
    <row r="31720">
      <c r="A31720" s="4" t="s">
        <v>39933</v>
      </c>
      <c r="B31720" s="4" t="s">
        <v>39935</v>
      </c>
      <c r="C31720" s="5" t="str">
        <f>IFERROR(__xludf.DUMMYFUNCTION("GOOGLETRANSLATE(B31720,""en"",""it"")"),"Solleva momentaneamente il bambino in posizione eretta.")</f>
        <v>Solleva momentaneamente il bambino in posizione eretta.</v>
      </c>
    </row>
    <row r="31721">
      <c r="A31721" s="4" t="s">
        <v>39933</v>
      </c>
      <c r="B31721" s="4" t="s">
        <v>39936</v>
      </c>
      <c r="C31721" s="5" t="str">
        <f>IFERROR(__xludf.DUMMYFUNCTION("GOOGLETRANSLATE(B31721,""en"",""it"")"),"Una donna si sposta verso l'uomo e il bambino.")</f>
        <v>Una donna si sposta verso l'uomo e il bambino.</v>
      </c>
    </row>
    <row r="31722">
      <c r="A31722" s="4" t="s">
        <v>39933</v>
      </c>
      <c r="B31722" s="4" t="s">
        <v>39937</v>
      </c>
      <c r="C31722" s="5" t="str">
        <f>IFERROR(__xludf.DUMMYFUNCTION("GOOGLETRANSLATE(B31722,""en"",""it"")"),"L'uomo solleva momentaneamente il bambino in posizione eretta di nuovo.")</f>
        <v>L'uomo solleva momentaneamente il bambino in posizione eretta di nuovo.</v>
      </c>
    </row>
    <row r="31723">
      <c r="A31723" s="4" t="s">
        <v>39933</v>
      </c>
      <c r="B31723" s="4" t="s">
        <v>39938</v>
      </c>
      <c r="C31723" s="5" t="str">
        <f>IFERROR(__xludf.DUMMYFUNCTION("GOOGLETRANSLATE(B31723,""en"",""it"")"),"L'uomo solleva momentaneamente il bambino in una posizione eretta ancora una volta.")</f>
        <v>L'uomo solleva momentaneamente il bambino in una posizione eretta ancora una volta.</v>
      </c>
    </row>
    <row r="31724">
      <c r="A31724" s="4" t="s">
        <v>39939</v>
      </c>
      <c r="B31724" s="4" t="s">
        <v>39940</v>
      </c>
      <c r="C31724" s="5" t="str">
        <f>IFERROR(__xludf.DUMMYFUNCTION("GOOGLETRANSLATE(B31724,""en"",""it"")"),"L'uomo con camicia marrone si trova accanto a un mucchio di palline da tennis mentre parla con la telecamera.")</f>
        <v>L'uomo con camicia marrone si trova accanto a un mucchio di palline da tennis mentre parla con la telecamera.</v>
      </c>
    </row>
    <row r="31725">
      <c r="A31725" s="4" t="s">
        <v>39939</v>
      </c>
      <c r="B31725" s="4" t="s">
        <v>39941</v>
      </c>
      <c r="C31725" s="5" t="str">
        <f>IFERROR(__xludf.DUMMYFUNCTION("GOOGLETRANSLATE(B31725,""en"",""it"")"),"Ha giocato a pallone da tennis con un'altra persona.")</f>
        <v>Ha giocato a pallone da tennis con un'altra persona.</v>
      </c>
    </row>
    <row r="31726">
      <c r="A31726" s="4" t="s">
        <v>39939</v>
      </c>
      <c r="B31726" s="4" t="s">
        <v>39942</v>
      </c>
      <c r="C31726" s="5" t="str">
        <f>IFERROR(__xludf.DUMMYFUNCTION("GOOGLETRANSLATE(B31726,""en"",""it"")"),"L'uomo con camicia viola serve la palla mentre l'uomo nero colpisce la palla.")</f>
        <v>L'uomo con camicia viola serve la palla mentre l'uomo nero colpisce la palla.</v>
      </c>
    </row>
    <row r="31727">
      <c r="A31727" s="4" t="s">
        <v>39943</v>
      </c>
      <c r="B31727" s="4" t="s">
        <v>39944</v>
      </c>
      <c r="C31727" s="5" t="str">
        <f>IFERROR(__xludf.DUMMYFUNCTION("GOOGLETRANSLATE(B31727,""en"",""it"")"),"Una donna dà un tutorial sui capelli.")</f>
        <v>Una donna dà un tutorial sui capelli.</v>
      </c>
    </row>
    <row r="31728">
      <c r="A31728" s="4" t="s">
        <v>39943</v>
      </c>
      <c r="B31728" s="4" t="s">
        <v>39945</v>
      </c>
      <c r="C31728" s="5" t="str">
        <f>IFERROR(__xludf.DUMMYFUNCTION("GOOGLETRANSLATE(B31728,""en"",""it"")"),"La donna si lega i capelli e li prepara in modo che sembri meglio.")</f>
        <v>La donna si lega i capelli e li prepara in modo che sembri meglio.</v>
      </c>
    </row>
    <row r="31729">
      <c r="A31729" s="4" t="s">
        <v>39946</v>
      </c>
      <c r="B31729" s="6" t="s">
        <v>39947</v>
      </c>
      <c r="C31729" s="5" t="str">
        <f>IFERROR(__xludf.DUMMYFUNCTION("GOOGLETRANSLATE(B31729,""en"",""it"")"),"Un'intro di effetto speciale di un uomo aereo su una bottena con le parole MMXIV Hyperlite Collection è sullo schermo.")</f>
        <v>Un'intro di effetto speciale di un uomo aereo su una bottena con le parole MMXIV Hyperlite Collection è sullo schermo.</v>
      </c>
    </row>
    <row r="31730">
      <c r="A31730" s="4" t="s">
        <v>39946</v>
      </c>
      <c r="B31730" s="6" t="s">
        <v>39948</v>
      </c>
      <c r="C31730" s="5" t="str">
        <f>IFERROR(__xludf.DUMMYFUNCTION("GOOGLETRANSLATE(B31730,""en"",""it"")"),"Alcuni uomini appaiono vicino al lago e poi una serie di diverse clip e uomini sulle acque di acqua giocano uno dopo l'altro mentre tutti i bottigliano rapidamente sull'acqua e alcuni si lanciano mentre si aggrappano alla corda.")</f>
        <v>Alcuni uomini appaiono vicino al lago e poi una serie di diverse clip e uomini sulle acque di acqua giocano uno dopo l'altro mentre tutti i bottigliano rapidamente sull'acqua e alcuni si lanciano mentre si aggrappano alla corda.</v>
      </c>
    </row>
    <row r="31731">
      <c r="A31731" s="4" t="s">
        <v>39946</v>
      </c>
      <c r="B31731" s="4" t="s">
        <v>39949</v>
      </c>
      <c r="C31731" s="5" t="str">
        <f>IFERROR(__xludf.DUMMYFUNCTION("GOOGLETRANSLATE(B31731,""en"",""it"")"),"Appare una donna in pantaloncini rosa e le viene mostrata brevemente anche l'imbarco.")</f>
        <v>Appare una donna in pantaloncini rosa e le viene mostrata brevemente anche l'imbarco.</v>
      </c>
    </row>
    <row r="31732">
      <c r="A31732" s="4" t="s">
        <v>39946</v>
      </c>
      <c r="B31732" s="6" t="s">
        <v>39950</v>
      </c>
      <c r="C31732" s="5" t="str">
        <f>IFERROR(__xludf.DUMMYFUNCTION("GOOGLETRANSLATE(B31732,""en"",""it"")"),"Ora un uomo è seduto su una barca mentre un grande aereo controllato a telecomando vola verso di lui, e un uomo in piedi lo afferra rapidamente prima che colpisca la faccia dell'uomo seduto e l'uomo seduto si gira verso la telecamera per dare uno scioccat"&amp;"o e rilievo guarda il suo viso.")</f>
        <v>Ora un uomo è seduto su una barca mentre un grande aereo controllato a telecomando vola verso di lui, e un uomo in piedi lo afferra rapidamente prima che colpisca la faccia dell'uomo seduto e l'uomo seduto si gira verso la telecamera per dare uno scioccato e rilievo guarda il suo viso.</v>
      </c>
    </row>
    <row r="31733">
      <c r="A31733" s="4" t="s">
        <v>39946</v>
      </c>
      <c r="B31733" s="6" t="s">
        <v>39951</v>
      </c>
      <c r="C31733" s="5" t="str">
        <f>IFERROR(__xludf.DUMMYFUNCTION("GOOGLETRANSLATE(B31733,""en"",""it"")"),"Le clip di varie persone che il waterboarding si presentano di nuovo e si stanno ancora tenendo sulla corda mentre si trovano sulle assi e fanno salti, lancia e altri trucchi.")</f>
        <v>Le clip di varie persone che il waterboarding si presentano di nuovo e si stanno ancora tenendo sulla corda mentre si trovano sulle assi e fanno salti, lancia e altri trucchi.</v>
      </c>
    </row>
    <row r="31734">
      <c r="A31734" s="4" t="s">
        <v>39946</v>
      </c>
      <c r="B31734" s="4" t="s">
        <v>39952</v>
      </c>
      <c r="C31734" s="5" t="str">
        <f>IFERROR(__xludf.DUMMYFUNCTION("GOOGLETRANSLATE(B31734,""en"",""it"")"),"La clip di outro inizia ed è simile all'introduzione.")</f>
        <v>La clip di outro inizia ed è simile all'introduzione.</v>
      </c>
    </row>
    <row r="31735">
      <c r="A31735" s="4" t="s">
        <v>39953</v>
      </c>
      <c r="B31735" s="4" t="s">
        <v>39954</v>
      </c>
      <c r="C31735" s="5" t="str">
        <f>IFERROR(__xludf.DUMMYFUNCTION("GOOGLETRANSLATE(B31735,""en"",""it"")"),"Un uomo spiega una procedura di tende e materiali per la pulizia mentre mostra i panni.")</f>
        <v>Un uomo spiega una procedura di tende e materiali per la pulizia mentre mostra i panni.</v>
      </c>
    </row>
    <row r="31736">
      <c r="A31736" s="4" t="s">
        <v>39953</v>
      </c>
      <c r="B31736" s="6" t="s">
        <v>39955</v>
      </c>
      <c r="C31736" s="5" t="str">
        <f>IFERROR(__xludf.DUMMYFUNCTION("GOOGLETRANSLATE(B31736,""en"",""it"")"),"Dopo, l'uomo si avvicina a una finestra e inizia a pulire per un istante, quindi continua a spiegare.")</f>
        <v>Dopo, l'uomo si avvicina a una finestra e inizia a pulire per un istante, quindi continua a spiegare.</v>
      </c>
    </row>
    <row r="31737">
      <c r="A31737" s="4" t="s">
        <v>39956</v>
      </c>
      <c r="B31737" s="4" t="s">
        <v>1487</v>
      </c>
      <c r="C31737" s="5" t="str">
        <f>IFERROR(__xludf.DUMMYFUNCTION("GOOGLETRANSLATE(B31737,""en"",""it"")"),"Vediamo una schermata del titolo di apertura.")</f>
        <v>Vediamo una schermata del titolo di apertura.</v>
      </c>
    </row>
    <row r="31738">
      <c r="A31738" s="4" t="s">
        <v>39956</v>
      </c>
      <c r="B31738" s="4" t="s">
        <v>39957</v>
      </c>
      <c r="C31738" s="5" t="str">
        <f>IFERROR(__xludf.DUMMYFUNCTION("GOOGLETRANSLATE(B31738,""en"",""it"")"),"Una signora si siede a un tavolo con scarpa, acqua, sale, pennello e asciugamano.")</f>
        <v>Una signora si siede a un tavolo con scarpa, acqua, sale, pennello e asciugamano.</v>
      </c>
    </row>
    <row r="31739">
      <c r="A31739" s="4" t="s">
        <v>39956</v>
      </c>
      <c r="B31739" s="4" t="s">
        <v>39958</v>
      </c>
      <c r="C31739" s="5" t="str">
        <f>IFERROR(__xludf.DUMMYFUNCTION("GOOGLETRANSLATE(B31739,""en"",""it"")"),"La signora mette sale l'acqua e immerge il pennello, quindi spazzola la scarpa.")</f>
        <v>La signora mette sale l'acqua e immerge il pennello, quindi spazzola la scarpa.</v>
      </c>
    </row>
    <row r="31740">
      <c r="A31740" s="4" t="s">
        <v>39956</v>
      </c>
      <c r="B31740" s="4" t="s">
        <v>39959</v>
      </c>
      <c r="C31740" s="5" t="str">
        <f>IFERROR(__xludf.DUMMYFUNCTION("GOOGLETRANSLATE(B31740,""en"",""it"")"),"La signora asciuga la scarpa con l'asciugamano e parla alla telecamera.")</f>
        <v>La signora asciuga la scarpa con l'asciugamano e parla alla telecamera.</v>
      </c>
    </row>
    <row r="31741">
      <c r="A31741" s="4" t="s">
        <v>39956</v>
      </c>
      <c r="B31741" s="4" t="s">
        <v>39960</v>
      </c>
      <c r="C31741" s="5" t="str">
        <f>IFERROR(__xludf.DUMMYFUNCTION("GOOGLETRANSLATE(B31741,""en"",""it"")"),"Vediamo una schermata del titolo finale.")</f>
        <v>Vediamo una schermata del titolo finale.</v>
      </c>
    </row>
    <row r="31742">
      <c r="A31742" s="4" t="s">
        <v>39961</v>
      </c>
      <c r="B31742" s="4" t="s">
        <v>39962</v>
      </c>
      <c r="C31742" s="5" t="str">
        <f>IFERROR(__xludf.DUMMYFUNCTION("GOOGLETRANSLATE(B31742,""en"",""it"")"),"Un cane sta facendo un bagno fuori.")</f>
        <v>Un cane sta facendo un bagno fuori.</v>
      </c>
    </row>
    <row r="31743">
      <c r="A31743" s="4" t="s">
        <v>39961</v>
      </c>
      <c r="B31743" s="4" t="s">
        <v>39963</v>
      </c>
      <c r="C31743" s="5" t="str">
        <f>IFERROR(__xludf.DUMMYFUNCTION("GOOGLETRANSLATE(B31743,""en"",""it"")"),"Il sapone viene elaborato attraverso il cappotto e poi spazzato via.")</f>
        <v>Il sapone viene elaborato attraverso il cappotto e poi spazzato via.</v>
      </c>
    </row>
    <row r="31744">
      <c r="A31744" s="4" t="s">
        <v>39964</v>
      </c>
      <c r="B31744" s="4" t="s">
        <v>39965</v>
      </c>
      <c r="C31744" s="5" t="str">
        <f>IFERROR(__xludf.DUMMYFUNCTION("GOOGLETRANSLATE(B31744,""en"",""it"")"),"C'è un uomo senza camicia che indossa jeans in denim in una foresta.")</f>
        <v>C'è un uomo senza camicia che indossa jeans in denim in una foresta.</v>
      </c>
    </row>
    <row r="31745">
      <c r="A31745" s="4" t="s">
        <v>39964</v>
      </c>
      <c r="B31745" s="4" t="s">
        <v>39966</v>
      </c>
      <c r="C31745" s="5" t="str">
        <f>IFERROR(__xludf.DUMMYFUNCTION("GOOGLETRANSLATE(B31745,""en"",""it"")"),"Sta tagliando il legno da una corteccia di albero tagliata con un martello.")</f>
        <v>Sta tagliando il legno da una corteccia di albero tagliata con un martello.</v>
      </c>
    </row>
    <row r="31746">
      <c r="A31746" s="4" t="s">
        <v>39964</v>
      </c>
      <c r="B31746" s="4" t="s">
        <v>39967</v>
      </c>
      <c r="C31746" s="5" t="str">
        <f>IFERROR(__xludf.DUMMYFUNCTION("GOOGLETRANSLATE(B31746,""en"",""it"")"),"Ha colpito il tronco tritato di legno con tutta la sua forza.")</f>
        <v>Ha colpito il tronco tritato di legno con tutta la sua forza.</v>
      </c>
    </row>
    <row r="31747">
      <c r="A31747" s="4" t="s">
        <v>39968</v>
      </c>
      <c r="B31747" s="6" t="s">
        <v>39969</v>
      </c>
      <c r="C31747" s="5" t="str">
        <f>IFERROR(__xludf.DUMMYFUNCTION("GOOGLETRANSLATE(B31747,""en"",""it"")"),"Un piccolo gruppo di persone è visto in piedi attorno a un tavolo pieno di tazze da solista e uno che cattura una tazza.")</f>
        <v>Un piccolo gruppo di persone è visto in piedi attorno a un tavolo pieno di tazze da solista e uno che cattura una tazza.</v>
      </c>
    </row>
    <row r="31748">
      <c r="A31748" s="4" t="s">
        <v>39968</v>
      </c>
      <c r="B31748" s="4" t="s">
        <v>39970</v>
      </c>
      <c r="C31748" s="5" t="str">
        <f>IFERROR(__xludf.DUMMYFUNCTION("GOOGLETRANSLATE(B31748,""en"",""it"")"),"L'uomo quindi beve da una tazza e procede a crollare sul tavolo.")</f>
        <v>L'uomo quindi beve da una tazza e procede a crollare sul tavolo.</v>
      </c>
    </row>
    <row r="31749">
      <c r="A31749" s="4" t="s">
        <v>39971</v>
      </c>
      <c r="B31749" s="4" t="s">
        <v>39972</v>
      </c>
      <c r="C31749" s="5" t="str">
        <f>IFERROR(__xludf.DUMMYFUNCTION("GOOGLETRANSLATE(B31749,""en"",""it"")"),"Un uomo è rotolando fuori in un parcheggio.")</f>
        <v>Un uomo è rotolando fuori in un parcheggio.</v>
      </c>
    </row>
    <row r="31750">
      <c r="A31750" s="4" t="s">
        <v>39971</v>
      </c>
      <c r="B31750" s="4" t="s">
        <v>39973</v>
      </c>
      <c r="C31750" s="5" t="str">
        <f>IFERROR(__xludf.DUMMYFUNCTION("GOOGLETRANSLATE(B31750,""en"",""it"")"),"Fa diversi trucchi sui suoi rollerblades.")</f>
        <v>Fa diversi trucchi sui suoi rollerblades.</v>
      </c>
    </row>
    <row r="31751">
      <c r="A31751" s="4" t="s">
        <v>39971</v>
      </c>
      <c r="B31751" s="4" t="s">
        <v>39974</v>
      </c>
      <c r="C31751" s="5" t="str">
        <f>IFERROR(__xludf.DUMMYFUNCTION("GOOGLETRANSLATE(B31751,""en"",""it"")"),"Fa una ruota del carrello a terra.")</f>
        <v>Fa una ruota del carrello a terra.</v>
      </c>
    </row>
    <row r="31752">
      <c r="A31752" s="4" t="s">
        <v>39975</v>
      </c>
      <c r="B31752" s="4" t="s">
        <v>39976</v>
      </c>
      <c r="C31752" s="5" t="str">
        <f>IFERROR(__xludf.DUMMYFUNCTION("GOOGLETRANSLATE(B31752,""en"",""it"")"),"Un uomo che scrive sul muro.")</f>
        <v>Un uomo che scrive sul muro.</v>
      </c>
    </row>
    <row r="31753">
      <c r="A31753" s="4" t="s">
        <v>39975</v>
      </c>
      <c r="B31753" s="4" t="s">
        <v>39977</v>
      </c>
      <c r="C31753" s="5" t="str">
        <f>IFERROR(__xludf.DUMMYFUNCTION("GOOGLETRANSLATE(B31753,""en"",""it"")"),"Passa a un prodotto in primo piano.")</f>
        <v>Passa a un prodotto in primo piano.</v>
      </c>
    </row>
    <row r="31754">
      <c r="A31754" s="4" t="s">
        <v>39975</v>
      </c>
      <c r="B31754" s="4" t="s">
        <v>39978</v>
      </c>
      <c r="C31754" s="5" t="str">
        <f>IFERROR(__xludf.DUMMYFUNCTION("GOOGLETRANSLATE(B31754,""en"",""it"")"),"L'uomo scrive di nuovo sul muro.")</f>
        <v>L'uomo scrive di nuovo sul muro.</v>
      </c>
    </row>
    <row r="31755">
      <c r="A31755" s="4" t="s">
        <v>39975</v>
      </c>
      <c r="B31755" s="4" t="s">
        <v>39979</v>
      </c>
      <c r="C31755" s="5" t="str">
        <f>IFERROR(__xludf.DUMMYFUNCTION("GOOGLETRANSLATE(B31755,""en"",""it"")"),"Comincia ad applicare il prodotto.")</f>
        <v>Comincia ad applicare il prodotto.</v>
      </c>
    </row>
    <row r="31756">
      <c r="A31756" s="4" t="s">
        <v>39975</v>
      </c>
      <c r="B31756" s="4" t="s">
        <v>39980</v>
      </c>
      <c r="C31756" s="5" t="str">
        <f>IFERROR(__xludf.DUMMYFUNCTION("GOOGLETRANSLATE(B31756,""en"",""it"")"),"Passa di nuovo al prodotto.")</f>
        <v>Passa di nuovo al prodotto.</v>
      </c>
    </row>
    <row r="31757">
      <c r="A31757" s="4" t="s">
        <v>39975</v>
      </c>
      <c r="B31757" s="4" t="s">
        <v>39981</v>
      </c>
      <c r="C31757" s="5" t="str">
        <f>IFERROR(__xludf.DUMMYFUNCTION("GOOGLETRANSLATE(B31757,""en"",""it"")"),"Scrive sul muro.")</f>
        <v>Scrive sul muro.</v>
      </c>
    </row>
    <row r="31758">
      <c r="A31758" s="4" t="s">
        <v>39975</v>
      </c>
      <c r="B31758" s="4" t="s">
        <v>39982</v>
      </c>
      <c r="C31758" s="5" t="str">
        <f>IFERROR(__xludf.DUMMYFUNCTION("GOOGLETRANSLATE(B31758,""en"",""it"")"),"Comincia a esprimere strumenti.")</f>
        <v>Comincia a esprimere strumenti.</v>
      </c>
    </row>
    <row r="31759">
      <c r="A31759" s="4" t="s">
        <v>39975</v>
      </c>
      <c r="B31759" s="4" t="s">
        <v>39983</v>
      </c>
      <c r="C31759" s="5" t="str">
        <f>IFERROR(__xludf.DUMMYFUNCTION("GOOGLETRANSLATE(B31759,""en"",""it"")"),"Successivamente misura e livella il muro.")</f>
        <v>Successivamente misura e livella il muro.</v>
      </c>
    </row>
    <row r="31760">
      <c r="A31760" s="4" t="s">
        <v>39975</v>
      </c>
      <c r="B31760" s="4" t="s">
        <v>39984</v>
      </c>
      <c r="C31760" s="5" t="str">
        <f>IFERROR(__xludf.DUMMYFUNCTION("GOOGLETRANSLATE(B31760,""en"",""it"")"),"Tira fuori il prodotto e inizia a posizionare un cappotto sulla fessura nel muro.")</f>
        <v>Tira fuori il prodotto e inizia a posizionare un cappotto sulla fessura nel muro.</v>
      </c>
    </row>
    <row r="31761">
      <c r="A31761" s="4" t="s">
        <v>39975</v>
      </c>
      <c r="B31761" s="4" t="s">
        <v>39985</v>
      </c>
      <c r="C31761" s="5" t="str">
        <f>IFERROR(__xludf.DUMMYFUNCTION("GOOGLETRANSLATE(B31761,""en"",""it"")"),"Quindi prende un rullo e lo rotola lungo il muro.")</f>
        <v>Quindi prende un rullo e lo rotola lungo il muro.</v>
      </c>
    </row>
    <row r="31762">
      <c r="A31762" s="4" t="s">
        <v>39975</v>
      </c>
      <c r="B31762" s="4" t="s">
        <v>39986</v>
      </c>
      <c r="C31762" s="5" t="str">
        <f>IFERROR(__xludf.DUMMYFUNCTION("GOOGLETRANSLATE(B31762,""en"",""it"")"),"Successivamente è appeso e applica un foglio bianco al muro.")</f>
        <v>Successivamente è appeso e applica un foglio bianco al muro.</v>
      </c>
    </row>
    <row r="31763">
      <c r="A31763" s="4" t="s">
        <v>39975</v>
      </c>
      <c r="B31763" s="4" t="s">
        <v>39987</v>
      </c>
      <c r="C31763" s="5" t="str">
        <f>IFERROR(__xludf.DUMMYFUNCTION("GOOGLETRANSLATE(B31763,""en"",""it"")"),"Ripete il processo nelle diverse sezioni del muro che ne hanno bisogno.")</f>
        <v>Ripete il processo nelle diverse sezioni del muro che ne hanno bisogno.</v>
      </c>
    </row>
    <row r="31764">
      <c r="A31764" s="4" t="s">
        <v>39975</v>
      </c>
      <c r="B31764" s="4" t="s">
        <v>39988</v>
      </c>
      <c r="C31764" s="5" t="str">
        <f>IFERROR(__xludf.DUMMYFUNCTION("GOOGLETRANSLATE(B31764,""en"",""it"")"),"Ora scrive di nuovo sul muro.")</f>
        <v>Ora scrive di nuovo sul muro.</v>
      </c>
    </row>
    <row r="31765">
      <c r="A31765" s="4" t="s">
        <v>39975</v>
      </c>
      <c r="B31765" s="4" t="s">
        <v>39989</v>
      </c>
      <c r="C31765" s="5" t="str">
        <f>IFERROR(__xludf.DUMMYFUNCTION("GOOGLETRANSLATE(B31765,""en"",""it"")"),"Successivamente un cane salta davanti a un muro.")</f>
        <v>Successivamente un cane salta davanti a un muro.</v>
      </c>
    </row>
    <row r="31766">
      <c r="A31766" s="4" t="s">
        <v>39975</v>
      </c>
      <c r="B31766" s="4" t="s">
        <v>39990</v>
      </c>
      <c r="C31766" s="5" t="str">
        <f>IFERROR(__xludf.DUMMYFUNCTION("GOOGLETRANSLATE(B31766,""en"",""it"")"),"Scrive di nuovo sul muro.")</f>
        <v>Scrive di nuovo sul muro.</v>
      </c>
    </row>
    <row r="31767">
      <c r="A31767" s="4" t="s">
        <v>39975</v>
      </c>
      <c r="B31767" s="4" t="s">
        <v>39991</v>
      </c>
      <c r="C31767" s="5" t="str">
        <f>IFERROR(__xludf.DUMMYFUNCTION("GOOGLETRANSLATE(B31767,""en"",""it"")"),"Le lettere vengono visualizzate sullo schermo per il prodotto.")</f>
        <v>Le lettere vengono visualizzate sullo schermo per il prodotto.</v>
      </c>
    </row>
    <row r="31768">
      <c r="A31768" s="4" t="s">
        <v>39992</v>
      </c>
      <c r="B31768" s="4" t="s">
        <v>39993</v>
      </c>
      <c r="C31768" s="5" t="str">
        <f>IFERROR(__xludf.DUMMYFUNCTION("GOOGLETRANSLATE(B31768,""en"",""it"")"),"Diverse persone galleggiano lungo un fiume in tubi.")</f>
        <v>Diverse persone galleggiano lungo un fiume in tubi.</v>
      </c>
    </row>
    <row r="31769">
      <c r="A31769" s="4" t="s">
        <v>39992</v>
      </c>
      <c r="B31769" s="4" t="s">
        <v>39994</v>
      </c>
      <c r="C31769" s="5" t="str">
        <f>IFERROR(__xludf.DUMMYFUNCTION("GOOGLETRANSLATE(B31769,""en"",""it"")"),"Passano attraverso diverse rocce.")</f>
        <v>Passano attraverso diverse rocce.</v>
      </c>
    </row>
    <row r="31770">
      <c r="A31770" s="4" t="s">
        <v>39992</v>
      </c>
      <c r="B31770" s="4" t="s">
        <v>39995</v>
      </c>
      <c r="C31770" s="5" t="str">
        <f>IFERROR(__xludf.DUMMYFUNCTION("GOOGLETRANSLATE(B31770,""en"",""it"")"),"L'acqua diventa ruvida come il passato attraverso alcune rocce.")</f>
        <v>L'acqua diventa ruvida come il passato attraverso alcune rocce.</v>
      </c>
    </row>
    <row r="31771">
      <c r="A31771" s="4" t="s">
        <v>39992</v>
      </c>
      <c r="B31771" s="4" t="s">
        <v>39996</v>
      </c>
      <c r="C31771" s="5" t="str">
        <f>IFERROR(__xludf.DUMMYFUNCTION("GOOGLETRANSLATE(B31771,""en"",""it"")"),"Diverse persone si alzano nel fiume.")</f>
        <v>Diverse persone si alzano nel fiume.</v>
      </c>
    </row>
    <row r="31772">
      <c r="A31772" s="4" t="s">
        <v>39997</v>
      </c>
      <c r="B31772" s="4" t="s">
        <v>39998</v>
      </c>
      <c r="C31772" s="5" t="str">
        <f>IFERROR(__xludf.DUMMYFUNCTION("GOOGLETRANSLATE(B31772,""en"",""it"")"),"Gli individui stanno dietro piattaforme nere in attesa di istruzioni.")</f>
        <v>Gli individui stanno dietro piattaforme nere in attesa di istruzioni.</v>
      </c>
    </row>
    <row r="31773">
      <c r="A31773" s="4" t="s">
        <v>39997</v>
      </c>
      <c r="B31773" s="4" t="s">
        <v>39999</v>
      </c>
      <c r="C31773" s="5" t="str">
        <f>IFERROR(__xludf.DUMMYFUNCTION("GOOGLETRANSLATE(B31773,""en"",""it"")"),"Gli individui stanno usando le mosse di danza per esercitare usando la piattaforma.")</f>
        <v>Gli individui stanno usando le mosse di danza per esercitare usando la piattaforma.</v>
      </c>
    </row>
    <row r="31774">
      <c r="A31774" s="4" t="s">
        <v>39997</v>
      </c>
      <c r="B31774" s="4" t="s">
        <v>40000</v>
      </c>
      <c r="C31774" s="5" t="str">
        <f>IFERROR(__xludf.DUMMYFUNCTION("GOOGLETRANSLATE(B31774,""en"",""it"")"),"Le persone saltano jack a destra della piattaforma.")</f>
        <v>Le persone saltano jack a destra della piattaforma.</v>
      </c>
    </row>
    <row r="31775">
      <c r="A31775" s="4" t="s">
        <v>39997</v>
      </c>
      <c r="B31775" s="4" t="s">
        <v>40001</v>
      </c>
      <c r="C31775" s="5" t="str">
        <f>IFERROR(__xludf.DUMMYFUNCTION("GOOGLETRANSLATE(B31775,""en"",""it"")"),"Le persone saltano jack a sinistra della piattaforma.")</f>
        <v>Le persone saltano jack a sinistra della piattaforma.</v>
      </c>
    </row>
    <row r="31776">
      <c r="A31776" s="4" t="s">
        <v>39997</v>
      </c>
      <c r="B31776" s="4" t="s">
        <v>40002</v>
      </c>
      <c r="C31776" s="5" t="str">
        <f>IFERROR(__xludf.DUMMYFUNCTION("GOOGLETRANSLATE(B31776,""en"",""it"")"),"La signora che aveva istruito il gruppo batte continuamente le mani e inizia a andarsene.")</f>
        <v>La signora che aveva istruito il gruppo batte continuamente le mani e inizia a andarsene.</v>
      </c>
    </row>
    <row r="31777">
      <c r="A31777" s="4" t="s">
        <v>40003</v>
      </c>
      <c r="B31777" s="4" t="s">
        <v>40004</v>
      </c>
      <c r="C31777" s="5" t="str">
        <f>IFERROR(__xludf.DUMMYFUNCTION("GOOGLETRANSLATE(B31777,""en"",""it"")"),"Una ragazza regge un pezzo di carta bianco e ha un disegno su di esso fatto con inchiostro nero.")</f>
        <v>Una ragazza regge un pezzo di carta bianco e ha un disegno su di esso fatto con inchiostro nero.</v>
      </c>
    </row>
    <row r="31778">
      <c r="A31778" s="4" t="s">
        <v>40003</v>
      </c>
      <c r="B31778" s="6" t="s">
        <v>40005</v>
      </c>
      <c r="C31778" s="5" t="str">
        <f>IFERROR(__xludf.DUMMYFUNCTION("GOOGLETRANSLATE(B31778,""en"",""it"")"),"La ragazza si gira quindi e il video viene accelerato per mostrare il suo disegno su una zucca vicino a una cucina mentre più persone si muovono intorno a lei.")</f>
        <v>La ragazza si gira quindi e il video viene accelerato per mostrare il suo disegno su una zucca vicino a una cucina mentre più persone si muovono intorno a lei.</v>
      </c>
    </row>
    <row r="31779">
      <c r="A31779" s="4" t="s">
        <v>40003</v>
      </c>
      <c r="B31779" s="6" t="s">
        <v>40006</v>
      </c>
      <c r="C31779" s="5" t="str">
        <f>IFERROR(__xludf.DUMMYFUNCTION("GOOGLETRANSLATE(B31779,""en"",""it"")"),"La ragazza finisce il disegno e inizia a ritagliarsi il design dalla zucca mentre il video è ancora in modalità Speed ​​Up.")</f>
        <v>La ragazza finisce il disegno e inizia a ritagliarsi il design dalla zucca mentre il video è ancora in modalità Speed ​​Up.</v>
      </c>
    </row>
    <row r="31780">
      <c r="A31780" s="4" t="s">
        <v>40003</v>
      </c>
      <c r="B31780" s="6" t="s">
        <v>40007</v>
      </c>
      <c r="C31780" s="5" t="str">
        <f>IFERROR(__xludf.DUMMYFUNCTION("GOOGLETRANSLATE(B31780,""en"",""it"")"),"La zucca è ora fatta scolpita e appare su uno schermo nero con solo l'area scolpita che illumina in un colore arancione.")</f>
        <v>La zucca è ora fatta scolpita e appare su uno schermo nero con solo l'area scolpita che illumina in un colore arancione.</v>
      </c>
    </row>
    <row r="31781">
      <c r="A31781" s="4" t="s">
        <v>40003</v>
      </c>
      <c r="B31781" s="6" t="s">
        <v>40008</v>
      </c>
      <c r="C31781" s="5" t="str">
        <f>IFERROR(__xludf.DUMMYFUNCTION("GOOGLETRANSLATE(B31781,""en"",""it"")"),"La ragazza appare di nuovo alzando il white paper, si esaurisce dalla stanza e lo schermo torna in nero con solo la zucca che illumina.")</f>
        <v>La ragazza appare di nuovo alzando il white paper, si esaurisce dalla stanza e lo schermo torna in nero con solo la zucca che illumina.</v>
      </c>
    </row>
    <row r="31782">
      <c r="A31782" s="4" t="s">
        <v>40009</v>
      </c>
      <c r="B31782" s="4" t="s">
        <v>40010</v>
      </c>
      <c r="C31782" s="5" t="str">
        <f>IFERROR(__xludf.DUMMYFUNCTION("GOOGLETRANSLATE(B31782,""en"",""it"")"),"Un grande uomo viene visto in piedi su un grande tappetino che cammina in avanti e urla al pubblico.")</f>
        <v>Un grande uomo viene visto in piedi su un grande tappetino che cammina in avanti e urla al pubblico.</v>
      </c>
    </row>
    <row r="31783">
      <c r="A31783" s="4" t="s">
        <v>40009</v>
      </c>
      <c r="B31783" s="4" t="s">
        <v>40011</v>
      </c>
      <c r="C31783" s="5" t="str">
        <f>IFERROR(__xludf.DUMMYFUNCTION("GOOGLETRANSLATE(B31783,""en"",""it"")"),"L'uomo quindi solleva la barra, poi di nuovo giù e urla ad alta voce.")</f>
        <v>L'uomo quindi solleva la barra, poi di nuovo giù e urla ad alta voce.</v>
      </c>
    </row>
    <row r="31784">
      <c r="A31784" s="4" t="s">
        <v>40009</v>
      </c>
      <c r="B31784" s="4" t="s">
        <v>40012</v>
      </c>
      <c r="C31784" s="5" t="str">
        <f>IFERROR(__xludf.DUMMYFUNCTION("GOOGLETRANSLATE(B31784,""en"",""it"")"),"Le stesse clip vengono nuovamente mostrate immediatamente dopo.")</f>
        <v>Le stesse clip vengono nuovamente mostrate immediatamente dopo.</v>
      </c>
    </row>
    <row r="31785">
      <c r="A31785" s="4" t="s">
        <v>40013</v>
      </c>
      <c r="B31785" s="4" t="s">
        <v>40014</v>
      </c>
      <c r="C31785" s="5" t="str">
        <f>IFERROR(__xludf.DUMMYFUNCTION("GOOGLETRANSLATE(B31785,""en"",""it"")"),"Viene visto un uomo parlare alla telecamera mentre tiene in mano una scarpa e uno smalto e indicare gli oggetti.")</f>
        <v>Viene visto un uomo parlare alla telecamera mentre tiene in mano una scarpa e uno smalto e indicare gli oggetti.</v>
      </c>
    </row>
    <row r="31786">
      <c r="A31786" s="4" t="s">
        <v>40013</v>
      </c>
      <c r="B31786" s="6" t="s">
        <v>40015</v>
      </c>
      <c r="C31786" s="5" t="str">
        <f>IFERROR(__xludf.DUMMYFUNCTION("GOOGLETRANSLATE(B31786,""en"",""it"")"),"L'uomo quindi strofina la scarpa con uno straccio mentre la fotocamera si ingrandisce su più prodotti e parla con la fotocamera.")</f>
        <v>L'uomo quindi strofina la scarpa con uno straccio mentre la fotocamera si ingrandisce su più prodotti e parla con la fotocamera.</v>
      </c>
    </row>
    <row r="31787">
      <c r="A31787" s="4" t="s">
        <v>40016</v>
      </c>
      <c r="B31787" s="4" t="s">
        <v>40017</v>
      </c>
      <c r="C31787" s="5" t="str">
        <f>IFERROR(__xludf.DUMMYFUNCTION("GOOGLETRANSLATE(B31787,""en"",""it"")"),"L'uomo è seduto in una stanza bianca giocando a Congas un bongos.")</f>
        <v>L'uomo è seduto in una stanza bianca giocando a Congas un bongos.</v>
      </c>
    </row>
    <row r="31788">
      <c r="A31788" s="4" t="s">
        <v>40016</v>
      </c>
      <c r="B31788" s="4" t="s">
        <v>40018</v>
      </c>
      <c r="C31788" s="5" t="str">
        <f>IFERROR(__xludf.DUMMYFUNCTION("GOOGLETRANSLATE(B31788,""en"",""it"")"),"Uomo grasso che indossa gli occhiali è seduto su una sedia in una stanza bianca.")</f>
        <v>Uomo grasso che indossa gli occhiali è seduto su una sedia in una stanza bianca.</v>
      </c>
    </row>
    <row r="31789">
      <c r="A31789" s="4" t="s">
        <v>40016</v>
      </c>
      <c r="B31789" s="4" t="s">
        <v>40019</v>
      </c>
      <c r="C31789" s="5" t="str">
        <f>IFERROR(__xludf.DUMMYFUNCTION("GOOGLETRANSLATE(B31789,""en"",""it"")"),"L'uomo è seduto in una stanza suonando musica di salsa con i bongos.")</f>
        <v>L'uomo è seduto in una stanza suonando musica di salsa con i bongos.</v>
      </c>
    </row>
    <row r="31790">
      <c r="A31790" s="4" t="s">
        <v>40020</v>
      </c>
      <c r="B31790" s="4" t="s">
        <v>40021</v>
      </c>
      <c r="C31790" s="5" t="str">
        <f>IFERROR(__xludf.DUMMYFUNCTION("GOOGLETRANSLATE(B31790,""en"",""it"")"),"La donna sta arrampicando una parete di roccia in palestra e un uomo sta tirando le corde.")</f>
        <v>La donna sta arrampicando una parete di roccia in palestra e un uomo sta tirando le corde.</v>
      </c>
    </row>
    <row r="31791">
      <c r="A31791" s="4" t="s">
        <v>40020</v>
      </c>
      <c r="B31791" s="4" t="s">
        <v>40022</v>
      </c>
      <c r="C31791" s="5" t="str">
        <f>IFERROR(__xludf.DUMMYFUNCTION("GOOGLETRANSLATE(B31791,""en"",""it"")"),"La donna inizia a scendere dal muro di roccia.")</f>
        <v>La donna inizia a scendere dal muro di roccia.</v>
      </c>
    </row>
    <row r="31792">
      <c r="A31792" s="4" t="s">
        <v>40023</v>
      </c>
      <c r="B31792" s="4" t="s">
        <v>40024</v>
      </c>
      <c r="C31792" s="5" t="str">
        <f>IFERROR(__xludf.DUMMYFUNCTION("GOOGLETRANSLATE(B31792,""en"",""it"")"),"Viene mostrata una clip di una persona su una scia che cavalca su alcune onde e si schianta nell'acqua.")</f>
        <v>Viene mostrata una clip di una persona su una scia che cavalca su alcune onde e si schianta nell'acqua.</v>
      </c>
    </row>
    <row r="31793">
      <c r="A31793" s="4" t="s">
        <v>40023</v>
      </c>
      <c r="B31793" s="6" t="s">
        <v>40025</v>
      </c>
      <c r="C31793" s="5" t="str">
        <f>IFERROR(__xludf.DUMMYFUNCTION("GOOGLETRANSLATE(B31793,""en"",""it"")"),"Vengono mostrate diverse altre clip di persone che cavalcano le sveglia sulle onde dell'oceano che scivolano lungo.")</f>
        <v>Vengono mostrate diverse altre clip di persone che cavalcano le sveglia sulle onde dell'oceano che scivolano lungo.</v>
      </c>
    </row>
    <row r="31794">
      <c r="A31794" s="4" t="s">
        <v>40026</v>
      </c>
      <c r="B31794" s="6" t="s">
        <v>40027</v>
      </c>
      <c r="C31794" s="5" t="str">
        <f>IFERROR(__xludf.DUMMYFUNCTION("GOOGLETRANSLATE(B31794,""en"",""it"")"),"Una ragazza che indossa una sciarpa viene vista parlare con la telecamera e inizia a mescolare vari ingredienti in una ciotola.")</f>
        <v>Una ragazza che indossa una sciarpa viene vista parlare con la telecamera e inizia a mescolare vari ingredienti in una ciotola.</v>
      </c>
    </row>
    <row r="31795">
      <c r="A31795" s="4" t="s">
        <v>40026</v>
      </c>
      <c r="B31795" s="6" t="s">
        <v>40028</v>
      </c>
      <c r="C31795" s="5" t="str">
        <f>IFERROR(__xludf.DUMMYFUNCTION("GOOGLETRANSLATE(B31795,""en"",""it"")"),"Mette la pastella in cerchio su padelle separate e mostra i biscotti che ha fatto dopo aver finito.")</f>
        <v>Mette la pastella in cerchio su padelle separate e mostra i biscotti che ha fatto dopo aver finito.</v>
      </c>
    </row>
    <row r="31796">
      <c r="A31796" s="4" t="s">
        <v>40029</v>
      </c>
      <c r="B31796" s="4" t="s">
        <v>40030</v>
      </c>
      <c r="C31796" s="5" t="str">
        <f>IFERROR(__xludf.DUMMYFUNCTION("GOOGLETRANSLATE(B31796,""en"",""it"")"),"Un uomo sta camminando in cerchio al centro di una folla.")</f>
        <v>Un uomo sta camminando in cerchio al centro di una folla.</v>
      </c>
    </row>
    <row r="31797">
      <c r="A31797" s="4" t="s">
        <v>40029</v>
      </c>
      <c r="B31797" s="4" t="s">
        <v>40031</v>
      </c>
      <c r="C31797" s="5" t="str">
        <f>IFERROR(__xludf.DUMMYFUNCTION("GOOGLETRANSLATE(B31797,""en"",""it"")"),"Comincia a rompere la danza.")</f>
        <v>Comincia a rompere la danza.</v>
      </c>
    </row>
    <row r="31798">
      <c r="A31798" s="4" t="s">
        <v>40029</v>
      </c>
      <c r="B31798" s="6" t="s">
        <v>40032</v>
      </c>
      <c r="C31798" s="5" t="str">
        <f>IFERROR(__xludf.DUMMYFUNCTION("GOOGLETRANSLATE(B31798,""en"",""it"")"),"Vengono mostrate diverse clip di uomini che danzano in luoghi diversi, mentre si capovolgono, girano e si esibiscono per la folla.")</f>
        <v>Vengono mostrate diverse clip di uomini che danzano in luoghi diversi, mentre si capovolgono, girano e si esibiscono per la folla.</v>
      </c>
    </row>
    <row r="31799">
      <c r="A31799" s="4" t="s">
        <v>40033</v>
      </c>
      <c r="B31799" s="4" t="s">
        <v>40034</v>
      </c>
      <c r="C31799" s="5" t="str">
        <f>IFERROR(__xludf.DUMMYFUNCTION("GOOGLETRANSLATE(B31799,""en"",""it"")"),"Ci sono due uomini vestiti scozzesi e abbigliamento in piedi nel cortile.")</f>
        <v>Ci sono due uomini vestiti scozzesi e abbigliamento in piedi nel cortile.</v>
      </c>
    </row>
    <row r="31800">
      <c r="A31800" s="4" t="s">
        <v>40033</v>
      </c>
      <c r="B31800" s="4" t="s">
        <v>40035</v>
      </c>
      <c r="C31800" s="5" t="str">
        <f>IFERROR(__xludf.DUMMYFUNCTION("GOOGLETRANSLATE(B31800,""en"",""it"")"),"Uno degli uomini è suonare le cornamuse e l'altro sta suonando la batteria.")</f>
        <v>Uno degli uomini è suonare le cornamuse e l'altro sta suonando la batteria.</v>
      </c>
    </row>
    <row r="31801">
      <c r="A31801" s="4" t="s">
        <v>40033</v>
      </c>
      <c r="B31801" s="4" t="s">
        <v>40036</v>
      </c>
      <c r="C31801" s="5" t="str">
        <f>IFERROR(__xludf.DUMMYFUNCTION("GOOGLETRANSLATE(B31801,""en"",""it"")"),"Una donna turistica supera loro mentre continuano a giocare.")</f>
        <v>Una donna turistica supera loro mentre continuano a giocare.</v>
      </c>
    </row>
    <row r="31802">
      <c r="A31802" s="4" t="s">
        <v>40037</v>
      </c>
      <c r="B31802" s="4" t="s">
        <v>40038</v>
      </c>
      <c r="C31802" s="5" t="str">
        <f>IFERROR(__xludf.DUMMYFUNCTION("GOOGLETRANSLATE(B31802,""en"",""it"")"),"Viene mostrato un tavolo da poker vuoto seguito da una donna che tratta di carte e parla alla telecamera.")</f>
        <v>Viene mostrato un tavolo da poker vuoto seguito da una donna che tratta di carte e parla alla telecamera.</v>
      </c>
    </row>
    <row r="31803">
      <c r="A31803" s="4" t="s">
        <v>40037</v>
      </c>
      <c r="B31803" s="4" t="s">
        <v>40039</v>
      </c>
      <c r="C31803" s="5" t="str">
        <f>IFERROR(__xludf.DUMMYFUNCTION("GOOGLETRANSLATE(B31803,""en"",""it"")"),"Lei istruisce come giocare mentre parla ancora alla telecamera e sorride.")</f>
        <v>Lei istruisce come giocare mentre parla ancora alla telecamera e sorride.</v>
      </c>
    </row>
    <row r="31804">
      <c r="A31804" s="4" t="s">
        <v>40040</v>
      </c>
      <c r="B31804" s="4" t="s">
        <v>40041</v>
      </c>
      <c r="C31804" s="5" t="str">
        <f>IFERROR(__xludf.DUMMYFUNCTION("GOOGLETRANSLATE(B31804,""en"",""it"")"),"Un uomo è in piedi in una stanza.")</f>
        <v>Un uomo è in piedi in una stanza.</v>
      </c>
    </row>
    <row r="31805">
      <c r="A31805" s="4" t="s">
        <v>40040</v>
      </c>
      <c r="B31805" s="4" t="s">
        <v>40042</v>
      </c>
      <c r="C31805" s="5" t="str">
        <f>IFERROR(__xludf.DUMMYFUNCTION("GOOGLETRANSLATE(B31805,""en"",""it"")"),"Stanno lanciando freccette a bordo di freccette.")</f>
        <v>Stanno lanciando freccette a bordo di freccette.</v>
      </c>
    </row>
    <row r="31806">
      <c r="A31806" s="4" t="s">
        <v>40040</v>
      </c>
      <c r="B31806" s="4" t="s">
        <v>40043</v>
      </c>
      <c r="C31806" s="5" t="str">
        <f>IFERROR(__xludf.DUMMYFUNCTION("GOOGLETRANSLATE(B31806,""en"",""it"")"),"Una donna viene quindi e getta le freccette a bordo di freccette.")</f>
        <v>Una donna viene quindi e getta le freccette a bordo di freccette.</v>
      </c>
    </row>
    <row r="31807">
      <c r="A31807" s="4" t="s">
        <v>40044</v>
      </c>
      <c r="B31807" s="4" t="s">
        <v>40045</v>
      </c>
      <c r="C31807" s="5" t="str">
        <f>IFERROR(__xludf.DUMMYFUNCTION("GOOGLETRANSLATE(B31807,""en"",""it"")"),"Le persone si affrettano in un fiume fangoso, poi si accampano sulla riva per riposare e giocare.")</f>
        <v>Le persone si affrettano in un fiume fangoso, poi si accampano sulla riva per riposare e giocare.</v>
      </c>
    </row>
    <row r="31808">
      <c r="A31808" s="4" t="s">
        <v>40044</v>
      </c>
      <c r="B31808" s="6" t="s">
        <v>40046</v>
      </c>
      <c r="C31808" s="5" t="str">
        <f>IFERROR(__xludf.DUMMYFUNCTION("GOOGLETRANSLATE(B31808,""en"",""it"")"),"Quindi, l'uomo continua a rafting nel fiume e un uomo cade in acqua e i suoi amici lo salvano, poi continuano a rafting.")</f>
        <v>Quindi, l'uomo continua a rafting nel fiume e un uomo cade in acqua e i suoi amici lo salvano, poi continuano a rafting.</v>
      </c>
    </row>
    <row r="31809">
      <c r="A31809" s="4" t="s">
        <v>40044</v>
      </c>
      <c r="B31809" s="4" t="s">
        <v>40047</v>
      </c>
      <c r="C31809" s="5" t="str">
        <f>IFERROR(__xludf.DUMMYFUNCTION("GOOGLETRANSLATE(B31809,""en"",""it"")"),"Una donna e un uomo stanno succedendo un elicottero, poi l'elicottero vola.")</f>
        <v>Una donna e un uomo stanno succedendo un elicottero, poi l'elicottero vola.</v>
      </c>
    </row>
    <row r="31810">
      <c r="A31810" s="4" t="s">
        <v>40048</v>
      </c>
      <c r="B31810" s="4" t="s">
        <v>40049</v>
      </c>
      <c r="C31810" s="5" t="str">
        <f>IFERROR(__xludf.DUMMYFUNCTION("GOOGLETRANSLATE(B31810,""en"",""it"")"),"Un fuoco da campo brucia brillantemente nella notte.")</f>
        <v>Un fuoco da campo brucia brillantemente nella notte.</v>
      </c>
    </row>
    <row r="31811">
      <c r="A31811" s="4" t="s">
        <v>40048</v>
      </c>
      <c r="B31811" s="4" t="s">
        <v>40050</v>
      </c>
      <c r="C31811" s="5" t="str">
        <f>IFERROR(__xludf.DUMMYFUNCTION("GOOGLETRANSLATE(B31811,""en"",""it"")"),"Il fuoco cresce lentamente di dimensioni.")</f>
        <v>Il fuoco cresce lentamente di dimensioni.</v>
      </c>
    </row>
    <row r="31812">
      <c r="A31812" s="4" t="s">
        <v>40048</v>
      </c>
      <c r="B31812" s="4" t="s">
        <v>40051</v>
      </c>
      <c r="C31812" s="5" t="str">
        <f>IFERROR(__xludf.DUMMYFUNCTION("GOOGLETRANSLATE(B31812,""en"",""it"")"),"La scena diventa più luminosa e meglio illuminata.")</f>
        <v>La scena diventa più luminosa e meglio illuminata.</v>
      </c>
    </row>
    <row r="31813">
      <c r="A31813" s="4" t="s">
        <v>40048</v>
      </c>
      <c r="B31813" s="4" t="s">
        <v>40052</v>
      </c>
      <c r="C31813" s="5" t="str">
        <f>IFERROR(__xludf.DUMMYFUNCTION("GOOGLETRANSLATE(B31813,""en"",""it"")"),"Ci sono alberi sullo sfondo.")</f>
        <v>Ci sono alberi sullo sfondo.</v>
      </c>
    </row>
    <row r="31814">
      <c r="A31814" s="4" t="s">
        <v>40053</v>
      </c>
      <c r="B31814" s="4" t="s">
        <v>40054</v>
      </c>
      <c r="C31814" s="5" t="str">
        <f>IFERROR(__xludf.DUMMYFUNCTION("GOOGLETRANSLATE(B31814,""en"",""it"")"),"Un primo piano di una persona conduce nella persona che guarda le mani e la strofina con il sapone.")</f>
        <v>Un primo piano di una persona conduce nella persona che guarda le mani e la strofina con il sapone.</v>
      </c>
    </row>
    <row r="31815">
      <c r="A31815" s="4" t="s">
        <v>40053</v>
      </c>
      <c r="B31815" s="6" t="s">
        <v>40055</v>
      </c>
      <c r="C31815" s="5" t="str">
        <f>IFERROR(__xludf.DUMMYFUNCTION("GOOGLETRANSLATE(B31815,""en"",""it"")"),"Un uomo viene mostrato che si strofina le mani in un lavandino mentre dimostra il modo corretto per lavarle le mani e immergerle sotto l'acqua.")</f>
        <v>Un uomo viene mostrato che si strofina le mani in un lavandino mentre dimostra il modo corretto per lavarle le mani e immergerle sotto l'acqua.</v>
      </c>
    </row>
    <row r="31816">
      <c r="A31816" s="4" t="s">
        <v>40053</v>
      </c>
      <c r="B31816" s="4" t="s">
        <v>40056</v>
      </c>
      <c r="C31816" s="5" t="str">
        <f>IFERROR(__xludf.DUMMYFUNCTION("GOOGLETRANSLATE(B31816,""en"",""it"")"),"L'uomo lo asciuga con uno straccio alla fine.")</f>
        <v>L'uomo lo asciuga con uno straccio alla fine.</v>
      </c>
    </row>
    <row r="31817">
      <c r="A31817" s="4" t="s">
        <v>40057</v>
      </c>
      <c r="B31817" s="4" t="s">
        <v>40058</v>
      </c>
      <c r="C31817" s="5" t="str">
        <f>IFERROR(__xludf.DUMMYFUNCTION("GOOGLETRANSLATE(B31817,""en"",""it"")"),"Un'auto si trasforma in una baia di autolavaggio.")</f>
        <v>Un'auto si trasforma in una baia di autolavaggio.</v>
      </c>
    </row>
    <row r="31818">
      <c r="A31818" s="4" t="s">
        <v>40057</v>
      </c>
      <c r="B31818" s="4" t="s">
        <v>40059</v>
      </c>
      <c r="C31818" s="5" t="str">
        <f>IFERROR(__xludf.DUMMYFUNCTION("GOOGLETRANSLATE(B31818,""en"",""it"")"),"Il conducente esce e inserisce denaro in una macchina.")</f>
        <v>Il conducente esce e inserisce denaro in una macchina.</v>
      </c>
    </row>
    <row r="31819">
      <c r="A31819" s="4" t="s">
        <v>40057</v>
      </c>
      <c r="B31819" s="4" t="s">
        <v>40060</v>
      </c>
      <c r="C31819" s="5" t="str">
        <f>IFERROR(__xludf.DUMMYFUNCTION("GOOGLETRANSLATE(B31819,""en"",""it"")"),"La persona quindi lava la propria auto con una lavatrice a pressione.")</f>
        <v>La persona quindi lava la propria auto con una lavatrice a pressione.</v>
      </c>
    </row>
    <row r="31820">
      <c r="A31820" s="4" t="s">
        <v>40057</v>
      </c>
      <c r="B31820" s="4" t="s">
        <v>40061</v>
      </c>
      <c r="C31820" s="5" t="str">
        <f>IFERROR(__xludf.DUMMYFUNCTION("GOOGLETRANSLATE(B31820,""en"",""it"")"),"Vediamo un'altra macchina e un distributore automatico.")</f>
        <v>Vediamo un'altra macchina e un distributore automatico.</v>
      </c>
    </row>
    <row r="31821">
      <c r="A31821" s="4" t="s">
        <v>40062</v>
      </c>
      <c r="B31821" s="4" t="s">
        <v>40063</v>
      </c>
      <c r="C31821" s="5" t="str">
        <f>IFERROR(__xludf.DUMMYFUNCTION("GOOGLETRANSLATE(B31821,""en"",""it"")"),"Un uomo viene visto in piedi accanto a una recinzione mentre la telecamera si muove intorno al lago nelle vicinanze.")</f>
        <v>Un uomo viene visto in piedi accanto a una recinzione mentre la telecamera si muove intorno al lago nelle vicinanze.</v>
      </c>
    </row>
    <row r="31822">
      <c r="A31822" s="4" t="s">
        <v>40062</v>
      </c>
      <c r="B31822" s="6" t="s">
        <v>40064</v>
      </c>
      <c r="C31822" s="5" t="str">
        <f>IFERROR(__xludf.DUMMYFUNCTION("GOOGLETRANSLATE(B31822,""en"",""it"")"),"L'uomo si china e inizia a dipingere la recinzione mentre la telecamera si concentra su una persona che scende.")</f>
        <v>L'uomo si china e inizia a dipingere la recinzione mentre la telecamera si concentra su una persona che scende.</v>
      </c>
    </row>
    <row r="31823">
      <c r="A31823" s="4" t="s">
        <v>40062</v>
      </c>
      <c r="B31823" s="6" t="s">
        <v>40065</v>
      </c>
      <c r="C31823" s="5" t="str">
        <f>IFERROR(__xludf.DUMMYFUNCTION("GOOGLETRANSLATE(B31823,""en"",""it"")"),"Un altro uomo si avvicina a un secchio e aiuta l'uomo a dipingere mentre il cameraman continua a guardarsi intorno.")</f>
        <v>Un altro uomo si avvicina a un secchio e aiuta l'uomo a dipingere mentre il cameraman continua a guardarsi intorno.</v>
      </c>
    </row>
    <row r="31824">
      <c r="A31824" s="4" t="s">
        <v>40066</v>
      </c>
      <c r="B31824" s="4" t="s">
        <v>40067</v>
      </c>
      <c r="C31824" s="5" t="str">
        <f>IFERROR(__xludf.DUMMYFUNCTION("GOOGLETRANSLATE(B31824,""en"",""it"")"),"Un'auto sta viaggiando attraverso strade e alberi coperti di neve prima di arrivare in una cabina.")</f>
        <v>Un'auto sta viaggiando attraverso strade e alberi coperti di neve prima di arrivare in una cabina.</v>
      </c>
    </row>
    <row r="31825">
      <c r="A31825" s="4" t="s">
        <v>40066</v>
      </c>
      <c r="B31825" s="4" t="s">
        <v>40068</v>
      </c>
      <c r="C31825" s="5" t="str">
        <f>IFERROR(__xludf.DUMMYFUNCTION("GOOGLETRANSLATE(B31825,""en"",""it"")"),"La gente ha messo gli sci e viene mostrato scendendo dalle colline, sci.")</f>
        <v>La gente ha messo gli sci e viene mostrato scendendo dalle colline, sci.</v>
      </c>
    </row>
    <row r="31826">
      <c r="A31826" s="4" t="s">
        <v>40066</v>
      </c>
      <c r="B31826" s="6" t="s">
        <v>40069</v>
      </c>
      <c r="C31826" s="5" t="str">
        <f>IFERROR(__xludf.DUMMYFUNCTION("GOOGLETRANSLATE(B31826,""en"",""it"")"),"Continuano a sciare, agitando la telecamera e mostrando una vista panoramica finale mentre il video termina.")</f>
        <v>Continuano a sciare, agitando la telecamera e mostrando una vista panoramica finale mentre il video termina.</v>
      </c>
    </row>
    <row r="31827">
      <c r="A31827" s="4" t="s">
        <v>40070</v>
      </c>
      <c r="B31827" s="4" t="s">
        <v>40071</v>
      </c>
      <c r="C31827" s="5" t="str">
        <f>IFERROR(__xludf.DUMMYFUNCTION("GOOGLETRANSLATE(B31827,""en"",""it"")"),"Varie schede del titolo lampeggiano davanti allo schermo.")</f>
        <v>Varie schede del titolo lampeggiano davanti allo schermo.</v>
      </c>
    </row>
    <row r="31828">
      <c r="A31828" s="4" t="s">
        <v>40070</v>
      </c>
      <c r="B31828" s="4" t="s">
        <v>40072</v>
      </c>
      <c r="C31828" s="5" t="str">
        <f>IFERROR(__xludf.DUMMYFUNCTION("GOOGLETRANSLATE(B31828,""en"",""it"")"),"Vediamo un cane e un uomo con un selfie stick che porta uno snowboard.")</f>
        <v>Vediamo un cane e un uomo con un selfie stick che porta uno snowboard.</v>
      </c>
    </row>
    <row r="31829">
      <c r="A31829" s="4" t="s">
        <v>40070</v>
      </c>
      <c r="B31829" s="4" t="s">
        <v>40073</v>
      </c>
      <c r="C31829" s="5" t="str">
        <f>IFERROR(__xludf.DUMMYFUNCTION("GOOGLETRANSLATE(B31829,""en"",""it"")"),"L'uomo sta snowboard e tiene in mano il selfie stick.")</f>
        <v>L'uomo sta snowboard e tiene in mano il selfie stick.</v>
      </c>
    </row>
    <row r="31830">
      <c r="A31830" s="4" t="s">
        <v>40070</v>
      </c>
      <c r="B31830" s="4" t="s">
        <v>40074</v>
      </c>
      <c r="C31830" s="5" t="str">
        <f>IFERROR(__xludf.DUMMYFUNCTION("GOOGLETRANSLATE(B31830,""en"",""it"")"),"L'uomo sta giocando con il cane e vediamo il cane da vicino.")</f>
        <v>L'uomo sta giocando con il cane e vediamo il cane da vicino.</v>
      </c>
    </row>
    <row r="31831">
      <c r="A31831" s="4" t="s">
        <v>40070</v>
      </c>
      <c r="B31831" s="4" t="s">
        <v>40075</v>
      </c>
      <c r="C31831" s="5" t="str">
        <f>IFERROR(__xludf.DUMMYFUNCTION("GOOGLETRANSLATE(B31831,""en"",""it"")"),"L'uomo sta snowboard in discesa.")</f>
        <v>L'uomo sta snowboard in discesa.</v>
      </c>
    </row>
    <row r="31832">
      <c r="A31832" s="4" t="s">
        <v>40070</v>
      </c>
      <c r="B31832" s="4" t="s">
        <v>40076</v>
      </c>
      <c r="C31832" s="5" t="str">
        <f>IFERROR(__xludf.DUMMYFUNCTION("GOOGLETRANSLATE(B31832,""en"",""it"")"),"Si ferma di nuovo in accarezzare il suo cane prima di snowboard.")</f>
        <v>Si ferma di nuovo in accarezzare il suo cane prima di snowboard.</v>
      </c>
    </row>
    <row r="31833">
      <c r="A31833" s="4" t="s">
        <v>40070</v>
      </c>
      <c r="B31833" s="4" t="s">
        <v>40077</v>
      </c>
      <c r="C31833" s="5" t="str">
        <f>IFERROR(__xludf.DUMMYFUNCTION("GOOGLETRANSLATE(B31833,""en"",""it"")"),"L'uomo e il cane stanno camminando in una zona con poca neve.")</f>
        <v>L'uomo e il cane stanno camminando in una zona con poca neve.</v>
      </c>
    </row>
    <row r="31834">
      <c r="A31834" s="4" t="s">
        <v>40070</v>
      </c>
      <c r="B31834" s="4" t="s">
        <v>40078</v>
      </c>
      <c r="C31834" s="5" t="str">
        <f>IFERROR(__xludf.DUMMYFUNCTION("GOOGLETRANSLATE(B31834,""en"",""it"")"),"L'uomo monta la tavola e gli snowboard prima di metterlo nel suo camion.")</f>
        <v>L'uomo monta la tavola e gli snowboard prima di metterlo nel suo camion.</v>
      </c>
    </row>
    <row r="31835">
      <c r="A31835" s="4" t="s">
        <v>40070</v>
      </c>
      <c r="B31835" s="4" t="s">
        <v>40079</v>
      </c>
      <c r="C31835" s="5" t="str">
        <f>IFERROR(__xludf.DUMMYFUNCTION("GOOGLETRANSLATE(B31835,""en"",""it"")"),"Vediamo lo schermo GoPro.")</f>
        <v>Vediamo lo schermo GoPro.</v>
      </c>
    </row>
    <row r="31836">
      <c r="A31836" s="4" t="s">
        <v>40080</v>
      </c>
      <c r="B31836" s="4" t="s">
        <v>40081</v>
      </c>
      <c r="C31836" s="5" t="str">
        <f>IFERROR(__xludf.DUMMYFUNCTION("GOOGLETRANSLATE(B31836,""en"",""it"")"),"Un subacqueo sta nuotando sotto l'acqua blu.")</f>
        <v>Un subacqueo sta nuotando sotto l'acqua blu.</v>
      </c>
    </row>
    <row r="31837">
      <c r="A31837" s="4" t="s">
        <v>40080</v>
      </c>
      <c r="B31837" s="4" t="s">
        <v>40082</v>
      </c>
      <c r="C31837" s="5" t="str">
        <f>IFERROR(__xludf.DUMMYFUNCTION("GOOGLETRANSLATE(B31837,""en"",""it"")"),"Due subacquei che indossano il loro ossigeno sono sott'acqua, si stanno trattenendo sulla corda forte.")</f>
        <v>Due subacquei che indossano il loro ossigeno sono sott'acqua, si stanno trattenendo sulla corda forte.</v>
      </c>
    </row>
    <row r="31838">
      <c r="A31838" s="4" t="s">
        <v>40080</v>
      </c>
      <c r="B31838" s="4" t="s">
        <v>40083</v>
      </c>
      <c r="C31838" s="5" t="str">
        <f>IFERROR(__xludf.DUMMYFUNCTION("GOOGLETRANSLATE(B31838,""en"",""it"")"),"I subacquei si tuffano più in profondità nell'acqua, nuotano verso un letto di corallo sotto l'acqua.")</f>
        <v>I subacquei si tuffano più in profondità nell'acqua, nuotano verso un letto di corallo sotto l'acqua.</v>
      </c>
    </row>
    <row r="31839">
      <c r="A31839" s="4" t="s">
        <v>40080</v>
      </c>
      <c r="B31839" s="4" t="s">
        <v>40084</v>
      </c>
      <c r="C31839" s="5" t="str">
        <f>IFERROR(__xludf.DUMMYFUNCTION("GOOGLETRANSLATE(B31839,""en"",""it"")"),"La gente sta cavalcando la barca bianca verso l'oceano.")</f>
        <v>La gente sta cavalcando la barca bianca verso l'oceano.</v>
      </c>
    </row>
    <row r="31840">
      <c r="A31840" s="4" t="s">
        <v>40085</v>
      </c>
      <c r="B31840" s="4" t="s">
        <v>40086</v>
      </c>
      <c r="C31840" s="5" t="str">
        <f>IFERROR(__xludf.DUMMYFUNCTION("GOOGLETRANSLATE(B31840,""en"",""it"")"),"Una ginnasta femminile si prepara a montare il bar.")</f>
        <v>Una ginnasta femminile si prepara a montare il bar.</v>
      </c>
    </row>
    <row r="31841">
      <c r="A31841" s="4" t="s">
        <v>40085</v>
      </c>
      <c r="B31841" s="4" t="s">
        <v>40087</v>
      </c>
      <c r="C31841" s="5" t="str">
        <f>IFERROR(__xludf.DUMMYFUNCTION("GOOGLETRANSLATE(B31841,""en"",""it"")"),"Si monta, quindi fa diverse molle a mano, lancia in avanti e ribaltature.")</f>
        <v>Si monta, quindi fa diverse molle a mano, lancia in avanti e ribaltature.</v>
      </c>
    </row>
    <row r="31842">
      <c r="A31842" s="4" t="s">
        <v>40085</v>
      </c>
      <c r="B31842" s="4" t="s">
        <v>40088</v>
      </c>
      <c r="C31842" s="5" t="str">
        <f>IFERROR(__xludf.DUMMYFUNCTION("GOOGLETRANSLATE(B31842,""en"",""it"")"),"Quindi smonde, vomitando le braccia in aria.")</f>
        <v>Quindi smonde, vomitando le braccia in aria.</v>
      </c>
    </row>
    <row r="31843">
      <c r="A31843" s="4" t="s">
        <v>40089</v>
      </c>
      <c r="B31843" s="6" t="s">
        <v>40090</v>
      </c>
      <c r="C31843" s="5" t="str">
        <f>IFERROR(__xludf.DUMMYFUNCTION("GOOGLETRANSLATE(B31843,""en"",""it"")"),"Un bambino scende su uno scivolo in un parco giochi pieno di persone, quando il bambino tocca il pavimento, si alza e corre.")</f>
        <v>Un bambino scende su uno scivolo in un parco giochi pieno di persone, quando il bambino tocca il pavimento, si alza e corre.</v>
      </c>
    </row>
    <row r="31844">
      <c r="A31844" s="4" t="s">
        <v>40089</v>
      </c>
      <c r="B31844" s="4" t="s">
        <v>40091</v>
      </c>
      <c r="C31844" s="5" t="str">
        <f>IFERROR(__xludf.DUMMYFUNCTION("GOOGLETRANSLATE(B31844,""en"",""it"")"),"Improvvisamente, un uomo corre dietro il bambino.")</f>
        <v>Improvvisamente, un uomo corre dietro il bambino.</v>
      </c>
    </row>
    <row r="31845">
      <c r="A31845" s="4" t="s">
        <v>40092</v>
      </c>
      <c r="B31845" s="4" t="s">
        <v>40093</v>
      </c>
      <c r="C31845" s="5" t="str">
        <f>IFERROR(__xludf.DUMMYFUNCTION("GOOGLETRANSLATE(B31845,""en"",""it"")"),"Un uomo con una camicia bianca tiene in mano uno strumento.")</f>
        <v>Un uomo con una camicia bianca tiene in mano uno strumento.</v>
      </c>
    </row>
    <row r="31846">
      <c r="A31846" s="4" t="s">
        <v>40092</v>
      </c>
      <c r="B31846" s="4" t="s">
        <v>40094</v>
      </c>
      <c r="C31846" s="5" t="str">
        <f>IFERROR(__xludf.DUMMYFUNCTION("GOOGLETRANSLATE(B31846,""en"",""it"")"),"Comincia a ridurre le erbacce in un campo.")</f>
        <v>Comincia a ridurre le erbacce in un campo.</v>
      </c>
    </row>
    <row r="31847">
      <c r="A31847" s="4" t="s">
        <v>40092</v>
      </c>
      <c r="B31847" s="4" t="s">
        <v>40095</v>
      </c>
      <c r="C31847" s="5" t="str">
        <f>IFERROR(__xludf.DUMMYFUNCTION("GOOGLETRANSLATE(B31847,""en"",""it"")"),"Si ferma e mette lo strumento contro una recinzione.")</f>
        <v>Si ferma e mette lo strumento contro una recinzione.</v>
      </c>
    </row>
    <row r="31848">
      <c r="A31848" s="4" t="s">
        <v>40096</v>
      </c>
      <c r="B31848" s="4" t="s">
        <v>40097</v>
      </c>
      <c r="C31848" s="5" t="str">
        <f>IFERROR(__xludf.DUMMYFUNCTION("GOOGLETRANSLATE(B31848,""en"",""it"")"),"La gara inizia, uno dei piloti ha un enorme vantaggio prima ancora che l'altro inizi a muoversi.")</f>
        <v>La gara inizia, uno dei piloti ha un enorme vantaggio prima ancora che l'altro inizi a muoversi.</v>
      </c>
    </row>
    <row r="31849">
      <c r="A31849" s="4" t="s">
        <v>40096</v>
      </c>
      <c r="B31849" s="6" t="s">
        <v>40098</v>
      </c>
      <c r="C31849" s="5" t="str">
        <f>IFERROR(__xludf.DUMMYFUNCTION("GOOGLETRANSLATE(B31849,""en"",""it"")"),"Cominciano a correre, ma questa volta l'uomo che ha avuto il vantaggio richiede il suo tempo e l'uomo in blu corre veloce e salta nella sabbia.")</f>
        <v>Cominciano a correre, ma questa volta l'uomo che ha avuto il vantaggio richiede il suo tempo e l'uomo in blu corre veloce e salta nella sabbia.</v>
      </c>
    </row>
    <row r="31850">
      <c r="A31850" s="4" t="s">
        <v>40096</v>
      </c>
      <c r="B31850" s="4" t="s">
        <v>40099</v>
      </c>
      <c r="C31850" s="5" t="str">
        <f>IFERROR(__xludf.DUMMYFUNCTION("GOOGLETRANSLATE(B31850,""en"",""it"")"),"Corre e salta di nuovo, questa volta lo mostrano di nuovo al rallentatore.")</f>
        <v>Corre e salta di nuovo, questa volta lo mostrano di nuovo al rallentatore.</v>
      </c>
    </row>
    <row r="31851">
      <c r="A31851" s="4" t="s">
        <v>40096</v>
      </c>
      <c r="B31851" s="4" t="s">
        <v>40100</v>
      </c>
      <c r="C31851" s="5" t="str">
        <f>IFERROR(__xludf.DUMMYFUNCTION("GOOGLETRANSLATE(B31851,""en"",""it"")"),"Continua a praticare la sua corsa e salta ancora e ancora cercando di farlo perfetto.")</f>
        <v>Continua a praticare la sua corsa e salta ancora e ancora cercando di farlo perfetto.</v>
      </c>
    </row>
    <row r="31852">
      <c r="A31852" s="4" t="s">
        <v>40101</v>
      </c>
      <c r="B31852" s="4" t="s">
        <v>40102</v>
      </c>
      <c r="C31852" s="5" t="str">
        <f>IFERROR(__xludf.DUMMYFUNCTION("GOOGLETRANSLATE(B31852,""en"",""it"")"),"Le persone stanno passando le scale.")</f>
        <v>Le persone stanno passando le scale.</v>
      </c>
    </row>
    <row r="31853">
      <c r="A31853" s="4" t="s">
        <v>40101</v>
      </c>
      <c r="B31853" s="4" t="s">
        <v>40103</v>
      </c>
      <c r="C31853" s="5" t="str">
        <f>IFERROR(__xludf.DUMMYFUNCTION("GOOGLETRANSLATE(B31853,""en"",""it"")"),"Una persona cade in strada.")</f>
        <v>Una persona cade in strada.</v>
      </c>
    </row>
    <row r="31854">
      <c r="A31854" s="4" t="s">
        <v>40101</v>
      </c>
      <c r="B31854" s="4" t="s">
        <v>40104</v>
      </c>
      <c r="C31854" s="5" t="str">
        <f>IFERROR(__xludf.DUMMYFUNCTION("GOOGLETRANSLATE(B31854,""en"",""it"")"),"Uno scuolabus è sulla strada dietro di loro.")</f>
        <v>Uno scuolabus è sulla strada dietro di loro.</v>
      </c>
    </row>
    <row r="31855">
      <c r="A31855" s="4" t="s">
        <v>40105</v>
      </c>
      <c r="B31855" s="4" t="s">
        <v>40106</v>
      </c>
      <c r="C31855" s="5" t="str">
        <f>IFERROR(__xludf.DUMMYFUNCTION("GOOGLETRANSLATE(B31855,""en"",""it"")"),"Una donna è in piedi su un campo in cerchio.")</f>
        <v>Una donna è in piedi su un campo in cerchio.</v>
      </c>
    </row>
    <row r="31856">
      <c r="A31856" s="4" t="s">
        <v>40105</v>
      </c>
      <c r="B31856" s="4" t="s">
        <v>40107</v>
      </c>
      <c r="C31856" s="5" t="str">
        <f>IFERROR(__xludf.DUMMYFUNCTION("GOOGLETRANSLATE(B31856,""en"",""it"")"),"Gira mentre tiene in mano un disco.")</f>
        <v>Gira mentre tiene in mano un disco.</v>
      </c>
    </row>
    <row r="31857">
      <c r="A31857" s="4" t="s">
        <v>40105</v>
      </c>
      <c r="B31857" s="4" t="s">
        <v>40108</v>
      </c>
      <c r="C31857" s="5" t="str">
        <f>IFERROR(__xludf.DUMMYFUNCTION("GOOGLETRANSLATE(B31857,""en"",""it"")"),"Lei lascia accidentalmente andare e il disco vola dietro di lei.")</f>
        <v>Lei lascia accidentalmente andare e il disco vola dietro di lei.</v>
      </c>
    </row>
    <row r="31858">
      <c r="A31858" s="4" t="s">
        <v>40109</v>
      </c>
      <c r="B31858" s="6" t="s">
        <v>40110</v>
      </c>
      <c r="C31858" s="5" t="str">
        <f>IFERROR(__xludf.DUMMYFUNCTION("GOOGLETRANSLATE(B31858,""en"",""it"")"),"Una ragazza viene vista suonare un sassofono mentre guarda la telecamera e muove le mani su e giù.")</f>
        <v>Una ragazza viene vista suonare un sassofono mentre guarda la telecamera e muove le mani su e giù.</v>
      </c>
    </row>
    <row r="31859">
      <c r="A31859" s="4" t="s">
        <v>40109</v>
      </c>
      <c r="B31859" s="4" t="s">
        <v>40111</v>
      </c>
      <c r="C31859" s="5" t="str">
        <f>IFERROR(__xludf.DUMMYFUNCTION("GOOGLETRANSLATE(B31859,""en"",""it"")"),"La donna continua a suonare lo strumento e termina spegnendo la telecamera.")</f>
        <v>La donna continua a suonare lo strumento e termina spegnendo la telecamera.</v>
      </c>
    </row>
    <row r="31860">
      <c r="A31860" s="4" t="s">
        <v>40112</v>
      </c>
      <c r="B31860" s="4" t="s">
        <v>40113</v>
      </c>
      <c r="C31860" s="5" t="str">
        <f>IFERROR(__xludf.DUMMYFUNCTION("GOOGLETRANSLATE(B31860,""en"",""it"")"),"Vediamo uomini suonare strumenti in una piazza.")</f>
        <v>Vediamo uomini suonare strumenti in una piazza.</v>
      </c>
    </row>
    <row r="31861">
      <c r="A31861" s="4" t="s">
        <v>40112</v>
      </c>
      <c r="B31861" s="4" t="s">
        <v>40114</v>
      </c>
      <c r="C31861" s="5" t="str">
        <f>IFERROR(__xludf.DUMMYFUNCTION("GOOGLETRANSLATE(B31861,""en"",""it"")"),"L'uomo del front si gira verso gli uomini dietro di lui.")</f>
        <v>L'uomo del front si gira verso gli uomini dietro di lui.</v>
      </c>
    </row>
    <row r="31862">
      <c r="A31862" s="4" t="s">
        <v>40112</v>
      </c>
      <c r="B31862" s="4" t="s">
        <v>40115</v>
      </c>
      <c r="C31862" s="5" t="str">
        <f>IFERROR(__xludf.DUMMYFUNCTION("GOOGLETRANSLATE(B31862,""en"",""it"")"),"L'uomo di fronte afferra il microfono.")</f>
        <v>L'uomo di fronte afferra il microfono.</v>
      </c>
    </row>
    <row r="31863">
      <c r="A31863" s="4" t="s">
        <v>40112</v>
      </c>
      <c r="B31863" s="4" t="s">
        <v>40116</v>
      </c>
      <c r="C31863" s="5" t="str">
        <f>IFERROR(__xludf.DUMMYFUNCTION("GOOGLETRANSLATE(B31863,""en"",""it"")"),"La band finisce di suonare i loro strumenti.")</f>
        <v>La band finisce di suonare i loro strumenti.</v>
      </c>
    </row>
    <row r="31864">
      <c r="A31864" s="4" t="s">
        <v>40117</v>
      </c>
      <c r="B31864" s="4" t="s">
        <v>40118</v>
      </c>
      <c r="C31864" s="5" t="str">
        <f>IFERROR(__xludf.DUMMYFUNCTION("GOOGLETRANSLATE(B31864,""en"",""it"")"),"Su un grande campo c'è una squadra di lacrosse che gioca, si muovono tutti in modo strategico.")</f>
        <v>Su un grande campo c'è una squadra di lacrosse che gioca, si muovono tutti in modo strategico.</v>
      </c>
    </row>
    <row r="31865">
      <c r="A31865" s="4" t="s">
        <v>40117</v>
      </c>
      <c r="B31865" s="4" t="s">
        <v>40119</v>
      </c>
      <c r="C31865" s="5" t="str">
        <f>IFERROR(__xludf.DUMMYFUNCTION("GOOGLETRANSLATE(B31865,""en"",""it"")"),"Lanciano la palla cercando di fare l'obiettivo mentre l'altra squadra cerca di bloccarli.")</f>
        <v>Lanciano la palla cercando di fare l'obiettivo mentre l'altra squadra cerca di bloccarli.</v>
      </c>
    </row>
    <row r="31866">
      <c r="A31866" s="4" t="s">
        <v>40117</v>
      </c>
      <c r="B31866" s="4" t="s">
        <v>40120</v>
      </c>
      <c r="C31866" s="5" t="str">
        <f>IFERROR(__xludf.DUMMYFUNCTION("GOOGLETRANSLATE(B31866,""en"",""it"")"),"Stanno correndo in giro puoi vedere frecce per indicare ciò che sta succedendo qua e là.")</f>
        <v>Stanno correndo in giro puoi vedere frecce per indicare ciò che sta succedendo qua e là.</v>
      </c>
    </row>
    <row r="31867">
      <c r="A31867" s="4" t="s">
        <v>40117</v>
      </c>
      <c r="B31867" s="4" t="s">
        <v>40121</v>
      </c>
      <c r="C31867" s="5" t="str">
        <f>IFERROR(__xludf.DUMMYFUNCTION("GOOGLETRANSLATE(B31867,""en"",""it"")"),"È molto fisico e pratico sullo sport che richiede resistenza ed energia.")</f>
        <v>È molto fisico e pratico sullo sport che richiede resistenza ed energia.</v>
      </c>
    </row>
    <row r="31868">
      <c r="A31868" s="4" t="s">
        <v>40122</v>
      </c>
      <c r="B31868" s="4" t="s">
        <v>40123</v>
      </c>
      <c r="C31868" s="5" t="str">
        <f>IFERROR(__xludf.DUMMYFUNCTION("GOOGLETRANSLATE(B31868,""en"",""it"")"),"Un ragazzo con le estensioni delle gambe entra.")</f>
        <v>Un ragazzo con le estensioni delle gambe entra.</v>
      </c>
    </row>
    <row r="31869">
      <c r="A31869" s="4" t="s">
        <v>40122</v>
      </c>
      <c r="B31869" s="4" t="s">
        <v>40124</v>
      </c>
      <c r="C31869" s="5" t="str">
        <f>IFERROR(__xludf.DUMMYFUNCTION("GOOGLETRANSLATE(B31869,""en"",""it"")"),"Il ragazzo salta e si lancia su un trampolino.")</f>
        <v>Il ragazzo salta e si lancia su un trampolino.</v>
      </c>
    </row>
    <row r="31870">
      <c r="A31870" s="4" t="s">
        <v>40122</v>
      </c>
      <c r="B31870" s="4" t="s">
        <v>40125</v>
      </c>
      <c r="C31870" s="5" t="str">
        <f>IFERROR(__xludf.DUMMYFUNCTION("GOOGLETRANSLATE(B31870,""en"",""it"")"),"Un uomo e una donna rimuovono un attacco da un cavo e attaccano un altro.")</f>
        <v>Un uomo e una donna rimuovono un attacco da un cavo e attaccano un altro.</v>
      </c>
    </row>
    <row r="31871">
      <c r="A31871" s="4" t="s">
        <v>40122</v>
      </c>
      <c r="B31871" s="4" t="s">
        <v>40126</v>
      </c>
      <c r="C31871" s="5" t="str">
        <f>IFERROR(__xludf.DUMMYFUNCTION("GOOGLETRANSLATE(B31871,""en"",""it"")"),"I cavi vengono sollevati.")</f>
        <v>I cavi vengono sollevati.</v>
      </c>
    </row>
    <row r="31872">
      <c r="A31872" s="4" t="s">
        <v>40122</v>
      </c>
      <c r="B31872" s="4" t="s">
        <v>40127</v>
      </c>
      <c r="C31872" s="5" t="str">
        <f>IFERROR(__xludf.DUMMYFUNCTION("GOOGLETRANSLATE(B31872,""en"",""it"")"),"L'uomo e la donna rimuovono ciò che hanno rimosso dal trampolino e se ne vanno.")</f>
        <v>L'uomo e la donna rimuovono ciò che hanno rimosso dal trampolino e se ne vanno.</v>
      </c>
    </row>
    <row r="31873">
      <c r="A31873" s="4" t="s">
        <v>40122</v>
      </c>
      <c r="B31873" s="4" t="s">
        <v>40128</v>
      </c>
      <c r="C31873" s="5" t="str">
        <f>IFERROR(__xludf.DUMMYFUNCTION("GOOGLETRANSLATE(B31873,""en"",""it"")"),"Il ragazzo con le estensioni delle gambe parte.")</f>
        <v>Il ragazzo con le estensioni delle gambe parte.</v>
      </c>
    </row>
    <row r="31874">
      <c r="A31874" s="4" t="s">
        <v>40122</v>
      </c>
      <c r="B31874" s="4" t="s">
        <v>40129</v>
      </c>
      <c r="C31874" s="5" t="str">
        <f>IFERROR(__xludf.DUMMYFUNCTION("GOOGLETRANSLATE(B31874,""en"",""it"")"),"Due persone entrano con una sedia e un secchio.")</f>
        <v>Due persone entrano con una sedia e un secchio.</v>
      </c>
    </row>
    <row r="31875">
      <c r="A31875" s="4" t="s">
        <v>40130</v>
      </c>
      <c r="B31875" s="4" t="s">
        <v>40131</v>
      </c>
      <c r="C31875" s="5" t="str">
        <f>IFERROR(__xludf.DUMMYFUNCTION("GOOGLETRANSLATE(B31875,""en"",""it"")"),"Un subacqueo sta nuotando attraverso l'acqua in un videogioco.")</f>
        <v>Un subacqueo sta nuotando attraverso l'acqua in un videogioco.</v>
      </c>
    </row>
    <row r="31876">
      <c r="A31876" s="4" t="s">
        <v>40130</v>
      </c>
      <c r="B31876" s="4" t="s">
        <v>40132</v>
      </c>
      <c r="C31876" s="5" t="str">
        <f>IFERROR(__xludf.DUMMYFUNCTION("GOOGLETRANSLATE(B31876,""en"",""it"")"),"Stanno guardando attraverso le macerie di una vecchia nave.")</f>
        <v>Stanno guardando attraverso le macerie di una vecchia nave.</v>
      </c>
    </row>
    <row r="31877">
      <c r="A31877" s="4" t="s">
        <v>40130</v>
      </c>
      <c r="B31877" s="4" t="s">
        <v>40133</v>
      </c>
      <c r="C31877" s="5" t="str">
        <f>IFERROR(__xludf.DUMMYFUNCTION("GOOGLETRANSLATE(B31877,""en"",""it"")"),"Entrano nella loro barca e guidano.")</f>
        <v>Entrano nella loro barca e guidano.</v>
      </c>
    </row>
    <row r="31878">
      <c r="A31878" s="4" t="s">
        <v>40130</v>
      </c>
      <c r="B31878" s="4" t="s">
        <v>40134</v>
      </c>
      <c r="C31878" s="5" t="str">
        <f>IFERROR(__xludf.DUMMYFUNCTION("GOOGLETRANSLATE(B31878,""en"",""it"")"),"Saltano di nuovo sotto l'acqua.")</f>
        <v>Saltano di nuovo sotto l'acqua.</v>
      </c>
    </row>
    <row r="31879">
      <c r="A31879" s="4" t="s">
        <v>40135</v>
      </c>
      <c r="B31879" s="4" t="s">
        <v>40136</v>
      </c>
      <c r="C31879" s="5" t="str">
        <f>IFERROR(__xludf.DUMMYFUNCTION("GOOGLETRANSLATE(B31879,""en"",""it"")"),"Un uomo si prepara a correre lungo una pista interna.")</f>
        <v>Un uomo si prepara a correre lungo una pista interna.</v>
      </c>
    </row>
    <row r="31880">
      <c r="A31880" s="4" t="s">
        <v>40135</v>
      </c>
      <c r="B31880" s="4" t="s">
        <v>40137</v>
      </c>
      <c r="C31880" s="5" t="str">
        <f>IFERROR(__xludf.DUMMYFUNCTION("GOOGLETRANSLATE(B31880,""en"",""it"")"),"Corre, facendo passi da gigante.")</f>
        <v>Corre, facendo passi da gigante.</v>
      </c>
    </row>
    <row r="31881">
      <c r="A31881" s="4" t="s">
        <v>40135</v>
      </c>
      <c r="B31881" s="4" t="s">
        <v>40138</v>
      </c>
      <c r="C31881" s="5" t="str">
        <f>IFERROR(__xludf.DUMMYFUNCTION("GOOGLETRANSLATE(B31881,""en"",""it"")"),"Salta goffamente nella sabbia, atterrando sul suo viso.")</f>
        <v>Salta goffamente nella sabbia, atterrando sul suo viso.</v>
      </c>
    </row>
    <row r="31882">
      <c r="A31882" s="4" t="s">
        <v>40139</v>
      </c>
      <c r="B31882" s="6" t="s">
        <v>40140</v>
      </c>
      <c r="C31882" s="5" t="str">
        <f>IFERROR(__xludf.DUMMYFUNCTION("GOOGLETRANSLATE(B31882,""en"",""it"")"),"C'è un giovane che indossa una giacca blu e una camicia bianca in piedi vicino a un muro con piastrelle da bagno bianco.")</f>
        <v>C'è un giovane che indossa una giacca blu e una camicia bianca in piedi vicino a un muro con piastrelle da bagno bianco.</v>
      </c>
    </row>
    <row r="31883">
      <c r="A31883" s="4" t="s">
        <v>40139</v>
      </c>
      <c r="B31883" s="4" t="s">
        <v>40141</v>
      </c>
      <c r="C31883" s="5" t="str">
        <f>IFERROR(__xludf.DUMMYFUNCTION("GOOGLETRANSLATE(B31883,""en"",""it"")"),"Sta fumando una sigaretta.")</f>
        <v>Sta fumando una sigaretta.</v>
      </c>
    </row>
    <row r="31884">
      <c r="A31884" s="4" t="s">
        <v>40139</v>
      </c>
      <c r="B31884" s="6" t="s">
        <v>40142</v>
      </c>
      <c r="C31884" s="5" t="str">
        <f>IFERROR(__xludf.DUMMYFUNCTION("GOOGLETRANSLATE(B31884,""en"",""it"")"),"Continua a prendere diversi sbuffi della sigaretta mentre svuota le ceneri della sigaretta bruciata sul lato.")</f>
        <v>Continua a prendere diversi sbuffi della sigaretta mentre svuota le ceneri della sigaretta bruciata sul lato.</v>
      </c>
    </row>
    <row r="31885">
      <c r="A31885" s="4" t="s">
        <v>40139</v>
      </c>
      <c r="B31885" s="4" t="s">
        <v>40143</v>
      </c>
      <c r="C31885" s="5" t="str">
        <f>IFERROR(__xludf.DUMMYFUNCTION("GOOGLETRANSLATE(B31885,""en"",""it"")"),"Sembra un po 'confuso mentre continua a fumare la sigaretta.")</f>
        <v>Sembra un po 'confuso mentre continua a fumare la sigaretta.</v>
      </c>
    </row>
    <row r="31886">
      <c r="A31886" s="4" t="s">
        <v>40144</v>
      </c>
      <c r="B31886" s="4" t="s">
        <v>40145</v>
      </c>
      <c r="C31886" s="5" t="str">
        <f>IFERROR(__xludf.DUMMYFUNCTION("GOOGLETRANSLATE(B31886,""en"",""it"")"),"Tre persone sono viste in piedi su un campo sabbioso e conducono a segnare un goal.")</f>
        <v>Tre persone sono viste in piedi su un campo sabbioso e conducono a segnare un goal.</v>
      </c>
    </row>
    <row r="31887">
      <c r="A31887" s="4" t="s">
        <v>40144</v>
      </c>
      <c r="B31887" s="4" t="s">
        <v>40146</v>
      </c>
      <c r="C31887" s="5" t="str">
        <f>IFERROR(__xludf.DUMMYFUNCTION("GOOGLETRANSLATE(B31887,""en"",""it"")"),"Gli uomini festeggiano mentre la sua clip viene mostrata più volte.")</f>
        <v>Gli uomini festeggiano mentre la sua clip viene mostrata più volte.</v>
      </c>
    </row>
    <row r="31888">
      <c r="A31888" s="4" t="s">
        <v>40144</v>
      </c>
      <c r="B31888" s="4" t="s">
        <v>40147</v>
      </c>
      <c r="C31888" s="5" t="str">
        <f>IFERROR(__xludf.DUMMYFUNCTION("GOOGLETRANSLATE(B31888,""en"",""it"")"),"Gli uomini continuano a festeggiare e ricominciare a giocare.")</f>
        <v>Gli uomini continuano a festeggiare e ricominciare a giocare.</v>
      </c>
    </row>
    <row r="31889">
      <c r="A31889" s="4" t="s">
        <v>40148</v>
      </c>
      <c r="B31889" s="4" t="s">
        <v>40149</v>
      </c>
      <c r="C31889" s="5" t="str">
        <f>IFERROR(__xludf.DUMMYFUNCTION("GOOGLETRANSLATE(B31889,""en"",""it"")"),"Una signora si asciuga il rossetto dal viso.")</f>
        <v>Una signora si asciuga il rossetto dal viso.</v>
      </c>
    </row>
    <row r="31890">
      <c r="A31890" s="4" t="s">
        <v>40148</v>
      </c>
      <c r="B31890" s="4" t="s">
        <v>40150</v>
      </c>
      <c r="C31890" s="5" t="str">
        <f>IFERROR(__xludf.DUMMYFUNCTION("GOOGLETRANSLATE(B31890,""en"",""it"")"),"La signora quindi allinea le labbra con una matita.")</f>
        <v>La signora quindi allinea le labbra con una matita.</v>
      </c>
    </row>
    <row r="31891">
      <c r="A31891" s="4" t="s">
        <v>40148</v>
      </c>
      <c r="B31891" s="4" t="s">
        <v>40151</v>
      </c>
      <c r="C31891" s="5" t="str">
        <f>IFERROR(__xludf.DUMMYFUNCTION("GOOGLETRANSLATE(B31891,""en"",""it"")"),"La signora si ferma e regola la fotocamera.")</f>
        <v>La signora si ferma e regola la fotocamera.</v>
      </c>
    </row>
    <row r="31892">
      <c r="A31892" s="4" t="s">
        <v>40148</v>
      </c>
      <c r="B31892" s="4" t="s">
        <v>40152</v>
      </c>
      <c r="C31892" s="5" t="str">
        <f>IFERROR(__xludf.DUMMYFUNCTION("GOOGLETRANSLATE(B31892,""en"",""it"")"),"La telecamera si muove e vediamo un uomo accanto alla signora.")</f>
        <v>La telecamera si muove e vediamo un uomo accanto alla signora.</v>
      </c>
    </row>
    <row r="31893">
      <c r="A31893" s="4" t="s">
        <v>40148</v>
      </c>
      <c r="B31893" s="4" t="s">
        <v>40153</v>
      </c>
      <c r="C31893" s="5" t="str">
        <f>IFERROR(__xludf.DUMMYFUNCTION("GOOGLETRANSLATE(B31893,""en"",""it"")"),"La signora fissa i capelli nella telecamera.")</f>
        <v>La signora fissa i capelli nella telecamera.</v>
      </c>
    </row>
    <row r="31894">
      <c r="A31894" s="4" t="s">
        <v>40154</v>
      </c>
      <c r="B31894" s="4" t="s">
        <v>40155</v>
      </c>
      <c r="C31894" s="5" t="str">
        <f>IFERROR(__xludf.DUMMYFUNCTION("GOOGLETRANSLATE(B31894,""en"",""it"")"),"Un uomo viene visto in piedi davanti a un lavello della cucina e lavare i piatti tra le mani.")</f>
        <v>Un uomo viene visto in piedi davanti a un lavello della cucina e lavare i piatti tra le mani.</v>
      </c>
    </row>
    <row r="31895">
      <c r="A31895" s="4" t="s">
        <v>40154</v>
      </c>
      <c r="B31895" s="4" t="s">
        <v>40156</v>
      </c>
      <c r="C31895" s="5" t="str">
        <f>IFERROR(__xludf.DUMMYFUNCTION("GOOGLETRANSLATE(B31895,""en"",""it"")"),"L'uomo quindi pulisce i piatti e li mette via, quindi guardando fuori sconvolgimento per vedere più piatti.")</f>
        <v>L'uomo quindi pulisce i piatti e li mette via, quindi guardando fuori sconvolgimento per vedere più piatti.</v>
      </c>
    </row>
    <row r="31896">
      <c r="A31896" s="4" t="s">
        <v>40157</v>
      </c>
      <c r="B31896" s="4" t="s">
        <v>40158</v>
      </c>
      <c r="C31896" s="5" t="str">
        <f>IFERROR(__xludf.DUMMYFUNCTION("GOOGLETRANSLATE(B31896,""en"",""it"")"),"Una giovane donna è vestita con una tutina zebra seduta sul suo letto fumando un narghilè.")</f>
        <v>Una giovane donna è vestita con una tutina zebra seduta sul suo letto fumando un narghilè.</v>
      </c>
    </row>
    <row r="31897">
      <c r="A31897" s="4" t="s">
        <v>40157</v>
      </c>
      <c r="B31897" s="4" t="s">
        <v>40159</v>
      </c>
      <c r="C31897" s="5" t="str">
        <f>IFERROR(__xludf.DUMMYFUNCTION("GOOGLETRANSLATE(B31897,""en"",""it"")"),"Prende due sbuffi, espira il fumo e una scintilla vola dall'estremità del tubo.")</f>
        <v>Prende due sbuffi, espira il fumo e una scintilla vola dall'estremità del tubo.</v>
      </c>
    </row>
    <row r="31898">
      <c r="A31898" s="4" t="s">
        <v>40157</v>
      </c>
      <c r="B31898" s="6" t="s">
        <v>40160</v>
      </c>
      <c r="C31898" s="5" t="str">
        <f>IFERROR(__xludf.DUMMYFUNCTION("GOOGLETRANSLATE(B31898,""en"",""it"")"),"L'uomo dietro la fotocamera si interrompe e poi inizia a fumare il narghilè mentre la ragazza inizia a registrare.")</f>
        <v>L'uomo dietro la fotocamera si interrompe e poi inizia a fumare il narghilè mentre la ragazza inizia a registrare.</v>
      </c>
    </row>
    <row r="31899">
      <c r="A31899" s="4" t="s">
        <v>40157</v>
      </c>
      <c r="B31899" s="4" t="s">
        <v>40161</v>
      </c>
      <c r="C31899" s="5" t="str">
        <f>IFERROR(__xludf.DUMMYFUNCTION("GOOGLETRANSLATE(B31899,""en"",""it"")"),"Una volta finito, il narghilè viene restituito alla ragazza e lei inizia a fumare.")</f>
        <v>Una volta finito, il narghilè viene restituito alla ragazza e lei inizia a fumare.</v>
      </c>
    </row>
    <row r="31900">
      <c r="A31900" s="4" t="s">
        <v>40162</v>
      </c>
      <c r="B31900" s="4" t="s">
        <v>40163</v>
      </c>
      <c r="C31900" s="5" t="str">
        <f>IFERROR(__xludf.DUMMYFUNCTION("GOOGLETRANSLATE(B31900,""en"",""it"")"),"Una persona vestita mentre Darth Vader suona un violino sul marciapiede.")</f>
        <v>Una persona vestita mentre Darth Vader suona un violino sul marciapiede.</v>
      </c>
    </row>
    <row r="31901">
      <c r="A31901" s="4" t="s">
        <v>40162</v>
      </c>
      <c r="B31901" s="4" t="s">
        <v>40164</v>
      </c>
      <c r="C31901" s="5" t="str">
        <f>IFERROR(__xludf.DUMMYFUNCTION("GOOGLETRANSLATE(B31901,""en"",""it"")"),"La gente cammina di fronte a lui.")</f>
        <v>La gente cammina di fronte a lui.</v>
      </c>
    </row>
    <row r="31902">
      <c r="A31902" s="4" t="s">
        <v>40165</v>
      </c>
      <c r="B31902" s="4" t="s">
        <v>40166</v>
      </c>
      <c r="C31902" s="5" t="str">
        <f>IFERROR(__xludf.DUMMYFUNCTION("GOOGLETRANSLATE(B31902,""en"",""it"")"),"Un uomo indossa una veste bianca con una cintura nera.")</f>
        <v>Un uomo indossa una veste bianca con una cintura nera.</v>
      </c>
    </row>
    <row r="31903">
      <c r="A31903" s="4" t="s">
        <v>40165</v>
      </c>
      <c r="B31903" s="4" t="s">
        <v>40167</v>
      </c>
      <c r="C31903" s="5" t="str">
        <f>IFERROR(__xludf.DUMMYFUNCTION("GOOGLETRANSLATE(B31903,""en"",""it"")"),"Comincia a fare mosse di karate in una stanza.")</f>
        <v>Comincia a fare mosse di karate in una stanza.</v>
      </c>
    </row>
    <row r="31904">
      <c r="A31904" s="4" t="s">
        <v>40165</v>
      </c>
      <c r="B31904" s="4" t="s">
        <v>40168</v>
      </c>
      <c r="C31904" s="5" t="str">
        <f>IFERROR(__xludf.DUMMYFUNCTION("GOOGLETRANSLATE(B31904,""en"",""it"")"),"Si alza proprio alla fine.")</f>
        <v>Si alza proprio alla fine.</v>
      </c>
    </row>
    <row r="31905">
      <c r="A31905" s="4" t="s">
        <v>40169</v>
      </c>
      <c r="B31905" s="6" t="s">
        <v>40170</v>
      </c>
      <c r="C31905" s="5" t="str">
        <f>IFERROR(__xludf.DUMMYFUNCTION("GOOGLETRANSLATE(B31905,""en"",""it"")"),"Un uomo entusiasta viene visto parlare con la telecamera e passa a diversi scatti di giochi di uomini, birra ed essere intervistati dall'host.")</f>
        <v>Un uomo entusiasta viene visto parlare con la telecamera e passa a diversi scatti di giochi di uomini, birra ed essere intervistati dall'host.</v>
      </c>
    </row>
    <row r="31906">
      <c r="A31906" s="4" t="s">
        <v>40169</v>
      </c>
      <c r="B31906" s="6" t="s">
        <v>40171</v>
      </c>
      <c r="C31906" s="5" t="str">
        <f>IFERROR(__xludf.DUMMYFUNCTION("GOOGLETRANSLATE(B31906,""en"",""it"")"),"Gli uomini vengono quindi visti giocare una partita di birra con molti altri in giro e mostrare una testa rasata.")</f>
        <v>Gli uomini vengono quindi visti giocare una partita di birra con molti altri in giro e mostrare una testa rasata.</v>
      </c>
    </row>
    <row r="31907">
      <c r="A31907" s="4" t="s">
        <v>40169</v>
      </c>
      <c r="B31907" s="4" t="s">
        <v>40172</v>
      </c>
      <c r="C31907" s="5" t="str">
        <f>IFERROR(__xludf.DUMMYFUNCTION("GOOGLETRANSLATE(B31907,""en"",""it"")"),"Viene visto un uomo parlare al telefono e vengono mostrati altri scatti degli uomini che giocano Beer Pong.")</f>
        <v>Viene visto un uomo parlare al telefono e vengono mostrati altri scatti degli uomini che giocano Beer Pong.</v>
      </c>
    </row>
    <row r="31908">
      <c r="A31908" s="4" t="s">
        <v>40173</v>
      </c>
      <c r="B31908" s="4" t="s">
        <v>40174</v>
      </c>
      <c r="C31908" s="5" t="str">
        <f>IFERROR(__xludf.DUMMYFUNCTION("GOOGLETRANSLATE(B31908,""en"",""it"")"),"Una donna si gira in giro, sfoggiando il suo stile di capelli.")</f>
        <v>Una donna si gira in giro, sfoggiando il suo stile di capelli.</v>
      </c>
    </row>
    <row r="31909">
      <c r="A31909" s="4" t="s">
        <v>40173</v>
      </c>
      <c r="B31909" s="4" t="s">
        <v>40175</v>
      </c>
      <c r="C31909" s="5" t="str">
        <f>IFERROR(__xludf.DUMMYFUNCTION("GOOGLETRANSLATE(B31909,""en"",""it"")"),"Vediamo un asciugatura dei capelli neri che gira sullo schermo.")</f>
        <v>Vediamo un asciugatura dei capelli neri che gira sullo schermo.</v>
      </c>
    </row>
    <row r="31910">
      <c r="A31910" s="4" t="s">
        <v>40173</v>
      </c>
      <c r="B31910" s="6" t="s">
        <v>40176</v>
      </c>
      <c r="C31910" s="5" t="str">
        <f>IFERROR(__xludf.DUMMYFUNCTION("GOOGLETRANSLATE(B31910,""en"",""it"")"),"La donna si sta accontentando di capelli in background da un'altra donna, mentre il testo copre lo schermo con le istruzioni.")</f>
        <v>La donna si sta accontentando di capelli in background da un'altra donna, mentre il testo copre lo schermo con le istruzioni.</v>
      </c>
    </row>
    <row r="31911">
      <c r="A31911" s="4" t="s">
        <v>40173</v>
      </c>
      <c r="B31911" s="4" t="s">
        <v>40177</v>
      </c>
      <c r="C31911" s="5" t="str">
        <f>IFERROR(__xludf.DUMMYFUNCTION("GOOGLETRANSLATE(B31911,""en"",""it"")"),"La donna spazzola e finalizza lo stile e il cliente ha un enorme sorriso felice.")</f>
        <v>La donna spazzola e finalizza lo stile e il cliente ha un enorme sorriso felice.</v>
      </c>
    </row>
    <row r="31912">
      <c r="A31912" s="4" t="s">
        <v>40178</v>
      </c>
      <c r="B31912" s="4" t="s">
        <v>40179</v>
      </c>
      <c r="C31912" s="5" t="str">
        <f>IFERROR(__xludf.DUMMYFUNCTION("GOOGLETRANSLATE(B31912,""en"",""it"")"),"Un uomo è visto seduto su una panchina che suona la chitarra con un bambino accanto a lui.")</f>
        <v>Un uomo è visto seduto su una panchina che suona la chitarra con un bambino accanto a lui.</v>
      </c>
    </row>
    <row r="31913">
      <c r="A31913" s="4" t="s">
        <v>40178</v>
      </c>
      <c r="B31913" s="4" t="s">
        <v>40180</v>
      </c>
      <c r="C31913" s="5" t="str">
        <f>IFERROR(__xludf.DUMMYFUNCTION("GOOGLETRANSLATE(B31913,""en"",""it"")"),"Il ragazzo inizia quindi suonando un set di batteria accanto all'uomo che suona la chitarra.")</f>
        <v>Il ragazzo inizia quindi suonando un set di batteria accanto all'uomo che suona la chitarra.</v>
      </c>
    </row>
    <row r="31914">
      <c r="A31914" s="4" t="s">
        <v>40178</v>
      </c>
      <c r="B31914" s="6" t="s">
        <v>40181</v>
      </c>
      <c r="C31914" s="5" t="str">
        <f>IFERROR(__xludf.DUMMYFUNCTION("GOOGLETRANSLATE(B31914,""en"",""it"")"),"I due continuano a giocare l'uno con l'altro e si fermano a salutare la telecamera e parlano tra loro.")</f>
        <v>I due continuano a giocare l'uno con l'altro e si fermano a salutare la telecamera e parlano tra loro.</v>
      </c>
    </row>
    <row r="31915">
      <c r="A31915" s="4" t="s">
        <v>40182</v>
      </c>
      <c r="B31915" s="4" t="s">
        <v>40183</v>
      </c>
      <c r="C31915" s="5" t="str">
        <f>IFERROR(__xludf.DUMMYFUNCTION("GOOGLETRANSLATE(B31915,""en"",""it"")"),"Una persona sta accendendo una macchina e guardando un tubo ingrandito mentre gira il quadrante.")</f>
        <v>Una persona sta accendendo una macchina e guardando un tubo ingrandito mentre gira il quadrante.</v>
      </c>
    </row>
    <row r="31916">
      <c r="A31916" s="4" t="s">
        <v>40182</v>
      </c>
      <c r="B31916" s="4" t="s">
        <v>40184</v>
      </c>
      <c r="C31916" s="5" t="str">
        <f>IFERROR(__xludf.DUMMYFUNCTION("GOOGLETRANSLATE(B31916,""en"",""it"")"),"Continua a premere i pulsanti e inizia a governare un cane.")</f>
        <v>Continua a premere i pulsanti e inizia a governare un cane.</v>
      </c>
    </row>
    <row r="31917">
      <c r="A31917" s="4" t="s">
        <v>40182</v>
      </c>
      <c r="B31917" s="6" t="s">
        <v>40185</v>
      </c>
      <c r="C31917" s="5" t="str">
        <f>IFERROR(__xludf.DUMMYFUNCTION("GOOGLETRANSLATE(B31917,""en"",""it"")"),"La persona va su e giù sul cane e alla fine lo fa sembrare buono come nuovo con diverse impostazioni.")</f>
        <v>La persona va su e giù sul cane e alla fine lo fa sembrare buono come nuovo con diverse impostazioni.</v>
      </c>
    </row>
    <row r="31918">
      <c r="A31918" s="4" t="s">
        <v>40186</v>
      </c>
      <c r="B31918" s="4" t="s">
        <v>40187</v>
      </c>
      <c r="C31918" s="5" t="str">
        <f>IFERROR(__xludf.DUMMYFUNCTION("GOOGLETRANSLATE(B31918,""en"",""it"")"),"Una ragazza è seduta in una vasca da bagno vuota che rasa la gamba di un uomo che viene gettata sopra la vasca.")</f>
        <v>Una ragazza è seduta in una vasca da bagno vuota che rasa la gamba di un uomo che viene gettata sopra la vasca.</v>
      </c>
    </row>
    <row r="31919">
      <c r="A31919" s="4" t="s">
        <v>40186</v>
      </c>
      <c r="B31919" s="4" t="s">
        <v>40188</v>
      </c>
      <c r="C31919" s="5" t="str">
        <f>IFERROR(__xludf.DUMMYFUNCTION("GOOGLETRANSLATE(B31919,""en"",""it"")"),"Mentre continua, il cane arriva e mostra i capelli sul rasoio alla telecamera.")</f>
        <v>Mentre continua, il cane arriva e mostra i capelli sul rasoio alla telecamera.</v>
      </c>
    </row>
    <row r="31920">
      <c r="A31920" s="4" t="s">
        <v>40189</v>
      </c>
      <c r="B31920" s="4" t="s">
        <v>40190</v>
      </c>
      <c r="C31920" s="5" t="str">
        <f>IFERROR(__xludf.DUMMYFUNCTION("GOOGLETRANSLATE(B31920,""en"",""it"")"),"Ci sono due studenti, un ragazzo e una ragazza in una pista di salto con l'asta.")</f>
        <v>Ci sono due studenti, un ragazzo e una ragazza in una pista di salto con l'asta.</v>
      </c>
    </row>
    <row r="31921">
      <c r="A31921" s="4" t="s">
        <v>40189</v>
      </c>
      <c r="B31921" s="6" t="s">
        <v>40191</v>
      </c>
      <c r="C31921" s="5" t="str">
        <f>IFERROR(__xludf.DUMMYFUNCTION("GOOGLETRANSLATE(B31921,""en"",""it"")"),"Uno degli studenti, un ragazzo si scatta con il palo sulla passerella mentre una persona in blu l'altro studente lo guarda esibirsi.")</f>
        <v>Uno degli studenti, un ragazzo si scatta con il palo sulla passerella mentre una persona in blu l'altro studente lo guarda esibirsi.</v>
      </c>
    </row>
    <row r="31922">
      <c r="A31922" s="4" t="s">
        <v>40189</v>
      </c>
      <c r="B31922" s="4" t="s">
        <v>40192</v>
      </c>
      <c r="C31922" s="5" t="str">
        <f>IFERROR(__xludf.DUMMYFUNCTION("GOOGLETRANSLATE(B31922,""en"",""it"")"),"Quindi salta in alto e atterra a pochi metri di distanza sulla zona di atterraggio.")</f>
        <v>Quindi salta in alto e atterra a pochi metri di distanza sulla zona di atterraggio.</v>
      </c>
    </row>
    <row r="31923">
      <c r="A31923" s="4" t="s">
        <v>40189</v>
      </c>
      <c r="B31923" s="4" t="s">
        <v>40193</v>
      </c>
      <c r="C31923" s="5" t="str">
        <f>IFERROR(__xludf.DUMMYFUNCTION("GOOGLETRANSLATE(B31923,""en"",""it"")"),"Le sue azioni vengono riprodotte al rallentatore per catturare il suo salto e l'atterraggio.")</f>
        <v>Le sue azioni vengono riprodotte al rallentatore per catturare il suo salto e l'atterraggio.</v>
      </c>
    </row>
    <row r="31924">
      <c r="A31924" s="4" t="s">
        <v>40194</v>
      </c>
      <c r="B31924" s="4" t="s">
        <v>40195</v>
      </c>
      <c r="C31924" s="5" t="str">
        <f>IFERROR(__xludf.DUMMYFUNCTION("GOOGLETRANSLATE(B31924,""en"",""it"")"),"Un piccolo gruppo di ragazze viene visto camminare su un palco seguito da più persone che seguono dietro.")</f>
        <v>Un piccolo gruppo di ragazze viene visto camminare su un palco seguito da più persone che seguono dietro.</v>
      </c>
    </row>
    <row r="31925">
      <c r="A31925" s="4" t="s">
        <v>40194</v>
      </c>
      <c r="B31925" s="6" t="s">
        <v>40196</v>
      </c>
      <c r="C31925" s="5" t="str">
        <f>IFERROR(__xludf.DUMMYFUNCTION("GOOGLETRANSLATE(B31925,""en"",""it"")"),"Più persone continuano a uscire sul palco con alcuni segnali di tenuta e altri che guardano sul lato.")</f>
        <v>Più persone continuano a uscire sul palco con alcuni segnali di tenuta e altri che guardano sul lato.</v>
      </c>
    </row>
    <row r="31926">
      <c r="A31926" s="4" t="s">
        <v>40197</v>
      </c>
      <c r="B31926" s="4" t="s">
        <v>40198</v>
      </c>
      <c r="C31926" s="5" t="str">
        <f>IFERROR(__xludf.DUMMYFUNCTION("GOOGLETRANSLATE(B31926,""en"",""it"")"),"Un ragazzo in classe di karate si inchina prima di una performance.")</f>
        <v>Un ragazzo in classe di karate si inchina prima di una performance.</v>
      </c>
    </row>
    <row r="31927">
      <c r="A31927" s="4" t="s">
        <v>40197</v>
      </c>
      <c r="B31927" s="4" t="s">
        <v>40199</v>
      </c>
      <c r="C31927" s="5" t="str">
        <f>IFERROR(__xludf.DUMMYFUNCTION("GOOGLETRANSLATE(B31927,""en"",""it"")"),"Il ragazzo esegue una routine di karate con le falci a mano.")</f>
        <v>Il ragazzo esegue una routine di karate con le falci a mano.</v>
      </c>
    </row>
    <row r="31928">
      <c r="A31928" s="4" t="s">
        <v>40197</v>
      </c>
      <c r="B31928" s="4" t="s">
        <v>40200</v>
      </c>
      <c r="C31928" s="5" t="str">
        <f>IFERROR(__xludf.DUMMYFUNCTION("GOOGLETRANSLATE(B31928,""en"",""it"")"),"Il ragazzo termina la sua routine e i fiocchi.")</f>
        <v>Il ragazzo termina la sua routine e i fiocchi.</v>
      </c>
    </row>
    <row r="31929">
      <c r="A31929" s="4" t="s">
        <v>40201</v>
      </c>
      <c r="B31929" s="4" t="s">
        <v>40202</v>
      </c>
      <c r="C31929" s="5" t="str">
        <f>IFERROR(__xludf.DUMMYFUNCTION("GOOGLETRANSLATE(B31929,""en"",""it"")"),"Vediamo un uomo camminare verso le barre parallele e saltare.")</f>
        <v>Vediamo un uomo camminare verso le barre parallele e saltare.</v>
      </c>
    </row>
    <row r="31930">
      <c r="A31930" s="4" t="s">
        <v>40201</v>
      </c>
      <c r="B31930" s="4" t="s">
        <v>40203</v>
      </c>
      <c r="C31930" s="5" t="str">
        <f>IFERROR(__xludf.DUMMYFUNCTION("GOOGLETRANSLATE(B31930,""en"",""it"")"),"Vediamo l'uomo eseguire una routine sulle barre.")</f>
        <v>Vediamo l'uomo eseguire una routine sulle barre.</v>
      </c>
    </row>
    <row r="31931">
      <c r="A31931" s="4" t="s">
        <v>40201</v>
      </c>
      <c r="B31931" s="4" t="s">
        <v>40204</v>
      </c>
      <c r="C31931" s="5" t="str">
        <f>IFERROR(__xludf.DUMMYFUNCTION("GOOGLETRANSLATE(B31931,""en"",""it"")"),"L'uomo fa una verticale.")</f>
        <v>L'uomo fa una verticale.</v>
      </c>
    </row>
    <row r="31932">
      <c r="A31932" s="4" t="s">
        <v>40201</v>
      </c>
      <c r="B31932" s="4" t="s">
        <v>40205</v>
      </c>
      <c r="C31932" s="5" t="str">
        <f>IFERROR(__xludf.DUMMYFUNCTION("GOOGLETRANSLATE(B31932,""en"",""it"")"),"L'uomo gira e smontare dalle barre.")</f>
        <v>L'uomo gira e smontare dalle barre.</v>
      </c>
    </row>
    <row r="31933">
      <c r="A31933" s="4" t="s">
        <v>40201</v>
      </c>
      <c r="B31933" s="4" t="s">
        <v>40206</v>
      </c>
      <c r="C31933" s="5" t="str">
        <f>IFERROR(__xludf.DUMMYFUNCTION("GOOGLETRANSLATE(B31933,""en"",""it"")"),"L'uomo alza le braccia in aria.")</f>
        <v>L'uomo alza le braccia in aria.</v>
      </c>
    </row>
    <row r="31934">
      <c r="A31934" s="4" t="s">
        <v>40201</v>
      </c>
      <c r="B31934" s="4" t="s">
        <v>40207</v>
      </c>
      <c r="C31934" s="5" t="str">
        <f>IFERROR(__xludf.DUMMYFUNCTION("GOOGLETRANSLATE(B31934,""en"",""it"")"),"L'uomo se ne va e abbraccia un altro uomo.")</f>
        <v>L'uomo se ne va e abbraccia un altro uomo.</v>
      </c>
    </row>
    <row r="31935">
      <c r="A31935" s="4" t="s">
        <v>40208</v>
      </c>
      <c r="B31935" s="4" t="s">
        <v>40209</v>
      </c>
      <c r="C31935" s="5" t="str">
        <f>IFERROR(__xludf.DUMMYFUNCTION("GOOGLETRANSLATE(B31935,""en"",""it"")"),"Una signora si trova in un soggiorno e discute.")</f>
        <v>Una signora si trova in un soggiorno e discute.</v>
      </c>
    </row>
    <row r="31936">
      <c r="A31936" s="4" t="s">
        <v>40208</v>
      </c>
      <c r="B31936" s="4" t="s">
        <v>40210</v>
      </c>
      <c r="C31936" s="5" t="str">
        <f>IFERROR(__xludf.DUMMYFUNCTION("GOOGLETRANSLATE(B31936,""en"",""it"")"),"La signora tira facilmente la carta da parati del muro.")</f>
        <v>La signora tira facilmente la carta da parati del muro.</v>
      </c>
    </row>
    <row r="31937">
      <c r="A31937" s="4" t="s">
        <v>40208</v>
      </c>
      <c r="B31937" s="4" t="s">
        <v>40211</v>
      </c>
      <c r="C31937" s="5" t="str">
        <f>IFERROR(__xludf.DUMMYFUNCTION("GOOGLETRANSLATE(B31937,""en"",""it"")"),"Una donna dipinge il muro con un liquido.")</f>
        <v>Una donna dipinge il muro con un liquido.</v>
      </c>
    </row>
    <row r="31938">
      <c r="A31938" s="4" t="s">
        <v>40208</v>
      </c>
      <c r="B31938" s="4" t="s">
        <v>40212</v>
      </c>
      <c r="C31938" s="5" t="str">
        <f>IFERROR(__xludf.DUMMYFUNCTION("GOOGLETRANSLATE(B31938,""en"",""it"")"),"La donna mette la carta da parati sulla zona.")</f>
        <v>La donna mette la carta da parati sulla zona.</v>
      </c>
    </row>
    <row r="31939">
      <c r="A31939" s="4" t="s">
        <v>40208</v>
      </c>
      <c r="B31939" s="4" t="s">
        <v>40213</v>
      </c>
      <c r="C31939" s="5" t="str">
        <f>IFERROR(__xludf.DUMMYFUNCTION("GOOGLETRANSLATE(B31939,""en"",""it"")"),"La donna taglia la carta da parati con un cutter in scatola.")</f>
        <v>La donna taglia la carta da parati con un cutter in scatola.</v>
      </c>
    </row>
    <row r="31940">
      <c r="A31940" s="4" t="s">
        <v>40208</v>
      </c>
      <c r="B31940" s="4" t="s">
        <v>40214</v>
      </c>
      <c r="C31940" s="5" t="str">
        <f>IFERROR(__xludf.DUMMYFUNCTION("GOOGLETRANSLATE(B31940,""en"",""it"")"),"La donna dipinge la carta da parati con la vernice.")</f>
        <v>La donna dipinge la carta da parati con la vernice.</v>
      </c>
    </row>
    <row r="31941">
      <c r="A31941" s="4" t="s">
        <v>40215</v>
      </c>
      <c r="B31941" s="4" t="s">
        <v>40216</v>
      </c>
      <c r="C31941" s="5" t="str">
        <f>IFERROR(__xludf.DUMMYFUNCTION("GOOGLETRANSLATE(B31941,""en"",""it"")"),"Un uomo atletico viene visto pronto e inizia a correre lungo una pista e saltare in una fossa.")</f>
        <v>Un uomo atletico viene visto pronto e inizia a correre lungo una pista e saltare in una fossa.</v>
      </c>
    </row>
    <row r="31942">
      <c r="A31942" s="4" t="s">
        <v>40215</v>
      </c>
      <c r="B31942" s="4" t="s">
        <v>40217</v>
      </c>
      <c r="C31942" s="5" t="str">
        <f>IFERROR(__xludf.DUMMYFUNCTION("GOOGLETRANSLATE(B31942,""en"",""it"")"),"L'uomo celebra quando viene mostrato la sua colonna sonora e il suo salto viene nuovamente mostrato al rallentatore.")</f>
        <v>L'uomo celebra quando viene mostrato la sua colonna sonora e il suo salto viene nuovamente mostrato al rallentatore.</v>
      </c>
    </row>
    <row r="31943">
      <c r="A31943" s="4" t="s">
        <v>40218</v>
      </c>
      <c r="B31943" s="4" t="s">
        <v>40219</v>
      </c>
      <c r="C31943" s="5" t="str">
        <f>IFERROR(__xludf.DUMMYFUNCTION("GOOGLETRANSLATE(B31943,""en"",""it"")"),"Un uomo insegna il modo corretto per ottenere un bocchino su un sassofono.")</f>
        <v>Un uomo insegna il modo corretto per ottenere un bocchino su un sassofono.</v>
      </c>
    </row>
    <row r="31944">
      <c r="A31944" s="4" t="s">
        <v>40218</v>
      </c>
      <c r="B31944" s="4" t="s">
        <v>40220</v>
      </c>
      <c r="C31944" s="5" t="str">
        <f>IFERROR(__xludf.DUMMYFUNCTION("GOOGLETRANSLATE(B31944,""en"",""it"")"),"Quindi descrive come suonare correttamente il corno.")</f>
        <v>Quindi descrive come suonare correttamente il corno.</v>
      </c>
    </row>
    <row r="31945">
      <c r="A31945" s="4" t="s">
        <v>40221</v>
      </c>
      <c r="B31945" s="4" t="s">
        <v>1487</v>
      </c>
      <c r="C31945" s="5" t="str">
        <f>IFERROR(__xludf.DUMMYFUNCTION("GOOGLETRANSLATE(B31945,""en"",""it"")"),"Vediamo una schermata del titolo di apertura.")</f>
        <v>Vediamo una schermata del titolo di apertura.</v>
      </c>
    </row>
    <row r="31946">
      <c r="A31946" s="4" t="s">
        <v>40221</v>
      </c>
      <c r="B31946" s="4" t="s">
        <v>40222</v>
      </c>
      <c r="C31946" s="5" t="str">
        <f>IFERROR(__xludf.DUMMYFUNCTION("GOOGLETRANSLATE(B31946,""en"",""it"")"),"Un uomo senza camicia parla in palestra.")</f>
        <v>Un uomo senza camicia parla in palestra.</v>
      </c>
    </row>
    <row r="31947">
      <c r="A31947" s="4" t="s">
        <v>40221</v>
      </c>
      <c r="B31947" s="4" t="s">
        <v>40223</v>
      </c>
      <c r="C31947" s="5" t="str">
        <f>IFERROR(__xludf.DUMMYFUNCTION("GOOGLETRANSLATE(B31947,""en"",""it"")"),"Una signora corre oltre in entrambi i modi, quindi salta la corda dietro l'uomo.")</f>
        <v>Una signora corre oltre in entrambi i modi, quindi salta la corda dietro l'uomo.</v>
      </c>
    </row>
    <row r="31948">
      <c r="A31948" s="4" t="s">
        <v>40221</v>
      </c>
      <c r="B31948" s="4" t="s">
        <v>40224</v>
      </c>
      <c r="C31948" s="5" t="str">
        <f>IFERROR(__xludf.DUMMYFUNCTION("GOOGLETRANSLATE(B31948,""en"",""it"")"),"Vediamo schermate del titolo con istruzioni.")</f>
        <v>Vediamo schermate del titolo con istruzioni.</v>
      </c>
    </row>
    <row r="31949">
      <c r="A31949" s="4" t="s">
        <v>40221</v>
      </c>
      <c r="B31949" s="4" t="s">
        <v>40225</v>
      </c>
      <c r="C31949" s="5" t="str">
        <f>IFERROR(__xludf.DUMMYFUNCTION("GOOGLETRANSLATE(B31949,""en"",""it"")"),"Vediamo una signora che salta la corda undici modi diversi.")</f>
        <v>Vediamo una signora che salta la corda undici modi diversi.</v>
      </c>
    </row>
    <row r="31950">
      <c r="A31950" s="4" t="s">
        <v>40221</v>
      </c>
      <c r="B31950" s="4" t="s">
        <v>777</v>
      </c>
      <c r="C31950" s="5" t="str">
        <f>IFERROR(__xludf.DUMMYFUNCTION("GOOGLETRANSLATE(B31950,""en"",""it"")"),"Vediamo la schermata del titolo finale.")</f>
        <v>Vediamo la schermata del titolo finale.</v>
      </c>
    </row>
    <row r="31951">
      <c r="A31951" s="4" t="s">
        <v>40226</v>
      </c>
      <c r="B31951" s="4" t="s">
        <v>40227</v>
      </c>
      <c r="C31951" s="5" t="str">
        <f>IFERROR(__xludf.DUMMYFUNCTION("GOOGLETRANSLATE(B31951,""en"",""it"")"),"Viene mostrato un fiume e un'auto è un percorso di polvere.")</f>
        <v>Viene mostrato un fiume e un'auto è un percorso di polvere.</v>
      </c>
    </row>
    <row r="31952">
      <c r="A31952" s="4" t="s">
        <v>40226</v>
      </c>
      <c r="B31952" s="4" t="s">
        <v>40228</v>
      </c>
      <c r="C31952" s="5" t="str">
        <f>IFERROR(__xludf.DUMMYFUNCTION("GOOGLETRANSLATE(B31952,""en"",""it"")"),"Gli uomini stanno rafting su un lago sulle rapide.")</f>
        <v>Gli uomini stanno rafting su un lago sulle rapide.</v>
      </c>
    </row>
    <row r="31953">
      <c r="A31953" s="4" t="s">
        <v>40229</v>
      </c>
      <c r="B31953" s="4" t="s">
        <v>40230</v>
      </c>
      <c r="C31953" s="5" t="str">
        <f>IFERROR(__xludf.DUMMYFUNCTION("GOOGLETRANSLATE(B31953,""en"",""it"")"),"Si vede un logo grafico che è di colore bianco e nero con la lettera ""N"".")</f>
        <v>Si vede un logo grafico che è di colore bianco e nero con la lettera "N".</v>
      </c>
    </row>
    <row r="31954">
      <c r="A31954" s="4" t="s">
        <v>40229</v>
      </c>
      <c r="B31954" s="4" t="s">
        <v>40231</v>
      </c>
      <c r="C31954" s="5" t="str">
        <f>IFERROR(__xludf.DUMMYFUNCTION("GOOGLETRANSLATE(B31954,""en"",""it"")"),"Un host televisivo si trova di fronte a uno sfondo mimetico.")</f>
        <v>Un host televisivo si trova di fronte a uno sfondo mimetico.</v>
      </c>
    </row>
    <row r="31955">
      <c r="A31955" s="4" t="s">
        <v>40229</v>
      </c>
      <c r="B31955" s="4" t="s">
        <v>40232</v>
      </c>
      <c r="C31955" s="5" t="str">
        <f>IFERROR(__xludf.DUMMYFUNCTION("GOOGLETRANSLATE(B31955,""en"",""it"")"),"Due ragazze vengono viste camminare in una fotografia in uniformi da baseball.")</f>
        <v>Due ragazze vengono viste camminare in una fotografia in uniformi da baseball.</v>
      </c>
    </row>
    <row r="31956">
      <c r="A31956" s="4" t="s">
        <v>40229</v>
      </c>
      <c r="B31956" s="6" t="s">
        <v>40233</v>
      </c>
      <c r="C31956" s="5" t="str">
        <f>IFERROR(__xludf.DUMMYFUNCTION("GOOGLETRANSLATE(B31956,""en"",""it"")"),"Un folto gruppo di fan affollano su un campo da baseball e circonda un cantante famoso che fa una performance.")</f>
        <v>Un folto gruppo di fan affollano su un campo da baseball e circonda un cantante famoso che fa una performance.</v>
      </c>
    </row>
    <row r="31957">
      <c r="A31957" s="4" t="s">
        <v>40229</v>
      </c>
      <c r="B31957" s="4" t="s">
        <v>40234</v>
      </c>
      <c r="C31957" s="5" t="str">
        <f>IFERROR(__xludf.DUMMYFUNCTION("GOOGLETRANSLATE(B31957,""en"",""it"")"),"Una pallamano rossa viene lanciata su un kicker durante una partita di kickball che la dà il via al campo per una corsa.")</f>
        <v>Una pallamano rossa viene lanciata su un kicker durante una partita di kickball che la dà il via al campo per una corsa.</v>
      </c>
    </row>
    <row r="31958">
      <c r="A31958" s="4" t="s">
        <v>40229</v>
      </c>
      <c r="B31958" s="6" t="s">
        <v>40235</v>
      </c>
      <c r="C31958" s="5" t="str">
        <f>IFERROR(__xludf.DUMMYFUNCTION("GOOGLETRANSLATE(B31958,""en"",""it"")"),"Un altro uomo in maglietta e sudori neri calcia una palla e corre intorno alle basi cercando di evitare di essere taggato con la palla.")</f>
        <v>Un altro uomo in maglietta e sudori neri calcia una palla e corre intorno alle basi cercando di evitare di essere taggato con la palla.</v>
      </c>
    </row>
    <row r="31959">
      <c r="A31959" s="4" t="s">
        <v>40229</v>
      </c>
      <c r="B31959" s="4" t="s">
        <v>40236</v>
      </c>
      <c r="C31959" s="5" t="str">
        <f>IFERROR(__xludf.DUMMYFUNCTION("GOOGLETRANSLATE(B31959,""en"",""it"")"),"Lo stesso uomo cavalca su uno skateboard in città.")</f>
        <v>Lo stesso uomo cavalca su uno skateboard in città.</v>
      </c>
    </row>
    <row r="31960">
      <c r="A31960" s="4" t="s">
        <v>40229</v>
      </c>
      <c r="B31960" s="4" t="s">
        <v>40237</v>
      </c>
      <c r="C31960" s="5" t="str">
        <f>IFERROR(__xludf.DUMMYFUNCTION("GOOGLETRANSLATE(B31960,""en"",""it"")"),"L'uomo viene di nuovo visto in un video ravvicinato in una stanza.")</f>
        <v>L'uomo viene di nuovo visto in un video ravvicinato in una stanza.</v>
      </c>
    </row>
    <row r="31961">
      <c r="A31961" s="4" t="s">
        <v>40238</v>
      </c>
      <c r="B31961" s="4" t="s">
        <v>40239</v>
      </c>
      <c r="C31961" s="5" t="str">
        <f>IFERROR(__xludf.DUMMYFUNCTION("GOOGLETRANSLATE(B31961,""en"",""it"")"),"Il titolo mostra come un uomo a cavalcare un cavallo attraverso un'arena.")</f>
        <v>Il titolo mostra come un uomo a cavalcare un cavallo attraverso un'arena.</v>
      </c>
    </row>
    <row r="31962">
      <c r="A31962" s="4" t="s">
        <v>40238</v>
      </c>
      <c r="B31962" s="4" t="s">
        <v>40240</v>
      </c>
      <c r="C31962" s="5" t="str">
        <f>IFERROR(__xludf.DUMMYFUNCTION("GOOGLETRANSLATE(B31962,""en"",""it"")"),"C'è quindi una vetrina di cavalli che saltano su ostacoli.")</f>
        <v>C'è quindi una vetrina di cavalli che saltano su ostacoli.</v>
      </c>
    </row>
    <row r="31963">
      <c r="A31963" s="4" t="s">
        <v>40238</v>
      </c>
      <c r="B31963" s="4" t="s">
        <v>40241</v>
      </c>
      <c r="C31963" s="5" t="str">
        <f>IFERROR(__xludf.DUMMYFUNCTION("GOOGLETRANSLATE(B31963,""en"",""it"")"),"Una delle immagini ruota in un cerchio e il prossimo video si stringe su se stesso.")</f>
        <v>Una delle immagini ruota in un cerchio e il prossimo video si stringe su se stesso.</v>
      </c>
    </row>
    <row r="31964">
      <c r="A31964" s="4" t="s">
        <v>40238</v>
      </c>
      <c r="B31964" s="4" t="s">
        <v>40242</v>
      </c>
      <c r="C31964" s="5" t="str">
        <f>IFERROR(__xludf.DUMMYFUNCTION("GOOGLETRANSLATE(B31964,""en"",""it"")"),"Continua a mostrare un salto di cavallo su ostacoli con effetti video.")</f>
        <v>Continua a mostrare un salto di cavallo su ostacoli con effetti video.</v>
      </c>
    </row>
    <row r="31965">
      <c r="A31965" s="4" t="s">
        <v>40238</v>
      </c>
      <c r="B31965" s="4" t="s">
        <v>40243</v>
      </c>
      <c r="C31965" s="5" t="str">
        <f>IFERROR(__xludf.DUMMYFUNCTION("GOOGLETRANSLATE(B31965,""en"",""it"")"),"Un uomo cammina con il mio fianco con il partner.")</f>
        <v>Un uomo cammina con il mio fianco con il partner.</v>
      </c>
    </row>
    <row r="31966">
      <c r="A31966" s="4" t="s">
        <v>40238</v>
      </c>
      <c r="B31966" s="4" t="s">
        <v>40244</v>
      </c>
      <c r="C31966" s="5" t="str">
        <f>IFERROR(__xludf.DUMMYFUNCTION("GOOGLETRANSLATE(B31966,""en"",""it"")"),"Il ruolo dei titoli di coda con qualche lode.")</f>
        <v>Il ruolo dei titoli di coda con qualche lode.</v>
      </c>
    </row>
    <row r="31967">
      <c r="A31967" s="4" t="s">
        <v>40245</v>
      </c>
      <c r="B31967" s="4" t="s">
        <v>40246</v>
      </c>
      <c r="C31967" s="5" t="str">
        <f>IFERROR(__xludf.DUMMYFUNCTION("GOOGLETRANSLATE(B31967,""en"",""it"")"),"La donna in top rosso è in piedi.")</f>
        <v>La donna in top rosso è in piedi.</v>
      </c>
    </row>
    <row r="31968">
      <c r="A31968" s="4" t="s">
        <v>40245</v>
      </c>
      <c r="B31968" s="4" t="s">
        <v>40247</v>
      </c>
      <c r="C31968" s="5" t="str">
        <f>IFERROR(__xludf.DUMMYFUNCTION("GOOGLETRANSLATE(B31968,""en"",""it"")"),"La donna allunga le braccia da un lato prima poi quella successiva.")</f>
        <v>La donna allunga le braccia da un lato prima poi quella successiva.</v>
      </c>
    </row>
    <row r="31969">
      <c r="A31969" s="4" t="s">
        <v>40245</v>
      </c>
      <c r="B31969" s="4" t="s">
        <v>40248</v>
      </c>
      <c r="C31969" s="5" t="str">
        <f>IFERROR(__xludf.DUMMYFUNCTION("GOOGLETRANSLATE(B31969,""en"",""it"")"),"La donna le mise le braccia di fronte, poi si allunga e si voltò.")</f>
        <v>La donna le mise le braccia di fronte, poi si allunga e si voltò.</v>
      </c>
    </row>
    <row r="31970">
      <c r="A31970" s="4" t="s">
        <v>40249</v>
      </c>
      <c r="B31970" s="4" t="s">
        <v>40250</v>
      </c>
      <c r="C31970" s="5" t="str">
        <f>IFERROR(__xludf.DUMMYFUNCTION("GOOGLETRANSLATE(B31970,""en"",""it"")"),"Un uomo è fuori su una pista.")</f>
        <v>Un uomo è fuori su una pista.</v>
      </c>
    </row>
    <row r="31971">
      <c r="A31971" s="4" t="s">
        <v>40249</v>
      </c>
      <c r="B31971" s="4" t="s">
        <v>40251</v>
      </c>
      <c r="C31971" s="5" t="str">
        <f>IFERROR(__xludf.DUMMYFUNCTION("GOOGLETRANSLATE(B31971,""en"",""it"")"),"Corre con un giavellotto in mano.")</f>
        <v>Corre con un giavellotto in mano.</v>
      </c>
    </row>
    <row r="31972">
      <c r="A31972" s="4" t="s">
        <v>40249</v>
      </c>
      <c r="B31972" s="4" t="s">
        <v>40252</v>
      </c>
      <c r="C31972" s="5" t="str">
        <f>IFERROR(__xludf.DUMMYFUNCTION("GOOGLETRANSLATE(B31972,""en"",""it"")"),"Lo lancia il più lontano possibile, alzando le braccia in vittoria.")</f>
        <v>Lo lancia il più lontano possibile, alzando le braccia in vittoria.</v>
      </c>
    </row>
    <row r="31973">
      <c r="A31973" s="4" t="s">
        <v>40253</v>
      </c>
      <c r="B31973" s="4" t="s">
        <v>40254</v>
      </c>
      <c r="C31973" s="5" t="str">
        <f>IFERROR(__xludf.DUMMYFUNCTION("GOOGLETRANSLATE(B31973,""en"",""it"")"),"Una ragazza e un uomo si trovano all'interno di una struttura alta che indossa l'attrezzatura per saltare il bungee.")</f>
        <v>Una ragazza e un uomo si trovano all'interno di una struttura alta che indossa l'attrezzatura per saltare il bungee.</v>
      </c>
    </row>
    <row r="31974">
      <c r="A31974" s="4" t="s">
        <v>40253</v>
      </c>
      <c r="B31974" s="6" t="s">
        <v>40255</v>
      </c>
      <c r="C31974" s="5" t="str">
        <f>IFERROR(__xludf.DUMMYFUNCTION("GOOGLETRANSLATE(B31974,""en"",""it"")"),"La ragazza esce e sta al confine con la struttura, quindi mentre l'uomo mette una corda dietro la ragazza.")</f>
        <v>La ragazza esce e sta al confine con la struttura, quindi mentre l'uomo mette una corda dietro la ragazza.</v>
      </c>
    </row>
    <row r="31975">
      <c r="A31975" s="4" t="s">
        <v>40253</v>
      </c>
      <c r="B31975" s="4" t="s">
        <v>40256</v>
      </c>
      <c r="C31975" s="5" t="str">
        <f>IFERROR(__xludf.DUMMYFUNCTION("GOOGLETRANSLATE(B31975,""en"",""it"")"),"Dopo, la ragazza salta dalla struttura per un momento e poi si alza sulla struttura.")</f>
        <v>Dopo, la ragazza salta dalla struttura per un momento e poi si alza sulla struttura.</v>
      </c>
    </row>
    <row r="31976">
      <c r="A31976" s="4" t="s">
        <v>40257</v>
      </c>
      <c r="B31976" s="4" t="s">
        <v>40258</v>
      </c>
      <c r="C31976" s="5" t="str">
        <f>IFERROR(__xludf.DUMMYFUNCTION("GOOGLETRANSLATE(B31976,""en"",""it"")"),"Un uomo che indossa un cappuccio sta aprendo un foglio, poi scendeva la scala e camminò verso un sentiero.")</f>
        <v>Un uomo che indossa un cappuccio sta aprendo un foglio, poi scendeva la scala e camminò verso un sentiero.</v>
      </c>
    </row>
    <row r="31977">
      <c r="A31977" s="4" t="s">
        <v>40257</v>
      </c>
      <c r="B31977" s="4" t="s">
        <v>40259</v>
      </c>
      <c r="C31977" s="5" t="str">
        <f>IFERROR(__xludf.DUMMYFUNCTION("GOOGLETRANSLATE(B31977,""en"",""it"")"),"La donna sta parlando con la telecamera e mostra il terreno coperto di neve.")</f>
        <v>La donna sta parlando con la telecamera e mostra il terreno coperto di neve.</v>
      </c>
    </row>
    <row r="31978">
      <c r="A31978" s="4" t="s">
        <v>40257</v>
      </c>
      <c r="B31978" s="6" t="s">
        <v>40260</v>
      </c>
      <c r="C31978" s="5" t="str">
        <f>IFERROR(__xludf.DUMMYFUNCTION("GOOGLETRANSLATE(B31978,""en"",""it"")"),"L'uomo è in piedi accanto al furgone e ha iniziato a raccogliere la neve sul tetto della macchina, mentre l'altra persona sta usando una scopa per togliere la neve dalla macchina.")</f>
        <v>L'uomo è in piedi accanto al furgone e ha iniziato a raccogliere la neve sul tetto della macchina, mentre l'altra persona sta usando una scopa per togliere la neve dalla macchina.</v>
      </c>
    </row>
    <row r="31979">
      <c r="A31979" s="4" t="s">
        <v>40261</v>
      </c>
      <c r="B31979" s="4" t="s">
        <v>40262</v>
      </c>
      <c r="C31979" s="5" t="str">
        <f>IFERROR(__xludf.DUMMYFUNCTION("GOOGLETRANSLATE(B31979,""en"",""it"")"),"Un operaio edile è in piedi e parla con la fotocamera mentre tiene in mano uno spruzzatore.")</f>
        <v>Un operaio edile è in piedi e parla con la fotocamera mentre tiene in mano uno spruzzatore.</v>
      </c>
    </row>
    <row r="31980">
      <c r="A31980" s="4" t="s">
        <v>40261</v>
      </c>
      <c r="B31980" s="4" t="s">
        <v>40263</v>
      </c>
      <c r="C31980" s="5" t="str">
        <f>IFERROR(__xludf.DUMMYFUNCTION("GOOGLETRANSLATE(B31980,""en"",""it"")"),"È molto animato mentre torna a levigare e spruzzare.")</f>
        <v>È molto animato mentre torna a levigare e spruzzare.</v>
      </c>
    </row>
    <row r="31981">
      <c r="A31981" s="4" t="s">
        <v>40264</v>
      </c>
      <c r="B31981" s="6" t="s">
        <v>40265</v>
      </c>
      <c r="C31981" s="5" t="str">
        <f>IFERROR(__xludf.DUMMYFUNCTION("GOOGLETRANSLATE(B31981,""en"",""it"")"),"Viene mostrato un uomo che parla con eccitazione alla telecamera e mostra diversi scatti dell'uomo che sale una parete di roccia e varie località.")</f>
        <v>Viene mostrato un uomo che parla con eccitazione alla telecamera e mostra diversi scatti dell'uomo che sale una parete di roccia e varie località.</v>
      </c>
    </row>
    <row r="31982">
      <c r="A31982" s="4" t="s">
        <v>40264</v>
      </c>
      <c r="B31982" s="6" t="s">
        <v>40266</v>
      </c>
      <c r="C31982" s="5" t="str">
        <f>IFERROR(__xludf.DUMMYFUNCTION("GOOGLETRANSLATE(B31982,""en"",""it"")"),"Quindi l'uomo continua a parlare con la telecamera e dimostra come scalare correttamente il muro mentre parla ancora.")</f>
        <v>Quindi l'uomo continua a parlare con la telecamera e dimostra come scalare correttamente il muro mentre parla ancora.</v>
      </c>
    </row>
    <row r="31983">
      <c r="A31983" s="4" t="s">
        <v>40267</v>
      </c>
      <c r="B31983" s="6" t="s">
        <v>40268</v>
      </c>
      <c r="C31983" s="5" t="str">
        <f>IFERROR(__xludf.DUMMYFUNCTION("GOOGLETRANSLATE(B31983,""en"",""it"")"),"L'uomo è in piedi davanti a un panno bianco in uno studio facendo esercizio in una macchina ellittica che mostra le caratteristiche della bici.")</f>
        <v>L'uomo è in piedi davanti a un panno bianco in uno studio facendo esercizio in una macchina ellittica che mostra le caratteristiche della bici.</v>
      </c>
    </row>
    <row r="31984">
      <c r="A31984" s="4" t="s">
        <v>40267</v>
      </c>
      <c r="B31984" s="4" t="s">
        <v>40269</v>
      </c>
      <c r="C31984" s="5" t="str">
        <f>IFERROR(__xludf.DUMMYFUNCTION("GOOGLETRANSLATE(B31984,""en"",""it"")"),"La donna sta facendo lo stesso che l'uomo, osserva l'esercizio ellittico.")</f>
        <v>La donna sta facendo lo stesso che l'uomo, osserva l'esercizio ellittico.</v>
      </c>
    </row>
    <row r="31985">
      <c r="A31985" s="4" t="s">
        <v>40270</v>
      </c>
      <c r="B31985" s="4" t="s">
        <v>40271</v>
      </c>
      <c r="C31985" s="5" t="str">
        <f>IFERROR(__xludf.DUMMYFUNCTION("GOOGLETRANSLATE(B31985,""en"",""it"")"),"Una ragazza seduta al sedile del conducente di un'auto sta parlando al telefono sull'altoparlante.")</f>
        <v>Una ragazza seduta al sedile del conducente di un'auto sta parlando al telefono sull'altoparlante.</v>
      </c>
    </row>
    <row r="31986">
      <c r="A31986" s="4" t="s">
        <v>40270</v>
      </c>
      <c r="B31986" s="6" t="s">
        <v>40272</v>
      </c>
      <c r="C31986" s="5" t="str">
        <f>IFERROR(__xludf.DUMMYFUNCTION("GOOGLETRANSLATE(B31986,""en"",""it"")"),"Si riattacca e inizia a parlare ad alta voce e poi lei e la sua amica camminano attraverso un garage.")</f>
        <v>Si riattacca e inizia a parlare ad alta voce e poi lei e la sua amica camminano attraverso un garage.</v>
      </c>
    </row>
    <row r="31987">
      <c r="A31987" s="4" t="s">
        <v>40270</v>
      </c>
      <c r="B31987" s="4" t="s">
        <v>40273</v>
      </c>
      <c r="C31987" s="5" t="str">
        <f>IFERROR(__xludf.DUMMYFUNCTION("GOOGLETRANSLATE(B31987,""en"",""it"")"),"Le ragazze camminano e parlano attraverso il centro commerciale, poi vanno a Claires per trafiggere le orecchie.")</f>
        <v>Le ragazze camminano e parlano attraverso il centro commerciale, poi vanno a Claires per trafiggere le orecchie.</v>
      </c>
    </row>
    <row r="31988">
      <c r="A31988" s="4" t="s">
        <v>40270</v>
      </c>
      <c r="B31988" s="4" t="s">
        <v>40274</v>
      </c>
      <c r="C31988" s="5" t="str">
        <f>IFERROR(__xludf.DUMMYFUNCTION("GOOGLETRANSLATE(B31988,""en"",""it"")"),"Continuano a camminare per un po 'nel centro commerciale.")</f>
        <v>Continuano a camminare per un po 'nel centro commerciale.</v>
      </c>
    </row>
    <row r="31989">
      <c r="A31989" s="4" t="s">
        <v>40275</v>
      </c>
      <c r="B31989" s="4" t="s">
        <v>1251</v>
      </c>
      <c r="C31989" s="5" t="str">
        <f>IFERROR(__xludf.DUMMYFUNCTION("GOOGLETRANSLATE(B31989,""en"",""it"")"),"Vengono visualizzati i crediti della clip.")</f>
        <v>Vengono visualizzati i crediti della clip.</v>
      </c>
    </row>
    <row r="31990">
      <c r="A31990" s="4" t="s">
        <v>40275</v>
      </c>
      <c r="B31990" s="4" t="s">
        <v>40276</v>
      </c>
      <c r="C31990" s="5" t="str">
        <f>IFERROR(__xludf.DUMMYFUNCTION("GOOGLETRANSLATE(B31990,""en"",""it"")"),"Un uomo si trova in un binario per le scale con in mano un coltello.")</f>
        <v>Un uomo si trova in un binario per le scale con in mano un coltello.</v>
      </c>
    </row>
    <row r="31991">
      <c r="A31991" s="4" t="s">
        <v>40275</v>
      </c>
      <c r="B31991" s="4" t="s">
        <v>40277</v>
      </c>
      <c r="C31991" s="5" t="str">
        <f>IFERROR(__xludf.DUMMYFUNCTION("GOOGLETRANSLATE(B31991,""en"",""it"")"),"Un ragazzo si prepara a suonare la batteria.")</f>
        <v>Un ragazzo si prepara a suonare la batteria.</v>
      </c>
    </row>
    <row r="31992">
      <c r="A31992" s="4" t="s">
        <v>40275</v>
      </c>
      <c r="B31992" s="4" t="s">
        <v>40278</v>
      </c>
      <c r="C31992" s="5" t="str">
        <f>IFERROR(__xludf.DUMMYFUNCTION("GOOGLETRANSLATE(B31992,""en"",""it"")"),"Il ragazzo suona un set di batteria.")</f>
        <v>Il ragazzo suona un set di batteria.</v>
      </c>
    </row>
    <row r="31993">
      <c r="A31993" s="4" t="s">
        <v>40279</v>
      </c>
      <c r="B31993" s="4" t="s">
        <v>40280</v>
      </c>
      <c r="C31993" s="5" t="str">
        <f>IFERROR(__xludf.DUMMYFUNCTION("GOOGLETRANSLATE(B31993,""en"",""it"")"),"Vengono mostrati diversi scatti di un uomo che si riscalda e che si esibisce trucchi di arti marziali.")</f>
        <v>Vengono mostrati diversi scatti di un uomo che si riscalda e che si esibisce trucchi di arti marziali.</v>
      </c>
    </row>
    <row r="31994">
      <c r="A31994" s="4" t="s">
        <v>40279</v>
      </c>
      <c r="B31994" s="6" t="s">
        <v>40281</v>
      </c>
      <c r="C31994" s="5" t="str">
        <f>IFERROR(__xludf.DUMMYFUNCTION("GOOGLETRANSLATE(B31994,""en"",""it"")"),"Un uomo parla alla telecamera mentre vengono mostrate diverse clip che si lanciano e fanno trucchi in varie località.")</f>
        <v>Un uomo parla alla telecamera mentre vengono mostrate diverse clip che si lanciano e fanno trucchi in varie località.</v>
      </c>
    </row>
    <row r="31995">
      <c r="A31995" s="4" t="s">
        <v>40279</v>
      </c>
      <c r="B31995" s="4" t="s">
        <v>40282</v>
      </c>
      <c r="C31995" s="5" t="str">
        <f>IFERROR(__xludf.DUMMYFUNCTION("GOOGLETRANSLATE(B31995,""en"",""it"")"),"Le persone saltano e si girano l'una verso l'altra e continuano a esibirsi sul parkour.")</f>
        <v>Le persone saltano e si girano l'una verso l'altra e continuano a esibirsi sul parkour.</v>
      </c>
    </row>
    <row r="31996">
      <c r="A31996" s="4" t="s">
        <v>40283</v>
      </c>
      <c r="B31996" s="6" t="s">
        <v>40284</v>
      </c>
      <c r="C31996" s="5" t="str">
        <f>IFERROR(__xludf.DUMMYFUNCTION("GOOGLETRANSLATE(B31996,""en"",""it"")"),"Una grande sfilata di persone che marciano lungo una strada è mostrata con diverse centinaia di persone che guardano sul lato.")</f>
        <v>Una grande sfilata di persone che marciano lungo una strada è mostrata con diverse centinaia di persone che guardano sul lato.</v>
      </c>
    </row>
    <row r="31997">
      <c r="A31997" s="4" t="s">
        <v>40283</v>
      </c>
      <c r="B31997" s="6" t="s">
        <v>40285</v>
      </c>
      <c r="C31997" s="5" t="str">
        <f>IFERROR(__xludf.DUMMYFUNCTION("GOOGLETRANSLATE(B31997,""en"",""it"")"),"Le persone continuano a suonare gli strumenti mentre la telecamera si lancia attorno al folto gruppo di persone e seguendo la sfilata.")</f>
        <v>Le persone continuano a suonare gli strumenti mentre la telecamera si lancia attorno al folto gruppo di persone e seguendo la sfilata.</v>
      </c>
    </row>
    <row r="31998">
      <c r="A31998" s="4" t="s">
        <v>40286</v>
      </c>
      <c r="B31998" s="4" t="s">
        <v>40287</v>
      </c>
      <c r="C31998" s="5" t="str">
        <f>IFERROR(__xludf.DUMMYFUNCTION("GOOGLETRANSLATE(B31998,""en"",""it"")"),"Un uomo beve una birra durante una partita mentre altri guardano e sorridono.")</f>
        <v>Un uomo beve una birra durante una partita mentre altri guardano e sorridono.</v>
      </c>
    </row>
    <row r="31999">
      <c r="A31999" s="4" t="s">
        <v>40286</v>
      </c>
      <c r="B31999" s="6" t="s">
        <v>40288</v>
      </c>
      <c r="C31999" s="5" t="str">
        <f>IFERROR(__xludf.DUMMYFUNCTION("GOOGLETRANSLATE(B31999,""en"",""it"")"),"Diverse persone stanno guardando la partita e l'uomo che beve una birra guarda la telecamera e sorride.")</f>
        <v>Diverse persone stanno guardando la partita e l'uomo che beve una birra guarda la telecamera e sorride.</v>
      </c>
    </row>
    <row r="32000">
      <c r="A32000" s="4" t="s">
        <v>40289</v>
      </c>
      <c r="B32000" s="4" t="s">
        <v>40290</v>
      </c>
      <c r="C32000" s="5" t="str">
        <f>IFERROR(__xludf.DUMMYFUNCTION("GOOGLETRANSLATE(B32000,""en"",""it"")"),"Un gruppo di persone che vanno in bici fissa in una grande palestra.")</f>
        <v>Un gruppo di persone che vanno in bici fissa in una grande palestra.</v>
      </c>
    </row>
    <row r="32001">
      <c r="A32001" s="4" t="s">
        <v>40289</v>
      </c>
      <c r="B32001" s="4" t="s">
        <v>40291</v>
      </c>
      <c r="C32001" s="5" t="str">
        <f>IFERROR(__xludf.DUMMYFUNCTION("GOOGLETRANSLATE(B32001,""en"",""it"")"),"Un uomo muove una bici stazionaria.")</f>
        <v>Un uomo muove una bici stazionaria.</v>
      </c>
    </row>
    <row r="32002">
      <c r="A32002" s="4" t="s">
        <v>40289</v>
      </c>
      <c r="B32002" s="4" t="s">
        <v>40292</v>
      </c>
      <c r="C32002" s="5" t="str">
        <f>IFERROR(__xludf.DUMMYFUNCTION("GOOGLETRANSLATE(B32002,""en"",""it"")"),"Una donna regola il cappello a cilindro che indossa.")</f>
        <v>Una donna regola il cappello a cilindro che indossa.</v>
      </c>
    </row>
    <row r="32003">
      <c r="A32003" s="4" t="s">
        <v>40293</v>
      </c>
      <c r="B32003" s="4" t="s">
        <v>40294</v>
      </c>
      <c r="C32003" s="5" t="str">
        <f>IFERROR(__xludf.DUMMYFUNCTION("GOOGLETRANSLATE(B32003,""en"",""it"")"),"Viene visto un uomo parlare alla telecamera e inizia a disporre il telo accanto a un albero.")</f>
        <v>Viene visto un uomo parlare alla telecamera e inizia a disporre il telo accanto a un albero.</v>
      </c>
    </row>
    <row r="32004">
      <c r="A32004" s="4" t="s">
        <v>40293</v>
      </c>
      <c r="B32004" s="4" t="s">
        <v>40295</v>
      </c>
      <c r="C32004" s="5" t="str">
        <f>IFERROR(__xludf.DUMMYFUNCTION("GOOGLETRANSLATE(B32004,""en"",""it"")"),"L'uomo taglia il telo e inizia a mettere il pacciame intorno all'albero.")</f>
        <v>L'uomo taglia il telo e inizia a mettere il pacciame intorno all'albero.</v>
      </c>
    </row>
    <row r="32005">
      <c r="A32005" s="4" t="s">
        <v>40296</v>
      </c>
      <c r="B32005" s="4" t="s">
        <v>40297</v>
      </c>
      <c r="C32005" s="5" t="str">
        <f>IFERROR(__xludf.DUMMYFUNCTION("GOOGLETRANSLATE(B32005,""en"",""it"")"),"Due uomini si siedono attraverso un tavolo e iniziano una partita di wrestling del braccio.")</f>
        <v>Due uomini si siedono attraverso un tavolo e iniziano una partita di wrestling del braccio.</v>
      </c>
    </row>
    <row r="32006">
      <c r="A32006" s="4" t="s">
        <v>40296</v>
      </c>
      <c r="B32006" s="4" t="s">
        <v>40298</v>
      </c>
      <c r="C32006" s="5" t="str">
        <f>IFERROR(__xludf.DUMMYFUNCTION("GOOGLETRANSLATE(B32006,""en"",""it"")"),"Entrambi lottano un po 'fino a quando l'uomo a sinistra alla fine vince.")</f>
        <v>Entrambi lottano un po 'fino a quando l'uomo a sinistra alla fine vince.</v>
      </c>
    </row>
    <row r="32007">
      <c r="A32007" s="4" t="s">
        <v>40299</v>
      </c>
      <c r="B32007" s="6" t="s">
        <v>40300</v>
      </c>
      <c r="C32007" s="5" t="str">
        <f>IFERROR(__xludf.DUMMYFUNCTION("GOOGLETRANSLATE(B32007,""en"",""it"")"),"Un piccolo gruppo di bambini è visto che si aggrappa a una corda con un uomo in piedi davanti a loro che parla con loro.")</f>
        <v>Un piccolo gruppo di bambini è visto che si aggrappa a una corda con un uomo in piedi davanti a loro che parla con loro.</v>
      </c>
    </row>
    <row r="32008">
      <c r="A32008" s="4" t="s">
        <v>40299</v>
      </c>
      <c r="B32008" s="4" t="s">
        <v>40301</v>
      </c>
      <c r="C32008" s="5" t="str">
        <f>IFERROR(__xludf.DUMMYFUNCTION("GOOGLETRANSLATE(B32008,""en"",""it"")"),"I bambini continuano a tirare con l'aiuto degli adulti e poi allegria alla fine.")</f>
        <v>I bambini continuano a tirare con l'aiuto degli adulti e poi allegria alla fine.</v>
      </c>
    </row>
    <row r="32009">
      <c r="A32009" s="4" t="s">
        <v>40302</v>
      </c>
      <c r="B32009" s="4" t="s">
        <v>40303</v>
      </c>
      <c r="C32009" s="5" t="str">
        <f>IFERROR(__xludf.DUMMYFUNCTION("GOOGLETRANSLATE(B32009,""en"",""it"")"),"Un cavaliere si siede su un cavallo e una persona si trova davanti a uno scivolo di spremitura del bestiame.")</f>
        <v>Un cavaliere si siede su un cavallo e una persona si trova davanti a uno scivolo di spremitura del bestiame.</v>
      </c>
    </row>
    <row r="32010">
      <c r="A32010" s="4" t="s">
        <v>40302</v>
      </c>
      <c r="B32010" s="6" t="s">
        <v>40304</v>
      </c>
      <c r="C32010" s="5" t="str">
        <f>IFERROR(__xludf.DUMMYFUNCTION("GOOGLETRANSLATE(B32010,""en"",""it"")"),"Improvvisamente, il cavaliere e un vitello corrono nell'arena, mentre il cavaliere corre dietro il polpaccio che gira in aria una corda.")</f>
        <v>Improvvisamente, il cavaliere e un vitello corrono nell'arena, mentre il cavaliere corre dietro il polpaccio che gira in aria una corda.</v>
      </c>
    </row>
    <row r="32011">
      <c r="A32011" s="4" t="s">
        <v>40302</v>
      </c>
      <c r="B32011" s="6" t="s">
        <v>40305</v>
      </c>
      <c r="C32011" s="5" t="str">
        <f>IFERROR(__xludf.DUMMYFUNCTION("GOOGLETRANSLATE(B32011,""en"",""it"")"),"Dopo, il cavaliere lancia il telaio e cattura il polpaccio, quindi si trova rapidamente il polpaccio sul pavimento e lega le gambe.")</f>
        <v>Dopo, il cavaliere lancia il telaio e cattura il polpaccio, quindi si trova rapidamente il polpaccio sul pavimento e lega le gambe.</v>
      </c>
    </row>
    <row r="32012">
      <c r="A32012" s="4" t="s">
        <v>40306</v>
      </c>
      <c r="B32012" s="4" t="s">
        <v>40307</v>
      </c>
      <c r="C32012" s="5" t="str">
        <f>IFERROR(__xludf.DUMMYFUNCTION("GOOGLETRANSLATE(B32012,""en"",""it"")"),"Viene visto un bambino che si arrampica su una scivolata e si avvicina al limite.")</f>
        <v>Viene visto un bambino che si arrampica su una scivolata e si avvicina al limite.</v>
      </c>
    </row>
    <row r="32013">
      <c r="A32013" s="4" t="s">
        <v>40306</v>
      </c>
      <c r="B32013" s="4" t="s">
        <v>40308</v>
      </c>
      <c r="C32013" s="5" t="str">
        <f>IFERROR(__xludf.DUMMYFUNCTION("GOOGLETRANSLATE(B32013,""en"",""it"")"),"La ragazza quindi cavalca la scivolata sorridendo e se ne va.")</f>
        <v>La ragazza quindi cavalca la scivolata sorridendo e se ne va.</v>
      </c>
    </row>
    <row r="32014">
      <c r="A32014" s="4" t="s">
        <v>40309</v>
      </c>
      <c r="B32014" s="4" t="s">
        <v>40310</v>
      </c>
      <c r="C32014" s="5" t="str">
        <f>IFERROR(__xludf.DUMMYFUNCTION("GOOGLETRANSLATE(B32014,""en"",""it"")"),"Una bottiglia chiara versa un drink in un bicchiere da cocktail.")</f>
        <v>Una bottiglia chiara versa un drink in un bicchiere da cocktail.</v>
      </c>
    </row>
    <row r="32015">
      <c r="A32015" s="4" t="s">
        <v>40309</v>
      </c>
      <c r="B32015" s="4" t="s">
        <v>40311</v>
      </c>
      <c r="C32015" s="5" t="str">
        <f>IFERROR(__xludf.DUMMYFUNCTION("GOOGLETRANSLATE(B32015,""en"",""it"")"),"Un barista raccoglie una tazza in acciaio inossidabile e ci raccoglie ghiaccio.")</f>
        <v>Un barista raccoglie una tazza in acciaio inossidabile e ci raccoglie ghiaccio.</v>
      </c>
    </row>
    <row r="32016">
      <c r="A32016" s="4" t="s">
        <v>40309</v>
      </c>
      <c r="B32016" s="4" t="s">
        <v>40312</v>
      </c>
      <c r="C32016" s="5" t="str">
        <f>IFERROR(__xludf.DUMMYFUNCTION("GOOGLETRANSLATE(B32016,""en"",""it"")"),"Il barista versa i liquori in un bicchiere e li scarica in una tazza.")</f>
        <v>Il barista versa i liquori in un bicchiere e li scarica in una tazza.</v>
      </c>
    </row>
    <row r="32017">
      <c r="A32017" s="4" t="s">
        <v>40309</v>
      </c>
      <c r="B32017" s="4" t="s">
        <v>40313</v>
      </c>
      <c r="C32017" s="5" t="str">
        <f>IFERROR(__xludf.DUMMYFUNCTION("GOOGLETRANSLATE(B32017,""en"",""it"")"),"Il barista aggiunge la tazza e scuote vigorosamente.")</f>
        <v>Il barista aggiunge la tazza e scuote vigorosamente.</v>
      </c>
    </row>
    <row r="32018">
      <c r="A32018" s="4" t="s">
        <v>40309</v>
      </c>
      <c r="B32018" s="4" t="s">
        <v>40314</v>
      </c>
      <c r="C32018" s="5" t="str">
        <f>IFERROR(__xludf.DUMMYFUNCTION("GOOGLETRANSLATE(B32018,""en"",""it"")"),"Il contenuto della tazza di miscelazione viene versato in un bicchiere di martini.")</f>
        <v>Il contenuto della tazza di miscelazione viene versato in un bicchiere di martini.</v>
      </c>
    </row>
    <row r="32019">
      <c r="A32019" s="4" t="s">
        <v>40315</v>
      </c>
      <c r="B32019" s="4" t="s">
        <v>40316</v>
      </c>
      <c r="C32019" s="5" t="str">
        <f>IFERROR(__xludf.DUMMYFUNCTION("GOOGLETRANSLATE(B32019,""en"",""it"")"),"Un uomo si tocca i volti e le onde.")</f>
        <v>Un uomo si tocca i volti e le onde.</v>
      </c>
    </row>
    <row r="32020">
      <c r="A32020" s="4" t="s">
        <v>40315</v>
      </c>
      <c r="B32020" s="4" t="s">
        <v>40317</v>
      </c>
      <c r="C32020" s="5" t="str">
        <f>IFERROR(__xludf.DUMMYFUNCTION("GOOGLETRANSLATE(B32020,""en"",""it"")"),"L'uomo cammina su un tosaerba attraverso l'erba in crescita molto alta.")</f>
        <v>L'uomo cammina su un tosaerba attraverso l'erba in crescita molto alta.</v>
      </c>
    </row>
    <row r="32021">
      <c r="A32021" s="4" t="s">
        <v>40318</v>
      </c>
      <c r="B32021" s="6" t="s">
        <v>40319</v>
      </c>
      <c r="C32021" s="5" t="str">
        <f>IFERROR(__xludf.DUMMYFUNCTION("GOOGLETRANSLATE(B32021,""en"",""it"")"),"Una donna di mezza età si trova in una stanza dietro un tavolo pieno di dolore e spazzole di varie dimensioni e un'immagine di alberi su un cavalletto.")</f>
        <v>Una donna di mezza età si trova in una stanza dietro un tavolo pieno di dolore e spazzole di varie dimensioni e un'immagine di alberi su un cavalletto.</v>
      </c>
    </row>
    <row r="32022">
      <c r="A32022" s="4" t="s">
        <v>40318</v>
      </c>
      <c r="B32022" s="6" t="s">
        <v>40320</v>
      </c>
      <c r="C32022" s="5" t="str">
        <f>IFERROR(__xludf.DUMMYFUNCTION("GOOGLETRANSLATE(B32022,""en"",""it"")"),"Nella sua mano sinistra, ha una ruota di vernice e inizia a fare Stokes sull'immagine per completare la sua foto.")</f>
        <v>Nella sua mano sinistra, ha una ruota di vernice e inizia a fare Stokes sull'immagine per completare la sua foto.</v>
      </c>
    </row>
    <row r="32023">
      <c r="A32023" s="4" t="s">
        <v>40318</v>
      </c>
      <c r="B32023" s="6" t="s">
        <v>40321</v>
      </c>
      <c r="C32023" s="5" t="str">
        <f>IFERROR(__xludf.DUMMYFUNCTION("GOOGLETRANSLATE(B32023,""en"",""it"")"),"Va avanti e indietro dalla vernice alla tavola e mostra come preparare un albero e quindi pulisce i pennelli.")</f>
        <v>Va avanti e indietro dalla vernice alla tavola e mostra come preparare un albero e quindi pulisce i pennelli.</v>
      </c>
    </row>
    <row r="32024">
      <c r="A32024" s="4" t="s">
        <v>40322</v>
      </c>
      <c r="B32024" s="4" t="s">
        <v>40323</v>
      </c>
      <c r="C32024" s="5" t="str">
        <f>IFERROR(__xludf.DUMMYFUNCTION("GOOGLETRANSLATE(B32024,""en"",""it"")"),"Una persona sta scolpendo una zucca.")</f>
        <v>Una persona sta scolpendo una zucca.</v>
      </c>
    </row>
    <row r="32025">
      <c r="A32025" s="4" t="s">
        <v>40322</v>
      </c>
      <c r="B32025" s="4" t="s">
        <v>40324</v>
      </c>
      <c r="C32025" s="5" t="str">
        <f>IFERROR(__xludf.DUMMYFUNCTION("GOOGLETRANSLATE(B32025,""en"",""it"")"),"Vediamo due persone fianco a fianco.")</f>
        <v>Vediamo due persone fianco a fianco.</v>
      </c>
    </row>
    <row r="32026">
      <c r="A32026" s="4" t="s">
        <v>40322</v>
      </c>
      <c r="B32026" s="4" t="s">
        <v>40325</v>
      </c>
      <c r="C32026" s="5" t="str">
        <f>IFERROR(__xludf.DUMMYFUNCTION("GOOGLETRANSLATE(B32026,""en"",""it"")"),"Vediamo dall'interno della zucca mentre vengono scolpiti.")</f>
        <v>Vediamo dall'interno della zucca mentre vengono scolpiti.</v>
      </c>
    </row>
    <row r="32027">
      <c r="A32027" s="4" t="s">
        <v>40322</v>
      </c>
      <c r="B32027" s="4" t="s">
        <v>40326</v>
      </c>
      <c r="C32027" s="5" t="str">
        <f>IFERROR(__xludf.DUMMYFUNCTION("GOOGLETRANSLATE(B32027,""en"",""it"")"),"Vediamo cinque zucche su un divano e al buio illuminato dall'interno.")</f>
        <v>Vediamo cinque zucche su un divano e al buio illuminato dall'interno.</v>
      </c>
    </row>
    <row r="32028">
      <c r="A32028" s="4" t="s">
        <v>40322</v>
      </c>
      <c r="B32028" s="4" t="s">
        <v>27504</v>
      </c>
      <c r="C32028" s="5" t="str">
        <f>IFERROR(__xludf.DUMMYFUNCTION("GOOGLETRANSLATE(B32028,""en"",""it"")"),"Vediamo una schermata del titolo di chiusura.")</f>
        <v>Vediamo una schermata del titolo di chiusura.</v>
      </c>
    </row>
    <row r="32029">
      <c r="A32029" s="4" t="s">
        <v>40327</v>
      </c>
      <c r="B32029" s="4" t="s">
        <v>40328</v>
      </c>
      <c r="C32029" s="5" t="str">
        <f>IFERROR(__xludf.DUMMYFUNCTION("GOOGLETRANSLATE(B32029,""en"",""it"")"),"Una donna è seduta sul divano e sta mettendo i piedi con i tacchi stampati da pitone.")</f>
        <v>Una donna è seduta sul divano e sta mettendo i piedi con i tacchi stampati da pitone.</v>
      </c>
    </row>
    <row r="32030">
      <c r="A32030" s="4" t="s">
        <v>40327</v>
      </c>
      <c r="B32030" s="6" t="s">
        <v>40329</v>
      </c>
      <c r="C32030" s="5" t="str">
        <f>IFERROR(__xludf.DUMMYFUNCTION("GOOGLETRANSLATE(B32030,""en"",""it"")"),"Una volta che sono accese, si alza e va in giro mentre la telecamera si ingrandisce le unghie dei piedi dipinti in rosso.")</f>
        <v>Una volta che sono accese, si alza e va in giro mentre la telecamera si ingrandisce le unghie dei piedi dipinti in rosso.</v>
      </c>
    </row>
    <row r="32031">
      <c r="A32031" s="4" t="s">
        <v>40330</v>
      </c>
      <c r="B32031" s="4" t="s">
        <v>40331</v>
      </c>
      <c r="C32031" s="5" t="str">
        <f>IFERROR(__xludf.DUMMYFUNCTION("GOOGLETRANSLATE(B32031,""en"",""it"")"),"Un uomo in costume blu getta qualcosa nel pubblico.")</f>
        <v>Un uomo in costume blu getta qualcosa nel pubblico.</v>
      </c>
    </row>
    <row r="32032">
      <c r="A32032" s="4" t="s">
        <v>40330</v>
      </c>
      <c r="B32032" s="4" t="s">
        <v>40332</v>
      </c>
      <c r="C32032" s="5" t="str">
        <f>IFERROR(__xludf.DUMMYFUNCTION("GOOGLETRANSLATE(B32032,""en"",""it"")"),"Raccoglie una lattina verde e prende un drink.")</f>
        <v>Raccoglie una lattina verde e prende un drink.</v>
      </c>
    </row>
    <row r="32033">
      <c r="A32033" s="4" t="s">
        <v>40330</v>
      </c>
      <c r="B32033" s="4" t="s">
        <v>40333</v>
      </c>
      <c r="C32033" s="5" t="str">
        <f>IFERROR(__xludf.DUMMYFUNCTION("GOOGLETRANSLATE(B32033,""en"",""it"")"),"Quindi suona le forbici di carta rocciosa con un altro uomo di fronte a lui.")</f>
        <v>Quindi suona le forbici di carta rocciosa con un altro uomo di fronte a lui.</v>
      </c>
    </row>
    <row r="32034">
      <c r="A32034" s="4" t="s">
        <v>40334</v>
      </c>
      <c r="B32034" s="4" t="s">
        <v>40335</v>
      </c>
      <c r="C32034" s="5" t="str">
        <f>IFERROR(__xludf.DUMMYFUNCTION("GOOGLETRANSLATE(B32034,""en"",""it"")"),"Un uomo spala la neve da un vialetto.")</f>
        <v>Un uomo spala la neve da un vialetto.</v>
      </c>
    </row>
    <row r="32035">
      <c r="A32035" s="4" t="s">
        <v>40334</v>
      </c>
      <c r="B32035" s="6" t="s">
        <v>40336</v>
      </c>
      <c r="C32035" s="5" t="str">
        <f>IFERROR(__xludf.DUMMYFUNCTION("GOOGLETRANSLATE(B32035,""en"",""it"")"),"La fotocamera piova per mostrare un altro uomo che utilizza una macchina elettrica a pala per cancellare il suo vialetto.")</f>
        <v>La fotocamera piova per mostrare un altro uomo che utilizza una macchina elettrica a pala per cancellare il suo vialetto.</v>
      </c>
    </row>
    <row r="32036">
      <c r="A32036" s="4" t="s">
        <v>40334</v>
      </c>
      <c r="B32036" s="4" t="s">
        <v>40337</v>
      </c>
      <c r="C32036" s="5" t="str">
        <f>IFERROR(__xludf.DUMMYFUNCTION("GOOGLETRANSLATE(B32036,""en"",""it"")"),"L'uomo finisce di eliminare la neve e si gira verso la fotocamera.")</f>
        <v>L'uomo finisce di eliminare la neve e si gira verso la fotocamera.</v>
      </c>
    </row>
    <row r="32037">
      <c r="A32037" s="4" t="s">
        <v>40338</v>
      </c>
      <c r="B32037" s="4" t="s">
        <v>27300</v>
      </c>
      <c r="C32037" s="5" t="str">
        <f>IFERROR(__xludf.DUMMYFUNCTION("GOOGLETRANSLATE(B32037,""en"",""it"")"),"Vediamo una schermata di apertura animata.")</f>
        <v>Vediamo una schermata di apertura animata.</v>
      </c>
    </row>
    <row r="32038">
      <c r="A32038" s="4" t="s">
        <v>40338</v>
      </c>
      <c r="B32038" s="4" t="s">
        <v>40339</v>
      </c>
      <c r="C32038" s="5" t="str">
        <f>IFERROR(__xludf.DUMMYFUNCTION("GOOGLETRANSLATE(B32038,""en"",""it"")"),"Vediamo una vista aerea di una spiaggia con persone dappertutto.")</f>
        <v>Vediamo una vista aerea di una spiaggia con persone dappertutto.</v>
      </c>
    </row>
    <row r="32039">
      <c r="A32039" s="4" t="s">
        <v>40338</v>
      </c>
      <c r="B32039" s="4" t="s">
        <v>40340</v>
      </c>
      <c r="C32039" s="5" t="str">
        <f>IFERROR(__xludf.DUMMYFUNCTION("GOOGLETRANSLATE(B32039,""en"",""it"")"),"Vediamo persone che costruiscono castelli di sabbia.")</f>
        <v>Vediamo persone che costruiscono castelli di sabbia.</v>
      </c>
    </row>
    <row r="32040">
      <c r="A32040" s="4" t="s">
        <v>40338</v>
      </c>
      <c r="B32040" s="4" t="s">
        <v>40341</v>
      </c>
      <c r="C32040" s="5" t="str">
        <f>IFERROR(__xludf.DUMMYFUNCTION("GOOGLETRANSLATE(B32040,""en"",""it"")"),"Intervistamo un giudice, che poi cammina tra la gente.")</f>
        <v>Intervistamo un giudice, che poi cammina tra la gente.</v>
      </c>
    </row>
    <row r="32041">
      <c r="A32041" s="4" t="s">
        <v>40338</v>
      </c>
      <c r="B32041" s="4" t="s">
        <v>40342</v>
      </c>
      <c r="C32041" s="5" t="str">
        <f>IFERROR(__xludf.DUMMYFUNCTION("GOOGLETRANSLATE(B32041,""en"",""it"")"),"Vediamo due uomini intervistati.")</f>
        <v>Vediamo due uomini intervistati.</v>
      </c>
    </row>
    <row r="32042">
      <c r="A32042" s="4" t="s">
        <v>40338</v>
      </c>
      <c r="B32042" s="4" t="s">
        <v>40343</v>
      </c>
      <c r="C32042" s="5" t="str">
        <f>IFERROR(__xludf.DUMMYFUNCTION("GOOGLETRANSLATE(B32042,""en"",""it"")"),"Vediamo una tenda da sole sulla spiaggia e su baldacchini oltre.")</f>
        <v>Vediamo una tenda da sole sulla spiaggia e su baldacchini oltre.</v>
      </c>
    </row>
    <row r="32043">
      <c r="A32043" s="4" t="s">
        <v>40344</v>
      </c>
      <c r="B32043" s="6" t="s">
        <v>40345</v>
      </c>
      <c r="C32043" s="5" t="str">
        <f>IFERROR(__xludf.DUMMYFUNCTION("GOOGLETRANSLATE(B32043,""en"",""it"")"),"C'è una donna in un maglione rosso e camicia bianca e pantaloni blu seduti nel suo soggiorno su un divano in pelle marrone.")</f>
        <v>C'è una donna in un maglione rosso e camicia bianca e pantaloni blu seduti nel suo soggiorno su un divano in pelle marrone.</v>
      </c>
    </row>
    <row r="32044">
      <c r="A32044" s="4" t="s">
        <v>40344</v>
      </c>
      <c r="B32044" s="4" t="s">
        <v>40346</v>
      </c>
      <c r="C32044" s="5" t="str">
        <f>IFERROR(__xludf.DUMMYFUNCTION("GOOGLETRANSLATE(B32044,""en"",""it"")"),"Ha in mano una lattina spray di smalto per mobili.")</f>
        <v>Ha in mano una lattina spray di smalto per mobili.</v>
      </c>
    </row>
    <row r="32045">
      <c r="A32045" s="4" t="s">
        <v>40344</v>
      </c>
      <c r="B32045" s="4" t="s">
        <v>40347</v>
      </c>
      <c r="C32045" s="5" t="str">
        <f>IFERROR(__xludf.DUMMYFUNCTION("GOOGLETRANSLATE(B32045,""en"",""it"")"),"Ha anche un tovagliolo di carta nell'altra mano che usa per pulire il tavolo.")</f>
        <v>Ha anche un tovagliolo di carta nell'altra mano che usa per pulire il tavolo.</v>
      </c>
    </row>
    <row r="32046">
      <c r="A32046" s="4" t="s">
        <v>40344</v>
      </c>
      <c r="B32046" s="4" t="s">
        <v>40348</v>
      </c>
      <c r="C32046" s="5" t="str">
        <f>IFERROR(__xludf.DUMMYFUNCTION("GOOGLETRANSLATE(B32046,""en"",""it"")"),"Spruzza la superficie del tavolo in legno con lo spray e poi la asciuga con il tovagliolo di carta bianca.")</f>
        <v>Spruzza la superficie del tavolo in legno con lo spray e poi la asciuga con il tovagliolo di carta bianca.</v>
      </c>
    </row>
    <row r="32047">
      <c r="A32047" s="4" t="s">
        <v>40344</v>
      </c>
      <c r="B32047" s="4" t="s">
        <v>40349</v>
      </c>
      <c r="C32047" s="5" t="str">
        <f>IFERROR(__xludf.DUMMYFUNCTION("GOOGLETRANSLATE(B32047,""en"",""it"")"),"Spiega come usare lo spray e pulire i mobili.")</f>
        <v>Spiega come usare lo spray e pulire i mobili.</v>
      </c>
    </row>
    <row r="32048">
      <c r="A32048" s="4" t="s">
        <v>40350</v>
      </c>
      <c r="B32048" s="4" t="s">
        <v>40351</v>
      </c>
      <c r="C32048" s="5" t="str">
        <f>IFERROR(__xludf.DUMMYFUNCTION("GOOGLETRANSLATE(B32048,""en"",""it"")"),"Vediamo un uomo in piedi in una stanza.")</f>
        <v>Vediamo un uomo in piedi in una stanza.</v>
      </c>
    </row>
    <row r="32049">
      <c r="A32049" s="4" t="s">
        <v>40350</v>
      </c>
      <c r="B32049" s="4" t="s">
        <v>40352</v>
      </c>
      <c r="C32049" s="5" t="str">
        <f>IFERROR(__xludf.DUMMYFUNCTION("GOOGLETRANSLATE(B32049,""en"",""it"")"),"L'uomo inizia a eseguire Tai Chi.")</f>
        <v>L'uomo inizia a eseguire Tai Chi.</v>
      </c>
    </row>
    <row r="32050">
      <c r="A32050" s="4" t="s">
        <v>40350</v>
      </c>
      <c r="B32050" s="4" t="s">
        <v>40353</v>
      </c>
      <c r="C32050" s="5" t="str">
        <f>IFERROR(__xludf.DUMMYFUNCTION("GOOGLETRANSLATE(B32050,""en"",""it"")"),"L'uomo si gira e fa volti a sinistra.")</f>
        <v>L'uomo si gira e fa volti a sinistra.</v>
      </c>
    </row>
    <row r="32051">
      <c r="A32051" s="4" t="s">
        <v>40350</v>
      </c>
      <c r="B32051" s="4" t="s">
        <v>40354</v>
      </c>
      <c r="C32051" s="5" t="str">
        <f>IFERROR(__xludf.DUMMYFUNCTION("GOOGLETRANSLATE(B32051,""en"",""it"")"),"L'uomo si gira verso il giusto.")</f>
        <v>L'uomo si gira verso il giusto.</v>
      </c>
    </row>
    <row r="32052">
      <c r="A32052" s="4" t="s">
        <v>40350</v>
      </c>
      <c r="B32052" s="4" t="s">
        <v>40355</v>
      </c>
      <c r="C32052" s="5" t="str">
        <f>IFERROR(__xludf.DUMMYFUNCTION("GOOGLETRANSLATE(B32052,""en"",""it"")"),"L'uomo si dirige verso il lato destro della stanza lentamente.")</f>
        <v>L'uomo si dirige verso il lato destro della stanza lentamente.</v>
      </c>
    </row>
    <row r="32053">
      <c r="A32053" s="4" t="s">
        <v>40350</v>
      </c>
      <c r="B32053" s="4" t="s">
        <v>40356</v>
      </c>
      <c r="C32053" s="5" t="str">
        <f>IFERROR(__xludf.DUMMYFUNCTION("GOOGLETRANSLATE(B32053,""en"",""it"")"),"Lo schermo quindi svanisce sul nero.")</f>
        <v>Lo schermo quindi svanisce sul nero.</v>
      </c>
    </row>
    <row r="32054">
      <c r="A32054" s="4" t="s">
        <v>40357</v>
      </c>
      <c r="B32054" s="4" t="s">
        <v>40358</v>
      </c>
      <c r="C32054" s="5" t="str">
        <f>IFERROR(__xludf.DUMMYFUNCTION("GOOGLETRANSLATE(B32054,""en"",""it"")"),"Un giovane suona il violino su un marciapiede per le persone che passano nel centro della città.")</f>
        <v>Un giovane suona il violino su un marciapiede per le persone che passano nel centro della città.</v>
      </c>
    </row>
    <row r="32055">
      <c r="A32055" s="4" t="s">
        <v>40357</v>
      </c>
      <c r="B32055" s="4" t="s">
        <v>40359</v>
      </c>
      <c r="C32055" s="5" t="str">
        <f>IFERROR(__xludf.DUMMYFUNCTION("GOOGLETRANSLATE(B32055,""en"",""it"")"),"Due studenti camminano dietro il musicista mentre suona.")</f>
        <v>Due studenti camminano dietro il musicista mentre suona.</v>
      </c>
    </row>
    <row r="32056">
      <c r="A32056" s="4" t="s">
        <v>40357</v>
      </c>
      <c r="B32056" s="4" t="s">
        <v>40360</v>
      </c>
      <c r="C32056" s="5" t="str">
        <f>IFERROR(__xludf.DUMMYFUNCTION("GOOGLETRANSLATE(B32056,""en"",""it"")"),"La donna in panchina si è girata per guardare di fronte all'uomo suonare la canzone.")</f>
        <v>La donna in panchina si è girata per guardare di fronte all'uomo suonare la canzone.</v>
      </c>
    </row>
    <row r="32057">
      <c r="A32057" s="4" t="s">
        <v>40357</v>
      </c>
      <c r="B32057" s="4" t="s">
        <v>40361</v>
      </c>
      <c r="C32057" s="5" t="str">
        <f>IFERROR(__xludf.DUMMYFUNCTION("GOOGLETRANSLATE(B32057,""en"",""it"")"),"Un uomo lascia cadere il cambiamento nella Coppa del musicista dopo aver suonato.")</f>
        <v>Un uomo lascia cadere il cambiamento nella Coppa del musicista dopo aver suonato.</v>
      </c>
    </row>
    <row r="32058">
      <c r="A32058" s="4" t="s">
        <v>40362</v>
      </c>
      <c r="B32058" s="6" t="s">
        <v>40363</v>
      </c>
      <c r="C32058" s="5" t="str">
        <f>IFERROR(__xludf.DUMMYFUNCTION("GOOGLETRANSLATE(B32058,""en"",""it"")"),"Un uomo sta cavalcando un cavallo in un rodeo e cattura un toro mentre in stand La gente li sta guardando e altro uomo in un HSE è dalla parte del campo.")</f>
        <v>Un uomo sta cavalcando un cavallo in un rodeo e cattura un toro mentre in stand La gente li sta guardando e altro uomo in un HSE è dalla parte del campo.</v>
      </c>
    </row>
    <row r="32059">
      <c r="A32059" s="4" t="s">
        <v>40362</v>
      </c>
      <c r="B32059" s="4" t="s">
        <v>40364</v>
      </c>
      <c r="C32059" s="5" t="str">
        <f>IFERROR(__xludf.DUMMYFUNCTION("GOOGLETRANSLATE(B32059,""en"",""it"")"),"Gli uomini stanno cavalcando un cavallo in un fienile e gettano una corda per catturare un toro.")</f>
        <v>Gli uomini stanno cavalcando un cavallo in un fienile e gettano una corda per catturare un toro.</v>
      </c>
    </row>
    <row r="32060">
      <c r="A32060" s="4" t="s">
        <v>40365</v>
      </c>
      <c r="B32060" s="4" t="s">
        <v>40366</v>
      </c>
      <c r="C32060" s="5" t="str">
        <f>IFERROR(__xludf.DUMMYFUNCTION("GOOGLETRANSLATE(B32060,""en"",""it"")"),"Un uomo si toglie la camicia.")</f>
        <v>Un uomo si toglie la camicia.</v>
      </c>
    </row>
    <row r="32061">
      <c r="A32061" s="4" t="s">
        <v>40365</v>
      </c>
      <c r="B32061" s="4" t="s">
        <v>40367</v>
      </c>
      <c r="C32061" s="5" t="str">
        <f>IFERROR(__xludf.DUMMYFUNCTION("GOOGLETRANSLATE(B32061,""en"",""it"")"),"Comincia a fare mosse di karate su un tappetino blu.")</f>
        <v>Comincia a fare mosse di karate su un tappetino blu.</v>
      </c>
    </row>
    <row r="32062">
      <c r="A32062" s="4" t="s">
        <v>40365</v>
      </c>
      <c r="B32062" s="4" t="s">
        <v>40368</v>
      </c>
      <c r="C32062" s="5" t="str">
        <f>IFERROR(__xludf.DUMMYFUNCTION("GOOGLETRANSLATE(B32062,""en"",""it"")"),"Fa diversi giri in aria.")</f>
        <v>Fa diversi giri in aria.</v>
      </c>
    </row>
    <row r="32063">
      <c r="A32063" s="4" t="s">
        <v>40369</v>
      </c>
      <c r="B32063" s="4" t="s">
        <v>40370</v>
      </c>
      <c r="C32063" s="5" t="str">
        <f>IFERROR(__xludf.DUMMYFUNCTION("GOOGLETRANSLATE(B32063,""en"",""it"")"),"Prima la giovane donna dorme nel suo letto, ma poi si sveglia per dire qualcosa.")</f>
        <v>Prima la giovane donna dorme nel suo letto, ma poi si sveglia per dire qualcosa.</v>
      </c>
    </row>
    <row r="32064">
      <c r="A32064" s="4" t="s">
        <v>40369</v>
      </c>
      <c r="B32064" s="6" t="s">
        <v>40371</v>
      </c>
      <c r="C32064" s="5" t="str">
        <f>IFERROR(__xludf.DUMMYFUNCTION("GOOGLETRANSLATE(B32064,""en"",""it"")"),"Successivamente viene mostrata seduta al ristorante a mangiare patatine fritte e poi viene mostrata di nuovo nella sua stanza, fissando i vestiti sul suo letto e mettendosi le scarpe.")</f>
        <v>Successivamente viene mostrata seduta al ristorante a mangiare patatine fritte e poi viene mostrata di nuovo nella sua stanza, fissando i vestiti sul suo letto e mettendosi le scarpe.</v>
      </c>
    </row>
    <row r="32065">
      <c r="A32065" s="4" t="s">
        <v>40369</v>
      </c>
      <c r="B32065" s="4" t="s">
        <v>40372</v>
      </c>
      <c r="C32065" s="5" t="str">
        <f>IFERROR(__xludf.DUMMYFUNCTION("GOOGLETRANSLATE(B32065,""en"",""it"")"),"Le viene anche mostrato fare cose divertenti nel video e lo sono anche altre ragazze.")</f>
        <v>Le viene anche mostrato fare cose divertenti nel video e lo sono anche altre ragazze.</v>
      </c>
    </row>
    <row r="32066">
      <c r="A32066" s="4" t="s">
        <v>40373</v>
      </c>
      <c r="B32066" s="6" t="s">
        <v>40374</v>
      </c>
      <c r="C32066" s="5" t="str">
        <f>IFERROR(__xludf.DUMMYFUNCTION("GOOGLETRANSLATE(B32066,""en"",""it"")"),"Un giovane mette un detergente in un secchio blu, quindi mostra e spiega come pulire le finestre dello schermo usando uno spremuto.")</f>
        <v>Un giovane mette un detergente in un secchio blu, quindi mostra e spiega come pulire le finestre dello schermo usando uno spremuto.</v>
      </c>
    </row>
    <row r="32067">
      <c r="A32067" s="4" t="s">
        <v>40373</v>
      </c>
      <c r="B32067" s="4" t="s">
        <v>40375</v>
      </c>
      <c r="C32067" s="5" t="str">
        <f>IFERROR(__xludf.DUMMYFUNCTION("GOOGLETRANSLATE(B32067,""en"",""it"")"),"Dopo, il giovane pulisce lo schermo bagnato con un panno.")</f>
        <v>Dopo, il giovane pulisce lo schermo bagnato con un panno.</v>
      </c>
    </row>
    <row r="32068">
      <c r="A32068" s="4" t="s">
        <v>40373</v>
      </c>
      <c r="B32068" s="4" t="s">
        <v>40376</v>
      </c>
      <c r="C32068" s="5" t="str">
        <f>IFERROR(__xludf.DUMMYFUNCTION("GOOGLETRANSLATE(B32068,""en"",""it"")"),"Il giovane confronta uno schermo sporco con quello pulito e dà un colpo in alto.")</f>
        <v>Il giovane confronta uno schermo sporco con quello pulito e dà un colpo in alto.</v>
      </c>
    </row>
    <row r="32069">
      <c r="A32069" s="4" t="s">
        <v>40377</v>
      </c>
      <c r="B32069" s="6" t="s">
        <v>40378</v>
      </c>
      <c r="C32069" s="5" t="str">
        <f>IFERROR(__xludf.DUMMYFUNCTION("GOOGLETRANSLATE(B32069,""en"",""it"")"),"Una telecamera si muove attorno a una zona recintata e conduce in un uomo e il suo cane esegue trucchi con un frisbee.")</f>
        <v>Una telecamera si muove attorno a una zona recintata e conduce in un uomo e il suo cane esegue trucchi con un frisbee.</v>
      </c>
    </row>
    <row r="32070">
      <c r="A32070" s="4" t="s">
        <v>40377</v>
      </c>
      <c r="B32070" s="6" t="s">
        <v>40379</v>
      </c>
      <c r="C32070" s="5" t="str">
        <f>IFERROR(__xludf.DUMMYFUNCTION("GOOGLETRANSLATE(B32070,""en"",""it"")"),"L'An continua a eseguire trucchi con il cane usando i giocattoli e altri cani che guardano sul lato.")</f>
        <v>L'An continua a eseguire trucchi con il cane usando i giocattoli e altri cani che guardano sul lato.</v>
      </c>
    </row>
    <row r="32071">
      <c r="A32071" s="4" t="s">
        <v>40380</v>
      </c>
      <c r="B32071" s="4" t="s">
        <v>40381</v>
      </c>
      <c r="C32071" s="5" t="str">
        <f>IFERROR(__xludf.DUMMYFUNCTION("GOOGLETRANSLATE(B32071,""en"",""it"")"),"Un collage di disegni e loghi sono visti in bianco e nero che costituiscono un logo più grande.")</f>
        <v>Un collage di disegni e loghi sono visti in bianco e nero che costituiscono un logo più grande.</v>
      </c>
    </row>
    <row r="32072">
      <c r="A32072" s="4" t="s">
        <v>40380</v>
      </c>
      <c r="B32072" s="4" t="s">
        <v>40382</v>
      </c>
      <c r="C32072" s="5" t="str">
        <f>IFERROR(__xludf.DUMMYFUNCTION("GOOGLETRANSLATE(B32072,""en"",""it"")"),"Una spiaggia è vista dalla distanza e le case sono viste su una collina in una piccola città sulla spiaggia.")</f>
        <v>Una spiaggia è vista dalla distanza e le case sono viste su una collina in una piccola città sulla spiaggia.</v>
      </c>
    </row>
    <row r="32073">
      <c r="A32073" s="4" t="s">
        <v>40380</v>
      </c>
      <c r="B32073" s="4" t="s">
        <v>40383</v>
      </c>
      <c r="C32073" s="5" t="str">
        <f>IFERROR(__xludf.DUMMYFUNCTION("GOOGLETRANSLATE(B32073,""en"",""it"")"),"Un surfista scende verso la spiaggia.")</f>
        <v>Un surfista scende verso la spiaggia.</v>
      </c>
    </row>
    <row r="32074">
      <c r="A32074" s="4" t="s">
        <v>40380</v>
      </c>
      <c r="B32074" s="4" t="s">
        <v>32466</v>
      </c>
      <c r="C32074" s="5" t="str">
        <f>IFERROR(__xludf.DUMMYFUNCTION("GOOGLETRANSLATE(B32074,""en"",""it"")"),"I surfisti cavalcano grandi onde nell'oceano.")</f>
        <v>I surfisti cavalcano grandi onde nell'oceano.</v>
      </c>
    </row>
    <row r="32075">
      <c r="A32075" s="4" t="s">
        <v>40384</v>
      </c>
      <c r="B32075" s="4" t="s">
        <v>40385</v>
      </c>
      <c r="C32075" s="5" t="str">
        <f>IFERROR(__xludf.DUMMYFUNCTION("GOOGLETRANSLATE(B32075,""en"",""it"")"),"Una donna viene vista guardare in lontananza che si tiene su un'armonica.")</f>
        <v>Una donna viene vista guardare in lontananza che si tiene su un'armonica.</v>
      </c>
    </row>
    <row r="32076">
      <c r="A32076" s="4" t="s">
        <v>40384</v>
      </c>
      <c r="B32076" s="4" t="s">
        <v>40386</v>
      </c>
      <c r="C32076" s="5" t="str">
        <f>IFERROR(__xludf.DUMMYFUNCTION("GOOGLETRANSLATE(B32076,""en"",""it"")"),"Comincia a suonare l'armonica mentre distoglie lo sguardo dalla telecamera.")</f>
        <v>Comincia a suonare l'armonica mentre distoglie lo sguardo dalla telecamera.</v>
      </c>
    </row>
    <row r="32077">
      <c r="A32077" s="4" t="s">
        <v>40384</v>
      </c>
      <c r="B32077" s="4" t="s">
        <v>40387</v>
      </c>
      <c r="C32077" s="5" t="str">
        <f>IFERROR(__xludf.DUMMYFUNCTION("GOOGLETRANSLATE(B32077,""en"",""it"")"),"Continua a suonare l'armonica e si ferma a guardare la telecamera.")</f>
        <v>Continua a suonare l'armonica e si ferma a guardare la telecamera.</v>
      </c>
    </row>
    <row r="32078">
      <c r="A32078" s="4" t="s">
        <v>40388</v>
      </c>
      <c r="B32078" s="4" t="s">
        <v>40389</v>
      </c>
      <c r="C32078" s="5" t="str">
        <f>IFERROR(__xludf.DUMMYFUNCTION("GOOGLETRANSLATE(B32078,""en"",""it"")"),"Una persona che usa una sega a catena sta riducendo gli arti da un albero.")</f>
        <v>Una persona che usa una sega a catena sta riducendo gli arti da un albero.</v>
      </c>
    </row>
    <row r="32079">
      <c r="A32079" s="4" t="s">
        <v>40388</v>
      </c>
      <c r="B32079" s="4" t="s">
        <v>40390</v>
      </c>
      <c r="C32079" s="5" t="str">
        <f>IFERROR(__xludf.DUMMYFUNCTION("GOOGLETRANSLATE(B32079,""en"",""it"")"),"L'uomo usa un'estensione per tagliare un arto dalla parte superiore dell'albero.")</f>
        <v>L'uomo usa un'estensione per tagliare un arto dalla parte superiore dell'albero.</v>
      </c>
    </row>
    <row r="32080">
      <c r="A32080" s="4" t="s">
        <v>40391</v>
      </c>
      <c r="B32080" s="4" t="s">
        <v>40392</v>
      </c>
      <c r="C32080" s="5" t="str">
        <f>IFERROR(__xludf.DUMMYFUNCTION("GOOGLETRANSLATE(B32080,""en"",""it"")"),"Un uomo discende da un pendio a vapore sul suo snowboard.")</f>
        <v>Un uomo discende da un pendio a vapore sul suo snowboard.</v>
      </c>
    </row>
    <row r="32081">
      <c r="A32081" s="4" t="s">
        <v>40391</v>
      </c>
      <c r="B32081" s="4" t="s">
        <v>40393</v>
      </c>
      <c r="C32081" s="5" t="str">
        <f>IFERROR(__xludf.DUMMYFUNCTION("GOOGLETRANSLATE(B32081,""en"",""it"")"),"Un altro cattura aria mentre vola su una collina innevata.")</f>
        <v>Un altro cattura aria mentre vola su una collina innevata.</v>
      </c>
    </row>
    <row r="32082">
      <c r="A32082" s="4" t="s">
        <v>40391</v>
      </c>
      <c r="B32082" s="4" t="s">
        <v>40394</v>
      </c>
      <c r="C32082" s="5" t="str">
        <f>IFERROR(__xludf.DUMMYFUNCTION("GOOGLETRANSLATE(B32082,""en"",""it"")"),"Un altro snowboarder scivola bruscamente lungo una ripida collina fino alla base.")</f>
        <v>Un altro snowboarder scivola bruscamente lungo una ripida collina fino alla base.</v>
      </c>
    </row>
    <row r="32083">
      <c r="A32083" s="4" t="s">
        <v>40391</v>
      </c>
      <c r="B32083" s="4" t="s">
        <v>40395</v>
      </c>
      <c r="C32083" s="5" t="str">
        <f>IFERROR(__xludf.DUMMYFUNCTION("GOOGLETRANSLATE(B32083,""en"",""it"")"),"Un uomo in grigio viene mostrato eseguendo alcuni trucchi in aria.")</f>
        <v>Un uomo in grigio viene mostrato eseguendo alcuni trucchi in aria.</v>
      </c>
    </row>
    <row r="32084">
      <c r="A32084" s="4" t="s">
        <v>40391</v>
      </c>
      <c r="B32084" s="4" t="s">
        <v>40396</v>
      </c>
      <c r="C32084" s="5" t="str">
        <f>IFERROR(__xludf.DUMMYFUNCTION("GOOGLETRANSLATE(B32084,""en"",""it"")"),"Viene mostrata la prospettiva in prima persona di uno snowboarder che scende una collina.")</f>
        <v>Viene mostrata la prospettiva in prima persona di uno snowboarder che scende una collina.</v>
      </c>
    </row>
    <row r="32085">
      <c r="A32085" s="4" t="s">
        <v>40391</v>
      </c>
      <c r="B32085" s="4" t="s">
        <v>40397</v>
      </c>
      <c r="C32085" s="5" t="str">
        <f>IFERROR(__xludf.DUMMYFUNCTION("GOOGLETRANSLATE(B32085,""en"",""it"")"),"Un altro snowboarder vola giù per la collina, tagliando abilmente a sinistra e a destra.")</f>
        <v>Un altro snowboarder vola giù per la collina, tagliando abilmente a sinistra e a destra.</v>
      </c>
    </row>
    <row r="32086">
      <c r="A32086" s="4" t="s">
        <v>40391</v>
      </c>
      <c r="B32086" s="4" t="s">
        <v>40398</v>
      </c>
      <c r="C32086" s="5" t="str">
        <f>IFERROR(__xludf.DUMMYFUNCTION("GOOGLETRANSLATE(B32086,""en"",""it"")"),"Vengono mostrati vari filmati di snowboarder che scendono grandi pendenze.")</f>
        <v>Vengono mostrati vari filmati di snowboarder che scendono grandi pendenze.</v>
      </c>
    </row>
    <row r="32087">
      <c r="A32087" s="4" t="s">
        <v>40391</v>
      </c>
      <c r="B32087" s="4" t="s">
        <v>40399</v>
      </c>
      <c r="C32087" s="5" t="str">
        <f>IFERROR(__xludf.DUMMYFUNCTION("GOOGLETRANSLATE(B32087,""en"",""it"")"),"La prospettiva in prima persona di Snowboarder con compagno di cavaliere di fronte a lui chiude il video.")</f>
        <v>La prospettiva in prima persona di Snowboarder con compagno di cavaliere di fronte a lui chiude il video.</v>
      </c>
    </row>
    <row r="32088">
      <c r="A32088" s="4" t="s">
        <v>40400</v>
      </c>
      <c r="B32088" s="4" t="s">
        <v>40401</v>
      </c>
      <c r="C32088" s="5" t="str">
        <f>IFERROR(__xludf.DUMMYFUNCTION("GOOGLETRANSLATE(B32088,""en"",""it"")"),"La donna in maglione bianco sta parlando con la telecamera.")</f>
        <v>La donna in maglione bianco sta parlando con la telecamera.</v>
      </c>
    </row>
    <row r="32089">
      <c r="A32089" s="4" t="s">
        <v>40400</v>
      </c>
      <c r="B32089" s="4" t="s">
        <v>40402</v>
      </c>
      <c r="C32089" s="5" t="str">
        <f>IFERROR(__xludf.DUMMYFUNCTION("GOOGLETRANSLATE(B32089,""en"",""it"")"),"La donna tiene un violino e un bastone.")</f>
        <v>La donna tiene un violino e un bastone.</v>
      </c>
    </row>
    <row r="32090">
      <c r="A32090" s="4" t="s">
        <v>40400</v>
      </c>
      <c r="B32090" s="6" t="s">
        <v>40403</v>
      </c>
      <c r="C32090" s="5" t="str">
        <f>IFERROR(__xludf.DUMMYFUNCTION("GOOGLETRANSLATE(B32090,""en"",""it"")"),"La donna mise il violino tra il collo e la spalla e iniziò a suonare per pochi secondi, poi parlò con la telecamera.")</f>
        <v>La donna mise il violino tra il collo e la spalla e iniziò a suonare per pochi secondi, poi parlò con la telecamera.</v>
      </c>
    </row>
    <row r="32091">
      <c r="A32091" s="4" t="s">
        <v>40404</v>
      </c>
      <c r="B32091" s="4" t="s">
        <v>40405</v>
      </c>
      <c r="C32091" s="5" t="str">
        <f>IFERROR(__xludf.DUMMYFUNCTION("GOOGLETRANSLATE(B32091,""en"",""it"")"),"Le persone si trovano al confine tra le tavole delle immersioni e si tuffano mentre sono in acqua.")</f>
        <v>Le persone si trovano al confine tra le tavole delle immersioni e si tuffano mentre sono in acqua.</v>
      </c>
    </row>
    <row r="32092">
      <c r="A32092" s="4" t="s">
        <v>40404</v>
      </c>
      <c r="B32092" s="4" t="s">
        <v>40406</v>
      </c>
      <c r="C32092" s="5" t="str">
        <f>IFERROR(__xludf.DUMMYFUNCTION("GOOGLETRANSLATE(B32092,""en"",""it"")"),"Il nuotatore si trovano sulle tavole da immersione, quindi saltano girando in aria e si tuffano in acqua.")</f>
        <v>Il nuotatore si trovano sulle tavole da immersione, quindi saltano girando in aria e si tuffano in acqua.</v>
      </c>
    </row>
    <row r="32093">
      <c r="A32093" s="4" t="s">
        <v>40404</v>
      </c>
      <c r="B32093" s="6" t="s">
        <v>40407</v>
      </c>
      <c r="C32093" s="5" t="str">
        <f>IFERROR(__xludf.DUMMYFUNCTION("GOOGLETRANSLATE(B32093,""en"",""it"")"),"I nuotatori saltano dalla tavola da immersione, girano tre volte in aria prima di immergersi in acqua.")</f>
        <v>I nuotatori saltano dalla tavola da immersione, girano tre volte in aria prima di immergersi in acqua.</v>
      </c>
    </row>
    <row r="32094">
      <c r="A32094" s="4" t="s">
        <v>40408</v>
      </c>
      <c r="B32094" s="6" t="s">
        <v>40409</v>
      </c>
      <c r="C32094" s="5" t="str">
        <f>IFERROR(__xludf.DUMMYFUNCTION("GOOGLETRANSLATE(B32094,""en"",""it"")"),"Una ragazza dimostra che suona una chitarra acustica usando le mani per creare rumore di percussione sul corpo della chitarra.")</f>
        <v>Una ragazza dimostra che suona una chitarra acustica usando le mani per creare rumore di percussione sul corpo della chitarra.</v>
      </c>
    </row>
    <row r="32095">
      <c r="A32095" s="4" t="s">
        <v>40408</v>
      </c>
      <c r="B32095" s="6" t="s">
        <v>40410</v>
      </c>
      <c r="C32095" s="5" t="str">
        <f>IFERROR(__xludf.DUMMYFUNCTION("GOOGLETRANSLATE(B32095,""en"",""it"")"),"Una ragazza entra in una stanza in cui una chitarra acustica si sporge contro un divano e si siede sul divano e inizia a suonare la chitarra.")</f>
        <v>Una ragazza entra in una stanza in cui una chitarra acustica si sporge contro un divano e si siede sul divano e inizia a suonare la chitarra.</v>
      </c>
    </row>
    <row r="32096">
      <c r="A32096" s="4" t="s">
        <v>40408</v>
      </c>
      <c r="B32096" s="6" t="s">
        <v>40411</v>
      </c>
      <c r="C32096" s="5" t="str">
        <f>IFERROR(__xludf.DUMMYFUNCTION("GOOGLETRANSLATE(B32096,""en"",""it"")"),"La ragazza usa la mano destra per fare ritmi con la chitarra e raccoglie accordi con la mano sinistra mentre fissa intensamente la chitarra.")</f>
        <v>La ragazza usa la mano destra per fare ritmi con la chitarra e raccoglie accordi con la mano sinistra mentre fissa intensamente la chitarra.</v>
      </c>
    </row>
    <row r="32097">
      <c r="A32097" s="4" t="s">
        <v>40408</v>
      </c>
      <c r="B32097" s="4" t="s">
        <v>40412</v>
      </c>
      <c r="C32097" s="5" t="str">
        <f>IFERROR(__xludf.DUMMYFUNCTION("GOOGLETRANSLATE(B32097,""en"",""it"")"),"La ragazza continua a suonare intensamente, annuendo occasionalmente la testa al ritmo.")</f>
        <v>La ragazza continua a suonare intensamente, annuendo occasionalmente la testa al ritmo.</v>
      </c>
    </row>
    <row r="32098">
      <c r="A32098" s="4" t="s">
        <v>40413</v>
      </c>
      <c r="B32098" s="6" t="s">
        <v>40414</v>
      </c>
      <c r="C32098" s="5" t="str">
        <f>IFERROR(__xludf.DUMMYFUNCTION("GOOGLETRANSLATE(B32098,""en"",""it"")"),"Un giovane con camicia verde è in piedi alla porta, mentre il giovane giocatore in blu ha calciato la palla in porta e la palla è entrata in porta, l'uomo con la camicia verde ha perso la palla.")</f>
        <v>Un giovane con camicia verde è in piedi alla porta, mentre il giovane giocatore in blu ha calciato la palla in porta e la palla è entrata in porta, l'uomo con la camicia verde ha perso la palla.</v>
      </c>
    </row>
    <row r="32099">
      <c r="A32099" s="4" t="s">
        <v>40413</v>
      </c>
      <c r="B32099" s="6" t="s">
        <v>40415</v>
      </c>
      <c r="C32099" s="5" t="str">
        <f>IFERROR(__xludf.DUMMYFUNCTION("GOOGLETRANSLATE(B32099,""en"",""it"")"),"L'uomo con camicia rossa corre verso la palla, ha preso a calci la palla e il portiere non è stato in grado di bloccarla, il giocatore ha alto cinque i suoi compagni di squadra.")</f>
        <v>L'uomo con camicia rossa corre verso la palla, ha preso a calci la palla e il portiere non è stato in grado di bloccarla, il giocatore ha alto cinque i suoi compagni di squadra.</v>
      </c>
    </row>
    <row r="32100">
      <c r="A32100" s="4" t="s">
        <v>40413</v>
      </c>
      <c r="B32100" s="4" t="s">
        <v>40416</v>
      </c>
      <c r="C32100" s="5" t="str">
        <f>IFERROR(__xludf.DUMMYFUNCTION("GOOGLETRANSLATE(B32100,""en"",""it"")"),"I giocatori stanno calciando la palla al goal e i portieri non sono stati in grado di bloccare la palla.")</f>
        <v>I giocatori stanno calciando la palla al goal e i portieri non sono stati in grado di bloccare la palla.</v>
      </c>
    </row>
    <row r="32101">
      <c r="A32101" s="4" t="s">
        <v>40417</v>
      </c>
      <c r="B32101" s="4" t="s">
        <v>40418</v>
      </c>
      <c r="C32101" s="5" t="str">
        <f>IFERROR(__xludf.DUMMYFUNCTION("GOOGLETRANSLATE(B32101,""en"",""it"")"),"Vediamo la scena di una corrida con matadors sul ring e li vediamo pugnalare i tori.")</f>
        <v>Vediamo la scena di una corrida con matadors sul ring e li vediamo pugnalare i tori.</v>
      </c>
    </row>
    <row r="32102">
      <c r="A32102" s="4" t="s">
        <v>40417</v>
      </c>
      <c r="B32102" s="4" t="s">
        <v>40419</v>
      </c>
      <c r="C32102" s="5" t="str">
        <f>IFERROR(__xludf.DUMMYFUNCTION("GOOGLETRANSLATE(B32102,""en"",""it"")"),"Vediamo immagini di tori sanguinanti e carcasse che vengono trascinate a terra.")</f>
        <v>Vediamo immagini di tori sanguinanti e carcasse che vengono trascinate a terra.</v>
      </c>
    </row>
    <row r="32103">
      <c r="A32103" s="4" t="s">
        <v>40417</v>
      </c>
      <c r="B32103" s="4" t="s">
        <v>40420</v>
      </c>
      <c r="C32103" s="5" t="str">
        <f>IFERROR(__xludf.DUMMYFUNCTION("GOOGLETRANSLATE(B32103,""en"",""it"")"),"Vediamo le immagini di un toro in un macello.")</f>
        <v>Vediamo le immagini di un toro in un macello.</v>
      </c>
    </row>
    <row r="32104">
      <c r="A32104" s="4" t="s">
        <v>40417</v>
      </c>
      <c r="B32104" s="4" t="s">
        <v>40421</v>
      </c>
      <c r="C32104" s="5" t="str">
        <f>IFERROR(__xludf.DUMMYFUNCTION("GOOGLETRANSLATE(B32104,""en"",""it"")"),"Le parole attraversano lo schermo per torturare i tori.")</f>
        <v>Le parole attraversano lo schermo per torturare i tori.</v>
      </c>
    </row>
    <row r="32105">
      <c r="A32105" s="4" t="s">
        <v>40417</v>
      </c>
      <c r="B32105" s="4" t="s">
        <v>40422</v>
      </c>
      <c r="C32105" s="5" t="str">
        <f>IFERROR(__xludf.DUMMYFUNCTION("GOOGLETRANSLATE(B32105,""en"",""it"")"),"Vediamo quindi uno schermo finale PETA.")</f>
        <v>Vediamo quindi uno schermo finale PETA.</v>
      </c>
    </row>
    <row r="32106">
      <c r="A32106" s="4" t="s">
        <v>40423</v>
      </c>
      <c r="B32106" s="4" t="s">
        <v>40424</v>
      </c>
      <c r="C32106" s="5" t="str">
        <f>IFERROR(__xludf.DUMMYFUNCTION("GOOGLETRANSLATE(B32106,""en"",""it"")"),"Un pilota di kayak si sposta nella baia di un oceano.")</f>
        <v>Un pilota di kayak si sposta nella baia di un oceano.</v>
      </c>
    </row>
    <row r="32107">
      <c r="A32107" s="4" t="s">
        <v>40423</v>
      </c>
      <c r="B32107" s="4" t="s">
        <v>40425</v>
      </c>
      <c r="C32107" s="5" t="str">
        <f>IFERROR(__xludf.DUMMYFUNCTION("GOOGLETRANSLATE(B32107,""en"",""it"")"),"Due cavalieri di kayak parlano mentre sono seduti nei loro kayak.")</f>
        <v>Due cavalieri di kayak parlano mentre sono seduti nei loro kayak.</v>
      </c>
    </row>
    <row r="32108">
      <c r="A32108" s="4" t="s">
        <v>40423</v>
      </c>
      <c r="B32108" s="4" t="s">
        <v>40426</v>
      </c>
      <c r="C32108" s="5" t="str">
        <f>IFERROR(__xludf.DUMMYFUNCTION("GOOGLETRANSLATE(B32108,""en"",""it"")"),"Si vede la vista delle montagne circostanti.")</f>
        <v>Si vede la vista delle montagne circostanti.</v>
      </c>
    </row>
    <row r="32109">
      <c r="A32109" s="4" t="s">
        <v>40427</v>
      </c>
      <c r="B32109" s="4" t="s">
        <v>40428</v>
      </c>
      <c r="C32109" s="5" t="str">
        <f>IFERROR(__xludf.DUMMYFUNCTION("GOOGLETRANSLATE(B32109,""en"",""it"")"),"Due persone sono in cucina.")</f>
        <v>Due persone sono in cucina.</v>
      </c>
    </row>
    <row r="32110">
      <c r="A32110" s="4" t="s">
        <v>40427</v>
      </c>
      <c r="B32110" s="4" t="s">
        <v>40429</v>
      </c>
      <c r="C32110" s="5" t="str">
        <f>IFERROR(__xludf.DUMMYFUNCTION("GOOGLETRANSLATE(B32110,""en"",""it"")"),"Un uomo muove una ciotola di vetro dal bancone.")</f>
        <v>Un uomo muove una ciotola di vetro dal bancone.</v>
      </c>
    </row>
    <row r="32111">
      <c r="A32111" s="4" t="s">
        <v>40427</v>
      </c>
      <c r="B32111" s="4" t="s">
        <v>40430</v>
      </c>
      <c r="C32111" s="5" t="str">
        <f>IFERROR(__xludf.DUMMYFUNCTION("GOOGLETRANSLATE(B32111,""en"",""it"")"),"Una donna inizia a tagliare un pomodoro su una tavola.")</f>
        <v>Una donna inizia a tagliare un pomodoro su una tavola.</v>
      </c>
    </row>
    <row r="32112">
      <c r="A32112" s="4" t="s">
        <v>40431</v>
      </c>
      <c r="B32112" s="6" t="s">
        <v>40432</v>
      </c>
      <c r="C32112" s="5" t="str">
        <f>IFERROR(__xludf.DUMMYFUNCTION("GOOGLETRANSLATE(B32112,""en"",""it"")"),"Noi un uomo che lava i piatti in una cucina del ristorante con altri due uomini in piedi dietro di lui per massaggiargli la spalla.")</f>
        <v>Noi un uomo che lava i piatti in una cucina del ristorante con altri due uomini in piedi dietro di lui per massaggiargli la spalla.</v>
      </c>
    </row>
    <row r="32113">
      <c r="A32113" s="4" t="s">
        <v>40431</v>
      </c>
      <c r="B32113" s="4" t="s">
        <v>40433</v>
      </c>
      <c r="C32113" s="5" t="str">
        <f>IFERROR(__xludf.DUMMYFUNCTION("GOOGLETRANSLATE(B32113,""en"",""it"")"),"La lavastoviglie scuote l'uomo dalle spalle.")</f>
        <v>La lavastoviglie scuote l'uomo dalle spalle.</v>
      </c>
    </row>
    <row r="32114">
      <c r="A32114" s="4" t="s">
        <v>40431</v>
      </c>
      <c r="B32114" s="4" t="s">
        <v>40434</v>
      </c>
      <c r="C32114" s="5" t="str">
        <f>IFERROR(__xludf.DUMMYFUNCTION("GOOGLETRANSLATE(B32114,""en"",""it"")"),"L'uomo nella parte posteriore in blu esce dalla stanza.")</f>
        <v>L'uomo nella parte posteriore in blu esce dalla stanza.</v>
      </c>
    </row>
    <row r="32115">
      <c r="A32115" s="4" t="s">
        <v>40431</v>
      </c>
      <c r="B32115" s="4" t="s">
        <v>40435</v>
      </c>
      <c r="C32115" s="5" t="str">
        <f>IFERROR(__xludf.DUMMYFUNCTION("GOOGLETRANSLATE(B32115,""en"",""it"")"),"L'altro uomo finge di lavare i piatti, quindi lava le mani.")</f>
        <v>L'altro uomo finge di lavare i piatti, quindi lava le mani.</v>
      </c>
    </row>
    <row r="32116">
      <c r="A32116" s="4" t="s">
        <v>40436</v>
      </c>
      <c r="B32116" s="4" t="s">
        <v>40437</v>
      </c>
      <c r="C32116" s="5" t="str">
        <f>IFERROR(__xludf.DUMMYFUNCTION("GOOGLETRANSLATE(B32116,""en"",""it"")"),"Un reporter trasmesso da un set di studio TV.")</f>
        <v>Un reporter trasmesso da un set di studio TV.</v>
      </c>
    </row>
    <row r="32117">
      <c r="A32117" s="4" t="s">
        <v>40436</v>
      </c>
      <c r="B32117" s="6" t="s">
        <v>40438</v>
      </c>
      <c r="C32117" s="5" t="str">
        <f>IFERROR(__xludf.DUMMYFUNCTION("GOOGLETRANSLATE(B32117,""en"",""it"")"),"Quindi mostra che il giornalista intervista un maschio e un giocatore femminile una piscina mentre un gruppo di giocatori salta in acqua.")</f>
        <v>Quindi mostra che il giornalista intervista un maschio e un giocatore femminile una piscina mentre un gruppo di giocatori salta in acqua.</v>
      </c>
    </row>
    <row r="32118">
      <c r="A32118" s="4" t="s">
        <v>40436</v>
      </c>
      <c r="B32118" s="6" t="s">
        <v>40439</v>
      </c>
      <c r="C32118" s="5" t="str">
        <f>IFERROR(__xludf.DUMMYFUNCTION("GOOGLETRANSLATE(B32118,""en"",""it"")"),"Due squadre giocano a polo d'acqua in piscina mentre il giornalista continua a intervistare le persone.")</f>
        <v>Due squadre giocano a polo d'acqua in piscina mentre il giornalista continua a intervistare le persone.</v>
      </c>
    </row>
    <row r="32119">
      <c r="A32119" s="4" t="s">
        <v>40436</v>
      </c>
      <c r="B32119" s="4" t="s">
        <v>40440</v>
      </c>
      <c r="C32119" s="5" t="str">
        <f>IFERROR(__xludf.DUMMYFUNCTION("GOOGLETRANSLATE(B32119,""en"",""it"")"),"Una donna e un uomo scrivono i punteggi su un gioco, poi le persone applaude.")</f>
        <v>Una donna e un uomo scrivono i punteggi su un gioco, poi le persone applaude.</v>
      </c>
    </row>
    <row r="32120">
      <c r="A32120" s="4" t="s">
        <v>40436</v>
      </c>
      <c r="B32120" s="6" t="s">
        <v>40441</v>
      </c>
      <c r="C32120" s="5" t="str">
        <f>IFERROR(__xludf.DUMMYFUNCTION("GOOGLETRANSLATE(B32120,""en"",""it"")"),"La squadra vincitrice esce dall'acqua e celebra, quindi il giornalista intervista i membri del team.")</f>
        <v>La squadra vincitrice esce dall'acqua e celebra, quindi il giornalista intervista i membri del team.</v>
      </c>
    </row>
    <row r="32121">
      <c r="A32121" s="4" t="s">
        <v>40436</v>
      </c>
      <c r="B32121" s="4" t="s">
        <v>40442</v>
      </c>
      <c r="C32121" s="5" t="str">
        <f>IFERROR(__xludf.DUMMYFUNCTION("GOOGLETRANSLATE(B32121,""en"",""it"")"),"Ancora una volta, il team entra in acqua e poi il giornalista trasmessa da un set di studio.")</f>
        <v>Ancora una volta, il team entra in acqua e poi il giornalista trasmessa da un set di studio.</v>
      </c>
    </row>
    <row r="32122">
      <c r="A32122" s="4" t="s">
        <v>40443</v>
      </c>
      <c r="B32122" s="4" t="s">
        <v>40444</v>
      </c>
      <c r="C32122" s="5" t="str">
        <f>IFERROR(__xludf.DUMMYFUNCTION("GOOGLETRANSLATE(B32122,""en"",""it"")"),"La donna è in piedi davanti a un bancone che parla con la telecamera e mostra bevande.")</f>
        <v>La donna è in piedi davanti a un bancone che parla con la telecamera e mostra bevande.</v>
      </c>
    </row>
    <row r="32123">
      <c r="A32123" s="4" t="s">
        <v>40443</v>
      </c>
      <c r="B32123" s="4" t="s">
        <v>40445</v>
      </c>
      <c r="C32123" s="5" t="str">
        <f>IFERROR(__xludf.DUMMYFUNCTION("GOOGLETRANSLATE(B32123,""en"",""it"")"),"La donna afferra il succo e il liquore e lo serve in una tazza.")</f>
        <v>La donna afferra il succo e il liquore e lo serve in una tazza.</v>
      </c>
    </row>
    <row r="32124">
      <c r="A32124" s="4" t="s">
        <v>40443</v>
      </c>
      <c r="B32124" s="4" t="s">
        <v>40446</v>
      </c>
      <c r="C32124" s="5" t="str">
        <f>IFERROR(__xludf.DUMMYFUNCTION("GOOGLETRANSLATE(B32124,""en"",""it"")"),"La donna sta mostrando in un bar come preparare un cocktail.")</f>
        <v>La donna sta mostrando in un bar come preparare un cocktail.</v>
      </c>
    </row>
    <row r="32125">
      <c r="A32125" s="4" t="s">
        <v>40447</v>
      </c>
      <c r="B32125" s="4" t="s">
        <v>40448</v>
      </c>
      <c r="C32125" s="5" t="str">
        <f>IFERROR(__xludf.DUMMYFUNCTION("GOOGLETRANSLATE(B32125,""en"",""it"")"),"Un uomo che indossa una camicia blu cammina verso un po 'di congas e si siede.")</f>
        <v>Un uomo che indossa una camicia blu cammina verso un po 'di congas e si siede.</v>
      </c>
    </row>
    <row r="32126">
      <c r="A32126" s="4" t="s">
        <v>40447</v>
      </c>
      <c r="B32126" s="4" t="s">
        <v>40449</v>
      </c>
      <c r="C32126" s="5" t="str">
        <f>IFERROR(__xludf.DUMMYFUNCTION("GOOGLETRANSLATE(B32126,""en"",""it"")"),"Il musicista inizia a suonare i Congas in una piccola stanza.")</f>
        <v>Il musicista inizia a suonare i Congas in una piccola stanza.</v>
      </c>
    </row>
    <row r="32127">
      <c r="A32127" s="4" t="s">
        <v>40447</v>
      </c>
      <c r="B32127" s="4" t="s">
        <v>40450</v>
      </c>
      <c r="C32127" s="5" t="str">
        <f>IFERROR(__xludf.DUMMYFUNCTION("GOOGLETRANSLATE(B32127,""en"",""it"")"),"L'uomo quindi si alza e si avvicina alla fotocamera.")</f>
        <v>L'uomo quindi si alza e si avvicina alla fotocamera.</v>
      </c>
    </row>
    <row r="32128">
      <c r="A32128" s="4" t="s">
        <v>40451</v>
      </c>
      <c r="B32128" s="4" t="s">
        <v>40452</v>
      </c>
      <c r="C32128" s="5" t="str">
        <f>IFERROR(__xludf.DUMMYFUNCTION("GOOGLETRANSLATE(B32128,""en"",""it"")"),"Vediamo scatti di un lavandino.")</f>
        <v>Vediamo scatti di un lavandino.</v>
      </c>
    </row>
    <row r="32129">
      <c r="A32129" s="4" t="s">
        <v>40451</v>
      </c>
      <c r="B32129" s="4" t="s">
        <v>40453</v>
      </c>
      <c r="C32129" s="5" t="str">
        <f>IFERROR(__xludf.DUMMYFUNCTION("GOOGLETRANSLATE(B32129,""en"",""it"")"),"Una persona spruzza il lavandino con una bottiglia, quindi utilizza spazzole per strofinare il lavandino.")</f>
        <v>Una persona spruzza il lavandino con una bottiglia, quindi utilizza spazzole per strofinare il lavandino.</v>
      </c>
    </row>
    <row r="32130">
      <c r="A32130" s="4" t="s">
        <v>40451</v>
      </c>
      <c r="B32130" s="4" t="s">
        <v>40454</v>
      </c>
      <c r="C32130" s="5" t="str">
        <f>IFERROR(__xludf.DUMMYFUNCTION("GOOGLETRANSLATE(B32130,""en"",""it"")"),"La persona sciacqua il lavandino le salviette con un asciugamano blu.")</f>
        <v>La persona sciacqua il lavandino le salviette con un asciugamano blu.</v>
      </c>
    </row>
    <row r="32131">
      <c r="A32131" s="4" t="s">
        <v>40451</v>
      </c>
      <c r="B32131" s="4" t="s">
        <v>40455</v>
      </c>
      <c r="C32131" s="5" t="str">
        <f>IFERROR(__xludf.DUMMYFUNCTION("GOOGLETRANSLATE(B32131,""en"",""it"")"),"La persona quindi sciacqua di nuovo il lavandino e lo asciuga di nuovo con l'asciugamano blu.")</f>
        <v>La persona quindi sciacqua di nuovo il lavandino e lo asciuga di nuovo con l'asciugamano blu.</v>
      </c>
    </row>
    <row r="32132">
      <c r="A32132" s="4" t="s">
        <v>40451</v>
      </c>
      <c r="B32132" s="6" t="s">
        <v>40456</v>
      </c>
      <c r="C32132" s="5" t="str">
        <f>IFERROR(__xludf.DUMMYFUNCTION("GOOGLETRANSLATE(B32132,""en"",""it"")"),"La persona spruzza il lavandino con una soluzione e utilizza un piccolo pennello a rulli per far passare la soluzione nel lavandino.")</f>
        <v>La persona spruzza il lavandino con una soluzione e utilizza un piccolo pennello a rulli per far passare la soluzione nel lavandino.</v>
      </c>
    </row>
    <row r="32133">
      <c r="A32133" s="4" t="s">
        <v>40451</v>
      </c>
      <c r="B32133" s="4" t="s">
        <v>40457</v>
      </c>
      <c r="C32133" s="5" t="str">
        <f>IFERROR(__xludf.DUMMYFUNCTION("GOOGLETRANSLATE(B32133,""en"",""it"")"),"Vediamo scatti prima e dopo il lavandino.")</f>
        <v>Vediamo scatti prima e dopo il lavandino.</v>
      </c>
    </row>
    <row r="32134">
      <c r="A32134" s="4" t="s">
        <v>40458</v>
      </c>
      <c r="B32134" s="4" t="s">
        <v>40459</v>
      </c>
      <c r="C32134" s="5" t="str">
        <f>IFERROR(__xludf.DUMMYFUNCTION("GOOGLETRANSLATE(B32134,""en"",""it"")"),"Un gruppo di persone giocano a Ping Pong con macchine e robot automatizzati.")</f>
        <v>Un gruppo di persone giocano a Ping Pong con macchine e robot automatizzati.</v>
      </c>
    </row>
    <row r="32135">
      <c r="A32135" s="4" t="s">
        <v>40458</v>
      </c>
      <c r="B32135" s="6" t="s">
        <v>40460</v>
      </c>
      <c r="C32135" s="5" t="str">
        <f>IFERROR(__xludf.DUMMYFUNCTION("GOOGLETRANSLATE(B32135,""en"",""it"")"),"Un uomo suona Ping Pong con una macchina arancione con una pagaia rossa attaccata all'estremità di un braccio robotico.")</f>
        <v>Un uomo suona Ping Pong con una macchina arancione con una pagaia rossa attaccata all'estremità di un braccio robotico.</v>
      </c>
    </row>
    <row r="32136">
      <c r="A32136" s="4" t="s">
        <v>40458</v>
      </c>
      <c r="B32136" s="6" t="s">
        <v>40461</v>
      </c>
      <c r="C32136" s="5" t="str">
        <f>IFERROR(__xludf.DUMMYFUNCTION("GOOGLETRANSLATE(B32136,""en"",""it"")"),"Un uomo e un bambino giocano a ping pong attraverso un tavolo blu ping pong mentre un uomo appare in piedi accanto a una macchina automatizzata arancione e parla.")</f>
        <v>Un uomo e un bambino giocano a ping pong attraverso un tavolo blu ping pong mentre un uomo appare in piedi accanto a una macchina automatizzata arancione e parla.</v>
      </c>
    </row>
    <row r="32137">
      <c r="A32137" s="4" t="s">
        <v>40458</v>
      </c>
      <c r="B32137" s="4" t="s">
        <v>40462</v>
      </c>
      <c r="C32137" s="5" t="str">
        <f>IFERROR(__xludf.DUMMYFUNCTION("GOOGLETRANSLATE(B32137,""en"",""it"")"),"Un altro uomo suona il ping pong attraverso un tavolo blu ping pong con un robot bianco, metallo.")</f>
        <v>Un altro uomo suona il ping pong attraverso un tavolo blu ping pong con un robot bianco, metallo.</v>
      </c>
    </row>
    <row r="32138">
      <c r="A32138" s="4" t="s">
        <v>40458</v>
      </c>
      <c r="B32138" s="6" t="s">
        <v>40463</v>
      </c>
      <c r="C32138" s="5" t="str">
        <f>IFERROR(__xludf.DUMMYFUNCTION("GOOGLETRANSLATE(B32138,""en"",""it"")"),"Un uomo in tuta e cravatta parla mentre una mano mette una palla arancione nella mano a due poti automatizzata di un robot bianco prima di andare in un'area in una stanza piena di macchine robotiche arancioni.")</f>
        <v>Un uomo in tuta e cravatta parla mentre una mano mette una palla arancione nella mano a due poti automatizzata di un robot bianco prima di andare in un'area in una stanza piena di macchine robotiche arancioni.</v>
      </c>
    </row>
    <row r="32139">
      <c r="A32139" s="4" t="s">
        <v>40464</v>
      </c>
      <c r="B32139" s="4" t="s">
        <v>40465</v>
      </c>
      <c r="C32139" s="5" t="str">
        <f>IFERROR(__xludf.DUMMYFUNCTION("GOOGLETRANSLATE(B32139,""en"",""it"")"),"Vediamo una serie di schermi di apertura.")</f>
        <v>Vediamo una serie di schermi di apertura.</v>
      </c>
    </row>
    <row r="32140">
      <c r="A32140" s="4" t="s">
        <v>40464</v>
      </c>
      <c r="B32140" s="4" t="s">
        <v>40466</v>
      </c>
      <c r="C32140" s="5" t="str">
        <f>IFERROR(__xludf.DUMMYFUNCTION("GOOGLETRANSLATE(B32140,""en"",""it"")"),"Una persona lancia un frisbee mentre un cane li cattura.")</f>
        <v>Una persona lancia un frisbee mentre un cane li cattura.</v>
      </c>
    </row>
    <row r="32141">
      <c r="A32141" s="4" t="s">
        <v>40464</v>
      </c>
      <c r="B32141" s="4" t="s">
        <v>40467</v>
      </c>
      <c r="C32141" s="5" t="str">
        <f>IFERROR(__xludf.DUMMYFUNCTION("GOOGLETRANSLATE(B32141,""en"",""it"")"),"Un uomo alza le mani in aria e se ne va e un'altra persona cammina oltre la telecamera.")</f>
        <v>Un uomo alza le mani in aria e se ne va e un'altra persona cammina oltre la telecamera.</v>
      </c>
    </row>
    <row r="32142">
      <c r="A32142" s="4" t="s">
        <v>40464</v>
      </c>
      <c r="B32142" s="4" t="s">
        <v>6208</v>
      </c>
      <c r="C32142" s="5" t="str">
        <f>IFERROR(__xludf.DUMMYFUNCTION("GOOGLETRANSLATE(B32142,""en"",""it"")"),"Vediamo una schermata del titolo.")</f>
        <v>Vediamo una schermata del titolo.</v>
      </c>
    </row>
    <row r="32143">
      <c r="A32143" s="4" t="s">
        <v>40464</v>
      </c>
      <c r="B32143" s="4" t="s">
        <v>40468</v>
      </c>
      <c r="C32143" s="5" t="str">
        <f>IFERROR(__xludf.DUMMYFUNCTION("GOOGLETRANSLATE(B32143,""en"",""it"")"),"Vediamo un'immagine del cane che posa l'erba con le parole sullo schermo.")</f>
        <v>Vediamo un'immagine del cane che posa l'erba con le parole sullo schermo.</v>
      </c>
    </row>
    <row r="32144">
      <c r="A32144" s="4" t="s">
        <v>40469</v>
      </c>
      <c r="B32144" s="4" t="s">
        <v>40470</v>
      </c>
      <c r="C32144" s="5" t="str">
        <f>IFERROR(__xludf.DUMMYFUNCTION("GOOGLETRANSLATE(B32144,""en"",""it"")"),"Vengono mostrati diversi scatti di subacquei che si muovono lungo l'acqua e i pesci che si muovono attorno a loro.")</f>
        <v>Vengono mostrati diversi scatti di subacquei che si muovono lungo l'acqua e i pesci che si muovono attorno a loro.</v>
      </c>
    </row>
    <row r="32145">
      <c r="A32145" s="4" t="s">
        <v>40469</v>
      </c>
      <c r="B32145" s="6" t="s">
        <v>40471</v>
      </c>
      <c r="C32145" s="5" t="str">
        <f>IFERROR(__xludf.DUMMYFUNCTION("GOOGLETRANSLATE(B32145,""en"",""it"")"),"Si vedono più persone che si muovono lungo l'oceano mentre gestiscono la telecamera e catturano tutta la fauna selvatica intorno a loro.")</f>
        <v>Si vedono più persone che si muovono lungo l'oceano mentre gestiscono la telecamera e catturano tutta la fauna selvatica intorno a loro.</v>
      </c>
    </row>
    <row r="32146">
      <c r="A32146" s="4" t="s">
        <v>40469</v>
      </c>
      <c r="B32146" s="4" t="s">
        <v>40472</v>
      </c>
      <c r="C32146" s="5" t="str">
        <f>IFERROR(__xludf.DUMMYFUNCTION("GOOGLETRANSLATE(B32146,""en"",""it"")"),"Alla fine vengono visti cavalcare una barca insieme e agitare la telecamera.")</f>
        <v>Alla fine vengono visti cavalcare una barca insieme e agitare la telecamera.</v>
      </c>
    </row>
    <row r="32147">
      <c r="A32147" s="4" t="s">
        <v>40473</v>
      </c>
      <c r="B32147" s="4" t="s">
        <v>40474</v>
      </c>
      <c r="C32147" s="5" t="str">
        <f>IFERROR(__xludf.DUMMYFUNCTION("GOOGLETRANSLATE(B32147,""en"",""it"")"),"Un ragazzino corre veloce sul suo set swing e il suo cane corre dietro di lui.")</f>
        <v>Un ragazzino corre veloce sul suo set swing e il suo cane corre dietro di lui.</v>
      </c>
    </row>
    <row r="32148">
      <c r="A32148" s="4" t="s">
        <v>40473</v>
      </c>
      <c r="B32148" s="4" t="s">
        <v>40475</v>
      </c>
      <c r="C32148" s="5" t="str">
        <f>IFERROR(__xludf.DUMMYFUNCTION("GOOGLETRANSLATE(B32148,""en"",""it"")"),"Si arrampica sulla diapositiva e scivola e anche il suo fratellino viene a giocare.")</f>
        <v>Si arrampica sulla diapositiva e scivola e anche il suo fratellino viene a giocare.</v>
      </c>
    </row>
    <row r="32149">
      <c r="A32149" s="4" t="s">
        <v>40473</v>
      </c>
      <c r="B32149" s="4" t="s">
        <v>40476</v>
      </c>
      <c r="C32149" s="5" t="str">
        <f>IFERROR(__xludf.DUMMYFUNCTION("GOOGLETRANSLATE(B32149,""en"",""it"")"),"La mamma si avvicina a giocare sul mare con uno dei ragazzi e cade.")</f>
        <v>La mamma si avvicina a giocare sul mare con uno dei ragazzi e cade.</v>
      </c>
    </row>
    <row r="32150">
      <c r="A32150" s="4" t="s">
        <v>40473</v>
      </c>
      <c r="B32150" s="4" t="s">
        <v>40477</v>
      </c>
      <c r="C32150" s="5" t="str">
        <f>IFERROR(__xludf.DUMMYFUNCTION("GOOGLETRANSLATE(B32150,""en"",""it"")"),"Giocano per un po 'passando da una parte del set al successivo.")</f>
        <v>Giocano per un po 'passando da una parte del set al successivo.</v>
      </c>
    </row>
    <row r="32151">
      <c r="A32151" s="4" t="s">
        <v>40478</v>
      </c>
      <c r="B32151" s="4" t="s">
        <v>40479</v>
      </c>
      <c r="C32151" s="5" t="str">
        <f>IFERROR(__xludf.DUMMYFUNCTION("GOOGLETRANSLATE(B32151,""en"",""it"")"),"Una telecamera si lancia intorno a una stanza e conduce in due donne che parlano e tirano fuori piastrelle di roccia.")</f>
        <v>Una telecamera si lancia intorno a una stanza e conduce in due donne che parlano e tirano fuori piastrelle di roccia.</v>
      </c>
    </row>
    <row r="32152">
      <c r="A32152" s="4" t="s">
        <v>40478</v>
      </c>
      <c r="B32152" s="6" t="s">
        <v>40480</v>
      </c>
      <c r="C32152" s="5" t="str">
        <f>IFERROR(__xludf.DUMMYFUNCTION("GOOGLETRANSLATE(B32152,""en"",""it"")"),"Le donne hanno quindi posato l'intonaco seguito dalle piastrelle di roccia e mostrando la doccia finita alla fine e le persone che reagiscono.")</f>
        <v>Le donne hanno quindi posato l'intonaco seguito dalle piastrelle di roccia e mostrando la doccia finita alla fine e le persone che reagiscono.</v>
      </c>
    </row>
    <row r="32153">
      <c r="A32153" s="4" t="s">
        <v>40481</v>
      </c>
      <c r="B32153" s="4" t="s">
        <v>40482</v>
      </c>
      <c r="C32153" s="5" t="str">
        <f>IFERROR(__xludf.DUMMYFUNCTION("GOOGLETRANSLATE(B32153,""en"",""it"")"),"Una signora anziana si siede su una sedia a maglia e parla con la telecamera.")</f>
        <v>Una signora anziana si siede su una sedia a maglia e parla con la telecamera.</v>
      </c>
    </row>
    <row r="32154">
      <c r="A32154" s="4" t="s">
        <v>40481</v>
      </c>
      <c r="B32154" s="4" t="s">
        <v>40483</v>
      </c>
      <c r="C32154" s="5" t="str">
        <f>IFERROR(__xludf.DUMMYFUNCTION("GOOGLETRANSLATE(B32154,""en"",""it"")"),"La signora scuote leggermente la testa mentre guarda la telecamera.")</f>
        <v>La signora scuote leggermente la testa mentre guarda la telecamera.</v>
      </c>
    </row>
    <row r="32155">
      <c r="A32155" s="4" t="s">
        <v>40481</v>
      </c>
      <c r="B32155" s="4" t="s">
        <v>40484</v>
      </c>
      <c r="C32155" s="5" t="str">
        <f>IFERROR(__xludf.DUMMYFUNCTION("GOOGLETRANSLATE(B32155,""en"",""it"")"),"La signora fa una pausa e guarda fuori dalla finestra.")</f>
        <v>La signora fa una pausa e guarda fuori dalla finestra.</v>
      </c>
    </row>
    <row r="32156">
      <c r="A32156" s="4" t="s">
        <v>40485</v>
      </c>
      <c r="B32156" s="4" t="s">
        <v>40486</v>
      </c>
      <c r="C32156" s="5" t="str">
        <f>IFERROR(__xludf.DUMMYFUNCTION("GOOGLETRANSLATE(B32156,""en"",""it"")"),"Una donna che indossa un body rosso dimostra una mossa di balletto in viaggio.")</f>
        <v>Una donna che indossa un body rosso dimostra una mossa di balletto in viaggio.</v>
      </c>
    </row>
    <row r="32157">
      <c r="A32157" s="4" t="s">
        <v>40485</v>
      </c>
      <c r="B32157" s="4" t="s">
        <v>40487</v>
      </c>
      <c r="C32157" s="5" t="str">
        <f>IFERROR(__xludf.DUMMYFUNCTION("GOOGLETRANSLATE(B32157,""en"",""it"")"),"L'istruttore di balletto brilla sul pavimento che prendono piccoli gradini laterali.")</f>
        <v>L'istruttore di balletto brilla sul pavimento che prendono piccoli gradini laterali.</v>
      </c>
    </row>
    <row r="32158">
      <c r="A32158" s="4" t="s">
        <v>40485</v>
      </c>
      <c r="B32158" s="4" t="s">
        <v>40488</v>
      </c>
      <c r="C32158" s="5" t="str">
        <f>IFERROR(__xludf.DUMMYFUNCTION("GOOGLETRANSLATE(B32158,""en"",""it"")"),"L'istruttore dimostra una svolta a turni di balletto.")</f>
        <v>L'istruttore dimostra una svolta a turni di balletto.</v>
      </c>
    </row>
    <row r="32159">
      <c r="A32159" s="4" t="s">
        <v>40485</v>
      </c>
      <c r="B32159" s="4" t="s">
        <v>40489</v>
      </c>
      <c r="C32159" s="5" t="str">
        <f>IFERROR(__xludf.DUMMYFUNCTION("GOOGLETRANSLATE(B32159,""en"",""it"")"),"L'istruttore che combina il passo laterale con la mossa della rotazione del punto.")</f>
        <v>L'istruttore che combina il passo laterale con la mossa della rotazione del punto.</v>
      </c>
    </row>
    <row r="32160">
      <c r="A32160" s="4" t="s">
        <v>40490</v>
      </c>
      <c r="B32160" s="4" t="s">
        <v>40491</v>
      </c>
      <c r="C32160" s="5" t="str">
        <f>IFERROR(__xludf.DUMMYFUNCTION("GOOGLETRANSLATE(B32160,""en"",""it"")"),"Due giovani ragazze adolescenti tengono i soapsud nelle loro mani in cucina.")</f>
        <v>Due giovani ragazze adolescenti tengono i soapsud nelle loro mani in cucina.</v>
      </c>
    </row>
    <row r="32161">
      <c r="A32161" s="4" t="s">
        <v>40490</v>
      </c>
      <c r="B32161" s="4" t="s">
        <v>40492</v>
      </c>
      <c r="C32161" s="5" t="str">
        <f>IFERROR(__xludf.DUMMYFUNCTION("GOOGLETRANSLATE(B32161,""en"",""it"")"),"Le ragazze gettano le schiuma nei volti dell'altro.")</f>
        <v>Le ragazze gettano le schiuma nei volti dell'altro.</v>
      </c>
    </row>
    <row r="32162">
      <c r="A32162" s="4" t="s">
        <v>40490</v>
      </c>
      <c r="B32162" s="4" t="s">
        <v>40493</v>
      </c>
      <c r="C32162" s="5" t="str">
        <f>IFERROR(__xludf.DUMMYFUNCTION("GOOGLETRANSLATE(B32162,""en"",""it"")"),"Una ragazza salta sulle spalle dell'altra.")</f>
        <v>Una ragazza salta sulle spalle dell'altra.</v>
      </c>
    </row>
    <row r="32163">
      <c r="A32163" s="4" t="s">
        <v>40490</v>
      </c>
      <c r="B32163" s="4" t="s">
        <v>40494</v>
      </c>
      <c r="C32163" s="5" t="str">
        <f>IFERROR(__xludf.DUMMYFUNCTION("GOOGLETRANSLATE(B32163,""en"",""it"")"),"Cominciano a lavare i piatti.")</f>
        <v>Cominciano a lavare i piatti.</v>
      </c>
    </row>
    <row r="32164">
      <c r="A32164" s="4" t="s">
        <v>40495</v>
      </c>
      <c r="B32164" s="4" t="s">
        <v>40496</v>
      </c>
      <c r="C32164" s="5" t="str">
        <f>IFERROR(__xludf.DUMMYFUNCTION("GOOGLETRANSLATE(B32164,""en"",""it"")"),"Un ragazzo e un ragazzino si trovano su un campo recintato.")</f>
        <v>Un ragazzo e un ragazzino si trovano su un campo recintato.</v>
      </c>
    </row>
    <row r="32165">
      <c r="A32165" s="4" t="s">
        <v>40495</v>
      </c>
      <c r="B32165" s="4" t="s">
        <v>40497</v>
      </c>
      <c r="C32165" s="5" t="str">
        <f>IFERROR(__xludf.DUMMYFUNCTION("GOOGLETRANSLATE(B32165,""en"",""it"")"),"Calciano una palla, quindi cercano di inseguirla.")</f>
        <v>Calciano una palla, quindi cercano di inseguirla.</v>
      </c>
    </row>
    <row r="32166">
      <c r="A32166" s="4" t="s">
        <v>40495</v>
      </c>
      <c r="B32166" s="4" t="s">
        <v>40498</v>
      </c>
      <c r="C32166" s="5" t="str">
        <f>IFERROR(__xludf.DUMMYFUNCTION("GOOGLETRANSLATE(B32166,""en"",""it"")"),"I bambini continuano a giocare mentre un uomo si unisce, combattendo sulla palla.")</f>
        <v>I bambini continuano a giocare mentre un uomo si unisce, combattendo sulla palla.</v>
      </c>
    </row>
    <row r="32167">
      <c r="A32167" s="4" t="s">
        <v>40499</v>
      </c>
      <c r="B32167" s="4" t="s">
        <v>40500</v>
      </c>
      <c r="C32167" s="5" t="str">
        <f>IFERROR(__xludf.DUMMYFUNCTION("GOOGLETRANSLATE(B32167,""en"",""it"")"),"Un mare è mostrato con una foresta verde in riva al mare.")</f>
        <v>Un mare è mostrato con una foresta verde in riva al mare.</v>
      </c>
    </row>
    <row r="32168">
      <c r="A32168" s="4" t="s">
        <v>40499</v>
      </c>
      <c r="B32168" s="4" t="s">
        <v>40501</v>
      </c>
      <c r="C32168" s="5" t="str">
        <f>IFERROR(__xludf.DUMMYFUNCTION("GOOGLETRANSLATE(B32168,""en"",""it"")"),"Blond Man è in piedi in riva al mare e parla con la telecamera e naviga con grandi onde sul mare.")</f>
        <v>Blond Man è in piedi in riva al mare e parla con la telecamera e naviga con grandi onde sul mare.</v>
      </c>
    </row>
    <row r="32169">
      <c r="A32169" s="4" t="s">
        <v>40499</v>
      </c>
      <c r="B32169" s="6" t="s">
        <v>40502</v>
      </c>
      <c r="C32169" s="5" t="str">
        <f>IFERROR(__xludf.DUMMYFUNCTION("GOOGLETRANSLATE(B32169,""en"",""it"")"),"L'uomo sta camminando in riva al mare attraverso molte persone e parla con la telecamera e sta tenendo un premio e parla di navigare in riva al mare.")</f>
        <v>L'uomo sta camminando in riva al mare attraverso molte persone e parla con la telecamera e sta tenendo un premio e parla di navigare in riva al mare.</v>
      </c>
    </row>
    <row r="32170">
      <c r="A32170" s="4" t="s">
        <v>40503</v>
      </c>
      <c r="B32170" s="4" t="s">
        <v>40504</v>
      </c>
      <c r="C32170" s="5" t="str">
        <f>IFERROR(__xludf.DUMMYFUNCTION("GOOGLETRANSLATE(B32170,""en"",""it"")"),"Un uomo viene visto parlare alla telecamera mentre si tiene su un bastone.")</f>
        <v>Un uomo viene visto parlare alla telecamera mentre si tiene su un bastone.</v>
      </c>
    </row>
    <row r="32171">
      <c r="A32171" s="4" t="s">
        <v>40503</v>
      </c>
      <c r="B32171" s="4" t="s">
        <v>40505</v>
      </c>
      <c r="C32171" s="5" t="str">
        <f>IFERROR(__xludf.DUMMYFUNCTION("GOOGLETRANSLATE(B32171,""en"",""it"")"),"Indica le palle davanti a lui e il suo corpo.")</f>
        <v>Indica le palle davanti a lui e il suo corpo.</v>
      </c>
    </row>
    <row r="32172">
      <c r="A32172" s="4" t="s">
        <v>40503</v>
      </c>
      <c r="B32172" s="4" t="s">
        <v>40506</v>
      </c>
      <c r="C32172" s="5" t="str">
        <f>IFERROR(__xludf.DUMMYFUNCTION("GOOGLETRANSLATE(B32172,""en"",""it"")"),"Lui loro dimostra come colpire la palla correttamente mentre parla ancora.")</f>
        <v>Lui loro dimostra come colpire la palla correttamente mentre parla ancora.</v>
      </c>
    </row>
    <row r="32173">
      <c r="A32173" s="4" t="s">
        <v>40507</v>
      </c>
      <c r="B32173" s="4" t="s">
        <v>40508</v>
      </c>
      <c r="C32173" s="5" t="str">
        <f>IFERROR(__xludf.DUMMYFUNCTION("GOOGLETRANSLATE(B32173,""en"",""it"")"),"Una donna anziana si muove alla telecamera e fa vari movimenti delle mani sul pavimento.")</f>
        <v>Una donna anziana si muove alla telecamera e fa vari movimenti delle mani sul pavimento.</v>
      </c>
    </row>
    <row r="32174">
      <c r="A32174" s="4" t="s">
        <v>40507</v>
      </c>
      <c r="B32174" s="4" t="s">
        <v>40509</v>
      </c>
      <c r="C32174" s="5" t="str">
        <f>IFERROR(__xludf.DUMMYFUNCTION("GOOGLETRANSLATE(B32174,""en"",""it"")"),"La donna afferra diversi oggetti di abbigliamento e mostra come li lava nel lavandino.")</f>
        <v>La donna afferra diversi oggetti di abbigliamento e mostra come li lava nel lavandino.</v>
      </c>
    </row>
    <row r="32175">
      <c r="A32175" s="4" t="s">
        <v>40507</v>
      </c>
      <c r="B32175" s="4" t="s">
        <v>40510</v>
      </c>
      <c r="C32175" s="5" t="str">
        <f>IFERROR(__xludf.DUMMYFUNCTION("GOOGLETRANSLATE(B32175,""en"",""it"")"),"Tiene una barra di sapone e la strofina su tutti i vestiti e la immerge nell'acqua.")</f>
        <v>Tiene una barra di sapone e la strofina su tutti i vestiti e la immerge nell'acqua.</v>
      </c>
    </row>
    <row r="32176">
      <c r="A32176" s="4" t="s">
        <v>40507</v>
      </c>
      <c r="B32176" s="4" t="s">
        <v>40511</v>
      </c>
      <c r="C32176" s="5" t="str">
        <f>IFERROR(__xludf.DUMMYFUNCTION("GOOGLETRANSLATE(B32176,""en"",""it"")"),"Continua a pulire i vestiti nell'acqua e mostrando come pulisce i vestiti.")</f>
        <v>Continua a pulire i vestiti nell'acqua e mostrando come pulisce i vestiti.</v>
      </c>
    </row>
    <row r="32177">
      <c r="A32177" s="4" t="s">
        <v>40512</v>
      </c>
      <c r="B32177" s="4" t="s">
        <v>40513</v>
      </c>
      <c r="C32177" s="5" t="str">
        <f>IFERROR(__xludf.DUMMYFUNCTION("GOOGLETRANSLATE(B32177,""en"",""it"")"),"Prima la donna afferra alcuni piatti per preparare qualcosa e li mette in un frigorifero.")</f>
        <v>Prima la donna afferra alcuni piatti per preparare qualcosa e li mette in un frigorifero.</v>
      </c>
    </row>
    <row r="32178">
      <c r="A32178" s="4" t="s">
        <v>40512</v>
      </c>
      <c r="B32178" s="4" t="s">
        <v>40514</v>
      </c>
      <c r="C32178" s="5" t="str">
        <f>IFERROR(__xludf.DUMMYFUNCTION("GOOGLETRANSLATE(B32178,""en"",""it"")"),"Quindi tiene una tazza sotto un distributore di schiuma e rimuove sedersi quando è riempito.")</f>
        <v>Quindi tiene una tazza sotto un distributore di schiuma e rimuove sedersi quando è riempito.</v>
      </c>
    </row>
    <row r="32179">
      <c r="A32179" s="4" t="s">
        <v>40512</v>
      </c>
      <c r="B32179" s="4" t="s">
        <v>40515</v>
      </c>
      <c r="C32179" s="5" t="str">
        <f>IFERROR(__xludf.DUMMYFUNCTION("GOOGLETRANSLATE(B32179,""en"",""it"")"),"Quindi lo è in cima a graham orsi schiacciati.")</f>
        <v>Quindi lo è in cima a graham orsi schiacciati.</v>
      </c>
    </row>
    <row r="32180">
      <c r="A32180" s="4" t="s">
        <v>40512</v>
      </c>
      <c r="B32180" s="4" t="s">
        <v>40516</v>
      </c>
      <c r="C32180" s="5" t="str">
        <f>IFERROR(__xludf.DUMMYFUNCTION("GOOGLETRANSLATE(B32180,""en"",""it"")"),"Successivamente ottiene un piatto e uno stencil rotondo.")</f>
        <v>Successivamente ottiene un piatto e uno stencil rotondo.</v>
      </c>
    </row>
    <row r="32181">
      <c r="A32181" s="4" t="s">
        <v>40512</v>
      </c>
      <c r="B32181" s="6" t="s">
        <v>40517</v>
      </c>
      <c r="C32181" s="5" t="str">
        <f>IFERROR(__xludf.DUMMYFUNCTION("GOOGLETRANSLATE(B32181,""en"",""it"")"),"Mette il piatto sotto il distributore e lo rimuove e tira lentamente il cerchio dalla torta una volta che ha finito di levigare la pasta.")</f>
        <v>Mette il piatto sotto il distributore e lo rimuove e tira lentamente il cerchio dalla torta una volta che ha finito di levigare la pasta.</v>
      </c>
    </row>
    <row r="32182">
      <c r="A32182" s="4" t="s">
        <v>40512</v>
      </c>
      <c r="B32182" s="4" t="s">
        <v>40518</v>
      </c>
      <c r="C32182" s="5" t="str">
        <f>IFERROR(__xludf.DUMMYFUNCTION("GOOGLETRANSLATE(B32182,""en"",""it"")"),"Quindi usa un coltello per mettere le linee sui lati della torta.")</f>
        <v>Quindi usa un coltello per mettere le linee sui lati della torta.</v>
      </c>
    </row>
    <row r="32183">
      <c r="A32183" s="4" t="s">
        <v>40512</v>
      </c>
      <c r="B32183" s="4" t="s">
        <v>40519</v>
      </c>
      <c r="C32183" s="5" t="str">
        <f>IFERROR(__xludf.DUMMYFUNCTION("GOOGLETRANSLATE(B32183,""en"",""it"")"),"Successivamente mette la crema sui bordi dall'alto verso il basso.")</f>
        <v>Successivamente mette la crema sui bordi dall'alto verso il basso.</v>
      </c>
    </row>
    <row r="32184">
      <c r="A32184" s="4" t="s">
        <v>40512</v>
      </c>
      <c r="B32184" s="4" t="s">
        <v>40520</v>
      </c>
      <c r="C32184" s="5" t="str">
        <f>IFERROR(__xludf.DUMMYFUNCTION("GOOGLETRANSLATE(B32184,""en"",""it"")"),"Poi tira un po 'di sciroppo di cioccolato lì.")</f>
        <v>Poi tira un po 'di sciroppo di cioccolato lì.</v>
      </c>
    </row>
    <row r="32185">
      <c r="A32185" s="4" t="s">
        <v>40512</v>
      </c>
      <c r="B32185" s="4" t="s">
        <v>40521</v>
      </c>
      <c r="C32185" s="5" t="str">
        <f>IFERROR(__xludf.DUMMYFUNCTION("GOOGLETRANSLATE(B32185,""en"",""it"")"),"Ora ha finito di fare la torta.")</f>
        <v>Ora ha finito di fare la torta.</v>
      </c>
    </row>
    <row r="32186">
      <c r="A32186" s="4" t="s">
        <v>40522</v>
      </c>
      <c r="B32186" s="6" t="s">
        <v>40523</v>
      </c>
      <c r="C32186" s="5" t="str">
        <f>IFERROR(__xludf.DUMMYFUNCTION("GOOGLETRANSLATE(B32186,""en"",""it"")"),"Un bambino è visto seduto davanti a un piano e suona una canzone mentre indossa un costume di Halloween.")</f>
        <v>Un bambino è visto seduto davanti a un piano e suona una canzone mentre indossa un costume di Halloween.</v>
      </c>
    </row>
    <row r="32187">
      <c r="A32187" s="4" t="s">
        <v>40522</v>
      </c>
      <c r="B32187" s="4" t="s">
        <v>40524</v>
      </c>
      <c r="C32187" s="5" t="str">
        <f>IFERROR(__xludf.DUMMYFUNCTION("GOOGLETRANSLATE(B32187,""en"",""it"")"),"Il ragazzo continua a suonare lo strumento e termina abbassando la maschera.")</f>
        <v>Il ragazzo continua a suonare lo strumento e termina abbassando la maschera.</v>
      </c>
    </row>
    <row r="32188">
      <c r="A32188" s="4" t="s">
        <v>40525</v>
      </c>
      <c r="B32188" s="4" t="s">
        <v>40526</v>
      </c>
      <c r="C32188" s="5" t="str">
        <f>IFERROR(__xludf.DUMMYFUNCTION("GOOGLETRANSLATE(B32188,""en"",""it"")"),"Un giovane caucasico maschio è seduto in una stanza dietro una tastiera.")</f>
        <v>Un giovane caucasico maschio è seduto in una stanza dietro una tastiera.</v>
      </c>
    </row>
    <row r="32189">
      <c r="A32189" s="4" t="s">
        <v>40525</v>
      </c>
      <c r="B32189" s="6" t="s">
        <v>40527</v>
      </c>
      <c r="C32189" s="5" t="str">
        <f>IFERROR(__xludf.DUMMYFUNCTION("GOOGLETRANSLATE(B32189,""en"",""it"")"),"Prima di suonare, inizia a parlare e fare movimenti su tre chiavi nere con la mano destra mentre continua a parlare.")</f>
        <v>Prima di suonare, inizia a parlare e fare movimenti su tre chiavi nere con la mano destra mentre continua a parlare.</v>
      </c>
    </row>
    <row r="32190">
      <c r="A32190" s="4" t="s">
        <v>40525</v>
      </c>
      <c r="B32190" s="6" t="s">
        <v>40528</v>
      </c>
      <c r="C32190" s="5" t="str">
        <f>IFERROR(__xludf.DUMMYFUNCTION("GOOGLETRANSLATE(B32190,""en"",""it"")"),"Alla fine inizia a giocare e puoi vedere la sua mano muoversi rapidamente sulla tastiera sul lato sinistro dello schermo.")</f>
        <v>Alla fine inizia a giocare e puoi vedere la sua mano muoversi rapidamente sulla tastiera sul lato sinistro dello schermo.</v>
      </c>
    </row>
    <row r="32191">
      <c r="A32191" s="4" t="s">
        <v>40525</v>
      </c>
      <c r="B32191" s="4" t="s">
        <v>40529</v>
      </c>
      <c r="C32191" s="5" t="str">
        <f>IFERROR(__xludf.DUMMYFUNCTION("GOOGLETRANSLATE(B32191,""en"",""it"")"),"Per i suoi accordi finali, toglie la mano dalla tavola e muove la testa in cerchio.")</f>
        <v>Per i suoi accordi finali, toglie la mano dalla tavola e muove la testa in cerchio.</v>
      </c>
    </row>
    <row r="32192">
      <c r="A32192" s="4" t="s">
        <v>40530</v>
      </c>
      <c r="B32192" s="4" t="s">
        <v>40531</v>
      </c>
      <c r="C32192" s="5" t="str">
        <f>IFERROR(__xludf.DUMMYFUNCTION("GOOGLETRANSLATE(B32192,""en"",""it"")"),"Una donna e un ragazzo stanno facendo un segno di vittoria e sorridendo.")</f>
        <v>Una donna e un ragazzo stanno facendo un segno di vittoria e sorridendo.</v>
      </c>
    </row>
    <row r="32193">
      <c r="A32193" s="4" t="s">
        <v>40530</v>
      </c>
      <c r="B32193" s="4" t="s">
        <v>40532</v>
      </c>
      <c r="C32193" s="5" t="str">
        <f>IFERROR(__xludf.DUMMYFUNCTION("GOOGLETRANSLATE(B32193,""en"",""it"")"),"La donna sta truccando il viso del ragazzo, e poi il ragazzo mostra la sua faccia.")</f>
        <v>La donna sta truccando il viso del ragazzo, e poi il ragazzo mostra la sua faccia.</v>
      </c>
    </row>
    <row r="32194">
      <c r="A32194" s="4" t="s">
        <v>40530</v>
      </c>
      <c r="B32194" s="4" t="s">
        <v>40533</v>
      </c>
      <c r="C32194" s="5" t="str">
        <f>IFERROR(__xludf.DUMMYFUNCTION("GOOGLETRANSLATE(B32194,""en"",""it"")"),"Quindi, la donna ha messo su una faccia da ragazza.")</f>
        <v>Quindi, la donna ha messo su una faccia da ragazza.</v>
      </c>
    </row>
    <row r="32195">
      <c r="A32195" s="4" t="s">
        <v>40530</v>
      </c>
      <c r="B32195" s="4" t="s">
        <v>40534</v>
      </c>
      <c r="C32195" s="5" t="str">
        <f>IFERROR(__xludf.DUMMYFUNCTION("GOOGLETRANSLATE(B32195,""en"",""it"")"),"Il ragazzo e la ragazza guardano i loro volti su uno specchio facendo volti divertenti e salutando.")</f>
        <v>Il ragazzo e la ragazza guardano i loro volti su uno specchio facendo volti divertenti e salutando.</v>
      </c>
    </row>
    <row r="32196">
      <c r="A32196" s="4" t="s">
        <v>40535</v>
      </c>
      <c r="B32196" s="4" t="s">
        <v>40536</v>
      </c>
      <c r="C32196" s="5" t="str">
        <f>IFERROR(__xludf.DUMMYFUNCTION("GOOGLETRANSLATE(B32196,""en"",""it"")"),"Una ragazza esegue alcune acrobazie di ginnastica.")</f>
        <v>Una ragazza esegue alcune acrobazie di ginnastica.</v>
      </c>
    </row>
    <row r="32197">
      <c r="A32197" s="4" t="s">
        <v>40535</v>
      </c>
      <c r="B32197" s="4" t="s">
        <v>40537</v>
      </c>
      <c r="C32197" s="5" t="str">
        <f>IFERROR(__xludf.DUMMYFUNCTION("GOOGLETRANSLATE(B32197,""en"",""it"")"),"Una ragazza si mette in posizione di fronte a una signora.")</f>
        <v>Una ragazza si mette in posizione di fronte a una signora.</v>
      </c>
    </row>
    <row r="32198">
      <c r="A32198" s="4" t="s">
        <v>40535</v>
      </c>
      <c r="B32198" s="4" t="s">
        <v>40538</v>
      </c>
      <c r="C32198" s="5" t="str">
        <f>IFERROR(__xludf.DUMMYFUNCTION("GOOGLETRANSLATE(B32198,""en"",""it"")"),"La ragazza le solleva la mano.")</f>
        <v>La ragazza le solleva la mano.</v>
      </c>
    </row>
    <row r="32199">
      <c r="A32199" s="4" t="s">
        <v>40535</v>
      </c>
      <c r="B32199" s="4" t="s">
        <v>40539</v>
      </c>
      <c r="C32199" s="5" t="str">
        <f>IFERROR(__xludf.DUMMYFUNCTION("GOOGLETRANSLATE(B32199,""en"",""it"")"),"La ragazza si gira e si arrampica sulla ginnastica e in legno.")</f>
        <v>La ragazza si gira e si arrampica sulla ginnastica e in legno.</v>
      </c>
    </row>
    <row r="32200">
      <c r="A32200" s="4" t="s">
        <v>40535</v>
      </c>
      <c r="B32200" s="4" t="s">
        <v>40540</v>
      </c>
      <c r="C32200" s="5" t="str">
        <f>IFERROR(__xludf.DUMMYFUNCTION("GOOGLETRANSLATE(B32200,""en"",""it"")"),"Con le mani sul bar, la ragazza si solleva e divide le gambe sopra la testa.")</f>
        <v>Con le mani sul bar, la ragazza si solleva e divide le gambe sopra la testa.</v>
      </c>
    </row>
    <row r="32201">
      <c r="A32201" s="4" t="s">
        <v>40535</v>
      </c>
      <c r="B32201" s="4" t="s">
        <v>40541</v>
      </c>
      <c r="C32201" s="5" t="str">
        <f>IFERROR(__xludf.DUMMYFUNCTION("GOOGLETRANSLATE(B32201,""en"",""it"")"),"La signora sposta una piattaforma sul lato sinistro della barra.")</f>
        <v>La signora sposta una piattaforma sul lato sinistro della barra.</v>
      </c>
    </row>
    <row r="32202">
      <c r="A32202" s="4" t="s">
        <v>40535</v>
      </c>
      <c r="B32202" s="4" t="s">
        <v>40542</v>
      </c>
      <c r="C32202" s="5" t="str">
        <f>IFERROR(__xludf.DUMMYFUNCTION("GOOGLETRANSLATE(B32202,""en"",""it"")"),"La ragazza si siede sul bar con la mano alzata.")</f>
        <v>La ragazza si siede sul bar con la mano alzata.</v>
      </c>
    </row>
    <row r="32203">
      <c r="A32203" s="4" t="s">
        <v>40535</v>
      </c>
      <c r="B32203" s="4" t="s">
        <v>40543</v>
      </c>
      <c r="C32203" s="5" t="str">
        <f>IFERROR(__xludf.DUMMYFUNCTION("GOOGLETRANSLATE(B32203,""en"",""it"")"),"La ragazza si inginocchia sul bar.")</f>
        <v>La ragazza si inginocchia sul bar.</v>
      </c>
    </row>
    <row r="32204">
      <c r="A32204" s="4" t="s">
        <v>40535</v>
      </c>
      <c r="B32204" s="4" t="s">
        <v>40544</v>
      </c>
      <c r="C32204" s="5" t="str">
        <f>IFERROR(__xludf.DUMMYFUNCTION("GOOGLETRANSLATE(B32204,""en"",""it"")"),"La ragazza si trova sul bar.")</f>
        <v>La ragazza si trova sul bar.</v>
      </c>
    </row>
    <row r="32205">
      <c r="A32205" s="4" t="s">
        <v>40535</v>
      </c>
      <c r="B32205" s="4" t="s">
        <v>40545</v>
      </c>
      <c r="C32205" s="5" t="str">
        <f>IFERROR(__xludf.DUMMYFUNCTION("GOOGLETRANSLATE(B32205,""en"",""it"")"),"La ragazza si solleva dal bar e atterra sul bordo del bar.")</f>
        <v>La ragazza si solleva dal bar e atterra sul bordo del bar.</v>
      </c>
    </row>
    <row r="32206">
      <c r="A32206" s="4" t="s">
        <v>40535</v>
      </c>
      <c r="B32206" s="4" t="s">
        <v>40546</v>
      </c>
      <c r="C32206" s="5" t="str">
        <f>IFERROR(__xludf.DUMMYFUNCTION("GOOGLETRANSLATE(B32206,""en"",""it"")"),"La schiena della ragazza gira tre volte.")</f>
        <v>La schiena della ragazza gira tre volte.</v>
      </c>
    </row>
    <row r="32207">
      <c r="A32207" s="4" t="s">
        <v>40535</v>
      </c>
      <c r="B32207" s="4" t="s">
        <v>40547</v>
      </c>
      <c r="C32207" s="5" t="str">
        <f>IFERROR(__xludf.DUMMYFUNCTION("GOOGLETRANSLATE(B32207,""en"",""it"")"),"La ragazza fa due passi e le lancette anteriori.")</f>
        <v>La ragazza fa due passi e le lancette anteriori.</v>
      </c>
    </row>
    <row r="32208">
      <c r="A32208" s="4" t="s">
        <v>40535</v>
      </c>
      <c r="B32208" s="4" t="s">
        <v>40548</v>
      </c>
      <c r="C32208" s="5" t="str">
        <f>IFERROR(__xludf.DUMMYFUNCTION("GOOGLETRANSLATE(B32208,""en"",""it"")"),"La ragazza si solleva del bar e atterra nella stessa posizione.")</f>
        <v>La ragazza si solleva del bar e atterra nella stessa posizione.</v>
      </c>
    </row>
    <row r="32209">
      <c r="A32209" s="4" t="s">
        <v>40535</v>
      </c>
      <c r="B32209" s="4" t="s">
        <v>40549</v>
      </c>
      <c r="C32209" s="5" t="str">
        <f>IFERROR(__xludf.DUMMYFUNCTION("GOOGLETRANSLATE(B32209,""en"",""it"")"),"La ragazza si gira, salta in posizione e la schiena si lancia.")</f>
        <v>La ragazza si gira, salta in posizione e la schiena si lancia.</v>
      </c>
    </row>
    <row r="32210">
      <c r="A32210" s="4" t="s">
        <v>40535</v>
      </c>
      <c r="B32210" s="4" t="s">
        <v>40550</v>
      </c>
      <c r="C32210" s="5" t="str">
        <f>IFERROR(__xludf.DUMMYFUNCTION("GOOGLETRANSLATE(B32210,""en"",""it"")"),"La ragazza si gira e gira con le mani alzate.")</f>
        <v>La ragazza si gira e gira con le mani alzate.</v>
      </c>
    </row>
    <row r="32211">
      <c r="A32211" s="4" t="s">
        <v>40535</v>
      </c>
      <c r="B32211" s="4" t="s">
        <v>40551</v>
      </c>
      <c r="C32211" s="5" t="str">
        <f>IFERROR(__xludf.DUMMYFUNCTION("GOOGLETRANSLATE(B32211,""en"",""it"")"),"La ragazza si fa avanti, salta e si gira.")</f>
        <v>La ragazza si fa avanti, salta e si gira.</v>
      </c>
    </row>
    <row r="32212">
      <c r="A32212" s="4" t="s">
        <v>40535</v>
      </c>
      <c r="B32212" s="4" t="s">
        <v>40552</v>
      </c>
      <c r="C32212" s="5" t="str">
        <f>IFERROR(__xludf.DUMMYFUNCTION("GOOGLETRANSLATE(B32212,""en"",""it"")"),"Le ragazze si avvicinano e anteriori lanciano e atterrano al limite.")</f>
        <v>Le ragazze si avvicinano e anteriori lanciano e atterrano al limite.</v>
      </c>
    </row>
    <row r="32213">
      <c r="A32213" s="4" t="s">
        <v>40535</v>
      </c>
      <c r="B32213" s="4" t="s">
        <v>40553</v>
      </c>
      <c r="C32213" s="5" t="str">
        <f>IFERROR(__xludf.DUMMYFUNCTION("GOOGLETRANSLATE(B32213,""en"",""it"")"),"La ragazza si sposta tre volte fuori dal bar e atterra su un tappetino blu.")</f>
        <v>La ragazza si sposta tre volte fuori dal bar e atterra su un tappetino blu.</v>
      </c>
    </row>
    <row r="32214">
      <c r="A32214" s="4" t="s">
        <v>40554</v>
      </c>
      <c r="B32214" s="6" t="s">
        <v>40555</v>
      </c>
      <c r="C32214" s="5" t="str">
        <f>IFERROR(__xludf.DUMMYFUNCTION("GOOGLETRANSLATE(B32214,""en"",""it"")"),"Sembra che una Casa Bianca e un cortile pieno di neve Una persona sta pulendo l'ingresso del fronto della casa.")</f>
        <v>Sembra che una Casa Bianca e un cortile pieno di neve Una persona sta pulendo l'ingresso del fronto della casa.</v>
      </c>
    </row>
    <row r="32215">
      <c r="A32215" s="4" t="s">
        <v>40554</v>
      </c>
      <c r="B32215" s="6" t="s">
        <v>40556</v>
      </c>
      <c r="C32215" s="5" t="str">
        <f>IFERROR(__xludf.DUMMYFUNCTION("GOOGLETRANSLATE(B32215,""en"",""it"")"),"Viene visualizzata un'auto coperta di neve e la persona sta pulendo la neve dall'auto e ha aperto la strada davanti all'auto.")</f>
        <v>Viene visualizzata un'auto coperta di neve e la persona sta pulendo la neve dall'auto e ha aperto la strada davanti all'auto.</v>
      </c>
    </row>
    <row r="32216">
      <c r="A32216" s="4" t="s">
        <v>40554</v>
      </c>
      <c r="B32216" s="4" t="s">
        <v>40557</v>
      </c>
      <c r="C32216" s="5" t="str">
        <f>IFERROR(__xludf.DUMMYFUNCTION("GOOGLETRANSLATE(B32216,""en"",""it"")"),"Un'auto rossa appare coperta di neve e una persona sta pulendo la neve.")</f>
        <v>Un'auto rossa appare coperta di neve e una persona sta pulendo la neve.</v>
      </c>
    </row>
    <row r="32217">
      <c r="A32217" s="4" t="s">
        <v>40554</v>
      </c>
      <c r="B32217" s="4" t="s">
        <v>40558</v>
      </c>
      <c r="C32217" s="5" t="str">
        <f>IFERROR(__xludf.DUMMYFUNCTION("GOOGLETRANSLATE(B32217,""en"",""it"")"),"Un'auto nera è coperta di neve.")</f>
        <v>Un'auto nera è coperta di neve.</v>
      </c>
    </row>
    <row r="32218">
      <c r="A32218" s="4" t="s">
        <v>40559</v>
      </c>
      <c r="B32218" s="4" t="s">
        <v>40560</v>
      </c>
      <c r="C32218" s="5" t="str">
        <f>IFERROR(__xludf.DUMMYFUNCTION("GOOGLETRANSLATE(B32218,""en"",""it"")"),"Un logo rosa e giallo con labbra appare sullo schermo.")</f>
        <v>Un logo rosa e giallo con labbra appare sullo schermo.</v>
      </c>
    </row>
    <row r="32219">
      <c r="A32219" s="4" t="s">
        <v>40559</v>
      </c>
      <c r="B32219" s="4" t="s">
        <v>40561</v>
      </c>
      <c r="C32219" s="5" t="str">
        <f>IFERROR(__xludf.DUMMYFUNCTION("GOOGLETRANSLATE(B32219,""en"",""it"")"),"Un parrucchiere maschio lavora sui capelli di una donna seduta in un salone di bellezza di lusso.")</f>
        <v>Un parrucchiere maschio lavora sui capelli di una donna seduta in un salone di bellezza di lusso.</v>
      </c>
    </row>
    <row r="32220">
      <c r="A32220" s="4" t="s">
        <v>40559</v>
      </c>
      <c r="B32220" s="4" t="s">
        <v>40562</v>
      </c>
      <c r="C32220" s="5" t="str">
        <f>IFERROR(__xludf.DUMMYFUNCTION("GOOGLETRANSLATE(B32220,""en"",""it"")"),"L'uomo si asciuga e applica il prodotto ai capelli della donna.")</f>
        <v>L'uomo si asciuga e applica il prodotto ai capelli della donna.</v>
      </c>
    </row>
    <row r="32221">
      <c r="A32221" s="4" t="s">
        <v>40563</v>
      </c>
      <c r="B32221" s="4" t="s">
        <v>40564</v>
      </c>
      <c r="C32221" s="5" t="str">
        <f>IFERROR(__xludf.DUMMYFUNCTION("GOOGLETRANSLATE(B32221,""en"",""it"")"),"Un uomo raccoglie una palla da bowling e la getta lungo la corsia su alcuni spille.")</f>
        <v>Un uomo raccoglie una palla da bowling e la getta lungo la corsia su alcuni spille.</v>
      </c>
    </row>
    <row r="32222">
      <c r="A32222" s="4" t="s">
        <v>40563</v>
      </c>
      <c r="B32222" s="4" t="s">
        <v>40565</v>
      </c>
      <c r="C32222" s="5" t="str">
        <f>IFERROR(__xludf.DUMMYFUNCTION("GOOGLETRANSLATE(B32222,""en"",""it"")"),"Cade a terra.")</f>
        <v>Cade a terra.</v>
      </c>
    </row>
    <row r="32223">
      <c r="A32223" s="4" t="s">
        <v>40563</v>
      </c>
      <c r="B32223" s="4" t="s">
        <v>40566</v>
      </c>
      <c r="C32223" s="5" t="str">
        <f>IFERROR(__xludf.DUMMYFUNCTION("GOOGLETRANSLATE(B32223,""en"",""it"")"),"Il pubblico dietro di lui lo applaude.")</f>
        <v>Il pubblico dietro di lui lo applaude.</v>
      </c>
    </row>
    <row r="32224">
      <c r="A32224" s="4" t="s">
        <v>40567</v>
      </c>
      <c r="B32224" s="4" t="s">
        <v>40568</v>
      </c>
      <c r="C32224" s="5" t="str">
        <f>IFERROR(__xludf.DUMMYFUNCTION("GOOGLETRANSLATE(B32224,""en"",""it"")"),"Una donna sta accanto a un hopscotch giallo e parla con la telecamera.")</f>
        <v>Una donna sta accanto a un hopscotch giallo e parla con la telecamera.</v>
      </c>
    </row>
    <row r="32225">
      <c r="A32225" s="4" t="s">
        <v>40567</v>
      </c>
      <c r="B32225" s="4" t="s">
        <v>40569</v>
      </c>
      <c r="C32225" s="5" t="str">
        <f>IFERROR(__xludf.DUMMYFUNCTION("GOOGLETRANSLATE(B32225,""en"",""it"")"),"La donna gioca a scanalatura sul cemento dipinto.")</f>
        <v>La donna gioca a scanalatura sul cemento dipinto.</v>
      </c>
    </row>
    <row r="32226">
      <c r="A32226" s="4" t="s">
        <v>40567</v>
      </c>
      <c r="B32226" s="4" t="s">
        <v>40570</v>
      </c>
      <c r="C32226" s="5" t="str">
        <f>IFERROR(__xludf.DUMMYFUNCTION("GOOGLETRANSLATE(B32226,""en"",""it"")"),"La donna parla di nuovo con la telecamera.")</f>
        <v>La donna parla di nuovo con la telecamera.</v>
      </c>
    </row>
    <row r="32227">
      <c r="A32227" s="4" t="s">
        <v>40571</v>
      </c>
      <c r="B32227" s="6" t="s">
        <v>40572</v>
      </c>
      <c r="C32227" s="5" t="str">
        <f>IFERROR(__xludf.DUMMYFUNCTION("GOOGLETRANSLATE(B32227,""en"",""it"")"),"Una scena di apertura con un bambino con una sciabola leggera che devia i laser mentre colpiscono il muro per introdurre uno spettacolo.")</f>
        <v>Una scena di apertura con un bambino con una sciabola leggera che devia i laser mentre colpiscono il muro per introdurre uno spettacolo.</v>
      </c>
    </row>
    <row r="32228">
      <c r="A32228" s="4" t="s">
        <v>40571</v>
      </c>
      <c r="B32228" s="6" t="s">
        <v>40573</v>
      </c>
      <c r="C32228" s="5" t="str">
        <f>IFERROR(__xludf.DUMMYFUNCTION("GOOGLETRANSLATE(B32228,""en"",""it"")"),"Un uomo con una maglietta blu e gli occhiali si trova davanti a una vecchia cabina telefonica e spiega ai suoi seguaci su YouTube come era andato in ospedale per sistemare un ginocchio danneggiato da una partita di lotta del braccio.")</f>
        <v>Un uomo con una maglietta blu e gli occhiali si trova davanti a una vecchia cabina telefonica e spiega ai suoi seguaci su YouTube come era andato in ospedale per sistemare un ginocchio danneggiato da una partita di lotta del braccio.</v>
      </c>
    </row>
    <row r="32229">
      <c r="A32229" s="4" t="s">
        <v>40571</v>
      </c>
      <c r="B32229" s="6" t="s">
        <v>40574</v>
      </c>
      <c r="C32229" s="5" t="str">
        <f>IFERROR(__xludf.DUMMYFUNCTION("GOOGLETRANSLATE(B32229,""en"",""it"")"),"Quindi viene mostrato un video dell'incidente in cui ha danneggiato il ginocchio in una partita di wrestling del braccio mentre questi due uomini si siedono a un tavolo con un arbitro che si affaccia su mentre l'uomo negli occhiali alla fine della partita"&amp;" cade dalla sedia e uscirà dal palco .")</f>
        <v>Quindi viene mostrato un video dell'incidente in cui ha danneggiato il ginocchio in una partita di wrestling del braccio mentre questi due uomini si siedono a un tavolo con un arbitro che si affaccia su mentre l'uomo negli occhiali alla fine della partita cade dalla sedia e uscirà dal palco .</v>
      </c>
    </row>
    <row r="32230">
      <c r="A32230" s="4" t="s">
        <v>40575</v>
      </c>
      <c r="B32230" s="6" t="s">
        <v>40576</v>
      </c>
      <c r="C32230" s="5" t="str">
        <f>IFERROR(__xludf.DUMMYFUNCTION("GOOGLETRANSLATE(B32230,""en"",""it"")"),"Una band suona musica, mentre una donna in abito grigio canta, e dietro di lei c'è anche un abito nero che canta, il ragazzo con camicia verde suona il tamburo, le persone nella grande stanza ballano e cantano mentre altri sono seduti, due persone parlano"&amp;" in un angolo mentre il canto e la danza continuano.")</f>
        <v>Una band suona musica, mentre una donna in abito grigio canta, e dietro di lei c'è anche un abito nero che canta, il ragazzo con camicia verde suona il tamburo, le persone nella grande stanza ballano e cantano mentre altri sono seduti, due persone parlano in un angolo mentre il canto e la danza continuano.</v>
      </c>
    </row>
    <row r="32231">
      <c r="A32231" s="4" t="s">
        <v>40575</v>
      </c>
      <c r="B32231" s="4" t="s">
        <v>40577</v>
      </c>
      <c r="C32231" s="5" t="str">
        <f>IFERROR(__xludf.DUMMYFUNCTION("GOOGLETRANSLATE(B32231,""en"",""it"")"),"Il ragazzo con camicia verde suona la batteria.")</f>
        <v>Il ragazzo con camicia verde suona la batteria.</v>
      </c>
    </row>
    <row r="32232">
      <c r="A32232" s="4" t="s">
        <v>40578</v>
      </c>
      <c r="B32232" s="4" t="s">
        <v>40579</v>
      </c>
      <c r="C32232" s="5" t="str">
        <f>IFERROR(__xludf.DUMMYFUNCTION("GOOGLETRANSLATE(B32232,""en"",""it"")"),"Un uomo e una donna sorridono in una foto.")</f>
        <v>Un uomo e una donna sorridono in una foto.</v>
      </c>
    </row>
    <row r="32233">
      <c r="A32233" s="4" t="s">
        <v>40578</v>
      </c>
      <c r="B32233" s="4" t="s">
        <v>40580</v>
      </c>
      <c r="C32233" s="5" t="str">
        <f>IFERROR(__xludf.DUMMYFUNCTION("GOOGLETRANSLATE(B32233,""en"",""it"")"),"Qualcuno tiene un rasoio su un lavandino.")</f>
        <v>Qualcuno tiene un rasoio su un lavandino.</v>
      </c>
    </row>
    <row r="32234">
      <c r="A32234" s="4" t="s">
        <v>40578</v>
      </c>
      <c r="B32234" s="4" t="s">
        <v>40581</v>
      </c>
      <c r="C32234" s="5" t="str">
        <f>IFERROR(__xludf.DUMMYFUNCTION("GOOGLETRANSLATE(B32234,""en"",""it"")"),"Un uomo con crema da barba sulla barba inizia a radersi.")</f>
        <v>Un uomo con crema da barba sulla barba inizia a radersi.</v>
      </c>
    </row>
    <row r="32235">
      <c r="A32235" s="4" t="s">
        <v>40578</v>
      </c>
      <c r="B32235" s="4" t="s">
        <v>16935</v>
      </c>
      <c r="C32235" s="5" t="str">
        <f>IFERROR(__xludf.DUMMYFUNCTION("GOOGLETRANSLATE(B32235,""en"",""it"")"),"Le parole sono scritte sullo schermo.")</f>
        <v>Le parole sono scritte sullo schermo.</v>
      </c>
    </row>
    <row r="32236">
      <c r="A32236" s="4" t="s">
        <v>40578</v>
      </c>
      <c r="B32236" s="4" t="s">
        <v>40582</v>
      </c>
      <c r="C32236" s="5" t="str">
        <f>IFERROR(__xludf.DUMMYFUNCTION("GOOGLETRANSLATE(B32236,""en"",""it"")"),"L'uomo continua a radersi la barba.")</f>
        <v>L'uomo continua a radersi la barba.</v>
      </c>
    </row>
    <row r="32237">
      <c r="A32237" s="4" t="s">
        <v>40578</v>
      </c>
      <c r="B32237" s="4" t="s">
        <v>40583</v>
      </c>
      <c r="C32237" s="5" t="str">
        <f>IFERROR(__xludf.DUMMYFUNCTION("GOOGLETRANSLATE(B32237,""en"",""it"")"),"Si asciuga il viso con un asciugamano e sorride.")</f>
        <v>Si asciuga il viso con un asciugamano e sorride.</v>
      </c>
    </row>
    <row r="32238">
      <c r="A32238" s="4" t="s">
        <v>40584</v>
      </c>
      <c r="B32238" s="4" t="s">
        <v>40585</v>
      </c>
      <c r="C32238" s="5" t="str">
        <f>IFERROR(__xludf.DUMMYFUNCTION("GOOGLETRANSLATE(B32238,""en"",""it"")"),"Una ragazza ha i capelli tirati indietro e gli occhiali mentre qualcuno segna qui la cartilagine.")</f>
        <v>Una ragazza ha i capelli tirati indietro e gli occhiali mentre qualcuno segna qui la cartilagine.</v>
      </c>
    </row>
    <row r="32239">
      <c r="A32239" s="4" t="s">
        <v>40584</v>
      </c>
      <c r="B32239" s="4" t="s">
        <v>40586</v>
      </c>
      <c r="C32239" s="5" t="str">
        <f>IFERROR(__xludf.DUMMYFUNCTION("GOOGLETRANSLATE(B32239,""en"",""it"")"),"Una volta che è segnato, inizia a sorridere alla telecamera.")</f>
        <v>Una volta che è segnato, inizia a sorridere alla telecamera.</v>
      </c>
    </row>
    <row r="32240">
      <c r="A32240" s="4" t="s">
        <v>40584</v>
      </c>
      <c r="B32240" s="4" t="s">
        <v>40587</v>
      </c>
      <c r="C32240" s="5" t="str">
        <f>IFERROR(__xludf.DUMMYFUNCTION("GOOGLETRANSLATE(B32240,""en"",""it"")"),"L'uomo quindi afferra un paio di pinzette e taglia l'orecchio della ragazza.")</f>
        <v>L'uomo quindi afferra un paio di pinzette e taglia l'orecchio della ragazza.</v>
      </c>
    </row>
    <row r="32241">
      <c r="A32241" s="4" t="s">
        <v>40584</v>
      </c>
      <c r="B32241" s="4" t="s">
        <v>40588</v>
      </c>
      <c r="C32241" s="5" t="str">
        <f>IFERROR(__xludf.DUMMYFUNCTION("GOOGLETRANSLATE(B32241,""en"",""it"")"),"L'orecchino è finalmente dentro e la ragazza inizia a sorridere in approvazione e tocca l'altro orecchio.")</f>
        <v>L'orecchino è finalmente dentro e la ragazza inizia a sorridere in approvazione e tocca l'altro orecchio.</v>
      </c>
    </row>
    <row r="32242">
      <c r="A32242" s="4" t="s">
        <v>40589</v>
      </c>
      <c r="B32242" s="4" t="s">
        <v>40590</v>
      </c>
      <c r="C32242" s="5" t="str">
        <f>IFERROR(__xludf.DUMMYFUNCTION("GOOGLETRANSLATE(B32242,""en"",""it"")"),"Vengono mostrate diverse clip di atleti che corrono su una grande pista in una fossa di sabbia.")</f>
        <v>Vengono mostrate diverse clip di atleti che corrono su una grande pista in una fossa di sabbia.</v>
      </c>
    </row>
    <row r="32243">
      <c r="A32243" s="4" t="s">
        <v>40589</v>
      </c>
      <c r="B32243" s="6" t="s">
        <v>40591</v>
      </c>
      <c r="C32243" s="5" t="str">
        <f>IFERROR(__xludf.DUMMYFUNCTION("GOOGLETRANSLATE(B32243,""en"",""it"")"),"Altre persone vengono mostrate che corre lungo la pista eseguendo salti impressionanti e celebrate in seguito.")</f>
        <v>Altre persone vengono mostrate che corre lungo la pista eseguendo salti impressionanti e celebrate in seguito.</v>
      </c>
    </row>
    <row r="32244">
      <c r="A32244" s="4" t="s">
        <v>40589</v>
      </c>
      <c r="B32244" s="6" t="s">
        <v>40592</v>
      </c>
      <c r="C32244" s="5" t="str">
        <f>IFERROR(__xludf.DUMMYFUNCTION("GOOGLETRANSLATE(B32244,""en"",""it"")"),"Vengono mostrate diverse clip di atleti che corrono lungo la pista e saltano oltre le travi e salutano il pubblico.")</f>
        <v>Vengono mostrate diverse clip di atleti che corrono lungo la pista e saltano oltre le travi e salutano il pubblico.</v>
      </c>
    </row>
    <row r="32245">
      <c r="A32245" s="4" t="s">
        <v>40593</v>
      </c>
      <c r="B32245" s="6" t="s">
        <v>40594</v>
      </c>
      <c r="C32245" s="5" t="str">
        <f>IFERROR(__xludf.DUMMYFUNCTION("GOOGLETRANSLATE(B32245,""en"",""it"")"),"Un gruppo di uomini viene visto che camminava attorno a un tavolo pieno di tazze mentre ridono e sorridono l'uno all'altro.")</f>
        <v>Un gruppo di uomini viene visto che camminava attorno a un tavolo pieno di tazze mentre ridono e sorridono l'uno all'altro.</v>
      </c>
    </row>
    <row r="32246">
      <c r="A32246" s="4" t="s">
        <v>40593</v>
      </c>
      <c r="B32246" s="4" t="s">
        <v>40595</v>
      </c>
      <c r="C32246" s="5" t="str">
        <f>IFERROR(__xludf.DUMMYFUNCTION("GOOGLETRANSLATE(B32246,""en"",""it"")"),"Un uomo quindi salta sul tavolo e lo schianta a terra mentre altri corrono e ridono.")</f>
        <v>Un uomo quindi salta sul tavolo e lo schianta a terra mentre altri corrono e ridono.</v>
      </c>
    </row>
    <row r="32247">
      <c r="A32247" s="4" t="s">
        <v>40596</v>
      </c>
      <c r="B32247" s="4" t="s">
        <v>40597</v>
      </c>
      <c r="C32247" s="5" t="str">
        <f>IFERROR(__xludf.DUMMYFUNCTION("GOOGLETRANSLATE(B32247,""en"",""it"")"),"Si vede una vista delle persone nell'oceano.")</f>
        <v>Si vede una vista delle persone nell'oceano.</v>
      </c>
    </row>
    <row r="32248">
      <c r="A32248" s="4" t="s">
        <v>40596</v>
      </c>
      <c r="B32248" s="4" t="s">
        <v>40598</v>
      </c>
      <c r="C32248" s="5" t="str">
        <f>IFERROR(__xludf.DUMMYFUNCTION("GOOGLETRANSLATE(B32248,""en"",""it"")"),"Le acque sono ruvide, schizzando duramente contro le rocce.")</f>
        <v>Le acque sono ruvide, schizzando duramente contro le rocce.</v>
      </c>
    </row>
    <row r="32249">
      <c r="A32249" s="4" t="s">
        <v>40596</v>
      </c>
      <c r="B32249" s="4" t="s">
        <v>40599</v>
      </c>
      <c r="C32249" s="5" t="str">
        <f>IFERROR(__xludf.DUMMYFUNCTION("GOOGLETRANSLATE(B32249,""en"",""it"")"),"Le persone vengono eliminate le loro tavole da surf.")</f>
        <v>Le persone vengono eliminate le loro tavole da surf.</v>
      </c>
    </row>
    <row r="32250">
      <c r="A32250" s="4" t="s">
        <v>40600</v>
      </c>
      <c r="B32250" s="4" t="s">
        <v>40601</v>
      </c>
      <c r="C32250" s="5" t="str">
        <f>IFERROR(__xludf.DUMMYFUNCTION("GOOGLETRANSLATE(B32250,""en"",""it"")"),"Le persone sono sedute e cavalcano cammelli fuori.")</f>
        <v>Le persone sono sedute e cavalcano cammelli fuori.</v>
      </c>
    </row>
    <row r="32251">
      <c r="A32251" s="4" t="s">
        <v>40600</v>
      </c>
      <c r="B32251" s="4" t="s">
        <v>40602</v>
      </c>
      <c r="C32251" s="5" t="str">
        <f>IFERROR(__xludf.DUMMYFUNCTION("GOOGLETRANSLATE(B32251,""en"",""it"")"),"Una persona cammina e tiene una corda legata alla faccia del cammello.")</f>
        <v>Una persona cammina e tiene una corda legata alla faccia del cammello.</v>
      </c>
    </row>
    <row r="32252">
      <c r="A32252" s="4" t="s">
        <v>40600</v>
      </c>
      <c r="B32252" s="4" t="s">
        <v>40603</v>
      </c>
      <c r="C32252" s="5" t="str">
        <f>IFERROR(__xludf.DUMMYFUNCTION("GOOGLETRANSLATE(B32252,""en"",""it"")"),"Un liquido marrone chiaro viene versato in piccoli occhiali.")</f>
        <v>Un liquido marrone chiaro viene versato in piccoli occhiali.</v>
      </c>
    </row>
    <row r="32253">
      <c r="A32253" s="4" t="s">
        <v>40604</v>
      </c>
      <c r="B32253" s="4" t="s">
        <v>40605</v>
      </c>
      <c r="C32253" s="5" t="str">
        <f>IFERROR(__xludf.DUMMYFUNCTION("GOOGLETRANSLATE(B32253,""en"",""it"")"),"Un uomo si sta allenando sui bar.")</f>
        <v>Un uomo si sta allenando sui bar.</v>
      </c>
    </row>
    <row r="32254">
      <c r="A32254" s="4" t="s">
        <v>40604</v>
      </c>
      <c r="B32254" s="4" t="s">
        <v>40606</v>
      </c>
      <c r="C32254" s="5" t="str">
        <f>IFERROR(__xludf.DUMMYFUNCTION("GOOGLETRANSLATE(B32254,""en"",""it"")"),"Ha un peso attaccato alla cintura.")</f>
        <v>Ha un peso attaccato alla cintura.</v>
      </c>
    </row>
    <row r="32255">
      <c r="A32255" s="4" t="s">
        <v>40604</v>
      </c>
      <c r="B32255" s="4" t="s">
        <v>40607</v>
      </c>
      <c r="C32255" s="5" t="str">
        <f>IFERROR(__xludf.DUMMYFUNCTION("GOOGLETRANSLATE(B32255,""en"",""it"")"),"Si supera su e giù sui bar.")</f>
        <v>Si supera su e giù sui bar.</v>
      </c>
    </row>
    <row r="32256">
      <c r="A32256" s="4" t="s">
        <v>40608</v>
      </c>
      <c r="B32256" s="4" t="s">
        <v>40609</v>
      </c>
      <c r="C32256" s="5" t="str">
        <f>IFERROR(__xludf.DUMMYFUNCTION("GOOGLETRANSLATE(B32256,""en"",""it"")"),"Ci viene mostrato il cortile invaso.")</f>
        <v>Ci viene mostrato il cortile invaso.</v>
      </c>
    </row>
    <row r="32257">
      <c r="A32257" s="4" t="s">
        <v>40608</v>
      </c>
      <c r="B32257" s="4" t="s">
        <v>40610</v>
      </c>
      <c r="C32257" s="5" t="str">
        <f>IFERROR(__xludf.DUMMYFUNCTION("GOOGLETRANSLATE(B32257,""en"",""it"")"),"Un camion bianco è visto in un vialetto.")</f>
        <v>Un camion bianco è visto in un vialetto.</v>
      </c>
    </row>
    <row r="32258">
      <c r="A32258" s="4" t="s">
        <v>40608</v>
      </c>
      <c r="B32258" s="4" t="s">
        <v>40611</v>
      </c>
      <c r="C32258" s="5" t="str">
        <f>IFERROR(__xludf.DUMMYFUNCTION("GOOGLETRANSLATE(B32258,""en"",""it"")"),"Vediamo l'ombra del cameraman.")</f>
        <v>Vediamo l'ombra del cameraman.</v>
      </c>
    </row>
    <row r="32259">
      <c r="A32259" s="4" t="s">
        <v>40608</v>
      </c>
      <c r="B32259" s="4" t="s">
        <v>40612</v>
      </c>
      <c r="C32259" s="5" t="str">
        <f>IFERROR(__xludf.DUMMYFUNCTION("GOOGLETRANSLATE(B32259,""en"",""it"")"),"Una persona in blu sta falciando il prato.")</f>
        <v>Una persona in blu sta falciando il prato.</v>
      </c>
    </row>
    <row r="32260">
      <c r="A32260" s="4" t="s">
        <v>40608</v>
      </c>
      <c r="B32260" s="4" t="s">
        <v>40613</v>
      </c>
      <c r="C32260" s="5" t="str">
        <f>IFERROR(__xludf.DUMMYFUNCTION("GOOGLETRANSLATE(B32260,""en"",""it"")"),"Una persona che usa i soffiatori di foglie.")</f>
        <v>Una persona che usa i soffiatori di foglie.</v>
      </c>
    </row>
    <row r="32261">
      <c r="A32261" s="4" t="s">
        <v>40608</v>
      </c>
      <c r="B32261" s="4" t="s">
        <v>40614</v>
      </c>
      <c r="C32261" s="5" t="str">
        <f>IFERROR(__xludf.DUMMYFUNCTION("GOOGLETRANSLATE(B32261,""en"",""it"")"),"La fotocamera piova per mostrare gli alberi e il giardino.")</f>
        <v>La fotocamera piova per mostrare gli alberi e il giardino.</v>
      </c>
    </row>
    <row r="32262">
      <c r="A32262" s="4" t="s">
        <v>40615</v>
      </c>
      <c r="B32262" s="4" t="s">
        <v>40616</v>
      </c>
      <c r="C32262" s="5" t="str">
        <f>IFERROR(__xludf.DUMMYFUNCTION("GOOGLETRANSLATE(B32262,""en"",""it"")"),"Nell'introduzione con il titolo dello spettacolo e il sito Web è visto.")</f>
        <v>Nell'introduzione con il titolo dello spettacolo e il sito Web è visto.</v>
      </c>
    </row>
    <row r="32263">
      <c r="A32263" s="4" t="s">
        <v>40615</v>
      </c>
      <c r="B32263" s="4" t="s">
        <v>40617</v>
      </c>
      <c r="C32263" s="5" t="str">
        <f>IFERROR(__xludf.DUMMYFUNCTION("GOOGLETRANSLATE(B32263,""en"",""it"")"),"Una donna si trova in bagno e poi gli mette una lente a contatto negli occhi.")</f>
        <v>Una donna si trova in bagno e poi gli mette una lente a contatto negli occhi.</v>
      </c>
    </row>
    <row r="32264">
      <c r="A32264" s="4" t="s">
        <v>40615</v>
      </c>
      <c r="B32264" s="4" t="s">
        <v>40618</v>
      </c>
      <c r="C32264" s="5" t="str">
        <f>IFERROR(__xludf.DUMMYFUNCTION("GOOGLETRANSLATE(B32264,""en"",""it"")"),"La donna quindi riprende la lente a contatto dagli occhi.")</f>
        <v>La donna quindi riprende la lente a contatto dagli occhi.</v>
      </c>
    </row>
    <row r="32265">
      <c r="A32265" s="4" t="s">
        <v>40615</v>
      </c>
      <c r="B32265" s="4" t="s">
        <v>40619</v>
      </c>
      <c r="C32265" s="5" t="str">
        <f>IFERROR(__xludf.DUMMYFUNCTION("GOOGLETRANSLATE(B32265,""en"",""it"")"),"La donna mostra un paio di pinzette e li usa per togliersi il contatto dagli occhi.")</f>
        <v>La donna mostra un paio di pinzette e li usa per togliersi il contatto dagli occhi.</v>
      </c>
    </row>
    <row r="32266">
      <c r="A32266" s="4" t="s">
        <v>40620</v>
      </c>
      <c r="B32266" s="6" t="s">
        <v>40621</v>
      </c>
      <c r="C32266" s="5" t="str">
        <f>IFERROR(__xludf.DUMMYFUNCTION("GOOGLETRANSLATE(B32266,""en"",""it"")"),"Vari colpi di winrsurfers sono mostrati su una grande specchio d'acqua con diverse persone che nuotano in lontananza.")</f>
        <v>Vari colpi di winrsurfers sono mostrati su una grande specchio d'acqua con diverse persone che nuotano in lontananza.</v>
      </c>
    </row>
    <row r="32267">
      <c r="A32267" s="4" t="s">
        <v>40620</v>
      </c>
      <c r="B32267" s="4" t="s">
        <v>40622</v>
      </c>
      <c r="C32267" s="5" t="str">
        <f>IFERROR(__xludf.DUMMYFUNCTION("GOOGLETRANSLATE(B32267,""en"",""it"")"),"I Wake Boarder tornano indietro e la quarta accanto all'altro ed eseguono diversi trucchi.")</f>
        <v>I Wake Boarder tornano indietro e la quarta accanto all'altro ed eseguono diversi trucchi.</v>
      </c>
    </row>
    <row r="32268">
      <c r="A32268" s="4" t="s">
        <v>40620</v>
      </c>
      <c r="B32268" s="4" t="s">
        <v>40623</v>
      </c>
      <c r="C32268" s="5" t="str">
        <f>IFERROR(__xludf.DUMMYFUNCTION("GOOGLETRANSLATE(B32268,""en"",""it"")"),"Il giro vicino alla riva facendo trucchi uno alla volta.")</f>
        <v>Il giro vicino alla riva facendo trucchi uno alla volta.</v>
      </c>
    </row>
    <row r="32269">
      <c r="A32269" s="4" t="s">
        <v>40624</v>
      </c>
      <c r="B32269" s="4" t="s">
        <v>18713</v>
      </c>
      <c r="C32269" s="5" t="str">
        <f>IFERROR(__xludf.DUMMYFUNCTION("GOOGLETRANSLATE(B32269,""en"",""it"")"),"Una ginnasta si prepara a montare un raggio.")</f>
        <v>Una ginnasta si prepara a montare un raggio.</v>
      </c>
    </row>
    <row r="32270">
      <c r="A32270" s="4" t="s">
        <v>40624</v>
      </c>
      <c r="B32270" s="4" t="s">
        <v>40625</v>
      </c>
      <c r="C32270" s="5" t="str">
        <f>IFERROR(__xludf.DUMMYFUNCTION("GOOGLETRANSLATE(B32270,""en"",""it"")"),"Monta, quindi procede a fare molte lancette e mani.")</f>
        <v>Monta, quindi procede a fare molte lancette e mani.</v>
      </c>
    </row>
    <row r="32271">
      <c r="A32271" s="4" t="s">
        <v>40624</v>
      </c>
      <c r="B32271" s="4" t="s">
        <v>40626</v>
      </c>
      <c r="C32271" s="5" t="str">
        <f>IFERROR(__xludf.DUMMYFUNCTION("GOOGLETRANSLATE(B32271,""en"",""it"")"),"Quando ha finito, smonde.")</f>
        <v>Quando ha finito, smonde.</v>
      </c>
    </row>
    <row r="32272">
      <c r="A32272" s="4" t="s">
        <v>40627</v>
      </c>
      <c r="B32272" s="4" t="s">
        <v>40628</v>
      </c>
      <c r="C32272" s="5" t="str">
        <f>IFERROR(__xludf.DUMMYFUNCTION("GOOGLETRANSLATE(B32272,""en"",""it"")"),"Una ragazza colpisce una piñata bendata mentre la piñata va su e giù in un cortile.")</f>
        <v>Una ragazza colpisce una piñata bendata mentre la piñata va su e giù in un cortile.</v>
      </c>
    </row>
    <row r="32273">
      <c r="A32273" s="4" t="s">
        <v>40627</v>
      </c>
      <c r="B32273" s="4" t="s">
        <v>40629</v>
      </c>
      <c r="C32273" s="5" t="str">
        <f>IFERROR(__xludf.DUMMYFUNCTION("GOOGLETRANSLATE(B32273,""en"",""it"")"),"Quindi, la ragazza si toglie il panno sugli occhi e sorride.")</f>
        <v>Quindi, la ragazza si toglie il panno sugli occhi e sorride.</v>
      </c>
    </row>
    <row r="32274">
      <c r="A32274" s="4" t="s">
        <v>40630</v>
      </c>
      <c r="B32274" s="4" t="s">
        <v>40631</v>
      </c>
      <c r="C32274" s="5" t="str">
        <f>IFERROR(__xludf.DUMMYFUNCTION("GOOGLETRANSLATE(B32274,""en"",""it"")"),"Una gomma per una bicicletta gira e un uomo la prende.")</f>
        <v>Una gomma per una bicicletta gira e un uomo la prende.</v>
      </c>
    </row>
    <row r="32275">
      <c r="A32275" s="4" t="s">
        <v>40630</v>
      </c>
      <c r="B32275" s="4" t="s">
        <v>40632</v>
      </c>
      <c r="C32275" s="5" t="str">
        <f>IFERROR(__xludf.DUMMYFUNCTION("GOOGLETRANSLATE(B32275,""en"",""it"")"),"Vediamo una domanda scritta su carta, poi un uomo in un negozio di biciclette mentre parla.")</f>
        <v>Vediamo una domanda scritta su carta, poi un uomo in un negozio di biciclette mentre parla.</v>
      </c>
    </row>
    <row r="32276">
      <c r="A32276" s="4" t="s">
        <v>40630</v>
      </c>
      <c r="B32276" s="4" t="s">
        <v>40633</v>
      </c>
      <c r="C32276" s="5" t="str">
        <f>IFERROR(__xludf.DUMMYFUNCTION("GOOGLETRANSLATE(B32276,""en"",""it"")"),"Dimostra come rimuovere la gomma di un pneumatico dal telaio e sostituirlo.")</f>
        <v>Dimostra come rimuovere la gomma di un pneumatico dal telaio e sostituirlo.</v>
      </c>
    </row>
    <row r="32277">
      <c r="A32277" s="4" t="s">
        <v>40630</v>
      </c>
      <c r="B32277" s="4" t="s">
        <v>40634</v>
      </c>
      <c r="C32277" s="5" t="str">
        <f>IFERROR(__xludf.DUMMYFUNCTION("GOOGLETRANSLATE(B32277,""en"",""it"")"),"Quindi parla con la macchina fotografica un po 'più a lungo.")</f>
        <v>Quindi parla con la macchina fotografica un po 'più a lungo.</v>
      </c>
    </row>
    <row r="32278">
      <c r="A32278" s="4" t="s">
        <v>40635</v>
      </c>
      <c r="B32278" s="4" t="s">
        <v>40636</v>
      </c>
      <c r="C32278" s="5" t="str">
        <f>IFERROR(__xludf.DUMMYFUNCTION("GOOGLETRANSLATE(B32278,""en"",""it"")"),"I capelli di un uomo sono visti da vicino seguiti da un rasoio usato sui lati.")</f>
        <v>I capelli di un uomo sono visti da vicino seguiti da un rasoio usato sui lati.</v>
      </c>
    </row>
    <row r="32279">
      <c r="A32279" s="4" t="s">
        <v>40635</v>
      </c>
      <c r="B32279" s="4" t="s">
        <v>40637</v>
      </c>
      <c r="C32279" s="5" t="str">
        <f>IFERROR(__xludf.DUMMYFUNCTION("GOOGLETRANSLATE(B32279,""en"",""it"")"),"Una persona viene vista pettinare i capelli della persona mentre usa ancora il trimmer.")</f>
        <v>Una persona viene vista pettinare i capelli della persona mentre usa ancora il trimmer.</v>
      </c>
    </row>
    <row r="32280">
      <c r="A32280" s="4" t="s">
        <v>40635</v>
      </c>
      <c r="B32280" s="4" t="s">
        <v>40638</v>
      </c>
      <c r="C32280" s="5" t="str">
        <f>IFERROR(__xludf.DUMMYFUNCTION("GOOGLETRANSLATE(B32280,""en"",""it"")"),"La testa dell'uomo si vede anche rasata sul lato.")</f>
        <v>La testa dell'uomo si vede anche rasata sul lato.</v>
      </c>
    </row>
    <row r="32281">
      <c r="A32281" s="4" t="s">
        <v>40639</v>
      </c>
      <c r="B32281" s="6" t="s">
        <v>40640</v>
      </c>
      <c r="C32281" s="5" t="str">
        <f>IFERROR(__xludf.DUMMYFUNCTION("GOOGLETRANSLATE(B32281,""en"",""it"")"),"C'è una nuotatrice che si immerge in una piscina al coperto da un'alta tavola da immersione mentre un piccolo gruppo di persone la guarda esibirsi.")</f>
        <v>C'è una nuotatrice che si immerge in una piscina al coperto da un'alta tavola da immersione mentre un piccolo gruppo di persone la guarda esibirsi.</v>
      </c>
    </row>
    <row r="32282">
      <c r="A32282" s="4" t="s">
        <v>40639</v>
      </c>
      <c r="B32282" s="6" t="s">
        <v>40641</v>
      </c>
      <c r="C32282" s="5" t="str">
        <f>IFERROR(__xludf.DUMMYFUNCTION("GOOGLETRANSLATE(B32282,""en"",""it"")"),"Il subacqueo si trova prima in una posizione per regolare la sua posizione e poi gradualmente fa un passo avanti sul tabellone.")</f>
        <v>Il subacqueo si trova prima in una posizione per regolare la sua posizione e poi gradualmente fa un passo avanti sul tabellone.</v>
      </c>
    </row>
    <row r="32283">
      <c r="A32283" s="4" t="s">
        <v>40639</v>
      </c>
      <c r="B32283" s="4" t="s">
        <v>40642</v>
      </c>
      <c r="C32283" s="5" t="str">
        <f>IFERROR(__xludf.DUMMYFUNCTION("GOOGLETRANSLATE(B32283,""en"",""it"")"),"Salta in alto e gira il suo corpo mentre fa il salto.")</f>
        <v>Salta in alto e gira il suo corpo mentre fa il salto.</v>
      </c>
    </row>
    <row r="32284">
      <c r="A32284" s="4" t="s">
        <v>40639</v>
      </c>
      <c r="B32284" s="6" t="s">
        <v>40643</v>
      </c>
      <c r="C32284" s="5" t="str">
        <f>IFERROR(__xludf.DUMMYFUNCTION("GOOGLETRANSLATE(B32284,""en"",""it"")"),"Finisce per ferirsi sulla schiena mentre fa male a una distanza dalla tavola da immersione mentre cade in piscina.")</f>
        <v>Finisce per ferirsi sulla schiena mentre fa male a una distanza dalla tavola da immersione mentre cade in piscina.</v>
      </c>
    </row>
    <row r="32285">
      <c r="A32285" s="4" t="s">
        <v>40644</v>
      </c>
      <c r="B32285" s="6" t="s">
        <v>40645</v>
      </c>
      <c r="C32285" s="5" t="str">
        <f>IFERROR(__xludf.DUMMYFUNCTION("GOOGLETRANSLATE(B32285,""en"",""it"")"),"Diverse introduzioni diverse alla fine portano in due uomini che puntano su un campo e si preparano per il paintball.")</f>
        <v>Diverse introduzioni diverse alla fine portano in due uomini che puntano su un campo e si preparano per il paintball.</v>
      </c>
    </row>
    <row r="32286">
      <c r="A32286" s="4" t="s">
        <v>40644</v>
      </c>
      <c r="B32286" s="4" t="s">
        <v>40646</v>
      </c>
      <c r="C32286" s="5" t="str">
        <f>IFERROR(__xludf.DUMMYFUNCTION("GOOGLETRANSLATE(B32286,""en"",""it"")"),"Quindi gli uomini corrono in tutto il campo e si attaccano a vicenda con pistole da paintball.")</f>
        <v>Quindi gli uomini corrono in tutto il campo e si attaccano a vicenda con pistole da paintball.</v>
      </c>
    </row>
    <row r="32287">
      <c r="A32287" s="4" t="s">
        <v>40644</v>
      </c>
      <c r="B32287" s="4" t="s">
        <v>40647</v>
      </c>
      <c r="C32287" s="5" t="str">
        <f>IFERROR(__xludf.DUMMYFUNCTION("GOOGLETRANSLATE(B32287,""en"",""it"")"),"Si imbattono rapidamente attraverso il campo e si attaccano usando la pistola di verniciatura.")</f>
        <v>Si imbattono rapidamente attraverso il campo e si attaccano usando la pistola di verniciatura.</v>
      </c>
    </row>
    <row r="32288">
      <c r="A32288" s="4" t="s">
        <v>40648</v>
      </c>
      <c r="B32288" s="4" t="s">
        <v>40649</v>
      </c>
      <c r="C32288" s="5" t="str">
        <f>IFERROR(__xludf.DUMMYFUNCTION("GOOGLETRANSLATE(B32288,""en"",""it"")"),"Una ragazza ginnasta in body scintillante rosso sta facendo ginnastica in un bar a cavallo.")</f>
        <v>Una ragazza ginnasta in body scintillante rosso sta facendo ginnastica in un bar a cavallo.</v>
      </c>
    </row>
    <row r="32289">
      <c r="A32289" s="4" t="s">
        <v>40648</v>
      </c>
      <c r="B32289" s="4" t="s">
        <v>40650</v>
      </c>
      <c r="C32289" s="5" t="str">
        <f>IFERROR(__xludf.DUMMYFUNCTION("GOOGLETRANSLATE(B32289,""en"",""it"")"),"Salta rapidamente e fa le mani e le spalle alla barra del cavallo.")</f>
        <v>Salta rapidamente e fa le mani e le spalle alla barra del cavallo.</v>
      </c>
    </row>
    <row r="32290">
      <c r="A32290" s="4" t="s">
        <v>40648</v>
      </c>
      <c r="B32290" s="4" t="s">
        <v>40651</v>
      </c>
      <c r="C32290" s="5" t="str">
        <f>IFERROR(__xludf.DUMMYFUNCTION("GOOGLETRANSLATE(B32290,""en"",""it"")"),"C'è una giuria di giudici che la guardano nello stadio di Nanning, in Cina.")</f>
        <v>C'è una giuria di giudici che la guardano nello stadio di Nanning, in Cina.</v>
      </c>
    </row>
    <row r="32291">
      <c r="A32291" s="4" t="s">
        <v>40648</v>
      </c>
      <c r="B32291" s="6" t="s">
        <v>40652</v>
      </c>
      <c r="C32291" s="5" t="str">
        <f>IFERROR(__xludf.DUMMYFUNCTION("GOOGLETRANSLATE(B32291,""en"",""it"")"),"Continua a camminare con grazia sul bar del cavallo mentre salta e fa una schiena a terra e poi si allontana.")</f>
        <v>Continua a camminare con grazia sul bar del cavallo mentre salta e fa una schiena a terra e poi si allontana.</v>
      </c>
    </row>
    <row r="32292">
      <c r="A32292" s="4" t="s">
        <v>40653</v>
      </c>
      <c r="B32292" s="4" t="s">
        <v>40654</v>
      </c>
      <c r="C32292" s="5" t="str">
        <f>IFERROR(__xludf.DUMMYFUNCTION("GOOGLETRANSLATE(B32292,""en"",""it"")"),"Viene mostrato un primo piano di cibo seguito da una persona che mette vari ingredienti in una tazza.")</f>
        <v>Viene mostrato un primo piano di cibo seguito da una persona che mette vari ingredienti in una tazza.</v>
      </c>
    </row>
    <row r="32293">
      <c r="A32293" s="4" t="s">
        <v>40653</v>
      </c>
      <c r="B32293" s="6" t="s">
        <v>40655</v>
      </c>
      <c r="C32293" s="5" t="str">
        <f>IFERROR(__xludf.DUMMYFUNCTION("GOOGLETRANSLATE(B32293,""en"",""it"")"),"Si mescolano attorno agli ingredienti, mettono la tazza nel forno a microonde e alla fine mostrano la torta.")</f>
        <v>Si mescolano attorno agli ingredienti, mettono la tazza nel forno a microonde e alla fine mostrano la torta.</v>
      </c>
    </row>
    <row r="32294">
      <c r="A32294" s="4" t="s">
        <v>40656</v>
      </c>
      <c r="B32294" s="4" t="s">
        <v>40657</v>
      </c>
      <c r="C32294" s="5" t="str">
        <f>IFERROR(__xludf.DUMMYFUNCTION("GOOGLETRANSLATE(B32294,""en"",""it"")"),"Qualcuno colpisce una mazza contro due palle.")</f>
        <v>Qualcuno colpisce una mazza contro due palle.</v>
      </c>
    </row>
    <row r="32295">
      <c r="A32295" s="4" t="s">
        <v>40656</v>
      </c>
      <c r="B32295" s="4" t="s">
        <v>40658</v>
      </c>
      <c r="C32295" s="5" t="str">
        <f>IFERROR(__xludf.DUMMYFUNCTION("GOOGLETRANSLATE(B32295,""en"",""it"")"),"Le palle vanno a un giro nel terreno.")</f>
        <v>Le palle vanno a un giro nel terreno.</v>
      </c>
    </row>
    <row r="32296">
      <c r="A32296" s="4" t="s">
        <v>40656</v>
      </c>
      <c r="B32296" s="4" t="s">
        <v>40659</v>
      </c>
      <c r="C32296" s="5" t="str">
        <f>IFERROR(__xludf.DUMMYFUNCTION("GOOGLETRANSLATE(B32296,""en"",""it"")"),"Si separano e fanno distanze diverse.")</f>
        <v>Si separano e fanno distanze diverse.</v>
      </c>
    </row>
    <row r="32297">
      <c r="A32297" s="4" t="s">
        <v>40660</v>
      </c>
      <c r="B32297" s="4" t="s">
        <v>40661</v>
      </c>
      <c r="C32297" s="5" t="str">
        <f>IFERROR(__xludf.DUMMYFUNCTION("GOOGLETRANSLATE(B32297,""en"",""it"")"),"Due donne spazzano un pavimento insieme mentre una palla scivola dietro di loro.")</f>
        <v>Due donne spazzano un pavimento insieme mentre una palla scivola dietro di loro.</v>
      </c>
    </row>
    <row r="32298">
      <c r="A32298" s="4" t="s">
        <v>40660</v>
      </c>
      <c r="B32298" s="6" t="s">
        <v>40662</v>
      </c>
      <c r="C32298" s="5" t="str">
        <f>IFERROR(__xludf.DUMMYFUNCTION("GOOGLETRANSLATE(B32298,""en"",""it"")"),"Spazzano di nuovo il pavimento e una delle donne si ferma per un secondo mentre il suo partner inizia a spazzare più velocemente.")</f>
        <v>Spazzano di nuovo il pavimento e una delle donne si ferma per un secondo mentre il suo partner inizia a spazzare più velocemente.</v>
      </c>
    </row>
    <row r="32299">
      <c r="A32299" s="4" t="s">
        <v>40660</v>
      </c>
      <c r="B32299" s="6" t="s">
        <v>40663</v>
      </c>
      <c r="C32299" s="5" t="str">
        <f>IFERROR(__xludf.DUMMYFUNCTION("GOOGLETRANSLATE(B32299,""en"",""it"")"),"Spazzano di nuovo il pavimento con una donna che si spalanca furiosamente verso la fine mentre il suo partner si ferma per un secondo e alza lo sguardo.")</f>
        <v>Spazzano di nuovo il pavimento con una donna che si spalanca furiosamente verso la fine mentre il suo partner si ferma per un secondo e alza lo sguardo.</v>
      </c>
    </row>
    <row r="32300">
      <c r="A32300" s="4" t="s">
        <v>40664</v>
      </c>
      <c r="B32300" s="4" t="s">
        <v>40665</v>
      </c>
      <c r="C32300" s="5" t="str">
        <f>IFERROR(__xludf.DUMMYFUNCTION("GOOGLETRANSLATE(B32300,""en"",""it"")"),"Le persone si riscaldano alzando le mani e si piegano.")</f>
        <v>Le persone si riscaldano alzando le mani e si piegano.</v>
      </c>
    </row>
    <row r="32301">
      <c r="A32301" s="4" t="s">
        <v>40664</v>
      </c>
      <c r="B32301" s="4" t="s">
        <v>40666</v>
      </c>
      <c r="C32301" s="5" t="str">
        <f>IFERROR(__xludf.DUMMYFUNCTION("GOOGLETRANSLATE(B32301,""en"",""it"")"),"Quindi, le persone si allenano facendo un passo avanti mettendo un metro ogni volta.")</f>
        <v>Quindi, le persone si allenano facendo un passo avanti mettendo un metro ogni volta.</v>
      </c>
    </row>
    <row r="32302">
      <c r="A32302" s="4" t="s">
        <v>40664</v>
      </c>
      <c r="B32302" s="4" t="s">
        <v>40667</v>
      </c>
      <c r="C32302" s="5" t="str">
        <f>IFERROR(__xludf.DUMMYFUNCTION("GOOGLETRANSLATE(B32302,""en"",""it"")"),"Dopo, le persone si girano prima del passo sul passo.")</f>
        <v>Dopo, le persone si girano prima del passo sul passo.</v>
      </c>
    </row>
    <row r="32303">
      <c r="A32303" s="4" t="s">
        <v>40668</v>
      </c>
      <c r="B32303" s="6" t="s">
        <v>40669</v>
      </c>
      <c r="C32303" s="5" t="str">
        <f>IFERROR(__xludf.DUMMYFUNCTION("GOOGLETRANSLATE(B32303,""en"",""it"")"),"C'è un uomo con una camicia blu e pantaloni beige seduti nel cortile di fronte a pacciame marrone che parlano di cure sul prato e sul giardino.")</f>
        <v>C'è un uomo con una camicia blu e pantaloni beige seduti nel cortile di fronte a pacciame marrone che parlano di cure sul prato e sul giardino.</v>
      </c>
    </row>
    <row r="32304">
      <c r="A32304" s="4" t="s">
        <v>40668</v>
      </c>
      <c r="B32304" s="6" t="s">
        <v>40670</v>
      </c>
      <c r="C32304" s="5" t="str">
        <f>IFERROR(__xludf.DUMMYFUNCTION("GOOGLETRANSLATE(B32304,""en"",""it"")"),"Indica il pacciame marrone e l'arbusto vicino a lui mentre spiega le cose da fare e non per la cura del prato.")</f>
        <v>Indica il pacciame marrone e l'arbusto vicino a lui mentre spiega le cose da fare e non per la cura del prato.</v>
      </c>
    </row>
    <row r="32305">
      <c r="A32305" s="4" t="s">
        <v>40671</v>
      </c>
      <c r="B32305" s="4" t="s">
        <v>40672</v>
      </c>
      <c r="C32305" s="5" t="str">
        <f>IFERROR(__xludf.DUMMYFUNCTION("GOOGLETRANSLATE(B32305,""en"",""it"")"),"Viene mostrato la carta da muro su un muro.")</f>
        <v>Viene mostrato la carta da muro su un muro.</v>
      </c>
    </row>
    <row r="32306">
      <c r="A32306" s="4" t="s">
        <v>40671</v>
      </c>
      <c r="B32306" s="4" t="s">
        <v>40673</v>
      </c>
      <c r="C32306" s="5" t="str">
        <f>IFERROR(__xludf.DUMMYFUNCTION("GOOGLETRANSLATE(B32306,""en"",""it"")"),"Una persona mette un pezzo di carta cerata sulla carta da toeletta.")</f>
        <v>Una persona mette un pezzo di carta cerata sulla carta da toeletta.</v>
      </c>
    </row>
    <row r="32307">
      <c r="A32307" s="4" t="s">
        <v>40671</v>
      </c>
      <c r="B32307" s="4" t="s">
        <v>40674</v>
      </c>
      <c r="C32307" s="5" t="str">
        <f>IFERROR(__xludf.DUMMYFUNCTION("GOOGLETRANSLATE(B32307,""en"",""it"")"),"Corrono un pennello lungo la parte anteriore della carta.")</f>
        <v>Corrono un pennello lungo la parte anteriore della carta.</v>
      </c>
    </row>
    <row r="32308">
      <c r="A32308" s="4" t="s">
        <v>40675</v>
      </c>
      <c r="B32308" s="4" t="s">
        <v>40676</v>
      </c>
      <c r="C32308" s="5" t="str">
        <f>IFERROR(__xludf.DUMMYFUNCTION("GOOGLETRANSLATE(B32308,""en"",""it"")"),"Vediamo un barista dietro una barra aggiungere ghiaccio a un bicchiere.")</f>
        <v>Vediamo un barista dietro una barra aggiungere ghiaccio a un bicchiere.</v>
      </c>
    </row>
    <row r="32309">
      <c r="A32309" s="4" t="s">
        <v>40675</v>
      </c>
      <c r="B32309" s="4" t="s">
        <v>40677</v>
      </c>
      <c r="C32309" s="5" t="str">
        <f>IFERROR(__xludf.DUMMYFUNCTION("GOOGLETRANSLATE(B32309,""en"",""it"")"),"L'uomo versa tre liquori in un bicchiere e lo scuote.")</f>
        <v>L'uomo versa tre liquori in un bicchiere e lo scuote.</v>
      </c>
    </row>
    <row r="32310">
      <c r="A32310" s="4" t="s">
        <v>40675</v>
      </c>
      <c r="B32310" s="4" t="s">
        <v>40678</v>
      </c>
      <c r="C32310" s="5" t="str">
        <f>IFERROR(__xludf.DUMMYFUNCTION("GOOGLETRANSLATE(B32310,""en"",""it"")"),"L'uomo lo versa in un bicchiere e aggiunge soda.")</f>
        <v>L'uomo lo versa in un bicchiere e aggiunge soda.</v>
      </c>
    </row>
    <row r="32311">
      <c r="A32311" s="4" t="s">
        <v>40675</v>
      </c>
      <c r="B32311" s="4" t="s">
        <v>40679</v>
      </c>
      <c r="C32311" s="5" t="str">
        <f>IFERROR(__xludf.DUMMYFUNCTION("GOOGLETRANSLATE(B32311,""en"",""it"")"),"L'uomo stringe un limone, si muove nel vetro e lo trasferisce a un vetro più piccolo.")</f>
        <v>L'uomo stringe un limone, si muove nel vetro e lo trasferisce a un vetro più piccolo.</v>
      </c>
    </row>
    <row r="32312">
      <c r="A32312" s="4" t="s">
        <v>40675</v>
      </c>
      <c r="B32312" s="4" t="s">
        <v>40680</v>
      </c>
      <c r="C32312" s="5" t="str">
        <f>IFERROR(__xludf.DUMMYFUNCTION("GOOGLETRANSLATE(B32312,""en"",""it"")"),"L'uomo aggiunge una cannuccia e ci presenta il vetro.")</f>
        <v>L'uomo aggiunge una cannuccia e ci presenta il vetro.</v>
      </c>
    </row>
    <row r="32313">
      <c r="A32313" s="4" t="s">
        <v>40681</v>
      </c>
      <c r="B32313" s="4" t="s">
        <v>40682</v>
      </c>
      <c r="C32313" s="5" t="str">
        <f>IFERROR(__xludf.DUMMYFUNCTION("GOOGLETRANSLATE(B32313,""en"",""it"")"),"Le ancore di notizie introducono una clip seduta su una scrivania in una redazione.")</f>
        <v>Le ancore di notizie introducono una clip seduta su una scrivania in una redazione.</v>
      </c>
    </row>
    <row r="32314">
      <c r="A32314" s="4" t="s">
        <v>40681</v>
      </c>
      <c r="B32314" s="4" t="s">
        <v>40683</v>
      </c>
      <c r="C32314" s="5" t="str">
        <f>IFERROR(__xludf.DUMMYFUNCTION("GOOGLETRANSLATE(B32314,""en"",""it"")"),"Il presidente Obama introduce e intervista una band che suona sul palco.")</f>
        <v>Il presidente Obama introduce e intervista una band che suona sul palco.</v>
      </c>
    </row>
    <row r="32315">
      <c r="A32315" s="4" t="s">
        <v>40681</v>
      </c>
      <c r="B32315" s="4" t="s">
        <v>40684</v>
      </c>
      <c r="C32315" s="5" t="str">
        <f>IFERROR(__xludf.DUMMYFUNCTION("GOOGLETRANSLATE(B32315,""en"",""it"")"),"Il presidente Clinton suona il sassofono sul palco con una band.")</f>
        <v>Il presidente Clinton suona il sassofono sul palco con una band.</v>
      </c>
    </row>
    <row r="32316">
      <c r="A32316" s="4" t="s">
        <v>40681</v>
      </c>
      <c r="B32316" s="4" t="s">
        <v>40685</v>
      </c>
      <c r="C32316" s="5" t="str">
        <f>IFERROR(__xludf.DUMMYFUNCTION("GOOGLETRANSLATE(B32316,""en"",""it"")"),"Il presidente George Bush balla con un battesimo africano e altri diplomatici.")</f>
        <v>Il presidente George Bush balla con un battesimo africano e altri diplomatici.</v>
      </c>
    </row>
    <row r="32317">
      <c r="A32317" s="4" t="s">
        <v>40686</v>
      </c>
      <c r="B32317" s="4" t="s">
        <v>40687</v>
      </c>
      <c r="C32317" s="5" t="str">
        <f>IFERROR(__xludf.DUMMYFUNCTION("GOOGLETRANSLATE(B32317,""en"",""it"")"),"Viene visto un uomo parlare alla telecamera mentre presenta vari liquidi e ingredienti.")</f>
        <v>Viene visto un uomo parlare alla telecamera mentre presenta vari liquidi e ingredienti.</v>
      </c>
    </row>
    <row r="32318">
      <c r="A32318" s="4" t="s">
        <v>40686</v>
      </c>
      <c r="B32318" s="4" t="s">
        <v>40688</v>
      </c>
      <c r="C32318" s="5" t="str">
        <f>IFERROR(__xludf.DUMMYFUNCTION("GOOGLETRANSLATE(B32318,""en"",""it"")"),"L'uomo mescola gli ingredienti in un bicchiere con frutta per diverse bevande mentre si ferma per bere qualcosa.")</f>
        <v>L'uomo mescola gli ingredienti in un bicchiere con frutta per diverse bevande mentre si ferma per bere qualcosa.</v>
      </c>
    </row>
    <row r="32319">
      <c r="A32319" s="4" t="s">
        <v>40686</v>
      </c>
      <c r="B32319" s="4" t="s">
        <v>40689</v>
      </c>
      <c r="C32319" s="5" t="str">
        <f>IFERROR(__xludf.DUMMYFUNCTION("GOOGLETRANSLATE(B32319,""en"",""it"")"),"Continua a fare più bevande usando ingredienti diversi e parlando alla telecamera.")</f>
        <v>Continua a fare più bevande usando ingredienti diversi e parlando alla telecamera.</v>
      </c>
    </row>
    <row r="32320">
      <c r="A32320" s="4" t="s">
        <v>40690</v>
      </c>
      <c r="B32320" s="4" t="s">
        <v>40691</v>
      </c>
      <c r="C32320" s="5" t="str">
        <f>IFERROR(__xludf.DUMMYFUNCTION("GOOGLETRANSLATE(B32320,""en"",""it"")"),"La faccia di un uomo si sta muovendo avanti e indietro.")</f>
        <v>La faccia di un uomo si sta muovendo avanti e indietro.</v>
      </c>
    </row>
    <row r="32321">
      <c r="A32321" s="4" t="s">
        <v>40690</v>
      </c>
      <c r="B32321" s="4" t="s">
        <v>40692</v>
      </c>
      <c r="C32321" s="5" t="str">
        <f>IFERROR(__xludf.DUMMYFUNCTION("GOOGLETRANSLATE(B32321,""en"",""it"")"),"L'uomo brilla una scarpa.")</f>
        <v>L'uomo brilla una scarpa.</v>
      </c>
    </row>
    <row r="32322">
      <c r="A32322" s="4" t="s">
        <v>40693</v>
      </c>
      <c r="B32322" s="4" t="s">
        <v>40694</v>
      </c>
      <c r="C32322" s="5" t="str">
        <f>IFERROR(__xludf.DUMMYFUNCTION("GOOGLETRANSLATE(B32322,""en"",""it"")"),"Il testo verde spiega diverse regole del gioco.")</f>
        <v>Il testo verde spiega diverse regole del gioco.</v>
      </c>
    </row>
    <row r="32323">
      <c r="A32323" s="4" t="s">
        <v>40693</v>
      </c>
      <c r="B32323" s="4" t="s">
        <v>40695</v>
      </c>
      <c r="C32323" s="5" t="str">
        <f>IFERROR(__xludf.DUMMYFUNCTION("GOOGLETRANSLATE(B32323,""en"",""it"")"),"Un uomo e una pratica da ragazzo si mettono insieme e l'allenatore mostra il suo punto di vista.")</f>
        <v>Un uomo e una pratica da ragazzo si mettono insieme e l'allenatore mostra il suo punto di vista.</v>
      </c>
    </row>
    <row r="32324">
      <c r="A32324" s="4" t="s">
        <v>40693</v>
      </c>
      <c r="B32324" s="4" t="s">
        <v>40696</v>
      </c>
      <c r="C32324" s="5" t="str">
        <f>IFERROR(__xludf.DUMMYFUNCTION("GOOGLETRANSLATE(B32324,""en"",""it"")"),"Dimostrano un paio di mosse diverse.")</f>
        <v>Dimostrano un paio di mosse diverse.</v>
      </c>
    </row>
    <row r="32325">
      <c r="A32325" s="4" t="s">
        <v>40697</v>
      </c>
      <c r="B32325" s="6" t="s">
        <v>40698</v>
      </c>
      <c r="C32325" s="5" t="str">
        <f>IFERROR(__xludf.DUMMYFUNCTION("GOOGLETRANSLATE(B32325,""en"",""it"")"),"Un uomo atletico viene visto correre lungo una lunga pista e gettare un giavellotto in lontananza con gli altri che misurano il suo tiro.")</f>
        <v>Un uomo atletico viene visto correre lungo una lunga pista e gettare un giavellotto in lontananza con gli altri che misurano il suo tiro.</v>
      </c>
    </row>
    <row r="32326">
      <c r="A32326" s="4" t="s">
        <v>40697</v>
      </c>
      <c r="B32326" s="6" t="s">
        <v>40699</v>
      </c>
      <c r="C32326" s="5" t="str">
        <f>IFERROR(__xludf.DUMMYFUNCTION("GOOGLETRANSLATE(B32326,""en"",""it"")"),"L'uomo se ne va e alza un uomo nella folla mentre viene mostrato il suo punteggio e un altro si avvicina di lato.")</f>
        <v>L'uomo se ne va e alza un uomo nella folla mentre viene mostrato il suo punteggio e un altro si avvicina di lato.</v>
      </c>
    </row>
    <row r="32327">
      <c r="A32327" s="4" t="s">
        <v>40700</v>
      </c>
      <c r="B32327" s="4" t="s">
        <v>40701</v>
      </c>
      <c r="C32327" s="5" t="str">
        <f>IFERROR(__xludf.DUMMYFUNCTION("GOOGLETRANSLATE(B32327,""en"",""it"")"),"Un uomo è in piedi fuori tenendo una motosega.")</f>
        <v>Un uomo è in piedi fuori tenendo una motosega.</v>
      </c>
    </row>
    <row r="32328">
      <c r="A32328" s="4" t="s">
        <v>40700</v>
      </c>
      <c r="B32328" s="4" t="s">
        <v>40702</v>
      </c>
      <c r="C32328" s="5" t="str">
        <f>IFERROR(__xludf.DUMMYFUNCTION("GOOGLETRANSLATE(B32328,""en"",""it"")"),"Comincia a tagliare un albero accanto a lui.")</f>
        <v>Comincia a tagliare un albero accanto a lui.</v>
      </c>
    </row>
    <row r="32329">
      <c r="A32329" s="4" t="s">
        <v>40700</v>
      </c>
      <c r="B32329" s="4" t="s">
        <v>40703</v>
      </c>
      <c r="C32329" s="5" t="str">
        <f>IFERROR(__xludf.DUMMYFUNCTION("GOOGLETRANSLATE(B32329,""en"",""it"")"),"Si trova accanto all'albero che parla.")</f>
        <v>Si trova accanto all'albero che parla.</v>
      </c>
    </row>
    <row r="32330">
      <c r="A32330" s="4" t="s">
        <v>40704</v>
      </c>
      <c r="B32330" s="6" t="s">
        <v>40705</v>
      </c>
      <c r="C32330" s="5" t="str">
        <f>IFERROR(__xludf.DUMMYFUNCTION("GOOGLETRANSLATE(B32330,""en"",""it"")"),"Viene vista una donna parlare alla telecamera mentre una donna nuota indietro e quarta in piscina dietro di lei.")</f>
        <v>Viene vista una donna parlare alla telecamera mentre una donna nuota indietro e quarta in piscina dietro di lei.</v>
      </c>
    </row>
    <row r="32331">
      <c r="A32331" s="4" t="s">
        <v>40704</v>
      </c>
      <c r="B32331" s="6" t="s">
        <v>40706</v>
      </c>
      <c r="C32331" s="5" t="str">
        <f>IFERROR(__xludf.DUMMYFUNCTION("GOOGLETRANSLATE(B32331,""en"",""it"")"),"Le clip vengono quindi mostrate da vicino su come eseguire tecniche di nuoto adeguate mentre la fotocamera si interrompe con la donna che parla.")</f>
        <v>Le clip vengono quindi mostrate da vicino su come eseguire tecniche di nuoto adeguate mentre la fotocamera si interrompe con la donna che parla.</v>
      </c>
    </row>
    <row r="32332">
      <c r="A32332" s="4" t="s">
        <v>40707</v>
      </c>
      <c r="B32332" s="6" t="s">
        <v>40708</v>
      </c>
      <c r="C32332" s="5" t="str">
        <f>IFERROR(__xludf.DUMMYFUNCTION("GOOGLETRANSLATE(B32332,""en"",""it"")"),"Un uomo che indossa un cappello da cowboy, occhiali da sole e guanti in lattice giallo si trova accanto a un cavallo in una stalla.")</f>
        <v>Un uomo che indossa un cappello da cowboy, occhiali da sole e guanti in lattice giallo si trova accanto a un cavallo in una stalla.</v>
      </c>
    </row>
    <row r="32333">
      <c r="A32333" s="4" t="s">
        <v>40707</v>
      </c>
      <c r="B32333" s="4" t="s">
        <v>40709</v>
      </c>
      <c r="C32333" s="5" t="str">
        <f>IFERROR(__xludf.DUMMYFUNCTION("GOOGLETRANSLATE(B32333,""en"",""it"")"),"Sta usando un asciugacapelli per asciugare il corpo bagnato del cavallo.")</f>
        <v>Sta usando un asciugacapelli per asciugare il corpo bagnato del cavallo.</v>
      </c>
    </row>
    <row r="32334">
      <c r="A32334" s="4" t="s">
        <v>40707</v>
      </c>
      <c r="B32334" s="4" t="s">
        <v>40710</v>
      </c>
      <c r="C32334" s="5" t="str">
        <f>IFERROR(__xludf.DUMMYFUNCTION("GOOGLETRANSLATE(B32334,""en"",""it"")"),"Muove l'asciugacapelli avanti e indietro su tutto la schiena del cavallo per asciugarlo.")</f>
        <v>Muove l'asciugacapelli avanti e indietro su tutto la schiena del cavallo per asciugarlo.</v>
      </c>
    </row>
    <row r="32335">
      <c r="A32335" s="4" t="s">
        <v>40707</v>
      </c>
      <c r="B32335" s="4" t="s">
        <v>40711</v>
      </c>
      <c r="C32335" s="5" t="str">
        <f>IFERROR(__xludf.DUMMYFUNCTION("GOOGLETRANSLATE(B32335,""en"",""it"")"),"Sta anche usa un pennello di lavaggio sulla schiena del cavallo per pulire il cavallo.")</f>
        <v>Sta anche usa un pennello di lavaggio sulla schiena del cavallo per pulire il cavallo.</v>
      </c>
    </row>
    <row r="32336">
      <c r="A32336" s="4" t="s">
        <v>40712</v>
      </c>
      <c r="B32336" s="4" t="s">
        <v>40713</v>
      </c>
      <c r="C32336" s="5" t="str">
        <f>IFERROR(__xludf.DUMMYFUNCTION("GOOGLETRANSLATE(B32336,""en"",""it"")"),"Un pittore dimostra varie opere d'arte nel suo studio.")</f>
        <v>Un pittore dimostra varie opere d'arte nel suo studio.</v>
      </c>
    </row>
    <row r="32337">
      <c r="A32337" s="4" t="s">
        <v>40712</v>
      </c>
      <c r="B32337" s="4" t="s">
        <v>40714</v>
      </c>
      <c r="C32337" s="5" t="str">
        <f>IFERROR(__xludf.DUMMYFUNCTION("GOOGLETRANSLATE(B32337,""en"",""it"")"),"Si siede nel suo studio, parlando.")</f>
        <v>Si siede nel suo studio, parlando.</v>
      </c>
    </row>
    <row r="32338">
      <c r="A32338" s="4" t="s">
        <v>40712</v>
      </c>
      <c r="B32338" s="4" t="s">
        <v>40715</v>
      </c>
      <c r="C32338" s="5" t="str">
        <f>IFERROR(__xludf.DUMMYFUNCTION("GOOGLETRANSLATE(B32338,""en"",""it"")"),"Afferra un pennello e lo immerge ripetutamente nella vernice nera, mentre dipinge un albero nero.")</f>
        <v>Afferra un pennello e lo immerge ripetutamente nella vernice nera, mentre dipinge un albero nero.</v>
      </c>
    </row>
    <row r="32339">
      <c r="A32339" s="4" t="s">
        <v>40712</v>
      </c>
      <c r="B32339" s="4" t="s">
        <v>40716</v>
      </c>
      <c r="C32339" s="5" t="str">
        <f>IFERROR(__xludf.DUMMYFUNCTION("GOOGLETRANSLATE(B32339,""en"",""it"")"),"Afferra una spugna e la immerge in vernice verde e blu mentre dipinge le foglie sull'albero.")</f>
        <v>Afferra una spugna e la immerge in vernice verde e blu mentre dipinge le foglie sull'albero.</v>
      </c>
    </row>
    <row r="32340">
      <c r="A32340" s="4" t="s">
        <v>40712</v>
      </c>
      <c r="B32340" s="6" t="s">
        <v>40717</v>
      </c>
      <c r="C32340" s="5" t="str">
        <f>IFERROR(__xludf.DUMMYFUNCTION("GOOGLETRANSLATE(B32340,""en"",""it"")"),"Si muove per afferrare il pennello e lo immerge ripetutamente nella vernice nera e si sposta per dipingere un altro albero.")</f>
        <v>Si muove per afferrare il pennello e lo immerge ripetutamente nella vernice nera e si sposta per dipingere un altro albero.</v>
      </c>
    </row>
    <row r="32341">
      <c r="A32341" s="4" t="s">
        <v>40712</v>
      </c>
      <c r="B32341" s="4" t="s">
        <v>40718</v>
      </c>
      <c r="C32341" s="5" t="str">
        <f>IFERROR(__xludf.DUMMYFUNCTION("GOOGLETRANSLATE(B32341,""en"",""it"")"),"Con lo stesso pennello, questa volta immergendolo in vernice verde, dipinge i pini di tre.")</f>
        <v>Con lo stesso pennello, questa volta immergendolo in vernice verde, dipinge i pini di tre.</v>
      </c>
    </row>
    <row r="32342">
      <c r="A32342" s="4" t="s">
        <v>40712</v>
      </c>
      <c r="B32342" s="4" t="s">
        <v>40719</v>
      </c>
      <c r="C32342" s="5" t="str">
        <f>IFERROR(__xludf.DUMMYFUNCTION("GOOGLETRANSLATE(B32342,""en"",""it"")"),"Finisce il suo dipinto e parla per un po '.")</f>
        <v>Finisce il suo dipinto e parla per un po '.</v>
      </c>
    </row>
    <row r="32343">
      <c r="A32343" s="4" t="s">
        <v>40720</v>
      </c>
      <c r="B32343" s="4" t="s">
        <v>1487</v>
      </c>
      <c r="C32343" s="5" t="str">
        <f>IFERROR(__xludf.DUMMYFUNCTION("GOOGLETRANSLATE(B32343,""en"",""it"")"),"Vediamo una schermata del titolo di apertura.")</f>
        <v>Vediamo una schermata del titolo di apertura.</v>
      </c>
    </row>
    <row r="32344">
      <c r="A32344" s="4" t="s">
        <v>40720</v>
      </c>
      <c r="B32344" s="4" t="s">
        <v>40721</v>
      </c>
      <c r="C32344" s="5" t="str">
        <f>IFERROR(__xludf.DUMMYFUNCTION("GOOGLETRANSLATE(B32344,""en"",""it"")"),"Un uomo si siede su una pista e parla mentre viene intervistato.")</f>
        <v>Un uomo si siede su una pista e parla mentre viene intervistato.</v>
      </c>
    </row>
    <row r="32345">
      <c r="A32345" s="4" t="s">
        <v>40720</v>
      </c>
      <c r="B32345" s="4" t="s">
        <v>40722</v>
      </c>
      <c r="C32345" s="5" t="str">
        <f>IFERROR(__xludf.DUMMYFUNCTION("GOOGLETRANSLATE(B32345,""en"",""it"")"),"Due uomini in rosso salgono le gradinate e uno si ferma per parlare con qualcuno.")</f>
        <v>Due uomini in rosso salgono le gradinate e uno si ferma per parlare con qualcuno.</v>
      </c>
    </row>
    <row r="32346">
      <c r="A32346" s="4" t="s">
        <v>40720</v>
      </c>
      <c r="B32346" s="4" t="s">
        <v>40723</v>
      </c>
      <c r="C32346" s="5" t="str">
        <f>IFERROR(__xludf.DUMMYFUNCTION("GOOGLETRANSLATE(B32346,""en"",""it"")"),"Un gruppo di donne che cammina dietro l'uomo che è intervistatore.")</f>
        <v>Un gruppo di donne che cammina dietro l'uomo che è intervistatore.</v>
      </c>
    </row>
    <row r="32347">
      <c r="A32347" s="4" t="s">
        <v>40720</v>
      </c>
      <c r="B32347" s="4" t="s">
        <v>5107</v>
      </c>
      <c r="C32347" s="5" t="str">
        <f>IFERROR(__xludf.DUMMYFUNCTION("GOOGLETRANSLATE(B32347,""en"",""it"")"),"Vediamo quindi la schermata del titolo finale.")</f>
        <v>Vediamo quindi la schermata del titolo finale.</v>
      </c>
    </row>
    <row r="32348">
      <c r="A32348" s="4" t="s">
        <v>40724</v>
      </c>
      <c r="B32348" s="6" t="s">
        <v>40725</v>
      </c>
      <c r="C32348" s="5" t="str">
        <f>IFERROR(__xludf.DUMMYFUNCTION("GOOGLETRANSLATE(B32348,""en"",""it"")"),"Un uomo è visto in piedi con un folto gruppo di bambini e conduce i bambini giocano a dodgbeall in una grande palestra.")</f>
        <v>Un uomo è visto in piedi con un folto gruppo di bambini e conduce i bambini giocano a dodgbeall in una grande palestra.</v>
      </c>
    </row>
    <row r="32349">
      <c r="A32349" s="4" t="s">
        <v>40724</v>
      </c>
      <c r="B32349" s="6" t="s">
        <v>40726</v>
      </c>
      <c r="C32349" s="5" t="str">
        <f>IFERROR(__xludf.DUMMYFUNCTION("GOOGLETRANSLATE(B32349,""en"",""it"")"),"Viene vista una donna parlare alla telecamera mentre vengono mostrati più scatti del gioco e l'uomo che parla ai bambini.")</f>
        <v>Viene vista una donna parlare alla telecamera mentre vengono mostrati più scatti del gioco e l'uomo che parla ai bambini.</v>
      </c>
    </row>
    <row r="32350">
      <c r="A32350" s="4" t="s">
        <v>40724</v>
      </c>
      <c r="B32350" s="4" t="s">
        <v>40727</v>
      </c>
      <c r="C32350" s="5" t="str">
        <f>IFERROR(__xludf.DUMMYFUNCTION("GOOGLETRANSLATE(B32350,""en"",""it"")"),"Sono tutti visti sedersi insieme e l'uomo intervista i bambini in una classe.")</f>
        <v>Sono tutti visti sedersi insieme e l'uomo intervista i bambini in una classe.</v>
      </c>
    </row>
    <row r="32351">
      <c r="A32351" s="4" t="s">
        <v>40728</v>
      </c>
      <c r="B32351" s="4" t="s">
        <v>40729</v>
      </c>
      <c r="C32351" s="5" t="str">
        <f>IFERROR(__xludf.DUMMYFUNCTION("GOOGLETRANSLATE(B32351,""en"",""it"")"),"Lawrence Welk suona una fisarmonica e dirige la sua band.")</f>
        <v>Lawrence Welk suona una fisarmonica e dirige la sua band.</v>
      </c>
    </row>
    <row r="32352">
      <c r="A32352" s="4" t="s">
        <v>40728</v>
      </c>
      <c r="B32352" s="4" t="s">
        <v>40730</v>
      </c>
      <c r="C32352" s="5" t="str">
        <f>IFERROR(__xludf.DUMMYFUNCTION("GOOGLETRANSLATE(B32352,""en"",""it"")"),"È affiancato da un altro fisarmonica.")</f>
        <v>È affiancato da un altro fisarmonica.</v>
      </c>
    </row>
    <row r="32353">
      <c r="A32353" s="4" t="s">
        <v>40728</v>
      </c>
      <c r="B32353" s="6" t="s">
        <v>40731</v>
      </c>
      <c r="C32353" s="5" t="str">
        <f>IFERROR(__xludf.DUMMYFUNCTION("GOOGLETRANSLATE(B32353,""en"",""it"")"),"La band si alza per pianificare e la fotocamera va avanti e indietro tra i giocatori della fisarmonica e la band.")</f>
        <v>La band si alza per pianificare e la fotocamera va avanti e indietro tra i giocatori della fisarmonica e la band.</v>
      </c>
    </row>
    <row r="32354">
      <c r="A32354" s="4" t="s">
        <v>40728</v>
      </c>
      <c r="B32354" s="4" t="s">
        <v>40732</v>
      </c>
      <c r="C32354" s="5" t="str">
        <f>IFERROR(__xludf.DUMMYFUNCTION("GOOGLETRANSLATE(B32354,""en"",""it"")"),"Continuano a suonare le fisarmoniche con la band dietro di loro.")</f>
        <v>Continuano a suonare le fisarmoniche con la band dietro di loro.</v>
      </c>
    </row>
    <row r="32355">
      <c r="A32355" s="4" t="s">
        <v>40733</v>
      </c>
      <c r="B32355" s="4" t="s">
        <v>40734</v>
      </c>
      <c r="C32355" s="5" t="str">
        <f>IFERROR(__xludf.DUMMYFUNCTION("GOOGLETRANSLATE(B32355,""en"",""it"")"),"Viene visto un uomo parlare con la telecamera di fronte a un'auto e inizia a togliersi un hub.")</f>
        <v>Viene visto un uomo parlare con la telecamera di fronte a un'auto e inizia a togliersi un hub.</v>
      </c>
    </row>
    <row r="32356">
      <c r="A32356" s="4" t="s">
        <v>40733</v>
      </c>
      <c r="B32356" s="4" t="s">
        <v>40735</v>
      </c>
      <c r="C32356" s="5" t="str">
        <f>IFERROR(__xludf.DUMMYFUNCTION("GOOGLETRANSLATE(B32356,""en"",""it"")"),"Fa scivolare i pezzi dal pneumatico.")</f>
        <v>Fa scivolare i pezzi dal pneumatico.</v>
      </c>
    </row>
    <row r="32357">
      <c r="A32357" s="4" t="s">
        <v>40733</v>
      </c>
      <c r="B32357" s="4" t="s">
        <v>40736</v>
      </c>
      <c r="C32357" s="5" t="str">
        <f>IFERROR(__xludf.DUMMYFUNCTION("GOOGLETRANSLATE(B32357,""en"",""it"")"),"Alla fine rimette in atto il copricapo.")</f>
        <v>Alla fine rimette in atto il copricapo.</v>
      </c>
    </row>
    <row r="32358">
      <c r="A32358" s="4" t="s">
        <v>40737</v>
      </c>
      <c r="B32358" s="6" t="s">
        <v>40738</v>
      </c>
      <c r="C32358" s="5" t="str">
        <f>IFERROR(__xludf.DUMMYFUNCTION("GOOGLETRANSLATE(B32358,""en"",""it"")"),"Una camicia da uomo ina che dice che la modalità bestia sta realizzando un video su quali sono i migliori allenamenti gratuiti senza una palestra.")</f>
        <v>Una camicia da uomo ina che dice che la modalità bestia sta realizzando un video su quali sono i migliori allenamenti gratuiti senza una palestra.</v>
      </c>
    </row>
    <row r="32359">
      <c r="A32359" s="4" t="s">
        <v>40737</v>
      </c>
      <c r="B32359" s="4" t="s">
        <v>40739</v>
      </c>
      <c r="C32359" s="5" t="str">
        <f>IFERROR(__xludf.DUMMYFUNCTION("GOOGLETRANSLATE(B32359,""en"",""it"")"),"Ha una barra di peso senza peso e si piega in un certo modo.")</f>
        <v>Ha una barra di peso senza peso e si piega in un certo modo.</v>
      </c>
    </row>
    <row r="32360">
      <c r="A32360" s="4" t="s">
        <v>40737</v>
      </c>
      <c r="B32360" s="4" t="s">
        <v>40740</v>
      </c>
      <c r="C32360" s="5" t="str">
        <f>IFERROR(__xludf.DUMMYFUNCTION("GOOGLETRANSLATE(B32360,""en"",""it"")"),"Ti mostra come usare la barra di peso per diverse posizioni di sollevamento pesi.")</f>
        <v>Ti mostra come usare la barra di peso per diverse posizioni di sollevamento pesi.</v>
      </c>
    </row>
    <row r="32361">
      <c r="A32361" s="4" t="s">
        <v>40737</v>
      </c>
      <c r="B32361" s="4" t="s">
        <v>40741</v>
      </c>
      <c r="C32361" s="5" t="str">
        <f>IFERROR(__xludf.DUMMYFUNCTION("GOOGLETRANSLATE(B32361,""en"",""it"")"),"Una volta che ha finito con la barra del peso, si alza e parla di tutto.")</f>
        <v>Una volta che ha finito con la barra del peso, si alza e parla di tutto.</v>
      </c>
    </row>
    <row r="32362">
      <c r="A32362" s="4" t="s">
        <v>40742</v>
      </c>
      <c r="B32362" s="4" t="s">
        <v>40743</v>
      </c>
      <c r="C32362" s="5" t="str">
        <f>IFERROR(__xludf.DUMMYFUNCTION("GOOGLETRANSLATE(B32362,""en"",""it"")"),"Le persone sono sedute su una panchina.")</f>
        <v>Le persone sono sedute su una panchina.</v>
      </c>
    </row>
    <row r="32363">
      <c r="A32363" s="4" t="s">
        <v>40742</v>
      </c>
      <c r="B32363" s="4" t="s">
        <v>40744</v>
      </c>
      <c r="C32363" s="5" t="str">
        <f>IFERROR(__xludf.DUMMYFUNCTION("GOOGLETRANSLATE(B32363,""en"",""it"")"),"Un uomo beve da una tazza di caffè.")</f>
        <v>Un uomo beve da una tazza di caffè.</v>
      </c>
    </row>
    <row r="32364">
      <c r="A32364" s="4" t="s">
        <v>40742</v>
      </c>
      <c r="B32364" s="4" t="s">
        <v>40745</v>
      </c>
      <c r="C32364" s="5" t="str">
        <f>IFERROR(__xludf.DUMMYFUNCTION("GOOGLETRANSLATE(B32364,""en"",""it"")"),"Una donna sta bevendo da una tazza di caffè.")</f>
        <v>Una donna sta bevendo da una tazza di caffè.</v>
      </c>
    </row>
    <row r="32365">
      <c r="A32365" s="4" t="s">
        <v>40746</v>
      </c>
      <c r="B32365" s="4" t="s">
        <v>40747</v>
      </c>
      <c r="C32365" s="5" t="str">
        <f>IFERROR(__xludf.DUMMYFUNCTION("GOOGLETRANSLATE(B32365,""en"",""it"")"),"Due persone sono su una lastra bianca e iniziano a scherzare l'un l'altro.")</f>
        <v>Due persone sono su una lastra bianca e iniziano a scherzare l'un l'altro.</v>
      </c>
    </row>
    <row r="32366">
      <c r="A32366" s="4" t="s">
        <v>40746</v>
      </c>
      <c r="B32366" s="4" t="s">
        <v>40748</v>
      </c>
      <c r="C32366" s="5" t="str">
        <f>IFERROR(__xludf.DUMMYFUNCTION("GOOGLETRANSLATE(B32366,""en"",""it"")"),"Ci sono fermate costanti e il ragazzo più vicino alla telecamera continua a vincere.")</f>
        <v>Ci sono fermate costanti e il ragazzo più vicino alla telecamera continua a vincere.</v>
      </c>
    </row>
    <row r="32367">
      <c r="A32367" s="4" t="s">
        <v>40746</v>
      </c>
      <c r="B32367" s="6" t="s">
        <v>40749</v>
      </c>
      <c r="C32367" s="5" t="str">
        <f>IFERROR(__xludf.DUMMYFUNCTION("GOOGLETRANSLATE(B32367,""en"",""it"")"),"Entrambi continuano a essere ripristinati ma il risultato non è diverso e la signora sul lato continua a camminare avanti e indietro facendo clic su un pulsante nero.")</f>
        <v>Entrambi continuano a essere ripristinati ma il risultato non è diverso e la signora sul lato continua a camminare avanti e indietro facendo clic su un pulsante nero.</v>
      </c>
    </row>
    <row r="32368">
      <c r="A32368" s="4" t="s">
        <v>40750</v>
      </c>
      <c r="B32368" s="6" t="s">
        <v>40751</v>
      </c>
      <c r="C32368" s="5" t="str">
        <f>IFERROR(__xludf.DUMMYFUNCTION("GOOGLETRANSLATE(B32368,""en"",""it"")"),"Un campo da interno è pieno di persone che indossano uniformi e giocano a Dodgeball che lanciano le palle su entrambi i lati della squadra.")</f>
        <v>Un campo da interno è pieno di persone che indossano uniformi e giocano a Dodgeball che lanciano le palle su entrambi i lati della squadra.</v>
      </c>
    </row>
    <row r="32369">
      <c r="A32369" s="4" t="s">
        <v>40750</v>
      </c>
      <c r="B32369" s="4" t="s">
        <v>40752</v>
      </c>
      <c r="C32369" s="5" t="str">
        <f>IFERROR(__xludf.DUMMYFUNCTION("GOOGLETRANSLATE(B32369,""en"",""it"")"),"Viene riprodotto un replay a rallentatore di un dodgeball e catturato.")</f>
        <v>Viene riprodotto un replay a rallentatore di un dodgeball e catturato.</v>
      </c>
    </row>
    <row r="32370">
      <c r="A32370" s="4" t="s">
        <v>40750</v>
      </c>
      <c r="B32370" s="6" t="s">
        <v>40753</v>
      </c>
      <c r="C32370" s="5" t="str">
        <f>IFERROR(__xludf.DUMMYFUNCTION("GOOGLETRANSLATE(B32370,""en"",""it"")"),"Un uomo lancia rapidamente una palla e il suo bersaglio la prende, si gira e cammina con il suo destro in aria mentre il resto dei giocatori continua a giocare.")</f>
        <v>Un uomo lancia rapidamente una palla e il suo bersaglio la prende, si gira e cammina con il suo destro in aria mentre il resto dei giocatori continua a giocare.</v>
      </c>
    </row>
    <row r="32371">
      <c r="A32371" s="4" t="s">
        <v>40750</v>
      </c>
      <c r="B32371" s="6" t="s">
        <v>40754</v>
      </c>
      <c r="C32371" s="5" t="str">
        <f>IFERROR(__xludf.DUMMYFUNCTION("GOOGLETRANSLATE(B32371,""en"",""it"")"),"Un'immagine ancora scattata di un uomo che tiene due palle e parole nere che scorrono dal basso verso l'alto con la parola e il numero ""Jardine 77"" è in alto.")</f>
        <v>Un'immagine ancora scattata di un uomo che tiene due palle e parole nere che scorrono dal basso verso l'alto con la parola e il numero "Jardine 77" è in alto.</v>
      </c>
    </row>
    <row r="32372">
      <c r="A32372" s="4" t="s">
        <v>40755</v>
      </c>
      <c r="B32372" s="4" t="s">
        <v>40756</v>
      </c>
      <c r="C32372" s="5" t="str">
        <f>IFERROR(__xludf.DUMMYFUNCTION("GOOGLETRANSLATE(B32372,""en"",""it"")"),"Un uomo nuota all'indietro in acqua del lago.")</f>
        <v>Un uomo nuota all'indietro in acqua del lago.</v>
      </c>
    </row>
    <row r="32373">
      <c r="A32373" s="4" t="s">
        <v>40755</v>
      </c>
      <c r="B32373" s="4" t="s">
        <v>40757</v>
      </c>
      <c r="C32373" s="5" t="str">
        <f>IFERROR(__xludf.DUMMYFUNCTION("GOOGLETRANSLATE(B32373,""en"",""it"")"),"I due uomini mostrati iniziano a sci d'acqua.")</f>
        <v>I due uomini mostrati iniziano a sci d'acqua.</v>
      </c>
    </row>
    <row r="32374">
      <c r="A32374" s="4" t="s">
        <v>40755</v>
      </c>
      <c r="B32374" s="6" t="s">
        <v>40758</v>
      </c>
      <c r="C32374" s="5" t="str">
        <f>IFERROR(__xludf.DUMMYFUNCTION("GOOGLETRANSLATE(B32374,""en"",""it"")"),"Perdono il loro dispositivo GoPro e devono scuba per trovarlo, impiegando più di due settimane per individuare il dispositivo ancora funzionante.")</f>
        <v>Perdono il loro dispositivo GoPro e devono scuba per trovarlo, impiegando più di due settimane per individuare il dispositivo ancora funzionante.</v>
      </c>
    </row>
    <row r="32375">
      <c r="A32375" s="4" t="s">
        <v>40759</v>
      </c>
      <c r="B32375" s="4" t="s">
        <v>40760</v>
      </c>
      <c r="C32375" s="5" t="str">
        <f>IFERROR(__xludf.DUMMYFUNCTION("GOOGLETRANSLATE(B32375,""en"",""it"")"),"Vari colpi di stringhe sono mostrati seguiti da materiali per maglieria e persone a maglia in una biblioteca.")</f>
        <v>Vari colpi di stringhe sono mostrati seguiti da materiali per maglieria e persone a maglia in una biblioteca.</v>
      </c>
    </row>
    <row r="32376">
      <c r="A32376" s="4" t="s">
        <v>40759</v>
      </c>
      <c r="B32376" s="4" t="s">
        <v>40761</v>
      </c>
      <c r="C32376" s="5" t="str">
        <f>IFERROR(__xludf.DUMMYFUNCTION("GOOGLETRANSLATE(B32376,""en"",""it"")"),"La donna dà un piccolo abbigliamento da bambino e dimostra come si muovono correttamente alla ragazza.")</f>
        <v>La donna dà un piccolo abbigliamento da bambino e dimostra come si muovono correttamente alla ragazza.</v>
      </c>
    </row>
    <row r="32377">
      <c r="A32377" s="4" t="s">
        <v>40762</v>
      </c>
      <c r="B32377" s="4" t="s">
        <v>40763</v>
      </c>
      <c r="C32377" s="5" t="str">
        <f>IFERROR(__xludf.DUMMYFUNCTION("GOOGLETRANSLATE(B32377,""en"",""it"")"),"""EPBF Millennium Series"" appare sullo schermo.")</f>
        <v>"EPBF Millennium Series" appare sullo schermo.</v>
      </c>
    </row>
    <row r="32378">
      <c r="A32378" s="4" t="s">
        <v>40762</v>
      </c>
      <c r="B32378" s="6" t="s">
        <v>40764</v>
      </c>
      <c r="C32378" s="5" t="str">
        <f>IFERROR(__xludf.DUMMYFUNCTION("GOOGLETRANSLATE(B32378,""en"",""it"")"),"L'estremità aperta del veicolo appare con ""rete di fornitura di vernici WWW stampata sul paraurti mentre gli strumenti sono posizionati all'interno.")</f>
        <v>L'estremità aperta del veicolo appare con "rete di fornitura di vernici WWW stampata sul paraurti mentre gli strumenti sono posizionati all'interno.</v>
      </c>
    </row>
    <row r="32379">
      <c r="A32379" s="4" t="s">
        <v>40762</v>
      </c>
      <c r="B32379" s="4" t="s">
        <v>40765</v>
      </c>
      <c r="C32379" s="5" t="str">
        <f>IFERROR(__xludf.DUMMYFUNCTION("GOOGLETRANSLATE(B32379,""en"",""it"")"),"L'auto guida lungo una strada nera scura con oggetti photoshopped che spuntano su entrambi i lati.")</f>
        <v>L'auto guida lungo una strada nera scura con oggetti photoshopped che spuntano su entrambi i lati.</v>
      </c>
    </row>
    <row r="32380">
      <c r="A32380" s="4" t="s">
        <v>40762</v>
      </c>
      <c r="B32380" s="6" t="s">
        <v>40766</v>
      </c>
      <c r="C32380" s="5" t="str">
        <f>IFERROR(__xludf.DUMMYFUNCTION("GOOGLETRANSLATE(B32380,""en"",""it"")"),"La fine della strada appare con la parola ""Paintball fallisce"" sopra di essa e le immagini di Paintball sotto di essa.")</f>
        <v>La fine della strada appare con la parola "Paintball fallisce" sopra di essa e le immagini di Paintball sotto di essa.</v>
      </c>
    </row>
    <row r="32381">
      <c r="A32381" s="4" t="s">
        <v>40762</v>
      </c>
      <c r="B32381" s="4" t="s">
        <v>40767</v>
      </c>
      <c r="C32381" s="5" t="str">
        <f>IFERROR(__xludf.DUMMYFUNCTION("GOOGLETRANSLATE(B32381,""en"",""it"")"),"Le parole ""Friendly Fire"" appaiono.")</f>
        <v>Le parole "Friendly Fire" appaiono.</v>
      </c>
    </row>
    <row r="32382">
      <c r="A32382" s="4" t="s">
        <v>40762</v>
      </c>
      <c r="B32382" s="4" t="s">
        <v>40768</v>
      </c>
      <c r="C32382" s="5" t="str">
        <f>IFERROR(__xludf.DUMMYFUNCTION("GOOGLETRANSLATE(B32382,""en"",""it"")"),"Un gruppo di persone giocano a paintball su un campo erboso con ostacoli gonfiabili.")</f>
        <v>Un gruppo di persone giocano a paintball su un campo erboso con ostacoli gonfiabili.</v>
      </c>
    </row>
    <row r="32383">
      <c r="A32383" s="4" t="s">
        <v>40762</v>
      </c>
      <c r="B32383" s="4" t="s">
        <v>40769</v>
      </c>
      <c r="C32383" s="5" t="str">
        <f>IFERROR(__xludf.DUMMYFUNCTION("GOOGLETRANSLATE(B32383,""en"",""it"")"),"Le parole ""Stupid Hopper"" appaiono.")</f>
        <v>Le parole "Stupid Hopper" appaiono.</v>
      </c>
    </row>
    <row r="32384">
      <c r="A32384" s="4" t="s">
        <v>40762</v>
      </c>
      <c r="B32384" s="4" t="s">
        <v>40770</v>
      </c>
      <c r="C32384" s="5" t="str">
        <f>IFERROR(__xludf.DUMMYFUNCTION("GOOGLETRANSLATE(B32384,""en"",""it"")"),"Le persone giocano ancora una volta a paintball sul campo.")</f>
        <v>Le persone giocano ancora una volta a paintball sul campo.</v>
      </c>
    </row>
    <row r="32385">
      <c r="A32385" s="4" t="s">
        <v>40762</v>
      </c>
      <c r="B32385" s="4" t="s">
        <v>40771</v>
      </c>
      <c r="C32385" s="5" t="str">
        <f>IFERROR(__xludf.DUMMYFUNCTION("GOOGLETRANSLATE(B32385,""en"",""it"")"),"Le parole ""1/3 lauf"" compaiono.")</f>
        <v>Le parole "1/3 lauf" compaiono.</v>
      </c>
    </row>
    <row r="32386">
      <c r="A32386" s="4" t="s">
        <v>40762</v>
      </c>
      <c r="B32386" s="4" t="s">
        <v>40772</v>
      </c>
      <c r="C32386" s="5" t="str">
        <f>IFERROR(__xludf.DUMMYFUNCTION("GOOGLETRANSLATE(B32386,""en"",""it"")"),"Le persone giocano di nuovo a paintball sul campo.")</f>
        <v>Le persone giocano di nuovo a paintball sul campo.</v>
      </c>
    </row>
    <row r="32387">
      <c r="A32387" s="4" t="s">
        <v>40762</v>
      </c>
      <c r="B32387" s="4" t="s">
        <v>40773</v>
      </c>
      <c r="C32387" s="5" t="str">
        <f>IFERROR(__xludf.DUMMYFUNCTION("GOOGLETRANSLATE(B32387,""en"",""it"")"),"La parola ""Fehlstart"" appare sullo schermo.")</f>
        <v>La parola "Fehlstart" appare sullo schermo.</v>
      </c>
    </row>
    <row r="32388">
      <c r="A32388" s="4" t="s">
        <v>40762</v>
      </c>
      <c r="B32388" s="4" t="s">
        <v>40774</v>
      </c>
      <c r="C32388" s="5" t="str">
        <f>IFERROR(__xludf.DUMMYFUNCTION("GOOGLETRANSLATE(B32388,""en"",""it"")"),"Le persone giocano a paintball sul campo.")</f>
        <v>Le persone giocano a paintball sul campo.</v>
      </c>
    </row>
    <row r="32389">
      <c r="A32389" s="4" t="s">
        <v>40762</v>
      </c>
      <c r="B32389" s="4" t="s">
        <v>40775</v>
      </c>
      <c r="C32389" s="5" t="str">
        <f>IFERROR(__xludf.DUMMYFUNCTION("GOOGLETRANSLATE(B32389,""en"",""it"")"),"Viene visualizzato le informazioni di contatto per la fornitura di vernice GmbH.")</f>
        <v>Viene visualizzato le informazioni di contatto per la fornitura di vernice GmbH.</v>
      </c>
    </row>
    <row r="32390">
      <c r="A32390" s="4" t="s">
        <v>40776</v>
      </c>
      <c r="B32390" s="4" t="s">
        <v>40777</v>
      </c>
      <c r="C32390" s="5" t="str">
        <f>IFERROR(__xludf.DUMMYFUNCTION("GOOGLETRANSLATE(B32390,""en"",""it"")"),"Ci sono alcuni signori più anziani che giocano un gioco sul ghiaccio.")</f>
        <v>Ci sono alcuni signori più anziani che giocano un gioco sul ghiaccio.</v>
      </c>
    </row>
    <row r="32391">
      <c r="A32391" s="4" t="s">
        <v>40776</v>
      </c>
      <c r="B32391" s="4" t="s">
        <v>40778</v>
      </c>
      <c r="C32391" s="5" t="str">
        <f>IFERROR(__xludf.DUMMYFUNCTION("GOOGLETRANSLATE(B32391,""en"",""it"")"),"Hanno un allenatore per aiutarli e parla di come arricciarsi.")</f>
        <v>Hanno un allenatore per aiutarli e parla di come arricciarsi.</v>
      </c>
    </row>
    <row r="32392">
      <c r="A32392" s="4" t="s">
        <v>40776</v>
      </c>
      <c r="B32392" s="4" t="s">
        <v>40779</v>
      </c>
      <c r="C32392" s="5" t="str">
        <f>IFERROR(__xludf.DUMMYFUNCTION("GOOGLETRANSLATE(B32392,""en"",""it"")"),"Parla dei passaggi e di come entrare nell'hack, anche dimostrando.")</f>
        <v>Parla dei passaggi e di come entrare nell'hack, anche dimostrando.</v>
      </c>
    </row>
    <row r="32393">
      <c r="A32393" s="4" t="s">
        <v>40776</v>
      </c>
      <c r="B32393" s="4" t="s">
        <v>40780</v>
      </c>
      <c r="C32393" s="5" t="str">
        <f>IFERROR(__xludf.DUMMYFUNCTION("GOOGLETRANSLATE(B32393,""en"",""it"")"),"Sembra piuttosto professionale che cammina sul ghiaccio con le scarpe mentre dimostra.")</f>
        <v>Sembra piuttosto professionale che cammina sul ghiaccio con le scarpe mentre dimostra.</v>
      </c>
    </row>
    <row r="32394">
      <c r="A32394" s="4" t="s">
        <v>40781</v>
      </c>
      <c r="B32394" s="4" t="s">
        <v>40782</v>
      </c>
      <c r="C32394" s="5" t="str">
        <f>IFERROR(__xludf.DUMMYFUNCTION("GOOGLETRANSLATE(B32394,""en"",""it"")"),"Un primo piano si vede di un doppio lavandino in metallo.")</f>
        <v>Un primo piano si vede di un doppio lavandino in metallo.</v>
      </c>
    </row>
    <row r="32395">
      <c r="A32395" s="4" t="s">
        <v>40781</v>
      </c>
      <c r="B32395" s="4" t="s">
        <v>40783</v>
      </c>
      <c r="C32395" s="5" t="str">
        <f>IFERROR(__xludf.DUMMYFUNCTION("GOOGLETRANSLATE(B32395,""en"",""it"")"),"Quindi vediamo due ciotole con polvere e un lime tagliato.")</f>
        <v>Quindi vediamo due ciotole con polvere e un lime tagliato.</v>
      </c>
    </row>
    <row r="32396">
      <c r="A32396" s="4" t="s">
        <v>40781</v>
      </c>
      <c r="B32396" s="6" t="s">
        <v>40784</v>
      </c>
      <c r="C32396" s="5" t="str">
        <f>IFERROR(__xludf.DUMMYFUNCTION("GOOGLETRANSLATE(B32396,""en"",""it"")"),"Una donna usa il calce immerso in polvere per strofinare e quindi sciacquare il lavandino prima di asciugarlo, sfoggiando un lavandino pulito perfettamente.")</f>
        <v>Una donna usa il calce immerso in polvere per strofinare e quindi sciacquare il lavandino prima di asciugarlo, sfoggiando un lavandino pulito perfettamente.</v>
      </c>
    </row>
    <row r="32397">
      <c r="A32397" s="4" t="s">
        <v>40785</v>
      </c>
      <c r="B32397" s="4" t="s">
        <v>40786</v>
      </c>
      <c r="C32397" s="5" t="str">
        <f>IFERROR(__xludf.DUMMYFUNCTION("GOOGLETRANSLATE(B32397,""en"",""it"")"),"Una persona sta assemblando una bici su un panno bianco.")</f>
        <v>Una persona sta assemblando una bici su un panno bianco.</v>
      </c>
    </row>
    <row r="32398">
      <c r="A32398" s="4" t="s">
        <v>40785</v>
      </c>
      <c r="B32398" s="4" t="s">
        <v>40787</v>
      </c>
      <c r="C32398" s="5" t="str">
        <f>IFERROR(__xludf.DUMMYFUNCTION("GOOGLETRANSLATE(B32398,""en"",""it"")"),"Mettono su un grembiule blu e guanti.")</f>
        <v>Mettono su un grembiule blu e guanti.</v>
      </c>
    </row>
    <row r="32399">
      <c r="A32399" s="4" t="s">
        <v>40785</v>
      </c>
      <c r="B32399" s="4" t="s">
        <v>40788</v>
      </c>
      <c r="C32399" s="5" t="str">
        <f>IFERROR(__xludf.DUMMYFUNCTION("GOOGLETRANSLATE(B32399,""en"",""it"")"),"Hanno messo le barre per maniglie sulla bici.")</f>
        <v>Hanno messo le barre per maniglie sulla bici.</v>
      </c>
    </row>
    <row r="32400">
      <c r="A32400" s="4" t="s">
        <v>40789</v>
      </c>
      <c r="B32400" s="4" t="s">
        <v>40790</v>
      </c>
      <c r="C32400" s="5" t="str">
        <f>IFERROR(__xludf.DUMMYFUNCTION("GOOGLETRANSLATE(B32400,""en"",""it"")"),"Due uomini stanno guidando una bici d'acqua in mare mentre una grande ondata è dietro di loro.")</f>
        <v>Due uomini stanno guidando una bici d'acqua in mare mentre una grande ondata è dietro di loro.</v>
      </c>
    </row>
    <row r="32401">
      <c r="A32401" s="4" t="s">
        <v>40789</v>
      </c>
      <c r="B32401" s="4" t="s">
        <v>40791</v>
      </c>
      <c r="C32401" s="5" t="str">
        <f>IFERROR(__xludf.DUMMYFUNCTION("GOOGLETRANSLATE(B32401,""en"",""it"")"),"Molte scene di persone che navigano su grandi onde sul mare e una città sono sullo sfondo.")</f>
        <v>Molte scene di persone che navigano su grandi onde sul mare e una città sono sullo sfondo.</v>
      </c>
    </row>
    <row r="32402">
      <c r="A32402" s="4" t="s">
        <v>40792</v>
      </c>
      <c r="B32402" s="4" t="s">
        <v>40793</v>
      </c>
      <c r="C32402" s="5" t="str">
        <f>IFERROR(__xludf.DUMMYFUNCTION("GOOGLETRANSLATE(B32402,""en"",""it"")"),"Un cane viene visto vagare per un cortile e un uomo che parla alla telecamera.")</f>
        <v>Un cane viene visto vagare per un cortile e un uomo che parla alla telecamera.</v>
      </c>
    </row>
    <row r="32403">
      <c r="A32403" s="4" t="s">
        <v>40792</v>
      </c>
      <c r="B32403" s="4" t="s">
        <v>40794</v>
      </c>
      <c r="C32403" s="5" t="str">
        <f>IFERROR(__xludf.DUMMYFUNCTION("GOOGLETRANSLATE(B32403,""en"",""it"")"),"Il cane si muove nell'area mentre l'uomo continua a parlare alla telecamera.")</f>
        <v>Il cane si muove nell'area mentre l'uomo continua a parlare alla telecamera.</v>
      </c>
    </row>
    <row r="32404">
      <c r="A32404" s="4" t="s">
        <v>40792</v>
      </c>
      <c r="B32404" s="4" t="s">
        <v>40795</v>
      </c>
      <c r="C32404" s="5" t="str">
        <f>IFERROR(__xludf.DUMMYFUNCTION("GOOGLETRANSLATE(B32404,""en"",""it"")"),"Il cane corre indietro e quarto mentre la telecamera si ingrandisce sul viso.")</f>
        <v>Il cane corre indietro e quarto mentre la telecamera si ingrandisce sul viso.</v>
      </c>
    </row>
    <row r="32405">
      <c r="A32405" s="4" t="s">
        <v>40796</v>
      </c>
      <c r="B32405" s="4" t="s">
        <v>40797</v>
      </c>
      <c r="C32405" s="5" t="str">
        <f>IFERROR(__xludf.DUMMYFUNCTION("GOOGLETRANSLATE(B32405,""en"",""it"")"),"È mostrato un primo piano degli occhi di una donna.")</f>
        <v>È mostrato un primo piano degli occhi di una donna.</v>
      </c>
    </row>
    <row r="32406">
      <c r="A32406" s="4" t="s">
        <v>40796</v>
      </c>
      <c r="B32406" s="4" t="s">
        <v>40798</v>
      </c>
      <c r="C32406" s="5" t="str">
        <f>IFERROR(__xludf.DUMMYFUNCTION("GOOGLETRANSLATE(B32406,""en"",""it"")"),"È seduta su una roccia, poi in bicicletta, poi adornando gli attrezzi subacquei.")</f>
        <v>È seduta su una roccia, poi in bicicletta, poi adornando gli attrezzi subacquei.</v>
      </c>
    </row>
    <row r="32407">
      <c r="A32407" s="4" t="s">
        <v>40796</v>
      </c>
      <c r="B32407" s="4" t="s">
        <v>40799</v>
      </c>
      <c r="C32407" s="5" t="str">
        <f>IFERROR(__xludf.DUMMYFUNCTION("GOOGLETRANSLATE(B32407,""en"",""it"")"),"Si tuffa, nuotando accanto a pesci tropicali e uno squalo infermieristico.")</f>
        <v>Si tuffa, nuotando accanto a pesci tropicali e uno squalo infermieristico.</v>
      </c>
    </row>
    <row r="32408">
      <c r="A32408" s="4" t="s">
        <v>40796</v>
      </c>
      <c r="B32408" s="4" t="s">
        <v>40800</v>
      </c>
      <c r="C32408" s="5" t="str">
        <f>IFERROR(__xludf.DUMMYFUNCTION("GOOGLETRANSLATE(B32408,""en"",""it"")"),"Alla fine le viene mostrato indossare occhiali da sole, sorridendo e ridendo.")</f>
        <v>Alla fine le viene mostrato indossare occhiali da sole, sorridendo e ridendo.</v>
      </c>
    </row>
    <row r="32409">
      <c r="A32409" s="4" t="s">
        <v>40801</v>
      </c>
      <c r="B32409" s="4" t="s">
        <v>40802</v>
      </c>
      <c r="C32409" s="5" t="str">
        <f>IFERROR(__xludf.DUMMYFUNCTION("GOOGLETRANSLATE(B32409,""en"",""it"")"),"Un uomo detiene un dispositivo di saldatura e lo regola mentre mostra la sua area di lavoro.")</f>
        <v>Un uomo detiene un dispositivo di saldatura e lo regola mentre mostra la sua area di lavoro.</v>
      </c>
    </row>
    <row r="32410">
      <c r="A32410" s="4" t="s">
        <v>40801</v>
      </c>
      <c r="B32410" s="4" t="s">
        <v>40803</v>
      </c>
      <c r="C32410" s="5" t="str">
        <f>IFERROR(__xludf.DUMMYFUNCTION("GOOGLETRANSLATE(B32410,""en"",""it"")"),"Il saldatore viene tenuto su una piastra in acciaio e si muove lentamente.")</f>
        <v>Il saldatore viene tenuto su una piastra in acciaio e si muove lentamente.</v>
      </c>
    </row>
    <row r="32411">
      <c r="A32411" s="4" t="s">
        <v>40801</v>
      </c>
      <c r="B32411" s="4" t="s">
        <v>40804</v>
      </c>
      <c r="C32411" s="5" t="str">
        <f>IFERROR(__xludf.DUMMYFUNCTION("GOOGLETRANSLATE(B32411,""en"",""it"")"),"L'uomo tira il saldatore su un pezzo di metallo colorato di rame.")</f>
        <v>L'uomo tira il saldatore su un pezzo di metallo colorato di rame.</v>
      </c>
    </row>
    <row r="32412">
      <c r="A32412" s="4" t="s">
        <v>40801</v>
      </c>
      <c r="B32412" s="4" t="s">
        <v>40805</v>
      </c>
      <c r="C32412" s="5" t="str">
        <f>IFERROR(__xludf.DUMMYFUNCTION("GOOGLETRANSLATE(B32412,""en"",""it"")"),"L'uomo pose la guardia del viso e salda un punto su un pezzo di metallo.")</f>
        <v>L'uomo pose la guardia del viso e salda un punto su un pezzo di metallo.</v>
      </c>
    </row>
    <row r="32413">
      <c r="A32413" s="4" t="s">
        <v>40801</v>
      </c>
      <c r="B32413" s="4" t="s">
        <v>40806</v>
      </c>
      <c r="C32413" s="5" t="str">
        <f>IFERROR(__xludf.DUMMYFUNCTION("GOOGLETRANSLATE(B32413,""en"",""it"")"),"L'uomo si ferma per una pausa.")</f>
        <v>L'uomo si ferma per una pausa.</v>
      </c>
    </row>
    <row r="32414">
      <c r="A32414" s="4" t="s">
        <v>40801</v>
      </c>
      <c r="B32414" s="4" t="s">
        <v>40807</v>
      </c>
      <c r="C32414" s="5" t="str">
        <f>IFERROR(__xludf.DUMMYFUNCTION("GOOGLETRANSLATE(B32414,""en"",""it"")"),"L'uomo salda una linea in un pezzo di materiale.")</f>
        <v>L'uomo salda una linea in un pezzo di materiale.</v>
      </c>
    </row>
    <row r="32415">
      <c r="A32415" s="4" t="s">
        <v>40801</v>
      </c>
      <c r="B32415" s="4" t="s">
        <v>40808</v>
      </c>
      <c r="C32415" s="5" t="str">
        <f>IFERROR(__xludf.DUMMYFUNCTION("GOOGLETRANSLATE(B32415,""en"",""it"")"),"L'uomo regge uno scalpello a martello sopra la barra di metallo e si spezza alcuni pezzi.")</f>
        <v>L'uomo regge uno scalpello a martello sopra la barra di metallo e si spezza alcuni pezzi.</v>
      </c>
    </row>
    <row r="32416">
      <c r="A32416" s="4" t="s">
        <v>40801</v>
      </c>
      <c r="B32416" s="4" t="s">
        <v>40809</v>
      </c>
      <c r="C32416" s="5" t="str">
        <f>IFERROR(__xludf.DUMMYFUNCTION("GOOGLETRANSLATE(B32416,""en"",""it"")"),"L'uomo usa una spazzola metallica per pulire il metallo.")</f>
        <v>L'uomo usa una spazzola metallica per pulire il metallo.</v>
      </c>
    </row>
    <row r="32417">
      <c r="A32417" s="4" t="s">
        <v>40810</v>
      </c>
      <c r="B32417" s="4" t="s">
        <v>40811</v>
      </c>
      <c r="C32417" s="5" t="str">
        <f>IFERROR(__xludf.DUMMYFUNCTION("GOOGLETRANSLATE(B32417,""en"",""it"")"),"Una ragazza è seduta e fumare sigarette.")</f>
        <v>Una ragazza è seduta e fumare sigarette.</v>
      </c>
    </row>
    <row r="32418">
      <c r="A32418" s="4" t="s">
        <v>40810</v>
      </c>
      <c r="B32418" s="4" t="s">
        <v>40812</v>
      </c>
      <c r="C32418" s="5" t="str">
        <f>IFERROR(__xludf.DUMMYFUNCTION("GOOGLETRANSLATE(B32418,""en"",""it"")"),"Johnny Cash sta giocando in sottofondo e ha un drink in mano.")</f>
        <v>Johnny Cash sta giocando in sottofondo e ha un drink in mano.</v>
      </c>
    </row>
    <row r="32419">
      <c r="A32419" s="4" t="s">
        <v>40810</v>
      </c>
      <c r="B32419" s="4" t="s">
        <v>40813</v>
      </c>
      <c r="C32419" s="5" t="str">
        <f>IFERROR(__xludf.DUMMYFUNCTION("GOOGLETRANSLATE(B32419,""en"",""it"")"),"Fissa la telecamera mentre prende i sbuffi sulla sigaretta.")</f>
        <v>Fissa la telecamera mentre prende i sbuffi sulla sigaretta.</v>
      </c>
    </row>
    <row r="32420">
      <c r="A32420" s="4" t="s">
        <v>40810</v>
      </c>
      <c r="B32420" s="4" t="s">
        <v>40814</v>
      </c>
      <c r="C32420" s="5" t="str">
        <f>IFERROR(__xludf.DUMMYFUNCTION("GOOGLETRANSLATE(B32420,""en"",""it"")"),"Si fissa un po 'i capelli mentre guarda nella telecamera.")</f>
        <v>Si fissa un po 'i capelli mentre guarda nella telecamera.</v>
      </c>
    </row>
    <row r="32421">
      <c r="A32421" s="4" t="s">
        <v>40810</v>
      </c>
      <c r="B32421" s="4" t="s">
        <v>40815</v>
      </c>
      <c r="C32421" s="5" t="str">
        <f>IFERROR(__xludf.DUMMYFUNCTION("GOOGLETRANSLATE(B32421,""en"",""it"")"),"Lei sorride nella telecamera e si avvicina.")</f>
        <v>Lei sorride nella telecamera e si avvicina.</v>
      </c>
    </row>
    <row r="32422">
      <c r="A32422" s="4" t="s">
        <v>40816</v>
      </c>
      <c r="B32422" s="6" t="s">
        <v>40817</v>
      </c>
      <c r="C32422" s="5" t="str">
        <f>IFERROR(__xludf.DUMMYFUNCTION("GOOGLETRANSLATE(B32422,""en"",""it"")"),"Una donna sta su davanti a un tavolo con prodotti per bambini, quindi la donna arrotola i pannolini e mette attorno a un contenitore circolare con un nastro.")</f>
        <v>Una donna sta su davanti a un tavolo con prodotti per bambini, quindi la donna arrotola i pannolini e mette attorno a un contenitore circolare con un nastro.</v>
      </c>
    </row>
    <row r="32423">
      <c r="A32423" s="4" t="s">
        <v>40816</v>
      </c>
      <c r="B32423" s="4" t="s">
        <v>40818</v>
      </c>
      <c r="C32423" s="5" t="str">
        <f>IFERROR(__xludf.DUMMYFUNCTION("GOOGLETRANSLATE(B32423,""en"",""it"")"),"Dopo, la donna mette i pannolini attorno a un asciugamano piegato con un nastro.")</f>
        <v>Dopo, la donna mette i pannolini attorno a un asciugamano piegato con un nastro.</v>
      </c>
    </row>
    <row r="32424">
      <c r="A32424" s="4" t="s">
        <v>40816</v>
      </c>
      <c r="B32424" s="6" t="s">
        <v>40819</v>
      </c>
      <c r="C32424" s="5" t="str">
        <f>IFERROR(__xludf.DUMMYFUNCTION("GOOGLETRANSLATE(B32424,""en"",""it"")"),"Successivamente, la donna riempie il contenitore circolare di prodotti per bambini e mette sopra l'asciugamano, un peluche e una bottiglia.")</f>
        <v>Successivamente, la donna riempie il contenitore circolare di prodotti per bambini e mette sopra l'asciugamano, un peluche e una bottiglia.</v>
      </c>
    </row>
    <row r="32425">
      <c r="A32425" s="4" t="s">
        <v>40820</v>
      </c>
      <c r="B32425" s="4" t="s">
        <v>40821</v>
      </c>
      <c r="C32425" s="5" t="str">
        <f>IFERROR(__xludf.DUMMYFUNCTION("GOOGLETRANSLATE(B32425,""en"",""it"")"),"Un ragazzo raccoglie una palla da bowling e corre lungo la corsia.")</f>
        <v>Un ragazzo raccoglie una palla da bowling e corre lungo la corsia.</v>
      </c>
    </row>
    <row r="32426">
      <c r="A32426" s="4" t="s">
        <v>40820</v>
      </c>
      <c r="B32426" s="4" t="s">
        <v>40822</v>
      </c>
      <c r="C32426" s="5" t="str">
        <f>IFERROR(__xludf.DUMMYFUNCTION("GOOGLETRANSLATE(B32426,""en"",""it"")"),"Alla fine si tuffa nei pin.")</f>
        <v>Alla fine si tuffa nei pin.</v>
      </c>
    </row>
    <row r="32427">
      <c r="A32427" s="4" t="s">
        <v>40820</v>
      </c>
      <c r="B32427" s="4" t="s">
        <v>40823</v>
      </c>
      <c r="C32427" s="5" t="str">
        <f>IFERROR(__xludf.DUMMYFUNCTION("GOOGLETRANSLATE(B32427,""en"",""it"")"),"Corre indietro e cade sulla corsia.")</f>
        <v>Corre indietro e cade sulla corsia.</v>
      </c>
    </row>
    <row r="32428">
      <c r="A32428" s="4" t="s">
        <v>40824</v>
      </c>
      <c r="B32428" s="6" t="s">
        <v>40825</v>
      </c>
      <c r="C32428" s="5" t="str">
        <f>IFERROR(__xludf.DUMMYFUNCTION("GOOGLETRANSLATE(B32428,""en"",""it"")"),"Un uomo vestito con tutto nero e una maschera è fuori in un luogo pubblico che suona e strumenti con borse nella tastiera centrale e piccola all'esterno.")</f>
        <v>Un uomo vestito con tutto nero e una maschera è fuori in un luogo pubblico che suona e strumenti con borse nella tastiera centrale e piccola all'esterno.</v>
      </c>
    </row>
    <row r="32429">
      <c r="A32429" s="4" t="s">
        <v>40824</v>
      </c>
      <c r="B32429" s="4" t="s">
        <v>40826</v>
      </c>
      <c r="C32429" s="5" t="str">
        <f>IFERROR(__xludf.DUMMYFUNCTION("GOOGLETRANSLATE(B32429,""en"",""it"")"),"Mentre gioca, più persone camminano continuando con la loro vita.")</f>
        <v>Mentre gioca, più persone camminano continuando con la loro vita.</v>
      </c>
    </row>
    <row r="32430">
      <c r="A32430" s="4" t="s">
        <v>40824</v>
      </c>
      <c r="B32430" s="4" t="s">
        <v>40827</v>
      </c>
      <c r="C32430" s="5" t="str">
        <f>IFERROR(__xludf.DUMMYFUNCTION("GOOGLETRANSLATE(B32430,""en"",""it"")"),"Nessuno di loro lo riconosce e il cappello davanti a HI rimane vuoto.")</f>
        <v>Nessuno di loro lo riconosce e il cappello davanti a HI rimane vuoto.</v>
      </c>
    </row>
    <row r="32431">
      <c r="A32431" s="4" t="s">
        <v>40828</v>
      </c>
      <c r="B32431" s="4" t="s">
        <v>40829</v>
      </c>
      <c r="C32431" s="5" t="str">
        <f>IFERROR(__xludf.DUMMYFUNCTION("GOOGLETRANSLATE(B32431,""en"",""it"")"),"Due ragazze che tiene pom pom eseguono una routine di danza in palestra.")</f>
        <v>Due ragazze che tiene pom pom eseguono una routine di danza in palestra.</v>
      </c>
    </row>
    <row r="32432">
      <c r="A32432" s="4" t="s">
        <v>40828</v>
      </c>
      <c r="B32432" s="6" t="s">
        <v>40830</v>
      </c>
      <c r="C32432" s="5" t="str">
        <f>IFERROR(__xludf.DUMMYFUNCTION("GOOGLETRANSLATE(B32432,""en"",""it"")"),"Diverse persone vengono mostrate a guardare in background mentre le ragazze continuano a fare mosse flessibili.")</f>
        <v>Diverse persone vengono mostrate a guardare in background mentre le ragazze continuano a fare mosse flessibili.</v>
      </c>
    </row>
    <row r="32433">
      <c r="A32433" s="4" t="s">
        <v>40828</v>
      </c>
      <c r="B32433" s="6" t="s">
        <v>40831</v>
      </c>
      <c r="C32433" s="5" t="str">
        <f>IFERROR(__xludf.DUMMYFUNCTION("GOOGLETRANSLATE(B32433,""en"",""it"")"),"Le canne afferrate e continuano a girare le canne mentre si fanno divisioni e varie altre mosse di danza.")</f>
        <v>Le canne afferrate e continuano a girare le canne mentre si fanno divisioni e varie altre mosse di danza.</v>
      </c>
    </row>
    <row r="32434">
      <c r="A32434" s="4" t="s">
        <v>40832</v>
      </c>
      <c r="B32434" s="4" t="s">
        <v>40833</v>
      </c>
      <c r="C32434" s="5" t="str">
        <f>IFERROR(__xludf.DUMMYFUNCTION("GOOGLETRANSLATE(B32434,""en"",""it"")"),"Una donna che indossa una tuta sta parlando con la telecamera.")</f>
        <v>Una donna che indossa una tuta sta parlando con la telecamera.</v>
      </c>
    </row>
    <row r="32435">
      <c r="A32435" s="4" t="s">
        <v>40832</v>
      </c>
      <c r="B32435" s="4" t="s">
        <v>40834</v>
      </c>
      <c r="C32435" s="5" t="str">
        <f>IFERROR(__xludf.DUMMYFUNCTION("GOOGLETRANSLATE(B32435,""en"",""it"")"),"Dispone la carta avvolgente, mostrando come avvolgere un giocattolo.")</f>
        <v>Dispone la carta avvolgente, mostrando come avvolgere un giocattolo.</v>
      </c>
    </row>
    <row r="32436">
      <c r="A32436" s="4" t="s">
        <v>40832</v>
      </c>
      <c r="B32436" s="4" t="s">
        <v>40835</v>
      </c>
      <c r="C32436" s="5" t="str">
        <f>IFERROR(__xludf.DUMMYFUNCTION("GOOGLETRANSLATE(B32436,""en"",""it"")"),"Lo avvolge attorno al giocattolo, poi lo registra.")</f>
        <v>Lo avvolge attorno al giocattolo, poi lo registra.</v>
      </c>
    </row>
    <row r="32437">
      <c r="A32437" s="4" t="s">
        <v>40836</v>
      </c>
      <c r="B32437" s="4" t="s">
        <v>40837</v>
      </c>
      <c r="C32437" s="5" t="str">
        <f>IFERROR(__xludf.DUMMYFUNCTION("GOOGLETRANSLATE(B32437,""en"",""it"")"),"Vediamo una signora che lavare un asciugamano bianco in un lavandino.")</f>
        <v>Vediamo una signora che lavare un asciugamano bianco in un lavandino.</v>
      </c>
    </row>
    <row r="32438">
      <c r="A32438" s="4" t="s">
        <v>40836</v>
      </c>
      <c r="B32438" s="4" t="s">
        <v>40838</v>
      </c>
      <c r="C32438" s="5" t="str">
        <f>IFERROR(__xludf.DUMMYFUNCTION("GOOGLETRANSLATE(B32438,""en"",""it"")"),"La signora solleva l'asciugamano.")</f>
        <v>La signora solleva l'asciugamano.</v>
      </c>
    </row>
    <row r="32439">
      <c r="A32439" s="4" t="s">
        <v>40836</v>
      </c>
      <c r="B32439" s="4" t="s">
        <v>40839</v>
      </c>
      <c r="C32439" s="5" t="str">
        <f>IFERROR(__xludf.DUMMYFUNCTION("GOOGLETRANSLATE(B32439,""en"",""it"")"),"La signora prende qualcosa dal pavimento.")</f>
        <v>La signora prende qualcosa dal pavimento.</v>
      </c>
    </row>
    <row r="32440">
      <c r="A32440" s="4" t="s">
        <v>40836</v>
      </c>
      <c r="B32440" s="4" t="s">
        <v>40840</v>
      </c>
      <c r="C32440" s="5" t="str">
        <f>IFERROR(__xludf.DUMMYFUNCTION("GOOGLETRANSLATE(B32440,""en"",""it"")"),"La signora strappa l'asciugamano nel lavandino.")</f>
        <v>La signora strappa l'asciugamano nel lavandino.</v>
      </c>
    </row>
    <row r="32441">
      <c r="A32441" s="4" t="s">
        <v>40836</v>
      </c>
      <c r="B32441" s="4" t="s">
        <v>40841</v>
      </c>
      <c r="C32441" s="5" t="str">
        <f>IFERROR(__xludf.DUMMYFUNCTION("GOOGLETRANSLATE(B32441,""en"",""it"")"),"La signora poi se ne va.")</f>
        <v>La signora poi se ne va.</v>
      </c>
    </row>
    <row r="32442">
      <c r="A32442" s="4" t="s">
        <v>40842</v>
      </c>
      <c r="B32442" s="4" t="s">
        <v>40843</v>
      </c>
      <c r="C32442" s="5" t="str">
        <f>IFERROR(__xludf.DUMMYFUNCTION("GOOGLETRANSLATE(B32442,""en"",""it"")"),"Vediamo uno schermo nero con l'intro.")</f>
        <v>Vediamo uno schermo nero con l'intro.</v>
      </c>
    </row>
    <row r="32443">
      <c r="A32443" s="4" t="s">
        <v>40842</v>
      </c>
      <c r="B32443" s="4" t="s">
        <v>40844</v>
      </c>
      <c r="C32443" s="5" t="str">
        <f>IFERROR(__xludf.DUMMYFUNCTION("GOOGLETRANSLATE(B32443,""en"",""it"")"),"Vediamo le persone in blu che suona la batteria.")</f>
        <v>Vediamo le persone in blu che suona la batteria.</v>
      </c>
    </row>
    <row r="32444">
      <c r="A32444" s="4" t="s">
        <v>40842</v>
      </c>
      <c r="B32444" s="4" t="s">
        <v>40845</v>
      </c>
      <c r="C32444" s="5" t="str">
        <f>IFERROR(__xludf.DUMMYFUNCTION("GOOGLETRANSLATE(B32444,""en"",""it"")"),"Viene visualizzata una schermata del titolo e vediamo un'altra squadra.")</f>
        <v>Viene visualizzata una schermata del titolo e vediamo un'altra squadra.</v>
      </c>
    </row>
    <row r="32445">
      <c r="A32445" s="4" t="s">
        <v>40842</v>
      </c>
      <c r="B32445" s="4" t="s">
        <v>40846</v>
      </c>
      <c r="C32445" s="5" t="str">
        <f>IFERROR(__xludf.DUMMYFUNCTION("GOOGLETRANSLATE(B32445,""en"",""it"")"),"Un altro schermo del titolo e una squadra con un uomo che salta un nastro.")</f>
        <v>Un altro schermo del titolo e una squadra con un uomo che salta un nastro.</v>
      </c>
    </row>
    <row r="32446">
      <c r="A32446" s="4" t="s">
        <v>40842</v>
      </c>
      <c r="B32446" s="4" t="s">
        <v>40847</v>
      </c>
      <c r="C32446" s="5" t="str">
        <f>IFERROR(__xludf.DUMMYFUNCTION("GOOGLETRANSLATE(B32446,""en"",""it"")"),"Il titolo appare due volte e vediamo una squadra rossa.")</f>
        <v>Il titolo appare due volte e vediamo una squadra rossa.</v>
      </c>
    </row>
    <row r="32447">
      <c r="A32447" s="4" t="s">
        <v>40842</v>
      </c>
      <c r="B32447" s="4" t="s">
        <v>40848</v>
      </c>
      <c r="C32447" s="5" t="str">
        <f>IFERROR(__xludf.DUMMYFUNCTION("GOOGLETRANSLATE(B32447,""en"",""it"")"),"La schermata del titolo ritorna e vediamo una squadra in viola.")</f>
        <v>La schermata del titolo ritorna e vediamo una squadra in viola.</v>
      </c>
    </row>
    <row r="32448">
      <c r="A32448" s="4" t="s">
        <v>40842</v>
      </c>
      <c r="B32448" s="4" t="s">
        <v>40849</v>
      </c>
      <c r="C32448" s="5" t="str">
        <f>IFERROR(__xludf.DUMMYFUNCTION("GOOGLETRANSLATE(B32448,""en"",""it"")"),"Il titolo ritorna 3 volte e le persone si esercitano all'aperto.")</f>
        <v>Il titolo ritorna 3 volte e le persone si esercitano all'aperto.</v>
      </c>
    </row>
    <row r="32449">
      <c r="A32449" s="4" t="s">
        <v>40842</v>
      </c>
      <c r="B32449" s="4" t="s">
        <v>40850</v>
      </c>
      <c r="C32449" s="5" t="str">
        <f>IFERROR(__xludf.DUMMYFUNCTION("GOOGLETRANSLATE(B32449,""en"",""it"")"),"Vediamo le persone esibirsi di fronte a una folla.")</f>
        <v>Vediamo le persone esibirsi di fronte a una folla.</v>
      </c>
    </row>
    <row r="32450">
      <c r="A32450" s="4" t="s">
        <v>40842</v>
      </c>
      <c r="B32450" s="4" t="s">
        <v>40851</v>
      </c>
      <c r="C32450" s="5" t="str">
        <f>IFERROR(__xludf.DUMMYFUNCTION("GOOGLETRANSLATE(B32450,""en"",""it"")"),"Vediamo un sacco di scatti veloci di squadre, quindi lo schermo finale.")</f>
        <v>Vediamo un sacco di scatti veloci di squadre, quindi lo schermo finale.</v>
      </c>
    </row>
    <row r="32451">
      <c r="A32451" s="4" t="s">
        <v>40852</v>
      </c>
      <c r="B32451" s="4" t="s">
        <v>40853</v>
      </c>
      <c r="C32451" s="5" t="str">
        <f>IFERROR(__xludf.DUMMYFUNCTION("GOOGLETRANSLATE(B32451,""en"",""it"")"),"Un cowboy su un cavallo viene rilasciato da un cancello.")</f>
        <v>Un cowboy su un cavallo viene rilasciato da un cancello.</v>
      </c>
    </row>
    <row r="32452">
      <c r="A32452" s="4" t="s">
        <v>40852</v>
      </c>
      <c r="B32452" s="4" t="s">
        <v>40854</v>
      </c>
      <c r="C32452" s="5" t="str">
        <f>IFERROR(__xludf.DUMMYFUNCTION("GOOGLETRANSLATE(B32452,""en"",""it"")"),"Lui lassos un po 'di vitello.")</f>
        <v>Lui lassos un po 'di vitello.</v>
      </c>
    </row>
    <row r="32453">
      <c r="A32453" s="4" t="s">
        <v>40852</v>
      </c>
      <c r="B32453" s="4" t="s">
        <v>40855</v>
      </c>
      <c r="C32453" s="5" t="str">
        <f>IFERROR(__xludf.DUMMYFUNCTION("GOOGLETRANSLATE(B32453,""en"",""it"")"),"Smonta, quindi lega il vitello.")</f>
        <v>Smonta, quindi lega il vitello.</v>
      </c>
    </row>
    <row r="32454">
      <c r="A32454" s="4" t="s">
        <v>40856</v>
      </c>
      <c r="B32454" s="4" t="s">
        <v>40857</v>
      </c>
      <c r="C32454" s="5" t="str">
        <f>IFERROR(__xludf.DUMMYFUNCTION("GOOGLETRANSLATE(B32454,""en"",""it"")"),"Diverse persone vengono viste vagare per una città oscura mentre indossano palafitte in piedi per camminare.")</f>
        <v>Diverse persone vengono viste vagare per una città oscura mentre indossano palafitte in piedi per camminare.</v>
      </c>
    </row>
    <row r="32455">
      <c r="A32455" s="4" t="s">
        <v>40856</v>
      </c>
      <c r="B32455" s="6" t="s">
        <v>40858</v>
      </c>
      <c r="C32455" s="5" t="str">
        <f>IFERROR(__xludf.DUMMYFUNCTION("GOOGLETRANSLATE(B32455,""en"",""it"")"),"Le persone continuano a camminare e saltare sui palafitte mentre salutano la telecamera e si sedevano a terra.")</f>
        <v>Le persone continuano a camminare e saltare sui palafitte mentre salutano la telecamera e si sedevano a terra.</v>
      </c>
    </row>
    <row r="32456">
      <c r="A32456" s="4" t="s">
        <v>40859</v>
      </c>
      <c r="B32456" s="4" t="s">
        <v>40860</v>
      </c>
      <c r="C32456" s="5" t="str">
        <f>IFERROR(__xludf.DUMMYFUNCTION("GOOGLETRANSLATE(B32456,""en"",""it"")"),"Un uomo è seduto a un piano, che sembra confuso mentre suona e una donna anziana guarda.")</f>
        <v>Un uomo è seduto a un piano, che sembra confuso mentre suona e una donna anziana guarda.</v>
      </c>
    </row>
    <row r="32457">
      <c r="A32457" s="4" t="s">
        <v>40859</v>
      </c>
      <c r="B32457" s="4" t="s">
        <v>40861</v>
      </c>
      <c r="C32457" s="5" t="str">
        <f>IFERROR(__xludf.DUMMYFUNCTION("GOOGLETRANSLATE(B32457,""en"",""it"")"),"Accelera il suo gioco mentre lei si trova.")</f>
        <v>Accelera il suo gioco mentre lei si trova.</v>
      </c>
    </row>
    <row r="32458">
      <c r="A32458" s="4" t="s">
        <v>40859</v>
      </c>
      <c r="B32458" s="4" t="s">
        <v>40862</v>
      </c>
      <c r="C32458" s="5" t="str">
        <f>IFERROR(__xludf.DUMMYFUNCTION("GOOGLETRANSLATE(B32458,""en"",""it"")"),"Il pubblico sembra perplesso e divertito, balla sul posto.")</f>
        <v>Il pubblico sembra perplesso e divertito, balla sul posto.</v>
      </c>
    </row>
    <row r="32459">
      <c r="A32459" s="4" t="s">
        <v>40859</v>
      </c>
      <c r="B32459" s="4" t="s">
        <v>40863</v>
      </c>
      <c r="C32459" s="5" t="str">
        <f>IFERROR(__xludf.DUMMYFUNCTION("GOOGLETRANSLATE(B32459,""en"",""it"")"),"Le persone si alzano e ballano alla musica.")</f>
        <v>Le persone si alzano e ballano alla musica.</v>
      </c>
    </row>
    <row r="32460">
      <c r="A32460" s="4" t="s">
        <v>40859</v>
      </c>
      <c r="B32460" s="4" t="s">
        <v>40864</v>
      </c>
      <c r="C32460" s="5" t="str">
        <f>IFERROR(__xludf.DUMMYFUNCTION("GOOGLETRANSLATE(B32460,""en"",""it"")"),"Quindi si allontana con il braccio in una donna.")</f>
        <v>Quindi si allontana con il braccio in una donna.</v>
      </c>
    </row>
    <row r="32461">
      <c r="A32461" s="4" t="s">
        <v>40865</v>
      </c>
      <c r="B32461" s="4" t="s">
        <v>40866</v>
      </c>
      <c r="C32461" s="5" t="str">
        <f>IFERROR(__xludf.DUMMYFUNCTION("GOOGLETRANSLATE(B32461,""en"",""it"")"),"Una donna sbuccia una patate in una cucina rustica.")</f>
        <v>Una donna sbuccia una patate in una cucina rustica.</v>
      </c>
    </row>
    <row r="32462">
      <c r="A32462" s="4" t="s">
        <v>40865</v>
      </c>
      <c r="B32462" s="4" t="s">
        <v>40867</v>
      </c>
      <c r="C32462" s="5" t="str">
        <f>IFERROR(__xludf.DUMMYFUNCTION("GOOGLETRANSLATE(B32462,""en"",""it"")"),"Quindi, la donna prende altre patate e la stacca con un coltello.")</f>
        <v>Quindi, la donna prende altre patate e la stacca con un coltello.</v>
      </c>
    </row>
    <row r="32463">
      <c r="A32463" s="4" t="s">
        <v>40865</v>
      </c>
      <c r="B32463" s="4" t="s">
        <v>40868</v>
      </c>
      <c r="C32463" s="5" t="str">
        <f>IFERROR(__xludf.DUMMYFUNCTION("GOOGLETRANSLATE(B32463,""en"",""it"")"),"Dopo, la donna mette la patate su Adish.")</f>
        <v>Dopo, la donna mette la patate su Adish.</v>
      </c>
    </row>
    <row r="32464">
      <c r="A32464" s="4" t="s">
        <v>40869</v>
      </c>
      <c r="B32464" s="4" t="s">
        <v>40870</v>
      </c>
      <c r="C32464" s="5" t="str">
        <f>IFERROR(__xludf.DUMMYFUNCTION("GOOGLETRANSLATE(B32464,""en"",""it"")"),"Due giovani e un uomo giocano a piscina che colpiscono palline bianche con un bastone.")</f>
        <v>Due giovani e un uomo giocano a piscina che colpiscono palline bianche con un bastone.</v>
      </c>
    </row>
    <row r="32465">
      <c r="A32465" s="4" t="s">
        <v>40869</v>
      </c>
      <c r="B32465" s="4" t="s">
        <v>40871</v>
      </c>
      <c r="C32465" s="5" t="str">
        <f>IFERROR(__xludf.DUMMYFUNCTION("GOOGLETRANSLATE(B32465,""en"",""it"")"),"Il giovane colpisce le palle che atterrano nella tasca del tavolo da biliardo.")</f>
        <v>Il giovane colpisce le palle che atterrano nella tasca del tavolo da biliardo.</v>
      </c>
    </row>
    <row r="32466">
      <c r="A32466" s="4" t="s">
        <v>40869</v>
      </c>
      <c r="B32466" s="4" t="s">
        <v>40872</v>
      </c>
      <c r="C32466" s="5" t="str">
        <f>IFERROR(__xludf.DUMMYFUNCTION("GOOGLETRANSLATE(B32466,""en"",""it"")"),"Quindi, l'uomo mette le palline in un triangolo di metallo e disporre altre palle.")</f>
        <v>Quindi, l'uomo mette le palline in un triangolo di metallo e disporre altre palle.</v>
      </c>
    </row>
    <row r="32467">
      <c r="A32467" s="4" t="s">
        <v>40869</v>
      </c>
      <c r="B32467" s="4" t="s">
        <v>40873</v>
      </c>
      <c r="C32467" s="5" t="str">
        <f>IFERROR(__xludf.DUMMYFUNCTION("GOOGLETRANSLATE(B32467,""en"",""it"")"),"Dopo, il giovane colpisce la palla bianca ma la ferma immidalmente con i bastoncini.")</f>
        <v>Dopo, il giovane colpisce la palla bianca ma la ferma immidalmente con i bastoncini.</v>
      </c>
    </row>
    <row r="32468">
      <c r="A32468" s="4" t="s">
        <v>40869</v>
      </c>
      <c r="B32468" s="4" t="s">
        <v>40874</v>
      </c>
      <c r="C32468" s="5" t="str">
        <f>IFERROR(__xludf.DUMMYFUNCTION("GOOGLETRANSLATE(B32468,""en"",""it"")"),"Successivamente, il giovane colpisce le palle e manda una palla bianca in tasca.")</f>
        <v>Successivamente, il giovane colpisce le palle e manda una palla bianca in tasca.</v>
      </c>
    </row>
    <row r="32469">
      <c r="A32469" s="4" t="s">
        <v>40869</v>
      </c>
      <c r="B32469" s="4" t="s">
        <v>40875</v>
      </c>
      <c r="C32469" s="5" t="str">
        <f>IFERROR(__xludf.DUMMYFUNCTION("GOOGLETRANSLATE(B32469,""en"",""it"")"),"L'uomo colpisce una palla bianca e manda le palle in tasca.")</f>
        <v>L'uomo colpisce una palla bianca e manda le palle in tasca.</v>
      </c>
    </row>
    <row r="32470">
      <c r="A32470" s="4" t="s">
        <v>40869</v>
      </c>
      <c r="B32470" s="4" t="s">
        <v>40876</v>
      </c>
      <c r="C32470" s="5" t="str">
        <f>IFERROR(__xludf.DUMMYFUNCTION("GOOGLETRANSLATE(B32470,""en"",""it"")"),"Alla fine, il giovane mette la palla all'interno di un triangolo di metallo.")</f>
        <v>Alla fine, il giovane mette la palla all'interno di un triangolo di metallo.</v>
      </c>
    </row>
    <row r="32471">
      <c r="A32471" s="4" t="s">
        <v>40877</v>
      </c>
      <c r="B32471" s="4" t="s">
        <v>40878</v>
      </c>
      <c r="C32471" s="5" t="str">
        <f>IFERROR(__xludf.DUMMYFUNCTION("GOOGLETRANSLATE(B32471,""en"",""it"")"),"Tre ragazze si trovano insieme su un pavimento verde che parlano tra loro di uno sport.")</f>
        <v>Tre ragazze si trovano insieme su un pavimento verde che parlano tra loro di uno sport.</v>
      </c>
    </row>
    <row r="32472">
      <c r="A32472" s="4" t="s">
        <v>40877</v>
      </c>
      <c r="B32472" s="6" t="s">
        <v>40879</v>
      </c>
      <c r="C32472" s="5" t="str">
        <f>IFERROR(__xludf.DUMMYFUNCTION("GOOGLETRANSLATE(B32472,""en"",""it"")"),"A una persona viene quindi mostrata l'hockey sul campo di gioco e poi torna a parlare di ciò che ha appena fatto.")</f>
        <v>A una persona viene quindi mostrata l'hockey sul campo di gioco e poi torna a parlare di ciò che ha appena fatto.</v>
      </c>
    </row>
    <row r="32473">
      <c r="A32473" s="4" t="s">
        <v>40877</v>
      </c>
      <c r="B32473" s="6" t="s">
        <v>40880</v>
      </c>
      <c r="C32473" s="5" t="str">
        <f>IFERROR(__xludf.DUMMYFUNCTION("GOOGLETRANSLATE(B32473,""en"",""it"")"),"Successivamente, superano i modi corretti per difendere la palla e poi tutti iniziano a parlare di nuovo uno per uno sullo sport.")</f>
        <v>Successivamente, superano i modi corretti per difendere la palla e poi tutti iniziano a parlare di nuovo uno per uno sullo sport.</v>
      </c>
    </row>
    <row r="32474">
      <c r="A32474" s="4" t="s">
        <v>40877</v>
      </c>
      <c r="B32474" s="6" t="s">
        <v>40881</v>
      </c>
      <c r="C32474" s="5" t="str">
        <f>IFERROR(__xludf.DUMMYFUNCTION("GOOGLETRANSLATE(B32474,""en"",""it"")"),"Dopo, uno schermo appare con la domanda: ""E se il gioco è legato?"" E la giovane entra in dettaglio per la risposta.")</f>
        <v>Dopo, uno schermo appare con la domanda: "E se il gioco è legato?" E la giovane entra in dettaglio per la risposta.</v>
      </c>
    </row>
    <row r="32475">
      <c r="A32475" s="4" t="s">
        <v>40877</v>
      </c>
      <c r="B32475" s="4" t="s">
        <v>40882</v>
      </c>
      <c r="C32475" s="5" t="str">
        <f>IFERROR(__xludf.DUMMYFUNCTION("GOOGLETRANSLATE(B32475,""en"",""it"")"),"Alla fine le domande ricevono una risposta e tornano tutti insieme e chiudono il video.")</f>
        <v>Alla fine le domande ricevono una risposta e tornano tutti insieme e chiudono il video.</v>
      </c>
    </row>
    <row r="32476">
      <c r="A32476" s="4" t="s">
        <v>40883</v>
      </c>
      <c r="B32476" s="4" t="s">
        <v>40884</v>
      </c>
      <c r="C32476" s="5" t="str">
        <f>IFERROR(__xludf.DUMMYFUNCTION("GOOGLETRANSLATE(B32476,""en"",""it"")"),"Le persone pagano le canoe in una piscina interna.")</f>
        <v>Le persone pagano le canoe in una piscina interna.</v>
      </c>
    </row>
    <row r="32477">
      <c r="A32477" s="4" t="s">
        <v>40883</v>
      </c>
      <c r="B32477" s="4" t="s">
        <v>40885</v>
      </c>
      <c r="C32477" s="5" t="str">
        <f>IFERROR(__xludf.DUMMYFUNCTION("GOOGLETRANSLATE(B32477,""en"",""it"")"),"Un ragazzo paga una canoa.")</f>
        <v>Un ragazzo paga una canoa.</v>
      </c>
    </row>
    <row r="32478">
      <c r="A32478" s="4" t="s">
        <v>40883</v>
      </c>
      <c r="B32478" s="4" t="s">
        <v>40886</v>
      </c>
      <c r="C32478" s="5" t="str">
        <f>IFERROR(__xludf.DUMMYFUNCTION("GOOGLETRANSLATE(B32478,""en"",""it"")"),"Il ragazzo si sporge di lato e la canoa si capovolge.")</f>
        <v>Il ragazzo si sporge di lato e la canoa si capovolge.</v>
      </c>
    </row>
    <row r="32479">
      <c r="A32479" s="4" t="s">
        <v>40883</v>
      </c>
      <c r="B32479" s="4" t="s">
        <v>40887</v>
      </c>
      <c r="C32479" s="5" t="str">
        <f>IFERROR(__xludf.DUMMYFUNCTION("GOOGLETRANSLATE(B32479,""en"",""it"")"),"Il ragazzo nuota sulla superficie dell'acqua.")</f>
        <v>Il ragazzo nuota sulla superficie dell'acqua.</v>
      </c>
    </row>
    <row r="32480">
      <c r="A32480" s="4" t="s">
        <v>40888</v>
      </c>
      <c r="B32480" s="4" t="s">
        <v>40889</v>
      </c>
      <c r="C32480" s="5" t="str">
        <f>IFERROR(__xludf.DUMMYFUNCTION("GOOGLETRANSLATE(B32480,""en"",""it"")"),"C'è un uomo in piedi sul suo ponte coperto di neve.")</f>
        <v>C'è un uomo in piedi sul suo ponte coperto di neve.</v>
      </c>
    </row>
    <row r="32481">
      <c r="A32481" s="4" t="s">
        <v>40888</v>
      </c>
      <c r="B32481" s="4" t="s">
        <v>40890</v>
      </c>
      <c r="C32481" s="5" t="str">
        <f>IFERROR(__xludf.DUMMYFUNCTION("GOOGLETRANSLATE(B32481,""en"",""it"")"),"Si sta preparando a entrare nella sua vasca idromassaggio sul suo mazzo.")</f>
        <v>Si sta preparando a entrare nella sua vasca idromassaggio sul suo mazzo.</v>
      </c>
    </row>
    <row r="32482">
      <c r="A32482" s="4" t="s">
        <v>40888</v>
      </c>
      <c r="B32482" s="4" t="s">
        <v>40891</v>
      </c>
      <c r="C32482" s="5" t="str">
        <f>IFERROR(__xludf.DUMMYFUNCTION("GOOGLETRANSLATE(B32482,""en"",""it"")"),"Cammina a piedi nudi attraverso la neve per entrare nella sua vasca idromassaggio.")</f>
        <v>Cammina a piedi nudi attraverso la neve per entrare nella sua vasca idromassaggio.</v>
      </c>
    </row>
    <row r="32483">
      <c r="A32483" s="4" t="s">
        <v>40888</v>
      </c>
      <c r="B32483" s="4" t="s">
        <v>40892</v>
      </c>
      <c r="C32483" s="5" t="str">
        <f>IFERROR(__xludf.DUMMYFUNCTION("GOOGLETRANSLATE(B32483,""en"",""it"")"),"Comincia a spalare la neve dal ponte per rendergli più facile camminare.")</f>
        <v>Comincia a spalare la neve dal ponte per rendergli più facile camminare.</v>
      </c>
    </row>
    <row r="32484">
      <c r="A32484" s="4" t="s">
        <v>40888</v>
      </c>
      <c r="B32484" s="4" t="s">
        <v>40893</v>
      </c>
      <c r="C32484" s="5" t="str">
        <f>IFERROR(__xludf.DUMMYFUNCTION("GOOGLETRANSLATE(B32484,""en"",""it"")"),"Cancella la neve dal mazzo per creare un percorso verso la vasca idromassaggio.")</f>
        <v>Cancella la neve dal mazzo per creare un percorso verso la vasca idromassaggio.</v>
      </c>
    </row>
    <row r="32485">
      <c r="A32485" s="4" t="s">
        <v>40894</v>
      </c>
      <c r="B32485" s="4" t="s">
        <v>40895</v>
      </c>
      <c r="C32485" s="5" t="str">
        <f>IFERROR(__xludf.DUMMYFUNCTION("GOOGLETRANSLATE(B32485,""en"",""it"")"),"Vengono mostrati vari colpi di paesaggi, così come le persone che guidano e gli altri vengono intervistati.")</f>
        <v>Vengono mostrati vari colpi di paesaggi, così come le persone che guidano e gli altri vengono intervistati.</v>
      </c>
    </row>
    <row r="32486">
      <c r="A32486" s="4" t="s">
        <v>40894</v>
      </c>
      <c r="B32486" s="6" t="s">
        <v>40896</v>
      </c>
      <c r="C32486" s="5" t="str">
        <f>IFERROR(__xludf.DUMMYFUNCTION("GOOGLETRANSLATE(B32486,""en"",""it"")"),"Vengono mostrati diversi scatti di persone sulla spiaggia e conducono a persone che praticano vari sport sulla spiaggia.")</f>
        <v>Vengono mostrati diversi scatti di persone sulla spiaggia e conducono a persone che praticano vari sport sulla spiaggia.</v>
      </c>
    </row>
    <row r="32487">
      <c r="A32487" s="4" t="s">
        <v>40894</v>
      </c>
      <c r="B32487" s="4" t="s">
        <v>40897</v>
      </c>
      <c r="C32487" s="5" t="str">
        <f>IFERROR(__xludf.DUMMYFUNCTION("GOOGLETRANSLATE(B32487,""en"",""it"")"),"Le persone giocano indietro e quarto mentre altri intervistano e molti guardano dai lati.")</f>
        <v>Le persone giocano indietro e quarto mentre altri intervistano e molti guardano dai lati.</v>
      </c>
    </row>
    <row r="32488">
      <c r="A32488" s="4" t="s">
        <v>40898</v>
      </c>
      <c r="B32488" s="6" t="s">
        <v>40899</v>
      </c>
      <c r="C32488" s="5" t="str">
        <f>IFERROR(__xludf.DUMMYFUNCTION("GOOGLETRANSLATE(B32488,""en"",""it"")"),"Una donna viene vista spingere un tosaerba lungo un cortile e fermarsi per tirare la corda e farlo andare avanti.")</f>
        <v>Una donna viene vista spingere un tosaerba lungo un cortile e fermarsi per tirare la corda e farlo andare avanti.</v>
      </c>
    </row>
    <row r="32489">
      <c r="A32489" s="4" t="s">
        <v>40898</v>
      </c>
      <c r="B32489" s="4" t="s">
        <v>40900</v>
      </c>
      <c r="C32489" s="5" t="str">
        <f>IFERROR(__xludf.DUMMYFUNCTION("GOOGLETRANSLATE(B32489,""en"",""it"")"),"La donna continua a spingere il tosaerba lungo il prato e tornare a dove ha iniziato.")</f>
        <v>La donna continua a spingere il tosaerba lungo il prato e tornare a dove ha iniziato.</v>
      </c>
    </row>
    <row r="32490">
      <c r="A32490" s="4" t="s">
        <v>40901</v>
      </c>
      <c r="B32490" s="4" t="s">
        <v>40902</v>
      </c>
      <c r="C32490" s="5" t="str">
        <f>IFERROR(__xludf.DUMMYFUNCTION("GOOGLETRANSLATE(B32490,""en"",""it"")"),"Una persona è in pole che volge sopra un raggio seguito da molte altre clip di persone che saltano.")</f>
        <v>Una persona è in pole che volge sopra un raggio seguito da molte altre clip di persone che saltano.</v>
      </c>
    </row>
    <row r="32491">
      <c r="A32491" s="4" t="s">
        <v>40901</v>
      </c>
      <c r="B32491" s="4" t="s">
        <v>40903</v>
      </c>
      <c r="C32491" s="5" t="str">
        <f>IFERROR(__xludf.DUMMYFUNCTION("GOOGLETRANSLATE(B32491,""en"",""it"")"),"Più persone vengono mostrate usando la barra per polare volt su un raggio.")</f>
        <v>Più persone vengono mostrate usando la barra per polare volt su un raggio.</v>
      </c>
    </row>
    <row r="32492">
      <c r="A32492" s="4" t="s">
        <v>40904</v>
      </c>
      <c r="B32492" s="4" t="s">
        <v>40905</v>
      </c>
      <c r="C32492" s="5" t="str">
        <f>IFERROR(__xludf.DUMMYFUNCTION("GOOGLETRANSLATE(B32492,""en"",""it"")"),"Vengono mostrate una fila di tagliatori, pennelli e rasoi.")</f>
        <v>Vengono mostrate una fila di tagliatori, pennelli e rasoi.</v>
      </c>
    </row>
    <row r="32493">
      <c r="A32493" s="4" t="s">
        <v>40904</v>
      </c>
      <c r="B32493" s="4" t="s">
        <v>40906</v>
      </c>
      <c r="C32493" s="5" t="str">
        <f>IFERROR(__xludf.DUMMYFUNCTION("GOOGLETRANSLATE(B32493,""en"",""it"")"),"Poco dopo viene mostrata la parte anteriore dell'edificio e viene mostrato il nome sulla piazza.")</f>
        <v>Poco dopo viene mostrata la parte anteriore dell'edificio e viene mostrato il nome sulla piazza.</v>
      </c>
    </row>
    <row r="32494">
      <c r="A32494" s="4" t="s">
        <v>40904</v>
      </c>
      <c r="B32494" s="6" t="s">
        <v>40907</v>
      </c>
      <c r="C32494" s="5" t="str">
        <f>IFERROR(__xludf.DUMMYFUNCTION("GOOGLETRANSLATE(B32494,""en"",""it"")"),"Un uomo con lunghi capelli ricci è mostrato seduto nel barbiere che si abbassa i capelli e il barbiere sta usando una combinazione di forbici, pennelli e asciugatrici per completare l'aspetto.")</f>
        <v>Un uomo con lunghi capelli ricci è mostrato seduto nel barbiere che si abbassa i capelli e il barbiere sta usando una combinazione di forbici, pennelli e asciugatrici per completare l'aspetto.</v>
      </c>
    </row>
    <row r="32495">
      <c r="A32495" s="4" t="s">
        <v>40904</v>
      </c>
      <c r="B32495" s="4" t="s">
        <v>40908</v>
      </c>
      <c r="C32495" s="5" t="str">
        <f>IFERROR(__xludf.DUMMYFUNCTION("GOOGLETRANSLATE(B32495,""en"",""it"")"),"Una volta fatto, un'immagine fissa del barbiere e le sue informazioni sono mostrate per la pubblicità.")</f>
        <v>Una volta fatto, un'immagine fissa del barbiere e le sue informazioni sono mostrate per la pubblicità.</v>
      </c>
    </row>
    <row r="32496">
      <c r="A32496" s="4" t="s">
        <v>40909</v>
      </c>
      <c r="B32496" s="6" t="s">
        <v>40910</v>
      </c>
      <c r="C32496" s="5" t="str">
        <f>IFERROR(__xludf.DUMMYFUNCTION("GOOGLETRANSLATE(B32496,""en"",""it"")"),"Una persona viene vista cavalcare su un cavallo intorno agli altri mentre parla con altre persone e bambini che reggono un cartello.")</f>
        <v>Una persona viene vista cavalcare su un cavallo intorno agli altri mentre parla con altre persone e bambini che reggono un cartello.</v>
      </c>
    </row>
    <row r="32497">
      <c r="A32497" s="4" t="s">
        <v>40909</v>
      </c>
      <c r="B32497" s="4" t="s">
        <v>40911</v>
      </c>
      <c r="C32497" s="5" t="str">
        <f>IFERROR(__xludf.DUMMYFUNCTION("GOOGLETRANSLATE(B32497,""en"",""it"")"),"I bambini continuano a tenere cartelli e guardano alla telecamera mentre più persone cavalcano i cavalli.")</f>
        <v>I bambini continuano a tenere cartelli e guardano alla telecamera mentre più persone cavalcano i cavalli.</v>
      </c>
    </row>
    <row r="32498">
      <c r="A32498" s="4" t="s">
        <v>40909</v>
      </c>
      <c r="B32498" s="4" t="s">
        <v>40912</v>
      </c>
      <c r="C32498" s="5" t="str">
        <f>IFERROR(__xludf.DUMMYFUNCTION("GOOGLETRANSLATE(B32498,""en"",""it"")"),"Vengono mostrate altre clip di persone che cavalcano cavalli e bambini che indossano caschi.")</f>
        <v>Vengono mostrate altre clip di persone che cavalcano cavalli e bambini che indossano caschi.</v>
      </c>
    </row>
    <row r="32499">
      <c r="A32499" s="4" t="s">
        <v>40913</v>
      </c>
      <c r="B32499" s="4" t="s">
        <v>40914</v>
      </c>
      <c r="C32499" s="5" t="str">
        <f>IFERROR(__xludf.DUMMYFUNCTION("GOOGLETRANSLATE(B32499,""en"",""it"")"),"Un uomo è seduto in acqua con una corda.")</f>
        <v>Un uomo è seduto in acqua con una corda.</v>
      </c>
    </row>
    <row r="32500">
      <c r="A32500" s="4" t="s">
        <v>40913</v>
      </c>
      <c r="B32500" s="4" t="s">
        <v>40915</v>
      </c>
      <c r="C32500" s="5" t="str">
        <f>IFERROR(__xludf.DUMMYFUNCTION("GOOGLETRANSLATE(B32500,""en"",""it"")"),"Si alza e inizia a Wake Boarding.")</f>
        <v>Si alza e inizia a Wake Boarding.</v>
      </c>
    </row>
    <row r="32501">
      <c r="A32501" s="4" t="s">
        <v>40913</v>
      </c>
      <c r="B32501" s="4" t="s">
        <v>40916</v>
      </c>
      <c r="C32501" s="5" t="str">
        <f>IFERROR(__xludf.DUMMYFUNCTION("GOOGLETRANSLATE(B32501,""en"",""it"")"),"Cade di nuovo in acqua.")</f>
        <v>Cade di nuovo in acqua.</v>
      </c>
    </row>
    <row r="32502">
      <c r="A32502" s="4" t="s">
        <v>40917</v>
      </c>
      <c r="B32502" s="4" t="s">
        <v>40918</v>
      </c>
      <c r="C32502" s="5" t="str">
        <f>IFERROR(__xludf.DUMMYFUNCTION("GOOGLETRANSLATE(B32502,""en"",""it"")"),"Due linee di persone si trovano su una lunga corda.")</f>
        <v>Due linee di persone si trovano su una lunga corda.</v>
      </c>
    </row>
    <row r="32503">
      <c r="A32503" s="4" t="s">
        <v>40917</v>
      </c>
      <c r="B32503" s="4" t="s">
        <v>40919</v>
      </c>
      <c r="C32503" s="5" t="str">
        <f>IFERROR(__xludf.DUMMYFUNCTION("GOOGLETRANSLATE(B32503,""en"",""it"")"),"Ogni linea raccoglie la corda e inizia a giocare a strati mentre una grande folla guarda.")</f>
        <v>Ogni linea raccoglie la corda e inizia a giocare a strati mentre una grande folla guarda.</v>
      </c>
    </row>
    <row r="32504">
      <c r="A32504" s="4" t="s">
        <v>40917</v>
      </c>
      <c r="B32504" s="4" t="s">
        <v>40920</v>
      </c>
      <c r="C32504" s="5" t="str">
        <f>IFERROR(__xludf.DUMMYFUNCTION("GOOGLETRANSLATE(B32504,""en"",""it"")"),"La squadra che indossa camicie azzurra vince il round.")</f>
        <v>La squadra che indossa camicie azzurra vince il round.</v>
      </c>
    </row>
    <row r="32505">
      <c r="A32505" s="4" t="s">
        <v>40921</v>
      </c>
      <c r="B32505" s="6" t="s">
        <v>40922</v>
      </c>
      <c r="C32505" s="5" t="str">
        <f>IFERROR(__xludf.DUMMYFUNCTION("GOOGLETRANSLATE(B32505,""en"",""it"")"),"Appare uno schermo introduttivo bianco con piccole immagini del cerchio di un uomo in alto a sinistra, una donna in basso a destra e le parole ""agganciate alla corsa di allenamento intelligente per donne impegnate"" nel mezzo.")</f>
        <v>Appare uno schermo introduttivo bianco con piccole immagini del cerchio di un uomo in alto a sinistra, una donna in basso a destra e le parole "agganciate alla corsa di allenamento intelligente per donne impegnate" nel mezzo.</v>
      </c>
    </row>
    <row r="32506">
      <c r="A32506" s="4" t="s">
        <v>40921</v>
      </c>
      <c r="B32506" s="6" t="s">
        <v>40923</v>
      </c>
      <c r="C32506" s="5" t="str">
        <f>IFERROR(__xludf.DUMMYFUNCTION("GOOGLETRANSLATE(B32506,""en"",""it"")"),"Una donna che indossa un cappello, occhiali e un top rosa caldo a maniche lunghe è in piedi davanti a un muro di mattoni e parla.")</f>
        <v>Una donna che indossa un cappello, occhiali e un top rosa caldo a maniche lunghe è in piedi davanti a un muro di mattoni e parla.</v>
      </c>
    </row>
    <row r="32507">
      <c r="A32507" s="4" t="s">
        <v>40921</v>
      </c>
      <c r="B32507" s="6" t="s">
        <v>40924</v>
      </c>
      <c r="C32507" s="5" t="str">
        <f>IFERROR(__xludf.DUMMYFUNCTION("GOOGLETRANSLATE(B32507,""en"",""it"")"),"La donna è ora in piedi dietro un tavolo e sta mettendo i documenti accartocciati in una scarpa da corsa e la riempie il più possibile.")</f>
        <v>La donna è ora in piedi dietro un tavolo e sta mettendo i documenti accartocciati in una scarpa da corsa e la riempie il più possibile.</v>
      </c>
    </row>
    <row r="32508">
      <c r="A32508" s="4" t="s">
        <v>40921</v>
      </c>
      <c r="B32508" s="4" t="s">
        <v>40925</v>
      </c>
      <c r="C32508" s="5" t="str">
        <f>IFERROR(__xludf.DUMMYFUNCTION("GOOGLETRANSLATE(B32508,""en"",""it"")"),"La donna quindi afferra una suola rosa dalla scarpa e versa il bicarbonato di sodio in cima.")</f>
        <v>La donna quindi afferra una suola rosa dalla scarpa e versa il bicarbonato di sodio in cima.</v>
      </c>
    </row>
    <row r="32509">
      <c r="A32509" s="4" t="s">
        <v>40921</v>
      </c>
      <c r="B32509" s="6" t="s">
        <v>40926</v>
      </c>
      <c r="C32509" s="5" t="str">
        <f>IFERROR(__xludf.DUMMYFUNCTION("GOOGLETRANSLATE(B32509,""en"",""it"")"),"La donna quindi afferra uno spazzolino da denti e lo spettacolo ha appena riempito e movimenti si strofina ma non lo fa davvero, quindi mette fuori di vista sia lo spazzolino da denti.")</f>
        <v>La donna quindi afferra uno spazzolino da denti e lo spettacolo ha appena riempito e movimenti si strofina ma non lo fa davvero, quindi mette fuori di vista sia lo spazzolino da denti.</v>
      </c>
    </row>
    <row r="32510">
      <c r="A32510" s="4" t="s">
        <v>40921</v>
      </c>
      <c r="B32510" s="6" t="s">
        <v>40927</v>
      </c>
      <c r="C32510" s="5" t="str">
        <f>IFERROR(__xludf.DUMMYFUNCTION("GOOGLETRANSLATE(B32510,""en"",""it"")"),"La donna afferra un altro paio di scarpe, la scarpa destra è non amata e la scarpa sinistra è intrecciata e lei si tiene su di loro e poi le mette giù.")</f>
        <v>La donna afferra un altro paio di scarpe, la scarpa destra è non amata e la scarpa sinistra è intrecciata e lei si tiene su di loro e poi le mette giù.</v>
      </c>
    </row>
    <row r="32511">
      <c r="A32511" s="4" t="s">
        <v>40928</v>
      </c>
      <c r="B32511" s="4" t="s">
        <v>40929</v>
      </c>
      <c r="C32511" s="5" t="str">
        <f>IFERROR(__xludf.DUMMYFUNCTION("GOOGLETRANSLATE(B32511,""en"",""it"")"),"Un cavallo nero è in piedi in una stalla con diverse cose gialle sui suoi capelli.")</f>
        <v>Un cavallo nero è in piedi in una stalla con diverse cose gialle sui suoi capelli.</v>
      </c>
    </row>
    <row r="32512">
      <c r="A32512" s="4" t="s">
        <v>40928</v>
      </c>
      <c r="B32512" s="4" t="s">
        <v>40930</v>
      </c>
      <c r="C32512" s="5" t="str">
        <f>IFERROR(__xludf.DUMMYFUNCTION("GOOGLETRANSLATE(B32512,""en"",""it"")"),"Appare quindi una donna e inizia a radersi tutti i capelli del cavallo.")</f>
        <v>Appare quindi una donna e inizia a radersi tutti i capelli del cavallo.</v>
      </c>
    </row>
    <row r="32513">
      <c r="A32513" s="4" t="s">
        <v>40928</v>
      </c>
      <c r="B32513" s="6" t="s">
        <v>40931</v>
      </c>
      <c r="C32513" s="5" t="str">
        <f>IFERROR(__xludf.DUMMYFUNCTION("GOOGLETRANSLATE(B32513,""en"",""it"")"),"Il lato è completamente sparito e quando si muove dalla parte posteriore si trova sotto il suo corpo per rimuovere anche quei capelli.")</f>
        <v>Il lato è completamente sparito e quando si muove dalla parte posteriore si trova sotto il suo corpo per rimuovere anche quei capelli.</v>
      </c>
    </row>
    <row r="32514">
      <c r="A32514" s="4" t="s">
        <v>40932</v>
      </c>
      <c r="B32514" s="4" t="s">
        <v>40933</v>
      </c>
      <c r="C32514" s="5" t="str">
        <f>IFERROR(__xludf.DUMMYFUNCTION("GOOGLETRANSLATE(B32514,""en"",""it"")"),"Un uomo viene visto in piedi davanti a una finestra che parla alla telecamera mentre indossa un copricapo.")</f>
        <v>Un uomo viene visto in piedi davanti a una finestra che parla alla telecamera mentre indossa un copricapo.</v>
      </c>
    </row>
    <row r="32515">
      <c r="A32515" s="4" t="s">
        <v>40932</v>
      </c>
      <c r="B32515" s="6" t="s">
        <v>40934</v>
      </c>
      <c r="C32515" s="5" t="str">
        <f>IFERROR(__xludf.DUMMYFUNCTION("GOOGLETRANSLATE(B32515,""en"",""it"")"),"L'uomo quindi spazzola lungo i lati della finestra e punta indietro e quarto alla finestra mentre parla alla telecamera.")</f>
        <v>L'uomo quindi spazzola lungo i lati della finestra e punta indietro e quarto alla finestra mentre parla alla telecamera.</v>
      </c>
    </row>
    <row r="32516">
      <c r="A32516" s="4" t="s">
        <v>40935</v>
      </c>
      <c r="B32516" s="4" t="s">
        <v>40936</v>
      </c>
      <c r="C32516" s="5" t="str">
        <f>IFERROR(__xludf.DUMMYFUNCTION("GOOGLETRANSLATE(B32516,""en"",""it"")"),"Viene mostrato un uomo che parla alla fotocamera, quindi si inginocchia e preme con uno strumento.")</f>
        <v>Viene mostrato un uomo che parla alla fotocamera, quindi si inginocchia e preme con uno strumento.</v>
      </c>
    </row>
    <row r="32517">
      <c r="A32517" s="4" t="s">
        <v>40935</v>
      </c>
      <c r="B32517" s="4" t="s">
        <v>40937</v>
      </c>
      <c r="C32517" s="5" t="str">
        <f>IFERROR(__xludf.DUMMYFUNCTION("GOOGLETRANSLATE(B32517,""en"",""it"")"),"Quindi si avvita sulle scale e si inginocchia mentre parla ancora alla telecamera.")</f>
        <v>Quindi si avvita sulle scale e si inginocchia mentre parla ancora alla telecamera.</v>
      </c>
    </row>
    <row r="32518">
      <c r="A32518" s="4" t="s">
        <v>40938</v>
      </c>
      <c r="B32518" s="4" t="s">
        <v>40939</v>
      </c>
      <c r="C32518" s="5" t="str">
        <f>IFERROR(__xludf.DUMMYFUNCTION("GOOGLETRANSLATE(B32518,""en"",""it"")"),"Una donna parla e mostra la sua lunga treccia francese.")</f>
        <v>Una donna parla e mostra la sua lunga treccia francese.</v>
      </c>
    </row>
    <row r="32519">
      <c r="A32519" s="4" t="s">
        <v>40938</v>
      </c>
      <c r="B32519" s="4" t="s">
        <v>40940</v>
      </c>
      <c r="C32519" s="5" t="str">
        <f>IFERROR(__xludf.DUMMYFUNCTION("GOOGLETRANSLATE(B32519,""en"",""it"")"),"Quindi, la donna si trova sul letto e si lamenta i capelli sul bordo del letto.")</f>
        <v>Quindi, la donna si trova sul letto e si lamenta i capelli sul bordo del letto.</v>
      </c>
    </row>
    <row r="32520">
      <c r="A32520" s="4" t="s">
        <v>40938</v>
      </c>
      <c r="B32520" s="4" t="s">
        <v>40941</v>
      </c>
      <c r="C32520" s="5" t="str">
        <f>IFERROR(__xludf.DUMMYFUNCTION("GOOGLETRANSLATE(B32520,""en"",""it"")"),"Quindi, la donna prende una ciocca di capelli anteriori e treccia prendendo i capelli dai lati.")</f>
        <v>Quindi, la donna prende una ciocca di capelli anteriori e treccia prendendo i capelli dai lati.</v>
      </c>
    </row>
    <row r="32521">
      <c r="A32521" s="4" t="s">
        <v>40938</v>
      </c>
      <c r="B32521" s="4" t="s">
        <v>40942</v>
      </c>
      <c r="C32521" s="5" t="str">
        <f>IFERROR(__xludf.DUMMYFUNCTION("GOOGLETRANSLATE(B32521,""en"",""it"")"),"Quindi, la donna mostra la treccia mentre continua a parlare.")</f>
        <v>Quindi, la donna mostra la treccia mentre continua a parlare.</v>
      </c>
    </row>
    <row r="32522">
      <c r="A32522" s="4" t="s">
        <v>40943</v>
      </c>
      <c r="B32522" s="4" t="s">
        <v>40944</v>
      </c>
      <c r="C32522" s="5" t="str">
        <f>IFERROR(__xludf.DUMMYFUNCTION("GOOGLETRANSLATE(B32522,""en"",""it"")"),"C'è un sub che partecipa a un evento in un grande stadio in molti spettatori.")</f>
        <v>C'è un sub che partecipa a un evento in un grande stadio in molti spettatori.</v>
      </c>
    </row>
    <row r="32523">
      <c r="A32523" s="4" t="s">
        <v>40943</v>
      </c>
      <c r="B32523" s="4" t="s">
        <v>40945</v>
      </c>
      <c r="C32523" s="5" t="str">
        <f>IFERROR(__xludf.DUMMYFUNCTION("GOOGLETRANSLATE(B32523,""en"",""it"")"),"Sta saltando giù dal cruscotto e si tuffa nella profonda piscina.")</f>
        <v>Sta saltando giù dal cruscotto e si tuffa nella profonda piscina.</v>
      </c>
    </row>
    <row r="32524">
      <c r="A32524" s="4" t="s">
        <v>40943</v>
      </c>
      <c r="B32524" s="4" t="s">
        <v>40946</v>
      </c>
      <c r="C32524" s="5" t="str">
        <f>IFERROR(__xludf.DUMMYFUNCTION("GOOGLETRANSLATE(B32524,""en"",""it"")"),"Mentre si immerge, colpisce accidentalmente la testa sul tabellone e si ferisce.")</f>
        <v>Mentre si immerge, colpisce accidentalmente la testa sul tabellone e si ferisce.</v>
      </c>
    </row>
    <row r="32525">
      <c r="A32525" s="4" t="s">
        <v>40943</v>
      </c>
      <c r="B32525" s="4" t="s">
        <v>40947</v>
      </c>
      <c r="C32525" s="5" t="str">
        <f>IFERROR(__xludf.DUMMYFUNCTION("GOOGLETRANSLATE(B32525,""en"",""it"")"),"Esprime dolore mentre scende dalla piscina e il suo allenatore viene ad aiutarlo.")</f>
        <v>Esprime dolore mentre scende dalla piscina e il suo allenatore viene ad aiutarlo.</v>
      </c>
    </row>
    <row r="32526">
      <c r="A32526" s="4" t="s">
        <v>40943</v>
      </c>
      <c r="B32526" s="6" t="s">
        <v>40948</v>
      </c>
      <c r="C32526" s="5" t="str">
        <f>IFERROR(__xludf.DUMMYFUNCTION("GOOGLETRANSLATE(B32526,""en"",""it"")"),"La seconda volta in cui il subacqueo si tuffa, riesce a entrare con successo in piscina senza infortuni.")</f>
        <v>La seconda volta in cui il subacqueo si tuffa, riesce a entrare con successo in piscina senza infortuni.</v>
      </c>
    </row>
    <row r="32527">
      <c r="A32527" s="4" t="s">
        <v>40943</v>
      </c>
      <c r="B32527" s="6" t="s">
        <v>40949</v>
      </c>
      <c r="C32527" s="5" t="str">
        <f>IFERROR(__xludf.DUMMYFUNCTION("GOOGLETRANSLATE(B32527,""en"",""it"")"),"Un altro evento storico di immersioni viene mostrato in cui il sub si fa male accidentalmente la testa sul tabellone mentre si tuffa in piscina.")</f>
        <v>Un altro evento storico di immersioni viene mostrato in cui il sub si fa male accidentalmente la testa sul tabellone mentre si tuffa in piscina.</v>
      </c>
    </row>
    <row r="32528">
      <c r="A32528" s="4" t="s">
        <v>40950</v>
      </c>
      <c r="B32528" s="4" t="s">
        <v>40951</v>
      </c>
      <c r="C32528" s="5" t="str">
        <f>IFERROR(__xludf.DUMMYFUNCTION("GOOGLETRANSLATE(B32528,""en"",""it"")"),"Un piccolo gruppo di persone è visto in piedi all'interno di una zona recintata con un uomo seduto su un cavallo.")</f>
        <v>Un piccolo gruppo di persone è visto in piedi all'interno di una zona recintata con un uomo seduto su un cavallo.</v>
      </c>
    </row>
    <row r="32529">
      <c r="A32529" s="4" t="s">
        <v>40950</v>
      </c>
      <c r="B32529" s="4" t="s">
        <v>40952</v>
      </c>
      <c r="C32529" s="5" t="str">
        <f>IFERROR(__xludf.DUMMYFUNCTION("GOOGLETRANSLATE(B32529,""en"",""it"")"),"L'uomo cavalca nella fossa e insegue un vitello con una corda.")</f>
        <v>L'uomo cavalca nella fossa e insegue un vitello con una corda.</v>
      </c>
    </row>
    <row r="32530">
      <c r="A32530" s="4" t="s">
        <v>40950</v>
      </c>
      <c r="B32530" s="6" t="s">
        <v>40953</v>
      </c>
      <c r="C32530" s="5" t="str">
        <f>IFERROR(__xludf.DUMMYFUNCTION("GOOGLETRANSLATE(B32530,""en"",""it"")"),"L'uomo lega il polpaccio dopo che è stato catturato e si arrampica sul cavallo mentre un altro scioglie il polpaccio.")</f>
        <v>L'uomo lega il polpaccio dopo che è stato catturato e si arrampica sul cavallo mentre un altro scioglie il polpaccio.</v>
      </c>
    </row>
    <row r="32531">
      <c r="A32531" s="4" t="s">
        <v>40954</v>
      </c>
      <c r="B32531" s="4" t="s">
        <v>40955</v>
      </c>
      <c r="C32531" s="5" t="str">
        <f>IFERROR(__xludf.DUMMYFUNCTION("GOOGLETRANSLATE(B32531,""en"",""it"")"),"Ci sono bambini che rimbalzano nei trampolini.")</f>
        <v>Ci sono bambini che rimbalzano nei trampolini.</v>
      </c>
    </row>
    <row r="32532">
      <c r="A32532" s="4" t="s">
        <v>40954</v>
      </c>
      <c r="B32532" s="4" t="s">
        <v>40956</v>
      </c>
      <c r="C32532" s="5" t="str">
        <f>IFERROR(__xludf.DUMMYFUNCTION("GOOGLETRANSLATE(B32532,""en"",""it"")"),"Diversi bambini saltano su e giù.")</f>
        <v>Diversi bambini saltano su e giù.</v>
      </c>
    </row>
    <row r="32533">
      <c r="A32533" s="4" t="s">
        <v>40954</v>
      </c>
      <c r="B32533" s="4" t="s">
        <v>40957</v>
      </c>
      <c r="C32533" s="5" t="str">
        <f>IFERROR(__xludf.DUMMYFUNCTION("GOOGLETRANSLATE(B32533,""en"",""it"")"),"La fotocamera è molto traballante.")</f>
        <v>La fotocamera è molto traballante.</v>
      </c>
    </row>
    <row r="32534">
      <c r="A32534" s="4" t="s">
        <v>40958</v>
      </c>
      <c r="B32534" s="4" t="s">
        <v>27352</v>
      </c>
      <c r="C32534" s="5" t="str">
        <f>IFERROR(__xludf.DUMMYFUNCTION("GOOGLETRANSLATE(B32534,""en"",""it"")"),"I bambini sono seduti in macchine per paraurti.")</f>
        <v>I bambini sono seduti in macchine per paraurti.</v>
      </c>
    </row>
    <row r="32535">
      <c r="A32535" s="4" t="s">
        <v>40958</v>
      </c>
      <c r="B32535" s="4" t="s">
        <v>40959</v>
      </c>
      <c r="C32535" s="5" t="str">
        <f>IFERROR(__xludf.DUMMYFUNCTION("GOOGLETRANSLATE(B32535,""en"",""it"")"),"Cominciano ad andare e si imbattono l'uno nell'altro.")</f>
        <v>Cominciano ad andare e si imbattono l'uno nell'altro.</v>
      </c>
    </row>
    <row r="32536">
      <c r="A32536" s="4" t="s">
        <v>40958</v>
      </c>
      <c r="B32536" s="4" t="s">
        <v>40960</v>
      </c>
      <c r="C32536" s="5" t="str">
        <f>IFERROR(__xludf.DUMMYFUNCTION("GOOGLETRANSLATE(B32536,""en"",""it"")"),"Le persone sono in piedi dietro il cancello a guardarli.")</f>
        <v>Le persone sono in piedi dietro il cancello a guardarli.</v>
      </c>
    </row>
    <row r="32537">
      <c r="A32537" s="4" t="s">
        <v>40958</v>
      </c>
      <c r="B32537" s="4" t="s">
        <v>40961</v>
      </c>
      <c r="C32537" s="5" t="str">
        <f>IFERROR(__xludf.DUMMYFUNCTION("GOOGLETRANSLATE(B32537,""en"",""it"")"),"Un uomo con una camicia blu sta camminando di fronte a loro.")</f>
        <v>Un uomo con una camicia blu sta camminando di fronte a loro.</v>
      </c>
    </row>
    <row r="32538">
      <c r="A32538" s="4" t="s">
        <v>40962</v>
      </c>
      <c r="B32538" s="6" t="s">
        <v>40963</v>
      </c>
      <c r="C32538" s="5" t="str">
        <f>IFERROR(__xludf.DUMMYFUNCTION("GOOGLETRANSLATE(B32538,""en"",""it"")"),"Un'introduzione che è uno schermo blu con parole bianche che recitano ""Megazip Sentosa Dot Singapore Dot November 2010"" sullo schermo.")</f>
        <v>Un'introduzione che è uno schermo blu con parole bianche che recitano "Megazip Sentosa Dot Singapore Dot November 2010" sullo schermo.</v>
      </c>
    </row>
    <row r="32539">
      <c r="A32539" s="4" t="s">
        <v>40962</v>
      </c>
      <c r="B32539" s="4" t="s">
        <v>40964</v>
      </c>
      <c r="C32539" s="5" t="str">
        <f>IFERROR(__xludf.DUMMYFUNCTION("GOOGLETRANSLATE(B32539,""en"",""it"")"),"Quattro persone appaiono vicino a una ringhiera dove sono tutte attaccate alle imbracature.")</f>
        <v>Quattro persone appaiono vicino a una ringhiera dove sono tutte attaccate alle imbracature.</v>
      </c>
    </row>
    <row r="32540">
      <c r="A32540" s="4" t="s">
        <v>40962</v>
      </c>
      <c r="B32540" s="6" t="s">
        <v>40965</v>
      </c>
      <c r="C32540" s="5" t="str">
        <f>IFERROR(__xludf.DUMMYFUNCTION("GOOGLETRANSLATE(B32540,""en"",""it"")"),"Un uomo mette la mano sulla spalla della donna e la guida all'apertura dove deve andarsene, ma uno schermo blu appare con le parole bianche dicono ""sì"", poi torna alla donna che si prepara a saltare e lei si piega le ginocchia E appare uno schermo blu e"&amp;" dice ""No"", e lei scuote la testa e si allontana.")</f>
        <v>Un uomo mette la mano sulla spalla della donna e la guida all'apertura dove deve andarsene, ma uno schermo blu appare con le parole bianche dicono "sì", poi torna alla donna che si prepara a saltare e lei si piega le ginocchia E appare uno schermo blu e dice "No", e lei scuote la testa e si allontana.</v>
      </c>
    </row>
    <row r="32541">
      <c r="A32541" s="4" t="s">
        <v>40962</v>
      </c>
      <c r="B32541" s="6" t="s">
        <v>40966</v>
      </c>
      <c r="C32541" s="5" t="str">
        <f>IFERROR(__xludf.DUMMYFUNCTION("GOOGLETRANSLATE(B32541,""en"",""it"")"),"Appare di nuovo uno schermo blu e dice ""OK forse"" e la donna si prepara ancora a saltare all'apertura e allo stesso tempo anche l'altro uomo attaccato alla cabla è pronto per partire.")</f>
        <v>Appare di nuovo uno schermo blu e dice "OK forse" e la donna si prepara ancora a saltare all'apertura e allo stesso tempo anche l'altro uomo attaccato alla cabla è pronto per partire.</v>
      </c>
    </row>
    <row r="32542">
      <c r="A32542" s="4" t="s">
        <v>40962</v>
      </c>
      <c r="B32542" s="6" t="s">
        <v>40967</v>
      </c>
      <c r="C32542" s="5" t="str">
        <f>IFERROR(__xludf.DUMMYFUNCTION("GOOGLETRANSLATE(B32542,""en"",""it"")"),"Appare uno schermo blu che dice ""No"", ma la donna e l'uomo si lasciano andare e vanno in fodera con la foresta verde pesante e uno schermo blu appare di nuovo e dice ""Penso che abbia detto di sì?"".")</f>
        <v>Appare uno schermo blu che dice "No", ma la donna e l'uomo si lasciano andare e vanno in fodera con la foresta verde pesante e uno schermo blu appare di nuovo e dice "Penso che abbia detto di sì?".</v>
      </c>
    </row>
    <row r="32543">
      <c r="A32543" s="4" t="s">
        <v>40962</v>
      </c>
      <c r="B32543" s="6" t="s">
        <v>40968</v>
      </c>
      <c r="C32543" s="5" t="str">
        <f>IFERROR(__xludf.DUMMYFUNCTION("GOOGLETRANSLATE(B32543,""en"",""it"")"),"Un nuovo gruppo è ora sfruttato e vengono filmati facendo i loro turni scendendo sulla linea zip e l'uomo che tiene la telecamera si gira verso se stesso per rivelare un colpo vicino della sua faccia sorridente e lo scenario che include la foresta sotto l"&amp;"oro e la spiaggia al punto finale.")</f>
        <v>Un nuovo gruppo è ora sfruttato e vengono filmati facendo i loro turni scendendo sulla linea zip e l'uomo che tiene la telecamera si gira verso se stesso per rivelare un colpo vicino della sua faccia sorridente e lo scenario che include la foresta sotto loro e la spiaggia al punto finale.</v>
      </c>
    </row>
    <row r="32544">
      <c r="A32544" s="4" t="s">
        <v>40962</v>
      </c>
      <c r="B32544" s="6" t="s">
        <v>40969</v>
      </c>
      <c r="C32544" s="5" t="str">
        <f>IFERROR(__xludf.DUMMYFUNCTION("GOOGLETRANSLATE(B32544,""en"",""it"")"),"Raggiungono la fine della linea zip e il lavoratore inizia a tirarli nel punto di atterraggio dove appare un primo piano del lavoratore e ha anche un grande sorriso sul viso mentre le altre fodere con zip sono lì e sorridono anche.")</f>
        <v>Raggiungono la fine della linea zip e il lavoratore inizia a tirarli nel punto di atterraggio dove appare un primo piano del lavoratore e ha anche un grande sorriso sul viso mentre le altre fodere con zip sono lì e sorridono anche.</v>
      </c>
    </row>
    <row r="32545">
      <c r="A32545" s="4" t="s">
        <v>40962</v>
      </c>
      <c r="B32545" s="4" t="s">
        <v>40970</v>
      </c>
      <c r="C32545" s="5" t="str">
        <f>IFERROR(__xludf.DUMMYFUNCTION("GOOGLETRANSLATE(B32545,""en"",""it"")"),"La vista cambia nella vista a terra e mostra come sono le fodere con zip da terra.")</f>
        <v>La vista cambia nella vista a terra e mostra come sono le fodere con zip da terra.</v>
      </c>
    </row>
    <row r="32546">
      <c r="A32546" s="4" t="s">
        <v>40962</v>
      </c>
      <c r="B32546" s="4" t="s">
        <v>40971</v>
      </c>
      <c r="C32546" s="5" t="str">
        <f>IFERROR(__xludf.DUMMYFUNCTION("GOOGLETRANSLATE(B32546,""en"",""it"")"),"Viene visualizzato il blu outro e vengono visualizzate le parole ""Sentosa Megazip novembre 2010 The End"".")</f>
        <v>Viene visualizzato il blu outro e vengono visualizzate le parole "Sentosa Megazip novembre 2010 The End".</v>
      </c>
    </row>
    <row r="32547">
      <c r="A32547" s="4" t="s">
        <v>40972</v>
      </c>
      <c r="B32547" s="4" t="s">
        <v>40973</v>
      </c>
      <c r="C32547" s="5" t="str">
        <f>IFERROR(__xludf.DUMMYFUNCTION("GOOGLETRANSLATE(B32547,""en"",""it"")"),"Un giovane maschio vestito con una tuta rossa è sul palco che balla.")</f>
        <v>Un giovane maschio vestito con una tuta rossa è sul palco che balla.</v>
      </c>
    </row>
    <row r="32548">
      <c r="A32548" s="4" t="s">
        <v>40972</v>
      </c>
      <c r="B32548" s="6" t="s">
        <v>40974</v>
      </c>
      <c r="C32548" s="5" t="str">
        <f>IFERROR(__xludf.DUMMYFUNCTION("GOOGLETRANSLATE(B32548,""en"",""it"")"),"Una volta che ha finito, un gruppo di ragazzi lo sciamano e tutti indicano un altro ragazzo in modo da poter salire sul palco.")</f>
        <v>Una volta che ha finito, un gruppo di ragazzi lo sciamano e tutti indicano un altro ragazzo in modo da poter salire sul palco.</v>
      </c>
    </row>
    <row r="32549">
      <c r="A32549" s="4" t="s">
        <v>40972</v>
      </c>
      <c r="B32549" s="4" t="s">
        <v>40975</v>
      </c>
      <c r="C32549" s="5" t="str">
        <f>IFERROR(__xludf.DUMMYFUNCTION("GOOGLETRANSLATE(B32549,""en"",""it"")"),"Il ragazzo arriva e inizia a girare e fare una variazione del robot.")</f>
        <v>Il ragazzo arriva e inizia a girare e fare una variazione del robot.</v>
      </c>
    </row>
    <row r="32550">
      <c r="A32550" s="4" t="s">
        <v>40972</v>
      </c>
      <c r="B32550" s="6" t="s">
        <v>40976</v>
      </c>
      <c r="C32550" s="5" t="str">
        <f>IFERROR(__xludf.DUMMYFUNCTION("GOOGLETRANSLATE(B32550,""en"",""it"")"),"Tutti gli uomini dietro di lui diventano quindi i suoi ballerini di fondo mentre il ragazzo prende un microfono e inizia a cantare.")</f>
        <v>Tutti gli uomini dietro di lui diventano quindi i suoi ballerini di fondo mentre il ragazzo prende un microfono e inizia a cantare.</v>
      </c>
    </row>
    <row r="32551">
      <c r="A32551" s="4" t="s">
        <v>40977</v>
      </c>
      <c r="B32551" s="4" t="s">
        <v>40978</v>
      </c>
      <c r="C32551" s="5" t="str">
        <f>IFERROR(__xludf.DUMMYFUNCTION("GOOGLETRANSLATE(B32551,""en"",""it"")"),"Vediamo le carte del titolo su blu.")</f>
        <v>Vediamo le carte del titolo su blu.</v>
      </c>
    </row>
    <row r="32552">
      <c r="A32552" s="4" t="s">
        <v>40977</v>
      </c>
      <c r="B32552" s="4" t="s">
        <v>40979</v>
      </c>
      <c r="C32552" s="5" t="str">
        <f>IFERROR(__xludf.DUMMYFUNCTION("GOOGLETRANSLATE(B32552,""en"",""it"")"),"Vediamo uomini che giocano a pallavolo da spiaggia.")</f>
        <v>Vediamo uomini che giocano a pallavolo da spiaggia.</v>
      </c>
    </row>
    <row r="32553">
      <c r="A32553" s="4" t="s">
        <v>40977</v>
      </c>
      <c r="B32553" s="4" t="s">
        <v>40980</v>
      </c>
      <c r="C32553" s="5" t="str">
        <f>IFERROR(__xludf.DUMMYFUNCTION("GOOGLETRANSLATE(B32553,""en"",""it"")"),"Vediamo un'intervista con un uomo.")</f>
        <v>Vediamo un'intervista con un uomo.</v>
      </c>
    </row>
    <row r="32554">
      <c r="A32554" s="4" t="s">
        <v>40977</v>
      </c>
      <c r="B32554" s="4" t="s">
        <v>40981</v>
      </c>
      <c r="C32554" s="5" t="str">
        <f>IFERROR(__xludf.DUMMYFUNCTION("GOOGLETRANSLATE(B32554,""en"",""it"")"),"Due uomini si alzano cinque gli uomini tutti scambiati.")</f>
        <v>Due uomini si alzano cinque gli uomini tutti scambiati.</v>
      </c>
    </row>
    <row r="32555">
      <c r="A32555" s="4" t="s">
        <v>40977</v>
      </c>
      <c r="B32555" s="4" t="s">
        <v>40982</v>
      </c>
      <c r="C32555" s="5" t="str">
        <f>IFERROR(__xludf.DUMMYFUNCTION("GOOGLETRANSLATE(B32555,""en"",""it"")"),"La palla atterra a terra.")</f>
        <v>La palla atterra a terra.</v>
      </c>
    </row>
    <row r="32556">
      <c r="A32556" s="4" t="s">
        <v>40977</v>
      </c>
      <c r="B32556" s="4" t="s">
        <v>40983</v>
      </c>
      <c r="C32556" s="5" t="str">
        <f>IFERROR(__xludf.DUMMYFUNCTION("GOOGLETRANSLATE(B32556,""en"",""it"")"),"Un uomo prende a calci la palla dall'altra parte.")</f>
        <v>Un uomo prende a calci la palla dall'altra parte.</v>
      </c>
    </row>
    <row r="32557">
      <c r="A32557" s="4" t="s">
        <v>40977</v>
      </c>
      <c r="B32557" s="4" t="s">
        <v>40984</v>
      </c>
      <c r="C32557" s="5" t="str">
        <f>IFERROR(__xludf.DUMMYFUNCTION("GOOGLETRANSLATE(B32557,""en"",""it"")"),"Un uomo salta e gira in aria.")</f>
        <v>Un uomo salta e gira in aria.</v>
      </c>
    </row>
    <row r="32558">
      <c r="A32558" s="4" t="s">
        <v>40977</v>
      </c>
      <c r="B32558" s="4" t="s">
        <v>40985</v>
      </c>
      <c r="C32558" s="5" t="str">
        <f>IFERROR(__xludf.DUMMYFUNCTION("GOOGLETRANSLATE(B32558,""en"",""it"")"),"L'uomo in grigio si sposta mentre gli altri uomini saltano in giro.")</f>
        <v>L'uomo in grigio si sposta mentre gli altri uomini saltano in giro.</v>
      </c>
    </row>
    <row r="32559">
      <c r="A32559" s="4" t="s">
        <v>40977</v>
      </c>
      <c r="B32559" s="4" t="s">
        <v>40986</v>
      </c>
      <c r="C32559" s="5" t="str">
        <f>IFERROR(__xludf.DUMMYFUNCTION("GOOGLETRANSLATE(B32559,""en"",""it"")"),"Gli uomini posano per una foto.")</f>
        <v>Gli uomini posano per una foto.</v>
      </c>
    </row>
    <row r="32560">
      <c r="A32560" s="4" t="s">
        <v>40977</v>
      </c>
      <c r="B32560" s="4" t="s">
        <v>40987</v>
      </c>
      <c r="C32560" s="5" t="str">
        <f>IFERROR(__xludf.DUMMYFUNCTION("GOOGLETRANSLATE(B32560,""en"",""it"")"),"La scheda del titolo viene mostrata e svaniremo.")</f>
        <v>La scheda del titolo viene mostrata e svaniremo.</v>
      </c>
    </row>
    <row r="32561">
      <c r="A32561" s="4" t="s">
        <v>40988</v>
      </c>
      <c r="B32561" s="6" t="s">
        <v>40989</v>
      </c>
      <c r="C32561" s="5" t="str">
        <f>IFERROR(__xludf.DUMMYFUNCTION("GOOGLETRANSLATE(B32561,""en"",""it"")"),"Viene mostrata una clip di un vecchio programma televisivo con una donna che lava i piatti e una ragazza che entra nella cornice.")</f>
        <v>Viene mostrata una clip di un vecchio programma televisivo con una donna che lava i piatti e una ragazza che entra nella cornice.</v>
      </c>
    </row>
    <row r="32562">
      <c r="A32562" s="4" t="s">
        <v>40988</v>
      </c>
      <c r="B32562" s="6" t="s">
        <v>40990</v>
      </c>
      <c r="C32562" s="5" t="str">
        <f>IFERROR(__xludf.DUMMYFUNCTION("GOOGLETRANSLATE(B32562,""en"",""it"")"),"La donna consegna alla ragazza un bicchiere d'acqua e viene mostrata di nuovo in vari angoli, finendo con una donna che lava i vestiti.")</f>
        <v>La donna consegna alla ragazza un bicchiere d'acqua e viene mostrata di nuovo in vari angoli, finendo con una donna che lava i vestiti.</v>
      </c>
    </row>
    <row r="32563">
      <c r="A32563" s="4" t="s">
        <v>40991</v>
      </c>
      <c r="B32563" s="4" t="s">
        <v>40992</v>
      </c>
      <c r="C32563" s="5" t="str">
        <f>IFERROR(__xludf.DUMMYFUNCTION("GOOGLETRANSLATE(B32563,""en"",""it"")"),"Un bambino piccolo viene visto in piedi sul marciapiede e si guarda in lontananza.")</f>
        <v>Un bambino piccolo viene visto in piedi sul marciapiede e si guarda in lontananza.</v>
      </c>
    </row>
    <row r="32564">
      <c r="A32564" s="4" t="s">
        <v>40991</v>
      </c>
      <c r="B32564" s="4" t="s">
        <v>40993</v>
      </c>
      <c r="C32564" s="5" t="str">
        <f>IFERROR(__xludf.DUMMYFUNCTION("GOOGLETRANSLATE(B32564,""en"",""it"")"),"La ragazza quindi lancia il rock e inizia a giocare a Hopscotch.")</f>
        <v>La ragazza quindi lancia il rock e inizia a giocare a Hopscotch.</v>
      </c>
    </row>
    <row r="32565">
      <c r="A32565" s="4" t="s">
        <v>40991</v>
      </c>
      <c r="B32565" s="4" t="s">
        <v>40994</v>
      </c>
      <c r="C32565" s="5" t="str">
        <f>IFERROR(__xludf.DUMMYFUNCTION("GOOGLETRANSLATE(B32565,""en"",""it"")"),"Lancia e salta più volte mentre si ferma per guardare alla telecamera.")</f>
        <v>Lancia e salta più volte mentre si ferma per guardare alla telecamera.</v>
      </c>
    </row>
    <row r="32566">
      <c r="A32566" s="4" t="s">
        <v>40995</v>
      </c>
      <c r="B32566" s="4" t="s">
        <v>40996</v>
      </c>
      <c r="C32566" s="5" t="str">
        <f>IFERROR(__xludf.DUMMYFUNCTION("GOOGLETRANSLATE(B32566,""en"",""it"")"),"Un presentatore televisivo si aggrappa sulle gambe mentre cantava uno spettacolo.")</f>
        <v>Un presentatore televisivo si aggrappa sulle gambe mentre cantava uno spettacolo.</v>
      </c>
    </row>
    <row r="32567">
      <c r="A32567" s="4" t="s">
        <v>40995</v>
      </c>
      <c r="B32567" s="4" t="s">
        <v>40997</v>
      </c>
      <c r="C32567" s="5" t="str">
        <f>IFERROR(__xludf.DUMMYFUNCTION("GOOGLETRANSLATE(B32567,""en"",""it"")"),"Un gruppo di ballerini in costumi colorati fa un atto di danza con Hula Hoops.")</f>
        <v>Un gruppo di ballerini in costumi colorati fa un atto di danza con Hula Hoops.</v>
      </c>
    </row>
    <row r="32568">
      <c r="A32568" s="4" t="s">
        <v>40995</v>
      </c>
      <c r="B32568" s="4" t="s">
        <v>40998</v>
      </c>
      <c r="C32568" s="5" t="str">
        <f>IFERROR(__xludf.DUMMYFUNCTION("GOOGLETRANSLATE(B32568,""en"",""it"")"),"Il pubblico è visto e i membri battono per il gruppo.")</f>
        <v>Il pubblico è visto e i membri battono per il gruppo.</v>
      </c>
    </row>
    <row r="32569">
      <c r="A32569" s="4" t="s">
        <v>40995</v>
      </c>
      <c r="B32569" s="4" t="s">
        <v>40999</v>
      </c>
      <c r="C32569" s="5" t="str">
        <f>IFERROR(__xludf.DUMMYFUNCTION("GOOGLETRANSLATE(B32569,""en"",""it"")"),"I membri più anziani del gruppo sostengono i poli per i bambini che ballano da oscillare.")</f>
        <v>I membri più anziani del gruppo sostengono i poli per i bambini che ballano da oscillare.</v>
      </c>
    </row>
    <row r="32570">
      <c r="A32570" s="4" t="s">
        <v>40995</v>
      </c>
      <c r="B32570" s="4" t="s">
        <v>41000</v>
      </c>
      <c r="C32570" s="5" t="str">
        <f>IFERROR(__xludf.DUMMYFUNCTION("GOOGLETRANSLATE(B32570,""en"",""it"")"),"I ballerini Hula Hoop ottengono ancora più cerchi per il finale.")</f>
        <v>I ballerini Hula Hoop ottengono ancora più cerchi per il finale.</v>
      </c>
    </row>
    <row r="32571">
      <c r="A32571" s="4" t="s">
        <v>40995</v>
      </c>
      <c r="B32571" s="4" t="s">
        <v>41001</v>
      </c>
      <c r="C32571" s="5" t="str">
        <f>IFERROR(__xludf.DUMMYFUNCTION("GOOGLETRANSLATE(B32571,""en"",""it"")"),"I coriandoli piove dall'aria agli artisti.")</f>
        <v>I coriandoli piove dall'aria agli artisti.</v>
      </c>
    </row>
    <row r="32572">
      <c r="A32572" s="4" t="s">
        <v>40995</v>
      </c>
      <c r="B32572" s="4" t="s">
        <v>41002</v>
      </c>
      <c r="C32572" s="5" t="str">
        <f>IFERROR(__xludf.DUMMYFUNCTION("GOOGLETRANSLATE(B32572,""en"",""it"")"),"L'annunciatore si alza e applaude per il gruppo.")</f>
        <v>L'annunciatore si alza e applaude per il gruppo.</v>
      </c>
    </row>
    <row r="32573">
      <c r="A32573" s="4" t="s">
        <v>41003</v>
      </c>
      <c r="B32573" s="4" t="s">
        <v>41004</v>
      </c>
      <c r="C32573" s="5" t="str">
        <f>IFERROR(__xludf.DUMMYFUNCTION("GOOGLETRANSLATE(B32573,""en"",""it"")"),"Un uomo si siede con cesoie che riposano in mano in un roseto.")</f>
        <v>Un uomo si siede con cesoie che riposano in mano in un roseto.</v>
      </c>
    </row>
    <row r="32574">
      <c r="A32574" s="4" t="s">
        <v>41003</v>
      </c>
      <c r="B32574" s="4" t="s">
        <v>41005</v>
      </c>
      <c r="C32574" s="5" t="str">
        <f>IFERROR(__xludf.DUMMYFUNCTION("GOOGLETRANSLATE(B32574,""en"",""it"")"),"L'uomo ritaglia le rose morte da un cespuglio di rose con cesoie.")</f>
        <v>L'uomo ritaglia le rose morte da un cespuglio di rose con cesoie.</v>
      </c>
    </row>
    <row r="32575">
      <c r="A32575" s="4" t="s">
        <v>41003</v>
      </c>
      <c r="B32575" s="4" t="s">
        <v>41006</v>
      </c>
      <c r="C32575" s="5" t="str">
        <f>IFERROR(__xludf.DUMMYFUNCTION("GOOGLETRANSLATE(B32575,""en"",""it"")"),"L'uomo ritaglia interi rami vicino alla base dei cespugli di rose.")</f>
        <v>L'uomo ritaglia interi rami vicino alla base dei cespugli di rose.</v>
      </c>
    </row>
    <row r="32576">
      <c r="A32576" s="4" t="s">
        <v>41003</v>
      </c>
      <c r="B32576" s="4" t="s">
        <v>41007</v>
      </c>
      <c r="C32576" s="5" t="str">
        <f>IFERROR(__xludf.DUMMYFUNCTION("GOOGLETRANSLATE(B32576,""en"",""it"")"),"Morendo il cespuglio di rose lascia una vista da vicino.")</f>
        <v>Morendo il cespuglio di rose lascia una vista da vicino.</v>
      </c>
    </row>
    <row r="32577">
      <c r="A32577" s="4" t="s">
        <v>41003</v>
      </c>
      <c r="B32577" s="4" t="s">
        <v>41008</v>
      </c>
      <c r="C32577" s="5" t="str">
        <f>IFERROR(__xludf.DUMMYFUNCTION("GOOGLETRANSLATE(B32577,""en"",""it"")"),"Le foglie di cespuglio di rose sane sono viste da vicino.")</f>
        <v>Le foglie di cespuglio di rose sane sono viste da vicino.</v>
      </c>
    </row>
    <row r="32578">
      <c r="A32578" s="4" t="s">
        <v>41009</v>
      </c>
      <c r="B32578" s="4" t="s">
        <v>41010</v>
      </c>
      <c r="C32578" s="5" t="str">
        <f>IFERROR(__xludf.DUMMYFUNCTION("GOOGLETRANSLATE(B32578,""en"",""it"")"),"Diverse foto vengono mostrate da una donna in piedi da sola e con gli amici.")</f>
        <v>Diverse foto vengono mostrate da una donna in piedi da sola e con gli amici.</v>
      </c>
    </row>
    <row r="32579">
      <c r="A32579" s="4" t="s">
        <v>41009</v>
      </c>
      <c r="B32579" s="6" t="s">
        <v>41011</v>
      </c>
      <c r="C32579" s="5" t="str">
        <f>IFERROR(__xludf.DUMMYFUNCTION("GOOGLETRANSLATE(B32579,""en"",""it"")"),"Viene quindi mostrato filmati di lei che corre accanto a un folto gruppo di persone mentre molti guardano sui lati.")</f>
        <v>Viene quindi mostrato filmati di lei che corre accanto a un folto gruppo di persone mentre molti guardano sui lati.</v>
      </c>
    </row>
    <row r="32580">
      <c r="A32580" s="4" t="s">
        <v>41009</v>
      </c>
      <c r="B32580" s="4" t="s">
        <v>41012</v>
      </c>
      <c r="C32580" s="5" t="str">
        <f>IFERROR(__xludf.DUMMYFUNCTION("GOOGLETRANSLATE(B32580,""en"",""it"")"),"Vengono mostrate altre foto del suo finale e di altri.")</f>
        <v>Vengono mostrate altre foto del suo finale e di altri.</v>
      </c>
    </row>
    <row r="32581">
      <c r="A32581" s="4" t="s">
        <v>41013</v>
      </c>
      <c r="B32581" s="4" t="s">
        <v>41014</v>
      </c>
      <c r="C32581" s="5" t="str">
        <f>IFERROR(__xludf.DUMMYFUNCTION("GOOGLETRANSLATE(B32581,""en"",""it"")"),"Un uomo con un saxafono attorno al collo parla alla telecamera in una stanza debole.")</f>
        <v>Un uomo con un saxafono attorno al collo parla alla telecamera in una stanza debole.</v>
      </c>
    </row>
    <row r="32582">
      <c r="A32582" s="4" t="s">
        <v>41013</v>
      </c>
      <c r="B32582" s="4" t="s">
        <v>41015</v>
      </c>
      <c r="C32582" s="5" t="str">
        <f>IFERROR(__xludf.DUMMYFUNCTION("GOOGLETRANSLATE(B32582,""en"",""it"")"),"La fotocamera cambia come una scatola che gira.")</f>
        <v>La fotocamera cambia come una scatola che gira.</v>
      </c>
    </row>
    <row r="32583">
      <c r="A32583" s="4" t="s">
        <v>41013</v>
      </c>
      <c r="B32583" s="4" t="s">
        <v>41016</v>
      </c>
      <c r="C32583" s="5" t="str">
        <f>IFERROR(__xludf.DUMMYFUNCTION("GOOGLETRANSLATE(B32583,""en"",""it"")"),"L'uomo si guarda intorno, poi suona il suo sassofono.")</f>
        <v>L'uomo si guarda intorno, poi suona il suo sassofono.</v>
      </c>
    </row>
    <row r="32584">
      <c r="A32584" s="4" t="s">
        <v>41013</v>
      </c>
      <c r="B32584" s="4" t="s">
        <v>41017</v>
      </c>
      <c r="C32584" s="5" t="str">
        <f>IFERROR(__xludf.DUMMYFUNCTION("GOOGLETRANSLATE(B32584,""en"",""it"")"),"Un sito Web una persona lo schermo nell'angolo in basso a sinistra e lo schermo svanisce.")</f>
        <v>Un sito Web una persona lo schermo nell'angolo in basso a sinistra e lo schermo svanisce.</v>
      </c>
    </row>
    <row r="32585">
      <c r="A32585" s="4" t="s">
        <v>41018</v>
      </c>
      <c r="B32585" s="4" t="s">
        <v>41019</v>
      </c>
      <c r="C32585" s="5" t="str">
        <f>IFERROR(__xludf.DUMMYFUNCTION("GOOGLETRANSLATE(B32585,""en"",""it"")"),"Viene mostrata la parte anteriore di un grande edificio marrone con neve davanti.")</f>
        <v>Viene mostrata la parte anteriore di un grande edificio marrone con neve davanti.</v>
      </c>
    </row>
    <row r="32586">
      <c r="A32586" s="4" t="s">
        <v>41018</v>
      </c>
      <c r="B32586" s="4" t="s">
        <v>41020</v>
      </c>
      <c r="C32586" s="5" t="str">
        <f>IFERROR(__xludf.DUMMYFUNCTION("GOOGLETRANSLATE(B32586,""en"",""it"")"),"All'interno, c'è un tavolo da ping pong e due maschi adulti iniziano a camminare l'uno verso l'altro.")</f>
        <v>All'interno, c'è un tavolo da ping pong e due maschi adulti iniziano a camminare l'uno verso l'altro.</v>
      </c>
    </row>
    <row r="32587">
      <c r="A32587" s="4" t="s">
        <v>41018</v>
      </c>
      <c r="B32587" s="4" t="s">
        <v>41021</v>
      </c>
      <c r="C32587" s="5" t="str">
        <f>IFERROR(__xludf.DUMMYFUNCTION("GOOGLETRANSLATE(B32587,""en"",""it"")"),"Quindi iniziano a giocare a ping pong con monache e usando i piedi per colpire la palla.")</f>
        <v>Quindi iniziano a giocare a ping pong con monache e usando i piedi per colpire la palla.</v>
      </c>
    </row>
    <row r="32588">
      <c r="A32588" s="4" t="s">
        <v>41018</v>
      </c>
      <c r="B32588" s="4" t="s">
        <v>41022</v>
      </c>
      <c r="C32588" s="5" t="str">
        <f>IFERROR(__xludf.DUMMYFUNCTION("GOOGLETRANSLATE(B32588,""en"",""it"")"),"Man mano che il gioco avanza, vengono aggiunte più palle e continuano a giocare senza perdere una palla.")</f>
        <v>Man mano che il gioco avanza, vengono aggiunte più palle e continuano a giocare senza perdere una palla.</v>
      </c>
    </row>
    <row r="32589">
      <c r="A32589" s="4" t="s">
        <v>41018</v>
      </c>
      <c r="B32589" s="4" t="s">
        <v>41023</v>
      </c>
      <c r="C32589" s="5" t="str">
        <f>IFERROR(__xludf.DUMMYFUNCTION("GOOGLETRANSLATE(B32589,""en"",""it"")"),"Il gioco si intensifica e l'uomo sulla destra manca la palla e l'uomo si congratula con se stesso.")</f>
        <v>Il gioco si intensifica e l'uomo sulla destra manca la palla e l'uomo si congratula con se stesso.</v>
      </c>
    </row>
    <row r="32590">
      <c r="A32590" s="4" t="s">
        <v>41024</v>
      </c>
      <c r="B32590" s="6" t="s">
        <v>41025</v>
      </c>
      <c r="C32590" s="5" t="str">
        <f>IFERROR(__xludf.DUMMYFUNCTION("GOOGLETRANSLATE(B32590,""en"",""it"")"),"Un folto gruppo di persone viene visto correre in un campo giocando una partita di lacrosse l'uno con l'altro.")</f>
        <v>Un folto gruppo di persone viene visto correre in un campo giocando una partita di lacrosse l'uno con l'altro.</v>
      </c>
    </row>
    <row r="32591">
      <c r="A32591" s="4" t="s">
        <v>41024</v>
      </c>
      <c r="B32591" s="4" t="s">
        <v>41026</v>
      </c>
      <c r="C32591" s="5" t="str">
        <f>IFERROR(__xludf.DUMMYFUNCTION("GOOGLETRANSLATE(B32591,""en"",""it"")"),"I giocatori corrono su e giù per il campo mentre la fotocamera cattura i loro movimenti.")</f>
        <v>I giocatori corrono su e giù per il campo mentre la fotocamera cattura i loro movimenti.</v>
      </c>
    </row>
    <row r="32592">
      <c r="A32592" s="4" t="s">
        <v>41024</v>
      </c>
      <c r="B32592" s="6" t="s">
        <v>41027</v>
      </c>
      <c r="C32592" s="5" t="str">
        <f>IFERROR(__xludf.DUMMYFUNCTION("GOOGLETRANSLATE(B32592,""en"",""it"")"),"Gli uomini continuano a giocare l'uno intorno all'altro mentre le persone guardano sul lato e li rallegrano.")</f>
        <v>Gli uomini continuano a giocare l'uno intorno all'altro mentre le persone guardano sul lato e li rallegrano.</v>
      </c>
    </row>
    <row r="32593">
      <c r="A32593" s="4" t="s">
        <v>41028</v>
      </c>
      <c r="B32593" s="4" t="s">
        <v>41029</v>
      </c>
      <c r="C32593" s="5" t="str">
        <f>IFERROR(__xludf.DUMMYFUNCTION("GOOGLETRANSLATE(B32593,""en"",""it"")"),"Un uomo sta sollevando un grande peso sopra la testa più volte.")</f>
        <v>Un uomo sta sollevando un grande peso sopra la testa più volte.</v>
      </c>
    </row>
    <row r="32594">
      <c r="A32594" s="4" t="s">
        <v>41028</v>
      </c>
      <c r="B32594" s="4" t="s">
        <v>41030</v>
      </c>
      <c r="C32594" s="5" t="str">
        <f>IFERROR(__xludf.DUMMYFUNCTION("GOOGLETRANSLATE(B32594,""en"",""it"")"),"Una donna cammina di fronte a lui.")</f>
        <v>Una donna cammina di fronte a lui.</v>
      </c>
    </row>
    <row r="32595">
      <c r="A32595" s="4" t="s">
        <v>41028</v>
      </c>
      <c r="B32595" s="4" t="s">
        <v>41031</v>
      </c>
      <c r="C32595" s="5" t="str">
        <f>IFERROR(__xludf.DUMMYFUNCTION("GOOGLETRANSLATE(B32595,""en"",""it"")"),"Un uomo con una camicia nera si trova dietro di lui.")</f>
        <v>Un uomo con una camicia nera si trova dietro di lui.</v>
      </c>
    </row>
    <row r="32596">
      <c r="A32596" s="4" t="s">
        <v>41028</v>
      </c>
      <c r="B32596" s="4" t="s">
        <v>33798</v>
      </c>
      <c r="C32596" s="5" t="str">
        <f>IFERROR(__xludf.DUMMYFUNCTION("GOOGLETRANSLATE(B32596,""en"",""it"")"),"Le parole arrivano sullo schermo alla fine.")</f>
        <v>Le parole arrivano sullo schermo alla fine.</v>
      </c>
    </row>
    <row r="32597">
      <c r="A32597" s="4" t="s">
        <v>41032</v>
      </c>
      <c r="B32597" s="4" t="s">
        <v>41033</v>
      </c>
      <c r="C32597" s="5" t="str">
        <f>IFERROR(__xludf.DUMMYFUNCTION("GOOGLETRANSLATE(B32597,""en"",""it"")"),"Un jack-o-lantern illuminato viene messo a fuoco.")</f>
        <v>Un jack-o-lantern illuminato viene messo a fuoco.</v>
      </c>
    </row>
    <row r="32598">
      <c r="A32598" s="4" t="s">
        <v>41032</v>
      </c>
      <c r="B32598" s="4" t="s">
        <v>41034</v>
      </c>
      <c r="C32598" s="5" t="str">
        <f>IFERROR(__xludf.DUMMYFUNCTION("GOOGLETRANSLATE(B32598,""en"",""it"")"),"Il Jack-O-Lantern si sposta verso la telecamera.")</f>
        <v>Il Jack-O-Lantern si sposta verso la telecamera.</v>
      </c>
    </row>
    <row r="32599">
      <c r="A32599" s="4" t="s">
        <v>41032</v>
      </c>
      <c r="B32599" s="4" t="s">
        <v>41035</v>
      </c>
      <c r="C32599" s="5" t="str">
        <f>IFERROR(__xludf.DUMMYFUNCTION("GOOGLETRANSLATE(B32599,""en"",""it"")"),"Una giovane donna sta parlando in modo molto animato di fronte a una parete bianca.")</f>
        <v>Una giovane donna sta parlando in modo molto animato di fronte a una parete bianca.</v>
      </c>
    </row>
    <row r="32600">
      <c r="A32600" s="4" t="s">
        <v>41032</v>
      </c>
      <c r="B32600" s="4" t="s">
        <v>41036</v>
      </c>
      <c r="C32600" s="5" t="str">
        <f>IFERROR(__xludf.DUMMYFUNCTION("GOOGLETRANSLATE(B32600,""en"",""it"")"),"La donna tiene in mano una piccola zucca mentre parla.")</f>
        <v>La donna tiene in mano una piccola zucca mentre parla.</v>
      </c>
    </row>
    <row r="32601">
      <c r="A32601" s="4" t="s">
        <v>41032</v>
      </c>
      <c r="B32601" s="4" t="s">
        <v>41037</v>
      </c>
      <c r="C32601" s="5" t="str">
        <f>IFERROR(__xludf.DUMMYFUNCTION("GOOGLETRANSLATE(B32601,""en"",""it"")"),"La donna regge un pezzo di carta con alcuni adesivi.")</f>
        <v>La donna regge un pezzo di carta con alcuni adesivi.</v>
      </c>
    </row>
    <row r="32602">
      <c r="A32602" s="4" t="s">
        <v>41032</v>
      </c>
      <c r="B32602" s="4" t="s">
        <v>41038</v>
      </c>
      <c r="C32602" s="5" t="str">
        <f>IFERROR(__xludf.DUMMYFUNCTION("GOOGLETRANSLATE(B32602,""en"",""it"")"),"La zucca è vista muoversi da sola su un tavolo con una tovaglia nera.")</f>
        <v>La zucca è vista muoversi da sola su un tavolo con una tovaglia nera.</v>
      </c>
    </row>
    <row r="32603">
      <c r="A32603" s="4" t="s">
        <v>41032</v>
      </c>
      <c r="B32603" s="4" t="s">
        <v>41039</v>
      </c>
      <c r="C32603" s="5" t="str">
        <f>IFERROR(__xludf.DUMMYFUNCTION("GOOGLETRANSLATE(B32603,""en"",""it"")"),"La zucca gira intorno a mostrare delle facce dei cartoni animati.")</f>
        <v>La zucca gira intorno a mostrare delle facce dei cartoni animati.</v>
      </c>
    </row>
    <row r="32604">
      <c r="A32604" s="4" t="s">
        <v>41032</v>
      </c>
      <c r="B32604" s="4" t="s">
        <v>41040</v>
      </c>
      <c r="C32604" s="5" t="str">
        <f>IFERROR(__xludf.DUMMYFUNCTION("GOOGLETRANSLATE(B32604,""en"",""it"")"),"Un'animazione di un coltello pugnala la zucca e un gatto corre avanti e indietro accanto al tavolo.")</f>
        <v>Un'animazione di un coltello pugnala la zucca e un gatto corre avanti e indietro accanto al tavolo.</v>
      </c>
    </row>
    <row r="32605">
      <c r="A32605" s="4" t="s">
        <v>41032</v>
      </c>
      <c r="B32605" s="4" t="s">
        <v>41041</v>
      </c>
      <c r="C32605" s="5" t="str">
        <f>IFERROR(__xludf.DUMMYFUNCTION("GOOGLETRANSLATE(B32605,""en"",""it"")"),"La zucca viene sostituita con altri oggetti uno alla volta, un coltello, un cucchiaio, una candela, ecc.")</f>
        <v>La zucca viene sostituita con altri oggetti uno alla volta, un coltello, un cucchiaio, una candela, ecc.</v>
      </c>
    </row>
    <row r="32606">
      <c r="A32606" s="4" t="s">
        <v>41032</v>
      </c>
      <c r="B32606" s="6" t="s">
        <v>41042</v>
      </c>
      <c r="C32606" s="5" t="str">
        <f>IFERROR(__xludf.DUMMYFUNCTION("GOOGLETRANSLATE(B32606,""en"",""it"")"),"La donna indossa un adesivo di baffi sul viso e attraversa la piccola zucca con una penna in feltro nero.")</f>
        <v>La donna indossa un adesivo di baffi sul viso e attraversa la piccola zucca con una penna in feltro nero.</v>
      </c>
    </row>
    <row r="32607">
      <c r="A32607" s="4" t="s">
        <v>41032</v>
      </c>
      <c r="B32607" s="4" t="s">
        <v>41043</v>
      </c>
      <c r="C32607" s="5" t="str">
        <f>IFERROR(__xludf.DUMMYFUNCTION("GOOGLETRANSLATE(B32607,""en"",""it"")"),"La donna tiene un coltello e inizia a scolpire la zucca lungo le linee che disegnava.")</f>
        <v>La donna tiene un coltello e inizia a scolpire la zucca lungo le linee che disegnava.</v>
      </c>
    </row>
    <row r="32608">
      <c r="A32608" s="4" t="s">
        <v>41032</v>
      </c>
      <c r="B32608" s="6" t="s">
        <v>41044</v>
      </c>
      <c r="C32608" s="5" t="str">
        <f>IFERROR(__xludf.DUMMYFUNCTION("GOOGLETRANSLATE(B32608,""en"",""it"")"),"La donna raccoglie i semi di zucca con un cucchiaio e mette i semi in una tazza di carta a tema Halloween.")</f>
        <v>La donna raccoglie i semi di zucca con un cucchiaio e mette i semi in una tazza di carta a tema Halloween.</v>
      </c>
    </row>
    <row r="32609">
      <c r="A32609" s="4" t="s">
        <v>41032</v>
      </c>
      <c r="B32609" s="4" t="s">
        <v>41045</v>
      </c>
      <c r="C32609" s="5" t="str">
        <f>IFERROR(__xludf.DUMMYFUNCTION("GOOGLETRANSLATE(B32609,""en"",""it"")"),"La donna continua a scolpire la faccia della zucca per trasformarla in un jack-o-lantern.")</f>
        <v>La donna continua a scolpire la faccia della zucca per trasformarla in un jack-o-lantern.</v>
      </c>
    </row>
    <row r="32610">
      <c r="A32610" s="4" t="s">
        <v>41032</v>
      </c>
      <c r="B32610" s="6" t="s">
        <v>41046</v>
      </c>
      <c r="C32610" s="5" t="str">
        <f>IFERROR(__xludf.DUMMYFUNCTION("GOOGLETRANSLATE(B32610,""en"",""it"")"),"La donna pulisce la faccia del jack-o-lantern con un asciugamano e pone la parte superiore con lo stelo.")</f>
        <v>La donna pulisce la faccia del jack-o-lantern con un asciugamano e pone la parte superiore con lo stelo.</v>
      </c>
    </row>
    <row r="32611">
      <c r="A32611" s="4" t="s">
        <v>41032</v>
      </c>
      <c r="B32611" s="4" t="s">
        <v>41047</v>
      </c>
      <c r="C32611" s="5" t="str">
        <f>IFERROR(__xludf.DUMMYFUNCTION("GOOGLETRANSLATE(B32611,""en"",""it"")"),"La donna mette la candela all'interno del Jack-O-Lantern.")</f>
        <v>La donna mette la candela all'interno del Jack-O-Lantern.</v>
      </c>
    </row>
    <row r="32612">
      <c r="A32612" s="4" t="s">
        <v>41032</v>
      </c>
      <c r="B32612" s="4" t="s">
        <v>41048</v>
      </c>
      <c r="C32612" s="5" t="str">
        <f>IFERROR(__xludf.DUMMYFUNCTION("GOOGLETRANSLATE(B32612,""en"",""it"")"),"La donna lancia un accendino.")</f>
        <v>La donna lancia un accendino.</v>
      </c>
    </row>
    <row r="32613">
      <c r="A32613" s="4" t="s">
        <v>41032</v>
      </c>
      <c r="B32613" s="4" t="s">
        <v>41049</v>
      </c>
      <c r="C32613" s="5" t="str">
        <f>IFERROR(__xludf.DUMMYFUNCTION("GOOGLETRANSLATE(B32613,""en"",""it"")"),"Il jack-o-lantern illuminato si vede ancora una volta muovendosi sul tavolo nero.")</f>
        <v>Il jack-o-lantern illuminato si vede ancora una volta muovendosi sul tavolo nero.</v>
      </c>
    </row>
    <row r="32614">
      <c r="A32614" s="4" t="s">
        <v>41032</v>
      </c>
      <c r="B32614" s="6" t="s">
        <v>41050</v>
      </c>
      <c r="C32614" s="5" t="str">
        <f>IFERROR(__xludf.DUMMYFUNCTION("GOOGLETRANSLATE(B32614,""en"",""it"")"),"Il video termina e mostra uno schermo diviso con campioni di altri tre video che la donna ha realizzato, con un pulsante ""iscriviti"" nel mezzo.")</f>
        <v>Il video termina e mostra uno schermo diviso con campioni di altri tre video che la donna ha realizzato, con un pulsante "iscriviti" nel mezzo.</v>
      </c>
    </row>
    <row r="32615">
      <c r="A32615" s="4" t="s">
        <v>41051</v>
      </c>
      <c r="B32615" s="4" t="s">
        <v>41052</v>
      </c>
      <c r="C32615" s="5" t="str">
        <f>IFERROR(__xludf.DUMMYFUNCTION("GOOGLETRANSLATE(B32615,""en"",""it"")"),"L'uomo è seduto in un lavaggio a mano e un altro uomo entra nel Bathrrom e inizia una conversazione.")</f>
        <v>L'uomo è seduto in un lavaggio a mano e un altro uomo entra nel Bathrrom e inizia una conversazione.</v>
      </c>
    </row>
    <row r="32616">
      <c r="A32616" s="4" t="s">
        <v>41051</v>
      </c>
      <c r="B32616" s="4" t="s">
        <v>41053</v>
      </c>
      <c r="C32616" s="5" t="str">
        <f>IFERROR(__xludf.DUMMYFUNCTION("GOOGLETRANSLATE(B32616,""en"",""it"")"),"L'uomo sta diffondendo il dentifricio in spazzolino da denti e lava il dente.")</f>
        <v>L'uomo sta diffondendo il dentifricio in spazzolino da denti e lava il dente.</v>
      </c>
    </row>
    <row r="32617">
      <c r="A32617" s="4" t="s">
        <v>41054</v>
      </c>
      <c r="B32617" s="4" t="s">
        <v>41055</v>
      </c>
      <c r="C32617" s="5" t="str">
        <f>IFERROR(__xludf.DUMMYFUNCTION("GOOGLETRANSLATE(B32617,""en"",""it"")"),"Un uomo rastrella foglie dal cortile in una pila e li scarica in un cestino della spazzatura di metallo.")</f>
        <v>Un uomo rastrella foglie dal cortile in una pila e li scarica in un cestino della spazzatura di metallo.</v>
      </c>
    </row>
    <row r="32618">
      <c r="A32618" s="4" t="s">
        <v>41054</v>
      </c>
      <c r="B32618" s="4" t="s">
        <v>41056</v>
      </c>
      <c r="C32618" s="5" t="str">
        <f>IFERROR(__xludf.DUMMYFUNCTION("GOOGLETRANSLATE(B32618,""en"",""it"")"),"L'uomo mette via i suoi strumenti nel capannone e porta via un sacchetto di foglie.")</f>
        <v>L'uomo mette via i suoi strumenti nel capannone e porta via un sacchetto di foglie.</v>
      </c>
    </row>
    <row r="32619">
      <c r="A32619" s="4" t="s">
        <v>41057</v>
      </c>
      <c r="B32619" s="4" t="s">
        <v>41058</v>
      </c>
      <c r="C32619" s="5" t="str">
        <f>IFERROR(__xludf.DUMMYFUNCTION("GOOGLETRANSLATE(B32619,""en"",""it"")"),"Un gruppo di uomini e donne di varie età si sta allenando su macchine per esercizi ellittici.")</f>
        <v>Un gruppo di uomini e donne di varie età si sta allenando su macchine per esercizi ellittici.</v>
      </c>
    </row>
    <row r="32620">
      <c r="A32620" s="4" t="s">
        <v>41057</v>
      </c>
      <c r="B32620" s="4" t="s">
        <v>41059</v>
      </c>
      <c r="C32620" s="5" t="str">
        <f>IFERROR(__xludf.DUMMYFUNCTION("GOOGLETRANSLATE(B32620,""en"",""it"")"),"Un uomo, indossando solo pantaloncini, si asciuga il sudore dal suo marrone e si sporge contro un muro.")</f>
        <v>Un uomo, indossando solo pantaloncini, si asciuga il sudore dal suo marrone e si sporge contro un muro.</v>
      </c>
    </row>
    <row r="32621">
      <c r="A32621" s="4" t="s">
        <v>41057</v>
      </c>
      <c r="B32621" s="6" t="s">
        <v>41060</v>
      </c>
      <c r="C32621" s="5" t="str">
        <f>IFERROR(__xludf.DUMMYFUNCTION("GOOGLETRANSLATE(B32621,""en"",""it"")"),"Il corpo di una donna in forma in un bikini bianco espone come una donna e un uomo in abiti da allenamento sembrano allenarsi su macchine ellittiche.")</f>
        <v>Il corpo di una donna in forma in un bikini bianco espone come una donna e un uomo in abiti da allenamento sembrano allenarsi su macchine ellittiche.</v>
      </c>
    </row>
    <row r="32622">
      <c r="A32622" s="4" t="s">
        <v>41057</v>
      </c>
      <c r="B32622" s="6" t="s">
        <v>41061</v>
      </c>
      <c r="C32622" s="5" t="str">
        <f>IFERROR(__xludf.DUMMYFUNCTION("GOOGLETRANSLATE(B32622,""en"",""it"")"),"La donna e l'uomo appaiono quindi vestiti in abbigliamento casual prima di tornare alle macchine ellittiche in marcia di allenamento e andare in bicicletta avanti e indietro sulle macchine ellittiche e mostrando profili di adattamento sia da soli che sull"&amp;"a macchina.")</f>
        <v>La donna e l'uomo appaiono quindi vestiti in abbigliamento casual prima di tornare alle macchine ellittiche in marcia di allenamento e andare in bicicletta avanti e indietro sulle macchine ellittiche e mostrando profili di adattamento sia da soli che sulla macchina.</v>
      </c>
    </row>
    <row r="32623">
      <c r="A32623" s="4" t="s">
        <v>41062</v>
      </c>
      <c r="B32623" s="6" t="s">
        <v>41063</v>
      </c>
      <c r="C32623" s="5" t="str">
        <f>IFERROR(__xludf.DUMMYFUNCTION("GOOGLETRANSLATE(B32623,""en"",""it"")"),"Un gruppo di donne in un grande studio indossa il nero, sono in una formazione, quindi l'uomo con gilet nero e pantaloni bianchi hanno camminato al centro.")</f>
        <v>Un gruppo di donne in un grande studio indossa il nero, sono in una formazione, quindi l'uomo con gilet nero e pantaloni bianchi hanno camminato al centro.</v>
      </c>
    </row>
    <row r="32624">
      <c r="A32624" s="4" t="s">
        <v>41062</v>
      </c>
      <c r="B32624" s="6" t="s">
        <v>41064</v>
      </c>
      <c r="C32624" s="5" t="str">
        <f>IFERROR(__xludf.DUMMYFUNCTION("GOOGLETRANSLATE(B32624,""en"",""it"")"),"Le femmine e l'uomo hanno iniziato a marciare, poi hanno ballato, alzando le braccia, poi giù e poi vanno avanti e poi all'indietro, lateralmente e si muovono da un lato all'altro, scuotono anche i fianchi e il corpo.")</f>
        <v>Le femmine e l'uomo hanno iniziato a marciare, poi hanno ballato, alzando le braccia, poi giù e poi vanno avanti e poi all'indietro, lateralmente e si muovono da un lato all'altro, scuotono anche i fianchi e il corpo.</v>
      </c>
    </row>
    <row r="32625">
      <c r="A32625" s="4" t="s">
        <v>41065</v>
      </c>
      <c r="B32625" s="4" t="s">
        <v>41066</v>
      </c>
      <c r="C32625" s="5" t="str">
        <f>IFERROR(__xludf.DUMMYFUNCTION("GOOGLETRANSLATE(B32625,""en"",""it"")"),"Diverse donne sono fuori su un palco facendo diversi esercizi e si allenano in gruppo.")</f>
        <v>Diverse donne sono fuori su un palco facendo diversi esercizi e si allenano in gruppo.</v>
      </c>
    </row>
    <row r="32626">
      <c r="A32626" s="4" t="s">
        <v>41065</v>
      </c>
      <c r="B32626" s="4" t="s">
        <v>41067</v>
      </c>
      <c r="C32626" s="5" t="str">
        <f>IFERROR(__xludf.DUMMYFUNCTION("GOOGLETRANSLATE(B32626,""en"",""it"")"),"Mentre continuano, diverse persone iniziano a camminare sul palco e li guardano esibirsi.")</f>
        <v>Mentre continuano, diverse persone iniziano a camminare sul palco e li guardano esibirsi.</v>
      </c>
    </row>
    <row r="32627">
      <c r="A32627" s="4" t="s">
        <v>41065</v>
      </c>
      <c r="B32627" s="6" t="s">
        <v>41068</v>
      </c>
      <c r="C32627" s="5" t="str">
        <f>IFERROR(__xludf.DUMMYFUNCTION("GOOGLETRANSLATE(B32627,""en"",""it"")"),"Gli istruttori continuano a ballare e amplificare le altre squadre per ballare e finiscono battendo insieme.")</f>
        <v>Gli istruttori continuano a ballare e amplificare le altre squadre per ballare e finiscono battendo insieme.</v>
      </c>
    </row>
    <row r="32628">
      <c r="A32628" s="4" t="s">
        <v>41069</v>
      </c>
      <c r="B32628" s="4" t="s">
        <v>41070</v>
      </c>
      <c r="C32628" s="5" t="str">
        <f>IFERROR(__xludf.DUMMYFUNCTION("GOOGLETRANSLATE(B32628,""en"",""it"")"),"Istruzioni su come intrecciare i capelli.")</f>
        <v>Istruzioni su come intrecciare i capelli.</v>
      </c>
    </row>
    <row r="32629">
      <c r="A32629" s="4" t="s">
        <v>41069</v>
      </c>
      <c r="B32629" s="4" t="s">
        <v>41071</v>
      </c>
      <c r="C32629" s="5" t="str">
        <f>IFERROR(__xludf.DUMMYFUNCTION("GOOGLETRANSLATE(B32629,""en"",""it"")"),"Una ragazza con una maglietta grigia dimostra come intrecciare i capelli e mostra un processo passo-passo.")</f>
        <v>Una ragazza con una maglietta grigia dimostra come intrecciare i capelli e mostra un processo passo-passo.</v>
      </c>
    </row>
    <row r="32630">
      <c r="A32630" s="4" t="s">
        <v>41069</v>
      </c>
      <c r="B32630" s="4" t="s">
        <v>41072</v>
      </c>
      <c r="C32630" s="5" t="str">
        <f>IFERROR(__xludf.DUMMYFUNCTION("GOOGLETRANSLATE(B32630,""en"",""it"")"),"Alcuni suggerimenti vengono visualizzati in stampa.")</f>
        <v>Alcuni suggerimenti vengono visualizzati in stampa.</v>
      </c>
    </row>
    <row r="32631">
      <c r="A32631" s="4" t="s">
        <v>41069</v>
      </c>
      <c r="B32631" s="4" t="s">
        <v>41073</v>
      </c>
      <c r="C32631" s="5" t="str">
        <f>IFERROR(__xludf.DUMMYFUNCTION("GOOGLETRANSLATE(B32631,""en"",""it"")"),"Lo stilista di capelli mostra il prodotto finito mentre si veste in una cima nera e occhiali da sole.")</f>
        <v>Lo stilista di capelli mostra il prodotto finito mentre si veste in una cima nera e occhiali da sole.</v>
      </c>
    </row>
    <row r="32632">
      <c r="A32632" s="4" t="s">
        <v>41074</v>
      </c>
      <c r="B32632" s="4" t="s">
        <v>41075</v>
      </c>
      <c r="C32632" s="5" t="str">
        <f>IFERROR(__xludf.DUMMYFUNCTION("GOOGLETRANSLATE(B32632,""en"",""it"")"),"Alcune persone tentano di navigare in un oceano.")</f>
        <v>Alcune persone tentano di navigare in un oceano.</v>
      </c>
    </row>
    <row r="32633">
      <c r="A32633" s="4" t="s">
        <v>41074</v>
      </c>
      <c r="B32633" s="4" t="s">
        <v>41076</v>
      </c>
      <c r="C32633" s="5" t="str">
        <f>IFERROR(__xludf.DUMMYFUNCTION("GOOGLETRANSLATE(B32633,""en"",""it"")"),"A volte cadono, ma spesso i surfisti fanno un ottimo lavoro.")</f>
        <v>A volte cadono, ma spesso i surfisti fanno un ottimo lavoro.</v>
      </c>
    </row>
    <row r="32634">
      <c r="A32634" s="4" t="s">
        <v>41077</v>
      </c>
      <c r="B32634" s="4" t="s">
        <v>41078</v>
      </c>
      <c r="C32634" s="5" t="str">
        <f>IFERROR(__xludf.DUMMYFUNCTION("GOOGLETRANSLATE(B32634,""en"",""it"")"),"Un uomo è seduto su una sedia da barbiere.")</f>
        <v>Un uomo è seduto su una sedia da barbiere.</v>
      </c>
    </row>
    <row r="32635">
      <c r="A32635" s="4" t="s">
        <v>41077</v>
      </c>
      <c r="B32635" s="4" t="s">
        <v>41079</v>
      </c>
      <c r="C32635" s="5" t="str">
        <f>IFERROR(__xludf.DUMMYFUNCTION("GOOGLETRANSLATE(B32635,""en"",""it"")"),"Un altro uomo inizia a radersi i lati della sua testa.")</f>
        <v>Un altro uomo inizia a radersi i lati della sua testa.</v>
      </c>
    </row>
    <row r="32636">
      <c r="A32636" s="4" t="s">
        <v>41077</v>
      </c>
      <c r="B32636" s="4" t="s">
        <v>41080</v>
      </c>
      <c r="C32636" s="5" t="str">
        <f>IFERROR(__xludf.DUMMYFUNCTION("GOOGLETRANSLATE(B32636,""en"",""it"")"),"Gli soffia gli asciugati i capelli e li accompagna.")</f>
        <v>Gli soffia gli asciugati i capelli e li accompagna.</v>
      </c>
    </row>
    <row r="32637">
      <c r="A32637" s="4" t="s">
        <v>41077</v>
      </c>
      <c r="B32637" s="4" t="s">
        <v>41081</v>
      </c>
      <c r="C32637" s="5" t="str">
        <f>IFERROR(__xludf.DUMMYFUNCTION("GOOGLETRANSLATE(B32637,""en"",""it"")"),"Mette un po 'di gel nei capelli.")</f>
        <v>Mette un po 'di gel nei capelli.</v>
      </c>
    </row>
    <row r="32638">
      <c r="A32638" s="4" t="s">
        <v>41082</v>
      </c>
      <c r="B32638" s="4" t="s">
        <v>41083</v>
      </c>
      <c r="C32638" s="5" t="str">
        <f>IFERROR(__xludf.DUMMYFUNCTION("GOOGLETRANSLATE(B32638,""en"",""it"")"),"Una telecamera si panoramica intorno a un lago e alberi e conduce a persone che tirano avanti una corda.")</f>
        <v>Una telecamera si panoramica intorno a un lago e alberi e conduce a persone che tirano avanti una corda.</v>
      </c>
    </row>
    <row r="32639">
      <c r="A32639" s="4" t="s">
        <v>41082</v>
      </c>
      <c r="B32639" s="6" t="s">
        <v>41084</v>
      </c>
      <c r="C32639" s="5" t="str">
        <f>IFERROR(__xludf.DUMMYFUNCTION("GOOGLETRANSLATE(B32639,""en"",""it"")"),"Un uomo lega la corda in posizione e mostra diverse clip di persone che pendono sulla corda e camminano.")</f>
        <v>Un uomo lega la corda in posizione e mostra diverse clip di persone che pendono sulla corda e camminano.</v>
      </c>
    </row>
    <row r="32640">
      <c r="A32640" s="4" t="s">
        <v>41082</v>
      </c>
      <c r="B32640" s="4" t="s">
        <v>41085</v>
      </c>
      <c r="C32640" s="5" t="str">
        <f>IFERROR(__xludf.DUMMYFUNCTION("GOOGLETRANSLATE(B32640,""en"",""it"")"),"Vengono mostrate più clip di persone che camminano lungo la corda e più paesaggi.")</f>
        <v>Vengono mostrate più clip di persone che camminano lungo la corda e più paesaggi.</v>
      </c>
    </row>
    <row r="32641">
      <c r="A32641" s="4" t="s">
        <v>41086</v>
      </c>
      <c r="B32641" s="4" t="s">
        <v>41087</v>
      </c>
      <c r="C32641" s="5" t="str">
        <f>IFERROR(__xludf.DUMMYFUNCTION("GOOGLETRANSLATE(B32641,""en"",""it"")"),"Una signora gioca con i capelli.")</f>
        <v>Una signora gioca con i capelli.</v>
      </c>
    </row>
    <row r="32642">
      <c r="A32642" s="4" t="s">
        <v>41086</v>
      </c>
      <c r="B32642" s="4" t="s">
        <v>4828</v>
      </c>
      <c r="C32642" s="5" t="str">
        <f>IFERROR(__xludf.DUMMYFUNCTION("GOOGLETRANSLATE(B32642,""en"",""it"")"),"La signora si lava i capelli.")</f>
        <v>La signora si lava i capelli.</v>
      </c>
    </row>
    <row r="32643">
      <c r="A32643" s="4" t="s">
        <v>41086</v>
      </c>
      <c r="B32643" s="6" t="s">
        <v>41088</v>
      </c>
      <c r="C32643" s="5" t="str">
        <f>IFERROR(__xludf.DUMMYFUNCTION("GOOGLETRANSLATE(B32643,""en"",""it"")"),"La signora si sfiora il fondo dei capelli allungando il braccio verso l'alto, sfiora la parte superiore e le estremità e finisce.")</f>
        <v>La signora si sfiora il fondo dei capelli allungando il braccio verso l'alto, sfiora la parte superiore e le estremità e finisce.</v>
      </c>
    </row>
    <row r="32644">
      <c r="A32644" s="4" t="s">
        <v>41089</v>
      </c>
      <c r="B32644" s="4" t="s">
        <v>41090</v>
      </c>
      <c r="C32644" s="5" t="str">
        <f>IFERROR(__xludf.DUMMYFUNCTION("GOOGLETRANSLATE(B32644,""en"",""it"")"),"Un gruppo di persone è in una palestra del liceo.")</f>
        <v>Un gruppo di persone è in una palestra del liceo.</v>
      </c>
    </row>
    <row r="32645">
      <c r="A32645" s="4" t="s">
        <v>41089</v>
      </c>
      <c r="B32645" s="4" t="s">
        <v>41091</v>
      </c>
      <c r="C32645" s="5" t="str">
        <f>IFERROR(__xludf.DUMMYFUNCTION("GOOGLETRANSLATE(B32645,""en"",""it"")"),"I maschi sono in collaborazione con le femmine e si tengono per mano.")</f>
        <v>I maschi sono in collaborazione con le femmine e si tengono per mano.</v>
      </c>
    </row>
    <row r="32646">
      <c r="A32646" s="4" t="s">
        <v>41089</v>
      </c>
      <c r="B32646" s="4" t="s">
        <v>41092</v>
      </c>
      <c r="C32646" s="5" t="str">
        <f>IFERROR(__xludf.DUMMYFUNCTION("GOOGLETRANSLATE(B32646,""en"",""it"")"),"Ora stanno ballando tutti la stessa danza.")</f>
        <v>Ora stanno ballando tutti la stessa danza.</v>
      </c>
    </row>
    <row r="32647">
      <c r="A32647" s="4" t="s">
        <v>41089</v>
      </c>
      <c r="B32647" s="4" t="s">
        <v>41093</v>
      </c>
      <c r="C32647" s="5" t="str">
        <f>IFERROR(__xludf.DUMMYFUNCTION("GOOGLETRANSLATE(B32647,""en"",""it"")"),"Sembra essere una specie di danza tango.")</f>
        <v>Sembra essere una specie di danza tango.</v>
      </c>
    </row>
    <row r="32648">
      <c r="A32648" s="4" t="s">
        <v>41089</v>
      </c>
      <c r="B32648" s="4" t="s">
        <v>41094</v>
      </c>
      <c r="C32648" s="5" t="str">
        <f>IFERROR(__xludf.DUMMYFUNCTION("GOOGLETRANSLATE(B32648,""en"",""it"")"),"Gli uomini stanno girando le ragazze intorno alle loro mani.")</f>
        <v>Gli uomini stanno girando le ragazze intorno alle loro mani.</v>
      </c>
    </row>
    <row r="32649">
      <c r="A32649" s="4" t="s">
        <v>41089</v>
      </c>
      <c r="B32649" s="4" t="s">
        <v>41095</v>
      </c>
      <c r="C32649" s="5" t="str">
        <f>IFERROR(__xludf.DUMMYFUNCTION("GOOGLETRANSLATE(B32649,""en"",""it"")"),"Gli uomini stanno guidando le ragazze nella danza.")</f>
        <v>Gli uomini stanno guidando le ragazze nella danza.</v>
      </c>
    </row>
    <row r="32650">
      <c r="A32650" s="4" t="s">
        <v>41089</v>
      </c>
      <c r="B32650" s="4" t="s">
        <v>41096</v>
      </c>
      <c r="C32650" s="5" t="str">
        <f>IFERROR(__xludf.DUMMYFUNCTION("GOOGLETRANSLATE(B32650,""en"",""it"")"),"Le ragazze si girano intorno ai ragazzi.")</f>
        <v>Le ragazze si girano intorno ai ragazzi.</v>
      </c>
    </row>
    <row r="32651">
      <c r="A32651" s="4" t="s">
        <v>41089</v>
      </c>
      <c r="B32651" s="4" t="s">
        <v>41097</v>
      </c>
      <c r="C32651" s="5" t="str">
        <f>IFERROR(__xludf.DUMMYFUNCTION("GOOGLETRANSLATE(B32651,""en"",""it"")"),"La danza continua per molti altri momenti.")</f>
        <v>La danza continua per molti altri momenti.</v>
      </c>
    </row>
    <row r="32652">
      <c r="A32652" s="4" t="s">
        <v>41089</v>
      </c>
      <c r="B32652" s="4" t="s">
        <v>41098</v>
      </c>
      <c r="C32652" s="5" t="str">
        <f>IFERROR(__xludf.DUMMYFUNCTION("GOOGLETRANSLATE(B32652,""en"",""it"")"),"Le ragazze e i ragazzi si separano.")</f>
        <v>Le ragazze e i ragazzi si separano.</v>
      </c>
    </row>
    <row r="32653">
      <c r="A32653" s="4" t="s">
        <v>41089</v>
      </c>
      <c r="B32653" s="4" t="s">
        <v>41099</v>
      </c>
      <c r="C32653" s="5" t="str">
        <f>IFERROR(__xludf.DUMMYFUNCTION("GOOGLETRANSLATE(B32653,""en"",""it"")"),"Le ragazze roteano in giro, poi i ragazzi li prendono per finire.")</f>
        <v>Le ragazze roteano in giro, poi i ragazzi li prendono per finire.</v>
      </c>
    </row>
    <row r="32654">
      <c r="A32654" s="4" t="s">
        <v>41100</v>
      </c>
      <c r="B32654" s="4" t="s">
        <v>41101</v>
      </c>
      <c r="C32654" s="5" t="str">
        <f>IFERROR(__xludf.DUMMYFUNCTION("GOOGLETRANSLATE(B32654,""en"",""it"")"),"Vediamo un uomo in una camicia rosa lanciare una palla in una tazza in una partita di birra.")</f>
        <v>Vediamo un uomo in una camicia rosa lanciare una palla in una tazza in una partita di birra.</v>
      </c>
    </row>
    <row r="32655">
      <c r="A32655" s="4" t="s">
        <v>41100</v>
      </c>
      <c r="B32655" s="4" t="s">
        <v>41102</v>
      </c>
      <c r="C32655" s="5" t="str">
        <f>IFERROR(__xludf.DUMMYFUNCTION("GOOGLETRANSLATE(B32655,""en"",""it"")"),"L'uomo nella squadra sinistra fa esplodere la palla dalla tazza.")</f>
        <v>L'uomo nella squadra sinistra fa esplodere la palla dalla tazza.</v>
      </c>
    </row>
    <row r="32656">
      <c r="A32656" s="4" t="s">
        <v>41100</v>
      </c>
      <c r="B32656" s="4" t="s">
        <v>41103</v>
      </c>
      <c r="C32656" s="5" t="str">
        <f>IFERROR(__xludf.DUMMYFUNCTION("GOOGLETRANSLATE(B32656,""en"",""it"")"),"L'uomo e le due donne ridono e rallegrano e alzava una signora.")</f>
        <v>L'uomo e le due donne ridono e rallegrano e alzava una signora.</v>
      </c>
    </row>
    <row r="32657">
      <c r="A32657" s="4" t="s">
        <v>41100</v>
      </c>
      <c r="B32657" s="4" t="s">
        <v>41104</v>
      </c>
      <c r="C32657" s="5" t="str">
        <f>IFERROR(__xludf.DUMMYFUNCTION("GOOGLETRANSLATE(B32657,""en"",""it"")"),"L'uomo fa segni di mano.")</f>
        <v>L'uomo fa segni di mano.</v>
      </c>
    </row>
    <row r="32658">
      <c r="A32658" s="4" t="s">
        <v>41105</v>
      </c>
      <c r="B32658" s="6" t="s">
        <v>41106</v>
      </c>
      <c r="C32658" s="5" t="str">
        <f>IFERROR(__xludf.DUMMYFUNCTION("GOOGLETRANSLATE(B32658,""en"",""it"")"),"C'è un giovane vestito con una camicia nera che gira in cerchio per mostrare i suoi capelli dalla parte anteriore e posteriore.")</f>
        <v>C'è un giovane vestito con una camicia nera che gira in cerchio per mostrare i suoi capelli dalla parte anteriore e posteriore.</v>
      </c>
    </row>
    <row r="32659">
      <c r="A32659" s="4" t="s">
        <v>41105</v>
      </c>
      <c r="B32659" s="4" t="s">
        <v>41107</v>
      </c>
      <c r="C32659" s="5" t="str">
        <f>IFERROR(__xludf.DUMMYFUNCTION("GOOGLETRANSLATE(B32659,""en"",""it"")"),"Quindi prende un flacone spray e spruzza i capelli con acqua e li compone.")</f>
        <v>Quindi prende un flacone spray e spruzza i capelli con acqua e li compone.</v>
      </c>
    </row>
    <row r="32660">
      <c r="A32660" s="4" t="s">
        <v>41105</v>
      </c>
      <c r="B32660" s="4" t="s">
        <v>41108</v>
      </c>
      <c r="C32660" s="5" t="str">
        <f>IFERROR(__xludf.DUMMYFUNCTION("GOOGLETRANSLATE(B32660,""en"",""it"")"),"Quindi prende un rasoio e inizia a radersi i lati e la parte posteriore della sua testa.")</f>
        <v>Quindi prende un rasoio e inizia a radersi i lati e la parte posteriore della sua testa.</v>
      </c>
    </row>
    <row r="32661">
      <c r="A32661" s="4" t="s">
        <v>41105</v>
      </c>
      <c r="B32661" s="4" t="s">
        <v>41109</v>
      </c>
      <c r="C32661" s="5" t="str">
        <f>IFERROR(__xludf.DUMMYFUNCTION("GOOGLETRANSLATE(B32661,""en"",""it"")"),"Prende un paio di forbici e inizia a tagliare la parte superiore dei capelli.")</f>
        <v>Prende un paio di forbici e inizia a tagliare la parte superiore dei capelli.</v>
      </c>
    </row>
    <row r="32662">
      <c r="A32662" s="4" t="s">
        <v>41105</v>
      </c>
      <c r="B32662" s="4" t="s">
        <v>41110</v>
      </c>
      <c r="C32662" s="5" t="str">
        <f>IFERROR(__xludf.DUMMYFUNCTION("GOOGLETRANSLATE(B32662,""en"",""it"")"),"Usa un pettine nero e le forbici per puntare i capelli.")</f>
        <v>Usa un pettine nero e le forbici per puntare i capelli.</v>
      </c>
    </row>
    <row r="32663">
      <c r="A32663" s="4" t="s">
        <v>41105</v>
      </c>
      <c r="B32663" s="4" t="s">
        <v>41111</v>
      </c>
      <c r="C32663" s="5" t="str">
        <f>IFERROR(__xludf.DUMMYFUNCTION("GOOGLETRANSLATE(B32663,""en"",""it"")"),"Tiene i capelli in mano mentre li tagli.")</f>
        <v>Tiene i capelli in mano mentre li tagli.</v>
      </c>
    </row>
    <row r="32664">
      <c r="A32664" s="4" t="s">
        <v>41105</v>
      </c>
      <c r="B32664" s="4" t="s">
        <v>41112</v>
      </c>
      <c r="C32664" s="5" t="str">
        <f>IFERROR(__xludf.DUMMYFUNCTION("GOOGLETRANSLATE(B32664,""en"",""it"")"),"Prende di nuovo il rasoio e si rade i lati.")</f>
        <v>Prende di nuovo il rasoio e si rade i lati.</v>
      </c>
    </row>
    <row r="32665">
      <c r="A32665" s="4" t="s">
        <v>41105</v>
      </c>
      <c r="B32665" s="4" t="s">
        <v>41113</v>
      </c>
      <c r="C32665" s="5" t="str">
        <f>IFERROR(__xludf.DUMMYFUNCTION("GOOGLETRANSLATE(B32665,""en"",""it"")"),"Prende anche le forbici e taglia i capelli.")</f>
        <v>Prende anche le forbici e taglia i capelli.</v>
      </c>
    </row>
    <row r="32666">
      <c r="A32666" s="4" t="s">
        <v>41105</v>
      </c>
      <c r="B32666" s="4" t="s">
        <v>41114</v>
      </c>
      <c r="C32666" s="5" t="str">
        <f>IFERROR(__xludf.DUMMYFUNCTION("GOOGLETRANSLATE(B32666,""en"",""it"")"),"Quindi gli soffia i capelli.")</f>
        <v>Quindi gli soffia i capelli.</v>
      </c>
    </row>
    <row r="32667">
      <c r="A32667" s="4" t="s">
        <v>41105</v>
      </c>
      <c r="B32667" s="6" t="s">
        <v>41115</v>
      </c>
      <c r="C32667" s="5" t="str">
        <f>IFERROR(__xludf.DUMMYFUNCTION("GOOGLETRANSLATE(B32667,""en"",""it"")"),"Prende una piccola quantità di gel per capelli sul dito dal contenitore e lo strofina attraverso la lunga sezione dei suoi capelli.")</f>
        <v>Prende una piccola quantità di gel per capelli sul dito dal contenitore e lo strofina attraverso la lunga sezione dei suoi capelli.</v>
      </c>
    </row>
    <row r="32668">
      <c r="A32668" s="4" t="s">
        <v>41105</v>
      </c>
      <c r="B32668" s="4" t="s">
        <v>41116</v>
      </c>
      <c r="C32668" s="5" t="str">
        <f>IFERROR(__xludf.DUMMYFUNCTION("GOOGLETRANSLATE(B32668,""en"",""it"")"),"Quindi abbraccia i capelli per modellarli.")</f>
        <v>Quindi abbraccia i capelli per modellarli.</v>
      </c>
    </row>
    <row r="32669">
      <c r="A32669" s="4" t="s">
        <v>41105</v>
      </c>
      <c r="B32669" s="4" t="s">
        <v>41117</v>
      </c>
      <c r="C32669" s="5" t="str">
        <f>IFERROR(__xludf.DUMMYFUNCTION("GOOGLETRANSLATE(B32669,""en"",""it"")"),"Corre le dita tra i capelli per finire il look.")</f>
        <v>Corre le dita tra i capelli per finire il look.</v>
      </c>
    </row>
    <row r="32670">
      <c r="A32670" s="4" t="s">
        <v>41105</v>
      </c>
      <c r="B32670" s="4" t="s">
        <v>41118</v>
      </c>
      <c r="C32670" s="5" t="str">
        <f>IFERROR(__xludf.DUMMYFUNCTION("GOOGLETRANSLATE(B32670,""en"",""it"")"),"Ruota intorno per mostrare la sua acconciatura da tutti gli angoli.")</f>
        <v>Ruota intorno per mostrare la sua acconciatura da tutti gli angoli.</v>
      </c>
    </row>
    <row r="32671">
      <c r="A32671" s="4" t="s">
        <v>41119</v>
      </c>
      <c r="B32671" s="4" t="s">
        <v>41120</v>
      </c>
      <c r="C32671" s="5" t="str">
        <f>IFERROR(__xludf.DUMMYFUNCTION("GOOGLETRANSLATE(B32671,""en"",""it"")"),"Un gruppo di persone è raccolto in cerchio.")</f>
        <v>Un gruppo di persone è raccolto in cerchio.</v>
      </c>
    </row>
    <row r="32672">
      <c r="A32672" s="4" t="s">
        <v>41119</v>
      </c>
      <c r="B32672" s="4" t="s">
        <v>41121</v>
      </c>
      <c r="C32672" s="5" t="str">
        <f>IFERROR(__xludf.DUMMYFUNCTION("GOOGLETRANSLATE(B32672,""en"",""it"")"),"Due uomini sono nel cerchio che dimostrano un'arte marziale.")</f>
        <v>Due uomini sono nel cerchio che dimostrano un'arte marziale.</v>
      </c>
    </row>
    <row r="32673">
      <c r="A32673" s="4" t="s">
        <v>41119</v>
      </c>
      <c r="B32673" s="4" t="s">
        <v>41122</v>
      </c>
      <c r="C32673" s="5" t="str">
        <f>IFERROR(__xludf.DUMMYFUNCTION("GOOGLETRANSLATE(B32673,""en"",""it"")"),"Diversi uomini nel cerchio suonano uno strumento.")</f>
        <v>Diversi uomini nel cerchio suonano uno strumento.</v>
      </c>
    </row>
    <row r="32674">
      <c r="A32674" s="4" t="s">
        <v>41123</v>
      </c>
      <c r="B32674" s="4" t="s">
        <v>41124</v>
      </c>
      <c r="C32674" s="5" t="str">
        <f>IFERROR(__xludf.DUMMYFUNCTION("GOOGLETRANSLATE(B32674,""en"",""it"")"),"Un parrucchiere sta tagliando i capelli da uomo, a partire dalla parte superiore.")</f>
        <v>Un parrucchiere sta tagliando i capelli da uomo, a partire dalla parte superiore.</v>
      </c>
    </row>
    <row r="32675">
      <c r="A32675" s="4" t="s">
        <v>41123</v>
      </c>
      <c r="B32675" s="4" t="s">
        <v>41125</v>
      </c>
      <c r="C32675" s="5" t="str">
        <f>IFERROR(__xludf.DUMMYFUNCTION("GOOGLETRANSLATE(B32675,""en"",""it"")"),"Quindi, inizia dal taglio posteriore e si pettina lì.")</f>
        <v>Quindi, inizia dal taglio posteriore e si pettina lì.</v>
      </c>
    </row>
    <row r="32676">
      <c r="A32676" s="4" t="s">
        <v>41123</v>
      </c>
      <c r="B32676" s="4" t="s">
        <v>41126</v>
      </c>
      <c r="C32676" s="5" t="str">
        <f>IFERROR(__xludf.DUMMYFUNCTION("GOOGLETRANSLATE(B32676,""en"",""it"")"),"Dopo di che usa alcuni Clipper per tagliare alcune delle aree più difficili.")</f>
        <v>Dopo di che usa alcuni Clipper per tagliare alcune delle aree più difficili.</v>
      </c>
    </row>
    <row r="32677">
      <c r="A32677" s="4" t="s">
        <v>41123</v>
      </c>
      <c r="B32677" s="4" t="s">
        <v>41127</v>
      </c>
      <c r="C32677" s="5" t="str">
        <f>IFERROR(__xludf.DUMMYFUNCTION("GOOGLETRANSLATE(B32677,""en"",""it"")"),"Finalmente usando il pettine per modellarlo un po 'e dargli tocchi di finitura.")</f>
        <v>Finalmente usando il pettine per modellarlo un po 'e dargli tocchi di finitura.</v>
      </c>
    </row>
    <row r="32678">
      <c r="A32678" s="4" t="s">
        <v>41128</v>
      </c>
      <c r="B32678" s="4" t="s">
        <v>41129</v>
      </c>
      <c r="C32678" s="5" t="str">
        <f>IFERROR(__xludf.DUMMYFUNCTION("GOOGLETRANSLATE(B32678,""en"",""it"")"),"Due ragazzi appare in un cortile e parlano alla telecamera.")</f>
        <v>Due ragazzi appare in un cortile e parlano alla telecamera.</v>
      </c>
    </row>
    <row r="32679">
      <c r="A32679" s="4" t="s">
        <v>41128</v>
      </c>
      <c r="B32679" s="6" t="s">
        <v>41130</v>
      </c>
      <c r="C32679" s="5" t="str">
        <f>IFERROR(__xludf.DUMMYFUNCTION("GOOGLETRANSLATE(B32679,""en"",""it"")"),"I ragazzi sono su una superficie di legno che suonano forbici di carta rocciosa e il perdente viene dato un colpo di legno nelle noci e sono caduti a terra.")</f>
        <v>I ragazzi sono su una superficie di legno che suonano forbici di carta rocciosa e il perdente viene dato un colpo di legno nelle noci e sono caduti a terra.</v>
      </c>
    </row>
    <row r="32680">
      <c r="A32680" s="4" t="s">
        <v>41128</v>
      </c>
      <c r="B32680" s="4" t="s">
        <v>41131</v>
      </c>
      <c r="C32680" s="5" t="str">
        <f>IFERROR(__xludf.DUMMYFUNCTION("GOOGLETRANSLATE(B32680,""en"",""it"")"),"L'uomo sta parlando con la telecamera e altri ragazzi sono sul retro e poi parla con il vincitore.")</f>
        <v>L'uomo sta parlando con la telecamera e altri ragazzi sono sul retro e poi parla con il vincitore.</v>
      </c>
    </row>
    <row r="32681">
      <c r="A32681" s="4" t="s">
        <v>41128</v>
      </c>
      <c r="B32681" s="6" t="s">
        <v>41132</v>
      </c>
      <c r="C32681" s="5" t="str">
        <f>IFERROR(__xludf.DUMMYFUNCTION("GOOGLETRANSLATE(B32681,""en"",""it"")"),"Stanno giocando a due forbici di carta rocciosa del secondo giro e di nuovo il perdente è un colpo di legno nelle noci e un uomo sta parlando con la telecamera.")</f>
        <v>Stanno giocando a due forbici di carta rocciosa del secondo giro e di nuovo il perdente è un colpo di legno nelle noci e un uomo sta parlando con la telecamera.</v>
      </c>
    </row>
    <row r="32682">
      <c r="A32682" s="4" t="s">
        <v>41128</v>
      </c>
      <c r="B32682" s="6" t="s">
        <v>41133</v>
      </c>
      <c r="C32682" s="5" t="str">
        <f>IFERROR(__xludf.DUMMYFUNCTION("GOOGLETRANSLATE(B32682,""en"",""it"")"),"I ragazzi fanno il round finale di forbici di carta rocciosa e viene annunciato il vincitore, uno degli uomini fa un successo nel pazzo per entrambi i ragazzi.")</f>
        <v>I ragazzi fanno il round finale di forbici di carta rocciosa e viene annunciato il vincitore, uno degli uomini fa un successo nel pazzo per entrambi i ragazzi.</v>
      </c>
    </row>
    <row r="32683">
      <c r="A32683" s="4" t="s">
        <v>41134</v>
      </c>
      <c r="B32683" s="4" t="s">
        <v>41135</v>
      </c>
      <c r="C32683" s="5" t="str">
        <f>IFERROR(__xludf.DUMMYFUNCTION("GOOGLETRANSLATE(B32683,""en"",""it"")"),"Una persona si trova su un tappetino.")</f>
        <v>Una persona si trova su un tappetino.</v>
      </c>
    </row>
    <row r="32684">
      <c r="A32684" s="4" t="s">
        <v>41134</v>
      </c>
      <c r="B32684" s="4" t="s">
        <v>41136</v>
      </c>
      <c r="C32684" s="5" t="str">
        <f>IFERROR(__xludf.DUMMYFUNCTION("GOOGLETRANSLATE(B32684,""en"",""it"")"),"Corrono lungo una passerella con un palo e un caveau sopra una barra.")</f>
        <v>Corrono lungo una passerella con un palo e un caveau sopra una barra.</v>
      </c>
    </row>
    <row r="32685">
      <c r="A32685" s="4" t="s">
        <v>41134</v>
      </c>
      <c r="B32685" s="4" t="s">
        <v>41137</v>
      </c>
      <c r="C32685" s="5" t="str">
        <f>IFERROR(__xludf.DUMMYFUNCTION("GOOGLETRANSLATE(B32685,""en"",""it"")"),"Atterrano sulla schiena su un tappetino.")</f>
        <v>Atterrano sulla schiena su un tappetino.</v>
      </c>
    </row>
    <row r="32686">
      <c r="A32686" s="4" t="s">
        <v>41138</v>
      </c>
      <c r="B32686" s="6" t="s">
        <v>41139</v>
      </c>
      <c r="C32686" s="5" t="str">
        <f>IFERROR(__xludf.DUMMYFUNCTION("GOOGLETRANSLATE(B32686,""en"",""it"")"),"Due gemelli vestiti allo stesso modo e con la stessa acconciatura sono in una stanza a parlare con la telecamera.")</f>
        <v>Due gemelli vestiti allo stesso modo e con la stessa acconciatura sono in una stanza a parlare con la telecamera.</v>
      </c>
    </row>
    <row r="32687">
      <c r="A32687" s="4" t="s">
        <v>41138</v>
      </c>
      <c r="B32687" s="6" t="s">
        <v>41140</v>
      </c>
      <c r="C32687" s="5" t="str">
        <f>IFERROR(__xludf.DUMMYFUNCTION("GOOGLETRANSLATE(B32687,""en"",""it"")"),"L'uomo nella parte posteriore inizia a mettere alcuni pugili sopra i pantaloni e l'uomo davanti continua a parlare con la telecamera.")</f>
        <v>L'uomo nella parte posteriore inizia a mettere alcuni pugili sopra i pantaloni e l'uomo davanti continua a parlare con la telecamera.</v>
      </c>
    </row>
    <row r="32688">
      <c r="A32688" s="4" t="s">
        <v>41138</v>
      </c>
      <c r="B32688" s="6" t="s">
        <v>41141</v>
      </c>
      <c r="C32688" s="5" t="str">
        <f>IFERROR(__xludf.DUMMYFUNCTION("GOOGLETRANSLATE(B32688,""en"",""it"")"),"L'uomo davanti tiene un pennello e mette un po 'di dentifricio e pulisce i denti, quindi il ragazzo introduce lo spazzolino da denti in una pentola di miele e spazzola i denti con esso.")</f>
        <v>L'uomo davanti tiene un pennello e mette un po 'di dentifricio e pulisce i denti, quindi il ragazzo introduce lo spazzolino da denti in una pentola di miele e spazzola i denti con esso.</v>
      </c>
    </row>
    <row r="32689">
      <c r="A32689" s="4" t="s">
        <v>41138</v>
      </c>
      <c r="B32689" s="6" t="s">
        <v>41142</v>
      </c>
      <c r="C32689" s="5" t="str">
        <f>IFERROR(__xludf.DUMMYFUNCTION("GOOGLETRANSLATE(B32689,""en"",""it"")"),"L'uomo davanti tiene un spazzola per capelli e l'altro ragazzo beve acqua, l'altro ragazzo tiene uno spazzolino da denti con la marmellata e si lava i denti.")</f>
        <v>L'uomo davanti tiene un spazzola per capelli e l'altro ragazzo beve acqua, l'altro ragazzo tiene uno spazzolino da denti con la marmellata e si lava i denti.</v>
      </c>
    </row>
    <row r="32690">
      <c r="A32690" s="4" t="s">
        <v>41143</v>
      </c>
      <c r="B32690" s="4" t="s">
        <v>41144</v>
      </c>
      <c r="C32690" s="5" t="str">
        <f>IFERROR(__xludf.DUMMYFUNCTION("GOOGLETRANSLATE(B32690,""en"",""it"")"),"Un piccolo cane sta giocando con un frisbee rosa.")</f>
        <v>Un piccolo cane sta giocando con un frisbee rosa.</v>
      </c>
    </row>
    <row r="32691">
      <c r="A32691" s="4" t="s">
        <v>41143</v>
      </c>
      <c r="B32691" s="4" t="s">
        <v>41145</v>
      </c>
      <c r="C32691" s="5" t="str">
        <f>IFERROR(__xludf.DUMMYFUNCTION("GOOGLETRANSLATE(B32691,""en"",""it"")"),"Un uomo con una camicia bianca e pantaloncini rossi si sdraia e mette i piedi in aria.")</f>
        <v>Un uomo con una camicia bianca e pantaloncini rossi si sdraia e mette i piedi in aria.</v>
      </c>
    </row>
    <row r="32692">
      <c r="A32692" s="4" t="s">
        <v>41143</v>
      </c>
      <c r="B32692" s="4" t="s">
        <v>41146</v>
      </c>
      <c r="C32692" s="5" t="str">
        <f>IFERROR(__xludf.DUMMYFUNCTION("GOOGLETRANSLATE(B32692,""en"",""it"")"),"Il cane si trova sopra i piedi dell'uomo.")</f>
        <v>Il cane si trova sopra i piedi dell'uomo.</v>
      </c>
    </row>
    <row r="32693">
      <c r="A32693" s="4" t="s">
        <v>41143</v>
      </c>
      <c r="B32693" s="4" t="s">
        <v>41147</v>
      </c>
      <c r="C32693" s="5" t="str">
        <f>IFERROR(__xludf.DUMMYFUNCTION("GOOGLETRANSLATE(B32693,""en"",""it"")"),"Le persone li guardano in disparte.")</f>
        <v>Le persone li guardano in disparte.</v>
      </c>
    </row>
    <row r="32694">
      <c r="A32694" s="4" t="s">
        <v>41148</v>
      </c>
      <c r="B32694" s="4" t="s">
        <v>41149</v>
      </c>
      <c r="C32694" s="5" t="str">
        <f>IFERROR(__xludf.DUMMYFUNCTION("GOOGLETRANSLATE(B32694,""en"",""it"")"),"L'uomo è seduto su una barca in un lago calmo.")</f>
        <v>L'uomo è seduto su una barca in un lago calmo.</v>
      </c>
    </row>
    <row r="32695">
      <c r="A32695" s="4" t="s">
        <v>41148</v>
      </c>
      <c r="B32695" s="4" t="s">
        <v>41150</v>
      </c>
      <c r="C32695" s="5" t="str">
        <f>IFERROR(__xludf.DUMMYFUNCTION("GOOGLETRANSLATE(B32695,""en"",""it"")"),"L'auto viene guidata in un'autostrada con auto in piedi sui lati.")</f>
        <v>L'auto viene guidata in un'autostrada con auto in piedi sui lati.</v>
      </c>
    </row>
    <row r="32696">
      <c r="A32696" s="4" t="s">
        <v>41148</v>
      </c>
      <c r="B32696" s="4" t="s">
        <v>41151</v>
      </c>
      <c r="C32696" s="5" t="str">
        <f>IFERROR(__xludf.DUMMYFUNCTION("GOOGLETRANSLATE(B32696,""en"",""it"")"),"Viene mostrata la foto di un Iver e la macchina attraversa l'Haighway e arriva a un lago.")</f>
        <v>Viene mostrata la foto di un Iver e la macchina attraversa l'Haighway e arriva a un lago.</v>
      </c>
    </row>
    <row r="32697">
      <c r="A32697" s="4" t="s">
        <v>41148</v>
      </c>
      <c r="B32697" s="4" t="s">
        <v>41152</v>
      </c>
      <c r="C32697" s="5" t="str">
        <f>IFERROR(__xludf.DUMMYFUNCTION("GOOGLETRANSLATE(B32697,""en"",""it"")"),"Le persone sono in barca a remare nel fiume e arrivano in un campo sul molo.")</f>
        <v>Le persone sono in barca a remare nel fiume e arrivano in un campo sul molo.</v>
      </c>
    </row>
    <row r="32698">
      <c r="A32698" s="4" t="s">
        <v>41153</v>
      </c>
      <c r="B32698" s="4" t="s">
        <v>41154</v>
      </c>
      <c r="C32698" s="5" t="str">
        <f>IFERROR(__xludf.DUMMYFUNCTION("GOOGLETRANSLATE(B32698,""en"",""it"")"),"Un uomo corre con un palo con entrambe le mani.")</f>
        <v>Un uomo corre con un palo con entrambe le mani.</v>
      </c>
    </row>
    <row r="32699">
      <c r="A32699" s="4" t="s">
        <v>41153</v>
      </c>
      <c r="B32699" s="4" t="s">
        <v>41155</v>
      </c>
      <c r="C32699" s="5" t="str">
        <f>IFERROR(__xludf.DUMMYFUNCTION("GOOGLETRANSLATE(B32699,""en"",""it"")"),"Quindi, salta in alto con il palo per passare sopra una barra orizzontale.")</f>
        <v>Quindi, salta in alto con il palo per passare sopra una barra orizzontale.</v>
      </c>
    </row>
    <row r="32700">
      <c r="A32700" s="4" t="s">
        <v>41153</v>
      </c>
      <c r="B32700" s="4" t="s">
        <v>41156</v>
      </c>
      <c r="C32700" s="5" t="str">
        <f>IFERROR(__xludf.DUMMYFUNCTION("GOOGLETRANSLATE(B32700,""en"",""it"")"),"L'uomo cade sul tappeto.")</f>
        <v>L'uomo cade sul tappeto.</v>
      </c>
    </row>
    <row r="32701">
      <c r="A32701" s="4" t="s">
        <v>41157</v>
      </c>
      <c r="B32701" s="4" t="s">
        <v>41158</v>
      </c>
      <c r="C32701" s="5" t="str">
        <f>IFERROR(__xludf.DUMMYFUNCTION("GOOGLETRANSLATE(B32701,""en"",""it"")"),"Un paio di ragazzi stanno cavalcando skateboard.")</f>
        <v>Un paio di ragazzi stanno cavalcando skateboard.</v>
      </c>
    </row>
    <row r="32702">
      <c r="A32702" s="4" t="s">
        <v>41157</v>
      </c>
      <c r="B32702" s="4" t="s">
        <v>41159</v>
      </c>
      <c r="C32702" s="5" t="str">
        <f>IFERROR(__xludf.DUMMYFUNCTION("GOOGLETRANSLATE(B32702,""en"",""it"")"),"Guardano un altro paio di uomini che giocano a basket.")</f>
        <v>Guardano un altro paio di uomini che giocano a basket.</v>
      </c>
    </row>
    <row r="32703">
      <c r="A32703" s="4" t="s">
        <v>41157</v>
      </c>
      <c r="B32703" s="4" t="s">
        <v>41160</v>
      </c>
      <c r="C32703" s="5" t="str">
        <f>IFERROR(__xludf.DUMMYFUNCTION("GOOGLETRANSLATE(B32703,""en"",""it"")"),"Discutono, poi i giocatori di basket se ne vanno.")</f>
        <v>Discutono, poi i giocatori di basket se ne vanno.</v>
      </c>
    </row>
    <row r="32704">
      <c r="A32704" s="4" t="s">
        <v>41161</v>
      </c>
      <c r="B32704" s="6" t="s">
        <v>41162</v>
      </c>
      <c r="C32704" s="5" t="str">
        <f>IFERROR(__xludf.DUMMYFUNCTION("GOOGLETRANSLATE(B32704,""en"",""it"")"),"Viene mostrata una scatola di rollerbldes e il coperchio viene aperto AMD TJE ACCESORESE VERIORE con i rollerblade.")</f>
        <v>Viene mostrata una scatola di rollerbldes e il coperchio viene aperto AMD TJE ACCESORESE VERIORE con i rollerblade.</v>
      </c>
    </row>
    <row r="32705">
      <c r="A32705" s="4" t="s">
        <v>41161</v>
      </c>
      <c r="B32705" s="4" t="s">
        <v>41163</v>
      </c>
      <c r="C32705" s="5" t="str">
        <f>IFERROR(__xludf.DUMMYFUNCTION("GOOGLETRANSLATE(B32705,""en"",""it"")"),"L'uomo è nel pattinaggio di strada e mostra le foto dei pattini.")</f>
        <v>L'uomo è nel pattinaggio di strada e mostra le foto dei pattini.</v>
      </c>
    </row>
    <row r="32706">
      <c r="A32706" s="4" t="s">
        <v>41164</v>
      </c>
      <c r="B32706" s="6" t="s">
        <v>41165</v>
      </c>
      <c r="C32706" s="5" t="str">
        <f>IFERROR(__xludf.DUMMYFUNCTION("GOOGLETRANSLATE(B32706,""en"",""it"")"),"Una donna in un parcheggio sta rimbalzando su e giù con una specie di attaccamento a bastoncino pogo sulle gambe.")</f>
        <v>Una donna in un parcheggio sta rimbalzando su e giù con una specie di attaccamento a bastoncino pogo sulle gambe.</v>
      </c>
    </row>
    <row r="32707">
      <c r="A32707" s="4" t="s">
        <v>41164</v>
      </c>
      <c r="B32707" s="4" t="s">
        <v>41166</v>
      </c>
      <c r="C32707" s="5" t="str">
        <f>IFERROR(__xludf.DUMMYFUNCTION("GOOGLETRANSLATE(B32707,""en"",""it"")"),"La donna cammina nel parcheggio.")</f>
        <v>La donna cammina nel parcheggio.</v>
      </c>
    </row>
    <row r="32708">
      <c r="A32708" s="4" t="s">
        <v>41164</v>
      </c>
      <c r="B32708" s="4" t="s">
        <v>41167</v>
      </c>
      <c r="C32708" s="5" t="str">
        <f>IFERROR(__xludf.DUMMYFUNCTION("GOOGLETRANSLATE(B32708,""en"",""it"")"),"La donna inizia a rimbalzare su e giù mentre cammina.")</f>
        <v>La donna inizia a rimbalzare su e giù mentre cammina.</v>
      </c>
    </row>
    <row r="32709">
      <c r="A32709" s="4" t="s">
        <v>41164</v>
      </c>
      <c r="B32709" s="4" t="s">
        <v>41168</v>
      </c>
      <c r="C32709" s="5" t="str">
        <f>IFERROR(__xludf.DUMMYFUNCTION("GOOGLETRANSLATE(B32709,""en"",""it"")"),"Un uomo si avvicina e parla alla donna.")</f>
        <v>Un uomo si avvicina e parla alla donna.</v>
      </c>
    </row>
    <row r="32710">
      <c r="A32710" s="4" t="s">
        <v>41164</v>
      </c>
      <c r="B32710" s="4" t="s">
        <v>41169</v>
      </c>
      <c r="C32710" s="5" t="str">
        <f>IFERROR(__xludf.DUMMYFUNCTION("GOOGLETRANSLATE(B32710,""en"",""it"")"),"La donna tiene le mani dell'uomo per equilibrio mentre rimbalza.")</f>
        <v>La donna tiene le mani dell'uomo per equilibrio mentre rimbalza.</v>
      </c>
    </row>
    <row r="32711">
      <c r="A32711" s="4" t="s">
        <v>41170</v>
      </c>
      <c r="B32711" s="4" t="s">
        <v>41171</v>
      </c>
      <c r="C32711" s="5" t="str">
        <f>IFERROR(__xludf.DUMMYFUNCTION("GOOGLETRANSLATE(B32711,""en"",""it"")"),"Un uomo sta aprendo la porta sul retro per lasciare fuori una bambina.")</f>
        <v>Un uomo sta aprendo la porta sul retro per lasciare fuori una bambina.</v>
      </c>
    </row>
    <row r="32712">
      <c r="A32712" s="4" t="s">
        <v>41170</v>
      </c>
      <c r="B32712" s="4" t="s">
        <v>41172</v>
      </c>
      <c r="C32712" s="5" t="str">
        <f>IFERROR(__xludf.DUMMYFUNCTION("GOOGLETRANSLATE(B32712,""en"",""it"")"),"L'uomo sta seguendo la bambina.")</f>
        <v>L'uomo sta seguendo la bambina.</v>
      </c>
    </row>
    <row r="32713">
      <c r="A32713" s="4" t="s">
        <v>41170</v>
      </c>
      <c r="B32713" s="4" t="s">
        <v>41173</v>
      </c>
      <c r="C32713" s="5" t="str">
        <f>IFERROR(__xludf.DUMMYFUNCTION("GOOGLETRANSLATE(B32713,""en"",""it"")"),"Una bambina cammina e punta verso la telecamera.")</f>
        <v>Una bambina cammina e punta verso la telecamera.</v>
      </c>
    </row>
    <row r="32714">
      <c r="A32714" s="4" t="s">
        <v>41170</v>
      </c>
      <c r="B32714" s="4" t="s">
        <v>41174</v>
      </c>
      <c r="C32714" s="5" t="str">
        <f>IFERROR(__xludf.DUMMYFUNCTION("GOOGLETRANSLATE(B32714,""en"",""it"")"),"Un cane entra in scena e la bambina salta di felicità.")</f>
        <v>Un cane entra in scena e la bambina salta di felicità.</v>
      </c>
    </row>
    <row r="32715">
      <c r="A32715" s="4" t="s">
        <v>41170</v>
      </c>
      <c r="B32715" s="4" t="s">
        <v>41175</v>
      </c>
      <c r="C32715" s="5" t="str">
        <f>IFERROR(__xludf.DUMMYFUNCTION("GOOGLETRANSLATE(B32715,""en"",""it"")"),"La bambina cammina per la sua diapositiva.")</f>
        <v>La bambina cammina per la sua diapositiva.</v>
      </c>
    </row>
    <row r="32716">
      <c r="A32716" s="4" t="s">
        <v>41170</v>
      </c>
      <c r="B32716" s="4" t="s">
        <v>41176</v>
      </c>
      <c r="C32716" s="5" t="str">
        <f>IFERROR(__xludf.DUMMYFUNCTION("GOOGLETRANSLATE(B32716,""en"",""it"")"),"La bambina inizia a salire sulla diapositiva e l'uomo la aiuta ad arrivare in cima.")</f>
        <v>La bambina inizia a salire sulla diapositiva e l'uomo la aiuta ad arrivare in cima.</v>
      </c>
    </row>
    <row r="32717">
      <c r="A32717" s="4" t="s">
        <v>41170</v>
      </c>
      <c r="B32717" s="4" t="s">
        <v>41177</v>
      </c>
      <c r="C32717" s="5" t="str">
        <f>IFERROR(__xludf.DUMMYFUNCTION("GOOGLETRANSLATE(B32717,""en"",""it"")"),"La bambina inizia a giocare con la ruota e si inginocchia.")</f>
        <v>La bambina inizia a giocare con la ruota e si inginocchia.</v>
      </c>
    </row>
    <row r="32718">
      <c r="A32718" s="4" t="s">
        <v>41170</v>
      </c>
      <c r="B32718" s="4" t="s">
        <v>41178</v>
      </c>
      <c r="C32718" s="5" t="str">
        <f>IFERROR(__xludf.DUMMYFUNCTION("GOOGLETRANSLATE(B32718,""en"",""it"")"),"L'uomo aiuta la bambina a scendere dalla diapositiva.")</f>
        <v>L'uomo aiuta la bambina a scendere dalla diapositiva.</v>
      </c>
    </row>
    <row r="32719">
      <c r="A32719" s="4" t="s">
        <v>41170</v>
      </c>
      <c r="B32719" s="4" t="s">
        <v>41179</v>
      </c>
      <c r="C32719" s="5" t="str">
        <f>IFERROR(__xludf.DUMMYFUNCTION("GOOGLETRANSLATE(B32719,""en"",""it"")"),"La bambina va all'altalena e l'uomo la aiuta.")</f>
        <v>La bambina va all'altalena e l'uomo la aiuta.</v>
      </c>
    </row>
    <row r="32720">
      <c r="A32720" s="4" t="s">
        <v>41170</v>
      </c>
      <c r="B32720" s="4" t="s">
        <v>41180</v>
      </c>
      <c r="C32720" s="5" t="str">
        <f>IFERROR(__xludf.DUMMYFUNCTION("GOOGLETRANSLATE(B32720,""en"",""it"")"),"La bambina punta alla telecamera.")</f>
        <v>La bambina punta alla telecamera.</v>
      </c>
    </row>
    <row r="32721">
      <c r="A32721" s="4" t="s">
        <v>41170</v>
      </c>
      <c r="B32721" s="4" t="s">
        <v>41181</v>
      </c>
      <c r="C32721" s="5" t="str">
        <f>IFERROR(__xludf.DUMMYFUNCTION("GOOGLETRANSLATE(B32721,""en"",""it"")"),"L'uomo spinge la bambina sull'altalena.")</f>
        <v>L'uomo spinge la bambina sull'altalena.</v>
      </c>
    </row>
    <row r="32722">
      <c r="A32722" s="4" t="s">
        <v>41182</v>
      </c>
      <c r="B32722" s="4" t="s">
        <v>41183</v>
      </c>
      <c r="C32722" s="5" t="str">
        <f>IFERROR(__xludf.DUMMYFUNCTION("GOOGLETRANSLATE(B32722,""en"",""it"")"),"Le persone corrono trascinando un grande aquilone rosso attraverso un campo.")</f>
        <v>Le persone corrono trascinando un grande aquilone rosso attraverso un campo.</v>
      </c>
    </row>
    <row r="32723">
      <c r="A32723" s="4" t="s">
        <v>41182</v>
      </c>
      <c r="B32723" s="4" t="s">
        <v>41184</v>
      </c>
      <c r="C32723" s="5" t="str">
        <f>IFERROR(__xludf.DUMMYFUNCTION("GOOGLETRANSLATE(B32723,""en"",""it"")"),"L'aquilone è in aria e i bambini sono in piedi sotto guardandolo.")</f>
        <v>L'aquilone è in aria e i bambini sono in piedi sotto guardandolo.</v>
      </c>
    </row>
    <row r="32724">
      <c r="A32724" s="4" t="s">
        <v>41182</v>
      </c>
      <c r="B32724" s="4" t="s">
        <v>41185</v>
      </c>
      <c r="C32724" s="5" t="str">
        <f>IFERROR(__xludf.DUMMYFUNCTION("GOOGLETRANSLATE(B32724,""en"",""it"")"),"L'aquilone è nell'aria che vola.")</f>
        <v>L'aquilone è nell'aria che vola.</v>
      </c>
    </row>
    <row r="32725">
      <c r="A32725" s="4" t="s">
        <v>41182</v>
      </c>
      <c r="B32725" s="4" t="s">
        <v>41186</v>
      </c>
      <c r="C32725" s="5" t="str">
        <f>IFERROR(__xludf.DUMMYFUNCTION("GOOGLETRANSLATE(B32725,""en"",""it"")"),"Un uomo e una bambina e un ragazzo stanno pilotando l'aquilone e ne tengono la base.")</f>
        <v>Un uomo e una bambina e un ragazzo stanno pilotando l'aquilone e ne tengono la base.</v>
      </c>
    </row>
    <row r="32726">
      <c r="A32726" s="4" t="s">
        <v>41182</v>
      </c>
      <c r="B32726" s="4" t="s">
        <v>41187</v>
      </c>
      <c r="C32726" s="5" t="str">
        <f>IFERROR(__xludf.DUMMYFUNCTION("GOOGLETRANSLATE(B32726,""en"",""it"")"),"Una bambina lancia qualcosa a terra.")</f>
        <v>Una bambina lancia qualcosa a terra.</v>
      </c>
    </row>
    <row r="32727">
      <c r="A32727" s="4" t="s">
        <v>41188</v>
      </c>
      <c r="B32727" s="4" t="s">
        <v>41189</v>
      </c>
      <c r="C32727" s="5" t="str">
        <f>IFERROR(__xludf.DUMMYFUNCTION("GOOGLETRANSLATE(B32727,""en"",""it"")"),"Vediamo una tavola da dardo oscillare delicatamente.")</f>
        <v>Vediamo una tavola da dardo oscillare delicatamente.</v>
      </c>
    </row>
    <row r="32728">
      <c r="A32728" s="4" t="s">
        <v>41188</v>
      </c>
      <c r="B32728" s="4" t="s">
        <v>41190</v>
      </c>
      <c r="C32728" s="5" t="str">
        <f>IFERROR(__xludf.DUMMYFUNCTION("GOOGLETRANSLATE(B32728,""en"",""it"")"),"Due freccette, una rossa, una verde colpì la tavola.")</f>
        <v>Due freccette, una rossa, una verde colpì la tavola.</v>
      </c>
    </row>
    <row r="32729">
      <c r="A32729" s="4" t="s">
        <v>41188</v>
      </c>
      <c r="B32729" s="4" t="s">
        <v>41191</v>
      </c>
      <c r="C32729" s="5" t="str">
        <f>IFERROR(__xludf.DUMMYFUNCTION("GOOGLETRANSLATE(B32729,""en"",""it"")"),"Cambiamo l'angolo e altre due freccette colpiscono la tavola.")</f>
        <v>Cambiamo l'angolo e altre due freccette colpiscono la tavola.</v>
      </c>
    </row>
    <row r="32730">
      <c r="A32730" s="4" t="s">
        <v>41188</v>
      </c>
      <c r="B32730" s="4" t="s">
        <v>41192</v>
      </c>
      <c r="C32730" s="5" t="str">
        <f>IFERROR(__xludf.DUMMYFUNCTION("GOOGLETRANSLATE(B32730,""en"",""it"")"),"Lo schermo si attenua al nero e vediamo i titoli di coda.")</f>
        <v>Lo schermo si attenua al nero e vediamo i titoli di coda.</v>
      </c>
    </row>
    <row r="32731">
      <c r="A32731" s="4" t="s">
        <v>41193</v>
      </c>
      <c r="B32731" s="4" t="s">
        <v>41194</v>
      </c>
      <c r="C32731" s="5" t="str">
        <f>IFERROR(__xludf.DUMMYFUNCTION("GOOGLETRANSLATE(B32731,""en"",""it"")"),"Un uomo viene visto indietreggiare dalla telecamera mentre parla e tiene un cerchio di hula.")</f>
        <v>Un uomo viene visto indietreggiare dalla telecamera mentre parla e tiene un cerchio di hula.</v>
      </c>
    </row>
    <row r="32732">
      <c r="A32732" s="4" t="s">
        <v>41193</v>
      </c>
      <c r="B32732" s="4" t="s">
        <v>41195</v>
      </c>
      <c r="C32732" s="5" t="str">
        <f>IFERROR(__xludf.DUMMYFUNCTION("GOOGLETRANSLATE(B32732,""en"",""it"")"),"L'uomo quindi fa oscillare il cerchio di hula intorno a se stesso mentre cammina verso la telecamera.")</f>
        <v>L'uomo quindi fa oscillare il cerchio di hula intorno a se stesso mentre cammina verso la telecamera.</v>
      </c>
    </row>
    <row r="32733">
      <c r="A32733" s="4" t="s">
        <v>41193</v>
      </c>
      <c r="B32733" s="4" t="s">
        <v>41196</v>
      </c>
      <c r="C32733" s="5" t="str">
        <f>IFERROR(__xludf.DUMMYFUNCTION("GOOGLETRANSLATE(B32733,""en"",""it"")"),"Un altro uomo entra in telaio e Hula Hoops con l'uomo mentre guardi ancora la telecamera.")</f>
        <v>Un altro uomo entra in telaio e Hula Hoops con l'uomo mentre guardi ancora la telecamera.</v>
      </c>
    </row>
    <row r="32734">
      <c r="A32734" s="4" t="s">
        <v>41197</v>
      </c>
      <c r="B32734" s="6" t="s">
        <v>41198</v>
      </c>
      <c r="C32734" s="5" t="str">
        <f>IFERROR(__xludf.DUMMYFUNCTION("GOOGLETRANSLATE(B32734,""en"",""it"")"),"Un uomo viene visto sedersi e parlare con la telecamera mentre tiene in mano un tubo del narghilè e un'altra persona è vista nel telaio.")</f>
        <v>Un uomo viene visto sedersi e parlare con la telecamera mentre tiene in mano un tubo del narghilè e un'altra persona è vista nel telaio.</v>
      </c>
    </row>
    <row r="32735">
      <c r="A32735" s="4" t="s">
        <v>41197</v>
      </c>
      <c r="B32735" s="6" t="s">
        <v>41199</v>
      </c>
      <c r="C32735" s="5" t="str">
        <f>IFERROR(__xludf.DUMMYFUNCTION("GOOGLETRANSLATE(B32735,""en"",""it"")"),"L'uomo prende uno sbuffo dal tubo mentre parla alla telecamera e lo consegna all'altro uomo che ha anche un colpo.")</f>
        <v>L'uomo prende uno sbuffo dal tubo mentre parla alla telecamera e lo consegna all'altro uomo che ha anche un colpo.</v>
      </c>
    </row>
    <row r="32736">
      <c r="A32736" s="4" t="s">
        <v>41197</v>
      </c>
      <c r="B32736" s="4" t="s">
        <v>41200</v>
      </c>
      <c r="C32736" s="5" t="str">
        <f>IFERROR(__xludf.DUMMYFUNCTION("GOOGLETRANSLATE(B32736,""en"",""it"")"),"Spazza il fumo e il primo uomo viene ancora visto parlare alla telecamera.")</f>
        <v>Spazza il fumo e il primo uomo viene ancora visto parlare alla telecamera.</v>
      </c>
    </row>
    <row r="32737">
      <c r="A32737" s="4" t="s">
        <v>41201</v>
      </c>
      <c r="B32737" s="4" t="s">
        <v>41202</v>
      </c>
      <c r="C32737" s="5" t="str">
        <f>IFERROR(__xludf.DUMMYFUNCTION("GOOGLETRANSLATE(B32737,""en"",""it"")"),"Una persona si prepara a bungee saltare su un corpo d'acqua mentre gli spettatori guardano da terra.")</f>
        <v>Una persona si prepara a bungee saltare su un corpo d'acqua mentre gli spettatori guardano da terra.</v>
      </c>
    </row>
    <row r="32738">
      <c r="A32738" s="4" t="s">
        <v>41201</v>
      </c>
      <c r="B32738" s="4" t="s">
        <v>41203</v>
      </c>
      <c r="C32738" s="5" t="str">
        <f>IFERROR(__xludf.DUMMYFUNCTION("GOOGLETRANSLATE(B32738,""en"",""it"")"),"La persona è seduta, prima, legata all'ingranaggio per saltare Bungee.")</f>
        <v>La persona è seduta, prima, legata all'ingranaggio per saltare Bungee.</v>
      </c>
    </row>
    <row r="32739">
      <c r="A32739" s="4" t="s">
        <v>41201</v>
      </c>
      <c r="B32739" s="4" t="s">
        <v>41204</v>
      </c>
      <c r="C32739" s="5" t="str">
        <f>IFERROR(__xludf.DUMMYFUNCTION("GOOGLETRANSLATE(B32739,""en"",""it"")"),"La persona si trova sul bordo di una superficie di salto in legno mentre gli spettatori guardano da terra.")</f>
        <v>La persona si trova sul bordo di una superficie di salto in legno mentre gli spettatori guardano da terra.</v>
      </c>
    </row>
    <row r="32740">
      <c r="A32740" s="4" t="s">
        <v>41201</v>
      </c>
      <c r="B32740" s="6" t="s">
        <v>41205</v>
      </c>
      <c r="C32740" s="5" t="str">
        <f>IFERROR(__xludf.DUMMYFUNCTION("GOOGLETRANSLATE(B32740,""en"",""it"")"),"La persona salta giù dal bordo e cade mentre la telecamera segue e rivela che questo è un uomo che è saltato, e l'uomo sta sorridendo e ridendo mentre si agita in aria appena sopra l'acqua.")</f>
        <v>La persona salta giù dal bordo e cade mentre la telecamera segue e rivela che questo è un uomo che è saltato, e l'uomo sta sorridendo e ridendo mentre si agita in aria appena sopra l'acqua.</v>
      </c>
    </row>
    <row r="32741">
      <c r="A32741" s="4" t="s">
        <v>41206</v>
      </c>
      <c r="B32741" s="4" t="s">
        <v>41207</v>
      </c>
      <c r="C32741" s="5" t="str">
        <f>IFERROR(__xludf.DUMMYFUNCTION("GOOGLETRANSLATE(B32741,""en"",""it"")"),"Un ragazzino sta salendo chiudendo la sua piccola guardia di sicurezza.")</f>
        <v>Un ragazzino sta salendo chiudendo la sua piccola guardia di sicurezza.</v>
      </c>
    </row>
    <row r="32742">
      <c r="A32742" s="4" t="s">
        <v>41206</v>
      </c>
      <c r="B32742" s="4" t="s">
        <v>41208</v>
      </c>
      <c r="C32742" s="5" t="str">
        <f>IFERROR(__xludf.DUMMYFUNCTION("GOOGLETRANSLATE(B32742,""en"",""it"")"),"Lo chiude e costruisce un po 'di slancio per iniziare a andare veloce.")</f>
        <v>Lo chiude e costruisce un po 'di slancio per iniziare a andare veloce.</v>
      </c>
    </row>
    <row r="32743">
      <c r="A32743" s="4" t="s">
        <v>41206</v>
      </c>
      <c r="B32743" s="4" t="s">
        <v>41209</v>
      </c>
      <c r="C32743" s="5" t="str">
        <f>IFERROR(__xludf.DUMMYFUNCTION("GOOGLETRANSLATE(B32743,""en"",""it"")"),"Si prende a calci i piedi avanti e indietro diventando piuttosto alto.")</f>
        <v>Si prende a calci i piedi avanti e indietro diventando piuttosto alto.</v>
      </c>
    </row>
    <row r="32744">
      <c r="A32744" s="4" t="s">
        <v>41206</v>
      </c>
      <c r="B32744" s="4" t="s">
        <v>41210</v>
      </c>
      <c r="C32744" s="5" t="str">
        <f>IFERROR(__xludf.DUMMYFUNCTION("GOOGLETRANSLATE(B32744,""en"",""it"")"),"Gli piace solo il suo tempo oscillando avanti e indietro fuori dal godersi la giornata.")</f>
        <v>Gli piace solo il suo tempo oscillando avanti e indietro fuori dal godersi la giornata.</v>
      </c>
    </row>
    <row r="32745">
      <c r="A32745" s="4" t="s">
        <v>41211</v>
      </c>
      <c r="B32745" s="6" t="s">
        <v>41212</v>
      </c>
      <c r="C32745" s="5" t="str">
        <f>IFERROR(__xludf.DUMMYFUNCTION("GOOGLETRANSLATE(B32745,""en"",""it"")"),"Viene mostrata una sedia da vicino mentre la fotocamera si lancia all'indietro e il testo si sposta sullo schermo.")</f>
        <v>Viene mostrata una sedia da vicino mentre la fotocamera si lancia all'indietro e il testo si sposta sullo schermo.</v>
      </c>
    </row>
    <row r="32746">
      <c r="A32746" s="4" t="s">
        <v>41211</v>
      </c>
      <c r="B32746" s="4" t="s">
        <v>41213</v>
      </c>
      <c r="C32746" s="5" t="str">
        <f>IFERROR(__xludf.DUMMYFUNCTION("GOOGLETRANSLATE(B32746,""en"",""it"")"),"La telecamera segue da vicino la sedia e conduce in una donna seduta sulla sedia.")</f>
        <v>La telecamera segue da vicino la sedia e conduce in una donna seduta sulla sedia.</v>
      </c>
    </row>
    <row r="32747">
      <c r="A32747" s="4" t="s">
        <v>41211</v>
      </c>
      <c r="B32747" s="4" t="s">
        <v>41214</v>
      </c>
      <c r="C32747" s="5" t="str">
        <f>IFERROR(__xludf.DUMMYFUNCTION("GOOGLETRANSLATE(B32747,""en"",""it"")"),"La donna regola il sedile e conduce in molti altri primi piani della sedia.")</f>
        <v>La donna regola il sedile e conduce in molti altri primi piani della sedia.</v>
      </c>
    </row>
    <row r="32748">
      <c r="A32748" s="4" t="s">
        <v>41215</v>
      </c>
      <c r="B32748" s="4" t="s">
        <v>24280</v>
      </c>
      <c r="C32748" s="5" t="str">
        <f>IFERROR(__xludf.DUMMYFUNCTION("GOOGLETRANSLATE(B32748,""en"",""it"")"),"Vediamo una serie di schermi del titolo.")</f>
        <v>Vediamo una serie di schermi del titolo.</v>
      </c>
    </row>
    <row r="32749">
      <c r="A32749" s="4" t="s">
        <v>41215</v>
      </c>
      <c r="B32749" s="4" t="s">
        <v>41216</v>
      </c>
      <c r="C32749" s="5" t="str">
        <f>IFERROR(__xludf.DUMMYFUNCTION("GOOGLETRANSLATE(B32749,""en"",""it"")"),"Vediamo un motoscafo che accelera attraverso un lago e un jet da uomo dietro di esso.")</f>
        <v>Vediamo un motoscafo che accelera attraverso un lago e un jet da uomo dietro di esso.</v>
      </c>
    </row>
    <row r="32750">
      <c r="A32750" s="4" t="s">
        <v>41215</v>
      </c>
      <c r="B32750" s="4" t="s">
        <v>41217</v>
      </c>
      <c r="C32750" s="5" t="str">
        <f>IFERROR(__xludf.DUMMYFUNCTION("GOOGLETRANSLATE(B32750,""en"",""it"")"),"Lo schermo lampeggia nero e vediamo più jet sci.")</f>
        <v>Lo schermo lampeggia nero e vediamo più jet sci.</v>
      </c>
    </row>
    <row r="32751">
      <c r="A32751" s="4" t="s">
        <v>41215</v>
      </c>
      <c r="B32751" s="4" t="s">
        <v>777</v>
      </c>
      <c r="C32751" s="5" t="str">
        <f>IFERROR(__xludf.DUMMYFUNCTION("GOOGLETRANSLATE(B32751,""en"",""it"")"),"Vediamo la schermata del titolo finale.")</f>
        <v>Vediamo la schermata del titolo finale.</v>
      </c>
    </row>
    <row r="32752">
      <c r="A32752" s="4" t="s">
        <v>41218</v>
      </c>
      <c r="B32752" s="4" t="s">
        <v>41219</v>
      </c>
      <c r="C32752" s="5" t="str">
        <f>IFERROR(__xludf.DUMMYFUNCTION("GOOGLETRANSLATE(B32752,""en"",""it"")"),"Un giovane di nome Sean che indossa un cappello da berretto e stalloni di orecchini neri.")</f>
        <v>Un giovane di nome Sean che indossa un cappello da berretto e stalloni di orecchini neri.</v>
      </c>
    </row>
    <row r="32753">
      <c r="A32753" s="4" t="s">
        <v>41218</v>
      </c>
      <c r="B32753" s="4" t="s">
        <v>41220</v>
      </c>
      <c r="C32753" s="5" t="str">
        <f>IFERROR(__xludf.DUMMYFUNCTION("GOOGLETRANSLATE(B32753,""en"",""it"")"),"Sta dimostrando come perforare l'orecchio con orecchini per borchie.")</f>
        <v>Sta dimostrando come perforare l'orecchio con orecchini per borchie.</v>
      </c>
    </row>
    <row r="32754">
      <c r="A32754" s="4" t="s">
        <v>41218</v>
      </c>
      <c r="B32754" s="4" t="s">
        <v>41221</v>
      </c>
      <c r="C32754" s="5" t="str">
        <f>IFERROR(__xludf.DUMMYFUNCTION("GOOGLETRANSLATE(B32754,""en"",""it"")"),"Esprime forte dolore mentre cerca di perforare il lobo dell'orecchio.")</f>
        <v>Esprime forte dolore mentre cerca di perforare il lobo dell'orecchio.</v>
      </c>
    </row>
    <row r="32755">
      <c r="A32755" s="4" t="s">
        <v>41218</v>
      </c>
      <c r="B32755" s="4" t="s">
        <v>41222</v>
      </c>
      <c r="C32755" s="5" t="str">
        <f>IFERROR(__xludf.DUMMYFUNCTION("GOOGLETRANSLATE(B32755,""en"",""it"")"),"Prende un cubetto di ghiaccio per lenire il lobo dell'orecchio.")</f>
        <v>Prende un cubetto di ghiaccio per lenire il lobo dell'orecchio.</v>
      </c>
    </row>
    <row r="32756">
      <c r="A32756" s="4" t="s">
        <v>41218</v>
      </c>
      <c r="B32756" s="4" t="s">
        <v>41223</v>
      </c>
      <c r="C32756" s="5" t="str">
        <f>IFERROR(__xludf.DUMMYFUNCTION("GOOGLETRANSLATE(B32756,""en"",""it"")"),"Quindi usa un accendino per riscaldare l'orecchio per disinfettarlo.")</f>
        <v>Quindi usa un accendino per riscaldare l'orecchio per disinfettarlo.</v>
      </c>
    </row>
    <row r="32757">
      <c r="A32757" s="4" t="s">
        <v>41218</v>
      </c>
      <c r="B32757" s="4" t="s">
        <v>41224</v>
      </c>
      <c r="C32757" s="5" t="str">
        <f>IFERROR(__xludf.DUMMYFUNCTION("GOOGLETRANSLATE(B32757,""en"",""it"")"),"Cerca di usare un pollice per aiutare il piercing, ma finisce per causare gravi sanguinamenti nell'orecchio.")</f>
        <v>Cerca di usare un pollice per aiutare il piercing, ma finisce per causare gravi sanguinamenti nell'orecchio.</v>
      </c>
    </row>
    <row r="32758">
      <c r="A32758" s="4" t="s">
        <v>41218</v>
      </c>
      <c r="B32758" s="4" t="s">
        <v>41225</v>
      </c>
      <c r="C32758" s="5" t="str">
        <f>IFERROR(__xludf.DUMMYFUNCTION("GOOGLETRANSLATE(B32758,""en"",""it"")"),"Quindi prova un martello di gomma per forzare l'orecchio.")</f>
        <v>Quindi prova un martello di gomma per forzare l'orecchio.</v>
      </c>
    </row>
    <row r="32759">
      <c r="A32759" s="4" t="s">
        <v>41218</v>
      </c>
      <c r="B32759" s="4" t="s">
        <v>41226</v>
      </c>
      <c r="C32759" s="5" t="str">
        <f>IFERROR(__xludf.DUMMYFUNCTION("GOOGLETRANSLATE(B32759,""en"",""it"")"),"Piange e singhiozzava per il suo tentativo infruttuoso di perforare il proprio lobo dell'orecchio.")</f>
        <v>Piange e singhiozzava per il suo tentativo infruttuoso di perforare il proprio lobo dell'orecchio.</v>
      </c>
    </row>
    <row r="32760">
      <c r="A32760" s="4" t="s">
        <v>41227</v>
      </c>
      <c r="B32760" s="4" t="s">
        <v>41228</v>
      </c>
      <c r="C32760" s="5" t="str">
        <f>IFERROR(__xludf.DUMMYFUNCTION("GOOGLETRANSLATE(B32760,""en"",""it"")"),"Un uomo è visto seduto in un kayak che guarda alla telecamera.")</f>
        <v>Un uomo è visto seduto in un kayak che guarda alla telecamera.</v>
      </c>
    </row>
    <row r="32761">
      <c r="A32761" s="4" t="s">
        <v>41227</v>
      </c>
      <c r="B32761" s="4" t="s">
        <v>41229</v>
      </c>
      <c r="C32761" s="5" t="str">
        <f>IFERROR(__xludf.DUMMYFUNCTION("GOOGLETRANSLATE(B32761,""en"",""it"")"),"Quindi infila la sua pagaia nell'acqua e inizia a muoversi.")</f>
        <v>Quindi infila la sua pagaia nell'acqua e inizia a muoversi.</v>
      </c>
    </row>
    <row r="32762">
      <c r="A32762" s="4" t="s">
        <v>41227</v>
      </c>
      <c r="B32762" s="4" t="s">
        <v>41230</v>
      </c>
      <c r="C32762" s="5" t="str">
        <f>IFERROR(__xludf.DUMMYFUNCTION("GOOGLETRANSLATE(B32762,""en"",""it"")"),"Continua a cavalcare una zona mentre si muove la pagaia.")</f>
        <v>Continua a cavalcare una zona mentre si muove la pagaia.</v>
      </c>
    </row>
    <row r="32763">
      <c r="A32763" s="4" t="s">
        <v>41231</v>
      </c>
      <c r="B32763" s="6" t="s">
        <v>41232</v>
      </c>
      <c r="C32763" s="5" t="str">
        <f>IFERROR(__xludf.DUMMYFUNCTION("GOOGLETRANSLATE(B32763,""en"",""it"")"),"Un adolescente gira con un disco nella mano destra, poi la ragazza getta il disco mentre gareggia in uno stadio.")</f>
        <v>Un adolescente gira con un disco nella mano destra, poi la ragazza getta il disco mentre gareggia in uno stadio.</v>
      </c>
    </row>
    <row r="32764">
      <c r="A32764" s="4" t="s">
        <v>41231</v>
      </c>
      <c r="B32764" s="4" t="s">
        <v>41233</v>
      </c>
      <c r="C32764" s="5" t="str">
        <f>IFERROR(__xludf.DUMMYFUNCTION("GOOGLETRANSLATE(B32764,""en"",""it"")"),"Quindi, un'altra giovane donna gira attorno a un disco.")</f>
        <v>Quindi, un'altra giovane donna gira attorno a un disco.</v>
      </c>
    </row>
    <row r="32765">
      <c r="A32765" s="4" t="s">
        <v>41231</v>
      </c>
      <c r="B32765" s="4" t="s">
        <v>41234</v>
      </c>
      <c r="C32765" s="5" t="str">
        <f>IFERROR(__xludf.DUMMYFUNCTION("GOOGLETRANSLATE(B32765,""en"",""it"")"),"Una femmina gira e lancia un disco lontano e vince la competizione.")</f>
        <v>Una femmina gira e lancia un disco lontano e vince la competizione.</v>
      </c>
    </row>
    <row r="32766">
      <c r="A32766" s="4" t="s">
        <v>41231</v>
      </c>
      <c r="B32766" s="4" t="s">
        <v>41235</v>
      </c>
      <c r="C32766" s="5" t="str">
        <f>IFERROR(__xludf.DUMMYFUNCTION("GOOGLETRANSLATE(B32766,""en"",""it"")"),"Un uomo in pista solleva una bandiera bianca sul braccio destro.")</f>
        <v>Un uomo in pista solleva una bandiera bianca sul braccio destro.</v>
      </c>
    </row>
    <row r="32767">
      <c r="A32767" s="4" t="s">
        <v>41236</v>
      </c>
      <c r="B32767" s="4" t="s">
        <v>41237</v>
      </c>
      <c r="C32767" s="5" t="str">
        <f>IFERROR(__xludf.DUMMYFUNCTION("GOOGLETRANSLATE(B32767,""en"",""it"")"),"La ginnasta dall'Ucraina esegue un salto in lungo in una competizione finale.")</f>
        <v>La ginnasta dall'Ucraina esegue un salto in lungo in una competizione finale.</v>
      </c>
    </row>
    <row r="32768">
      <c r="A32768" s="4" t="s">
        <v>41236</v>
      </c>
      <c r="B32768" s="4" t="s">
        <v>41238</v>
      </c>
      <c r="C32768" s="5" t="str">
        <f>IFERROR(__xludf.DUMMYFUNCTION("GOOGLETRANSLATE(B32768,""en"",""it"")"),"Un uomo tiene un bianco e una bandiera rossa.")</f>
        <v>Un uomo tiene un bianco e una bandiera rossa.</v>
      </c>
    </row>
    <row r="32769">
      <c r="A32769" s="4" t="s">
        <v>41236</v>
      </c>
      <c r="B32769" s="4" t="s">
        <v>41239</v>
      </c>
      <c r="C32769" s="5" t="str">
        <f>IFERROR(__xludf.DUMMYFUNCTION("GOOGLETRANSLATE(B32769,""en"",""it"")"),"La ginnasta corre in pista fino a una linea bianca e salta per eseguire il salto in lungo.")</f>
        <v>La ginnasta corre in pista fino a una linea bianca e salta per eseguire il salto in lungo.</v>
      </c>
    </row>
    <row r="32770">
      <c r="A32770" s="4" t="s">
        <v>41236</v>
      </c>
      <c r="B32770" s="6" t="s">
        <v>41240</v>
      </c>
      <c r="C32770" s="5" t="str">
        <f>IFERROR(__xludf.DUMMYFUNCTION("GOOGLETRANSLATE(B32770,""en"",""it"")"),"Quindi, una donna tedesca esegue il salto in lungo e dopo che una ragazza australiana salta a lungo sulla scatola di sabbia.")</f>
        <v>Quindi, una donna tedesca esegue il salto in lungo e dopo che una ragazza australiana salta a lungo sulla scatola di sabbia.</v>
      </c>
    </row>
    <row r="32771">
      <c r="A32771" s="4" t="s">
        <v>41236</v>
      </c>
      <c r="B32771" s="4" t="s">
        <v>41241</v>
      </c>
      <c r="C32771" s="5" t="str">
        <f>IFERROR(__xludf.DUMMYFUNCTION("GOOGLETRANSLATE(B32771,""en"",""it"")"),"La donna tedesca vince la competizione, corre e grandi il pubblico.")</f>
        <v>La donna tedesca vince la competizione, corre e grandi il pubblico.</v>
      </c>
    </row>
    <row r="32772">
      <c r="A32772" s="4" t="s">
        <v>41242</v>
      </c>
      <c r="B32772" s="4" t="s">
        <v>41243</v>
      </c>
      <c r="C32772" s="5" t="str">
        <f>IFERROR(__xludf.DUMMYFUNCTION("GOOGLETRANSLATE(B32772,""en"",""it"")"),"Un uomo in un giubbotto è seduto su una barca.")</f>
        <v>Un uomo in un giubbotto è seduto su una barca.</v>
      </c>
    </row>
    <row r="32773">
      <c r="A32773" s="4" t="s">
        <v>41242</v>
      </c>
      <c r="B32773" s="4" t="s">
        <v>41244</v>
      </c>
      <c r="C32773" s="5" t="str">
        <f>IFERROR(__xludf.DUMMYFUNCTION("GOOGLETRANSLATE(B32773,""en"",""it"")"),"Quindi l'uomo è nell'acqua, con in mano un bastone e una linea attaccata alla barca.")</f>
        <v>Quindi l'uomo è nell'acqua, con in mano un bastone e una linea attaccata alla barca.</v>
      </c>
    </row>
    <row r="32774">
      <c r="A32774" s="4" t="s">
        <v>41242</v>
      </c>
      <c r="B32774" s="4" t="s">
        <v>41245</v>
      </c>
      <c r="C32774" s="5" t="str">
        <f>IFERROR(__xludf.DUMMYFUNCTION("GOOGLETRANSLATE(B32774,""en"",""it"")"),"La barca inizia a tirarlo in acqua mentre inizia lo sci d'acqua.")</f>
        <v>La barca inizia a tirarlo in acqua mentre inizia lo sci d'acqua.</v>
      </c>
    </row>
    <row r="32775">
      <c r="A32775" s="4" t="s">
        <v>41242</v>
      </c>
      <c r="B32775" s="4" t="s">
        <v>41246</v>
      </c>
      <c r="C32775" s="5" t="str">
        <f>IFERROR(__xludf.DUMMYFUNCTION("GOOGLETRANSLATE(B32775,""en"",""it"")"),"Sca per molto tempo.")</f>
        <v>Sca per molto tempo.</v>
      </c>
    </row>
    <row r="32776">
      <c r="A32776" s="4" t="s">
        <v>41247</v>
      </c>
      <c r="B32776" s="4" t="s">
        <v>41248</v>
      </c>
      <c r="C32776" s="5" t="str">
        <f>IFERROR(__xludf.DUMMYFUNCTION("GOOGLETRANSLATE(B32776,""en"",""it"")"),"Le ragazze sono sedute in una rom e i ragazzi sono in piedi dietro di loro i ragazzi iniziano a pettinare i capelli.")</f>
        <v>Le ragazze sono sedute in una rom e i ragazzi sono in piedi dietro di loro i ragazzi iniziano a pettinare i capelli.</v>
      </c>
    </row>
    <row r="32777">
      <c r="A32777" s="4" t="s">
        <v>41247</v>
      </c>
      <c r="B32777" s="4" t="s">
        <v>41249</v>
      </c>
      <c r="C32777" s="5" t="str">
        <f>IFERROR(__xludf.DUMMYFUNCTION("GOOGLETRANSLATE(B32777,""en"",""it"")"),"Donna che indossa un maglione blu striscia a quattro zampe.")</f>
        <v>Donna che indossa un maglione blu striscia a quattro zampe.</v>
      </c>
    </row>
    <row r="32778">
      <c r="A32778" s="4" t="s">
        <v>41247</v>
      </c>
      <c r="B32778" s="4" t="s">
        <v>41250</v>
      </c>
      <c r="C32778" s="5" t="str">
        <f>IFERROR(__xludf.DUMMYFUNCTION("GOOGLETRANSLATE(B32778,""en"",""it"")"),"I ragazzi continuano a pettinare i capelli e mettere dei tipi di capelli sulle ragazze.")</f>
        <v>I ragazzi continuano a pettinare i capelli e mettere dei tipi di capelli sulle ragazze.</v>
      </c>
    </row>
    <row r="32779">
      <c r="A32779" s="4" t="s">
        <v>41247</v>
      </c>
      <c r="B32779" s="6" t="s">
        <v>41251</v>
      </c>
      <c r="C32779" s="5" t="str">
        <f>IFERROR(__xludf.DUMMYFUNCTION("GOOGLETRANSLATE(B32779,""en"",""it"")"),"La donna nel mezzo è irritata e si alza e rimuove i rotoli per la testa e si siede di nuovo e ridere molto.")</f>
        <v>La donna nel mezzo è irritata e si alza e rimuove i rotoli per la testa e si siede di nuovo e ridere molto.</v>
      </c>
    </row>
    <row r="32780">
      <c r="A32780" s="4" t="s">
        <v>41252</v>
      </c>
      <c r="B32780" s="4" t="s">
        <v>41253</v>
      </c>
      <c r="C32780" s="5" t="str">
        <f>IFERROR(__xludf.DUMMYFUNCTION("GOOGLETRANSLATE(B32780,""en"",""it"")"),"Un uomo è seduto su un palco.")</f>
        <v>Un uomo è seduto su un palco.</v>
      </c>
    </row>
    <row r="32781">
      <c r="A32781" s="4" t="s">
        <v>41252</v>
      </c>
      <c r="B32781" s="4" t="s">
        <v>41254</v>
      </c>
      <c r="C32781" s="5" t="str">
        <f>IFERROR(__xludf.DUMMYFUNCTION("GOOGLETRANSLATE(B32781,""en"",""it"")"),"C'è una stanza piena di persone che lo guardano.")</f>
        <v>C'è una stanza piena di persone che lo guardano.</v>
      </c>
    </row>
    <row r="32782">
      <c r="A32782" s="4" t="s">
        <v>41252</v>
      </c>
      <c r="B32782" s="4" t="s">
        <v>41255</v>
      </c>
      <c r="C32782" s="5" t="str">
        <f>IFERROR(__xludf.DUMMYFUNCTION("GOOGLETRANSLATE(B32782,""en"",""it"")"),"Sta suonando una serie di tamburi con le mani.")</f>
        <v>Sta suonando una serie di tamburi con le mani.</v>
      </c>
    </row>
    <row r="32783">
      <c r="A32783" s="4" t="s">
        <v>41256</v>
      </c>
      <c r="B32783" s="4" t="s">
        <v>41257</v>
      </c>
      <c r="C32783" s="5" t="str">
        <f>IFERROR(__xludf.DUMMYFUNCTION("GOOGLETRANSLATE(B32783,""en"",""it"")"),"Una vista aerea di una partita di piscina.")</f>
        <v>Una vista aerea di una partita di piscina.</v>
      </c>
    </row>
    <row r="32784">
      <c r="A32784" s="4" t="s">
        <v>41256</v>
      </c>
      <c r="B32784" s="4" t="s">
        <v>41258</v>
      </c>
      <c r="C32784" s="5" t="str">
        <f>IFERROR(__xludf.DUMMYFUNCTION("GOOGLETRANSLATE(B32784,""en"",""it"")"),"Un uomo in un divertente giubbotto blu viene mostrato come il prossimo giocatore a scattare.")</f>
        <v>Un uomo in un divertente giubbotto blu viene mostrato come il prossimo giocatore a scattare.</v>
      </c>
    </row>
    <row r="32785">
      <c r="A32785" s="4" t="s">
        <v>41256</v>
      </c>
      <c r="B32785" s="4" t="s">
        <v>41259</v>
      </c>
      <c r="C32785" s="5" t="str">
        <f>IFERROR(__xludf.DUMMYFUNCTION("GOOGLETRANSLATE(B32785,""en"",""it"")"),"Fa una pausa e studia il tavolo prima di scattare.")</f>
        <v>Fa una pausa e studia il tavolo prima di scattare.</v>
      </c>
    </row>
    <row r="32786">
      <c r="A32786" s="4" t="s">
        <v>41256</v>
      </c>
      <c r="B32786" s="4" t="s">
        <v>41260</v>
      </c>
      <c r="C32786" s="5" t="str">
        <f>IFERROR(__xludf.DUMMYFUNCTION("GOOGLETRANSLATE(B32786,""en"",""it"")"),"Spara e colpisce la palla blu nell'angolo a destra.")</f>
        <v>Spara e colpisce la palla blu nell'angolo a destra.</v>
      </c>
    </row>
    <row r="32787">
      <c r="A32787" s="4" t="s">
        <v>41261</v>
      </c>
      <c r="B32787" s="6" t="s">
        <v>41262</v>
      </c>
      <c r="C32787" s="5" t="str">
        <f>IFERROR(__xludf.DUMMYFUNCTION("GOOGLETRANSLATE(B32787,""en"",""it"")"),"Viene mostrato un primo piano di cibo seguito da due donne che parlano alla telecamera e presentano vari ingredienti.")</f>
        <v>Viene mostrato un primo piano di cibo seguito da due donne che parlano alla telecamera e presentano vari ingredienti.</v>
      </c>
    </row>
    <row r="32788">
      <c r="A32788" s="4" t="s">
        <v>41261</v>
      </c>
      <c r="B32788" s="6" t="s">
        <v>41263</v>
      </c>
      <c r="C32788" s="5" t="str">
        <f>IFERROR(__xludf.DUMMYFUNCTION("GOOGLETRANSLATE(B32788,""en"",""it"")"),"Le donne quindi mescolano gli ingredienti in una pentola dopo che i noodles sono cotti e poi mescolano tutto insieme in una ciotola.")</f>
        <v>Le donne quindi mescolano gli ingredienti in una pentola dopo che i noodles sono cotti e poi mescolano tutto insieme in una ciotola.</v>
      </c>
    </row>
    <row r="32789">
      <c r="A32789" s="4" t="s">
        <v>41261</v>
      </c>
      <c r="B32789" s="4" t="s">
        <v>41264</v>
      </c>
      <c r="C32789" s="5" t="str">
        <f>IFERROR(__xludf.DUMMYFUNCTION("GOOGLETRANSLATE(B32789,""en"",""it"")"),"Alla fine il piatto è mostrato su un piatto alla fine e le donne mangiano il cibo.")</f>
        <v>Alla fine il piatto è mostrato su un piatto alla fine e le donne mangiano il cibo.</v>
      </c>
    </row>
    <row r="32790">
      <c r="A32790" s="4" t="s">
        <v>41265</v>
      </c>
      <c r="B32790" s="4" t="s">
        <v>41266</v>
      </c>
      <c r="C32790" s="5" t="str">
        <f>IFERROR(__xludf.DUMMYFUNCTION("GOOGLETRANSLATE(B32790,""en"",""it"")"),"Il cane nero sta camminando in un tapis roulant in una stanza bianca.")</f>
        <v>Il cane nero sta camminando in un tapis roulant in una stanza bianca.</v>
      </c>
    </row>
    <row r="32791">
      <c r="A32791" s="4" t="s">
        <v>41265</v>
      </c>
      <c r="B32791" s="4" t="s">
        <v>41267</v>
      </c>
      <c r="C32791" s="5" t="str">
        <f>IFERROR(__xludf.DUMMYFUNCTION("GOOGLETRANSLATE(B32791,""en"",""it"")"),"Il cane corre nel tapis roulant che si trova accanto a un cassetto.")</f>
        <v>Il cane corre nel tapis roulant che si trova accanto a un cassetto.</v>
      </c>
    </row>
    <row r="32792">
      <c r="A32792" s="4" t="s">
        <v>41265</v>
      </c>
      <c r="B32792" s="4" t="s">
        <v>41268</v>
      </c>
      <c r="C32792" s="5" t="str">
        <f>IFERROR(__xludf.DUMMYFUNCTION("GOOGLETRANSLATE(B32792,""en"",""it"")"),"Il cane indossa una collana rossa e sta facendo esercizio.")</f>
        <v>Il cane indossa una collana rossa e sta facendo esercizio.</v>
      </c>
    </row>
    <row r="32793">
      <c r="A32793" s="4" t="s">
        <v>41269</v>
      </c>
      <c r="B32793" s="4" t="s">
        <v>41270</v>
      </c>
      <c r="C32793" s="5" t="str">
        <f>IFERROR(__xludf.DUMMYFUNCTION("GOOGLETRANSLATE(B32793,""en"",""it"")"),"Una ragazza sta camminando su una tavola da immersione.")</f>
        <v>Una ragazza sta camminando su una tavola da immersione.</v>
      </c>
    </row>
    <row r="32794">
      <c r="A32794" s="4" t="s">
        <v>41269</v>
      </c>
      <c r="B32794" s="4" t="s">
        <v>41271</v>
      </c>
      <c r="C32794" s="5" t="str">
        <f>IFERROR(__xludf.DUMMYFUNCTION("GOOGLETRANSLATE(B32794,""en"",""it"")"),"Le persone sono in background a guardare.")</f>
        <v>Le persone sono in background a guardare.</v>
      </c>
    </row>
    <row r="32795">
      <c r="A32795" s="4" t="s">
        <v>41269</v>
      </c>
      <c r="B32795" s="4" t="s">
        <v>41272</v>
      </c>
      <c r="C32795" s="5" t="str">
        <f>IFERROR(__xludf.DUMMYFUNCTION("GOOGLETRANSLATE(B32795,""en"",""it"")"),"La ragazza salta giù dalla tavola da immersione nella piscina.")</f>
        <v>La ragazza salta giù dalla tavola da immersione nella piscina.</v>
      </c>
    </row>
    <row r="32796">
      <c r="A32796" s="4" t="s">
        <v>41269</v>
      </c>
      <c r="B32796" s="4" t="s">
        <v>41273</v>
      </c>
      <c r="C32796" s="5" t="str">
        <f>IFERROR(__xludf.DUMMYFUNCTION("GOOGLETRANSLATE(B32796,""en"",""it"")"),"C'è un piccolo tuffo nell'acqua.")</f>
        <v>C'è un piccolo tuffo nell'acqua.</v>
      </c>
    </row>
    <row r="32797">
      <c r="A32797" s="4" t="s">
        <v>41274</v>
      </c>
      <c r="B32797" s="4" t="s">
        <v>41275</v>
      </c>
      <c r="C32797" s="5" t="str">
        <f>IFERROR(__xludf.DUMMYFUNCTION("GOOGLETRANSLATE(B32797,""en"",""it"")"),"Un giovane viene visto mettere un pezzo di legno su una corteccia e solleva un'ascia.")</f>
        <v>Un giovane viene visto mettere un pezzo di legno su una corteccia e solleva un'ascia.</v>
      </c>
    </row>
    <row r="32798">
      <c r="A32798" s="4" t="s">
        <v>41274</v>
      </c>
      <c r="B32798" s="4" t="s">
        <v>41276</v>
      </c>
      <c r="C32798" s="5" t="str">
        <f>IFERROR(__xludf.DUMMYFUNCTION("GOOGLETRANSLATE(B32798,""en"",""it"")"),"Quindi fa oscillare l'ascia che la corteccia si rompe a metà, seguita da lui urlando in aria.")</f>
        <v>Quindi fa oscillare l'ascia che la corteccia si rompe a metà, seguita da lui urlando in aria.</v>
      </c>
    </row>
    <row r="32799">
      <c r="A32799" s="4" t="s">
        <v>41277</v>
      </c>
      <c r="B32799" s="4" t="s">
        <v>41278</v>
      </c>
      <c r="C32799" s="5" t="str">
        <f>IFERROR(__xludf.DUMMYFUNCTION("GOOGLETRANSLATE(B32799,""en"",""it"")"),"Una donna si siede sul pavimento accanto a un vuoto.")</f>
        <v>Una donna si siede sul pavimento accanto a un vuoto.</v>
      </c>
    </row>
    <row r="32800">
      <c r="A32800" s="4" t="s">
        <v>41277</v>
      </c>
      <c r="B32800" s="4" t="s">
        <v>41279</v>
      </c>
      <c r="C32800" s="5" t="str">
        <f>IFERROR(__xludf.DUMMYFUNCTION("GOOGLETRANSLATE(B32800,""en"",""it"")"),"La donna aspira lo sporco su un pavimento duro.")</f>
        <v>La donna aspira lo sporco su un pavimento duro.</v>
      </c>
    </row>
    <row r="32801">
      <c r="A32801" s="4" t="s">
        <v>41277</v>
      </c>
      <c r="B32801" s="4" t="s">
        <v>41280</v>
      </c>
      <c r="C32801" s="5" t="str">
        <f>IFERROR(__xludf.DUMMYFUNCTION("GOOGLETRANSLATE(B32801,""en"",""it"")"),"Quindi, la donna pulisce gli sprechi su un tappeto.")</f>
        <v>Quindi, la donna pulisce gli sprechi su un tappeto.</v>
      </c>
    </row>
    <row r="32802">
      <c r="A32802" s="4" t="s">
        <v>41277</v>
      </c>
      <c r="B32802" s="4" t="s">
        <v>41281</v>
      </c>
      <c r="C32802" s="5" t="str">
        <f>IFERROR(__xludf.DUMMYFUNCTION("GOOGLETRANSLATE(B32802,""en"",""it"")"),"Dopo, la donna aspira su un cuscino usando un ugello più piccolo.")</f>
        <v>Dopo, la donna aspira su un cuscino usando un ugello più piccolo.</v>
      </c>
    </row>
    <row r="32803">
      <c r="A32803" s="4" t="s">
        <v>41277</v>
      </c>
      <c r="B32803" s="4" t="s">
        <v>41282</v>
      </c>
      <c r="C32803" s="5" t="str">
        <f>IFERROR(__xludf.DUMMYFUNCTION("GOOGLETRANSLATE(B32803,""en"",""it"")"),"Successivamente, quindi la donna ha messo un nuovo ugello per pulire le superfici strette.")</f>
        <v>Successivamente, quindi la donna ha messo un nuovo ugello per pulire le superfici strette.</v>
      </c>
    </row>
    <row r="32804">
      <c r="A32804" s="4" t="s">
        <v>41277</v>
      </c>
      <c r="B32804" s="4" t="s">
        <v>41283</v>
      </c>
      <c r="C32804" s="5" t="str">
        <f>IFERROR(__xludf.DUMMYFUNCTION("GOOGLETRANSLATE(B32804,""en"",""it"")"),"Anche la donna misura la pressione dell'aspirazione e mostra l'interno del vuoto.")</f>
        <v>Anche la donna misura la pressione dell'aspirazione e mostra l'interno del vuoto.</v>
      </c>
    </row>
    <row r="32805">
      <c r="A32805" s="4" t="s">
        <v>41284</v>
      </c>
      <c r="B32805" s="6" t="s">
        <v>41285</v>
      </c>
      <c r="C32805" s="5" t="str">
        <f>IFERROR(__xludf.DUMMYFUNCTION("GOOGLETRANSLATE(B32805,""en"",""it"")"),"Vediamo due ragazze che rappresentano la Cina in piedi su tavole per immersioni sopra un pool di dimensioni olimpiche e immersi all'unisono e vediamo i loro punteggi.")</f>
        <v>Vediamo due ragazze che rappresentano la Cina in piedi su tavole per immersioni sopra un pool di dimensioni olimpiche e immersi all'unisono e vediamo i loro punteggi.</v>
      </c>
    </row>
    <row r="32806">
      <c r="A32806" s="4" t="s">
        <v>41284</v>
      </c>
      <c r="B32806" s="4" t="s">
        <v>41286</v>
      </c>
      <c r="C32806" s="5" t="str">
        <f>IFERROR(__xludf.DUMMYFUNCTION("GOOGLETRANSLATE(B32806,""en"",""it"")"),"Vediamo quindi due ragazze che rappresentano l'immersione negli Stati Uniti all'unisono e vediamo i loro punteggi.")</f>
        <v>Vediamo quindi due ragazze che rappresentano l'immersione negli Stati Uniti all'unisono e vediamo i loro punteggi.</v>
      </c>
    </row>
    <row r="32807">
      <c r="A32807" s="4" t="s">
        <v>41284</v>
      </c>
      <c r="B32807" s="4" t="s">
        <v>41287</v>
      </c>
      <c r="C32807" s="5" t="str">
        <f>IFERROR(__xludf.DUMMYFUNCTION("GOOGLETRANSLATE(B32807,""en"",""it"")"),"I prossimi sono due ragazze che rappresentano le immersioni in Italia e vengono mostrati i punteggi.")</f>
        <v>I prossimi sono due ragazze che rappresentano le immersioni in Italia e vengono mostrati i punteggi.</v>
      </c>
    </row>
    <row r="32808">
      <c r="A32808" s="4" t="s">
        <v>41284</v>
      </c>
      <c r="B32808" s="4" t="s">
        <v>41288</v>
      </c>
      <c r="C32808" s="5" t="str">
        <f>IFERROR(__xludf.DUMMYFUNCTION("GOOGLETRANSLATE(B32808,""en"",""it"")"),"La Germania è la prossima squadra a immergersi e i punteggi sono mostrati per loro.")</f>
        <v>La Germania è la prossima squadra a immergersi e i punteggi sono mostrati per loro.</v>
      </c>
    </row>
    <row r="32809">
      <c r="A32809" s="4" t="s">
        <v>41289</v>
      </c>
      <c r="B32809" s="4" t="s">
        <v>41290</v>
      </c>
      <c r="C32809" s="5" t="str">
        <f>IFERROR(__xludf.DUMMYFUNCTION("GOOGLETRANSLATE(B32809,""en"",""it"")"),"Un uomo viene visto parlare alla telecamera mentre tiene in mano un'armonica.")</f>
        <v>Un uomo viene visto parlare alla telecamera mentre tiene in mano un'armonica.</v>
      </c>
    </row>
    <row r="32810">
      <c r="A32810" s="4" t="s">
        <v>41289</v>
      </c>
      <c r="B32810" s="4" t="s">
        <v>41291</v>
      </c>
      <c r="C32810" s="5" t="str">
        <f>IFERROR(__xludf.DUMMYFUNCTION("GOOGLETRANSLATE(B32810,""en"",""it"")"),"L'uomo soffia nello strumento mentre si ferma per parlare alla fotocamera.")</f>
        <v>L'uomo soffia nello strumento mentre si ferma per parlare alla fotocamera.</v>
      </c>
    </row>
    <row r="32811">
      <c r="A32811" s="4" t="s">
        <v>41289</v>
      </c>
      <c r="B32811" s="4" t="s">
        <v>41292</v>
      </c>
      <c r="C32811" s="5" t="str">
        <f>IFERROR(__xludf.DUMMYFUNCTION("GOOGLETRANSLATE(B32811,""en"",""it"")"),"Continua a suonare lo strumento e si ferma per parlare alla telecamera.")</f>
        <v>Continua a suonare lo strumento e si ferma per parlare alla telecamera.</v>
      </c>
    </row>
    <row r="32812">
      <c r="A32812" s="4" t="s">
        <v>41293</v>
      </c>
      <c r="B32812" s="4" t="s">
        <v>41294</v>
      </c>
      <c r="C32812" s="5" t="str">
        <f>IFERROR(__xludf.DUMMYFUNCTION("GOOGLETRANSLATE(B32812,""en"",""it"")"),"Le persone stanno snowboard lungo una grande collina di neve.")</f>
        <v>Le persone stanno snowboard lungo una grande collina di neve.</v>
      </c>
    </row>
    <row r="32813">
      <c r="A32813" s="4" t="s">
        <v>41293</v>
      </c>
      <c r="B32813" s="4" t="s">
        <v>41295</v>
      </c>
      <c r="C32813" s="5" t="str">
        <f>IFERROR(__xludf.DUMMYFUNCTION("GOOGLETRANSLATE(B32813,""en"",""it"")"),"Una persona in una giacca verde è lo snowboard mentre tiene una macchina fotografica davanti a loro.")</f>
        <v>Una persona in una giacca verde è lo snowboard mentre tiene una macchina fotografica davanti a loro.</v>
      </c>
    </row>
    <row r="32814">
      <c r="A32814" s="4" t="s">
        <v>41293</v>
      </c>
      <c r="B32814" s="4" t="s">
        <v>41296</v>
      </c>
      <c r="C32814" s="5" t="str">
        <f>IFERROR(__xludf.DUMMYFUNCTION("GOOGLETRANSLATE(B32814,""en"",""it"")"),"Le persone arrivano in fondo e iniziano a togliersi gli snowboard.")</f>
        <v>Le persone arrivano in fondo e iniziano a togliersi gli snowboard.</v>
      </c>
    </row>
    <row r="32815">
      <c r="A32815" s="4" t="s">
        <v>41297</v>
      </c>
      <c r="B32815" s="4" t="s">
        <v>41298</v>
      </c>
      <c r="C32815" s="5" t="str">
        <f>IFERROR(__xludf.DUMMYFUNCTION("GOOGLETRANSLATE(B32815,""en"",""it"")"),"Uomini sulla spiaggia che giocano a pallavolo nella sabbia.")</f>
        <v>Uomini sulla spiaggia che giocano a pallavolo nella sabbia.</v>
      </c>
    </row>
    <row r="32816">
      <c r="A32816" s="4" t="s">
        <v>41297</v>
      </c>
      <c r="B32816" s="4" t="s">
        <v>41299</v>
      </c>
      <c r="C32816" s="5" t="str">
        <f>IFERROR(__xludf.DUMMYFUNCTION("GOOGLETRANSLATE(B32816,""en"",""it"")"),"Uno dei ragazzi colpisce la palla dall'altra parte e l'hanno colpita.")</f>
        <v>Uno dei ragazzi colpisce la palla dall'altra parte e l'hanno colpita.</v>
      </c>
    </row>
    <row r="32817">
      <c r="A32817" s="4" t="s">
        <v>41297</v>
      </c>
      <c r="B32817" s="4" t="s">
        <v>41300</v>
      </c>
      <c r="C32817" s="5" t="str">
        <f>IFERROR(__xludf.DUMMYFUNCTION("GOOGLETRANSLATE(B32817,""en"",""it"")"),"Poi dall'altra parte della spiaggia c'è anche un gruppo di donne che giocano a pallavolo.")</f>
        <v>Poi dall'altra parte della spiaggia c'è anche un gruppo di donne che giocano a pallavolo.</v>
      </c>
    </row>
    <row r="32818">
      <c r="A32818" s="4" t="s">
        <v>41297</v>
      </c>
      <c r="B32818" s="4" t="s">
        <v>41301</v>
      </c>
      <c r="C32818" s="5" t="str">
        <f>IFERROR(__xludf.DUMMYFUNCTION("GOOGLETRANSLATE(B32818,""en"",""it"")"),"Stanno giocando un gioco davvero buono, una delle ragazze atterra proprio sul suo stomaco.")</f>
        <v>Stanno giocando un gioco davvero buono, una delle ragazze atterra proprio sul suo stomaco.</v>
      </c>
    </row>
    <row r="32819">
      <c r="A32819" s="4" t="s">
        <v>41302</v>
      </c>
      <c r="B32819" s="4" t="s">
        <v>41303</v>
      </c>
      <c r="C32819" s="5" t="str">
        <f>IFERROR(__xludf.DUMMYFUNCTION("GOOGLETRANSLATE(B32819,""en"",""it"")"),"Un cane nuota in una piccola piscina.")</f>
        <v>Un cane nuota in una piccola piscina.</v>
      </c>
    </row>
    <row r="32820">
      <c r="A32820" s="4" t="s">
        <v>41302</v>
      </c>
      <c r="B32820" s="4" t="s">
        <v>41304</v>
      </c>
      <c r="C32820" s="5" t="str">
        <f>IFERROR(__xludf.DUMMYFUNCTION("GOOGLETRANSLATE(B32820,""en"",""it"")"),"Viene strofinato con shampoo.")</f>
        <v>Viene strofinato con shampoo.</v>
      </c>
    </row>
    <row r="32821">
      <c r="A32821" s="4" t="s">
        <v>41302</v>
      </c>
      <c r="B32821" s="4" t="s">
        <v>41305</v>
      </c>
      <c r="C32821" s="5" t="str">
        <f>IFERROR(__xludf.DUMMYFUNCTION("GOOGLETRANSLATE(B32821,""en"",""it"")"),"È tornato in acqua che viene pulito.")</f>
        <v>È tornato in acqua che viene pulito.</v>
      </c>
    </row>
    <row r="32822">
      <c r="A32822" s="4" t="s">
        <v>41302</v>
      </c>
      <c r="B32822" s="4" t="s">
        <v>41306</v>
      </c>
      <c r="C32822" s="5" t="str">
        <f>IFERROR(__xludf.DUMMYFUNCTION("GOOGLETRANSLATE(B32822,""en"",""it"")"),"Una persona sta spruzzando il cane con un tubo.")</f>
        <v>Una persona sta spruzzando il cane con un tubo.</v>
      </c>
    </row>
    <row r="32823">
      <c r="A32823" s="4" t="s">
        <v>41302</v>
      </c>
      <c r="B32823" s="4" t="s">
        <v>41307</v>
      </c>
      <c r="C32823" s="5" t="str">
        <f>IFERROR(__xludf.DUMMYFUNCTION("GOOGLETRANSLATE(B32823,""en"",""it"")"),"Il cane viene quindi messo in una penna di metallo.")</f>
        <v>Il cane viene quindi messo in una penna di metallo.</v>
      </c>
    </row>
    <row r="32824">
      <c r="A32824" s="4" t="s">
        <v>41308</v>
      </c>
      <c r="B32824" s="4" t="s">
        <v>41309</v>
      </c>
      <c r="C32824" s="5" t="str">
        <f>IFERROR(__xludf.DUMMYFUNCTION("GOOGLETRANSLATE(B32824,""en"",""it"")"),"Una persona spiega come giocare a squash con una racchetta e una palla blu.")</f>
        <v>Una persona spiega come giocare a squash con una racchetta e una palla blu.</v>
      </c>
    </row>
    <row r="32825">
      <c r="A32825" s="4" t="s">
        <v>41308</v>
      </c>
      <c r="B32825" s="4" t="s">
        <v>41310</v>
      </c>
      <c r="C32825" s="5" t="str">
        <f>IFERROR(__xludf.DUMMYFUNCTION("GOOGLETRANSLATE(B32825,""en"",""it"")"),"Quindi, continua a spiegare mostrando come colpire la palla sul muro.")</f>
        <v>Quindi, continua a spiegare mostrando come colpire la palla sul muro.</v>
      </c>
    </row>
    <row r="32826">
      <c r="A32826" s="4" t="s">
        <v>41311</v>
      </c>
      <c r="B32826" s="4" t="s">
        <v>41312</v>
      </c>
      <c r="C32826" s="5" t="str">
        <f>IFERROR(__xludf.DUMMYFUNCTION("GOOGLETRANSLATE(B32826,""en"",""it"")"),"Una bici è vista fuori da un edificio.")</f>
        <v>Una bici è vista fuori da un edificio.</v>
      </c>
    </row>
    <row r="32827">
      <c r="A32827" s="4" t="s">
        <v>41311</v>
      </c>
      <c r="B32827" s="4" t="s">
        <v>41313</v>
      </c>
      <c r="C32827" s="5" t="str">
        <f>IFERROR(__xludf.DUMMYFUNCTION("GOOGLETRANSLATE(B32827,""en"",""it"")"),"Un gruppo di uomini è fuori, bevendo eer e parlano mentre gioca a Beer Pong.")</f>
        <v>Un gruppo di uomini è fuori, bevendo eer e parlano mentre gioca a Beer Pong.</v>
      </c>
    </row>
    <row r="32828">
      <c r="A32828" s="4" t="s">
        <v>41311</v>
      </c>
      <c r="B32828" s="4" t="s">
        <v>41314</v>
      </c>
      <c r="C32828" s="5" t="str">
        <f>IFERROR(__xludf.DUMMYFUNCTION("GOOGLETRANSLATE(B32828,""en"",""it"")"),"Provano a gettare la palla negli occhiali.")</f>
        <v>Provano a gettare la palla negli occhiali.</v>
      </c>
    </row>
    <row r="32829">
      <c r="A32829" s="4" t="s">
        <v>41311</v>
      </c>
      <c r="B32829" s="4" t="s">
        <v>41315</v>
      </c>
      <c r="C32829" s="5" t="str">
        <f>IFERROR(__xludf.DUMMYFUNCTION("GOOGLETRANSLATE(B32829,""en"",""it"")"),"Ridono e parlano mentre giocano.")</f>
        <v>Ridono e parlano mentre giocano.</v>
      </c>
    </row>
    <row r="32830">
      <c r="A32830" s="4" t="s">
        <v>41316</v>
      </c>
      <c r="B32830" s="6" t="s">
        <v>41317</v>
      </c>
      <c r="C32830" s="5" t="str">
        <f>IFERROR(__xludf.DUMMYFUNCTION("GOOGLETRANSLATE(B32830,""en"",""it"")"),"Viene vista una telecamera che si panoramica attorno a un grande lago seguito da una persona che cavalcava sugli sci dietro un jet ski.")</f>
        <v>Viene vista una telecamera che si panoramica attorno a un grande lago seguito da una persona che cavalcava sugli sci dietro un jet ski.</v>
      </c>
    </row>
    <row r="32831">
      <c r="A32831" s="4" t="s">
        <v>41316</v>
      </c>
      <c r="B32831" s="4" t="s">
        <v>41318</v>
      </c>
      <c r="C32831" s="5" t="str">
        <f>IFERROR(__xludf.DUMMYFUNCTION("GOOGLETRANSLATE(B32831,""en"",""it"")"),"Due persone vengono viste guidare dietro il jet ski e continuare a muoversi lungo l'acqua.")</f>
        <v>Due persone vengono viste guidare dietro il jet ski e continuare a muoversi lungo l'acqua.</v>
      </c>
    </row>
    <row r="32832">
      <c r="A32832" s="4" t="s">
        <v>41319</v>
      </c>
      <c r="B32832" s="6" t="s">
        <v>41320</v>
      </c>
      <c r="C32832" s="5" t="str">
        <f>IFERROR(__xludf.DUMMYFUNCTION("GOOGLETRANSLATE(B32832,""en"",""it"")"),"Il giocatore in camicia gialla ha preso a calci la palla verso il goal e il portiere non è stato in grado di catturarla, un altro giocatore con camicia rossa ha preso a calci la palla e il portiere non è stato in grado di catturarla.")</f>
        <v>Il giocatore in camicia gialla ha preso a calci la palla verso il goal e il portiere non è stato in grado di catturarla, un altro giocatore con camicia rossa ha preso a calci la palla e il portiere non è stato in grado di catturarla.</v>
      </c>
    </row>
    <row r="32833">
      <c r="A32833" s="4" t="s">
        <v>41319</v>
      </c>
      <c r="B32833" s="4" t="s">
        <v>41321</v>
      </c>
      <c r="C32833" s="5" t="str">
        <f>IFERROR(__xludf.DUMMYFUNCTION("GOOGLETRANSLATE(B32833,""en"",""it"")"),"Il portiere è in piedi davanti alla rete, la folla è incoraggiante.")</f>
        <v>Il portiere è in piedi davanti alla rete, la folla è incoraggiante.</v>
      </c>
    </row>
    <row r="32834">
      <c r="A32834" s="4" t="s">
        <v>41322</v>
      </c>
      <c r="B32834" s="4" t="s">
        <v>41323</v>
      </c>
      <c r="C32834" s="5" t="str">
        <f>IFERROR(__xludf.DUMMYFUNCTION("GOOGLETRANSLATE(B32834,""en"",""it"")"),"Viene mostrato uno schermo bianco e sullo schermo vengono visualizzate diverse parole.")</f>
        <v>Viene mostrato uno schermo bianco e sullo schermo vengono visualizzate diverse parole.</v>
      </c>
    </row>
    <row r="32835">
      <c r="A32835" s="4" t="s">
        <v>41322</v>
      </c>
      <c r="B32835" s="6" t="s">
        <v>41324</v>
      </c>
      <c r="C32835" s="5" t="str">
        <f>IFERROR(__xludf.DUMMYFUNCTION("GOOGLETRANSLATE(B32835,""en"",""it"")"),"Quindi viene mostrato un tappetino blu e un individuo inizia a spazzare e posare il tappetino blu contro il tappetino.")</f>
        <v>Quindi viene mostrato un tappetino blu e un individuo inizia a spazzare e posare il tappetino blu contro il tappetino.</v>
      </c>
    </row>
    <row r="32836">
      <c r="A32836" s="4" t="s">
        <v>41322</v>
      </c>
      <c r="B32836" s="6" t="s">
        <v>41325</v>
      </c>
      <c r="C32836" s="5" t="str">
        <f>IFERROR(__xludf.DUMMYFUNCTION("GOOGLETRANSLATE(B32836,""en"",""it"")"),"L'uomo tira fuori un nastro di misurazione e taglia un pezzo di tappetino blu e continua a coprire il pavimento.")</f>
        <v>L'uomo tira fuori un nastro di misurazione e taglia un pezzo di tappetino blu e continua a coprire il pavimento.</v>
      </c>
    </row>
    <row r="32837">
      <c r="A32837" s="4" t="s">
        <v>41326</v>
      </c>
      <c r="B32837" s="4" t="s">
        <v>41327</v>
      </c>
      <c r="C32837" s="5" t="str">
        <f>IFERROR(__xludf.DUMMYFUNCTION("GOOGLETRANSLATE(B32837,""en"",""it"")"),"Due persone sono viste giocare a piscina mentre altri guardano sul lato e la conversazione.")</f>
        <v>Due persone sono viste giocare a piscina mentre altri guardano sul lato e la conversazione.</v>
      </c>
    </row>
    <row r="32838">
      <c r="A32838" s="4" t="s">
        <v>41326</v>
      </c>
      <c r="B32838" s="4" t="s">
        <v>41328</v>
      </c>
      <c r="C32838" s="5" t="str">
        <f>IFERROR(__xludf.DUMMYFUNCTION("GOOGLETRANSLATE(B32838,""en"",""it"")"),"Gli uomini continuano a colpire la palla attorno al tavolo e muoversi.")</f>
        <v>Gli uomini continuano a colpire la palla attorno al tavolo e muoversi.</v>
      </c>
    </row>
    <row r="32839">
      <c r="A32839" s="4" t="s">
        <v>41329</v>
      </c>
      <c r="B32839" s="4" t="s">
        <v>41330</v>
      </c>
      <c r="C32839" s="5" t="str">
        <f>IFERROR(__xludf.DUMMYFUNCTION("GOOGLETRANSLATE(B32839,""en"",""it"")"),"Due uomini sono fuori a parlare tra loro e iniziano a fare allungamenti del braccio.")</f>
        <v>Due uomini sono fuori a parlare tra loro e iniziano a fare allungamenti del braccio.</v>
      </c>
    </row>
    <row r="32840">
      <c r="A32840" s="4" t="s">
        <v>41329</v>
      </c>
      <c r="B32840" s="4" t="s">
        <v>41331</v>
      </c>
      <c r="C32840" s="5" t="str">
        <f>IFERROR(__xludf.DUMMYFUNCTION("GOOGLETRANSLATE(B32840,""en"",""it"")"),"Quindi si fermano e fanno una serie di roccia, carta, forbici.")</f>
        <v>Quindi si fermano e fanno una serie di roccia, carta, forbici.</v>
      </c>
    </row>
    <row r="32841">
      <c r="A32841" s="4" t="s">
        <v>41332</v>
      </c>
      <c r="B32841" s="4" t="s">
        <v>41333</v>
      </c>
      <c r="C32841" s="5" t="str">
        <f>IFERROR(__xludf.DUMMYFUNCTION("GOOGLETRANSLATE(B32841,""en"",""it"")"),"Diversi bambini piccoli guidano in auto a paraurti.")</f>
        <v>Diversi bambini piccoli guidano in auto a paraurti.</v>
      </c>
    </row>
    <row r="32842">
      <c r="A32842" s="4" t="s">
        <v>41332</v>
      </c>
      <c r="B32842" s="4" t="s">
        <v>41334</v>
      </c>
      <c r="C32842" s="5" t="str">
        <f>IFERROR(__xludf.DUMMYFUNCTION("GOOGLETRANSLATE(B32842,""en"",""it"")"),"Uno di loro gira continuamente in cerchi.")</f>
        <v>Uno di loro gira continuamente in cerchi.</v>
      </c>
    </row>
    <row r="32843">
      <c r="A32843" s="4" t="s">
        <v>41332</v>
      </c>
      <c r="B32843" s="4" t="s">
        <v>41335</v>
      </c>
      <c r="C32843" s="5" t="str">
        <f>IFERROR(__xludf.DUMMYFUNCTION("GOOGLETRANSLATE(B32843,""en"",""it"")"),"Cavalca da sola dopo che gli altri se ne sono andati.")</f>
        <v>Cavalca da sola dopo che gli altri se ne sono andati.</v>
      </c>
    </row>
    <row r="32844">
      <c r="A32844" s="4" t="s">
        <v>41336</v>
      </c>
      <c r="B32844" s="4" t="s">
        <v>41337</v>
      </c>
      <c r="C32844" s="5" t="str">
        <f>IFERROR(__xludf.DUMMYFUNCTION("GOOGLETRANSLATE(B32844,""en"",""it"")"),"Vediamo una signora che dipinge le unghie.")</f>
        <v>Vediamo una signora che dipinge le unghie.</v>
      </c>
    </row>
    <row r="32845">
      <c r="A32845" s="4" t="s">
        <v>41336</v>
      </c>
      <c r="B32845" s="4" t="s">
        <v>41338</v>
      </c>
      <c r="C32845" s="5" t="str">
        <f>IFERROR(__xludf.DUMMYFUNCTION("GOOGLETRANSLATE(B32845,""en"",""it"")"),"Vediamo una schermata dei titoli.")</f>
        <v>Vediamo una schermata dei titoli.</v>
      </c>
    </row>
    <row r="32846">
      <c r="A32846" s="4" t="s">
        <v>41336</v>
      </c>
      <c r="B32846" s="4" t="s">
        <v>41339</v>
      </c>
      <c r="C32846" s="5" t="str">
        <f>IFERROR(__xludf.DUMMYFUNCTION("GOOGLETRANSLATE(B32846,""en"",""it"")"),"La signora file e mette un cappotto chiaro.")</f>
        <v>La signora file e mette un cappotto chiaro.</v>
      </c>
    </row>
    <row r="32847">
      <c r="A32847" s="4" t="s">
        <v>41336</v>
      </c>
      <c r="B32847" s="4" t="s">
        <v>41340</v>
      </c>
      <c r="C32847" s="5" t="str">
        <f>IFERROR(__xludf.DUMMYFUNCTION("GOOGLETRANSLATE(B32847,""en"",""it"")"),"La signora dipinge le unghie blu.")</f>
        <v>La signora dipinge le unghie blu.</v>
      </c>
    </row>
    <row r="32848">
      <c r="A32848" s="4" t="s">
        <v>41336</v>
      </c>
      <c r="B32848" s="4" t="s">
        <v>41341</v>
      </c>
      <c r="C32848" s="5" t="str">
        <f>IFERROR(__xludf.DUMMYFUNCTION("GOOGLETRANSLATE(B32848,""en"",""it"")"),"La signora aggiunge un top coat di smalto trasparente.")</f>
        <v>La signora aggiunge un top coat di smalto trasparente.</v>
      </c>
    </row>
    <row r="32849">
      <c r="A32849" s="4" t="s">
        <v>41336</v>
      </c>
      <c r="B32849" s="4" t="s">
        <v>41342</v>
      </c>
      <c r="C32849" s="5" t="str">
        <f>IFERROR(__xludf.DUMMYFUNCTION("GOOGLETRANSLATE(B32849,""en"",""it"")"),"La signora mette l'olio sulle sue cuticole e vediamo il prodotto finito.")</f>
        <v>La signora mette l'olio sulle sue cuticole e vediamo il prodotto finito.</v>
      </c>
    </row>
    <row r="32850">
      <c r="A32850" s="4" t="s">
        <v>41336</v>
      </c>
      <c r="B32850" s="4" t="s">
        <v>777</v>
      </c>
      <c r="C32850" s="5" t="str">
        <f>IFERROR(__xludf.DUMMYFUNCTION("GOOGLETRANSLATE(B32850,""en"",""it"")"),"Vediamo la schermata del titolo finale.")</f>
        <v>Vediamo la schermata del titolo finale.</v>
      </c>
    </row>
    <row r="32851">
      <c r="A32851" s="4" t="s">
        <v>41343</v>
      </c>
      <c r="B32851" s="4" t="s">
        <v>41344</v>
      </c>
      <c r="C32851" s="5" t="str">
        <f>IFERROR(__xludf.DUMMYFUNCTION("GOOGLETRANSLATE(B32851,""en"",""it"")"),"Questa donna viene mostrata suonando l'armonica nera.")</f>
        <v>Questa donna viene mostrata suonando l'armonica nera.</v>
      </c>
    </row>
    <row r="32852">
      <c r="A32852" s="4" t="s">
        <v>41343</v>
      </c>
      <c r="B32852" s="4" t="s">
        <v>41345</v>
      </c>
      <c r="C32852" s="5" t="str">
        <f>IFERROR(__xludf.DUMMYFUNCTION("GOOGLETRANSLATE(B32852,""en"",""it"")"),"Si ferma per un po ', ma poi continua.")</f>
        <v>Si ferma per un po ', ma poi continua.</v>
      </c>
    </row>
    <row r="32853">
      <c r="A32853" s="4" t="s">
        <v>41346</v>
      </c>
      <c r="B32853" s="4" t="s">
        <v>41347</v>
      </c>
      <c r="C32853" s="5" t="str">
        <f>IFERROR(__xludf.DUMMYFUNCTION("GOOGLETRANSLATE(B32853,""en"",""it"")"),"Un maschio nero alto è fuori applausi cercando di ottenere la partecipazione della folla.")</f>
        <v>Un maschio nero alto è fuori applausi cercando di ottenere la partecipazione della folla.</v>
      </c>
    </row>
    <row r="32854">
      <c r="A32854" s="4" t="s">
        <v>41346</v>
      </c>
      <c r="B32854" s="4" t="s">
        <v>41348</v>
      </c>
      <c r="C32854" s="5" t="str">
        <f>IFERROR(__xludf.DUMMYFUNCTION("GOOGLETRANSLATE(B32854,""en"",""it"")"),"L'atleta si decolla quindi e fa un triplo salto nella fossa.")</f>
        <v>L'atleta si decolla quindi e fa un triplo salto nella fossa.</v>
      </c>
    </row>
    <row r="32855">
      <c r="A32855" s="4" t="s">
        <v>41346</v>
      </c>
      <c r="B32855" s="6" t="s">
        <v>41349</v>
      </c>
      <c r="C32855" s="5" t="str">
        <f>IFERROR(__xludf.DUMMYFUNCTION("GOOGLETRANSLATE(B32855,""en"",""it"")"),"Una volta uscito dalla fossa, cammina e viene mostrato un replay per assicurarsi che non si graffiasse e che il salto possa essere contato.")</f>
        <v>Una volta uscito dalla fossa, cammina e viene mostrato un replay per assicurarsi che non si graffiasse e che il salto possa essere contato.</v>
      </c>
    </row>
    <row r="32856">
      <c r="A32856" s="4" t="s">
        <v>41346</v>
      </c>
      <c r="B32856" s="4" t="s">
        <v>41350</v>
      </c>
      <c r="C32856" s="5" t="str">
        <f>IFERROR(__xludf.DUMMYFUNCTION("GOOGLETRANSLATE(B32856,""en"",""it"")"),"Un altro uomo si avvicina alla corsa e ripete lo stesso passo, ma finisce per graffiare.")</f>
        <v>Un altro uomo si avvicina alla corsa e ripete lo stesso passo, ma finisce per graffiare.</v>
      </c>
    </row>
    <row r="32857">
      <c r="A32857" s="4" t="s">
        <v>41351</v>
      </c>
      <c r="B32857" s="4" t="s">
        <v>41352</v>
      </c>
      <c r="C32857" s="5" t="str">
        <f>IFERROR(__xludf.DUMMYFUNCTION("GOOGLETRANSLATE(B32857,""en"",""it"")"),"Le persone volano aquiloni da un tetto che contiene piscine per corde di aquiloni.")</f>
        <v>Le persone volano aquiloni da un tetto che contiene piscine per corde di aquiloni.</v>
      </c>
    </row>
    <row r="32858">
      <c r="A32858" s="4" t="s">
        <v>41351</v>
      </c>
      <c r="B32858" s="4" t="s">
        <v>41353</v>
      </c>
      <c r="C32858" s="5" t="str">
        <f>IFERROR(__xludf.DUMMYFUNCTION("GOOGLETRANSLATE(B32858,""en"",""it"")"),"Diversi aquiloni volano nel cielo.")</f>
        <v>Diversi aquiloni volano nel cielo.</v>
      </c>
    </row>
    <row r="32859">
      <c r="A32859" s="4" t="s">
        <v>41351</v>
      </c>
      <c r="B32859" s="4" t="s">
        <v>41354</v>
      </c>
      <c r="C32859" s="5" t="str">
        <f>IFERROR(__xludf.DUMMYFUNCTION("GOOGLETRANSLATE(B32859,""en"",""it"")"),"Un uomo tiene una piscina a corda di aquiloni mentre vola un aquilone.")</f>
        <v>Un uomo tiene una piscina a corda di aquiloni mentre vola un aquilone.</v>
      </c>
    </row>
    <row r="32860">
      <c r="A32860" s="4" t="s">
        <v>41355</v>
      </c>
      <c r="B32860" s="4" t="s">
        <v>41356</v>
      </c>
      <c r="C32860" s="5" t="str">
        <f>IFERROR(__xludf.DUMMYFUNCTION("GOOGLETRANSLATE(B32860,""en"",""it"")"),"Viene mostrato un uomo che solleva un pezzo di metallo e lo mette lungo un muro.")</f>
        <v>Viene mostrato un uomo che solleva un pezzo di metallo e lo mette lungo un muro.</v>
      </c>
    </row>
    <row r="32861">
      <c r="A32861" s="4" t="s">
        <v>41355</v>
      </c>
      <c r="B32861" s="6" t="s">
        <v>41357</v>
      </c>
      <c r="C32861" s="5" t="str">
        <f>IFERROR(__xludf.DUMMYFUNCTION("GOOGLETRANSLATE(B32861,""en"",""it"")"),"Quindi mette l'intonaco lungo il metallo e strofina la levigatrice su tutto il muro mentre si guarda ancora alla fotocamera.")</f>
        <v>Quindi mette l'intonaco lungo il metallo e strofina la levigatrice su tutto il muro mentre si guarda ancora alla fotocamera.</v>
      </c>
    </row>
    <row r="32862">
      <c r="A32862" s="4" t="s">
        <v>41358</v>
      </c>
      <c r="B32862" s="4" t="s">
        <v>41359</v>
      </c>
      <c r="C32862" s="5" t="str">
        <f>IFERROR(__xludf.DUMMYFUNCTION("GOOGLETRANSLATE(B32862,""en"",""it"")"),"Due squadre giocano una partita di calcio indoor.")</f>
        <v>Due squadre giocano una partita di calcio indoor.</v>
      </c>
    </row>
    <row r="32863">
      <c r="A32863" s="4" t="s">
        <v>41358</v>
      </c>
      <c r="B32863" s="4" t="s">
        <v>41360</v>
      </c>
      <c r="C32863" s="5" t="str">
        <f>IFERROR(__xludf.DUMMYFUNCTION("GOOGLETRANSLATE(B32863,""en"",""it"")"),"I giocatori della squadra bianca dribbano e passano la palla fino in fondo e fanno un goal.")</f>
        <v>I giocatori della squadra bianca dribbano e passano la palla fino in fondo e fanno un goal.</v>
      </c>
    </row>
    <row r="32864">
      <c r="A32864" s="4" t="s">
        <v>41358</v>
      </c>
      <c r="B32864" s="4" t="s">
        <v>41361</v>
      </c>
      <c r="C32864" s="5" t="str">
        <f>IFERROR(__xludf.DUMMYFUNCTION("GOOGLETRANSLATE(B32864,""en"",""it"")"),"I giocatori della squadra blu dribbano e passano fino in fondo e fanno un goal.")</f>
        <v>I giocatori della squadra blu dribbano e passano fino in fondo e fanno un goal.</v>
      </c>
    </row>
    <row r="32865">
      <c r="A32865" s="4" t="s">
        <v>41358</v>
      </c>
      <c r="B32865" s="4" t="s">
        <v>41362</v>
      </c>
      <c r="C32865" s="5" t="str">
        <f>IFERROR(__xludf.DUMMYFUNCTION("GOOGLETRANSLATE(B32865,""en"",""it"")"),"Un membro della squadra blu combatte due difensori vicino all'obiettivo e fa un punto.")</f>
        <v>Un membro della squadra blu combatte due difensori vicino all'obiettivo e fa un punto.</v>
      </c>
    </row>
    <row r="32866">
      <c r="A32866" s="4" t="s">
        <v>41358</v>
      </c>
      <c r="B32866" s="4" t="s">
        <v>41363</v>
      </c>
      <c r="C32866" s="5" t="str">
        <f>IFERROR(__xludf.DUMMYFUNCTION("GOOGLETRANSLATE(B32866,""en"",""it"")"),"I giocatori prendono calci d'angolo e assistono un gol.")</f>
        <v>I giocatori prendono calci d'angolo e assistono un gol.</v>
      </c>
    </row>
    <row r="32867">
      <c r="A32867" s="4" t="s">
        <v>41364</v>
      </c>
      <c r="B32867" s="4" t="s">
        <v>41365</v>
      </c>
      <c r="C32867" s="5" t="str">
        <f>IFERROR(__xludf.DUMMYFUNCTION("GOOGLETRANSLATE(B32867,""en"",""it"")"),"Due donne stanno fumando un narghilè mentre si sedevano su un divano.")</f>
        <v>Due donne stanno fumando un narghilè mentre si sedevano su un divano.</v>
      </c>
    </row>
    <row r="32868">
      <c r="A32868" s="4" t="s">
        <v>41364</v>
      </c>
      <c r="B32868" s="4" t="s">
        <v>41366</v>
      </c>
      <c r="C32868" s="5" t="str">
        <f>IFERROR(__xludf.DUMMYFUNCTION("GOOGLETRANSLATE(B32868,""en"",""it"")"),"Si alternano prendendo colpi e soffiano fumo.")</f>
        <v>Si alternano prendendo colpi e soffiano fumo.</v>
      </c>
    </row>
    <row r="32869">
      <c r="A32869" s="4" t="s">
        <v>41364</v>
      </c>
      <c r="B32869" s="4" t="s">
        <v>41367</v>
      </c>
      <c r="C32869" s="5" t="str">
        <f>IFERROR(__xludf.DUMMYFUNCTION("GOOGLETRANSLATE(B32869,""en"",""it"")"),"Stanno soffiando il fumo negli anelli verso la fotocamera.")</f>
        <v>Stanno soffiando il fumo negli anelli verso la fotocamera.</v>
      </c>
    </row>
    <row r="32870">
      <c r="A32870" s="4" t="s">
        <v>41368</v>
      </c>
      <c r="B32870" s="4" t="s">
        <v>41369</v>
      </c>
      <c r="C32870" s="5" t="str">
        <f>IFERROR(__xludf.DUMMYFUNCTION("GOOGLETRANSLATE(B32870,""en"",""it"")"),"Un uomo in piedi in un cortile parla alla telecamera del suo cortile.")</f>
        <v>Un uomo in piedi in un cortile parla alla telecamera del suo cortile.</v>
      </c>
    </row>
    <row r="32871">
      <c r="A32871" s="4" t="s">
        <v>41368</v>
      </c>
      <c r="B32871" s="4" t="s">
        <v>41370</v>
      </c>
      <c r="C32871" s="5" t="str">
        <f>IFERROR(__xludf.DUMMYFUNCTION("GOOGLETRANSLATE(B32871,""en"",""it"")"),"L'uomo movisce attraverso il cortile.")</f>
        <v>L'uomo movisce attraverso il cortile.</v>
      </c>
    </row>
    <row r="32872">
      <c r="A32872" s="4" t="s">
        <v>41368</v>
      </c>
      <c r="B32872" s="4" t="s">
        <v>41371</v>
      </c>
      <c r="C32872" s="5" t="str">
        <f>IFERROR(__xludf.DUMMYFUNCTION("GOOGLETRANSLATE(B32872,""en"",""it"")"),"L'uomo quindi falcia il prato con il suo tosaerba.")</f>
        <v>L'uomo quindi falcia il prato con il suo tosaerba.</v>
      </c>
    </row>
    <row r="32873">
      <c r="A32873" s="4" t="s">
        <v>41368</v>
      </c>
      <c r="B32873" s="4" t="s">
        <v>41372</v>
      </c>
      <c r="C32873" s="5" t="str">
        <f>IFERROR(__xludf.DUMMYFUNCTION("GOOGLETRANSLATE(B32873,""en"",""it"")"),"L'uomo si ferma e mostra il cavo elettrico sul suo tosaerba.")</f>
        <v>L'uomo si ferma e mostra il cavo elettrico sul suo tosaerba.</v>
      </c>
    </row>
    <row r="32874">
      <c r="A32874" s="4" t="s">
        <v>41373</v>
      </c>
      <c r="B32874" s="4" t="s">
        <v>41374</v>
      </c>
      <c r="C32874" s="5" t="str">
        <f>IFERROR(__xludf.DUMMYFUNCTION("GOOGLETRANSLATE(B32874,""en"",""it"")"),"Vediamo una signora in piedi in uno studio di notizie che parla alla telecamera.")</f>
        <v>Vediamo una signora in piedi in uno studio di notizie che parla alla telecamera.</v>
      </c>
    </row>
    <row r="32875">
      <c r="A32875" s="4" t="s">
        <v>41373</v>
      </c>
      <c r="B32875" s="4" t="s">
        <v>41375</v>
      </c>
      <c r="C32875" s="5" t="str">
        <f>IFERROR(__xludf.DUMMYFUNCTION("GOOGLETRANSLATE(B32875,""en"",""it"")"),"Vediamo quindi persone in un campo sui cavalli.")</f>
        <v>Vediamo quindi persone in un campo sui cavalli.</v>
      </c>
    </row>
    <row r="32876">
      <c r="A32876" s="4" t="s">
        <v>41373</v>
      </c>
      <c r="B32876" s="4" t="s">
        <v>41376</v>
      </c>
      <c r="C32876" s="5" t="str">
        <f>IFERROR(__xludf.DUMMYFUNCTION("GOOGLETRANSLATE(B32876,""en"",""it"")"),"La gente gioca a polo sui cavalli.")</f>
        <v>La gente gioca a polo sui cavalli.</v>
      </c>
    </row>
    <row r="32877">
      <c r="A32877" s="4" t="s">
        <v>41373</v>
      </c>
      <c r="B32877" s="4" t="s">
        <v>41377</v>
      </c>
      <c r="C32877" s="5" t="str">
        <f>IFERROR(__xludf.DUMMYFUNCTION("GOOGLETRANSLATE(B32877,""en"",""it"")"),"Vediamo un uomo che parla con la telecamera.")</f>
        <v>Vediamo un uomo che parla con la telecamera.</v>
      </c>
    </row>
    <row r="32878">
      <c r="A32878" s="4" t="s">
        <v>41373</v>
      </c>
      <c r="B32878" s="4" t="s">
        <v>41378</v>
      </c>
      <c r="C32878" s="5" t="str">
        <f>IFERROR(__xludf.DUMMYFUNCTION("GOOGLETRANSLATE(B32878,""en"",""it"")"),"Vediamo quindi le persone che giocano di nuovo.")</f>
        <v>Vediamo quindi le persone che giocano di nuovo.</v>
      </c>
    </row>
    <row r="32879">
      <c r="A32879" s="4" t="s">
        <v>41373</v>
      </c>
      <c r="B32879" s="4" t="s">
        <v>41379</v>
      </c>
      <c r="C32879" s="5" t="str">
        <f>IFERROR(__xludf.DUMMYFUNCTION("GOOGLETRANSLATE(B32879,""en"",""it"")"),"L'uomo sta parlando di nuovo con la telecamera.")</f>
        <v>L'uomo sta parlando di nuovo con la telecamera.</v>
      </c>
    </row>
    <row r="32880">
      <c r="A32880" s="4" t="s">
        <v>41373</v>
      </c>
      <c r="B32880" s="4" t="s">
        <v>41380</v>
      </c>
      <c r="C32880" s="5" t="str">
        <f>IFERROR(__xludf.DUMMYFUNCTION("GOOGLETRANSLATE(B32880,""en"",""it"")"),"Vediamo i giocatori di polo sui loro cavalli.")</f>
        <v>Vediamo i giocatori di polo sui loro cavalli.</v>
      </c>
    </row>
    <row r="32881">
      <c r="A32881" s="4" t="s">
        <v>41373</v>
      </c>
      <c r="B32881" s="4" t="s">
        <v>41381</v>
      </c>
      <c r="C32881" s="5" t="str">
        <f>IFERROR(__xludf.DUMMYFUNCTION("GOOGLETRANSLATE(B32881,""en"",""it"")"),"Un uomo tiene il liquore di fronte a una bocca di cavalli, vediamo di nuovo il giornalista.")</f>
        <v>Un uomo tiene il liquore di fronte a una bocca di cavalli, vediamo di nuovo il giornalista.</v>
      </c>
    </row>
    <row r="32882">
      <c r="A32882" s="4" t="s">
        <v>41382</v>
      </c>
      <c r="B32882" s="4" t="s">
        <v>41383</v>
      </c>
      <c r="C32882" s="5" t="str">
        <f>IFERROR(__xludf.DUMMYFUNCTION("GOOGLETRANSLATE(B32882,""en"",""it"")"),"Una donna è in piedi in un cortile recintato accanto a una ragazza a cavallo.")</f>
        <v>Una donna è in piedi in un cortile recintato accanto a una ragazza a cavallo.</v>
      </c>
    </row>
    <row r="32883">
      <c r="A32883" s="4" t="s">
        <v>41382</v>
      </c>
      <c r="B32883" s="4" t="s">
        <v>41384</v>
      </c>
      <c r="C32883" s="5" t="str">
        <f>IFERROR(__xludf.DUMMYFUNCTION("GOOGLETRANSLATE(B32883,""en"",""it"")"),"Si allontana mentre la ragazza cavalca il cavallo attentamente intorno alla recinzione.")</f>
        <v>Si allontana mentre la ragazza cavalca il cavallo attentamente intorno alla recinzione.</v>
      </c>
    </row>
    <row r="32884">
      <c r="A32884" s="4" t="s">
        <v>41382</v>
      </c>
      <c r="B32884" s="4" t="s">
        <v>41385</v>
      </c>
      <c r="C32884" s="5" t="str">
        <f>IFERROR(__xludf.DUMMYFUNCTION("GOOGLETRANSLATE(B32884,""en"",""it"")"),"Quindi porta il cavallo in un trotto leggero mentre cavalca.")</f>
        <v>Quindi porta il cavallo in un trotto leggero mentre cavalca.</v>
      </c>
    </row>
    <row r="32885">
      <c r="A32885" s="4" t="s">
        <v>41386</v>
      </c>
      <c r="B32885" s="4" t="s">
        <v>41387</v>
      </c>
      <c r="C32885" s="5" t="str">
        <f>IFERROR(__xludf.DUMMYFUNCTION("GOOGLETRANSLATE(B32885,""en"",""it"")"),"Un uomo senza camicia raschia la ghiaia di copertura usando una pala.")</f>
        <v>Un uomo senza camicia raschia la ghiaia di copertura usando una pala.</v>
      </c>
    </row>
    <row r="32886">
      <c r="A32886" s="4" t="s">
        <v>41386</v>
      </c>
      <c r="B32886" s="6" t="s">
        <v>41388</v>
      </c>
      <c r="C32886" s="5" t="str">
        <f>IFERROR(__xludf.DUMMYFUNCTION("GOOGLETRANSLATE(B32886,""en"",""it"")"),"L'uomo si ferma e si sporge sulla pala per un momento per guardare la quantità di lavoro che è davanti a sé.")</f>
        <v>L'uomo si ferma e si sporge sulla pala per un momento per guardare la quantità di lavoro che è davanti a sé.</v>
      </c>
    </row>
    <row r="32887">
      <c r="A32887" s="4" t="s">
        <v>41386</v>
      </c>
      <c r="B32887" s="4" t="s">
        <v>41389</v>
      </c>
      <c r="C32887" s="5" t="str">
        <f>IFERROR(__xludf.DUMMYFUNCTION("GOOGLETRANSLATE(B32887,""en"",""it"")"),"L'uomo continua a raschiare il tetto di ghiaia e si gira con la schiena verso la telecamera.")</f>
        <v>L'uomo continua a raschiare il tetto di ghiaia e si gira con la schiena verso la telecamera.</v>
      </c>
    </row>
    <row r="32888">
      <c r="A32888" s="4" t="s">
        <v>41390</v>
      </c>
      <c r="B32888" s="6" t="s">
        <v>41391</v>
      </c>
      <c r="C32888" s="5" t="str">
        <f>IFERROR(__xludf.DUMMYFUNCTION("GOOGLETRANSLATE(B32888,""en"",""it"")"),"Due uomini sono visti in piedi attorno a un tavolo da shuffleboard seguito dagli uomini che colpiscono dischi su tutta la linea.")</f>
        <v>Due uomini sono visti in piedi attorno a un tavolo da shuffleboard seguito dagli uomini che colpiscono dischi su tutta la linea.</v>
      </c>
    </row>
    <row r="32889">
      <c r="A32889" s="4" t="s">
        <v>41390</v>
      </c>
      <c r="B32889" s="4" t="s">
        <v>41392</v>
      </c>
      <c r="C32889" s="5" t="str">
        <f>IFERROR(__xludf.DUMMYFUNCTION("GOOGLETRANSLATE(B32889,""en"",""it"")"),"Gli uomini continuano a colpire i dischi e ingrandire i loro volti alla fine.")</f>
        <v>Gli uomini continuano a colpire i dischi e ingrandire i loro volti alla fine.</v>
      </c>
    </row>
    <row r="32890">
      <c r="A32890" s="4" t="s">
        <v>41393</v>
      </c>
      <c r="B32890" s="4" t="s">
        <v>41394</v>
      </c>
      <c r="C32890" s="5" t="str">
        <f>IFERROR(__xludf.DUMMYFUNCTION("GOOGLETRANSLATE(B32890,""en"",""it"")"),"Le notti scure sono mostrate con un fulmine che lampeggiano attraverso il cielo.")</f>
        <v>Le notti scure sono mostrate con un fulmine che lampeggiano attraverso il cielo.</v>
      </c>
    </row>
    <row r="32891">
      <c r="A32891" s="4" t="s">
        <v>41393</v>
      </c>
      <c r="B32891" s="4" t="s">
        <v>41395</v>
      </c>
      <c r="C32891" s="5" t="str">
        <f>IFERROR(__xludf.DUMMYFUNCTION("GOOGLETRANSLATE(B32891,""en"",""it"")"),"Dopo, il video inizia e diverse persone vengono mostrate su una grande barca che naviga in acqua.")</f>
        <v>Dopo, il video inizia e diverse persone vengono mostrate su una grande barca che naviga in acqua.</v>
      </c>
    </row>
    <row r="32892">
      <c r="A32892" s="4" t="s">
        <v>41393</v>
      </c>
      <c r="B32892" s="4" t="s">
        <v>41396</v>
      </c>
      <c r="C32892" s="5" t="str">
        <f>IFERROR(__xludf.DUMMYFUNCTION("GOOGLETRANSLATE(B32892,""en"",""it"")"),"Il tempo inizia a diventare cattivo e le persone devono resistere per la cara vita in modo da non morire.")</f>
        <v>Il tempo inizia a diventare cattivo e le persone devono resistere per la cara vita in modo da non morire.</v>
      </c>
    </row>
    <row r="32893">
      <c r="A32893" s="4" t="s">
        <v>41393</v>
      </c>
      <c r="B32893" s="6" t="s">
        <v>41397</v>
      </c>
      <c r="C32893" s="5" t="str">
        <f>IFERROR(__xludf.DUMMYFUNCTION("GOOGLETRANSLATE(B32893,""en"",""it"")"),"In un caso, la barca inizia a ribaltarsi di lato e la gente salta di gioia che non si ribalta mentre il tempo orribile continua.")</f>
        <v>In un caso, la barca inizia a ribaltarsi di lato e la gente salta di gioia che non si ribalta mentre il tempo orribile continua.</v>
      </c>
    </row>
    <row r="32894">
      <c r="A32894" s="4" t="s">
        <v>41398</v>
      </c>
      <c r="B32894" s="6" t="s">
        <v>41399</v>
      </c>
      <c r="C32894" s="5" t="str">
        <f>IFERROR(__xludf.DUMMYFUNCTION("GOOGLETRANSLATE(B32894,""en"",""it"")"),"Un gruppo di corridori è in una strada e un maratoneta di Boston che ha battuto un record viene mostrato parlando in un'intervista dopo aver festeggiato.")</f>
        <v>Un gruppo di corridori è in una strada e un maratoneta di Boston che ha battuto un record viene mostrato parlando in un'intervista dopo aver festeggiato.</v>
      </c>
    </row>
    <row r="32895">
      <c r="A32895" s="4" t="s">
        <v>41398</v>
      </c>
      <c r="B32895" s="4" t="s">
        <v>41400</v>
      </c>
      <c r="C32895" s="5" t="str">
        <f>IFERROR(__xludf.DUMMYFUNCTION("GOOGLETRANSLATE(B32895,""en"",""it"")"),"Vengono mostrati girati di notizie che parlano dell'uomo e degli altri mentre raggiungono la fine della maratona.")</f>
        <v>Vengono mostrati girati di notizie che parlano dell'uomo e degli altri mentre raggiungono la fine della maratona.</v>
      </c>
    </row>
    <row r="32896">
      <c r="A32896" s="4" t="s">
        <v>41398</v>
      </c>
      <c r="B32896" s="4" t="s">
        <v>41401</v>
      </c>
      <c r="C32896" s="5" t="str">
        <f>IFERROR(__xludf.DUMMYFUNCTION("GOOGLETRANSLATE(B32896,""en"",""it"")"),"I corridori sono mostrati come un gruppo, mentre uomini vestiti da saldature britanniche mettono in atto una commedia per la folla.")</f>
        <v>I corridori sono mostrati come un gruppo, mentre uomini vestiti da saldature britanniche mettono in atto una commedia per la folla.</v>
      </c>
    </row>
    <row r="32897">
      <c r="A32897" s="4" t="s">
        <v>41402</v>
      </c>
      <c r="B32897" s="4" t="s">
        <v>41403</v>
      </c>
      <c r="C32897" s="5" t="str">
        <f>IFERROR(__xludf.DUMMYFUNCTION("GOOGLETRANSLATE(B32897,""en"",""it"")"),"Un uomo nel maglione di pesca è lo skateboard e poi è caduto a terra.")</f>
        <v>Un uomo nel maglione di pesca è lo skateboard e poi è caduto a terra.</v>
      </c>
    </row>
    <row r="32898">
      <c r="A32898" s="4" t="s">
        <v>41402</v>
      </c>
      <c r="B32898" s="4" t="s">
        <v>41404</v>
      </c>
      <c r="C32898" s="5" t="str">
        <f>IFERROR(__xludf.DUMMYFUNCTION("GOOGLETRANSLATE(B32898,""en"",""it"")"),"Un uomo in Orange Stop è lo skateboard nella strada oscura e è caduto a terra.")</f>
        <v>Un uomo in Orange Stop è lo skateboard nella strada oscura e è caduto a terra.</v>
      </c>
    </row>
    <row r="32899">
      <c r="A32899" s="4" t="s">
        <v>41402</v>
      </c>
      <c r="B32899" s="6" t="s">
        <v>41405</v>
      </c>
      <c r="C32899" s="5" t="str">
        <f>IFERROR(__xludf.DUMMYFUNCTION("GOOGLETRANSLATE(B32899,""en"",""it"")"),"Un uomo con skateboard a camicia nera lungo l'ampia strada e cadde sul lato della strada, l'uomo mostrò i suoi tagli sanguinanti davanti alla telecamera.")</f>
        <v>Un uomo con skateboard a camicia nera lungo l'ampia strada e cadde sul lato della strada, l'uomo mostrò i suoi tagli sanguinanti davanti alla telecamera.</v>
      </c>
    </row>
    <row r="32900">
      <c r="A32900" s="4" t="s">
        <v>41402</v>
      </c>
      <c r="B32900" s="4" t="s">
        <v>41406</v>
      </c>
      <c r="C32900" s="5" t="str">
        <f>IFERROR(__xludf.DUMMYFUNCTION("GOOGLETRANSLATE(B32900,""en"",""it"")"),"A Gli skateboarder stanno cadendo dai loro skateboard.")</f>
        <v>A Gli skateboarder stanno cadendo dai loro skateboard.</v>
      </c>
    </row>
    <row r="32901">
      <c r="A32901" s="4" t="s">
        <v>41407</v>
      </c>
      <c r="B32901" s="4" t="s">
        <v>41408</v>
      </c>
      <c r="C32901" s="5" t="str">
        <f>IFERROR(__xludf.DUMMYFUNCTION("GOOGLETRANSLATE(B32901,""en"",""it"")"),"Un uomo sta parlando di fronte a una rete in un cortile.")</f>
        <v>Un uomo sta parlando di fronte a una rete in un cortile.</v>
      </c>
    </row>
    <row r="32902">
      <c r="A32902" s="4" t="s">
        <v>41407</v>
      </c>
      <c r="B32902" s="4" t="s">
        <v>41409</v>
      </c>
      <c r="C32902" s="5" t="str">
        <f>IFERROR(__xludf.DUMMYFUNCTION("GOOGLETRANSLATE(B32902,""en"",""it"")"),"Due ragazzi sono visti colpire una palla in rete.")</f>
        <v>Due ragazzi sono visti colpire una palla in rete.</v>
      </c>
    </row>
    <row r="32903">
      <c r="A32903" s="4" t="s">
        <v>41407</v>
      </c>
      <c r="B32903" s="4" t="s">
        <v>41410</v>
      </c>
      <c r="C32903" s="5" t="str">
        <f>IFERROR(__xludf.DUMMYFUNCTION("GOOGLETRANSLATE(B32903,""en"",""it"")"),"Quindi vediamo una partita su un campo con uomini che colpiscono le palle con le reti in porta.")</f>
        <v>Quindi vediamo una partita su un campo con uomini che colpiscono le palle con le reti in porta.</v>
      </c>
    </row>
    <row r="32904">
      <c r="A32904" s="4" t="s">
        <v>41411</v>
      </c>
      <c r="B32904" s="4" t="s">
        <v>41412</v>
      </c>
      <c r="C32904" s="5" t="str">
        <f>IFERROR(__xludf.DUMMYFUNCTION("GOOGLETRANSLATE(B32904,""en"",""it"")"),"Un gruppo di cheerleader viene mostrato a praticare la loro routine in palestra.")</f>
        <v>Un gruppo di cheerleader viene mostrato a praticare la loro routine in palestra.</v>
      </c>
    </row>
    <row r="32905">
      <c r="A32905" s="4" t="s">
        <v>41411</v>
      </c>
      <c r="B32905" s="6" t="s">
        <v>41413</v>
      </c>
      <c r="C32905" s="5" t="str">
        <f>IFERROR(__xludf.DUMMYFUNCTION("GOOGLETRANSLATE(B32905,""en"",""it"")"),"La scena passa a una cheerleader intervistata mentre altri si estendono in background, con occasionali clip relative alla cheerleader intervallate.")</f>
        <v>La scena passa a una cheerleader intervistata mentre altri si estendono in background, con occasionali clip relative alla cheerleader intervallate.</v>
      </c>
    </row>
    <row r="32906">
      <c r="A32906" s="4" t="s">
        <v>41411</v>
      </c>
      <c r="B32906" s="6" t="s">
        <v>41414</v>
      </c>
      <c r="C32906" s="5" t="str">
        <f>IFERROR(__xludf.DUMMYFUNCTION("GOOGLETRANSLATE(B32906,""en"",""it"")"),"Un uomo che indossa il blu viene intervistato nella stessa cornice, con occasionali clip relative alla cheerleader intervallate.")</f>
        <v>Un uomo che indossa il blu viene intervistato nella stessa cornice, con occasionali clip relative alla cheerleader intervallate.</v>
      </c>
    </row>
    <row r="32907">
      <c r="A32907" s="4" t="s">
        <v>41411</v>
      </c>
      <c r="B32907" s="6" t="s">
        <v>41415</v>
      </c>
      <c r="C32907" s="5" t="str">
        <f>IFERROR(__xludf.DUMMYFUNCTION("GOOGLETRANSLATE(B32907,""en"",""it"")"),"Un altro uomo viene intervistato nella stessa cornice, con occasionali clip relative alla cheerleader intervallate.")</f>
        <v>Un altro uomo viene intervistato nella stessa cornice, con occasionali clip relative alla cheerleader intervallate.</v>
      </c>
    </row>
    <row r="32908">
      <c r="A32908" s="4" t="s">
        <v>41411</v>
      </c>
      <c r="B32908" s="6" t="s">
        <v>41416</v>
      </c>
      <c r="C32908" s="5" t="str">
        <f>IFERROR(__xludf.DUMMYFUNCTION("GOOGLETRANSLATE(B32908,""en"",""it"")"),"La fotocamera ritorna all'uomo in blu intervistata, con brevi sequenze d'azione di cheerleader.")</f>
        <v>La fotocamera ritorna all'uomo in blu intervistata, con brevi sequenze d'azione di cheerleader.</v>
      </c>
    </row>
    <row r="32909">
      <c r="A32909" s="4" t="s">
        <v>41411</v>
      </c>
      <c r="B32909" s="4" t="s">
        <v>41417</v>
      </c>
      <c r="C32909" s="5" t="str">
        <f>IFERROR(__xludf.DUMMYFUNCTION("GOOGLETRANSLATE(B32909,""en"",""it"")"),"La fotocamera ritorna al primo individuo intervistato, con brevi sequenze d'azione di cheerleader.")</f>
        <v>La fotocamera ritorna al primo individuo intervistato, con brevi sequenze d'azione di cheerleader.</v>
      </c>
    </row>
    <row r="32910">
      <c r="A32910" s="4" t="s">
        <v>41418</v>
      </c>
      <c r="B32910" s="4" t="s">
        <v>41419</v>
      </c>
      <c r="C32910" s="5" t="str">
        <f>IFERROR(__xludf.DUMMYFUNCTION("GOOGLETRANSLATE(B32910,""en"",""it"")"),"Diverse persone sono in piedi fuori in una neve con tubi di fronte a loro.")</f>
        <v>Diverse persone sono in piedi fuori in una neve con tubi di fronte a loro.</v>
      </c>
    </row>
    <row r="32911">
      <c r="A32911" s="4" t="s">
        <v>41418</v>
      </c>
      <c r="B32911" s="4" t="s">
        <v>41420</v>
      </c>
      <c r="C32911" s="5" t="str">
        <f>IFERROR(__xludf.DUMMYFUNCTION("GOOGLETRANSLATE(B32911,""en"",""it"")"),"Due persone si mettono quindi nei tubi e vengono spinte lungo le piste.")</f>
        <v>Due persone si mettono quindi nei tubi e vengono spinte lungo le piste.</v>
      </c>
    </row>
    <row r="32912">
      <c r="A32912" s="4" t="s">
        <v>41418</v>
      </c>
      <c r="B32912" s="4" t="s">
        <v>41421</v>
      </c>
      <c r="C32912" s="5" t="str">
        <f>IFERROR(__xludf.DUMMYFUNCTION("GOOGLETRANSLATE(B32912,""en"",""it"")"),"Scendono nello scivolo della neve e una volta raggiunti il ​​fondo scendono.")</f>
        <v>Scendono nello scivolo della neve e una volta raggiunti il ​​fondo scendono.</v>
      </c>
    </row>
    <row r="32913">
      <c r="A32913" s="4" t="s">
        <v>41422</v>
      </c>
      <c r="B32913" s="4" t="s">
        <v>41423</v>
      </c>
      <c r="C32913" s="5" t="str">
        <f>IFERROR(__xludf.DUMMYFUNCTION("GOOGLETRANSLATE(B32913,""en"",""it"")"),"Una ragazza è in piedi nel suo bagno facendo facce ridere mentre tiene una tazza.")</f>
        <v>Una ragazza è in piedi nel suo bagno facendo facce ridere mentre tiene una tazza.</v>
      </c>
    </row>
    <row r="32914">
      <c r="A32914" s="4" t="s">
        <v>41422</v>
      </c>
      <c r="B32914" s="4" t="s">
        <v>41424</v>
      </c>
      <c r="C32914" s="5" t="str">
        <f>IFERROR(__xludf.DUMMYFUNCTION("GOOGLETRANSLATE(B32914,""en"",""it"")"),"Alla fine prende tutto ciò che è nel cucciolo e inizia a colpire mentre lo sputa nel lavandino.")</f>
        <v>Alla fine prende tutto ciò che è nel cucciolo e inizia a colpire mentre lo sputa nel lavandino.</v>
      </c>
    </row>
    <row r="32915">
      <c r="A32915" s="4" t="s">
        <v>41422</v>
      </c>
      <c r="B32915" s="4" t="s">
        <v>41425</v>
      </c>
      <c r="C32915" s="5" t="str">
        <f>IFERROR(__xludf.DUMMYFUNCTION("GOOGLETRANSLATE(B32915,""en"",""it"")"),"Dopo che la sua bocca è vuota, mostra una bottiglia di collutorio di cresta.")</f>
        <v>Dopo che la sua bocca è vuota, mostra una bottiglia di collutorio di cresta.</v>
      </c>
    </row>
    <row r="32916">
      <c r="A32916" s="4" t="s">
        <v>41426</v>
      </c>
      <c r="B32916" s="4" t="s">
        <v>41427</v>
      </c>
      <c r="C32916" s="5" t="str">
        <f>IFERROR(__xludf.DUMMYFUNCTION("GOOGLETRANSLATE(B32916,""en"",""it"")"),"Un uomo suona cattura con un cane in un campo sporco mentre lancia un frisbee.")</f>
        <v>Un uomo suona cattura con un cane in un campo sporco mentre lancia un frisbee.</v>
      </c>
    </row>
    <row r="32917">
      <c r="A32917" s="4" t="s">
        <v>41426</v>
      </c>
      <c r="B32917" s="4" t="s">
        <v>41428</v>
      </c>
      <c r="C32917" s="5" t="str">
        <f>IFERROR(__xludf.DUMMYFUNCTION("GOOGLETRANSLATE(B32917,""en"",""it"")"),"L'uomo tiene il frisbee in mano al cane.")</f>
        <v>L'uomo tiene il frisbee in mano al cane.</v>
      </c>
    </row>
    <row r="32918">
      <c r="A32918" s="4" t="s">
        <v>41426</v>
      </c>
      <c r="B32918" s="4" t="s">
        <v>41429</v>
      </c>
      <c r="C32918" s="5" t="str">
        <f>IFERROR(__xludf.DUMMYFUNCTION("GOOGLETRANSLATE(B32918,""en"",""it"")"),"Una donna gioca cattura con il cane che lancia un frisbee in un parco erboso.")</f>
        <v>Una donna gioca cattura con il cane che lancia un frisbee in un parco erboso.</v>
      </c>
    </row>
    <row r="32919">
      <c r="A32919" s="4" t="s">
        <v>41430</v>
      </c>
      <c r="B32919" s="4" t="s">
        <v>41431</v>
      </c>
      <c r="C32919" s="5" t="str">
        <f>IFERROR(__xludf.DUMMYFUNCTION("GOOGLETRANSLATE(B32919,""en"",""it"")"),"L'uomo della telecamera apre una porta e guarda una donna che lascia avanti in una vasca.")</f>
        <v>L'uomo della telecamera apre una porta e guarda una donna che lascia avanti in una vasca.</v>
      </c>
    </row>
    <row r="32920">
      <c r="A32920" s="4" t="s">
        <v>41430</v>
      </c>
      <c r="B32920" s="4" t="s">
        <v>41432</v>
      </c>
      <c r="C32920" s="5" t="str">
        <f>IFERROR(__xludf.DUMMYFUNCTION("GOOGLETRANSLATE(B32920,""en"",""it"")"),"La donna parla con l'uomo della telecamera mentre lava diversi vestiti in una vasca piena d'acqua.")</f>
        <v>La donna parla con l'uomo della telecamera mentre lava diversi vestiti in una vasca piena d'acqua.</v>
      </c>
    </row>
    <row r="32921">
      <c r="A32921" s="4" t="s">
        <v>41430</v>
      </c>
      <c r="B32921" s="6" t="s">
        <v>41433</v>
      </c>
      <c r="C32921" s="5" t="str">
        <f>IFERROR(__xludf.DUMMYFUNCTION("GOOGLETRANSLATE(B32921,""en"",""it"")"),"La donna si impara esausta e si gira di nuovo all'uomo della telecamera rapidamente, quindi di nuovo alla vasca.")</f>
        <v>La donna si impara esausta e si gira di nuovo all'uomo della telecamera rapidamente, quindi di nuovo alla vasca.</v>
      </c>
    </row>
    <row r="32922">
      <c r="A32922" s="4" t="s">
        <v>41434</v>
      </c>
      <c r="B32922" s="6" t="s">
        <v>41435</v>
      </c>
      <c r="C32922" s="5" t="str">
        <f>IFERROR(__xludf.DUMMYFUNCTION("GOOGLETRANSLATE(B32922,""en"",""it"")"),"Un gruppo di persone sta correndo lungo una strada con varie persone che tifano e applaudono sui lati.")</f>
        <v>Un gruppo di persone sta correndo lungo una strada con varie persone che tifano e applaudono sui lati.</v>
      </c>
    </row>
    <row r="32923">
      <c r="A32923" s="4" t="s">
        <v>41434</v>
      </c>
      <c r="B32923" s="4" t="s">
        <v>41436</v>
      </c>
      <c r="C32923" s="5" t="str">
        <f>IFERROR(__xludf.DUMMYFUNCTION("GOOGLETRANSLATE(B32923,""en"",""it"")"),"Una donna sta facendo un salto ad altissima gente anche di altri corridori.")</f>
        <v>Una donna sta facendo un salto ad altissima gente anche di altri corridori.</v>
      </c>
    </row>
    <row r="32924">
      <c r="A32924" s="4" t="s">
        <v>41434</v>
      </c>
      <c r="B32924" s="4" t="s">
        <v>41437</v>
      </c>
      <c r="C32924" s="5" t="str">
        <f>IFERROR(__xludf.DUMMYFUNCTION("GOOGLETRANSLATE(B32924,""en"",""it"")"),"Vengono mostrati altri scatti di persone ai lati mentre i corridori continuano a correre.")</f>
        <v>Vengono mostrati altri scatti di persone ai lati mentre i corridori continuano a correre.</v>
      </c>
    </row>
    <row r="32925">
      <c r="A32925" s="4" t="s">
        <v>41438</v>
      </c>
      <c r="B32925" s="6" t="s">
        <v>41439</v>
      </c>
      <c r="C32925" s="5" t="str">
        <f>IFERROR(__xludf.DUMMYFUNCTION("GOOGLETRANSLATE(B32925,""en"",""it"")"),"Un folto gruppo di persone si vede in piedi in una pista di cavallo e conduce in diversi uomini seduti sui cavalli e uno che cavalcano oscillando un bastone.")</f>
        <v>Un folto gruppo di persone si vede in piedi in una pista di cavallo e conduce in diversi uomini seduti sui cavalli e uno che cavalcano oscillando un bastone.</v>
      </c>
    </row>
    <row r="32926">
      <c r="A32926" s="4" t="s">
        <v>41438</v>
      </c>
      <c r="B32926" s="4" t="s">
        <v>41440</v>
      </c>
      <c r="C32926" s="5" t="str">
        <f>IFERROR(__xludf.DUMMYFUNCTION("GOOGLETRANSLATE(B32926,""en"",""it"")"),"Gli uomini quindi iniziano a giocare sui cavalli e si stringono a vicenda.")</f>
        <v>Gli uomini quindi iniziano a giocare sui cavalli e si stringono a vicenda.</v>
      </c>
    </row>
    <row r="32927">
      <c r="A32927" s="4" t="s">
        <v>41438</v>
      </c>
      <c r="B32927" s="6" t="s">
        <v>41441</v>
      </c>
      <c r="C32927" s="5" t="str">
        <f>IFERROR(__xludf.DUMMYFUNCTION("GOOGLETRANSLATE(B32927,""en"",""it"")"),"La principessa quindi consegna una scatola a uno dei giocatori e si trova vicino a molti altri con un trofeo.")</f>
        <v>La principessa quindi consegna una scatola a uno dei giocatori e si trova vicino a molti altri con un trofeo.</v>
      </c>
    </row>
    <row r="32928">
      <c r="A32928" s="4" t="s">
        <v>41442</v>
      </c>
      <c r="B32928" s="4" t="s">
        <v>41443</v>
      </c>
      <c r="C32928" s="5" t="str">
        <f>IFERROR(__xludf.DUMMYFUNCTION("GOOGLETRANSLATE(B32928,""en"",""it"")"),"Una donna sta mostrando le unghie delle dita alla telecamera.")</f>
        <v>Una donna sta mostrando le unghie delle dita alla telecamera.</v>
      </c>
    </row>
    <row r="32929">
      <c r="A32929" s="4" t="s">
        <v>41442</v>
      </c>
      <c r="B32929" s="4" t="s">
        <v>41444</v>
      </c>
      <c r="C32929" s="5" t="str">
        <f>IFERROR(__xludf.DUMMYFUNCTION("GOOGLETRANSLATE(B32929,""en"",""it"")"),"Una donna con una camicia nera è seduta in una stanza a parlare con una macchina fotografica.")</f>
        <v>Una donna con una camicia nera è seduta in una stanza a parlare con una macchina fotografica.</v>
      </c>
    </row>
    <row r="32930">
      <c r="A32930" s="4" t="s">
        <v>41442</v>
      </c>
      <c r="B32930" s="4" t="s">
        <v>41445</v>
      </c>
      <c r="C32930" s="5" t="str">
        <f>IFERROR(__xludf.DUMMYFUNCTION("GOOGLETRANSLATE(B32930,""en"",""it"")"),"Una persona sta facendo unghie di qualcun altro su un tavolo.")</f>
        <v>Una persona sta facendo unghie di qualcun altro su un tavolo.</v>
      </c>
    </row>
    <row r="32931">
      <c r="A32931" s="4" t="s">
        <v>41442</v>
      </c>
      <c r="B32931" s="4" t="s">
        <v>41446</v>
      </c>
      <c r="C32931" s="5" t="str">
        <f>IFERROR(__xludf.DUMMYFUNCTION("GOOGLETRANSLATE(B32931,""en"",""it"")"),"Stanno mettendo le unghie false su di loro.")</f>
        <v>Stanno mettendo le unghie false su di loro.</v>
      </c>
    </row>
    <row r="32932">
      <c r="A32932" s="4" t="s">
        <v>41442</v>
      </c>
      <c r="B32932" s="4" t="s">
        <v>41447</v>
      </c>
      <c r="C32932" s="5" t="str">
        <f>IFERROR(__xludf.DUMMYFUNCTION("GOOGLETRANSLATE(B32932,""en"",""it"")"),"Stanno riducendo le unghie.")</f>
        <v>Stanno riducendo le unghie.</v>
      </c>
    </row>
    <row r="32933">
      <c r="A32933" s="4" t="s">
        <v>41442</v>
      </c>
      <c r="B32933" s="4" t="s">
        <v>41448</v>
      </c>
      <c r="C32933" s="5" t="str">
        <f>IFERROR(__xludf.DUMMYFUNCTION("GOOGLETRANSLATE(B32933,""en"",""it"")"),"Iniziano a dipingere le unghie.")</f>
        <v>Iniziano a dipingere le unghie.</v>
      </c>
    </row>
    <row r="32934">
      <c r="A32934" s="4" t="s">
        <v>41449</v>
      </c>
      <c r="B32934" s="4" t="s">
        <v>41450</v>
      </c>
      <c r="C32934" s="5" t="str">
        <f>IFERROR(__xludf.DUMMYFUNCTION("GOOGLETRANSLATE(B32934,""en"",""it"")"),"Un uomo viene visto seduto in una grande palestra mentre parla alla telecamera e seduto su una palla di medicina.")</f>
        <v>Un uomo viene visto seduto in una grande palestra mentre parla alla telecamera e seduto su una palla di medicina.</v>
      </c>
    </row>
    <row r="32935">
      <c r="A32935" s="4" t="s">
        <v>41449</v>
      </c>
      <c r="B32935" s="4" t="s">
        <v>41451</v>
      </c>
      <c r="C32935" s="5" t="str">
        <f>IFERROR(__xludf.DUMMYFUNCTION("GOOGLETRANSLATE(B32935,""en"",""it"")"),"L'uomo quindi si piega in avanti sulla palla mentre parla ancora alla telecamera.")</f>
        <v>L'uomo quindi si piega in avanti sulla palla mentre parla ancora alla telecamera.</v>
      </c>
    </row>
    <row r="32936">
      <c r="A32936" s="4" t="s">
        <v>41449</v>
      </c>
      <c r="B32936" s="4" t="s">
        <v>41452</v>
      </c>
      <c r="C32936" s="5" t="str">
        <f>IFERROR(__xludf.DUMMYFUNCTION("GOOGLETRANSLATE(B32936,""en"",""it"")"),"L'uomo continua a bilanciarsi sulla palla e si siede e prende una palla.")</f>
        <v>L'uomo continua a bilanciarsi sulla palla e si siede e prende una palla.</v>
      </c>
    </row>
    <row r="32937">
      <c r="A32937" s="4" t="s">
        <v>41453</v>
      </c>
      <c r="B32937" s="4" t="s">
        <v>41454</v>
      </c>
      <c r="C32937" s="5" t="str">
        <f>IFERROR(__xludf.DUMMYFUNCTION("GOOGLETRANSLATE(B32937,""en"",""it"")"),"Un gruppo di uomini si trova all'interno di uno spazio in palestra che calpesta le stepper aerobiche a un ritmo veloce.")</f>
        <v>Un gruppo di uomini si trova all'interno di uno spazio in palestra che calpesta le stepper aerobiche a un ritmo veloce.</v>
      </c>
    </row>
    <row r="32938">
      <c r="A32938" s="4" t="s">
        <v>41453</v>
      </c>
      <c r="B32938" s="6" t="s">
        <v>41455</v>
      </c>
      <c r="C32938" s="5" t="str">
        <f>IFERROR(__xludf.DUMMYFUNCTION("GOOGLETRANSLATE(B32938,""en"",""it"")"),"Sembrano divertirsi e iniziano a allungare le braccia e variare il loro allenamento.")</f>
        <v>Sembrano divertirsi e iniziano a allungare le braccia e variare il loro allenamento.</v>
      </c>
    </row>
    <row r="32939">
      <c r="A32939" s="4" t="s">
        <v>41453</v>
      </c>
      <c r="B32939" s="4" t="s">
        <v>41456</v>
      </c>
      <c r="C32939" s="5" t="str">
        <f>IFERROR(__xludf.DUMMYFUNCTION("GOOGLETRANSLATE(B32939,""en"",""it"")"),"Continuano a eseguire un'altra serie di allenamenti simili con le stepper.")</f>
        <v>Continuano a eseguire un'altra serie di allenamenti simili con le stepper.</v>
      </c>
    </row>
    <row r="32940">
      <c r="A32940" s="4" t="s">
        <v>41453</v>
      </c>
      <c r="B32940" s="4" t="s">
        <v>41457</v>
      </c>
      <c r="C32940" s="5" t="str">
        <f>IFERROR(__xludf.DUMMYFUNCTION("GOOGLETRANSLATE(B32940,""en"",""it"")"),"Si muovono da un lato all'altro, alternando i loro movimenti a un ritmo specifico.")</f>
        <v>Si muovono da un lato all'altro, alternando i loro movimenti a un ritmo specifico.</v>
      </c>
    </row>
    <row r="32941">
      <c r="A32941" s="4" t="s">
        <v>41453</v>
      </c>
      <c r="B32941" s="6" t="s">
        <v>41458</v>
      </c>
      <c r="C32941" s="5" t="str">
        <f>IFERROR(__xludf.DUMMYFUNCTION("GOOGLETRANSLATE(B32941,""en"",""it"")"),"Il loro ultimo dei loro allenamenti sembrano essere una raccolta di tutto ciò che hanno fatto finora e stanno variando i loro movimenti al suo interno.")</f>
        <v>Il loro ultimo dei loro allenamenti sembrano essere una raccolta di tutto ciò che hanno fatto finora e stanno variando i loro movimenti al suo interno.</v>
      </c>
    </row>
    <row r="32942">
      <c r="A32942" s="4" t="s">
        <v>41459</v>
      </c>
      <c r="B32942" s="4" t="s">
        <v>41460</v>
      </c>
      <c r="C32942" s="5" t="str">
        <f>IFERROR(__xludf.DUMMYFUNCTION("GOOGLETRANSLATE(B32942,""en"",""it"")"),"Una donna usa una macchina per esercizi di Nordictrack.")</f>
        <v>Una donna usa una macchina per esercizi di Nordictrack.</v>
      </c>
    </row>
    <row r="32943">
      <c r="A32943" s="4" t="s">
        <v>41459</v>
      </c>
      <c r="B32943" s="4" t="s">
        <v>41461</v>
      </c>
      <c r="C32943" s="5" t="str">
        <f>IFERROR(__xludf.DUMMYFUNCTION("GOOGLETRANSLATE(B32943,""en"",""it"")"),"La macchina da esercizio è mostrata da sola.")</f>
        <v>La macchina da esercizio è mostrata da sola.</v>
      </c>
    </row>
    <row r="32944">
      <c r="A32944" s="4" t="s">
        <v>41459</v>
      </c>
      <c r="B32944" s="4" t="s">
        <v>41462</v>
      </c>
      <c r="C32944" s="5" t="str">
        <f>IFERROR(__xludf.DUMMYFUNCTION("GOOGLETRANSLATE(B32944,""en"",""it"")"),"La donna usa di nuovo la macchina.")</f>
        <v>La donna usa di nuovo la macchina.</v>
      </c>
    </row>
    <row r="32945">
      <c r="A32945" s="4" t="s">
        <v>41459</v>
      </c>
      <c r="B32945" s="4" t="s">
        <v>41463</v>
      </c>
      <c r="C32945" s="5" t="str">
        <f>IFERROR(__xludf.DUMMYFUNCTION("GOOGLETRANSLATE(B32945,""en"",""it"")"),"Vengono visualizzati i controlli di visualizzazione digitale della macchina.")</f>
        <v>Vengono visualizzati i controlli di visualizzazione digitale della macchina.</v>
      </c>
    </row>
    <row r="32946">
      <c r="A32946" s="4" t="s">
        <v>41459</v>
      </c>
      <c r="B32946" s="4" t="s">
        <v>41464</v>
      </c>
      <c r="C32946" s="5" t="str">
        <f>IFERROR(__xludf.DUMMYFUNCTION("GOOGLETRANSLATE(B32946,""en"",""it"")"),"Vengono mostrati uno schermo splash di una donna e un titolo di spettacolo.")</f>
        <v>Vengono mostrati uno schermo splash di una donna e un titolo di spettacolo.</v>
      </c>
    </row>
    <row r="32947">
      <c r="A32947" s="4" t="s">
        <v>41459</v>
      </c>
      <c r="B32947" s="4" t="s">
        <v>41465</v>
      </c>
      <c r="C32947" s="5" t="str">
        <f>IFERROR(__xludf.DUMMYFUNCTION("GOOGLETRANSLATE(B32947,""en"",""it"")"),"La donna si esercita di nuovo sulla macchina.")</f>
        <v>La donna si esercita di nuovo sulla macchina.</v>
      </c>
    </row>
    <row r="32948">
      <c r="A32948" s="4" t="s">
        <v>41466</v>
      </c>
      <c r="B32948" s="4" t="s">
        <v>41467</v>
      </c>
      <c r="C32948" s="5" t="str">
        <f>IFERROR(__xludf.DUMMYFUNCTION("GOOGLETRANSLATE(B32948,""en"",""it"")"),"Quattro persone si preparano a skateboard su un pendio.")</f>
        <v>Quattro persone si preparano a skateboard su un pendio.</v>
      </c>
    </row>
    <row r="32949">
      <c r="A32949" s="4" t="s">
        <v>41466</v>
      </c>
      <c r="B32949" s="4" t="s">
        <v>41468</v>
      </c>
      <c r="C32949" s="5" t="str">
        <f>IFERROR(__xludf.DUMMYFUNCTION("GOOGLETRANSLATE(B32949,""en"",""it"")"),"Le quattro persone skateboard lungo il pendio insieme o da sole come guardano gli spettatori.")</f>
        <v>Le quattro persone skateboard lungo il pendio insieme o da sole come guardano gli spettatori.</v>
      </c>
    </row>
    <row r="32950">
      <c r="A32950" s="4" t="s">
        <v>41466</v>
      </c>
      <c r="B32950" s="4" t="s">
        <v>41469</v>
      </c>
      <c r="C32950" s="5" t="str">
        <f>IFERROR(__xludf.DUMMYFUNCTION("GOOGLETRANSLATE(B32950,""en"",""it"")"),"La fotocamera si panoramica su paesaggi di sfondo.")</f>
        <v>La fotocamera si panoramica su paesaggi di sfondo.</v>
      </c>
    </row>
    <row r="32951">
      <c r="A32951" s="4" t="s">
        <v>41466</v>
      </c>
      <c r="B32951" s="4" t="s">
        <v>41470</v>
      </c>
      <c r="C32951" s="5" t="str">
        <f>IFERROR(__xludf.DUMMYFUNCTION("GOOGLETRANSLATE(B32951,""en"",""it"")"),"Una delle persone tende al suo skateboard.")</f>
        <v>Una delle persone tende al suo skateboard.</v>
      </c>
    </row>
    <row r="32952">
      <c r="A32952" s="4" t="s">
        <v>41466</v>
      </c>
      <c r="B32952" s="4" t="s">
        <v>41471</v>
      </c>
      <c r="C32952" s="5" t="str">
        <f>IFERROR(__xludf.DUMMYFUNCTION("GOOGLETRANSLATE(B32952,""en"",""it"")"),"Le quattro persone si impegnano a più skateboard sul pendio.")</f>
        <v>Le quattro persone si impegnano a più skateboard sul pendio.</v>
      </c>
    </row>
    <row r="32953">
      <c r="A32953" s="4" t="s">
        <v>41466</v>
      </c>
      <c r="B32953" s="4" t="s">
        <v>41472</v>
      </c>
      <c r="C32953" s="5" t="str">
        <f>IFERROR(__xludf.DUMMYFUNCTION("GOOGLETRANSLATE(B32953,""en"",""it"")"),"Una delle persone viene nuovamente mostrata alla cura del suo skateboard.")</f>
        <v>Una delle persone viene nuovamente mostrata alla cura del suo skateboard.</v>
      </c>
    </row>
    <row r="32954">
      <c r="A32954" s="4" t="s">
        <v>41473</v>
      </c>
      <c r="B32954" s="4" t="s">
        <v>41474</v>
      </c>
      <c r="C32954" s="5" t="str">
        <f>IFERROR(__xludf.DUMMYFUNCTION("GOOGLETRANSLATE(B32954,""en"",""it"")"),"Due bambini si girano su un'oscillazione di pneumatici.")</f>
        <v>Due bambini si girano su un'oscillazione di pneumatici.</v>
      </c>
    </row>
    <row r="32955">
      <c r="A32955" s="4" t="s">
        <v>41473</v>
      </c>
      <c r="B32955" s="4" t="s">
        <v>41475</v>
      </c>
      <c r="C32955" s="5" t="str">
        <f>IFERROR(__xludf.DUMMYFUNCTION("GOOGLETRANSLATE(B32955,""en"",""it"")"),"Un altro bambino sta oscillando in un altro set di swing.")</f>
        <v>Un altro bambino sta oscillando in un altro set di swing.</v>
      </c>
    </row>
    <row r="32956">
      <c r="A32956" s="4" t="s">
        <v>41473</v>
      </c>
      <c r="B32956" s="4" t="s">
        <v>41476</v>
      </c>
      <c r="C32956" s="5" t="str">
        <f>IFERROR(__xludf.DUMMYFUNCTION("GOOGLETRANSLATE(B32956,""en"",""it"")"),"Un bambino molto piccolo attraversa l'area giochi.")</f>
        <v>Un bambino molto piccolo attraversa l'area giochi.</v>
      </c>
    </row>
    <row r="32957">
      <c r="A32957" s="4" t="s">
        <v>41477</v>
      </c>
      <c r="B32957" s="4" t="s">
        <v>41478</v>
      </c>
      <c r="C32957" s="5" t="str">
        <f>IFERROR(__xludf.DUMMYFUNCTION("GOOGLETRANSLATE(B32957,""en"",""it"")"),"Un bambino è seduto sul letto e onde alla telecamera.")</f>
        <v>Un bambino è seduto sul letto e onde alla telecamera.</v>
      </c>
    </row>
    <row r="32958">
      <c r="A32958" s="4" t="s">
        <v>41477</v>
      </c>
      <c r="B32958" s="4" t="s">
        <v>41479</v>
      </c>
      <c r="C32958" s="5" t="str">
        <f>IFERROR(__xludf.DUMMYFUNCTION("GOOGLETRANSLATE(B32958,""en"",""it"")"),"Sta spiegando la sua routine quotidiana alla telecamera.")</f>
        <v>Sta spiegando la sua routine quotidiana alla telecamera.</v>
      </c>
    </row>
    <row r="32959">
      <c r="A32959" s="4" t="s">
        <v>41477</v>
      </c>
      <c r="B32959" s="4" t="s">
        <v>41480</v>
      </c>
      <c r="C32959" s="5" t="str">
        <f>IFERROR(__xludf.DUMMYFUNCTION("GOOGLETRANSLATE(B32959,""en"",""it"")"),"Sta mettendo i contatti rossi nei suoi occhi.")</f>
        <v>Sta mettendo i contatti rossi nei suoi occhi.</v>
      </c>
    </row>
    <row r="32960">
      <c r="A32960" s="4" t="s">
        <v>41477</v>
      </c>
      <c r="B32960" s="4" t="s">
        <v>41481</v>
      </c>
      <c r="C32960" s="5" t="str">
        <f>IFERROR(__xludf.DUMMYFUNCTION("GOOGLETRANSLATE(B32960,""en"",""it"")"),"Il contatto cade dagli occhi e lo rimette dentro, ma cade ancora e ancora.")</f>
        <v>Il contatto cade dagli occhi e lo rimette dentro, ma cade ancora e ancora.</v>
      </c>
    </row>
    <row r="32961">
      <c r="A32961" s="4" t="s">
        <v>41477</v>
      </c>
      <c r="B32961" s="4" t="s">
        <v>41482</v>
      </c>
      <c r="C32961" s="5" t="str">
        <f>IFERROR(__xludf.DUMMYFUNCTION("GOOGLETRANSLATE(B32961,""en"",""it"")"),"Alla fine lo fa rimanere e dà la telecamera da vicino e alcune mosse.")</f>
        <v>Alla fine lo fa rimanere e dà la telecamera da vicino e alcune mosse.</v>
      </c>
    </row>
    <row r="32962">
      <c r="A32962" s="4" t="s">
        <v>41483</v>
      </c>
      <c r="B32962" s="4" t="s">
        <v>41484</v>
      </c>
      <c r="C32962" s="5" t="str">
        <f>IFERROR(__xludf.DUMMYFUNCTION("GOOGLETRANSLATE(B32962,""en"",""it"")"),"Vengono mostrate diverse clip di varie ragazze che eseguono trucchi di ginnastica su un grande tappetino.")</f>
        <v>Vengono mostrate diverse clip di varie ragazze che eseguono trucchi di ginnastica su un grande tappetino.</v>
      </c>
    </row>
    <row r="32963">
      <c r="A32963" s="4" t="s">
        <v>41483</v>
      </c>
      <c r="B32963" s="6" t="s">
        <v>41485</v>
      </c>
      <c r="C32963" s="5" t="str">
        <f>IFERROR(__xludf.DUMMYFUNCTION("GOOGLETRANSLATE(B32963,""en"",""it"")"),"Le ragazze continuano a saltare e girare per l'area mentre la telecamera continua a catturare i loro movimenti.")</f>
        <v>Le ragazze continuano a saltare e girare per l'area mentre la telecamera continua a catturare i loro movimenti.</v>
      </c>
    </row>
    <row r="32964">
      <c r="A32964" s="4" t="s">
        <v>41486</v>
      </c>
      <c r="B32964" s="4" t="s">
        <v>41487</v>
      </c>
      <c r="C32964" s="5" t="str">
        <f>IFERROR(__xludf.DUMMYFUNCTION("GOOGLETRANSLATE(B32964,""en"",""it"")"),"Viene mostrata un'immagine in bianco e nero di un uomo e quindi l'uomo appare in un campo che lancia un disco.")</f>
        <v>Viene mostrata un'immagine in bianco e nero di un uomo e quindi l'uomo appare in un campo che lancia un disco.</v>
      </c>
    </row>
    <row r="32965">
      <c r="A32965" s="4" t="s">
        <v>41486</v>
      </c>
      <c r="B32965" s="6" t="s">
        <v>41488</v>
      </c>
      <c r="C32965" s="5" t="str">
        <f>IFERROR(__xludf.DUMMYFUNCTION("GOOGLETRANSLATE(B32965,""en"",""it"")"),"Dopo, continua a gettare il disco e quando è finito, viene mostrato in piedi su una serie di cubi come vincitore.")</f>
        <v>Dopo, continua a gettare il disco e quando è finito, viene mostrato in piedi su una serie di cubi come vincitore.</v>
      </c>
    </row>
    <row r="32966">
      <c r="A32966" s="4" t="s">
        <v>41486</v>
      </c>
      <c r="B32966" s="4" t="s">
        <v>41489</v>
      </c>
      <c r="C32966" s="5" t="str">
        <f>IFERROR(__xludf.DUMMYFUNCTION("GOOGLETRANSLATE(B32966,""en"",""it"")"),"I partecipanti si scuotono l'un l'altro e finiscono entrambi per allontanarmi.")</f>
        <v>I partecipanti si scuotono l'un l'altro e finiscono entrambi per allontanarmi.</v>
      </c>
    </row>
    <row r="32967">
      <c r="A32967" s="4" t="s">
        <v>41490</v>
      </c>
      <c r="B32967" s="4" t="s">
        <v>41491</v>
      </c>
      <c r="C32967" s="5" t="str">
        <f>IFERROR(__xludf.DUMMYFUNCTION("GOOGLETRANSLATE(B32967,""en"",""it"")"),"L'uomo è in piedi in una stanza tenendo un inchino e parla con un altro uomo.")</f>
        <v>L'uomo è in piedi in una stanza tenendo un inchino e parla con un altro uomo.</v>
      </c>
    </row>
    <row r="32968">
      <c r="A32968" s="4" t="s">
        <v>41490</v>
      </c>
      <c r="B32968" s="4" t="s">
        <v>41492</v>
      </c>
      <c r="C32968" s="5" t="str">
        <f>IFERROR(__xludf.DUMMYFUNCTION("GOOGLETRANSLATE(B32968,""en"",""it"")"),"Manis praticando i colpi con un arco verso una tavola in un grande campo.")</f>
        <v>Manis praticando i colpi con un arco verso una tavola in un grande campo.</v>
      </c>
    </row>
    <row r="32969">
      <c r="A32969" s="4" t="s">
        <v>41493</v>
      </c>
      <c r="B32969" s="4" t="s">
        <v>41494</v>
      </c>
      <c r="C32969" s="5" t="str">
        <f>IFERROR(__xludf.DUMMYFUNCTION("GOOGLETRANSLATE(B32969,""en"",""it"")"),"Un uomo in giacca nera tiene un amico con entrambe le braccia.")</f>
        <v>Un uomo in giacca nera tiene un amico con entrambe le braccia.</v>
      </c>
    </row>
    <row r="32970">
      <c r="A32970" s="4" t="s">
        <v>41493</v>
      </c>
      <c r="B32970" s="4" t="s">
        <v>41495</v>
      </c>
      <c r="C32970" s="5" t="str">
        <f>IFERROR(__xludf.DUMMYFUNCTION("GOOGLETRANSLATE(B32970,""en"",""it"")"),"L'amica che indossa una corda mette le braccia in preparazione.")</f>
        <v>L'amica che indossa una corda mette le braccia in preparazione.</v>
      </c>
    </row>
    <row r="32971">
      <c r="A32971" s="4" t="s">
        <v>41493</v>
      </c>
      <c r="B32971" s="6" t="s">
        <v>41496</v>
      </c>
      <c r="C32971" s="5" t="str">
        <f>IFERROR(__xludf.DUMMYFUNCTION("GOOGLETRANSLATE(B32971,""en"",""it"")"),"L'amico viene lanciato dall'edificio che indossa una corda da bungee e oscilla in un ampio arco sul terreno sotto avanti e indietro.")</f>
        <v>L'amico viene lanciato dall'edificio che indossa una corda da bungee e oscilla in un ampio arco sul terreno sotto avanti e indietro.</v>
      </c>
    </row>
    <row r="32972">
      <c r="A32972" s="4" t="s">
        <v>41493</v>
      </c>
      <c r="B32972" s="4" t="s">
        <v>41497</v>
      </c>
      <c r="C32972" s="5" t="str">
        <f>IFERROR(__xludf.DUMMYFUNCTION("GOOGLETRANSLATE(B32972,""en"",""it"")"),"Una donna in giacca nera si siede su una rampa ed è spinta dagli amici.")</f>
        <v>Una donna in giacca nera si siede su una rampa ed è spinta dagli amici.</v>
      </c>
    </row>
    <row r="32973">
      <c r="A32973" s="4" t="s">
        <v>41493</v>
      </c>
      <c r="B32973" s="4" t="s">
        <v>41498</v>
      </c>
      <c r="C32973" s="5" t="str">
        <f>IFERROR(__xludf.DUMMYFUNCTION("GOOGLETRANSLATE(B32973,""en"",""it"")"),"La donna cade dall'edificio e oscilla da una corda dal suolo sotto.")</f>
        <v>La donna cade dall'edificio e oscilla da una corda dal suolo sotto.</v>
      </c>
    </row>
    <row r="32974">
      <c r="A32974" s="4" t="s">
        <v>41499</v>
      </c>
      <c r="B32974" s="4" t="s">
        <v>41500</v>
      </c>
      <c r="C32974" s="5" t="str">
        <f>IFERROR(__xludf.DUMMYFUNCTION("GOOGLETRANSLATE(B32974,""en"",""it"")"),"Due uomini si siedono dietro un tavolo con una zucca.")</f>
        <v>Due uomini si siedono dietro un tavolo con una zucca.</v>
      </c>
    </row>
    <row r="32975">
      <c r="A32975" s="4" t="s">
        <v>41499</v>
      </c>
      <c r="B32975" s="4" t="s">
        <v>41501</v>
      </c>
      <c r="C32975" s="5" t="str">
        <f>IFERROR(__xludf.DUMMYFUNCTION("GOOGLETRANSLATE(B32975,""en"",""it"")"),"Un uomo rompe la zucca con un martello.")</f>
        <v>Un uomo rompe la zucca con un martello.</v>
      </c>
    </row>
    <row r="32976">
      <c r="A32976" s="4" t="s">
        <v>41499</v>
      </c>
      <c r="B32976" s="4" t="s">
        <v>41502</v>
      </c>
      <c r="C32976" s="5" t="str">
        <f>IFERROR(__xludf.DUMMYFUNCTION("GOOGLETRANSLATE(B32976,""en"",""it"")"),"Comincia a strappare i semi e consegnarli all'uomo accanto a lui.")</f>
        <v>Comincia a strappare i semi e consegnarli all'uomo accanto a lui.</v>
      </c>
    </row>
    <row r="32977">
      <c r="A32977" s="4" t="s">
        <v>41503</v>
      </c>
      <c r="B32977" s="4" t="s">
        <v>41504</v>
      </c>
      <c r="C32977" s="5" t="str">
        <f>IFERROR(__xludf.DUMMYFUNCTION("GOOGLETRANSLATE(B32977,""en"",""it"")"),"Un uomo puzza il fondo di uno sci.")</f>
        <v>Un uomo puzza il fondo di uno sci.</v>
      </c>
    </row>
    <row r="32978">
      <c r="A32978" s="4" t="s">
        <v>41503</v>
      </c>
      <c r="B32978" s="4" t="s">
        <v>41505</v>
      </c>
      <c r="C32978" s="5" t="str">
        <f>IFERROR(__xludf.DUMMYFUNCTION("GOOGLETRANSLATE(B32978,""en"",""it"")"),"Mette lo smalto sul fondo dello sci e lo strofina.")</f>
        <v>Mette lo smalto sul fondo dello sci e lo strofina.</v>
      </c>
    </row>
    <row r="32979">
      <c r="A32979" s="4" t="s">
        <v>41503</v>
      </c>
      <c r="B32979" s="4" t="s">
        <v>41506</v>
      </c>
      <c r="C32979" s="5" t="str">
        <f>IFERROR(__xludf.DUMMYFUNCTION("GOOGLETRANSLATE(B32979,""en"",""it"")"),"Prende un tovagliolo di carta e si asciuga il fondo dello sci.")</f>
        <v>Prende un tovagliolo di carta e si asciuga il fondo dello sci.</v>
      </c>
    </row>
    <row r="32980">
      <c r="A32980" s="4" t="s">
        <v>41507</v>
      </c>
      <c r="B32980" s="4" t="s">
        <v>41508</v>
      </c>
      <c r="C32980" s="5" t="str">
        <f>IFERROR(__xludf.DUMMYFUNCTION("GOOGLETRANSLATE(B32980,""en"",""it"")"),"Un punto di vista di una persona si mostra seduto in una slitta che tiene per mano due bambini in slitte.")</f>
        <v>Un punto di vista di una persona si mostra seduto in una slitta che tiene per mano due bambini in slitte.</v>
      </c>
    </row>
    <row r="32981">
      <c r="A32981" s="4" t="s">
        <v>41507</v>
      </c>
      <c r="B32981" s="6" t="s">
        <v>41509</v>
      </c>
      <c r="C32981" s="5" t="str">
        <f>IFERROR(__xludf.DUMMYFUNCTION("GOOGLETRANSLATE(B32981,""en"",""it"")"),"Una persona spinge i tre lungo una collina mentre si tiene per mano e lascia andare in fondo per incontrare gli altri.")</f>
        <v>Una persona spinge i tre lungo una collina mentre si tiene per mano e lascia andare in fondo per incontrare gli altri.</v>
      </c>
    </row>
    <row r="32982">
      <c r="A32982" s="4" t="s">
        <v>41510</v>
      </c>
      <c r="B32982" s="4" t="s">
        <v>41511</v>
      </c>
      <c r="C32982" s="5" t="str">
        <f>IFERROR(__xludf.DUMMYFUNCTION("GOOGLETRANSLATE(B32982,""en"",""it"")"),"Un uomo si trova in una sala pesi con più schermi e computer.")</f>
        <v>Un uomo si trova in una sala pesi con più schermi e computer.</v>
      </c>
    </row>
    <row r="32983">
      <c r="A32983" s="4" t="s">
        <v>41510</v>
      </c>
      <c r="B32983" s="4" t="s">
        <v>41512</v>
      </c>
      <c r="C32983" s="5" t="str">
        <f>IFERROR(__xludf.DUMMYFUNCTION("GOOGLETRANSLATE(B32983,""en"",""it"")"),"Dopo aver finito di parlare, sale su un ellipito e inizia a remare.")</f>
        <v>Dopo aver finito di parlare, sale su un ellipito e inizia a remare.</v>
      </c>
    </row>
    <row r="32984">
      <c r="A32984" s="4" t="s">
        <v>41510</v>
      </c>
      <c r="B32984" s="4" t="s">
        <v>41513</v>
      </c>
      <c r="C32984" s="5" t="str">
        <f>IFERROR(__xludf.DUMMYFUNCTION("GOOGLETRANSLATE(B32984,""en"",""it"")"),"Successivamente, si sposta su un'altra macchina e fa la stessa cosa anche in un modo leggermente diverso.")</f>
        <v>Successivamente, si sposta su un'altra macchina e fa la stessa cosa anche in un modo leggermente diverso.</v>
      </c>
    </row>
    <row r="32985">
      <c r="A32985" s="4" t="s">
        <v>41514</v>
      </c>
      <c r="B32985" s="4" t="s">
        <v>41515</v>
      </c>
      <c r="C32985" s="5" t="str">
        <f>IFERROR(__xludf.DUMMYFUNCTION("GOOGLETRANSLATE(B32985,""en"",""it"")"),"Un uccello è seduto su un bar sopra una vasca da bagno.")</f>
        <v>Un uccello è seduto su un bar sopra una vasca da bagno.</v>
      </c>
    </row>
    <row r="32986">
      <c r="A32986" s="4" t="s">
        <v>41514</v>
      </c>
      <c r="B32986" s="4" t="s">
        <v>41516</v>
      </c>
      <c r="C32986" s="5" t="str">
        <f>IFERROR(__xludf.DUMMYFUNCTION("GOOGLETRANSLATE(B32986,""en"",""it"")"),"Un cane è nella vasca da bagno che fa una doccia.")</f>
        <v>Un cane è nella vasca da bagno che fa una doccia.</v>
      </c>
    </row>
    <row r="32987">
      <c r="A32987" s="4" t="s">
        <v>41514</v>
      </c>
      <c r="B32987" s="4" t="s">
        <v>41517</v>
      </c>
      <c r="C32987" s="5" t="str">
        <f>IFERROR(__xludf.DUMMYFUNCTION("GOOGLETRANSLATE(B32987,""en"",""it"")"),"Una persona si sta strofinando il sapone nella pelliccia dei cani.")</f>
        <v>Una persona si sta strofinando il sapone nella pelliccia dei cani.</v>
      </c>
    </row>
    <row r="32988">
      <c r="A32988" s="4" t="s">
        <v>41514</v>
      </c>
      <c r="B32988" s="4" t="s">
        <v>41518</v>
      </c>
      <c r="C32988" s="5" t="str">
        <f>IFERROR(__xludf.DUMMYFUNCTION("GOOGLETRANSLATE(B32988,""en"",""it"")"),"Il cane si scuote.")</f>
        <v>Il cane si scuote.</v>
      </c>
    </row>
    <row r="32989">
      <c r="A32989" s="4" t="s">
        <v>41519</v>
      </c>
      <c r="B32989" s="4" t="s">
        <v>41520</v>
      </c>
      <c r="C32989" s="5" t="str">
        <f>IFERROR(__xludf.DUMMYFUNCTION("GOOGLETRANSLATE(B32989,""en"",""it"")"),"Viene mostrato un incontro di atletica esterna.")</f>
        <v>Viene mostrato un incontro di atletica esterna.</v>
      </c>
    </row>
    <row r="32990">
      <c r="A32990" s="4" t="s">
        <v>41519</v>
      </c>
      <c r="B32990" s="4" t="s">
        <v>41521</v>
      </c>
      <c r="C32990" s="5" t="str">
        <f>IFERROR(__xludf.DUMMYFUNCTION("GOOGLETRANSLATE(B32990,""en"",""it"")"),"I volarri sono mostrati in una competizione.")</f>
        <v>I volarri sono mostrati in una competizione.</v>
      </c>
    </row>
    <row r="32991">
      <c r="A32991" s="4" t="s">
        <v>41519</v>
      </c>
      <c r="B32991" s="4" t="s">
        <v>41522</v>
      </c>
      <c r="C32991" s="5" t="str">
        <f>IFERROR(__xludf.DUMMYFUNCTION("GOOGLETRANSLATE(B32991,""en"",""it"")"),"Alcuni di loro fanno i loro salti mentre altri no.")</f>
        <v>Alcuni di loro fanno i loro salti mentre altri no.</v>
      </c>
    </row>
    <row r="32992">
      <c r="A32992" s="4" t="s">
        <v>41523</v>
      </c>
      <c r="B32992" s="4" t="s">
        <v>41524</v>
      </c>
      <c r="C32992" s="5" t="str">
        <f>IFERROR(__xludf.DUMMYFUNCTION("GOOGLETRANSLATE(B32992,""en"",""it"")"),"Due uomini sono in un vicolo.")</f>
        <v>Due uomini sono in un vicolo.</v>
      </c>
    </row>
    <row r="32993">
      <c r="A32993" s="4" t="s">
        <v>41523</v>
      </c>
      <c r="B32993" s="4" t="s">
        <v>41525</v>
      </c>
      <c r="C32993" s="5" t="str">
        <f>IFERROR(__xludf.DUMMYFUNCTION("GOOGLETRANSLATE(B32993,""en"",""it"")"),"Stanno rimbalzando su e giù sui bastoncini.")</f>
        <v>Stanno rimbalzando su e giù sui bastoncini.</v>
      </c>
    </row>
    <row r="32994">
      <c r="A32994" s="4" t="s">
        <v>41523</v>
      </c>
      <c r="B32994" s="4" t="s">
        <v>41526</v>
      </c>
      <c r="C32994" s="5" t="str">
        <f>IFERROR(__xludf.DUMMYFUNCTION("GOOGLETRANSLATE(B32994,""en"",""it"")"),"C'è un furgone in primo piano.")</f>
        <v>C'è un furgone in primo piano.</v>
      </c>
    </row>
    <row r="32995">
      <c r="A32995" s="4" t="s">
        <v>41523</v>
      </c>
      <c r="B32995" s="4" t="s">
        <v>41527</v>
      </c>
      <c r="C32995" s="5" t="str">
        <f>IFERROR(__xludf.DUMMYFUNCTION("GOOGLETRANSLATE(B32995,""en"",""it"")"),"Ci sono anche diversi edifici.")</f>
        <v>Ci sono anche diversi edifici.</v>
      </c>
    </row>
    <row r="32996">
      <c r="A32996" s="4" t="s">
        <v>41528</v>
      </c>
      <c r="B32996" s="6" t="s">
        <v>41529</v>
      </c>
      <c r="C32996" s="5" t="str">
        <f>IFERROR(__xludf.DUMMYFUNCTION("GOOGLETRANSLATE(B32996,""en"",""it"")"),"Un uomo cavalca una bicicletta dietro tre uomini che corrono in una gara professionale su un'autostrada pavimentata fiancheggiata da curiosi, spettatori e partecipanti.")</f>
        <v>Un uomo cavalca una bicicletta dietro tre uomini che corrono in una gara professionale su un'autostrada pavimentata fiancheggiata da curiosi, spettatori e partecipanti.</v>
      </c>
    </row>
    <row r="32997">
      <c r="A32997" s="4" t="s">
        <v>41528</v>
      </c>
      <c r="B32997" s="6" t="s">
        <v>41530</v>
      </c>
      <c r="C32997" s="5" t="str">
        <f>IFERROR(__xludf.DUMMYFUNCTION("GOOGLETRANSLATE(B32997,""en"",""it"")"),"Un uomo sta andando in bicicletta lungo un'autostrada che indossa un casco e sfoggia un tag di carta sulla parte anteriore della bicicletta.")</f>
        <v>Un uomo sta andando in bicicletta lungo un'autostrada che indossa un casco e sfoggia un tag di carta sulla parte anteriore della bicicletta.</v>
      </c>
    </row>
    <row r="32998">
      <c r="A32998" s="4" t="s">
        <v>41528</v>
      </c>
      <c r="B32998" s="6" t="s">
        <v>41531</v>
      </c>
      <c r="C32998" s="5" t="str">
        <f>IFERROR(__xludf.DUMMYFUNCTION("GOOGLETRANSLATE(B32998,""en"",""it"")"),"Tre uomini corrono davanti all'uomo in bicicletta con uno degli uomini che si destreggiano tre palle mentre corrono e una bevanda e che si rinunciano alla folla.")</f>
        <v>Tre uomini corrono davanti all'uomo in bicicletta con uno degli uomini che si destreggiano tre palle mentre corrono e una bevanda e che si rinunciano alla folla.</v>
      </c>
    </row>
    <row r="32999">
      <c r="A32999" s="4" t="s">
        <v>41528</v>
      </c>
      <c r="B32999" s="4" t="s">
        <v>41532</v>
      </c>
      <c r="C32999" s="5" t="str">
        <f>IFERROR(__xludf.DUMMYFUNCTION("GOOGLETRANSLATE(B32999,""en"",""it"")"),"Gli uomini girano una curva mentre jogging e uno spettatore iniziano a battere le mani da dietro.")</f>
        <v>Gli uomini girano una curva mentre jogging e uno spettatore iniziano a battere le mani da dietro.</v>
      </c>
    </row>
    <row r="33000">
      <c r="A33000" s="4" t="s">
        <v>41533</v>
      </c>
      <c r="B33000" s="4" t="s">
        <v>41534</v>
      </c>
      <c r="C33000" s="5" t="str">
        <f>IFERROR(__xludf.DUMMYFUNCTION("GOOGLETRANSLATE(B33000,""en"",""it"")"),"Gruppi di persone lanciano giochi in una pista da bowling.")</f>
        <v>Gruppi di persone lanciano giochi in una pista da bowling.</v>
      </c>
    </row>
    <row r="33001">
      <c r="A33001" s="4" t="s">
        <v>41533</v>
      </c>
      <c r="B33001" s="4" t="s">
        <v>41535</v>
      </c>
      <c r="C33001" s="5" t="str">
        <f>IFERROR(__xludf.DUMMYFUNCTION("GOOGLETRANSLATE(B33001,""en"",""it"")"),"Le persone in video registrate della partita di bowling.")</f>
        <v>Le persone in video registrate della partita di bowling.</v>
      </c>
    </row>
    <row r="33002">
      <c r="A33002" s="4" t="s">
        <v>41533</v>
      </c>
      <c r="B33002" s="4" t="s">
        <v>41536</v>
      </c>
      <c r="C33002" s="5" t="str">
        <f>IFERROR(__xludf.DUMMYFUNCTION("GOOGLETRANSLATE(B33002,""en"",""it"")"),"Gli spettatori si siedono e si fermano dietro la ringhiera a guardare l'evento.")</f>
        <v>Gli spettatori si siedono e si fermano dietro la ringhiera a guardare l'evento.</v>
      </c>
    </row>
    <row r="33003">
      <c r="A33003" s="4" t="s">
        <v>41533</v>
      </c>
      <c r="B33003" s="4" t="s">
        <v>41537</v>
      </c>
      <c r="C33003" s="5" t="str">
        <f>IFERROR(__xludf.DUMMYFUNCTION("GOOGLETRANSLATE(B33003,""en"",""it"")"),"Un uomo lancia le sue curve in piedi all'indietro.")</f>
        <v>Un uomo lancia le sue curve in piedi all'indietro.</v>
      </c>
    </row>
    <row r="33004">
      <c r="A33004" s="4" t="s">
        <v>41533</v>
      </c>
      <c r="B33004" s="4" t="s">
        <v>41538</v>
      </c>
      <c r="C33004" s="5" t="str">
        <f>IFERROR(__xludf.DUMMYFUNCTION("GOOGLETRANSLATE(B33004,""en"",""it"")"),"Le persone negli spalti allegriano per il giocatore di bocce.")</f>
        <v>Le persone negli spalti allegriano per il giocatore di bocce.</v>
      </c>
    </row>
    <row r="33005">
      <c r="A33005" s="4" t="s">
        <v>41539</v>
      </c>
      <c r="B33005" s="6" t="s">
        <v>41540</v>
      </c>
      <c r="C33005" s="5" t="str">
        <f>IFERROR(__xludf.DUMMYFUNCTION("GOOGLETRANSLATE(B33005,""en"",""it"")"),"Tre uomini vengono visti parlare e salutare la telecamera che conduce agli uomini giocando con estranei per strada.")</f>
        <v>Tre uomini vengono visti parlare e salutare la telecamera che conduce agli uomini giocando con estranei per strada.</v>
      </c>
    </row>
    <row r="33006">
      <c r="A33006" s="4" t="s">
        <v>41539</v>
      </c>
      <c r="B33006" s="4" t="s">
        <v>41541</v>
      </c>
      <c r="C33006" s="5" t="str">
        <f>IFERROR(__xludf.DUMMYFUNCTION("GOOGLETRANSLATE(B33006,""en"",""it"")"),"Il vincitore riesce a baciare l'uomo e il perdente può schiaffeggiarlo.")</f>
        <v>Il vincitore riesce a baciare l'uomo e il perdente può schiaffeggiarlo.</v>
      </c>
    </row>
    <row r="33007">
      <c r="A33007" s="4" t="s">
        <v>41539</v>
      </c>
      <c r="B33007" s="6" t="s">
        <v>41542</v>
      </c>
      <c r="C33007" s="5" t="str">
        <f>IFERROR(__xludf.DUMMYFUNCTION("GOOGLETRANSLATE(B33007,""en"",""it"")"),"Vengono mostrati diversi scatti che schiaffeggiano e baciano le ragazze, oltre a correre per la zona per trovare più persone.")</f>
        <v>Vengono mostrati diversi scatti che schiaffeggiano e baciano le ragazze, oltre a correre per la zona per trovare più persone.</v>
      </c>
    </row>
    <row r="33008">
      <c r="A33008" s="4" t="s">
        <v>41543</v>
      </c>
      <c r="B33008" s="4" t="s">
        <v>41544</v>
      </c>
      <c r="C33008" s="5" t="str">
        <f>IFERROR(__xludf.DUMMYFUNCTION("GOOGLETRANSLATE(B33008,""en"",""it"")"),"Alcune persone sono viste in piedi attorno a vari tavoli di foose giocando tra loro.")</f>
        <v>Alcune persone sono viste in piedi attorno a vari tavoli di foose giocando tra loro.</v>
      </c>
    </row>
    <row r="33009">
      <c r="A33009" s="4" t="s">
        <v>41543</v>
      </c>
      <c r="B33009" s="6" t="s">
        <v>41545</v>
      </c>
      <c r="C33009" s="5" t="str">
        <f>IFERROR(__xludf.DUMMYFUNCTION("GOOGLETRANSLATE(B33009,""en"",""it"")"),"Le persone continuano a spingere la palla dietro e quarto mentre la fotocamera si concentra su una partita.")</f>
        <v>Le persone continuano a spingere la palla dietro e quarto mentre la fotocamera si concentra su una partita.</v>
      </c>
    </row>
    <row r="33010">
      <c r="A33010" s="4" t="s">
        <v>41543</v>
      </c>
      <c r="B33010" s="4" t="s">
        <v>41546</v>
      </c>
      <c r="C33010" s="5" t="str">
        <f>IFERROR(__xludf.DUMMYFUNCTION("GOOGLETRANSLATE(B33010,""en"",""it"")"),"Le persone tengono traccia dei loro punteggi e altri li guardano in lontananza.")</f>
        <v>Le persone tengono traccia dei loro punteggi e altri li guardano in lontananza.</v>
      </c>
    </row>
    <row r="33011">
      <c r="A33011" s="4" t="s">
        <v>41547</v>
      </c>
      <c r="B33011" s="4" t="s">
        <v>41548</v>
      </c>
      <c r="C33011" s="5" t="str">
        <f>IFERROR(__xludf.DUMMYFUNCTION("GOOGLETRANSLATE(B33011,""en"",""it"")"),"Mentre una scena di taglio rosso passa un giovane in una camicia blu si vede concentrarsi.")</f>
        <v>Mentre una scena di taglio rosso passa un giovane in una camicia blu si vede concentrarsi.</v>
      </c>
    </row>
    <row r="33012">
      <c r="A33012" s="4" t="s">
        <v>41547</v>
      </c>
      <c r="B33012" s="6" t="s">
        <v>41549</v>
      </c>
      <c r="C33012" s="5" t="str">
        <f>IFERROR(__xludf.DUMMYFUNCTION("GOOGLETRANSLATE(B33012,""en"",""it"")"),"Successivamente viene visto un altro uomo su una pista di arricciatura che rilascia una pietra di roccia mentre altri due uomini usano le scope per aprire la strada mentre la pietra viaggia lungo il sentiero.")</f>
        <v>Successivamente viene visto un altro uomo su una pista di arricciatura che rilascia una pietra di roccia mentre altri due uomini usano le scope per aprire la strada mentre la pietra viaggia lungo il sentiero.</v>
      </c>
    </row>
    <row r="33013">
      <c r="A33013" s="4" t="s">
        <v>41547</v>
      </c>
      <c r="B33013" s="4" t="s">
        <v>41550</v>
      </c>
      <c r="C33013" s="5" t="str">
        <f>IFERROR(__xludf.DUMMYFUNCTION("GOOGLETRANSLATE(B33013,""en"",""it"")"),"L'atto continua con gli stessi uomini ancora una volta impegnati nello stesso atto.")</f>
        <v>L'atto continua con gli stessi uomini ancora una volta impegnati nello stesso atto.</v>
      </c>
    </row>
    <row r="33014">
      <c r="A33014" s="4" t="s">
        <v>41547</v>
      </c>
      <c r="B33014" s="4" t="s">
        <v>41551</v>
      </c>
      <c r="C33014" s="5" t="str">
        <f>IFERROR(__xludf.DUMMYFUNCTION("GOOGLETRANSLATE(B33014,""en"",""it"")"),"Successivamente un altro giovane con una camicia blu ripete la stessa mossa della squadra bianca.")</f>
        <v>Successivamente un altro giovane con una camicia blu ripete la stessa mossa della squadra bianca.</v>
      </c>
    </row>
    <row r="33015">
      <c r="A33015" s="4" t="s">
        <v>41547</v>
      </c>
      <c r="B33015" s="6" t="s">
        <v>41552</v>
      </c>
      <c r="C33015" s="5" t="str">
        <f>IFERROR(__xludf.DUMMYFUNCTION("GOOGLETRANSLATE(B33015,""en"",""it"")"),"Infine, mentre gli spettatori si guardano, un membro della squadra bianca rilascia una pietra rocciosa e due uomini della squadra usano le scope per liberare il percorso.")</f>
        <v>Infine, mentre gli spettatori si guardano, un membro della squadra bianca rilascia una pietra rocciosa e due uomini della squadra usano le scope per liberare il percorso.</v>
      </c>
    </row>
    <row r="33016">
      <c r="A33016" s="4" t="s">
        <v>41553</v>
      </c>
      <c r="B33016" s="4" t="s">
        <v>41554</v>
      </c>
      <c r="C33016" s="5" t="str">
        <f>IFERROR(__xludf.DUMMYFUNCTION("GOOGLETRANSLATE(B33016,""en"",""it"")"),"Un uomo viene visto parlare alla telecamera mentre tiene in mano una chitarra.")</f>
        <v>Un uomo viene visto parlare alla telecamera mentre tiene in mano una chitarra.</v>
      </c>
    </row>
    <row r="33017">
      <c r="A33017" s="4" t="s">
        <v>41553</v>
      </c>
      <c r="B33017" s="4" t="s">
        <v>41555</v>
      </c>
      <c r="C33017" s="5" t="str">
        <f>IFERROR(__xludf.DUMMYFUNCTION("GOOGLETRANSLATE(B33017,""en"",""it"")"),"L'uomo inizia a suonare la chitarra e cantando in un microfono.")</f>
        <v>L'uomo inizia a suonare la chitarra e cantando in un microfono.</v>
      </c>
    </row>
    <row r="33018">
      <c r="A33018" s="4" t="s">
        <v>41553</v>
      </c>
      <c r="B33018" s="4" t="s">
        <v>41556</v>
      </c>
      <c r="C33018" s="5" t="str">
        <f>IFERROR(__xludf.DUMMYFUNCTION("GOOGLETRANSLATE(B33018,""en"",""it"")"),"L'uomo continua a cantare e suonare e si ferma alla fine.")</f>
        <v>L'uomo continua a cantare e suonare e si ferma alla fine.</v>
      </c>
    </row>
    <row r="33019">
      <c r="A33019" s="4" t="s">
        <v>41557</v>
      </c>
      <c r="B33019" s="6" t="s">
        <v>41558</v>
      </c>
      <c r="C33019" s="5" t="str">
        <f>IFERROR(__xludf.DUMMYFUNCTION("GOOGLETRANSLATE(B33019,""en"",""it"")"),"Viene visto un uomo parlare alla telecamera e diversi scatti di una pista da bowling e lui che fa il bowling di una palla.")</f>
        <v>Viene visto un uomo parlare alla telecamera e diversi scatti di una pista da bowling e lui che fa il bowling di una palla.</v>
      </c>
    </row>
    <row r="33020">
      <c r="A33020" s="4" t="s">
        <v>41557</v>
      </c>
      <c r="B33020" s="6" t="s">
        <v>41559</v>
      </c>
      <c r="C33020" s="5" t="str">
        <f>IFERROR(__xludf.DUMMYFUNCTION("GOOGLETRANSLATE(B33020,""en"",""it"")"),"Continua a parlare con la telecamera mentre mostra diversi video di lui che lancia la palla da bowling e colpisce diversi spille.")</f>
        <v>Continua a parlare con la telecamera mentre mostra diversi video di lui che lancia la palla da bowling e colpisce diversi spille.</v>
      </c>
    </row>
    <row r="33021">
      <c r="A33021" s="4" t="s">
        <v>41560</v>
      </c>
      <c r="B33021" s="4" t="s">
        <v>41078</v>
      </c>
      <c r="C33021" s="5" t="str">
        <f>IFERROR(__xludf.DUMMYFUNCTION("GOOGLETRANSLATE(B33021,""en"",""it"")"),"Un uomo è seduto su una sedia da barbiere.")</f>
        <v>Un uomo è seduto su una sedia da barbiere.</v>
      </c>
    </row>
    <row r="33022">
      <c r="A33022" s="4" t="s">
        <v>41560</v>
      </c>
      <c r="B33022" s="4" t="s">
        <v>41561</v>
      </c>
      <c r="C33022" s="5" t="str">
        <f>IFERROR(__xludf.DUMMYFUNCTION("GOOGLETRANSLATE(B33022,""en"",""it"")"),"Un altro uomo gli sta dando un taglio dei capelli.")</f>
        <v>Un altro uomo gli sta dando un taglio dei capelli.</v>
      </c>
    </row>
    <row r="33023">
      <c r="A33023" s="4" t="s">
        <v>41560</v>
      </c>
      <c r="B33023" s="4" t="s">
        <v>41562</v>
      </c>
      <c r="C33023" s="5" t="str">
        <f>IFERROR(__xludf.DUMMYFUNCTION("GOOGLETRANSLATE(B33023,""en"",""it"")"),"Quindi spazzola il collo dell'uomo.")</f>
        <v>Quindi spazzola il collo dell'uomo.</v>
      </c>
    </row>
    <row r="33024">
      <c r="A33024" s="4" t="s">
        <v>41563</v>
      </c>
      <c r="B33024" s="4" t="s">
        <v>41564</v>
      </c>
      <c r="C33024" s="5" t="str">
        <f>IFERROR(__xludf.DUMMYFUNCTION("GOOGLETRANSLATE(B33024,""en"",""it"")"),"Un uomo dimostra come cambiare la gomma su un'auto.")</f>
        <v>Un uomo dimostra come cambiare la gomma su un'auto.</v>
      </c>
    </row>
    <row r="33025">
      <c r="A33025" s="4" t="s">
        <v>41563</v>
      </c>
      <c r="B33025" s="6" t="s">
        <v>41565</v>
      </c>
      <c r="C33025" s="5" t="str">
        <f>IFERROR(__xludf.DUMMYFUNCTION("GOOGLETRANSLATE(B33025,""en"",""it"")"),"Un'auto attraversa una strada e poi si mostra come parcheggiata in cui un uomo si avvicina all'auto con in mano uno strumento di rimozione del dado.")</f>
        <v>Un'auto attraversa una strada e poi si mostra come parcheggiata in cui un uomo si avvicina all'auto con in mano uno strumento di rimozione del dado.</v>
      </c>
    </row>
    <row r="33026">
      <c r="A33026" s="4" t="s">
        <v>41563</v>
      </c>
      <c r="B33026" s="4" t="s">
        <v>41566</v>
      </c>
      <c r="C33026" s="5" t="str">
        <f>IFERROR(__xludf.DUMMYFUNCTION("GOOGLETRANSLATE(B33026,""en"",""it"")"),"L'uomo rimuove i dadi e poi solleva l'auto.")</f>
        <v>L'uomo rimuove i dadi e poi solleva l'auto.</v>
      </c>
    </row>
    <row r="33027">
      <c r="A33027" s="4" t="s">
        <v>41563</v>
      </c>
      <c r="B33027" s="4" t="s">
        <v>41567</v>
      </c>
      <c r="C33027" s="5" t="str">
        <f>IFERROR(__xludf.DUMMYFUNCTION("GOOGLETRANSLATE(B33027,""en"",""it"")"),"L'uomo quindi rimuove la gomma e tira una ruota di scorta dal retro della macchina.")</f>
        <v>L'uomo quindi rimuove la gomma e tira una ruota di scorta dal retro della macchina.</v>
      </c>
    </row>
    <row r="33028">
      <c r="A33028" s="4" t="s">
        <v>41563</v>
      </c>
      <c r="B33028" s="4" t="s">
        <v>41568</v>
      </c>
      <c r="C33028" s="5" t="str">
        <f>IFERROR(__xludf.DUMMYFUNCTION("GOOGLETRANSLATE(B33028,""en"",""it"")"),"L'uomo quindi mette il nuovo pneumatico sulla macchina.")</f>
        <v>L'uomo quindi mette il nuovo pneumatico sulla macchina.</v>
      </c>
    </row>
    <row r="33029">
      <c r="A33029" s="4" t="s">
        <v>41569</v>
      </c>
      <c r="B33029" s="4" t="s">
        <v>41570</v>
      </c>
      <c r="C33029" s="5" t="str">
        <f>IFERROR(__xludf.DUMMYFUNCTION("GOOGLETRANSLATE(B33029,""en"",""it"")"),"Un uomo appende lo sfondo su un muro vuoto.")</f>
        <v>Un uomo appende lo sfondo su un muro vuoto.</v>
      </c>
    </row>
    <row r="33030">
      <c r="A33030" s="4" t="s">
        <v>41569</v>
      </c>
      <c r="B33030" s="4" t="s">
        <v>41571</v>
      </c>
      <c r="C33030" s="5" t="str">
        <f>IFERROR(__xludf.DUMMYFUNCTION("GOOGLETRANSLATE(B33030,""en"",""it"")"),"Ogni cornice viene arrotolato e messo sul muro.")</f>
        <v>Ogni cornice viene arrotolato e messo sul muro.</v>
      </c>
    </row>
    <row r="33031">
      <c r="A33031" s="4" t="s">
        <v>41572</v>
      </c>
      <c r="B33031" s="6" t="s">
        <v>41573</v>
      </c>
      <c r="C33031" s="5" t="str">
        <f>IFERROR(__xludf.DUMMYFUNCTION("GOOGLETRANSLATE(B33031,""en"",""it"")"),"Un uomo con un casco da hockey rosso e con un lungo baffi di arricciatura si vede in uno scatto ancora in piedi accanto a una donna mentre si appoggia su una barriera di vetro di fronte a una pista di pattinaggio da hockey.")</f>
        <v>Un uomo con un casco da hockey rosso e con un lungo baffi di arricciatura si vede in uno scatto ancora in piedi accanto a una donna mentre si appoggia su una barriera di vetro di fronte a una pista di pattinaggio da hockey.</v>
      </c>
    </row>
    <row r="33032">
      <c r="A33032" s="4" t="s">
        <v>41572</v>
      </c>
      <c r="B33032" s="6" t="s">
        <v>41574</v>
      </c>
      <c r="C33032" s="5" t="str">
        <f>IFERROR(__xludf.DUMMYFUNCTION("GOOGLETRANSLATE(B33032,""en"",""it"")"),"L'uomo viene quindi mostrato di entrare in una partita di hockey dal vivo e giocare a hockey con un pavimento pieno di altri giocatori.")</f>
        <v>L'uomo viene quindi mostrato di entrare in una partita di hockey dal vivo e giocare a hockey con un pavimento pieno di altri giocatori.</v>
      </c>
    </row>
    <row r="33033">
      <c r="A33033" s="4" t="s">
        <v>41572</v>
      </c>
      <c r="B33033" s="6" t="s">
        <v>41575</v>
      </c>
      <c r="C33033" s="5" t="str">
        <f>IFERROR(__xludf.DUMMYFUNCTION("GOOGLETRANSLATE(B33033,""en"",""it"")"),"Un altro uomo viene mostrato seduto accanto a una bambola snoopy prima che la fotocamera torni di nuovo all'uomo sui baffi in un altro ancora scatto.")</f>
        <v>Un altro uomo viene mostrato seduto accanto a una bambola snoopy prima che la fotocamera torni di nuovo all'uomo sui baffi in un altro ancora scatto.</v>
      </c>
    </row>
    <row r="33034">
      <c r="A33034" s="4" t="s">
        <v>41576</v>
      </c>
      <c r="B33034" s="4" t="s">
        <v>41577</v>
      </c>
      <c r="C33034" s="5" t="str">
        <f>IFERROR(__xludf.DUMMYFUNCTION("GOOGLETRANSLATE(B33034,""en"",""it"")"),"Una donna batte le mani insieme.")</f>
        <v>Una donna batte le mani insieme.</v>
      </c>
    </row>
    <row r="33035">
      <c r="A33035" s="4" t="s">
        <v>41576</v>
      </c>
      <c r="B33035" s="4" t="s">
        <v>41578</v>
      </c>
      <c r="C33035" s="5" t="str">
        <f>IFERROR(__xludf.DUMMYFUNCTION("GOOGLETRANSLATE(B33035,""en"",""it"")"),"Lei corre lungo una pista.")</f>
        <v>Lei corre lungo una pista.</v>
      </c>
    </row>
    <row r="33036">
      <c r="A33036" s="4" t="s">
        <v>41576</v>
      </c>
      <c r="B33036" s="4" t="s">
        <v>7927</v>
      </c>
      <c r="C33036" s="5" t="str">
        <f>IFERROR(__xludf.DUMMYFUNCTION("GOOGLETRANSLATE(B33036,""en"",""it"")"),"Salta in un mucchio di sabbia.")</f>
        <v>Salta in un mucchio di sabbia.</v>
      </c>
    </row>
    <row r="33037">
      <c r="A33037" s="4" t="s">
        <v>41576</v>
      </c>
      <c r="B33037" s="4" t="s">
        <v>41579</v>
      </c>
      <c r="C33037" s="5" t="str">
        <f>IFERROR(__xludf.DUMMYFUNCTION("GOOGLETRANSLATE(B33037,""en"",""it"")"),"Salta in aria.")</f>
        <v>Salta in aria.</v>
      </c>
    </row>
    <row r="33038">
      <c r="A33038" s="4" t="s">
        <v>41580</v>
      </c>
      <c r="B33038" s="4" t="s">
        <v>41581</v>
      </c>
      <c r="C33038" s="5" t="str">
        <f>IFERROR(__xludf.DUMMYFUNCTION("GOOGLETRANSLATE(B33038,""en"",""it"")"),"Un uomo vestito con un battitore di moglie nero è vicino a un vetro a parete fluorescente e parla.")</f>
        <v>Un uomo vestito con un battitore di moglie nero è vicino a un vetro a parete fluorescente e parla.</v>
      </c>
    </row>
    <row r="33039">
      <c r="A33039" s="4" t="s">
        <v>41580</v>
      </c>
      <c r="B33039" s="6" t="s">
        <v>41582</v>
      </c>
      <c r="C33039" s="5" t="str">
        <f>IFERROR(__xludf.DUMMYFUNCTION("GOOGLETRANSLATE(B33039,""en"",""it"")"),"Mentre parla, diverse clip compaiono tra lui dove si trova in una stanza con tre pareti e vetro come la quarta parete mentre giocava a palla da parete.")</f>
        <v>Mentre parla, diverse clip compaiono tra lui dove si trova in una stanza con tre pareti e vetro come la quarta parete mentre giocava a palla da parete.</v>
      </c>
    </row>
    <row r="33040">
      <c r="A33040" s="4" t="s">
        <v>41580</v>
      </c>
      <c r="B33040" s="4" t="s">
        <v>41583</v>
      </c>
      <c r="C33040" s="5" t="str">
        <f>IFERROR(__xludf.DUMMYFUNCTION("GOOGLETRANSLATE(B33040,""en"",""it"")"),"Viene mostrata la scena finale e il maschio torna a parlare prima di lampeggiare finalmente un URL all'allora fine.")</f>
        <v>Viene mostrata la scena finale e il maschio torna a parlare prima di lampeggiare finalmente un URL all'allora fine.</v>
      </c>
    </row>
    <row r="33041">
      <c r="A33041" s="4" t="s">
        <v>41584</v>
      </c>
      <c r="B33041" s="6" t="s">
        <v>41585</v>
      </c>
      <c r="C33041" s="5" t="str">
        <f>IFERROR(__xludf.DUMMYFUNCTION("GOOGLETRANSLATE(B33041,""en"",""it"")"),"Un giovane è visto in piedi nel mezzo di un grande campo che tiene strumenti e in piedi di fronte agli altri.")</f>
        <v>Un giovane è visto in piedi nel mezzo di un grande campo che tiene strumenti e in piedi di fronte agli altri.</v>
      </c>
    </row>
    <row r="33042">
      <c r="A33042" s="4" t="s">
        <v>41584</v>
      </c>
      <c r="B33042" s="4" t="s">
        <v>41586</v>
      </c>
      <c r="C33042" s="5" t="str">
        <f>IFERROR(__xludf.DUMMYFUNCTION("GOOGLETRANSLATE(B33042,""en"",""it"")"),"L'uomo inizia quindi a suonare gli strumenti uno per uno.")</f>
        <v>L'uomo inizia quindi a suonare gli strumenti uno per uno.</v>
      </c>
    </row>
    <row r="33043">
      <c r="A33043" s="4" t="s">
        <v>41584</v>
      </c>
      <c r="B33043" s="6" t="s">
        <v>41587</v>
      </c>
      <c r="C33043" s="5" t="str">
        <f>IFERROR(__xludf.DUMMYFUNCTION("GOOGLETRANSLATE(B33043,""en"",""it"")"),"Diversi bambini quindi entrano in un telaio usando Hula Hoops mentre l'uomo si unisce a cantare e applaudirsi le mani.")</f>
        <v>Diversi bambini quindi entrano in un telaio usando Hula Hoops mentre l'uomo si unisce a cantare e applaudirsi le mani.</v>
      </c>
    </row>
    <row r="33044">
      <c r="A33044" s="4" t="s">
        <v>41588</v>
      </c>
      <c r="B33044" s="4" t="s">
        <v>41589</v>
      </c>
      <c r="C33044" s="5" t="str">
        <f>IFERROR(__xludf.DUMMYFUNCTION("GOOGLETRANSLATE(B33044,""en"",""it"")"),"Una giovane donna nel reggiseno e sulla biancheria intima si siede su un letto.")</f>
        <v>Una giovane donna nel reggiseno e sulla biancheria intima si siede su un letto.</v>
      </c>
    </row>
    <row r="33045">
      <c r="A33045" s="4" t="s">
        <v>41588</v>
      </c>
      <c r="B33045" s="4" t="s">
        <v>41590</v>
      </c>
      <c r="C33045" s="5" t="str">
        <f>IFERROR(__xludf.DUMMYFUNCTION("GOOGLETRANSLATE(B33045,""en"",""it"")"),"Quindi applica la lozione alle gambe e alle mani.")</f>
        <v>Quindi applica la lozione alle gambe e alle mani.</v>
      </c>
    </row>
    <row r="33046">
      <c r="A33046" s="4" t="s">
        <v>41588</v>
      </c>
      <c r="B33046" s="4" t="s">
        <v>41591</v>
      </c>
      <c r="C33046" s="5" t="str">
        <f>IFERROR(__xludf.DUMMYFUNCTION("GOOGLETRANSLATE(B33046,""en"",""it"")"),"È molto approfondita nel suo lavoro assicurandosi di non perdere nulla.")</f>
        <v>È molto approfondita nel suo lavoro assicurandosi di non perdere nulla.</v>
      </c>
    </row>
    <row r="33047">
      <c r="A33047" s="4" t="s">
        <v>41588</v>
      </c>
      <c r="B33047" s="4" t="s">
        <v>41592</v>
      </c>
      <c r="C33047" s="5" t="str">
        <f>IFERROR(__xludf.DUMMYFUNCTION("GOOGLETRANSLATE(B33047,""en"",""it"")"),"Quindi inizia il processo di rasatura con le gambe in modo molto intensamente.")</f>
        <v>Quindi inizia il processo di rasatura con le gambe in modo molto intensamente.</v>
      </c>
    </row>
    <row r="33048">
      <c r="A33048" s="4" t="s">
        <v>41588</v>
      </c>
      <c r="B33048" s="4" t="s">
        <v>41593</v>
      </c>
      <c r="C33048" s="5" t="str">
        <f>IFERROR(__xludf.DUMMYFUNCTION("GOOGLETRANSLATE(B33048,""en"",""it"")"),"Continua questo processo con l'altra gamba che è molto brava all'attenzione ai dettagli.")</f>
        <v>Continua questo processo con l'altra gamba che è molto brava all'attenzione ai dettagli.</v>
      </c>
    </row>
    <row r="33049">
      <c r="A33049" s="4" t="s">
        <v>41594</v>
      </c>
      <c r="B33049" s="4" t="s">
        <v>41595</v>
      </c>
      <c r="C33049" s="5" t="str">
        <f>IFERROR(__xludf.DUMMYFUNCTION("GOOGLETRANSLATE(B33049,""en"",""it"")"),"Una persona soffia foglie usando un soffiatore a foglia.")</f>
        <v>Una persona soffia foglie usando un soffiatore a foglia.</v>
      </c>
    </row>
    <row r="33050">
      <c r="A33050" s="4" t="s">
        <v>41594</v>
      </c>
      <c r="B33050" s="4" t="s">
        <v>41596</v>
      </c>
      <c r="C33050" s="5" t="str">
        <f>IFERROR(__xludf.DUMMYFUNCTION("GOOGLETRANSLATE(B33050,""en"",""it"")"),"Quindi, un'area senza foglie viene mostrata accanto agli alberi.")</f>
        <v>Quindi, un'area senza foglie viene mostrata accanto agli alberi.</v>
      </c>
    </row>
    <row r="33051">
      <c r="A33051" s="4" t="s">
        <v>41597</v>
      </c>
      <c r="B33051" s="4" t="s">
        <v>41598</v>
      </c>
      <c r="C33051" s="5" t="str">
        <f>IFERROR(__xludf.DUMMYFUNCTION("GOOGLETRANSLATE(B33051,""en"",""it"")"),"Una ragazza si alza e parla in un bagno pubblico.")</f>
        <v>Una ragazza si alza e parla in un bagno pubblico.</v>
      </c>
    </row>
    <row r="33052">
      <c r="A33052" s="4" t="s">
        <v>41597</v>
      </c>
      <c r="B33052" s="4" t="s">
        <v>41599</v>
      </c>
      <c r="C33052" s="5" t="str">
        <f>IFERROR(__xludf.DUMMYFUNCTION("GOOGLETRANSLATE(B33052,""en"",""it"")"),"La ragazza entra in una stalla e chiude la porta.")</f>
        <v>La ragazza entra in una stalla e chiude la porta.</v>
      </c>
    </row>
    <row r="33053">
      <c r="A33053" s="4" t="s">
        <v>41597</v>
      </c>
      <c r="B33053" s="4" t="s">
        <v>41600</v>
      </c>
      <c r="C33053" s="5" t="str">
        <f>IFERROR(__xludf.DUMMYFUNCTION("GOOGLETRANSLATE(B33053,""en"",""it"")"),"Emerge e lava le mani.")</f>
        <v>Emerge e lava le mani.</v>
      </c>
    </row>
    <row r="33054">
      <c r="A33054" s="4" t="s">
        <v>41597</v>
      </c>
      <c r="B33054" s="4" t="s">
        <v>41601</v>
      </c>
      <c r="C33054" s="5" t="str">
        <f>IFERROR(__xludf.DUMMYFUNCTION("GOOGLETRANSLATE(B33054,""en"",""it"")"),"Prende un foglio e le fa lega.")</f>
        <v>Prende un foglio e le fa lega.</v>
      </c>
    </row>
    <row r="33055">
      <c r="A33055" s="4" t="s">
        <v>41597</v>
      </c>
      <c r="B33055" s="4" t="s">
        <v>41602</v>
      </c>
      <c r="C33055" s="5" t="str">
        <f>IFERROR(__xludf.DUMMYFUNCTION("GOOGLETRANSLATE(B33055,""en"",""it"")"),"Un'altra persona è lavarsi le mani.")</f>
        <v>Un'altra persona è lavarsi le mani.</v>
      </c>
    </row>
    <row r="33056">
      <c r="A33056" s="4" t="s">
        <v>41597</v>
      </c>
      <c r="B33056" s="4" t="s">
        <v>41603</v>
      </c>
      <c r="C33056" s="5" t="str">
        <f>IFERROR(__xludf.DUMMYFUNCTION("GOOGLETRANSLATE(B33056,""en"",""it"")"),"La ragazza getta via il papertowel.")</f>
        <v>La ragazza getta via il papertowel.</v>
      </c>
    </row>
    <row r="33057">
      <c r="A33057" s="4" t="s">
        <v>41604</v>
      </c>
      <c r="B33057" s="4" t="s">
        <v>41605</v>
      </c>
      <c r="C33057" s="5" t="str">
        <f>IFERROR(__xludf.DUMMYFUNCTION("GOOGLETRANSLATE(B33057,""en"",""it"")"),"Un uomo tocca la cima di un pianoforte con un bastone e parla con una grande fascia seduta di fronte a lui.")</f>
        <v>Un uomo tocca la cima di un pianoforte con un bastone e parla con una grande fascia seduta di fronte a lui.</v>
      </c>
    </row>
    <row r="33058">
      <c r="A33058" s="4" t="s">
        <v>41604</v>
      </c>
      <c r="B33058" s="4" t="s">
        <v>41606</v>
      </c>
      <c r="C33058" s="5" t="str">
        <f>IFERROR(__xludf.DUMMYFUNCTION("GOOGLETRANSLATE(B33058,""en"",""it"")"),"Si siede al piano e la band suona.")</f>
        <v>Si siede al piano e la band suona.</v>
      </c>
    </row>
    <row r="33059">
      <c r="A33059" s="4" t="s">
        <v>41604</v>
      </c>
      <c r="B33059" s="4" t="s">
        <v>41607</v>
      </c>
      <c r="C33059" s="5" t="str">
        <f>IFERROR(__xludf.DUMMYFUNCTION("GOOGLETRANSLATE(B33059,""en"",""it"")"),"Un grande pubblico guarda da vicino.")</f>
        <v>Un grande pubblico guarda da vicino.</v>
      </c>
    </row>
    <row r="33060">
      <c r="A33060" s="4" t="s">
        <v>41604</v>
      </c>
      <c r="B33060" s="4" t="s">
        <v>41608</v>
      </c>
      <c r="C33060" s="5" t="str">
        <f>IFERROR(__xludf.DUMMYFUNCTION("GOOGLETRANSLATE(B33060,""en"",""it"")"),"L'uomo getta il bastone dietro la band.")</f>
        <v>L'uomo getta il bastone dietro la band.</v>
      </c>
    </row>
    <row r="33061">
      <c r="A33061" s="4" t="s">
        <v>41604</v>
      </c>
      <c r="B33061" s="4" t="s">
        <v>41609</v>
      </c>
      <c r="C33061" s="5" t="str">
        <f>IFERROR(__xludf.DUMMYFUNCTION("GOOGLETRANSLATE(B33061,""en"",""it"")"),"L'uomo gioca in piedi per un momento e poi si inchina.")</f>
        <v>L'uomo gioca in piedi per un momento e poi si inchina.</v>
      </c>
    </row>
    <row r="33062">
      <c r="A33062" s="4" t="s">
        <v>41610</v>
      </c>
      <c r="B33062" s="6" t="s">
        <v>41611</v>
      </c>
      <c r="C33062" s="5" t="str">
        <f>IFERROR(__xludf.DUMMYFUNCTION("GOOGLETRANSLATE(B33062,""en"",""it"")"),"Un drink viene versato in un bicchiere seguito da una donna che afferra un bicchiere e versò miscele.")</f>
        <v>Un drink viene versato in un bicchiere seguito da una donna che afferra un bicchiere e versò miscele.</v>
      </c>
    </row>
    <row r="33063">
      <c r="A33063" s="4" t="s">
        <v>41610</v>
      </c>
      <c r="B33063" s="6" t="s">
        <v>41612</v>
      </c>
      <c r="C33063" s="5" t="str">
        <f>IFERROR(__xludf.DUMMYFUNCTION("GOOGLETRANSLATE(B33063,""en"",""it"")"),"Crea una bevanda alcolica versando diversi mix insieme e la telecamera che ingrandisce la bevanda.")</f>
        <v>Crea una bevanda alcolica versando diversi mix insieme e la telecamera che ingrandisce la bevanda.</v>
      </c>
    </row>
    <row r="33064">
      <c r="A33064" s="4" t="s">
        <v>41613</v>
      </c>
      <c r="B33064" s="4" t="s">
        <v>41614</v>
      </c>
      <c r="C33064" s="5" t="str">
        <f>IFERROR(__xludf.DUMMYFUNCTION("GOOGLETRANSLATE(B33064,""en"",""it"")"),"Una band messicana suona e canta.")</f>
        <v>Una band messicana suona e canta.</v>
      </c>
    </row>
    <row r="33065">
      <c r="A33065" s="4" t="s">
        <v>41613</v>
      </c>
      <c r="B33065" s="4" t="s">
        <v>41615</v>
      </c>
      <c r="C33065" s="5" t="str">
        <f>IFERROR(__xludf.DUMMYFUNCTION("GOOGLETRANSLATE(B33065,""en"",""it"")"),"La fotocamera esegue un primo piano su ciascun membro.")</f>
        <v>La fotocamera esegue un primo piano su ciascun membro.</v>
      </c>
    </row>
    <row r="33066">
      <c r="A33066" s="4" t="s">
        <v>41613</v>
      </c>
      <c r="B33066" s="4" t="s">
        <v>41616</v>
      </c>
      <c r="C33066" s="5" t="str">
        <f>IFERROR(__xludf.DUMMYFUNCTION("GOOGLETRANSLATE(B33066,""en"",""it"")"),"C'è una folla che li ascolta.")</f>
        <v>C'è una folla che li ascolta.</v>
      </c>
    </row>
    <row r="33067">
      <c r="A33067" s="4" t="s">
        <v>41613</v>
      </c>
      <c r="B33067" s="4" t="s">
        <v>41617</v>
      </c>
      <c r="C33067" s="5" t="str">
        <f>IFERROR(__xludf.DUMMYFUNCTION("GOOGLETRANSLATE(B33067,""en"",""it"")"),"Il nome della band è sul retro delle loro camicie.")</f>
        <v>Il nome della band è sul retro delle loro camicie.</v>
      </c>
    </row>
    <row r="33068">
      <c r="A33068" s="4" t="s">
        <v>41618</v>
      </c>
      <c r="B33068" s="4" t="s">
        <v>41619</v>
      </c>
      <c r="C33068" s="5" t="str">
        <f>IFERROR(__xludf.DUMMYFUNCTION("GOOGLETRANSLATE(B33068,""en"",""it"")"),"Quest'uomo è sulle sue mani e le ginocchia sul pavimento.")</f>
        <v>Quest'uomo è sulle sue mani e le ginocchia sul pavimento.</v>
      </c>
    </row>
    <row r="33069">
      <c r="A33069" s="4" t="s">
        <v>41618</v>
      </c>
      <c r="B33069" s="4" t="s">
        <v>41620</v>
      </c>
      <c r="C33069" s="5" t="str">
        <f>IFERROR(__xludf.DUMMYFUNCTION("GOOGLETRANSLATE(B33069,""en"",""it"")"),"Questo viene registrato da uno schermo TV ed è davvero forte.")</f>
        <v>Questo viene registrato da uno schermo TV ed è davvero forte.</v>
      </c>
    </row>
    <row r="33070">
      <c r="A33070" s="4" t="s">
        <v>41618</v>
      </c>
      <c r="B33070" s="6" t="s">
        <v>41621</v>
      </c>
      <c r="C33070" s="5" t="str">
        <f>IFERROR(__xludf.DUMMYFUNCTION("GOOGLETRANSLATE(B33070,""en"",""it"")"),"Non c'è nessun altro nella stanza con quest'uomo e sembra una donna che viene entrata da dietro.")</f>
        <v>Non c'è nessun altro nella stanza con quest'uomo e sembra una donna che viene entrata da dietro.</v>
      </c>
    </row>
    <row r="33071">
      <c r="A33071" s="4" t="s">
        <v>41622</v>
      </c>
      <c r="B33071" s="4" t="s">
        <v>41623</v>
      </c>
      <c r="C33071" s="5" t="str">
        <f>IFERROR(__xludf.DUMMYFUNCTION("GOOGLETRANSLATE(B33071,""en"",""it"")"),"Un primo piano di canoa si vede che si muove lungo l'acqua che mostra una persona che remava nella parte anteriore.")</f>
        <v>Un primo piano di canoa si vede che si muove lungo l'acqua che mostra una persona che remava nella parte anteriore.</v>
      </c>
    </row>
    <row r="33072">
      <c r="A33072" s="4" t="s">
        <v>41622</v>
      </c>
      <c r="B33072" s="4" t="s">
        <v>41624</v>
      </c>
      <c r="C33072" s="5" t="str">
        <f>IFERROR(__xludf.DUMMYFUNCTION("GOOGLETRANSLATE(B33072,""en"",""it"")"),"Diverse altre persone vengono viste andare in giro in canoa e mostrare cascate e un incendio.")</f>
        <v>Diverse altre persone vengono viste andare in giro in canoa e mostrare cascate e un incendio.</v>
      </c>
    </row>
    <row r="33073">
      <c r="A33073" s="4" t="s">
        <v>41625</v>
      </c>
      <c r="B33073" s="4" t="s">
        <v>41626</v>
      </c>
      <c r="C33073" s="5" t="str">
        <f>IFERROR(__xludf.DUMMYFUNCTION("GOOGLETRANSLATE(B33073,""en"",""it"")"),"Una donna sta facendo una routine di ginnastica in bar irregolari.")</f>
        <v>Una donna sta facendo una routine di ginnastica in bar irregolari.</v>
      </c>
    </row>
    <row r="33074">
      <c r="A33074" s="4" t="s">
        <v>41625</v>
      </c>
      <c r="B33074" s="4" t="s">
        <v>41627</v>
      </c>
      <c r="C33074" s="5" t="str">
        <f>IFERROR(__xludf.DUMMYFUNCTION("GOOGLETRANSLATE(B33074,""en"",""it"")"),"Una donna si lancia sul bar.")</f>
        <v>Una donna si lancia sul bar.</v>
      </c>
    </row>
    <row r="33075">
      <c r="A33075" s="4" t="s">
        <v>41625</v>
      </c>
      <c r="B33075" s="4" t="s">
        <v>41628</v>
      </c>
      <c r="C33075" s="5" t="str">
        <f>IFERROR(__xludf.DUMMYFUNCTION("GOOGLETRANSLATE(B33075,""en"",""it"")"),"Salta via e atterra su un tappetino.")</f>
        <v>Salta via e atterra su un tappetino.</v>
      </c>
    </row>
    <row r="33076">
      <c r="A33076" s="4" t="s">
        <v>41629</v>
      </c>
      <c r="B33076" s="4" t="s">
        <v>9397</v>
      </c>
      <c r="C33076" s="5" t="str">
        <f>IFERROR(__xludf.DUMMYFUNCTION("GOOGLETRANSLATE(B33076,""en"",""it"")"),"Una donna è in piedi in una stanza a parlare.")</f>
        <v>Una donna è in piedi in una stanza a parlare.</v>
      </c>
    </row>
    <row r="33077">
      <c r="A33077" s="4" t="s">
        <v>41629</v>
      </c>
      <c r="B33077" s="4" t="s">
        <v>41630</v>
      </c>
      <c r="C33077" s="5" t="str">
        <f>IFERROR(__xludf.DUMMYFUNCTION("GOOGLETRANSLATE(B33077,""en"",""it"")"),"Prende un pennello rosso e inizia a lavarsi i capelli.")</f>
        <v>Prende un pennello rosso e inizia a lavarsi i capelli.</v>
      </c>
    </row>
    <row r="33078">
      <c r="A33078" s="4" t="s">
        <v>41629</v>
      </c>
      <c r="B33078" s="4" t="s">
        <v>41631</v>
      </c>
      <c r="C33078" s="5" t="str">
        <f>IFERROR(__xludf.DUMMYFUNCTION("GOOGLETRANSLATE(B33078,""en"",""it"")"),"Una pubblicità Netflix è mostrata sullo schermo.")</f>
        <v>Una pubblicità Netflix è mostrata sullo schermo.</v>
      </c>
    </row>
    <row r="33079">
      <c r="A33079" s="4" t="s">
        <v>41632</v>
      </c>
      <c r="B33079" s="4" t="s">
        <v>41633</v>
      </c>
      <c r="C33079" s="5" t="str">
        <f>IFERROR(__xludf.DUMMYFUNCTION("GOOGLETRANSLATE(B33079,""en"",""it"")"),"Un uomo è seduto su un esercizio.")</f>
        <v>Un uomo è seduto su un esercizio.</v>
      </c>
    </row>
    <row r="33080">
      <c r="A33080" s="4" t="s">
        <v>41632</v>
      </c>
      <c r="B33080" s="4" t="s">
        <v>41634</v>
      </c>
      <c r="C33080" s="5" t="str">
        <f>IFERROR(__xludf.DUMMYFUNCTION("GOOGLETRANSLATE(B33080,""en"",""it"")"),"Tira un bar davanti a lui e inizia ad allenarti.")</f>
        <v>Tira un bar davanti a lui e inizia ad allenarti.</v>
      </c>
    </row>
    <row r="33081">
      <c r="A33081" s="4" t="s">
        <v>41632</v>
      </c>
      <c r="B33081" s="4" t="s">
        <v>41635</v>
      </c>
      <c r="C33081" s="5" t="str">
        <f>IFERROR(__xludf.DUMMYFUNCTION("GOOGLETRANSLATE(B33081,""en"",""it"")"),"Lascia cadere la barra e finisce.")</f>
        <v>Lascia cadere la barra e finisce.</v>
      </c>
    </row>
    <row r="33082">
      <c r="A33082" s="4" t="s">
        <v>41636</v>
      </c>
      <c r="B33082" s="6" t="s">
        <v>41637</v>
      </c>
      <c r="C33082" s="5" t="str">
        <f>IFERROR(__xludf.DUMMYFUNCTION("GOOGLETRANSLATE(B33082,""en"",""it"")"),"Una ragazza è vista in piedi dietro un tavolo che stringe le lime mentre un altro lava i piatti sullo sfondo.")</f>
        <v>Una ragazza è vista in piedi dietro un tavolo che stringe le lime mentre un altro lava i piatti sullo sfondo.</v>
      </c>
    </row>
    <row r="33083">
      <c r="A33083" s="4" t="s">
        <v>41636</v>
      </c>
      <c r="B33083" s="4" t="s">
        <v>41638</v>
      </c>
      <c r="C33083" s="5" t="str">
        <f>IFERROR(__xludf.DUMMYFUNCTION("GOOGLETRANSLATE(B33083,""en"",""it"")"),"La ragazza continua a spremere il frutto e cammina verso la telecamera, poi di nuovo.")</f>
        <v>La ragazza continua a spremere il frutto e cammina verso la telecamera, poi di nuovo.</v>
      </c>
    </row>
    <row r="33084">
      <c r="A33084" s="4" t="s">
        <v>41639</v>
      </c>
      <c r="B33084" s="6" t="s">
        <v>41640</v>
      </c>
      <c r="C33084" s="5" t="str">
        <f>IFERROR(__xludf.DUMMYFUNCTION("GOOGLETRANSLATE(B33084,""en"",""it"")"),"La mamma di Duggar e una bambina si avvicinano a un'altra donna in un ranch di cavalli e le parole in basso a sinistra dicono che il nome della donna è Morgan Brown ed è l'istruttore equestre.")</f>
        <v>La mamma di Duggar e una bambina si avvicinano a un'altra donna in un ranch di cavalli e le parole in basso a sinistra dicono che il nome della donna è Morgan Brown ed è l'istruttore equestre.</v>
      </c>
    </row>
    <row r="33085">
      <c r="A33085" s="4" t="s">
        <v>41639</v>
      </c>
      <c r="B33085" s="6" t="s">
        <v>41641</v>
      </c>
      <c r="C33085" s="5" t="str">
        <f>IFERROR(__xludf.DUMMYFUNCTION("GOOGLETRANSLATE(B33085,""en"",""it"")"),"La donna li conduce nel fienile e lei mette un casco sulla testa delle bambine, camminano per prendere cavalli e ad un certo punto la mamma di Duggar ha anche messo un casco.")</f>
        <v>La donna li conduce nel fienile e lei mette un casco sulla testa delle bambine, camminano per prendere cavalli e ad un certo punto la mamma di Duggar ha anche messo un casco.</v>
      </c>
    </row>
    <row r="33086">
      <c r="A33086" s="4" t="s">
        <v>41639</v>
      </c>
      <c r="B33086" s="6" t="s">
        <v>41642</v>
      </c>
      <c r="C33086" s="5" t="str">
        <f>IFERROR(__xludf.DUMMYFUNCTION("GOOGLETRANSLATE(B33086,""en"",""it"")"),"Tra le interviste tra le interviste mostrano la mamma di Duggar e la bambina che ricevono istruzioni sul loro cavallo e poi si mettono sui loro cavalli e cavalcano su di loro in una zona chiusa.")</f>
        <v>Tra le interviste tra le interviste mostrano la mamma di Duggar e la bambina che ricevono istruzioni sul loro cavallo e poi si mettono sui loro cavalli e cavalcano su di loro in una zona chiusa.</v>
      </c>
    </row>
    <row r="33087">
      <c r="A33087" s="4" t="s">
        <v>41639</v>
      </c>
      <c r="B33087" s="4" t="s">
        <v>41643</v>
      </c>
      <c r="C33087" s="5" t="str">
        <f>IFERROR(__xludf.DUMMYFUNCTION("GOOGLETRANSLATE(B33087,""en"",""it"")"),"Il logo TLC rosso e bianco rimane nell'area in basso a destra dello schermo per tutto il tempo.")</f>
        <v>Il logo TLC rosso e bianco rimane nell'area in basso a destra dello schermo per tutto il tempo.</v>
      </c>
    </row>
    <row r="33088">
      <c r="A33088" s="4" t="s">
        <v>41644</v>
      </c>
      <c r="B33088" s="4" t="s">
        <v>41645</v>
      </c>
      <c r="C33088" s="5" t="str">
        <f>IFERROR(__xludf.DUMMYFUNCTION("GOOGLETRANSLATE(B33088,""en"",""it"")"),"Viene visto un uomo parlare alla telecamera e conduce a diverse persone che tengono e sparano in fiocchi.")</f>
        <v>Viene visto un uomo parlare alla telecamera e conduce a diverse persone che tengono e sparano in fiocchi.</v>
      </c>
    </row>
    <row r="33089">
      <c r="A33089" s="4" t="s">
        <v>41644</v>
      </c>
      <c r="B33089" s="6" t="s">
        <v>41646</v>
      </c>
      <c r="C33089" s="5" t="str">
        <f>IFERROR(__xludf.DUMMYFUNCTION("GOOGLETRANSLATE(B33089,""en"",""it"")"),"Gli istruttori assistono gli studenti mentre parlano alla telecamera e mostrano diversi scatti della persona che spara alle frecce.")</f>
        <v>Gli istruttori assistono gli studenti mentre parlano alla telecamera e mostrano diversi scatti della persona che spara alle frecce.</v>
      </c>
    </row>
    <row r="33090">
      <c r="A33090" s="4" t="s">
        <v>41647</v>
      </c>
      <c r="B33090" s="4" t="s">
        <v>41648</v>
      </c>
      <c r="C33090" s="5" t="str">
        <f>IFERROR(__xludf.DUMMYFUNCTION("GOOGLETRANSLATE(B33090,""en"",""it"")"),"Viene mostrato un furgone fuori dal muro.")</f>
        <v>Viene mostrato un furgone fuori dal muro.</v>
      </c>
    </row>
    <row r="33091">
      <c r="A33091" s="4" t="s">
        <v>41647</v>
      </c>
      <c r="B33091" s="4" t="s">
        <v>41649</v>
      </c>
      <c r="C33091" s="5" t="str">
        <f>IFERROR(__xludf.DUMMYFUNCTION("GOOGLETRANSLATE(B33091,""en"",""it"")"),"Più immagini lampeggiano sullo schermo.")</f>
        <v>Più immagini lampeggiano sullo schermo.</v>
      </c>
    </row>
    <row r="33092">
      <c r="A33092" s="4" t="s">
        <v>41647</v>
      </c>
      <c r="B33092" s="4" t="s">
        <v>41650</v>
      </c>
      <c r="C33092" s="5" t="str">
        <f>IFERROR(__xludf.DUMMYFUNCTION("GOOGLETRANSLATE(B33092,""en"",""it"")"),"Gli uomini vengono mostrati bere vino prima di eseguire numerosi trucchi sulle assi di sci.")</f>
        <v>Gli uomini vengono mostrati bere vino prima di eseguire numerosi trucchi sulle assi di sci.</v>
      </c>
    </row>
    <row r="33093">
      <c r="A33093" s="4" t="s">
        <v>41647</v>
      </c>
      <c r="B33093" s="4" t="s">
        <v>41651</v>
      </c>
      <c r="C33093" s="5" t="str">
        <f>IFERROR(__xludf.DUMMYFUNCTION("GOOGLETRANSLATE(B33093,""en"",""it"")"),"Vengono visualizzate immagini nell'aria che eseguono trucchi e salti.")</f>
        <v>Vengono visualizzate immagini nell'aria che eseguono trucchi e salti.</v>
      </c>
    </row>
    <row r="33094">
      <c r="A33094" s="4" t="s">
        <v>41652</v>
      </c>
      <c r="B33094" s="4" t="s">
        <v>41653</v>
      </c>
      <c r="C33094" s="5" t="str">
        <f>IFERROR(__xludf.DUMMYFUNCTION("GOOGLETRANSLATE(B33094,""en"",""it"")"),"L'uomo è in piedi in un Icetrack a parlare con la fotocamera.")</f>
        <v>L'uomo è in piedi in un Icetrack a parlare con la fotocamera.</v>
      </c>
    </row>
    <row r="33095">
      <c r="A33095" s="4" t="s">
        <v>41652</v>
      </c>
      <c r="B33095" s="4" t="s">
        <v>41654</v>
      </c>
      <c r="C33095" s="5" t="str">
        <f>IFERROR(__xludf.DUMMYFUNCTION("GOOGLETRANSLATE(B33095,""en"",""it"")"),"Le persone giocano a curling in un campo di ghiaccio.")</f>
        <v>Le persone giocano a curling in un campo di ghiaccio.</v>
      </c>
    </row>
    <row r="33096">
      <c r="A33096" s="4" t="s">
        <v>41655</v>
      </c>
      <c r="B33096" s="4" t="s">
        <v>41656</v>
      </c>
      <c r="C33096" s="5" t="str">
        <f>IFERROR(__xludf.DUMMYFUNCTION("GOOGLETRANSLATE(B33096,""en"",""it"")"),"Vengono mostrate diverse clip di persone che giocano a calcio di fronte a un grande stadio.")</f>
        <v>Vengono mostrate diverse clip di persone che giocano a calcio di fronte a un grande stadio.</v>
      </c>
    </row>
    <row r="33097">
      <c r="A33097" s="4" t="s">
        <v>41655</v>
      </c>
      <c r="B33097" s="4" t="s">
        <v>41657</v>
      </c>
      <c r="C33097" s="5" t="str">
        <f>IFERROR(__xludf.DUMMYFUNCTION("GOOGLETRANSLATE(B33097,""en"",""it"")"),"La gente calcia una palla in tutta la zona e alza le mani.")</f>
        <v>La gente calcia una palla in tutta la zona e alza le mani.</v>
      </c>
    </row>
    <row r="33098">
      <c r="A33098" s="4" t="s">
        <v>41655</v>
      </c>
      <c r="B33098" s="4" t="s">
        <v>41658</v>
      </c>
      <c r="C33098" s="5" t="str">
        <f>IFERROR(__xludf.DUMMYFUNCTION("GOOGLETRANSLATE(B33098,""en"",""it"")"),"Vengono mostrati più colpi di persone che giocano l'una contro l'altra su diversi campi e celebrano.")</f>
        <v>Vengono mostrati più colpi di persone che giocano l'una contro l'altra su diversi campi e celebrano.</v>
      </c>
    </row>
    <row r="33099">
      <c r="A33099" s="4" t="s">
        <v>41659</v>
      </c>
      <c r="B33099" s="4" t="s">
        <v>41660</v>
      </c>
      <c r="C33099" s="5" t="str">
        <f>IFERROR(__xludf.DUMMYFUNCTION("GOOGLETRANSLATE(B33099,""en"",""it"")"),"Si vede un bambino parlare alla telecamera e piovere una donna anziana che soffia foglie in cortile.")</f>
        <v>Si vede un bambino parlare alla telecamera e piovere una donna anziana che soffia foglie in cortile.</v>
      </c>
    </row>
    <row r="33100">
      <c r="A33100" s="4" t="s">
        <v>41659</v>
      </c>
      <c r="B33100" s="4" t="s">
        <v>41661</v>
      </c>
      <c r="C33100" s="5" t="str">
        <f>IFERROR(__xludf.DUMMYFUNCTION("GOOGLETRANSLATE(B33100,""en"",""it"")"),"La donna parla al ragazzo e lei si avvicina a lei mentre lei soffia ancora parte.")</f>
        <v>La donna parla al ragazzo e lei si avvicina a lei mentre lei soffia ancora parte.</v>
      </c>
    </row>
    <row r="33101">
      <c r="A33101" s="4" t="s">
        <v>41659</v>
      </c>
      <c r="B33101" s="4" t="s">
        <v>41662</v>
      </c>
      <c r="C33101" s="5" t="str">
        <f>IFERROR(__xludf.DUMMYFUNCTION("GOOGLETRANSLATE(B33101,""en"",""it"")"),"Alla fine ha visto allontanarsi da una recinzione.")</f>
        <v>Alla fine ha visto allontanarsi da una recinzione.</v>
      </c>
    </row>
    <row r="33102">
      <c r="A33102" s="4" t="s">
        <v>41663</v>
      </c>
      <c r="B33102" s="4" t="s">
        <v>41664</v>
      </c>
      <c r="C33102" s="5" t="str">
        <f>IFERROR(__xludf.DUMMYFUNCTION("GOOGLETRANSLATE(B33102,""en"",""it"")"),"Un giovane maschio è seduto nel deserto in cima a un cammello.")</f>
        <v>Un giovane maschio è seduto nel deserto in cima a un cammello.</v>
      </c>
    </row>
    <row r="33103">
      <c r="A33103" s="4" t="s">
        <v>41663</v>
      </c>
      <c r="B33103" s="4" t="s">
        <v>41665</v>
      </c>
      <c r="C33103" s="5" t="str">
        <f>IFERROR(__xludf.DUMMYFUNCTION("GOOGLETRANSLATE(B33103,""en"",""it"")"),"L'uomo inizia a parlare con un altro maschio che ha un involucro rosso in testa.")</f>
        <v>L'uomo inizia a parlare con un altro maschio che ha un involucro rosso in testa.</v>
      </c>
    </row>
    <row r="33104">
      <c r="A33104" s="4" t="s">
        <v>41663</v>
      </c>
      <c r="B33104" s="6" t="s">
        <v>41666</v>
      </c>
      <c r="C33104" s="5" t="str">
        <f>IFERROR(__xludf.DUMMYFUNCTION("GOOGLETRANSLATE(B33104,""en"",""it"")"),"Il cammello si solleva quindi e inizia a camminare attraverso il deserto verso un gruppo di bambini e macchine.")</f>
        <v>Il cammello si solleva quindi e inizia a camminare attraverso il deserto verso un gruppo di bambini e macchine.</v>
      </c>
    </row>
    <row r="33105">
      <c r="A33105" s="4" t="s">
        <v>41667</v>
      </c>
      <c r="B33105" s="6" t="s">
        <v>41668</v>
      </c>
      <c r="C33105" s="5" t="str">
        <f>IFERROR(__xludf.DUMMYFUNCTION("GOOGLETRANSLATE(B33105,""en"",""it"")"),"Un uomo sta legando una cintura gialla intorno alla vita di un uomo più alto che scuote la mano e poi scuote tutti gli altri.")</f>
        <v>Un uomo sta legando una cintura gialla intorno alla vita di un uomo più alto che scuote la mano e poi scuote tutti gli altri.</v>
      </c>
    </row>
    <row r="33106">
      <c r="A33106" s="4" t="s">
        <v>41667</v>
      </c>
      <c r="B33106" s="6" t="s">
        <v>41669</v>
      </c>
      <c r="C33106" s="5" t="str">
        <f>IFERROR(__xludf.DUMMYFUNCTION("GOOGLETRANSLATE(B33106,""en"",""it"")"),"L'uomo e un altro iniziano a fare delle mosse di karate l'una contro l'altra, ma raramente fanno un contatto fisico.")</f>
        <v>L'uomo e un altro iniziano a fare delle mosse di karate l'una contro l'altra, ma raramente fanno un contatto fisico.</v>
      </c>
    </row>
    <row r="33107">
      <c r="A33107" s="4" t="s">
        <v>41667</v>
      </c>
      <c r="B33107" s="4" t="s">
        <v>41670</v>
      </c>
      <c r="C33107" s="5" t="str">
        <f>IFERROR(__xludf.DUMMYFUNCTION("GOOGLETRANSLATE(B33107,""en"",""it"")"),"C'è un gruppo di uomini in piedi intorno a loro guardandoli.")</f>
        <v>C'è un gruppo di uomini in piedi intorno a loro guardandoli.</v>
      </c>
    </row>
    <row r="33108">
      <c r="A33108" s="4" t="s">
        <v>41667</v>
      </c>
      <c r="B33108" s="4" t="s">
        <v>41671</v>
      </c>
      <c r="C33108" s="5" t="str">
        <f>IFERROR(__xludf.DUMMYFUNCTION("GOOGLETRANSLATE(B33108,""en"",""it"")"),"Quando hanno finito, scattano tutti una foto di gruppo insieme.")</f>
        <v>Quando hanno finito, scattano tutti una foto di gruppo insieme.</v>
      </c>
    </row>
    <row r="33109">
      <c r="A33109" s="4" t="s">
        <v>41672</v>
      </c>
      <c r="B33109" s="6" t="s">
        <v>41673</v>
      </c>
      <c r="C33109" s="5" t="str">
        <f>IFERROR(__xludf.DUMMYFUNCTION("GOOGLETRANSLATE(B33109,""en"",""it"")"),"Due grandi uomini sono visti in piedi in una fossa circondati da altri e un ref in piedi nel mezzo.")</f>
        <v>Due grandi uomini sono visti in piedi in una fossa circondati da altri e un ref in piedi nel mezzo.</v>
      </c>
    </row>
    <row r="33110">
      <c r="A33110" s="4" t="s">
        <v>41672</v>
      </c>
      <c r="B33110" s="6" t="s">
        <v>41674</v>
      </c>
      <c r="C33110" s="5" t="str">
        <f>IFERROR(__xludf.DUMMYFUNCTION("GOOGLETRANSLATE(B33110,""en"",""it"")"),"Gli uomini poi si inchinano davanti all'altro mentre le persone continuano a spazzare l'arena e conducono agli uomini che combattono.")</f>
        <v>Gli uomini poi si inchinano davanti all'altro mentre le persone continuano a spazzare l'arena e conducono agli uomini che combattono.</v>
      </c>
    </row>
    <row r="33111">
      <c r="A33111" s="4" t="s">
        <v>41672</v>
      </c>
      <c r="B33111" s="6" t="s">
        <v>41675</v>
      </c>
      <c r="C33111" s="5" t="str">
        <f>IFERROR(__xludf.DUMMYFUNCTION("GOOGLETRANSLATE(B33111,""en"",""it"")"),"Gli uomini lottano continuamente l'un l'altro mentre l'arbitro si muove intorno a loro e finisce con loro che camminano fuori dal palco.")</f>
        <v>Gli uomini lottano continuamente l'un l'altro mentre l'arbitro si muove intorno a loro e finisce con loro che camminano fuori dal palco.</v>
      </c>
    </row>
    <row r="33112">
      <c r="A33112" s="4" t="s">
        <v>41676</v>
      </c>
      <c r="B33112" s="4" t="s">
        <v>41677</v>
      </c>
      <c r="C33112" s="5" t="str">
        <f>IFERROR(__xludf.DUMMYFUNCTION("GOOGLETRANSLATE(B33112,""en"",""it"")"),"Una persona in un berretto giallo nuota in una piscina.")</f>
        <v>Una persona in un berretto giallo nuota in una piscina.</v>
      </c>
    </row>
    <row r="33113">
      <c r="A33113" s="4" t="s">
        <v>41676</v>
      </c>
      <c r="B33113" s="4" t="s">
        <v>41678</v>
      </c>
      <c r="C33113" s="5" t="str">
        <f>IFERROR(__xludf.DUMMYFUNCTION("GOOGLETRANSLATE(B33113,""en"",""it"")"),"Una persona in una camicia bianca sta parlando.")</f>
        <v>Una persona in una camicia bianca sta parlando.</v>
      </c>
    </row>
    <row r="33114">
      <c r="A33114" s="4" t="s">
        <v>41676</v>
      </c>
      <c r="B33114" s="4" t="s">
        <v>41679</v>
      </c>
      <c r="C33114" s="5" t="str">
        <f>IFERROR(__xludf.DUMMYFUNCTION("GOOGLETRANSLATE(B33114,""en"",""it"")"),"La persona è fuori dall'acqua che si muove le braccia.")</f>
        <v>La persona è fuori dall'acqua che si muove le braccia.</v>
      </c>
    </row>
    <row r="33115">
      <c r="A33115" s="4" t="s">
        <v>41680</v>
      </c>
      <c r="B33115" s="4" t="s">
        <v>41681</v>
      </c>
      <c r="C33115" s="5" t="str">
        <f>IFERROR(__xludf.DUMMYFUNCTION("GOOGLETRANSLATE(B33115,""en"",""it"")"),"Una donna monta un raggio con un pubblico sullo sfondo.")</f>
        <v>Una donna monta un raggio con un pubblico sullo sfondo.</v>
      </c>
    </row>
    <row r="33116">
      <c r="A33116" s="4" t="s">
        <v>41680</v>
      </c>
      <c r="B33116" s="4" t="s">
        <v>41682</v>
      </c>
      <c r="C33116" s="5" t="str">
        <f>IFERROR(__xludf.DUMMYFUNCTION("GOOGLETRANSLATE(B33116,""en"",""it"")"),"La donna esegue ginnastica sul raggio.")</f>
        <v>La donna esegue ginnastica sul raggio.</v>
      </c>
    </row>
    <row r="33117">
      <c r="A33117" s="4" t="s">
        <v>41680</v>
      </c>
      <c r="B33117" s="4" t="s">
        <v>41683</v>
      </c>
      <c r="C33117" s="5" t="str">
        <f>IFERROR(__xludf.DUMMYFUNCTION("GOOGLETRANSLATE(B33117,""en"",""it"")"),"La donna smonde dal raggio.")</f>
        <v>La donna smonde dal raggio.</v>
      </c>
    </row>
    <row r="33118">
      <c r="A33118" s="4" t="s">
        <v>41684</v>
      </c>
      <c r="B33118" s="4" t="s">
        <v>41685</v>
      </c>
      <c r="C33118" s="5" t="str">
        <f>IFERROR(__xludf.DUMMYFUNCTION("GOOGLETRANSLATE(B33118,""en"",""it"")"),"Un ragazzo ride mentre tiene due spazzolini da denti.")</f>
        <v>Un ragazzo ride mentre tiene due spazzolini da denti.</v>
      </c>
    </row>
    <row r="33119">
      <c r="A33119" s="4" t="s">
        <v>41684</v>
      </c>
      <c r="B33119" s="4" t="s">
        <v>41686</v>
      </c>
      <c r="C33119" s="5" t="str">
        <f>IFERROR(__xludf.DUMMYFUNCTION("GOOGLETRANSLATE(B33119,""en"",""it"")"),"Usa un pennello elettrico per lavarsi i denti.")</f>
        <v>Usa un pennello elettrico per lavarsi i denti.</v>
      </c>
    </row>
    <row r="33120">
      <c r="A33120" s="4" t="s">
        <v>41684</v>
      </c>
      <c r="B33120" s="4" t="s">
        <v>41687</v>
      </c>
      <c r="C33120" s="5" t="str">
        <f>IFERROR(__xludf.DUMMYFUNCTION("GOOGLETRANSLATE(B33120,""en"",""it"")"),"Scuova il pennello, a volte versando acqua su di esso e mettendolo in bocca.")</f>
        <v>Scuova il pennello, a volte versando acqua su di esso e mettendolo in bocca.</v>
      </c>
    </row>
    <row r="33121">
      <c r="A33121" s="4" t="s">
        <v>41688</v>
      </c>
      <c r="B33121" s="4" t="s">
        <v>41689</v>
      </c>
      <c r="C33121" s="5" t="str">
        <f>IFERROR(__xludf.DUMMYFUNCTION("GOOGLETRANSLATE(B33121,""en"",""it"")"),"Vediamo un uomo che si prepara ad entrare in un kayak.")</f>
        <v>Vediamo un uomo che si prepara ad entrare in un kayak.</v>
      </c>
    </row>
    <row r="33122">
      <c r="A33122" s="4" t="s">
        <v>41688</v>
      </c>
      <c r="B33122" s="4" t="s">
        <v>41690</v>
      </c>
      <c r="C33122" s="5" t="str">
        <f>IFERROR(__xludf.DUMMYFUNCTION("GOOGLETRANSLATE(B33122,""en"",""it"")"),"Vediamo quindi l'uomo che cavalca nel suo kayak su un fiume ruvido.")</f>
        <v>Vediamo quindi l'uomo che cavalca nel suo kayak su un fiume ruvido.</v>
      </c>
    </row>
    <row r="33123">
      <c r="A33123" s="4" t="s">
        <v>41688</v>
      </c>
      <c r="B33123" s="4" t="s">
        <v>41691</v>
      </c>
      <c r="C33123" s="5" t="str">
        <f>IFERROR(__xludf.DUMMYFUNCTION("GOOGLETRANSLATE(B33123,""en"",""it"")"),"L'uomo supera una roccia.")</f>
        <v>L'uomo supera una roccia.</v>
      </c>
    </row>
    <row r="33124">
      <c r="A33124" s="4" t="s">
        <v>41688</v>
      </c>
      <c r="B33124" s="4" t="s">
        <v>41692</v>
      </c>
      <c r="C33124" s="5" t="str">
        <f>IFERROR(__xludf.DUMMYFUNCTION("GOOGLETRANSLATE(B33124,""en"",""it"")"),"Vediamo una montagna vicino al fiume.")</f>
        <v>Vediamo una montagna vicino al fiume.</v>
      </c>
    </row>
    <row r="33125">
      <c r="A33125" s="4" t="s">
        <v>41688</v>
      </c>
      <c r="B33125" s="4" t="s">
        <v>41693</v>
      </c>
      <c r="C33125" s="5" t="str">
        <f>IFERROR(__xludf.DUMMYFUNCTION("GOOGLETRANSLATE(B33125,""en"",""it"")"),"Il kayak viene rovesciato nel fiume.")</f>
        <v>Il kayak viene rovesciato nel fiume.</v>
      </c>
    </row>
    <row r="33126">
      <c r="A33126" s="4" t="s">
        <v>41688</v>
      </c>
      <c r="B33126" s="4" t="s">
        <v>41694</v>
      </c>
      <c r="C33126" s="5" t="str">
        <f>IFERROR(__xludf.DUMMYFUNCTION("GOOGLETRANSLATE(B33126,""en"",""it"")"),"Vediamo l'uomo sulla riva.")</f>
        <v>Vediamo l'uomo sulla riva.</v>
      </c>
    </row>
    <row r="33127">
      <c r="A33127" s="4" t="s">
        <v>41688</v>
      </c>
      <c r="B33127" s="4" t="s">
        <v>41695</v>
      </c>
      <c r="C33127" s="5" t="str">
        <f>IFERROR(__xludf.DUMMYFUNCTION("GOOGLETRANSLATE(B33127,""en"",""it"")"),"Vediamo l'uomo andare oltre una cascata.")</f>
        <v>Vediamo l'uomo andare oltre una cascata.</v>
      </c>
    </row>
    <row r="33128">
      <c r="A33128" s="4" t="s">
        <v>41688</v>
      </c>
      <c r="B33128" s="4" t="s">
        <v>41696</v>
      </c>
      <c r="C33128" s="5" t="str">
        <f>IFERROR(__xludf.DUMMYFUNCTION("GOOGLETRANSLATE(B33128,""en"",""it"")"),"Vediamo l'uomo tirare il suo kayak sulla riva.")</f>
        <v>Vediamo l'uomo tirare il suo kayak sulla riva.</v>
      </c>
    </row>
    <row r="33129">
      <c r="A33129" s="4" t="s">
        <v>41688</v>
      </c>
      <c r="B33129" s="4" t="s">
        <v>41697</v>
      </c>
      <c r="C33129" s="5" t="str">
        <f>IFERROR(__xludf.DUMMYFUNCTION("GOOGLETRANSLATE(B33129,""en"",""it"")"),"Vediamo il kayak rovesciato e poi vediamo il fiume correre.")</f>
        <v>Vediamo il kayak rovesciato e poi vediamo il fiume correre.</v>
      </c>
    </row>
    <row r="33130">
      <c r="A33130" s="4" t="s">
        <v>41688</v>
      </c>
      <c r="B33130" s="4" t="s">
        <v>41698</v>
      </c>
      <c r="C33130" s="5" t="str">
        <f>IFERROR(__xludf.DUMMYFUNCTION("GOOGLETRANSLATE(B33130,""en"",""it"")"),"Vediamo gli schermi finali.")</f>
        <v>Vediamo gli schermi finali.</v>
      </c>
    </row>
    <row r="33131">
      <c r="A33131" s="4" t="s">
        <v>41699</v>
      </c>
      <c r="B33131" s="4" t="s">
        <v>41700</v>
      </c>
      <c r="C33131" s="5" t="str">
        <f>IFERROR(__xludf.DUMMYFUNCTION("GOOGLETRANSLATE(B33131,""en"",""it"")"),"Una donna viene vista ridere della telecamera e inizia a fumare una sigaretta.")</f>
        <v>Una donna viene vista ridere della telecamera e inizia a fumare una sigaretta.</v>
      </c>
    </row>
    <row r="33132">
      <c r="A33132" s="4" t="s">
        <v>41699</v>
      </c>
      <c r="B33132" s="4" t="s">
        <v>41701</v>
      </c>
      <c r="C33132" s="5" t="str">
        <f>IFERROR(__xludf.DUMMYFUNCTION("GOOGLETRANSLATE(B33132,""en"",""it"")"),"La donna toglie i sbuffi dalla sigaretta mentre guarda nella telecamera.")</f>
        <v>La donna toglie i sbuffi dalla sigaretta mentre guarda nella telecamera.</v>
      </c>
    </row>
    <row r="33133">
      <c r="A33133" s="4" t="s">
        <v>41699</v>
      </c>
      <c r="B33133" s="4" t="s">
        <v>41702</v>
      </c>
      <c r="C33133" s="5" t="str">
        <f>IFERROR(__xludf.DUMMYFUNCTION("GOOGLETRANSLATE(B33133,""en"",""it"")"),"La donna continua a sollevare la sigaretta e soffiare fumo in lontananza.")</f>
        <v>La donna continua a sollevare la sigaretta e soffiare fumo in lontananza.</v>
      </c>
    </row>
    <row r="33134">
      <c r="A33134" s="4" t="s">
        <v>41703</v>
      </c>
      <c r="B33134" s="4" t="s">
        <v>27300</v>
      </c>
      <c r="C33134" s="5" t="str">
        <f>IFERROR(__xludf.DUMMYFUNCTION("GOOGLETRANSLATE(B33134,""en"",""it"")"),"Vediamo una schermata di apertura animata.")</f>
        <v>Vediamo una schermata di apertura animata.</v>
      </c>
    </row>
    <row r="33135">
      <c r="A33135" s="4" t="s">
        <v>41703</v>
      </c>
      <c r="B33135" s="4" t="s">
        <v>41704</v>
      </c>
      <c r="C33135" s="5" t="str">
        <f>IFERROR(__xludf.DUMMYFUNCTION("GOOGLETRANSLATE(B33135,""en"",""it"")"),"Vediamo un uomo che cammina in un parcheggio.")</f>
        <v>Vediamo un uomo che cammina in un parcheggio.</v>
      </c>
    </row>
    <row r="33136">
      <c r="A33136" s="4" t="s">
        <v>41703</v>
      </c>
      <c r="B33136" s="4" t="s">
        <v>41705</v>
      </c>
      <c r="C33136" s="5" t="str">
        <f>IFERROR(__xludf.DUMMYFUNCTION("GOOGLETRANSLATE(B33136,""en"",""it"")"),"L'uomo inizia a eseguire mosse di arti marziali.")</f>
        <v>L'uomo inizia a eseguire mosse di arti marziali.</v>
      </c>
    </row>
    <row r="33137">
      <c r="A33137" s="4" t="s">
        <v>41703</v>
      </c>
      <c r="B33137" s="4" t="s">
        <v>41706</v>
      </c>
      <c r="C33137" s="5" t="str">
        <f>IFERROR(__xludf.DUMMYFUNCTION("GOOGLETRANSLATE(B33137,""en"",""it"")"),"L'uomo rimuove la camicia e la collana.")</f>
        <v>L'uomo rimuove la camicia e la collana.</v>
      </c>
    </row>
    <row r="33138">
      <c r="A33138" s="4" t="s">
        <v>41703</v>
      </c>
      <c r="B33138" s="4" t="s">
        <v>41707</v>
      </c>
      <c r="C33138" s="5" t="str">
        <f>IFERROR(__xludf.DUMMYFUNCTION("GOOGLETRANSLATE(B33138,""en"",""it"")"),"L'uomo si gira e si muove Capoeira.")</f>
        <v>L'uomo si gira e si muove Capoeira.</v>
      </c>
    </row>
    <row r="33139">
      <c r="A33139" s="4" t="s">
        <v>41703</v>
      </c>
      <c r="B33139" s="4" t="s">
        <v>41708</v>
      </c>
      <c r="C33139" s="5" t="str">
        <f>IFERROR(__xludf.DUMMYFUNCTION("GOOGLETRANSLATE(B33139,""en"",""it"")"),"Vediamo l'uomo fare una verticale da una mano.")</f>
        <v>Vediamo l'uomo fare una verticale da una mano.</v>
      </c>
    </row>
    <row r="33140">
      <c r="A33140" s="4" t="s">
        <v>41703</v>
      </c>
      <c r="B33140" s="4" t="s">
        <v>41709</v>
      </c>
      <c r="C33140" s="5" t="str">
        <f>IFERROR(__xludf.DUMMYFUNCTION("GOOGLETRANSLATE(B33140,""en"",""it"")"),"L'uomo finisce, si prende la camicia e se ne va.")</f>
        <v>L'uomo finisce, si prende la camicia e se ne va.</v>
      </c>
    </row>
    <row r="33141">
      <c r="A33141" s="4" t="s">
        <v>41703</v>
      </c>
      <c r="B33141" s="4" t="s">
        <v>41710</v>
      </c>
      <c r="C33141" s="5" t="str">
        <f>IFERROR(__xludf.DUMMYFUNCTION("GOOGLETRANSLATE(B33141,""en"",""it"")"),"Vediamo video clip nella schermata di chiusura.")</f>
        <v>Vediamo video clip nella schermata di chiusura.</v>
      </c>
    </row>
    <row r="33142">
      <c r="A33142" s="4" t="s">
        <v>41711</v>
      </c>
      <c r="B33142" s="4" t="s">
        <v>41712</v>
      </c>
      <c r="C33142" s="5" t="str">
        <f>IFERROR(__xludf.DUMMYFUNCTION("GOOGLETRANSLATE(B33142,""en"",""it"")"),"Un individuo cavalca su un tubo interno lungo un fiume con rocce.")</f>
        <v>Un individuo cavalca su un tubo interno lungo un fiume con rocce.</v>
      </c>
    </row>
    <row r="33143">
      <c r="A33143" s="4" t="s">
        <v>41711</v>
      </c>
      <c r="B33143" s="4" t="s">
        <v>41713</v>
      </c>
      <c r="C33143" s="5" t="str">
        <f>IFERROR(__xludf.DUMMYFUNCTION("GOOGLETRANSLATE(B33143,""en"",""it"")"),"Un uomo spinge l'individuo a valle.")</f>
        <v>Un uomo spinge l'individuo a valle.</v>
      </c>
    </row>
    <row r="33144">
      <c r="A33144" s="4" t="s">
        <v>41711</v>
      </c>
      <c r="B33144" s="4" t="s">
        <v>41714</v>
      </c>
      <c r="C33144" s="5" t="str">
        <f>IFERROR(__xludf.DUMMYFUNCTION("GOOGLETRANSLATE(B33144,""en"",""it"")"),"Un altro uomo spinge l'individuo più a valle.")</f>
        <v>Un altro uomo spinge l'individuo più a valle.</v>
      </c>
    </row>
    <row r="33145">
      <c r="A33145" s="4" t="s">
        <v>41715</v>
      </c>
      <c r="B33145" s="4" t="s">
        <v>41716</v>
      </c>
      <c r="C33145" s="5" t="str">
        <f>IFERROR(__xludf.DUMMYFUNCTION("GOOGLETRANSLATE(B33145,""en"",""it"")"),"Una fotocamera si panoramica tutt'intorno a una recinzione mentre viene mostrato il testo.")</f>
        <v>Una fotocamera si panoramica tutt'intorno a una recinzione mentre viene mostrato il testo.</v>
      </c>
    </row>
    <row r="33146">
      <c r="A33146" s="4" t="s">
        <v>41715</v>
      </c>
      <c r="B33146" s="4" t="s">
        <v>41717</v>
      </c>
      <c r="C33146" s="5" t="str">
        <f>IFERROR(__xludf.DUMMYFUNCTION("GOOGLETRANSLATE(B33146,""en"",""it"")"),"Una persona è mostrata in diversi colpi che spruzzano la recinzione con un tubo.")</f>
        <v>Una persona è mostrata in diversi colpi che spruzzano la recinzione con un tubo.</v>
      </c>
    </row>
    <row r="33147">
      <c r="A33147" s="4" t="s">
        <v>41715</v>
      </c>
      <c r="B33147" s="4" t="s">
        <v>41718</v>
      </c>
      <c r="C33147" s="5" t="str">
        <f>IFERROR(__xludf.DUMMYFUNCTION("GOOGLETRANSLATE(B33147,""en"",""it"")"),"Alla fine sono mostrati più clip della recinzione.")</f>
        <v>Alla fine sono mostrati più clip della recinzione.</v>
      </c>
    </row>
    <row r="33148">
      <c r="A33148" s="4" t="s">
        <v>41719</v>
      </c>
      <c r="B33148" s="4" t="s">
        <v>41720</v>
      </c>
      <c r="C33148" s="5" t="str">
        <f>IFERROR(__xludf.DUMMYFUNCTION("GOOGLETRANSLATE(B33148,""en"",""it"")"),"Le persone corrono in giro per lo sporco giocando a calcio.")</f>
        <v>Le persone corrono in giro per lo sporco giocando a calcio.</v>
      </c>
    </row>
    <row r="33149">
      <c r="A33149" s="4" t="s">
        <v>41719</v>
      </c>
      <c r="B33149" s="4" t="s">
        <v>41721</v>
      </c>
      <c r="C33149" s="5" t="str">
        <f>IFERROR(__xludf.DUMMYFUNCTION("GOOGLETRANSLATE(B33149,""en"",""it"")"),"Le persone si trovano in un'arena indoor che gioca a calcio.")</f>
        <v>Le persone si trovano in un'arena indoor che gioca a calcio.</v>
      </c>
    </row>
    <row r="33150">
      <c r="A33150" s="4" t="s">
        <v>41719</v>
      </c>
      <c r="B33150" s="4" t="s">
        <v>41722</v>
      </c>
      <c r="C33150" s="5" t="str">
        <f>IFERROR(__xludf.DUMMYFUNCTION("GOOGLETRANSLATE(B33150,""en"",""it"")"),"Le persone sugli spalti stanno applaudendo per loro.")</f>
        <v>Le persone sugli spalti stanno applaudendo per loro.</v>
      </c>
    </row>
    <row r="33151">
      <c r="A33151" s="4" t="s">
        <v>41723</v>
      </c>
      <c r="B33151" s="4" t="s">
        <v>41724</v>
      </c>
      <c r="C33151" s="5" t="str">
        <f>IFERROR(__xludf.DUMMYFUNCTION("GOOGLETRANSLATE(B33151,""en"",""it"")"),"Vediamo una scena del titolo di apertura.")</f>
        <v>Vediamo una scena del titolo di apertura.</v>
      </c>
    </row>
    <row r="33152">
      <c r="A33152" s="4" t="s">
        <v>41723</v>
      </c>
      <c r="B33152" s="4" t="s">
        <v>41725</v>
      </c>
      <c r="C33152" s="5" t="str">
        <f>IFERROR(__xludf.DUMMYFUNCTION("GOOGLETRANSLATE(B33152,""en"",""it"")"),"Vediamo persone che cavalcano cavalli attraverso le montagne.")</f>
        <v>Vediamo persone che cavalcano cavalli attraverso le montagne.</v>
      </c>
    </row>
    <row r="33153">
      <c r="A33153" s="4" t="s">
        <v>41723</v>
      </c>
      <c r="B33153" s="4" t="s">
        <v>41726</v>
      </c>
      <c r="C33153" s="5" t="str">
        <f>IFERROR(__xludf.DUMMYFUNCTION("GOOGLETRANSLATE(B33153,""en"",""it"")"),"Ci giriamo e vediamo il canyon e il fiume.")</f>
        <v>Ci giriamo e vediamo il canyon e il fiume.</v>
      </c>
    </row>
    <row r="33154">
      <c r="A33154" s="4" t="s">
        <v>41723</v>
      </c>
      <c r="B33154" s="4" t="s">
        <v>41727</v>
      </c>
      <c r="C33154" s="5" t="str">
        <f>IFERROR(__xludf.DUMMYFUNCTION("GOOGLETRANSLATE(B33154,""en"",""it"")"),"Una persona in blu si gira alcune volte.")</f>
        <v>Una persona in blu si gira alcune volte.</v>
      </c>
    </row>
    <row r="33155">
      <c r="A33155" s="4" t="s">
        <v>41723</v>
      </c>
      <c r="B33155" s="4" t="s">
        <v>41728</v>
      </c>
      <c r="C33155" s="5" t="str">
        <f>IFERROR(__xludf.DUMMYFUNCTION("GOOGLETRANSLATE(B33155,""en"",""it"")"),"Vediamo un grande tumulo bianco di neve.")</f>
        <v>Vediamo un grande tumulo bianco di neve.</v>
      </c>
    </row>
    <row r="33156">
      <c r="A33156" s="4" t="s">
        <v>41723</v>
      </c>
      <c r="B33156" s="4" t="s">
        <v>41729</v>
      </c>
      <c r="C33156" s="5" t="str">
        <f>IFERROR(__xludf.DUMMYFUNCTION("GOOGLETRANSLATE(B33156,""en"",""it"")"),"La persona nella camicia blu alza la montagna.")</f>
        <v>La persona nella camicia blu alza la montagna.</v>
      </c>
    </row>
    <row r="33157">
      <c r="A33157" s="4" t="s">
        <v>41723</v>
      </c>
      <c r="B33157" s="4" t="s">
        <v>41730</v>
      </c>
      <c r="C33157" s="5" t="str">
        <f>IFERROR(__xludf.DUMMYFUNCTION("GOOGLETRANSLATE(B33157,""en"",""it"")"),"Vediamo una barra blu nella parte inferiore dello schermo.")</f>
        <v>Vediamo una barra blu nella parte inferiore dello schermo.</v>
      </c>
    </row>
    <row r="33158">
      <c r="A33158" s="4" t="s">
        <v>41723</v>
      </c>
      <c r="B33158" s="4" t="s">
        <v>777</v>
      </c>
      <c r="C33158" s="5" t="str">
        <f>IFERROR(__xludf.DUMMYFUNCTION("GOOGLETRANSLATE(B33158,""en"",""it"")"),"Vediamo la schermata del titolo finale.")</f>
        <v>Vediamo la schermata del titolo finale.</v>
      </c>
    </row>
    <row r="33159">
      <c r="A33159" s="4" t="s">
        <v>41731</v>
      </c>
      <c r="B33159" s="6" t="s">
        <v>41732</v>
      </c>
      <c r="C33159" s="5" t="str">
        <f>IFERROR(__xludf.DUMMYFUNCTION("GOOGLETRANSLATE(B33159,""en"",""it"")"),"Un uomo con i capelli lunghi si vede che gli sfiora il viso con un pennello mentre tiene la mano e parla alla telecamera.")</f>
        <v>Un uomo con i capelli lunghi si vede che gli sfiora il viso con un pennello mentre tiene la mano e parla alla telecamera.</v>
      </c>
    </row>
    <row r="33160">
      <c r="A33160" s="4" t="s">
        <v>41731</v>
      </c>
      <c r="B33160" s="4" t="s">
        <v>41733</v>
      </c>
      <c r="C33160" s="5" t="str">
        <f>IFERROR(__xludf.DUMMYFUNCTION("GOOGLETRANSLATE(B33160,""en"",""it"")"),"Quindi solleva il pennello e afferra la felpa con cappuccio mentre sorride alla telecamera.")</f>
        <v>Quindi solleva il pennello e afferra la felpa con cappuccio mentre sorride alla telecamera.</v>
      </c>
    </row>
    <row r="33161">
      <c r="A33161" s="4" t="s">
        <v>41734</v>
      </c>
      <c r="B33161" s="4" t="s">
        <v>41735</v>
      </c>
      <c r="C33161" s="5" t="str">
        <f>IFERROR(__xludf.DUMMYFUNCTION("GOOGLETRANSLATE(B33161,""en"",""it"")"),"L'introduzione conduce in un uomo che pulisce lo sporco su un pavimento e mostra gli strumenti in seguito.")</f>
        <v>L'introduzione conduce in un uomo che pulisce lo sporco su un pavimento e mostra gli strumenti in seguito.</v>
      </c>
    </row>
    <row r="33162">
      <c r="A33162" s="4" t="s">
        <v>41734</v>
      </c>
      <c r="B33162" s="6" t="s">
        <v>41736</v>
      </c>
      <c r="C33162" s="5" t="str">
        <f>IFERROR(__xludf.DUMMYFUNCTION("GOOGLETRANSLATE(B33162,""en"",""it"")"),"Diversi scatti di mop che spingono lo sporco sono mostrati seguiti dal miglior mop immerso nell'acqua e gocciolato su un tavolo.")</f>
        <v>Diversi scatti di mop che spingono lo sporco sono mostrati seguiti dal miglior mop immerso nell'acqua e gocciolato su un tavolo.</v>
      </c>
    </row>
    <row r="33163">
      <c r="A33163" s="4" t="s">
        <v>41734</v>
      </c>
      <c r="B33163" s="4" t="s">
        <v>41737</v>
      </c>
      <c r="C33163" s="5" t="str">
        <f>IFERROR(__xludf.DUMMYFUNCTION("GOOGLETRANSLATE(B33163,""en"",""it"")"),"Una scopa 3D mostra come funziona con una donna che cicla anche le cose sul suo pavimento.")</f>
        <v>Una scopa 3D mostra come funziona con una donna che cicla anche le cose sul suo pavimento.</v>
      </c>
    </row>
    <row r="33164">
      <c r="A33164" s="4" t="s">
        <v>41734</v>
      </c>
      <c r="B33164" s="6" t="s">
        <v>41738</v>
      </c>
      <c r="C33164" s="5" t="str">
        <f>IFERROR(__xludf.DUMMYFUNCTION("GOOGLETRANSLATE(B33164,""en"",""it"")"),"Vengono mostrati diversi altri scatti di persone che si muovono, così come le persone scrollate le spalle e dove comprare i mop.")</f>
        <v>Vengono mostrati diversi altri scatti di persone che si muovono, così come le persone scrollate le spalle e dove comprare i mop.</v>
      </c>
    </row>
    <row r="33165">
      <c r="A33165" s="4" t="s">
        <v>41739</v>
      </c>
      <c r="B33165" s="4" t="s">
        <v>41740</v>
      </c>
      <c r="C33165" s="5" t="str">
        <f>IFERROR(__xludf.DUMMYFUNCTION("GOOGLETRANSLATE(B33165,""en"",""it"")"),"Viene visto un uomo con una torcia e inizia a usarla mentre tira giù la maschera.")</f>
        <v>Viene visto un uomo con una torcia e inizia a usarla mentre tira giù la maschera.</v>
      </c>
    </row>
    <row r="33166">
      <c r="A33166" s="4" t="s">
        <v>41739</v>
      </c>
      <c r="B33166" s="4" t="s">
        <v>41741</v>
      </c>
      <c r="C33166" s="5" t="str">
        <f>IFERROR(__xludf.DUMMYFUNCTION("GOOGLETRANSLATE(B33166,""en"",""it"")"),"L'uomo sparca continuamente con la macchina su un pezzo di metallo.")</f>
        <v>L'uomo sparca continuamente con la macchina su un pezzo di metallo.</v>
      </c>
    </row>
    <row r="33167">
      <c r="A33167" s="4" t="s">
        <v>41739</v>
      </c>
      <c r="B33167" s="4" t="s">
        <v>41742</v>
      </c>
      <c r="C33167" s="5" t="str">
        <f>IFERROR(__xludf.DUMMYFUNCTION("GOOGLETRANSLATE(B33167,""en"",""it"")"),"Si ferma alla fine mentre toglie la maschera e guarda nella telecamera.")</f>
        <v>Si ferma alla fine mentre toglie la maschera e guarda nella telecamera.</v>
      </c>
    </row>
    <row r="33168">
      <c r="A33168" s="4" t="s">
        <v>41743</v>
      </c>
      <c r="B33168" s="4" t="s">
        <v>41744</v>
      </c>
      <c r="C33168" s="5" t="str">
        <f>IFERROR(__xludf.DUMMYFUNCTION("GOOGLETRANSLATE(B33168,""en"",""it"")"),"Una donna e una ragazza vengono viste parlare alla telecamera mentre tengono insieme un giocattolo.")</f>
        <v>Una donna e una ragazza vengono viste parlare alla telecamera mentre tengono insieme un giocattolo.</v>
      </c>
    </row>
    <row r="33169">
      <c r="A33169" s="4" t="s">
        <v>41743</v>
      </c>
      <c r="B33169" s="6" t="s">
        <v>41745</v>
      </c>
      <c r="C33169" s="5" t="str">
        <f>IFERROR(__xludf.DUMMYFUNCTION("GOOGLETRANSLATE(B33169,""en"",""it"")"),"I due creano un gioco Scotch Hop con il giocattolo e lo stendono a terra e mostrano la schiuma.")</f>
        <v>I due creano un gioco Scotch Hop con il giocattolo e lo stendono a terra e mostrano la schiuma.</v>
      </c>
    </row>
    <row r="33170">
      <c r="A33170" s="4" t="s">
        <v>41743</v>
      </c>
      <c r="B33170" s="4" t="s">
        <v>41746</v>
      </c>
      <c r="C33170" s="5" t="str">
        <f>IFERROR(__xludf.DUMMYFUNCTION("GOOGLETRANSLATE(B33170,""en"",""it"")"),"La donna parla alla telecamera mentre la ragazza salta lungo il gioco.")</f>
        <v>La donna parla alla telecamera mentre la ragazza salta lungo il gioco.</v>
      </c>
    </row>
    <row r="33171">
      <c r="A33171" s="4" t="s">
        <v>41747</v>
      </c>
      <c r="B33171" s="6" t="s">
        <v>41748</v>
      </c>
      <c r="C33171" s="5" t="str">
        <f>IFERROR(__xludf.DUMMYFUNCTION("GOOGLETRANSLATE(B33171,""en"",""it"")"),"Viene vista una donna parlare alla telecamera mentre tiene un violino e continua con lei suonare il violino e fare una pausa.")</f>
        <v>Viene vista una donna parlare alla telecamera mentre tiene un violino e continua con lei suonare il violino e fare una pausa.</v>
      </c>
    </row>
    <row r="33172">
      <c r="A33172" s="4" t="s">
        <v>41747</v>
      </c>
      <c r="B33172" s="6" t="s">
        <v>41749</v>
      </c>
      <c r="C33172" s="5" t="str">
        <f>IFERROR(__xludf.DUMMYFUNCTION("GOOGLETRANSLATE(B33172,""en"",""it"")"),"La donna continua a suonare lo strumento e fermarsi a parlare con la telecamera e dimostrare come suonare.")</f>
        <v>La donna continua a suonare lo strumento e fermarsi a parlare con la telecamera e dimostrare come suonare.</v>
      </c>
    </row>
    <row r="33173">
      <c r="A33173" s="4" t="s">
        <v>41750</v>
      </c>
      <c r="B33173" s="6" t="s">
        <v>41751</v>
      </c>
      <c r="C33173" s="5" t="str">
        <f>IFERROR(__xludf.DUMMYFUNCTION("GOOGLETRANSLATE(B33173,""en"",""it"")"),"Un video viene mostrato da una visione in prima persona di qualcuno che esplora un grande campo aperto sulla strada per una traccia.")</f>
        <v>Un video viene mostrato da una visione in prima persona di qualcuno che esplora un grande campo aperto sulla strada per una traccia.</v>
      </c>
    </row>
    <row r="33174">
      <c r="A33174" s="4" t="s">
        <v>41750</v>
      </c>
      <c r="B33174" s="4" t="s">
        <v>41752</v>
      </c>
      <c r="C33174" s="5" t="str">
        <f>IFERROR(__xludf.DUMMYFUNCTION("GOOGLETRANSLATE(B33174,""en"",""it"")"),"Quindi, la persona mette giù la fotocamera e inizia ad allenarti in pista.")</f>
        <v>Quindi, la persona mette giù la fotocamera e inizia ad allenarti in pista.</v>
      </c>
    </row>
    <row r="33175">
      <c r="A33175" s="4" t="s">
        <v>41750</v>
      </c>
      <c r="B33175" s="4" t="s">
        <v>41753</v>
      </c>
      <c r="C33175" s="5" t="str">
        <f>IFERROR(__xludf.DUMMYFUNCTION("GOOGLETRANSLATE(B33175,""en"",""it"")"),"I ragazzi si tolgono il suo seme da pista e continuano a allenarsi.")</f>
        <v>I ragazzi si tolgono il suo seme da pista e continuano a allenarsi.</v>
      </c>
    </row>
    <row r="33176">
      <c r="A33176" s="4" t="s">
        <v>41750</v>
      </c>
      <c r="B33176" s="4" t="s">
        <v>41754</v>
      </c>
      <c r="C33176" s="5" t="str">
        <f>IFERROR(__xludf.DUMMYFUNCTION("GOOGLETRANSLATE(B33176,""en"",""it"")"),"Si gira in aria e atterra su un mucchio di sabbia.")</f>
        <v>Si gira in aria e atterra su un mucchio di sabbia.</v>
      </c>
    </row>
    <row r="33177">
      <c r="A33177" s="4" t="s">
        <v>41750</v>
      </c>
      <c r="B33177" s="4" t="s">
        <v>41755</v>
      </c>
      <c r="C33177" s="5" t="str">
        <f>IFERROR(__xludf.DUMMYFUNCTION("GOOGLETRANSLATE(B33177,""en"",""it"")"),"Procede a fare delle mosse di pausa danza prima che il video finisca.")</f>
        <v>Procede a fare delle mosse di pausa danza prima che il video finisca.</v>
      </c>
    </row>
    <row r="33178">
      <c r="A33178" s="4" t="s">
        <v>41756</v>
      </c>
      <c r="B33178" s="4" t="s">
        <v>41757</v>
      </c>
      <c r="C33178" s="5" t="str">
        <f>IFERROR(__xludf.DUMMYFUNCTION("GOOGLETRANSLATE(B33178,""en"",""it"")"),"Le squadre giocano a hockey su ghiaccio al centro in modo che tutti coloro che si siedono possono guardarli.")</f>
        <v>Le squadre giocano a hockey su ghiaccio al centro in modo che tutti coloro che si siedono possono guardarli.</v>
      </c>
    </row>
    <row r="33179">
      <c r="A33179" s="4" t="s">
        <v>41756</v>
      </c>
      <c r="B33179" s="4" t="s">
        <v>41758</v>
      </c>
      <c r="C33179" s="5" t="str">
        <f>IFERROR(__xludf.DUMMYFUNCTION("GOOGLETRANSLATE(B33179,""en"",""it"")"),"La squadra blu segna prima un goal e poi le persone iniziano a applaudire e incoraggiare.")</f>
        <v>La squadra blu segna prima un goal e poi le persone iniziano a applaudire e incoraggiare.</v>
      </c>
    </row>
    <row r="33180">
      <c r="A33180" s="4" t="s">
        <v>41756</v>
      </c>
      <c r="B33180" s="4" t="s">
        <v>41759</v>
      </c>
      <c r="C33180" s="5" t="str">
        <f>IFERROR(__xludf.DUMMYFUNCTION("GOOGLETRANSLATE(B33180,""en"",""it"")"),"Successivamente la squadra blu ne segna un altro e la folla si scatena.")</f>
        <v>Successivamente la squadra blu ne segna un altro e la folla si scatena.</v>
      </c>
    </row>
    <row r="33181">
      <c r="A33181" s="4" t="s">
        <v>41760</v>
      </c>
      <c r="B33181" s="4" t="s">
        <v>41761</v>
      </c>
      <c r="C33181" s="5" t="str">
        <f>IFERROR(__xludf.DUMMYFUNCTION("GOOGLETRANSLATE(B33181,""en"",""it"")"),"Una donna viene vista chinarsi davanti alla telecamera e accendere un rubinetto d'acqua.")</f>
        <v>Una donna viene vista chinarsi davanti alla telecamera e accendere un rubinetto d'acqua.</v>
      </c>
    </row>
    <row r="33182">
      <c r="A33182" s="4" t="s">
        <v>41760</v>
      </c>
      <c r="B33182" s="6" t="s">
        <v>41762</v>
      </c>
      <c r="C33182" s="5" t="str">
        <f>IFERROR(__xludf.DUMMYFUNCTION("GOOGLETRANSLATE(B33182,""en"",""it"")"),"La donna continua usa l'acqua e inizia a strofinare una camicia e si avvicina ai secchi.")</f>
        <v>La donna continua usa l'acqua e inizia a strofinare una camicia e si avvicina ai secchi.</v>
      </c>
    </row>
    <row r="33183">
      <c r="A33183" s="4" t="s">
        <v>41760</v>
      </c>
      <c r="B33183" s="4" t="s">
        <v>41763</v>
      </c>
      <c r="C33183" s="5" t="str">
        <f>IFERROR(__xludf.DUMMYFUNCTION("GOOGLETRANSLATE(B33183,""en"",""it"")"),"Vengono mostrati più colpi che puliranno i vestiti e le estremità appendendoli.")</f>
        <v>Vengono mostrati più colpi che puliranno i vestiti e le estremità appendendoli.</v>
      </c>
    </row>
    <row r="33184">
      <c r="A33184" s="4" t="s">
        <v>41764</v>
      </c>
      <c r="B33184" s="4" t="s">
        <v>41765</v>
      </c>
      <c r="C33184" s="5" t="str">
        <f>IFERROR(__xludf.DUMMYFUNCTION("GOOGLETRANSLATE(B33184,""en"",""it"")"),"Un uomo sta guidando un'auto attraverso una finestra.")</f>
        <v>Un uomo sta guidando un'auto attraverso una finestra.</v>
      </c>
    </row>
    <row r="33185">
      <c r="A33185" s="4" t="s">
        <v>41764</v>
      </c>
      <c r="B33185" s="4" t="s">
        <v>41766</v>
      </c>
      <c r="C33185" s="5" t="str">
        <f>IFERROR(__xludf.DUMMYFUNCTION("GOOGLETRANSLATE(B33185,""en"",""it"")"),"Ottiene un passaggio in un'area del parco.")</f>
        <v>Ottiene un passaggio in un'area del parco.</v>
      </c>
    </row>
    <row r="33186">
      <c r="A33186" s="4" t="s">
        <v>41764</v>
      </c>
      <c r="B33186" s="4" t="s">
        <v>41767</v>
      </c>
      <c r="C33186" s="5" t="str">
        <f>IFERROR(__xludf.DUMMYFUNCTION("GOOGLETRANSLATE(B33186,""en"",""it"")"),"Viene mostrato guidare, camminare e cavalcare cavalli mentre esplora la zona.")</f>
        <v>Viene mostrato guidare, camminare e cavalcare cavalli mentre esplora la zona.</v>
      </c>
    </row>
    <row r="33187">
      <c r="A33187" s="4" t="s">
        <v>41768</v>
      </c>
      <c r="B33187" s="4" t="s">
        <v>41769</v>
      </c>
      <c r="C33187" s="5" t="str">
        <f>IFERROR(__xludf.DUMMYFUNCTION("GOOGLETRANSLATE(B33187,""en"",""it"")"),"Una ragazza salta e oscilla sulle barre di equilibrio.")</f>
        <v>Una ragazza salta e oscilla sulle barre di equilibrio.</v>
      </c>
    </row>
    <row r="33188">
      <c r="A33188" s="4" t="s">
        <v>41768</v>
      </c>
      <c r="B33188" s="4" t="s">
        <v>41770</v>
      </c>
      <c r="C33188" s="5" t="str">
        <f>IFERROR(__xludf.DUMMYFUNCTION("GOOGLETRANSLATE(B33188,""en"",""it"")"),"Una donna con una camicia nera è in piedi sotto la sua guardia.")</f>
        <v>Una donna con una camicia nera è in piedi sotto la sua guardia.</v>
      </c>
    </row>
    <row r="33189">
      <c r="A33189" s="4" t="s">
        <v>41768</v>
      </c>
      <c r="B33189" s="4" t="s">
        <v>41771</v>
      </c>
      <c r="C33189" s="5" t="str">
        <f>IFERROR(__xludf.DUMMYFUNCTION("GOOGLETRANSLATE(B33189,""en"",""it"")"),"La aiuta a saltare e atterrare su un tappetino.")</f>
        <v>La aiuta a saltare e atterrare su un tappetino.</v>
      </c>
    </row>
    <row r="33190">
      <c r="A33190" s="4" t="s">
        <v>41772</v>
      </c>
      <c r="B33190" s="4" t="s">
        <v>41773</v>
      </c>
      <c r="C33190" s="5" t="str">
        <f>IFERROR(__xludf.DUMMYFUNCTION("GOOGLETRANSLATE(B33190,""en"",""it"")"),"Una ginnasta mette il potere di gesso di potenza sulle mani e si trova vicino al cavallo da pomolo.")</f>
        <v>Una ginnasta mette il potere di gesso di potenza sulle mani e si trova vicino al cavallo da pomolo.</v>
      </c>
    </row>
    <row r="33191">
      <c r="A33191" s="4" t="s">
        <v>41772</v>
      </c>
      <c r="B33191" s="4" t="s">
        <v>41774</v>
      </c>
      <c r="C33191" s="5" t="str">
        <f>IFERROR(__xludf.DUMMYFUNCTION("GOOGLETRANSLATE(B33191,""en"",""it"")"),"Quindi, la ginnasta si avvicina al cavallo di pomo per girare molte volte.")</f>
        <v>Quindi, la ginnasta si avvicina al cavallo di pomo per girare molte volte.</v>
      </c>
    </row>
    <row r="33192">
      <c r="A33192" s="4" t="s">
        <v>41772</v>
      </c>
      <c r="B33192" s="4" t="s">
        <v>41775</v>
      </c>
      <c r="C33192" s="5" t="str">
        <f>IFERROR(__xludf.DUMMYFUNCTION("GOOGLETRANSLATE(B33192,""en"",""it"")"),"Quindi, la ginnasta si trova sulla sua mano e salta per atterrare sul pavimento, mentre le persone applaudono.")</f>
        <v>Quindi, la ginnasta si trova sulla sua mano e salta per atterrare sul pavimento, mentre le persone applaudono.</v>
      </c>
    </row>
    <row r="33193">
      <c r="A33193" s="4" t="s">
        <v>41776</v>
      </c>
      <c r="B33193" s="4" t="s">
        <v>41777</v>
      </c>
      <c r="C33193" s="5" t="str">
        <f>IFERROR(__xludf.DUMMYFUNCTION("GOOGLETRANSLATE(B33193,""en"",""it"")"),"Un uomo si avvicina al lato di una cabina.")</f>
        <v>Un uomo si avvicina al lato di una cabina.</v>
      </c>
    </row>
    <row r="33194">
      <c r="A33194" s="4" t="s">
        <v>41776</v>
      </c>
      <c r="B33194" s="4" t="s">
        <v>41778</v>
      </c>
      <c r="C33194" s="5" t="str">
        <f>IFERROR(__xludf.DUMMYFUNCTION("GOOGLETRANSLATE(B33194,""en"",""it"")"),"Usa un grosso coltello per tagliare l'erba.")</f>
        <v>Usa un grosso coltello per tagliare l'erba.</v>
      </c>
    </row>
    <row r="33195">
      <c r="A33195" s="4" t="s">
        <v>41776</v>
      </c>
      <c r="B33195" s="4" t="s">
        <v>41779</v>
      </c>
      <c r="C33195" s="5" t="str">
        <f>IFERROR(__xludf.DUMMYFUNCTION("GOOGLETRANSLATE(B33195,""en"",""it"")"),"Oscilla il coltello avanti e indietro, tagliando l'erba e le erbacce.")</f>
        <v>Oscilla il coltello avanti e indietro, tagliando l'erba e le erbacce.</v>
      </c>
    </row>
    <row r="33196">
      <c r="A33196" s="4" t="s">
        <v>41780</v>
      </c>
      <c r="B33196" s="4" t="s">
        <v>41781</v>
      </c>
      <c r="C33196" s="5" t="str">
        <f>IFERROR(__xludf.DUMMYFUNCTION("GOOGLETRANSLATE(B33196,""en"",""it"")"),"Una donna è in piedi su un campo mentre le persone sono radunate dietro di lei.")</f>
        <v>Una donna è in piedi su un campo mentre le persone sono radunate dietro di lei.</v>
      </c>
    </row>
    <row r="33197">
      <c r="A33197" s="4" t="s">
        <v>41780</v>
      </c>
      <c r="B33197" s="4" t="s">
        <v>41782</v>
      </c>
      <c r="C33197" s="5" t="str">
        <f>IFERROR(__xludf.DUMMYFUNCTION("GOOGLETRANSLATE(B33197,""en"",""it"")"),"Diverse persone corrono insieme, inseguindosi a vicenda.")</f>
        <v>Diverse persone corrono insieme, inseguindosi a vicenda.</v>
      </c>
    </row>
    <row r="33198">
      <c r="A33198" s="4" t="s">
        <v>41780</v>
      </c>
      <c r="B33198" s="4" t="s">
        <v>41783</v>
      </c>
      <c r="C33198" s="5" t="str">
        <f>IFERROR(__xludf.DUMMYFUNCTION("GOOGLETRANSLATE(B33198,""en"",""it"")"),"I bambini vengono mostrati da vicino alla fine.")</f>
        <v>I bambini vengono mostrati da vicino alla fine.</v>
      </c>
    </row>
    <row r="33199">
      <c r="A33199" s="4" t="s">
        <v>41784</v>
      </c>
      <c r="B33199" s="4" t="s">
        <v>41785</v>
      </c>
      <c r="C33199" s="5" t="str">
        <f>IFERROR(__xludf.DUMMYFUNCTION("GOOGLETRANSLATE(B33199,""en"",""it"")"),"Un ragazzo con una camicia verde si avvicina a uno sgabello per raggiungere il lavandino.")</f>
        <v>Un ragazzo con una camicia verde si avvicina a uno sgabello per raggiungere il lavandino.</v>
      </c>
    </row>
    <row r="33200">
      <c r="A33200" s="4" t="s">
        <v>41784</v>
      </c>
      <c r="B33200" s="4" t="s">
        <v>41786</v>
      </c>
      <c r="C33200" s="5" t="str">
        <f>IFERROR(__xludf.DUMMYFUNCTION("GOOGLETRANSLATE(B33200,""en"",""it"")"),"Una donna sta accanto a lui.")</f>
        <v>Una donna sta accanto a lui.</v>
      </c>
    </row>
    <row r="33201">
      <c r="A33201" s="4" t="s">
        <v>41784</v>
      </c>
      <c r="B33201" s="4" t="s">
        <v>41787</v>
      </c>
      <c r="C33201" s="5" t="str">
        <f>IFERROR(__xludf.DUMMYFUNCTION("GOOGLETRANSLATE(B33201,""en"",""it"")"),"Il ragazzino si lava le mani nel lavandino.")</f>
        <v>Il ragazzino si lava le mani nel lavandino.</v>
      </c>
    </row>
    <row r="33202">
      <c r="A33202" s="4" t="s">
        <v>41784</v>
      </c>
      <c r="B33202" s="4" t="s">
        <v>41788</v>
      </c>
      <c r="C33202" s="5" t="str">
        <f>IFERROR(__xludf.DUMMYFUNCTION("GOOGLETRANSLATE(B33202,""en"",""it"")"),"Si asciuga il lavandino con un tovagliolo di carta.")</f>
        <v>Si asciuga il lavandino con un tovagliolo di carta.</v>
      </c>
    </row>
    <row r="33203">
      <c r="A33203" s="4" t="s">
        <v>41784</v>
      </c>
      <c r="B33203" s="4" t="s">
        <v>41789</v>
      </c>
      <c r="C33203" s="5" t="str">
        <f>IFERROR(__xludf.DUMMYFUNCTION("GOOGLETRANSLATE(B33203,""en"",""it"")"),"Il ragazzo si asciuga le mani con un asciugamano.")</f>
        <v>Il ragazzo si asciuga le mani con un asciugamano.</v>
      </c>
    </row>
    <row r="33204">
      <c r="A33204" s="4" t="s">
        <v>41790</v>
      </c>
      <c r="B33204" s="4" t="s">
        <v>41791</v>
      </c>
      <c r="C33204" s="5" t="str">
        <f>IFERROR(__xludf.DUMMYFUNCTION("GOOGLETRANSLATE(B33204,""en"",""it"")"),"Viene vista una donna parlare alla telecamera in una concessionaria e conduce in diversi primi piani di un'auto.")</f>
        <v>Viene vista una donna parlare alla telecamera in una concessionaria e conduce in diversi primi piani di un'auto.</v>
      </c>
    </row>
    <row r="33205">
      <c r="A33205" s="4" t="s">
        <v>41790</v>
      </c>
      <c r="B33205" s="4" t="s">
        <v>41792</v>
      </c>
      <c r="C33205" s="5" t="str">
        <f>IFERROR(__xludf.DUMMYFUNCTION("GOOGLETRANSLATE(B33205,""en"",""it"")"),"La donna presenta quindi vari strumenti e inizia a togliersi la gomma dalla macchina.")</f>
        <v>La donna presenta quindi vari strumenti e inizia a togliersi la gomma dalla macchina.</v>
      </c>
    </row>
    <row r="33206">
      <c r="A33206" s="4" t="s">
        <v>41790</v>
      </c>
      <c r="B33206" s="6" t="s">
        <v>41793</v>
      </c>
      <c r="C33206" s="5" t="str">
        <f>IFERROR(__xludf.DUMMYFUNCTION("GOOGLETRANSLATE(B33206,""en"",""it"")"),"Tira fuori un nuovo pneumatico e lo posiziona sulla macchina, avvitandolo in posizione e mostrando dove si trova il pneumatico nel bagagliaio.")</f>
        <v>Tira fuori un nuovo pneumatico e lo posiziona sulla macchina, avvitandolo in posizione e mostrando dove si trova il pneumatico nel bagagliaio.</v>
      </c>
    </row>
    <row r="33207">
      <c r="A33207" s="4" t="s">
        <v>41790</v>
      </c>
      <c r="B33207" s="4" t="s">
        <v>41794</v>
      </c>
      <c r="C33207" s="5" t="str">
        <f>IFERROR(__xludf.DUMMYFUNCTION("GOOGLETRANSLATE(B33207,""en"",""it"")"),"Chiude il bagagliaio e mostra la macchina mentre parla ancora alla telecamera.")</f>
        <v>Chiude il bagagliaio e mostra la macchina mentre parla ancora alla telecamera.</v>
      </c>
    </row>
    <row r="33208">
      <c r="A33208" s="4" t="s">
        <v>41795</v>
      </c>
      <c r="B33208" s="6" t="s">
        <v>41796</v>
      </c>
      <c r="C33208" s="5" t="str">
        <f>IFERROR(__xludf.DUMMYFUNCTION("GOOGLETRANSLATE(B33208,""en"",""it"")"),"Un folto gruppo di persone è visto seduto su una spiaggia che conduce in diverse persone sedute su barche a vela e cavalcano.")</f>
        <v>Un folto gruppo di persone è visto seduto su una spiaggia che conduce in diverse persone sedute su barche a vela e cavalcano.</v>
      </c>
    </row>
    <row r="33209">
      <c r="A33209" s="4" t="s">
        <v>41795</v>
      </c>
      <c r="B33209" s="6" t="s">
        <v>41797</v>
      </c>
      <c r="C33209" s="5" t="str">
        <f>IFERROR(__xludf.DUMMYFUNCTION("GOOGLETRANSLATE(B33209,""en"",""it"")"),"Le varie barche continuano a guidare lungo l'acqua con il vincitore che salta in acqua e in piedi con orgoglio sul podio.")</f>
        <v>Le varie barche continuano a guidare lungo l'acqua con il vincitore che salta in acqua e in piedi con orgoglio sul podio.</v>
      </c>
    </row>
    <row r="33210">
      <c r="A33210" s="4" t="s">
        <v>41798</v>
      </c>
      <c r="B33210" s="4" t="s">
        <v>41799</v>
      </c>
      <c r="C33210" s="5" t="str">
        <f>IFERROR(__xludf.DUMMYFUNCTION("GOOGLETRANSLATE(B33210,""en"",""it"")"),"La donna sta parlando nelle notizie parlando di un giocatore di baseball di Los Angeles.")</f>
        <v>La donna sta parlando nelle notizie parlando di un giocatore di baseball di Los Angeles.</v>
      </c>
    </row>
    <row r="33211">
      <c r="A33211" s="4" t="s">
        <v>41798</v>
      </c>
      <c r="B33211" s="6" t="s">
        <v>41800</v>
      </c>
      <c r="C33211" s="5" t="str">
        <f>IFERROR(__xludf.DUMMYFUNCTION("GOOGLETRANSLATE(B33211,""en"",""it"")"),"Io sono in un campo di strada che gioca a Dodgeball indossando l'uniforme Dodgers, la gente sta guardando il gioco e le macchine passano in strada.")</f>
        <v>Io sono in un campo di strada che gioca a Dodgeball indossando l'uniforme Dodgers, la gente sta guardando il gioco e le macchine passano in strada.</v>
      </c>
    </row>
    <row r="33212">
      <c r="A33212" s="4" t="s">
        <v>41798</v>
      </c>
      <c r="B33212" s="6" t="s">
        <v>41801</v>
      </c>
      <c r="C33212" s="5" t="str">
        <f>IFERROR(__xludf.DUMMYFUNCTION("GOOGLETRANSLATE(B33212,""en"",""it"")"),"Gli uomini che indossano l'uniforme Dodgers sono mostrati nelle foto in un campo da baseball sulle terrazze e la donna sulle notizie che ne parla.")</f>
        <v>Gli uomini che indossano l'uniforme Dodgers sono mostrati nelle foto in un campo da baseball sulle terrazze e la donna sulle notizie che ne parla.</v>
      </c>
    </row>
    <row r="33213">
      <c r="A33213" s="4" t="s">
        <v>41802</v>
      </c>
      <c r="B33213" s="4" t="s">
        <v>41803</v>
      </c>
      <c r="C33213" s="5" t="str">
        <f>IFERROR(__xludf.DUMMYFUNCTION("GOOGLETRANSLATE(B33213,""en"",""it"")"),"Un bambino suona un violino sul palco durante una performance da solista.")</f>
        <v>Un bambino suona un violino sul palco durante una performance da solista.</v>
      </c>
    </row>
    <row r="33214">
      <c r="A33214" s="4" t="s">
        <v>41802</v>
      </c>
      <c r="B33214" s="4" t="s">
        <v>41804</v>
      </c>
      <c r="C33214" s="5" t="str">
        <f>IFERROR(__xludf.DUMMYFUNCTION("GOOGLETRANSLATE(B33214,""en"",""it"")"),"Un uomo guarda con interesse dal lato del palco.")</f>
        <v>Un uomo guarda con interesse dal lato del palco.</v>
      </c>
    </row>
    <row r="33215">
      <c r="A33215" s="4" t="s">
        <v>41802</v>
      </c>
      <c r="B33215" s="4" t="s">
        <v>41805</v>
      </c>
      <c r="C33215" s="5" t="str">
        <f>IFERROR(__xludf.DUMMYFUNCTION("GOOGLETRANSLATE(B33215,""en"",""it"")"),"La ragazza fa una pausa brevemente, poi inizia a giocare di nuovo.")</f>
        <v>La ragazza fa una pausa brevemente, poi inizia a giocare di nuovo.</v>
      </c>
    </row>
    <row r="33216">
      <c r="A33216" s="4" t="s">
        <v>41802</v>
      </c>
      <c r="B33216" s="4" t="s">
        <v>41806</v>
      </c>
      <c r="C33216" s="5" t="str">
        <f>IFERROR(__xludf.DUMMYFUNCTION("GOOGLETRANSLATE(B33216,""en"",""it"")"),"La ragazza abbassa il violino e la bacchetta alla fine della performance.")</f>
        <v>La ragazza abbassa il violino e la bacchetta alla fine della performance.</v>
      </c>
    </row>
    <row r="33217">
      <c r="A33217" s="4" t="s">
        <v>41807</v>
      </c>
      <c r="B33217" s="4" t="s">
        <v>41808</v>
      </c>
      <c r="C33217" s="5" t="str">
        <f>IFERROR(__xludf.DUMMYFUNCTION("GOOGLETRANSLATE(B33217,""en"",""it"")"),"Una fotocamera si panoramica intorno a un recinto è e conduce in una donna che tiene un pennello.")</f>
        <v>Una fotocamera si panoramica intorno a un recinto è e conduce in una donna che tiene un pennello.</v>
      </c>
    </row>
    <row r="33218">
      <c r="A33218" s="4" t="s">
        <v>41807</v>
      </c>
      <c r="B33218" s="6" t="s">
        <v>41809</v>
      </c>
      <c r="C33218" s="5" t="str">
        <f>IFERROR(__xludf.DUMMYFUNCTION("GOOGLETRANSLATE(B33218,""en"",""it"")"),"Spazzola il lato del recinto su e giù mentre la telecamera continua a guardarsi intorno.")</f>
        <v>Spazzola il lato del recinto su e giù mentre la telecamera continua a guardarsi intorno.</v>
      </c>
    </row>
    <row r="33219">
      <c r="A33219" s="4" t="s">
        <v>41810</v>
      </c>
      <c r="B33219" s="6" t="s">
        <v>41811</v>
      </c>
      <c r="C33219" s="5" t="str">
        <f>IFERROR(__xludf.DUMMYFUNCTION("GOOGLETRANSLATE(B33219,""en"",""it"")"),"Un'introduzione conduce a un uomo che parla e sorride in una macchina fotografica e diversi colpi di persone che preparano una barca e cavalcano lungo l'acqua.")</f>
        <v>Un'introduzione conduce a un uomo che parla e sorride in una macchina fotografica e diversi colpi di persone che preparano una barca e cavalcano lungo l'acqua.</v>
      </c>
    </row>
    <row r="33220">
      <c r="A33220" s="4" t="s">
        <v>41810</v>
      </c>
      <c r="B33220" s="6" t="s">
        <v>41812</v>
      </c>
      <c r="C33220" s="5" t="str">
        <f>IFERROR(__xludf.DUMMYFUNCTION("GOOGLETRANSLATE(B33220,""en"",""it"")"),"Un'altra donna viene vista parlare con la telecamera seguita da molti altri colpi della barca lungo l'acqua e le persone che cavalcano e guidano la barca.")</f>
        <v>Un'altra donna viene vista parlare con la telecamera seguita da molti altri colpi della barca lungo l'acqua e le persone che cavalcano e guidano la barca.</v>
      </c>
    </row>
    <row r="33221">
      <c r="A33221" s="4" t="s">
        <v>41813</v>
      </c>
      <c r="B33221" s="6" t="s">
        <v>41814</v>
      </c>
      <c r="C33221" s="5" t="str">
        <f>IFERROR(__xludf.DUMMYFUNCTION("GOOGLETRANSLATE(B33221,""en"",""it"")"),"Tre uomini vengono visti camminare al rallentatore mentre un'altra ragazza entra nella cornice e il gruppo afferra i tubi da una pila.")</f>
        <v>Tre uomini vengono visti camminare al rallentatore mentre un'altra ragazza entra nella cornice e il gruppo afferra i tubi da una pila.</v>
      </c>
    </row>
    <row r="33222">
      <c r="A33222" s="4" t="s">
        <v>41813</v>
      </c>
      <c r="B33222" s="4" t="s">
        <v>41815</v>
      </c>
      <c r="C33222" s="5" t="str">
        <f>IFERROR(__xludf.DUMMYFUNCTION("GOOGLETRANSLATE(B33222,""en"",""it"")"),"Le persone parlano alla telecamera e vengono quindi viste seduti nei tubi e galleggiano lungo un fiume.")</f>
        <v>Le persone parlano alla telecamera e vengono quindi viste seduti nei tubi e galleggiano lungo un fiume.</v>
      </c>
    </row>
    <row r="33223">
      <c r="A33223" s="4" t="s">
        <v>41813</v>
      </c>
      <c r="B33223" s="6" t="s">
        <v>41816</v>
      </c>
      <c r="C33223" s="5" t="str">
        <f>IFERROR(__xludf.DUMMYFUNCTION("GOOGLETRANSLATE(B33223,""en"",""it"")"),"Le persone cavalcano continuamente lungo il fiume mentre tornano indietro e quarto e poi vengono viste seduti su un autobus e parlano tra loro.")</f>
        <v>Le persone cavalcano continuamente lungo il fiume mentre tornano indietro e quarto e poi vengono viste seduti su un autobus e parlano tra loro.</v>
      </c>
    </row>
    <row r="33224">
      <c r="A33224" s="4" t="s">
        <v>41817</v>
      </c>
      <c r="B33224" s="6" t="s">
        <v>41818</v>
      </c>
      <c r="C33224" s="5" t="str">
        <f>IFERROR(__xludf.DUMMYFUNCTION("GOOGLETRANSLATE(B33224,""en"",""it"")"),"Un folto gruppo di persone viene visto vestito con gli attrezzi per le vacanze e si vedono gettare oggetti l'un l'altro.")</f>
        <v>Un folto gruppo di persone viene visto vestito con gli attrezzi per le vacanze e si vedono gettare oggetti l'un l'altro.</v>
      </c>
    </row>
    <row r="33225">
      <c r="A33225" s="4" t="s">
        <v>41817</v>
      </c>
      <c r="B33225" s="4" t="s">
        <v>41819</v>
      </c>
      <c r="C33225" s="5" t="str">
        <f>IFERROR(__xludf.DUMMYFUNCTION("GOOGLETRANSLATE(B33225,""en"",""it"")"),"Le persone continuano a giocare a Dodgeball l'una contro l'altra e finiscono ballando nel mezzo.")</f>
        <v>Le persone continuano a giocare a Dodgeball l'una contro l'altra e finiscono ballando nel mezzo.</v>
      </c>
    </row>
    <row r="33226">
      <c r="A33226" s="4" t="s">
        <v>41820</v>
      </c>
      <c r="B33226" s="4" t="s">
        <v>41821</v>
      </c>
      <c r="C33226" s="5" t="str">
        <f>IFERROR(__xludf.DUMMYFUNCTION("GOOGLETRANSLATE(B33226,""en"",""it"")"),"Un uomo con una camicia verde tiene alcuni documenti e parla fuori.")</f>
        <v>Un uomo con una camicia verde tiene alcuni documenti e parla fuori.</v>
      </c>
    </row>
    <row r="33227">
      <c r="A33227" s="4" t="s">
        <v>41820</v>
      </c>
      <c r="B33227" s="4" t="s">
        <v>41822</v>
      </c>
      <c r="C33227" s="5" t="str">
        <f>IFERROR(__xludf.DUMMYFUNCTION("GOOGLETRANSLATE(B33227,""en"",""it"")"),"Comincia a muovere uno sporco accanto a un albero con la mano.")</f>
        <v>Comincia a muovere uno sporco accanto a un albero con la mano.</v>
      </c>
    </row>
    <row r="33228">
      <c r="A33228" s="4" t="s">
        <v>41820</v>
      </c>
      <c r="B33228" s="4" t="s">
        <v>41823</v>
      </c>
      <c r="C33228" s="5" t="str">
        <f>IFERROR(__xludf.DUMMYFUNCTION("GOOGLETRANSLATE(B33228,""en"",""it"")"),"Si allontana dall'albero e continua a parlare.")</f>
        <v>Si allontana dall'albero e continua a parlare.</v>
      </c>
    </row>
    <row r="33229">
      <c r="A33229" s="4" t="s">
        <v>41824</v>
      </c>
      <c r="B33229" s="4" t="s">
        <v>41825</v>
      </c>
      <c r="C33229" s="5" t="str">
        <f>IFERROR(__xludf.DUMMYFUNCTION("GOOGLETRANSLATE(B33229,""en"",""it"")"),"Diverse donne si inginocchiano per terra e lavorano alla preparazione di una zuppa.")</f>
        <v>Diverse donne si inginocchiano per terra e lavorano alla preparazione di una zuppa.</v>
      </c>
    </row>
    <row r="33230">
      <c r="A33230" s="4" t="s">
        <v>41824</v>
      </c>
      <c r="B33230" s="4" t="s">
        <v>41826</v>
      </c>
      <c r="C33230" s="5" t="str">
        <f>IFERROR(__xludf.DUMMYFUNCTION("GOOGLETRANSLATE(B33230,""en"",""it"")"),"Una delle donne prende un po 'di cibo dalla grattugia.")</f>
        <v>Una delle donne prende un po 'di cibo dalla grattugia.</v>
      </c>
    </row>
    <row r="33231">
      <c r="A33231" s="4" t="s">
        <v>41824</v>
      </c>
      <c r="B33231" s="4" t="s">
        <v>41827</v>
      </c>
      <c r="C33231" s="5" t="str">
        <f>IFERROR(__xludf.DUMMYFUNCTION("GOOGLETRANSLATE(B33231,""en"",""it"")"),"Una donna taglia un po 'della verdura bianca in una ciotola gialla.")</f>
        <v>Una donna taglia un po 'della verdura bianca in una ciotola gialla.</v>
      </c>
    </row>
    <row r="33232">
      <c r="A33232" s="4" t="s">
        <v>41828</v>
      </c>
      <c r="B33232" s="4" t="s">
        <v>41829</v>
      </c>
      <c r="C33232" s="5" t="str">
        <f>IFERROR(__xludf.DUMMYFUNCTION("GOOGLETRANSLATE(B33232,""en"",""it"")"),"Un bambino porta un pergolato sulla schiena e soffia foglie morte di un cortile.")</f>
        <v>Un bambino porta un pergolato sulla schiena e soffia foglie morte di un cortile.</v>
      </c>
    </row>
    <row r="33233">
      <c r="A33233" s="4" t="s">
        <v>41828</v>
      </c>
      <c r="B33233" s="4" t="s">
        <v>41830</v>
      </c>
      <c r="C33233" s="5" t="str">
        <f>IFERROR(__xludf.DUMMYFUNCTION("GOOGLETRANSLATE(B33233,""en"",""it"")"),"Quindi, il ragazzino va in un altro posto per soffiare le foglie.")</f>
        <v>Quindi, il ragazzino va in un altro posto per soffiare le foglie.</v>
      </c>
    </row>
    <row r="33234">
      <c r="A33234" s="4" t="s">
        <v>41828</v>
      </c>
      <c r="B33234" s="4" t="s">
        <v>41831</v>
      </c>
      <c r="C33234" s="5" t="str">
        <f>IFERROR(__xludf.DUMMYFUNCTION("GOOGLETRANSLATE(B33234,""en"",""it"")"),"Dopo, il ragazzino soffia di foglie vicino a un albero.")</f>
        <v>Dopo, il ragazzino soffia di foglie vicino a un albero.</v>
      </c>
    </row>
    <row r="33235">
      <c r="A33235" s="4" t="s">
        <v>41832</v>
      </c>
      <c r="B33235" s="4" t="s">
        <v>41833</v>
      </c>
      <c r="C33235" s="5" t="str">
        <f>IFERROR(__xludf.DUMMYFUNCTION("GOOGLETRANSLATE(B33235,""en"",""it"")"),"Un equipaggiamento di esercizio viene messo insieme attraverso la tecnologia e quindi mostrata in tempo reale.")</f>
        <v>Un equipaggiamento di esercizio viene messo insieme attraverso la tecnologia e quindi mostrata in tempo reale.</v>
      </c>
    </row>
    <row r="33236">
      <c r="A33236" s="4" t="s">
        <v>41832</v>
      </c>
      <c r="B33236" s="4" t="s">
        <v>41834</v>
      </c>
      <c r="C33236" s="5" t="str">
        <f>IFERROR(__xludf.DUMMYFUNCTION("GOOGLETRANSLATE(B33236,""en"",""it"")"),"La mano di una persona gira una manopola sulla macchina e inizia a funzionare sulla macchina.")</f>
        <v>La mano di una persona gira una manopola sulla macchina e inizia a funzionare sulla macchina.</v>
      </c>
    </row>
    <row r="33237">
      <c r="A33237" s="4" t="s">
        <v>41832</v>
      </c>
      <c r="B33237" s="4" t="s">
        <v>41835</v>
      </c>
      <c r="C33237" s="5" t="str">
        <f>IFERROR(__xludf.DUMMYFUNCTION("GOOGLETRANSLATE(B33237,""en"",""it"")"),"Vengono mostrati primi piani dei suoi piedi, così come molti altri angoli della sua corsa.")</f>
        <v>Vengono mostrati primi piani dei suoi piedi, così come molti altri angoli della sua corsa.</v>
      </c>
    </row>
    <row r="33238">
      <c r="A33238" s="4" t="s">
        <v>41836</v>
      </c>
      <c r="B33238" s="4" t="s">
        <v>41837</v>
      </c>
      <c r="C33238" s="5" t="str">
        <f>IFERROR(__xludf.DUMMYFUNCTION("GOOGLETRANSLATE(B33238,""en"",""it"")"),"Una donna con i capelli molto lunghi è in piedi su un balcone che mostra la lunghezza dei capelli.")</f>
        <v>Una donna con i capelli molto lunghi è in piedi su un balcone che mostra la lunghezza dei capelli.</v>
      </c>
    </row>
    <row r="33239">
      <c r="A33239" s="4" t="s">
        <v>41836</v>
      </c>
      <c r="B33239" s="4" t="s">
        <v>41838</v>
      </c>
      <c r="C33239" s="5" t="str">
        <f>IFERROR(__xludf.DUMMYFUNCTION("GOOGLETRANSLATE(B33239,""en"",""it"")"),"Si gira e si affaccia sulla telecamera che continua a lavarsi i capelli e mostrare la sua lunghezza.")</f>
        <v>Si gira e si affaccia sulla telecamera che continua a lavarsi i capelli e mostrare la sua lunghezza.</v>
      </c>
    </row>
    <row r="33240">
      <c r="A33240" s="4" t="s">
        <v>41836</v>
      </c>
      <c r="B33240" s="6" t="s">
        <v>41839</v>
      </c>
      <c r="C33240" s="5" t="str">
        <f>IFERROR(__xludf.DUMMYFUNCTION("GOOGLETRANSLATE(B33240,""en"",""it"")"),"Comincia a roteare e oscillare i capelli con la schiena alla telecamera ed è quando il video finisce.")</f>
        <v>Comincia a roteare e oscillare i capelli con la schiena alla telecamera ed è quando il video finisce.</v>
      </c>
    </row>
    <row r="33241">
      <c r="A33241" s="4" t="s">
        <v>41840</v>
      </c>
      <c r="B33241" s="4" t="s">
        <v>41841</v>
      </c>
      <c r="C33241" s="5" t="str">
        <f>IFERROR(__xludf.DUMMYFUNCTION("GOOGLETRANSLATE(B33241,""en"",""it"")"),"Una persona viene vista svitare una bottiglia di bocca e versarla in una tazza.")</f>
        <v>Una persona viene vista svitare una bottiglia di bocca e versarla in una tazza.</v>
      </c>
    </row>
    <row r="33242">
      <c r="A33242" s="4" t="s">
        <v>41840</v>
      </c>
      <c r="B33242" s="4" t="s">
        <v>41842</v>
      </c>
      <c r="C33242" s="5" t="str">
        <f>IFERROR(__xludf.DUMMYFUNCTION("GOOGLETRANSLATE(B33242,""en"",""it"")"),"La ragazza quindi beve da esso e se la fa scorrere intorno alla bocca.")</f>
        <v>La ragazza quindi beve da esso e se la fa scorrere intorno alla bocca.</v>
      </c>
    </row>
    <row r="33243">
      <c r="A33243" s="4" t="s">
        <v>41840</v>
      </c>
      <c r="B33243" s="4" t="s">
        <v>41843</v>
      </c>
      <c r="C33243" s="5" t="str">
        <f>IFERROR(__xludf.DUMMYFUNCTION("GOOGLETRANSLATE(B33243,""en"",""it"")"),"Sputa la miscela e mostra le immagini alla fine.")</f>
        <v>Sputa la miscela e mostra le immagini alla fine.</v>
      </c>
    </row>
    <row r="33244">
      <c r="A33244" s="4" t="s">
        <v>41844</v>
      </c>
      <c r="B33244" s="4" t="s">
        <v>41845</v>
      </c>
      <c r="C33244" s="5" t="str">
        <f>IFERROR(__xludf.DUMMYFUNCTION("GOOGLETRANSLATE(B33244,""en"",""it"")"),"Una raccolta di tiro put viene messo insieme, vedi molti uomini diversi che si preparano.")</f>
        <v>Una raccolta di tiro put viene messo insieme, vedi molti uomini diversi che si preparano.</v>
      </c>
    </row>
    <row r="33245">
      <c r="A33245" s="4" t="s">
        <v>41844</v>
      </c>
      <c r="B33245" s="6" t="s">
        <v>41846</v>
      </c>
      <c r="C33245" s="5" t="str">
        <f>IFERROR(__xludf.DUMMYFUNCTION("GOOGLETRANSLATE(B33245,""en"",""it"")"),"Girano i loro corpi molto rapidamente costruendo più velocità possibile prima di scattare.")</f>
        <v>Girano i loro corpi molto rapidamente costruendo più velocità possibile prima di scattare.</v>
      </c>
    </row>
    <row r="33246">
      <c r="A33246" s="4" t="s">
        <v>41844</v>
      </c>
      <c r="B33246" s="6" t="s">
        <v>41847</v>
      </c>
      <c r="C33246" s="5" t="str">
        <f>IFERROR(__xludf.DUMMYFUNCTION("GOOGLETRANSLATE(B33246,""en"",""it"")"),"Si esercitano e lo fanno professionalmente, è uno sport serio di cui le persone si divertono davvero a far parte.")</f>
        <v>Si esercitano e lo fanno professionalmente, è uno sport serio di cui le persone si divertono davvero a far parte.</v>
      </c>
    </row>
    <row r="33247">
      <c r="A33247" s="4" t="s">
        <v>41844</v>
      </c>
      <c r="B33247" s="4" t="s">
        <v>41848</v>
      </c>
      <c r="C33247" s="5" t="str">
        <f>IFERROR(__xludf.DUMMYFUNCTION("GOOGLETRANSLATE(B33247,""en"",""it"")"),"Tendono a eccitarsi molto quando fanno bene ai loro tiri.")</f>
        <v>Tendono a eccitarsi molto quando fanno bene ai loro tiri.</v>
      </c>
    </row>
    <row r="33248">
      <c r="A33248" s="4" t="s">
        <v>41849</v>
      </c>
      <c r="B33248" s="4" t="s">
        <v>41850</v>
      </c>
      <c r="C33248" s="5" t="str">
        <f>IFERROR(__xludf.DUMMYFUNCTION("GOOGLETRANSLATE(B33248,""en"",""it"")"),"Una donna in un cappotto viola sta parlando.")</f>
        <v>Una donna in un cappotto viola sta parlando.</v>
      </c>
    </row>
    <row r="33249">
      <c r="A33249" s="4" t="s">
        <v>41849</v>
      </c>
      <c r="B33249" s="4" t="s">
        <v>41851</v>
      </c>
      <c r="C33249" s="5" t="str">
        <f>IFERROR(__xludf.DUMMYFUNCTION("GOOGLETRANSLATE(B33249,""en"",""it"")"),"Comincia a spazzolare un cavallo con il pennello.")</f>
        <v>Comincia a spazzolare un cavallo con il pennello.</v>
      </c>
    </row>
    <row r="33250">
      <c r="A33250" s="4" t="s">
        <v>41849</v>
      </c>
      <c r="B33250" s="4" t="s">
        <v>41852</v>
      </c>
      <c r="C33250" s="5" t="str">
        <f>IFERROR(__xludf.DUMMYFUNCTION("GOOGLETRANSLATE(B33250,""en"",""it"")"),"Pulisce il fondo del piede del cavallo.")</f>
        <v>Pulisce il fondo del piede del cavallo.</v>
      </c>
    </row>
    <row r="33251">
      <c r="A33251" s="4" t="s">
        <v>41849</v>
      </c>
      <c r="B33251" s="4" t="s">
        <v>41853</v>
      </c>
      <c r="C33251" s="5" t="str">
        <f>IFERROR(__xludf.DUMMYFUNCTION("GOOGLETRANSLATE(B33251,""en"",""it"")"),"Spruzza la coda del cavallo e inizia a spazzolarla.")</f>
        <v>Spruzza la coda del cavallo e inizia a spazzolarla.</v>
      </c>
    </row>
    <row r="33252">
      <c r="A33252" s="4" t="s">
        <v>41849</v>
      </c>
      <c r="B33252" s="4" t="s">
        <v>41854</v>
      </c>
      <c r="C33252" s="5" t="str">
        <f>IFERROR(__xludf.DUMMYFUNCTION("GOOGLETRANSLATE(B33252,""en"",""it"")"),"Finisce e continua a parlare con la telecamera.")</f>
        <v>Finisce e continua a parlare con la telecamera.</v>
      </c>
    </row>
    <row r="33253">
      <c r="A33253" s="4" t="s">
        <v>41855</v>
      </c>
      <c r="B33253" s="4" t="s">
        <v>41856</v>
      </c>
      <c r="C33253" s="5" t="str">
        <f>IFERROR(__xludf.DUMMYFUNCTION("GOOGLETRANSLATE(B33253,""en"",""it"")"),"Un giocatore di pallavolo lancia la palla in aria.")</f>
        <v>Un giocatore di pallavolo lancia la palla in aria.</v>
      </c>
    </row>
    <row r="33254">
      <c r="A33254" s="4" t="s">
        <v>41855</v>
      </c>
      <c r="B33254" s="4" t="s">
        <v>41857</v>
      </c>
      <c r="C33254" s="5" t="str">
        <f>IFERROR(__xludf.DUMMYFUNCTION("GOOGLETRANSLATE(B33254,""en"",""it"")"),"Il suo compagno di squadra lo prende e lo lancia in rete.")</f>
        <v>Il suo compagno di squadra lo prende e lo lancia in rete.</v>
      </c>
    </row>
    <row r="33255">
      <c r="A33255" s="4" t="s">
        <v>41855</v>
      </c>
      <c r="B33255" s="4" t="s">
        <v>41858</v>
      </c>
      <c r="C33255" s="5" t="str">
        <f>IFERROR(__xludf.DUMMYFUNCTION("GOOGLETRANSLATE(B33255,""en"",""it"")"),"Il giocatore di pallavolo serve la palla.")</f>
        <v>Il giocatore di pallavolo serve la palla.</v>
      </c>
    </row>
    <row r="33256">
      <c r="A33256" s="4" t="s">
        <v>41855</v>
      </c>
      <c r="B33256" s="4" t="s">
        <v>41859</v>
      </c>
      <c r="C33256" s="5" t="str">
        <f>IFERROR(__xludf.DUMMYFUNCTION("GOOGLETRANSLATE(B33256,""en"",""it"")"),"Un giocatore avversario si tuffa per morire la palla.")</f>
        <v>Un giocatore avversario si tuffa per morire la palla.</v>
      </c>
    </row>
    <row r="33257">
      <c r="A33257" s="4" t="s">
        <v>41855</v>
      </c>
      <c r="B33257" s="4" t="s">
        <v>41860</v>
      </c>
      <c r="C33257" s="5" t="str">
        <f>IFERROR(__xludf.DUMMYFUNCTION("GOOGLETRANSLATE(B33257,""en"",""it"")"),"Il suo compagno di squadra lancia la palla in rete.")</f>
        <v>Il suo compagno di squadra lancia la palla in rete.</v>
      </c>
    </row>
    <row r="33258">
      <c r="A33258" s="4" t="s">
        <v>41855</v>
      </c>
      <c r="B33258" s="4" t="s">
        <v>41861</v>
      </c>
      <c r="C33258" s="5" t="str">
        <f>IFERROR(__xludf.DUMMYFUNCTION("GOOGLETRANSLATE(B33258,""en"",""it"")"),"Il giocatore di pallavolo che si è tuffato in precedenza ha spruzzato la palla sulla rete.")</f>
        <v>Il giocatore di pallavolo che si è tuffato in precedenza ha spruzzato la palla sulla rete.</v>
      </c>
    </row>
    <row r="33259">
      <c r="A33259" s="4" t="s">
        <v>41855</v>
      </c>
      <c r="B33259" s="4" t="s">
        <v>41862</v>
      </c>
      <c r="C33259" s="5" t="str">
        <f>IFERROR(__xludf.DUMMYFUNCTION("GOOGLETRANSLATE(B33259,""en"",""it"")"),"Un giocatore avversario colpisce la palla.")</f>
        <v>Un giocatore avversario colpisce la palla.</v>
      </c>
    </row>
    <row r="33260">
      <c r="A33260" s="4" t="s">
        <v>41855</v>
      </c>
      <c r="B33260" s="4" t="s">
        <v>41863</v>
      </c>
      <c r="C33260" s="5" t="str">
        <f>IFERROR(__xludf.DUMMYFUNCTION("GOOGLETRANSLATE(B33260,""en"",""it"")"),"Il suo compagno di squadra la colpisce di nuovo.")</f>
        <v>Il suo compagno di squadra la colpisce di nuovo.</v>
      </c>
    </row>
    <row r="33261">
      <c r="A33261" s="4" t="s">
        <v>41855</v>
      </c>
      <c r="B33261" s="4" t="s">
        <v>41864</v>
      </c>
      <c r="C33261" s="5" t="str">
        <f>IFERROR(__xludf.DUMMYFUNCTION("GOOGLETRANSLATE(B33261,""en"",""it"")"),"Il compagno di squadra lo aumenta in rete.")</f>
        <v>Il compagno di squadra lo aumenta in rete.</v>
      </c>
    </row>
    <row r="33262">
      <c r="A33262" s="4" t="s">
        <v>41855</v>
      </c>
      <c r="B33262" s="4" t="s">
        <v>41865</v>
      </c>
      <c r="C33262" s="5" t="str">
        <f>IFERROR(__xludf.DUMMYFUNCTION("GOOGLETRANSLATE(B33262,""en"",""it"")"),"Il giocatore avversario colpisce la palla.")</f>
        <v>Il giocatore avversario colpisce la palla.</v>
      </c>
    </row>
    <row r="33263">
      <c r="A33263" s="4" t="s">
        <v>41855</v>
      </c>
      <c r="B33263" s="4" t="s">
        <v>41866</v>
      </c>
      <c r="C33263" s="5" t="str">
        <f>IFERROR(__xludf.DUMMYFUNCTION("GOOGLETRANSLATE(B33263,""en"",""it"")"),"Il suo compagno di squadra lancia la palla sulla rete alla squadra avversaria.")</f>
        <v>Il suo compagno di squadra lancia la palla sulla rete alla squadra avversaria.</v>
      </c>
    </row>
    <row r="33264">
      <c r="A33264" s="4" t="s">
        <v>41855</v>
      </c>
      <c r="B33264" s="4" t="s">
        <v>41867</v>
      </c>
      <c r="C33264" s="5" t="str">
        <f>IFERROR(__xludf.DUMMYFUNCTION("GOOGLETRANSLATE(B33264,""en"",""it"")"),"Il giocatore avversario colpisce la palla verso il suo compagno di squadra.")</f>
        <v>Il giocatore avversario colpisce la palla verso il suo compagno di squadra.</v>
      </c>
    </row>
    <row r="33265">
      <c r="A33265" s="4" t="s">
        <v>41855</v>
      </c>
      <c r="B33265" s="4" t="s">
        <v>41868</v>
      </c>
      <c r="C33265" s="5" t="str">
        <f>IFERROR(__xludf.DUMMYFUNCTION("GOOGLETRANSLATE(B33265,""en"",""it"")"),"Il suo compagno di squadra colpisce la palla.")</f>
        <v>Il suo compagno di squadra colpisce la palla.</v>
      </c>
    </row>
    <row r="33266">
      <c r="A33266" s="4" t="s">
        <v>41855</v>
      </c>
      <c r="B33266" s="4" t="s">
        <v>41869</v>
      </c>
      <c r="C33266" s="5" t="str">
        <f>IFERROR(__xludf.DUMMYFUNCTION("GOOGLETRANSLATE(B33266,""en"",""it"")"),"Il suo compagno di squadra colpisce la palla in rete.")</f>
        <v>Il suo compagno di squadra colpisce la palla in rete.</v>
      </c>
    </row>
    <row r="33267">
      <c r="A33267" s="4" t="s">
        <v>41855</v>
      </c>
      <c r="B33267" s="4" t="s">
        <v>41870</v>
      </c>
      <c r="C33267" s="5" t="str">
        <f>IFERROR(__xludf.DUMMYFUNCTION("GOOGLETRANSLATE(B33267,""en"",""it"")"),"Un giocatore avversario si tuffa e colpisce la palla.")</f>
        <v>Un giocatore avversario si tuffa e colpisce la palla.</v>
      </c>
    </row>
    <row r="33268">
      <c r="A33268" s="4" t="s">
        <v>41855</v>
      </c>
      <c r="B33268" s="4" t="s">
        <v>41871</v>
      </c>
      <c r="C33268" s="5" t="str">
        <f>IFERROR(__xludf.DUMMYFUNCTION("GOOGLETRANSLATE(B33268,""en"",""it"")"),"Uno dei compagni di squadra della squadra avversaria si tuffa per catturare e lanciare la palla fuori dai confini.")</f>
        <v>Uno dei compagni di squadra della squadra avversaria si tuffa per catturare e lanciare la palla fuori dai confini.</v>
      </c>
    </row>
    <row r="33269">
      <c r="A33269" s="4" t="s">
        <v>41872</v>
      </c>
      <c r="B33269" s="4" t="s">
        <v>41873</v>
      </c>
      <c r="C33269" s="5" t="str">
        <f>IFERROR(__xludf.DUMMYFUNCTION("GOOGLETRANSLATE(B33269,""en"",""it"")"),"Un bigodino si prepara a fare un tiro di arricciacapelli mentre si guarda ad altre persone nell'arena.")</f>
        <v>Un bigodino si prepara a fare un tiro di arricciacapelli mentre si guarda ad altre persone nell'arena.</v>
      </c>
    </row>
    <row r="33270">
      <c r="A33270" s="4" t="s">
        <v>41872</v>
      </c>
      <c r="B33270" s="6" t="s">
        <v>41874</v>
      </c>
      <c r="C33270" s="5" t="str">
        <f>IFERROR(__xludf.DUMMYFUNCTION("GOOGLETRANSLATE(B33270,""en"",""it"")"),"Fa il tiro e lascia andare il disco mentre gli altri membri della squadra lo inseguono e spazzano il ghiaccio.")</f>
        <v>Fa il tiro e lascia andare il disco mentre gli altri membri della squadra lo inseguono e spazzano il ghiaccio.</v>
      </c>
    </row>
    <row r="33271">
      <c r="A33271" s="4" t="s">
        <v>41872</v>
      </c>
      <c r="B33271" s="4" t="s">
        <v>41875</v>
      </c>
      <c r="C33271" s="5" t="str">
        <f>IFERROR(__xludf.DUMMYFUNCTION("GOOGLETRANSLATE(B33271,""en"",""it"")"),"Viene fatto un altro colpo e i membri del team procedono a seguire il tiro e spazzare il ghiaccio.")</f>
        <v>Viene fatto un altro colpo e i membri del team procedono a seguire il tiro e spazzare il ghiaccio.</v>
      </c>
    </row>
    <row r="33272">
      <c r="A33272" s="4" t="s">
        <v>41872</v>
      </c>
      <c r="B33272" s="4" t="s">
        <v>41876</v>
      </c>
      <c r="C33272" s="5" t="str">
        <f>IFERROR(__xludf.DUMMYFUNCTION("GOOGLETRANSLATE(B33272,""en"",""it"")"),"Viene quindi fatto un terzo scatto e i bigodini consentono al tiro di eliminare un altro disco.")</f>
        <v>Viene quindi fatto un terzo scatto e i bigodini consentono al tiro di eliminare un altro disco.</v>
      </c>
    </row>
    <row r="33273">
      <c r="A33273" s="4" t="s">
        <v>41877</v>
      </c>
      <c r="B33273" s="6" t="s">
        <v>41878</v>
      </c>
      <c r="C33273" s="5" t="str">
        <f>IFERROR(__xludf.DUMMYFUNCTION("GOOGLETRANSLATE(B33273,""en"",""it"")"),"Un piccolo gruppo di persone si vede tenere insieme una lezione di spin che conduce a un uomo che parla alla telecamera.")</f>
        <v>Un piccolo gruppo di persone si vede tenere insieme una lezione di spin che conduce a un uomo che parla alla telecamera.</v>
      </c>
    </row>
    <row r="33274">
      <c r="A33274" s="4" t="s">
        <v>41877</v>
      </c>
      <c r="B33274" s="6" t="s">
        <v>41879</v>
      </c>
      <c r="C33274" s="5" t="str">
        <f>IFERROR(__xludf.DUMMYFUNCTION("GOOGLETRANSLATE(B33274,""en"",""it"")"),"Vengono mostrati scatti della palestra che conducono in un'altra classe di ciclismo con l'uomo che guida il gruppo e parla ancora alla telecamera.")</f>
        <v>Vengono mostrati scatti della palestra che conducono in un'altra classe di ciclismo con l'uomo che guida il gruppo e parla ancora alla telecamera.</v>
      </c>
    </row>
    <row r="33275">
      <c r="A33275" s="4" t="s">
        <v>41880</v>
      </c>
      <c r="B33275" s="4" t="s">
        <v>41881</v>
      </c>
      <c r="C33275" s="5" t="str">
        <f>IFERROR(__xludf.DUMMYFUNCTION("GOOGLETRANSLATE(B33275,""en"",""it"")"),"Un uomo e una donna sono seduti a parlare su una panchina di fronte a un muro con diversi cerchioni.")</f>
        <v>Un uomo e una donna sono seduti a parlare su una panchina di fronte a un muro con diversi cerchioni.</v>
      </c>
    </row>
    <row r="33276">
      <c r="A33276" s="4" t="s">
        <v>41880</v>
      </c>
      <c r="B33276" s="4" t="s">
        <v>41882</v>
      </c>
      <c r="C33276" s="5" t="str">
        <f>IFERROR(__xludf.DUMMYFUNCTION("GOOGLETRANSLATE(B33276,""en"",""it"")"),"I due quindi si alzano e iniziano a parlare e puoi vedere che sono in un cortile spazzatura.")</f>
        <v>I due quindi si alzano e iniziano a parlare e puoi vedere che sono in un cortile spazzatura.</v>
      </c>
    </row>
    <row r="33277">
      <c r="A33277" s="4" t="s">
        <v>41880</v>
      </c>
      <c r="B33277" s="6" t="s">
        <v>41883</v>
      </c>
      <c r="C33277" s="5" t="str">
        <f>IFERROR(__xludf.DUMMYFUNCTION("GOOGLETRANSLATE(B33277,""en"",""it"")"),"Alla fine, iniziano a ballare insieme e fanno robuste mosse di danza hip hop adatte all'ambiente.")</f>
        <v>Alla fine, iniziano a ballare insieme e fanno robuste mosse di danza hip hop adatte all'ambiente.</v>
      </c>
    </row>
    <row r="33278">
      <c r="A33278" s="4" t="s">
        <v>41884</v>
      </c>
      <c r="B33278" s="4" t="s">
        <v>41885</v>
      </c>
      <c r="C33278" s="5" t="str">
        <f>IFERROR(__xludf.DUMMYFUNCTION("GOOGLETRANSLATE(B33278,""en"",""it"")"),"Una ragazza entra da un lato e inizia a calpestare la stanza.")</f>
        <v>Una ragazza entra da un lato e inizia a calpestare la stanza.</v>
      </c>
    </row>
    <row r="33279">
      <c r="A33279" s="4" t="s">
        <v>41884</v>
      </c>
      <c r="B33279" s="6" t="s">
        <v>41886</v>
      </c>
      <c r="C33279" s="5" t="str">
        <f>IFERROR(__xludf.DUMMYFUNCTION("GOOGLETRANSLATE(B33279,""en"",""it"")"),"La ragazza continua ad allenarsi e si muove da un lato all'altro e inizia a sollevare il piede in modo hip hop.")</f>
        <v>La ragazza continua ad allenarsi e si muove da un lato all'altro e inizia a sollevare il piede in modo hip hop.</v>
      </c>
    </row>
    <row r="33280">
      <c r="A33280" s="4" t="s">
        <v>41884</v>
      </c>
      <c r="B33280" s="6" t="s">
        <v>41887</v>
      </c>
      <c r="C33280" s="5" t="str">
        <f>IFERROR(__xludf.DUMMYFUNCTION("GOOGLETRANSLATE(B33280,""en"",""it"")"),"Quindi si sposta in una sorta di squat di qualche tipo e continua a muoversi e poi scivola da sinistra a destra e continua a ballare e sgretolarsi.")</f>
        <v>Quindi si sposta in una sorta di squat di qualche tipo e continua a muoversi e poi scivola da sinistra a destra e continua a ballare e sgretolarsi.</v>
      </c>
    </row>
    <row r="33281">
      <c r="A33281" s="4" t="s">
        <v>41888</v>
      </c>
      <c r="B33281" s="4" t="s">
        <v>41889</v>
      </c>
      <c r="C33281" s="5" t="str">
        <f>IFERROR(__xludf.DUMMYFUNCTION("GOOGLETRANSLATE(B33281,""en"",""it"")"),"Vediamo persone che fluttuano in un lago in zattere viola.")</f>
        <v>Vediamo persone che fluttuano in un lago in zattere viola.</v>
      </c>
    </row>
    <row r="33282">
      <c r="A33282" s="4" t="s">
        <v>41888</v>
      </c>
      <c r="B33282" s="4" t="s">
        <v>41890</v>
      </c>
      <c r="C33282" s="5" t="str">
        <f>IFERROR(__xludf.DUMMYFUNCTION("GOOGLETRANSLATE(B33282,""en"",""it"")"),"Una persona mette i piedi su una roccia.")</f>
        <v>Una persona mette i piedi su una roccia.</v>
      </c>
    </row>
    <row r="33283">
      <c r="A33283" s="4" t="s">
        <v>41888</v>
      </c>
      <c r="B33283" s="4" t="s">
        <v>41891</v>
      </c>
      <c r="C33283" s="5" t="str">
        <f>IFERROR(__xludf.DUMMYFUNCTION("GOOGLETRANSLATE(B33283,""en"",""it"")"),"La gente colpisce l'acqua ruvida.")</f>
        <v>La gente colpisce l'acqua ruvida.</v>
      </c>
    </row>
    <row r="33284">
      <c r="A33284" s="4" t="s">
        <v>41888</v>
      </c>
      <c r="B33284" s="4" t="s">
        <v>41892</v>
      </c>
      <c r="C33284" s="5" t="str">
        <f>IFERROR(__xludf.DUMMYFUNCTION("GOOGLETRANSLATE(B33284,""en"",""it"")"),"Vediamo una canoa rossa sulla riva.")</f>
        <v>Vediamo una canoa rossa sulla riva.</v>
      </c>
    </row>
    <row r="33285">
      <c r="A33285" s="4" t="s">
        <v>41888</v>
      </c>
      <c r="B33285" s="4" t="s">
        <v>41893</v>
      </c>
      <c r="C33285" s="5" t="str">
        <f>IFERROR(__xludf.DUMMYFUNCTION("GOOGLETRANSLATE(B33285,""en"",""it"")"),"Facciamo la panoramica sul fiume.")</f>
        <v>Facciamo la panoramica sul fiume.</v>
      </c>
    </row>
    <row r="33286">
      <c r="A33286" s="4" t="s">
        <v>41894</v>
      </c>
      <c r="B33286" s="4" t="s">
        <v>41895</v>
      </c>
      <c r="C33286" s="5" t="str">
        <f>IFERROR(__xludf.DUMMYFUNCTION("GOOGLETRANSLATE(B33286,""en"",""it"")"),"Viene mostrato un uomo lavare un cane con un tubo d'acqua in un cortile con diversi fiori.")</f>
        <v>Viene mostrato un uomo lavare un cane con un tubo d'acqua in un cortile con diversi fiori.</v>
      </c>
    </row>
    <row r="33287">
      <c r="A33287" s="4" t="s">
        <v>41894</v>
      </c>
      <c r="B33287" s="4" t="s">
        <v>41896</v>
      </c>
      <c r="C33287" s="5" t="str">
        <f>IFERROR(__xludf.DUMMYFUNCTION("GOOGLETRANSLATE(B33287,""en"",""it"")"),"La telecamera si muove attorno al cane bagnato mentre l'uomo continua a lavarlo e si scuote.")</f>
        <v>La telecamera si muove attorno al cane bagnato mentre l'uomo continua a lavarlo e si scuote.</v>
      </c>
    </row>
    <row r="33288">
      <c r="A33288" s="4" t="s">
        <v>41894</v>
      </c>
      <c r="B33288" s="4" t="s">
        <v>41897</v>
      </c>
      <c r="C33288" s="5" t="str">
        <f>IFERROR(__xludf.DUMMYFUNCTION("GOOGLETRANSLATE(B33288,""en"",""it"")"),"Versa più shampoo sul cane e strofina lo shampoo nella sua pelliccia.")</f>
        <v>Versa più shampoo sul cane e strofina lo shampoo nella sua pelliccia.</v>
      </c>
    </row>
    <row r="33289">
      <c r="A33289" s="4" t="s">
        <v>41898</v>
      </c>
      <c r="B33289" s="4" t="s">
        <v>41899</v>
      </c>
      <c r="C33289" s="5" t="str">
        <f>IFERROR(__xludf.DUMMYFUNCTION("GOOGLETRANSLATE(B33289,""en"",""it"")"),"Si vede una zona di cortile che porta a diversi bambini e uomini più anziani che lavorano su una scala.")</f>
        <v>Si vede una zona di cortile che porta a diversi bambini e uomini più anziani che lavorano su una scala.</v>
      </c>
    </row>
    <row r="33290">
      <c r="A33290" s="4" t="s">
        <v>41898</v>
      </c>
      <c r="B33290" s="4" t="s">
        <v>41900</v>
      </c>
      <c r="C33290" s="5" t="str">
        <f>IFERROR(__xludf.DUMMYFUNCTION("GOOGLETRANSLATE(B33290,""en"",""it"")"),"Il gruppo taglia le siepi lungo il lato e le gettano in un secchio e aiuta l'uomo più anziano.")</f>
        <v>Il gruppo taglia le siepi lungo il lato e le gettano in un secchio e aiuta l'uomo più anziano.</v>
      </c>
    </row>
    <row r="33291">
      <c r="A33291" s="4" t="s">
        <v>41898</v>
      </c>
      <c r="B33291" s="6" t="s">
        <v>41901</v>
      </c>
      <c r="C33291" s="5" t="str">
        <f>IFERROR(__xludf.DUMMYFUNCTION("GOOGLETRANSLATE(B33291,""en"",""it"")"),"I bambini continuano ad aiutare l'altro uomo raccogliendo foglie mentre le spinge indietro verso la parte anteriore.")</f>
        <v>I bambini continuano ad aiutare l'altro uomo raccogliendo foglie mentre le spinge indietro verso la parte anteriore.</v>
      </c>
    </row>
    <row r="33292">
      <c r="A33292" s="4" t="s">
        <v>41902</v>
      </c>
      <c r="B33292" s="4" t="s">
        <v>41903</v>
      </c>
      <c r="C33292" s="5" t="str">
        <f>IFERROR(__xludf.DUMMYFUNCTION("GOOGLETRANSLATE(B33292,""en"",""it"")"),"Una donna è seduta piegata e lava la biancheria a mano in una ciotola.")</f>
        <v>Una donna è seduta piegata e lava la biancheria a mano in una ciotola.</v>
      </c>
    </row>
    <row r="33293">
      <c r="A33293" s="4" t="s">
        <v>41902</v>
      </c>
      <c r="B33293" s="4" t="s">
        <v>41904</v>
      </c>
      <c r="C33293" s="5" t="str">
        <f>IFERROR(__xludf.DUMMYFUNCTION("GOOGLETRANSLATE(B33293,""en"",""it"")"),"La sua amica si avvicina e le parla e la ride prima di andarsene di nuovo.")</f>
        <v>La sua amica si avvicina e le parla e la ride prima di andarsene di nuovo.</v>
      </c>
    </row>
    <row r="33294">
      <c r="A33294" s="4" t="s">
        <v>41902</v>
      </c>
      <c r="B33294" s="6" t="s">
        <v>41905</v>
      </c>
      <c r="C33294" s="5" t="str">
        <f>IFERROR(__xludf.DUMMYFUNCTION("GOOGLETRANSLATE(B33294,""en"",""it"")"),"Continua a strofinare i suoi vestiti ampiamente, assicurandosi che sia bello e pulito prima di mettere un altro secchio.")</f>
        <v>Continua a strofinare i suoi vestiti ampiamente, assicurandosi che sia bello e pulito prima di mettere un altro secchio.</v>
      </c>
    </row>
    <row r="33295">
      <c r="A33295" s="4" t="s">
        <v>41902</v>
      </c>
      <c r="B33295" s="4" t="s">
        <v>41906</v>
      </c>
      <c r="C33295" s="5" t="str">
        <f>IFERROR(__xludf.DUMMYFUNCTION("GOOGLETRANSLATE(B33295,""en"",""it"")"),"Si lava e lava e li lancia nel secchio asciutto quando ha finito.")</f>
        <v>Si lava e lava e li lancia nel secchio asciutto quando ha finito.</v>
      </c>
    </row>
    <row r="33296">
      <c r="A33296" s="4" t="s">
        <v>41907</v>
      </c>
      <c r="B33296" s="4" t="s">
        <v>41908</v>
      </c>
      <c r="C33296" s="5" t="str">
        <f>IFERROR(__xludf.DUMMYFUNCTION("GOOGLETRANSLATE(B33296,""en"",""it"")"),"Un uomo viene visto inginocchiarsi sulla terra quando un toro arriva nell'uomo.")</f>
        <v>Un uomo viene visto inginocchiarsi sulla terra quando un toro arriva nell'uomo.</v>
      </c>
    </row>
    <row r="33297">
      <c r="A33297" s="4" t="s">
        <v>41907</v>
      </c>
      <c r="B33297" s="4" t="s">
        <v>41909</v>
      </c>
      <c r="C33297" s="5" t="str">
        <f>IFERROR(__xludf.DUMMYFUNCTION("GOOGLETRANSLATE(B33297,""en"",""it"")"),"Busse l'uomo e viene trascinato via, seguito dalla sua clip mostrata di nuovo.")</f>
        <v>Busse l'uomo e viene trascinato via, seguito dalla sua clip mostrata di nuovo.</v>
      </c>
    </row>
    <row r="33298">
      <c r="A33298" s="4" t="s">
        <v>41907</v>
      </c>
      <c r="B33298" s="4" t="s">
        <v>41910</v>
      </c>
      <c r="C33298" s="5" t="str">
        <f>IFERROR(__xludf.DUMMYFUNCTION("GOOGLETRANSLATE(B33298,""en"",""it"")"),"Vengono mostrate diverse altre clip di persone che inseguono tori e scappano.")</f>
        <v>Vengono mostrate diverse altre clip di persone che inseguono tori e scappano.</v>
      </c>
    </row>
    <row r="33299">
      <c r="A33299" s="4" t="s">
        <v>41911</v>
      </c>
      <c r="B33299" s="4" t="s">
        <v>41912</v>
      </c>
      <c r="C33299" s="5" t="str">
        <f>IFERROR(__xludf.DUMMYFUNCTION("GOOGLETRANSLATE(B33299,""en"",""it"")"),"Un nuotatore nuota all'interno di una piscina.")</f>
        <v>Un nuotatore nuota all'interno di una piscina.</v>
      </c>
    </row>
    <row r="33300">
      <c r="A33300" s="4" t="s">
        <v>41911</v>
      </c>
      <c r="B33300" s="4" t="s">
        <v>41913</v>
      </c>
      <c r="C33300" s="5" t="str">
        <f>IFERROR(__xludf.DUMMYFUNCTION("GOOGLETRANSLATE(B33300,""en"",""it"")"),"Il nuotatore è visto indossare uno snorkeling da allenamento.")</f>
        <v>Il nuotatore è visto indossare uno snorkeling da allenamento.</v>
      </c>
    </row>
    <row r="33301">
      <c r="A33301" s="4" t="s">
        <v>41914</v>
      </c>
      <c r="B33301" s="4" t="s">
        <v>41915</v>
      </c>
      <c r="C33301" s="5" t="str">
        <f>IFERROR(__xludf.DUMMYFUNCTION("GOOGLETRANSLATE(B33301,""en"",""it"")"),"Viene mostrato uno schermo di combattenti e quindi vengono selezionate due immagini casuali.")</f>
        <v>Viene mostrato uno schermo di combattenti e quindi vengono selezionate due immagini casuali.</v>
      </c>
    </row>
    <row r="33302">
      <c r="A33302" s="4" t="s">
        <v>41914</v>
      </c>
      <c r="B33302" s="6" t="s">
        <v>41916</v>
      </c>
      <c r="C33302" s="5" t="str">
        <f>IFERROR(__xludf.DUMMYFUNCTION("GOOGLETRANSLATE(B33302,""en"",""it"")"),"Una volta selezionati, le immagini si spostano negli angoli superiori dello schermo e due persone vestite in uniformi di sumo si trovano nel mezzo di un rotondo e iniziano a combattere mentre le auto viaggiano intorno a loro.")</f>
        <v>Una volta selezionati, le immagini si spostano negli angoli superiori dello schermo e due persone vestite in uniformi di sumo si trovano nel mezzo di un rotondo e iniziano a combattere mentre le auto viaggiano intorno a loro.</v>
      </c>
    </row>
    <row r="33303">
      <c r="A33303" s="4" t="s">
        <v>41917</v>
      </c>
      <c r="B33303" s="4" t="s">
        <v>41918</v>
      </c>
      <c r="C33303" s="5" t="str">
        <f>IFERROR(__xludf.DUMMYFUNCTION("GOOGLETRANSLATE(B33303,""en"",""it"")"),"Un'introduzione inizia quindi mostra le foto di una ragazza in bagno con capelli lunghi e lisci.")</f>
        <v>Un'introduzione inizia quindi mostra le foto di una ragazza in bagno con capelli lunghi e lisci.</v>
      </c>
    </row>
    <row r="33304">
      <c r="A33304" s="4" t="s">
        <v>41917</v>
      </c>
      <c r="B33304" s="6" t="s">
        <v>41919</v>
      </c>
      <c r="C33304" s="5" t="str">
        <f>IFERROR(__xludf.DUMMYFUNCTION("GOOGLETRANSLATE(B33304,""en"",""it"")"),"Quindi inizia a parlare con la telecamera mentre si accarezza i capelli seguiti da asciugatura e si sfiorano i capelli.")</f>
        <v>Quindi inizia a parlare con la telecamera mentre si accarezza i capelli seguiti da asciugatura e si sfiorano i capelli.</v>
      </c>
    </row>
    <row r="33305">
      <c r="A33305" s="4" t="s">
        <v>41917</v>
      </c>
      <c r="B33305" s="4" t="s">
        <v>41920</v>
      </c>
      <c r="C33305" s="5" t="str">
        <f>IFERROR(__xludf.DUMMYFUNCTION("GOOGLETRANSLATE(B33305,""en"",""it"")"),"Quindi si mette la lozione tra i capelli e si rompe i capelli in sezioni.")</f>
        <v>Quindi si mette la lozione tra i capelli e si rompe i capelli in sezioni.</v>
      </c>
    </row>
    <row r="33306">
      <c r="A33306" s="4" t="s">
        <v>41917</v>
      </c>
      <c r="B33306" s="4" t="s">
        <v>41921</v>
      </c>
      <c r="C33306" s="5" t="str">
        <f>IFERROR(__xludf.DUMMYFUNCTION("GOOGLETRANSLATE(B33306,""en"",""it"")"),"Lei raddrizza ogni sezione di capelli e sorride alla fine.")</f>
        <v>Lei raddrizza ogni sezione di capelli e sorride alla fine.</v>
      </c>
    </row>
    <row r="33307">
      <c r="A33307" s="4" t="s">
        <v>41922</v>
      </c>
      <c r="B33307" s="4" t="s">
        <v>41923</v>
      </c>
      <c r="C33307" s="5" t="str">
        <f>IFERROR(__xludf.DUMMYFUNCTION("GOOGLETRANSLATE(B33307,""en"",""it"")"),"Una band è raccolta fuori da un edificio.")</f>
        <v>Una band è raccolta fuori da un edificio.</v>
      </c>
    </row>
    <row r="33308">
      <c r="A33308" s="4" t="s">
        <v>41922</v>
      </c>
      <c r="B33308" s="4" t="s">
        <v>41924</v>
      </c>
      <c r="C33308" s="5" t="str">
        <f>IFERROR(__xludf.DUMMYFUNCTION("GOOGLETRANSLATE(B33308,""en"",""it"")"),"Un leader sta usando un testimone per istruirli.")</f>
        <v>Un leader sta usando un testimone per istruirli.</v>
      </c>
    </row>
    <row r="33309">
      <c r="A33309" s="4" t="s">
        <v>41922</v>
      </c>
      <c r="B33309" s="4" t="s">
        <v>41925</v>
      </c>
      <c r="C33309" s="5" t="str">
        <f>IFERROR(__xludf.DUMMYFUNCTION("GOOGLETRANSLATE(B33309,""en"",""it"")"),"Stanno suonando la batteria per un piccolo pubblico.")</f>
        <v>Stanno suonando la batteria per un piccolo pubblico.</v>
      </c>
    </row>
    <row r="33310">
      <c r="A33310" s="4" t="s">
        <v>41926</v>
      </c>
      <c r="B33310" s="6" t="s">
        <v>41927</v>
      </c>
      <c r="C33310" s="5" t="str">
        <f>IFERROR(__xludf.DUMMYFUNCTION("GOOGLETRANSLATE(B33310,""en"",""it"")"),"Un ragazzo nel cortile sta falciando il prato in una giornata calda e soleggiata mentre una signora registra e narra.")</f>
        <v>Un ragazzo nel cortile sta falciando il prato in una giornata calda e soleggiata mentre una signora registra e narra.</v>
      </c>
    </row>
    <row r="33311">
      <c r="A33311" s="4" t="s">
        <v>41926</v>
      </c>
      <c r="B33311" s="4" t="s">
        <v>41928</v>
      </c>
      <c r="C33311" s="5" t="str">
        <f>IFERROR(__xludf.DUMMYFUNCTION("GOOGLETRANSLATE(B33311,""en"",""it"")"),"Comincia ad andare avanti e indietro mentre muove il tosaerba.")</f>
        <v>Comincia ad andare avanti e indietro mentre muove il tosaerba.</v>
      </c>
    </row>
    <row r="33312">
      <c r="A33312" s="4" t="s">
        <v>41926</v>
      </c>
      <c r="B33312" s="4" t="s">
        <v>41929</v>
      </c>
      <c r="C33312" s="5" t="str">
        <f>IFERROR(__xludf.DUMMYFUNCTION("GOOGLETRANSLATE(B33312,""en"",""it"")"),"Il ragazzo cambia direzione mentre continua a falciare.")</f>
        <v>Il ragazzo cambia direzione mentre continua a falciare.</v>
      </c>
    </row>
    <row r="33313">
      <c r="A33313" s="4" t="s">
        <v>41930</v>
      </c>
      <c r="B33313" s="4" t="s">
        <v>41931</v>
      </c>
      <c r="C33313" s="5" t="str">
        <f>IFERROR(__xludf.DUMMYFUNCTION("GOOGLETRANSLATE(B33313,""en"",""it"")"),"Un gruppo di guardie marciano lungo un vialetto mentre suonano le trombe.")</f>
        <v>Un gruppo di guardie marciano lungo un vialetto mentre suonano le trombe.</v>
      </c>
    </row>
    <row r="33314">
      <c r="A33314" s="4" t="s">
        <v>41930</v>
      </c>
      <c r="B33314" s="4" t="s">
        <v>41932</v>
      </c>
      <c r="C33314" s="5" t="str">
        <f>IFERROR(__xludf.DUMMYFUNCTION("GOOGLETRANSLATE(B33314,""en"",""it"")"),"Un uomo riscalda una piccola padella con una fiamma.")</f>
        <v>Un uomo riscalda una piccola padella con una fiamma.</v>
      </c>
    </row>
    <row r="33315">
      <c r="A33315" s="4" t="s">
        <v>41930</v>
      </c>
      <c r="B33315" s="4" t="s">
        <v>41933</v>
      </c>
      <c r="C33315" s="5" t="str">
        <f>IFERROR(__xludf.DUMMYFUNCTION("GOOGLETRANSLATE(B33315,""en"",""it"")"),"Tre soldati in piedi vicino lo guardano.")</f>
        <v>Tre soldati in piedi vicino lo guardano.</v>
      </c>
    </row>
    <row r="33316">
      <c r="A33316" s="4" t="s">
        <v>41930</v>
      </c>
      <c r="B33316" s="4" t="s">
        <v>41934</v>
      </c>
      <c r="C33316" s="5" t="str">
        <f>IFERROR(__xludf.DUMMYFUNCTION("GOOGLETRANSLATE(B33316,""en"",""it"")"),"L'uomo afferra un pennello e lo muove nella padella.")</f>
        <v>L'uomo afferra un pennello e lo muove nella padella.</v>
      </c>
    </row>
    <row r="33317">
      <c r="A33317" s="4" t="s">
        <v>41930</v>
      </c>
      <c r="B33317" s="4" t="s">
        <v>41935</v>
      </c>
      <c r="C33317" s="5" t="str">
        <f>IFERROR(__xludf.DUMMYFUNCTION("GOOGLETRANSLATE(B33317,""en"",""it"")"),"Prende il pennello e spazzola una scarpa.")</f>
        <v>Prende il pennello e spazzola una scarpa.</v>
      </c>
    </row>
    <row r="33318">
      <c r="A33318" s="4" t="s">
        <v>41930</v>
      </c>
      <c r="B33318" s="4" t="s">
        <v>41936</v>
      </c>
      <c r="C33318" s="5" t="str">
        <f>IFERROR(__xludf.DUMMYFUNCTION("GOOGLETRANSLATE(B33318,""en"",""it"")"),"In fiamme la scarpa con il contenitore della fiamma.")</f>
        <v>In fiamme la scarpa con il contenitore della fiamma.</v>
      </c>
    </row>
    <row r="33319">
      <c r="A33319" s="4" t="s">
        <v>41930</v>
      </c>
      <c r="B33319" s="4" t="s">
        <v>41937</v>
      </c>
      <c r="C33319" s="5" t="str">
        <f>IFERROR(__xludf.DUMMYFUNCTION("GOOGLETRANSLATE(B33319,""en"",""it"")"),"Spazzola di nuovo la scarpa.")</f>
        <v>Spazzola di nuovo la scarpa.</v>
      </c>
    </row>
    <row r="33320">
      <c r="A33320" s="4" t="s">
        <v>41930</v>
      </c>
      <c r="B33320" s="4" t="s">
        <v>41938</v>
      </c>
      <c r="C33320" s="5" t="str">
        <f>IFERROR(__xludf.DUMMYFUNCTION("GOOGLETRANSLATE(B33320,""en"",""it"")"),"Poi infiamme ancora la scarpa.")</f>
        <v>Poi infiamme ancora la scarpa.</v>
      </c>
    </row>
    <row r="33321">
      <c r="A33321" s="4" t="s">
        <v>41939</v>
      </c>
      <c r="B33321" s="6" t="s">
        <v>41940</v>
      </c>
      <c r="C33321" s="5" t="str">
        <f>IFERROR(__xludf.DUMMYFUNCTION("GOOGLETRANSLATE(B33321,""en"",""it"")"),"Un uomo sta falciando il prato su un cortile e ridendo e fa battute con gli amici che stanno guardando.")</f>
        <v>Un uomo sta falciando il prato su un cortile e ridendo e fa battute con gli amici che stanno guardando.</v>
      </c>
    </row>
    <row r="33322">
      <c r="A33322" s="4" t="s">
        <v>41939</v>
      </c>
      <c r="B33322" s="6" t="s">
        <v>41941</v>
      </c>
      <c r="C33322" s="5" t="str">
        <f>IFERROR(__xludf.DUMMYFUNCTION("GOOGLETRANSLATE(B33322,""en"",""it"")"),"Comincia a correre con il prato e quasi si imbatte in qualcosa mentre i suoi amici ridono di divertimento.")</f>
        <v>Comincia a correre con il prato e quasi si imbatte in qualcosa mentre i suoi amici ridono di divertimento.</v>
      </c>
    </row>
    <row r="33323">
      <c r="A33323" s="4" t="s">
        <v>41939</v>
      </c>
      <c r="B33323" s="4" t="s">
        <v>41942</v>
      </c>
      <c r="C33323" s="5" t="str">
        <f>IFERROR(__xludf.DUMMYFUNCTION("GOOGLETRANSLATE(B33323,""en"",""it"")"),"Uno dei suoi amici cerca di aiutarlo mentre fallo il prato.")</f>
        <v>Uno dei suoi amici cerca di aiutarlo mentre fallo il prato.</v>
      </c>
    </row>
    <row r="33324">
      <c r="A33324" s="4" t="s">
        <v>41943</v>
      </c>
      <c r="B33324" s="4" t="s">
        <v>41944</v>
      </c>
      <c r="C33324" s="5" t="str">
        <f>IFERROR(__xludf.DUMMYFUNCTION("GOOGLETRANSLATE(B33324,""en"",""it"")"),"Una ragazza è seduta su una sedia a parlare.")</f>
        <v>Una ragazza è seduta su una sedia a parlare.</v>
      </c>
    </row>
    <row r="33325">
      <c r="A33325" s="4" t="s">
        <v>41943</v>
      </c>
      <c r="B33325" s="4" t="s">
        <v>41945</v>
      </c>
      <c r="C33325" s="5" t="str">
        <f>IFERROR(__xludf.DUMMYFUNCTION("GOOGLETRANSLATE(B33325,""en"",""it"")"),"Una donna si avvicina alla ragazza e si asciuga le orecchie.")</f>
        <v>Una donna si avvicina alla ragazza e si asciuga le orecchie.</v>
      </c>
    </row>
    <row r="33326">
      <c r="A33326" s="4" t="s">
        <v>41943</v>
      </c>
      <c r="B33326" s="4" t="s">
        <v>41946</v>
      </c>
      <c r="C33326" s="5" t="str">
        <f>IFERROR(__xludf.DUMMYFUNCTION("GOOGLETRANSLATE(B33326,""en"",""it"")"),"La donna quindi trafigge l'orecchio della ragazza.")</f>
        <v>La donna quindi trafigge l'orecchio della ragazza.</v>
      </c>
    </row>
    <row r="33327">
      <c r="A33327" s="4" t="s">
        <v>41943</v>
      </c>
      <c r="B33327" s="4" t="s">
        <v>41947</v>
      </c>
      <c r="C33327" s="5" t="str">
        <f>IFERROR(__xludf.DUMMYFUNCTION("GOOGLETRANSLATE(B33327,""en"",""it"")"),"La ragazza si mette gli occhiali dopo che le orecchie sono state messe.")</f>
        <v>La ragazza si mette gli occhiali dopo che le orecchie sono state messe.</v>
      </c>
    </row>
    <row r="33328">
      <c r="A33328" s="4" t="s">
        <v>41948</v>
      </c>
      <c r="B33328" s="4" t="s">
        <v>41949</v>
      </c>
      <c r="C33328" s="5" t="str">
        <f>IFERROR(__xludf.DUMMYFUNCTION("GOOGLETRANSLATE(B33328,""en"",""it"")"),"Un uomo viene mostrato sorridendo in un'immagine mentre le parole gli vanno sul viso.")</f>
        <v>Un uomo viene mostrato sorridendo in un'immagine mentre le parole gli vanno sul viso.</v>
      </c>
    </row>
    <row r="33329">
      <c r="A33329" s="4" t="s">
        <v>41948</v>
      </c>
      <c r="B33329" s="6" t="s">
        <v>41950</v>
      </c>
      <c r="C33329" s="5" t="str">
        <f>IFERROR(__xludf.DUMMYFUNCTION("GOOGLETRANSLATE(B33329,""en"",""it"")"),"È in campo da interno, mostrando un ragazzino come colpire una palla da tennis contro il muro con una racchetta.")</f>
        <v>È in campo da interno, mostrando un ragazzino come colpire una palla da tennis contro il muro con una racchetta.</v>
      </c>
    </row>
    <row r="33330">
      <c r="A33330" s="4" t="s">
        <v>41948</v>
      </c>
      <c r="B33330" s="4" t="s">
        <v>41951</v>
      </c>
      <c r="C33330" s="5" t="str">
        <f>IFERROR(__xludf.DUMMYFUNCTION("GOOGLETRANSLATE(B33330,""en"",""it"")"),"Il ragazzo ci prova più volte.")</f>
        <v>Il ragazzo ci prova più volte.</v>
      </c>
    </row>
    <row r="33331">
      <c r="A33331" s="4" t="s">
        <v>41952</v>
      </c>
      <c r="B33331" s="4" t="s">
        <v>41953</v>
      </c>
      <c r="C33331" s="5" t="str">
        <f>IFERROR(__xludf.DUMMYFUNCTION("GOOGLETRANSLATE(B33331,""en"",""it"")"),"Un uomo senza mani afferra un dardo che è bloccato al tabellone e cammina all'indietro.")</f>
        <v>Un uomo senza mani afferra un dardo che è bloccato al tabellone e cammina all'indietro.</v>
      </c>
    </row>
    <row r="33332">
      <c r="A33332" s="4" t="s">
        <v>41952</v>
      </c>
      <c r="B33332" s="4" t="s">
        <v>41954</v>
      </c>
      <c r="C33332" s="5" t="str">
        <f>IFERROR(__xludf.DUMMYFUNCTION("GOOGLETRANSLATE(B33332,""en"",""it"")"),"Quindi getta l'oscurità in aria per mostrarlo atterrato sul tabellone.")</f>
        <v>Quindi getta l'oscurità in aria per mostrarlo atterrato sul tabellone.</v>
      </c>
    </row>
    <row r="33333">
      <c r="A33333" s="4" t="s">
        <v>41955</v>
      </c>
      <c r="B33333" s="6" t="s">
        <v>41956</v>
      </c>
      <c r="C33333" s="5" t="str">
        <f>IFERROR(__xludf.DUMMYFUNCTION("GOOGLETRANSLATE(B33333,""en"",""it"")"),"Viene visto un soldato di tempesta che parla alla telecamera e conduce a una fotocamera che si muove attorno a un vicino e l'uomo che cammina.")</f>
        <v>Viene visto un soldato di tempesta che parla alla telecamera e conduce a una fotocamera che si muove attorno a un vicino e l'uomo che cammina.</v>
      </c>
    </row>
    <row r="33334">
      <c r="A33334" s="4" t="s">
        <v>41955</v>
      </c>
      <c r="B33334" s="4" t="s">
        <v>41957</v>
      </c>
      <c r="C33334" s="5" t="str">
        <f>IFERROR(__xludf.DUMMYFUNCTION("GOOGLETRANSLATE(B33334,""en"",""it"")"),"Molti bambini si fermano a parlare con l'uomo e le macchine si fermano a parlare.")</f>
        <v>Molti bambini si fermano a parlare con l'uomo e le macchine si fermano a parlare.</v>
      </c>
    </row>
    <row r="33335">
      <c r="A33335" s="4" t="s">
        <v>41958</v>
      </c>
      <c r="B33335" s="4" t="s">
        <v>41959</v>
      </c>
      <c r="C33335" s="5" t="str">
        <f>IFERROR(__xludf.DUMMYFUNCTION("GOOGLETRANSLATE(B33335,""en"",""it"")"),"Un folto gruppo di persone viene visto giocare a un gioco di guerra con altre persone che camminano in giro.")</f>
        <v>Un folto gruppo di persone viene visto giocare a un gioco di guerra con altre persone che camminano in giro.</v>
      </c>
    </row>
    <row r="33336">
      <c r="A33336" s="4" t="s">
        <v>41958</v>
      </c>
      <c r="B33336" s="4" t="s">
        <v>41960</v>
      </c>
      <c r="C33336" s="5" t="str">
        <f>IFERROR(__xludf.DUMMYFUNCTION("GOOGLETRANSLATE(B33336,""en"",""it"")"),"Le persone giocano indietro e quarto mentre altri guardano sul lato.")</f>
        <v>Le persone giocano indietro e quarto mentre altri guardano sul lato.</v>
      </c>
    </row>
    <row r="33337">
      <c r="A33337" s="4" t="s">
        <v>41958</v>
      </c>
      <c r="B33337" s="4" t="s">
        <v>41961</v>
      </c>
      <c r="C33337" s="5" t="str">
        <f>IFERROR(__xludf.DUMMYFUNCTION("GOOGLETRANSLATE(B33337,""en"",""it"")"),"Un gruppo quindi tira un altro e termina allontanandosi.")</f>
        <v>Un gruppo quindi tira un altro e termina allontanandosi.</v>
      </c>
    </row>
    <row r="33338">
      <c r="A33338" s="4" t="s">
        <v>41962</v>
      </c>
      <c r="B33338" s="4" t="s">
        <v>41963</v>
      </c>
      <c r="C33338" s="5" t="str">
        <f>IFERROR(__xludf.DUMMYFUNCTION("GOOGLETRANSLATE(B33338,""en"",""it"")"),"Uno skyline della città appare di fronte a un grande fiume.")</f>
        <v>Uno skyline della città appare di fronte a un grande fiume.</v>
      </c>
    </row>
    <row r="33339">
      <c r="A33339" s="4" t="s">
        <v>41962</v>
      </c>
      <c r="B33339" s="4" t="s">
        <v>41964</v>
      </c>
      <c r="C33339" s="5" t="str">
        <f>IFERROR(__xludf.DUMMYFUNCTION("GOOGLETRANSLATE(B33339,""en"",""it"")"),"Diverse aziende sono mostrate dall'esterno.")</f>
        <v>Diverse aziende sono mostrate dall'esterno.</v>
      </c>
    </row>
    <row r="33340">
      <c r="A33340" s="4" t="s">
        <v>41962</v>
      </c>
      <c r="B33340" s="4" t="s">
        <v>41965</v>
      </c>
      <c r="C33340" s="5" t="str">
        <f>IFERROR(__xludf.DUMMYFUNCTION("GOOGLETRANSLATE(B33340,""en"",""it"")"),"Una partita di scherma inizia all'interno di un edificio.")</f>
        <v>Una partita di scherma inizia all'interno di un edificio.</v>
      </c>
    </row>
    <row r="33341">
      <c r="A33341" s="4" t="s">
        <v>41966</v>
      </c>
      <c r="B33341" s="4" t="s">
        <v>41967</v>
      </c>
      <c r="C33341" s="5" t="str">
        <f>IFERROR(__xludf.DUMMYFUNCTION("GOOGLETRANSLATE(B33341,""en"",""it"")"),"Vediamo persone che cavalcano macchine per paraurti.")</f>
        <v>Vediamo persone che cavalcano macchine per paraurti.</v>
      </c>
    </row>
    <row r="33342">
      <c r="A33342" s="4" t="s">
        <v>41966</v>
      </c>
      <c r="B33342" s="4" t="s">
        <v>41968</v>
      </c>
      <c r="C33342" s="5" t="str">
        <f>IFERROR(__xludf.DUMMYFUNCTION("GOOGLETRANSLATE(B33342,""en"",""it"")"),"La fotocamera si sposta lungo la riga a destra.")</f>
        <v>La fotocamera si sposta lungo la riga a destra.</v>
      </c>
    </row>
    <row r="33343">
      <c r="A33343" s="4" t="s">
        <v>41966</v>
      </c>
      <c r="B33343" s="4" t="s">
        <v>41969</v>
      </c>
      <c r="C33343" s="5" t="str">
        <f>IFERROR(__xludf.DUMMYFUNCTION("GOOGLETRANSLATE(B33343,""en"",""it"")"),"La ragazza in nero rimane bloccata.")</f>
        <v>La ragazza in nero rimane bloccata.</v>
      </c>
    </row>
    <row r="33344">
      <c r="A33344" s="4" t="s">
        <v>41966</v>
      </c>
      <c r="B33344" s="4" t="s">
        <v>41970</v>
      </c>
      <c r="C33344" s="5" t="str">
        <f>IFERROR(__xludf.DUMMYFUNCTION("GOOGLETRANSLATE(B33344,""en"",""it"")"),"Le auto si fermano quindi.")</f>
        <v>Le auto si fermano quindi.</v>
      </c>
    </row>
    <row r="33345">
      <c r="A33345" s="4" t="s">
        <v>41971</v>
      </c>
      <c r="B33345" s="4" t="s">
        <v>41972</v>
      </c>
      <c r="C33345" s="5" t="str">
        <f>IFERROR(__xludf.DUMMYFUNCTION("GOOGLETRANSLATE(B33345,""en"",""it"")"),"Una donna balla mentre un'altra si trova sullo sfondo.")</f>
        <v>Una donna balla mentre un'altra si trova sullo sfondo.</v>
      </c>
    </row>
    <row r="33346">
      <c r="A33346" s="4" t="s">
        <v>41971</v>
      </c>
      <c r="B33346" s="4" t="s">
        <v>41973</v>
      </c>
      <c r="C33346" s="5" t="str">
        <f>IFERROR(__xludf.DUMMYFUNCTION("GOOGLETRANSLATE(B33346,""en"",""it"")"),"Una terza donna spazza il pavimento.")</f>
        <v>Una terza donna spazza il pavimento.</v>
      </c>
    </row>
    <row r="33347">
      <c r="A33347" s="4" t="s">
        <v>41971</v>
      </c>
      <c r="B33347" s="4" t="s">
        <v>41974</v>
      </c>
      <c r="C33347" s="5" t="str">
        <f>IFERROR(__xludf.DUMMYFUNCTION("GOOGLETRANSLATE(B33347,""en"",""it"")"),"La seconda donna inizia a camminare con un asciugamano sotto un piede.")</f>
        <v>La seconda donna inizia a camminare con un asciugamano sotto un piede.</v>
      </c>
    </row>
    <row r="33348">
      <c r="A33348" s="4" t="s">
        <v>41971</v>
      </c>
      <c r="B33348" s="4" t="s">
        <v>41975</v>
      </c>
      <c r="C33348" s="5" t="str">
        <f>IFERROR(__xludf.DUMMYFUNCTION("GOOGLETRANSLATE(B33348,""en"",""it"")"),"La prima donna smette di ballare e inizia a camminare con un asciugamano sotto un piede.")</f>
        <v>La prima donna smette di ballare e inizia a camminare con un asciugamano sotto un piede.</v>
      </c>
    </row>
    <row r="33349">
      <c r="A33349" s="4" t="s">
        <v>41971</v>
      </c>
      <c r="B33349" s="4" t="s">
        <v>41976</v>
      </c>
      <c r="C33349" s="5" t="str">
        <f>IFERROR(__xludf.DUMMYFUNCTION("GOOGLETRANSLATE(B33349,""en"",""it"")"),"La donna spalancata si ferma, salta e onde prima di riprendere.")</f>
        <v>La donna spalancata si ferma, salta e onde prima di riprendere.</v>
      </c>
    </row>
    <row r="33350">
      <c r="A33350" s="4" t="s">
        <v>41971</v>
      </c>
      <c r="B33350" s="4" t="s">
        <v>41977</v>
      </c>
      <c r="C33350" s="5" t="str">
        <f>IFERROR(__xludf.DUMMYFUNCTION("GOOGLETRANSLATE(B33350,""en"",""it"")"),"La prima donna estrae gli oggetti da un armadio e li mette sul pavimento.")</f>
        <v>La prima donna estrae gli oggetti da un armadio e li mette sul pavimento.</v>
      </c>
    </row>
    <row r="33351">
      <c r="A33351" s="4" t="s">
        <v>41971</v>
      </c>
      <c r="B33351" s="4" t="s">
        <v>41978</v>
      </c>
      <c r="C33351" s="5" t="str">
        <f>IFERROR(__xludf.DUMMYFUNCTION("GOOGLETRANSLATE(B33351,""en"",""it"")"),"Un quarto individuo viene brevemente mostrato sulla porta.")</f>
        <v>Un quarto individuo viene brevemente mostrato sulla porta.</v>
      </c>
    </row>
    <row r="33352">
      <c r="A33352" s="4" t="s">
        <v>41979</v>
      </c>
      <c r="B33352" s="4" t="s">
        <v>41980</v>
      </c>
      <c r="C33352" s="5" t="str">
        <f>IFERROR(__xludf.DUMMYFUNCTION("GOOGLETRANSLATE(B33352,""en"",""it"")"),"Il pavimento ha un hopscotch su di esso.")</f>
        <v>Il pavimento ha un hopscotch su di esso.</v>
      </c>
    </row>
    <row r="33353">
      <c r="A33353" s="4" t="s">
        <v>41979</v>
      </c>
      <c r="B33353" s="4" t="s">
        <v>41981</v>
      </c>
      <c r="C33353" s="5" t="str">
        <f>IFERROR(__xludf.DUMMYFUNCTION("GOOGLETRANSLATE(B33353,""en"",""it"")"),"Qualcuno è seduto con un giro.")</f>
        <v>Qualcuno è seduto con un giro.</v>
      </c>
    </row>
    <row r="33354">
      <c r="A33354" s="4" t="s">
        <v>41979</v>
      </c>
      <c r="B33354" s="4" t="s">
        <v>41982</v>
      </c>
      <c r="C33354" s="5" t="str">
        <f>IFERROR(__xludf.DUMMYFUNCTION("GOOGLETRANSLATE(B33354,""en"",""it"")"),"C'è un cestino nell'angolo.")</f>
        <v>C'è un cestino nell'angolo.</v>
      </c>
    </row>
    <row r="33355">
      <c r="A33355" s="4" t="s">
        <v>41979</v>
      </c>
      <c r="B33355" s="4" t="s">
        <v>41983</v>
      </c>
      <c r="C33355" s="5" t="str">
        <f>IFERROR(__xludf.DUMMYFUNCTION("GOOGLETRANSLATE(B33355,""en"",""it"")"),"Un ragazzo gioca a Hopscotch.")</f>
        <v>Un ragazzo gioca a Hopscotch.</v>
      </c>
    </row>
    <row r="33356">
      <c r="A33356" s="4" t="s">
        <v>41984</v>
      </c>
      <c r="B33356" s="4" t="s">
        <v>41985</v>
      </c>
      <c r="C33356" s="5" t="str">
        <f>IFERROR(__xludf.DUMMYFUNCTION("GOOGLETRANSLATE(B33356,""en"",""it"")"),"Un piccolo gruppo di persone viene visto in piedi in un campo quando una signora colpisce una palla.")</f>
        <v>Un piccolo gruppo di persone viene visto in piedi in un campo quando una signora colpisce una palla.</v>
      </c>
    </row>
    <row r="33357">
      <c r="A33357" s="4" t="s">
        <v>41984</v>
      </c>
      <c r="B33357" s="4" t="s">
        <v>41986</v>
      </c>
      <c r="C33357" s="5" t="str">
        <f>IFERROR(__xludf.DUMMYFUNCTION("GOOGLETRANSLATE(B33357,""en"",""it"")"),"Le persone continuano a giocare all'uncinetto sul prato mentre vanno in giro.")</f>
        <v>Le persone continuano a giocare all'uncinetto sul prato mentre vanno in giro.</v>
      </c>
    </row>
    <row r="33358">
      <c r="A33358" s="4" t="s">
        <v>41987</v>
      </c>
      <c r="B33358" s="4" t="s">
        <v>41988</v>
      </c>
      <c r="C33358" s="5" t="str">
        <f>IFERROR(__xludf.DUMMYFUNCTION("GOOGLETRANSLATE(B33358,""en"",""it"")"),"Le persone camminano di fronte a una recinzione bianca.")</f>
        <v>Le persone camminano di fronte a una recinzione bianca.</v>
      </c>
    </row>
    <row r="33359">
      <c r="A33359" s="4" t="s">
        <v>41987</v>
      </c>
      <c r="B33359" s="4" t="s">
        <v>41989</v>
      </c>
      <c r="C33359" s="5" t="str">
        <f>IFERROR(__xludf.DUMMYFUNCTION("GOOGLETRANSLATE(B33359,""en"",""it"")"),"Dietro il recinto un uomo sta cavalcando un cavallo.")</f>
        <v>Dietro il recinto un uomo sta cavalcando un cavallo.</v>
      </c>
    </row>
    <row r="33360">
      <c r="A33360" s="4" t="s">
        <v>41987</v>
      </c>
      <c r="B33360" s="4" t="s">
        <v>41990</v>
      </c>
      <c r="C33360" s="5" t="str">
        <f>IFERROR(__xludf.DUMMYFUNCTION("GOOGLETRANSLATE(B33360,""en"",""it"")"),"Stringe un polpaccio e lo getta a terra.")</f>
        <v>Stringe un polpaccio e lo getta a terra.</v>
      </c>
    </row>
    <row r="33361">
      <c r="A33361" s="4" t="s">
        <v>41987</v>
      </c>
      <c r="B33361" s="4" t="s">
        <v>41991</v>
      </c>
      <c r="C33361" s="5" t="str">
        <f>IFERROR(__xludf.DUMMYFUNCTION("GOOGLETRANSLATE(B33361,""en"",""it"")"),"Lega le gambe del vitello e si alza.")</f>
        <v>Lega le gambe del vitello e si alza.</v>
      </c>
    </row>
    <row r="33362">
      <c r="A33362" s="4" t="s">
        <v>41987</v>
      </c>
      <c r="B33362" s="4" t="s">
        <v>41992</v>
      </c>
      <c r="C33362" s="5" t="str">
        <f>IFERROR(__xludf.DUMMYFUNCTION("GOOGLETRANSLATE(B33362,""en"",""it"")"),"Torna sul suo cavallo.")</f>
        <v>Torna sul suo cavallo.</v>
      </c>
    </row>
    <row r="33363">
      <c r="A33363" s="4" t="s">
        <v>41993</v>
      </c>
      <c r="B33363" s="4" t="s">
        <v>41994</v>
      </c>
      <c r="C33363" s="5" t="str">
        <f>IFERROR(__xludf.DUMMYFUNCTION("GOOGLETRANSLATE(B33363,""en"",""it"")"),"Una persona suona Tam-Tam usando tre strumenti.")</f>
        <v>Una persona suona Tam-Tam usando tre strumenti.</v>
      </c>
    </row>
    <row r="33364">
      <c r="A33364" s="4" t="s">
        <v>41993</v>
      </c>
      <c r="B33364" s="4" t="s">
        <v>41995</v>
      </c>
      <c r="C33364" s="5" t="str">
        <f>IFERROR(__xludf.DUMMYFUNCTION("GOOGLETRANSLATE(B33364,""en"",""it"")"),"L'altro uomo suona la batteria usando due bastoncini.")</f>
        <v>L'altro uomo suona la batteria usando due bastoncini.</v>
      </c>
    </row>
    <row r="33365">
      <c r="A33365" s="4" t="s">
        <v>41996</v>
      </c>
      <c r="B33365" s="4" t="s">
        <v>41997</v>
      </c>
      <c r="C33365" s="5" t="str">
        <f>IFERROR(__xludf.DUMMYFUNCTION("GOOGLETRANSLATE(B33365,""en"",""it"")"),"Un personaggio giallo cartone animato viene mostrato che corre con tori dietro di lui.")</f>
        <v>Un personaggio giallo cartone animato viene mostrato che corre con tori dietro di lui.</v>
      </c>
    </row>
    <row r="33366">
      <c r="A33366" s="4" t="s">
        <v>41996</v>
      </c>
      <c r="B33366" s="4" t="s">
        <v>41998</v>
      </c>
      <c r="C33366" s="5" t="str">
        <f>IFERROR(__xludf.DUMMYFUNCTION("GOOGLETRANSLATE(B33366,""en"",""it"")"),"Diversi lottatori di sumo vengono quindi mostrati che scendono su una traccia.")</f>
        <v>Diversi lottatori di sumo vengono quindi mostrati che scendono su una traccia.</v>
      </c>
    </row>
    <row r="33367">
      <c r="A33367" s="4" t="s">
        <v>41996</v>
      </c>
      <c r="B33367" s="4" t="s">
        <v>41999</v>
      </c>
      <c r="C33367" s="5" t="str">
        <f>IFERROR(__xludf.DUMMYFUNCTION("GOOGLETRANSLATE(B33367,""en"",""it"")"),"Una pistola spara e corrono di nuovo.")</f>
        <v>Una pistola spara e corrono di nuovo.</v>
      </c>
    </row>
    <row r="33368">
      <c r="A33368" s="4" t="s">
        <v>42000</v>
      </c>
      <c r="B33368" s="6" t="s">
        <v>42001</v>
      </c>
      <c r="C33368" s="5" t="str">
        <f>IFERROR(__xludf.DUMMYFUNCTION("GOOGLETRANSLATE(B33368,""en"",""it"")"),"Un uomo esce e inizia a spalare la neve con la sua pala nera e molte persone passano oltre mentre lo fa.")</f>
        <v>Un uomo esce e inizia a spalare la neve con la sua pala nera e molte persone passano oltre mentre lo fa.</v>
      </c>
    </row>
    <row r="33369">
      <c r="A33369" s="4" t="s">
        <v>42000</v>
      </c>
      <c r="B33369" s="4" t="s">
        <v>42002</v>
      </c>
      <c r="C33369" s="5" t="str">
        <f>IFERROR(__xludf.DUMMYFUNCTION("GOOGLETRANSLATE(B33369,""en"",""it"")"),"Alla fine la fotocamera ingrandisce per mostrare ciò che è scritto nella grande pila di neve.")</f>
        <v>Alla fine la fotocamera ingrandisce per mostrare ciò che è scritto nella grande pila di neve.</v>
      </c>
    </row>
    <row r="33370">
      <c r="A33370" s="4" t="s">
        <v>42000</v>
      </c>
      <c r="B33370" s="6" t="s">
        <v>42003</v>
      </c>
      <c r="C33370" s="5" t="str">
        <f>IFERROR(__xludf.DUMMYFUNCTION("GOOGLETRANSLATE(B33370,""en"",""it"")"),"Le lettere creano questa frase di vacanza conosciuta nel mondo e questo è buon Natale incluso l'anno 2013.")</f>
        <v>Le lettere creano questa frase di vacanza conosciuta nel mondo e questo è buon Natale incluso l'anno 2013.</v>
      </c>
    </row>
    <row r="33371">
      <c r="A33371" s="4" t="s">
        <v>42004</v>
      </c>
      <c r="B33371" s="4" t="s">
        <v>42005</v>
      </c>
      <c r="C33371" s="5" t="str">
        <f>IFERROR(__xludf.DUMMYFUNCTION("GOOGLETRANSLATE(B33371,""en"",""it"")"),"Un uomo si mette in bici.")</f>
        <v>Un uomo si mette in bici.</v>
      </c>
    </row>
    <row r="33372">
      <c r="A33372" s="4" t="s">
        <v>42004</v>
      </c>
      <c r="B33372" s="4" t="s">
        <v>42006</v>
      </c>
      <c r="C33372" s="5" t="str">
        <f>IFERROR(__xludf.DUMMYFUNCTION("GOOGLETRANSLATE(B33372,""en"",""it"")"),"Lo pneumatico è piatto e lo sente.")</f>
        <v>Lo pneumatico è piatto e lo sente.</v>
      </c>
    </row>
    <row r="33373">
      <c r="A33373" s="4" t="s">
        <v>42004</v>
      </c>
      <c r="B33373" s="4" t="s">
        <v>42007</v>
      </c>
      <c r="C33373" s="5" t="str">
        <f>IFERROR(__xludf.DUMMYFUNCTION("GOOGLETRANSLATE(B33373,""en"",""it"")"),"Aggancia la pompa dell'aria al pneumatico.")</f>
        <v>Aggancia la pompa dell'aria al pneumatico.</v>
      </c>
    </row>
    <row r="33374">
      <c r="A33374" s="4" t="s">
        <v>42004</v>
      </c>
      <c r="B33374" s="4" t="s">
        <v>42008</v>
      </c>
      <c r="C33374" s="5" t="str">
        <f>IFERROR(__xludf.DUMMYFUNCTION("GOOGLETRANSLATE(B33374,""en"",""it"")"),"Gli strumenti sono seduti su un muro di mattoni.")</f>
        <v>Gli strumenti sono seduti su un muro di mattoni.</v>
      </c>
    </row>
    <row r="33375">
      <c r="A33375" s="4" t="s">
        <v>42004</v>
      </c>
      <c r="B33375" s="4" t="s">
        <v>42009</v>
      </c>
      <c r="C33375" s="5" t="str">
        <f>IFERROR(__xludf.DUMMYFUNCTION("GOOGLETRANSLATE(B33375,""en"",""it"")"),"Si capovolge la bici per guardare la gomma.")</f>
        <v>Si capovolge la bici per guardare la gomma.</v>
      </c>
    </row>
    <row r="33376">
      <c r="A33376" s="4" t="s">
        <v>42004</v>
      </c>
      <c r="B33376" s="4" t="s">
        <v>42010</v>
      </c>
      <c r="C33376" s="5" t="str">
        <f>IFERROR(__xludf.DUMMYFUNCTION("GOOGLETRANSLATE(B33376,""en"",""it"")"),"Si toglie un dado dalla ruota per togliere la gomma.")</f>
        <v>Si toglie un dado dalla ruota per togliere la gomma.</v>
      </c>
    </row>
    <row r="33377">
      <c r="A33377" s="4" t="s">
        <v>42004</v>
      </c>
      <c r="B33377" s="4" t="s">
        <v>42011</v>
      </c>
      <c r="C33377" s="5" t="str">
        <f>IFERROR(__xludf.DUMMYFUNCTION("GOOGLETRANSLATE(B33377,""en"",""it"")"),"Usa uno strumento per togliere lo pneumatico dalla ruota.")</f>
        <v>Usa uno strumento per togliere lo pneumatico dalla ruota.</v>
      </c>
    </row>
    <row r="33378">
      <c r="A33378" s="4" t="s">
        <v>42004</v>
      </c>
      <c r="B33378" s="4" t="s">
        <v>42012</v>
      </c>
      <c r="C33378" s="5" t="str">
        <f>IFERROR(__xludf.DUMMYFUNCTION("GOOGLETRANSLATE(B33378,""en"",""it"")"),"Pompa una pompa e poi la riempie di acqua.")</f>
        <v>Pompa una pompa e poi la riempie di acqua.</v>
      </c>
    </row>
    <row r="33379">
      <c r="A33379" s="4" t="s">
        <v>42004</v>
      </c>
      <c r="B33379" s="4" t="s">
        <v>42013</v>
      </c>
      <c r="C33379" s="5" t="str">
        <f>IFERROR(__xludf.DUMMYFUNCTION("GOOGLETRANSLATE(B33379,""en"",""it"")"),"Strofina il gesso sulla gomma e ci mette in colla.")</f>
        <v>Strofina il gesso sulla gomma e ci mette in colla.</v>
      </c>
    </row>
    <row r="33380">
      <c r="A33380" s="4" t="s">
        <v>42004</v>
      </c>
      <c r="B33380" s="4" t="s">
        <v>42014</v>
      </c>
      <c r="C33380" s="5" t="str">
        <f>IFERROR(__xludf.DUMMYFUNCTION("GOOGLETRANSLATE(B33380,""en"",""it"")"),"Mette la gomma sul volante.")</f>
        <v>Mette la gomma sul volante.</v>
      </c>
    </row>
    <row r="33381">
      <c r="A33381" s="4" t="s">
        <v>42004</v>
      </c>
      <c r="B33381" s="4" t="s">
        <v>42015</v>
      </c>
      <c r="C33381" s="5" t="str">
        <f>IFERROR(__xludf.DUMMYFUNCTION("GOOGLETRANSLATE(B33381,""en"",""it"")"),"Mette la pompa dell'aria e la riempie di aria.")</f>
        <v>Mette la pompa dell'aria e la riempie di aria.</v>
      </c>
    </row>
    <row r="33382">
      <c r="A33382" s="4" t="s">
        <v>42004</v>
      </c>
      <c r="B33382" s="4" t="s">
        <v>42016</v>
      </c>
      <c r="C33382" s="5" t="str">
        <f>IFERROR(__xludf.DUMMYFUNCTION("GOOGLETRANSLATE(B33382,""en"",""it"")"),"Si mette in bicicletta e va via.")</f>
        <v>Si mette in bicicletta e va via.</v>
      </c>
    </row>
    <row r="33383">
      <c r="A33383" s="4" t="s">
        <v>42017</v>
      </c>
      <c r="B33383" s="6" t="s">
        <v>42018</v>
      </c>
      <c r="C33383" s="5" t="str">
        <f>IFERROR(__xludf.DUMMYFUNCTION("GOOGLETRANSLATE(B33383,""en"",""it"")"),"Una donna è vista in piedi dietro un contrafforte che parla alla telecamera e indica vari ingredienti.")</f>
        <v>Una donna è vista in piedi dietro un contrafforte che parla alla telecamera e indica vari ingredienti.</v>
      </c>
    </row>
    <row r="33384">
      <c r="A33384" s="4" t="s">
        <v>42017</v>
      </c>
      <c r="B33384" s="4" t="s">
        <v>42019</v>
      </c>
      <c r="C33384" s="5" t="str">
        <f>IFERROR(__xludf.DUMMYFUNCTION("GOOGLETRANSLATE(B33384,""en"",""it"")"),"Versa olio in una padella calda e inizia a mescolare gli ingredienti insieme nella padella.")</f>
        <v>Versa olio in una padella calda e inizia a mescolare gli ingredienti insieme nella padella.</v>
      </c>
    </row>
    <row r="33385">
      <c r="A33385" s="4" t="s">
        <v>42017</v>
      </c>
      <c r="B33385" s="4" t="s">
        <v>42020</v>
      </c>
      <c r="C33385" s="5" t="str">
        <f>IFERROR(__xludf.DUMMYFUNCTION("GOOGLETRANSLATE(B33385,""en"",""it"")"),"Fa bollire i noodles in una pentola e lo mescola insieme nella padella e lo serve su un piatto.")</f>
        <v>Fa bollire i noodles in una pentola e lo mescola insieme nella padella e lo serve su un piatto.</v>
      </c>
    </row>
    <row r="33386">
      <c r="A33386" s="4" t="s">
        <v>42021</v>
      </c>
      <c r="B33386" s="6" t="s">
        <v>42022</v>
      </c>
      <c r="C33386" s="5" t="str">
        <f>IFERROR(__xludf.DUMMYFUNCTION("GOOGLETRANSLATE(B33386,""en"",""it"")"),"Una ragazza in costume da bagno a un pezzo inizia a camminare su un tabellone che si trova in una grande area di piscina interna con molte persone sugli spalti.")</f>
        <v>Una ragazza in costume da bagno a un pezzo inizia a camminare su un tabellone che si trova in una grande area di piscina interna con molte persone sugli spalti.</v>
      </c>
    </row>
    <row r="33387">
      <c r="A33387" s="4" t="s">
        <v>42021</v>
      </c>
      <c r="B33387" s="4" t="s">
        <v>42023</v>
      </c>
      <c r="C33387" s="5" t="str">
        <f>IFERROR(__xludf.DUMMYFUNCTION("GOOGLETRANSLATE(B33387,""en"",""it"")"),"Quando la ragazza arriva alla fine del tabellone, salta e poi gira e gira in piscina.")</f>
        <v>Quando la ragazza arriva alla fine del tabellone, salta e poi gira e gira in piscina.</v>
      </c>
    </row>
    <row r="33388">
      <c r="A33388" s="4" t="s">
        <v>42021</v>
      </c>
      <c r="B33388" s="4" t="s">
        <v>42024</v>
      </c>
      <c r="C33388" s="5" t="str">
        <f>IFERROR(__xludf.DUMMYFUNCTION("GOOGLETRANSLATE(B33388,""en"",""it"")"),"Quando la ragazza colpisce l'acqua, fa un piccolo tuffo.")</f>
        <v>Quando la ragazza colpisce l'acqua, fa un piccolo tuffo.</v>
      </c>
    </row>
    <row r="33389">
      <c r="A33389" s="4" t="s">
        <v>42025</v>
      </c>
      <c r="B33389" s="4" t="s">
        <v>42026</v>
      </c>
      <c r="C33389" s="5" t="str">
        <f>IFERROR(__xludf.DUMMYFUNCTION("GOOGLETRANSLATE(B33389,""en"",""it"")"),"Un uomo viene visto ripulire un bagno quando cammina in un telaio e porta in un articolo di notizie.")</f>
        <v>Un uomo viene visto ripulire un bagno quando cammina in un telaio e porta in un articolo di notizie.</v>
      </c>
    </row>
    <row r="33390">
      <c r="A33390" s="4" t="s">
        <v>42025</v>
      </c>
      <c r="B33390" s="6" t="s">
        <v>42027</v>
      </c>
      <c r="C33390" s="5" t="str">
        <f>IFERROR(__xludf.DUMMYFUNCTION("GOOGLETRANSLATE(B33390,""en"",""it"")"),"Una foto di un segno viene mostrata seguita da una persona che si lava le mani e dalle clip di programmi TV.")</f>
        <v>Una foto di un segno viene mostrata seguita da una persona che si lava le mani e dalle clip di programmi TV.</v>
      </c>
    </row>
    <row r="33391">
      <c r="A33391" s="4" t="s">
        <v>42025</v>
      </c>
      <c r="B33391" s="4" t="s">
        <v>42028</v>
      </c>
      <c r="C33391" s="5" t="str">
        <f>IFERROR(__xludf.DUMMYFUNCTION("GOOGLETRANSLATE(B33391,""en"",""it"")"),"Vengono mostrati altri colpi e termina con le persone che camminano in metropolitana.")</f>
        <v>Vengono mostrati altri colpi e termina con le persone che camminano in metropolitana.</v>
      </c>
    </row>
    <row r="33392">
      <c r="A33392" s="4" t="s">
        <v>42029</v>
      </c>
      <c r="B33392" s="6" t="s">
        <v>42030</v>
      </c>
      <c r="C33392" s="5" t="str">
        <f>IFERROR(__xludf.DUMMYFUNCTION("GOOGLETRANSLATE(B33392,""en"",""it"")"),"Una visione sfocata mostra due persone in palestra con un pugno e un calcio con gli altri guanti.")</f>
        <v>Una visione sfocata mostra due persone in palestra con un pugno e un calcio con gli altri guanti.</v>
      </c>
    </row>
    <row r="33393">
      <c r="A33393" s="4" t="s">
        <v>42029</v>
      </c>
      <c r="B33393" s="4" t="s">
        <v>42031</v>
      </c>
      <c r="C33393" s="5" t="str">
        <f>IFERROR(__xludf.DUMMYFUNCTION("GOOGLETRANSLATE(B33393,""en"",""it"")"),"I due continuano a muoversi in palestra a praticare i loro calci e pugni.")</f>
        <v>I due continuano a muoversi in palestra a praticare i loro calci e pugni.</v>
      </c>
    </row>
    <row r="33394">
      <c r="A33394" s="4" t="s">
        <v>42032</v>
      </c>
      <c r="B33394" s="4" t="s">
        <v>42033</v>
      </c>
      <c r="C33394" s="5" t="str">
        <f>IFERROR(__xludf.DUMMYFUNCTION("GOOGLETRANSLATE(B33394,""en"",""it"")"),"C'è un'auto da corsa di colore nero e rosso in un parcheggio.")</f>
        <v>C'è un'auto da corsa di colore nero e rosso in un parcheggio.</v>
      </c>
    </row>
    <row r="33395">
      <c r="A33395" s="4" t="s">
        <v>42032</v>
      </c>
      <c r="B33395" s="4" t="s">
        <v>42034</v>
      </c>
      <c r="C33395" s="5" t="str">
        <f>IFERROR(__xludf.DUMMYFUNCTION("GOOGLETRANSLATE(B33395,""en"",""it"")"),"Un uomo che indossa pantaloncini beige inizia a pulire la macchina da corsa nera con un panno e uno spray.")</f>
        <v>Un uomo che indossa pantaloncini beige inizia a pulire la macchina da corsa nera con un panno e uno spray.</v>
      </c>
    </row>
    <row r="33396">
      <c r="A33396" s="4" t="s">
        <v>42032</v>
      </c>
      <c r="B33396" s="4" t="s">
        <v>42035</v>
      </c>
      <c r="C33396" s="5" t="str">
        <f>IFERROR(__xludf.DUMMYFUNCTION("GOOGLETRANSLATE(B33396,""en"",""it"")"),"Si asciuga l'auto per renderla lucida e pulita.")</f>
        <v>Si asciuga l'auto per renderla lucida e pulita.</v>
      </c>
    </row>
    <row r="33397">
      <c r="A33397" s="4" t="s">
        <v>42032</v>
      </c>
      <c r="B33397" s="4" t="s">
        <v>42036</v>
      </c>
      <c r="C33397" s="5" t="str">
        <f>IFERROR(__xludf.DUMMYFUNCTION("GOOGLETRANSLATE(B33397,""en"",""it"")"),"Entrambe le auto sono parcheggiate nel parcheggio, che sembrano pulite e scintillanti dopo un autolavaggio.")</f>
        <v>Entrambe le auto sono parcheggiate nel parcheggio, che sembrano pulite e scintillanti dopo un autolavaggio.</v>
      </c>
    </row>
    <row r="33398">
      <c r="A33398" s="4" t="s">
        <v>42032</v>
      </c>
      <c r="B33398" s="4" t="s">
        <v>42037</v>
      </c>
      <c r="C33398" s="5" t="str">
        <f>IFERROR(__xludf.DUMMYFUNCTION("GOOGLETRANSLATE(B33398,""en"",""it"")"),"Informazioni sul lavoro manuale, l'autolavaggio mobile senza acqua è mostrato sullo schermo.")</f>
        <v>Informazioni sul lavoro manuale, l'autolavaggio mobile senza acqua è mostrato sullo schermo.</v>
      </c>
    </row>
    <row r="33399">
      <c r="A33399" s="4" t="s">
        <v>42038</v>
      </c>
      <c r="B33399" s="4" t="s">
        <v>42039</v>
      </c>
      <c r="C33399" s="5" t="str">
        <f>IFERROR(__xludf.DUMMYFUNCTION("GOOGLETRANSLATE(B33399,""en"",""it"")"),"Un piccolo gruppo di persone è visto in piedi intorno a un grande cavallo in un fienile pieno di fieno.")</f>
        <v>Un piccolo gruppo di persone è visto in piedi intorno a un grande cavallo in un fienile pieno di fieno.</v>
      </c>
    </row>
    <row r="33400">
      <c r="A33400" s="4" t="s">
        <v>42038</v>
      </c>
      <c r="B33400" s="4" t="s">
        <v>42040</v>
      </c>
      <c r="C33400" s="5" t="str">
        <f>IFERROR(__xludf.DUMMYFUNCTION("GOOGLETRANSLATE(B33400,""en"",""it"")"),"La gente spazzola il cavallo lungo i lati quando una donna torna per parlare con loro.")</f>
        <v>La gente spazzola il cavallo lungo i lati quando una donna torna per parlare con loro.</v>
      </c>
    </row>
    <row r="33401">
      <c r="A33401" s="4" t="s">
        <v>42041</v>
      </c>
      <c r="B33401" s="6" t="s">
        <v>42042</v>
      </c>
      <c r="C33401" s="5" t="str">
        <f>IFERROR(__xludf.DUMMYFUNCTION("GOOGLETRANSLATE(B33401,""en"",""it"")"),"Un uomo viene visto andare in bicicletta al rallentatore con una bandiera nella parte posteriore e conduce in diverse clip di persone di tutte le età in bicicletta.")</f>
        <v>Un uomo viene visto andare in bicicletta al rallentatore con una bandiera nella parte posteriore e conduce in diverse clip di persone di tutte le età in bicicletta.</v>
      </c>
    </row>
    <row r="33402">
      <c r="A33402" s="4" t="s">
        <v>42041</v>
      </c>
      <c r="B33402" s="6" t="s">
        <v>42043</v>
      </c>
      <c r="C33402" s="5" t="str">
        <f>IFERROR(__xludf.DUMMYFUNCTION("GOOGLETRANSLATE(B33402,""en"",""it"")"),"Le persone continuano a cavalcare il campo da terra mentre altri si trovano pronti sulle loro bici e interagiscono tra loro.")</f>
        <v>Le persone continuano a cavalcare il campo da terra mentre altri si trovano pronti sulle loro bici e interagiscono tra loro.</v>
      </c>
    </row>
    <row r="33403">
      <c r="A33403" s="4" t="s">
        <v>42044</v>
      </c>
      <c r="B33403" s="4" t="s">
        <v>42045</v>
      </c>
      <c r="C33403" s="5" t="str">
        <f>IFERROR(__xludf.DUMMYFUNCTION("GOOGLETRANSLATE(B33403,""en"",""it"")"),"Un bastoncino di colla è mostrato su un tavolo.")</f>
        <v>Un bastoncino di colla è mostrato su un tavolo.</v>
      </c>
    </row>
    <row r="33404">
      <c r="A33404" s="4" t="s">
        <v>42044</v>
      </c>
      <c r="B33404" s="4" t="s">
        <v>42046</v>
      </c>
      <c r="C33404" s="5" t="str">
        <f>IFERROR(__xludf.DUMMYFUNCTION("GOOGLETRANSLATE(B33404,""en"",""it"")"),"Una coppia di forbici è su un tavolo.")</f>
        <v>Una coppia di forbici è su un tavolo.</v>
      </c>
    </row>
    <row r="33405">
      <c r="A33405" s="4" t="s">
        <v>42044</v>
      </c>
      <c r="B33405" s="4" t="s">
        <v>42047</v>
      </c>
      <c r="C33405" s="5" t="str">
        <f>IFERROR(__xludf.DUMMYFUNCTION("GOOGLETRANSLATE(B33405,""en"",""it"")"),"Una persona sale su un computer e stampa qualcosa.")</f>
        <v>Una persona sale su un computer e stampa qualcosa.</v>
      </c>
    </row>
    <row r="33406">
      <c r="A33406" s="4" t="s">
        <v>42044</v>
      </c>
      <c r="B33406" s="4" t="s">
        <v>42048</v>
      </c>
      <c r="C33406" s="5" t="str">
        <f>IFERROR(__xludf.DUMMYFUNCTION("GOOGLETRANSLATE(B33406,""en"",""it"")"),"Lo attaccano alla loro porta.")</f>
        <v>Lo attaccano alla loro porta.</v>
      </c>
    </row>
    <row r="33407">
      <c r="A33407" s="4" t="s">
        <v>42049</v>
      </c>
      <c r="B33407" s="4" t="s">
        <v>41967</v>
      </c>
      <c r="C33407" s="5" t="str">
        <f>IFERROR(__xludf.DUMMYFUNCTION("GOOGLETRANSLATE(B33407,""en"",""it"")"),"Vediamo persone che cavalcano macchine per paraurti.")</f>
        <v>Vediamo persone che cavalcano macchine per paraurti.</v>
      </c>
    </row>
    <row r="33408">
      <c r="A33408" s="4" t="s">
        <v>42049</v>
      </c>
      <c r="B33408" s="4" t="s">
        <v>42050</v>
      </c>
      <c r="C33408" s="5" t="str">
        <f>IFERROR(__xludf.DUMMYFUNCTION("GOOGLETRANSLATE(B33408,""en"",""it"")"),"Un uomo è in macchina con un bambino.")</f>
        <v>Un uomo è in macchina con un bambino.</v>
      </c>
    </row>
    <row r="33409">
      <c r="A33409" s="4" t="s">
        <v>42049</v>
      </c>
      <c r="B33409" s="4" t="s">
        <v>42051</v>
      </c>
      <c r="C33409" s="5" t="str">
        <f>IFERROR(__xludf.DUMMYFUNCTION("GOOGLETRANSLATE(B33409,""en"",""it"")"),"Vediamo un'auto arancione entrare nello schermo seguito da un'auto d'oro.")</f>
        <v>Vediamo un'auto arancione entrare nello schermo seguito da un'auto d'oro.</v>
      </c>
    </row>
    <row r="33410">
      <c r="A33410" s="4" t="s">
        <v>42052</v>
      </c>
      <c r="B33410" s="4" t="s">
        <v>42053</v>
      </c>
      <c r="C33410" s="5" t="str">
        <f>IFERROR(__xludf.DUMMYFUNCTION("GOOGLETRANSLATE(B33410,""en"",""it"")"),"L'uomo è in una specie di Somervault in onda.")</f>
        <v>L'uomo è in una specie di Somervault in onda.</v>
      </c>
    </row>
    <row r="33411">
      <c r="A33411" s="4" t="s">
        <v>42052</v>
      </c>
      <c r="B33411" s="4" t="s">
        <v>42054</v>
      </c>
      <c r="C33411" s="5" t="str">
        <f>IFERROR(__xludf.DUMMYFUNCTION("GOOGLETRANSLATE(B33411,""en"",""it"")"),"L'uomo fa il grande salto in aria e atterra in una bici e stat che lo cavalca.")</f>
        <v>L'uomo fa il grande salto in aria e atterra in una bici e stat che lo cavalca.</v>
      </c>
    </row>
    <row r="33412">
      <c r="A33412" s="4" t="s">
        <v>42052</v>
      </c>
      <c r="B33412" s="4" t="s">
        <v>42055</v>
      </c>
      <c r="C33412" s="5" t="str">
        <f>IFERROR(__xludf.DUMMYFUNCTION("GOOGLETRANSLATE(B33412,""en"",""it"")"),"Gli uomini sono oscillati in un cortile erboso verde.")</f>
        <v>Gli uomini sono oscillati in un cortile erboso verde.</v>
      </c>
    </row>
    <row r="33413">
      <c r="A33413" s="4" t="s">
        <v>42056</v>
      </c>
      <c r="B33413" s="6" t="s">
        <v>42057</v>
      </c>
      <c r="C33413" s="5" t="str">
        <f>IFERROR(__xludf.DUMMYFUNCTION("GOOGLETRANSLATE(B33413,""en"",""it"")"),"Un uomo con una giacca rossa e pantaloni grigi cammina attraverso una linea allentata nel mezzo delle montagne.")</f>
        <v>Un uomo con una giacca rossa e pantaloni grigi cammina attraverso una linea allentata nel mezzo delle montagne.</v>
      </c>
    </row>
    <row r="33414">
      <c r="A33414" s="4" t="s">
        <v>42056</v>
      </c>
      <c r="B33414" s="4" t="s">
        <v>42058</v>
      </c>
      <c r="C33414" s="5" t="str">
        <f>IFERROR(__xludf.DUMMYFUNCTION("GOOGLETRANSLATE(B33414,""en"",""it"")"),"Mentre sta cercando di stringere la corda, cade e non è mai in grado di alzarsi.")</f>
        <v>Mentre sta cercando di stringere la corda, cade e non è mai in grado di alzarsi.</v>
      </c>
    </row>
    <row r="33415">
      <c r="A33415" s="4" t="s">
        <v>42056</v>
      </c>
      <c r="B33415" s="4" t="s">
        <v>42059</v>
      </c>
      <c r="C33415" s="5" t="str">
        <f>IFERROR(__xludf.DUMMYFUNCTION("GOOGLETRANSLATE(B33415,""en"",""it"")"),"Anche se non è in grado di alzarsi, aggrappa e inizia a rimbalzare su e giù a testa in giù.")</f>
        <v>Anche se non è in grado di alzarsi, aggrappa e inizia a rimbalzare su e giù a testa in giù.</v>
      </c>
    </row>
    <row r="33416">
      <c r="A33416" s="4" t="s">
        <v>42060</v>
      </c>
      <c r="B33416" s="4" t="s">
        <v>42061</v>
      </c>
      <c r="C33416" s="5" t="str">
        <f>IFERROR(__xludf.DUMMYFUNCTION("GOOGLETRANSLATE(B33416,""en"",""it"")"),"L'uomo sta camminando in un cortile agitare l'albero tiene una scopa e spazza le foglie asciutte sul pavimento.")</f>
        <v>L'uomo sta camminando in un cortile agitare l'albero tiene una scopa e spazza le foglie asciutte sul pavimento.</v>
      </c>
    </row>
    <row r="33417">
      <c r="A33417" s="4" t="s">
        <v>42060</v>
      </c>
      <c r="B33417" s="4" t="s">
        <v>42062</v>
      </c>
      <c r="C33417" s="5" t="str">
        <f>IFERROR(__xludf.DUMMYFUNCTION("GOOGLETRANSLATE(B33417,""en"",""it"")"),"L'uomo scegli una paletta e una borsa e raccogli le foglie dal pavimento.")</f>
        <v>L'uomo scegli una paletta e una borsa e raccogli le foglie dal pavimento.</v>
      </c>
    </row>
    <row r="33418">
      <c r="A33418" s="4" t="s">
        <v>42063</v>
      </c>
      <c r="B33418" s="4" t="s">
        <v>42064</v>
      </c>
      <c r="C33418" s="5" t="str">
        <f>IFERROR(__xludf.DUMMYFUNCTION("GOOGLETRANSLATE(B33418,""en"",""it"")"),"Un uomo sta creando telecamere e illuminazione in background per alcune riprese video.")</f>
        <v>Un uomo sta creando telecamere e illuminazione in background per alcune riprese video.</v>
      </c>
    </row>
    <row r="33419">
      <c r="A33419" s="4" t="s">
        <v>42063</v>
      </c>
      <c r="B33419" s="4" t="s">
        <v>42065</v>
      </c>
      <c r="C33419" s="5" t="str">
        <f>IFERROR(__xludf.DUMMYFUNCTION("GOOGLETRANSLATE(B33419,""en"",""it"")"),"Un uomo è su una macchina in piedi e usa solo le braccia e i piedi per muoverci.")</f>
        <v>Un uomo è su una macchina in piedi e usa solo le braccia e i piedi per muoverci.</v>
      </c>
    </row>
    <row r="33420">
      <c r="A33420" s="4" t="s">
        <v>42063</v>
      </c>
      <c r="B33420" s="4" t="s">
        <v>42066</v>
      </c>
      <c r="C33420" s="5" t="str">
        <f>IFERROR(__xludf.DUMMYFUNCTION("GOOGLETRANSLATE(B33420,""en"",""it"")"),"Quindi una donna ci sale prendendo il posto dell'uomo e usa la macchina.")</f>
        <v>Quindi una donna ci sale prendendo il posto dell'uomo e usa la macchina.</v>
      </c>
    </row>
    <row r="33421">
      <c r="A33421" s="4" t="s">
        <v>42063</v>
      </c>
      <c r="B33421" s="4" t="s">
        <v>42067</v>
      </c>
      <c r="C33421" s="5" t="str">
        <f>IFERROR(__xludf.DUMMYFUNCTION("GOOGLETRANSLATE(B33421,""en"",""it"")"),"Stanno creando una pubblicità commerciale per gli spettatori televisivi.")</f>
        <v>Stanno creando una pubblicità commerciale per gli spettatori televisivi.</v>
      </c>
    </row>
    <row r="33422">
      <c r="A33422" s="4" t="s">
        <v>42068</v>
      </c>
      <c r="B33422" s="4" t="s">
        <v>42069</v>
      </c>
      <c r="C33422" s="5" t="str">
        <f>IFERROR(__xludf.DUMMYFUNCTION("GOOGLETRANSLATE(B33422,""en"",""it"")"),"L'uomo sta parlando con la telecamera in uno studio di notizie e Sart parla con un uomo che fa parte di una band.")</f>
        <v>L'uomo sta parlando con la telecamera in uno studio di notizie e Sart parla con un uomo che fa parte di una band.</v>
      </c>
    </row>
    <row r="33423">
      <c r="A33423" s="4" t="s">
        <v>42068</v>
      </c>
      <c r="B33423" s="4" t="s">
        <v>42070</v>
      </c>
      <c r="C33423" s="5" t="str">
        <f>IFERROR(__xludf.DUMMYFUNCTION("GOOGLETRANSLATE(B33423,""en"",""it"")"),"La band è in un palco, gli uomini suonano la batteria.")</f>
        <v>La band è in un palco, gli uomini suonano la batteria.</v>
      </c>
    </row>
    <row r="33424">
      <c r="A33424" s="4" t="s">
        <v>42068</v>
      </c>
      <c r="B33424" s="4" t="s">
        <v>42071</v>
      </c>
      <c r="C33424" s="5" t="str">
        <f>IFERROR(__xludf.DUMMYFUNCTION("GOOGLETRANSLATE(B33424,""en"",""it"")"),"L'uomo è di nuovo in News Studio con la band e l'uomo inizia a posare la batteria.")</f>
        <v>L'uomo è di nuovo in News Studio con la band e l'uomo inizia a posare la batteria.</v>
      </c>
    </row>
    <row r="33425">
      <c r="A33425" s="4" t="s">
        <v>42072</v>
      </c>
      <c r="B33425" s="4" t="s">
        <v>42073</v>
      </c>
      <c r="C33425" s="5" t="str">
        <f>IFERROR(__xludf.DUMMYFUNCTION("GOOGLETRANSLATE(B33425,""en"",""it"")"),"Vediamo persone che cavalcano in auto paraurti.")</f>
        <v>Vediamo persone che cavalcano in auto paraurti.</v>
      </c>
    </row>
    <row r="33426">
      <c r="A33426" s="4" t="s">
        <v>42072</v>
      </c>
      <c r="B33426" s="4" t="s">
        <v>42074</v>
      </c>
      <c r="C33426" s="5" t="str">
        <f>IFERROR(__xludf.DUMMYFUNCTION("GOOGLETRANSLATE(B33426,""en"",""it"")"),"Una ragazza sta salutando il giocattolo di Frilly.")</f>
        <v>Una ragazza sta salutando il giocattolo di Frilly.</v>
      </c>
    </row>
    <row r="33427">
      <c r="A33427" s="4" t="s">
        <v>42072</v>
      </c>
      <c r="B33427" s="4" t="s">
        <v>42075</v>
      </c>
      <c r="C33427" s="5" t="str">
        <f>IFERROR(__xludf.DUMMYFUNCTION("GOOGLETRANSLATE(B33427,""en"",""it"")"),"Un ragazzino in grigio sorride alla telecamera.")</f>
        <v>Un ragazzino in grigio sorride alla telecamera.</v>
      </c>
    </row>
    <row r="33428">
      <c r="A33428" s="4" t="s">
        <v>42072</v>
      </c>
      <c r="B33428" s="4" t="s">
        <v>42076</v>
      </c>
      <c r="C33428" s="5" t="str">
        <f>IFERROR(__xludf.DUMMYFUNCTION("GOOGLETRANSLATE(B33428,""en"",""it"")"),"Vediamo un uomo con un cappello rosso con un ragazzo che ride forte.")</f>
        <v>Vediamo un uomo con un cappello rosso con un ragazzo che ride forte.</v>
      </c>
    </row>
    <row r="33429">
      <c r="A33429" s="4" t="s">
        <v>42072</v>
      </c>
      <c r="B33429" s="4" t="s">
        <v>42077</v>
      </c>
      <c r="C33429" s="5" t="str">
        <f>IFERROR(__xludf.DUMMYFUNCTION("GOOGLETRANSLATE(B33429,""en"",""it"")"),"Vediamo un ingorgo a destra.")</f>
        <v>Vediamo un ingorgo a destra.</v>
      </c>
    </row>
    <row r="33430">
      <c r="A33430" s="4" t="s">
        <v>42072</v>
      </c>
      <c r="B33430" s="4" t="s">
        <v>42078</v>
      </c>
      <c r="C33430" s="5" t="str">
        <f>IFERROR(__xludf.DUMMYFUNCTION("GOOGLETRANSLATE(B33430,""en"",""it"")"),"Ingrandiamo una signora con una camicia bianca.")</f>
        <v>Ingrandiamo una signora con una camicia bianca.</v>
      </c>
    </row>
    <row r="33431">
      <c r="A33431" s="4" t="s">
        <v>42072</v>
      </c>
      <c r="B33431" s="4" t="s">
        <v>42079</v>
      </c>
      <c r="C33431" s="5" t="str">
        <f>IFERROR(__xludf.DUMMYFUNCTION("GOOGLETRANSLATE(B33431,""en"",""it"")"),"La signora in bianco sorride alla telecamera.")</f>
        <v>La signora in bianco sorride alla telecamera.</v>
      </c>
    </row>
    <row r="33432">
      <c r="A33432" s="4" t="s">
        <v>42072</v>
      </c>
      <c r="B33432" s="4" t="s">
        <v>42080</v>
      </c>
      <c r="C33432" s="5" t="str">
        <f>IFERROR(__xludf.DUMMYFUNCTION("GOOGLETRANSLATE(B33432,""en"",""it"")"),"La corsa termina e le persone si alzano tutte.")</f>
        <v>La corsa termina e le persone si alzano tutte.</v>
      </c>
    </row>
    <row r="33433">
      <c r="A33433" s="4" t="s">
        <v>42081</v>
      </c>
      <c r="B33433" s="4" t="s">
        <v>42082</v>
      </c>
      <c r="C33433" s="5" t="str">
        <f>IFERROR(__xludf.DUMMYFUNCTION("GOOGLETRANSLATE(B33433,""en"",""it"")"),"Un uomo in uniforme atletica inizia a oscillare una palla e una corda intorno.")</f>
        <v>Un uomo in uniforme atletica inizia a oscillare una palla e una corda intorno.</v>
      </c>
    </row>
    <row r="33434">
      <c r="A33434" s="4" t="s">
        <v>42081</v>
      </c>
      <c r="B33434" s="4" t="s">
        <v>42083</v>
      </c>
      <c r="C33434" s="5" t="str">
        <f>IFERROR(__xludf.DUMMYFUNCTION("GOOGLETRANSLATE(B33434,""en"",""it"")"),"Lascia andare e la palla colpisce lo schermo mentre cade a terra.")</f>
        <v>Lascia andare e la palla colpisce lo schermo mentre cade a terra.</v>
      </c>
    </row>
    <row r="33435">
      <c r="A33435" s="4" t="s">
        <v>42081</v>
      </c>
      <c r="B33435" s="4" t="s">
        <v>42084</v>
      </c>
      <c r="C33435" s="5" t="str">
        <f>IFERROR(__xludf.DUMMYFUNCTION("GOOGLETRANSLATE(B33435,""en"",""it"")"),"Il video viene riprodotto a varie velocità.")</f>
        <v>Il video viene riprodotto a varie velocità.</v>
      </c>
    </row>
    <row r="33436">
      <c r="A33436" s="4" t="s">
        <v>42085</v>
      </c>
      <c r="B33436" s="4" t="s">
        <v>42086</v>
      </c>
      <c r="C33436" s="5" t="str">
        <f>IFERROR(__xludf.DUMMYFUNCTION("GOOGLETRANSLATE(B33436,""en"",""it"")"),"Un bambino piccolo viene visto seduto su un set altalena quando un uomo più anziano si avvicinava e spinge.")</f>
        <v>Un bambino piccolo viene visto seduto su un set altalena quando un uomo più anziano si avvicinava e spinge.</v>
      </c>
    </row>
    <row r="33437">
      <c r="A33437" s="4" t="s">
        <v>42085</v>
      </c>
      <c r="B33437" s="6" t="s">
        <v>42087</v>
      </c>
      <c r="C33437" s="5" t="str">
        <f>IFERROR(__xludf.DUMMYFUNCTION("GOOGLETRANSLATE(B33437,""en"",""it"")"),"Il ragazzo si sposta indietro e quarto sull'altalena e conduce al ragazzo che salta via e l'uomo sembra sorpreso.")</f>
        <v>Il ragazzo si sposta indietro e quarto sull'altalena e conduce al ragazzo che salta via e l'uomo sembra sorpreso.</v>
      </c>
    </row>
    <row r="33438">
      <c r="A33438" s="4" t="s">
        <v>42088</v>
      </c>
      <c r="B33438" s="4" t="s">
        <v>42089</v>
      </c>
      <c r="C33438" s="5" t="str">
        <f>IFERROR(__xludf.DUMMYFUNCTION("GOOGLETRANSLATE(B33438,""en"",""it"")"),"Vediamo un uomo e la scena introduttiva.")</f>
        <v>Vediamo un uomo e la scena introduttiva.</v>
      </c>
    </row>
    <row r="33439">
      <c r="A33439" s="4" t="s">
        <v>42088</v>
      </c>
      <c r="B33439" s="4" t="s">
        <v>42090</v>
      </c>
      <c r="C33439" s="5" t="str">
        <f>IFERROR(__xludf.DUMMYFUNCTION("GOOGLETRANSLATE(B33439,""en"",""it"")"),"Un uomo in cucina ha coltelli e un blocco di affiliazione.")</f>
        <v>Un uomo in cucina ha coltelli e un blocco di affiliazione.</v>
      </c>
    </row>
    <row r="33440">
      <c r="A33440" s="4" t="s">
        <v>42088</v>
      </c>
      <c r="B33440" s="4" t="s">
        <v>42091</v>
      </c>
      <c r="C33440" s="5" t="str">
        <f>IFERROR(__xludf.DUMMYFUNCTION("GOOGLETRANSLATE(B33440,""en"",""it"")"),"L'uomo bagna il blocco e corre un coltello su due blocchi diversi.")</f>
        <v>L'uomo bagna il blocco e corre un coltello su due blocchi diversi.</v>
      </c>
    </row>
    <row r="33441">
      <c r="A33441" s="4" t="s">
        <v>42088</v>
      </c>
      <c r="B33441" s="4" t="s">
        <v>42092</v>
      </c>
      <c r="C33441" s="5" t="str">
        <f>IFERROR(__xludf.DUMMYFUNCTION("GOOGLETRANSLATE(B33441,""en"",""it"")"),"L'uomo afferra un palo e affila il coltello su di esso.")</f>
        <v>L'uomo afferra un palo e affila il coltello su di esso.</v>
      </c>
    </row>
    <row r="33442">
      <c r="A33442" s="4" t="s">
        <v>42088</v>
      </c>
      <c r="B33442" s="4" t="s">
        <v>42093</v>
      </c>
      <c r="C33442" s="5" t="str">
        <f>IFERROR(__xludf.DUMMYFUNCTION("GOOGLETRANSLATE(B33442,""en"",""it"")"),"L'uomo si asciuga il coltello su un asciugamano.")</f>
        <v>L'uomo si asciuga il coltello su un asciugamano.</v>
      </c>
    </row>
    <row r="33443">
      <c r="A33443" s="4" t="s">
        <v>42088</v>
      </c>
      <c r="B33443" s="4" t="s">
        <v>42094</v>
      </c>
      <c r="C33443" s="5" t="str">
        <f>IFERROR(__xludf.DUMMYFUNCTION("GOOGLETRANSLATE(B33443,""en"",""it"")"),"L'uomo afferra e rimuove un limone.")</f>
        <v>L'uomo afferra e rimuove un limone.</v>
      </c>
    </row>
    <row r="33444">
      <c r="A33444" s="4" t="s">
        <v>42088</v>
      </c>
      <c r="B33444" s="4" t="s">
        <v>42095</v>
      </c>
      <c r="C33444" s="5" t="str">
        <f>IFERROR(__xludf.DUMMYFUNCTION("GOOGLETRANSLATE(B33444,""en"",""it"")"),"L'uomo ci mostra una pentola sottosopra.")</f>
        <v>L'uomo ci mostra una pentola sottosopra.</v>
      </c>
    </row>
    <row r="33445">
      <c r="A33445" s="4" t="s">
        <v>42096</v>
      </c>
      <c r="B33445" s="4" t="s">
        <v>42097</v>
      </c>
      <c r="C33445" s="5" t="str">
        <f>IFERROR(__xludf.DUMMYFUNCTION("GOOGLETRANSLATE(B33445,""en"",""it"")"),"La squadra di cheerleader esce per una prestazione.")</f>
        <v>La squadra di cheerleader esce per una prestazione.</v>
      </c>
    </row>
    <row r="33446">
      <c r="A33446" s="4" t="s">
        <v>42096</v>
      </c>
      <c r="B33446" s="4" t="s">
        <v>42098</v>
      </c>
      <c r="C33446" s="5" t="str">
        <f>IFERROR(__xludf.DUMMYFUNCTION("GOOGLETRANSLATE(B33446,""en"",""it"")"),"Una ragazza tenta più lanci e attacca l'atterraggio.")</f>
        <v>Una ragazza tenta più lanci e attacca l'atterraggio.</v>
      </c>
    </row>
    <row r="33447">
      <c r="A33447" s="4" t="s">
        <v>42096</v>
      </c>
      <c r="B33447" s="4" t="s">
        <v>42099</v>
      </c>
      <c r="C33447" s="5" t="str">
        <f>IFERROR(__xludf.DUMMYFUNCTION("GOOGLETRANSLATE(B33447,""en"",""it"")"),"Un'altra ragazza segue l'esempio mentre la squadra lavora sodo in background.")</f>
        <v>Un'altra ragazza segue l'esempio mentre la squadra lavora sodo in background.</v>
      </c>
    </row>
    <row r="33448">
      <c r="A33448" s="4" t="s">
        <v>42096</v>
      </c>
      <c r="B33448" s="4" t="s">
        <v>42100</v>
      </c>
      <c r="C33448" s="5" t="str">
        <f>IFERROR(__xludf.DUMMYFUNCTION("GOOGLETRANSLATE(B33448,""en"",""it"")"),"La squadra mette in mostra alcune mosse di danza e la folla applaude.")</f>
        <v>La squadra mette in mostra alcune mosse di danza e la folla applaude.</v>
      </c>
    </row>
    <row r="33449">
      <c r="A33449" s="4" t="s">
        <v>42096</v>
      </c>
      <c r="B33449" s="4" t="s">
        <v>42101</v>
      </c>
      <c r="C33449" s="5" t="str">
        <f>IFERROR(__xludf.DUMMYFUNCTION("GOOGLETRANSLATE(B33449,""en"",""it"")"),"Dopo alcune altre squadre di squadra, la squadra pone e celebra alla fine della routine.")</f>
        <v>Dopo alcune altre squadre di squadra, la squadra pone e celebra alla fine della routine.</v>
      </c>
    </row>
    <row r="33450">
      <c r="A33450" s="4" t="s">
        <v>42096</v>
      </c>
      <c r="B33450" s="4" t="s">
        <v>42102</v>
      </c>
      <c r="C33450" s="5" t="str">
        <f>IFERROR(__xludf.DUMMYFUNCTION("GOOGLETRANSLATE(B33450,""en"",""it"")"),"Diversi membri si abbracciano e parlano.")</f>
        <v>Diversi membri si abbracciano e parlano.</v>
      </c>
    </row>
    <row r="33451">
      <c r="A33451" s="4" t="s">
        <v>42096</v>
      </c>
      <c r="B33451" s="4" t="s">
        <v>42103</v>
      </c>
      <c r="C33451" s="5" t="str">
        <f>IFERROR(__xludf.DUMMYFUNCTION("GOOGLETRANSLATE(B33451,""en"",""it"")"),"I giudici presentano i loro punteggi e il team anticipa i risultati.")</f>
        <v>I giudici presentano i loro punteggi e il team anticipa i risultati.</v>
      </c>
    </row>
    <row r="33452">
      <c r="A33452" s="4" t="s">
        <v>42096</v>
      </c>
      <c r="B33452" s="4" t="s">
        <v>42104</v>
      </c>
      <c r="C33452" s="5" t="str">
        <f>IFERROR(__xludf.DUMMYFUNCTION("GOOGLETRANSLATE(B33452,""en"",""it"")"),"La squadra è incoronata i vincitori della competizione.")</f>
        <v>La squadra è incoronata i vincitori della competizione.</v>
      </c>
    </row>
    <row r="33453">
      <c r="A33453" s="4" t="s">
        <v>42105</v>
      </c>
      <c r="B33453" s="4" t="s">
        <v>42106</v>
      </c>
      <c r="C33453" s="5" t="str">
        <f>IFERROR(__xludf.DUMMYFUNCTION("GOOGLETRANSLATE(B33453,""en"",""it"")"),"Alcune donne nuotano in una piscina.")</f>
        <v>Alcune donne nuotano in una piscina.</v>
      </c>
    </row>
    <row r="33454">
      <c r="A33454" s="4" t="s">
        <v>42105</v>
      </c>
      <c r="B33454" s="4" t="s">
        <v>42107</v>
      </c>
      <c r="C33454" s="5" t="str">
        <f>IFERROR(__xludf.DUMMYFUNCTION("GOOGLETRANSLATE(B33454,""en"",""it"")"),"Hanno bambini tra le braccia mentre nuotano.")</f>
        <v>Hanno bambini tra le braccia mentre nuotano.</v>
      </c>
    </row>
    <row r="33455">
      <c r="A33455" s="4" t="s">
        <v>42105</v>
      </c>
      <c r="B33455" s="4" t="s">
        <v>42108</v>
      </c>
      <c r="C33455" s="5" t="str">
        <f>IFERROR(__xludf.DUMMYFUNCTION("GOOGLETRANSLATE(B33455,""en"",""it"")"),"Stanno insegnando ai bambini ad andare sott'acqua e trattenere il respiro.")</f>
        <v>Stanno insegnando ai bambini ad andare sott'acqua e trattenere il respiro.</v>
      </c>
    </row>
    <row r="33456">
      <c r="A33456" s="4" t="s">
        <v>42109</v>
      </c>
      <c r="B33456" s="4" t="s">
        <v>42110</v>
      </c>
      <c r="C33456" s="5" t="str">
        <f>IFERROR(__xludf.DUMMYFUNCTION("GOOGLETRANSLATE(B33456,""en"",""it"")"),"Due uomini molto alti in smoking ballano fuori da un negozio.")</f>
        <v>Due uomini molto alti in smoking ballano fuori da un negozio.</v>
      </c>
    </row>
    <row r="33457">
      <c r="A33457" s="4" t="s">
        <v>42109</v>
      </c>
      <c r="B33457" s="4" t="s">
        <v>42111</v>
      </c>
      <c r="C33457" s="5" t="str">
        <f>IFERROR(__xludf.DUMMYFUNCTION("GOOGLETRANSLATE(B33457,""en"",""it"")"),"Le persone stanno tornando a guardarli fare la loro danza.")</f>
        <v>Le persone stanno tornando a guardarli fare la loro danza.</v>
      </c>
    </row>
    <row r="33458">
      <c r="A33458" s="4" t="s">
        <v>42109</v>
      </c>
      <c r="B33458" s="4" t="s">
        <v>42112</v>
      </c>
      <c r="C33458" s="5" t="str">
        <f>IFERROR(__xludf.DUMMYFUNCTION("GOOGLETRANSLATE(B33458,""en"",""it"")"),"Uno degli uomini mette il piede mentre l'altro lo gira in cerchio.")</f>
        <v>Uno degli uomini mette il piede mentre l'altro lo gira in cerchio.</v>
      </c>
    </row>
    <row r="33459">
      <c r="A33459" s="4" t="s">
        <v>42109</v>
      </c>
      <c r="B33459" s="4" t="s">
        <v>42113</v>
      </c>
      <c r="C33459" s="5" t="str">
        <f>IFERROR(__xludf.DUMMYFUNCTION("GOOGLETRANSLATE(B33459,""en"",""it"")"),"Quando la danza è finalmente sopra entrambi gli uomini si stringono la mano e salutano la folla.")</f>
        <v>Quando la danza è finalmente sopra entrambi gli uomini si stringono la mano e salutano la folla.</v>
      </c>
    </row>
    <row r="33460">
      <c r="A33460" s="4" t="s">
        <v>42114</v>
      </c>
      <c r="B33460" s="4" t="s">
        <v>42115</v>
      </c>
      <c r="C33460" s="5" t="str">
        <f>IFERROR(__xludf.DUMMYFUNCTION("GOOGLETRANSLATE(B33460,""en"",""it"")"),"Si vede un uomo che si lancia su un pavimento morbido mentre si muove al rallentatore.")</f>
        <v>Si vede un uomo che si lancia su un pavimento morbido mentre si muove al rallentatore.</v>
      </c>
    </row>
    <row r="33461">
      <c r="A33461" s="4" t="s">
        <v>42114</v>
      </c>
      <c r="B33461" s="6" t="s">
        <v>42116</v>
      </c>
      <c r="C33461" s="5" t="str">
        <f>IFERROR(__xludf.DUMMYFUNCTION("GOOGLETRANSLATE(B33461,""en"",""it"")"),"L'uomo continua a eseguire diversi trucchi sul pavimento e termina con una sequenza del titolo sullo schermo.")</f>
        <v>L'uomo continua a eseguire diversi trucchi sul pavimento e termina con una sequenza del titolo sullo schermo.</v>
      </c>
    </row>
    <row r="33462">
      <c r="A33462" s="4" t="s">
        <v>42117</v>
      </c>
      <c r="B33462" s="6" t="s">
        <v>42118</v>
      </c>
      <c r="C33462" s="5" t="str">
        <f>IFERROR(__xludf.DUMMYFUNCTION("GOOGLETRANSLATE(B33462,""en"",""it"")"),"Due persone sono viste sedute dietro un bancone quando uno si sposta indietro e quarto e si prepara.")</f>
        <v>Due persone sono viste sedute dietro un bancone quando uno si sposta indietro e quarto e si prepara.</v>
      </c>
    </row>
    <row r="33463">
      <c r="A33463" s="4" t="s">
        <v>42117</v>
      </c>
      <c r="B33463" s="6" t="s">
        <v>42119</v>
      </c>
      <c r="C33463" s="5" t="str">
        <f>IFERROR(__xludf.DUMMYFUNCTION("GOOGLETRANSLATE(B33463,""en"",""it"")"),"L'uomo risolve quindi un cubo Rubix mentre un timer sta andando e mette una benda sugli occhi e una persona mette la carta davanti.")</f>
        <v>L'uomo risolve quindi un cubo Rubix mentre un timer sta andando e mette una benda sugli occhi e una persona mette la carta davanti.</v>
      </c>
    </row>
    <row r="33464">
      <c r="A33464" s="4" t="s">
        <v>42117</v>
      </c>
      <c r="B33464" s="4" t="s">
        <v>42120</v>
      </c>
      <c r="C33464" s="5" t="str">
        <f>IFERROR(__xludf.DUMMYFUNCTION("GOOGLETRANSLATE(B33464,""en"",""it"")"),"Risolve il subo e poi sbatte le mani sul tavolo.")</f>
        <v>Risolve il subo e poi sbatte le mani sul tavolo.</v>
      </c>
    </row>
    <row r="33465">
      <c r="A33465" s="4" t="s">
        <v>42121</v>
      </c>
      <c r="B33465" s="4" t="s">
        <v>42122</v>
      </c>
      <c r="C33465" s="5" t="str">
        <f>IFERROR(__xludf.DUMMYFUNCTION("GOOGLETRANSLATE(B33465,""en"",""it"")"),"Questo è un tutorial su come avviare un falò.")</f>
        <v>Questo è un tutorial su come avviare un falò.</v>
      </c>
    </row>
    <row r="33466">
      <c r="A33466" s="4" t="s">
        <v>42121</v>
      </c>
      <c r="B33466" s="4" t="s">
        <v>42123</v>
      </c>
      <c r="C33466" s="5" t="str">
        <f>IFERROR(__xludf.DUMMYFUNCTION("GOOGLETRANSLATE(B33466,""en"",""it"")"),"Mostra il fuoco che brucia a terra.")</f>
        <v>Mostra il fuoco che brucia a terra.</v>
      </c>
    </row>
    <row r="33467">
      <c r="A33467" s="4" t="s">
        <v>42121</v>
      </c>
      <c r="B33467" s="4" t="s">
        <v>42124</v>
      </c>
      <c r="C33467" s="5" t="str">
        <f>IFERROR(__xludf.DUMMYFUNCTION("GOOGLETRANSLATE(B33467,""en"",""it"")"),"Inizia con le cose che dovrai cominciare.")</f>
        <v>Inizia con le cose che dovrai cominciare.</v>
      </c>
    </row>
    <row r="33468">
      <c r="A33468" s="4" t="s">
        <v>42121</v>
      </c>
      <c r="B33468" s="4" t="s">
        <v>42125</v>
      </c>
      <c r="C33468" s="5" t="str">
        <f>IFERROR(__xludf.DUMMYFUNCTION("GOOGLETRANSLATE(B33468,""en"",""it"")"),"Un luogo designato e alcune rocce disposte in un cerchio per creare una fossa.")</f>
        <v>Un luogo designato e alcune rocce disposte in un cerchio per creare una fossa.</v>
      </c>
    </row>
    <row r="33469">
      <c r="A33469" s="4" t="s">
        <v>42121</v>
      </c>
      <c r="B33469" s="4" t="s">
        <v>42126</v>
      </c>
      <c r="C33469" s="5" t="str">
        <f>IFERROR(__xludf.DUMMYFUNCTION("GOOGLETRANSLATE(B33469,""en"",""it"")"),"Alcuni giornali accartocciati e un accendino insieme a un secchio d'acqua.")</f>
        <v>Alcuni giornali accartocciati e un accendino insieme a un secchio d'acqua.</v>
      </c>
    </row>
    <row r="33470">
      <c r="A33470" s="4" t="s">
        <v>42121</v>
      </c>
      <c r="B33470" s="4" t="s">
        <v>42127</v>
      </c>
      <c r="C33470" s="5" t="str">
        <f>IFERROR(__xludf.DUMMYFUNCTION("GOOGLETRANSLATE(B33470,""en"",""it"")"),"Un uomo inizia a dimostrare come posizionare il giornale e i ramoscelli.")</f>
        <v>Un uomo inizia a dimostrare come posizionare il giornale e i ramoscelli.</v>
      </c>
    </row>
    <row r="33471">
      <c r="A33471" s="4" t="s">
        <v>42121</v>
      </c>
      <c r="B33471" s="4" t="s">
        <v>42128</v>
      </c>
      <c r="C33471" s="5" t="str">
        <f>IFERROR(__xludf.DUMMYFUNCTION("GOOGLETRANSLATE(B33471,""en"",""it"")"),"Quindi crea una struttura a forma di piramide.")</f>
        <v>Quindi crea una struttura a forma di piramide.</v>
      </c>
    </row>
    <row r="33472">
      <c r="A33472" s="4" t="s">
        <v>42121</v>
      </c>
      <c r="B33472" s="4" t="s">
        <v>42129</v>
      </c>
      <c r="C33472" s="5" t="str">
        <f>IFERROR(__xludf.DUMMYFUNCTION("GOOGLETRANSLATE(B33472,""en"",""it"")"),"Prende il suo accendino e accende il giornale in diversi punti per iniziare il fuoco.")</f>
        <v>Prende il suo accendino e accende il giornale in diversi punti per iniziare il fuoco.</v>
      </c>
    </row>
    <row r="33473">
      <c r="A33473" s="4" t="s">
        <v>42121</v>
      </c>
      <c r="B33473" s="4" t="s">
        <v>42130</v>
      </c>
      <c r="C33473" s="5" t="str">
        <f>IFERROR(__xludf.DUMMYFUNCTION("GOOGLETRANSLATE(B33473,""en"",""it"")"),"Il falò inizia a bruciare e continua a bruciare.")</f>
        <v>Il falò inizia a bruciare e continua a bruciare.</v>
      </c>
    </row>
    <row r="33474">
      <c r="A33474" s="4" t="s">
        <v>42121</v>
      </c>
      <c r="B33474" s="4" t="s">
        <v>42131</v>
      </c>
      <c r="C33474" s="5" t="str">
        <f>IFERROR(__xludf.DUMMYFUNCTION("GOOGLETRANSLATE(B33474,""en"",""it"")"),"Aggiunge qualche altro ramoscello per far bruciare le fiamme.")</f>
        <v>Aggiunge qualche altro ramoscello per far bruciare le fiamme.</v>
      </c>
    </row>
    <row r="33475">
      <c r="A33475" s="4" t="s">
        <v>42132</v>
      </c>
      <c r="B33475" s="4" t="s">
        <v>42133</v>
      </c>
      <c r="C33475" s="5" t="str">
        <f>IFERROR(__xludf.DUMMYFUNCTION("GOOGLETRANSLATE(B33475,""en"",""it"")"),"Innanzitutto le persone sono tutte mostrate sedute nelle loro auto in una lunga linea.")</f>
        <v>Innanzitutto le persone sono tutte mostrate sedute nelle loro auto in una lunga linea.</v>
      </c>
    </row>
    <row r="33476">
      <c r="A33476" s="4" t="s">
        <v>42132</v>
      </c>
      <c r="B33476" s="4" t="s">
        <v>42134</v>
      </c>
      <c r="C33476" s="5" t="str">
        <f>IFERROR(__xludf.DUMMYFUNCTION("GOOGLETRANSLATE(B33476,""en"",""it"")"),"Quindi le auto si accorciano e sono in grado di essere guidate.")</f>
        <v>Quindi le auto si accorciano e sono in grado di essere guidate.</v>
      </c>
    </row>
    <row r="33477">
      <c r="A33477" s="4" t="s">
        <v>42132</v>
      </c>
      <c r="B33477" s="4" t="s">
        <v>42135</v>
      </c>
      <c r="C33477" s="5" t="str">
        <f>IFERROR(__xludf.DUMMYFUNCTION("GOOGLETRANSLATE(B33477,""en"",""it"")"),"Dopo che le persone hanno finito di guidare, escono tutte dalle macchine.")</f>
        <v>Dopo che le persone hanno finito di guidare, escono tutte dalle macchine.</v>
      </c>
    </row>
    <row r="33478">
      <c r="A33478" s="4" t="s">
        <v>42136</v>
      </c>
      <c r="B33478" s="4" t="s">
        <v>42137</v>
      </c>
      <c r="C33478" s="5" t="str">
        <f>IFERROR(__xludf.DUMMYFUNCTION("GOOGLETRANSLATE(B33478,""en"",""it"")"),"Un uomo più anziano con una lunga coda di cavallo e un paio di occhiali si inginocchia vicino a una bici.")</f>
        <v>Un uomo più anziano con una lunga coda di cavallo e un paio di occhiali si inginocchia vicino a una bici.</v>
      </c>
    </row>
    <row r="33479">
      <c r="A33479" s="4" t="s">
        <v>42136</v>
      </c>
      <c r="B33479" s="4" t="s">
        <v>42138</v>
      </c>
      <c r="C33479" s="5" t="str">
        <f>IFERROR(__xludf.DUMMYFUNCTION("GOOGLETRANSLATE(B33479,""en"",""it"")"),"L'uomo ha in mano un paio di pinze blu e inizia a riparare la catena sulla bici.")</f>
        <v>L'uomo ha in mano un paio di pinze blu e inizia a riparare la catena sulla bici.</v>
      </c>
    </row>
    <row r="33480">
      <c r="A33480" s="4" t="s">
        <v>42136</v>
      </c>
      <c r="B33480" s="4" t="s">
        <v>42139</v>
      </c>
      <c r="C33480" s="5" t="str">
        <f>IFERROR(__xludf.DUMMYFUNCTION("GOOGLETRANSLATE(B33480,""en"",""it"")"),"Una volta che la catena è accesa, inizia a spostare il pedale e dimostra come funziona la catena.")</f>
        <v>Una volta che la catena è accesa, inizia a spostare il pedale e dimostra come funziona la catena.</v>
      </c>
    </row>
    <row r="33481">
      <c r="A33481" s="4" t="s">
        <v>42136</v>
      </c>
      <c r="B33481" s="4" t="s">
        <v>42140</v>
      </c>
      <c r="C33481" s="5" t="str">
        <f>IFERROR(__xludf.DUMMYFUNCTION("GOOGLETRANSLATE(B33481,""en"",""it"")"),"Dopo un po ', ferma la catena e inizia a prendere due collegamenti dalla catena sulla bici.")</f>
        <v>Dopo un po ', ferma la catena e inizia a prendere due collegamenti dalla catena sulla bici.</v>
      </c>
    </row>
    <row r="33482">
      <c r="A33482" s="4" t="s">
        <v>42136</v>
      </c>
      <c r="B33482" s="6" t="s">
        <v>42141</v>
      </c>
      <c r="C33482" s="5" t="str">
        <f>IFERROR(__xludf.DUMMYFUNCTION("GOOGLETRANSLATE(B33482,""en"",""it"")"),"Mentre la catena inizia a pendere, l'uomo lo rimette nel posto giusto e inizia a girare la ruota posteriore e inizia a parlare quando ha finito.")</f>
        <v>Mentre la catena inizia a pendere, l'uomo lo rimette nel posto giusto e inizia a girare la ruota posteriore e inizia a parlare quando ha finito.</v>
      </c>
    </row>
    <row r="33483">
      <c r="A33483" s="4" t="s">
        <v>42142</v>
      </c>
      <c r="B33483" s="4" t="s">
        <v>42143</v>
      </c>
      <c r="C33483" s="5" t="str">
        <f>IFERROR(__xludf.DUMMYFUNCTION("GOOGLETRANSLATE(B33483,""en"",""it"")"),"Il video conduce in diversi colpi di persone che lanciano colpi impressionanti di palline che atterrano in tazze.")</f>
        <v>Il video conduce in diversi colpi di persone che lanciano colpi impressionanti di palline che atterrano in tazze.</v>
      </c>
    </row>
    <row r="33484">
      <c r="A33484" s="4" t="s">
        <v>42142</v>
      </c>
      <c r="B33484" s="4" t="s">
        <v>42144</v>
      </c>
      <c r="C33484" s="5" t="str">
        <f>IFERROR(__xludf.DUMMYFUNCTION("GOOGLETRANSLATE(B33484,""en"",""it"")"),"Diverse persone vengono mostrate lanciare palle in una tazza e la fotocamera che mostra un primo piano.")</f>
        <v>Diverse persone vengono mostrate lanciare palle in una tazza e la fotocamera che mostra un primo piano.</v>
      </c>
    </row>
    <row r="33485">
      <c r="A33485" s="4" t="s">
        <v>42145</v>
      </c>
      <c r="B33485" s="4" t="s">
        <v>42146</v>
      </c>
      <c r="C33485" s="5" t="str">
        <f>IFERROR(__xludf.DUMMYFUNCTION("GOOGLETRANSLATE(B33485,""en"",""it"")"),"Young Boy parla con la telecamera davanti al tamburo set in uno studio.")</f>
        <v>Young Boy parla con la telecamera davanti al tamburo set in uno studio.</v>
      </c>
    </row>
    <row r="33486">
      <c r="A33486" s="4" t="s">
        <v>42145</v>
      </c>
      <c r="B33486" s="4" t="s">
        <v>42147</v>
      </c>
      <c r="C33486" s="5" t="str">
        <f>IFERROR(__xludf.DUMMYFUNCTION("GOOGLETRANSLATE(B33486,""en"",""it"")"),"Il giovane ragazzo gioca sul set di batteria e i piatti, mentre parla a intermittenza alla telecamera.")</f>
        <v>Il giovane ragazzo gioca sul set di batteria e i piatti, mentre parla a intermittenza alla telecamera.</v>
      </c>
    </row>
    <row r="33487">
      <c r="A33487" s="4" t="s">
        <v>42145</v>
      </c>
      <c r="B33487" s="4" t="s">
        <v>42148</v>
      </c>
      <c r="C33487" s="5" t="str">
        <f>IFERROR(__xludf.DUMMYFUNCTION("GOOGLETRANSLATE(B33487,""en"",""it"")"),"Il ragazzo finisce di registrare la sua sessione di batteria e ritorna alla fotocamera.")</f>
        <v>Il ragazzo finisce di registrare la sua sessione di batteria e ritorna alla fotocamera.</v>
      </c>
    </row>
    <row r="33488">
      <c r="A33488" s="4" t="s">
        <v>42149</v>
      </c>
      <c r="B33488" s="4" t="s">
        <v>42150</v>
      </c>
      <c r="C33488" s="5" t="str">
        <f>IFERROR(__xludf.DUMMYFUNCTION("GOOGLETRANSLATE(B33488,""en"",""it"")"),"Una donna è in un vialetto, fa trucchi e acrobazie mentre salta la corda.")</f>
        <v>Una donna è in un vialetto, fa trucchi e acrobazie mentre salta la corda.</v>
      </c>
    </row>
    <row r="33489">
      <c r="A33489" s="4" t="s">
        <v>42149</v>
      </c>
      <c r="B33489" s="4" t="s">
        <v>42151</v>
      </c>
      <c r="C33489" s="5" t="str">
        <f>IFERROR(__xludf.DUMMYFUNCTION("GOOGLETRANSLATE(B33489,""en"",""it"")"),"Aumenta la velocità, poi si ferma mentre un uomo le si avvicina per discutere della sua tecnica.")</f>
        <v>Aumenta la velocità, poi si ferma mentre un uomo le si avvicina per discutere della sua tecnica.</v>
      </c>
    </row>
    <row r="33490">
      <c r="A33490" s="4" t="s">
        <v>42149</v>
      </c>
      <c r="B33490" s="4" t="s">
        <v>42152</v>
      </c>
      <c r="C33490" s="5" t="str">
        <f>IFERROR(__xludf.DUMMYFUNCTION("GOOGLETRANSLATE(B33490,""en"",""it"")"),"Quindi torna a dimostrare come saltare la corda e i vari nomi delle mosse.")</f>
        <v>Quindi torna a dimostrare come saltare la corda e i vari nomi delle mosse.</v>
      </c>
    </row>
    <row r="33491">
      <c r="A33491" s="4" t="s">
        <v>42153</v>
      </c>
      <c r="B33491" s="6" t="s">
        <v>42154</v>
      </c>
      <c r="C33491" s="5" t="str">
        <f>IFERROR(__xludf.DUMMYFUNCTION("GOOGLETRANSLATE(B33491,""en"",""it"")"),"Una vista dall'interno mostra una bella vista sull'oceano e poi si muove a un uomo in ginocchio a terra mentre stucca alcune piastrelle e le parole bianche sullo schermo dicono ""Installazione di piastrelle con Ditra"".")</f>
        <v>Una vista dall'interno mostra una bella vista sull'oceano e poi si muove a un uomo in ginocchio a terra mentre stucca alcune piastrelle e le parole bianche sullo schermo dicono "Installazione di piastrelle con Ditra".</v>
      </c>
    </row>
    <row r="33492">
      <c r="A33492" s="4" t="s">
        <v>42153</v>
      </c>
      <c r="B33492" s="4" t="s">
        <v>42155</v>
      </c>
      <c r="C33492" s="5" t="str">
        <f>IFERROR(__xludf.DUMMYFUNCTION("GOOGLETRANSLATE(B33492,""en"",""it"")"),"L'uomo viene quindi mostrato mettendo i distanziali tra piastrelle e misurazione.")</f>
        <v>L'uomo viene quindi mostrato mettendo i distanziali tra piastrelle e misurazione.</v>
      </c>
    </row>
    <row r="33493">
      <c r="A33493" s="4" t="s">
        <v>42153</v>
      </c>
      <c r="B33493" s="6" t="s">
        <v>42156</v>
      </c>
      <c r="C33493" s="5" t="str">
        <f>IFERROR(__xludf.DUMMYFUNCTION("GOOGLETRANSLATE(B33493,""en"",""it"")"),"L'uomo poi va in un'altra parte della stanza con un secchio bianco e un panno arancione e sta pulendo le assi del pavimento in legno.")</f>
        <v>L'uomo poi va in un'altra parte della stanza con un secchio bianco e un panno arancione e sta pulendo le assi del pavimento in legno.</v>
      </c>
    </row>
    <row r="33494">
      <c r="A33494" s="4" t="s">
        <v>42153</v>
      </c>
      <c r="B33494" s="6" t="s">
        <v>42157</v>
      </c>
      <c r="C33494" s="5" t="str">
        <f>IFERROR(__xludf.DUMMYFUNCTION("GOOGLETRANSLATE(B33494,""en"",""it"")"),"L'uomo viene quindi mostrato versando polvere in un grande secchio bianco, versando acqua in esso, quindi mescolando il contenuto con un trapano a mano.")</f>
        <v>L'uomo viene quindi mostrato versando polvere in un grande secchio bianco, versando acqua in esso, quindi mescolando il contenuto con un trapano a mano.</v>
      </c>
    </row>
    <row r="33495">
      <c r="A33495" s="4" t="s">
        <v>42153</v>
      </c>
      <c r="B33495" s="6" t="s">
        <v>42158</v>
      </c>
      <c r="C33495" s="5" t="str">
        <f>IFERROR(__xludf.DUMMYFUNCTION("GOOGLETRANSLATE(B33495,""en"",""it"")"),"L'uomo si trova quindi in un angolo della stanza e sta applicando la miscela sulle assi del pavimento, quindi mette giù un materiale arancione.")</f>
        <v>L'uomo si trova quindi in un angolo della stanza e sta applicando la miscela sulle assi del pavimento, quindi mette giù un materiale arancione.</v>
      </c>
    </row>
    <row r="33496">
      <c r="A33496" s="4" t="s">
        <v>42153</v>
      </c>
      <c r="B33496" s="6" t="s">
        <v>42159</v>
      </c>
      <c r="C33496" s="5" t="str">
        <f>IFERROR(__xludf.DUMMYFUNCTION("GOOGLETRANSLATE(B33496,""en"",""it"")"),"All'uomo viene quindi mostrato di tagliare le piastrelle con un cutter manuale mentre un altro uomo lo sta aiutando tenendolo, l'uomo che tiene la piastrella lo porta via e la carteggia.")</f>
        <v>All'uomo viene quindi mostrato di tagliare le piastrelle con un cutter manuale mentre un altro uomo lo sta aiutando tenendolo, l'uomo che tiene la piastrella lo porta via e la carteggia.</v>
      </c>
    </row>
    <row r="33497">
      <c r="A33497" s="4" t="s">
        <v>42153</v>
      </c>
      <c r="B33497" s="6" t="s">
        <v>42160</v>
      </c>
      <c r="C33497" s="5" t="str">
        <f>IFERROR(__xludf.DUMMYFUNCTION("GOOGLETRANSLATE(B33497,""en"",""it"")"),"L'uomo viene mostrato di nuovo sulle sue mani e le ginocchia e sta applicando lo stucco a terra o sulla piastrella, mettendo giù le piastrelle, aggiungendo distanziatori, quindi misurando che è tutto anche con un livello circolare bianco.")</f>
        <v>L'uomo viene mostrato di nuovo sulle sue mani e le ginocchia e sta applicando lo stucco a terra o sulla piastrella, mettendo giù le piastrelle, aggiungendo distanziatori, quindi misurando che è tutto anche con un livello circolare bianco.</v>
      </c>
    </row>
    <row r="33498">
      <c r="A33498" s="4" t="s">
        <v>42153</v>
      </c>
      <c r="B33498" s="6" t="s">
        <v>42161</v>
      </c>
      <c r="C33498" s="5" t="str">
        <f>IFERROR(__xludf.DUMMYFUNCTION("GOOGLETRANSLATE(B33498,""en"",""it"")"),"Viene mostrata una visione bassa delle piastrelle e un uomo sta maltrattando, pulire le piastrelle e sono mostrate varie viste della stanza piastrellata.")</f>
        <v>Viene mostrata una visione bassa delle piastrelle e un uomo sta maltrattando, pulire le piastrelle e sono mostrate varie viste della stanza piastrellata.</v>
      </c>
    </row>
    <row r="33499">
      <c r="A33499" s="4" t="s">
        <v>42162</v>
      </c>
      <c r="B33499" s="4" t="s">
        <v>42163</v>
      </c>
      <c r="C33499" s="5" t="str">
        <f>IFERROR(__xludf.DUMMYFUNCTION("GOOGLETRANSLATE(B33499,""en"",""it"")"),"Una donna è vista seduta alla fine di un letto che si toglieva le scarpe e poi i piedi del bambino camminano.")</f>
        <v>Una donna è vista seduta alla fine di un letto che si toglieva le scarpe e poi i piedi del bambino camminano.</v>
      </c>
    </row>
    <row r="33500">
      <c r="A33500" s="4" t="s">
        <v>42162</v>
      </c>
      <c r="B33500" s="6" t="s">
        <v>42164</v>
      </c>
      <c r="C33500" s="5" t="str">
        <f>IFERROR(__xludf.DUMMYFUNCTION("GOOGLETRANSLATE(B33500,""en"",""it"")"),"Viene mostrato scatti di mobili che portano a una donna che parla, seguita da diverse persone che aspirano e si avvicinano al tappeto.")</f>
        <v>Viene mostrato scatti di mobili che portano a una donna che parla, seguita da diverse persone che aspirano e si avvicinano al tappeto.</v>
      </c>
    </row>
    <row r="33501">
      <c r="A33501" s="4" t="s">
        <v>42162</v>
      </c>
      <c r="B33501" s="6" t="s">
        <v>42165</v>
      </c>
      <c r="C33501" s="5" t="str">
        <f>IFERROR(__xludf.DUMMYFUNCTION("GOOGLETRANSLATE(B33501,""en"",""it"")"),"Una persona regola il vuoto e continua a usarlo mentre la donna parla e conduce a un uomo che gioca con un bambino.")</f>
        <v>Una persona regola il vuoto e continua a usarlo mentre la donna parla e conduce a un uomo che gioca con un bambino.</v>
      </c>
    </row>
    <row r="33502">
      <c r="A33502" s="4" t="s">
        <v>42166</v>
      </c>
      <c r="B33502" s="6" t="s">
        <v>42167</v>
      </c>
      <c r="C33502" s="5" t="str">
        <f>IFERROR(__xludf.DUMMYFUNCTION("GOOGLETRANSLATE(B33502,""en"",""it"")"),"Viene vista una fotocamera GoPro e poi appare un altro schermo che mostra che la fotocamera ha vinto premi.")</f>
        <v>Viene vista una fotocamera GoPro e poi appare un altro schermo che mostra che la fotocamera ha vinto premi.</v>
      </c>
    </row>
    <row r="33503">
      <c r="A33503" s="4" t="s">
        <v>42166</v>
      </c>
      <c r="B33503" s="6" t="s">
        <v>42168</v>
      </c>
      <c r="C33503" s="5" t="str">
        <f>IFERROR(__xludf.DUMMYFUNCTION("GOOGLETRANSLATE(B33503,""en"",""it"")"),"Una macchina fotografica è montata sul casco di uno sciatore d'acqua e dopo essersi messo in posizione un uomo su un cavallo da uno stagno lo tira a fare un giro.")</f>
        <v>Una macchina fotografica è montata sul casco di uno sciatore d'acqua e dopo essersi messo in posizione un uomo su un cavallo da uno stagno lo tira a fare un giro.</v>
      </c>
    </row>
    <row r="33504">
      <c r="A33504" s="4" t="s">
        <v>42166</v>
      </c>
      <c r="B33504" s="6" t="s">
        <v>42169</v>
      </c>
      <c r="C33504" s="5" t="str">
        <f>IFERROR(__xludf.DUMMYFUNCTION("GOOGLETRANSLATE(B33504,""en"",""it"")"),"Vicino alla terra lascia andare e cade in acqua, mentre celebra e punta l'uomo sul cavallo mentre un cane corre.")</f>
        <v>Vicino alla terra lascia andare e cade in acqua, mentre celebra e punta l'uomo sul cavallo mentre un cane corre.</v>
      </c>
    </row>
    <row r="33505">
      <c r="A33505" s="4" t="s">
        <v>42166</v>
      </c>
      <c r="B33505" s="4" t="s">
        <v>42170</v>
      </c>
      <c r="C33505" s="5" t="str">
        <f>IFERROR(__xludf.DUMMYFUNCTION("GOOGLETRANSLATE(B33505,""en"",""it"")"),"Viene visualizzato uno schermo che chieda di inviare filmati ai premi GoPro.")</f>
        <v>Viene visualizzato uno schermo che chieda di inviare filmati ai premi GoPro.</v>
      </c>
    </row>
    <row r="33506">
      <c r="A33506" s="4" t="s">
        <v>42171</v>
      </c>
      <c r="B33506" s="4" t="s">
        <v>42172</v>
      </c>
      <c r="C33506" s="5" t="str">
        <f>IFERROR(__xludf.DUMMYFUNCTION("GOOGLETRANSLATE(B33506,""en"",""it"")"),"Vediamo un surf di aquiloni da uomo.")</f>
        <v>Vediamo un surf di aquiloni da uomo.</v>
      </c>
    </row>
    <row r="33507">
      <c r="A33507" s="4" t="s">
        <v>42171</v>
      </c>
      <c r="B33507" s="4" t="s">
        <v>42173</v>
      </c>
      <c r="C33507" s="5" t="str">
        <f>IFERROR(__xludf.DUMMYFUNCTION("GOOGLETRANSLATE(B33507,""en"",""it"")"),"Passiamo una persona sulla spiaggia.")</f>
        <v>Passiamo una persona sulla spiaggia.</v>
      </c>
    </row>
    <row r="33508">
      <c r="A33508" s="4" t="s">
        <v>42171</v>
      </c>
      <c r="B33508" s="4" t="s">
        <v>42174</v>
      </c>
      <c r="C33508" s="5" t="str">
        <f>IFERROR(__xludf.DUMMYFUNCTION("GOOGLETRANSLATE(B33508,""en"",""it"")"),"Il cavaliere cade in acqua.")</f>
        <v>Il cavaliere cade in acqua.</v>
      </c>
    </row>
    <row r="33509">
      <c r="A33509" s="4" t="s">
        <v>42171</v>
      </c>
      <c r="B33509" s="4" t="s">
        <v>42175</v>
      </c>
      <c r="C33509" s="5" t="str">
        <f>IFERROR(__xludf.DUMMYFUNCTION("GOOGLETRANSLATE(B33509,""en"",""it"")"),"Acqua schizza e copre l'obiettivo della fotocamera.")</f>
        <v>Acqua schizza e copre l'obiettivo della fotocamera.</v>
      </c>
    </row>
    <row r="33510">
      <c r="A33510" s="4" t="s">
        <v>42171</v>
      </c>
      <c r="B33510" s="4" t="s">
        <v>42176</v>
      </c>
      <c r="C33510" s="5" t="str">
        <f>IFERROR(__xludf.DUMMYFUNCTION("GOOGLETRANSLATE(B33510,""en"",""it"")"),"La persona sta cavalcando nella direzione opposta.")</f>
        <v>La persona sta cavalcando nella direzione opposta.</v>
      </c>
    </row>
    <row r="33511">
      <c r="A33511" s="4" t="s">
        <v>42171</v>
      </c>
      <c r="B33511" s="4" t="s">
        <v>42177</v>
      </c>
      <c r="C33511" s="5" t="str">
        <f>IFERROR(__xludf.DUMMYFUNCTION("GOOGLETRANSLATE(B33511,""en"",""it"")"),"Vediamo la sabbia soffiare nel vento.")</f>
        <v>Vediamo la sabbia soffiare nel vento.</v>
      </c>
    </row>
    <row r="33512">
      <c r="A33512" s="4" t="s">
        <v>42178</v>
      </c>
      <c r="B33512" s="4" t="s">
        <v>42179</v>
      </c>
      <c r="C33512" s="5" t="str">
        <f>IFERROR(__xludf.DUMMYFUNCTION("GOOGLETRANSLATE(B33512,""en"",""it"")"),"Ci sono molte persone raccolte in strada per guardare una sfilata o per essere in parata.")</f>
        <v>Ci sono molte persone raccolte in strada per guardare una sfilata o per essere in parata.</v>
      </c>
    </row>
    <row r="33513">
      <c r="A33513" s="4" t="s">
        <v>42178</v>
      </c>
      <c r="B33513" s="4" t="s">
        <v>42180</v>
      </c>
      <c r="C33513" s="5" t="str">
        <f>IFERROR(__xludf.DUMMYFUNCTION("GOOGLETRANSLATE(B33513,""en"",""it"")"),"Ci sono 4 giovani vestiti in abbigliamento militare che portano uno stendardo rosso e bianco in una sfilata.")</f>
        <v>Ci sono 4 giovani vestiti in abbigliamento militare che portano uno stendardo rosso e bianco in una sfilata.</v>
      </c>
    </row>
    <row r="33514">
      <c r="A33514" s="4" t="s">
        <v>42178</v>
      </c>
      <c r="B33514" s="6" t="s">
        <v>42181</v>
      </c>
      <c r="C33514" s="5" t="str">
        <f>IFERROR(__xludf.DUMMYFUNCTION("GOOGLETRANSLATE(B33514,""en"",""it"")"),"Sono quindi seguiti da un gruppo di ragazze danzanti che sono tutte vestite con gli stessi abiti che sono rossi, bianchi e neri, ma alcuni indossano top bianchi e gli altri indossano top rossi.")</f>
        <v>Sono quindi seguiti da un gruppo di ragazze danzanti che sono tutte vestite con gli stessi abiti che sono rossi, bianchi e neri, ma alcuni indossano top bianchi e gli altri indossano top rossi.</v>
      </c>
    </row>
    <row r="33515">
      <c r="A33515" s="4" t="s">
        <v>42178</v>
      </c>
      <c r="B33515" s="6" t="s">
        <v>42182</v>
      </c>
      <c r="C33515" s="5" t="str">
        <f>IFERROR(__xludf.DUMMYFUNCTION("GOOGLETRANSLATE(B33515,""en"",""it"")"),"Sono quindi seguiti da una band molto grande che suonano strumenti diversi e sono tutti in sintonia e una donna si sta divertendo così tanto che inizia a ballare mentre la band suona.")</f>
        <v>Sono quindi seguiti da una band molto grande che suonano strumenti diversi e sono tutti in sintonia e una donna si sta divertendo così tanto che inizia a ballare mentre la band suona.</v>
      </c>
    </row>
    <row r="33516">
      <c r="A33516" s="4" t="s">
        <v>42183</v>
      </c>
      <c r="B33516" s="6" t="s">
        <v>42184</v>
      </c>
      <c r="C33516" s="5" t="str">
        <f>IFERROR(__xludf.DUMMYFUNCTION("GOOGLETRANSLATE(B33516,""en"",""it"")"),"Diverse persone in canoa lungo un lago intervallato da diverse foto delle statistiche e delle caratteristiche del lago.")</f>
        <v>Diverse persone in canoa lungo un lago intervallato da diverse foto delle statistiche e delle caratteristiche del lago.</v>
      </c>
    </row>
    <row r="33517">
      <c r="A33517" s="4" t="s">
        <v>42183</v>
      </c>
      <c r="B33517" s="6" t="s">
        <v>42185</v>
      </c>
      <c r="C33517" s="5" t="str">
        <f>IFERROR(__xludf.DUMMYFUNCTION("GOOGLETRANSLATE(B33517,""en"",""it"")"),"Vengono mostrate diverse foto del lago che includono erbacce/palude secche e calma e calma acqua blu insieme a una specchio d'acqua poco profondo con le rocce.")</f>
        <v>Vengono mostrate diverse foto del lago che includono erbacce/palude secche e calma e calma acqua blu insieme a una specchio d'acqua poco profondo con le rocce.</v>
      </c>
    </row>
    <row r="33518">
      <c r="A33518" s="4" t="s">
        <v>42183</v>
      </c>
      <c r="B33518" s="4" t="s">
        <v>42186</v>
      </c>
      <c r="C33518" s="5" t="str">
        <f>IFERROR(__xludf.DUMMYFUNCTION("GOOGLETRANSLATE(B33518,""en"",""it"")"),"Due canoe con persone in esse sono mostrate nel lago.")</f>
        <v>Due canoe con persone in esse sono mostrate nel lago.</v>
      </c>
    </row>
    <row r="33519">
      <c r="A33519" s="4" t="s">
        <v>42183</v>
      </c>
      <c r="B33519" s="6" t="s">
        <v>42187</v>
      </c>
      <c r="C33519" s="5" t="str">
        <f>IFERROR(__xludf.DUMMYFUNCTION("GOOGLETRANSLATE(B33519,""en"",""it"")"),"Viene mostrato un murale artistico di un pesce blu e giallo insieme a più scatti e video di persone sul lago.")</f>
        <v>Viene mostrato un murale artistico di un pesce blu e giallo insieme a più scatti e video di persone sul lago.</v>
      </c>
    </row>
    <row r="33520">
      <c r="A33520" s="4" t="s">
        <v>42188</v>
      </c>
      <c r="B33520" s="4" t="s">
        <v>42189</v>
      </c>
      <c r="C33520" s="5" t="str">
        <f>IFERROR(__xludf.DUMMYFUNCTION("GOOGLETRANSLATE(B33520,""en"",""it"")"),"Viene mostrata una palla che oscilla seguiti da scatti di scenari e persone che si preparano.")</f>
        <v>Viene mostrata una palla che oscilla seguiti da scatti di scenari e persone che si preparano.</v>
      </c>
    </row>
    <row r="33521">
      <c r="A33521" s="4" t="s">
        <v>42188</v>
      </c>
      <c r="B33521" s="4" t="s">
        <v>42190</v>
      </c>
      <c r="C33521" s="5" t="str">
        <f>IFERROR(__xludf.DUMMYFUNCTION("GOOGLETRANSLATE(B33521,""en"",""it"")"),"Un uomo registra un atleta che tiene la palla e seduto su una panchina.")</f>
        <v>Un uomo registra un atleta che tiene la palla e seduto su una panchina.</v>
      </c>
    </row>
    <row r="33522">
      <c r="A33522" s="4" t="s">
        <v>42188</v>
      </c>
      <c r="B33522" s="4" t="s">
        <v>42191</v>
      </c>
      <c r="C33522" s="5" t="str">
        <f>IFERROR(__xludf.DUMMYFUNCTION("GOOGLETRANSLATE(B33522,""en"",""it"")"),"Vengono mostrate varie persone che si preparano a esibirsi seguite da diverse persone che oscillano le palle.")</f>
        <v>Vengono mostrate varie persone che si preparano a esibirsi seguite da diverse persone che oscillano le palle.</v>
      </c>
    </row>
    <row r="33523">
      <c r="A33523" s="4" t="s">
        <v>42188</v>
      </c>
      <c r="B33523" s="6" t="s">
        <v>42192</v>
      </c>
      <c r="C33523" s="5" t="str">
        <f>IFERROR(__xludf.DUMMYFUNCTION("GOOGLETRANSLATE(B33523,""en"",""it"")"),"Alla fine vengono mostrate diverse donne diverse eseguendo il compito mentre riscaldano anche i loro tiri.")</f>
        <v>Alla fine vengono mostrate diverse donne diverse eseguendo il compito mentre riscaldano anche i loro tiri.</v>
      </c>
    </row>
    <row r="33524">
      <c r="A33524" s="4" t="s">
        <v>42193</v>
      </c>
      <c r="B33524" s="4" t="s">
        <v>42194</v>
      </c>
      <c r="C33524" s="5" t="str">
        <f>IFERROR(__xludf.DUMMYFUNCTION("GOOGLETRANSLATE(B33524,""en"",""it"")"),"Vediamo una schermata introduttiva con frecce.")</f>
        <v>Vediamo una schermata introduttiva con frecce.</v>
      </c>
    </row>
    <row r="33525">
      <c r="A33525" s="4" t="s">
        <v>42193</v>
      </c>
      <c r="B33525" s="4" t="s">
        <v>42195</v>
      </c>
      <c r="C33525" s="5" t="str">
        <f>IFERROR(__xludf.DUMMYFUNCTION("GOOGLETRANSLATE(B33525,""en"",""it"")"),"Uno chef parla mentre si trova davanti a un arco mentre cucina gli spaghetti.")</f>
        <v>Uno chef parla mentre si trova davanti a un arco mentre cucina gli spaghetti.</v>
      </c>
    </row>
    <row r="33526">
      <c r="A33526" s="4" t="s">
        <v>42193</v>
      </c>
      <c r="B33526" s="4" t="s">
        <v>42196</v>
      </c>
      <c r="C33526" s="5" t="str">
        <f>IFERROR(__xludf.DUMMYFUNCTION("GOOGLETRANSLATE(B33526,""en"",""it"")"),"La signora aggiunge sale e spaghetti all'acqua bollente.")</f>
        <v>La signora aggiunge sale e spaghetti all'acqua bollente.</v>
      </c>
    </row>
    <row r="33527">
      <c r="A33527" s="4" t="s">
        <v>42193</v>
      </c>
      <c r="B33527" s="4" t="s">
        <v>42197</v>
      </c>
      <c r="C33527" s="5" t="str">
        <f>IFERROR(__xludf.DUMMYFUNCTION("GOOGLETRANSLATE(B33527,""en"",""it"")"),"La signora afferra un noodle per mostrare come dovrebbe apparire quando è cotta.")</f>
        <v>La signora afferra un noodle per mostrare come dovrebbe apparire quando è cotta.</v>
      </c>
    </row>
    <row r="33528">
      <c r="A33528" s="4" t="s">
        <v>42193</v>
      </c>
      <c r="B33528" s="4" t="s">
        <v>42198</v>
      </c>
      <c r="C33528" s="5" t="str">
        <f>IFERROR(__xludf.DUMMYFUNCTION("GOOGLETRANSLATE(B33528,""en"",""it"")"),"La signora prosciuga l'acqua, aggiunge salsa e aggiunge un po 'di acqua di cucina.")</f>
        <v>La signora prosciuga l'acqua, aggiunge salsa e aggiunge un po 'di acqua di cucina.</v>
      </c>
    </row>
    <row r="33529">
      <c r="A33529" s="4" t="s">
        <v>42193</v>
      </c>
      <c r="B33529" s="4" t="s">
        <v>42199</v>
      </c>
      <c r="C33529" s="5" t="str">
        <f>IFERROR(__xludf.DUMMYFUNCTION("GOOGLETRANSLATE(B33529,""en"",""it"")"),"Lo mette su un piatto.")</f>
        <v>Lo mette su un piatto.</v>
      </c>
    </row>
    <row r="33530">
      <c r="A33530" s="4" t="s">
        <v>42193</v>
      </c>
      <c r="B33530" s="4" t="s">
        <v>42200</v>
      </c>
      <c r="C33530" s="5" t="str">
        <f>IFERROR(__xludf.DUMMYFUNCTION("GOOGLETRANSLATE(B33530,""en"",""it"")"),"Vediamo quindi i crediti neri rotolare.")</f>
        <v>Vediamo quindi i crediti neri rotolare.</v>
      </c>
    </row>
    <row r="33531">
      <c r="A33531" s="4" t="s">
        <v>42201</v>
      </c>
      <c r="B33531" s="4" t="s">
        <v>42202</v>
      </c>
      <c r="C33531" s="5" t="str">
        <f>IFERROR(__xludf.DUMMYFUNCTION("GOOGLETRANSLATE(B33531,""en"",""it"")"),"L'uomo è in pista in una palestra coperta e corre per fare grandi salti di fronte ai giudici.")</f>
        <v>L'uomo è in pista in una palestra coperta e corre per fare grandi salti di fronte ai giudici.</v>
      </c>
    </row>
    <row r="33532">
      <c r="A33532" s="4" t="s">
        <v>42201</v>
      </c>
      <c r="B33532" s="4" t="s">
        <v>42203</v>
      </c>
      <c r="C33532" s="5" t="str">
        <f>IFERROR(__xludf.DUMMYFUNCTION("GOOGLETRANSLATE(B33532,""en"",""it"")"),"Le persone sono in terrazze a guardare il ragazzo.")</f>
        <v>Le persone sono in terrazze a guardare il ragazzo.</v>
      </c>
    </row>
    <row r="33533">
      <c r="A33533" s="4" t="s">
        <v>42201</v>
      </c>
      <c r="B33533" s="4" t="s">
        <v>42204</v>
      </c>
      <c r="C33533" s="5" t="str">
        <f>IFERROR(__xludf.DUMMYFUNCTION("GOOGLETRANSLATE(B33533,""en"",""it"")"),"L'uomo applaude dopo che l'uomo fa i salti.")</f>
        <v>L'uomo applaude dopo che l'uomo fa i salti.</v>
      </c>
    </row>
    <row r="33534">
      <c r="A33534" s="4" t="s">
        <v>42205</v>
      </c>
      <c r="B33534" s="4" t="s">
        <v>42206</v>
      </c>
      <c r="C33534" s="5" t="str">
        <f>IFERROR(__xludf.DUMMYFUNCTION("GOOGLETRANSLATE(B33534,""en"",""it"")"),"Una donna viene vista guardare oltre la telecamera e mostrare la parte posteriore della testa.")</f>
        <v>Una donna viene vista guardare oltre la telecamera e mostrare la parte posteriore della testa.</v>
      </c>
    </row>
    <row r="33535">
      <c r="A33535" s="4" t="s">
        <v>42205</v>
      </c>
      <c r="B33535" s="4" t="s">
        <v>42207</v>
      </c>
      <c r="C33535" s="5" t="str">
        <f>IFERROR(__xludf.DUMMYFUNCTION("GOOGLETRANSLATE(B33535,""en"",""it"")"),"Solleva vari prodotti e li strofina tra i capelli.")</f>
        <v>Solleva vari prodotti e li strofina tra i capelli.</v>
      </c>
    </row>
    <row r="33536">
      <c r="A33536" s="4" t="s">
        <v>42205</v>
      </c>
      <c r="B33536" s="4" t="s">
        <v>42208</v>
      </c>
      <c r="C33536" s="5" t="str">
        <f>IFERROR(__xludf.DUMMYFUNCTION("GOOGLETRANSLATE(B33536,""en"",""it"")"),"Poi si muove i capelli mentre la spruzza e sente la consistenza in seguito.")</f>
        <v>Poi si muove i capelli mentre la spruzza e sente la consistenza in seguito.</v>
      </c>
    </row>
    <row r="33537">
      <c r="A33537" s="4" t="s">
        <v>42205</v>
      </c>
      <c r="B33537" s="4" t="s">
        <v>42209</v>
      </c>
      <c r="C33537" s="5" t="str">
        <f>IFERROR(__xludf.DUMMYFUNCTION("GOOGLETRANSLATE(B33537,""en"",""it"")"),"Finisce di bloccare i capelli e guardare indietro alla telecamera.")</f>
        <v>Finisce di bloccare i capelli e guardare indietro alla telecamera.</v>
      </c>
    </row>
    <row r="33538">
      <c r="A33538" s="4" t="s">
        <v>42210</v>
      </c>
      <c r="B33538" s="6" t="s">
        <v>42211</v>
      </c>
      <c r="C33538" s="5" t="str">
        <f>IFERROR(__xludf.DUMMYFUNCTION("GOOGLETRANSLATE(B33538,""en"",""it"")"),"Un uomo e un cane sono in piedi nel mezzo del campo giocando mentre tiene un gruppo di frisbees.")</f>
        <v>Un uomo e un cane sono in piedi nel mezzo del campo giocando mentre tiene un gruppo di frisbees.</v>
      </c>
    </row>
    <row r="33539">
      <c r="A33539" s="4" t="s">
        <v>42210</v>
      </c>
      <c r="B33539" s="6" t="s">
        <v>42212</v>
      </c>
      <c r="C33539" s="5" t="str">
        <f>IFERROR(__xludf.DUMMYFUNCTION("GOOGLETRANSLATE(B33539,""en"",""it"")"),"L'uomo quindi lancia tutti i frisbees e il cane scorre più volte e li prende.")</f>
        <v>L'uomo quindi lancia tutti i frisbees e il cane scorre più volte e li prende.</v>
      </c>
    </row>
    <row r="33540">
      <c r="A33540" s="4" t="s">
        <v>42210</v>
      </c>
      <c r="B33540" s="6" t="s">
        <v>42213</v>
      </c>
      <c r="C33540" s="5" t="str">
        <f>IFERROR(__xludf.DUMMYFUNCTION("GOOGLETRANSLATE(B33540,""en"",""it"")"),"Nel mezzo della routine, afferra diversi frisbee e li dà al cane uno per uno mentre si inginocchia di fronte a lui.")</f>
        <v>Nel mezzo della routine, afferra diversi frisbee e li dà al cane uno per uno mentre si inginocchia di fronte a lui.</v>
      </c>
    </row>
    <row r="33541">
      <c r="A33541" s="4" t="s">
        <v>42210</v>
      </c>
      <c r="B33541" s="6" t="s">
        <v>42214</v>
      </c>
      <c r="C33541" s="5" t="str">
        <f>IFERROR(__xludf.DUMMYFUNCTION("GOOGLETRANSLATE(B33541,""en"",""it"")"),"Vengono fatti diversi trucchi, e poi il cane sembra saltare sul campo, tornano alle loro normali routine e il proprietario raccoglie il cane e le onde alla folla.")</f>
        <v>Vengono fatti diversi trucchi, e poi il cane sembra saltare sul campo, tornano alle loro normali routine e il proprietario raccoglie il cane e le onde alla folla.</v>
      </c>
    </row>
    <row r="33542">
      <c r="A33542" s="4" t="s">
        <v>42215</v>
      </c>
      <c r="B33542" s="4" t="s">
        <v>42216</v>
      </c>
      <c r="C33542" s="5" t="str">
        <f>IFERROR(__xludf.DUMMYFUNCTION("GOOGLETRANSLATE(B33542,""en"",""it"")"),"Il video inizia con due lottatori di sumo su una fase di sumo.")</f>
        <v>Il video inizia con due lottatori di sumo su una fase di sumo.</v>
      </c>
    </row>
    <row r="33543">
      <c r="A33543" s="4" t="s">
        <v>42215</v>
      </c>
      <c r="B33543" s="4" t="s">
        <v>42217</v>
      </c>
      <c r="C33543" s="5" t="str">
        <f>IFERROR(__xludf.DUMMYFUNCTION("GOOGLETRANSLATE(B33543,""en"",""it"")"),"C'è una grande folla che spetta e un uomo al centro dell'anello che funge da arbitro.")</f>
        <v>C'è una grande folla che spetta e un uomo al centro dell'anello che funge da arbitro.</v>
      </c>
    </row>
    <row r="33544">
      <c r="A33544" s="4" t="s">
        <v>42215</v>
      </c>
      <c r="B33544" s="4" t="s">
        <v>42218</v>
      </c>
      <c r="C33544" s="5" t="str">
        <f>IFERROR(__xludf.DUMMYFUNCTION("GOOGLETRANSLATE(B33544,""en"",""it"")"),"I due lottatori di sumo gettano una polvere bianca sul ring.")</f>
        <v>I due lottatori di sumo gettano una polvere bianca sul ring.</v>
      </c>
    </row>
    <row r="33545">
      <c r="A33545" s="4" t="s">
        <v>42215</v>
      </c>
      <c r="B33545" s="6" t="s">
        <v>42219</v>
      </c>
      <c r="C33545" s="5" t="str">
        <f>IFERROR(__xludf.DUMMYFUNCTION("GOOGLETRANSLATE(B33545,""en"",""it"")"),"Lo squat e sbattono le mani insieme, mentre un gruppo di uomini tiene bandiere e cammina sul ring.")</f>
        <v>Lo squat e sbattono le mani insieme, mentre un gruppo di uomini tiene bandiere e cammina sul ring.</v>
      </c>
    </row>
    <row r="33546">
      <c r="A33546" s="4" t="s">
        <v>42215</v>
      </c>
      <c r="B33546" s="4" t="s">
        <v>42220</v>
      </c>
      <c r="C33546" s="5" t="str">
        <f>IFERROR(__xludf.DUMMYFUNCTION("GOOGLETRANSLATE(B33546,""en"",""it"")"),"Altri due uomini tengono le scope mentre spazzano un po 'di polvere.")</f>
        <v>Altri due uomini tengono le scope mentre spazzano un po 'di polvere.</v>
      </c>
    </row>
    <row r="33547">
      <c r="A33547" s="4" t="s">
        <v>42215</v>
      </c>
      <c r="B33547" s="4" t="s">
        <v>42221</v>
      </c>
      <c r="C33547" s="5" t="str">
        <f>IFERROR(__xludf.DUMMYFUNCTION("GOOGLETRANSLATE(B33547,""en"",""it"")"),"I due lottatori di sumo escono dal ring e lanciano di nuovo più polvere.")</f>
        <v>I due lottatori di sumo escono dal ring e lanciano di nuovo più polvere.</v>
      </c>
    </row>
    <row r="33548">
      <c r="A33548" s="4" t="s">
        <v>42215</v>
      </c>
      <c r="B33548" s="4" t="s">
        <v>42222</v>
      </c>
      <c r="C33548" s="5" t="str">
        <f>IFERROR(__xludf.DUMMYFUNCTION("GOOGLETRANSLATE(B33548,""en"",""it"")"),"Si scontrano l'uno nell'altro e si allontanano.")</f>
        <v>Si scontrano l'uno nell'altro e si allontanano.</v>
      </c>
    </row>
    <row r="33549">
      <c r="A33549" s="4" t="s">
        <v>42215</v>
      </c>
      <c r="B33549" s="4" t="s">
        <v>42223</v>
      </c>
      <c r="C33549" s="5" t="str">
        <f>IFERROR(__xludf.DUMMYFUNCTION("GOOGLETRANSLATE(B33549,""en"",""it"")"),"Si scontrano di nuovo l'uno nell'altro e iniziano a lottare.")</f>
        <v>Si scontrano di nuovo l'uno nell'altro e iniziano a lottare.</v>
      </c>
    </row>
    <row r="33550">
      <c r="A33550" s="4" t="s">
        <v>42215</v>
      </c>
      <c r="B33550" s="4" t="s">
        <v>42224</v>
      </c>
      <c r="C33550" s="5" t="str">
        <f>IFERROR(__xludf.DUMMYFUNCTION("GOOGLETRANSLATE(B33550,""en"",""it"")"),"L'uomo in pantaloncini di sumo neri getta l'altro uomo dal ring.")</f>
        <v>L'uomo in pantaloncini di sumo neri getta l'altro uomo dal ring.</v>
      </c>
    </row>
    <row r="33551">
      <c r="A33551" s="4" t="s">
        <v>42215</v>
      </c>
      <c r="B33551" s="4" t="s">
        <v>42225</v>
      </c>
      <c r="C33551" s="5" t="str">
        <f>IFERROR(__xludf.DUMMYFUNCTION("GOOGLETRANSLATE(B33551,""en"",""it"")"),"Si inchinano e il perdente esce dall'anello.")</f>
        <v>Si inchinano e il perdente esce dall'anello.</v>
      </c>
    </row>
    <row r="33552">
      <c r="A33552" s="4" t="s">
        <v>42226</v>
      </c>
      <c r="B33552" s="4" t="s">
        <v>42227</v>
      </c>
      <c r="C33552" s="5" t="str">
        <f>IFERROR(__xludf.DUMMYFUNCTION("GOOGLETRANSLATE(B33552,""en"",""it"")"),"Un uomo si piega di raccogliere un peso pesante più volte di seguito e metterlo giù.")</f>
        <v>Un uomo si piega di raccogliere un peso pesante più volte di seguito e metterlo giù.</v>
      </c>
    </row>
    <row r="33553">
      <c r="A33553" s="4" t="s">
        <v>42226</v>
      </c>
      <c r="B33553" s="4" t="s">
        <v>42228</v>
      </c>
      <c r="C33553" s="5" t="str">
        <f>IFERROR(__xludf.DUMMYFUNCTION("GOOGLETRANSLATE(B33553,""en"",""it"")"),"Un uomo sta misurando la lunghezza del braccio di un altro uomo.")</f>
        <v>Un uomo sta misurando la lunghezza del braccio di un altro uomo.</v>
      </c>
    </row>
    <row r="33554">
      <c r="A33554" s="4" t="s">
        <v>42226</v>
      </c>
      <c r="B33554" s="4" t="s">
        <v>42229</v>
      </c>
      <c r="C33554" s="5" t="str">
        <f>IFERROR(__xludf.DUMMYFUNCTION("GOOGLETRANSLATE(B33554,""en"",""it"")"),"L'uomo misura la lunghezza della barra di peso.")</f>
        <v>L'uomo misura la lunghezza della barra di peso.</v>
      </c>
    </row>
    <row r="33555">
      <c r="A33555" s="4" t="s">
        <v>42230</v>
      </c>
      <c r="B33555" s="4" t="s">
        <v>573</v>
      </c>
      <c r="C33555" s="5" t="str">
        <f>IFERROR(__xludf.DUMMYFUNCTION("GOOGLETRANSLATE(B33555,""en"",""it"")"),"Vengono visualizzati i crediti del video.")</f>
        <v>Vengono visualizzati i crediti del video.</v>
      </c>
    </row>
    <row r="33556">
      <c r="A33556" s="4" t="s">
        <v>42230</v>
      </c>
      <c r="B33556" s="4" t="s">
        <v>42231</v>
      </c>
      <c r="C33556" s="5" t="str">
        <f>IFERROR(__xludf.DUMMYFUNCTION("GOOGLETRANSLATE(B33556,""en"",""it"")"),"Un uomo si trova con un arco e una freccia.")</f>
        <v>Un uomo si trova con un arco e una freccia.</v>
      </c>
    </row>
    <row r="33557">
      <c r="A33557" s="4" t="s">
        <v>42230</v>
      </c>
      <c r="B33557" s="4" t="s">
        <v>42232</v>
      </c>
      <c r="C33557" s="5" t="str">
        <f>IFERROR(__xludf.DUMMYFUNCTION("GOOGLETRANSLATE(B33557,""en"",""it"")"),"Un uomo colpisce una freccia di prua.")</f>
        <v>Un uomo colpisce una freccia di prua.</v>
      </c>
    </row>
    <row r="33558">
      <c r="A33558" s="4" t="s">
        <v>42230</v>
      </c>
      <c r="B33558" s="4" t="s">
        <v>42233</v>
      </c>
      <c r="C33558" s="5" t="str">
        <f>IFERROR(__xludf.DUMMYFUNCTION("GOOGLETRANSLATE(B33558,""en"",""it"")"),"Viene mostrato il merito della clip.")</f>
        <v>Viene mostrato il merito della clip.</v>
      </c>
    </row>
    <row r="33559">
      <c r="A33559" s="4" t="s">
        <v>42230</v>
      </c>
      <c r="B33559" s="4" t="s">
        <v>42234</v>
      </c>
      <c r="C33559" s="5" t="str">
        <f>IFERROR(__xludf.DUMMYFUNCTION("GOOGLETRANSLATE(B33559,""en"",""it"")"),"Un ragazzo parla con la bocca e la mano.")</f>
        <v>Un ragazzo parla con la bocca e la mano.</v>
      </c>
    </row>
    <row r="33560">
      <c r="A33560" s="4" t="s">
        <v>42230</v>
      </c>
      <c r="B33560" s="4" t="s">
        <v>42235</v>
      </c>
      <c r="C33560" s="5" t="str">
        <f>IFERROR(__xludf.DUMMYFUNCTION("GOOGLETRANSLATE(B33560,""en"",""it"")"),"Una mano estesa che tiene una penna viene mostrata su uno schermo diviso.")</f>
        <v>Una mano estesa che tiene una penna viene mostrata su uno schermo diviso.</v>
      </c>
    </row>
    <row r="33561">
      <c r="A33561" s="4" t="s">
        <v>42230</v>
      </c>
      <c r="B33561" s="4" t="s">
        <v>42236</v>
      </c>
      <c r="C33561" s="5" t="str">
        <f>IFERROR(__xludf.DUMMYFUNCTION("GOOGLETRANSLATE(B33561,""en"",""it"")"),"Diverse frecce colpiscono il bersaglio.")</f>
        <v>Diverse frecce colpiscono il bersaglio.</v>
      </c>
    </row>
    <row r="33562">
      <c r="A33562" s="4" t="s">
        <v>42230</v>
      </c>
      <c r="B33562" s="4" t="s">
        <v>42237</v>
      </c>
      <c r="C33562" s="5" t="str">
        <f>IFERROR(__xludf.DUMMYFUNCTION("GOOGLETRANSLATE(B33562,""en"",""it"")"),"Una freccia passa attraverso il buco di una ciambella.")</f>
        <v>Una freccia passa attraverso il buco di una ciambella.</v>
      </c>
    </row>
    <row r="33563">
      <c r="A33563" s="4" t="s">
        <v>42230</v>
      </c>
      <c r="B33563" s="4" t="s">
        <v>42238</v>
      </c>
      <c r="C33563" s="5" t="str">
        <f>IFERROR(__xludf.DUMMYFUNCTION("GOOGLETRANSLATE(B33563,""en"",""it"")"),"Una freccia taglia la stringa con in mano una mela.")</f>
        <v>Una freccia taglia la stringa con in mano una mela.</v>
      </c>
    </row>
    <row r="33564">
      <c r="A33564" s="4" t="s">
        <v>42230</v>
      </c>
      <c r="B33564" s="4" t="s">
        <v>42239</v>
      </c>
      <c r="C33564" s="5" t="str">
        <f>IFERROR(__xludf.DUMMYFUNCTION("GOOGLETRANSLATE(B33564,""en"",""it"")"),"Una freccia passa attraverso il foro di un CD.")</f>
        <v>Una freccia passa attraverso il foro di un CD.</v>
      </c>
    </row>
    <row r="33565">
      <c r="A33565" s="4" t="s">
        <v>42230</v>
      </c>
      <c r="B33565" s="4" t="s">
        <v>42240</v>
      </c>
      <c r="C33565" s="5" t="str">
        <f>IFERROR(__xludf.DUMMYFUNCTION("GOOGLETRANSLATE(B33565,""en"",""it"")"),"Viene presentato il credito della clip.")</f>
        <v>Viene presentato il credito della clip.</v>
      </c>
    </row>
    <row r="33566">
      <c r="A33566" s="4" t="s">
        <v>42230</v>
      </c>
      <c r="B33566" s="4" t="s">
        <v>29120</v>
      </c>
      <c r="C33566" s="5" t="str">
        <f>IFERROR(__xludf.DUMMYFUNCTION("GOOGLETRANSLATE(B33566,""en"",""it"")"),"Un ragazzo parla mentre gestisce.")</f>
        <v>Un ragazzo parla mentre gestisce.</v>
      </c>
    </row>
    <row r="33567">
      <c r="A33567" s="4" t="s">
        <v>42230</v>
      </c>
      <c r="B33567" s="4" t="s">
        <v>42241</v>
      </c>
      <c r="C33567" s="5" t="str">
        <f>IFERROR(__xludf.DUMMYFUNCTION("GOOGLETRANSLATE(B33567,""en"",""it"")"),"Vengono visualizzati i crediti del video.")</f>
        <v>Vengono visualizzati i crediti del video.</v>
      </c>
    </row>
    <row r="33568">
      <c r="A33568" s="4" t="s">
        <v>42242</v>
      </c>
      <c r="B33568" s="6" t="s">
        <v>42243</v>
      </c>
      <c r="C33568" s="5" t="str">
        <f>IFERROR(__xludf.DUMMYFUNCTION("GOOGLETRANSLATE(B33568,""en"",""it"")"),"Due uomini giocano a biliardo mentre si alternano per colpire la palla con un bastone, mentre un uomo gioca da solo sul retro.")</f>
        <v>Due uomini giocano a biliardo mentre si alternano per colpire la palla con un bastone, mentre un uomo gioca da solo sul retro.</v>
      </c>
    </row>
    <row r="33569">
      <c r="A33569" s="4" t="s">
        <v>42242</v>
      </c>
      <c r="B33569" s="4" t="s">
        <v>42244</v>
      </c>
      <c r="C33569" s="5" t="str">
        <f>IFERROR(__xludf.DUMMYFUNCTION("GOOGLETRANSLATE(B33569,""en"",""it"")"),"Un uomo e un bambino camminano in un soggiorno sulla piscina del tavolo.")</f>
        <v>Un uomo e un bambino camminano in un soggiorno sulla piscina del tavolo.</v>
      </c>
    </row>
    <row r="33570">
      <c r="A33570" s="4" t="s">
        <v>42242</v>
      </c>
      <c r="B33570" s="4" t="s">
        <v>42245</v>
      </c>
      <c r="C33570" s="5" t="str">
        <f>IFERROR(__xludf.DUMMYFUNCTION("GOOGLETRANSLATE(B33570,""en"",""it"")"),"Una donna cammina con un bastone accanto agli uomini.")</f>
        <v>Una donna cammina con un bastone accanto agli uomini.</v>
      </c>
    </row>
    <row r="33571">
      <c r="A33571" s="4" t="s">
        <v>42246</v>
      </c>
      <c r="B33571" s="4" t="s">
        <v>42247</v>
      </c>
      <c r="C33571" s="5" t="str">
        <f>IFERROR(__xludf.DUMMYFUNCTION("GOOGLETRANSLATE(B33571,""en"",""it"")"),"Viene visto un uomo parlare alla telecamera seguita da diverse foto di uomini barbuti.")</f>
        <v>Viene visto un uomo parlare alla telecamera seguita da diverse foto di uomini barbuti.</v>
      </c>
    </row>
    <row r="33572">
      <c r="A33572" s="4" t="s">
        <v>42246</v>
      </c>
      <c r="B33572" s="4" t="s">
        <v>42248</v>
      </c>
      <c r="C33572" s="5" t="str">
        <f>IFERROR(__xludf.DUMMYFUNCTION("GOOGLETRANSLATE(B33572,""en"",""it"")"),"L'uomo inizia quindi a usare le forbici sul viso mentre tiene in mano pezzi di carta.")</f>
        <v>L'uomo inizia quindi a usare le forbici sul viso mentre tiene in mano pezzi di carta.</v>
      </c>
    </row>
    <row r="33573">
      <c r="A33573" s="4" t="s">
        <v>42246</v>
      </c>
      <c r="B33573" s="4" t="s">
        <v>42249</v>
      </c>
      <c r="C33573" s="5" t="str">
        <f>IFERROR(__xludf.DUMMYFUNCTION("GOOGLETRANSLATE(B33573,""en"",""it"")"),"L'uomo continua a radersi il viso e termina agitando la telecamera.")</f>
        <v>L'uomo continua a radersi il viso e termina agitando la telecamera.</v>
      </c>
    </row>
    <row r="33574">
      <c r="A33574" s="4" t="s">
        <v>42250</v>
      </c>
      <c r="B33574" s="4" t="s">
        <v>42251</v>
      </c>
      <c r="C33574" s="5" t="str">
        <f>IFERROR(__xludf.DUMMYFUNCTION("GOOGLETRANSLATE(B33574,""en"",""it"")"),"Un ragazzo viene mostrato parlare alla telecamera e alla fine mostra le sue mani che si muovono oggetti.")</f>
        <v>Un ragazzo viene mostrato parlare alla telecamera e alla fine mostra le sue mani che si muovono oggetti.</v>
      </c>
    </row>
    <row r="33575">
      <c r="A33575" s="4" t="s">
        <v>42250</v>
      </c>
      <c r="B33575" s="4" t="s">
        <v>42252</v>
      </c>
      <c r="C33575" s="5" t="str">
        <f>IFERROR(__xludf.DUMMYFUNCTION("GOOGLETRANSLATE(B33575,""en"",""it"")"),"Mette insieme gli oggetti e inizia a radersi i lati con un coltello affilato.")</f>
        <v>Mette insieme gli oggetti e inizia a radersi i lati con un coltello affilato.</v>
      </c>
    </row>
    <row r="33576">
      <c r="A33576" s="4" t="s">
        <v>42250</v>
      </c>
      <c r="B33576" s="4" t="s">
        <v>42253</v>
      </c>
      <c r="C33576" s="5" t="str">
        <f>IFERROR(__xludf.DUMMYFUNCTION("GOOGLETRANSLATE(B33576,""en"",""it"")"),"Continua a affilare l'oggetto e mostra il coltello che scorre sulla sua pelle nuda.")</f>
        <v>Continua a affilare l'oggetto e mostra il coltello che scorre sulla sua pelle nuda.</v>
      </c>
    </row>
    <row r="33577">
      <c r="A33577" s="4" t="s">
        <v>42254</v>
      </c>
      <c r="B33577" s="4" t="s">
        <v>42255</v>
      </c>
      <c r="C33577" s="5" t="str">
        <f>IFERROR(__xludf.DUMMYFUNCTION("GOOGLETRANSLATE(B33577,""en"",""it"")"),"Due uomini nei pantaloncini da basket stanno giocando a racketball.")</f>
        <v>Due uomini nei pantaloncini da basket stanno giocando a racketball.</v>
      </c>
    </row>
    <row r="33578">
      <c r="A33578" s="4" t="s">
        <v>42254</v>
      </c>
      <c r="B33578" s="4" t="s">
        <v>2779</v>
      </c>
      <c r="C33578" s="5" t="str">
        <f>IFERROR(__xludf.DUMMYFUNCTION("GOOGLETRANSLATE(B33578,""en"",""it"")"),"Hanno colpito la palla avanti e indietro contro il muro.")</f>
        <v>Hanno colpito la palla avanti e indietro contro il muro.</v>
      </c>
    </row>
    <row r="33579">
      <c r="A33579" s="4" t="s">
        <v>42254</v>
      </c>
      <c r="B33579" s="4" t="s">
        <v>42256</v>
      </c>
      <c r="C33579" s="5" t="str">
        <f>IFERROR(__xludf.DUMMYFUNCTION("GOOGLETRANSLATE(B33579,""en"",""it"")"),"Gli uomini continuano a servire e poi colpire e restituire la reciproca servizio.")</f>
        <v>Gli uomini continuano a servire e poi colpire e restituire la reciproca servizio.</v>
      </c>
    </row>
    <row r="33580">
      <c r="A33580" s="4" t="s">
        <v>42254</v>
      </c>
      <c r="B33580" s="4" t="s">
        <v>42257</v>
      </c>
      <c r="C33580" s="5" t="str">
        <f>IFERROR(__xludf.DUMMYFUNCTION("GOOGLETRANSLATE(B33580,""en"",""it"")"),"Si fanno una breve pausa dopo che un uomo ha segnalato.")</f>
        <v>Si fanno una breve pausa dopo che un uomo ha segnalato.</v>
      </c>
    </row>
    <row r="33581">
      <c r="A33581" s="4" t="s">
        <v>42254</v>
      </c>
      <c r="B33581" s="4" t="s">
        <v>42258</v>
      </c>
      <c r="C33581" s="5" t="str">
        <f>IFERROR(__xludf.DUMMYFUNCTION("GOOGLETRANSLATE(B33581,""en"",""it"")"),"Continuano a giocare e servire.")</f>
        <v>Continuano a giocare e servire.</v>
      </c>
    </row>
    <row r="33582">
      <c r="A33582" s="4" t="s">
        <v>42259</v>
      </c>
      <c r="B33582" s="4" t="s">
        <v>42260</v>
      </c>
      <c r="C33582" s="5" t="str">
        <f>IFERROR(__xludf.DUMMYFUNCTION("GOOGLETRANSLATE(B33582,""en"",""it"")"),"Un giocatore di kickball prende a calci la palla al piatto di casa in una grande arena.")</f>
        <v>Un giocatore di kickball prende a calci la palla al piatto di casa in una grande arena.</v>
      </c>
    </row>
    <row r="33583">
      <c r="A33583" s="4" t="s">
        <v>42259</v>
      </c>
      <c r="B33583" s="4" t="s">
        <v>42261</v>
      </c>
      <c r="C33583" s="5" t="str">
        <f>IFERROR(__xludf.DUMMYFUNCTION("GOOGLETRANSLATE(B33583,""en"",""it"")"),"Il giocatore corre oltre la prima base.")</f>
        <v>Il giocatore corre oltre la prima base.</v>
      </c>
    </row>
    <row r="33584">
      <c r="A33584" s="4" t="s">
        <v>42259</v>
      </c>
      <c r="B33584" s="4" t="s">
        <v>42262</v>
      </c>
      <c r="C33584" s="5" t="str">
        <f>IFERROR(__xludf.DUMMYFUNCTION("GOOGLETRANSLATE(B33584,""en"",""it"")"),"Il giocatore poi torna alla prima base e ci mette il piede.")</f>
        <v>Il giocatore poi torna alla prima base e ci mette il piede.</v>
      </c>
    </row>
    <row r="33585">
      <c r="A33585" s="4" t="s">
        <v>42263</v>
      </c>
      <c r="B33585" s="4" t="s">
        <v>42264</v>
      </c>
      <c r="C33585" s="5" t="str">
        <f>IFERROR(__xludf.DUMMYFUNCTION("GOOGLETRANSLATE(B33585,""en"",""it"")"),"C'è un chitarrista in una camicia verde che dimostra come suonare una chitarra acustica.")</f>
        <v>C'è un chitarrista in una camicia verde che dimostra come suonare una chitarra acustica.</v>
      </c>
    </row>
    <row r="33586">
      <c r="A33586" s="4" t="s">
        <v>42263</v>
      </c>
      <c r="B33586" s="4" t="s">
        <v>42265</v>
      </c>
      <c r="C33586" s="5" t="str">
        <f>IFERROR(__xludf.DUMMYFUNCTION("GOOGLETRANSLATE(B33586,""en"",""it"")"),"Vengono mostrati vari tipi di chitarre realizzate in una varietà di legno.")</f>
        <v>Vengono mostrati vari tipi di chitarre realizzate in una varietà di legno.</v>
      </c>
    </row>
    <row r="33587">
      <c r="A33587" s="4" t="s">
        <v>42263</v>
      </c>
      <c r="B33587" s="4" t="s">
        <v>42266</v>
      </c>
      <c r="C33587" s="5" t="str">
        <f>IFERROR(__xludf.DUMMYFUNCTION("GOOGLETRANSLATE(B33587,""en"",""it"")"),"Il chitarrista sta strimpellando la chitarra con la sua scelta mentre suona la sua musica.")</f>
        <v>Il chitarrista sta strimpellando la chitarra con la sua scelta mentre suona la sua musica.</v>
      </c>
    </row>
    <row r="33588">
      <c r="A33588" s="4" t="s">
        <v>42263</v>
      </c>
      <c r="B33588" s="6" t="s">
        <v>42267</v>
      </c>
      <c r="C33588" s="5" t="str">
        <f>IFERROR(__xludf.DUMMYFUNCTION("GOOGLETRANSLATE(B33588,""en"",""it"")"),"Ci sono immagini del Guitar Store e dei tipi di chitarre vendute scorrere attraverso la parte inferiore dello schermo.")</f>
        <v>Ci sono immagini del Guitar Store e dei tipi di chitarre vendute scorrere attraverso la parte inferiore dello schermo.</v>
      </c>
    </row>
    <row r="33589">
      <c r="A33589" s="4" t="s">
        <v>42263</v>
      </c>
      <c r="B33589" s="4" t="s">
        <v>42268</v>
      </c>
      <c r="C33589" s="5" t="str">
        <f>IFERROR(__xludf.DUMMYFUNCTION("GOOGLETRANSLATE(B33589,""en"",""it"")"),"Il chitarrista continua a suonare la sua chitarra.")</f>
        <v>Il chitarrista continua a suonare la sua chitarra.</v>
      </c>
    </row>
    <row r="33590">
      <c r="A33590" s="4" t="s">
        <v>42269</v>
      </c>
      <c r="B33590" s="6" t="s">
        <v>42270</v>
      </c>
      <c r="C33590" s="5" t="str">
        <f>IFERROR(__xludf.DUMMYFUNCTION("GOOGLETRANSLATE(B33590,""en"",""it"")"),"Un piccolo gruppo di persone viene visto nuotare intorno a una piscina che lancia una palla mentre diverse persone guardano sui lati.")</f>
        <v>Un piccolo gruppo di persone viene visto nuotare intorno a una piscina che lancia una palla mentre diverse persone guardano sui lati.</v>
      </c>
    </row>
    <row r="33591">
      <c r="A33591" s="4" t="s">
        <v>42269</v>
      </c>
      <c r="B33591" s="6" t="s">
        <v>42271</v>
      </c>
      <c r="C33591" s="5" t="str">
        <f>IFERROR(__xludf.DUMMYFUNCTION("GOOGLETRANSLATE(B33591,""en"",""it"")"),"La gente continua a lanciarsi la palla l'una verso l'altra mentre la fotocamera cattura il gioco in corso.")</f>
        <v>La gente continua a lanciarsi la palla l'una verso l'altra mentre la fotocamera cattura il gioco in corso.</v>
      </c>
    </row>
    <row r="33592">
      <c r="A33592" s="4" t="s">
        <v>42272</v>
      </c>
      <c r="B33592" s="4" t="s">
        <v>42273</v>
      </c>
      <c r="C33592" s="5" t="str">
        <f>IFERROR(__xludf.DUMMYFUNCTION("GOOGLETRANSLATE(B33592,""en"",""it"")"),"Tre artisti marziali con cinture nere fanno una dimostrazione per i bambini più piccoli.")</f>
        <v>Tre artisti marziali con cinture nere fanno una dimostrazione per i bambini più piccoli.</v>
      </c>
    </row>
    <row r="33593">
      <c r="A33593" s="4" t="s">
        <v>42272</v>
      </c>
      <c r="B33593" s="4" t="s">
        <v>42274</v>
      </c>
      <c r="C33593" s="5" t="str">
        <f>IFERROR(__xludf.DUMMYFUNCTION("GOOGLETRANSLATE(B33593,""en"",""it"")"),"Saltano e calciano poi si inchinano l'uno verso l'altro.")</f>
        <v>Saltano e calciano poi si inchinano l'uno verso l'altro.</v>
      </c>
    </row>
    <row r="33594">
      <c r="A33594" s="4" t="s">
        <v>42275</v>
      </c>
      <c r="B33594" s="6" t="s">
        <v>42276</v>
      </c>
      <c r="C33594" s="5" t="str">
        <f>IFERROR(__xludf.DUMMYFUNCTION("GOOGLETRANSLATE(B33594,""en"",""it"")"),"Un uomo atletico sta nuotando su una paletta mentre un altro uomo si mette indietro e lo assiste.")</f>
        <v>Un uomo atletico sta nuotando su una paletta mentre un altro uomo si mette indietro e lo assiste.</v>
      </c>
    </row>
    <row r="33595">
      <c r="A33595" s="4" t="s">
        <v>42275</v>
      </c>
      <c r="B33595" s="4" t="s">
        <v>42277</v>
      </c>
      <c r="C33595" s="5" t="str">
        <f>IFERROR(__xludf.DUMMYFUNCTION("GOOGLETRANSLATE(B33595,""en"",""it"")"),"Quindi ribalta l'uomo in avanti e l'uomo dimostra come ribaltarti.")</f>
        <v>Quindi ribalta l'uomo in avanti e l'uomo dimostra come ribaltarti.</v>
      </c>
    </row>
    <row r="33596">
      <c r="A33596" s="4" t="s">
        <v>42275</v>
      </c>
      <c r="B33596" s="4" t="s">
        <v>42278</v>
      </c>
      <c r="C33596" s="5" t="str">
        <f>IFERROR(__xludf.DUMMYFUNCTION("GOOGLETRANSLATE(B33596,""en"",""it"")"),"Lo fanno diverse volte per sentirsi più a proprio agio con la mossa.")</f>
        <v>Lo fanno diverse volte per sentirsi più a proprio agio con la mossa.</v>
      </c>
    </row>
    <row r="33597">
      <c r="A33597" s="4" t="s">
        <v>42279</v>
      </c>
      <c r="B33597" s="4" t="s">
        <v>42280</v>
      </c>
      <c r="C33597" s="5" t="str">
        <f>IFERROR(__xludf.DUMMYFUNCTION("GOOGLETRANSLATE(B33597,""en"",""it"")"),"Ci sono da sei a otto persone che navigano lungo un turbolento flusso d'acqua in una zattera.")</f>
        <v>Ci sono da sei a otto persone che navigano lungo un turbolento flusso d'acqua in una zattera.</v>
      </c>
    </row>
    <row r="33598">
      <c r="A33598" s="4" t="s">
        <v>42279</v>
      </c>
      <c r="B33598" s="4" t="s">
        <v>42281</v>
      </c>
      <c r="C33598" s="5" t="str">
        <f>IFERROR(__xludf.DUMMYFUNCTION("GOOGLETRANSLATE(B33598,""en"",""it"")"),"Sono tutti vestiti con ingranaggi rossi e caschi gialli.")</f>
        <v>Sono tutti vestiti con ingranaggi rossi e caschi gialli.</v>
      </c>
    </row>
    <row r="33599">
      <c r="A33599" s="4" t="s">
        <v>42279</v>
      </c>
      <c r="B33599" s="4" t="s">
        <v>42282</v>
      </c>
      <c r="C33599" s="5" t="str">
        <f>IFERROR(__xludf.DUMMYFUNCTION("GOOGLETRANSLATE(B33599,""en"",""it"")"),"Usano i remi per navigare lungo le rapide.")</f>
        <v>Usano i remi per navigare lungo le rapide.</v>
      </c>
    </row>
    <row r="33600">
      <c r="A33600" s="4" t="s">
        <v>42279</v>
      </c>
      <c r="B33600" s="6" t="s">
        <v>42283</v>
      </c>
      <c r="C33600" s="5" t="str">
        <f>IFERROR(__xludf.DUMMYFUNCTION("GOOGLETRANSLATE(B33600,""en"",""it"")"),"Stanno cercando di rimanere a galla nell'acqua turbolenta mentre la barca diventa sconnessa attraverso le rapide.")</f>
        <v>Stanno cercando di rimanere a galla nell'acqua turbolenta mentre la barca diventa sconnessa attraverso le rapide.</v>
      </c>
    </row>
    <row r="33601">
      <c r="A33601" s="4" t="s">
        <v>42279</v>
      </c>
      <c r="B33601" s="4" t="s">
        <v>42284</v>
      </c>
      <c r="C33601" s="5" t="str">
        <f>IFERROR(__xludf.DUMMYFUNCTION("GOOGLETRANSLATE(B33601,""en"",""it"")"),"Mentre navigano attraverso si imbattono in un altro gruppo di travi nelle stesse rapide.")</f>
        <v>Mentre navigano attraverso si imbattono in un altro gruppo di travi nelle stesse rapide.</v>
      </c>
    </row>
    <row r="33602">
      <c r="A33602" s="4" t="s">
        <v>42279</v>
      </c>
      <c r="B33602" s="4" t="s">
        <v>42285</v>
      </c>
      <c r="C33602" s="5" t="str">
        <f>IFERROR(__xludf.DUMMYFUNCTION("GOOGLETRANSLATE(B33602,""en"",""it"")"),"Continuano il loro viaggio attraverso l'acqua ruvida delle rapide.")</f>
        <v>Continuano il loro viaggio attraverso l'acqua ruvida delle rapide.</v>
      </c>
    </row>
    <row r="33603">
      <c r="A33603" s="4" t="s">
        <v>42286</v>
      </c>
      <c r="B33603" s="4" t="s">
        <v>42287</v>
      </c>
      <c r="C33603" s="5" t="str">
        <f>IFERROR(__xludf.DUMMYFUNCTION("GOOGLETRANSLATE(B33603,""en"",""it"")"),"Un gruppo di corridori corre in una maratona.")</f>
        <v>Un gruppo di corridori corre in una maratona.</v>
      </c>
    </row>
    <row r="33604">
      <c r="A33604" s="4" t="s">
        <v>42286</v>
      </c>
      <c r="B33604" s="4" t="s">
        <v>42288</v>
      </c>
      <c r="C33604" s="5" t="str">
        <f>IFERROR(__xludf.DUMMYFUNCTION("GOOGLETRANSLATE(B33604,""en"",""it"")"),"Un uomo alza in five una donna in mezzo alla folla.")</f>
        <v>Un uomo alza in five una donna in mezzo alla folla.</v>
      </c>
    </row>
    <row r="33605">
      <c r="A33605" s="4" t="s">
        <v>42286</v>
      </c>
      <c r="B33605" s="4" t="s">
        <v>42289</v>
      </c>
      <c r="C33605" s="5" t="str">
        <f>IFERROR(__xludf.DUMMYFUNCTION("GOOGLETRANSLATE(B33605,""en"",""it"")"),"La folla intorno a loro applausi.")</f>
        <v>La folla intorno a loro applausi.</v>
      </c>
    </row>
    <row r="33606">
      <c r="A33606" s="4" t="s">
        <v>42286</v>
      </c>
      <c r="B33606" s="4" t="s">
        <v>42290</v>
      </c>
      <c r="C33606" s="5" t="str">
        <f>IFERROR(__xludf.DUMMYFUNCTION("GOOGLETRANSLATE(B33606,""en"",""it"")"),"Una donna con cappello bianco inizia a camminare in modo strano.")</f>
        <v>Una donna con cappello bianco inizia a camminare in modo strano.</v>
      </c>
    </row>
    <row r="33607">
      <c r="A33607" s="4" t="s">
        <v>42286</v>
      </c>
      <c r="B33607" s="4" t="s">
        <v>42291</v>
      </c>
      <c r="C33607" s="5" t="str">
        <f>IFERROR(__xludf.DUMMYFUNCTION("GOOGLETRANSLATE(B33607,""en"",""it"")"),"Un'altra donna in un cappello bianco cade a terra.")</f>
        <v>Un'altra donna in un cappello bianco cade a terra.</v>
      </c>
    </row>
    <row r="33608">
      <c r="A33608" s="4" t="s">
        <v>42286</v>
      </c>
      <c r="B33608" s="4" t="s">
        <v>42292</v>
      </c>
      <c r="C33608" s="5" t="str">
        <f>IFERROR(__xludf.DUMMYFUNCTION("GOOGLETRANSLATE(B33608,""en"",""it"")"),"Anche l'altra donna con il cappello cade.")</f>
        <v>Anche l'altra donna con il cappello cade.</v>
      </c>
    </row>
    <row r="33609">
      <c r="A33609" s="4" t="s">
        <v>42286</v>
      </c>
      <c r="B33609" s="4" t="s">
        <v>42293</v>
      </c>
      <c r="C33609" s="5" t="str">
        <f>IFERROR(__xludf.DUMMYFUNCTION("GOOGLETRANSLATE(B33609,""en"",""it"")"),"Entrambi cercano di alzarsi ma continuano a cadere.")</f>
        <v>Entrambi cercano di alzarsi ma continuano a cadere.</v>
      </c>
    </row>
    <row r="33610">
      <c r="A33610" s="4" t="s">
        <v>42286</v>
      </c>
      <c r="B33610" s="4" t="s">
        <v>42294</v>
      </c>
      <c r="C33610" s="5" t="str">
        <f>IFERROR(__xludf.DUMMYFUNCTION("GOOGLETRANSLATE(B33610,""en"",""it"")"),"Una delle donne inizia a strisciare verso il traguardo.")</f>
        <v>Una delle donne inizia a strisciare verso il traguardo.</v>
      </c>
    </row>
    <row r="33611">
      <c r="A33611" s="4" t="s">
        <v>42286</v>
      </c>
      <c r="B33611" s="4" t="s">
        <v>42295</v>
      </c>
      <c r="C33611" s="5" t="str">
        <f>IFERROR(__xludf.DUMMYFUNCTION("GOOGLETRANSLATE(B33611,""en"",""it"")"),"L'altra donna la segue.")</f>
        <v>L'altra donna la segue.</v>
      </c>
    </row>
    <row r="33612">
      <c r="A33612" s="4" t="s">
        <v>42286</v>
      </c>
      <c r="B33612" s="4" t="s">
        <v>42296</v>
      </c>
      <c r="C33612" s="5" t="str">
        <f>IFERROR(__xludf.DUMMYFUNCTION("GOOGLETRANSLATE(B33612,""en"",""it"")"),"Un uomo solleva una delle donne e la abbraccia.")</f>
        <v>Un uomo solleva una delle donne e la abbraccia.</v>
      </c>
    </row>
    <row r="33613">
      <c r="A33613" s="4" t="s">
        <v>42297</v>
      </c>
      <c r="B33613" s="4" t="s">
        <v>42298</v>
      </c>
      <c r="C33613" s="5" t="str">
        <f>IFERROR(__xludf.DUMMYFUNCTION("GOOGLETRANSLATE(B33613,""en"",""it"")"),"Una persona viene vista sdraiata su una pista da bowling sul pavimento.")</f>
        <v>Una persona viene vista sdraiata su una pista da bowling sul pavimento.</v>
      </c>
    </row>
    <row r="33614">
      <c r="A33614" s="4" t="s">
        <v>42297</v>
      </c>
      <c r="B33614" s="4" t="s">
        <v>42299</v>
      </c>
      <c r="C33614" s="5" t="str">
        <f>IFERROR(__xludf.DUMMYFUNCTION("GOOGLETRANSLATE(B33614,""en"",""it"")"),"L'uomo inizia quindi a una pausa balla sul pavimento.")</f>
        <v>L'uomo inizia quindi a una pausa balla sul pavimento.</v>
      </c>
    </row>
    <row r="33615">
      <c r="A33615" s="4" t="s">
        <v>42297</v>
      </c>
      <c r="B33615" s="4" t="s">
        <v>42300</v>
      </c>
      <c r="C33615" s="5" t="str">
        <f>IFERROR(__xludf.DUMMYFUNCTION("GOOGLETRANSLATE(B33615,""en"",""it"")"),"L'uomo kics una palla lungo una corsia e la gente festeggia.")</f>
        <v>L'uomo kics una palla lungo una corsia e la gente festeggia.</v>
      </c>
    </row>
    <row r="33616">
      <c r="A33616" s="4" t="s">
        <v>42301</v>
      </c>
      <c r="B33616" s="4" t="s">
        <v>42302</v>
      </c>
      <c r="C33616" s="5" t="str">
        <f>IFERROR(__xludf.DUMMYFUNCTION("GOOGLETRANSLATE(B33616,""en"",""it"")"),"Un uomo viene visto in piedi davanti a un tavolo da ping e lancia una palla in lontananza.")</f>
        <v>Un uomo viene visto in piedi davanti a un tavolo da ping e lancia una palla in lontananza.</v>
      </c>
    </row>
    <row r="33617">
      <c r="A33617" s="4" t="s">
        <v>42301</v>
      </c>
      <c r="B33617" s="4" t="s">
        <v>42303</v>
      </c>
      <c r="C33617" s="5" t="str">
        <f>IFERROR(__xludf.DUMMYFUNCTION("GOOGLETRANSLATE(B33617,""en"",""it"")"),"Un uomo prende un drink e conduce nei due giocando più birra alla birra.")</f>
        <v>Un uomo prende un drink e conduce nei due giocando più birra alla birra.</v>
      </c>
    </row>
    <row r="33618">
      <c r="A33618" s="4" t="s">
        <v>42301</v>
      </c>
      <c r="B33618" s="4" t="s">
        <v>42304</v>
      </c>
      <c r="C33618" s="5" t="str">
        <f>IFERROR(__xludf.DUMMYFUNCTION("GOOGLETRANSLATE(B33618,""en"",""it"")"),"Gli uomini gettano la palla e il quarto l'uno contro l'altro sorridono alla telecamera.")</f>
        <v>Gli uomini gettano la palla e il quarto l'uno contro l'altro sorridono alla telecamera.</v>
      </c>
    </row>
    <row r="33619">
      <c r="A33619" s="4" t="s">
        <v>42305</v>
      </c>
      <c r="B33619" s="4" t="s">
        <v>42306</v>
      </c>
      <c r="C33619" s="5" t="str">
        <f>IFERROR(__xludf.DUMMYFUNCTION("GOOGLETRANSLATE(B33619,""en"",""it"")"),"Le persone sono in piedi su un tappetino colorato.")</f>
        <v>Le persone sono in piedi su un tappetino colorato.</v>
      </c>
    </row>
    <row r="33620">
      <c r="A33620" s="4" t="s">
        <v>42305</v>
      </c>
      <c r="B33620" s="4" t="s">
        <v>42307</v>
      </c>
      <c r="C33620" s="5" t="str">
        <f>IFERROR(__xludf.DUMMYFUNCTION("GOOGLETRANSLATE(B33620,""en"",""it"")"),"Una donna fa una mossa di karate.")</f>
        <v>Una donna fa una mossa di karate.</v>
      </c>
    </row>
    <row r="33621">
      <c r="A33621" s="4" t="s">
        <v>42305</v>
      </c>
      <c r="B33621" s="4" t="s">
        <v>42308</v>
      </c>
      <c r="C33621" s="5" t="str">
        <f>IFERROR(__xludf.DUMMYFUNCTION("GOOGLETRANSLATE(B33621,""en"",""it"")"),"Un bambino in piedi dietro di lei alza la mano.")</f>
        <v>Un bambino in piedi dietro di lei alza la mano.</v>
      </c>
    </row>
    <row r="33622">
      <c r="A33622" s="4" t="s">
        <v>42309</v>
      </c>
      <c r="B33622" s="4" t="s">
        <v>42310</v>
      </c>
      <c r="C33622" s="5" t="str">
        <f>IFERROR(__xludf.DUMMYFUNCTION("GOOGLETRANSLATE(B33622,""en"",""it"")"),"L'uomo della telecamera cattura una vista di una casa sul tetto di paglia.")</f>
        <v>L'uomo della telecamera cattura una vista di una casa sul tetto di paglia.</v>
      </c>
    </row>
    <row r="33623">
      <c r="A33623" s="4" t="s">
        <v>42309</v>
      </c>
      <c r="B33623" s="6" t="s">
        <v>42311</v>
      </c>
      <c r="C33623" s="5" t="str">
        <f>IFERROR(__xludf.DUMMYFUNCTION("GOOGLETRANSLATE(B33623,""en"",""it"")"),"Una ragazza in una camicetta nera e una ragazza in una canotta bianca in una casa di tetto di paglia che guarda due donne che laborano i vestiti in stile filippino.")</f>
        <v>Una ragazza in una camicetta nera e una ragazza in una canotta bianca in una casa di tetto di paglia che guarda due donne che laborano i vestiti in stile filippino.</v>
      </c>
    </row>
    <row r="33624">
      <c r="A33624" s="4" t="s">
        <v>42309</v>
      </c>
      <c r="B33624" s="6" t="s">
        <v>42312</v>
      </c>
      <c r="C33624" s="5" t="str">
        <f>IFERROR(__xludf.DUMMYFUNCTION("GOOGLETRANSLATE(B33624,""en"",""it"")"),"Una ragazza con una camicetta rosa e una ragazza con una maglietta bianca lavare i vestiti in grandi vasche appena fuori dalla casa del tetto di paglia.")</f>
        <v>Una ragazza con una camicetta rosa e una ragazza con una maglietta bianca lavare i vestiti in grandi vasche appena fuori dalla casa del tetto di paglia.</v>
      </c>
    </row>
    <row r="33625">
      <c r="A33625" s="4" t="s">
        <v>42309</v>
      </c>
      <c r="B33625" s="6" t="s">
        <v>42313</v>
      </c>
      <c r="C33625" s="5" t="str">
        <f>IFERROR(__xludf.DUMMYFUNCTION("GOOGLETRANSLATE(B33625,""en"",""it"")"),"L'uomo della telecamera si lancia la parte anteriore della zona di lavaggio mentre la ragazza nella maglietta bianca sciacqua i vestiti.")</f>
        <v>L'uomo della telecamera si lancia la parte anteriore della zona di lavaggio mentre la ragazza nella maglietta bianca sciacqua i vestiti.</v>
      </c>
    </row>
    <row r="33626">
      <c r="A33626" s="4" t="s">
        <v>42314</v>
      </c>
      <c r="B33626" s="4" t="s">
        <v>42315</v>
      </c>
      <c r="C33626" s="5" t="str">
        <f>IFERROR(__xludf.DUMMYFUNCTION("GOOGLETRANSLATE(B33626,""en"",""it"")"),"Un annuncio per i pavimenti appare sullo schermo.")</f>
        <v>Un annuncio per i pavimenti appare sullo schermo.</v>
      </c>
    </row>
    <row r="33627">
      <c r="A33627" s="4" t="s">
        <v>42314</v>
      </c>
      <c r="B33627" s="4" t="s">
        <v>42316</v>
      </c>
      <c r="C33627" s="5" t="str">
        <f>IFERROR(__xludf.DUMMYFUNCTION("GOOGLETRANSLATE(B33627,""en"",""it"")"),"Viene mostrata una camera per gli ospiti, che mostra i tappeti sporchi.")</f>
        <v>Viene mostrata una camera per gli ospiti, che mostra i tappeti sporchi.</v>
      </c>
    </row>
    <row r="33628">
      <c r="A33628" s="4" t="s">
        <v>42314</v>
      </c>
      <c r="B33628" s="6" t="s">
        <v>42317</v>
      </c>
      <c r="C33628" s="5" t="str">
        <f>IFERROR(__xludf.DUMMYFUNCTION("GOOGLETRANSLATE(B33628,""en"",""it"")"),"Gli uomini vengono mostrati in sostituzione e riparazione dei pavimenti con doghe di legno che non hanno bisogno di colla per l'installazione.")</f>
        <v>Gli uomini vengono mostrati in sostituzione e riparazione dei pavimenti con doghe di legno che non hanno bisogno di colla per l'installazione.</v>
      </c>
    </row>
    <row r="33629">
      <c r="A33629" s="4" t="s">
        <v>42314</v>
      </c>
      <c r="B33629" s="4" t="s">
        <v>42318</v>
      </c>
      <c r="C33629" s="5" t="str">
        <f>IFERROR(__xludf.DUMMYFUNCTION("GOOGLETRANSLATE(B33629,""en"",""it"")"),"Le foto finali sono mostrate dei nuovi pavimenti in legno nella stanza degli ospiti.")</f>
        <v>Le foto finali sono mostrate dei nuovi pavimenti in legno nella stanza degli ospiti.</v>
      </c>
    </row>
    <row r="33630">
      <c r="A33630" s="4" t="s">
        <v>42319</v>
      </c>
      <c r="B33630" s="6" t="s">
        <v>42320</v>
      </c>
      <c r="C33630" s="5" t="str">
        <f>IFERROR(__xludf.DUMMYFUNCTION("GOOGLETRANSLATE(B33630,""en"",""it"")"),"Una ragazza si trova a un lavello della cucina e dimostra la scia di bocca con collutorio sbiancante della cresta.")</f>
        <v>Una ragazza si trova a un lavello della cucina e dimostra la scia di bocca con collutorio sbiancante della cresta.</v>
      </c>
    </row>
    <row r="33631">
      <c r="A33631" s="4" t="s">
        <v>42319</v>
      </c>
      <c r="B33631" s="4" t="s">
        <v>42321</v>
      </c>
      <c r="C33631" s="5" t="str">
        <f>IFERROR(__xludf.DUMMYFUNCTION("GOOGLETRANSLATE(B33631,""en"",""it"")"),"Una ragazza sta accanto a un lavandino che parlava e usava gesti.")</f>
        <v>Una ragazza sta accanto a un lavandino che parlava e usava gesti.</v>
      </c>
    </row>
    <row r="33632">
      <c r="A33632" s="4" t="s">
        <v>42319</v>
      </c>
      <c r="B33632" s="4" t="s">
        <v>42322</v>
      </c>
      <c r="C33632" s="5" t="str">
        <f>IFERROR(__xludf.DUMMYFUNCTION("GOOGLETRANSLATE(B33632,""en"",""it"")"),"La ragazza raccoglie quindi una bottiglia di lava della bocca di cresta e sciacqua la bocca per 60 secondi.")</f>
        <v>La ragazza raccoglie quindi una bottiglia di lava della bocca di cresta e sciacqua la bocca per 60 secondi.</v>
      </c>
    </row>
    <row r="33633">
      <c r="A33633" s="4" t="s">
        <v>42319</v>
      </c>
      <c r="B33633" s="4" t="s">
        <v>42323</v>
      </c>
      <c r="C33633" s="5" t="str">
        <f>IFERROR(__xludf.DUMMYFUNCTION("GOOGLETRANSLATE(B33633,""en"",""it"")"),"La donna quindi sputa il risciacquo nel lavandino e procede a parlare di nuovo con la telecamera.")</f>
        <v>La donna quindi sputa il risciacquo nel lavandino e procede a parlare di nuovo con la telecamera.</v>
      </c>
    </row>
    <row r="33634">
      <c r="A33634" s="4" t="s">
        <v>42324</v>
      </c>
      <c r="B33634" s="4" t="s">
        <v>42325</v>
      </c>
      <c r="C33634" s="5" t="str">
        <f>IFERROR(__xludf.DUMMYFUNCTION("GOOGLETRANSLATE(B33634,""en"",""it"")"),"Una donna sta con un bambino che è seduto accanto a un bancone.")</f>
        <v>Una donna sta con un bambino che è seduto accanto a un bancone.</v>
      </c>
    </row>
    <row r="33635">
      <c r="A33635" s="4" t="s">
        <v>42324</v>
      </c>
      <c r="B33635" s="4" t="s">
        <v>42326</v>
      </c>
      <c r="C33635" s="5" t="str">
        <f>IFERROR(__xludf.DUMMYFUNCTION("GOOGLETRANSLATE(B33635,""en"",""it"")"),"La donna applica una polvere asciutta sul retro dei capelli delle ragazze e si avvicina.")</f>
        <v>La donna applica una polvere asciutta sul retro dei capelli delle ragazze e si avvicina.</v>
      </c>
    </row>
    <row r="33636">
      <c r="A33636" s="4" t="s">
        <v>42324</v>
      </c>
      <c r="B33636" s="4" t="s">
        <v>42327</v>
      </c>
      <c r="C33636" s="5" t="str">
        <f>IFERROR(__xludf.DUMMYFUNCTION("GOOGLETRANSLATE(B33636,""en"",""it"")"),"La donna diventa un asciugacapelli e lo usa mentre sfiora i capelli per raddrizzarli.")</f>
        <v>La donna diventa un asciugacapelli e lo usa mentre sfiora i capelli per raddrizzarli.</v>
      </c>
    </row>
    <row r="33637">
      <c r="A33637" s="4" t="s">
        <v>42328</v>
      </c>
      <c r="B33637" s="4" t="s">
        <v>42329</v>
      </c>
      <c r="C33637" s="5" t="str">
        <f>IFERROR(__xludf.DUMMYFUNCTION("GOOGLETRANSLATE(B33637,""en"",""it"")"),"L'uomo è in piedi davanti a uno specchio che allarga la crema sul viso.")</f>
        <v>L'uomo è in piedi davanti a uno specchio che allarga la crema sul viso.</v>
      </c>
    </row>
    <row r="33638">
      <c r="A33638" s="4" t="s">
        <v>42328</v>
      </c>
      <c r="B33638" s="4" t="s">
        <v>42330</v>
      </c>
      <c r="C33638" s="5" t="str">
        <f>IFERROR(__xludf.DUMMYFUNCTION("GOOGLETRANSLATE(B33638,""en"",""it"")"),"L'uomo si inginocchia e si lava il viso.")</f>
        <v>L'uomo si inginocchia e si lava il viso.</v>
      </c>
    </row>
    <row r="33639">
      <c r="A33639" s="4" t="s">
        <v>42328</v>
      </c>
      <c r="B33639" s="4" t="s">
        <v>42331</v>
      </c>
      <c r="C33639" s="5" t="str">
        <f>IFERROR(__xludf.DUMMYFUNCTION("GOOGLETRANSLATE(B33639,""en"",""it"")"),"L'uomo afferra un asciugamano verde e si asciuga il viso.")</f>
        <v>L'uomo afferra un asciugamano verde e si asciuga il viso.</v>
      </c>
    </row>
    <row r="33640">
      <c r="A33640" s="4" t="s">
        <v>42332</v>
      </c>
      <c r="B33640" s="4" t="s">
        <v>42333</v>
      </c>
      <c r="C33640" s="5" t="str">
        <f>IFERROR(__xludf.DUMMYFUNCTION("GOOGLETRANSLATE(B33640,""en"",""it"")"),"Una donna sta regolando la sua macchina da esercizio.")</f>
        <v>Una donna sta regolando la sua macchina da esercizio.</v>
      </c>
    </row>
    <row r="33641">
      <c r="A33641" s="4" t="s">
        <v>42332</v>
      </c>
      <c r="B33641" s="4" t="s">
        <v>42334</v>
      </c>
      <c r="C33641" s="5" t="str">
        <f>IFERROR(__xludf.DUMMYFUNCTION("GOOGLETRANSLATE(B33641,""en"",""it"")"),"Regola le manopole e spinge il sedile.")</f>
        <v>Regola le manopole e spinge il sedile.</v>
      </c>
    </row>
    <row r="33642">
      <c r="A33642" s="4" t="s">
        <v>42332</v>
      </c>
      <c r="B33642" s="4" t="s">
        <v>42335</v>
      </c>
      <c r="C33642" s="5" t="str">
        <f>IFERROR(__xludf.DUMMYFUNCTION("GOOGLETRANSLATE(B33642,""en"",""it"")"),"Quindi si siede sul sedile e posiziona i piedi nei pedali.")</f>
        <v>Quindi si siede sul sedile e posiziona i piedi nei pedali.</v>
      </c>
    </row>
    <row r="33643">
      <c r="A33643" s="4" t="s">
        <v>42332</v>
      </c>
      <c r="B33643" s="4" t="s">
        <v>42336</v>
      </c>
      <c r="C33643" s="5" t="str">
        <f>IFERROR(__xludf.DUMMYFUNCTION("GOOGLETRANSLATE(B33643,""en"",""it"")"),"Comincia a pedalare lentamente, quindi velocemente.")</f>
        <v>Comincia a pedalare lentamente, quindi velocemente.</v>
      </c>
    </row>
    <row r="33644">
      <c r="A33644" s="4" t="s">
        <v>42337</v>
      </c>
      <c r="B33644" s="4" t="s">
        <v>1251</v>
      </c>
      <c r="C33644" s="5" t="str">
        <f>IFERROR(__xludf.DUMMYFUNCTION("GOOGLETRANSLATE(B33644,""en"",""it"")"),"Vengono visualizzati i crediti della clip.")</f>
        <v>Vengono visualizzati i crediti della clip.</v>
      </c>
    </row>
    <row r="33645">
      <c r="A33645" s="4" t="s">
        <v>42337</v>
      </c>
      <c r="B33645" s="4" t="s">
        <v>42338</v>
      </c>
      <c r="C33645" s="5" t="str">
        <f>IFERROR(__xludf.DUMMYFUNCTION("GOOGLETRANSLATE(B33645,""en"",""it"")"),"Un allenatore istruisce i giocatori in un campo da basket.")</f>
        <v>Un allenatore istruisce i giocatori in un campo da basket.</v>
      </c>
    </row>
    <row r="33646">
      <c r="A33646" s="4" t="s">
        <v>42337</v>
      </c>
      <c r="B33646" s="4" t="s">
        <v>573</v>
      </c>
      <c r="C33646" s="5" t="str">
        <f>IFERROR(__xludf.DUMMYFUNCTION("GOOGLETRANSLATE(B33646,""en"",""it"")"),"Vengono visualizzati i crediti del video.")</f>
        <v>Vengono visualizzati i crediti del video.</v>
      </c>
    </row>
    <row r="33647">
      <c r="A33647" s="4" t="s">
        <v>42339</v>
      </c>
      <c r="B33647" s="4" t="s">
        <v>42340</v>
      </c>
      <c r="C33647" s="5" t="str">
        <f>IFERROR(__xludf.DUMMYFUNCTION("GOOGLETRANSLATE(B33647,""en"",""it"")"),"Due donne sono in piedi su un braccio di palestra.")</f>
        <v>Due donne sono in piedi su un braccio di palestra.</v>
      </c>
    </row>
    <row r="33648">
      <c r="A33648" s="4" t="s">
        <v>42339</v>
      </c>
      <c r="B33648" s="4" t="s">
        <v>42341</v>
      </c>
      <c r="C33648" s="5" t="str">
        <f>IFERROR(__xludf.DUMMYFUNCTION("GOOGLETRANSLATE(B33648,""en"",""it"")"),"Nel background TE le persone stanno in palestra facendo esercizio fisico.")</f>
        <v>Nel background TE le persone stanno in palestra facendo esercizio fisico.</v>
      </c>
    </row>
    <row r="33649">
      <c r="A33649" s="4" t="s">
        <v>42339</v>
      </c>
      <c r="B33649" s="4" t="s">
        <v>42342</v>
      </c>
      <c r="C33649" s="5" t="str">
        <f>IFERROR(__xludf.DUMMYFUNCTION("GOOGLETRANSLATE(B33649,""en"",""it"")"),"Le donne forti sono sedute su una sedia a braccio wrestling.")</f>
        <v>Le donne forti sono sedute su una sedia a braccio wrestling.</v>
      </c>
    </row>
    <row r="33650">
      <c r="A33650" s="4" t="s">
        <v>42343</v>
      </c>
      <c r="B33650" s="6" t="s">
        <v>42344</v>
      </c>
      <c r="C33650" s="5" t="str">
        <f>IFERROR(__xludf.DUMMYFUNCTION("GOOGLETRANSLATE(B33650,""en"",""it"")"),"Un uomo guida verso l'oceano e naviga su una tavola da surf, cavalcando le onde, prima di lasciare la spiaggia con la sua tavola da surf.")</f>
        <v>Un uomo guida verso l'oceano e naviga su una tavola da surf, cavalcando le onde, prima di lasciare la spiaggia con la sua tavola da surf.</v>
      </c>
    </row>
    <row r="33651">
      <c r="A33651" s="4" t="s">
        <v>42343</v>
      </c>
      <c r="B33651" s="4" t="s">
        <v>42345</v>
      </c>
      <c r="C33651" s="5" t="str">
        <f>IFERROR(__xludf.DUMMYFUNCTION("GOOGLETRANSLATE(B33651,""en"",""it"")"),"Un uomo entra nel suo camion, mette la tavola da surf sul retro del suo camion e guida.")</f>
        <v>Un uomo entra nel suo camion, mette la tavola da surf sul retro del suo camion e guida.</v>
      </c>
    </row>
    <row r="33652">
      <c r="A33652" s="4" t="s">
        <v>42343</v>
      </c>
      <c r="B33652" s="6" t="s">
        <v>42346</v>
      </c>
      <c r="C33652" s="5" t="str">
        <f>IFERROR(__xludf.DUMMYFUNCTION("GOOGLETRANSLATE(B33652,""en"",""it"")"),"L'uomo arriva in spiaggia, si trasforma in un abito da wets e inizia a navigare su una tavola da surf nell'oceano, cavalcando le onde.")</f>
        <v>L'uomo arriva in spiaggia, si trasforma in un abito da wets e inizia a navigare su una tavola da surf nell'oceano, cavalcando le onde.</v>
      </c>
    </row>
    <row r="33653">
      <c r="A33653" s="4" t="s">
        <v>42343</v>
      </c>
      <c r="B33653" s="4" t="s">
        <v>42347</v>
      </c>
      <c r="C33653" s="5" t="str">
        <f>IFERROR(__xludf.DUMMYFUNCTION("GOOGLETRANSLATE(B33653,""en"",""it"")"),"L'uomo lascia quindi la spiaggia, nella sua muta, con la tavola da surf sotto il braccio.")</f>
        <v>L'uomo lascia quindi la spiaggia, nella sua muta, con la tavola da surf sotto il braccio.</v>
      </c>
    </row>
    <row r="33654">
      <c r="A33654" s="4" t="s">
        <v>42348</v>
      </c>
      <c r="B33654" s="4" t="s">
        <v>42349</v>
      </c>
      <c r="C33654" s="5" t="str">
        <f>IFERROR(__xludf.DUMMYFUNCTION("GOOGLETRANSLATE(B33654,""en"",""it"")"),"Un uomo è accovacciato accanto a una ragazza sulla spiaggia.")</f>
        <v>Un uomo è accovacciato accanto a una ragazza sulla spiaggia.</v>
      </c>
    </row>
    <row r="33655">
      <c r="A33655" s="4" t="s">
        <v>42348</v>
      </c>
      <c r="B33655" s="4" t="s">
        <v>42350</v>
      </c>
      <c r="C33655" s="5" t="str">
        <f>IFERROR(__xludf.DUMMYFUNCTION("GOOGLETRANSLATE(B33655,""en"",""it"")"),"Stanno mettendo la sabbia in una pila.")</f>
        <v>Stanno mettendo la sabbia in una pila.</v>
      </c>
    </row>
    <row r="33656">
      <c r="A33656" s="4" t="s">
        <v>42348</v>
      </c>
      <c r="B33656" s="4" t="s">
        <v>42351</v>
      </c>
      <c r="C33656" s="5" t="str">
        <f>IFERROR(__xludf.DUMMYFUNCTION("GOOGLETRANSLATE(B33656,""en"",""it"")"),"Stanno cercando di costruire un castello di sabbia.")</f>
        <v>Stanno cercando di costruire un castello di sabbia.</v>
      </c>
    </row>
    <row r="33657">
      <c r="A33657" s="4" t="s">
        <v>42352</v>
      </c>
      <c r="B33657" s="4" t="s">
        <v>42353</v>
      </c>
      <c r="C33657" s="5" t="str">
        <f>IFERROR(__xludf.DUMMYFUNCTION("GOOGLETRANSLATE(B33657,""en"",""it"")"),"Un pubblico è seduto sugli spalti a guardare una partita sul campo.")</f>
        <v>Un pubblico è seduto sugli spalti a guardare una partita sul campo.</v>
      </c>
    </row>
    <row r="33658">
      <c r="A33658" s="4" t="s">
        <v>42352</v>
      </c>
      <c r="B33658" s="4" t="s">
        <v>42354</v>
      </c>
      <c r="C33658" s="5" t="str">
        <f>IFERROR(__xludf.DUMMYFUNCTION("GOOGLETRANSLATE(B33658,""en"",""it"")"),"Questi ciclisti si mettono sui loro cavalli e iniziano a cercare di segnare per la loro squadra.")</f>
        <v>Questi ciclisti si mettono sui loro cavalli e iniziano a cercare di segnare per la loro squadra.</v>
      </c>
    </row>
    <row r="33659">
      <c r="A33659" s="4" t="s">
        <v>42352</v>
      </c>
      <c r="B33659" s="4" t="s">
        <v>42355</v>
      </c>
      <c r="C33659" s="5" t="str">
        <f>IFERROR(__xludf.DUMMYFUNCTION("GOOGLETRANSLATE(B33659,""en"",""it"")"),"Qualcuno lo fa e uno dei gruppi di Clap del pubblico.")</f>
        <v>Qualcuno lo fa e uno dei gruppi di Clap del pubblico.</v>
      </c>
    </row>
    <row r="33660">
      <c r="A33660" s="4" t="s">
        <v>42352</v>
      </c>
      <c r="B33660" s="4" t="s">
        <v>42356</v>
      </c>
      <c r="C33660" s="5" t="str">
        <f>IFERROR(__xludf.DUMMYFUNCTION("GOOGLETRANSLATE(B33660,""en"",""it"")"),"Quando il gioco è sopra i cavalieri si stringono tutti gli altri.")</f>
        <v>Quando il gioco è sopra i cavalieri si stringono tutti gli altri.</v>
      </c>
    </row>
    <row r="33661">
      <c r="A33661" s="4" t="s">
        <v>42357</v>
      </c>
      <c r="B33661" s="4" t="s">
        <v>42358</v>
      </c>
      <c r="C33661" s="5" t="str">
        <f>IFERROR(__xludf.DUMMYFUNCTION("GOOGLETRANSLATE(B33661,""en"",""it"")"),"Un uomo viene visto usando una grande levigatrice contro un muro che muove i macchinari lungo il muro.")</f>
        <v>Un uomo viene visto usando una grande levigatrice contro un muro che muove i macchinari lungo il muro.</v>
      </c>
    </row>
    <row r="33662">
      <c r="A33662" s="4" t="s">
        <v>42357</v>
      </c>
      <c r="B33662" s="4" t="s">
        <v>42359</v>
      </c>
      <c r="C33662" s="5" t="str">
        <f>IFERROR(__xludf.DUMMYFUNCTION("GOOGLETRANSLATE(B33662,""en"",""it"")"),"L'uomo continua a levigare il muro e finisce con lui mantenendolo stabile.")</f>
        <v>L'uomo continua a levigare il muro e finisce con lui mantenendolo stabile.</v>
      </c>
    </row>
    <row r="33663">
      <c r="A33663" s="4" t="s">
        <v>42360</v>
      </c>
      <c r="B33663" s="4" t="s">
        <v>42361</v>
      </c>
      <c r="C33663" s="5" t="str">
        <f>IFERROR(__xludf.DUMMYFUNCTION("GOOGLETRANSLATE(B33663,""en"",""it"")"),"Vengono mostrati vari scatti da una persona ravvicinata che indossa e ridere alla telecamera.")</f>
        <v>Vengono mostrati vari scatti da una persona ravvicinata che indossa e ridere alla telecamera.</v>
      </c>
    </row>
    <row r="33664">
      <c r="A33664" s="4" t="s">
        <v>42360</v>
      </c>
      <c r="B33664" s="6" t="s">
        <v>42362</v>
      </c>
      <c r="C33664" s="5" t="str">
        <f>IFERROR(__xludf.DUMMYFUNCTION("GOOGLETRANSLATE(B33664,""en"",""it"")"),"Vari oggetti vengono quindi mostrati strettamente alla fotocamera e la persona versa liquida in una custodia di contatto.")</f>
        <v>Vari oggetti vengono quindi mostrati strettamente alla fotocamera e la persona versa liquida in una custodia di contatto.</v>
      </c>
    </row>
    <row r="33665">
      <c r="A33665" s="4" t="s">
        <v>42360</v>
      </c>
      <c r="B33665" s="6" t="s">
        <v>42363</v>
      </c>
      <c r="C33665" s="5" t="str">
        <f>IFERROR(__xludf.DUMMYFUNCTION("GOOGLETRANSLATE(B33665,""en"",""it"")"),"Quindi mescola i liquidi con i contatti e li mette lentamente negli occhi mentre guarda la telecamera.")</f>
        <v>Quindi mescola i liquidi con i contatti e li mette lentamente negli occhi mentre guarda la telecamera.</v>
      </c>
    </row>
    <row r="33666">
      <c r="A33666" s="4" t="s">
        <v>42360</v>
      </c>
      <c r="B33666" s="4" t="s">
        <v>42364</v>
      </c>
      <c r="C33666" s="5" t="str">
        <f>IFERROR(__xludf.DUMMYFUNCTION("GOOGLETRANSLATE(B33666,""en"",""it"")"),"Quindi prende le mani e fa esplodere i contatti.")</f>
        <v>Quindi prende le mani e fa esplodere i contatti.</v>
      </c>
    </row>
    <row r="33667">
      <c r="A33667" s="4" t="s">
        <v>42365</v>
      </c>
      <c r="B33667" s="4" t="s">
        <v>42366</v>
      </c>
      <c r="C33667" s="5" t="str">
        <f>IFERROR(__xludf.DUMMYFUNCTION("GOOGLETRANSLATE(B33667,""en"",""it"")"),"Le mani di una persona sono viste giocare in terra mentre si muovono le mani intorno al terreno.")</f>
        <v>Le mani di una persona sono viste giocare in terra mentre si muovono le mani intorno al terreno.</v>
      </c>
    </row>
    <row r="33668">
      <c r="A33668" s="4" t="s">
        <v>42365</v>
      </c>
      <c r="B33668" s="4" t="s">
        <v>42367</v>
      </c>
      <c r="C33668" s="5" t="str">
        <f>IFERROR(__xludf.DUMMYFUNCTION("GOOGLETRANSLATE(B33668,""en"",""it"")"),"La persona continua a giocare nel terreno mentre la telecamera osserva i movimenti delle mani.")</f>
        <v>La persona continua a giocare nel terreno mentre la telecamera osserva i movimenti delle mani.</v>
      </c>
    </row>
    <row r="33669">
      <c r="A33669" s="4" t="s">
        <v>42368</v>
      </c>
      <c r="B33669" s="4" t="s">
        <v>42369</v>
      </c>
      <c r="C33669" s="5" t="str">
        <f>IFERROR(__xludf.DUMMYFUNCTION("GOOGLETRANSLATE(B33669,""en"",""it"")"),"Un gruppo di persone viene raccolto in un parco all'aperto.")</f>
        <v>Un gruppo di persone viene raccolto in un parco all'aperto.</v>
      </c>
    </row>
    <row r="33670">
      <c r="A33670" s="4" t="s">
        <v>42368</v>
      </c>
      <c r="B33670" s="4" t="s">
        <v>42370</v>
      </c>
      <c r="C33670" s="5" t="str">
        <f>IFERROR(__xludf.DUMMYFUNCTION("GOOGLETRANSLATE(B33670,""en"",""it"")"),"Sono vestiti e entrano in una zattera.")</f>
        <v>Sono vestiti e entrano in una zattera.</v>
      </c>
    </row>
    <row r="33671">
      <c r="A33671" s="4" t="s">
        <v>42368</v>
      </c>
      <c r="B33671" s="4" t="s">
        <v>42371</v>
      </c>
      <c r="C33671" s="5" t="str">
        <f>IFERROR(__xludf.DUMMYFUNCTION("GOOGLETRANSLATE(B33671,""en"",""it"")"),"Sono insieme una zattera di acqua bianca lungo un fiume.")</f>
        <v>Sono insieme una zattera di acqua bianca lungo un fiume.</v>
      </c>
    </row>
    <row r="33672">
      <c r="A33672" s="4" t="s">
        <v>42372</v>
      </c>
      <c r="B33672" s="4" t="s">
        <v>32663</v>
      </c>
      <c r="C33672" s="5" t="str">
        <f>IFERROR(__xludf.DUMMYFUNCTION("GOOGLETRANSLATE(B33672,""en"",""it"")"),"Le persone giocano a calcio in un'arena indoor.")</f>
        <v>Le persone giocano a calcio in un'arena indoor.</v>
      </c>
    </row>
    <row r="33673">
      <c r="A33673" s="4" t="s">
        <v>42372</v>
      </c>
      <c r="B33673" s="4" t="s">
        <v>42373</v>
      </c>
      <c r="C33673" s="5" t="str">
        <f>IFERROR(__xludf.DUMMYFUNCTION("GOOGLETRANSLATE(B33673,""en"",""it"")"),"Un uomo è seduto di fronte a un goal bloccando le palle.")</f>
        <v>Un uomo è seduto di fronte a un goal bloccando le palle.</v>
      </c>
    </row>
    <row r="33674">
      <c r="A33674" s="4" t="s">
        <v>42372</v>
      </c>
      <c r="B33674" s="4" t="s">
        <v>42374</v>
      </c>
      <c r="C33674" s="5" t="str">
        <f>IFERROR(__xludf.DUMMYFUNCTION("GOOGLETRANSLATE(B33674,""en"",""it"")"),"Le persone sono sugli spalti a guardare il gioco.")</f>
        <v>Le persone sono sugli spalti a guardare il gioco.</v>
      </c>
    </row>
    <row r="33675">
      <c r="A33675" s="4" t="s">
        <v>42375</v>
      </c>
      <c r="B33675" s="4" t="s">
        <v>42376</v>
      </c>
      <c r="C33675" s="5" t="str">
        <f>IFERROR(__xludf.DUMMYFUNCTION("GOOGLETRANSLATE(B33675,""en"",""it"")"),"Un ragazzo e una ragazza si siedono uno accanto all'altro.")</f>
        <v>Un ragazzo e una ragazza si siedono uno accanto all'altro.</v>
      </c>
    </row>
    <row r="33676">
      <c r="A33676" s="4" t="s">
        <v>42375</v>
      </c>
      <c r="B33676" s="4" t="s">
        <v>42377</v>
      </c>
      <c r="C33676" s="5" t="str">
        <f>IFERROR(__xludf.DUMMYFUNCTION("GOOGLETRANSLATE(B33676,""en"",""it"")"),"Sono nutriti con gelato.")</f>
        <v>Sono nutriti con gelato.</v>
      </c>
    </row>
    <row r="33677">
      <c r="A33677" s="4" t="s">
        <v>42375</v>
      </c>
      <c r="B33677" s="4" t="s">
        <v>42378</v>
      </c>
      <c r="C33677" s="5" t="str">
        <f>IFERROR(__xludf.DUMMYFUNCTION("GOOGLETRANSLATE(B33677,""en"",""it"")"),"La ragazza cerca di mangiare il gelato per ragazzi.")</f>
        <v>La ragazza cerca di mangiare il gelato per ragazzi.</v>
      </c>
    </row>
    <row r="33678">
      <c r="A33678" s="4" t="s">
        <v>42375</v>
      </c>
      <c r="B33678" s="4" t="s">
        <v>42379</v>
      </c>
      <c r="C33678" s="5" t="str">
        <f>IFERROR(__xludf.DUMMYFUNCTION("GOOGLETRANSLATE(B33678,""en"",""it"")"),"La ragazza ride alla fine.")</f>
        <v>La ragazza ride alla fine.</v>
      </c>
    </row>
    <row r="33679">
      <c r="A33679" s="4" t="s">
        <v>42380</v>
      </c>
      <c r="B33679" s="4" t="s">
        <v>42381</v>
      </c>
      <c r="C33679" s="5" t="str">
        <f>IFERROR(__xludf.DUMMYFUNCTION("GOOGLETRANSLATE(B33679,""en"",""it"")"),"Qualcuno sta dormendo su un divano bianco.")</f>
        <v>Qualcuno sta dormendo su un divano bianco.</v>
      </c>
    </row>
    <row r="33680">
      <c r="A33680" s="4" t="s">
        <v>42380</v>
      </c>
      <c r="B33680" s="4" t="s">
        <v>42382</v>
      </c>
      <c r="C33680" s="5" t="str">
        <f>IFERROR(__xludf.DUMMYFUNCTION("GOOGLETRANSLATE(B33680,""en"",""it"")"),"Si alzano e fanno scricchiolii sul pavimento.")</f>
        <v>Si alzano e fanno scricchiolii sul pavimento.</v>
      </c>
    </row>
    <row r="33681">
      <c r="A33681" s="4" t="s">
        <v>42380</v>
      </c>
      <c r="B33681" s="4" t="s">
        <v>42383</v>
      </c>
      <c r="C33681" s="5" t="str">
        <f>IFERROR(__xludf.DUMMYFUNCTION("GOOGLETRANSLATE(B33681,""en"",""it"")"),"Si alzano e escono dalla porta.")</f>
        <v>Si alzano e escono dalla porta.</v>
      </c>
    </row>
    <row r="33682">
      <c r="A33682" s="4" t="s">
        <v>42384</v>
      </c>
      <c r="B33682" s="4" t="s">
        <v>42385</v>
      </c>
      <c r="C33682" s="5" t="str">
        <f>IFERROR(__xludf.DUMMYFUNCTION("GOOGLETRANSLATE(B33682,""en"",""it"")"),"Una donna è sul palco di fronte a una band.")</f>
        <v>Una donna è sul palco di fronte a una band.</v>
      </c>
    </row>
    <row r="33683">
      <c r="A33683" s="4" t="s">
        <v>42384</v>
      </c>
      <c r="B33683" s="4" t="s">
        <v>42386</v>
      </c>
      <c r="C33683" s="5" t="str">
        <f>IFERROR(__xludf.DUMMYFUNCTION("GOOGLETRANSLATE(B33683,""en"",""it"")"),"È una ballerina di pancia e gira e scuote alla musica.")</f>
        <v>È una ballerina di pancia e gira e scuote alla musica.</v>
      </c>
    </row>
    <row r="33684">
      <c r="A33684" s="4" t="s">
        <v>42384</v>
      </c>
      <c r="B33684" s="4" t="s">
        <v>42387</v>
      </c>
      <c r="C33684" s="5" t="str">
        <f>IFERROR(__xludf.DUMMYFUNCTION("GOOGLETRANSLATE(B33684,""en"",""it"")"),"Balla lentamente, cadendo a terra mentre finisce.")</f>
        <v>Balla lentamente, cadendo a terra mentre finisce.</v>
      </c>
    </row>
    <row r="33685">
      <c r="A33685" s="4" t="s">
        <v>42388</v>
      </c>
      <c r="B33685" s="4" t="s">
        <v>42389</v>
      </c>
      <c r="C33685" s="5" t="str">
        <f>IFERROR(__xludf.DUMMYFUNCTION("GOOGLETRANSLATE(B33685,""en"",""it"")"),"Un uomo che indossa una camicia suona un tamburo a mano.")</f>
        <v>Un uomo che indossa una camicia suona un tamburo a mano.</v>
      </c>
    </row>
    <row r="33686">
      <c r="A33686" s="4" t="s">
        <v>42388</v>
      </c>
      <c r="B33686" s="4" t="s">
        <v>42390</v>
      </c>
      <c r="C33686" s="5" t="str">
        <f>IFERROR(__xludf.DUMMYFUNCTION("GOOGLETRANSLATE(B33686,""en"",""it"")"),"Un uomo solista gira il suo corpo in mano e fa cartwheels.")</f>
        <v>Un uomo solista gira il suo corpo in mano e fa cartwheels.</v>
      </c>
    </row>
    <row r="33687">
      <c r="A33687" s="4" t="s">
        <v>42388</v>
      </c>
      <c r="B33687" s="4" t="s">
        <v>42391</v>
      </c>
      <c r="C33687" s="5" t="str">
        <f>IFERROR(__xludf.DUMMYFUNCTION("GOOGLETRANSLATE(B33687,""en"",""it"")"),"Due uomini fanno una pratica di routine di karate e Dodge calci dall'altro avversario.")</f>
        <v>Due uomini fanno una pratica di routine di karate e Dodge calci dall'altro avversario.</v>
      </c>
    </row>
    <row r="33688">
      <c r="A33688" s="4" t="s">
        <v>42388</v>
      </c>
      <c r="B33688" s="4" t="s">
        <v>42392</v>
      </c>
      <c r="C33688" s="5" t="str">
        <f>IFERROR(__xludf.DUMMYFUNCTION("GOOGLETRANSLATE(B33688,""en"",""it"")"),"Gli uomini fanno entrambi gli stand delle mani e poi si uniscono e toccano le mani.")</f>
        <v>Gli uomini fanno entrambi gli stand delle mani e poi si uniscono e toccano le mani.</v>
      </c>
    </row>
    <row r="33689">
      <c r="A33689" s="4" t="s">
        <v>42388</v>
      </c>
      <c r="B33689" s="4" t="s">
        <v>42393</v>
      </c>
      <c r="C33689" s="5" t="str">
        <f>IFERROR(__xludf.DUMMYFUNCTION("GOOGLETRANSLATE(B33689,""en"",""it"")"),"L'uomo salta gira da solo.")</f>
        <v>L'uomo salta gira da solo.</v>
      </c>
    </row>
    <row r="33690">
      <c r="A33690" s="4" t="s">
        <v>42388</v>
      </c>
      <c r="B33690" s="4" t="s">
        <v>42394</v>
      </c>
      <c r="C33690" s="5" t="str">
        <f>IFERROR(__xludf.DUMMYFUNCTION("GOOGLETRANSLATE(B33690,""en"",""it"")"),"I due uomini saltano calci mentre si occupano di una danza di karate.")</f>
        <v>I due uomini saltano calci mentre si occupano di una danza di karate.</v>
      </c>
    </row>
    <row r="33691">
      <c r="A33691" s="4" t="s">
        <v>42388</v>
      </c>
      <c r="B33691" s="4" t="s">
        <v>42395</v>
      </c>
      <c r="C33691" s="5" t="str">
        <f>IFERROR(__xludf.DUMMYFUNCTION("GOOGLETRANSLATE(B33691,""en"",""it"")"),"L'uomo si alza sulle mani e si piega all'indietro in una posizione orizzontale.")</f>
        <v>L'uomo si alza sulle mani e si piega all'indietro in una posizione orizzontale.</v>
      </c>
    </row>
    <row r="33692">
      <c r="A33692" s="4" t="s">
        <v>42396</v>
      </c>
      <c r="B33692" s="6" t="s">
        <v>42397</v>
      </c>
      <c r="C33692" s="5" t="str">
        <f>IFERROR(__xludf.DUMMYFUNCTION("GOOGLETRANSLATE(B33692,""en"",""it"")"),"Un uomo mostra le mosse di arti marziali in una clip del film che mostra l'uomo che combatte diverse persone in diverse località in uno sfondo della città.")</f>
        <v>Un uomo mostra le mosse di arti marziali in una clip del film che mostra l'uomo che combatte diverse persone in diverse località in uno sfondo della città.</v>
      </c>
    </row>
    <row r="33693">
      <c r="A33693" s="4" t="s">
        <v>42396</v>
      </c>
      <c r="B33693" s="6" t="s">
        <v>42398</v>
      </c>
      <c r="C33693" s="5" t="str">
        <f>IFERROR(__xludf.DUMMYFUNCTION("GOOGLETRANSLATE(B33693,""en"",""it"")"),"Un uomo viene scortato in una stanza e lasciato solo fino a quando non viene attaccato, violentemente, da un uomo che appare improvvisamente nella stanza con lui, i due combattono.")</f>
        <v>Un uomo viene scortato in una stanza e lasciato solo fino a quando non viene attaccato, violentemente, da un uomo che appare improvvisamente nella stanza con lui, i due combattono.</v>
      </c>
    </row>
    <row r="33694">
      <c r="A33694" s="4" t="s">
        <v>42396</v>
      </c>
      <c r="B33694" s="6" t="s">
        <v>42399</v>
      </c>
      <c r="C33694" s="5" t="str">
        <f>IFERROR(__xludf.DUMMYFUNCTION("GOOGLETRANSLATE(B33694,""en"",""it"")"),"L'uomo viene quindi mostrato in diverse altre località in lotta con diversi uomini che usano le abilità di arti marziali fino a quando la clip non svanisce per un invito di marketing per iscriversi.")</f>
        <v>L'uomo viene quindi mostrato in diverse altre località in lotta con diversi uomini che usano le abilità di arti marziali fino a quando la clip non svanisce per un invito di marketing per iscriversi.</v>
      </c>
    </row>
    <row r="33695">
      <c r="A33695" s="4" t="s">
        <v>42400</v>
      </c>
      <c r="B33695" s="6" t="s">
        <v>42401</v>
      </c>
      <c r="C33695" s="5" t="str">
        <f>IFERROR(__xludf.DUMMYFUNCTION("GOOGLETRANSLATE(B33695,""en"",""it"")"),"Un banner nero si sovrappone alla parola powerchalk scritto in bianco e verde è attraverso lo stendardo.")</f>
        <v>Un banner nero si sovrappone alla parola powerchalk scritto in bianco e verde è attraverso lo stendardo.</v>
      </c>
    </row>
    <row r="33696">
      <c r="A33696" s="4" t="s">
        <v>42400</v>
      </c>
      <c r="B33696" s="6" t="s">
        <v>42402</v>
      </c>
      <c r="C33696" s="5" t="str">
        <f>IFERROR(__xludf.DUMMYFUNCTION("GOOGLETRANSLATE(B33696,""en"",""it"")"),"Quando la sovrapposizione del banner scompare, un uomo salta alla fine di una tavola da immersione e poi fa un lancio anteriore in avanti e si lancia 5 volte prima di immergersi dritto in acqua nella piscina.")</f>
        <v>Quando la sovrapposizione del banner scompare, un uomo salta alla fine di una tavola da immersione e poi fa un lancio anteriore in avanti e si lancia 5 volte prima di immergersi dritto in acqua nella piscina.</v>
      </c>
    </row>
    <row r="33697">
      <c r="A33697" s="4" t="s">
        <v>42400</v>
      </c>
      <c r="B33697" s="4" t="s">
        <v>42403</v>
      </c>
      <c r="C33697" s="5" t="str">
        <f>IFERROR(__xludf.DUMMYFUNCTION("GOOGLETRANSLATE(B33697,""en"",""it"")"),"Ci sono molti spettatori in disparte.")</f>
        <v>Ci sono molti spettatori in disparte.</v>
      </c>
    </row>
    <row r="33698">
      <c r="A33698" s="4" t="s">
        <v>42404</v>
      </c>
      <c r="B33698" s="4" t="s">
        <v>42405</v>
      </c>
      <c r="C33698" s="5" t="str">
        <f>IFERROR(__xludf.DUMMYFUNCTION("GOOGLETRANSLATE(B33698,""en"",""it"")"),"Un violinista suona il violino in una sala da musica.")</f>
        <v>Un violinista suona il violino in una sala da musica.</v>
      </c>
    </row>
    <row r="33699">
      <c r="A33699" s="4" t="s">
        <v>42404</v>
      </c>
      <c r="B33699" s="4" t="s">
        <v>42406</v>
      </c>
      <c r="C33699" s="5" t="str">
        <f>IFERROR(__xludf.DUMMYFUNCTION("GOOGLETRANSLATE(B33699,""en"",""it"")"),"Regola il violino sotto il mento mentre legge la musica.")</f>
        <v>Regola il violino sotto il mento mentre legge la musica.</v>
      </c>
    </row>
    <row r="33700">
      <c r="A33700" s="4" t="s">
        <v>42404</v>
      </c>
      <c r="B33700" s="4" t="s">
        <v>42407</v>
      </c>
      <c r="C33700" s="5" t="str">
        <f>IFERROR(__xludf.DUMMYFUNCTION("GOOGLETRANSLATE(B33700,""en"",""it"")"),"Alla fine della sua canzone rimuove il violino e sorride.")</f>
        <v>Alla fine della sua canzone rimuove il violino e sorride.</v>
      </c>
    </row>
    <row r="33701">
      <c r="A33701" s="4" t="s">
        <v>42408</v>
      </c>
      <c r="B33701" s="6" t="s">
        <v>42409</v>
      </c>
      <c r="C33701" s="5" t="str">
        <f>IFERROR(__xludf.DUMMYFUNCTION("GOOGLETRANSLATE(B33701,""en"",""it"")"),"Un piccolo gruppo di ragazze viene visto per la prima volta uscire in palestra con diverse persone che guardano a margine.")</f>
        <v>Un piccolo gruppo di ragazze viene visto per la prima volta uscire in palestra con diverse persone che guardano a margine.</v>
      </c>
    </row>
    <row r="33702">
      <c r="A33702" s="4" t="s">
        <v>42408</v>
      </c>
      <c r="B33702" s="4" t="s">
        <v>42410</v>
      </c>
      <c r="C33702" s="5" t="str">
        <f>IFERROR(__xludf.DUMMYFUNCTION("GOOGLETRANSLATE(B33702,""en"",""it"")"),"Le ragazze eseguono quindi una routine usando manganelli mentre girano e girano.")</f>
        <v>Le ragazze eseguono quindi una routine usando manganelli mentre girano e girano.</v>
      </c>
    </row>
    <row r="33703">
      <c r="A33703" s="4" t="s">
        <v>42408</v>
      </c>
      <c r="B33703" s="4" t="s">
        <v>42411</v>
      </c>
      <c r="C33703" s="5" t="str">
        <f>IFERROR(__xludf.DUMMYFUNCTION("GOOGLETRANSLATE(B33703,""en"",""it"")"),"Fanno una posa finale mentre il pubblico applaude e scappa di lato.")</f>
        <v>Fanno una posa finale mentre il pubblico applaude e scappa di lato.</v>
      </c>
    </row>
    <row r="33704">
      <c r="A33704" s="4" t="s">
        <v>42412</v>
      </c>
      <c r="B33704" s="6" t="s">
        <v>42413</v>
      </c>
      <c r="C33704" s="5" t="str">
        <f>IFERROR(__xludf.DUMMYFUNCTION("GOOGLETRANSLATE(B33704,""en"",""it"")"),"Un uomo esegue acrobazie sul retro di una motocicletta, cade e si ferisce a quel punto cade a terra e sembra ferito.")</f>
        <v>Un uomo esegue acrobazie sul retro di una motocicletta, cade e si ferisce a quel punto cade a terra e sembra ferito.</v>
      </c>
    </row>
    <row r="33705">
      <c r="A33705" s="4" t="s">
        <v>42412</v>
      </c>
      <c r="B33705" s="4" t="s">
        <v>42414</v>
      </c>
      <c r="C33705" s="5" t="str">
        <f>IFERROR(__xludf.DUMMYFUNCTION("GOOGLETRANSLATE(B33705,""en"",""it"")"),"Un uomo è appeso a una bicicletta in movimento su una rampa.")</f>
        <v>Un uomo è appeso a una bicicletta in movimento su una rampa.</v>
      </c>
    </row>
    <row r="33706">
      <c r="A33706" s="4" t="s">
        <v>42412</v>
      </c>
      <c r="B33706" s="4" t="s">
        <v>42415</v>
      </c>
      <c r="C33706" s="5" t="str">
        <f>IFERROR(__xludf.DUMMYFUNCTION("GOOGLETRANSLATE(B33706,""en"",""it"")"),"L'uomo cade dalla bici e a terra con abiti strappati.")</f>
        <v>L'uomo cade dalla bici e a terra con abiti strappati.</v>
      </c>
    </row>
    <row r="33707">
      <c r="A33707" s="4" t="s">
        <v>42412</v>
      </c>
      <c r="B33707" s="6" t="s">
        <v>42416</v>
      </c>
      <c r="C33707" s="5" t="str">
        <f>IFERROR(__xludf.DUMMYFUNCTION("GOOGLETRANSLATE(B33707,""en"",""it"")"),"La telecamera piovara i vestiti e il casco danneggiati dell'uomo e la sua faccia caduta mentre si sdraia a terra ferita.")</f>
        <v>La telecamera piovara i vestiti e il casco danneggiati dell'uomo e la sua faccia caduta mentre si sdraia a terra ferita.</v>
      </c>
    </row>
    <row r="33708">
      <c r="A33708" s="4" t="s">
        <v>42417</v>
      </c>
      <c r="B33708" s="6" t="s">
        <v>42418</v>
      </c>
      <c r="C33708" s="5" t="str">
        <f>IFERROR(__xludf.DUMMYFUNCTION("GOOGLETRANSLATE(B33708,""en"",""it"")"),"Vari ingredienti sono mostrati disposti su un tavolo e conducono in una persona che mette oggetti in una ciotola.")</f>
        <v>Vari ingredienti sono mostrati disposti su un tavolo e conducono in una persona che mette oggetti in una ciotola.</v>
      </c>
    </row>
    <row r="33709">
      <c r="A33709" s="4" t="s">
        <v>42417</v>
      </c>
      <c r="B33709" s="4" t="s">
        <v>42419</v>
      </c>
      <c r="C33709" s="5" t="str">
        <f>IFERROR(__xludf.DUMMYFUNCTION("GOOGLETRANSLATE(B33709,""en"",""it"")"),"La persona viene quindi vista tagliare la frutta e posare in una ciotola.")</f>
        <v>La persona viene quindi vista tagliare la frutta e posare in una ciotola.</v>
      </c>
    </row>
    <row r="33710">
      <c r="A33710" s="4" t="s">
        <v>42417</v>
      </c>
      <c r="B33710" s="4" t="s">
        <v>42420</v>
      </c>
      <c r="C33710" s="5" t="str">
        <f>IFERROR(__xludf.DUMMYFUNCTION("GOOGLETRANSLATE(B33710,""en"",""it"")"),"Versa più liquido e lo presenta alla telecamera.")</f>
        <v>Versa più liquido e lo presenta alla telecamera.</v>
      </c>
    </row>
    <row r="33711">
      <c r="A33711" s="4" t="s">
        <v>42421</v>
      </c>
      <c r="B33711" s="4" t="s">
        <v>42422</v>
      </c>
      <c r="C33711" s="5" t="str">
        <f>IFERROR(__xludf.DUMMYFUNCTION("GOOGLETRANSLATE(B33711,""en"",""it"")"),"Due uomini giocano a palla da parete in una stanza.")</f>
        <v>Due uomini giocano a palla da parete in una stanza.</v>
      </c>
    </row>
    <row r="33712">
      <c r="A33712" s="4" t="s">
        <v>42421</v>
      </c>
      <c r="B33712" s="4" t="s">
        <v>42423</v>
      </c>
      <c r="C33712" s="5" t="str">
        <f>IFERROR(__xludf.DUMMYFUNCTION("GOOGLETRANSLATE(B33712,""en"",""it"")"),"C'è un pubblico che li guarda suonare.")</f>
        <v>C'è un pubblico che li guarda suonare.</v>
      </c>
    </row>
    <row r="33713">
      <c r="A33713" s="4" t="s">
        <v>42421</v>
      </c>
      <c r="B33713" s="4" t="s">
        <v>42424</v>
      </c>
      <c r="C33713" s="5" t="str">
        <f>IFERROR(__xludf.DUMMYFUNCTION("GOOGLETRANSLATE(B33713,""en"",""it"")"),"L'uomo finge che la sua racchetta sia una chitarra.")</f>
        <v>L'uomo finge che la sua racchetta sia una chitarra.</v>
      </c>
    </row>
    <row r="33714">
      <c r="A33714" s="4" t="s">
        <v>42425</v>
      </c>
      <c r="B33714" s="4" t="s">
        <v>42426</v>
      </c>
      <c r="C33714" s="5" t="str">
        <f>IFERROR(__xludf.DUMMYFUNCTION("GOOGLETRANSLATE(B33714,""en"",""it"")"),"Un uomo è in imbarcazione nell'oceano su una tavola di surf blu.")</f>
        <v>Un uomo è in imbarcazione nell'oceano su una tavola di surf blu.</v>
      </c>
    </row>
    <row r="33715">
      <c r="A33715" s="4" t="s">
        <v>42425</v>
      </c>
      <c r="B33715" s="4" t="s">
        <v>42427</v>
      </c>
      <c r="C33715" s="5" t="str">
        <f>IFERROR(__xludf.DUMMYFUNCTION("GOOGLETRANSLATE(B33715,""en"",""it"")"),"L'acqua sembra blu verdastra mentre il surfista naviga attraverso grandi onde.")</f>
        <v>L'acqua sembra blu verdastra mentre il surfista naviga attraverso grandi onde.</v>
      </c>
    </row>
    <row r="33716">
      <c r="A33716" s="4" t="s">
        <v>42425</v>
      </c>
      <c r="B33716" s="4" t="s">
        <v>42428</v>
      </c>
      <c r="C33716" s="5" t="str">
        <f>IFERROR(__xludf.DUMMYFUNCTION("GOOGLETRANSLATE(B33716,""en"",""it"")"),"L'uomo naviga vicino a una spiaggia di alcuni hotel.")</f>
        <v>L'uomo naviga vicino a una spiaggia di alcuni hotel.</v>
      </c>
    </row>
    <row r="33717">
      <c r="A33717" s="4" t="s">
        <v>42425</v>
      </c>
      <c r="B33717" s="4" t="s">
        <v>42429</v>
      </c>
      <c r="C33717" s="5" t="str">
        <f>IFERROR(__xludf.DUMMYFUNCTION("GOOGLETRANSLATE(B33717,""en"",""it"")"),"Il surfista continua a navigare attraverso onde alte senza cadere.")</f>
        <v>Il surfista continua a navigare attraverso onde alte senza cadere.</v>
      </c>
    </row>
    <row r="33718">
      <c r="A33718" s="4" t="s">
        <v>42430</v>
      </c>
      <c r="B33718" s="4" t="s">
        <v>42431</v>
      </c>
      <c r="C33718" s="5" t="str">
        <f>IFERROR(__xludf.DUMMYFUNCTION("GOOGLETRANSLATE(B33718,""en"",""it"")"),"Una ginnasta si esibisce sul caveau di fronte a una folla, capovolge e cade dalla volta.")</f>
        <v>Una ginnasta si esibisce sul caveau di fronte a una folla, capovolge e cade dalla volta.</v>
      </c>
    </row>
    <row r="33719">
      <c r="A33719" s="4" t="s">
        <v>42430</v>
      </c>
      <c r="B33719" s="4" t="s">
        <v>42432</v>
      </c>
      <c r="C33719" s="5" t="str">
        <f>IFERROR(__xludf.DUMMYFUNCTION("GOOGLETRANSLATE(B33719,""en"",""it"")"),"Quindi, la ginnasta salta, si lancia ma si scontra durante la sua esibizione.")</f>
        <v>Quindi, la ginnasta salta, si lancia ma si scontra durante la sua esibizione.</v>
      </c>
    </row>
    <row r="33720">
      <c r="A33720" s="4" t="s">
        <v>42430</v>
      </c>
      <c r="B33720" s="4" t="s">
        <v>42433</v>
      </c>
      <c r="C33720" s="5" t="str">
        <f>IFERROR(__xludf.DUMMYFUNCTION("GOOGLETRANSLATE(B33720,""en"",""it"")"),"La ginnasta si esibisce all'indietro, poi continua con la sua routine.")</f>
        <v>La ginnasta si esibisce all'indietro, poi continua con la sua routine.</v>
      </c>
    </row>
    <row r="33721">
      <c r="A33721" s="4" t="s">
        <v>42430</v>
      </c>
      <c r="B33721" s="4" t="s">
        <v>42434</v>
      </c>
      <c r="C33721" s="5" t="str">
        <f>IFERROR(__xludf.DUMMYFUNCTION("GOOGLETRANSLATE(B33721,""en"",""it"")"),"Successivamente, la ginnasta salta e fa un doppio lancio e un terreno sul tappeto.")</f>
        <v>Successivamente, la ginnasta salta e fa un doppio lancio e un terreno sul tappeto.</v>
      </c>
    </row>
    <row r="33722">
      <c r="A33722" s="4" t="s">
        <v>42435</v>
      </c>
      <c r="B33722" s="4" t="s">
        <v>42436</v>
      </c>
      <c r="C33722" s="5" t="str">
        <f>IFERROR(__xludf.DUMMYFUNCTION("GOOGLETRANSLATE(B33722,""en"",""it"")"),"Un uomo corre e salta in varie località pubbliche con sorgenti sulle gambe mentre gli spettatori guardano.")</f>
        <v>Un uomo corre e salta in varie località pubbliche con sorgenti sulle gambe mentre gli spettatori guardano.</v>
      </c>
    </row>
    <row r="33723">
      <c r="A33723" s="4" t="s">
        <v>42435</v>
      </c>
      <c r="B33723" s="4" t="s">
        <v>42437</v>
      </c>
      <c r="C33723" s="5" t="str">
        <f>IFERROR(__xludf.DUMMYFUNCTION("GOOGLETRANSLATE(B33723,""en"",""it"")"),"Un cameraman filma l'uomo mentre giace a terra.")</f>
        <v>Un cameraman filma l'uomo mentre giace a terra.</v>
      </c>
    </row>
    <row r="33724">
      <c r="A33724" s="4" t="s">
        <v>42435</v>
      </c>
      <c r="B33724" s="4" t="s">
        <v>42438</v>
      </c>
      <c r="C33724" s="5" t="str">
        <f>IFERROR(__xludf.DUMMYFUNCTION("GOOGLETRANSLATE(B33724,""en"",""it"")"),"L'uomo con sorgenti salta su un altro uomo.")</f>
        <v>L'uomo con sorgenti salta su un altro uomo.</v>
      </c>
    </row>
    <row r="33725">
      <c r="A33725" s="4" t="s">
        <v>42439</v>
      </c>
      <c r="B33725" s="4" t="s">
        <v>42440</v>
      </c>
      <c r="C33725" s="5" t="str">
        <f>IFERROR(__xludf.DUMMYFUNCTION("GOOGLETRANSLATE(B33725,""en"",""it"")"),"Vediamo una bambina che si trucca sul viso in vanità giocattolo.")</f>
        <v>Vediamo una bambina che si trucca sul viso in vanità giocattolo.</v>
      </c>
    </row>
    <row r="33726">
      <c r="A33726" s="4" t="s">
        <v>42439</v>
      </c>
      <c r="B33726" s="4" t="s">
        <v>42441</v>
      </c>
      <c r="C33726" s="5" t="str">
        <f>IFERROR(__xludf.DUMMYFUNCTION("GOOGLETRANSLATE(B33726,""en"",""it"")"),"Chiude il trucco e lo apre.")</f>
        <v>Chiude il trucco e lo apre.</v>
      </c>
    </row>
    <row r="33727">
      <c r="A33727" s="4" t="s">
        <v>42439</v>
      </c>
      <c r="B33727" s="4" t="s">
        <v>42442</v>
      </c>
      <c r="C33727" s="5" t="str">
        <f>IFERROR(__xludf.DUMMYFUNCTION("GOOGLETRANSLATE(B33727,""en"",""it"")"),"Strofina la punta del pennello con il dito.")</f>
        <v>Strofina la punta del pennello con il dito.</v>
      </c>
    </row>
    <row r="33728">
      <c r="A33728" s="4" t="s">
        <v>42443</v>
      </c>
      <c r="B33728" s="4" t="s">
        <v>42444</v>
      </c>
      <c r="C33728" s="5" t="str">
        <f>IFERROR(__xludf.DUMMYFUNCTION("GOOGLETRANSLATE(B33728,""en"",""it"")"),"Quattro uomini cavalcano in un'auto convertibile e guidano lungo un'autostrada nel deserto.")</f>
        <v>Quattro uomini cavalcano in un'auto convertibile e guidano lungo un'autostrada nel deserto.</v>
      </c>
    </row>
    <row r="33729">
      <c r="A33729" s="4" t="s">
        <v>42443</v>
      </c>
      <c r="B33729" s="4" t="s">
        <v>42445</v>
      </c>
      <c r="C33729" s="5" t="str">
        <f>IFERROR(__xludf.DUMMYFUNCTION("GOOGLETRANSLATE(B33729,""en"",""it"")"),"Due amici cavalcano una scala mobile.")</f>
        <v>Due amici cavalcano una scala mobile.</v>
      </c>
    </row>
    <row r="33730">
      <c r="A33730" s="4" t="s">
        <v>42443</v>
      </c>
      <c r="B33730" s="4" t="s">
        <v>42446</v>
      </c>
      <c r="C33730" s="5" t="str">
        <f>IFERROR(__xludf.DUMMYFUNCTION("GOOGLETRANSLATE(B33730,""en"",""it"")"),"Gli amici si trovano a un tavolo delle carte in un casinò e giocano le mani.")</f>
        <v>Gli amici si trovano a un tavolo delle carte in un casinò e giocano le mani.</v>
      </c>
    </row>
    <row r="33731">
      <c r="A33731" s="4" t="s">
        <v>42443</v>
      </c>
      <c r="B33731" s="4" t="s">
        <v>42447</v>
      </c>
      <c r="C33731" s="5" t="str">
        <f>IFERROR(__xludf.DUMMYFUNCTION("GOOGLETRANSLATE(B33731,""en"",""it"")"),"L'uomo fa una grande scommessa e si siede per suonare alcune mani al tavolo.")</f>
        <v>L'uomo fa una grande scommessa e si siede per suonare alcune mani al tavolo.</v>
      </c>
    </row>
    <row r="33732">
      <c r="A33732" s="4" t="s">
        <v>42443</v>
      </c>
      <c r="B33732" s="4" t="s">
        <v>42448</v>
      </c>
      <c r="C33732" s="5" t="str">
        <f>IFERROR(__xludf.DUMMYFUNCTION("GOOGLETRANSLATE(B33732,""en"",""it"")"),"L'uomo accumula un gran numero di patatine.")</f>
        <v>L'uomo accumula un gran numero di patatine.</v>
      </c>
    </row>
    <row r="33733">
      <c r="A33733" s="4" t="s">
        <v>42443</v>
      </c>
      <c r="B33733" s="4" t="s">
        <v>42449</v>
      </c>
      <c r="C33733" s="5" t="str">
        <f>IFERROR(__xludf.DUMMYFUNCTION("GOOGLETRANSLATE(B33733,""en"",""it"")"),"Gli amici dell'uomo vincono una mano e la coppia festeggia.")</f>
        <v>Gli amici dell'uomo vincono una mano e la coppia festeggia.</v>
      </c>
    </row>
    <row r="33734">
      <c r="A33734" s="4" t="s">
        <v>42443</v>
      </c>
      <c r="B33734" s="4" t="s">
        <v>42450</v>
      </c>
      <c r="C33734" s="5" t="str">
        <f>IFERROR(__xludf.DUMMYFUNCTION("GOOGLETRANSLATE(B33734,""en"",""it"")"),"L'uomo è monitorato da personale di sicurezza e telecamere.")</f>
        <v>L'uomo è monitorato da personale di sicurezza e telecamere.</v>
      </c>
    </row>
    <row r="33735">
      <c r="A33735" s="4" t="s">
        <v>42443</v>
      </c>
      <c r="B33735" s="4" t="s">
        <v>42451</v>
      </c>
      <c r="C33735" s="5" t="str">
        <f>IFERROR(__xludf.DUMMYFUNCTION("GOOGLETRANSLATE(B33735,""en"",""it"")"),"La donna ricade se la sua sedia a terra e gli uomini la aiutano.")</f>
        <v>La donna ricade se la sua sedia a terra e gli uomini la aiutano.</v>
      </c>
    </row>
    <row r="33736">
      <c r="A33736" s="4" t="s">
        <v>42443</v>
      </c>
      <c r="B33736" s="4" t="s">
        <v>42452</v>
      </c>
      <c r="C33736" s="5" t="str">
        <f>IFERROR(__xludf.DUMMYFUNCTION("GOOGLETRANSLATE(B33736,""en"",""it"")"),"L'amico che gioca è sparito e la sedia è vuota.")</f>
        <v>L'amico che gioca è sparito e la sedia è vuota.</v>
      </c>
    </row>
    <row r="33737">
      <c r="A33737" s="4" t="s">
        <v>42453</v>
      </c>
      <c r="B33737" s="4" t="s">
        <v>42454</v>
      </c>
      <c r="C33737" s="5" t="str">
        <f>IFERROR(__xludf.DUMMYFUNCTION("GOOGLETRANSLATE(B33737,""en"",""it"")"),"Una coppia è nell'acqua che scorre di un fiume.")</f>
        <v>Una coppia è nell'acqua che scorre di un fiume.</v>
      </c>
    </row>
    <row r="33738">
      <c r="A33738" s="4" t="s">
        <v>42453</v>
      </c>
      <c r="B33738" s="4" t="s">
        <v>42455</v>
      </c>
      <c r="C33738" s="5" t="str">
        <f>IFERROR(__xludf.DUMMYFUNCTION("GOOGLETRANSLATE(B33738,""en"",""it"")"),"Sono seduti accanto a diversi secchi.")</f>
        <v>Sono seduti accanto a diversi secchi.</v>
      </c>
    </row>
    <row r="33739">
      <c r="A33739" s="4" t="s">
        <v>42453</v>
      </c>
      <c r="B33739" s="4" t="s">
        <v>42456</v>
      </c>
      <c r="C33739" s="5" t="str">
        <f>IFERROR(__xludf.DUMMYFUNCTION("GOOGLETRANSLATE(B33739,""en"",""it"")"),"Strofinano vestiti contro le rocce, cercando di pulirli.")</f>
        <v>Strofinano vestiti contro le rocce, cercando di pulirli.</v>
      </c>
    </row>
    <row r="33740">
      <c r="A33740" s="4" t="s">
        <v>42457</v>
      </c>
      <c r="B33740" s="4" t="s">
        <v>42458</v>
      </c>
      <c r="C33740" s="5" t="str">
        <f>IFERROR(__xludf.DUMMYFUNCTION("GOOGLETRANSLATE(B33740,""en"",""it"")"),"Una persona leggera per dare fuoco.")</f>
        <v>Una persona leggera per dare fuoco.</v>
      </c>
    </row>
    <row r="33741">
      <c r="A33741" s="4" t="s">
        <v>42457</v>
      </c>
      <c r="B33741" s="4" t="s">
        <v>42459</v>
      </c>
      <c r="C33741" s="5" t="str">
        <f>IFERROR(__xludf.DUMMYFUNCTION("GOOGLETRANSLATE(B33741,""en"",""it"")"),"Quindi, un uomo soffia il fuoco, mentre la persona mette i bastoncini sul fuoco nascente.")</f>
        <v>Quindi, un uomo soffia il fuoco, mentre la persona mette i bastoncini sul fuoco nascente.</v>
      </c>
    </row>
    <row r="33742">
      <c r="A33742" s="4" t="s">
        <v>42457</v>
      </c>
      <c r="B33742" s="4" t="s">
        <v>42460</v>
      </c>
      <c r="C33742" s="5" t="str">
        <f>IFERROR(__xludf.DUMMYFUNCTION("GOOGLETRANSLATE(B33742,""en"",""it"")"),"Dopo, il fuoco inizia a crescere sempre più grande mentre gli uomini mettono i bastoncini in cima.")</f>
        <v>Dopo, il fuoco inizia a crescere sempre più grande mentre gli uomini mettono i bastoncini in cima.</v>
      </c>
    </row>
    <row r="33743">
      <c r="A33743" s="4" t="s">
        <v>42461</v>
      </c>
      <c r="B33743" s="4" t="s">
        <v>42462</v>
      </c>
      <c r="C33743" s="5" t="str">
        <f>IFERROR(__xludf.DUMMYFUNCTION("GOOGLETRANSLATE(B33743,""en"",""it"")"),"Un gruppo di uomini tengono le maracas nelle loro mani e suonano per un po 'di musica reggae.")</f>
        <v>Un gruppo di uomini tengono le maracas nelle loro mani e suonano per un po 'di musica reggae.</v>
      </c>
    </row>
    <row r="33744">
      <c r="A33744" s="4" t="s">
        <v>42461</v>
      </c>
      <c r="B33744" s="4" t="s">
        <v>42463</v>
      </c>
      <c r="C33744" s="5" t="str">
        <f>IFERROR(__xludf.DUMMYFUNCTION("GOOGLETRANSLATE(B33744,""en"",""it"")"),"Uno degli uomini inizia a cantare nel microfono.")</f>
        <v>Uno degli uomini inizia a cantare nel microfono.</v>
      </c>
    </row>
    <row r="33745">
      <c r="A33745" s="4" t="s">
        <v>42461</v>
      </c>
      <c r="B33745" s="4" t="s">
        <v>42464</v>
      </c>
      <c r="C33745" s="5" t="str">
        <f>IFERROR(__xludf.DUMMYFUNCTION("GOOGLETRANSLATE(B33745,""en"",""it"")"),"Il resto degli uomini si unisce a lui nel cantare il coro.")</f>
        <v>Il resto degli uomini si unisce a lui nel cantare il coro.</v>
      </c>
    </row>
    <row r="33746">
      <c r="A33746" s="4" t="s">
        <v>42461</v>
      </c>
      <c r="B33746" s="4" t="s">
        <v>42465</v>
      </c>
      <c r="C33746" s="5" t="str">
        <f>IFERROR(__xludf.DUMMYFUNCTION("GOOGLETRANSLATE(B33746,""en"",""it"")"),"Suonano i Maracas mentre cantano la canzone.")</f>
        <v>Suonano i Maracas mentre cantano la canzone.</v>
      </c>
    </row>
    <row r="33747">
      <c r="A33747" s="4" t="s">
        <v>42461</v>
      </c>
      <c r="B33747" s="6" t="s">
        <v>42466</v>
      </c>
      <c r="C33747" s="5" t="str">
        <f>IFERROR(__xludf.DUMMYFUNCTION("GOOGLETRANSLATE(B33747,""en"",""it"")"),"Gli uomini ballano anche mentre cantano e suonano il cantante Maracas, il cantante canta da un po 'di tempo mentre gli altri suonano i loro maracas.")</f>
        <v>Gli uomini ballano anche mentre cantano e suonano il cantante Maracas, il cantante canta da un po 'di tempo mentre gli altri suonano i loro maracas.</v>
      </c>
    </row>
    <row r="33748">
      <c r="A33748" s="4" t="s">
        <v>42461</v>
      </c>
      <c r="B33748" s="4" t="s">
        <v>42467</v>
      </c>
      <c r="C33748" s="5" t="str">
        <f>IFERROR(__xludf.DUMMYFUNCTION("GOOGLETRANSLATE(B33748,""en"",""it"")"),"Quindi tutti gli uomini si uniscono a lui cantando la canzone mentre suonavano i loro maracas.")</f>
        <v>Quindi tutti gli uomini si uniscono a lui cantando la canzone mentre suonavano i loro maracas.</v>
      </c>
    </row>
    <row r="33749">
      <c r="A33749" s="4" t="s">
        <v>42468</v>
      </c>
      <c r="B33749" s="4" t="s">
        <v>42469</v>
      </c>
      <c r="C33749" s="5" t="str">
        <f>IFERROR(__xludf.DUMMYFUNCTION("GOOGLETRANSLATE(B33749,""en"",""it"")"),"Due persone ballano in uno studio di danza.")</f>
        <v>Due persone ballano in uno studio di danza.</v>
      </c>
    </row>
    <row r="33750">
      <c r="A33750" s="4" t="s">
        <v>42468</v>
      </c>
      <c r="B33750" s="4" t="s">
        <v>42470</v>
      </c>
      <c r="C33750" s="5" t="str">
        <f>IFERROR(__xludf.DUMMYFUNCTION("GOOGLETRANSLATE(B33750,""en"",""it"")"),"Prima la donna oscilla un po 'i fianchi e si muove un piede dietro l'altro.")</f>
        <v>Prima la donna oscilla un po 'i fianchi e si muove un piede dietro l'altro.</v>
      </c>
    </row>
    <row r="33751">
      <c r="A33751" s="4" t="s">
        <v>42468</v>
      </c>
      <c r="B33751" s="6" t="s">
        <v>42471</v>
      </c>
      <c r="C33751" s="5" t="str">
        <f>IFERROR(__xludf.DUMMYFUNCTION("GOOGLETRANSLATE(B33751,""en"",""it"")"),"Dice anche agli spettatori di stabilire un contatto visivo con la persona per assicurarsi che siano a proprio agio e ad un certo punto, l'uomo la gira in cerchio e torna in giro per loro di ricominciare a ballare normale.")</f>
        <v>Dice anche agli spettatori di stabilire un contatto visivo con la persona per assicurarsi che siano a proprio agio e ad un certo punto, l'uomo la gira in cerchio e torna in giro per loro di ricominciare a ballare normale.</v>
      </c>
    </row>
    <row r="33752">
      <c r="A33752" s="4" t="s">
        <v>42472</v>
      </c>
      <c r="B33752" s="6" t="s">
        <v>42473</v>
      </c>
      <c r="C33752" s="5" t="str">
        <f>IFERROR(__xludf.DUMMYFUNCTION("GOOGLETRANSLATE(B33752,""en"",""it"")"),"Tre uomini sono intervistati, uno dei quali suona il piano e canta per l'intervistatore e il suo equipaggio di telecamere in uno stretto corridoio.")</f>
        <v>Tre uomini sono intervistati, uno dei quali suona il piano e canta per l'intervistatore e il suo equipaggio di telecamere in uno stretto corridoio.</v>
      </c>
    </row>
    <row r="33753">
      <c r="A33753" s="4" t="s">
        <v>42472</v>
      </c>
      <c r="B33753" s="6" t="s">
        <v>42474</v>
      </c>
      <c r="C33753" s="5" t="str">
        <f>IFERROR(__xludf.DUMMYFUNCTION("GOOGLETRANSLATE(B33753,""en"",""it"")"),"Quattro uomini sono in una stanza, tre dei quali vengono intervistati dal quarto uomo che ha i capelli biondi, indossa gli occhiali e ha un equipaggio di telecamere con sé.")</f>
        <v>Quattro uomini sono in una stanza, tre dei quali vengono intervistati dal quarto uomo che ha i capelli biondi, indossa gli occhiali e ha un equipaggio di telecamere con sé.</v>
      </c>
    </row>
    <row r="33754">
      <c r="A33754" s="4" t="s">
        <v>42472</v>
      </c>
      <c r="B33754" s="4" t="s">
        <v>42475</v>
      </c>
      <c r="C33754" s="5" t="str">
        <f>IFERROR(__xludf.DUMMYFUNCTION("GOOGLETRANSLATE(B33754,""en"",""it"")"),"L'intervistatore conduce uno degli uomini nel corridoio verso un piano, dove l'uomo ha un posto.")</f>
        <v>L'intervistatore conduce uno degli uomini nel corridoio verso un piano, dove l'uomo ha un posto.</v>
      </c>
    </row>
    <row r="33755">
      <c r="A33755" s="4" t="s">
        <v>42472</v>
      </c>
      <c r="B33755" s="6" t="s">
        <v>42476</v>
      </c>
      <c r="C33755" s="5" t="str">
        <f>IFERROR(__xludf.DUMMYFUNCTION("GOOGLETRANSLATE(B33755,""en"",""it"")"),"L'uomo inizia a suonare e cantare come la troupe della telecamera, l'intervistatore e gli spettatori che guardano, prima che l'uomo finisca la canzone, si alza e si allontana.")</f>
        <v>L'uomo inizia a suonare e cantare come la troupe della telecamera, l'intervistatore e gli spettatori che guardano, prima che l'uomo finisca la canzone, si alza e si allontana.</v>
      </c>
    </row>
    <row r="33756">
      <c r="A33756" s="4" t="s">
        <v>42477</v>
      </c>
      <c r="B33756" s="4" t="s">
        <v>42478</v>
      </c>
      <c r="C33756" s="5" t="str">
        <f>IFERROR(__xludf.DUMMYFUNCTION("GOOGLETRANSLATE(B33756,""en"",""it"")"),"Vediamo uomini in una stanza giocare a piscina in un torneo.")</f>
        <v>Vediamo uomini in una stanza giocare a piscina in un torneo.</v>
      </c>
    </row>
    <row r="33757">
      <c r="A33757" s="4" t="s">
        <v>42477</v>
      </c>
      <c r="B33757" s="4" t="s">
        <v>42479</v>
      </c>
      <c r="C33757" s="5" t="str">
        <f>IFERROR(__xludf.DUMMYFUNCTION("GOOGLETRANSLATE(B33757,""en"",""it"")"),"L'uomo con la maglietta blu si avvicina alle riprese.")</f>
        <v>L'uomo con la maglietta blu si avvicina alle riprese.</v>
      </c>
    </row>
    <row r="33758">
      <c r="A33758" s="4" t="s">
        <v>42477</v>
      </c>
      <c r="B33758" s="4" t="s">
        <v>42480</v>
      </c>
      <c r="C33758" s="5" t="str">
        <f>IFERROR(__xludf.DUMMYFUNCTION("GOOGLETRANSLATE(B33758,""en"",""it"")"),"L'uomo si allontana per scambiare il suo bastone da biliardo.")</f>
        <v>L'uomo si allontana per scambiare il suo bastone da biliardo.</v>
      </c>
    </row>
    <row r="33759">
      <c r="A33759" s="4" t="s">
        <v>42477</v>
      </c>
      <c r="B33759" s="4" t="s">
        <v>42481</v>
      </c>
      <c r="C33759" s="5" t="str">
        <f>IFERROR(__xludf.DUMMYFUNCTION("GOOGLETRANSLATE(B33759,""en"",""it"")"),"L'uomo in blu fa il suo tiro.")</f>
        <v>L'uomo in blu fa il suo tiro.</v>
      </c>
    </row>
    <row r="33760">
      <c r="A33760" s="4" t="s">
        <v>42477</v>
      </c>
      <c r="B33760" s="4" t="s">
        <v>42482</v>
      </c>
      <c r="C33760" s="5" t="str">
        <f>IFERROR(__xludf.DUMMYFUNCTION("GOOGLETRANSLATE(B33760,""en"",""it"")"),"L'uomo quindi fa un altro colpo.")</f>
        <v>L'uomo quindi fa un altro colpo.</v>
      </c>
    </row>
    <row r="33761">
      <c r="A33761" s="4" t="s">
        <v>42477</v>
      </c>
      <c r="B33761" s="4" t="s">
        <v>42483</v>
      </c>
      <c r="C33761" s="5" t="str">
        <f>IFERROR(__xludf.DUMMYFUNCTION("GOOGLETRANSLATE(B33761,""en"",""it"")"),"L'uomo prende il suo terzo colpo.")</f>
        <v>L'uomo prende il suo terzo colpo.</v>
      </c>
    </row>
    <row r="33762">
      <c r="A33762" s="4" t="s">
        <v>42477</v>
      </c>
      <c r="B33762" s="4" t="s">
        <v>42484</v>
      </c>
      <c r="C33762" s="5" t="str">
        <f>IFERROR(__xludf.DUMMYFUNCTION("GOOGLETRANSLATE(B33762,""en"",""it"")"),"L'uomo fa il suo quarto colpo.")</f>
        <v>L'uomo fa il suo quarto colpo.</v>
      </c>
    </row>
    <row r="33763">
      <c r="A33763" s="4" t="s">
        <v>42477</v>
      </c>
      <c r="B33763" s="4" t="s">
        <v>42485</v>
      </c>
      <c r="C33763" s="5" t="str">
        <f>IFERROR(__xludf.DUMMYFUNCTION("GOOGLETRANSLATE(B33763,""en"",""it"")"),"L'uomo fa il suo tiro finale.")</f>
        <v>L'uomo fa il suo tiro finale.</v>
      </c>
    </row>
    <row r="33764">
      <c r="A33764" s="4" t="s">
        <v>42486</v>
      </c>
      <c r="B33764" s="4" t="s">
        <v>42487</v>
      </c>
      <c r="C33764" s="5" t="str">
        <f>IFERROR(__xludf.DUMMYFUNCTION("GOOGLETRANSLATE(B33764,""en"",""it"")"),"Un'introduzione conduce a una donna che parla alla telecamera mentre diversi scioperi la cavalcano intorno.")</f>
        <v>Un'introduzione conduce a una donna che parla alla telecamera mentre diversi scioperi la cavalcano intorno.</v>
      </c>
    </row>
    <row r="33765">
      <c r="A33765" s="4" t="s">
        <v>42486</v>
      </c>
      <c r="B33765" s="6" t="s">
        <v>42488</v>
      </c>
      <c r="C33765" s="5" t="str">
        <f>IFERROR(__xludf.DUMMYFUNCTION("GOOGLETRANSLATE(B33765,""en"",""it"")"),"La telecamera segue la ragazza che cavalcava una collina innevata e cavalcando ascensori da sci e parli di nuovo alla telecamera.")</f>
        <v>La telecamera segue la ragazza che cavalcava una collina innevata e cavalcando ascensori da sci e parli di nuovo alla telecamera.</v>
      </c>
    </row>
    <row r="33766">
      <c r="A33766" s="4" t="s">
        <v>42486</v>
      </c>
      <c r="B33766" s="6" t="s">
        <v>42489</v>
      </c>
      <c r="C33766" s="5" t="str">
        <f>IFERROR(__xludf.DUMMYFUNCTION("GOOGLETRANSLATE(B33766,""en"",""it"")"),"Vengono mostrati molti altri scatti del suo sci e termina con la sua agitazione verso la telecamera e varie foto di sciatori.")</f>
        <v>Vengono mostrati molti altri scatti del suo sci e termina con la sua agitazione verso la telecamera e varie foto di sciatori.</v>
      </c>
    </row>
    <row r="33767">
      <c r="A33767" s="4" t="s">
        <v>42490</v>
      </c>
      <c r="B33767" s="4" t="s">
        <v>42491</v>
      </c>
      <c r="C33767" s="5" t="str">
        <f>IFERROR(__xludf.DUMMYFUNCTION("GOOGLETRANSLATE(B33767,""en"",""it"")"),"Due persone sono viste giocare a ping pong tra loro.")</f>
        <v>Due persone sono viste giocare a ping pong tra loro.</v>
      </c>
    </row>
    <row r="33768">
      <c r="A33768" s="4" t="s">
        <v>42490</v>
      </c>
      <c r="B33768" s="4" t="s">
        <v>42492</v>
      </c>
      <c r="C33768" s="5" t="str">
        <f>IFERROR(__xludf.DUMMYFUNCTION("GOOGLETRANSLATE(B33768,""en"",""it"")"),"Hanno colpito la palla indietro e quarto attraverso il tavolo mentre le persone guardano sui lati.")</f>
        <v>Hanno colpito la palla indietro e quarto attraverso il tavolo mentre le persone guardano sui lati.</v>
      </c>
    </row>
    <row r="33769">
      <c r="A33769" s="4" t="s">
        <v>42490</v>
      </c>
      <c r="B33769" s="4" t="s">
        <v>42493</v>
      </c>
      <c r="C33769" s="5" t="str">
        <f>IFERROR(__xludf.DUMMYFUNCTION("GOOGLETRANSLATE(B33769,""en"",""it"")"),"I ragazzi continuano a giocare indietro e quarto mentre cambiano luoghi e guardano alla telecamera.")</f>
        <v>I ragazzi continuano a giocare indietro e quarto mentre cambiano luoghi e guardano alla telecamera.</v>
      </c>
    </row>
    <row r="33770">
      <c r="A33770" s="4" t="s">
        <v>42494</v>
      </c>
      <c r="B33770" s="6" t="s">
        <v>42495</v>
      </c>
      <c r="C33770" s="5" t="str">
        <f>IFERROR(__xludf.DUMMYFUNCTION("GOOGLETRANSLATE(B33770,""en"",""it"")"),"Una persona è vista in piedi dietro una bici che parla alla telecamera e mostra ravvicinati della bici.")</f>
        <v>Una persona è vista in piedi dietro una bici che parla alla telecamera e mostra ravvicinati della bici.</v>
      </c>
    </row>
    <row r="33771">
      <c r="A33771" s="4" t="s">
        <v>42494</v>
      </c>
      <c r="B33771" s="6" t="s">
        <v>42496</v>
      </c>
      <c r="C33771" s="5" t="str">
        <f>IFERROR(__xludf.DUMMYFUNCTION("GOOGLETRANSLATE(B33771,""en"",""it"")"),"La persona continua a parlare mentre mostra la sua attrezzatura e conduce in lui regolando le impostazioni sulla sua bici.")</f>
        <v>La persona continua a parlare mentre mostra la sua attrezzatura e conduce in lui regolando le impostazioni sulla sua bici.</v>
      </c>
    </row>
    <row r="33772">
      <c r="A33772" s="4" t="s">
        <v>42497</v>
      </c>
      <c r="B33772" s="4" t="s">
        <v>42498</v>
      </c>
      <c r="C33772" s="5" t="str">
        <f>IFERROR(__xludf.DUMMYFUNCTION("GOOGLETRANSLATE(B33772,""en"",""it"")"),"Una donna vestita con un top nero sta parlando di servizi di toelettatura americana per animali domestici.")</f>
        <v>Una donna vestita con un top nero sta parlando di servizi di toelettatura americana per animali domestici.</v>
      </c>
    </row>
    <row r="33773">
      <c r="A33773" s="4" t="s">
        <v>42497</v>
      </c>
      <c r="B33773" s="4" t="s">
        <v>42499</v>
      </c>
      <c r="C33773" s="5" t="str">
        <f>IFERROR(__xludf.DUMMYFUNCTION("GOOGLETRANSLATE(B33773,""en"",""it"")"),"Dimostra tutti i vari servizi di toelettatura che la sua azienda fornisce animali domestici.")</f>
        <v>Dimostra tutti i vari servizi di toelettatura che la sua azienda fornisce animali domestici.</v>
      </c>
    </row>
    <row r="33774">
      <c r="A33774" s="4" t="s">
        <v>42497</v>
      </c>
      <c r="B33774" s="4" t="s">
        <v>42500</v>
      </c>
      <c r="C33774" s="5" t="str">
        <f>IFERROR(__xludf.DUMMYFUNCTION("GOOGLETRANSLATE(B33774,""en"",""it"")"),"Ci sono diversi toelettatori che lavorano sui cani mentre tagliano e tagliano i peli di animali domestici e tagliano le unghie.")</f>
        <v>Ci sono diversi toelettatori che lavorano sui cani mentre tagliano e tagliano i peli di animali domestici e tagliano le unghie.</v>
      </c>
    </row>
    <row r="33775">
      <c r="A33775" s="4" t="s">
        <v>42497</v>
      </c>
      <c r="B33775" s="4" t="s">
        <v>42501</v>
      </c>
      <c r="C33775" s="5" t="str">
        <f>IFERROR(__xludf.DUMMYFUNCTION("GOOGLETRANSLATE(B33775,""en"",""it"")"),"I toelettatori parlano di dove si sono laureati e di come sono stati assunti per il lavoro.")</f>
        <v>I toelettatori parlano di dove si sono laureati e di come sono stati assunti per il lavoro.</v>
      </c>
    </row>
    <row r="33776">
      <c r="A33776" s="4" t="s">
        <v>42497</v>
      </c>
      <c r="B33776" s="6" t="s">
        <v>42502</v>
      </c>
      <c r="C33776" s="5" t="str">
        <f>IFERROR(__xludf.DUMMYFUNCTION("GOOGLETRANSLATE(B33776,""en"",""it"")"),"Il video mostra come i cani diversi vengono curati da toelettatori professionisti che forniscono servizi di qualità.")</f>
        <v>Il video mostra come i cani diversi vengono curati da toelettatori professionisti che forniscono servizi di qualità.</v>
      </c>
    </row>
    <row r="33777">
      <c r="A33777" s="4" t="s">
        <v>42503</v>
      </c>
      <c r="B33777" s="6" t="s">
        <v>42504</v>
      </c>
      <c r="C33777" s="5" t="str">
        <f>IFERROR(__xludf.DUMMYFUNCTION("GOOGLETRANSLATE(B33777,""en"",""it"")"),"Vari colpi di persone che camminano per una montagna innevata sono mostrati da persone che giocano su cavalli.")</f>
        <v>Vari colpi di persone che camminano per una montagna innevata sono mostrati da persone che giocano su cavalli.</v>
      </c>
    </row>
    <row r="33778">
      <c r="A33778" s="4" t="s">
        <v>42503</v>
      </c>
      <c r="B33778" s="6" t="s">
        <v>42505</v>
      </c>
      <c r="C33778" s="5" t="str">
        <f>IFERROR(__xludf.DUMMYFUNCTION("GOOGLETRANSLATE(B33778,""en"",""it"")"),"Molte persone di lusso vengono viste guardare in disparte mentre la partita di cavallo continua e viene scelto un vincitore.")</f>
        <v>Molte persone di lusso vengono viste guardare in disparte mentre la partita di cavallo continua e viene scelto un vincitore.</v>
      </c>
    </row>
    <row r="33779">
      <c r="A33779" s="4" t="s">
        <v>42503</v>
      </c>
      <c r="B33779" s="4" t="s">
        <v>42506</v>
      </c>
      <c r="C33779" s="5" t="str">
        <f>IFERROR(__xludf.DUMMYFUNCTION("GOOGLETRANSLATE(B33779,""en"",""it"")"),"La gente arriva quindi a tarda notte vestita e in posa per le foto.")</f>
        <v>La gente arriva quindi a tarda notte vestita e in posa per le foto.</v>
      </c>
    </row>
    <row r="33780">
      <c r="A33780" s="4" t="s">
        <v>42507</v>
      </c>
      <c r="B33780" s="6" t="s">
        <v>42508</v>
      </c>
      <c r="C33780" s="5" t="str">
        <f>IFERROR(__xludf.DUMMYFUNCTION("GOOGLETRANSLATE(B33780,""en"",""it"")"),"Un piccolo gruppo di persone si vede tutti giocare a varie partite di ping pong tra loro lungo una linea di tavoli.")</f>
        <v>Un piccolo gruppo di persone si vede tutti giocare a varie partite di ping pong tra loro lungo una linea di tavoli.</v>
      </c>
    </row>
    <row r="33781">
      <c r="A33781" s="4" t="s">
        <v>42507</v>
      </c>
      <c r="B33781" s="6" t="s">
        <v>42509</v>
      </c>
      <c r="C33781" s="5" t="str">
        <f>IFERROR(__xludf.DUMMYFUNCTION("GOOGLETRANSLATE(B33781,""en"",""it"")"),"La gente continua a colpire la palla indietro e quarto mentre la telecamera li cattura da vari angoli e alla fine un primo piano di un ragazzo.")</f>
        <v>La gente continua a colpire la palla indietro e quarto mentre la telecamera li cattura da vari angoli e alla fine un primo piano di un ragazzo.</v>
      </c>
    </row>
    <row r="33782">
      <c r="A33782" s="4" t="s">
        <v>42510</v>
      </c>
      <c r="B33782" s="4" t="s">
        <v>42511</v>
      </c>
      <c r="C33782" s="5" t="str">
        <f>IFERROR(__xludf.DUMMYFUNCTION("GOOGLETRANSLATE(B33782,""en"",""it"")"),"Una donna è seduta a un tavolo in un ristorante di fast food mentre mangia.")</f>
        <v>Una donna è seduta a un tavolo in un ristorante di fast food mentre mangia.</v>
      </c>
    </row>
    <row r="33783">
      <c r="A33783" s="4" t="s">
        <v>42510</v>
      </c>
      <c r="B33783" s="4" t="s">
        <v>42512</v>
      </c>
      <c r="C33783" s="5" t="str">
        <f>IFERROR(__xludf.DUMMYFUNCTION("GOOGLETRANSLATE(B33783,""en"",""it"")"),"Parla continuamente a nessuno mentre mangia.")</f>
        <v>Parla continuamente a nessuno mentre mangia.</v>
      </c>
    </row>
    <row r="33784">
      <c r="A33784" s="4" t="s">
        <v>42510</v>
      </c>
      <c r="B33784" s="4" t="s">
        <v>42513</v>
      </c>
      <c r="C33784" s="5" t="str">
        <f>IFERROR(__xludf.DUMMYFUNCTION("GOOGLETRANSLATE(B33784,""en"",""it"")"),"Si alza e afferra la borsa, continuando a parlare e ridere mentre parte.")</f>
        <v>Si alza e afferra la borsa, continuando a parlare e ridere mentre parte.</v>
      </c>
    </row>
    <row r="33785">
      <c r="A33785" s="4" t="s">
        <v>42514</v>
      </c>
      <c r="B33785" s="4" t="s">
        <v>42515</v>
      </c>
      <c r="C33785" s="5" t="str">
        <f>IFERROR(__xludf.DUMMYFUNCTION("GOOGLETRANSLATE(B33785,""en"",""it"")"),"Vediamo una zattera piena di persone in un fiume ruvido e vediamo un sacco di ferme.")</f>
        <v>Vediamo una zattera piena di persone in un fiume ruvido e vediamo un sacco di ferme.</v>
      </c>
    </row>
    <row r="33786">
      <c r="A33786" s="4" t="s">
        <v>42514</v>
      </c>
      <c r="B33786" s="4" t="s">
        <v>42516</v>
      </c>
      <c r="C33786" s="5" t="str">
        <f>IFERROR(__xludf.DUMMYFUNCTION("GOOGLETRANSLATE(B33786,""en"",""it"")"),"Vediamo le persone nei colpi.")</f>
        <v>Vediamo le persone nei colpi.</v>
      </c>
    </row>
    <row r="33787">
      <c r="A33787" s="4" t="s">
        <v>42514</v>
      </c>
      <c r="B33787" s="4" t="s">
        <v>42517</v>
      </c>
      <c r="C33787" s="5" t="str">
        <f>IFERROR(__xludf.DUMMYFUNCTION("GOOGLETRANSLATE(B33787,""en"",""it"")"),"Vediamo la schermata del titolo.")</f>
        <v>Vediamo la schermata del titolo.</v>
      </c>
    </row>
    <row r="33788">
      <c r="A33788" s="4" t="s">
        <v>42514</v>
      </c>
      <c r="B33788" s="4" t="s">
        <v>42518</v>
      </c>
      <c r="C33788" s="5" t="str">
        <f>IFERROR(__xludf.DUMMYFUNCTION("GOOGLETRANSLATE(B33788,""en"",""it"")"),"Vediamo un elicottero su un fiume.")</f>
        <v>Vediamo un elicottero su un fiume.</v>
      </c>
    </row>
    <row r="33789">
      <c r="A33789" s="4" t="s">
        <v>42514</v>
      </c>
      <c r="B33789" s="4" t="s">
        <v>42519</v>
      </c>
      <c r="C33789" s="5" t="str">
        <f>IFERROR(__xludf.DUMMYFUNCTION("GOOGLETRANSLATE(B33789,""en"",""it"")"),"La zattera si gira e una signora ride.")</f>
        <v>La zattera si gira e una signora ride.</v>
      </c>
    </row>
    <row r="33790">
      <c r="A33790" s="4" t="s">
        <v>42514</v>
      </c>
      <c r="B33790" s="4" t="s">
        <v>42520</v>
      </c>
      <c r="C33790" s="5" t="str">
        <f>IFERROR(__xludf.DUMMYFUNCTION("GOOGLETRANSLATE(B33790,""en"",""it"")"),"Vediamo un autobus che guida per strada.")</f>
        <v>Vediamo un autobus che guida per strada.</v>
      </c>
    </row>
    <row r="33791">
      <c r="A33791" s="4" t="s">
        <v>42514</v>
      </c>
      <c r="B33791" s="4" t="s">
        <v>42521</v>
      </c>
      <c r="C33791" s="5" t="str">
        <f>IFERROR(__xludf.DUMMYFUNCTION("GOOGLETRANSLATE(B33791,""en"",""it"")"),"Vediamo il canyon da lontano.")</f>
        <v>Vediamo il canyon da lontano.</v>
      </c>
    </row>
    <row r="33792">
      <c r="A33792" s="4" t="s">
        <v>42514</v>
      </c>
      <c r="B33792" s="4" t="s">
        <v>42522</v>
      </c>
      <c r="C33792" s="5" t="str">
        <f>IFERROR(__xludf.DUMMYFUNCTION("GOOGLETRANSLATE(B33792,""en"",""it"")"),"Vediamo un tunnel e un motoscafo.")</f>
        <v>Vediamo un tunnel e un motoscafo.</v>
      </c>
    </row>
    <row r="33793">
      <c r="A33793" s="4" t="s">
        <v>42514</v>
      </c>
      <c r="B33793" s="4" t="s">
        <v>42523</v>
      </c>
      <c r="C33793" s="5" t="str">
        <f>IFERROR(__xludf.DUMMYFUNCTION("GOOGLETRANSLATE(B33793,""en"",""it"")"),"Vediamo ancora scatti delle travi.")</f>
        <v>Vediamo ancora scatti delle travi.</v>
      </c>
    </row>
    <row r="33794">
      <c r="A33794" s="4" t="s">
        <v>42514</v>
      </c>
      <c r="B33794" s="4" t="s">
        <v>777</v>
      </c>
      <c r="C33794" s="5" t="str">
        <f>IFERROR(__xludf.DUMMYFUNCTION("GOOGLETRANSLATE(B33794,""en"",""it"")"),"Vediamo la schermata del titolo finale.")</f>
        <v>Vediamo la schermata del titolo finale.</v>
      </c>
    </row>
    <row r="33795">
      <c r="A33795" s="4" t="s">
        <v>42524</v>
      </c>
      <c r="B33795" s="4" t="s">
        <v>42525</v>
      </c>
      <c r="C33795" s="5" t="str">
        <f>IFERROR(__xludf.DUMMYFUNCTION("GOOGLETRANSLATE(B33795,""en"",""it"")"),"Un uomo viene visto spingere una tavola sul pavimento per spingere il tappeto verso il basso.")</f>
        <v>Un uomo viene visto spingere una tavola sul pavimento per spingere il tappeto verso il basso.</v>
      </c>
    </row>
    <row r="33796">
      <c r="A33796" s="4" t="s">
        <v>42524</v>
      </c>
      <c r="B33796" s="4" t="s">
        <v>42526</v>
      </c>
      <c r="C33796" s="5" t="str">
        <f>IFERROR(__xludf.DUMMYFUNCTION("GOOGLETRANSLATE(B33796,""en"",""it"")"),"Continua a tagliare il tappeto e spingendolo verso il basso con un raggio grande.")</f>
        <v>Continua a tagliare il tappeto e spingendolo verso il basso con un raggio grande.</v>
      </c>
    </row>
    <row r="33797">
      <c r="A33797" s="4" t="s">
        <v>42527</v>
      </c>
      <c r="B33797" s="4" t="s">
        <v>42528</v>
      </c>
      <c r="C33797" s="5" t="str">
        <f>IFERROR(__xludf.DUMMYFUNCTION("GOOGLETRANSLATE(B33797,""en"",""it"")"),"Un toro su un anello inizia a inseguire due uomini.")</f>
        <v>Un toro su un anello inizia a inseguire due uomini.</v>
      </c>
    </row>
    <row r="33798">
      <c r="A33798" s="4" t="s">
        <v>42527</v>
      </c>
      <c r="B33798" s="4" t="s">
        <v>42529</v>
      </c>
      <c r="C33798" s="5" t="str">
        <f>IFERROR(__xludf.DUMMYFUNCTION("GOOGLETRANSLATE(B33798,""en"",""it"")"),"Molti altri corrono sul ring e il toro si lancia mentre afferrano le corna e la coda.")</f>
        <v>Molti altri corrono sul ring e il toro si lancia mentre afferrano le corna e la coda.</v>
      </c>
    </row>
    <row r="33799">
      <c r="A33799" s="4" t="s">
        <v>42527</v>
      </c>
      <c r="B33799" s="4" t="s">
        <v>42530</v>
      </c>
      <c r="C33799" s="5" t="str">
        <f>IFERROR(__xludf.DUMMYFUNCTION("GOOGLETRANSLATE(B33799,""en"",""it"")"),"Apri il cancello, ma non riescono a riportare il toro dentro mentre li carica.")</f>
        <v>Apri il cancello, ma non riescono a riportare il toro dentro mentre li carica.</v>
      </c>
    </row>
    <row r="33800">
      <c r="A33800" s="4" t="s">
        <v>42531</v>
      </c>
      <c r="B33800" s="4" t="s">
        <v>42532</v>
      </c>
      <c r="C33800" s="5" t="str">
        <f>IFERROR(__xludf.DUMMYFUNCTION("GOOGLETRANSLATE(B33800,""en"",""it"")"),"Una persona mostra e spiega uno spremuto al limone e mostra che la parte era il limone.")</f>
        <v>Una persona mostra e spiega uno spremuto al limone e mostra che la parte era il limone.</v>
      </c>
    </row>
    <row r="33801">
      <c r="A33801" s="4" t="s">
        <v>42531</v>
      </c>
      <c r="B33801" s="4" t="s">
        <v>42533</v>
      </c>
      <c r="C33801" s="5" t="str">
        <f>IFERROR(__xludf.DUMMYFUNCTION("GOOGLETRANSLATE(B33801,""en"",""it"")"),"Quindi, la persona indica due brocche su un tavolo.")</f>
        <v>Quindi, la persona indica due brocche su un tavolo.</v>
      </c>
    </row>
    <row r="33802">
      <c r="A33802" s="4" t="s">
        <v>42531</v>
      </c>
      <c r="B33802" s="6" t="s">
        <v>42534</v>
      </c>
      <c r="C33802" s="5" t="str">
        <f>IFERROR(__xludf.DUMMYFUNCTION("GOOGLETRANSLATE(B33802,""en"",""it"")"),"Successivamente, la persona mette il ghiaccio in una tazza e poi stringe un limone usando il limone, aggiungi sciroppo e acqua dalle brocche.")</f>
        <v>Successivamente, la persona mette il ghiaccio in una tazza e poi stringe un limone usando il limone, aggiungi sciroppo e acqua dalle brocche.</v>
      </c>
    </row>
    <row r="33803">
      <c r="A33803" s="4" t="s">
        <v>42531</v>
      </c>
      <c r="B33803" s="4" t="s">
        <v>42535</v>
      </c>
      <c r="C33803" s="5" t="str">
        <f>IFERROR(__xludf.DUMMYFUNCTION("GOOGLETRANSLATE(B33803,""en"",""it"")"),"Quindi, la persona ha messo una copertura sulla tazza e scuotere il mix.")</f>
        <v>Quindi, la persona ha messo una copertura sulla tazza e scuotere il mix.</v>
      </c>
    </row>
    <row r="33804">
      <c r="A33804" s="4" t="s">
        <v>42536</v>
      </c>
      <c r="B33804" s="4" t="s">
        <v>42537</v>
      </c>
      <c r="C33804" s="5" t="str">
        <f>IFERROR(__xludf.DUMMYFUNCTION("GOOGLETRANSLATE(B33804,""en"",""it"")"),"Una donna sta elaborando una macchina ellittica.")</f>
        <v>Una donna sta elaborando una macchina ellittica.</v>
      </c>
    </row>
    <row r="33805">
      <c r="A33805" s="4" t="s">
        <v>42536</v>
      </c>
      <c r="B33805" s="4" t="s">
        <v>37573</v>
      </c>
      <c r="C33805" s="5" t="str">
        <f>IFERROR(__xludf.DUMMYFUNCTION("GOOGLETRANSLATE(B33805,""en"",""it"")"),"Un uomo si sta allenando su una macchina ellittica.")</f>
        <v>Un uomo si sta allenando su una macchina ellittica.</v>
      </c>
    </row>
    <row r="33806">
      <c r="A33806" s="4" t="s">
        <v>42536</v>
      </c>
      <c r="B33806" s="4" t="s">
        <v>42538</v>
      </c>
      <c r="C33806" s="5" t="str">
        <f>IFERROR(__xludf.DUMMYFUNCTION("GOOGLETRANSLATE(B33806,""en"",""it"")"),"Una persona collega un telefono cellulare alla macchina.")</f>
        <v>Una persona collega un telefono cellulare alla macchina.</v>
      </c>
    </row>
    <row r="33807">
      <c r="A33807" s="4" t="s">
        <v>42539</v>
      </c>
      <c r="B33807" s="6" t="s">
        <v>42540</v>
      </c>
      <c r="C33807" s="5" t="str">
        <f>IFERROR(__xludf.DUMMYFUNCTION("GOOGLETRANSLATE(B33807,""en"",""it"")"),"La città con edifici e grattacieli è nella parte posteriore e una donna che tiene una torta cammina ed è scritta come avvolgere i regali.")</f>
        <v>La città con edifici e grattacieli è nella parte posteriore e una donna che tiene una torta cammina ed è scritta come avvolgere i regali.</v>
      </c>
    </row>
    <row r="33808">
      <c r="A33808" s="4" t="s">
        <v>42539</v>
      </c>
      <c r="B33808" s="6" t="s">
        <v>42541</v>
      </c>
      <c r="C33808" s="5" t="str">
        <f>IFERROR(__xludf.DUMMYFUNCTION("GOOGLETRANSLATE(B33808,""en"",""it"")"),"WMOAN è seduto su un tavolo e ha una scatola e una confezione regalo in cima e mostra come avvolgere il regalo e parlarne.")</f>
        <v>WMOAN è seduto su un tavolo e ha una scatola e una confezione regalo in cima e mostra come avvolgere il regalo e parlarne.</v>
      </c>
    </row>
    <row r="33809">
      <c r="A33809" s="4" t="s">
        <v>42539</v>
      </c>
      <c r="B33809" s="6" t="s">
        <v>42542</v>
      </c>
      <c r="C33809" s="5" t="str">
        <f>IFERROR(__xludf.DUMMYFUNCTION("GOOGLETRANSLATE(B33809,""en"",""it"")"),"I nastri decotivi vengono utilizzati per fare un nastro aound il dono e mostra come realizzare nastri con diversi vestiti.")</f>
        <v>I nastri decotivi vengono utilizzati per fare un nastro aound il dono e mostra come realizzare nastri con diversi vestiti.</v>
      </c>
    </row>
    <row r="33810">
      <c r="A33810" s="4" t="s">
        <v>42543</v>
      </c>
      <c r="B33810" s="4" t="s">
        <v>42544</v>
      </c>
      <c r="C33810" s="5" t="str">
        <f>IFERROR(__xludf.DUMMYFUNCTION("GOOGLETRANSLATE(B33810,""en"",""it"")"),"Una ragazza interpreta un fisarm.")</f>
        <v>Una ragazza interpreta un fisarm.</v>
      </c>
    </row>
    <row r="33811">
      <c r="A33811" s="4" t="s">
        <v>42543</v>
      </c>
      <c r="B33811" s="4" t="s">
        <v>42545</v>
      </c>
      <c r="C33811" s="5" t="str">
        <f>IFERROR(__xludf.DUMMYFUNCTION("GOOGLETRANSLATE(B33811,""en"",""it"")"),"La ragazza gira la testa a destra.")</f>
        <v>La ragazza gira la testa a destra.</v>
      </c>
    </row>
    <row r="33812">
      <c r="A33812" s="4" t="s">
        <v>42543</v>
      </c>
      <c r="B33812" s="4" t="s">
        <v>42546</v>
      </c>
      <c r="C33812" s="5" t="str">
        <f>IFERROR(__xludf.DUMMYFUNCTION("GOOGLETRANSLATE(B33812,""en"",""it"")"),"La ragazza gioca rallenta.")</f>
        <v>La ragazza gioca rallenta.</v>
      </c>
    </row>
    <row r="33813">
      <c r="A33813" s="4" t="s">
        <v>42547</v>
      </c>
      <c r="B33813" s="6" t="s">
        <v>42548</v>
      </c>
      <c r="C33813" s="5" t="str">
        <f>IFERROR(__xludf.DUMMYFUNCTION("GOOGLETRANSLATE(B33813,""en"",""it"")"),"Una donna viene vista arricciarsi i capelli mentre parla alla telecamera e porta a parlare di fronte ai giudici.")</f>
        <v>Una donna viene vista arricciarsi i capelli mentre parla alla telecamera e porta a parlare di fronte ai giudici.</v>
      </c>
    </row>
    <row r="33814">
      <c r="A33814" s="4" t="s">
        <v>42547</v>
      </c>
      <c r="B33814" s="4" t="s">
        <v>42549</v>
      </c>
      <c r="C33814" s="5" t="str">
        <f>IFERROR(__xludf.DUMMYFUNCTION("GOOGLETRANSLATE(B33814,""en"",""it"")"),"I giudici la criticano e lei scappa felice e salta fuori dall'edificio.")</f>
        <v>I giudici la criticano e lei scappa felice e salta fuori dall'edificio.</v>
      </c>
    </row>
    <row r="33815">
      <c r="A33815" s="4" t="s">
        <v>42550</v>
      </c>
      <c r="B33815" s="4" t="s">
        <v>42551</v>
      </c>
      <c r="C33815" s="5" t="str">
        <f>IFERROR(__xludf.DUMMYFUNCTION("GOOGLETRANSLATE(B33815,""en"",""it"")"),"Due uomini sono seduti, con le scarpe in vista.")</f>
        <v>Due uomini sono seduti, con le scarpe in vista.</v>
      </c>
    </row>
    <row r="33816">
      <c r="A33816" s="4" t="s">
        <v>42550</v>
      </c>
      <c r="B33816" s="4" t="s">
        <v>42552</v>
      </c>
      <c r="C33816" s="5" t="str">
        <f>IFERROR(__xludf.DUMMYFUNCTION("GOOGLETRANSLATE(B33816,""en"",""it"")"),"Un uomo raccoglie una scarpa e se la mette sul piede.")</f>
        <v>Un uomo raccoglie una scarpa e se la mette sul piede.</v>
      </c>
    </row>
    <row r="33817">
      <c r="A33817" s="4" t="s">
        <v>42550</v>
      </c>
      <c r="B33817" s="4" t="s">
        <v>42553</v>
      </c>
      <c r="C33817" s="5" t="str">
        <f>IFERROR(__xludf.DUMMYFUNCTION("GOOGLETRANSLATE(B33817,""en"",""it"")"),"Quindi applica l'altra scarpa, quindi lega i lacci.")</f>
        <v>Quindi applica l'altra scarpa, quindi lega i lacci.</v>
      </c>
    </row>
    <row r="33818">
      <c r="A33818" s="4" t="s">
        <v>42554</v>
      </c>
      <c r="B33818" s="4" t="s">
        <v>42555</v>
      </c>
      <c r="C33818" s="5" t="str">
        <f>IFERROR(__xludf.DUMMYFUNCTION("GOOGLETRANSLATE(B33818,""en"",""it"")"),"L'uomo sta masticando una gomma seduta sui voti.")</f>
        <v>L'uomo sta masticando una gomma seduta sui voti.</v>
      </c>
    </row>
    <row r="33819">
      <c r="A33819" s="4" t="s">
        <v>42554</v>
      </c>
      <c r="B33819" s="4" t="s">
        <v>42556</v>
      </c>
      <c r="C33819" s="5" t="str">
        <f>IFERROR(__xludf.DUMMYFUNCTION("GOOGLETRANSLATE(B33819,""en"",""it"")"),"L'uomo è in piedi su Ractrack con un palo grande e corre per fare un lancio di giavellotto.")</f>
        <v>L'uomo è in piedi su Ractrack con un palo grande e corre per fare un lancio di giavellotto.</v>
      </c>
    </row>
    <row r="33820">
      <c r="A33820" s="4" t="s">
        <v>42554</v>
      </c>
      <c r="B33820" s="4" t="s">
        <v>42557</v>
      </c>
      <c r="C33820" s="5" t="str">
        <f>IFERROR(__xludf.DUMMYFUNCTION("GOOGLETRANSLATE(B33820,""en"",""it"")"),"La gente sta scendendo le scale.")</f>
        <v>La gente sta scendendo le scale.</v>
      </c>
    </row>
    <row r="33821">
      <c r="A33821" s="4" t="s">
        <v>42558</v>
      </c>
      <c r="B33821" s="4" t="s">
        <v>42559</v>
      </c>
      <c r="C33821" s="5" t="str">
        <f>IFERROR(__xludf.DUMMYFUNCTION("GOOGLETRANSLATE(B33821,""en"",""it"")"),"Una persona si sta radermi le gambe.")</f>
        <v>Una persona si sta radermi le gambe.</v>
      </c>
    </row>
    <row r="33822">
      <c r="A33822" s="4" t="s">
        <v>42558</v>
      </c>
      <c r="B33822" s="4" t="s">
        <v>42560</v>
      </c>
      <c r="C33822" s="5" t="str">
        <f>IFERROR(__xludf.DUMMYFUNCTION("GOOGLETRANSLATE(B33822,""en"",""it"")"),"Una mano lucidata gestisce la persona.")</f>
        <v>Una mano lucidata gestisce la persona.</v>
      </c>
    </row>
    <row r="33823">
      <c r="A33823" s="4" t="s">
        <v>42558</v>
      </c>
      <c r="B33823" s="4" t="s">
        <v>42561</v>
      </c>
      <c r="C33823" s="5" t="str">
        <f>IFERROR(__xludf.DUMMYFUNCTION("GOOGLETRANSLATE(B33823,""en"",""it"")"),"La persona si toglie la testa per vedere sotto la gamba.")</f>
        <v>La persona si toglie la testa per vedere sotto la gamba.</v>
      </c>
    </row>
    <row r="33824">
      <c r="A33824" s="4" t="s">
        <v>42562</v>
      </c>
      <c r="B33824" s="6" t="s">
        <v>42563</v>
      </c>
      <c r="C33824" s="5" t="str">
        <f>IFERROR(__xludf.DUMMYFUNCTION("GOOGLETRANSLATE(B33824,""en"",""it"")"),"Una donna viene vista chinarsi davanti a una grande serie di pesi e inizia a sollevarlo sulle spalle.")</f>
        <v>Una donna viene vista chinarsi davanti a una grande serie di pesi e inizia a sollevarlo sulle spalle.</v>
      </c>
    </row>
    <row r="33825">
      <c r="A33825" s="4" t="s">
        <v>42562</v>
      </c>
      <c r="B33825" s="4" t="s">
        <v>42564</v>
      </c>
      <c r="C33825" s="5" t="str">
        <f>IFERROR(__xludf.DUMMYFUNCTION("GOOGLETRANSLATE(B33825,""en"",""it"")"),"Quindi si china e mette i pesi in piedi.")</f>
        <v>Quindi si china e mette i pesi in piedi.</v>
      </c>
    </row>
    <row r="33826">
      <c r="A33826" s="4" t="s">
        <v>42565</v>
      </c>
      <c r="B33826" s="4" t="s">
        <v>42566</v>
      </c>
      <c r="C33826" s="5" t="str">
        <f>IFERROR(__xludf.DUMMYFUNCTION("GOOGLETRANSLATE(B33826,""en"",""it"")"),"Diverse foto sono mostrate da una spiaggia e paesaggi, nonché persone che camminano sulla spiaggia.")</f>
        <v>Diverse foto sono mostrate da una spiaggia e paesaggi, nonché persone che camminano sulla spiaggia.</v>
      </c>
    </row>
    <row r="33827">
      <c r="A33827" s="4" t="s">
        <v>42565</v>
      </c>
      <c r="B33827" s="4" t="s">
        <v>42567</v>
      </c>
      <c r="C33827" s="5" t="str">
        <f>IFERROR(__xludf.DUMMYFUNCTION("GOOGLETRANSLATE(B33827,""en"",""it"")"),"Vengono quindi mostrate diverse clip di persone che cavalcano lungo l'acqua e navigano sulle onde.")</f>
        <v>Vengono quindi mostrate diverse clip di persone che cavalcano lungo l'acqua e navigano sulle onde.</v>
      </c>
    </row>
    <row r="33828">
      <c r="A33828" s="4" t="s">
        <v>42565</v>
      </c>
      <c r="B33828" s="4" t="s">
        <v>42568</v>
      </c>
      <c r="C33828" s="5" t="str">
        <f>IFERROR(__xludf.DUMMYFUNCTION("GOOGLETRANSLATE(B33828,""en"",""it"")"),"Vengono mostrati più colpi di persone che navigano in acqua.")</f>
        <v>Vengono mostrati più colpi di persone che navigano in acqua.</v>
      </c>
    </row>
    <row r="33829">
      <c r="A33829" s="4" t="s">
        <v>42569</v>
      </c>
      <c r="B33829" s="4" t="s">
        <v>42570</v>
      </c>
      <c r="C33829" s="5" t="str">
        <f>IFERROR(__xludf.DUMMYFUNCTION("GOOGLETRANSLATE(B33829,""en"",""it"")"),"Viene visto un uomo parlare con una donna fuori che conduce in una partita di forbici di carta rocciosa.")</f>
        <v>Viene visto un uomo parlare con una donna fuori che conduce in una partita di forbici di carta rocciosa.</v>
      </c>
    </row>
    <row r="33830">
      <c r="A33830" s="4" t="s">
        <v>42569</v>
      </c>
      <c r="B33830" s="6" t="s">
        <v>42571</v>
      </c>
      <c r="C33830" s="5" t="str">
        <f>IFERROR(__xludf.DUMMYFUNCTION("GOOGLETRANSLATE(B33830,""en"",""it"")"),"Le ragazze schiaffeggiano l'uomo e continua a giocare con diverse altre ragazze per strada in varie località.")</f>
        <v>Le ragazze schiaffeggiano l'uomo e continua a giocare con diverse altre ragazze per strada in varie località.</v>
      </c>
    </row>
    <row r="33831">
      <c r="A33831" s="4" t="s">
        <v>42569</v>
      </c>
      <c r="B33831" s="4" t="s">
        <v>42572</v>
      </c>
      <c r="C33831" s="5" t="str">
        <f>IFERROR(__xludf.DUMMYFUNCTION("GOOGLETRANSLATE(B33831,""en"",""it"")"),"Quando l'uomo vince le ragazze lo bacia sulla guancia.")</f>
        <v>Quando l'uomo vince le ragazze lo bacia sulla guancia.</v>
      </c>
    </row>
    <row r="33832">
      <c r="A33832" s="4" t="s">
        <v>42573</v>
      </c>
      <c r="B33832" s="4" t="s">
        <v>42574</v>
      </c>
      <c r="C33832" s="5" t="str">
        <f>IFERROR(__xludf.DUMMYFUNCTION("GOOGLETRANSLATE(B33832,""en"",""it"")"),"Quattro persone stanno in una piscina colpendo la palla avanti e indietro sopra la rete.")</f>
        <v>Quattro persone stanno in una piscina colpendo la palla avanti e indietro sopra la rete.</v>
      </c>
    </row>
    <row r="33833">
      <c r="A33833" s="4" t="s">
        <v>42573</v>
      </c>
      <c r="B33833" s="6" t="s">
        <v>42575</v>
      </c>
      <c r="C33833" s="5" t="str">
        <f>IFERROR(__xludf.DUMMYFUNCTION("GOOGLETRANSLATE(B33833,""en"",""it"")"),"Mentre giocano, qualcuno attraversa la telecamera e poi un set di ragazzi viene ingrandito mentre servono la palla.")</f>
        <v>Mentre giocano, qualcuno attraversa la telecamera e poi un set di ragazzi viene ingrandito mentre servono la palla.</v>
      </c>
    </row>
    <row r="33834">
      <c r="A33834" s="4" t="s">
        <v>42573</v>
      </c>
      <c r="B33834" s="4" t="s">
        <v>42576</v>
      </c>
      <c r="C33834" s="5" t="str">
        <f>IFERROR(__xludf.DUMMYFUNCTION("GOOGLETRANSLATE(B33834,""en"",""it"")"),"La palla esce da entrambi i lati e sono costretti a uscire e andare a prenderla.")</f>
        <v>La palla esce da entrambi i lati e sono costretti a uscire e andare a prenderla.</v>
      </c>
    </row>
    <row r="33835">
      <c r="A33835" s="4" t="s">
        <v>42573</v>
      </c>
      <c r="B33835" s="4" t="s">
        <v>42577</v>
      </c>
      <c r="C33835" s="5" t="str">
        <f>IFERROR(__xludf.DUMMYFUNCTION("GOOGLETRANSLATE(B33835,""en"",""it"")"),"Ricevono il grande pallone da spiaggia e continuano a colpirlo sulla rete.")</f>
        <v>Ricevono il grande pallone da spiaggia e continuano a colpirlo sulla rete.</v>
      </c>
    </row>
    <row r="33836">
      <c r="A33836" s="4" t="s">
        <v>42578</v>
      </c>
      <c r="B33836" s="4" t="s">
        <v>42579</v>
      </c>
      <c r="C33836" s="5" t="str">
        <f>IFERROR(__xludf.DUMMYFUNCTION("GOOGLETRANSLATE(B33836,""en"",""it"")"),"Vediamo una persona che kitesufing nel mare.")</f>
        <v>Vediamo una persona che kitesufing nel mare.</v>
      </c>
    </row>
    <row r="33837">
      <c r="A33837" s="4" t="s">
        <v>42578</v>
      </c>
      <c r="B33837" s="4" t="s">
        <v>42580</v>
      </c>
      <c r="C33837" s="5" t="str">
        <f>IFERROR(__xludf.DUMMYFUNCTION("GOOGLETRANSLATE(B33837,""en"",""it"")"),"La persona ci passa e si gira.")</f>
        <v>La persona ci passa e si gira.</v>
      </c>
    </row>
    <row r="33838">
      <c r="A33838" s="4" t="s">
        <v>42578</v>
      </c>
      <c r="B33838" s="4" t="s">
        <v>42581</v>
      </c>
      <c r="C33838" s="5" t="str">
        <f>IFERROR(__xludf.DUMMYFUNCTION("GOOGLETRANSLATE(B33838,""en"",""it"")"),"La persona si ferma prima di decollare di nuovo.")</f>
        <v>La persona si ferma prima di decollare di nuovo.</v>
      </c>
    </row>
    <row r="33839">
      <c r="A33839" s="4" t="s">
        <v>42582</v>
      </c>
      <c r="B33839" s="6" t="s">
        <v>42583</v>
      </c>
      <c r="C33839" s="5" t="str">
        <f>IFERROR(__xludf.DUMMYFUNCTION("GOOGLETRANSLATE(B33839,""en"",""it"")"),"Cinque persone diverse lanciano un omaggio in aria e un cane salta e cattura il omaggio in bocca, il cane si passa alla persona successiva e fa la stessa cosa che molte persone guardano da distanze.")</f>
        <v>Cinque persone diverse lanciano un omaggio in aria e un cane salta e cattura il omaggio in bocca, il cane si passa alla persona successiva e fa la stessa cosa che molte persone guardano da distanze.</v>
      </c>
    </row>
    <row r="33840">
      <c r="A33840" s="4" t="s">
        <v>42582</v>
      </c>
      <c r="B33840" s="4" t="s">
        <v>42584</v>
      </c>
      <c r="C33840" s="5" t="str">
        <f>IFERROR(__xludf.DUMMYFUNCTION("GOOGLETRANSLATE(B33840,""en"",""it"")"),"Ora ci sono due cani che saltano l'aria che catturano omaggi mentre fanno trucchi.")</f>
        <v>Ora ci sono due cani che saltano l'aria che catturano omaggi mentre fanno trucchi.</v>
      </c>
    </row>
    <row r="33841">
      <c r="A33841" s="4" t="s">
        <v>42582</v>
      </c>
      <c r="B33841" s="6" t="s">
        <v>42585</v>
      </c>
      <c r="C33841" s="5" t="str">
        <f>IFERROR(__xludf.DUMMYFUNCTION("GOOGLETRANSLATE(B33841,""en"",""it"")"),"Ora c'è una signora con un cane che fa trucchi e il cane cattura il omaggio mentre la signora lo lancia in aria.")</f>
        <v>Ora c'è una signora con un cane che fa trucchi e il cane cattura il omaggio mentre la signora lo lancia in aria.</v>
      </c>
    </row>
    <row r="33842">
      <c r="A33842" s="4" t="s">
        <v>42586</v>
      </c>
      <c r="B33842" s="4" t="s">
        <v>42587</v>
      </c>
      <c r="C33842" s="5" t="str">
        <f>IFERROR(__xludf.DUMMYFUNCTION("GOOGLETRANSLATE(B33842,""en"",""it"")"),"Un uomo falcia l'erba attorno a un albero.")</f>
        <v>Un uomo falcia l'erba attorno a un albero.</v>
      </c>
    </row>
    <row r="33843">
      <c r="A33843" s="4" t="s">
        <v>42586</v>
      </c>
      <c r="B33843" s="4" t="s">
        <v>42588</v>
      </c>
      <c r="C33843" s="5" t="str">
        <f>IFERROR(__xludf.DUMMYFUNCTION("GOOGLETRANSLATE(B33843,""en"",""it"")"),"L'uomo si blocca e il tosaerba si spegne e l'uomo deve tirare l'accenditore.")</f>
        <v>L'uomo si blocca e il tosaerba si spegne e l'uomo deve tirare l'accenditore.</v>
      </c>
    </row>
    <row r="33844">
      <c r="A33844" s="4" t="s">
        <v>42586</v>
      </c>
      <c r="B33844" s="4" t="s">
        <v>42589</v>
      </c>
      <c r="C33844" s="5" t="str">
        <f>IFERROR(__xludf.DUMMYFUNCTION("GOOGLETRANSLATE(B33844,""en"",""it"")"),"Quindi, l'uomo continua a tagliare l'erba attorno all'albero.")</f>
        <v>Quindi, l'uomo continua a tagliare l'erba attorno all'albero.</v>
      </c>
    </row>
    <row r="33845">
      <c r="A33845" s="4" t="s">
        <v>42590</v>
      </c>
      <c r="B33845" s="4" t="s">
        <v>42591</v>
      </c>
      <c r="C33845" s="5" t="str">
        <f>IFERROR(__xludf.DUMMYFUNCTION("GOOGLETRANSLATE(B33845,""en"",""it"")"),"Un uomo è seduto su un toro in un cancello.")</f>
        <v>Un uomo è seduto su un toro in un cancello.</v>
      </c>
    </row>
    <row r="33846">
      <c r="A33846" s="4" t="s">
        <v>42590</v>
      </c>
      <c r="B33846" s="4" t="s">
        <v>42592</v>
      </c>
      <c r="C33846" s="5" t="str">
        <f>IFERROR(__xludf.DUMMYFUNCTION("GOOGLETRANSLATE(B33846,""en"",""it"")"),"Il toro viene rilasciato e un uomo su un cavallo lo insegue.")</f>
        <v>Il toro viene rilasciato e un uomo su un cavallo lo insegue.</v>
      </c>
    </row>
    <row r="33847">
      <c r="A33847" s="4" t="s">
        <v>42590</v>
      </c>
      <c r="B33847" s="4" t="s">
        <v>42593</v>
      </c>
      <c r="C33847" s="5" t="str">
        <f>IFERROR(__xludf.DUMMYFUNCTION("GOOGLETRANSLATE(B33847,""en"",""it"")"),"L'uomo salta giù dal cavallo e lega il toro.")</f>
        <v>L'uomo salta giù dal cavallo e lega il toro.</v>
      </c>
    </row>
    <row r="33848">
      <c r="A33848" s="4" t="s">
        <v>42590</v>
      </c>
      <c r="B33848" s="4" t="s">
        <v>42594</v>
      </c>
      <c r="C33848" s="5" t="str">
        <f>IFERROR(__xludf.DUMMYFUNCTION("GOOGLETRANSLATE(B33848,""en"",""it"")"),"L'uomo si alza e torna a cavallo.")</f>
        <v>L'uomo si alza e torna a cavallo.</v>
      </c>
    </row>
    <row r="33849">
      <c r="A33849" s="4" t="s">
        <v>42595</v>
      </c>
      <c r="B33849" s="4" t="s">
        <v>42596</v>
      </c>
      <c r="C33849" s="5" t="str">
        <f>IFERROR(__xludf.DUMMYFUNCTION("GOOGLETRANSLATE(B33849,""en"",""it"")"),"Un ragazzo galleggia in una zattera mentre suo padre tiene una corda attaccata ad essa.")</f>
        <v>Un ragazzo galleggia in una zattera mentre suo padre tiene una corda attaccata ad essa.</v>
      </c>
    </row>
    <row r="33850">
      <c r="A33850" s="4" t="s">
        <v>42595</v>
      </c>
      <c r="B33850" s="4" t="s">
        <v>42597</v>
      </c>
      <c r="C33850" s="5" t="str">
        <f>IFERROR(__xludf.DUMMYFUNCTION("GOOGLETRANSLATE(B33850,""en"",""it"")"),"La barca galleggia lentamente, tirando il bambino mentre si trova nella sua zattera.")</f>
        <v>La barca galleggia lentamente, tirando il bambino mentre si trova nella sua zattera.</v>
      </c>
    </row>
    <row r="33851">
      <c r="A33851" s="4" t="s">
        <v>42595</v>
      </c>
      <c r="B33851" s="4" t="s">
        <v>42598</v>
      </c>
      <c r="C33851" s="5" t="str">
        <f>IFERROR(__xludf.DUMMYFUNCTION("GOOGLETRANSLATE(B33851,""en"",""it"")"),"Viene quindi tirato verso i due uomini nella barca.")</f>
        <v>Viene quindi tirato verso i due uomini nella barca.</v>
      </c>
    </row>
    <row r="33852">
      <c r="A33852" s="4" t="s">
        <v>42599</v>
      </c>
      <c r="B33852" s="4" t="s">
        <v>42600</v>
      </c>
      <c r="C33852" s="5" t="str">
        <f>IFERROR(__xludf.DUMMYFUNCTION("GOOGLETRANSLATE(B33852,""en"",""it"")"),"Un ragazzo è in piedi nel bosco con un altro ragazzo.")</f>
        <v>Un ragazzo è in piedi nel bosco con un altro ragazzo.</v>
      </c>
    </row>
    <row r="33853">
      <c r="A33853" s="4" t="s">
        <v>42599</v>
      </c>
      <c r="B33853" s="4" t="s">
        <v>42601</v>
      </c>
      <c r="C33853" s="5" t="str">
        <f>IFERROR(__xludf.DUMMYFUNCTION("GOOGLETRANSLATE(B33853,""en"",""it"")"),"Accende un fuoco, poi lo lancia a una pila.")</f>
        <v>Accende un fuoco, poi lo lancia a una pila.</v>
      </c>
    </row>
    <row r="33854">
      <c r="A33854" s="4" t="s">
        <v>42599</v>
      </c>
      <c r="B33854" s="4" t="s">
        <v>42602</v>
      </c>
      <c r="C33854" s="5" t="str">
        <f>IFERROR(__xludf.DUMMYFUNCTION("GOOGLETRANSLATE(B33854,""en"",""it"")"),"I due ragazzi fissano la pila mentre brucia.")</f>
        <v>I due ragazzi fissano la pila mentre brucia.</v>
      </c>
    </row>
    <row r="33855">
      <c r="A33855" s="4" t="s">
        <v>42603</v>
      </c>
      <c r="B33855" s="4" t="s">
        <v>42604</v>
      </c>
      <c r="C33855" s="5" t="str">
        <f>IFERROR(__xludf.DUMMYFUNCTION("GOOGLETRANSLATE(B33855,""en"",""it"")"),"Le verdure chioppate si trovano in una ciotola sul tavolo.")</f>
        <v>Le verdure chioppate si trovano in una ciotola sul tavolo.</v>
      </c>
    </row>
    <row r="33856">
      <c r="A33856" s="4" t="s">
        <v>42603</v>
      </c>
      <c r="B33856" s="4" t="s">
        <v>42605</v>
      </c>
      <c r="C33856" s="5" t="str">
        <f>IFERROR(__xludf.DUMMYFUNCTION("GOOGLETRANSLATE(B33856,""en"",""it"")"),"Gli ingredienti sono mescolati all'interno di una ciotola insieme a olio, pepe e maionese.")</f>
        <v>Gli ingredienti sono mescolati all'interno di una ciotola insieme a olio, pepe e maionese.</v>
      </c>
    </row>
    <row r="33857">
      <c r="A33857" s="4" t="s">
        <v>42606</v>
      </c>
      <c r="B33857" s="6" t="s">
        <v>42607</v>
      </c>
      <c r="C33857" s="5" t="str">
        <f>IFERROR(__xludf.DUMMYFUNCTION("GOOGLETRANSLATE(B33857,""en"",""it"")"),"Un uomo esegue un lancio a martello in una zona esterna, in gabbia, circondata da folle di persone che guardano.")</f>
        <v>Un uomo esegue un lancio a martello in una zona esterna, in gabbia, circondata da folle di persone che guardano.</v>
      </c>
    </row>
    <row r="33858">
      <c r="A33858" s="4" t="s">
        <v>42606</v>
      </c>
      <c r="B33858" s="6" t="s">
        <v>42608</v>
      </c>
      <c r="C33858" s="5" t="str">
        <f>IFERROR(__xludf.DUMMYFUNCTION("GOOGLETRANSLATE(B33858,""en"",""it"")"),"Un uomo in una maglietta rossa si avvicina a un cerchio di giocatori a terra all'interno di un'area di recinzione metallica chiusa.")</f>
        <v>Un uomo in una maglietta rossa si avvicina a un cerchio di giocatori a terra all'interno di un'area di recinzione metallica chiusa.</v>
      </c>
    </row>
    <row r="33859">
      <c r="A33859" s="4" t="s">
        <v>42606</v>
      </c>
      <c r="B33859" s="4" t="s">
        <v>42609</v>
      </c>
      <c r="C33859" s="5" t="str">
        <f>IFERROR(__xludf.DUMMYFUNCTION("GOOGLETRANSLATE(B33859,""en"",""it"")"),"L'uomo gira una palla, attaccata a una corda, intorno e intorno.")</f>
        <v>L'uomo gira una palla, attaccata a una corda, intorno e intorno.</v>
      </c>
    </row>
    <row r="33860">
      <c r="A33860" s="4" t="s">
        <v>42606</v>
      </c>
      <c r="B33860" s="4" t="s">
        <v>42610</v>
      </c>
      <c r="C33860" s="5" t="str">
        <f>IFERROR(__xludf.DUMMYFUNCTION("GOOGLETRANSLATE(B33860,""en"",""it"")"),"L'uomo lascia che la palla vada e osserva mentre si supera lo schermo.")</f>
        <v>L'uomo lascia che la palla vada e osserva mentre si supera lo schermo.</v>
      </c>
    </row>
    <row r="33861">
      <c r="A33861" s="4" t="s">
        <v>42611</v>
      </c>
      <c r="B33861" s="6" t="s">
        <v>42612</v>
      </c>
      <c r="C33861" s="5" t="str">
        <f>IFERROR(__xludf.DUMMYFUNCTION("GOOGLETRANSLATE(B33861,""en"",""it"")"),"Una giovane donna si sta esercitando su una pista per pista e sul campo, scatta e salta in alto su un bar alto e atterrava in piedi mentre tre uomini sullo sfondo stanno guardando la sua pratica.")</f>
        <v>Una giovane donna si sta esercitando su una pista per pista e sul campo, scatta e salta in alto su un bar alto e atterrava in piedi mentre tre uomini sullo sfondo stanno guardando la sua pratica.</v>
      </c>
    </row>
    <row r="33862">
      <c r="A33862" s="4" t="s">
        <v>42611</v>
      </c>
      <c r="B33862" s="4" t="s">
        <v>42613</v>
      </c>
      <c r="C33862" s="5" t="str">
        <f>IFERROR(__xludf.DUMMYFUNCTION("GOOGLETRANSLATE(B33862,""en"",""it"")"),"La donna salta di nuovo, questa volta scatta un po 'più velocemente.")</f>
        <v>La donna salta di nuovo, questa volta scatta un po 'più velocemente.</v>
      </c>
    </row>
    <row r="33863">
      <c r="A33863" s="4" t="s">
        <v>42611</v>
      </c>
      <c r="B33863" s="4" t="s">
        <v>42614</v>
      </c>
      <c r="C33863" s="5" t="str">
        <f>IFERROR(__xludf.DUMMYFUNCTION("GOOGLETRANSLATE(B33863,""en"",""it"")"),"La donna salta di nuovo con una corsa più lunga.")</f>
        <v>La donna salta di nuovo con una corsa più lunga.</v>
      </c>
    </row>
    <row r="33864">
      <c r="A33864" s="4" t="s">
        <v>42611</v>
      </c>
      <c r="B33864" s="4" t="s">
        <v>42615</v>
      </c>
      <c r="C33864" s="5" t="str">
        <f>IFERROR(__xludf.DUMMYFUNCTION("GOOGLETRANSLATE(B33864,""en"",""it"")"),"Un'altra giovane donna sullo sfondo sta facendo jogging.")</f>
        <v>Un'altra giovane donna sullo sfondo sta facendo jogging.</v>
      </c>
    </row>
    <row r="33865">
      <c r="A33865" s="4" t="s">
        <v>42611</v>
      </c>
      <c r="B33865" s="4" t="s">
        <v>42616</v>
      </c>
      <c r="C33865" s="5" t="str">
        <f>IFERROR(__xludf.DUMMYFUNCTION("GOOGLETRANSLATE(B33865,""en"",""it"")"),"La donna salta di nuovo con una corsa ancora più lunga e aggiunge un piccolo salto/hop alla sua corsa iniziale.")</f>
        <v>La donna salta di nuovo con una corsa ancora più lunga e aggiunge un piccolo salto/hop alla sua corsa iniziale.</v>
      </c>
    </row>
    <row r="33866">
      <c r="A33866" s="4" t="s">
        <v>42611</v>
      </c>
      <c r="B33866" s="4" t="s">
        <v>42617</v>
      </c>
      <c r="C33866" s="5" t="str">
        <f>IFERROR(__xludf.DUMMYFUNCTION("GOOGLETRANSLATE(B33866,""en"",""it"")"),"Un uomo sullo sfondo sta facendo jogging sul campo mentre un altro uomo sta e allunga le gambe.")</f>
        <v>Un uomo sullo sfondo sta facendo jogging sul campo mentre un altro uomo sta e allunga le gambe.</v>
      </c>
    </row>
    <row r="33867">
      <c r="A33867" s="4" t="s">
        <v>42611</v>
      </c>
      <c r="B33867" s="4" t="s">
        <v>42618</v>
      </c>
      <c r="C33867" s="5" t="str">
        <f>IFERROR(__xludf.DUMMYFUNCTION("GOOGLETRANSLATE(B33867,""en"",""it"")"),"La donna non cancella perfettamente la barra e cade dai suoi poli.")</f>
        <v>La donna non cancella perfettamente la barra e cade dai suoi poli.</v>
      </c>
    </row>
    <row r="33868">
      <c r="A33868" s="4" t="s">
        <v>42611</v>
      </c>
      <c r="B33868" s="6" t="s">
        <v>42619</v>
      </c>
      <c r="C33868" s="5" t="str">
        <f>IFERROR(__xludf.DUMMYFUNCTION("GOOGLETRANSLATE(B33868,""en"",""it"")"),"La donna salta di nuovo con una corsa ancora più lunga e un salto/hop più potente per iniziare la sua corsa.")</f>
        <v>La donna salta di nuovo con una corsa ancora più lunga e un salto/hop più potente per iniziare la sua corsa.</v>
      </c>
    </row>
    <row r="33869">
      <c r="A33869" s="4" t="s">
        <v>42611</v>
      </c>
      <c r="B33869" s="4" t="s">
        <v>42620</v>
      </c>
      <c r="C33869" s="5" t="str">
        <f>IFERROR(__xludf.DUMMYFUNCTION("GOOGLETRANSLATE(B33869,""en"",""it"")"),"La donna salta di nuovo con la lunga corsa e un salto potente all'inizio.")</f>
        <v>La donna salta di nuovo con la lunga corsa e un salto potente all'inizio.</v>
      </c>
    </row>
    <row r="33870">
      <c r="A33870" s="4" t="s">
        <v>42621</v>
      </c>
      <c r="B33870" s="4" t="s">
        <v>42622</v>
      </c>
      <c r="C33870" s="5" t="str">
        <f>IFERROR(__xludf.DUMMYFUNCTION("GOOGLETRANSLATE(B33870,""en"",""it"")"),"Un paio di persone sono su un campo da tennis al coperto.")</f>
        <v>Un paio di persone sono su un campo da tennis al coperto.</v>
      </c>
    </row>
    <row r="33871">
      <c r="A33871" s="4" t="s">
        <v>42621</v>
      </c>
      <c r="B33871" s="4" t="s">
        <v>42623</v>
      </c>
      <c r="C33871" s="5" t="str">
        <f>IFERROR(__xludf.DUMMYFUNCTION("GOOGLETRANSLATE(B33871,""en"",""it"")"),"Lanciano la palla avanti e indietro, giocando una partita di tennis.")</f>
        <v>Lanciano la palla avanti e indietro, giocando una partita di tennis.</v>
      </c>
    </row>
    <row r="33872">
      <c r="A33872" s="4" t="s">
        <v>42621</v>
      </c>
      <c r="B33872" s="4" t="s">
        <v>42624</v>
      </c>
      <c r="C33872" s="5" t="str">
        <f>IFERROR(__xludf.DUMMYFUNCTION("GOOGLETRANSLATE(B33872,""en"",""it"")"),"Continuano a giocare, cercando di vincere la partita.")</f>
        <v>Continuano a giocare, cercando di vincere la partita.</v>
      </c>
    </row>
    <row r="33873">
      <c r="A33873" s="4" t="s">
        <v>42625</v>
      </c>
      <c r="B33873" s="4" t="s">
        <v>42626</v>
      </c>
      <c r="C33873" s="5" t="str">
        <f>IFERROR(__xludf.DUMMYFUNCTION("GOOGLETRANSLATE(B33873,""en"",""it"")"),"Lo schermo è pieno di bolle e parole bianche, mentre un paio di mani suona il piano.")</f>
        <v>Lo schermo è pieno di bolle e parole bianche, mentre un paio di mani suona il piano.</v>
      </c>
    </row>
    <row r="33874">
      <c r="A33874" s="4" t="s">
        <v>42625</v>
      </c>
      <c r="B33874" s="4" t="s">
        <v>42627</v>
      </c>
      <c r="C33874" s="5" t="str">
        <f>IFERROR(__xludf.DUMMYFUNCTION("GOOGLETRANSLATE(B33874,""en"",""it"")"),"Le bolle e le parole scompaiono ed è solo le mani che si muovono sulla tastiera.")</f>
        <v>Le bolle e le parole scompaiono ed è solo le mani che si muovono sulla tastiera.</v>
      </c>
    </row>
    <row r="33875">
      <c r="A33875" s="4" t="s">
        <v>42625</v>
      </c>
      <c r="B33875" s="4" t="s">
        <v>42628</v>
      </c>
      <c r="C33875" s="5" t="str">
        <f>IFERROR(__xludf.DUMMYFUNCTION("GOOGLETRANSLATE(B33875,""en"",""it"")"),"Le mani scompaiono ed è solo la tastiera.")</f>
        <v>Le mani scompaiono ed è solo la tastiera.</v>
      </c>
    </row>
    <row r="33876">
      <c r="A33876" s="4" t="s">
        <v>42625</v>
      </c>
      <c r="B33876" s="4" t="s">
        <v>34352</v>
      </c>
      <c r="C33876" s="5" t="str">
        <f>IFERROR(__xludf.DUMMYFUNCTION("GOOGLETRANSLATE(B33876,""en"",""it"")"),"Lo schermo si attenua al nero.")</f>
        <v>Lo schermo si attenua al nero.</v>
      </c>
    </row>
    <row r="33877">
      <c r="A33877" s="4" t="s">
        <v>42629</v>
      </c>
      <c r="B33877" s="4" t="s">
        <v>42630</v>
      </c>
      <c r="C33877" s="5" t="str">
        <f>IFERROR(__xludf.DUMMYFUNCTION("GOOGLETRANSLATE(B33877,""en"",""it"")"),"Un uomo appare davanti a diversi obiettivi su una parete posteriore.")</f>
        <v>Un uomo appare davanti a diversi obiettivi su una parete posteriore.</v>
      </c>
    </row>
    <row r="33878">
      <c r="A33878" s="4" t="s">
        <v>42629</v>
      </c>
      <c r="B33878" s="4" t="s">
        <v>42631</v>
      </c>
      <c r="C33878" s="5" t="str">
        <f>IFERROR(__xludf.DUMMYFUNCTION("GOOGLETRANSLATE(B33878,""en"",""it"")"),"Parla delle basi del tiro con l'arco.")</f>
        <v>Parla delle basi del tiro con l'arco.</v>
      </c>
    </row>
    <row r="33879">
      <c r="A33879" s="4" t="s">
        <v>42629</v>
      </c>
      <c r="B33879" s="4" t="s">
        <v>42632</v>
      </c>
      <c r="C33879" s="5" t="str">
        <f>IFERROR(__xludf.DUMMYFUNCTION("GOOGLETRANSLATE(B33879,""en"",""it"")"),"Una donna è mostrata con un set di tiro con l'arco.")</f>
        <v>Una donna è mostrata con un set di tiro con l'arco.</v>
      </c>
    </row>
    <row r="33880">
      <c r="A33880" s="4" t="s">
        <v>42629</v>
      </c>
      <c r="B33880" s="4" t="s">
        <v>42633</v>
      </c>
      <c r="C33880" s="5" t="str">
        <f>IFERROR(__xludf.DUMMYFUNCTION("GOOGLETRANSLATE(B33880,""en"",""it"")"),"Tira indietro la freccia, poi spara al suo bersaglio mentre parla.")</f>
        <v>Tira indietro la freccia, poi spara al suo bersaglio mentre parla.</v>
      </c>
    </row>
    <row r="33881">
      <c r="A33881" s="4" t="s">
        <v>42634</v>
      </c>
      <c r="B33881" s="4" t="s">
        <v>42635</v>
      </c>
      <c r="C33881" s="5" t="str">
        <f>IFERROR(__xludf.DUMMYFUNCTION("GOOGLETRANSLATE(B33881,""en"",""it"")"),"Vengono mostrati un mucchio di fiori colorati, comprese le loro etichette di identificazione.")</f>
        <v>Vengono mostrati un mucchio di fiori colorati, comprese le loro etichette di identificazione.</v>
      </c>
    </row>
    <row r="33882">
      <c r="A33882" s="4" t="s">
        <v>42634</v>
      </c>
      <c r="B33882" s="4" t="s">
        <v>42636</v>
      </c>
      <c r="C33882" s="5" t="str">
        <f>IFERROR(__xludf.DUMMYFUNCTION("GOOGLETRANSLATE(B33882,""en"",""it"")"),"Un uomo mostra api e razze diverse, incluso un albero.")</f>
        <v>Un uomo mostra api e razze diverse, incluso un albero.</v>
      </c>
    </row>
    <row r="33883">
      <c r="A33883" s="4" t="s">
        <v>42634</v>
      </c>
      <c r="B33883" s="4" t="s">
        <v>42637</v>
      </c>
      <c r="C33883" s="5" t="str">
        <f>IFERROR(__xludf.DUMMYFUNCTION("GOOGLETRANSLATE(B33883,""en"",""it"")"),"Ci insegna come pacciamare un albero correttamente.")</f>
        <v>Ci insegna come pacciamare un albero correttamente.</v>
      </c>
    </row>
    <row r="33884">
      <c r="A33884" s="4" t="s">
        <v>42638</v>
      </c>
      <c r="B33884" s="4" t="s">
        <v>42639</v>
      </c>
      <c r="C33884" s="5" t="str">
        <f>IFERROR(__xludf.DUMMYFUNCTION("GOOGLETRANSLATE(B33884,""en"",""it"")"),"Viene mostrata una bottiglia chiara di detergente e una persona inizia a pulire una tazza con un panno.")</f>
        <v>Viene mostrata una bottiglia chiara di detergente e una persona inizia a pulire una tazza con un panno.</v>
      </c>
    </row>
    <row r="33885">
      <c r="A33885" s="4" t="s">
        <v>42638</v>
      </c>
      <c r="B33885" s="6" t="s">
        <v>42640</v>
      </c>
      <c r="C33885" s="5" t="str">
        <f>IFERROR(__xludf.DUMMYFUNCTION("GOOGLETRANSLATE(B33885,""en"",""it"")"),"La persona si mostra a mettere il guanto e torna a lavarsi la tazza prima di mostrare finalmente il suo libro sul prodotto.")</f>
        <v>La persona si mostra a mettere il guanto e torna a lavarsi la tazza prima di mostrare finalmente il suo libro sul prodotto.</v>
      </c>
    </row>
    <row r="33886">
      <c r="A33886" s="4" t="s">
        <v>42641</v>
      </c>
      <c r="B33886" s="6" t="s">
        <v>42642</v>
      </c>
      <c r="C33886" s="5" t="str">
        <f>IFERROR(__xludf.DUMMYFUNCTION("GOOGLETRANSLATE(B33886,""en"",""it"")"),"Una rivista sui sassofoni è mostrata poco prima che venga mostrata una coppia di mani suonando un sassofono.")</f>
        <v>Una rivista sui sassofoni è mostrata poco prima che venga mostrata una coppia di mani suonando un sassofono.</v>
      </c>
    </row>
    <row r="33887">
      <c r="A33887" s="4" t="s">
        <v>42641</v>
      </c>
      <c r="B33887" s="4" t="s">
        <v>42643</v>
      </c>
      <c r="C33887" s="5" t="str">
        <f>IFERROR(__xludf.DUMMYFUNCTION("GOOGLETRANSLATE(B33887,""en"",""it"")"),"Cominciano ad apparire più schermi, mostrando le mani che suonano varie note sullo schermo.")</f>
        <v>Cominciano ad apparire più schermi, mostrando le mani che suonano varie note sullo schermo.</v>
      </c>
    </row>
    <row r="33888">
      <c r="A33888" s="4" t="s">
        <v>42641</v>
      </c>
      <c r="B33888" s="4" t="s">
        <v>42644</v>
      </c>
      <c r="C33888" s="5" t="str">
        <f>IFERROR(__xludf.DUMMYFUNCTION("GOOGLETRANSLATE(B33888,""en"",""it"")"),"Lo schermo torna all'indietro fino alla fine del video.")</f>
        <v>Lo schermo torna all'indietro fino alla fine del video.</v>
      </c>
    </row>
    <row r="33889">
      <c r="A33889" s="4" t="s">
        <v>42645</v>
      </c>
      <c r="B33889" s="4" t="s">
        <v>42646</v>
      </c>
      <c r="C33889" s="5" t="str">
        <f>IFERROR(__xludf.DUMMYFUNCTION("GOOGLETRANSLATE(B33889,""en"",""it"")"),"Gli schermi del titolo vengono visualizzati nel video.")</f>
        <v>Gli schermi del titolo vengono visualizzati nel video.</v>
      </c>
    </row>
    <row r="33890">
      <c r="A33890" s="4" t="s">
        <v>42645</v>
      </c>
      <c r="B33890" s="4" t="s">
        <v>42647</v>
      </c>
      <c r="C33890" s="5" t="str">
        <f>IFERROR(__xludf.DUMMYFUNCTION("GOOGLETRANSLATE(B33890,""en"",""it"")"),"Una donna tiene in mano un panno in cucina.")</f>
        <v>Una donna tiene in mano un panno in cucina.</v>
      </c>
    </row>
    <row r="33891">
      <c r="A33891" s="4" t="s">
        <v>42645</v>
      </c>
      <c r="B33891" s="4" t="s">
        <v>42648</v>
      </c>
      <c r="C33891" s="5" t="str">
        <f>IFERROR(__xludf.DUMMYFUNCTION("GOOGLETRANSLATE(B33891,""en"",""it"")"),"La donna inizia l'acqua corrente in una vasca da bagno e un lavandino.")</f>
        <v>La donna inizia l'acqua corrente in una vasca da bagno e un lavandino.</v>
      </c>
    </row>
    <row r="33892">
      <c r="A33892" s="4" t="s">
        <v>42645</v>
      </c>
      <c r="B33892" s="4" t="s">
        <v>42649</v>
      </c>
      <c r="C33892" s="5" t="str">
        <f>IFERROR(__xludf.DUMMYFUNCTION("GOOGLETRANSLATE(B33892,""en"",""it"")"),"La donna lava un panno nel lavandino.")</f>
        <v>La donna lava un panno nel lavandino.</v>
      </c>
    </row>
    <row r="33893">
      <c r="A33893" s="4" t="s">
        <v>42645</v>
      </c>
      <c r="B33893" s="4" t="s">
        <v>42650</v>
      </c>
      <c r="C33893" s="5" t="str">
        <f>IFERROR(__xludf.DUMMYFUNCTION("GOOGLETRANSLATE(B33893,""en"",""it"")"),"La donna posa il panno bagnato su uno asciutto e lo asciuga.")</f>
        <v>La donna posa il panno bagnato su uno asciutto e lo asciuga.</v>
      </c>
    </row>
    <row r="33894">
      <c r="A33894" s="4" t="s">
        <v>42645</v>
      </c>
      <c r="B33894" s="4" t="s">
        <v>42651</v>
      </c>
      <c r="C33894" s="5" t="str">
        <f>IFERROR(__xludf.DUMMYFUNCTION("GOOGLETRANSLATE(B33894,""en"",""it"")"),"La donna mette la coppia di pantaloni su una tavola da stiro.")</f>
        <v>La donna mette la coppia di pantaloni su una tavola da stiro.</v>
      </c>
    </row>
    <row r="33895">
      <c r="A33895" s="4" t="s">
        <v>42645</v>
      </c>
      <c r="B33895" s="4" t="s">
        <v>42652</v>
      </c>
      <c r="C33895" s="5" t="str">
        <f>IFERROR(__xludf.DUMMYFUNCTION("GOOGLETRANSLATE(B33895,""en"",""it"")"),"I crediti finali appaiono.")</f>
        <v>I crediti finali appaiono.</v>
      </c>
    </row>
    <row r="33896">
      <c r="A33896" s="4" t="s">
        <v>42653</v>
      </c>
      <c r="B33896" s="6" t="s">
        <v>42654</v>
      </c>
      <c r="C33896" s="5" t="str">
        <f>IFERROR(__xludf.DUMMYFUNCTION("GOOGLETRANSLATE(B33896,""en"",""it"")"),"Una ginnasta è vista in piedi pronta con le braccia che porta a correre giù e facendo scendere una pista in una fossa.")</f>
        <v>Una ginnasta è vista in piedi pronta con le braccia che porta a correre giù e facendo scendere una pista in una fossa.</v>
      </c>
    </row>
    <row r="33897">
      <c r="A33897" s="4" t="s">
        <v>42653</v>
      </c>
      <c r="B33897" s="4" t="s">
        <v>42655</v>
      </c>
      <c r="C33897" s="5" t="str">
        <f>IFERROR(__xludf.DUMMYFUNCTION("GOOGLETRANSLATE(B33897,""en"",""it"")"),"Alza le braccia per finire e i suoi salti vengono mostrati più volte al rallentatore.")</f>
        <v>Alza le braccia per finire e i suoi salti vengono mostrati più volte al rallentatore.</v>
      </c>
    </row>
    <row r="33898">
      <c r="A33898" s="4" t="s">
        <v>42656</v>
      </c>
      <c r="B33898" s="6" t="s">
        <v>42657</v>
      </c>
      <c r="C33898" s="5" t="str">
        <f>IFERROR(__xludf.DUMMYFUNCTION("GOOGLETRANSLATE(B33898,""en"",""it"")"),"Diverse clip sono mostrate da molte persone in piedi su una tavola da surf e si spingono lungo l'acqua con una pagaia.")</f>
        <v>Diverse clip sono mostrate da molte persone in piedi su una tavola da surf e si spingono lungo l'acqua con una pagaia.</v>
      </c>
    </row>
    <row r="33899">
      <c r="A33899" s="4" t="s">
        <v>42656</v>
      </c>
      <c r="B33899" s="4" t="s">
        <v>42658</v>
      </c>
      <c r="C33899" s="5" t="str">
        <f>IFERROR(__xludf.DUMMYFUNCTION("GOOGLETRANSLATE(B33899,""en"",""it"")"),"Le persone continuano a remare intorno all'acqua mentre molte persone sono viste sedute.")</f>
        <v>Le persone continuano a remare intorno all'acqua mentre molte persone sono viste sedute.</v>
      </c>
    </row>
    <row r="33900">
      <c r="A33900" s="4" t="s">
        <v>42659</v>
      </c>
      <c r="B33900" s="4" t="s">
        <v>42660</v>
      </c>
      <c r="C33900" s="5" t="str">
        <f>IFERROR(__xludf.DUMMYFUNCTION("GOOGLETRANSLATE(B33900,""en"",""it"")"),"Vediamo una persona che cavalca un ascensore da sci.")</f>
        <v>Vediamo una persona che cavalca un ascensore da sci.</v>
      </c>
    </row>
    <row r="33901">
      <c r="A33901" s="4" t="s">
        <v>42659</v>
      </c>
      <c r="B33901" s="4" t="s">
        <v>42661</v>
      </c>
      <c r="C33901" s="5" t="str">
        <f>IFERROR(__xludf.DUMMYFUNCTION("GOOGLETRANSLATE(B33901,""en"",""it"")"),"La persona solleva la barra sulla sedia.")</f>
        <v>La persona solleva la barra sulla sedia.</v>
      </c>
    </row>
    <row r="33902">
      <c r="A33902" s="4" t="s">
        <v>42659</v>
      </c>
      <c r="B33902" s="4" t="s">
        <v>42662</v>
      </c>
      <c r="C33902" s="5" t="str">
        <f>IFERROR(__xludf.DUMMYFUNCTION("GOOGLETRANSLATE(B33902,""en"",""it"")"),"La persona salta fuori dall'ascensore e sul pendio.")</f>
        <v>La persona salta fuori dall'ascensore e sul pendio.</v>
      </c>
    </row>
    <row r="33903">
      <c r="A33903" s="4" t="s">
        <v>42659</v>
      </c>
      <c r="B33903" s="4" t="s">
        <v>42663</v>
      </c>
      <c r="C33903" s="5" t="str">
        <f>IFERROR(__xludf.DUMMYFUNCTION("GOOGLETRANSLATE(B33903,""en"",""it"")"),"La persona indossa i loro pali da sci.")</f>
        <v>La persona indossa i loro pali da sci.</v>
      </c>
    </row>
    <row r="33904">
      <c r="A33904" s="4" t="s">
        <v>42659</v>
      </c>
      <c r="B33904" s="4" t="s">
        <v>42664</v>
      </c>
      <c r="C33904" s="5" t="str">
        <f>IFERROR(__xludf.DUMMYFUNCTION("GOOGLETRANSLATE(B33904,""en"",""it"")"),"La persona sci giù rapidamente sul pendio dello sci.")</f>
        <v>La persona sci giù rapidamente sul pendio dello sci.</v>
      </c>
    </row>
    <row r="33905">
      <c r="A33905" s="4" t="s">
        <v>42659</v>
      </c>
      <c r="B33905" s="4" t="s">
        <v>42665</v>
      </c>
      <c r="C33905" s="5" t="str">
        <f>IFERROR(__xludf.DUMMYFUNCTION("GOOGLETRANSLATE(B33905,""en"",""it"")"),"La persona raggiunge il fondo del pendio e alza lo sguardo.")</f>
        <v>La persona raggiunge il fondo del pendio e alza lo sguardo.</v>
      </c>
    </row>
    <row r="33906">
      <c r="A33906" s="4" t="s">
        <v>42659</v>
      </c>
      <c r="B33906" s="4" t="s">
        <v>42666</v>
      </c>
      <c r="C33906" s="5" t="str">
        <f>IFERROR(__xludf.DUMMYFUNCTION("GOOGLETRANSLATE(B33906,""en"",""it"")"),"320 La mano della persona arriva sullo schermo per spegnere la fotocamera.")</f>
        <v>320 La mano della persona arriva sullo schermo per spegnere la fotocamera.</v>
      </c>
    </row>
    <row r="33907">
      <c r="A33907" s="4" t="s">
        <v>42667</v>
      </c>
      <c r="B33907" s="4" t="s">
        <v>42668</v>
      </c>
      <c r="C33907" s="5" t="str">
        <f>IFERROR(__xludf.DUMMYFUNCTION("GOOGLETRANSLATE(B33907,""en"",""it"")"),"Un uomo è in piedi su uno skateboard.")</f>
        <v>Un uomo è in piedi su uno skateboard.</v>
      </c>
    </row>
    <row r="33908">
      <c r="A33908" s="4" t="s">
        <v>42667</v>
      </c>
      <c r="B33908" s="4" t="s">
        <v>42669</v>
      </c>
      <c r="C33908" s="5" t="str">
        <f>IFERROR(__xludf.DUMMYFUNCTION("GOOGLETRANSLATE(B33908,""en"",""it"")"),"Raccoglie lo skateboard e lo tiene in mano.")</f>
        <v>Raccoglie lo skateboard e lo tiene in mano.</v>
      </c>
    </row>
    <row r="33909">
      <c r="A33909" s="4" t="s">
        <v>42667</v>
      </c>
      <c r="B33909" s="4" t="s">
        <v>42670</v>
      </c>
      <c r="C33909" s="5" t="str">
        <f>IFERROR(__xludf.DUMMYFUNCTION("GOOGLETRANSLATE(B33909,""en"",""it"")"),"Mette indietro lo skateboard e continua lo skateboard.")</f>
        <v>Mette indietro lo skateboard e continua lo skateboard.</v>
      </c>
    </row>
    <row r="33910">
      <c r="A33910" s="4" t="s">
        <v>42671</v>
      </c>
      <c r="B33910" s="4" t="s">
        <v>42672</v>
      </c>
      <c r="C33910" s="5" t="str">
        <f>IFERROR(__xludf.DUMMYFUNCTION("GOOGLETRANSLATE(B33910,""en"",""it"")"),"Le persone si tuffano nell'acqua che indossano un tuta da immersione, piccoli e grandi pesci nuotano vicino ai subacquei.")</f>
        <v>Le persone si tuffano nell'acqua che indossano un tuta da immersione, piccoli e grandi pesci nuotano vicino ai subacquei.</v>
      </c>
    </row>
    <row r="33911">
      <c r="A33911" s="4" t="s">
        <v>42671</v>
      </c>
      <c r="B33911" s="4" t="s">
        <v>42673</v>
      </c>
      <c r="C33911" s="5" t="str">
        <f>IFERROR(__xludf.DUMMYFUNCTION("GOOGLETRANSLATE(B33911,""en"",""it"")"),"Il subacqueo si inginocchia sul pavimento del mare agitando le mani.")</f>
        <v>Il subacqueo si inginocchia sul pavimento del mare agitando le mani.</v>
      </c>
    </row>
    <row r="33912">
      <c r="A33912" s="4" t="s">
        <v>42671</v>
      </c>
      <c r="B33912" s="4" t="s">
        <v>42674</v>
      </c>
      <c r="C33912" s="5" t="str">
        <f>IFERROR(__xludf.DUMMYFUNCTION("GOOGLETRANSLATE(B33912,""en"",""it"")"),"Pesce manta e un grosso pesce nuotano in acqua.")</f>
        <v>Pesce manta e un grosso pesce nuotano in acqua.</v>
      </c>
    </row>
    <row r="33913">
      <c r="A33913" s="4" t="s">
        <v>42671</v>
      </c>
      <c r="B33913" s="4" t="s">
        <v>42675</v>
      </c>
      <c r="C33913" s="5" t="str">
        <f>IFERROR(__xludf.DUMMYFUNCTION("GOOGLETRANSLATE(B33913,""en"",""it"")"),"I subacquei si alzano e continuano a nuotare nell'acqua.")</f>
        <v>I subacquei si alzano e continuano a nuotare nell'acqua.</v>
      </c>
    </row>
    <row r="33914">
      <c r="A33914" s="4" t="s">
        <v>42676</v>
      </c>
      <c r="B33914" s="4" t="s">
        <v>42677</v>
      </c>
      <c r="C33914" s="5" t="str">
        <f>IFERROR(__xludf.DUMMYFUNCTION("GOOGLETRANSLATE(B33914,""en"",""it"")"),"Gli uomini tengono snowslides da un deposito.")</f>
        <v>Gli uomini tengono snowslides da un deposito.</v>
      </c>
    </row>
    <row r="33915">
      <c r="A33915" s="4" t="s">
        <v>42676</v>
      </c>
      <c r="B33915" s="4" t="s">
        <v>42678</v>
      </c>
      <c r="C33915" s="5" t="str">
        <f>IFERROR(__xludf.DUMMYFUNCTION("GOOGLETRANSLATE(B33915,""en"",""it"")"),"La vecchia è seduta su snowslide e sta andando giù per un pendio innevato.")</f>
        <v>La vecchia è seduta su snowslide e sta andando giù per un pendio innevato.</v>
      </c>
    </row>
    <row r="33916">
      <c r="A33916" s="4" t="s">
        <v>42676</v>
      </c>
      <c r="B33916" s="4" t="s">
        <v>42679</v>
      </c>
      <c r="C33916" s="5" t="str">
        <f>IFERROR(__xludf.DUMMYFUNCTION("GOOGLETRANSLATE(B33916,""en"",""it"")"),"La vecchia è in snowslide scendendo in pista da neve.")</f>
        <v>La vecchia è in snowslide scendendo in pista da neve.</v>
      </c>
    </row>
    <row r="33917">
      <c r="A33917" s="4" t="s">
        <v>42676</v>
      </c>
      <c r="B33917" s="4" t="s">
        <v>42680</v>
      </c>
      <c r="C33917" s="5" t="str">
        <f>IFERROR(__xludf.DUMMYFUNCTION("GOOGLETRANSLATE(B33917,""en"",""it"")"),"Un uomo e una donna stanno afferrando la vecchia signora dalla parte posteriore in una scivolata.")</f>
        <v>Un uomo e una donna stanno afferrando la vecchia signora dalla parte posteriore in una scivolata.</v>
      </c>
    </row>
    <row r="33918">
      <c r="A33918" s="4" t="s">
        <v>42676</v>
      </c>
      <c r="B33918" s="4" t="s">
        <v>42681</v>
      </c>
      <c r="C33918" s="5" t="str">
        <f>IFERROR(__xludf.DUMMYFUNCTION("GOOGLETRANSLATE(B33918,""en"",""it"")"),"Diverse persone stanno scendendo in pendenza con snowslides con una corda.")</f>
        <v>Diverse persone stanno scendendo in pendenza con snowslides con una corda.</v>
      </c>
    </row>
    <row r="33919">
      <c r="A33919" s="4" t="s">
        <v>42676</v>
      </c>
      <c r="B33919" s="4" t="s">
        <v>42682</v>
      </c>
      <c r="C33919" s="5" t="str">
        <f>IFERROR(__xludf.DUMMYFUNCTION("GOOGLETRANSLATE(B33919,""en"",""it"")"),"Le donne anziane sono sedute sulla panchina di Woodn a parlare con la telecamera.")</f>
        <v>Le donne anziane sono sedute sulla panchina di Woodn a parlare con la telecamera.</v>
      </c>
    </row>
    <row r="33920">
      <c r="A33920" s="4" t="s">
        <v>42676</v>
      </c>
      <c r="B33920" s="4" t="s">
        <v>42683</v>
      </c>
      <c r="C33920" s="5" t="str">
        <f>IFERROR(__xludf.DUMMYFUNCTION("GOOGLETRANSLATE(B33920,""en"",""it"")"),"Gli anziani sono seduti e in piedi davanti a una macchina fotografica in posa per una foto.")</f>
        <v>Gli anziani sono seduti e in piedi davanti a una macchina fotografica in posa per una foto.</v>
      </c>
    </row>
    <row r="33921">
      <c r="A33921" s="4" t="s">
        <v>42684</v>
      </c>
      <c r="B33921" s="4" t="s">
        <v>42685</v>
      </c>
      <c r="C33921" s="5" t="str">
        <f>IFERROR(__xludf.DUMMYFUNCTION("GOOGLETRANSLATE(B33921,""en"",""it"")"),"Il testo appare sullo schermo con un collegamento.")</f>
        <v>Il testo appare sullo schermo con un collegamento.</v>
      </c>
    </row>
    <row r="33922">
      <c r="A33922" s="4" t="s">
        <v>42684</v>
      </c>
      <c r="B33922" s="4" t="s">
        <v>42686</v>
      </c>
      <c r="C33922" s="5" t="str">
        <f>IFERROR(__xludf.DUMMYFUNCTION("GOOGLETRANSLATE(B33922,""en"",""it"")"),"Le persone in uniforme marciano per la strada.")</f>
        <v>Le persone in uniforme marciano per la strada.</v>
      </c>
    </row>
    <row r="33923">
      <c r="A33923" s="4" t="s">
        <v>42684</v>
      </c>
      <c r="B33923" s="4" t="s">
        <v>42687</v>
      </c>
      <c r="C33923" s="5" t="str">
        <f>IFERROR(__xludf.DUMMYFUNCTION("GOOGLETRANSLATE(B33923,""en"",""it"")"),"Si taglia alla folla guardando.")</f>
        <v>Si taglia alla folla guardando.</v>
      </c>
    </row>
    <row r="33924">
      <c r="A33924" s="4" t="s">
        <v>42684</v>
      </c>
      <c r="B33924" s="4" t="s">
        <v>42688</v>
      </c>
      <c r="C33924" s="5" t="str">
        <f>IFERROR(__xludf.DUMMYFUNCTION("GOOGLETRANSLATE(B33924,""en"",""it"")"),"Una band Marchign inizia a camminare per strada.")</f>
        <v>Una band Marchign inizia a camminare per strada.</v>
      </c>
    </row>
    <row r="33925">
      <c r="A33925" s="4" t="s">
        <v>42684</v>
      </c>
      <c r="B33925" s="4" t="s">
        <v>42689</v>
      </c>
      <c r="C33925" s="5" t="str">
        <f>IFERROR(__xludf.DUMMYFUNCTION("GOOGLETRANSLATE(B33925,""en"",""it"")"),"Un'altra serie di persone in uniforme camminano per strada.")</f>
        <v>Un'altra serie di persone in uniforme camminano per strada.</v>
      </c>
    </row>
    <row r="33926">
      <c r="A33926" s="4" t="s">
        <v>42684</v>
      </c>
      <c r="B33926" s="4" t="s">
        <v>42690</v>
      </c>
      <c r="C33926" s="5" t="str">
        <f>IFERROR(__xludf.DUMMYFUNCTION("GOOGLETRANSLATE(B33926,""en"",""it"")"),"Si fermano e salutano la folla.")</f>
        <v>Si fermano e salutano la folla.</v>
      </c>
    </row>
    <row r="33927">
      <c r="A33927" s="4" t="s">
        <v>42684</v>
      </c>
      <c r="B33927" s="4" t="s">
        <v>42691</v>
      </c>
      <c r="C33927" s="5" t="str">
        <f>IFERROR(__xludf.DUMMYFUNCTION("GOOGLETRANSLATE(B33927,""en"",""it"")"),"Torna alla banda musicale.")</f>
        <v>Torna alla banda musicale.</v>
      </c>
    </row>
    <row r="33928">
      <c r="A33928" s="4" t="s">
        <v>42684</v>
      </c>
      <c r="B33928" s="4" t="s">
        <v>42692</v>
      </c>
      <c r="C33928" s="5" t="str">
        <f>IFERROR(__xludf.DUMMYFUNCTION("GOOGLETRANSLATE(B33928,""en"",""it"")"),"Un cavallo e una carrozza camminano lungo la strada seguiti dalla gente in uniforme.")</f>
        <v>Un cavallo e una carrozza camminano lungo la strada seguiti dalla gente in uniforme.</v>
      </c>
    </row>
    <row r="33929">
      <c r="A33929" s="4" t="s">
        <v>42684</v>
      </c>
      <c r="B33929" s="4" t="s">
        <v>42693</v>
      </c>
      <c r="C33929" s="5" t="str">
        <f>IFERROR(__xludf.DUMMYFUNCTION("GOOGLETRANSLATE(B33929,""en"",""it"")"),"Due donne Wave bandiere intorno.")</f>
        <v>Due donne Wave bandiere intorno.</v>
      </c>
    </row>
    <row r="33930">
      <c r="A33930" s="4" t="s">
        <v>42684</v>
      </c>
      <c r="B33930" s="4" t="s">
        <v>42694</v>
      </c>
      <c r="C33930" s="5" t="str">
        <f>IFERROR(__xludf.DUMMYFUNCTION("GOOGLETRANSLATE(B33930,""en"",""it"")"),"Il resto della gente continua a marciare in fondo alla strada.")</f>
        <v>Il resto della gente continua a marciare in fondo alla strada.</v>
      </c>
    </row>
    <row r="33931">
      <c r="A33931" s="4" t="s">
        <v>42695</v>
      </c>
      <c r="B33931" s="4" t="s">
        <v>42696</v>
      </c>
      <c r="C33931" s="5" t="str">
        <f>IFERROR(__xludf.DUMMYFUNCTION("GOOGLETRANSLATE(B33931,""en"",""it"")"),"Una ragazza sta attraversando le barre delle scimmie in un parco giochi.")</f>
        <v>Una ragazza sta attraversando le barre delle scimmie in un parco giochi.</v>
      </c>
    </row>
    <row r="33932">
      <c r="A33932" s="4" t="s">
        <v>42695</v>
      </c>
      <c r="B33932" s="4" t="s">
        <v>42697</v>
      </c>
      <c r="C33932" s="5" t="str">
        <f>IFERROR(__xludf.DUMMYFUNCTION("GOOGLETRANSLATE(B33932,""en"",""it"")"),"Arriva alla fine e salta a terra.")</f>
        <v>Arriva alla fine e salta a terra.</v>
      </c>
    </row>
    <row r="33933">
      <c r="A33933" s="4" t="s">
        <v>42695</v>
      </c>
      <c r="B33933" s="4" t="s">
        <v>42698</v>
      </c>
      <c r="C33933" s="5" t="str">
        <f>IFERROR(__xludf.DUMMYFUNCTION("GOOGLETRANSLATE(B33933,""en"",""it"")"),"Solleva le mani in aria.")</f>
        <v>Solleva le mani in aria.</v>
      </c>
    </row>
    <row r="33934">
      <c r="A33934" s="4" t="s">
        <v>42699</v>
      </c>
      <c r="B33934" s="4" t="s">
        <v>42700</v>
      </c>
      <c r="C33934" s="5" t="str">
        <f>IFERROR(__xludf.DUMMYFUNCTION("GOOGLETRANSLATE(B33934,""en"",""it"")"),"Alcune donne sono su una barca che tenta di capire come giocare a shuffleboard.")</f>
        <v>Alcune donne sono su una barca che tenta di capire come giocare a shuffleboard.</v>
      </c>
    </row>
    <row r="33935">
      <c r="A33935" s="4" t="s">
        <v>42699</v>
      </c>
      <c r="B33935" s="4" t="s">
        <v>42701</v>
      </c>
      <c r="C33935" s="5" t="str">
        <f>IFERROR(__xludf.DUMMYFUNCTION("GOOGLETRANSLATE(B33935,""en"",""it"")"),"La ragazza fa uno shuffleboard e le ragazze iniziano tutte a festeggiare.")</f>
        <v>La ragazza fa uno shuffleboard e le ragazze iniziano tutte a festeggiare.</v>
      </c>
    </row>
    <row r="33936">
      <c r="A33936" s="4" t="s">
        <v>42699</v>
      </c>
      <c r="B33936" s="4" t="s">
        <v>42702</v>
      </c>
      <c r="C33936" s="5" t="str">
        <f>IFERROR(__xludf.DUMMYFUNCTION("GOOGLETRANSLATE(B33936,""en"",""it"")"),"Continua a tentare di fare dei colpi e agire sciocchi.")</f>
        <v>Continua a tentare di fare dei colpi e agire sciocchi.</v>
      </c>
    </row>
    <row r="33937">
      <c r="A33937" s="4" t="s">
        <v>42699</v>
      </c>
      <c r="B33937" s="4" t="s">
        <v>42703</v>
      </c>
      <c r="C33937" s="5" t="str">
        <f>IFERROR(__xludf.DUMMYFUNCTION("GOOGLETRANSLATE(B33937,""en"",""it"")"),"Mette giù la levetta di shuffleboard e il video termina.")</f>
        <v>Mette giù la levetta di shuffleboard e il video termina.</v>
      </c>
    </row>
    <row r="33938">
      <c r="A33938" s="4" t="s">
        <v>42704</v>
      </c>
      <c r="B33938" s="6" t="s">
        <v>42705</v>
      </c>
      <c r="C33938" s="5" t="str">
        <f>IFERROR(__xludf.DUMMYFUNCTION("GOOGLETRANSLATE(B33938,""en"",""it"")"),"I video di diversi uomini che lanciano il disco sono mostrati a loro volta, con gli uomini osservati da pubblico e giudici, e i tiri sono stati riprodotti al rallentatore dopo.")</f>
        <v>I video di diversi uomini che lanciano il disco sono mostrati a loro volta, con gli uomini osservati da pubblico e giudici, e i tiri sono stati riprodotti al rallentatore dopo.</v>
      </c>
    </row>
    <row r="33939">
      <c r="A33939" s="4" t="s">
        <v>42704</v>
      </c>
      <c r="B33939" s="4" t="s">
        <v>42706</v>
      </c>
      <c r="C33939" s="5" t="str">
        <f>IFERROR(__xludf.DUMMYFUNCTION("GOOGLETRANSLATE(B33939,""en"",""it"")"),"I giudici sono mostrati che valutano la distanza di uno dei tiri.")</f>
        <v>I giudici sono mostrati che valutano la distanza di uno dei tiri.</v>
      </c>
    </row>
    <row r="33940">
      <c r="A33940" s="4" t="s">
        <v>42704</v>
      </c>
      <c r="B33940" s="4" t="s">
        <v>42707</v>
      </c>
      <c r="C33940" s="5" t="str">
        <f>IFERROR(__xludf.DUMMYFUNCTION("GOOGLETRANSLATE(B33940,""en"",""it"")"),"I giudici vengono nuovamente mostrati alla valutazione della distanza di uno dei tiri.")</f>
        <v>I giudici vengono nuovamente mostrati alla valutazione della distanza di uno dei tiri.</v>
      </c>
    </row>
    <row r="33941">
      <c r="A33941" s="4" t="s">
        <v>42708</v>
      </c>
      <c r="B33941" s="4" t="s">
        <v>42709</v>
      </c>
      <c r="C33941" s="5" t="str">
        <f>IFERROR(__xludf.DUMMYFUNCTION("GOOGLETRANSLATE(B33941,""en"",""it"")"),"Un uomo che indossa una camicia nera si trova in un soggiorno con una fisarmonica rossa e nera.")</f>
        <v>Un uomo che indossa una camicia nera si trova in un soggiorno con una fisarmonica rossa e nera.</v>
      </c>
    </row>
    <row r="33942">
      <c r="A33942" s="4" t="s">
        <v>42708</v>
      </c>
      <c r="B33942" s="6" t="s">
        <v>42710</v>
      </c>
      <c r="C33942" s="5" t="str">
        <f>IFERROR(__xludf.DUMMYFUNCTION("GOOGLETRANSLATE(B33942,""en"",""it"")"),"Il musicista seduto su una sedia con una fisarmonica nera e si prepara a dimostrare come suonare una fisarmonica.")</f>
        <v>Il musicista seduto su una sedia con una fisarmonica nera e si prepara a dimostrare come suonare una fisarmonica.</v>
      </c>
    </row>
    <row r="33943">
      <c r="A33943" s="4" t="s">
        <v>42708</v>
      </c>
      <c r="B33943" s="4" t="s">
        <v>42711</v>
      </c>
      <c r="C33943" s="5" t="str">
        <f>IFERROR(__xludf.DUMMYFUNCTION("GOOGLETRANSLATE(B33943,""en"",""it"")"),"L'uomo dimostra quindi di suonare un accordo usando una fisarmonica marrone.")</f>
        <v>L'uomo dimostra quindi di suonare un accordo usando una fisarmonica marrone.</v>
      </c>
    </row>
    <row r="33944">
      <c r="A33944" s="4" t="s">
        <v>42712</v>
      </c>
      <c r="B33944" s="4" t="s">
        <v>42713</v>
      </c>
      <c r="C33944" s="5" t="str">
        <f>IFERROR(__xludf.DUMMYFUNCTION("GOOGLETRANSLATE(B33944,""en"",""it"")"),"Viene visto un aquilone volare in aria con una persona che cavalca dietro l'aquilone sulla sabbia.")</f>
        <v>Viene visto un aquilone volare in aria con una persona che cavalca dietro l'aquilone sulla sabbia.</v>
      </c>
    </row>
    <row r="33945">
      <c r="A33945" s="4" t="s">
        <v>42712</v>
      </c>
      <c r="B33945" s="6" t="s">
        <v>42714</v>
      </c>
      <c r="C33945" s="5" t="str">
        <f>IFERROR(__xludf.DUMMYFUNCTION("GOOGLETRANSLATE(B33945,""en"",""it"")"),"La telecamera continua a stroncare intorno alla spiaggia catturando la persona che fa volare un aquilone e lui che cavalca e lo tiene.")</f>
        <v>La telecamera continua a stroncare intorno alla spiaggia catturando la persona che fa volare un aquilone e lui che cavalca e lo tiene.</v>
      </c>
    </row>
    <row r="33946">
      <c r="A33946" s="4" t="s">
        <v>42715</v>
      </c>
      <c r="B33946" s="6" t="s">
        <v>42716</v>
      </c>
      <c r="C33946" s="5" t="str">
        <f>IFERROR(__xludf.DUMMYFUNCTION("GOOGLETRANSLATE(B33946,""en"",""it"")"),"Appare una persona con i capelli folli e conduce su di lei su una nave spaziale con gravità essenzialmente spenta.")</f>
        <v>Appare una persona con i capelli folli e conduce su di lei su una nave spaziale con gravità essenzialmente spenta.</v>
      </c>
    </row>
    <row r="33947">
      <c r="A33947" s="4" t="s">
        <v>42715</v>
      </c>
      <c r="B33947" s="4" t="s">
        <v>42717</v>
      </c>
      <c r="C33947" s="5" t="str">
        <f>IFERROR(__xludf.DUMMYFUNCTION("GOOGLETRANSLATE(B33947,""en"",""it"")"),"Mostra i vari oggetti portati su un mestiere spaziale e gli mette una lozione tra i capelli.")</f>
        <v>Mostra i vari oggetti portati su un mestiere spaziale e gli mette una lozione tra i capelli.</v>
      </c>
    </row>
    <row r="33948">
      <c r="A33948" s="4" t="s">
        <v>42715</v>
      </c>
      <c r="B33948" s="4" t="s">
        <v>42718</v>
      </c>
      <c r="C33948" s="5" t="str">
        <f>IFERROR(__xludf.DUMMYFUNCTION("GOOGLETRANSLATE(B33948,""en"",""it"")"),"Abbassa a fondo la lozione e si asciuga dalla testa con un asciugamano.")</f>
        <v>Abbassa a fondo la lozione e si asciuga dalla testa con un asciugamano.</v>
      </c>
    </row>
    <row r="33949">
      <c r="A33949" s="4" t="s">
        <v>42715</v>
      </c>
      <c r="B33949" s="4" t="s">
        <v>42719</v>
      </c>
      <c r="C33949" s="5" t="str">
        <f>IFERROR(__xludf.DUMMYFUNCTION("GOOGLETRANSLATE(B33949,""en"",""it"")"),"Indica la telecamera e si trambuca tra i capelli un'ultima volta.")</f>
        <v>Indica la telecamera e si trambuca tra i capelli un'ultima volta.</v>
      </c>
    </row>
    <row r="33950">
      <c r="A33950" s="4" t="s">
        <v>42720</v>
      </c>
      <c r="B33950" s="6" t="s">
        <v>42721</v>
      </c>
      <c r="C33950" s="5" t="str">
        <f>IFERROR(__xludf.DUMMYFUNCTION("GOOGLETRANSLATE(B33950,""en"",""it"")"),"Quest'uomo è seduto all'aperto per lucidare le scarpe di un altro uomo e nessuno dei loro volti viene mostrato.")</f>
        <v>Quest'uomo è seduto all'aperto per lucidare le scarpe di un altro uomo e nessuno dei loro volti viene mostrato.</v>
      </c>
    </row>
    <row r="33951">
      <c r="A33951" s="4" t="s">
        <v>42720</v>
      </c>
      <c r="B33951" s="4" t="s">
        <v>42722</v>
      </c>
      <c r="C33951" s="5" t="str">
        <f>IFERROR(__xludf.DUMMYFUNCTION("GOOGLETRANSLATE(B33951,""en"",""it"")"),"L'uomo è seduto a terra e sta usando un asciugamano marrone per lucidare le scarpe dell'uomo.")</f>
        <v>L'uomo è seduto a terra e sta usando un asciugamano marrone per lucidare le scarpe dell'uomo.</v>
      </c>
    </row>
    <row r="33952">
      <c r="A33952" s="4" t="s">
        <v>42720</v>
      </c>
      <c r="B33952" s="4" t="s">
        <v>42723</v>
      </c>
      <c r="C33952" s="5" t="str">
        <f>IFERROR(__xludf.DUMMYFUNCTION("GOOGLETRANSLATE(B33952,""en"",""it"")"),"Mette anche liquido su un piccolo pennello e lo mette sui panni dell'uomo.")</f>
        <v>Mette anche liquido su un piccolo pennello e lo mette sui panni dell'uomo.</v>
      </c>
    </row>
    <row r="33953">
      <c r="A33953" s="4" t="s">
        <v>42724</v>
      </c>
      <c r="B33953" s="4" t="s">
        <v>42725</v>
      </c>
      <c r="C33953" s="5" t="str">
        <f>IFERROR(__xludf.DUMMYFUNCTION("GOOGLETRANSLATE(B33953,""en"",""it"")"),"Una ragazza si lancia davanti a una stanza piena di bambini.")</f>
        <v>Una ragazza si lancia davanti a una stanza piena di bambini.</v>
      </c>
    </row>
    <row r="33954">
      <c r="A33954" s="4" t="s">
        <v>42724</v>
      </c>
      <c r="B33954" s="4" t="s">
        <v>42726</v>
      </c>
      <c r="C33954" s="5" t="str">
        <f>IFERROR(__xludf.DUMMYFUNCTION("GOOGLETRANSLATE(B33954,""en"",""it"")"),"Usa un Hula Hoop per andare in cerchio.")</f>
        <v>Usa un Hula Hoop per andare in cerchio.</v>
      </c>
    </row>
    <row r="33955">
      <c r="A33955" s="4" t="s">
        <v>42724</v>
      </c>
      <c r="B33955" s="4" t="s">
        <v>42727</v>
      </c>
      <c r="C33955" s="5" t="str">
        <f>IFERROR(__xludf.DUMMYFUNCTION("GOOGLETRANSLATE(B33955,""en"",""it"")"),"Si comporta in modo sciocco mentre dimostra come può usare l'hula Hoop.")</f>
        <v>Si comporta in modo sciocco mentre dimostra come può usare l'hula Hoop.</v>
      </c>
    </row>
    <row r="33956">
      <c r="A33956" s="4" t="s">
        <v>42728</v>
      </c>
      <c r="B33956" s="4" t="s">
        <v>42729</v>
      </c>
      <c r="C33956" s="5" t="str">
        <f>IFERROR(__xludf.DUMMYFUNCTION("GOOGLETRANSLATE(B33956,""en"",""it"")"),"Diversi giocatori sono su una pista di pattinaggio.")</f>
        <v>Diversi giocatori sono su una pista di pattinaggio.</v>
      </c>
    </row>
    <row r="33957">
      <c r="A33957" s="4" t="s">
        <v>42728</v>
      </c>
      <c r="B33957" s="4" t="s">
        <v>42730</v>
      </c>
      <c r="C33957" s="5" t="str">
        <f>IFERROR(__xludf.DUMMYFUNCTION("GOOGLETRANSLATE(B33957,""en"",""it"")"),"Stanno giocando a hockey l'uno contro l'altro.")</f>
        <v>Stanno giocando a hockey l'uno contro l'altro.</v>
      </c>
    </row>
    <row r="33958">
      <c r="A33958" s="4" t="s">
        <v>42728</v>
      </c>
      <c r="B33958" s="4" t="s">
        <v>42731</v>
      </c>
      <c r="C33958" s="5" t="str">
        <f>IFERROR(__xludf.DUMMYFUNCTION("GOOGLETRANSLATE(B33958,""en"",""it"")"),"Una squadra segna un obiettivo.")</f>
        <v>Una squadra segna un obiettivo.</v>
      </c>
    </row>
    <row r="33959">
      <c r="A33959" s="4" t="s">
        <v>42728</v>
      </c>
      <c r="B33959" s="4" t="s">
        <v>42732</v>
      </c>
      <c r="C33959" s="5" t="str">
        <f>IFERROR(__xludf.DUMMYFUNCTION("GOOGLETRANSLATE(B33959,""en"",""it"")"),"Tutti applaudino l'obiettivo.")</f>
        <v>Tutti applaudino l'obiettivo.</v>
      </c>
    </row>
    <row r="33960">
      <c r="A33960" s="4" t="s">
        <v>42733</v>
      </c>
      <c r="B33960" s="4" t="s">
        <v>42734</v>
      </c>
      <c r="C33960" s="5" t="str">
        <f>IFERROR(__xludf.DUMMYFUNCTION("GOOGLETRANSLATE(B33960,""en"",""it"")"),"Vediamo un uomo in giro per il soffiatore a foglie.")</f>
        <v>Vediamo un uomo in giro per il soffiatore a foglie.</v>
      </c>
    </row>
    <row r="33961">
      <c r="A33961" s="4" t="s">
        <v>42733</v>
      </c>
      <c r="B33961" s="4" t="s">
        <v>42735</v>
      </c>
      <c r="C33961" s="5" t="str">
        <f>IFERROR(__xludf.DUMMYFUNCTION("GOOGLETRANSLATE(B33961,""en"",""it"")"),"Vediamo le foglie che vengono colpite a terra.")</f>
        <v>Vediamo le foglie che vengono colpite a terra.</v>
      </c>
    </row>
    <row r="33962">
      <c r="A33962" s="4" t="s">
        <v>42733</v>
      </c>
      <c r="B33962" s="4" t="s">
        <v>42736</v>
      </c>
      <c r="C33962" s="5" t="str">
        <f>IFERROR(__xludf.DUMMYFUNCTION("GOOGLETRANSLATE(B33962,""en"",""it"")"),"Vediamo un tubo sulla macchina.")</f>
        <v>Vediamo un tubo sulla macchina.</v>
      </c>
    </row>
    <row r="33963">
      <c r="A33963" s="4" t="s">
        <v>42733</v>
      </c>
      <c r="B33963" s="4" t="s">
        <v>42737</v>
      </c>
      <c r="C33963" s="5" t="str">
        <f>IFERROR(__xludf.DUMMYFUNCTION("GOOGLETRANSLATE(B33963,""en"",""it"")"),"Torniamo a vedere le foglie che vengono soffiate.")</f>
        <v>Torniamo a vedere le foglie che vengono soffiate.</v>
      </c>
    </row>
    <row r="33964">
      <c r="A33964" s="4" t="s">
        <v>42733</v>
      </c>
      <c r="B33964" s="4" t="s">
        <v>42738</v>
      </c>
      <c r="C33964" s="5" t="str">
        <f>IFERROR(__xludf.DUMMYFUNCTION("GOOGLETRANSLATE(B33964,""en"",""it"")"),"Vediamo le foglie che soffiano per strada.")</f>
        <v>Vediamo le foglie che soffiano per strada.</v>
      </c>
    </row>
    <row r="33965">
      <c r="A33965" s="4" t="s">
        <v>42733</v>
      </c>
      <c r="B33965" s="4" t="s">
        <v>777</v>
      </c>
      <c r="C33965" s="5" t="str">
        <f>IFERROR(__xludf.DUMMYFUNCTION("GOOGLETRANSLATE(B33965,""en"",""it"")"),"Vediamo la schermata del titolo finale.")</f>
        <v>Vediamo la schermata del titolo finale.</v>
      </c>
    </row>
    <row r="33966">
      <c r="A33966" s="4" t="s">
        <v>42739</v>
      </c>
      <c r="B33966" s="6" t="s">
        <v>42740</v>
      </c>
      <c r="C33966" s="5" t="str">
        <f>IFERROR(__xludf.DUMMYFUNCTION("GOOGLETRANSLATE(B33966,""en"",""it"")"),"Dal tetto vediamo la strada in cui un'auto è parcheggiata e un uomo in piedi nella stanza l'uomo inizia a levare le tegole del tetto.")</f>
        <v>Dal tetto vediamo la strada in cui un'auto è parcheggiata e un uomo in piedi nella stanza l'uomo inizia a levare le tegole del tetto.</v>
      </c>
    </row>
    <row r="33967">
      <c r="A33967" s="4" t="s">
        <v>42739</v>
      </c>
      <c r="B33967" s="4" t="s">
        <v>42741</v>
      </c>
      <c r="C33967" s="5" t="str">
        <f>IFERROR(__xludf.DUMMYFUNCTION("GOOGLETRANSLATE(B33967,""en"",""it"")"),"L'uomo aggiunge un pezzo fisso di tegole e un orlo delle unghie.")</f>
        <v>L'uomo aggiunge un pezzo fisso di tegole e un orlo delle unghie.</v>
      </c>
    </row>
    <row r="33968">
      <c r="A33968" s="4" t="s">
        <v>42739</v>
      </c>
      <c r="B33968" s="4" t="s">
        <v>42742</v>
      </c>
      <c r="C33968" s="5" t="str">
        <f>IFERROR(__xludf.DUMMYFUNCTION("GOOGLETRANSLATE(B33968,""en"",""it"")"),"L'uomo finisce e se ne va.")</f>
        <v>L'uomo finisce e se ne va.</v>
      </c>
    </row>
    <row r="33969">
      <c r="A33969" s="4" t="s">
        <v>42739</v>
      </c>
      <c r="B33969" s="4" t="s">
        <v>42743</v>
      </c>
      <c r="C33969" s="5" t="str">
        <f>IFERROR(__xludf.DUMMYFUNCTION("GOOGLETRANSLATE(B33969,""en"",""it"")"),"Vediamo il ruck in strada per la compagnia di tetti.")</f>
        <v>Vediamo il ruck in strada per la compagnia di tetti.</v>
      </c>
    </row>
    <row r="33970">
      <c r="A33970" s="4" t="s">
        <v>42744</v>
      </c>
      <c r="B33970" s="6" t="s">
        <v>42745</v>
      </c>
      <c r="C33970" s="5" t="str">
        <f>IFERROR(__xludf.DUMMYFUNCTION("GOOGLETRANSLATE(B33970,""en"",""it"")"),"Quest'uomo viene mostrato in piedi nell'acqua indossando il cappuccio della piscina e i suoi occhiali sono sopra la fronte.")</f>
        <v>Quest'uomo viene mostrato in piedi nell'acqua indossando il cappuccio della piscina e i suoi occhiali sono sopra la fronte.</v>
      </c>
    </row>
    <row r="33971">
      <c r="A33971" s="4" t="s">
        <v>42744</v>
      </c>
      <c r="B33971" s="6" t="s">
        <v>42746</v>
      </c>
      <c r="C33971" s="5" t="str">
        <f>IFERROR(__xludf.DUMMYFUNCTION("GOOGLETRANSLATE(B33971,""en"",""it"")"),"Quindi si mette sugli occhiali e ci mostra un paio di tecniche di nuoto in acqua e torna a parlare.")</f>
        <v>Quindi si mette sugli occhiali e ci mostra un paio di tecniche di nuoto in acqua e torna a parlare.</v>
      </c>
    </row>
    <row r="33972">
      <c r="A33972" s="4" t="s">
        <v>42747</v>
      </c>
      <c r="B33972" s="4" t="s">
        <v>42748</v>
      </c>
      <c r="C33972" s="5" t="str">
        <f>IFERROR(__xludf.DUMMYFUNCTION("GOOGLETRANSLATE(B33972,""en"",""it"")"),"Una donna parla in un cortile che indossa abiti sciolti.")</f>
        <v>Una donna parla in un cortile che indossa abiti sciolti.</v>
      </c>
    </row>
    <row r="33973">
      <c r="A33973" s="4" t="s">
        <v>42747</v>
      </c>
      <c r="B33973" s="4" t="s">
        <v>42749</v>
      </c>
      <c r="C33973" s="5" t="str">
        <f>IFERROR(__xludf.DUMMYFUNCTION("GOOGLETRANSLATE(B33973,""en"",""it"")"),"La donna si esercitava sul tappeto.")</f>
        <v>La donna si esercitava sul tappeto.</v>
      </c>
    </row>
    <row r="33974">
      <c r="A33974" s="4" t="s">
        <v>42750</v>
      </c>
      <c r="B33974" s="4" t="s">
        <v>42751</v>
      </c>
      <c r="C33974" s="5" t="str">
        <f>IFERROR(__xludf.DUMMYFUNCTION("GOOGLETRANSLATE(B33974,""en"",""it"")"),"Due uomini sono seduti davanti a un bancone in cucina.")</f>
        <v>Due uomini sono seduti davanti a un bancone in cucina.</v>
      </c>
    </row>
    <row r="33975">
      <c r="A33975" s="4" t="s">
        <v>42750</v>
      </c>
      <c r="B33975" s="4" t="s">
        <v>42752</v>
      </c>
      <c r="C33975" s="5" t="str">
        <f>IFERROR(__xludf.DUMMYFUNCTION("GOOGLETRANSLATE(B33975,""en"",""it"")"),"Gli uomini iniziano a mescolare una torta.")</f>
        <v>Gli uomini iniziano a mescolare una torta.</v>
      </c>
    </row>
    <row r="33976">
      <c r="A33976" s="4" t="s">
        <v>42750</v>
      </c>
      <c r="B33976" s="6" t="s">
        <v>42753</v>
      </c>
      <c r="C33976" s="5" t="str">
        <f>IFERROR(__xludf.DUMMYFUNCTION("GOOGLETRANSLATE(B33976,""en"",""it"")"),"L'uomo è in cucina e versare alcuni ingredienti all'interno di una pentola e mescolarli mentre bolle l'acqua e metti la pentola sopra l'acqua bollita.")</f>
        <v>L'uomo è in cucina e versare alcuni ingredienti all'interno di una pentola e mescolarli mentre bolle l'acqua e metti la pentola sopra l'acqua bollita.</v>
      </c>
    </row>
    <row r="33977">
      <c r="A33977" s="4" t="s">
        <v>42750</v>
      </c>
      <c r="B33977" s="4" t="s">
        <v>42754</v>
      </c>
      <c r="C33977" s="5" t="str">
        <f>IFERROR(__xludf.DUMMYFUNCTION("GOOGLETRANSLATE(B33977,""en"",""it"")"),"L'uomo inizia a mescolare un aiuto in cucina e creare una crema bianca.")</f>
        <v>L'uomo inizia a mescolare un aiuto in cucina e creare una crema bianca.</v>
      </c>
    </row>
    <row r="33978">
      <c r="A33978" s="4" t="s">
        <v>42755</v>
      </c>
      <c r="B33978" s="6" t="s">
        <v>42756</v>
      </c>
      <c r="C33978" s="5" t="str">
        <f>IFERROR(__xludf.DUMMYFUNCTION("GOOGLETRANSLATE(B33978,""en"",""it"")"),"Un folto gruppo di persone è visto in piedi intorno a una spiaggia e diversi scatti di auto e persone che cavalcano tori.")</f>
        <v>Un folto gruppo di persone è visto in piedi intorno a una spiaggia e diversi scatti di auto e persone che cavalcano tori.</v>
      </c>
    </row>
    <row r="33979">
      <c r="A33979" s="4" t="s">
        <v>42755</v>
      </c>
      <c r="B33979" s="6" t="s">
        <v>42757</v>
      </c>
      <c r="C33979" s="5" t="str">
        <f>IFERROR(__xludf.DUMMYFUNCTION("GOOGLETRANSLATE(B33979,""en"",""it"")"),"Varie persone cavalcano i tori e si siedono in auto e finiscono con una partita di pallavolo e festeggiano.")</f>
        <v>Varie persone cavalcano i tori e si siedono in auto e finiscono con una partita di pallavolo e festeggiano.</v>
      </c>
    </row>
    <row r="33980">
      <c r="A33980" s="4" t="s">
        <v>42758</v>
      </c>
      <c r="B33980" s="4" t="s">
        <v>42759</v>
      </c>
      <c r="C33980" s="5" t="str">
        <f>IFERROR(__xludf.DUMMYFUNCTION("GOOGLETRANSLATE(B33980,""en"",""it"")"),"Una bici con un pneumatico sgonfiato passa attraverso lo sporco.")</f>
        <v>Una bici con un pneumatico sgonfiato passa attraverso lo sporco.</v>
      </c>
    </row>
    <row r="33981">
      <c r="A33981" s="4" t="s">
        <v>42758</v>
      </c>
      <c r="B33981" s="4" t="s">
        <v>42760</v>
      </c>
      <c r="C33981" s="5" t="str">
        <f>IFERROR(__xludf.DUMMYFUNCTION("GOOGLETRANSLATE(B33981,""en"",""it"")"),"Un uomo scende dalla bici per guardarlo.")</f>
        <v>Un uomo scende dalla bici per guardarlo.</v>
      </c>
    </row>
    <row r="33982">
      <c r="A33982" s="4" t="s">
        <v>42758</v>
      </c>
      <c r="B33982" s="4" t="s">
        <v>42761</v>
      </c>
      <c r="C33982" s="5" t="str">
        <f>IFERROR(__xludf.DUMMYFUNCTION("GOOGLETRANSLATE(B33982,""en"",""it"")"),"Rimuove la gomma dalla bici.")</f>
        <v>Rimuove la gomma dalla bici.</v>
      </c>
    </row>
    <row r="33983">
      <c r="A33983" s="4" t="s">
        <v>42758</v>
      </c>
      <c r="B33983" s="4" t="s">
        <v>42762</v>
      </c>
      <c r="C33983" s="5" t="str">
        <f>IFERROR(__xludf.DUMMYFUNCTION("GOOGLETRANSLATE(B33983,""en"",""it"")"),"Sostituisce il tubo del pneumatico e fissa la bici.")</f>
        <v>Sostituisce il tubo del pneumatico e fissa la bici.</v>
      </c>
    </row>
    <row r="33984">
      <c r="A33984" s="4" t="s">
        <v>42763</v>
      </c>
      <c r="B33984" s="4" t="s">
        <v>42764</v>
      </c>
      <c r="C33984" s="5" t="str">
        <f>IFERROR(__xludf.DUMMYFUNCTION("GOOGLETRANSLATE(B33984,""en"",""it"")"),"Un uomo in una tuta bagnata rossa è seduto su un galleggiante a parlare casualmente.")</f>
        <v>Un uomo in una tuta bagnata rossa è seduto su un galleggiante a parlare casualmente.</v>
      </c>
    </row>
    <row r="33985">
      <c r="A33985" s="4" t="s">
        <v>42763</v>
      </c>
      <c r="B33985" s="4" t="s">
        <v>42765</v>
      </c>
      <c r="C33985" s="5" t="str">
        <f>IFERROR(__xludf.DUMMYFUNCTION("GOOGLETRANSLATE(B33985,""en"",""it"")"),"Accanto a Hime ci sono molte altre persone con i loro carri, che si rilassano.")</f>
        <v>Accanto a Hime ci sono molte altre persone con i loro carri, che si rilassano.</v>
      </c>
    </row>
    <row r="33986">
      <c r="A33986" s="4" t="s">
        <v>42763</v>
      </c>
      <c r="B33986" s="4" t="s">
        <v>42766</v>
      </c>
      <c r="C33986" s="5" t="str">
        <f>IFERROR(__xludf.DUMMYFUNCTION("GOOGLETRANSLATE(B33986,""en"",""it"")"),"Stanno fluttuando attraverso il fiume passando tutti gli scenari verdi.")</f>
        <v>Stanno fluttuando attraverso il fiume passando tutti gli scenari verdi.</v>
      </c>
    </row>
    <row r="33987">
      <c r="A33987" s="4" t="s">
        <v>42763</v>
      </c>
      <c r="B33987" s="4" t="s">
        <v>42767</v>
      </c>
      <c r="C33987" s="5" t="str">
        <f>IFERROR(__xludf.DUMMYFUNCTION("GOOGLETRANSLATE(B33987,""en"",""it"")"),"L'uomo nella tuta bagnata rossa sta aprendo la strada.")</f>
        <v>L'uomo nella tuta bagnata rossa sta aprendo la strada.</v>
      </c>
    </row>
    <row r="33988">
      <c r="A33988" s="4" t="s">
        <v>42768</v>
      </c>
      <c r="B33988" s="4" t="s">
        <v>42769</v>
      </c>
      <c r="C33988" s="5" t="str">
        <f>IFERROR(__xludf.DUMMYFUNCTION("GOOGLETRANSLATE(B33988,""en"",""it"")"),"Un ragazzo naviga in una grande ondata.")</f>
        <v>Un ragazzo naviga in una grande ondata.</v>
      </c>
    </row>
    <row r="33989">
      <c r="A33989" s="4" t="s">
        <v>42768</v>
      </c>
      <c r="B33989" s="4" t="s">
        <v>42770</v>
      </c>
      <c r="C33989" s="5" t="str">
        <f>IFERROR(__xludf.DUMMYFUNCTION("GOOGLETRANSLATE(B33989,""en"",""it"")"),"Un gruppo di persone si liscia sulle tavole da surf in un'onda.")</f>
        <v>Un gruppo di persone si liscia sulle tavole da surf in un'onda.</v>
      </c>
    </row>
    <row r="33990">
      <c r="A33990" s="4" t="s">
        <v>42768</v>
      </c>
      <c r="B33990" s="4" t="s">
        <v>42771</v>
      </c>
      <c r="C33990" s="5" t="str">
        <f>IFERROR(__xludf.DUMMYFUNCTION("GOOGLETRANSLATE(B33990,""en"",""it"")"),"Improvvisamente, un ragazzo si trova un surf sotto l'onda.")</f>
        <v>Improvvisamente, un ragazzo si trova un surf sotto l'onda.</v>
      </c>
    </row>
    <row r="33991">
      <c r="A33991" s="4" t="s">
        <v>42768</v>
      </c>
      <c r="B33991" s="4" t="s">
        <v>42772</v>
      </c>
      <c r="C33991" s="5" t="str">
        <f>IFERROR(__xludf.DUMMYFUNCTION("GOOGLETRANSLATE(B33991,""en"",""it"")"),"Gli uomini si trovano in spiaggia tenendo tavole da surf.")</f>
        <v>Gli uomini si trovano in spiaggia tenendo tavole da surf.</v>
      </c>
    </row>
    <row r="33992">
      <c r="A33992" s="4" t="s">
        <v>42773</v>
      </c>
      <c r="B33992" s="4" t="s">
        <v>42774</v>
      </c>
      <c r="C33992" s="5" t="str">
        <f>IFERROR(__xludf.DUMMYFUNCTION("GOOGLETRANSLATE(B33992,""en"",""it"")"),"Viene mostrata una foto di un panino di una giovane donna e poi appare la signora.")</f>
        <v>Viene mostrata una foto di un panino di una giovane donna e poi appare la signora.</v>
      </c>
    </row>
    <row r="33993">
      <c r="A33993" s="4" t="s">
        <v>42773</v>
      </c>
      <c r="B33993" s="6" t="s">
        <v>42775</v>
      </c>
      <c r="C33993" s="5" t="str">
        <f>IFERROR(__xludf.DUMMYFUNCTION("GOOGLETRANSLATE(B33993,""en"",""it"")"),"Comincia intrecciando un lato dei capelli e poi lo strappa e fa la stessa cosa dall'altra parte.")</f>
        <v>Comincia intrecciando un lato dei capelli e poi lo strappa e fa la stessa cosa dall'altra parte.</v>
      </c>
    </row>
    <row r="33994">
      <c r="A33994" s="4" t="s">
        <v>42773</v>
      </c>
      <c r="B33994" s="4" t="s">
        <v>42776</v>
      </c>
      <c r="C33994" s="5" t="str">
        <f>IFERROR(__xludf.DUMMYFUNCTION("GOOGLETRANSLATE(B33994,""en"",""it"")"),"Con un tocco, lo tira su e Bobby lo stringe insieme all'altro lato successivo.")</f>
        <v>Con un tocco, lo tira su e Bobby lo stringe insieme all'altro lato successivo.</v>
      </c>
    </row>
    <row r="33995">
      <c r="A33995" s="4" t="s">
        <v>42773</v>
      </c>
      <c r="B33995" s="4" t="s">
        <v>42777</v>
      </c>
      <c r="C33995" s="5" t="str">
        <f>IFERROR(__xludf.DUMMYFUNCTION("GOOGLETRANSLATE(B33995,""en"",""it"")"),"Lo stile dei capelli è quindi completo e lei più immagini vengono nuovamente mostrate dal prodotto di finitura.")</f>
        <v>Lo stile dei capelli è quindi completo e lei più immagini vengono nuovamente mostrate dal prodotto di finitura.</v>
      </c>
    </row>
    <row r="33996">
      <c r="A33996" s="4" t="s">
        <v>42778</v>
      </c>
      <c r="B33996" s="4" t="s">
        <v>42779</v>
      </c>
      <c r="C33996" s="5" t="str">
        <f>IFERROR(__xludf.DUMMYFUNCTION("GOOGLETRANSLATE(B33996,""en"",""it"")"),"Una femmina sinistra gamba e piede è in una vasca da bagno mentre la signora si rade la gamba.")</f>
        <v>Una femmina sinistra gamba e piede è in una vasca da bagno mentre la signora si rade la gamba.</v>
      </c>
    </row>
    <row r="33997">
      <c r="A33997" s="4" t="s">
        <v>42778</v>
      </c>
      <c r="B33997" s="6" t="s">
        <v>42780</v>
      </c>
      <c r="C33997" s="5" t="str">
        <f>IFERROR(__xludf.DUMMYFUNCTION("GOOGLETRANSLATE(B33997,""en"",""it"")"),"Una volta che ha finito con la parte anteriore, gira le gambe a sinistra e a destra e si rade i lati con un movimento verso l'alto.")</f>
        <v>Una volta che ha finito con la parte anteriore, gira le gambe a sinistra e a destra e si rade i lati con un movimento verso l'alto.</v>
      </c>
    </row>
    <row r="33998">
      <c r="A33998" s="4" t="s">
        <v>42781</v>
      </c>
      <c r="B33998" s="4" t="s">
        <v>42782</v>
      </c>
      <c r="C33998" s="5" t="str">
        <f>IFERROR(__xludf.DUMMYFUNCTION("GOOGLETRANSLATE(B33998,""en"",""it"")"),"Un folto gruppo di uomini in uniforme è raccolto per giocare un po 'di paintball.")</f>
        <v>Un folto gruppo di uomini in uniforme è raccolto per giocare un po 'di paintball.</v>
      </c>
    </row>
    <row r="33999">
      <c r="A33999" s="4" t="s">
        <v>42781</v>
      </c>
      <c r="B33999" s="6" t="s">
        <v>42783</v>
      </c>
      <c r="C33999" s="5" t="str">
        <f>IFERROR(__xludf.DUMMYFUNCTION("GOOGLETRANSLATE(B33999,""en"",""it"")"),"Iniziano a scappare e tutti si intrufolano cercando di catturare e sparare ad altre persone senza essere catturati.")</f>
        <v>Iniziano a scappare e tutti si intrufolano cercando di catturare e sparare ad altre persone senza essere catturati.</v>
      </c>
    </row>
    <row r="34000">
      <c r="A34000" s="4" t="s">
        <v>42781</v>
      </c>
      <c r="B34000" s="4" t="s">
        <v>42784</v>
      </c>
      <c r="C34000" s="5" t="str">
        <f>IFERROR(__xludf.DUMMYFUNCTION("GOOGLETRANSLATE(B34000,""en"",""it"")"),"Il campo su cui stanno giocando è piuttosto bello, ha molti nascondigli diversi.")</f>
        <v>Il campo su cui stanno giocando è piuttosto bello, ha molti nascondigli diversi.</v>
      </c>
    </row>
    <row r="34001">
      <c r="A34001" s="4" t="s">
        <v>42781</v>
      </c>
      <c r="B34001" s="4" t="s">
        <v>42785</v>
      </c>
      <c r="C34001" s="5" t="str">
        <f>IFERROR(__xludf.DUMMYFUNCTION("GOOGLETRANSLATE(B34001,""en"",""it"")"),"Alla fine prendono tutti la maggior parte della loro marcia e iniziano a tornare insieme.")</f>
        <v>Alla fine prendono tutti la maggior parte della loro marcia e iniziano a tornare insieme.</v>
      </c>
    </row>
    <row r="34002">
      <c r="A34002" s="4" t="s">
        <v>42786</v>
      </c>
      <c r="B34002" s="4" t="s">
        <v>42787</v>
      </c>
      <c r="C34002" s="5" t="str">
        <f>IFERROR(__xludf.DUMMYFUNCTION("GOOGLETRANSLATE(B34002,""en"",""it"")"),"Un uomo dipinge un tubo davanti a una recinzione in un cortile.")</f>
        <v>Un uomo dipinge un tubo davanti a una recinzione in un cortile.</v>
      </c>
    </row>
    <row r="34003">
      <c r="A34003" s="4" t="s">
        <v>42786</v>
      </c>
      <c r="B34003" s="4" t="s">
        <v>42788</v>
      </c>
      <c r="C34003" s="5" t="str">
        <f>IFERROR(__xludf.DUMMYFUNCTION("GOOGLETRANSLATE(B34003,""en"",""it"")"),"L'uomo dipinge il recinto da un down.")</f>
        <v>L'uomo dipinge il recinto da un down.</v>
      </c>
    </row>
    <row r="34004">
      <c r="A34004" s="4" t="s">
        <v>42789</v>
      </c>
      <c r="B34004" s="6" t="s">
        <v>42790</v>
      </c>
      <c r="C34004" s="5" t="str">
        <f>IFERROR(__xludf.DUMMYFUNCTION("GOOGLETRANSLATE(B34004,""en"",""it"")"),"C'è una donna vestita con un abito dorato scintillante sta mangiando una gelato al tartufo di cioccolato magnum.")</f>
        <v>C'è una donna vestita con un abito dorato scintillante sta mangiando una gelato al tartufo di cioccolato magnum.</v>
      </c>
    </row>
    <row r="34005">
      <c r="A34005" s="4" t="s">
        <v>42789</v>
      </c>
      <c r="B34005" s="4" t="s">
        <v>42791</v>
      </c>
      <c r="C34005" s="5" t="str">
        <f>IFERROR(__xludf.DUMMYFUNCTION("GOOGLETRANSLATE(B34005,""en"",""it"")"),"Parla del suo sapore preferito è il cioccolato.")</f>
        <v>Parla del suo sapore preferito è il cioccolato.</v>
      </c>
    </row>
    <row r="34006">
      <c r="A34006" s="4" t="s">
        <v>42789</v>
      </c>
      <c r="B34006" s="4" t="s">
        <v>42792</v>
      </c>
      <c r="C34006" s="5" t="str">
        <f>IFERROR(__xludf.DUMMYFUNCTION("GOOGLETRANSLATE(B34006,""en"",""it"")"),"Si toglie un morso dalla gelateria mentre salva il sapore ricco.")</f>
        <v>Si toglie un morso dalla gelateria mentre salva il sapore ricco.</v>
      </c>
    </row>
    <row r="34007">
      <c r="A34007" s="4" t="s">
        <v>42789</v>
      </c>
      <c r="B34007" s="6" t="s">
        <v>42793</v>
      </c>
      <c r="C34007" s="5" t="str">
        <f>IFERROR(__xludf.DUMMYFUNCTION("GOOGLETRANSLATE(B34007,""en"",""it"")"),"Risponde a domande sulla necessità di avere tempo libero come attore e godersi la sua gelateria preferita.")</f>
        <v>Risponde a domande sulla necessità di avere tempo libero come attore e godersi la sua gelateria preferita.</v>
      </c>
    </row>
    <row r="34008">
      <c r="A34008" s="4" t="s">
        <v>42789</v>
      </c>
      <c r="B34008" s="4" t="s">
        <v>42794</v>
      </c>
      <c r="C34008" s="5" t="str">
        <f>IFERROR(__xludf.DUMMYFUNCTION("GOOGLETRANSLATE(B34008,""en"",""it"")"),"Il video termina con una barra di gelato al cioccolato decadente che viene condita con cioccolato ricco.")</f>
        <v>Il video termina con una barra di gelato al cioccolato decadente che viene condita con cioccolato ricco.</v>
      </c>
    </row>
    <row r="34009">
      <c r="A34009" s="4" t="s">
        <v>42795</v>
      </c>
      <c r="B34009" s="4" t="s">
        <v>42796</v>
      </c>
      <c r="C34009" s="5" t="str">
        <f>IFERROR(__xludf.DUMMYFUNCTION("GOOGLETRANSLATE(B34009,""en"",""it"")"),"Un uomo più anziano viene visto ridere della telecamera e suonare una grande serie di tamburi di bongo.")</f>
        <v>Un uomo più anziano viene visto ridere della telecamera e suonare una grande serie di tamburi di bongo.</v>
      </c>
    </row>
    <row r="34010">
      <c r="A34010" s="4" t="s">
        <v>42795</v>
      </c>
      <c r="B34010" s="4" t="s">
        <v>42797</v>
      </c>
      <c r="C34010" s="5" t="str">
        <f>IFERROR(__xludf.DUMMYFUNCTION("GOOGLETRANSLATE(B34010,""en"",""it"")"),"Continua a giocare lungo sempre più velocemente e finisce schiaffeggiando il tamburo un'ultima volta.")</f>
        <v>Continua a giocare lungo sempre più velocemente e finisce schiaffeggiando il tamburo un'ultima volta.</v>
      </c>
    </row>
    <row r="34011">
      <c r="A34011" s="4" t="s">
        <v>42798</v>
      </c>
      <c r="B34011" s="4" t="s">
        <v>42799</v>
      </c>
      <c r="C34011" s="5" t="str">
        <f>IFERROR(__xludf.DUMMYFUNCTION("GOOGLETRANSLATE(B34011,""en"",""it"")"),"Una persona viene vista da vicino cavalcando sul retro di una bici che spara una palla di verniciatura in lontananza.")</f>
        <v>Una persona viene vista da vicino cavalcando sul retro di una bici che spara una palla di verniciatura in lontananza.</v>
      </c>
    </row>
    <row r="34012">
      <c r="A34012" s="4" t="s">
        <v>42798</v>
      </c>
      <c r="B34012" s="4" t="s">
        <v>42800</v>
      </c>
      <c r="C34012" s="5" t="str">
        <f>IFERROR(__xludf.DUMMYFUNCTION("GOOGLETRANSLATE(B34012,""en"",""it"")"),"Vengono mostrati diversi colpi di persone che cavalcano le macchine che sparano a sfere di verniciatura.")</f>
        <v>Vengono mostrati diversi colpi di persone che cavalcano le macchine che sparano a sfere di verniciatura.</v>
      </c>
    </row>
    <row r="34013">
      <c r="A34013" s="4" t="s">
        <v>42798</v>
      </c>
      <c r="B34013" s="4" t="s">
        <v>42801</v>
      </c>
      <c r="C34013" s="5" t="str">
        <f>IFERROR(__xludf.DUMMYFUNCTION("GOOGLETRANSLATE(B34013,""en"",""it"")"),"Le persone continuano a correre sulle macchine e saltare su ostacoli.")</f>
        <v>Le persone continuano a correre sulle macchine e saltare su ostacoli.</v>
      </c>
    </row>
    <row r="34014">
      <c r="A34014" s="4" t="s">
        <v>42802</v>
      </c>
      <c r="B34014" s="4" t="s">
        <v>42803</v>
      </c>
      <c r="C34014" s="5" t="str">
        <f>IFERROR(__xludf.DUMMYFUNCTION("GOOGLETRANSLATE(B34014,""en"",""it"")"),"Una telecamera si panoramica all'interno di un'auto che guarda fuori mostrando altre macchine che guidano.")</f>
        <v>Una telecamera si panoramica all'interno di un'auto che guarda fuori mostrando altre macchine che guidano.</v>
      </c>
    </row>
    <row r="34015">
      <c r="A34015" s="4" t="s">
        <v>42802</v>
      </c>
      <c r="B34015" s="4" t="s">
        <v>42804</v>
      </c>
      <c r="C34015" s="5" t="str">
        <f>IFERROR(__xludf.DUMMYFUNCTION("GOOGLETRANSLATE(B34015,""en"",""it"")"),"L'auto inizia a muoversi mentre si guarda intorno nell'area sabbiosa e mostrando le persone all'interno dell'auto.")</f>
        <v>L'auto inizia a muoversi mentre si guarda intorno nell'area sabbiosa e mostrando le persone all'interno dell'auto.</v>
      </c>
    </row>
    <row r="34016">
      <c r="A34016" s="4" t="s">
        <v>42802</v>
      </c>
      <c r="B34016" s="6" t="s">
        <v>42805</v>
      </c>
      <c r="C34016" s="5" t="str">
        <f>IFERROR(__xludf.DUMMYFUNCTION("GOOGLETRANSLATE(B34016,""en"",""it"")"),"La telecamera conduce a colpi di persone che vanno in giro sui cammelli e conduce a colpi di persone che cavalcano sui cammelli.")</f>
        <v>La telecamera conduce a colpi di persone che vanno in giro sui cammelli e conduce a colpi di persone che cavalcano sui cammelli.</v>
      </c>
    </row>
    <row r="34017">
      <c r="A34017" s="4" t="s">
        <v>42806</v>
      </c>
      <c r="B34017" s="4" t="s">
        <v>42807</v>
      </c>
      <c r="C34017" s="5" t="str">
        <f>IFERROR(__xludf.DUMMYFUNCTION("GOOGLETRANSLATE(B34017,""en"",""it"")"),"Una persona skateboard fino alla rampa, una donna viene mostrata nello schermo del telefono e poi un uomo.")</f>
        <v>Una persona skateboard fino alla rampa, una donna viene mostrata nello schermo del telefono e poi un uomo.</v>
      </c>
    </row>
    <row r="34018">
      <c r="A34018" s="4" t="s">
        <v>42806</v>
      </c>
      <c r="B34018" s="6" t="s">
        <v>42808</v>
      </c>
      <c r="C34018" s="5" t="str">
        <f>IFERROR(__xludf.DUMMYFUNCTION("GOOGLETRANSLATE(B34018,""en"",""it"")"),"Un ragazzo Rollerskate lungo le ringhiere bianche mentre altri due uomini si avvicinavano a lui per dargli alti cinque.")</f>
        <v>Un ragazzo Rollerskate lungo le ringhiere bianche mentre altri due uomini si avvicinavano a lui per dargli alti cinque.</v>
      </c>
    </row>
    <row r="34019">
      <c r="A34019" s="4" t="s">
        <v>42806</v>
      </c>
      <c r="B34019" s="4" t="s">
        <v>42809</v>
      </c>
      <c r="C34019" s="5" t="str">
        <f>IFERROR(__xludf.DUMMYFUNCTION("GOOGLETRANSLATE(B34019,""en"",""it"")"),"Un giovane con lame rulli blu nella ringhiera e dà alti prezzi ai suoi coetanei.")</f>
        <v>Un giovane con lame rulli blu nella ringhiera e dà alti prezzi ai suoi coetanei.</v>
      </c>
    </row>
    <row r="34020">
      <c r="A34020" s="4" t="s">
        <v>42810</v>
      </c>
      <c r="B34020" s="4" t="s">
        <v>42811</v>
      </c>
      <c r="C34020" s="5" t="str">
        <f>IFERROR(__xludf.DUMMYFUNCTION("GOOGLETRANSLATE(B34020,""en"",""it"")"),"Un piccolo gruppo di persone è visto in piedi intorno al tavolo parlando e ridendo l'uno con l'altro.")</f>
        <v>Un piccolo gruppo di persone è visto in piedi intorno al tavolo parlando e ridendo l'uno con l'altro.</v>
      </c>
    </row>
    <row r="34021">
      <c r="A34021" s="4" t="s">
        <v>42810</v>
      </c>
      <c r="B34021" s="6" t="s">
        <v>42812</v>
      </c>
      <c r="C34021" s="5" t="str">
        <f>IFERROR(__xludf.DUMMYFUNCTION("GOOGLETRANSLATE(B34021,""en"",""it"")"),"Due uomini bevono quindi dai contenitori di ghiaccio e conducono a più persone che bevono dai contenitori.")</f>
        <v>Due uomini bevono quindi dai contenitori di ghiaccio e conducono a più persone che bevono dai contenitori.</v>
      </c>
    </row>
    <row r="34022">
      <c r="A34022" s="4" t="s">
        <v>42810</v>
      </c>
      <c r="B34022" s="4" t="s">
        <v>42813</v>
      </c>
      <c r="C34022" s="5" t="str">
        <f>IFERROR(__xludf.DUMMYFUNCTION("GOOGLETRANSLATE(B34022,""en"",""it"")"),"Una squadra termina prima dell'altra e tutti festeggiano.")</f>
        <v>Una squadra termina prima dell'altra e tutti festeggiano.</v>
      </c>
    </row>
    <row r="34023">
      <c r="A34023" s="4" t="s">
        <v>42814</v>
      </c>
      <c r="B34023" s="6" t="s">
        <v>42815</v>
      </c>
      <c r="C34023" s="5" t="str">
        <f>IFERROR(__xludf.DUMMYFUNCTION("GOOGLETRANSLATE(B34023,""en"",""it"")"),"Ci sono molte donne in palestra, che indossano guanti da boxe e marcia atletica che pungono su borse sospese.")</f>
        <v>Ci sono molte donne in palestra, che indossano guanti da boxe e marcia atletica che pungono su borse sospese.</v>
      </c>
    </row>
    <row r="34024">
      <c r="A34024" s="4" t="s">
        <v>42814</v>
      </c>
      <c r="B34024" s="6" t="s">
        <v>42816</v>
      </c>
      <c r="C34024" s="5" t="str">
        <f>IFERROR(__xludf.DUMMYFUNCTION("GOOGLETRANSLATE(B34024,""en"",""it"")"),"La fotocamera piovana per mostrare un muro e le parole ""Ilovekickboxing dot com"" è sul muro insieme a un logo che include un cuore con ali e guanti da boxe appesi dal fondo dell'ala destra.")</f>
        <v>La fotocamera piovana per mostrare un muro e le parole "Ilovekickboxing dot com" è sul muro insieme a un logo che include un cuore con ali e guanti da boxe appesi dal fondo dell'ala destra.</v>
      </c>
    </row>
    <row r="34025">
      <c r="A34025" s="4" t="s">
        <v>42814</v>
      </c>
      <c r="B34025" s="6" t="s">
        <v>42817</v>
      </c>
      <c r="C34025" s="5" t="str">
        <f>IFERROR(__xludf.DUMMYFUNCTION("GOOGLETRANSLATE(B34025,""en"",""it"")"),"La stanza torna al resto della stanza e continua a mostrare a molte donne che continuano a colpire i sacche di punzonatura sospesi.")</f>
        <v>La stanza torna al resto della stanza e continua a mostrare a molte donne che continuano a colpire i sacche di punzonatura sospesi.</v>
      </c>
    </row>
    <row r="34026">
      <c r="A34026" s="4" t="s">
        <v>42818</v>
      </c>
      <c r="B34026" s="4" t="s">
        <v>42819</v>
      </c>
      <c r="C34026" s="5" t="str">
        <f>IFERROR(__xludf.DUMMYFUNCTION("GOOGLETRANSLATE(B34026,""en"",""it"")"),"I bambini oscillano una maniglia di scopa in una pinata in un cortile.")</f>
        <v>I bambini oscillano una maniglia di scopa in una pinata in un cortile.</v>
      </c>
    </row>
    <row r="34027">
      <c r="A34027" s="4" t="s">
        <v>42818</v>
      </c>
      <c r="B34027" s="4" t="s">
        <v>42820</v>
      </c>
      <c r="C34027" s="5" t="str">
        <f>IFERROR(__xludf.DUMMYFUNCTION("GOOGLETRANSLATE(B34027,""en"",""it"")"),"Il ragazzo spezza la Pinata aperta e le caramelle si riversano a terra.")</f>
        <v>Il ragazzo spezza la Pinata aperta e le caramelle si riversano a terra.</v>
      </c>
    </row>
    <row r="34028">
      <c r="A34028" s="4" t="s">
        <v>42818</v>
      </c>
      <c r="B34028" s="4" t="s">
        <v>42821</v>
      </c>
      <c r="C34028" s="5" t="str">
        <f>IFERROR(__xludf.DUMMYFUNCTION("GOOGLETRANSLATE(B34028,""en"",""it"")"),"Una donna corre e regola il pinata.")</f>
        <v>Una donna corre e regola il pinata.</v>
      </c>
    </row>
    <row r="34029">
      <c r="A34029" s="4" t="s">
        <v>42818</v>
      </c>
      <c r="B34029" s="4" t="s">
        <v>42822</v>
      </c>
      <c r="C34029" s="5" t="str">
        <f>IFERROR(__xludf.DUMMYFUNCTION("GOOGLETRANSLATE(B34029,""en"",""it"")"),"Una donna corre per prendere il bastoncino di scopa ma schiva non essere colpita dal bambino con gli occhi bendati.")</f>
        <v>Una donna corre per prendere il bastoncino di scopa ma schiva non essere colpita dal bambino con gli occhi bendati.</v>
      </c>
    </row>
    <row r="34030">
      <c r="A34030" s="4" t="s">
        <v>42818</v>
      </c>
      <c r="B34030" s="4" t="s">
        <v>42823</v>
      </c>
      <c r="C34030" s="5" t="str">
        <f>IFERROR(__xludf.DUMMYFUNCTION("GOOGLETRANSLATE(B34030,""en"",""it"")"),"La donna guida il ragazzo che è bendato verso l'albero.")</f>
        <v>La donna guida il ragazzo che è bendato verso l'albero.</v>
      </c>
    </row>
    <row r="34031">
      <c r="A34031" s="4" t="s">
        <v>42824</v>
      </c>
      <c r="B34031" s="4" t="s">
        <v>42825</v>
      </c>
      <c r="C34031" s="5" t="str">
        <f>IFERROR(__xludf.DUMMYFUNCTION("GOOGLETRANSLATE(B34031,""en"",""it"")"),"Una donna è vista in piedi dietro un'altra donna seduta su una sedia e inizia a disegnare i capelli.")</f>
        <v>Una donna è vista in piedi dietro un'altra donna seduta su una sedia e inizia a disegnare i capelli.</v>
      </c>
    </row>
    <row r="34032">
      <c r="A34032" s="4" t="s">
        <v>42824</v>
      </c>
      <c r="B34032" s="6" t="s">
        <v>42826</v>
      </c>
      <c r="C34032" s="5" t="str">
        <f>IFERROR(__xludf.DUMMYFUNCTION("GOOGLETRANSLATE(B34032,""en"",""it"")"),"La donna si sfiora e le parti della sua pubblicità inizia a intrecciare i capelli e bloccarli in diverse località.")</f>
        <v>La donna si sfiora e le parti della sua pubblicità inizia a intrecciare i capelli e bloccarli in diverse località.</v>
      </c>
    </row>
    <row r="34033">
      <c r="A34033" s="4" t="s">
        <v>42824</v>
      </c>
      <c r="B34033" s="4" t="s">
        <v>42827</v>
      </c>
      <c r="C34033" s="5" t="str">
        <f>IFERROR(__xludf.DUMMYFUNCTION("GOOGLETRANSLATE(B34033,""en"",""it"")"),"La donna mostra i suoi capelli finiti mentre guarda e sorride alla telecamera.")</f>
        <v>La donna mostra i suoi capelli finiti mentre guarda e sorride alla telecamera.</v>
      </c>
    </row>
    <row r="34034">
      <c r="A34034" s="4" t="s">
        <v>42828</v>
      </c>
      <c r="B34034" s="6" t="s">
        <v>42829</v>
      </c>
      <c r="C34034" s="5" t="str">
        <f>IFERROR(__xludf.DUMMYFUNCTION("GOOGLETRANSLATE(B34034,""en"",""it"")"),"Una ragazza è in un parco e afferra e appese a triangoli che sono appesi e si fa strada andando avanti e attraverso 7 triangoli.")</f>
        <v>Una ragazza è in un parco e afferra e appese a triangoli che sono appesi e si fa strada andando avanti e attraverso 7 triangoli.</v>
      </c>
    </row>
    <row r="34035">
      <c r="A34035" s="4" t="s">
        <v>42828</v>
      </c>
      <c r="B34035" s="6" t="s">
        <v>42830</v>
      </c>
      <c r="C34035" s="5" t="str">
        <f>IFERROR(__xludf.DUMMYFUNCTION("GOOGLETRANSLATE(B34035,""en"",""it"")"),"Non appena raggiunge la fine, torna indietro di 3 triangoli senza voltarsi e poi si gira sul 4 ° triangolo e continua a dove ha iniziato.")</f>
        <v>Non appena raggiunge la fine, torna indietro di 3 triangoli senza voltarsi e poi si gira sul 4 ° triangolo e continua a dove ha iniziato.</v>
      </c>
    </row>
    <row r="34036">
      <c r="A34036" s="4" t="s">
        <v>42828</v>
      </c>
      <c r="B34036" s="4" t="s">
        <v>42831</v>
      </c>
      <c r="C34036" s="5" t="str">
        <f>IFERROR(__xludf.DUMMYFUNCTION("GOOGLETRANSLATE(B34036,""en"",""it"")"),"La ragazza salta sulla piattaforma, sorride e onde.")</f>
        <v>La ragazza salta sulla piattaforma, sorride e onde.</v>
      </c>
    </row>
    <row r="34037">
      <c r="A34037" s="4" t="s">
        <v>42832</v>
      </c>
      <c r="B34037" s="4" t="s">
        <v>42833</v>
      </c>
      <c r="C34037" s="5" t="str">
        <f>IFERROR(__xludf.DUMMYFUNCTION("GOOGLETRANSLATE(B34037,""en"",""it"")"),"Una ragazza con due trecce che le scende lungo la schiena è in piedi fuori.")</f>
        <v>Una ragazza con due trecce che le scende lungo la schiena è in piedi fuori.</v>
      </c>
    </row>
    <row r="34038">
      <c r="A34038" s="4" t="s">
        <v>42832</v>
      </c>
      <c r="B34038" s="4" t="s">
        <v>42834</v>
      </c>
      <c r="C34038" s="5" t="str">
        <f>IFERROR(__xludf.DUMMYFUNCTION("GOOGLETRANSLATE(B34038,""en"",""it"")"),"Si gira verso la telecamera e i suoi capelli ora sono giù.")</f>
        <v>Si gira verso la telecamera e i suoi capelli ora sono giù.</v>
      </c>
    </row>
    <row r="34039">
      <c r="A34039" s="4" t="s">
        <v>42832</v>
      </c>
      <c r="B34039" s="4" t="s">
        <v>42835</v>
      </c>
      <c r="C34039" s="5" t="str">
        <f>IFERROR(__xludf.DUMMYFUNCTION("GOOGLETRANSLATE(B34039,""en"",""it"")"),"Si sdraia su una sedia stilista, mostrando come è stato fatto lo stile.")</f>
        <v>Si sdraia su una sedia stilista, mostrando come è stato fatto lo stile.</v>
      </c>
    </row>
    <row r="34040">
      <c r="A34040" s="4" t="s">
        <v>42836</v>
      </c>
      <c r="B34040" s="4" t="s">
        <v>42837</v>
      </c>
      <c r="C34040" s="5" t="str">
        <f>IFERROR(__xludf.DUMMYFUNCTION("GOOGLETRANSLATE(B34040,""en"",""it"")"),"Questa donna sta mostrando agli spettatori come fa un colpo di cheesecake.")</f>
        <v>Questa donna sta mostrando agli spettatori come fa un colpo di cheesecake.</v>
      </c>
    </row>
    <row r="34041">
      <c r="A34041" s="4" t="s">
        <v>42836</v>
      </c>
      <c r="B34041" s="4" t="s">
        <v>42838</v>
      </c>
      <c r="C34041" s="5" t="str">
        <f>IFERROR(__xludf.DUMMYFUNCTION("GOOGLETRANSLATE(B34041,""en"",""it"")"),"Per prima cosa mette 3 quarti di oncia di Baileys e la stessa quantità di succo di ananas.")</f>
        <v>Per prima cosa mette 3 quarti di oncia di Baileys e la stessa quantità di succo di ananas.</v>
      </c>
    </row>
    <row r="34042">
      <c r="A34042" s="4" t="s">
        <v>42836</v>
      </c>
      <c r="B34042" s="6" t="s">
        <v>42839</v>
      </c>
      <c r="C34042" s="5" t="str">
        <f>IFERROR(__xludf.DUMMYFUNCTION("GOOGLETRANSLATE(B34042,""en"",""it"")"),"Quindi mette un quarto di oncia di un altro liquido e ottiene un bicchiere di tiro da 2 once e sforza la bevanda dal ghiaccio nello shaker per metterlo nel bicchiere.")</f>
        <v>Quindi mette un quarto di oncia di un altro liquido e ottiene un bicchiere di tiro da 2 once e sforza la bevanda dal ghiaccio nello shaker per metterlo nel bicchiere.</v>
      </c>
    </row>
    <row r="34043">
      <c r="A34043" s="4" t="s">
        <v>42840</v>
      </c>
      <c r="B34043" s="4" t="s">
        <v>42841</v>
      </c>
      <c r="C34043" s="5" t="str">
        <f>IFERROR(__xludf.DUMMYFUNCTION("GOOGLETRANSLATE(B34043,""en"",""it"")"),"Due uomini sono mostrati in uno studio di registrazione sugli strumenti di suonare.")</f>
        <v>Due uomini sono mostrati in uno studio di registrazione sugli strumenti di suonare.</v>
      </c>
    </row>
    <row r="34044">
      <c r="A34044" s="4" t="s">
        <v>42840</v>
      </c>
      <c r="B34044" s="4" t="s">
        <v>42842</v>
      </c>
      <c r="C34044" s="5" t="str">
        <f>IFERROR(__xludf.DUMMYFUNCTION("GOOGLETRANSLATE(B34044,""en"",""it"")"),"Uno suona la chitarra mentre l'altro suona il flauto insieme.")</f>
        <v>Uno suona la chitarra mentre l'altro suona il flauto insieme.</v>
      </c>
    </row>
    <row r="34045">
      <c r="A34045" s="4" t="s">
        <v>42840</v>
      </c>
      <c r="B34045" s="4" t="s">
        <v>42843</v>
      </c>
      <c r="C34045" s="5" t="str">
        <f>IFERROR(__xludf.DUMMYFUNCTION("GOOGLETRANSLATE(B34045,""en"",""it"")"),"Finiscono la loro canzone e uno dà un gesto a mano alla telecamera mentre gli altri sorride.")</f>
        <v>Finiscono la loro canzone e uno dà un gesto a mano alla telecamera mentre gli altri sorride.</v>
      </c>
    </row>
    <row r="34046">
      <c r="A34046" s="4" t="s">
        <v>42844</v>
      </c>
      <c r="B34046" s="4" t="s">
        <v>42845</v>
      </c>
      <c r="C34046" s="5" t="str">
        <f>IFERROR(__xludf.DUMMYFUNCTION("GOOGLETRANSLATE(B34046,""en"",""it"")"),"Un uomo tiene in mano un cubo di Rubiks.")</f>
        <v>Un uomo tiene in mano un cubo di Rubiks.</v>
      </c>
    </row>
    <row r="34047">
      <c r="A34047" s="4" t="s">
        <v>42844</v>
      </c>
      <c r="B34047" s="4" t="s">
        <v>42846</v>
      </c>
      <c r="C34047" s="5" t="str">
        <f>IFERROR(__xludf.DUMMYFUNCTION("GOOGLETRANSLATE(B34047,""en"",""it"")"),"Quindi inizia a girarlo.")</f>
        <v>Quindi inizia a girarlo.</v>
      </c>
    </row>
    <row r="34048">
      <c r="A34048" s="4" t="s">
        <v>42844</v>
      </c>
      <c r="B34048" s="4" t="s">
        <v>42847</v>
      </c>
      <c r="C34048" s="5" t="str">
        <f>IFERROR(__xludf.DUMMYFUNCTION("GOOGLETRANSLATE(B34048,""en"",""it"")"),"Si ferma e lo guarda.")</f>
        <v>Si ferma e lo guarda.</v>
      </c>
    </row>
    <row r="34049">
      <c r="A34049" s="4" t="s">
        <v>42844</v>
      </c>
      <c r="B34049" s="4" t="s">
        <v>42848</v>
      </c>
      <c r="C34049" s="5" t="str">
        <f>IFERROR(__xludf.DUMMYFUNCTION("GOOGLETRANSLATE(B34049,""en"",""it"")"),"Alla fine lo risolve e mostra il suo tempo.")</f>
        <v>Alla fine lo risolve e mostra il suo tempo.</v>
      </c>
    </row>
    <row r="34050">
      <c r="A34050" s="4" t="s">
        <v>42849</v>
      </c>
      <c r="B34050" s="4" t="s">
        <v>42850</v>
      </c>
      <c r="C34050" s="5" t="str">
        <f>IFERROR(__xludf.DUMMYFUNCTION("GOOGLETRANSLATE(B34050,""en"",""it"")"),"Un ragazzo si presenta sullo schermo e prende una tazza d'acqua e la gargone.")</f>
        <v>Un ragazzo si presenta sullo schermo e prende una tazza d'acqua e la gargone.</v>
      </c>
    </row>
    <row r="34051">
      <c r="A34051" s="4" t="s">
        <v>42849</v>
      </c>
      <c r="B34051" s="4" t="s">
        <v>42851</v>
      </c>
      <c r="C34051" s="5" t="str">
        <f>IFERROR(__xludf.DUMMYFUNCTION("GOOGLETRANSLATE(B34051,""en"",""it"")"),"Sorride e cammina dallo schermo per un momento.")</f>
        <v>Sorride e cammina dallo schermo per un momento.</v>
      </c>
    </row>
    <row r="34052">
      <c r="A34052" s="4" t="s">
        <v>42849</v>
      </c>
      <c r="B34052" s="4" t="s">
        <v>42852</v>
      </c>
      <c r="C34052" s="5" t="str">
        <f>IFERROR(__xludf.DUMMYFUNCTION("GOOGLETRANSLATE(B34052,""en"",""it"")"),"Ritorna e continua a ridere e ridendo.")</f>
        <v>Ritorna e continua a ridere e ridendo.</v>
      </c>
    </row>
    <row r="34053">
      <c r="A34053" s="4" t="s">
        <v>42849</v>
      </c>
      <c r="B34053" s="4" t="s">
        <v>42853</v>
      </c>
      <c r="C34053" s="5" t="str">
        <f>IFERROR(__xludf.DUMMYFUNCTION("GOOGLETRANSLATE(B34053,""en"",""it"")"),"Un uomo arriva sullo schermo e invita le persone a iscriversi ai suoi video.")</f>
        <v>Un uomo arriva sullo schermo e invita le persone a iscriversi ai suoi video.</v>
      </c>
    </row>
    <row r="34054">
      <c r="A34054" s="4" t="s">
        <v>42854</v>
      </c>
      <c r="B34054" s="4" t="s">
        <v>42855</v>
      </c>
      <c r="C34054" s="5" t="str">
        <f>IFERROR(__xludf.DUMMYFUNCTION("GOOGLETRANSLATE(B34054,""en"",""it"")"),"La donna sta parlando con la telecamera.")</f>
        <v>La donna sta parlando con la telecamera.</v>
      </c>
    </row>
    <row r="34055">
      <c r="A34055" s="4" t="s">
        <v>42854</v>
      </c>
      <c r="B34055" s="4" t="s">
        <v>42856</v>
      </c>
      <c r="C34055" s="5" t="str">
        <f>IFERROR(__xludf.DUMMYFUNCTION("GOOGLETRANSLATE(B34055,""en"",""it"")"),"I bambini corrono sul palco e saltano la corda.")</f>
        <v>I bambini corrono sul palco e saltano la corda.</v>
      </c>
    </row>
    <row r="34056">
      <c r="A34056" s="4" t="s">
        <v>42854</v>
      </c>
      <c r="B34056" s="4" t="s">
        <v>42857</v>
      </c>
      <c r="C34056" s="5" t="str">
        <f>IFERROR(__xludf.DUMMYFUNCTION("GOOGLETRANSLATE(B34056,""en"",""it"")"),"I bambini si trovano in campo a guardare la competizione di corda da saltare.")</f>
        <v>I bambini si trovano in campo a guardare la competizione di corda da saltare.</v>
      </c>
    </row>
    <row r="34057">
      <c r="A34057" s="4" t="s">
        <v>42858</v>
      </c>
      <c r="B34057" s="4" t="s">
        <v>42859</v>
      </c>
      <c r="C34057" s="5" t="str">
        <f>IFERROR(__xludf.DUMMYFUNCTION("GOOGLETRANSLATE(B34057,""en"",""it"")"),"Una donna mette il ghiaccio in un bicchiere.")</f>
        <v>Una donna mette il ghiaccio in un bicchiere.</v>
      </c>
    </row>
    <row r="34058">
      <c r="A34058" s="4" t="s">
        <v>42858</v>
      </c>
      <c r="B34058" s="4" t="s">
        <v>42860</v>
      </c>
      <c r="C34058" s="5" t="str">
        <f>IFERROR(__xludf.DUMMYFUNCTION("GOOGLETRANSLATE(B34058,""en"",""it"")"),"Scarica una bottiglia nel vetro e aggiunge succo.")</f>
        <v>Scarica una bottiglia nel vetro e aggiunge succo.</v>
      </c>
    </row>
    <row r="34059">
      <c r="A34059" s="4" t="s">
        <v>42858</v>
      </c>
      <c r="B34059" s="4" t="s">
        <v>42861</v>
      </c>
      <c r="C34059" s="5" t="str">
        <f>IFERROR(__xludf.DUMMYFUNCTION("GOOGLETRANSLATE(B34059,""en"",""it"")"),"Muove la bevanda e la mette sul bancone.")</f>
        <v>Muove la bevanda e la mette sul bancone.</v>
      </c>
    </row>
    <row r="34060">
      <c r="A34060" s="4" t="s">
        <v>42862</v>
      </c>
      <c r="B34060" s="4" t="s">
        <v>42863</v>
      </c>
      <c r="C34060" s="5" t="str">
        <f>IFERROR(__xludf.DUMMYFUNCTION("GOOGLETRANSLATE(B34060,""en"",""it"")"),"Un uomo che indossa un berretto verde si siede in un'auto che tiene una tazza di caffè a parlare.")</f>
        <v>Un uomo che indossa un berretto verde si siede in un'auto che tiene una tazza di caffè a parlare.</v>
      </c>
    </row>
    <row r="34061">
      <c r="A34061" s="4" t="s">
        <v>42862</v>
      </c>
      <c r="B34061" s="4" t="s">
        <v>42864</v>
      </c>
      <c r="C34061" s="5" t="str">
        <f>IFERROR(__xludf.DUMMYFUNCTION("GOOGLETRANSLATE(B34061,""en"",""it"")"),"Imposta la telecamera sulla sua dashboard e continua a parlare.")</f>
        <v>Imposta la telecamera sulla sua dashboard e continua a parlare.</v>
      </c>
    </row>
    <row r="34062">
      <c r="A34062" s="4" t="s">
        <v>42862</v>
      </c>
      <c r="B34062" s="4" t="s">
        <v>42865</v>
      </c>
      <c r="C34062" s="5" t="str">
        <f>IFERROR(__xludf.DUMMYFUNCTION("GOOGLETRANSLATE(B34062,""en"",""it"")"),"Tiene il caffè e prende diversi sorsi.")</f>
        <v>Tiene il caffè e prende diversi sorsi.</v>
      </c>
    </row>
    <row r="34063">
      <c r="A34063" s="4" t="s">
        <v>42862</v>
      </c>
      <c r="B34063" s="4" t="s">
        <v>42866</v>
      </c>
      <c r="C34063" s="5" t="str">
        <f>IFERROR(__xludf.DUMMYFUNCTION("GOOGLETRANSLATE(B34063,""en"",""it"")"),"Continua a parlare mentre tiene la tazza in mano.")</f>
        <v>Continua a parlare mentre tiene la tazza in mano.</v>
      </c>
    </row>
    <row r="34064">
      <c r="A34064" s="4" t="s">
        <v>42867</v>
      </c>
      <c r="B34064" s="6" t="s">
        <v>42868</v>
      </c>
      <c r="C34064" s="5" t="str">
        <f>IFERROR(__xludf.DUMMYFUNCTION("GOOGLETRANSLATE(B34064,""en"",""it"")"),"Un primo piano di un cavallo viene mostrato legato a una recinzione quando un uomo entra con un soffiatore di barriera e lo spinge verso i cavalli.")</f>
        <v>Un primo piano di un cavallo viene mostrato legato a una recinzione quando un uomo entra con un soffiatore di barriera e lo spinge verso i cavalli.</v>
      </c>
    </row>
    <row r="34065">
      <c r="A34065" s="4" t="s">
        <v>42867</v>
      </c>
      <c r="B34065" s="4" t="s">
        <v>42869</v>
      </c>
      <c r="C34065" s="5" t="str">
        <f>IFERROR(__xludf.DUMMYFUNCTION("GOOGLETRANSLATE(B34065,""en"",""it"")"),"Si muove intorno agli animali che scorre l'aria sulla loro pelliccia mentre i cavalli si muovono.")</f>
        <v>Si muove intorno agli animali che scorre l'aria sulla loro pelliccia mentre i cavalli si muovono.</v>
      </c>
    </row>
    <row r="34066">
      <c r="A34066" s="4" t="s">
        <v>42870</v>
      </c>
      <c r="B34066" s="6" t="s">
        <v>42871</v>
      </c>
      <c r="C34066" s="5" t="str">
        <f>IFERROR(__xludf.DUMMYFUNCTION("GOOGLETRANSLATE(B34066,""en"",""it"")"),"Un uomo, che indossa una maglietta kilt e bianca suona le cornamuse mentre si trova fuori da un parcheggio di shopping, mentre le auto passano.")</f>
        <v>Un uomo, che indossa una maglietta kilt e bianca suona le cornamuse mentre si trova fuori da un parcheggio di shopping, mentre le auto passano.</v>
      </c>
    </row>
    <row r="34067">
      <c r="A34067" s="4" t="s">
        <v>42870</v>
      </c>
      <c r="B34067" s="4" t="s">
        <v>42872</v>
      </c>
      <c r="C34067" s="5" t="str">
        <f>IFERROR(__xludf.DUMMYFUNCTION("GOOGLETRANSLATE(B34067,""en"",""it"")"),"Un uomo si trova fuori accanto a un idratante fuoco giallo e suona le cornamuse mentre le auto passano.")</f>
        <v>Un uomo si trova fuori accanto a un idratante fuoco giallo e suona le cornamuse mentre le auto passano.</v>
      </c>
    </row>
    <row r="34068">
      <c r="A34068" s="4" t="s">
        <v>42870</v>
      </c>
      <c r="B34068" s="4" t="s">
        <v>42873</v>
      </c>
      <c r="C34068" s="5" t="str">
        <f>IFERROR(__xludf.DUMMYFUNCTION("GOOGLETRANSLATE(B34068,""en"",""it"")"),"L'uomo si avvicina alle macchine o al bordo del marciapiede mentre gioca.")</f>
        <v>L'uomo si avvicina alle macchine o al bordo del marciapiede mentre gioca.</v>
      </c>
    </row>
    <row r="34069">
      <c r="A34069" s="4" t="s">
        <v>42870</v>
      </c>
      <c r="B34069" s="4" t="s">
        <v>42874</v>
      </c>
      <c r="C34069" s="5" t="str">
        <f>IFERROR(__xludf.DUMMYFUNCTION("GOOGLETRANSLATE(B34069,""en"",""it"")"),"L'uomo continua a suonare la cornamusa sul marciapiede fino a quando la scena svanisce sul nero.")</f>
        <v>L'uomo continua a suonare la cornamusa sul marciapiede fino a quando la scena svanisce sul nero.</v>
      </c>
    </row>
    <row r="34070">
      <c r="A34070" s="4" t="s">
        <v>42875</v>
      </c>
      <c r="B34070" s="4" t="s">
        <v>42876</v>
      </c>
      <c r="C34070" s="5" t="str">
        <f>IFERROR(__xludf.DUMMYFUNCTION("GOOGLETRANSLATE(B34070,""en"",""it"")"),"Una donna si sta pettinando i capelli mentre guarda nella telecamera.")</f>
        <v>Una donna si sta pettinando i capelli mentre guarda nella telecamera.</v>
      </c>
    </row>
    <row r="34071">
      <c r="A34071" s="4" t="s">
        <v>42875</v>
      </c>
      <c r="B34071" s="4" t="s">
        <v>42877</v>
      </c>
      <c r="C34071" s="5" t="str">
        <f>IFERROR(__xludf.DUMMYFUNCTION("GOOGLETRANSLATE(B34071,""en"",""it"")"),"Quindi le sfiora la frangia dritta.")</f>
        <v>Quindi le sfiora la frangia dritta.</v>
      </c>
    </row>
    <row r="34072">
      <c r="A34072" s="4" t="s">
        <v>42875</v>
      </c>
      <c r="B34072" s="4" t="s">
        <v>42878</v>
      </c>
      <c r="C34072" s="5" t="str">
        <f>IFERROR(__xludf.DUMMYFUNCTION("GOOGLETRANSLATE(B34072,""en"",""it"")"),"Continua a sfiorare il pettine e la mano.")</f>
        <v>Continua a sfiorare il pettine e la mano.</v>
      </c>
    </row>
    <row r="34073">
      <c r="A34073" s="4" t="s">
        <v>42879</v>
      </c>
      <c r="B34073" s="4" t="s">
        <v>42880</v>
      </c>
      <c r="C34073" s="5" t="str">
        <f>IFERROR(__xludf.DUMMYFUNCTION("GOOGLETRANSLATE(B34073,""en"",""it"")"),"Un uomo è in piedi fuori da un muro con una sorta di macchina e inizia a parlare.")</f>
        <v>Un uomo è in piedi fuori da un muro con una sorta di macchina e inizia a parlare.</v>
      </c>
    </row>
    <row r="34074">
      <c r="A34074" s="4" t="s">
        <v>42879</v>
      </c>
      <c r="B34074" s="4" t="s">
        <v>42881</v>
      </c>
      <c r="C34074" s="5" t="str">
        <f>IFERROR(__xludf.DUMMYFUNCTION("GOOGLETRANSLATE(B34074,""en"",""it"")"),"L'uomo prende il tubo e la pressione lava la recinzione prima di managiarlo.")</f>
        <v>L'uomo prende il tubo e la pressione lava la recinzione prima di managiarlo.</v>
      </c>
    </row>
    <row r="34075">
      <c r="A34075" s="4" t="s">
        <v>42879</v>
      </c>
      <c r="B34075" s="4" t="s">
        <v>42882</v>
      </c>
      <c r="C34075" s="5" t="str">
        <f>IFERROR(__xludf.DUMMYFUNCTION("GOOGLETRANSLATE(B34075,""en"",""it"")"),"Quindi si mette in ginocchio e aggiunge la vernice spray alla macchina e dipinge il muro.")</f>
        <v>Quindi si mette in ginocchio e aggiunge la vernice spray alla macchina e dipinge il muro.</v>
      </c>
    </row>
    <row r="34076">
      <c r="A34076" s="4" t="s">
        <v>42879</v>
      </c>
      <c r="B34076" s="4" t="s">
        <v>42883</v>
      </c>
      <c r="C34076" s="5" t="str">
        <f>IFERROR(__xludf.DUMMYFUNCTION("GOOGLETRANSLATE(B34076,""en"",""it"")"),"Alla fine, torna al muro con il pennello e riempie gli spazi mancanti.")</f>
        <v>Alla fine, torna al muro con il pennello e riempie gli spazi mancanti.</v>
      </c>
    </row>
    <row r="34077">
      <c r="A34077" s="4" t="s">
        <v>42884</v>
      </c>
      <c r="B34077" s="4" t="s">
        <v>42885</v>
      </c>
      <c r="C34077" s="5" t="str">
        <f>IFERROR(__xludf.DUMMYFUNCTION("GOOGLETRANSLATE(B34077,""en"",""it"")"),"Una donna viene vista immergersi attraverso stendardi colorati.")</f>
        <v>Una donna viene vista immergersi attraverso stendardi colorati.</v>
      </c>
    </row>
    <row r="34078">
      <c r="A34078" s="4" t="s">
        <v>42884</v>
      </c>
      <c r="B34078" s="4" t="s">
        <v>42886</v>
      </c>
      <c r="C34078" s="5" t="str">
        <f>IFERROR(__xludf.DUMMYFUNCTION("GOOGLETRANSLATE(B34078,""en"",""it"")"),"Viene mostrato l'esterno di un edificio.")</f>
        <v>Viene mostrato l'esterno di un edificio.</v>
      </c>
    </row>
    <row r="34079">
      <c r="A34079" s="4" t="s">
        <v>42884</v>
      </c>
      <c r="B34079" s="4" t="s">
        <v>42887</v>
      </c>
      <c r="C34079" s="5" t="str">
        <f>IFERROR(__xludf.DUMMYFUNCTION("GOOGLETRANSLATE(B34079,""en"",""it"")"),"Vediamo un tabellone, poi le donne vengono preparate per nuotare dai loro allenatori.")</f>
        <v>Vediamo un tabellone, poi le donne vengono preparate per nuotare dai loro allenatori.</v>
      </c>
    </row>
    <row r="34080">
      <c r="A34080" s="4" t="s">
        <v>42884</v>
      </c>
      <c r="B34080" s="4" t="s">
        <v>42888</v>
      </c>
      <c r="C34080" s="5" t="str">
        <f>IFERROR(__xludf.DUMMYFUNCTION("GOOGLETRANSLATE(B34080,""en"",""it"")"),"Le donne si alternano che si tuffano dalla tavola alta, lanciando mentre vanno.")</f>
        <v>Le donne si alternano che si tuffano dalla tavola alta, lanciando mentre vanno.</v>
      </c>
    </row>
    <row r="34081">
      <c r="A34081" s="4" t="s">
        <v>42884</v>
      </c>
      <c r="B34081" s="4" t="s">
        <v>42889</v>
      </c>
      <c r="C34081" s="5" t="str">
        <f>IFERROR(__xludf.DUMMYFUNCTION("GOOGLETRANSLATE(B34081,""en"",""it"")"),"Il vincitore si pone con una medaglia mentre tutti applauvano.")</f>
        <v>Il vincitore si pone con una medaglia mentre tutti applauvano.</v>
      </c>
    </row>
    <row r="34082">
      <c r="A34082" s="4" t="s">
        <v>42890</v>
      </c>
      <c r="B34082" s="4" t="s">
        <v>42891</v>
      </c>
      <c r="C34082" s="5" t="str">
        <f>IFERROR(__xludf.DUMMYFUNCTION("GOOGLETRANSLATE(B34082,""en"",""it"")"),"Una donna si stringe l'ombelico bloccato con un morsetto bianco.")</f>
        <v>Una donna si stringe l'ombelico bloccato con un morsetto bianco.</v>
      </c>
    </row>
    <row r="34083">
      <c r="A34083" s="4" t="s">
        <v>42890</v>
      </c>
      <c r="B34083" s="4" t="s">
        <v>42892</v>
      </c>
      <c r="C34083" s="5" t="str">
        <f>IFERROR(__xludf.DUMMYFUNCTION("GOOGLETRANSLATE(B34083,""en"",""it"")"),"Quindi si fa perforare il pulsante dell'ombelico.")</f>
        <v>Quindi si fa perforare il pulsante dell'ombelico.</v>
      </c>
    </row>
    <row r="34084">
      <c r="A34084" s="4" t="s">
        <v>42890</v>
      </c>
      <c r="B34084" s="4" t="s">
        <v>42893</v>
      </c>
      <c r="C34084" s="5" t="str">
        <f>IFERROR(__xludf.DUMMYFUNCTION("GOOGLETRANSLATE(B34084,""en"",""it"")"),"La persona rimuove il morsetto e lo asciuga con un asciugamano.")</f>
        <v>La persona rimuove il morsetto e lo asciuga con un asciugamano.</v>
      </c>
    </row>
    <row r="34085">
      <c r="A34085" s="4" t="s">
        <v>42894</v>
      </c>
      <c r="B34085" s="4" t="s">
        <v>38202</v>
      </c>
      <c r="C34085" s="5" t="str">
        <f>IFERROR(__xludf.DUMMYFUNCTION("GOOGLETRANSLATE(B34085,""en"",""it"")"),"Un gruppo di persone è in palestra.")</f>
        <v>Un gruppo di persone è in palestra.</v>
      </c>
    </row>
    <row r="34086">
      <c r="A34086" s="4" t="s">
        <v>42894</v>
      </c>
      <c r="B34086" s="4" t="s">
        <v>42895</v>
      </c>
      <c r="C34086" s="5" t="str">
        <f>IFERROR(__xludf.DUMMYFUNCTION("GOOGLETRANSLATE(B34086,""en"",""it"")"),"Stanno usando stepper per l'esercizio.")</f>
        <v>Stanno usando stepper per l'esercizio.</v>
      </c>
    </row>
    <row r="34087">
      <c r="A34087" s="4" t="s">
        <v>42894</v>
      </c>
      <c r="B34087" s="4" t="s">
        <v>42896</v>
      </c>
      <c r="C34087" s="5" t="str">
        <f>IFERROR(__xludf.DUMMYFUNCTION("GOOGLETRANSLATE(B34087,""en"",""it"")"),"Saltano e si arrampicano avanti e indietro sopra le stepper.")</f>
        <v>Saltano e si arrampicano avanti e indietro sopra le stepper.</v>
      </c>
    </row>
    <row r="34088">
      <c r="A34088" s="4" t="s">
        <v>42897</v>
      </c>
      <c r="B34088" s="4" t="s">
        <v>42898</v>
      </c>
      <c r="C34088" s="5" t="str">
        <f>IFERROR(__xludf.DUMMYFUNCTION("GOOGLETRANSLATE(B34088,""en"",""it"")"),"Una donna con una camicia bianca sta ballando.")</f>
        <v>Una donna con una camicia bianca sta ballando.</v>
      </c>
    </row>
    <row r="34089">
      <c r="A34089" s="4" t="s">
        <v>42897</v>
      </c>
      <c r="B34089" s="4" t="s">
        <v>42899</v>
      </c>
      <c r="C34089" s="5" t="str">
        <f>IFERROR(__xludf.DUMMYFUNCTION("GOOGLETRANSLATE(B34089,""en"",""it"")"),"Tiene un ferro arricciato tra i capelli.")</f>
        <v>Tiene un ferro arricciato tra i capelli.</v>
      </c>
    </row>
    <row r="34090">
      <c r="A34090" s="4" t="s">
        <v>42897</v>
      </c>
      <c r="B34090" s="4" t="s">
        <v>42900</v>
      </c>
      <c r="C34090" s="5" t="str">
        <f>IFERROR(__xludf.DUMMYFUNCTION("GOOGLETRANSLATE(B34090,""en"",""it"")"),"Si toglie il ferro arricciacale dai capelli.")</f>
        <v>Si toglie il ferro arricciacale dai capelli.</v>
      </c>
    </row>
    <row r="34091">
      <c r="A34091" s="4" t="s">
        <v>42901</v>
      </c>
      <c r="B34091" s="4" t="s">
        <v>42902</v>
      </c>
      <c r="C34091" s="5" t="str">
        <f>IFERROR(__xludf.DUMMYFUNCTION("GOOGLETRANSLATE(B34091,""en"",""it"")"),"Il video mostra un tutorial da Howcast su come creare volume in un taglio di capelli.")</f>
        <v>Il video mostra un tutorial da Howcast su come creare volume in un taglio di capelli.</v>
      </c>
    </row>
    <row r="34092">
      <c r="A34092" s="4" t="s">
        <v>42901</v>
      </c>
      <c r="B34092" s="6" t="s">
        <v>42903</v>
      </c>
      <c r="C34092" s="5" t="str">
        <f>IFERROR(__xludf.DUMMYFUNCTION("GOOGLETRANSLATE(B34092,""en"",""it"")"),"Un comò per capelli che indossa una camicia verde e pantaloni dimostra un taglio di capelli su una modella che indossa una canotta nera.")</f>
        <v>Un comò per capelli che indossa una camicia verde e pantaloni dimostra un taglio di capelli su una modella che indossa una canotta nera.</v>
      </c>
    </row>
    <row r="34093">
      <c r="A34093" s="4" t="s">
        <v>42901</v>
      </c>
      <c r="B34093" s="4" t="s">
        <v>42904</v>
      </c>
      <c r="C34093" s="5" t="str">
        <f>IFERROR(__xludf.DUMMYFUNCTION("GOOGLETRANSLATE(B34093,""en"",""it"")"),"Mostra come sezionare i capelli della signora e taglia i capelli in modo inclinabile.")</f>
        <v>Mostra come sezionare i capelli della signora e taglia i capelli in modo inclinabile.</v>
      </c>
    </row>
    <row r="34094">
      <c r="A34094" s="4" t="s">
        <v>42901</v>
      </c>
      <c r="B34094" s="4" t="s">
        <v>42905</v>
      </c>
      <c r="C34094" s="5" t="str">
        <f>IFERROR(__xludf.DUMMYFUNCTION("GOOGLETRANSLATE(B34094,""en"",""it"")"),"Spiega come questa tecnica aiuta a creare un volume extra nella corona della testa.")</f>
        <v>Spiega come questa tecnica aiuta a creare un volume extra nella corona della testa.</v>
      </c>
    </row>
    <row r="34095">
      <c r="A34095" s="4" t="s">
        <v>42906</v>
      </c>
      <c r="B34095" s="6" t="s">
        <v>42907</v>
      </c>
      <c r="C34095" s="5" t="str">
        <f>IFERROR(__xludf.DUMMYFUNCTION("GOOGLETRANSLATE(B34095,""en"",""it"")"),"Una ragazza e una ginnasta eseguono un esercizio di ginnastica sul raggio di bilanciamento in un evento sportivo professionista di fronte a molti fotografi e un pubblico sugli spalti.")</f>
        <v>Una ragazza e una ginnasta eseguono un esercizio di ginnastica sul raggio di bilanciamento in un evento sportivo professionista di fronte a molti fotografi e un pubblico sugli spalti.</v>
      </c>
    </row>
    <row r="34096">
      <c r="A34096" s="4" t="s">
        <v>42906</v>
      </c>
      <c r="B34096" s="6" t="s">
        <v>42908</v>
      </c>
      <c r="C34096" s="5" t="str">
        <f>IFERROR(__xludf.DUMMYFUNCTION("GOOGLETRANSLATE(B34096,""en"",""it"")"),"Una giovane ginnasta in un outfit blu si trova di fronte a un raggio di equilibrio, ci salta e inizia a eseguire una routine che coinvolge le lance.")</f>
        <v>Una giovane ginnasta in un outfit blu si trova di fronte a un raggio di equilibrio, ci salta e inizia a eseguire una routine che coinvolge le lance.</v>
      </c>
    </row>
    <row r="34097">
      <c r="A34097" s="4" t="s">
        <v>42906</v>
      </c>
      <c r="B34097" s="6" t="s">
        <v>42909</v>
      </c>
      <c r="C34097" s="5" t="str">
        <f>IFERROR(__xludf.DUMMYFUNCTION("GOOGLETRANSLATE(B34097,""en"",""it"")"),"La ragazza esegue diversi lanci sul raggio di equilibrio e salti in alto usando le braccia per bilanciare la sua posizione prima di eseguire un ultimo capovolgente dal raggio e attaccare l'atterraggio dopo di che cammina abbraccia un allenatore prima di g"&amp;"uardare il tabellone e parlare brevemente con un uomo seduto su una sedia bianca.")</f>
        <v>La ragazza esegue diversi lanci sul raggio di equilibrio e salti in alto usando le braccia per bilanciare la sua posizione prima di eseguire un ultimo capovolgente dal raggio e attaccare l'atterraggio dopo di che cammina abbraccia un allenatore prima di guardare il tabellone e parlare brevemente con un uomo seduto su una sedia bianca.</v>
      </c>
    </row>
    <row r="34098">
      <c r="A34098" s="4" t="s">
        <v>42910</v>
      </c>
      <c r="B34098" s="6" t="s">
        <v>42911</v>
      </c>
      <c r="C34098" s="5" t="str">
        <f>IFERROR(__xludf.DUMMYFUNCTION("GOOGLETRANSLATE(B34098,""en"",""it"")"),"Diverse persone zattere d'acqua bianca e kayak in grandi zattere gonfiabili e kayak su un corpo d'acqua violento, stretto, circondato da grandi rocce.")</f>
        <v>Diverse persone zattere d'acqua bianca e kayak in grandi zattere gonfiabili e kayak su un corpo d'acqua violento, stretto, circondato da grandi rocce.</v>
      </c>
    </row>
    <row r="34099">
      <c r="A34099" s="4" t="s">
        <v>42910</v>
      </c>
      <c r="B34099" s="4" t="s">
        <v>42912</v>
      </c>
      <c r="C34099" s="5" t="str">
        <f>IFERROR(__xludf.DUMMYFUNCTION("GOOGLETRANSLATE(B34099,""en"",""it"")"),"Un gruppo di persone su una zattera di acqua blu contro una violenta ruscello/specchio d'acqua.")</f>
        <v>Un gruppo di persone su una zattera di acqua blu contro una violenta ruscello/specchio d'acqua.</v>
      </c>
    </row>
    <row r="34100">
      <c r="A34100" s="4" t="s">
        <v>42910</v>
      </c>
      <c r="B34100" s="4" t="s">
        <v>42913</v>
      </c>
      <c r="C34100" s="5" t="str">
        <f>IFERROR(__xludf.DUMMYFUNCTION("GOOGLETRANSLATE(B34100,""en"",""it"")"),"Diverse persone solitarie pagavano in piccoli kayak contro la stessa acqua violenta.")</f>
        <v>Diverse persone solitarie pagavano in piccoli kayak contro la stessa acqua violenta.</v>
      </c>
    </row>
    <row r="34101">
      <c r="A34101" s="4" t="s">
        <v>42910</v>
      </c>
      <c r="B34101" s="4" t="s">
        <v>42914</v>
      </c>
      <c r="C34101" s="5" t="str">
        <f>IFERROR(__xludf.DUMMYFUNCTION("GOOGLETRANSLATE(B34101,""en"",""it"")"),"Una persona naviga sulle onde rocciose in una grande zattera d'acqua.")</f>
        <v>Una persona naviga sulle onde rocciose in una grande zattera d'acqua.</v>
      </c>
    </row>
    <row r="34102">
      <c r="A34102" s="4" t="s">
        <v>42910</v>
      </c>
      <c r="B34102" s="6" t="s">
        <v>42915</v>
      </c>
      <c r="C34102" s="5" t="str">
        <f>IFERROR(__xludf.DUMMYFUNCTION("GOOGLETRANSLATE(B34102,""en"",""it"")"),"Le travi e i kayaker continuano a combattere la forza dell'acqua mentre la scena si rivolge a un mantra di positività e poi al nero.")</f>
        <v>Le travi e i kayaker continuano a combattere la forza dell'acqua mentre la scena si rivolge a un mantra di positività e poi al nero.</v>
      </c>
    </row>
    <row r="34103">
      <c r="A34103" s="4" t="s">
        <v>42916</v>
      </c>
      <c r="B34103" s="4" t="s">
        <v>42917</v>
      </c>
      <c r="C34103" s="5" t="str">
        <f>IFERROR(__xludf.DUMMYFUNCTION("GOOGLETRANSLATE(B34103,""en"",""it"")"),"Un SUV pieno di amici uscirà da un parcheggio e in un resort.")</f>
        <v>Un SUV pieno di amici uscirà da un parcheggio e in un resort.</v>
      </c>
    </row>
    <row r="34104">
      <c r="A34104" s="4" t="s">
        <v>42916</v>
      </c>
      <c r="B34104" s="4" t="s">
        <v>42918</v>
      </c>
      <c r="C34104" s="5" t="str">
        <f>IFERROR(__xludf.DUMMYFUNCTION("GOOGLETRANSLATE(B34104,""en"",""it"")"),"Una ragazza che era in macchina esce dalla macchina.")</f>
        <v>Una ragazza che era in macchina esce dalla macchina.</v>
      </c>
    </row>
    <row r="34105">
      <c r="A34105" s="4" t="s">
        <v>42916</v>
      </c>
      <c r="B34105" s="4" t="s">
        <v>42919</v>
      </c>
      <c r="C34105" s="5" t="str">
        <f>IFERROR(__xludf.DUMMYFUNCTION("GOOGLETRANSLATE(B34105,""en"",""it"")"),"Il gruppo di amici si tuffa tra i pesci in una grande piscina.")</f>
        <v>Il gruppo di amici si tuffa tra i pesci in una grande piscina.</v>
      </c>
    </row>
    <row r="34106">
      <c r="A34106" s="4" t="s">
        <v>42916</v>
      </c>
      <c r="B34106" s="4" t="s">
        <v>42920</v>
      </c>
      <c r="C34106" s="5" t="str">
        <f>IFERROR(__xludf.DUMMYFUNCTION("GOOGLETRANSLATE(B34106,""en"",""it"")"),"Lasciano la piscina eccitata e felice.")</f>
        <v>Lasciano la piscina eccitata e felice.</v>
      </c>
    </row>
    <row r="34107">
      <c r="A34107" s="4" t="s">
        <v>42916</v>
      </c>
      <c r="B34107" s="4" t="s">
        <v>42921</v>
      </c>
      <c r="C34107" s="5" t="str">
        <f>IFERROR(__xludf.DUMMYFUNCTION("GOOGLETRANSLATE(B34107,""en"",""it"")"),"Una delle ragazze che era in viaggio dà il viaggio in su.")</f>
        <v>Una delle ragazze che era in viaggio dà il viaggio in su.</v>
      </c>
    </row>
    <row r="34108">
      <c r="A34108" s="4" t="s">
        <v>42922</v>
      </c>
      <c r="B34108" s="6" t="s">
        <v>42923</v>
      </c>
      <c r="C34108" s="5" t="str">
        <f>IFERROR(__xludf.DUMMYFUNCTION("GOOGLETRANSLATE(B34108,""en"",""it"")"),"Un uomo viene visto ospitare un nuovo segmento che conduce in un folto gruppo di persone in piedi e marciano in un campo.")</f>
        <v>Un uomo viene visto ospitare un nuovo segmento che conduce in un folto gruppo di persone in piedi e marciano in un campo.</v>
      </c>
    </row>
    <row r="34109">
      <c r="A34109" s="4" t="s">
        <v>42922</v>
      </c>
      <c r="B34109" s="4" t="s">
        <v>42924</v>
      </c>
      <c r="C34109" s="5" t="str">
        <f>IFERROR(__xludf.DUMMYFUNCTION("GOOGLETRANSLATE(B34109,""en"",""it"")"),"Le persone vengono quindi viste andare in giro sui cavalli che giocano l'uno con l'altro.")</f>
        <v>Le persone vengono quindi viste andare in giro sui cavalli che giocano l'uno con l'altro.</v>
      </c>
    </row>
    <row r="34110">
      <c r="A34110" s="4" t="s">
        <v>42922</v>
      </c>
      <c r="B34110" s="4" t="s">
        <v>42925</v>
      </c>
      <c r="C34110" s="5" t="str">
        <f>IFERROR(__xludf.DUMMYFUNCTION("GOOGLETRANSLATE(B34110,""en"",""it"")"),"I giocatori parlano alla telecamera e al pubblico e termina con una squadra in piedi insieme.")</f>
        <v>I giocatori parlano alla telecamera e al pubblico e termina con una squadra in piedi insieme.</v>
      </c>
    </row>
    <row r="34111">
      <c r="A34111" s="4" t="s">
        <v>42926</v>
      </c>
      <c r="B34111" s="4" t="s">
        <v>42927</v>
      </c>
      <c r="C34111" s="5" t="str">
        <f>IFERROR(__xludf.DUMMYFUNCTION("GOOGLETRANSLATE(B34111,""en"",""it"")"),"Un uomo versa un uovo in una padella.")</f>
        <v>Un uomo versa un uovo in una padella.</v>
      </c>
    </row>
    <row r="34112">
      <c r="A34112" s="4" t="s">
        <v>42926</v>
      </c>
      <c r="B34112" s="4" t="s">
        <v>42928</v>
      </c>
      <c r="C34112" s="5" t="str">
        <f>IFERROR(__xludf.DUMMYFUNCTION("GOOGLETRANSLATE(B34112,""en"",""it"")"),"Mette la padella su una stufa.")</f>
        <v>Mette la padella su una stufa.</v>
      </c>
    </row>
    <row r="34113">
      <c r="A34113" s="4" t="s">
        <v>42926</v>
      </c>
      <c r="B34113" s="4" t="s">
        <v>42929</v>
      </c>
      <c r="C34113" s="5" t="str">
        <f>IFERROR(__xludf.DUMMYFUNCTION("GOOGLETRANSLATE(B34113,""en"",""it"")"),"Scarica il cibo su un piatto.")</f>
        <v>Scarica il cibo su un piatto.</v>
      </c>
    </row>
    <row r="34114">
      <c r="A34114" s="4" t="s">
        <v>42930</v>
      </c>
      <c r="B34114" s="4" t="s">
        <v>42931</v>
      </c>
      <c r="C34114" s="5" t="str">
        <f>IFERROR(__xludf.DUMMYFUNCTION("GOOGLETRANSLATE(B34114,""en"",""it"")"),"Un palo uomo è in una corda su una pista di un campo sportivo.")</f>
        <v>Un palo uomo è in una corda su una pista di un campo sportivo.</v>
      </c>
    </row>
    <row r="34115">
      <c r="A34115" s="4" t="s">
        <v>42930</v>
      </c>
      <c r="B34115" s="4" t="s">
        <v>42932</v>
      </c>
      <c r="C34115" s="5" t="str">
        <f>IFERROR(__xludf.DUMMYFUNCTION("GOOGLETRANSLATE(B34115,""en"",""it"")"),"L'uomo fa a malapena il suo corpo sopra la corda.")</f>
        <v>L'uomo fa a malapena il suo corpo sopra la corda.</v>
      </c>
    </row>
    <row r="34116">
      <c r="A34116" s="4" t="s">
        <v>42933</v>
      </c>
      <c r="B34116" s="4" t="s">
        <v>42934</v>
      </c>
      <c r="C34116" s="5" t="str">
        <f>IFERROR(__xludf.DUMMYFUNCTION("GOOGLETRANSLATE(B34116,""en"",""it"")"),"Un uomo che indossa gli occhiali parla in un parcheggio.")</f>
        <v>Un uomo che indossa gli occhiali parla in un parcheggio.</v>
      </c>
    </row>
    <row r="34117">
      <c r="A34117" s="4" t="s">
        <v>42933</v>
      </c>
      <c r="B34117" s="4" t="s">
        <v>42935</v>
      </c>
      <c r="C34117" s="5" t="str">
        <f>IFERROR(__xludf.DUMMYFUNCTION("GOOGLETRANSLATE(B34117,""en"",""it"")"),"Entra in un autolavaggio, dove una sostanza verde viene spruzzata sulle macchine.")</f>
        <v>Entra in un autolavaggio, dove una sostanza verde viene spruzzata sulle macchine.</v>
      </c>
    </row>
    <row r="34118">
      <c r="A34118" s="4" t="s">
        <v>42933</v>
      </c>
      <c r="B34118" s="4" t="s">
        <v>42936</v>
      </c>
      <c r="C34118" s="5" t="str">
        <f>IFERROR(__xludf.DUMMYFUNCTION("GOOGLETRANSLATE(B34118,""en"",""it"")"),"Il sapone viene quindi sciacquato con i tubi.")</f>
        <v>Il sapone viene quindi sciacquato con i tubi.</v>
      </c>
    </row>
    <row r="34119">
      <c r="A34119" s="4" t="s">
        <v>42937</v>
      </c>
      <c r="B34119" s="6" t="s">
        <v>42938</v>
      </c>
      <c r="C34119" s="5" t="str">
        <f>IFERROR(__xludf.DUMMYFUNCTION("GOOGLETRANSLATE(B34119,""en"",""it"")"),"Una grande fascia musicale si vede camminare per una strada con un folto gruppo di persone in piedi e guardando.")</f>
        <v>Una grande fascia musicale si vede camminare per una strada con un folto gruppo di persone in piedi e guardando.</v>
      </c>
    </row>
    <row r="34120">
      <c r="A34120" s="4" t="s">
        <v>42937</v>
      </c>
      <c r="B34120" s="4" t="s">
        <v>42939</v>
      </c>
      <c r="C34120" s="5" t="str">
        <f>IFERROR(__xludf.DUMMYFUNCTION("GOOGLETRANSLATE(B34120,""en"",""it"")"),"La gente continua a marciare e la telecamera termina con una scena di credito.")</f>
        <v>La gente continua a marciare e la telecamera termina con una scena di credito.</v>
      </c>
    </row>
    <row r="34121">
      <c r="A34121" s="4" t="s">
        <v>42940</v>
      </c>
      <c r="B34121" s="4" t="s">
        <v>42941</v>
      </c>
      <c r="C34121" s="5" t="str">
        <f>IFERROR(__xludf.DUMMYFUNCTION("GOOGLETRANSLATE(B34121,""en"",""it"")"),"Viene visto un bambino che indossa auricolari in testa e soffia attorno all'erba.")</f>
        <v>Viene visto un bambino che indossa auricolari in testa e soffia attorno all'erba.</v>
      </c>
    </row>
    <row r="34122">
      <c r="A34122" s="4" t="s">
        <v>42940</v>
      </c>
      <c r="B34122" s="4" t="s">
        <v>42942</v>
      </c>
      <c r="C34122" s="5" t="str">
        <f>IFERROR(__xludf.DUMMYFUNCTION("GOOGLETRANSLATE(B34122,""en"",""it"")"),"Tiene in mano una grande macchina e si vede spingerla tutto intorno al cortile.")</f>
        <v>Tiene in mano una grande macchina e si vede spingerla tutto intorno al cortile.</v>
      </c>
    </row>
    <row r="34123">
      <c r="A34123" s="4" t="s">
        <v>42940</v>
      </c>
      <c r="B34123" s="4" t="s">
        <v>42943</v>
      </c>
      <c r="C34123" s="5" t="str">
        <f>IFERROR(__xludf.DUMMYFUNCTION("GOOGLETRANSLATE(B34123,""en"",""it"")"),"Fa una pausa per un momento per giocare con l'erba, seguito da lui che lavora di più.")</f>
        <v>Fa una pausa per un momento per giocare con l'erba, seguito da lui che lavora di più.</v>
      </c>
    </row>
    <row r="34124">
      <c r="A34124" s="4" t="s">
        <v>42944</v>
      </c>
      <c r="B34124" s="4" t="s">
        <v>42945</v>
      </c>
      <c r="C34124" s="5" t="str">
        <f>IFERROR(__xludf.DUMMYFUNCTION("GOOGLETRANSLATE(B34124,""en"",""it"")"),"Un gruppo di ragazze è raccolto in una stanza.")</f>
        <v>Un gruppo di ragazze è raccolto in una stanza.</v>
      </c>
    </row>
    <row r="34125">
      <c r="A34125" s="4" t="s">
        <v>42944</v>
      </c>
      <c r="B34125" s="4" t="s">
        <v>42946</v>
      </c>
      <c r="C34125" s="5" t="str">
        <f>IFERROR(__xludf.DUMMYFUNCTION("GOOGLETRANSLATE(B34125,""en"",""it"")"),"Sono mostrati in una serie di immagini in posa insieme.")</f>
        <v>Sono mostrati in una serie di immagini in posa insieme.</v>
      </c>
    </row>
    <row r="34126">
      <c r="A34126" s="4" t="s">
        <v>42944</v>
      </c>
      <c r="B34126" s="4" t="s">
        <v>42947</v>
      </c>
      <c r="C34126" s="5" t="str">
        <f>IFERROR(__xludf.DUMMYFUNCTION("GOOGLETRANSLATE(B34126,""en"",""it"")"),"Abbiamo anche diversi ragazzi in posa prima di giocare a palla.")</f>
        <v>Abbiamo anche diversi ragazzi in posa prima di giocare a palla.</v>
      </c>
    </row>
    <row r="34127">
      <c r="A34127" s="4" t="s">
        <v>42948</v>
      </c>
      <c r="B34127" s="4" t="s">
        <v>42949</v>
      </c>
      <c r="C34127" s="5" t="str">
        <f>IFERROR(__xludf.DUMMYFUNCTION("GOOGLETRANSLATE(B34127,""en"",""it"")"),"Un uomo si avvicina a un microfono mentre suona il sax.")</f>
        <v>Un uomo si avvicina a un microfono mentre suona il sax.</v>
      </c>
    </row>
    <row r="34128">
      <c r="A34128" s="4" t="s">
        <v>42948</v>
      </c>
      <c r="B34128" s="4" t="s">
        <v>42950</v>
      </c>
      <c r="C34128" s="5" t="str">
        <f>IFERROR(__xludf.DUMMYFUNCTION("GOOGLETRANSLATE(B34128,""en"",""it"")"),"Un gruppo di giocatori di baseball aspetta sul campo.")</f>
        <v>Un gruppo di giocatori di baseball aspetta sul campo.</v>
      </c>
    </row>
    <row r="34129">
      <c r="A34129" s="4" t="s">
        <v>42948</v>
      </c>
      <c r="B34129" s="4" t="s">
        <v>42951</v>
      </c>
      <c r="C34129" s="5" t="str">
        <f>IFERROR(__xludf.DUMMYFUNCTION("GOOGLETRANSLATE(B34129,""en"",""it"")"),"L'uomo continua a suonare il sassofono per la folla.")</f>
        <v>L'uomo continua a suonare il sassofono per la folla.</v>
      </c>
    </row>
    <row r="34130">
      <c r="A34130" s="4" t="s">
        <v>42952</v>
      </c>
      <c r="B34130" s="6" t="s">
        <v>42953</v>
      </c>
      <c r="C34130" s="5" t="str">
        <f>IFERROR(__xludf.DUMMYFUNCTION("GOOGLETRANSLATE(B34130,""en"",""it"")"),"C'è un giovane main in una canotta bianca e pantaloncini beige che praticano la danza con una donna che indossa una camicia grigia e pantaloncini blu.")</f>
        <v>C'è un giovane main in una canotta bianca e pantaloncini beige che praticano la danza con una donna che indossa una camicia grigia e pantaloncini blu.</v>
      </c>
    </row>
    <row r="34131">
      <c r="A34131" s="4" t="s">
        <v>42952</v>
      </c>
      <c r="B34131" s="4" t="s">
        <v>42954</v>
      </c>
      <c r="C34131" s="5" t="str">
        <f>IFERROR(__xludf.DUMMYFUNCTION("GOOGLETRANSLATE(B34131,""en"",""it"")"),"Stanno esercitando a ballare nel loro soggiorno con una televisione a schermo piatto appeso al muro.")</f>
        <v>Stanno esercitando a ballare nel loro soggiorno con una televisione a schermo piatto appeso al muro.</v>
      </c>
    </row>
    <row r="34132">
      <c r="A34132" s="4" t="s">
        <v>42952</v>
      </c>
      <c r="B34132" s="4" t="s">
        <v>42955</v>
      </c>
      <c r="C34132" s="5" t="str">
        <f>IFERROR(__xludf.DUMMYFUNCTION("GOOGLETRANSLATE(B34132,""en"",""it"")"),"Si stanno tenendo per mano mentre si girano e ballano.")</f>
        <v>Si stanno tenendo per mano mentre si girano e ballano.</v>
      </c>
    </row>
    <row r="34133">
      <c r="A34133" s="4" t="s">
        <v>42956</v>
      </c>
      <c r="B34133" s="4" t="s">
        <v>16179</v>
      </c>
      <c r="C34133" s="5" t="str">
        <f>IFERROR(__xludf.DUMMYFUNCTION("GOOGLETRANSLATE(B34133,""en"",""it"")"),"Le donne ballano su un palco.")</f>
        <v>Le donne ballano su un palco.</v>
      </c>
    </row>
    <row r="34134">
      <c r="A34134" s="4" t="s">
        <v>42956</v>
      </c>
      <c r="B34134" s="4" t="s">
        <v>42957</v>
      </c>
      <c r="C34134" s="5" t="str">
        <f>IFERROR(__xludf.DUMMYFUNCTION("GOOGLETRANSLATE(B34134,""en"",""it"")"),"Stanno oscillando i fianchi da un lato all'altro.")</f>
        <v>Stanno oscillando i fianchi da un lato all'altro.</v>
      </c>
    </row>
    <row r="34135">
      <c r="A34135" s="4" t="s">
        <v>42956</v>
      </c>
      <c r="B34135" s="4" t="s">
        <v>42958</v>
      </c>
      <c r="C34135" s="5" t="str">
        <f>IFERROR(__xludf.DUMMYFUNCTION("GOOGLETRANSLATE(B34135,""en"",""it"")"),"La danza dovrebbe essere sexy.")</f>
        <v>La danza dovrebbe essere sexy.</v>
      </c>
    </row>
    <row r="34136">
      <c r="A34136" s="4" t="s">
        <v>42956</v>
      </c>
      <c r="B34136" s="4" t="s">
        <v>42959</v>
      </c>
      <c r="C34136" s="5" t="str">
        <f>IFERROR(__xludf.DUMMYFUNCTION("GOOGLETRANSLATE(B34136,""en"",""it"")"),"Formano una linea mentre ballano.")</f>
        <v>Formano una linea mentre ballano.</v>
      </c>
    </row>
    <row r="34137">
      <c r="A34137" s="4" t="s">
        <v>42956</v>
      </c>
      <c r="B34137" s="4" t="s">
        <v>42960</v>
      </c>
      <c r="C34137" s="5" t="str">
        <f>IFERROR(__xludf.DUMMYFUNCTION("GOOGLETRANSLATE(B34137,""en"",""it"")"),"Girano le spalle al pubblico e ballano.")</f>
        <v>Girano le spalle al pubblico e ballano.</v>
      </c>
    </row>
    <row r="34138">
      <c r="A34138" s="4" t="s">
        <v>42956</v>
      </c>
      <c r="B34138" s="4" t="s">
        <v>42961</v>
      </c>
      <c r="C34138" s="5" t="str">
        <f>IFERROR(__xludf.DUMMYFUNCTION("GOOGLETRANSLATE(B34138,""en"",""it"")"),"Le luci diminuiscono.")</f>
        <v>Le luci diminuiscono.</v>
      </c>
    </row>
    <row r="34139">
      <c r="A34139" s="4" t="s">
        <v>42956</v>
      </c>
      <c r="B34139" s="4" t="s">
        <v>42962</v>
      </c>
      <c r="C34139" s="5" t="str">
        <f>IFERROR(__xludf.DUMMYFUNCTION("GOOGLETRANSLATE(B34139,""en"",""it"")"),"La danza è finita.")</f>
        <v>La danza è finita.</v>
      </c>
    </row>
    <row r="34140">
      <c r="A34140" s="4" t="s">
        <v>42963</v>
      </c>
      <c r="B34140" s="4" t="s">
        <v>42964</v>
      </c>
      <c r="C34140" s="5" t="str">
        <f>IFERROR(__xludf.DUMMYFUNCTION("GOOGLETRANSLATE(B34140,""en"",""it"")"),"Le persone stanno e parlano a un tavolo.")</f>
        <v>Le persone stanno e parlano a un tavolo.</v>
      </c>
    </row>
    <row r="34141">
      <c r="A34141" s="4" t="s">
        <v>42963</v>
      </c>
      <c r="B34141" s="4" t="s">
        <v>42965</v>
      </c>
      <c r="C34141" s="5" t="str">
        <f>IFERROR(__xludf.DUMMYFUNCTION("GOOGLETRANSLATE(B34141,""en"",""it"")"),"Le squadre di giocatori giocano a Beach Soccer.")</f>
        <v>Le squadre di giocatori giocano a Beach Soccer.</v>
      </c>
    </row>
    <row r="34142">
      <c r="A34142" s="4" t="s">
        <v>42963</v>
      </c>
      <c r="B34142" s="4" t="s">
        <v>42966</v>
      </c>
      <c r="C34142" s="5" t="str">
        <f>IFERROR(__xludf.DUMMYFUNCTION("GOOGLETRANSLATE(B34142,""en"",""it"")"),"Un giocatore segna un goal con il pallone da calcio.")</f>
        <v>Un giocatore segna un goal con il pallone da calcio.</v>
      </c>
    </row>
    <row r="34143">
      <c r="A34143" s="4" t="s">
        <v>42967</v>
      </c>
      <c r="B34143" s="4" t="s">
        <v>42968</v>
      </c>
      <c r="C34143" s="5" t="str">
        <f>IFERROR(__xludf.DUMMYFUNCTION("GOOGLETRANSLATE(B34143,""en"",""it"")"),"Lo schermo è nero e vediamo una ballerina ballare sul palco versando piume.")</f>
        <v>Lo schermo è nero e vediamo una ballerina ballare sul palco versando piume.</v>
      </c>
    </row>
    <row r="34144">
      <c r="A34144" s="4" t="s">
        <v>42967</v>
      </c>
      <c r="B34144" s="4" t="s">
        <v>42969</v>
      </c>
      <c r="C34144" s="5" t="str">
        <f>IFERROR(__xludf.DUMMYFUNCTION("GOOGLETRANSLATE(B34144,""en"",""it"")"),"La persona si muove la testa come un pollo.")</f>
        <v>La persona si muove la testa come un pollo.</v>
      </c>
    </row>
    <row r="34145">
      <c r="A34145" s="4" t="s">
        <v>42967</v>
      </c>
      <c r="B34145" s="4" t="s">
        <v>42970</v>
      </c>
      <c r="C34145" s="5" t="str">
        <f>IFERROR(__xludf.DUMMYFUNCTION("GOOGLETRANSLATE(B34145,""en"",""it"")"),"La persona fa una confusione e una danza, poi cade a terra prima di alzarsi e ballare di più.")</f>
        <v>La persona fa una confusione e una danza, poi cade a terra prima di alzarsi e ballare di più.</v>
      </c>
    </row>
    <row r="34146">
      <c r="A34146" s="4" t="s">
        <v>42967</v>
      </c>
      <c r="B34146" s="4" t="s">
        <v>42971</v>
      </c>
      <c r="C34146" s="5" t="str">
        <f>IFERROR(__xludf.DUMMYFUNCTION("GOOGLETRANSLATE(B34146,""en"",""it"")"),"La persona mette le mani in una posa di preghiera.")</f>
        <v>La persona mette le mani in una posa di preghiera.</v>
      </c>
    </row>
    <row r="34147">
      <c r="A34147" s="4" t="s">
        <v>42967</v>
      </c>
      <c r="B34147" s="6" t="s">
        <v>42972</v>
      </c>
      <c r="C34147" s="5" t="str">
        <f>IFERROR(__xludf.DUMMYFUNCTION("GOOGLETRANSLATE(B34147,""en"",""it"")"),"La persona raccoglie piume da terra e li spruzza in giro, poi balla e cade a terra e la scena finisce.")</f>
        <v>La persona raccoglie piume da terra e li spruzza in giro, poi balla e cade a terra e la scena finisce.</v>
      </c>
    </row>
    <row r="34148">
      <c r="A34148" s="4" t="s">
        <v>42973</v>
      </c>
      <c r="B34148" s="4" t="s">
        <v>42974</v>
      </c>
      <c r="C34148" s="5" t="str">
        <f>IFERROR(__xludf.DUMMYFUNCTION("GOOGLETRANSLATE(B34148,""en"",""it"")"),"Una persona è vista seduta dietro un tavolo che risolve un cubo Rubix mentre un timer la registra.")</f>
        <v>Una persona è vista seduta dietro un tavolo che risolve un cubo Rubix mentre un timer la registra.</v>
      </c>
    </row>
    <row r="34149">
      <c r="A34149" s="4" t="s">
        <v>42973</v>
      </c>
      <c r="B34149" s="4" t="s">
        <v>42975</v>
      </c>
      <c r="C34149" s="5" t="str">
        <f>IFERROR(__xludf.DUMMYFUNCTION("GOOGLETRANSLATE(B34149,""en"",""it"")"),"Due uomini sono visti in piedi intorno a lei e scrivono le cose quando la ragazza alla fine finisce.")</f>
        <v>Due uomini sono visti in piedi intorno a lei e scrivono le cose quando la ragazza alla fine finisce.</v>
      </c>
    </row>
    <row r="34150">
      <c r="A34150" s="4" t="s">
        <v>42976</v>
      </c>
      <c r="B34150" s="4" t="s">
        <v>42977</v>
      </c>
      <c r="C34150" s="5" t="str">
        <f>IFERROR(__xludf.DUMMYFUNCTION("GOOGLETRANSLATE(B34150,""en"",""it"")"),"Le persone sono sedute e guidano in un mucchio di carte per paraurti su una pista.")</f>
        <v>Le persone sono sedute e guidano in un mucchio di carte per paraurti su una pista.</v>
      </c>
    </row>
    <row r="34151">
      <c r="A34151" s="4" t="s">
        <v>42976</v>
      </c>
      <c r="B34151" s="4" t="s">
        <v>42978</v>
      </c>
      <c r="C34151" s="5" t="str">
        <f>IFERROR(__xludf.DUMMYFUNCTION("GOOGLETRANSLATE(B34151,""en"",""it"")"),"Si sbattono e si imbattono l'un l'altro, divertendosi.")</f>
        <v>Si sbattono e si imbattono l'un l'altro, divertendosi.</v>
      </c>
    </row>
    <row r="34152">
      <c r="A34152" s="4" t="s">
        <v>42979</v>
      </c>
      <c r="B34152" s="4" t="s">
        <v>42980</v>
      </c>
      <c r="C34152" s="5" t="str">
        <f>IFERROR(__xludf.DUMMYFUNCTION("GOOGLETRANSLATE(B34152,""en"",""it"")"),"È visibile una grande montagna coperta di neve con alberi scarsi.")</f>
        <v>È visibile una grande montagna coperta di neve con alberi scarsi.</v>
      </c>
    </row>
    <row r="34153">
      <c r="A34153" s="4" t="s">
        <v>42979</v>
      </c>
      <c r="B34153" s="4" t="s">
        <v>42981</v>
      </c>
      <c r="C34153" s="5" t="str">
        <f>IFERROR(__xludf.DUMMYFUNCTION("GOOGLETRANSLATE(B34153,""en"",""it"")"),"Qualcuno inizia a sciare e poi un uomo in una tuta da neve arancione inizia a parlare.")</f>
        <v>Qualcuno inizia a sciare e poi un uomo in una tuta da neve arancione inizia a parlare.</v>
      </c>
    </row>
    <row r="34154">
      <c r="A34154" s="4" t="s">
        <v>42979</v>
      </c>
      <c r="B34154" s="4" t="s">
        <v>42982</v>
      </c>
      <c r="C34154" s="5" t="str">
        <f>IFERROR(__xludf.DUMMYFUNCTION("GOOGLETRANSLATE(B34154,""en"",""it"")"),"La persona continua a sciare e poi due maschi sembrano parlare tra loro.")</f>
        <v>La persona continua a sciare e poi due maschi sembrano parlare tra loro.</v>
      </c>
    </row>
    <row r="34155">
      <c r="A34155" s="4" t="s">
        <v>42979</v>
      </c>
      <c r="B34155" s="6" t="s">
        <v>42983</v>
      </c>
      <c r="C34155" s="5" t="str">
        <f>IFERROR(__xludf.DUMMYFUNCTION("GOOGLETRANSLATE(B34155,""en"",""it"")"),"La persona che schi passa quindi dalla cima della montagna al fondo e poi si nasconde dietro un masso di ghiaccio.")</f>
        <v>La persona che schi passa quindi dalla cima della montagna al fondo e poi si nasconde dietro un masso di ghiaccio.</v>
      </c>
    </row>
    <row r="34156">
      <c r="A34156" s="4" t="s">
        <v>42984</v>
      </c>
      <c r="B34156" s="4" t="s">
        <v>42985</v>
      </c>
      <c r="C34156" s="5" t="str">
        <f>IFERROR(__xludf.DUMMYFUNCTION("GOOGLETRANSLATE(B34156,""en"",""it"")"),"Due giornalisti riferiscono su una storia sul bere troppo caffè in una televisione televisiva dal vivo.")</f>
        <v>Due giornalisti riferiscono su una storia sul bere troppo caffè in una televisione televisiva dal vivo.</v>
      </c>
    </row>
    <row r="34157">
      <c r="A34157" s="4" t="s">
        <v>42984</v>
      </c>
      <c r="B34157" s="6" t="s">
        <v>42986</v>
      </c>
      <c r="C34157" s="5" t="str">
        <f>IFERROR(__xludf.DUMMYFUNCTION("GOOGLETRANSLATE(B34157,""en"",""it"")"),"Una reporter dai capelli scuri parla della telecamera prima che la fotocamera taglierà anche un giornalista dai capelli biondi che parla con la telecamera.")</f>
        <v>Una reporter dai capelli scuri parla della telecamera prima che la fotocamera taglierà anche un giornalista dai capelli biondi che parla con la telecamera.</v>
      </c>
    </row>
    <row r="34158">
      <c r="A34158" s="4" t="s">
        <v>42984</v>
      </c>
      <c r="B34158" s="6" t="s">
        <v>42987</v>
      </c>
      <c r="C34158" s="5" t="str">
        <f>IFERROR(__xludf.DUMMYFUNCTION("GOOGLETRANSLATE(B34158,""en"",""it"")"),"La fotocamera taglia al video di una tazza di caffè piena di caffè mentre un modello scritto che spiega di cosa si tratta la storia appare sotto la tazza.")</f>
        <v>La fotocamera taglia al video di una tazza di caffè piena di caffè mentre un modello scritto che spiega di cosa si tratta la storia appare sotto la tazza.</v>
      </c>
    </row>
    <row r="34159">
      <c r="A34159" s="4" t="s">
        <v>42984</v>
      </c>
      <c r="B34159" s="4" t="s">
        <v>42988</v>
      </c>
      <c r="C34159" s="5" t="str">
        <f>IFERROR(__xludf.DUMMYFUNCTION("GOOGLETRANSLATE(B34159,""en"",""it"")"),"La fotocamera si riduce quindi a un pannello di notizie di persone a quattro persone che parlano con la telecamera.")</f>
        <v>La fotocamera si riduce quindi a un pannello di notizie di persone a quattro persone che parlano con la telecamera.</v>
      </c>
    </row>
    <row r="34160">
      <c r="A34160" s="4" t="s">
        <v>42989</v>
      </c>
      <c r="B34160" s="4" t="s">
        <v>42990</v>
      </c>
      <c r="C34160" s="5" t="str">
        <f>IFERROR(__xludf.DUMMYFUNCTION("GOOGLETRANSLATE(B34160,""en"",""it"")"),"La barca a vela è in mare aperto con alcune persone in piedi su di essa.")</f>
        <v>La barca a vela è in mare aperto con alcune persone in piedi su di essa.</v>
      </c>
    </row>
    <row r="34161">
      <c r="A34161" s="4" t="s">
        <v>42989</v>
      </c>
      <c r="B34161" s="4" t="s">
        <v>42991</v>
      </c>
      <c r="C34161" s="5" t="str">
        <f>IFERROR(__xludf.DUMMYFUNCTION("GOOGLETRANSLATE(B34161,""en"",""it"")"),"Gli uomini si trovano sulla barca a vela Te e la guidano e si parlano.")</f>
        <v>Gli uomini si trovano sulla barca a vela Te e la guidano e si parlano.</v>
      </c>
    </row>
    <row r="34162">
      <c r="A34162" s="4" t="s">
        <v>42992</v>
      </c>
      <c r="B34162" s="6" t="s">
        <v>42993</v>
      </c>
      <c r="C34162" s="5" t="str">
        <f>IFERROR(__xludf.DUMMYFUNCTION("GOOGLETRANSLATE(B34162,""en"",""it"")"),"Un gruppo di bambini gioca e pratica i tiri e le tecniche di basket in una palestra interna di fronte a allenatori e altri bambini.")</f>
        <v>Un gruppo di bambini gioca e pratica i tiri e le tecniche di basket in una palestra interna di fronte a allenatori e altri bambini.</v>
      </c>
    </row>
    <row r="34163">
      <c r="A34163" s="4" t="s">
        <v>42992</v>
      </c>
      <c r="B34163" s="6" t="s">
        <v>42994</v>
      </c>
      <c r="C34163" s="5" t="str">
        <f>IFERROR(__xludf.DUMMYFUNCTION("GOOGLETRANSLATE(B34163,""en"",""it"")"),"Un gruppo di bambini a turno getta le palle arancioni e bianche in rete e che corre anche verso la rete.")</f>
        <v>Un gruppo di bambini a turno getta le palle arancioni e bianche in rete e che corre anche verso la rete.</v>
      </c>
    </row>
    <row r="34164">
      <c r="A34164" s="4" t="s">
        <v>42992</v>
      </c>
      <c r="B34164" s="4" t="s">
        <v>42995</v>
      </c>
      <c r="C34164" s="5" t="str">
        <f>IFERROR(__xludf.DUMMYFUNCTION("GOOGLETRANSLATE(B34164,""en"",""it"")"),"Gli allenatori li seguono mentre giocano, alla volta, cercando di bloccare i tiri usando le mani.")</f>
        <v>Gli allenatori li seguono mentre giocano, alla volta, cercando di bloccare i tiri usando le mani.</v>
      </c>
    </row>
    <row r="34165">
      <c r="A34165" s="4" t="s">
        <v>42996</v>
      </c>
      <c r="B34165" s="6" t="s">
        <v>42997</v>
      </c>
      <c r="C34165" s="5" t="str">
        <f>IFERROR(__xludf.DUMMYFUNCTION("GOOGLETRANSLATE(B34165,""en"",""it"")"),"Viene visto un uomo parlare alla telecamera mentre si muove intorno alla zona e si arrampica in una macchina.")</f>
        <v>Viene visto un uomo parlare alla telecamera mentre si muove intorno alla zona e si arrampica in una macchina.</v>
      </c>
    </row>
    <row r="34166">
      <c r="A34166" s="4" t="s">
        <v>42996</v>
      </c>
      <c r="B34166" s="4" t="s">
        <v>42998</v>
      </c>
      <c r="C34166" s="5" t="str">
        <f>IFERROR(__xludf.DUMMYFUNCTION("GOOGLETRANSLATE(B34166,""en"",""it"")"),"Usa la macchina per strappare il tetto e termina con un primo piano della macchina.")</f>
        <v>Usa la macchina per strappare il tetto e termina con un primo piano della macchina.</v>
      </c>
    </row>
    <row r="34167">
      <c r="A34167" s="4" t="s">
        <v>42999</v>
      </c>
      <c r="B34167" s="6" t="s">
        <v>43000</v>
      </c>
      <c r="C34167" s="5" t="str">
        <f>IFERROR(__xludf.DUMMYFUNCTION("GOOGLETRANSLATE(B34167,""en"",""it"")"),"Vengono mostrate diverse clip di persone che nuotano nell'acqua che portano a una donna che guarda la telecamera e si muove ancora sotto l'acqua.")</f>
        <v>Vengono mostrate diverse clip di persone che nuotano nell'acqua che portano a una donna che guarda la telecamera e si muove ancora sotto l'acqua.</v>
      </c>
    </row>
    <row r="34168">
      <c r="A34168" s="4" t="s">
        <v>42999</v>
      </c>
      <c r="B34168" s="6" t="s">
        <v>43001</v>
      </c>
      <c r="C34168" s="5" t="str">
        <f>IFERROR(__xludf.DUMMYFUNCTION("GOOGLETRANSLATE(B34168,""en"",""it"")"),"La donna continua a galleggiare nell'acqua seguita da afferrare una tavola boogie e eseguendo varie mosse attorno all'acqua.")</f>
        <v>La donna continua a galleggiare nell'acqua seguita da afferrare una tavola boogie e eseguendo varie mosse attorno all'acqua.</v>
      </c>
    </row>
    <row r="34169">
      <c r="A34169" s="4" t="s">
        <v>43002</v>
      </c>
      <c r="B34169" s="4" t="s">
        <v>43003</v>
      </c>
      <c r="C34169" s="5" t="str">
        <f>IFERROR(__xludf.DUMMYFUNCTION("GOOGLETRANSLATE(B34169,""en"",""it"")"),"Vengono mostrati diversi colpi di paesaggi che tornano da persone in piedi su un ponte.")</f>
        <v>Vengono mostrati diversi colpi di paesaggi che tornano da persone in piedi su un ponte.</v>
      </c>
    </row>
    <row r="34170">
      <c r="A34170" s="4" t="s">
        <v>43002</v>
      </c>
      <c r="B34170" s="6" t="s">
        <v>43004</v>
      </c>
      <c r="C34170" s="5" t="str">
        <f>IFERROR(__xludf.DUMMYFUNCTION("GOOGLETRANSLATE(B34170,""en"",""it"")"),"Vengono mostrati colpi di persone che saltano dal lato del ponte mentre la fotocamera cattura più paesaggi.")</f>
        <v>Vengono mostrati colpi di persone che saltano dal lato del ponte mentre la fotocamera cattura più paesaggi.</v>
      </c>
    </row>
    <row r="34171">
      <c r="A34171" s="4" t="s">
        <v>43002</v>
      </c>
      <c r="B34171" s="4" t="s">
        <v>43005</v>
      </c>
      <c r="C34171" s="5" t="str">
        <f>IFERROR(__xludf.DUMMYFUNCTION("GOOGLETRANSLATE(B34171,""en"",""it"")"),"Diverse altre persone sono viste in fila guardando che conducono a più persone che saltano di lato.")</f>
        <v>Diverse altre persone sono viste in fila guardando che conducono a più persone che saltano di lato.</v>
      </c>
    </row>
    <row r="34172">
      <c r="A34172" s="4" t="s">
        <v>43006</v>
      </c>
      <c r="B34172" s="4" t="s">
        <v>43007</v>
      </c>
      <c r="C34172" s="5" t="str">
        <f>IFERROR(__xludf.DUMMYFUNCTION("GOOGLETRANSLATE(B34172,""en"",""it"")"),"Una bambina è seduta su un letto con gli occhi chiusi.")</f>
        <v>Una bambina è seduta su un letto con gli occhi chiusi.</v>
      </c>
    </row>
    <row r="34173">
      <c r="A34173" s="4" t="s">
        <v>43006</v>
      </c>
      <c r="B34173" s="4" t="s">
        <v>43008</v>
      </c>
      <c r="C34173" s="5" t="str">
        <f>IFERROR(__xludf.DUMMYFUNCTION("GOOGLETRANSLATE(B34173,""en"",""it"")"),"Una donna si inginocchia e mette gli occhi sulla ragazza.")</f>
        <v>Una donna si inginocchia e mette gli occhi sulla ragazza.</v>
      </c>
    </row>
    <row r="34174">
      <c r="A34174" s="4" t="s">
        <v>43006</v>
      </c>
      <c r="B34174" s="4" t="s">
        <v>43009</v>
      </c>
      <c r="C34174" s="5" t="str">
        <f>IFERROR(__xludf.DUMMYFUNCTION("GOOGLETRANSLATE(B34174,""en"",""it"")"),"La ragazza apre l'occhio e sorride.")</f>
        <v>La ragazza apre l'occhio e sorride.</v>
      </c>
    </row>
    <row r="34175">
      <c r="A34175" s="4" t="s">
        <v>43010</v>
      </c>
      <c r="B34175" s="6" t="s">
        <v>43011</v>
      </c>
      <c r="C34175" s="5" t="str">
        <f>IFERROR(__xludf.DUMMYFUNCTION("GOOGLETRANSLATE(B34175,""en"",""it"")"),"Una persona ripara una catena di biciclette e installa la catena su una bici intervallata da un'immagine di una donna che parla.")</f>
        <v>Una persona ripara una catena di biciclette e installa la catena su una bici intervallata da un'immagine di una donna che parla.</v>
      </c>
    </row>
    <row r="34176">
      <c r="A34176" s="4" t="s">
        <v>43010</v>
      </c>
      <c r="B34176" s="6" t="s">
        <v>43012</v>
      </c>
      <c r="C34176" s="5" t="str">
        <f>IFERROR(__xludf.DUMMYFUNCTION("GOOGLETRANSLATE(B34176,""en"",""it"")"),"Una donna guarda in una macchina fotografica e sorride mentre parla prima che la scena si tagliasse a un paio di mani che lavorano su una catena di biciclette.")</f>
        <v>Una donna guarda in una macchina fotografica e sorride mentre parla prima che la scena si tagliasse a un paio di mani che lavorano su una catena di biciclette.</v>
      </c>
    </row>
    <row r="34177">
      <c r="A34177" s="4" t="s">
        <v>43010</v>
      </c>
      <c r="B34177" s="4" t="s">
        <v>43013</v>
      </c>
      <c r="C34177" s="5" t="str">
        <f>IFERROR(__xludf.DUMMYFUNCTION("GOOGLETRANSLATE(B34177,""en"",""it"")"),"Un paio di mani lavorano su una catena di biciclette con strumenti e bulloni.")</f>
        <v>Un paio di mani lavorano su una catena di biciclette con strumenti e bulloni.</v>
      </c>
    </row>
    <row r="34178">
      <c r="A34178" s="4" t="s">
        <v>43010</v>
      </c>
      <c r="B34178" s="4" t="s">
        <v>43014</v>
      </c>
      <c r="C34178" s="5" t="str">
        <f>IFERROR(__xludf.DUMMYFUNCTION("GOOGLETRANSLATE(B34178,""en"",""it"")"),"Le mani installano la catena su una bici blu su una superficie di terra sterrata.")</f>
        <v>Le mani installano la catena su una bici blu su una superficie di terra sterrata.</v>
      </c>
    </row>
    <row r="34179">
      <c r="A34179" s="4" t="s">
        <v>43015</v>
      </c>
      <c r="B34179" s="4" t="s">
        <v>43016</v>
      </c>
      <c r="C34179" s="5" t="str">
        <f>IFERROR(__xludf.DUMMYFUNCTION("GOOGLETRANSLATE(B34179,""en"",""it"")"),"Una donna che tiene asciugamani parla alla telecamera.")</f>
        <v>Una donna che tiene asciugamani parla alla telecamera.</v>
      </c>
    </row>
    <row r="34180">
      <c r="A34180" s="4" t="s">
        <v>43015</v>
      </c>
      <c r="B34180" s="4" t="s">
        <v>43017</v>
      </c>
      <c r="C34180" s="5" t="str">
        <f>IFERROR(__xludf.DUMMYFUNCTION("GOOGLETRANSLATE(B34180,""en"",""it"")"),"La donna si asciuga la finestra dietro di lei con un asciugamano.")</f>
        <v>La donna si asciuga la finestra dietro di lei con un asciugamano.</v>
      </c>
    </row>
    <row r="34181">
      <c r="A34181" s="4" t="s">
        <v>43015</v>
      </c>
      <c r="B34181" s="4" t="s">
        <v>43018</v>
      </c>
      <c r="C34181" s="5" t="str">
        <f>IFERROR(__xludf.DUMMYFUNCTION("GOOGLETRANSLATE(B34181,""en"",""it"")"),"La donna spruzza un liquido sulla finestra.")</f>
        <v>La donna spruzza un liquido sulla finestra.</v>
      </c>
    </row>
    <row r="34182">
      <c r="A34182" s="4" t="s">
        <v>43015</v>
      </c>
      <c r="B34182" s="4" t="s">
        <v>43019</v>
      </c>
      <c r="C34182" s="5" t="str">
        <f>IFERROR(__xludf.DUMMYFUNCTION("GOOGLETRANSLATE(B34182,""en"",""it"")"),"La donna riprende che si asciuga la finestra.")</f>
        <v>La donna riprende che si asciuga la finestra.</v>
      </c>
    </row>
    <row r="34183">
      <c r="A34183" s="4" t="s">
        <v>43015</v>
      </c>
      <c r="B34183" s="4" t="s">
        <v>43020</v>
      </c>
      <c r="C34183" s="5" t="str">
        <f>IFERROR(__xludf.DUMMYFUNCTION("GOOGLETRANSLATE(B34183,""en"",""it"")"),"La donna torna a parlare con la telecamera.")</f>
        <v>La donna torna a parlare con la telecamera.</v>
      </c>
    </row>
    <row r="34184">
      <c r="A34184" s="4" t="s">
        <v>43021</v>
      </c>
      <c r="B34184" s="4" t="s">
        <v>43022</v>
      </c>
      <c r="C34184" s="5" t="str">
        <f>IFERROR(__xludf.DUMMYFUNCTION("GOOGLETRANSLATE(B34184,""en"",""it"")"),"Due ragazzi eseguono il wrestling del braccio mentre le persone guardano, improvvisamente i ragazzi liberano le mani.")</f>
        <v>Due ragazzi eseguono il wrestling del braccio mentre le persone guardano, improvvisamente i ragazzi liberano le mani.</v>
      </c>
    </row>
    <row r="34185">
      <c r="A34185" s="4" t="s">
        <v>43021</v>
      </c>
      <c r="B34185" s="4" t="s">
        <v>43023</v>
      </c>
      <c r="C34185" s="5" t="str">
        <f>IFERROR(__xludf.DUMMYFUNCTION("GOOGLETRANSLATE(B34185,""en"",""it"")"),"Dopo, continuano a gareggiare, poi il ragazzo che indossa una maglietta viola piega la mano del suo rivale.")</f>
        <v>Dopo, continuano a gareggiare, poi il ragazzo che indossa una maglietta viola piega la mano del suo rivale.</v>
      </c>
    </row>
    <row r="34186">
      <c r="A34186" s="4" t="s">
        <v>43021</v>
      </c>
      <c r="B34186" s="4" t="s">
        <v>43024</v>
      </c>
      <c r="C34186" s="5" t="str">
        <f>IFERROR(__xludf.DUMMYFUNCTION("GOOGLETRANSLATE(B34186,""en"",""it"")"),"Dopo, continua a eseguire il wrestling del braccio e poi libera di nuovo le mani.")</f>
        <v>Dopo, continua a eseguire il wrestling del braccio e poi libera di nuovo le mani.</v>
      </c>
    </row>
    <row r="34187">
      <c r="A34187" s="4" t="s">
        <v>43025</v>
      </c>
      <c r="B34187" s="4" t="s">
        <v>43026</v>
      </c>
      <c r="C34187" s="5" t="str">
        <f>IFERROR(__xludf.DUMMYFUNCTION("GOOGLETRANSLATE(B34187,""en"",""it"")"),"Un uomo in blu si trova in un auditorium.")</f>
        <v>Un uomo in blu si trova in un auditorium.</v>
      </c>
    </row>
    <row r="34188">
      <c r="A34188" s="4" t="s">
        <v>43025</v>
      </c>
      <c r="B34188" s="4" t="s">
        <v>43027</v>
      </c>
      <c r="C34188" s="5" t="str">
        <f>IFERROR(__xludf.DUMMYFUNCTION("GOOGLETRANSLATE(B34188,""en"",""it"")"),"Fa ginnastica su alcune attrezzature.")</f>
        <v>Fa ginnastica su alcune attrezzature.</v>
      </c>
    </row>
    <row r="34189">
      <c r="A34189" s="4" t="s">
        <v>43025</v>
      </c>
      <c r="B34189" s="4" t="s">
        <v>43028</v>
      </c>
      <c r="C34189" s="5" t="str">
        <f>IFERROR(__xludf.DUMMYFUNCTION("GOOGLETRANSLATE(B34189,""en"",""it"")"),"Le persone stanno guardando dagli spalti.")</f>
        <v>Le persone stanno guardando dagli spalti.</v>
      </c>
    </row>
    <row r="34190">
      <c r="A34190" s="4" t="s">
        <v>43025</v>
      </c>
      <c r="B34190" s="4" t="s">
        <v>43029</v>
      </c>
      <c r="C34190" s="5" t="str">
        <f>IFERROR(__xludf.DUMMYFUNCTION("GOOGLETRANSLATE(B34190,""en"",""it"")"),"Gira il suo corpo.")</f>
        <v>Gira il suo corpo.</v>
      </c>
    </row>
    <row r="34191">
      <c r="A34191" s="4" t="s">
        <v>43030</v>
      </c>
      <c r="B34191" s="6" t="s">
        <v>43031</v>
      </c>
      <c r="C34191" s="5" t="str">
        <f>IFERROR(__xludf.DUMMYFUNCTION("GOOGLETRANSLATE(B34191,""en"",""it"")"),"Due persone zattere d'acqua bianca su una specchio d'acqua roccioso, climatico, in canoe strette e con pagaie.")</f>
        <v>Due persone zattere d'acqua bianca su una specchio d'acqua roccioso, climatico, in canoe strette e con pagaie.</v>
      </c>
    </row>
    <row r="34192">
      <c r="A34192" s="4" t="s">
        <v>43030</v>
      </c>
      <c r="B34192" s="6" t="s">
        <v>43032</v>
      </c>
      <c r="C34192" s="5" t="str">
        <f>IFERROR(__xludf.DUMMYFUNCTION("GOOGLETRANSLATE(B34192,""en"",""it"")"),"Una persona vestita con un outfit rosso e nero si trova in una canoa rossa e inizia a mettere un pezzo di attrezzatura nera.")</f>
        <v>Una persona vestita con un outfit rosso e nero si trova in una canoa rossa e inizia a mettere un pezzo di attrezzatura nera.</v>
      </c>
    </row>
    <row r="34193">
      <c r="A34193" s="4" t="s">
        <v>43030</v>
      </c>
      <c r="B34193" s="6" t="s">
        <v>43033</v>
      </c>
      <c r="C34193" s="5" t="str">
        <f>IFERROR(__xludf.DUMMYFUNCTION("GOOGLETRANSLATE(B34193,""en"",""it"")"),"La persona nell'outfit rosso e nero inizia il rafting nella canoa rossa su un tumultuoso corpo d'acqua pieno di grandi rocce.")</f>
        <v>La persona nell'outfit rosso e nero inizia il rafting nella canoa rossa su un tumultuoso corpo d'acqua pieno di grandi rocce.</v>
      </c>
    </row>
    <row r="34194">
      <c r="A34194" s="4" t="s">
        <v>43030</v>
      </c>
      <c r="B34194" s="6" t="s">
        <v>43034</v>
      </c>
      <c r="C34194" s="5" t="str">
        <f>IFERROR(__xludf.DUMMYFUNCTION("GOOGLETRANSLATE(B34194,""en"",""it"")"),"La persona nella canoa rossa si avvicina a un'altra canoa nell'acqua, questa blu, la canoa rossa e la zattera di canoa blu attraverso le acque dietro l'altra mentre la scena svanisce sul nero.")</f>
        <v>La persona nella canoa rossa si avvicina a un'altra canoa nell'acqua, questa blu, la canoa rossa e la zattera di canoa blu attraverso le acque dietro l'altra mentre la scena svanisce sul nero.</v>
      </c>
    </row>
    <row r="34195">
      <c r="A34195" s="4" t="s">
        <v>43035</v>
      </c>
      <c r="B34195" s="4" t="s">
        <v>43036</v>
      </c>
      <c r="C34195" s="5" t="str">
        <f>IFERROR(__xludf.DUMMYFUNCTION("GOOGLETRANSLATE(B34195,""en"",""it"")"),"Le persone competono in bici-cross su una strada accidentata.")</f>
        <v>Le persone competono in bici-cross su una strada accidentata.</v>
      </c>
    </row>
    <row r="34196">
      <c r="A34196" s="4" t="s">
        <v>43035</v>
      </c>
      <c r="B34196" s="4" t="s">
        <v>43037</v>
      </c>
      <c r="C34196" s="5" t="str">
        <f>IFERROR(__xludf.DUMMYFUNCTION("GOOGLETRANSLATE(B34196,""en"",""it"")"),"Una persona spruzza acqua sulla strada accidentata dove passano i motociclisti.")</f>
        <v>Una persona spruzza acqua sulla strada accidentata dove passano i motociclisti.</v>
      </c>
    </row>
    <row r="34197">
      <c r="A34197" s="4" t="s">
        <v>43035</v>
      </c>
      <c r="B34197" s="6" t="s">
        <v>43038</v>
      </c>
      <c r="C34197" s="5" t="str">
        <f>IFERROR(__xludf.DUMMYFUNCTION("GOOGLETRANSLATE(B34197,""en"",""it"")"),"Un gruppo di motociclisti lascia la linea di partenza per iniziare la competizione di motocross, mentre altri gruppi iniziano a correre in bici.")</f>
        <v>Un gruppo di motociclisti lascia la linea di partenza per iniziare la competizione di motocross, mentre altri gruppi iniziano a correre in bici.</v>
      </c>
    </row>
    <row r="34198">
      <c r="A34198" s="4" t="s">
        <v>43035</v>
      </c>
      <c r="B34198" s="4" t="s">
        <v>43039</v>
      </c>
      <c r="C34198" s="5" t="str">
        <f>IFERROR(__xludf.DUMMYFUNCTION("GOOGLETRANSLATE(B34198,""en"",""it"")"),"Una persona che indossa un top bianco scatta foto ai motociclisti.")</f>
        <v>Una persona che indossa un top bianco scatta foto ai motociclisti.</v>
      </c>
    </row>
    <row r="34199">
      <c r="A34199" s="4" t="s">
        <v>43035</v>
      </c>
      <c r="B34199" s="4" t="s">
        <v>43040</v>
      </c>
      <c r="C34199" s="5" t="str">
        <f>IFERROR(__xludf.DUMMYFUNCTION("GOOGLETRANSLATE(B34199,""en"",""it"")"),"Nuovi gruppi di motociclisti iniziano a correre sulla strada irregolare per competere in bici.")</f>
        <v>Nuovi gruppi di motociclisti iniziano a correre sulla strada irregolare per competere in bici.</v>
      </c>
    </row>
    <row r="34200">
      <c r="A34200" s="4" t="s">
        <v>43041</v>
      </c>
      <c r="B34200" s="4" t="s">
        <v>43042</v>
      </c>
      <c r="C34200" s="5" t="str">
        <f>IFERROR(__xludf.DUMMYFUNCTION("GOOGLETRANSLATE(B34200,""en"",""it"")"),"Un ragazzo indossa scarpe da salto per rimbalzare davanti a un edificio e in un parco giochi.")</f>
        <v>Un ragazzo indossa scarpe da salto per rimbalzare davanti a un edificio e in un parco giochi.</v>
      </c>
    </row>
    <row r="34201">
      <c r="A34201" s="4" t="s">
        <v>43041</v>
      </c>
      <c r="B34201" s="4" t="s">
        <v>43043</v>
      </c>
      <c r="C34201" s="5" t="str">
        <f>IFERROR(__xludf.DUMMYFUNCTION("GOOGLETRANSLATE(B34201,""en"",""it"")"),"Quindi, il ragazzo alza i gradini di un edificio, quindi fa grandi passi e salta in alto.")</f>
        <v>Quindi, il ragazzo alza i gradini di un edificio, quindi fa grandi passi e salta in alto.</v>
      </c>
    </row>
    <row r="34202">
      <c r="A34202" s="4" t="s">
        <v>43041</v>
      </c>
      <c r="B34202" s="4" t="s">
        <v>43044</v>
      </c>
      <c r="C34202" s="5" t="str">
        <f>IFERROR(__xludf.DUMMYFUNCTION("GOOGLETRANSLATE(B34202,""en"",""it"")"),"Una famiglia di quattro anni aspetta il ragazzo per passare la strada.")</f>
        <v>Una famiglia di quattro anni aspetta il ragazzo per passare la strada.</v>
      </c>
    </row>
    <row r="34203">
      <c r="A34203" s="4" t="s">
        <v>43041</v>
      </c>
      <c r="B34203" s="4" t="s">
        <v>43045</v>
      </c>
      <c r="C34203" s="5" t="str">
        <f>IFERROR(__xludf.DUMMYFUNCTION("GOOGLETRANSLATE(B34203,""en"",""it"")"),"Quindi, il ragazzo torna nel parco giochi e salta su una pietra.")</f>
        <v>Quindi, il ragazzo torna nel parco giochi e salta su una pietra.</v>
      </c>
    </row>
    <row r="34204">
      <c r="A34204" s="4" t="s">
        <v>43041</v>
      </c>
      <c r="B34204" s="4" t="s">
        <v>43046</v>
      </c>
      <c r="C34204" s="5" t="str">
        <f>IFERROR(__xludf.DUMMYFUNCTION("GOOGLETRANSLATE(B34204,""en"",""it"")"),"Dopo, il ragazzo salta in alto per strada fino a quando non arriva in un parcheggio.")</f>
        <v>Dopo, il ragazzo salta in alto per strada fino a quando non arriva in un parcheggio.</v>
      </c>
    </row>
    <row r="34205">
      <c r="A34205" s="4" t="s">
        <v>43047</v>
      </c>
      <c r="B34205" s="4" t="s">
        <v>20672</v>
      </c>
      <c r="C34205" s="5" t="str">
        <f>IFERROR(__xludf.DUMMYFUNCTION("GOOGLETRANSLATE(B34205,""en"",""it"")"),"Una ragazza salta su un raggio di equilibrio.")</f>
        <v>Una ragazza salta su un raggio di equilibrio.</v>
      </c>
    </row>
    <row r="34206">
      <c r="A34206" s="4" t="s">
        <v>43047</v>
      </c>
      <c r="B34206" s="4" t="s">
        <v>32035</v>
      </c>
      <c r="C34206" s="5" t="str">
        <f>IFERROR(__xludf.DUMMYFUNCTION("GOOGLETRANSLATE(B34206,""en"",""it"")"),"Fa una routine di ginnastica sul raggio dell'equilibrio.")</f>
        <v>Fa una routine di ginnastica sul raggio dell'equilibrio.</v>
      </c>
    </row>
    <row r="34207">
      <c r="A34207" s="4" t="s">
        <v>43047</v>
      </c>
      <c r="B34207" s="4" t="s">
        <v>43048</v>
      </c>
      <c r="C34207" s="5" t="str">
        <f>IFERROR(__xludf.DUMMYFUNCTION("GOOGLETRANSLATE(B34207,""en"",""it"")"),"Smonde e atterra sul tappeto con le braccia in alto.")</f>
        <v>Smonde e atterra sul tappeto con le braccia in alto.</v>
      </c>
    </row>
    <row r="34208">
      <c r="A34208" s="4" t="s">
        <v>43049</v>
      </c>
      <c r="B34208" s="4" t="s">
        <v>43050</v>
      </c>
      <c r="C34208" s="5" t="str">
        <f>IFERROR(__xludf.DUMMYFUNCTION("GOOGLETRANSLATE(B34208,""en"",""it"")"),"Vediamo una ragazza calciare e sederci.")</f>
        <v>Vediamo una ragazza calciare e sederci.</v>
      </c>
    </row>
    <row r="34209">
      <c r="A34209" s="4" t="s">
        <v>43049</v>
      </c>
      <c r="B34209" s="4" t="s">
        <v>43051</v>
      </c>
      <c r="C34209" s="5" t="str">
        <f>IFERROR(__xludf.DUMMYFUNCTION("GOOGLETRANSLATE(B34209,""en"",""it"")"),"Un ragazzo si unisce a lei e mangiano il gelato.")</f>
        <v>Un ragazzo si unisce a lei e mangiano il gelato.</v>
      </c>
    </row>
    <row r="34210">
      <c r="A34210" s="4" t="s">
        <v>43049</v>
      </c>
      <c r="B34210" s="4" t="s">
        <v>43052</v>
      </c>
      <c r="C34210" s="5" t="str">
        <f>IFERROR(__xludf.DUMMYFUNCTION("GOOGLETRANSLATE(B34210,""en"",""it"")"),"Il ragazzo mette il suo cono davanti alla telecamera.")</f>
        <v>Il ragazzo mette il suo cono davanti alla telecamera.</v>
      </c>
    </row>
    <row r="34211">
      <c r="A34211" s="4" t="s">
        <v>43049</v>
      </c>
      <c r="B34211" s="4" t="s">
        <v>43053</v>
      </c>
      <c r="C34211" s="5" t="str">
        <f>IFERROR(__xludf.DUMMYFUNCTION("GOOGLETRANSLATE(B34211,""en"",""it"")"),"Il ragazzo lecca il suo gelato selvaggiamente.")</f>
        <v>Il ragazzo lecca il suo gelato selvaggiamente.</v>
      </c>
    </row>
    <row r="34212">
      <c r="A34212" s="4" t="s">
        <v>43049</v>
      </c>
      <c r="B34212" s="4" t="s">
        <v>43054</v>
      </c>
      <c r="C34212" s="5" t="str">
        <f>IFERROR(__xludf.DUMMYFUNCTION("GOOGLETRANSLATE(B34212,""en"",""it"")"),"Un ragazzo lancia qualcosa al ragazzo con il gelato.")</f>
        <v>Un ragazzo lancia qualcosa al ragazzo con il gelato.</v>
      </c>
    </row>
    <row r="34213">
      <c r="A34213" s="4" t="s">
        <v>43055</v>
      </c>
      <c r="B34213" s="4" t="s">
        <v>43056</v>
      </c>
      <c r="C34213" s="5" t="str">
        <f>IFERROR(__xludf.DUMMYFUNCTION("GOOGLETRANSLATE(B34213,""en"",""it"")"),"Un ragazzo beve qualcosa da una piccola tazza in un bagno.")</f>
        <v>Un ragazzo beve qualcosa da una piccola tazza in un bagno.</v>
      </c>
    </row>
    <row r="34214">
      <c r="A34214" s="4" t="s">
        <v>43055</v>
      </c>
      <c r="B34214" s="4" t="s">
        <v>43057</v>
      </c>
      <c r="C34214" s="5" t="str">
        <f>IFERROR(__xludf.DUMMYFUNCTION("GOOGLETRANSLATE(B34214,""en"",""it"")"),"Il ragazzo corre nella stanza e salta sul letto.")</f>
        <v>Il ragazzo corre nella stanza e salta sul letto.</v>
      </c>
    </row>
    <row r="34215">
      <c r="A34215" s="4" t="s">
        <v>43055</v>
      </c>
      <c r="B34215" s="4" t="s">
        <v>43058</v>
      </c>
      <c r="C34215" s="5" t="str">
        <f>IFERROR(__xludf.DUMMYFUNCTION("GOOGLETRANSLATE(B34215,""en"",""it"")"),"Il ragazzo ingoia l'oggetto in bocca e copre la bocca con le mani.")</f>
        <v>Il ragazzo ingoia l'oggetto in bocca e copre la bocca con le mani.</v>
      </c>
    </row>
    <row r="34216">
      <c r="A34216" s="4" t="s">
        <v>43059</v>
      </c>
      <c r="B34216" s="4" t="s">
        <v>43060</v>
      </c>
      <c r="C34216" s="5" t="str">
        <f>IFERROR(__xludf.DUMMYFUNCTION("GOOGLETRANSLATE(B34216,""en"",""it"")"),"Una persona è vista seduta lungo l'acqua in un kayak con in mano una pagaia.")</f>
        <v>Una persona è vista seduta lungo l'acqua in un kayak con in mano una pagaia.</v>
      </c>
    </row>
    <row r="34217">
      <c r="A34217" s="4" t="s">
        <v>43059</v>
      </c>
      <c r="B34217" s="4" t="s">
        <v>43061</v>
      </c>
      <c r="C34217" s="5" t="str">
        <f>IFERROR(__xludf.DUMMYFUNCTION("GOOGLETRANSLATE(B34217,""en"",""it"")"),"La persona inizia quindi a muoversi lungo l'acqua nel kayak.")</f>
        <v>La persona inizia quindi a muoversi lungo l'acqua nel kayak.</v>
      </c>
    </row>
    <row r="34218">
      <c r="A34218" s="4" t="s">
        <v>43059</v>
      </c>
      <c r="B34218" s="4" t="s">
        <v>43062</v>
      </c>
      <c r="C34218" s="5" t="str">
        <f>IFERROR(__xludf.DUMMYFUNCTION("GOOGLETRANSLATE(B34218,""en"",""it"")"),"La persona continua a remare e viene quindi tirata indietro da una corda e le braccia si alzano.")</f>
        <v>La persona continua a remare e viene quindi tirata indietro da una corda e le braccia si alzano.</v>
      </c>
    </row>
    <row r="34219">
      <c r="A34219" s="4" t="s">
        <v>43063</v>
      </c>
      <c r="B34219" s="6" t="s">
        <v>43064</v>
      </c>
      <c r="C34219" s="5" t="str">
        <f>IFERROR(__xludf.DUMMYFUNCTION("GOOGLETRANSLATE(B34219,""en"",""it"")"),"Un folto gruppo di persone è visto in varie aree di un edificio mentre alcune si iscrivono per una gara.")</f>
        <v>Un folto gruppo di persone è visto in varie aree di un edificio mentre alcune si iscrivono per una gara.</v>
      </c>
    </row>
    <row r="34220">
      <c r="A34220" s="4" t="s">
        <v>43063</v>
      </c>
      <c r="B34220" s="4" t="s">
        <v>43065</v>
      </c>
      <c r="C34220" s="5" t="str">
        <f>IFERROR(__xludf.DUMMYFUNCTION("GOOGLETRANSLATE(B34220,""en"",""it"")"),"Le persone si siedono in una pista e conducono in bambini piccoli che eseguono diversi salti in lungo.")</f>
        <v>Le persone si siedono in una pista e conducono in bambini piccoli che eseguono diversi salti in lungo.</v>
      </c>
    </row>
    <row r="34221">
      <c r="A34221" s="4" t="s">
        <v>43063</v>
      </c>
      <c r="B34221" s="4" t="s">
        <v>43066</v>
      </c>
      <c r="C34221" s="5" t="str">
        <f>IFERROR(__xludf.DUMMYFUNCTION("GOOGLETRANSLATE(B34221,""en"",""it"")"),"Un uomo più anziano annuncia i premi alla fine e i vincitori stanno accanto e ottengono i loro nastri.")</f>
        <v>Un uomo più anziano annuncia i premi alla fine e i vincitori stanno accanto e ottengono i loro nastri.</v>
      </c>
    </row>
    <row r="34222">
      <c r="A34222" s="4" t="s">
        <v>43067</v>
      </c>
      <c r="B34222" s="4" t="s">
        <v>43068</v>
      </c>
      <c r="C34222" s="5" t="str">
        <f>IFERROR(__xludf.DUMMYFUNCTION("GOOGLETRANSLATE(B34222,""en"",""it"")"),"Un tostapane di Breville bianco è seduto su un bancone collegato.")</f>
        <v>Un tostapane di Breville bianco è seduto su un bancone collegato.</v>
      </c>
    </row>
    <row r="34223">
      <c r="A34223" s="4" t="s">
        <v>43067</v>
      </c>
      <c r="B34223" s="4" t="s">
        <v>43069</v>
      </c>
      <c r="C34223" s="5" t="str">
        <f>IFERROR(__xludf.DUMMYFUNCTION("GOOGLETRANSLATE(B34223,""en"",""it"")"),"Di fronte al tostapane, un blocco di crema bianca e una banana è seduto su un piatto bianco.")</f>
        <v>Di fronte al tostapane, un blocco di crema bianca e una banana è seduto su un piatto bianco.</v>
      </c>
    </row>
    <row r="34224">
      <c r="A34224" s="4" t="s">
        <v>43067</v>
      </c>
      <c r="B34224" s="4" t="s">
        <v>43070</v>
      </c>
      <c r="C34224" s="5" t="str">
        <f>IFERROR(__xludf.DUMMYFUNCTION("GOOGLETRANSLATE(B34224,""en"",""it"")"),"Successivamente, due fette di pane sono nel tostapane che va su e giù.")</f>
        <v>Successivamente, due fette di pane sono nel tostapane che va su e giù.</v>
      </c>
    </row>
    <row r="34225">
      <c r="A34225" s="4" t="s">
        <v>43067</v>
      </c>
      <c r="B34225" s="6" t="s">
        <v>43071</v>
      </c>
      <c r="C34225" s="5" t="str">
        <f>IFERROR(__xludf.DUMMYFUNCTION("GOOGLETRANSLATE(B34225,""en"",""it"")"),"Una volta che il pane è finito, viene messo sul piatto e la diffusione viene messa su entrambe le fette del brad, quindi la banana viene tagliata e mette il pane viene messo sopra le banane.")</f>
        <v>Una volta che il pane è finito, viene messo sul piatto e la diffusione viene messa su entrambe le fette del brad, quindi la banana viene tagliata e mette il pane viene messo sopra le banane.</v>
      </c>
    </row>
    <row r="34226">
      <c r="A34226" s="4" t="s">
        <v>43067</v>
      </c>
      <c r="B34226" s="4" t="s">
        <v>43072</v>
      </c>
      <c r="C34226" s="5" t="str">
        <f>IFERROR(__xludf.DUMMYFUNCTION("GOOGLETRANSLATE(B34226,""en"",""it"")"),"Ora, il sandwich è tagliato è la metà e la persona inizia a mangiarlo.")</f>
        <v>Ora, il sandwich è tagliato è la metà e la persona inizia a mangiarlo.</v>
      </c>
    </row>
    <row r="34227">
      <c r="A34227" s="4" t="s">
        <v>43073</v>
      </c>
      <c r="B34227" s="4" t="s">
        <v>43074</v>
      </c>
      <c r="C34227" s="5" t="str">
        <f>IFERROR(__xludf.DUMMYFUNCTION("GOOGLETRANSLATE(B34227,""en"",""it"")"),"Un uomo più anziano viene visto in ginocchio nel mezzo di una palestra con diverse persone intorno a lui.")</f>
        <v>Un uomo più anziano viene visto in ginocchio nel mezzo di una palestra con diverse persone intorno a lui.</v>
      </c>
    </row>
    <row r="34228">
      <c r="A34228" s="4" t="s">
        <v>43073</v>
      </c>
      <c r="B34228" s="4" t="s">
        <v>43075</v>
      </c>
      <c r="C34228" s="5" t="str">
        <f>IFERROR(__xludf.DUMMYFUNCTION("GOOGLETRANSLATE(B34228,""en"",""it"")"),"L'uomo tira su un pezzo di attrezzatura da esercizio che lavora la parte superiore delle braccia e quarto.")</f>
        <v>L'uomo tira su un pezzo di attrezzatura da esercizio che lavora la parte superiore delle braccia e quarto.</v>
      </c>
    </row>
    <row r="34229">
      <c r="A34229" s="4" t="s">
        <v>43076</v>
      </c>
      <c r="B34229" s="4" t="s">
        <v>43077</v>
      </c>
      <c r="C34229" s="5" t="str">
        <f>IFERROR(__xludf.DUMMYFUNCTION("GOOGLETRANSLATE(B34229,""en"",""it"")"),"Una donna è vista seduta in un ufficio medico con un medico che parla con lei e la macchina fotografica.")</f>
        <v>Una donna è vista seduta in un ufficio medico con un medico che parla con lei e la macchina fotografica.</v>
      </c>
    </row>
    <row r="34230">
      <c r="A34230" s="4" t="s">
        <v>43076</v>
      </c>
      <c r="B34230" s="4" t="s">
        <v>43078</v>
      </c>
      <c r="C34230" s="5" t="str">
        <f>IFERROR(__xludf.DUMMYFUNCTION("GOOGLETRANSLATE(B34230,""en"",""it"")"),"Il dottore quindi tiene un oggetto fino al labbro della ragazza.")</f>
        <v>Il dottore quindi tiene un oggetto fino al labbro della ragazza.</v>
      </c>
    </row>
    <row r="34231">
      <c r="A34231" s="4" t="s">
        <v>43076</v>
      </c>
      <c r="B34231" s="4" t="s">
        <v>43079</v>
      </c>
      <c r="C34231" s="5" t="str">
        <f>IFERROR(__xludf.DUMMYFUNCTION("GOOGLETRANSLATE(B34231,""en"",""it"")"),"Alla fine l'uomo trafigge il labbro delle ragazze e le sorride.")</f>
        <v>Alla fine l'uomo trafigge il labbro delle ragazze e le sorride.</v>
      </c>
    </row>
    <row r="34232">
      <c r="A34232" s="4" t="s">
        <v>43080</v>
      </c>
      <c r="B34232" s="4" t="s">
        <v>43081</v>
      </c>
      <c r="C34232" s="5" t="str">
        <f>IFERROR(__xludf.DUMMYFUNCTION("GOOGLETRANSLATE(B34232,""en"",""it"")"),"Un ragazzo si trova a un podio, parlando in un microfono.")</f>
        <v>Un ragazzo si trova a un podio, parlando in un microfono.</v>
      </c>
    </row>
    <row r="34233">
      <c r="A34233" s="4" t="s">
        <v>43080</v>
      </c>
      <c r="B34233" s="4" t="s">
        <v>43082</v>
      </c>
      <c r="C34233" s="5" t="str">
        <f>IFERROR(__xludf.DUMMYFUNCTION("GOOGLETRANSLATE(B34233,""en"",""it"")"),"Un gruppo di ragazze è sul palco insieme.")</f>
        <v>Un gruppo di ragazze è sul palco insieme.</v>
      </c>
    </row>
    <row r="34234">
      <c r="A34234" s="4" t="s">
        <v>43080</v>
      </c>
      <c r="B34234" s="4" t="s">
        <v>43083</v>
      </c>
      <c r="C34234" s="5" t="str">
        <f>IFERROR(__xludf.DUMMYFUNCTION("GOOGLETRANSLATE(B34234,""en"",""it"")"),"Iniziano a ballare mentre usano Hula Hoops.")</f>
        <v>Iniziano a ballare mentre usano Hula Hoops.</v>
      </c>
    </row>
    <row r="34235">
      <c r="A34235" s="4" t="s">
        <v>43080</v>
      </c>
      <c r="B34235" s="4" t="s">
        <v>43084</v>
      </c>
      <c r="C34235" s="5" t="str">
        <f>IFERROR(__xludf.DUMMYFUNCTION("GOOGLETRANSLATE(B34235,""en"",""it"")"),"Quando finiscono, una ragazza raccoglie i cerchi e la folla si avvicina mentre la tenda si chiude.")</f>
        <v>Quando finiscono, una ragazza raccoglie i cerchi e la folla si avvicina mentre la tenda si chiude.</v>
      </c>
    </row>
    <row r="34236">
      <c r="A34236" s="4" t="s">
        <v>43085</v>
      </c>
      <c r="B34236" s="4" t="s">
        <v>43086</v>
      </c>
      <c r="C34236" s="5" t="str">
        <f>IFERROR(__xludf.DUMMYFUNCTION("GOOGLETRANSLATE(B34236,""en"",""it"")"),"Una donna viene vista sedersi sul pavimento mentre tiene in mano un gatto e taglia i suoi artigli.")</f>
        <v>Una donna viene vista sedersi sul pavimento mentre tiene in mano un gatto e taglia i suoi artigli.</v>
      </c>
    </row>
    <row r="34237">
      <c r="A34237" s="4" t="s">
        <v>43085</v>
      </c>
      <c r="B34237" s="6" t="s">
        <v>43087</v>
      </c>
      <c r="C34237" s="5" t="str">
        <f>IFERROR(__xludf.DUMMYFUNCTION("GOOGLETRANSLATE(B34237,""en"",""it"")"),"La donna continua a tenere il gatto tagliando gli artigli e poi si alza e scappa alla fine.")</f>
        <v>La donna continua a tenere il gatto tagliando gli artigli e poi si alza e scappa alla fine.</v>
      </c>
    </row>
    <row r="34238">
      <c r="A34238" s="4" t="s">
        <v>43088</v>
      </c>
      <c r="B34238" s="4" t="s">
        <v>43089</v>
      </c>
      <c r="C34238" s="5" t="str">
        <f>IFERROR(__xludf.DUMMYFUNCTION("GOOGLETRANSLATE(B34238,""en"",""it"")"),"Le parole ""Women's Artistic Gymnastics (WAG)"" appaiono su uno schermo rosso.")</f>
        <v>Le parole "Women's Artistic Gymnastics (WAG)" appaiono su uno schermo rosso.</v>
      </c>
    </row>
    <row r="34239">
      <c r="A34239" s="4" t="s">
        <v>43088</v>
      </c>
      <c r="B34239" s="4" t="s">
        <v>43090</v>
      </c>
      <c r="C34239" s="5" t="str">
        <f>IFERROR(__xludf.DUMMYFUNCTION("GOOGLETRANSLATE(B34239,""en"",""it"")"),"""Codice dei punti 2013-2016"" appare brevemente.")</f>
        <v>"Codice dei punti 2013-2016" appare brevemente.</v>
      </c>
    </row>
    <row r="34240">
      <c r="A34240" s="4" t="s">
        <v>43088</v>
      </c>
      <c r="B34240" s="4" t="s">
        <v>43091</v>
      </c>
      <c r="C34240" s="5" t="str">
        <f>IFERROR(__xludf.DUMMYFUNCTION("GOOGLETRANSLATE(B34240,""en"",""it"")"),"Vengono mostrate clip di Chellsie Memmel che eseguono prove olimpiche di ginnastica.")</f>
        <v>Vengono mostrate clip di Chellsie Memmel che eseguono prove olimpiche di ginnastica.</v>
      </c>
    </row>
    <row r="34241">
      <c r="A34241" s="4" t="s">
        <v>43088</v>
      </c>
      <c r="B34241" s="4" t="s">
        <v>43092</v>
      </c>
      <c r="C34241" s="5" t="str">
        <f>IFERROR(__xludf.DUMMYFUNCTION("GOOGLETRANSLATE(B34241,""en"",""it"")"),"Varie statistiche della sua esibizione sono mostrate sullo schermo.")</f>
        <v>Varie statistiche della sua esibizione sono mostrate sullo schermo.</v>
      </c>
    </row>
    <row r="34242">
      <c r="A34242" s="4" t="s">
        <v>43093</v>
      </c>
      <c r="B34242" s="4" t="s">
        <v>43094</v>
      </c>
      <c r="C34242" s="5" t="str">
        <f>IFERROR(__xludf.DUMMYFUNCTION("GOOGLETRANSLATE(B34242,""en"",""it"")"),"Questa donna sta facendo un tutorial su come creare unghie di gatto nyan.")</f>
        <v>Questa donna sta facendo un tutorial su come creare unghie di gatto nyan.</v>
      </c>
    </row>
    <row r="34243">
      <c r="A34243" s="4" t="s">
        <v>43093</v>
      </c>
      <c r="B34243" s="4" t="s">
        <v>43095</v>
      </c>
      <c r="C34243" s="5" t="str">
        <f>IFERROR(__xludf.DUMMYFUNCTION("GOOGLETRANSLATE(B34243,""en"",""it"")"),"Prima dipingi tutte le unghie blu e fai una grande striscia bianca su di esse e punteggia le stelle piccole.")</f>
        <v>Prima dipingi tutte le unghie blu e fai una grande striscia bianca su di esse e punteggia le stelle piccole.</v>
      </c>
    </row>
    <row r="34244">
      <c r="A34244" s="4" t="s">
        <v>43093</v>
      </c>
      <c r="B34244" s="6" t="s">
        <v>43096</v>
      </c>
      <c r="C34244" s="5" t="str">
        <f>IFERROR(__xludf.DUMMYFUNCTION("GOOGLETRANSLATE(B34244,""en"",""it"")"),"Quindi usa un piccolo pennello per mettere i colori arcobaleno e quindi usa una borsa sandwich di plastica per preparare il gatto Nyan e se la spinge sull'unghia.")</f>
        <v>Quindi usa un piccolo pennello per mettere i colori arcobaleno e quindi usa una borsa sandwich di plastica per preparare il gatto Nyan e se la spinge sull'unghia.</v>
      </c>
    </row>
    <row r="34245">
      <c r="A34245" s="4" t="s">
        <v>43097</v>
      </c>
      <c r="B34245" s="4" t="s">
        <v>43098</v>
      </c>
      <c r="C34245" s="5" t="str">
        <f>IFERROR(__xludf.DUMMYFUNCTION("GOOGLETRANSLATE(B34245,""en"",""it"")"),"Una signora discute e piega un asciugamano.")</f>
        <v>Una signora discute e piega un asciugamano.</v>
      </c>
    </row>
    <row r="34246">
      <c r="A34246" s="4" t="s">
        <v>43097</v>
      </c>
      <c r="B34246" s="4" t="s">
        <v>43099</v>
      </c>
      <c r="C34246" s="5" t="str">
        <f>IFERROR(__xludf.DUMMYFUNCTION("GOOGLETRANSLATE(B34246,""en"",""it"")"),"La signora si lava il viso con una polvere da una scatola.")</f>
        <v>La signora si lava il viso con una polvere da una scatola.</v>
      </c>
    </row>
    <row r="34247">
      <c r="A34247" s="4" t="s">
        <v>43097</v>
      </c>
      <c r="B34247" s="4" t="s">
        <v>43100</v>
      </c>
      <c r="C34247" s="5" t="str">
        <f>IFERROR(__xludf.DUMMYFUNCTION("GOOGLETRANSLATE(B34247,""en"",""it"")"),"La signora si sciacqua il viso e usa un asciugamano per prosciugarsi.")</f>
        <v>La signora si sciacqua il viso e usa un asciugamano per prosciugarsi.</v>
      </c>
    </row>
    <row r="34248">
      <c r="A34248" s="4" t="s">
        <v>43101</v>
      </c>
      <c r="B34248" s="4" t="s">
        <v>43102</v>
      </c>
      <c r="C34248" s="5" t="str">
        <f>IFERROR(__xludf.DUMMYFUNCTION("GOOGLETRANSLATE(B34248,""en"",""it"")"),"Una donna che cerca di istruire il modo di suonare la lucertola di Big Bang Theory di Lizard Spock.")</f>
        <v>Una donna che cerca di istruire il modo di suonare la lucertola di Big Bang Theory di Lizard Spock.</v>
      </c>
    </row>
    <row r="34249">
      <c r="A34249" s="4" t="s">
        <v>43101</v>
      </c>
      <c r="B34249" s="4" t="s">
        <v>43103</v>
      </c>
      <c r="C34249" s="5" t="str">
        <f>IFERROR(__xludf.DUMMYFUNCTION("GOOGLETRANSLATE(B34249,""en"",""it"")"),"Mostra una rapida clip di Sheldon di Big Bang Theory che lo fa davvero.")</f>
        <v>Mostra una rapida clip di Sheldon di Big Bang Theory che lo fa davvero.</v>
      </c>
    </row>
    <row r="34250">
      <c r="A34250" s="4" t="s">
        <v>43101</v>
      </c>
      <c r="B34250" s="4" t="s">
        <v>43104</v>
      </c>
      <c r="C34250" s="5" t="str">
        <f>IFERROR(__xludf.DUMMYFUNCTION("GOOGLETRANSLATE(B34250,""en"",""it"")"),"Quindi, cerca di dimostrarlo alcune volte per gli spettatori.")</f>
        <v>Quindi, cerca di dimostrarlo alcune volte per gli spettatori.</v>
      </c>
    </row>
    <row r="34251">
      <c r="A34251" s="4" t="s">
        <v>43101</v>
      </c>
      <c r="B34251" s="4" t="s">
        <v>43105</v>
      </c>
      <c r="C34251" s="5" t="str">
        <f>IFERROR(__xludf.DUMMYFUNCTION("GOOGLETRANSLATE(B34251,""en"",""it"")"),"Alla fine lei sorride e lo finisce con un altro quadro della teoria del Big Bang.")</f>
        <v>Alla fine lei sorride e lo finisce con un altro quadro della teoria del Big Bang.</v>
      </c>
    </row>
    <row r="34252">
      <c r="A34252" s="4" t="s">
        <v>43106</v>
      </c>
      <c r="B34252" s="4" t="s">
        <v>1251</v>
      </c>
      <c r="C34252" s="5" t="str">
        <f>IFERROR(__xludf.DUMMYFUNCTION("GOOGLETRANSLATE(B34252,""en"",""it"")"),"Vengono visualizzati i crediti della clip.")</f>
        <v>Vengono visualizzati i crediti della clip.</v>
      </c>
    </row>
    <row r="34253">
      <c r="A34253" s="4" t="s">
        <v>43106</v>
      </c>
      <c r="B34253" s="4" t="s">
        <v>43107</v>
      </c>
      <c r="C34253" s="5" t="str">
        <f>IFERROR(__xludf.DUMMYFUNCTION("GOOGLETRANSLATE(B34253,""en"",""it"")"),"Un uomo fa oscillare un oggetto metallico da mano in mano.")</f>
        <v>Un uomo fa oscillare un oggetto metallico da mano in mano.</v>
      </c>
    </row>
    <row r="34254">
      <c r="A34254" s="4" t="s">
        <v>43106</v>
      </c>
      <c r="B34254" s="4" t="s">
        <v>43108</v>
      </c>
      <c r="C34254" s="5" t="str">
        <f>IFERROR(__xludf.DUMMYFUNCTION("GOOGLETRANSLATE(B34254,""en"",""it"")"),"L'uomo gira e rilascia un oggetto dietro di lui e vengono mostrati i crediti del video.")</f>
        <v>L'uomo gira e rilascia un oggetto dietro di lui e vengono mostrati i crediti del video.</v>
      </c>
    </row>
    <row r="34255">
      <c r="A34255" s="4" t="s">
        <v>43109</v>
      </c>
      <c r="B34255" s="4" t="s">
        <v>43110</v>
      </c>
      <c r="C34255" s="5" t="str">
        <f>IFERROR(__xludf.DUMMYFUNCTION("GOOGLETRANSLATE(B34255,""en"",""it"")"),"Un uomo e una donna sono in piedi in una cucina dietro un'isola con frutta su di loro.")</f>
        <v>Un uomo e una donna sono in piedi in una cucina dietro un'isola con frutta su di loro.</v>
      </c>
    </row>
    <row r="34256">
      <c r="A34256" s="4" t="s">
        <v>43109</v>
      </c>
      <c r="B34256" s="6" t="s">
        <v>43111</v>
      </c>
      <c r="C34256" s="5" t="str">
        <f>IFERROR(__xludf.DUMMYFUNCTION("GOOGLETRANSLATE(B34256,""en"",""it"")"),"Una volta che il maschio finisce di parlare, la donna inizia a grattare una verdura e tagliare a metà un'arancia.")</f>
        <v>Una volta che il maschio finisce di parlare, la donna inizia a grattare una verdura e tagliare a metà un'arancia.</v>
      </c>
    </row>
    <row r="34257">
      <c r="A34257" s="4" t="s">
        <v>43109</v>
      </c>
      <c r="B34257" s="6" t="s">
        <v>43112</v>
      </c>
      <c r="C34257" s="5" t="str">
        <f>IFERROR(__xludf.DUMMYFUNCTION("GOOGLETRANSLATE(B34257,""en"",""it"")"),"Quindi stringe l'arancia in una ciotola di vetro trasparente e la condanna e mescolandola insieme agli ingredienti tagliati precedentemente.")</f>
        <v>Quindi stringe l'arancia in una ciotola di vetro trasparente e la condanna e mescolandola insieme agli ingredienti tagliati precedentemente.</v>
      </c>
    </row>
    <row r="34258">
      <c r="A34258" s="4" t="s">
        <v>43113</v>
      </c>
      <c r="B34258" s="4" t="s">
        <v>43114</v>
      </c>
      <c r="C34258" s="5" t="str">
        <f>IFERROR(__xludf.DUMMYFUNCTION("GOOGLETRANSLATE(B34258,""en"",""it"")"),"Una persona viene vista guardare la telecamera in diversi scatti e un primo piano di una bici da sporco.")</f>
        <v>Una persona viene vista guardare la telecamera in diversi scatti e un primo piano di una bici da sporco.</v>
      </c>
    </row>
    <row r="34259">
      <c r="A34259" s="4" t="s">
        <v>43113</v>
      </c>
      <c r="B34259" s="4" t="s">
        <v>43115</v>
      </c>
      <c r="C34259" s="5" t="str">
        <f>IFERROR(__xludf.DUMMYFUNCTION("GOOGLETRANSLATE(B34259,""en"",""it"")"),"Le persone vengono quindi mostrate in diversi colpi che cavalcano una pista ed eseguono trucchi.")</f>
        <v>Le persone vengono quindi mostrate in diversi colpi che cavalcano una pista ed eseguono trucchi.</v>
      </c>
    </row>
    <row r="34260">
      <c r="A34260" s="4" t="s">
        <v>43113</v>
      </c>
      <c r="B34260" s="4" t="s">
        <v>43116</v>
      </c>
      <c r="C34260" s="5" t="str">
        <f>IFERROR(__xludf.DUMMYFUNCTION("GOOGLETRANSLATE(B34260,""en"",""it"")"),"Gli uomini cavalcano le aree boschive e tracce in molti colpi.")</f>
        <v>Gli uomini cavalcano le aree boschive e tracce in molti colpi.</v>
      </c>
    </row>
    <row r="34261">
      <c r="A34261" s="4" t="s">
        <v>43117</v>
      </c>
      <c r="B34261" s="6" t="s">
        <v>43118</v>
      </c>
      <c r="C34261" s="5" t="str">
        <f>IFERROR(__xludf.DUMMYFUNCTION("GOOGLETRANSLATE(B34261,""en"",""it"")"),"Ci sono molte persone diverse in piscina che nuotano e le parole ""Speedo come guidare la serie come"" respirare ""durante la nuotata in acqua aperta"" appaiono sullo schermo.")</f>
        <v>Ci sono molte persone diverse in piscina che nuotano e le parole "Speedo come guidare la serie come" respirare "durante la nuotata in acqua aperta" appaiono sullo schermo.</v>
      </c>
    </row>
    <row r="34262">
      <c r="A34262" s="4" t="s">
        <v>43117</v>
      </c>
      <c r="B34262" s="6" t="s">
        <v>43119</v>
      </c>
      <c r="C34262" s="5" t="str">
        <f>IFERROR(__xludf.DUMMYFUNCTION("GOOGLETRANSLATE(B34262,""en"",""it"")"),"Una giovane donna in costume da bagno e un cappuccio per la doccia è seduta sul lato della piscina a parlare mentre vengono mostrate clip del suo nuoto, e il suo nome è Keri-Anne Payne ed è la medaglia olimpica in argento in acque libere da 10 km.")</f>
        <v>Una giovane donna in costume da bagno e un cappuccio per la doccia è seduta sul lato della piscina a parlare mentre vengono mostrate clip del suo nuoto, e il suo nome è Keri-Anne Payne ed è la medaglia olimpica in argento in acque libere da 10 km.</v>
      </c>
    </row>
    <row r="34263">
      <c r="A34263" s="4" t="s">
        <v>43117</v>
      </c>
      <c r="B34263" s="4" t="s">
        <v>43120</v>
      </c>
      <c r="C34263" s="5" t="str">
        <f>IFERROR(__xludf.DUMMYFUNCTION("GOOGLETRANSLATE(B34263,""en"",""it"")"),"Viene visualizzato l'outro ed è uno schermo nero con un logo Speedo e la parola Speedo.")</f>
        <v>Viene visualizzato l'outro ed è uno schermo nero con un logo Speedo e la parola Speedo.</v>
      </c>
    </row>
    <row r="34264">
      <c r="A34264" s="4" t="s">
        <v>43121</v>
      </c>
      <c r="B34264" s="6" t="s">
        <v>43122</v>
      </c>
      <c r="C34264" s="5" t="str">
        <f>IFERROR(__xludf.DUMMYFUNCTION("GOOGLETRANSLATE(B34264,""en"",""it"")"),"Un'introduzione conduce in diverse clip di persone che cavalcano cavalli che lanciano una corda e afferrano il polpaccio nel mezzo di una fossa.")</f>
        <v>Un'introduzione conduce in diverse clip di persone che cavalcano cavalli che lanciano una corda e afferrano il polpaccio nel mezzo di una fossa.</v>
      </c>
    </row>
    <row r="34265">
      <c r="A34265" s="4" t="s">
        <v>43121</v>
      </c>
      <c r="B34265" s="6" t="s">
        <v>43123</v>
      </c>
      <c r="C34265" s="5" t="str">
        <f>IFERROR(__xludf.DUMMYFUNCTION("GOOGLETRANSLATE(B34265,""en"",""it"")"),"Vengono mostrate altre clip di persone che corrono il polpaccio nella fossa e finiscono con immagini di persone che si esibiscono.")</f>
        <v>Vengono mostrate altre clip di persone che corrono il polpaccio nella fossa e finiscono con immagini di persone che si esibiscono.</v>
      </c>
    </row>
    <row r="34266">
      <c r="A34266" s="4" t="s">
        <v>43124</v>
      </c>
      <c r="B34266" s="4" t="s">
        <v>43125</v>
      </c>
      <c r="C34266" s="5" t="str">
        <f>IFERROR(__xludf.DUMMYFUNCTION("GOOGLETRANSLATE(B34266,""en"",""it"")"),"Un gruppo di donne e un uomo stanno giocando a pallavolo nella sabbia su una spiaggia.")</f>
        <v>Un gruppo di donne e un uomo stanno giocando a pallavolo nella sabbia su una spiaggia.</v>
      </c>
    </row>
    <row r="34267">
      <c r="A34267" s="4" t="s">
        <v>43124</v>
      </c>
      <c r="B34267" s="4" t="s">
        <v>43126</v>
      </c>
      <c r="C34267" s="5" t="str">
        <f>IFERROR(__xludf.DUMMYFUNCTION("GOOGLETRANSLATE(B34267,""en"",""it"")"),"Lanciano la palla rosa avanti e indietro sopra la rete.")</f>
        <v>Lanciano la palla rosa avanti e indietro sopra la rete.</v>
      </c>
    </row>
    <row r="34268">
      <c r="A34268" s="4" t="s">
        <v>43124</v>
      </c>
      <c r="B34268" s="4" t="s">
        <v>43127</v>
      </c>
      <c r="C34268" s="5" t="str">
        <f>IFERROR(__xludf.DUMMYFUNCTION("GOOGLETRANSLATE(B34268,""en"",""it"")"),"Una donna va dietro un pezzo di equipaggiamento per afferrare la palla.")</f>
        <v>Una donna va dietro un pezzo di equipaggiamento per afferrare la palla.</v>
      </c>
    </row>
    <row r="34269">
      <c r="A34269" s="4" t="s">
        <v>43128</v>
      </c>
      <c r="B34269" s="6" t="s">
        <v>43129</v>
      </c>
      <c r="C34269" s="5" t="str">
        <f>IFERROR(__xludf.DUMMYFUNCTION("GOOGLETRANSLATE(B34269,""en"",""it"")"),"Un folto gruppo di donne viene visto muoversi attorno a un palcoscenico e iniziano con due donne che eseguono una routine di danza del ventre.")</f>
        <v>Un folto gruppo di donne viene visto muoversi attorno a un palcoscenico e iniziano con due donne che eseguono una routine di danza del ventre.</v>
      </c>
    </row>
    <row r="34270">
      <c r="A34270" s="4" t="s">
        <v>43128</v>
      </c>
      <c r="B34270" s="6" t="s">
        <v>43130</v>
      </c>
      <c r="C34270" s="5" t="str">
        <f>IFERROR(__xludf.DUMMYFUNCTION("GOOGLETRANSLATE(B34270,""en"",""it"")"),"Le donne continuano a ballare sul palco e finiscono tenendo una posa e si imbattono l'una nell'altra.")</f>
        <v>Le donne continuano a ballare sul palco e finiscono tenendo una posa e si imbattono l'una nell'altra.</v>
      </c>
    </row>
    <row r="34271">
      <c r="A34271" s="4" t="s">
        <v>43131</v>
      </c>
      <c r="B34271" s="4" t="s">
        <v>43132</v>
      </c>
      <c r="C34271" s="5" t="str">
        <f>IFERROR(__xludf.DUMMYFUNCTION("GOOGLETRANSLATE(B34271,""en"",""it"")"),"Diverse bottiglie e strumenti per unghie siedono su un tavolo.")</f>
        <v>Diverse bottiglie e strumenti per unghie siedono su un tavolo.</v>
      </c>
    </row>
    <row r="34272">
      <c r="A34272" s="4" t="s">
        <v>43131</v>
      </c>
      <c r="B34272" s="4" t="s">
        <v>43133</v>
      </c>
      <c r="C34272" s="5" t="str">
        <f>IFERROR(__xludf.DUMMYFUNCTION("GOOGLETRANSLATE(B34272,""en"",""it"")"),"Una donna si sta presentando le unghie sul tavolo con una barra bianca.")</f>
        <v>Una donna si sta presentando le unghie sul tavolo con una barra bianca.</v>
      </c>
    </row>
    <row r="34273">
      <c r="A34273" s="4" t="s">
        <v>43131</v>
      </c>
      <c r="B34273" s="4" t="s">
        <v>43134</v>
      </c>
      <c r="C34273" s="5" t="str">
        <f>IFERROR(__xludf.DUMMYFUNCTION("GOOGLETRANSLATE(B34273,""en"",""it"")"),"Quindi dipinge le unghie.")</f>
        <v>Quindi dipinge le unghie.</v>
      </c>
    </row>
    <row r="34274">
      <c r="A34274" s="4" t="s">
        <v>43131</v>
      </c>
      <c r="B34274" s="4" t="s">
        <v>43135</v>
      </c>
      <c r="C34274" s="5" t="str">
        <f>IFERROR(__xludf.DUMMYFUNCTION("GOOGLETRANSLATE(B34274,""en"",""it"")"),"Quindi mette le unghie di dito in una scatola bianca illuminata.")</f>
        <v>Quindi mette le unghie di dito in una scatola bianca illuminata.</v>
      </c>
    </row>
    <row r="34275">
      <c r="A34275" s="4" t="s">
        <v>43131</v>
      </c>
      <c r="B34275" s="4" t="s">
        <v>43136</v>
      </c>
      <c r="C34275" s="5" t="str">
        <f>IFERROR(__xludf.DUMMYFUNCTION("GOOGLETRANSLATE(B34275,""en"",""it"")"),"La luce si spegne e lei si toglie la mano e la posa sul tavolo.")</f>
        <v>La luce si spegne e lei si toglie la mano e la posa sul tavolo.</v>
      </c>
    </row>
    <row r="34276">
      <c r="A34276" s="4" t="s">
        <v>43131</v>
      </c>
      <c r="B34276" s="4" t="s">
        <v>43137</v>
      </c>
      <c r="C34276" s="5" t="str">
        <f>IFERROR(__xludf.DUMMYFUNCTION("GOOGLETRANSLATE(B34276,""en"",""it"")"),"Sullo schermo viene mostrata una bottiglia di smalto per unghie.")</f>
        <v>Sullo schermo viene mostrata una bottiglia di smalto per unghie.</v>
      </c>
    </row>
    <row r="34277">
      <c r="A34277" s="4" t="s">
        <v>43131</v>
      </c>
      <c r="B34277" s="4" t="s">
        <v>43138</v>
      </c>
      <c r="C34277" s="5" t="str">
        <f>IFERROR(__xludf.DUMMYFUNCTION("GOOGLETRANSLATE(B34277,""en"",""it"")"),"Lei dipinge le unghie con quello smalto.")</f>
        <v>Lei dipinge le unghie con quello smalto.</v>
      </c>
    </row>
    <row r="34278">
      <c r="A34278" s="4" t="s">
        <v>43131</v>
      </c>
      <c r="B34278" s="4" t="s">
        <v>43139</v>
      </c>
      <c r="C34278" s="5" t="str">
        <f>IFERROR(__xludf.DUMMYFUNCTION("GOOGLETRANSLATE(B34278,""en"",""it"")"),"Rimette la mano nella scatola illuminata sul tavolo.")</f>
        <v>Rimette la mano nella scatola illuminata sul tavolo.</v>
      </c>
    </row>
    <row r="34279">
      <c r="A34279" s="4" t="s">
        <v>43131</v>
      </c>
      <c r="B34279" s="4" t="s">
        <v>43140</v>
      </c>
      <c r="C34279" s="5" t="str">
        <f>IFERROR(__xludf.DUMMYFUNCTION("GOOGLETRANSLATE(B34279,""en"",""it"")"),"Fa un'altra mano di smalto.")</f>
        <v>Fa un'altra mano di smalto.</v>
      </c>
    </row>
    <row r="34280">
      <c r="A34280" s="4" t="s">
        <v>43131</v>
      </c>
      <c r="B34280" s="4" t="s">
        <v>43141</v>
      </c>
      <c r="C34280" s="5" t="str">
        <f>IFERROR(__xludf.DUMMYFUNCTION("GOOGLETRANSLATE(B34280,""en"",""it"")"),"Rimette la mano nella scatola illuminata.")</f>
        <v>Rimette la mano nella scatola illuminata.</v>
      </c>
    </row>
    <row r="34281">
      <c r="A34281" s="4" t="s">
        <v>43131</v>
      </c>
      <c r="B34281" s="4" t="s">
        <v>43142</v>
      </c>
      <c r="C34281" s="5" t="str">
        <f>IFERROR(__xludf.DUMMYFUNCTION("GOOGLETRANSLATE(B34281,""en"",""it"")"),"Una bottiglia è mostrata sul tavolo.")</f>
        <v>Una bottiglia è mostrata sul tavolo.</v>
      </c>
    </row>
    <row r="34282">
      <c r="A34282" s="4" t="s">
        <v>43131</v>
      </c>
      <c r="B34282" s="4" t="s">
        <v>43143</v>
      </c>
      <c r="C34282" s="5" t="str">
        <f>IFERROR(__xludf.DUMMYFUNCTION("GOOGLETRANSLATE(B34282,""en"",""it"")"),"Lei posa le mani sul tavolo.")</f>
        <v>Lei posa le mani sul tavolo.</v>
      </c>
    </row>
    <row r="34283">
      <c r="A34283" s="4" t="s">
        <v>43144</v>
      </c>
      <c r="B34283" s="6" t="s">
        <v>43145</v>
      </c>
      <c r="C34283" s="5" t="str">
        <f>IFERROR(__xludf.DUMMYFUNCTION("GOOGLETRANSLATE(B34283,""en"",""it"")"),"I limoni vengono gettati su un bancone e gli occhiali di cerotto appaiono anche con i barattoli di muratore sul bancone.")</f>
        <v>I limoni vengono gettati su un bancone e gli occhiali di cerotto appaiono anche con i barattoli di muratore sul bancone.</v>
      </c>
    </row>
    <row r="34284">
      <c r="A34284" s="4" t="s">
        <v>43144</v>
      </c>
      <c r="B34284" s="6" t="s">
        <v>43146</v>
      </c>
      <c r="C34284" s="5" t="str">
        <f>IFERROR(__xludf.DUMMYFUNCTION("GOOGLETRANSLATE(B34284,""en"",""it"")"),"I limoni vengono quindi arrotolati contro il bancone avanti e indietro uniformemente con il palmo di una mano usando una pressione ferma.")</f>
        <v>I limoni vengono quindi arrotolati contro il bancone avanti e indietro uniformemente con il palmo di una mano usando una pressione ferma.</v>
      </c>
    </row>
    <row r="34285">
      <c r="A34285" s="4" t="s">
        <v>43144</v>
      </c>
      <c r="B34285" s="6" t="s">
        <v>43147</v>
      </c>
      <c r="C34285" s="5" t="str">
        <f>IFERROR(__xludf.DUMMYFUNCTION("GOOGLETRANSLATE(B34285,""en"",""it"")"),"I limoni vengono raschiati avanti e indietro contro una grattugia alimentare in metallo per toglierli lasciando la pelle del limone in una ciotola.")</f>
        <v>I limoni vengono raschiati avanti e indietro contro una grattugia alimentare in metallo per toglierli lasciando la pelle del limone in una ciotola.</v>
      </c>
    </row>
    <row r="34286">
      <c r="A34286" s="4" t="s">
        <v>43144</v>
      </c>
      <c r="B34286" s="6" t="s">
        <v>43148</v>
      </c>
      <c r="C34286" s="5" t="str">
        <f>IFERROR(__xludf.DUMMYFUNCTION("GOOGLETRANSLATE(B34286,""en"",""it"")"),"L'acqua viene aggiunta in una casseruola insieme allo zucchero, quindi anche la scorza di limone che è stata estratta con il trituratore di metallo viene aggiunta all'acqua.")</f>
        <v>L'acqua viene aggiunta in una casseruola insieme allo zucchero, quindi anche la scorza di limone che è stata estratta con il trituratore di metallo viene aggiunta all'acqua.</v>
      </c>
    </row>
    <row r="34287">
      <c r="A34287" s="4" t="s">
        <v>43144</v>
      </c>
      <c r="B34287" s="6" t="s">
        <v>43149</v>
      </c>
      <c r="C34287" s="5" t="str">
        <f>IFERROR(__xludf.DUMMYFUNCTION("GOOGLETRANSLATE(B34287,""en"",""it"")"),"I limoni vengono tagliati e spremuti su una ciotola di vetro e quindi il succo viene versato attraverso un filtro insieme all'acqua di zucchero con scorza che era stata precedentemente mescolata nella casseruola.")</f>
        <v>I limoni vengono tagliati e spremuti su una ciotola di vetro e quindi il succo viene versato attraverso un filtro insieme all'acqua di zucchero con scorza che era stata precedentemente mescolata nella casseruola.</v>
      </c>
    </row>
    <row r="34288">
      <c r="A34288" s="4" t="s">
        <v>43144</v>
      </c>
      <c r="B34288" s="4" t="s">
        <v>43150</v>
      </c>
      <c r="C34288" s="5" t="str">
        <f>IFERROR(__xludf.DUMMYFUNCTION("GOOGLETRANSLATE(B34288,""en"",""it"")"),"La miscela viene agitata con acqua aggiunta e il ghiaccio viene quindi aggiunto.")</f>
        <v>La miscela viene agitata con acqua aggiunta e il ghiaccio viene quindi aggiunto.</v>
      </c>
    </row>
    <row r="34289">
      <c r="A34289" s="4" t="s">
        <v>43151</v>
      </c>
      <c r="B34289" s="4" t="s">
        <v>43152</v>
      </c>
      <c r="C34289" s="5" t="str">
        <f>IFERROR(__xludf.DUMMYFUNCTION("GOOGLETRANSLATE(B34289,""en"",""it"")"),"Un uomo è visto in piedi con un uomo in una camera da letto.")</f>
        <v>Un uomo è visto in piedi con un uomo in una camera da letto.</v>
      </c>
    </row>
    <row r="34290">
      <c r="A34290" s="4" t="s">
        <v>43151</v>
      </c>
      <c r="B34290" s="4" t="s">
        <v>43153</v>
      </c>
      <c r="C34290" s="5" t="str">
        <f>IFERROR(__xludf.DUMMYFUNCTION("GOOGLETRANSLATE(B34290,""en"",""it"")"),"Si china e inizia a raccogliere l'altro uomo.")</f>
        <v>Si china e inizia a raccogliere l'altro uomo.</v>
      </c>
    </row>
    <row r="34291">
      <c r="A34291" s="4" t="s">
        <v>43151</v>
      </c>
      <c r="B34291" s="4" t="s">
        <v>43154</v>
      </c>
      <c r="C34291" s="5" t="str">
        <f>IFERROR(__xludf.DUMMYFUNCTION("GOOGLETRANSLATE(B34291,""en"",""it"")"),"Alla fine getta l'uomo sul letto.")</f>
        <v>Alla fine getta l'uomo sul letto.</v>
      </c>
    </row>
    <row r="34292">
      <c r="A34292" s="4" t="s">
        <v>43155</v>
      </c>
      <c r="B34292" s="6" t="s">
        <v>43156</v>
      </c>
      <c r="C34292" s="5" t="str">
        <f>IFERROR(__xludf.DUMMYFUNCTION("GOOGLETRANSLATE(B34292,""en"",""it"")"),"Due gruppi di ragazzi competono tiro alla fune della guerra di guerra, mentre un uomo supervisiona il gioco e altre persone guardano.")</f>
        <v>Due gruppi di ragazzi competono tiro alla fune della guerra di guerra, mentre un uomo supervisiona il gioco e altre persone guardano.</v>
      </c>
    </row>
    <row r="34293">
      <c r="A34293" s="4" t="s">
        <v>43155</v>
      </c>
      <c r="B34293" s="4" t="s">
        <v>43157</v>
      </c>
      <c r="C34293" s="5" t="str">
        <f>IFERROR(__xludf.DUMMYFUNCTION("GOOGLETRANSLATE(B34293,""en"",""it"")"),"Una persona scatta una foto.")</f>
        <v>Una persona scatta una foto.</v>
      </c>
    </row>
    <row r="34294">
      <c r="A34294" s="4" t="s">
        <v>43155</v>
      </c>
      <c r="B34294" s="4" t="s">
        <v>43158</v>
      </c>
      <c r="C34294" s="5" t="str">
        <f>IFERROR(__xludf.DUMMYFUNCTION("GOOGLETRANSLATE(B34294,""en"",""it"")"),"La squadra a sinistra vince la competizione.")</f>
        <v>La squadra a sinistra vince la competizione.</v>
      </c>
    </row>
    <row r="34295">
      <c r="A34295" s="4" t="s">
        <v>43159</v>
      </c>
      <c r="B34295" s="4" t="s">
        <v>43160</v>
      </c>
      <c r="C34295" s="5" t="str">
        <f>IFERROR(__xludf.DUMMYFUNCTION("GOOGLETRANSLATE(B34295,""en"",""it"")"),"Il video conduce in diversi scatti di persone in piedi su una spiaggia e suonano nella sabbia.")</f>
        <v>Il video conduce in diversi scatti di persone in piedi su una spiaggia e suonano nella sabbia.</v>
      </c>
    </row>
    <row r="34296">
      <c r="A34296" s="4" t="s">
        <v>43159</v>
      </c>
      <c r="B34296" s="6" t="s">
        <v>43161</v>
      </c>
      <c r="C34296" s="5" t="str">
        <f>IFERROR(__xludf.DUMMYFUNCTION("GOOGLETRANSLATE(B34296,""en"",""it"")"),"Vengono mostrate diverse altre foto di persone che si muovono lungo la spiaggia e aiutano gli altri e gli scatti dello scenario.")</f>
        <v>Vengono mostrate diverse altre foto di persone che si muovono lungo la spiaggia e aiutano gli altri e gli scatti dello scenario.</v>
      </c>
    </row>
    <row r="34297">
      <c r="A34297" s="4" t="s">
        <v>43162</v>
      </c>
      <c r="B34297" s="4" t="s">
        <v>43163</v>
      </c>
      <c r="C34297" s="5" t="str">
        <f>IFERROR(__xludf.DUMMYFUNCTION("GOOGLETRANSLATE(B34297,""en"",""it"")"),"Vediamo che i crediti a rotazione aumentano lo schermo.")</f>
        <v>Vediamo che i crediti a rotazione aumentano lo schermo.</v>
      </c>
    </row>
    <row r="34298">
      <c r="A34298" s="4" t="s">
        <v>43162</v>
      </c>
      <c r="B34298" s="4" t="s">
        <v>43164</v>
      </c>
      <c r="C34298" s="5" t="str">
        <f>IFERROR(__xludf.DUMMYFUNCTION("GOOGLETRANSLATE(B34298,""en"",""it"")"),"Vediamo tre persone che vanno in bicicletta in palestra.")</f>
        <v>Vediamo tre persone che vanno in bicicletta in palestra.</v>
      </c>
    </row>
    <row r="34299">
      <c r="A34299" s="4" t="s">
        <v>43162</v>
      </c>
      <c r="B34299" s="4" t="s">
        <v>43165</v>
      </c>
      <c r="C34299" s="5" t="str">
        <f>IFERROR(__xludf.DUMMYFUNCTION("GOOGLETRANSLATE(B34299,""en"",""it"")"),"La fotocamera si avvicina ai motociclisti.")</f>
        <v>La fotocamera si avvicina ai motociclisti.</v>
      </c>
    </row>
    <row r="34300">
      <c r="A34300" s="4" t="s">
        <v>43162</v>
      </c>
      <c r="B34300" s="4" t="s">
        <v>43166</v>
      </c>
      <c r="C34300" s="5" t="str">
        <f>IFERROR(__xludf.DUMMYFUNCTION("GOOGLETRANSLATE(B34300,""en"",""it"")"),"La signora si ferma e regola qualcosa sulla sua bici.")</f>
        <v>La signora si ferma e regola qualcosa sulla sua bici.</v>
      </c>
    </row>
    <row r="34301">
      <c r="A34301" s="4" t="s">
        <v>43162</v>
      </c>
      <c r="B34301" s="4" t="s">
        <v>43167</v>
      </c>
      <c r="C34301" s="5" t="str">
        <f>IFERROR(__xludf.DUMMYFUNCTION("GOOGLETRANSLATE(B34301,""en"",""it"")"),"Abbiamo fatto il quarto pilota nella scena.")</f>
        <v>Abbiamo fatto il quarto pilota nella scena.</v>
      </c>
    </row>
    <row r="34302">
      <c r="A34302" s="4" t="s">
        <v>43162</v>
      </c>
      <c r="B34302" s="4" t="s">
        <v>43168</v>
      </c>
      <c r="C34302" s="5" t="str">
        <f>IFERROR(__xludf.DUMMYFUNCTION("GOOGLETRANSLATE(B34302,""en"",""it"")"),"La signora sta cavalcando la sua bici più lentamente.")</f>
        <v>La signora sta cavalcando la sua bici più lentamente.</v>
      </c>
    </row>
    <row r="34303">
      <c r="A34303" s="4" t="s">
        <v>43162</v>
      </c>
      <c r="B34303" s="4" t="s">
        <v>43169</v>
      </c>
      <c r="C34303" s="5" t="str">
        <f>IFERROR(__xludf.DUMMYFUNCTION("GOOGLETRANSLATE(B34303,""en"",""it"")"),"La signora sta guidando lentamente la sua bici.")</f>
        <v>La signora sta guidando lentamente la sua bici.</v>
      </c>
    </row>
    <row r="34304">
      <c r="A34304" s="4" t="s">
        <v>43162</v>
      </c>
      <c r="B34304" s="4" t="s">
        <v>43170</v>
      </c>
      <c r="C34304" s="5" t="str">
        <f>IFERROR(__xludf.DUMMYFUNCTION("GOOGLETRANSLATE(B34304,""en"",""it"")"),"Vediamo la schermata di chiusura su uno sfondo blu.")</f>
        <v>Vediamo la schermata di chiusura su uno sfondo blu.</v>
      </c>
    </row>
    <row r="34305">
      <c r="A34305" s="4" t="s">
        <v>43171</v>
      </c>
      <c r="B34305" s="4" t="s">
        <v>43172</v>
      </c>
      <c r="C34305" s="5" t="str">
        <f>IFERROR(__xludf.DUMMYFUNCTION("GOOGLETRANSLATE(B34305,""en"",""it"")"),"C'è un bambino seduto su un letto in camera da letto.")</f>
        <v>C'è un bambino seduto su un letto in camera da letto.</v>
      </c>
    </row>
    <row r="34306">
      <c r="A34306" s="4" t="s">
        <v>43171</v>
      </c>
      <c r="B34306" s="4" t="s">
        <v>43173</v>
      </c>
      <c r="C34306" s="5" t="str">
        <f>IFERROR(__xludf.DUMMYFUNCTION("GOOGLETRANSLATE(B34306,""en"",""it"")"),"C'è un cesto per il bucato e molti vestiti sul letto.")</f>
        <v>C'è un cesto per il bucato e molti vestiti sul letto.</v>
      </c>
    </row>
    <row r="34307">
      <c r="A34307" s="4" t="s">
        <v>43171</v>
      </c>
      <c r="B34307" s="4" t="s">
        <v>43174</v>
      </c>
      <c r="C34307" s="5" t="str">
        <f>IFERROR(__xludf.DUMMYFUNCTION("GOOGLETRANSLATE(B34307,""en"",""it"")"),"La madre del ragazzo che sta girando il video mostra un aspirapolvere.")</f>
        <v>La madre del ragazzo che sta girando il video mostra un aspirapolvere.</v>
      </c>
    </row>
    <row r="34308">
      <c r="A34308" s="4" t="s">
        <v>43171</v>
      </c>
      <c r="B34308" s="4" t="s">
        <v>43175</v>
      </c>
      <c r="C34308" s="5" t="str">
        <f>IFERROR(__xludf.DUMMYFUNCTION("GOOGLETRANSLATE(B34308,""en"",""it"")"),"Quindi accende l'aspirapolvere e inizia a aspirare il pavimento della camera da letto.")</f>
        <v>Quindi accende l'aspirapolvere e inizia a aspirare il pavimento della camera da letto.</v>
      </c>
    </row>
    <row r="34309">
      <c r="A34309" s="4" t="s">
        <v>43171</v>
      </c>
      <c r="B34309" s="4" t="s">
        <v>43176</v>
      </c>
      <c r="C34309" s="5" t="str">
        <f>IFERROR(__xludf.DUMMYFUNCTION("GOOGLETRANSLATE(B34309,""en"",""it"")"),"Il ragazzo osserva sua madre aspirare mentre salta sul letto.")</f>
        <v>Il ragazzo osserva sua madre aspirare mentre salta sul letto.</v>
      </c>
    </row>
    <row r="34310">
      <c r="A34310" s="4" t="s">
        <v>43171</v>
      </c>
      <c r="B34310" s="4" t="s">
        <v>43177</v>
      </c>
      <c r="C34310" s="5" t="str">
        <f>IFERROR(__xludf.DUMMYFUNCTION("GOOGLETRANSLATE(B34310,""en"",""it"")"),"Il ragazzo si sdraia quindi sul letto mentre vede sua madre finire il lavoro.")</f>
        <v>Il ragazzo si sdraia quindi sul letto mentre vede sua madre finire il lavoro.</v>
      </c>
    </row>
    <row r="34311">
      <c r="A34311" s="4" t="s">
        <v>43171</v>
      </c>
      <c r="B34311" s="4" t="s">
        <v>43178</v>
      </c>
      <c r="C34311" s="5" t="str">
        <f>IFERROR(__xludf.DUMMYFUNCTION("GOOGLETRANSLATE(B34311,""en"",""it"")"),"Quindi il ragazzo scende dal letto e salta a terra per guardare sotto il comodino.")</f>
        <v>Quindi il ragazzo scende dal letto e salta a terra per guardare sotto il comodino.</v>
      </c>
    </row>
    <row r="34312">
      <c r="A34312" s="4" t="s">
        <v>43179</v>
      </c>
      <c r="B34312" s="4" t="s">
        <v>43180</v>
      </c>
      <c r="C34312" s="5" t="str">
        <f>IFERROR(__xludf.DUMMYFUNCTION("GOOGLETRANSLATE(B34312,""en"",""it"")"),"Un uomo sta parlando in una palestra in piscina.")</f>
        <v>Un uomo sta parlando in una palestra in piscina.</v>
      </c>
    </row>
    <row r="34313">
      <c r="A34313" s="4" t="s">
        <v>43179</v>
      </c>
      <c r="B34313" s="4" t="s">
        <v>43181</v>
      </c>
      <c r="C34313" s="5" t="str">
        <f>IFERROR(__xludf.DUMMYFUNCTION("GOOGLETRANSLATE(B34313,""en"",""it"")"),"Una vista viene mostrata sotto l'acqua, quindi gli taglia a parlare.")</f>
        <v>Una vista viene mostrata sotto l'acqua, quindi gli taglia a parlare.</v>
      </c>
    </row>
    <row r="34314">
      <c r="A34314" s="4" t="s">
        <v>43182</v>
      </c>
      <c r="B34314" s="4" t="s">
        <v>43183</v>
      </c>
      <c r="C34314" s="5" t="str">
        <f>IFERROR(__xludf.DUMMYFUNCTION("GOOGLETRANSLATE(B34314,""en"",""it"")"),"Un ragazzo si prepara a sollevare il peso.")</f>
        <v>Un ragazzo si prepara a sollevare il peso.</v>
      </c>
    </row>
    <row r="34315">
      <c r="A34315" s="4" t="s">
        <v>43182</v>
      </c>
      <c r="B34315" s="4" t="s">
        <v>43184</v>
      </c>
      <c r="C34315" s="5" t="str">
        <f>IFERROR(__xludf.DUMMYFUNCTION("GOOGLETRANSLATE(B34315,""en"",""it"")"),"Il ragazzo solleva il peso.")</f>
        <v>Il ragazzo solleva il peso.</v>
      </c>
    </row>
    <row r="34316">
      <c r="A34316" s="4" t="s">
        <v>43182</v>
      </c>
      <c r="B34316" s="4" t="s">
        <v>43185</v>
      </c>
      <c r="C34316" s="5" t="str">
        <f>IFERROR(__xludf.DUMMYFUNCTION("GOOGLETRANSLATE(B34316,""en"",""it"")"),"Il ragazzo balla e poi lascia il palco.")</f>
        <v>Il ragazzo balla e poi lascia il palco.</v>
      </c>
    </row>
    <row r="34317">
      <c r="A34317" s="4" t="s">
        <v>43182</v>
      </c>
      <c r="B34317" s="4" t="s">
        <v>43186</v>
      </c>
      <c r="C34317" s="5" t="str">
        <f>IFERROR(__xludf.DUMMYFUNCTION("GOOGLETRANSLATE(B34317,""en"",""it"")"),"Un uomo porta una scatola sul palco.")</f>
        <v>Un uomo porta una scatola sul palco.</v>
      </c>
    </row>
    <row r="34318">
      <c r="A34318" s="4" t="s">
        <v>43187</v>
      </c>
      <c r="B34318" s="4" t="s">
        <v>43188</v>
      </c>
      <c r="C34318" s="5" t="str">
        <f>IFERROR(__xludf.DUMMYFUNCTION("GOOGLETRANSLATE(B34318,""en"",""it"")"),"Un ragazzo sta sorridendo all'uomo la cui scarpa brilla.")</f>
        <v>Un ragazzo sta sorridendo all'uomo la cui scarpa brilla.</v>
      </c>
    </row>
    <row r="34319">
      <c r="A34319" s="4" t="s">
        <v>43187</v>
      </c>
      <c r="B34319" s="4" t="s">
        <v>43189</v>
      </c>
      <c r="C34319" s="5" t="str">
        <f>IFERROR(__xludf.DUMMYFUNCTION("GOOGLETRANSLATE(B34319,""en"",""it"")"),"L'uomo sta guardando il ragazzo.")</f>
        <v>L'uomo sta guardando il ragazzo.</v>
      </c>
    </row>
    <row r="34320">
      <c r="A34320" s="4" t="s">
        <v>43187</v>
      </c>
      <c r="B34320" s="4" t="s">
        <v>43190</v>
      </c>
      <c r="C34320" s="5" t="str">
        <f>IFERROR(__xludf.DUMMYFUNCTION("GOOGLETRANSLATE(B34320,""en"",""it"")"),"Il ragazzo brilla le scarpe da uomo.")</f>
        <v>Il ragazzo brilla le scarpe da uomo.</v>
      </c>
    </row>
    <row r="34321">
      <c r="A34321" s="4" t="s">
        <v>43187</v>
      </c>
      <c r="B34321" s="4" t="s">
        <v>43191</v>
      </c>
      <c r="C34321" s="5" t="str">
        <f>IFERROR(__xludf.DUMMYFUNCTION("GOOGLETRANSLATE(B34321,""en"",""it"")"),"Il ragazzo sta parlando con i passerby e punta.")</f>
        <v>Il ragazzo sta parlando con i passerby e punta.</v>
      </c>
    </row>
    <row r="34322">
      <c r="A34322" s="4" t="s">
        <v>43187</v>
      </c>
      <c r="B34322" s="4" t="s">
        <v>43192</v>
      </c>
      <c r="C34322" s="5" t="str">
        <f>IFERROR(__xludf.DUMMYFUNCTION("GOOGLETRANSLATE(B34322,""en"",""it"")"),"Un bambino piccolo si allontana dal muro.")</f>
        <v>Un bambino piccolo si allontana dal muro.</v>
      </c>
    </row>
    <row r="34323">
      <c r="A34323" s="4" t="s">
        <v>43187</v>
      </c>
      <c r="B34323" s="4" t="s">
        <v>43193</v>
      </c>
      <c r="C34323" s="5" t="str">
        <f>IFERROR(__xludf.DUMMYFUNCTION("GOOGLETRANSLATE(B34323,""en"",""it"")"),"Il ragazzo sta pulendo le scarpe da uomo con un asciugamano.")</f>
        <v>Il ragazzo sta pulendo le scarpe da uomo con un asciugamano.</v>
      </c>
    </row>
    <row r="34324">
      <c r="A34324" s="4" t="s">
        <v>43187</v>
      </c>
      <c r="B34324" s="4" t="s">
        <v>43194</v>
      </c>
      <c r="C34324" s="5" t="str">
        <f>IFERROR(__xludf.DUMMYFUNCTION("GOOGLETRANSLATE(B34324,""en"",""it"")"),"Ha iniziato a strofinare con il blocco.")</f>
        <v>Ha iniziato a strofinare con il blocco.</v>
      </c>
    </row>
    <row r="34325">
      <c r="A34325" s="4" t="s">
        <v>43187</v>
      </c>
      <c r="B34325" s="4" t="s">
        <v>43195</v>
      </c>
      <c r="C34325" s="5" t="str">
        <f>IFERROR(__xludf.DUMMYFUNCTION("GOOGLETRANSLATE(B34325,""en"",""it"")"),"Il ragazzo dà un segno di pace e sorride.")</f>
        <v>Il ragazzo dà un segno di pace e sorride.</v>
      </c>
    </row>
    <row r="34326">
      <c r="A34326" s="4" t="s">
        <v>43196</v>
      </c>
      <c r="B34326" s="6" t="s">
        <v>43197</v>
      </c>
      <c r="C34326" s="5" t="str">
        <f>IFERROR(__xludf.DUMMYFUNCTION("GOOGLETRANSLATE(B34326,""en"",""it"")"),"Una signora è sdraiata su un letto nero, una donna con maglione nero e indossando guanti neri si sta strofinando un cotone bianco sul bottone dell'ombelico della signora.")</f>
        <v>Una signora è sdraiata su un letto nero, una donna con maglione nero e indossando guanti neri si sta strofinando un cotone bianco sul bottone dell'ombelico della signora.</v>
      </c>
    </row>
    <row r="34327">
      <c r="A34327" s="4" t="s">
        <v>43196</v>
      </c>
      <c r="B34327" s="6" t="s">
        <v>43198</v>
      </c>
      <c r="C34327" s="5" t="str">
        <f>IFERROR(__xludf.DUMMYFUNCTION("GOOGLETRANSLATE(B34327,""en"",""it"")"),"Quindi la donna disegna un punto sul pulsante dell'ombelico, perforando l'ombelico con un perizoma, quindi la donna inserì un bastone di metallo, quindi puliva il pierce, quindi la donna inserì l'accessorio del pulsante dell'ombelico e stringerlo, quindi "&amp;"ripuliva il trafilo.")</f>
        <v>Quindi la donna disegna un punto sul pulsante dell'ombelico, perforando l'ombelico con un perizoma, quindi la donna inserì un bastone di metallo, quindi puliva il pierce, quindi la donna inserì l'accessorio del pulsante dell'ombelico e stringerlo, quindi ripuliva il trafilo.</v>
      </c>
    </row>
    <row r="34328">
      <c r="A34328" s="4" t="s">
        <v>43199</v>
      </c>
      <c r="B34328" s="4" t="s">
        <v>43200</v>
      </c>
      <c r="C34328" s="5" t="str">
        <f>IFERROR(__xludf.DUMMYFUNCTION("GOOGLETRANSLATE(B34328,""en"",""it"")"),"Ci sono diverse persone che slittono un pendio innevato in tubi di neve rotondi.")</f>
        <v>Ci sono diverse persone che slittono un pendio innevato in tubi di neve rotondi.</v>
      </c>
    </row>
    <row r="34329">
      <c r="A34329" s="4" t="s">
        <v>43199</v>
      </c>
      <c r="B34329" s="4" t="s">
        <v>43201</v>
      </c>
      <c r="C34329" s="5" t="str">
        <f>IFERROR(__xludf.DUMMYFUNCTION("GOOGLETRANSLATE(B34329,""en"",""it"")"),"Stanno andando lungo il ripido pendio nevoso ad alta velocità.")</f>
        <v>Stanno andando lungo il ripido pendio nevoso ad alta velocità.</v>
      </c>
    </row>
    <row r="34330">
      <c r="A34330" s="4" t="s">
        <v>43199</v>
      </c>
      <c r="B34330" s="4" t="s">
        <v>43202</v>
      </c>
      <c r="C34330" s="5" t="str">
        <f>IFERROR(__xludf.DUMMYFUNCTION("GOOGLETRANSLATE(B34330,""en"",""it"")"),"Una delle persone che scende dal pendio alza la mano al suo amico mentre scende in discesa.")</f>
        <v>Una delle persone che scende dal pendio alza la mano al suo amico mentre scende in discesa.</v>
      </c>
    </row>
    <row r="34331">
      <c r="A34331" s="4" t="s">
        <v>43203</v>
      </c>
      <c r="B34331" s="4" t="s">
        <v>43204</v>
      </c>
      <c r="C34331" s="5" t="str">
        <f>IFERROR(__xludf.DUMMYFUNCTION("GOOGLETRANSLATE(B34331,""en"",""it"")"),"Un uomo pulisce una grande finestra usando una maniglia lunga.")</f>
        <v>Un uomo pulisce una grande finestra usando una maniglia lunga.</v>
      </c>
    </row>
    <row r="34332">
      <c r="A34332" s="4" t="s">
        <v>43203</v>
      </c>
      <c r="B34332" s="4" t="s">
        <v>43205</v>
      </c>
      <c r="C34332" s="5" t="str">
        <f>IFERROR(__xludf.DUMMYFUNCTION("GOOGLETRANSLATE(B34332,""en"",""it"")"),"Quindi, l'uomo usa un lungo tergicristallo in acciaio per pulire la finestra da destra a sinistra.")</f>
        <v>Quindi, l'uomo usa un lungo tergicristallo in acciaio per pulire la finestra da destra a sinistra.</v>
      </c>
    </row>
    <row r="34333">
      <c r="A34333" s="4" t="s">
        <v>43203</v>
      </c>
      <c r="B34333" s="6" t="s">
        <v>43206</v>
      </c>
      <c r="C34333" s="5" t="str">
        <f>IFERROR(__xludf.DUMMYFUNCTION("GOOGLETRANSLATE(B34333,""en"",""it"")"),"Dopo, l'uomo prende un panno e pulisce la parte inferiore della finestra, quindi continua a pulire il con uno spremuto e una pulizia in acciaio.")</f>
        <v>Dopo, l'uomo prende un panno e pulisce la parte inferiore della finestra, quindi continua a pulire il con uno spremuto e una pulizia in acciaio.</v>
      </c>
    </row>
    <row r="34334">
      <c r="A34334" s="4" t="s">
        <v>43207</v>
      </c>
      <c r="B34334" s="4" t="s">
        <v>43208</v>
      </c>
      <c r="C34334" s="5" t="str">
        <f>IFERROR(__xludf.DUMMYFUNCTION("GOOGLETRANSLATE(B34334,""en"",""it"")"),"Un uomo calvo sta guidando un'orchestra.")</f>
        <v>Un uomo calvo sta guidando un'orchestra.</v>
      </c>
    </row>
    <row r="34335">
      <c r="A34335" s="4" t="s">
        <v>43207</v>
      </c>
      <c r="B34335" s="4" t="s">
        <v>43209</v>
      </c>
      <c r="C34335" s="5" t="str">
        <f>IFERROR(__xludf.DUMMYFUNCTION("GOOGLETRANSLATE(B34335,""en"",""it"")"),"Diverse cantanti cantano mentre un coro di giovani cantano il backup.")</f>
        <v>Diverse cantanti cantano mentre un coro di giovani cantano il backup.</v>
      </c>
    </row>
    <row r="34336">
      <c r="A34336" s="4" t="s">
        <v>43207</v>
      </c>
      <c r="B34336" s="6" t="s">
        <v>43210</v>
      </c>
      <c r="C34336" s="5" t="str">
        <f>IFERROR(__xludf.DUMMYFUNCTION("GOOGLETRANSLATE(B34336,""en"",""it"")"),"Un giovane batterista e un uomo che suonano il piano si avvicinano mentre il ragazzo si guarda intorno.")</f>
        <v>Un giovane batterista e un uomo che suonano il piano si avvicinano mentre il ragazzo si guarda intorno.</v>
      </c>
    </row>
    <row r="34337">
      <c r="A34337" s="4" t="s">
        <v>43207</v>
      </c>
      <c r="B34337" s="4" t="s">
        <v>43211</v>
      </c>
      <c r="C34337" s="5" t="str">
        <f>IFERROR(__xludf.DUMMYFUNCTION("GOOGLETRANSLATE(B34337,""en"",""it"")"),"Mentre i cantanti e i musicisti finiscono la canzone, il direttore saluta la sua bacchetta per porre fine alla musica.")</f>
        <v>Mentre i cantanti e i musicisti finiscono la canzone, il direttore saluta la sua bacchetta per porre fine alla musica.</v>
      </c>
    </row>
    <row r="34338">
      <c r="A34338" s="4" t="s">
        <v>43212</v>
      </c>
      <c r="B34338" s="4" t="s">
        <v>43213</v>
      </c>
      <c r="C34338" s="5" t="str">
        <f>IFERROR(__xludf.DUMMYFUNCTION("GOOGLETRANSLATE(B34338,""en"",""it"")"),"Vediamo le ragazze in una palestra di costume rossa che esibisce una routine di testimone.")</f>
        <v>Vediamo le ragazze in una palestra di costume rossa che esibisce una routine di testimone.</v>
      </c>
    </row>
    <row r="34339">
      <c r="A34339" s="4" t="s">
        <v>43212</v>
      </c>
      <c r="B34339" s="4" t="s">
        <v>43214</v>
      </c>
      <c r="C34339" s="5" t="str">
        <f>IFERROR(__xludf.DUMMYFUNCTION("GOOGLETRANSLATE(B34339,""en"",""it"")"),"Tre ragazze passano in sottofondo.")</f>
        <v>Tre ragazze passano in sottofondo.</v>
      </c>
    </row>
    <row r="34340">
      <c r="A34340" s="4" t="s">
        <v>43212</v>
      </c>
      <c r="B34340" s="4" t="s">
        <v>43215</v>
      </c>
      <c r="C34340" s="5" t="str">
        <f>IFERROR(__xludf.DUMMYFUNCTION("GOOGLETRANSLATE(B34340,""en"",""it"")"),"Le ragazze accanto a loro in rosa eseguono la loro routine.")</f>
        <v>Le ragazze accanto a loro in rosa eseguono la loro routine.</v>
      </c>
    </row>
    <row r="34341">
      <c r="A34341" s="4" t="s">
        <v>43212</v>
      </c>
      <c r="B34341" s="4" t="s">
        <v>43216</v>
      </c>
      <c r="C34341" s="5" t="str">
        <f>IFERROR(__xludf.DUMMYFUNCTION("GOOGLETRANSLATE(B34341,""en"",""it"")"),"Le ragazze con le uniformi rosse finiscono e si allontanano.")</f>
        <v>Le ragazze con le uniformi rosse finiscono e si allontanano.</v>
      </c>
    </row>
    <row r="34342">
      <c r="A34342" s="4" t="s">
        <v>43212</v>
      </c>
      <c r="B34342" s="4" t="s">
        <v>43217</v>
      </c>
      <c r="C34342" s="5" t="str">
        <f>IFERROR(__xludf.DUMMYFUNCTION("GOOGLETRANSLATE(B34342,""en"",""it"")"),"Una squadra di ragazze in nero e neon cammina dietro le ragazze.")</f>
        <v>Una squadra di ragazze in nero e neon cammina dietro le ragazze.</v>
      </c>
    </row>
    <row r="34343">
      <c r="A34343" s="4" t="s">
        <v>43212</v>
      </c>
      <c r="B34343" s="4" t="s">
        <v>43218</v>
      </c>
      <c r="C34343" s="5" t="str">
        <f>IFERROR(__xludf.DUMMYFUNCTION("GOOGLETRANSLATE(B34343,""en"",""it"")"),"Le ragazze in rosa finiscono la loro routine.")</f>
        <v>Le ragazze in rosa finiscono la loro routine.</v>
      </c>
    </row>
    <row r="34344">
      <c r="A34344" s="4" t="s">
        <v>43219</v>
      </c>
      <c r="B34344" s="4" t="s">
        <v>43220</v>
      </c>
      <c r="C34344" s="5" t="str">
        <f>IFERROR(__xludf.DUMMYFUNCTION("GOOGLETRANSLATE(B34344,""en"",""it"")"),"Un'introduzione porta a diverse clip di persone che tentano di combattere i tori di molte generazioni.")</f>
        <v>Un'introduzione porta a diverse clip di persone che tentano di combattere i tori di molte generazioni.</v>
      </c>
    </row>
    <row r="34345">
      <c r="A34345" s="4" t="s">
        <v>43219</v>
      </c>
      <c r="B34345" s="6" t="s">
        <v>43221</v>
      </c>
      <c r="C34345" s="5" t="str">
        <f>IFERROR(__xludf.DUMMYFUNCTION("GOOGLETRANSLATE(B34345,""en"",""it"")"),"Vengono mostrate diverse clip di persone che interagiscono con i tori, oltre a correre e persone che guardano.")</f>
        <v>Vengono mostrate diverse clip di persone che interagiscono con i tori, oltre a correre e persone che guardano.</v>
      </c>
    </row>
    <row r="34346">
      <c r="A34346" s="4" t="s">
        <v>43222</v>
      </c>
      <c r="B34346" s="4" t="s">
        <v>43223</v>
      </c>
      <c r="C34346" s="5" t="str">
        <f>IFERROR(__xludf.DUMMYFUNCTION("GOOGLETRANSLATE(B34346,""en"",""it"")"),"Una donna viene vista in ginocchio su un secchio in un vecchio programma televisivo.")</f>
        <v>Una donna viene vista in ginocchio su un secchio in un vecchio programma televisivo.</v>
      </c>
    </row>
    <row r="34347">
      <c r="A34347" s="4" t="s">
        <v>43222</v>
      </c>
      <c r="B34347" s="4" t="s">
        <v>43224</v>
      </c>
      <c r="C34347" s="5" t="str">
        <f>IFERROR(__xludf.DUMMYFUNCTION("GOOGLETRANSLATE(B34347,""en"",""it"")"),"Viene vista lavare i vestiti nel secchio mentre guarda in lontananza.")</f>
        <v>Viene vista lavare i vestiti nel secchio mentre guarda in lontananza.</v>
      </c>
    </row>
    <row r="34348">
      <c r="A34348" s="4" t="s">
        <v>43222</v>
      </c>
      <c r="B34348" s="6" t="s">
        <v>43225</v>
      </c>
      <c r="C34348" s="5" t="str">
        <f>IFERROR(__xludf.DUMMYFUNCTION("GOOGLETRANSLATE(B34348,""en"",""it"")"),"Sospira a se stessa per stanchezza e continua a lavare i vestiti quando viene mostrato un colpo di lavatrice.")</f>
        <v>Sospira a se stessa per stanchezza e continua a lavare i vestiti quando viene mostrato un colpo di lavatrice.</v>
      </c>
    </row>
    <row r="34349">
      <c r="A34349" s="4" t="s">
        <v>43226</v>
      </c>
      <c r="B34349" s="4" t="s">
        <v>43227</v>
      </c>
      <c r="C34349" s="5" t="str">
        <f>IFERROR(__xludf.DUMMYFUNCTION("GOOGLETRANSLATE(B34349,""en"",""it"")"),"Un uomo sta dietro un bancone di scarpe e descrive come pulirli.")</f>
        <v>Un uomo sta dietro un bancone di scarpe e descrive come pulirli.</v>
      </c>
    </row>
    <row r="34350">
      <c r="A34350" s="4" t="s">
        <v>43226</v>
      </c>
      <c r="B34350" s="4" t="s">
        <v>43228</v>
      </c>
      <c r="C34350" s="5" t="str">
        <f>IFERROR(__xludf.DUMMYFUNCTION("GOOGLETRANSLATE(B34350,""en"",""it"")"),"L'uomo parla del programma a tre fasi e risponde a domande frequenti.")</f>
        <v>L'uomo parla del programma a tre fasi e risponde a domande frequenti.</v>
      </c>
    </row>
    <row r="34351">
      <c r="A34351" s="4" t="s">
        <v>43226</v>
      </c>
      <c r="B34351" s="4" t="s">
        <v>43229</v>
      </c>
      <c r="C34351" s="5" t="str">
        <f>IFERROR(__xludf.DUMMYFUNCTION("GOOGLETRANSLATE(B34351,""en"",""it"")"),"L'uomo strofina per brillare la scarpa e aggiunge un po 'di smalto, quindi li spruzza.")</f>
        <v>L'uomo strofina per brillare la scarpa e aggiunge un po 'di smalto, quindi li spruzza.</v>
      </c>
    </row>
    <row r="34352">
      <c r="A34352" s="4" t="s">
        <v>43230</v>
      </c>
      <c r="B34352" s="4" t="s">
        <v>43231</v>
      </c>
      <c r="C34352" s="5" t="str">
        <f>IFERROR(__xludf.DUMMYFUNCTION("GOOGLETRANSLATE(B34352,""en"",""it"")"),"Una persona viene vista cavalcare un kayak lungo un fiume ruvido e girare in giro.")</f>
        <v>Una persona viene vista cavalcare un kayak lungo un fiume ruvido e girare in giro.</v>
      </c>
    </row>
    <row r="34353">
      <c r="A34353" s="4" t="s">
        <v>43230</v>
      </c>
      <c r="B34353" s="4" t="s">
        <v>43232</v>
      </c>
      <c r="C34353" s="5" t="str">
        <f>IFERROR(__xludf.DUMMYFUNCTION("GOOGLETRANSLATE(B34353,""en"",""it"")"),"Altri colpi di lui che cavalcano mostrati e continua a girare in acqua.")</f>
        <v>Altri colpi di lui che cavalcano mostrati e continua a girare in acqua.</v>
      </c>
    </row>
    <row r="34354">
      <c r="A34354" s="4" t="s">
        <v>43233</v>
      </c>
      <c r="B34354" s="4" t="s">
        <v>43234</v>
      </c>
      <c r="C34354" s="5" t="str">
        <f>IFERROR(__xludf.DUMMYFUNCTION("GOOGLETRANSLATE(B34354,""en"",""it"")"),"Un gruppo di persone parlano accanto a un tavolo con tazze da solista rossa e lattine di birra.")</f>
        <v>Un gruppo di persone parlano accanto a un tavolo con tazze da solista rossa e lattine di birra.</v>
      </c>
    </row>
    <row r="34355">
      <c r="A34355" s="4" t="s">
        <v>43233</v>
      </c>
      <c r="B34355" s="4" t="s">
        <v>43235</v>
      </c>
      <c r="C34355" s="5" t="str">
        <f>IFERROR(__xludf.DUMMYFUNCTION("GOOGLETRANSLATE(B34355,""en"",""it"")"),"Una donna mette una tazza di assolo rossa sotto il naso di un uomo.")</f>
        <v>Una donna mette una tazza di assolo rossa sotto il naso di un uomo.</v>
      </c>
    </row>
    <row r="34356">
      <c r="A34356" s="4" t="s">
        <v>43233</v>
      </c>
      <c r="B34356" s="4" t="s">
        <v>43236</v>
      </c>
      <c r="C34356" s="5" t="str">
        <f>IFERROR(__xludf.DUMMYFUNCTION("GOOGLETRANSLATE(B34356,""en"",""it"")"),"Un uomo lancia una palla da ping in una tazza di assolo rosso.")</f>
        <v>Un uomo lancia una palla da ping in una tazza di assolo rosso.</v>
      </c>
    </row>
    <row r="34357">
      <c r="A34357" s="4" t="s">
        <v>43233</v>
      </c>
      <c r="B34357" s="4" t="s">
        <v>43237</v>
      </c>
      <c r="C34357" s="5" t="str">
        <f>IFERROR(__xludf.DUMMYFUNCTION("GOOGLETRANSLATE(B34357,""en"",""it"")"),"Il pavimento è mostrato insieme al piede di una persona.")</f>
        <v>Il pavimento è mostrato insieme al piede di una persona.</v>
      </c>
    </row>
    <row r="34358">
      <c r="A34358" s="4" t="s">
        <v>43238</v>
      </c>
      <c r="B34358" s="6" t="s">
        <v>43239</v>
      </c>
      <c r="C34358" s="5" t="str">
        <f>IFERROR(__xludf.DUMMYFUNCTION("GOOGLETRANSLATE(B34358,""en"",""it"")"),"Viene mostrato un primo piano di una bici, seguito da una persona che svita le maniglie sulla bici e nella regolazione dei lati.")</f>
        <v>Viene mostrato un primo piano di una bici, seguito da una persona che svita le maniglie sulla bici e nella regolazione dei lati.</v>
      </c>
    </row>
    <row r="34359">
      <c r="A34359" s="4" t="s">
        <v>43238</v>
      </c>
      <c r="B34359" s="4" t="s">
        <v>43240</v>
      </c>
      <c r="C34359" s="5" t="str">
        <f>IFERROR(__xludf.DUMMYFUNCTION("GOOGLETRANSLATE(B34359,""en"",""it"")"),"La persona l'ha quindi avvitata una luce davanti al manubrio e li tiene in posizione.")</f>
        <v>La persona l'ha quindi avvitata una luce davanti al manubrio e li tiene in posizione.</v>
      </c>
    </row>
    <row r="34360">
      <c r="A34360" s="4" t="s">
        <v>43241</v>
      </c>
      <c r="B34360" s="4" t="s">
        <v>43242</v>
      </c>
      <c r="C34360" s="5" t="str">
        <f>IFERROR(__xludf.DUMMYFUNCTION("GOOGLETRANSLATE(B34360,""en"",""it"")"),"Gli uomini corrono giù per una pista e saltano all'indietro su un bar.")</f>
        <v>Gli uomini corrono giù per una pista e saltano all'indietro su un bar.</v>
      </c>
    </row>
    <row r="34361">
      <c r="A34361" s="4" t="s">
        <v>43241</v>
      </c>
      <c r="B34361" s="4" t="s">
        <v>43243</v>
      </c>
      <c r="C34361" s="5" t="str">
        <f>IFERROR(__xludf.DUMMYFUNCTION("GOOGLETRANSLATE(B34361,""en"",""it"")"),"Un uomo agita una bandiera bianca una volta la terra.")</f>
        <v>Un uomo agita una bandiera bianca una volta la terra.</v>
      </c>
    </row>
    <row r="34362">
      <c r="A34362" s="4" t="s">
        <v>43241</v>
      </c>
      <c r="B34362" s="4" t="s">
        <v>43244</v>
      </c>
      <c r="C34362" s="5" t="str">
        <f>IFERROR(__xludf.DUMMYFUNCTION("GOOGLETRANSLATE(B34362,""en"",""it"")"),"Un pubblico li sta osservando saltare.")</f>
        <v>Un pubblico li sta osservando saltare.</v>
      </c>
    </row>
    <row r="34363">
      <c r="A34363" s="4" t="s">
        <v>43245</v>
      </c>
      <c r="B34363" s="4" t="s">
        <v>43246</v>
      </c>
      <c r="C34363" s="5" t="str">
        <f>IFERROR(__xludf.DUMMYFUNCTION("GOOGLETRANSLATE(B34363,""en"",""it"")"),"Un uomo ha messo la vernice sul muro con un tubo, mentre una persona usa una scopa piatta per diffondere la vernice.")</f>
        <v>Un uomo ha messo la vernice sul muro con un tubo, mentre una persona usa una scopa piatta per diffondere la vernice.</v>
      </c>
    </row>
    <row r="34364">
      <c r="A34364" s="4" t="s">
        <v>43245</v>
      </c>
      <c r="B34364" s="4" t="s">
        <v>43247</v>
      </c>
      <c r="C34364" s="5" t="str">
        <f>IFERROR(__xludf.DUMMYFUNCTION("GOOGLETRANSLATE(B34364,""en"",""it"")"),"Quindi, l'uomo mette la vernice intorno alla finestra.")</f>
        <v>Quindi, l'uomo mette la vernice intorno alla finestra.</v>
      </c>
    </row>
    <row r="34365">
      <c r="A34365" s="4" t="s">
        <v>43248</v>
      </c>
      <c r="B34365" s="4" t="s">
        <v>43249</v>
      </c>
      <c r="C34365" s="5" t="str">
        <f>IFERROR(__xludf.DUMMYFUNCTION("GOOGLETRANSLATE(B34365,""en"",""it"")"),"Una donna rimuove un bullone da una gomma.")</f>
        <v>Una donna rimuove un bullone da una gomma.</v>
      </c>
    </row>
    <row r="34366">
      <c r="A34366" s="4" t="s">
        <v>43248</v>
      </c>
      <c r="B34366" s="4" t="s">
        <v>43250</v>
      </c>
      <c r="C34366" s="5" t="str">
        <f>IFERROR(__xludf.DUMMYFUNCTION("GOOGLETRANSLATE(B34366,""en"",""it"")"),"La donna rimuove un secondo bullone.")</f>
        <v>La donna rimuove un secondo bullone.</v>
      </c>
    </row>
    <row r="34367">
      <c r="A34367" s="4" t="s">
        <v>43248</v>
      </c>
      <c r="B34367" s="4" t="s">
        <v>43251</v>
      </c>
      <c r="C34367" s="5" t="str">
        <f>IFERROR(__xludf.DUMMYFUNCTION("GOOGLETRANSLATE(B34367,""en"",""it"")"),"La donna rimuove un terzo bullone.")</f>
        <v>La donna rimuove un terzo bullone.</v>
      </c>
    </row>
    <row r="34368">
      <c r="A34368" s="4" t="s">
        <v>43248</v>
      </c>
      <c r="B34368" s="4" t="s">
        <v>43252</v>
      </c>
      <c r="C34368" s="5" t="str">
        <f>IFERROR(__xludf.DUMMYFUNCTION("GOOGLETRANSLATE(B34368,""en"",""it"")"),"Infine, la donna rimuove un quarto bullone.")</f>
        <v>Infine, la donna rimuove un quarto bullone.</v>
      </c>
    </row>
    <row r="34369">
      <c r="A34369" s="4" t="s">
        <v>43248</v>
      </c>
      <c r="B34369" s="4" t="s">
        <v>43253</v>
      </c>
      <c r="C34369" s="5" t="str">
        <f>IFERROR(__xludf.DUMMYFUNCTION("GOOGLETRANSLATE(B34369,""en"",""it"")"),"La donna toglie la gomma dalla macchina.")</f>
        <v>La donna toglie la gomma dalla macchina.</v>
      </c>
    </row>
    <row r="34370">
      <c r="A34370" s="4" t="s">
        <v>43254</v>
      </c>
      <c r="B34370" s="6" t="s">
        <v>43255</v>
      </c>
      <c r="C34370" s="5" t="str">
        <f>IFERROR(__xludf.DUMMYFUNCTION("GOOGLETRANSLATE(B34370,""en"",""it"")"),"Una ragazza in un'uniforme scolastica blu e scozzese si trova in un bagno scolastico che sfiora i denti e si prepara allo specchio.")</f>
        <v>Una ragazza in un'uniforme scolastica blu e scozzese si trova in un bagno scolastico che sfiora i denti e si prepara allo specchio.</v>
      </c>
    </row>
    <row r="34371">
      <c r="A34371" s="4" t="s">
        <v>43254</v>
      </c>
      <c r="B34371" s="6" t="s">
        <v>43256</v>
      </c>
      <c r="C34371" s="5" t="str">
        <f>IFERROR(__xludf.DUMMYFUNCTION("GOOGLETRANSLATE(B34371,""en"",""it"")"),"La ragazza inizia a rivolgersi alla telecamera e a lavarsi i denti, appoggiandosi alla telecamera ad un certo punto prima di appoggiarsi alla schiena per continuare a spazzolare i denti.")</f>
        <v>La ragazza inizia a rivolgersi alla telecamera e a lavarsi i denti, appoggiandosi alla telecamera ad un certo punto prima di appoggiarsi alla schiena per continuare a spazzolare i denti.</v>
      </c>
    </row>
    <row r="34372">
      <c r="A34372" s="4" t="s">
        <v>43254</v>
      </c>
      <c r="B34372" s="6" t="s">
        <v>43257</v>
      </c>
      <c r="C34372" s="5" t="str">
        <f>IFERROR(__xludf.DUMMYFUNCTION("GOOGLETRANSLATE(B34372,""en"",""it"")"),"La ragazza si gira quindi verso lo specchio del bagno e sputa nel lavandino del bagno, quindi ritorna a spazzolare i denti e rivolgersi di nuovo alla fotocamera.")</f>
        <v>La ragazza si gira quindi verso lo specchio del bagno e sputa nel lavandino del bagno, quindi ritorna a spazzolare i denti e rivolgersi di nuovo alla fotocamera.</v>
      </c>
    </row>
    <row r="34373">
      <c r="A34373" s="4" t="s">
        <v>43254</v>
      </c>
      <c r="B34373" s="6" t="s">
        <v>43258</v>
      </c>
      <c r="C34373" s="5" t="str">
        <f>IFERROR(__xludf.DUMMYFUNCTION("GOOGLETRANSLATE(B34373,""en"",""it"")"),"La ragazza si sposta quindi in un altro lavandino che è più indietro in bagno, gioca con i capelli, i primi allo specchio, il tutto mentre un'altra ragazza in uniforme scolastica entra nel bagno e entra in una bancarella del bagno.")</f>
        <v>La ragazza si sposta quindi in un altro lavandino che è più indietro in bagno, gioca con i capelli, i primi allo specchio, il tutto mentre un'altra ragazza in uniforme scolastica entra nel bagno e entra in una bancarella del bagno.</v>
      </c>
    </row>
    <row r="34374">
      <c r="A34374" s="4" t="s">
        <v>43259</v>
      </c>
      <c r="B34374" s="4" t="s">
        <v>43260</v>
      </c>
      <c r="C34374" s="5" t="str">
        <f>IFERROR(__xludf.DUMMYFUNCTION("GOOGLETRANSLATE(B34374,""en"",""it"")"),"Due uomini parlano riscaldante fino a quando un uomo non viene e li separa.")</f>
        <v>Due uomini parlano riscaldante fino a quando un uomo non viene e li separa.</v>
      </c>
    </row>
    <row r="34375">
      <c r="A34375" s="4" t="s">
        <v>43259</v>
      </c>
      <c r="B34375" s="4" t="s">
        <v>43261</v>
      </c>
      <c r="C34375" s="5" t="str">
        <f>IFERROR(__xludf.DUMMYFUNCTION("GOOGLETRANSLATE(B34375,""en"",""it"")"),"Le foglie del numero 99 tornano per finire a parlare.")</f>
        <v>Le foglie del numero 99 tornano per finire a parlare.</v>
      </c>
    </row>
    <row r="34376">
      <c r="A34376" s="4" t="s">
        <v>43259</v>
      </c>
      <c r="B34376" s="4" t="s">
        <v>43262</v>
      </c>
      <c r="C34376" s="5" t="str">
        <f>IFERROR(__xludf.DUMMYFUNCTION("GOOGLETRANSLATE(B34376,""en"",""it"")"),"Il numero 69 cammina attraverso il campo.")</f>
        <v>Il numero 69 cammina attraverso il campo.</v>
      </c>
    </row>
    <row r="34377">
      <c r="A34377" s="4" t="s">
        <v>43259</v>
      </c>
      <c r="B34377" s="4" t="s">
        <v>43263</v>
      </c>
      <c r="C34377" s="5" t="str">
        <f>IFERROR(__xludf.DUMMYFUNCTION("GOOGLETRANSLATE(B34377,""en"",""it"")"),"Vediamo il numero 69 colpire la palla.")</f>
        <v>Vediamo il numero 69 colpire la palla.</v>
      </c>
    </row>
    <row r="34378">
      <c r="A34378" s="4" t="s">
        <v>43259</v>
      </c>
      <c r="B34378" s="4" t="s">
        <v>43264</v>
      </c>
      <c r="C34378" s="5" t="str">
        <f>IFERROR(__xludf.DUMMYFUNCTION("GOOGLETRANSLATE(B34378,""en"",""it"")"),"Quindi discute con il ricevitore.")</f>
        <v>Quindi discute con il ricevitore.</v>
      </c>
    </row>
    <row r="34379">
      <c r="A34379" s="4" t="s">
        <v>43259</v>
      </c>
      <c r="B34379" s="4" t="s">
        <v>43265</v>
      </c>
      <c r="C34379" s="5" t="str">
        <f>IFERROR(__xludf.DUMMYFUNCTION("GOOGLETRANSLATE(B34379,""en"",""it"")"),"Un lanciatore inizia a lanciare.")</f>
        <v>Un lanciatore inizia a lanciare.</v>
      </c>
    </row>
    <row r="34380">
      <c r="A34380" s="4" t="s">
        <v>43266</v>
      </c>
      <c r="B34380" s="4" t="s">
        <v>43267</v>
      </c>
      <c r="C34380" s="5" t="str">
        <f>IFERROR(__xludf.DUMMYFUNCTION("GOOGLETRANSLATE(B34380,""en"",""it"")"),"Un ragazzino cammina verso il lavandino.")</f>
        <v>Un ragazzino cammina verso il lavandino.</v>
      </c>
    </row>
    <row r="34381">
      <c r="A34381" s="4" t="s">
        <v>43266</v>
      </c>
      <c r="B34381" s="4" t="s">
        <v>43268</v>
      </c>
      <c r="C34381" s="5" t="str">
        <f>IFERROR(__xludf.DUMMYFUNCTION("GOOGLETRANSLATE(B34381,""en"",""it"")"),"Il ragazzo sta sul lavandino e mette il dentifricio sul pennello, quindi spazzola i denti.")</f>
        <v>Il ragazzo sta sul lavandino e mette il dentifricio sul pennello, quindi spazzola i denti.</v>
      </c>
    </row>
    <row r="34382">
      <c r="A34382" s="4" t="s">
        <v>43266</v>
      </c>
      <c r="B34382" s="4" t="s">
        <v>43269</v>
      </c>
      <c r="C34382" s="5" t="str">
        <f>IFERROR(__xludf.DUMMYFUNCTION("GOOGLETRANSLATE(B34382,""en"",""it"")"),"Quindi, il ragazzo sciacqua la bocca e poi mostra i denti e la bocca secca.")</f>
        <v>Quindi, il ragazzo sciacqua la bocca e poi mostra i denti e la bocca secca.</v>
      </c>
    </row>
    <row r="34383">
      <c r="A34383" s="4" t="s">
        <v>43270</v>
      </c>
      <c r="B34383" s="4" t="s">
        <v>43271</v>
      </c>
      <c r="C34383" s="5" t="str">
        <f>IFERROR(__xludf.DUMMYFUNCTION("GOOGLETRANSLATE(B34383,""en"",""it"")"),"Una persona sta facendo girare un palco di fronte alle persone.")</f>
        <v>Una persona sta facendo girare un palco di fronte alle persone.</v>
      </c>
    </row>
    <row r="34384">
      <c r="A34384" s="4" t="s">
        <v>43270</v>
      </c>
      <c r="B34384" s="4" t="s">
        <v>43272</v>
      </c>
      <c r="C34384" s="5" t="str">
        <f>IFERROR(__xludf.DUMMYFUNCTION("GOOGLETRANSLATE(B34384,""en"",""it"")"),"Le persone sono in piedi in un angolo suonando la batteria.")</f>
        <v>Le persone sono in piedi in un angolo suonando la batteria.</v>
      </c>
    </row>
    <row r="34385">
      <c r="A34385" s="4" t="s">
        <v>43270</v>
      </c>
      <c r="B34385" s="4" t="s">
        <v>43273</v>
      </c>
      <c r="C34385" s="5" t="str">
        <f>IFERROR(__xludf.DUMMYFUNCTION("GOOGLETRANSLATE(B34385,""en"",""it"")"),"Un uomo fa una mano sul palco.")</f>
        <v>Un uomo fa una mano sul palco.</v>
      </c>
    </row>
    <row r="34386">
      <c r="A34386" s="4" t="s">
        <v>43274</v>
      </c>
      <c r="B34386" s="6" t="s">
        <v>43275</v>
      </c>
      <c r="C34386" s="5" t="str">
        <f>IFERROR(__xludf.DUMMYFUNCTION("GOOGLETRANSLATE(B34386,""en"",""it"")"),"Diversi corridori in bicicletta vestiti con abiti da motocross e indossare caschi sono allineati alla linea di partenza, in attesa di correre.")</f>
        <v>Diversi corridori in bicicletta vestiti con abiti da motocross e indossare caschi sono allineati alla linea di partenza, in attesa di correre.</v>
      </c>
    </row>
    <row r="34387">
      <c r="A34387" s="4" t="s">
        <v>43274</v>
      </c>
      <c r="B34387" s="4" t="s">
        <v>43276</v>
      </c>
      <c r="C34387" s="5" t="str">
        <f>IFERROR(__xludf.DUMMYFUNCTION("GOOGLETRANSLATE(B34387,""en"",""it"")"),"La gara inizia e tutti i motociclisti corrono giù per una collina, verso un salto.")</f>
        <v>La gara inizia e tutti i motociclisti corrono giù per una collina, verso un salto.</v>
      </c>
    </row>
    <row r="34388">
      <c r="A34388" s="4" t="s">
        <v>43274</v>
      </c>
      <c r="B34388" s="4" t="s">
        <v>43277</v>
      </c>
      <c r="C34388" s="5" t="str">
        <f>IFERROR(__xludf.DUMMYFUNCTION("GOOGLETRANSLATE(B34388,""en"",""it"")"),"I motociclisti saltano giù da una collina, ma uno dei motociclisti, vestito di rosso e nero, cade a terra.")</f>
        <v>I motociclisti saltano giù da una collina, ma uno dei motociclisti, vestito di rosso e nero, cade a terra.</v>
      </c>
    </row>
    <row r="34389">
      <c r="A34389" s="4" t="s">
        <v>43274</v>
      </c>
      <c r="B34389" s="6" t="s">
        <v>43278</v>
      </c>
      <c r="C34389" s="5" t="str">
        <f>IFERROR(__xludf.DUMMYFUNCTION("GOOGLETRANSLATE(B34389,""en"",""it"")"),"Il motociclista immediatamente dietro di lui, vestito di rosso, bianco e blu, cerca di evitare il motociclista caduto e cade anche a terra.")</f>
        <v>Il motociclista immediatamente dietro di lui, vestito di rosso, bianco e blu, cerca di evitare il motociclista caduto e cade anche a terra.</v>
      </c>
    </row>
    <row r="34390">
      <c r="A34390" s="4" t="s">
        <v>43274</v>
      </c>
      <c r="B34390" s="4" t="s">
        <v>43279</v>
      </c>
      <c r="C34390" s="5" t="str">
        <f>IFERROR(__xludf.DUMMYFUNCTION("GOOGLETRANSLATE(B34390,""en"",""it"")"),"Gli altri motociclisti corrono.")</f>
        <v>Gli altri motociclisti corrono.</v>
      </c>
    </row>
    <row r="34391">
      <c r="A34391" s="4" t="s">
        <v>43274</v>
      </c>
      <c r="B34391" s="6" t="s">
        <v>43280</v>
      </c>
      <c r="C34391" s="5" t="str">
        <f>IFERROR(__xludf.DUMMYFUNCTION("GOOGLETRANSLATE(B34391,""en"",""it"")"),"Il motociclista in nero e rosso troia immediatamente dalla pista, mentre il motociclista in rosso, bianco e blu, è chiaramente ferito e lotta per mettersi in ginocchio.")</f>
        <v>Il motociclista in nero e rosso troia immediatamente dalla pista, mentre il motociclista in rosso, bianco e blu, è chiaramente ferito e lotta per mettersi in ginocchio.</v>
      </c>
    </row>
    <row r="34392">
      <c r="A34392" s="4" t="s">
        <v>43274</v>
      </c>
      <c r="B34392" s="4" t="s">
        <v>43281</v>
      </c>
      <c r="C34392" s="5" t="str">
        <f>IFERROR(__xludf.DUMMYFUNCTION("GOOGLETRANSLATE(B34392,""en"",""it"")"),"Tre uomini vestiti con giacche nere vengono in aiuto del primo motociclista.")</f>
        <v>Tre uomini vestiti con giacche nere vengono in aiuto del primo motociclista.</v>
      </c>
    </row>
    <row r="34393">
      <c r="A34393" s="4" t="s">
        <v>43282</v>
      </c>
      <c r="B34393" s="6" t="s">
        <v>43283</v>
      </c>
      <c r="C34393" s="5" t="str">
        <f>IFERROR(__xludf.DUMMYFUNCTION("GOOGLETRANSLATE(B34393,""en"",""it"")"),"Viene raffigurato un edificio ricreativo e viene mostrato bambini che svolgono varie attività che vanno dal basket al nuoto.")</f>
        <v>Viene raffigurato un edificio ricreativo e viene mostrato bambini che svolgono varie attività che vanno dal basket al nuoto.</v>
      </c>
    </row>
    <row r="34394">
      <c r="A34394" s="4" t="s">
        <v>43282</v>
      </c>
      <c r="B34394" s="6" t="s">
        <v>43284</v>
      </c>
      <c r="C34394" s="5" t="str">
        <f>IFERROR(__xludf.DUMMYFUNCTION("GOOGLETRANSLATE(B34394,""en"",""it"")"),"Un set di giovani ragazzi è un quadro di Acqua sulla schiena che solleva una palla verde e una la getta in porta.")</f>
        <v>Un set di giovani ragazzi è un quadro di Acqua sulla schiena che solleva una palla verde e una la getta in porta.</v>
      </c>
    </row>
    <row r="34395">
      <c r="A34395" s="4" t="s">
        <v>43282</v>
      </c>
      <c r="B34395" s="6" t="s">
        <v>43285</v>
      </c>
      <c r="C34395" s="5" t="str">
        <f>IFERROR(__xludf.DUMMYFUNCTION("GOOGLETRANSLATE(B34395,""en"",""it"")"),"L'esterno dell'edificio viene nuovamente mostrato e appare un lampo di un'auto parcheggiata fuori nel parcheggio.")</f>
        <v>L'esterno dell'edificio viene nuovamente mostrato e appare un lampo di un'auto parcheggiata fuori nel parcheggio.</v>
      </c>
    </row>
    <row r="34396">
      <c r="A34396" s="4" t="s">
        <v>43286</v>
      </c>
      <c r="B34396" s="4" t="s">
        <v>43287</v>
      </c>
      <c r="C34396" s="5" t="str">
        <f>IFERROR(__xludf.DUMMYFUNCTION("GOOGLETRANSLATE(B34396,""en"",""it"")"),"Un uomo in tuta si trova davanti a una grande ruota di metallo.")</f>
        <v>Un uomo in tuta si trova davanti a una grande ruota di metallo.</v>
      </c>
    </row>
    <row r="34397">
      <c r="A34397" s="4" t="s">
        <v>43286</v>
      </c>
      <c r="B34397" s="4" t="s">
        <v>43288</v>
      </c>
      <c r="C34397" s="5" t="str">
        <f>IFERROR(__xludf.DUMMYFUNCTION("GOOGLETRANSLATE(B34397,""en"",""it"")"),"Prende una torcia e inizia la saldatura.")</f>
        <v>Prende una torcia e inizia la saldatura.</v>
      </c>
    </row>
    <row r="34398">
      <c r="A34398" s="4" t="s">
        <v>43286</v>
      </c>
      <c r="B34398" s="4" t="s">
        <v>43289</v>
      </c>
      <c r="C34398" s="5" t="str">
        <f>IFERROR(__xludf.DUMMYFUNCTION("GOOGLETRANSLATE(B34398,""en"",""it"")"),"Le scintille volano mentre indossa la maschera, saldando l'attrezzatura.")</f>
        <v>Le scintille volano mentre indossa la maschera, saldando l'attrezzatura.</v>
      </c>
    </row>
    <row r="34399">
      <c r="A34399" s="4" t="s">
        <v>43290</v>
      </c>
      <c r="B34399" s="4" t="s">
        <v>43291</v>
      </c>
      <c r="C34399" s="5" t="str">
        <f>IFERROR(__xludf.DUMMYFUNCTION("GOOGLETRANSLATE(B34399,""en"",""it"")"),"Il video conduce in diversi scatti di atleti giavellotti che gettano i poli su una pista grande.")</f>
        <v>Il video conduce in diversi scatti di atleti giavellotti che gettano i poli su una pista grande.</v>
      </c>
    </row>
    <row r="34400">
      <c r="A34400" s="4" t="s">
        <v>43290</v>
      </c>
      <c r="B34400" s="6" t="s">
        <v>43292</v>
      </c>
      <c r="C34400" s="5" t="str">
        <f>IFERROR(__xludf.DUMMYFUNCTION("GOOGLETRANSLATE(B34400,""en"",""it"")"),"Molte persone vengono mostrate correre lungo la pista lanciando il giavellotto e guardando dove atterra il loro palo.")</f>
        <v>Molte persone vengono mostrate correre lungo la pista lanciando il giavellotto e guardando dove atterra il loro palo.</v>
      </c>
    </row>
    <row r="34401">
      <c r="A34401" s="4" t="s">
        <v>43293</v>
      </c>
      <c r="B34401" s="4" t="s">
        <v>43294</v>
      </c>
      <c r="C34401" s="5" t="str">
        <f>IFERROR(__xludf.DUMMYFUNCTION("GOOGLETRANSLATE(B34401,""en"",""it"")"),"Gli uomini stanno facendo mosse di karate in palestra.")</f>
        <v>Gli uomini stanno facendo mosse di karate in palestra.</v>
      </c>
    </row>
    <row r="34402">
      <c r="A34402" s="4" t="s">
        <v>43293</v>
      </c>
      <c r="B34402" s="4" t="s">
        <v>43295</v>
      </c>
      <c r="C34402" s="5" t="str">
        <f>IFERROR(__xludf.DUMMYFUNCTION("GOOGLETRANSLATE(B34402,""en"",""it"")"),"Le persone suonano strumenti accanto a loro.")</f>
        <v>Le persone suonano strumenti accanto a loro.</v>
      </c>
    </row>
    <row r="34403">
      <c r="A34403" s="4" t="s">
        <v>43293</v>
      </c>
      <c r="B34403" s="4" t="s">
        <v>43296</v>
      </c>
      <c r="C34403" s="5" t="str">
        <f>IFERROR(__xludf.DUMMYFUNCTION("GOOGLETRANSLATE(B34403,""en"",""it"")"),"Un uomo con una camicia bianca suona la batteria di fronte a lui.")</f>
        <v>Un uomo con una camicia bianca suona la batteria di fronte a lui.</v>
      </c>
    </row>
    <row r="34404">
      <c r="A34404" s="4" t="s">
        <v>43297</v>
      </c>
      <c r="B34404" s="4" t="s">
        <v>43298</v>
      </c>
      <c r="C34404" s="5" t="str">
        <f>IFERROR(__xludf.DUMMYFUNCTION("GOOGLETRANSLATE(B34404,""en"",""it"")"),"Uno schermo introduttivo che mostra un uomo che esegue arti marziali brasiliane appare sullo schermo.")</f>
        <v>Uno schermo introduttivo che mostra un uomo che esegue arti marziali brasiliane appare sullo schermo.</v>
      </c>
    </row>
    <row r="34405">
      <c r="A34405" s="4" t="s">
        <v>43297</v>
      </c>
      <c r="B34405" s="6" t="s">
        <v>43299</v>
      </c>
      <c r="C34405" s="5" t="str">
        <f>IFERROR(__xludf.DUMMYFUNCTION("GOOGLETRANSLATE(B34405,""en"",""it"")"),"Quindi mostra un uomo che fa le stesse arti marziali al rallentatore su un po 'di erba in quello che sembra un parco.")</f>
        <v>Quindi mostra un uomo che fa le stesse arti marziali al rallentatore su un po 'di erba in quello che sembra un parco.</v>
      </c>
    </row>
    <row r="34406">
      <c r="A34406" s="4" t="s">
        <v>43297</v>
      </c>
      <c r="B34406" s="4" t="s">
        <v>43300</v>
      </c>
      <c r="C34406" s="5" t="str">
        <f>IFERROR(__xludf.DUMMYFUNCTION("GOOGLETRANSLATE(B34406,""en"",""it"")"),"L'uomo gira e calcia continuamente ed è altamente qualificato.")</f>
        <v>L'uomo gira e calcia continuamente ed è altamente qualificato.</v>
      </c>
    </row>
    <row r="34407">
      <c r="A34407" s="4" t="s">
        <v>43297</v>
      </c>
      <c r="B34407" s="6" t="s">
        <v>43301</v>
      </c>
      <c r="C34407" s="5" t="str">
        <f>IFERROR(__xludf.DUMMYFUNCTION("GOOGLETRANSLATE(B34407,""en"",""it"")"),"Il video mostra quindi un altro uomo in casa che dà un pollice in su, prima di saltare ad altri due uomini che si esibiscono su un palco.")</f>
        <v>Il video mostra quindi un altro uomo in casa che dà un pollice in su, prima di saltare ad altri due uomini che si esibiscono su un palco.</v>
      </c>
    </row>
    <row r="34408">
      <c r="A34408" s="4" t="s">
        <v>43297</v>
      </c>
      <c r="B34408" s="6" t="s">
        <v>43302</v>
      </c>
      <c r="C34408" s="5" t="str">
        <f>IFERROR(__xludf.DUMMYFUNCTION("GOOGLETRANSLATE(B34408,""en"",""it"")"),"Un mucchio di altri uomini sta eseguendo arti marziali all'interno di una palestra e di una classe, mentre un altro uomo parla alla telecamera.")</f>
        <v>Un mucchio di altri uomini sta eseguendo arti marziali all'interno di una palestra e di una classe, mentre un altro uomo parla alla telecamera.</v>
      </c>
    </row>
    <row r="34409">
      <c r="A34409" s="4" t="s">
        <v>43303</v>
      </c>
      <c r="B34409" s="4" t="s">
        <v>43304</v>
      </c>
      <c r="C34409" s="5" t="str">
        <f>IFERROR(__xludf.DUMMYFUNCTION("GOOGLETRANSLATE(B34409,""en"",""it"")"),"Un uomo viene visto seduto davanti a una telecamera che tiene in mano un'armonica.")</f>
        <v>Un uomo viene visto seduto davanti a una telecamera che tiene in mano un'armonica.</v>
      </c>
    </row>
    <row r="34410">
      <c r="A34410" s="4" t="s">
        <v>43303</v>
      </c>
      <c r="B34410" s="4" t="s">
        <v>43305</v>
      </c>
      <c r="C34410" s="5" t="str">
        <f>IFERROR(__xludf.DUMMYFUNCTION("GOOGLETRANSLATE(B34410,""en"",""it"")"),"L'uomo inizia quindi a suonare diverse canzoni mentre si fermano nel mezzo.")</f>
        <v>L'uomo inizia quindi a suonare diverse canzoni mentre si fermano nel mezzo.</v>
      </c>
    </row>
    <row r="34411">
      <c r="A34411" s="4" t="s">
        <v>43303</v>
      </c>
      <c r="B34411" s="4" t="s">
        <v>43306</v>
      </c>
      <c r="C34411" s="5" t="str">
        <f>IFERROR(__xludf.DUMMYFUNCTION("GOOGLETRANSLATE(B34411,""en"",""it"")"),"Continua a suonare lo strumento mentre guarda in lontananza.")</f>
        <v>Continua a suonare lo strumento mentre guarda in lontananza.</v>
      </c>
    </row>
    <row r="34412">
      <c r="A34412" s="4" t="s">
        <v>43307</v>
      </c>
      <c r="B34412" s="4" t="s">
        <v>43308</v>
      </c>
      <c r="C34412" s="5" t="str">
        <f>IFERROR(__xludf.DUMMYFUNCTION("GOOGLETRANSLATE(B34412,""en"",""it"")"),"Una foto di una persona che salta giù da una barca in acqua.")</f>
        <v>Una foto di una persona che salta giù da una barca in acqua.</v>
      </c>
    </row>
    <row r="34413">
      <c r="A34413" s="4" t="s">
        <v>43307</v>
      </c>
      <c r="B34413" s="4" t="s">
        <v>24164</v>
      </c>
      <c r="C34413" s="5" t="str">
        <f>IFERROR(__xludf.DUMMYFUNCTION("GOOGLETRANSLATE(B34413,""en"",""it"")"),"Una barca è in acqua.")</f>
        <v>Una barca è in acqua.</v>
      </c>
    </row>
    <row r="34414">
      <c r="A34414" s="4" t="s">
        <v>43307</v>
      </c>
      <c r="B34414" s="4" t="s">
        <v>43309</v>
      </c>
      <c r="C34414" s="5" t="str">
        <f>IFERROR(__xludf.DUMMYFUNCTION("GOOGLETRANSLATE(B34414,""en"",""it"")"),"Una barca a vela è in acqua con persone sopra.")</f>
        <v>Una barca a vela è in acqua con persone sopra.</v>
      </c>
    </row>
    <row r="34415">
      <c r="A34415" s="4" t="s">
        <v>43307</v>
      </c>
      <c r="B34415" s="4" t="s">
        <v>43310</v>
      </c>
      <c r="C34415" s="5" t="str">
        <f>IFERROR(__xludf.DUMMYFUNCTION("GOOGLETRANSLATE(B34415,""en"",""it"")"),"Le persone sono sedute sulla barca a parlare.")</f>
        <v>Le persone sono sedute sulla barca a parlare.</v>
      </c>
    </row>
    <row r="34416">
      <c r="A34416" s="4" t="s">
        <v>43307</v>
      </c>
      <c r="B34416" s="4" t="s">
        <v>43311</v>
      </c>
      <c r="C34416" s="5" t="str">
        <f>IFERROR(__xludf.DUMMYFUNCTION("GOOGLETRANSLATE(B34416,""en"",""it"")"),"Una donna in bikini bianco si trova a prua della barca e un uomo si trova dietro di lei.")</f>
        <v>Una donna in bikini bianco si trova a prua della barca e un uomo si trova dietro di lei.</v>
      </c>
    </row>
    <row r="34417">
      <c r="A34417" s="4" t="s">
        <v>43307</v>
      </c>
      <c r="B34417" s="4" t="s">
        <v>43312</v>
      </c>
      <c r="C34417" s="5" t="str">
        <f>IFERROR(__xludf.DUMMYFUNCTION("GOOGLETRANSLATE(B34417,""en"",""it"")"),"Le persone sono sedute a prua della barca.")</f>
        <v>Le persone sono sedute a prua della barca.</v>
      </c>
    </row>
    <row r="34418">
      <c r="A34418" s="4" t="s">
        <v>43307</v>
      </c>
      <c r="B34418" s="4" t="s">
        <v>43313</v>
      </c>
      <c r="C34418" s="5" t="str">
        <f>IFERROR(__xludf.DUMMYFUNCTION("GOOGLETRANSLATE(B34418,""en"",""it"")"),"Una donna giace sulla schiena che indossa un bikini sulla barca.")</f>
        <v>Una donna giace sulla schiena che indossa un bikini sulla barca.</v>
      </c>
    </row>
    <row r="34419">
      <c r="A34419" s="4" t="s">
        <v>43307</v>
      </c>
      <c r="B34419" s="4" t="s">
        <v>43314</v>
      </c>
      <c r="C34419" s="5" t="str">
        <f>IFERROR(__xludf.DUMMYFUNCTION("GOOGLETRANSLATE(B34419,""en"",""it"")"),"Le persone camminano nella sabbia di fronte alla telecamera.")</f>
        <v>Le persone camminano nella sabbia di fronte alla telecamera.</v>
      </c>
    </row>
    <row r="34420">
      <c r="A34420" s="4" t="s">
        <v>43307</v>
      </c>
      <c r="B34420" s="4" t="s">
        <v>43315</v>
      </c>
      <c r="C34420" s="5" t="str">
        <f>IFERROR(__xludf.DUMMYFUNCTION("GOOGLETRANSLATE(B34420,""en"",""it"")"),"Viene mostrata una vista sull'acqua e sulla spiaggia.")</f>
        <v>Viene mostrata una vista sull'acqua e sulla spiaggia.</v>
      </c>
    </row>
    <row r="34421">
      <c r="A34421" s="4" t="s">
        <v>43307</v>
      </c>
      <c r="B34421" s="4" t="s">
        <v>43316</v>
      </c>
      <c r="C34421" s="5" t="str">
        <f>IFERROR(__xludf.DUMMYFUNCTION("GOOGLETRANSLATE(B34421,""en"",""it"")"),"Le persone camminano sulla sabbia della spiaggia.")</f>
        <v>Le persone camminano sulla sabbia della spiaggia.</v>
      </c>
    </row>
    <row r="34422">
      <c r="A34422" s="4" t="s">
        <v>43307</v>
      </c>
      <c r="B34422" s="4" t="s">
        <v>43317</v>
      </c>
      <c r="C34422" s="5" t="str">
        <f>IFERROR(__xludf.DUMMYFUNCTION("GOOGLETRANSLATE(B34422,""en"",""it"")"),"Un gruppo di persone sta posando per una foto.")</f>
        <v>Un gruppo di persone sta posando per una foto.</v>
      </c>
    </row>
    <row r="34423">
      <c r="A34423" s="4" t="s">
        <v>43307</v>
      </c>
      <c r="B34423" s="4" t="s">
        <v>43318</v>
      </c>
      <c r="C34423" s="5" t="str">
        <f>IFERROR(__xludf.DUMMYFUNCTION("GOOGLETRANSLATE(B34423,""en"",""it"")"),"Le persone stanno fotografando sulla barca.")</f>
        <v>Le persone stanno fotografando sulla barca.</v>
      </c>
    </row>
    <row r="34424">
      <c r="A34424" s="4" t="s">
        <v>43319</v>
      </c>
      <c r="B34424" s="4" t="s">
        <v>43320</v>
      </c>
      <c r="C34424" s="5" t="str">
        <f>IFERROR(__xludf.DUMMYFUNCTION("GOOGLETRANSLATE(B34424,""en"",""it"")"),"Viene mostrato un primo piano di una donna che parla alla telecamera con in mano un gelato davanti al viso.")</f>
        <v>Viene mostrato un primo piano di una donna che parla alla telecamera con in mano un gelato davanti al viso.</v>
      </c>
    </row>
    <row r="34425">
      <c r="A34425" s="4" t="s">
        <v>43319</v>
      </c>
      <c r="B34425" s="6" t="s">
        <v>43321</v>
      </c>
      <c r="C34425" s="5" t="str">
        <f>IFERROR(__xludf.DUMMYFUNCTION("GOOGLETRANSLATE(B34425,""en"",""it"")"),"Prende più morsi di gelato mentre la telecamera si muove intorno al suo corpo e molte altre persone la circondano.")</f>
        <v>Prende più morsi di gelato mentre la telecamera si muove intorno al suo corpo e molte altre persone la circondano.</v>
      </c>
    </row>
    <row r="34426">
      <c r="A34426" s="4" t="s">
        <v>43322</v>
      </c>
      <c r="B34426" s="4" t="s">
        <v>43323</v>
      </c>
      <c r="C34426" s="5" t="str">
        <f>IFERROR(__xludf.DUMMYFUNCTION("GOOGLETRANSLATE(B34426,""en"",""it"")"),"Una ragazza salta attraverso il marciapiede.")</f>
        <v>Una ragazza salta attraverso il marciapiede.</v>
      </c>
    </row>
    <row r="34427">
      <c r="A34427" s="4" t="s">
        <v>43322</v>
      </c>
      <c r="B34427" s="4" t="s">
        <v>43324</v>
      </c>
      <c r="C34427" s="5" t="str">
        <f>IFERROR(__xludf.DUMMYFUNCTION("GOOGLETRANSLATE(B34427,""en"",""it"")"),"Una ragazza più giovane la guarda.")</f>
        <v>Una ragazza più giovane la guarda.</v>
      </c>
    </row>
    <row r="34428">
      <c r="A34428" s="4" t="s">
        <v>43322</v>
      </c>
      <c r="B34428" s="4" t="s">
        <v>43325</v>
      </c>
      <c r="C34428" s="5" t="str">
        <f>IFERROR(__xludf.DUMMYFUNCTION("GOOGLETRANSLATE(B34428,""en"",""it"")"),"Un braccio dell'uomo è in primo piano.")</f>
        <v>Un braccio dell'uomo è in primo piano.</v>
      </c>
    </row>
    <row r="34429">
      <c r="A34429" s="4" t="s">
        <v>43322</v>
      </c>
      <c r="B34429" s="4" t="s">
        <v>43326</v>
      </c>
      <c r="C34429" s="5" t="str">
        <f>IFERROR(__xludf.DUMMYFUNCTION("GOOGLETRANSLATE(B34429,""en"",""it"")"),"C'è anche un ponte di legno.")</f>
        <v>C'è anche un ponte di legno.</v>
      </c>
    </row>
    <row r="34430">
      <c r="A34430" s="4" t="s">
        <v>43327</v>
      </c>
      <c r="B34430" s="4" t="s">
        <v>43328</v>
      </c>
      <c r="C34430" s="5" t="str">
        <f>IFERROR(__xludf.DUMMYFUNCTION("GOOGLETRANSLATE(B34430,""en"",""it"")"),"Il testo bianco dice che il video parla di come fare una torta alla pancia.")</f>
        <v>Il testo bianco dice che il video parla di come fare una torta alla pancia.</v>
      </c>
    </row>
    <row r="34431">
      <c r="A34431" s="4" t="s">
        <v>43327</v>
      </c>
      <c r="B34431" s="4" t="s">
        <v>43329</v>
      </c>
      <c r="C34431" s="5" t="str">
        <f>IFERROR(__xludf.DUMMYFUNCTION("GOOGLETRANSLATE(B34431,""en"",""it"")"),"Due pezzi di torta al cioccolato avvolto vengono mostrati come una mano regola e li tocca.")</f>
        <v>Due pezzi di torta al cioccolato avvolto vengono mostrati come una mano regola e li tocca.</v>
      </c>
    </row>
    <row r="34432">
      <c r="A34432" s="4" t="s">
        <v>43327</v>
      </c>
      <c r="B34432" s="6" t="s">
        <v>43330</v>
      </c>
      <c r="C34432" s="5" t="str">
        <f>IFERROR(__xludf.DUMMYFUNCTION("GOOGLETRANSLATE(B34432,""en"",""it"")"),"Le istruzioni compaiono nella parte inferiore dello schermo prima che le parti del bambino fondente vengano mostrate dopo che la torta è glassata.")</f>
        <v>Le istruzioni compaiono nella parte inferiore dello schermo prima che le parti del bambino fondente vengano mostrate dopo che la torta è glassata.</v>
      </c>
    </row>
    <row r="34433">
      <c r="A34433" s="4" t="s">
        <v>43327</v>
      </c>
      <c r="B34433" s="4" t="s">
        <v>43331</v>
      </c>
      <c r="C34433" s="5" t="str">
        <f>IFERROR(__xludf.DUMMYFUNCTION("GOOGLETRANSLATE(B34433,""en"",""it"")"),"La torta è completa come lo stomaco di una donna con un piede che sporge dal suo vestito.")</f>
        <v>La torta è completa come lo stomaco di una donna con un piede che sporge dal suo vestito.</v>
      </c>
    </row>
    <row r="34434">
      <c r="A34434" s="4" t="s">
        <v>43332</v>
      </c>
      <c r="B34434" s="6" t="s">
        <v>43333</v>
      </c>
      <c r="C34434" s="5" t="str">
        <f>IFERROR(__xludf.DUMMYFUNCTION("GOOGLETRANSLATE(B34434,""en"",""it"")"),"Una donna viene vista ospitare un segmento di notizie che conduce in diverse clip di persone che si misurano e parlano alla telecamera.")</f>
        <v>Una donna viene vista ospitare un segmento di notizie che conduce in diverse clip di persone che si misurano e parlano alla telecamera.</v>
      </c>
    </row>
    <row r="34435">
      <c r="A34435" s="4" t="s">
        <v>43332</v>
      </c>
      <c r="B34435" s="6" t="s">
        <v>43334</v>
      </c>
      <c r="C34435" s="5" t="str">
        <f>IFERROR(__xludf.DUMMYFUNCTION("GOOGLETRANSLATE(B34435,""en"",""it"")"),"Vengono mostrati molti colpi di persone che bevono caffè mentre sollevano pantaloni più grandi e mostrano il peso che avevano perso.")</f>
        <v>Vengono mostrati molti colpi di persone che bevono caffè mentre sollevano pantaloni più grandi e mostrano il peso che avevano perso.</v>
      </c>
    </row>
    <row r="34436">
      <c r="A34436" s="4" t="s">
        <v>43332</v>
      </c>
      <c r="B34436" s="6" t="s">
        <v>43335</v>
      </c>
      <c r="C34436" s="5" t="str">
        <f>IFERROR(__xludf.DUMMYFUNCTION("GOOGLETRANSLATE(B34436,""en"",""it"")"),"Si vedono più persone che parlano alla telecamera mentre vengono mostrati più prodotti e cibo presentato e una donna che mostra il suo armadio.")</f>
        <v>Si vedono più persone che parlano alla telecamera mentre vengono mostrati più prodotti e cibo presentato e una donna che mostra il suo armadio.</v>
      </c>
    </row>
    <row r="34437">
      <c r="A34437" s="4" t="s">
        <v>43336</v>
      </c>
      <c r="B34437" s="4" t="s">
        <v>43337</v>
      </c>
      <c r="C34437" s="5" t="str">
        <f>IFERROR(__xludf.DUMMYFUNCTION("GOOGLETRANSLATE(B34437,""en"",""it"")"),"Un ragazzo con una maglietta bianca raccoglie suo fratello sopra la testa e il corpo lo sbatte sul letto.")</f>
        <v>Un ragazzo con una maglietta bianca raccoglie suo fratello sopra la testa e il corpo lo sbatte sul letto.</v>
      </c>
    </row>
    <row r="34438">
      <c r="A34438" s="4" t="s">
        <v>43336</v>
      </c>
      <c r="B34438" s="4" t="s">
        <v>43338</v>
      </c>
      <c r="C34438" s="5" t="str">
        <f>IFERROR(__xludf.DUMMYFUNCTION("GOOGLETRANSLATE(B34438,""en"",""it"")"),"Il fratello in camicia color militare si alza dal letto.")</f>
        <v>Il fratello in camicia color militare si alza dal letto.</v>
      </c>
    </row>
    <row r="34439">
      <c r="A34439" s="4" t="s">
        <v>43339</v>
      </c>
      <c r="B34439" s="4" t="s">
        <v>43340</v>
      </c>
      <c r="C34439" s="5" t="str">
        <f>IFERROR(__xludf.DUMMYFUNCTION("GOOGLETRANSLATE(B34439,""en"",""it"")"),"Vediamo uno skateboarder camminare con la sua tavola.")</f>
        <v>Vediamo uno skateboarder camminare con la sua tavola.</v>
      </c>
    </row>
    <row r="34440">
      <c r="A34440" s="4" t="s">
        <v>43339</v>
      </c>
      <c r="B34440" s="4" t="s">
        <v>43341</v>
      </c>
      <c r="C34440" s="5" t="str">
        <f>IFERROR(__xludf.DUMMYFUNCTION("GOOGLETRANSLATE(B34440,""en"",""it"")"),"L'uomo quindi skateboard lungo una strada trafficata.")</f>
        <v>L'uomo quindi skateboard lungo una strada trafficata.</v>
      </c>
    </row>
    <row r="34441">
      <c r="A34441" s="4" t="s">
        <v>43339</v>
      </c>
      <c r="B34441" s="4" t="s">
        <v>43342</v>
      </c>
      <c r="C34441" s="5" t="str">
        <f>IFERROR(__xludf.DUMMYFUNCTION("GOOGLETRANSLATE(B34441,""en"",""it"")"),"Il pensionante ha la mano a terra mentre pattina.")</f>
        <v>Il pensionante ha la mano a terra mentre pattina.</v>
      </c>
    </row>
    <row r="34442">
      <c r="A34442" s="4" t="s">
        <v>43339</v>
      </c>
      <c r="B34442" s="4" t="s">
        <v>43343</v>
      </c>
      <c r="C34442" s="5" t="str">
        <f>IFERROR(__xludf.DUMMYFUNCTION("GOOGLETRANSLATE(B34442,""en"",""it"")"),"Il pensionante prende una svolta a destra.")</f>
        <v>Il pensionante prende una svolta a destra.</v>
      </c>
    </row>
    <row r="34443">
      <c r="A34443" s="4" t="s">
        <v>43339</v>
      </c>
      <c r="B34443" s="4" t="s">
        <v>43344</v>
      </c>
      <c r="C34443" s="5" t="str">
        <f>IFERROR(__xludf.DUMMYFUNCTION("GOOGLETRANSLATE(B34443,""en"",""it"")"),"Le auto passano e la scena finisce.")</f>
        <v>Le auto passano e la scena finisce.</v>
      </c>
    </row>
    <row r="34444">
      <c r="A34444" s="4" t="s">
        <v>43345</v>
      </c>
      <c r="B34444" s="4" t="s">
        <v>43346</v>
      </c>
      <c r="C34444" s="5" t="str">
        <f>IFERROR(__xludf.DUMMYFUNCTION("GOOGLETRANSLATE(B34444,""en"",""it"")"),"Una gara di moto è mostrata su sporco.")</f>
        <v>Una gara di moto è mostrata su sporco.</v>
      </c>
    </row>
    <row r="34445">
      <c r="A34445" s="4" t="s">
        <v>43345</v>
      </c>
      <c r="B34445" s="4" t="s">
        <v>43347</v>
      </c>
      <c r="C34445" s="5" t="str">
        <f>IFERROR(__xludf.DUMMYFUNCTION("GOOGLETRANSLATE(B34445,""en"",""it"")"),"I preparativi includono donne scarsamente rivestite.")</f>
        <v>I preparativi includono donne scarsamente rivestite.</v>
      </c>
    </row>
    <row r="34446">
      <c r="A34446" s="4" t="s">
        <v>43345</v>
      </c>
      <c r="B34446" s="4" t="s">
        <v>43348</v>
      </c>
      <c r="C34446" s="5" t="str">
        <f>IFERROR(__xludf.DUMMYFUNCTION("GOOGLETRANSLATE(B34446,""en"",""it"")"),"Le moto vengono quindi mostrate saltare e fare cose di agilità.")</f>
        <v>Le moto vengono quindi mostrate saltare e fare cose di agilità.</v>
      </c>
    </row>
    <row r="34447">
      <c r="A34447" s="4" t="s">
        <v>43349</v>
      </c>
      <c r="B34447" s="4" t="s">
        <v>43350</v>
      </c>
      <c r="C34447" s="5" t="str">
        <f>IFERROR(__xludf.DUMMYFUNCTION("GOOGLETRANSLATE(B34447,""en"",""it"")"),"Un uomo sale su una macchina rossa.")</f>
        <v>Un uomo sale su una macchina rossa.</v>
      </c>
    </row>
    <row r="34448">
      <c r="A34448" s="4" t="s">
        <v>43349</v>
      </c>
      <c r="B34448" s="4" t="s">
        <v>43351</v>
      </c>
      <c r="C34448" s="5" t="str">
        <f>IFERROR(__xludf.DUMMYFUNCTION("GOOGLETRANSLATE(B34448,""en"",""it"")"),"Quindi fa il backup e inizia a far esplodere le foglie con esso.")</f>
        <v>Quindi fa il backup e inizia a far esplodere le foglie con esso.</v>
      </c>
    </row>
    <row r="34449">
      <c r="A34449" s="4" t="s">
        <v>43349</v>
      </c>
      <c r="B34449" s="4" t="s">
        <v>43352</v>
      </c>
      <c r="C34449" s="5" t="str">
        <f>IFERROR(__xludf.DUMMYFUNCTION("GOOGLETRANSLATE(B34449,""en"",""it"")"),"Le foglie soffiano su tutto il vialetto.")</f>
        <v>Le foglie soffiano su tutto il vialetto.</v>
      </c>
    </row>
    <row r="34450">
      <c r="A34450" s="4" t="s">
        <v>43349</v>
      </c>
      <c r="B34450" s="4" t="s">
        <v>43353</v>
      </c>
      <c r="C34450" s="5" t="str">
        <f>IFERROR(__xludf.DUMMYFUNCTION("GOOGLETRANSLATE(B34450,""en"",""it"")"),"Finalmente il vialetto viene eliminato dalle foglie.")</f>
        <v>Finalmente il vialetto viene eliminato dalle foglie.</v>
      </c>
    </row>
    <row r="34451">
      <c r="A34451" s="4" t="s">
        <v>43354</v>
      </c>
      <c r="B34451" s="4" t="s">
        <v>20672</v>
      </c>
      <c r="C34451" s="5" t="str">
        <f>IFERROR(__xludf.DUMMYFUNCTION("GOOGLETRANSLATE(B34451,""en"",""it"")"),"Una ragazza salta su un raggio di equilibrio.")</f>
        <v>Una ragazza salta su un raggio di equilibrio.</v>
      </c>
    </row>
    <row r="34452">
      <c r="A34452" s="4" t="s">
        <v>43354</v>
      </c>
      <c r="B34452" s="4" t="s">
        <v>32035</v>
      </c>
      <c r="C34452" s="5" t="str">
        <f>IFERROR(__xludf.DUMMYFUNCTION("GOOGLETRANSLATE(B34452,""en"",""it"")"),"Fa una routine di ginnastica sul raggio dell'equilibrio.")</f>
        <v>Fa una routine di ginnastica sul raggio dell'equilibrio.</v>
      </c>
    </row>
    <row r="34453">
      <c r="A34453" s="4" t="s">
        <v>43354</v>
      </c>
      <c r="B34453" s="4" t="s">
        <v>43355</v>
      </c>
      <c r="C34453" s="5" t="str">
        <f>IFERROR(__xludf.DUMMYFUNCTION("GOOGLETRANSLATE(B34453,""en"",""it"")"),"Smonde e atterra sul tappeto accanto al raggio.")</f>
        <v>Smonde e atterra sul tappeto accanto al raggio.</v>
      </c>
    </row>
    <row r="34454">
      <c r="A34454" s="4" t="s">
        <v>43356</v>
      </c>
      <c r="B34454" s="4" t="s">
        <v>43357</v>
      </c>
      <c r="C34454" s="5" t="str">
        <f>IFERROR(__xludf.DUMMYFUNCTION("GOOGLETRANSLATE(B34454,""en"",""it"")"),"Un uomo si siede in cima a un cammello.")</f>
        <v>Un uomo si siede in cima a un cammello.</v>
      </c>
    </row>
    <row r="34455">
      <c r="A34455" s="4" t="s">
        <v>43356</v>
      </c>
      <c r="B34455" s="4" t="s">
        <v>43358</v>
      </c>
      <c r="C34455" s="5" t="str">
        <f>IFERROR(__xludf.DUMMYFUNCTION("GOOGLETRANSLATE(B34455,""en"",""it"")"),"Il cammello si alza e un uomo di fronte lo conduce.")</f>
        <v>Il cammello si alza e un uomo di fronte lo conduce.</v>
      </c>
    </row>
    <row r="34456">
      <c r="A34456" s="4" t="s">
        <v>43356</v>
      </c>
      <c r="B34456" s="4" t="s">
        <v>43359</v>
      </c>
      <c r="C34456" s="5" t="str">
        <f>IFERROR(__xludf.DUMMYFUNCTION("GOOGLETRANSLATE(B34456,""en"",""it"")"),"Un fienile rosso è visto dietro di loro.")</f>
        <v>Un fienile rosso è visto dietro di loro.</v>
      </c>
    </row>
    <row r="34457">
      <c r="A34457" s="4" t="s">
        <v>43356</v>
      </c>
      <c r="B34457" s="4" t="s">
        <v>43360</v>
      </c>
      <c r="C34457" s="5" t="str">
        <f>IFERROR(__xludf.DUMMYFUNCTION("GOOGLETRANSLATE(B34457,""en"",""it"")"),"Il cammello si siede e l'uomo scende.")</f>
        <v>Il cammello si siede e l'uomo scende.</v>
      </c>
    </row>
    <row r="34458">
      <c r="A34458" s="4" t="s">
        <v>43361</v>
      </c>
      <c r="B34458" s="4" t="s">
        <v>43362</v>
      </c>
      <c r="C34458" s="5" t="str">
        <f>IFERROR(__xludf.DUMMYFUNCTION("GOOGLETRANSLATE(B34458,""en"",""it"")"),"Una donna è vista in piedi davanti ai secchi e parla alla telecamera.")</f>
        <v>Una donna è vista in piedi davanti ai secchi e parla alla telecamera.</v>
      </c>
    </row>
    <row r="34459">
      <c r="A34459" s="4" t="s">
        <v>43361</v>
      </c>
      <c r="B34459" s="6" t="s">
        <v>43363</v>
      </c>
      <c r="C34459" s="5" t="str">
        <f>IFERROR(__xludf.DUMMYFUNCTION("GOOGLETRANSLATE(B34459,""en"",""it"")"),"Versa acqua in un secchio mentre la trascina oltre a mescolare la pulizia e cominciando a scaricare i vestiti.")</f>
        <v>Versa acqua in un secchio mentre la trascina oltre a mescolare la pulizia e cominciando a scaricare i vestiti.</v>
      </c>
    </row>
    <row r="34460">
      <c r="A34460" s="4" t="s">
        <v>43361</v>
      </c>
      <c r="B34460" s="6" t="s">
        <v>43364</v>
      </c>
      <c r="C34460" s="5" t="str">
        <f>IFERROR(__xludf.DUMMYFUNCTION("GOOGLETRANSLATE(B34460,""en"",""it"")"),"La donna immerge i vestiti nel secchio e mostra dove li appende e saluta la telecamera.")</f>
        <v>La donna immerge i vestiti nel secchio e mostra dove li appende e saluta la telecamera.</v>
      </c>
    </row>
    <row r="34461">
      <c r="A34461" s="4" t="s">
        <v>43365</v>
      </c>
      <c r="B34461" s="4" t="s">
        <v>43366</v>
      </c>
      <c r="C34461" s="5" t="str">
        <f>IFERROR(__xludf.DUMMYFUNCTION("GOOGLETRANSLATE(B34461,""en"",""it"")"),"Un uomo lava con cura il lato di un'auto con una spugna.")</f>
        <v>Un uomo lava con cura il lato di un'auto con una spugna.</v>
      </c>
    </row>
    <row r="34462">
      <c r="A34462" s="4" t="s">
        <v>43365</v>
      </c>
      <c r="B34462" s="4" t="s">
        <v>43367</v>
      </c>
      <c r="C34462" s="5" t="str">
        <f>IFERROR(__xludf.DUMMYFUNCTION("GOOGLETRANSLATE(B34462,""en"",""it"")"),"L'uomo si alza e lava il parabrezza.")</f>
        <v>L'uomo si alza e lava il parabrezza.</v>
      </c>
    </row>
    <row r="34463">
      <c r="A34463" s="4" t="s">
        <v>43365</v>
      </c>
      <c r="B34463" s="4" t="s">
        <v>43368</v>
      </c>
      <c r="C34463" s="5" t="str">
        <f>IFERROR(__xludf.DUMMYFUNCTION("GOOGLETRANSLATE(B34463,""en"",""it"")"),"Quindi si muove lungo la parte posteriore dell'auto che lava lo spoiler.")</f>
        <v>Quindi si muove lungo la parte posteriore dell'auto che lava lo spoiler.</v>
      </c>
    </row>
    <row r="34464">
      <c r="A34464" s="4" t="s">
        <v>43369</v>
      </c>
      <c r="B34464" s="6" t="s">
        <v>43370</v>
      </c>
      <c r="C34464" s="5" t="str">
        <f>IFERROR(__xludf.DUMMYFUNCTION("GOOGLETRANSLATE(B34464,""en"",""it"")"),"Una donna asiatica in piedi che indossa un trucco sta parlando con un mucchio di donne asiatiche sedute che non hanno trucco sul volto.")</f>
        <v>Una donna asiatica in piedi che indossa un trucco sta parlando con un mucchio di donne asiatiche sedute che non hanno trucco sul volto.</v>
      </c>
    </row>
    <row r="34465">
      <c r="A34465" s="4" t="s">
        <v>43369</v>
      </c>
      <c r="B34465" s="4" t="s">
        <v>43371</v>
      </c>
      <c r="C34465" s="5" t="str">
        <f>IFERROR(__xludf.DUMMYFUNCTION("GOOGLETRANSLATE(B34465,""en"",""it"")"),"La donna asiatica con gli applausi di trucco e poi colpisce un orologio che ha un timer di 10 secondi.")</f>
        <v>La donna asiatica con gli applausi di trucco e poi colpisce un orologio che ha un timer di 10 secondi.</v>
      </c>
    </row>
    <row r="34466">
      <c r="A34466" s="4" t="s">
        <v>43369</v>
      </c>
      <c r="B34466" s="4" t="s">
        <v>43372</v>
      </c>
      <c r="C34466" s="5" t="str">
        <f>IFERROR(__xludf.DUMMYFUNCTION("GOOGLETRANSLATE(B34466,""en"",""it"")"),"Le donne senza trucco iniziano rapidamente ad applicare il trucco prima che finisca il tempo.")</f>
        <v>Le donne senza trucco iniziano rapidamente ad applicare il trucco prima che finisca il tempo.</v>
      </c>
    </row>
    <row r="34467">
      <c r="A34467" s="4" t="s">
        <v>43369</v>
      </c>
      <c r="B34467" s="6" t="s">
        <v>43373</v>
      </c>
      <c r="C34467" s="5" t="str">
        <f>IFERROR(__xludf.DUMMYFUNCTION("GOOGLETRANSLATE(B34467,""en"",""it"")"),"Due donne applicano rapidamente il trucco ai loro volti, ma quando hanno finito hanno un aspetto sconvolto sui loro volti.")</f>
        <v>Due donne applicano rapidamente il trucco ai loro volti, ma quando hanno finito hanno un aspetto sconvolto sui loro volti.</v>
      </c>
    </row>
    <row r="34468">
      <c r="A34468" s="4" t="s">
        <v>43369</v>
      </c>
      <c r="B34468" s="6" t="s">
        <v>43374</v>
      </c>
      <c r="C34468" s="5" t="str">
        <f>IFERROR(__xludf.DUMMYFUNCTION("GOOGLETRANSLATE(B34468,""en"",""it"")"),"La terza donna si trucca e le ciglia finte su un vassoio davanti a lei e poi sbatte il viso nel vassoio e lo rotola da un lato all'altro.")</f>
        <v>La terza donna si trucca e le ciglia finte su un vassoio davanti a lei e poi sbatte il viso nel vassoio e lo rotola da un lato all'altro.</v>
      </c>
    </row>
    <row r="34469">
      <c r="A34469" s="4" t="s">
        <v>43369</v>
      </c>
      <c r="B34469" s="6" t="s">
        <v>43375</v>
      </c>
      <c r="C34469" s="5" t="str">
        <f>IFERROR(__xludf.DUMMYFUNCTION("GOOGLETRANSLATE(B34469,""en"",""it"")"),"Quando solleva la testa sul trucco è perfetto e allo stesso tempo tira i capelli da una coda di cavallo e si stringe i capelli.")</f>
        <v>Quando solleva la testa sul trucco è perfetto e allo stesso tempo tira i capelli da una coda di cavallo e si stringe i capelli.</v>
      </c>
    </row>
    <row r="34470">
      <c r="A34470" s="4" t="s">
        <v>43369</v>
      </c>
      <c r="B34470" s="6" t="s">
        <v>43376</v>
      </c>
      <c r="C34470" s="5" t="str">
        <f>IFERROR(__xludf.DUMMYFUNCTION("GOOGLETRANSLATE(B34470,""en"",""it"")"),"Il video di Outro è uno schermo viola con parole bianche che leggono ""belle e veloci"" e termina con uno schermo bianco che ha letture di parole viola ""Windows 8"" e il logo Microsoft.")</f>
        <v>Il video di Outro è uno schermo viola con parole bianche che leggono "belle e veloci" e termina con uno schermo bianco che ha letture di parole viola "Windows 8" e il logo Microsoft.</v>
      </c>
    </row>
    <row r="34471">
      <c r="A34471" s="4" t="s">
        <v>43377</v>
      </c>
      <c r="B34471" s="4" t="s">
        <v>43378</v>
      </c>
      <c r="C34471" s="5" t="str">
        <f>IFERROR(__xludf.DUMMYFUNCTION("GOOGLETRANSLATE(B34471,""en"",""it"")"),"Un uomo sta parlando in un campo da racchetta.")</f>
        <v>Un uomo sta parlando in un campo da racchetta.</v>
      </c>
    </row>
    <row r="34472">
      <c r="A34472" s="4" t="s">
        <v>43377</v>
      </c>
      <c r="B34472" s="4" t="s">
        <v>43379</v>
      </c>
      <c r="C34472" s="5" t="str">
        <f>IFERROR(__xludf.DUMMYFUNCTION("GOOGLETRANSLATE(B34472,""en"",""it"")"),"Parla di come posare e far oscillare la racchetta.")</f>
        <v>Parla di come posare e far oscillare la racchetta.</v>
      </c>
    </row>
    <row r="34473">
      <c r="A34473" s="4" t="s">
        <v>43377</v>
      </c>
      <c r="B34473" s="4" t="s">
        <v>43380</v>
      </c>
      <c r="C34473" s="5" t="str">
        <f>IFERROR(__xludf.DUMMYFUNCTION("GOOGLETRANSLATE(B34473,""en"",""it"")"),"Dimostra colpendo la palla avanti e indietro contro il muro.")</f>
        <v>Dimostra colpendo la palla avanti e indietro contro il muro.</v>
      </c>
    </row>
    <row r="34474">
      <c r="A34474" s="4" t="s">
        <v>43381</v>
      </c>
      <c r="B34474" s="4" t="s">
        <v>43382</v>
      </c>
      <c r="C34474" s="5" t="str">
        <f>IFERROR(__xludf.DUMMYFUNCTION("GOOGLETRANSLATE(B34474,""en"",""it"")"),"Un motociclista uomo e donna si trovano fuori da un evento.")</f>
        <v>Un motociclista uomo e donna si trovano fuori da un evento.</v>
      </c>
    </row>
    <row r="34475">
      <c r="A34475" s="4" t="s">
        <v>43381</v>
      </c>
      <c r="B34475" s="4" t="s">
        <v>43383</v>
      </c>
      <c r="C34475" s="5" t="str">
        <f>IFERROR(__xludf.DUMMYFUNCTION("GOOGLETRANSLATE(B34475,""en"",""it"")"),"Entrano in una zattera e la spingono in un fiume.")</f>
        <v>Entrano in una zattera e la spingono in un fiume.</v>
      </c>
    </row>
    <row r="34476">
      <c r="A34476" s="4" t="s">
        <v>43381</v>
      </c>
      <c r="B34476" s="4" t="s">
        <v>43384</v>
      </c>
      <c r="C34476" s="5" t="str">
        <f>IFERROR(__xludf.DUMMYFUNCTION("GOOGLETRANSLATE(B34476,""en"",""it"")"),"Cavalcano le rapide, superando le cadute e la remiera mentre vanno.")</f>
        <v>Cavalcano le rapide, superando le cadute e la remiera mentre vanno.</v>
      </c>
    </row>
    <row r="34477">
      <c r="A34477" s="4" t="s">
        <v>43385</v>
      </c>
      <c r="B34477" s="4" t="s">
        <v>43386</v>
      </c>
      <c r="C34477" s="5" t="str">
        <f>IFERROR(__xludf.DUMMYFUNCTION("GOOGLETRANSLATE(B34477,""en"",""it"")"),"L'uomo è in piedi in una stanza suonando il flauto.")</f>
        <v>L'uomo è in piedi in una stanza suonando il flauto.</v>
      </c>
    </row>
    <row r="34478">
      <c r="A34478" s="4" t="s">
        <v>43385</v>
      </c>
      <c r="B34478" s="4" t="s">
        <v>43387</v>
      </c>
      <c r="C34478" s="5" t="str">
        <f>IFERROR(__xludf.DUMMYFUNCTION("GOOGLETRANSLATE(B34478,""en"",""it"")"),"L'uomo finisce per giocare e ridere e grazie al pubblico.")</f>
        <v>L'uomo finisce per giocare e ridere e grazie al pubblico.</v>
      </c>
    </row>
    <row r="34479">
      <c r="A34479" s="4" t="s">
        <v>43385</v>
      </c>
      <c r="B34479" s="4" t="s">
        <v>43388</v>
      </c>
      <c r="C34479" s="5" t="str">
        <f>IFERROR(__xludf.DUMMYFUNCTION("GOOGLETRANSLATE(B34479,""en"",""it"")"),"L'uomo indossa una camicia blu ed è seduto dietro l'uomo che suona il flauto.")</f>
        <v>L'uomo indossa una camicia blu ed è seduto dietro l'uomo che suona il flauto.</v>
      </c>
    </row>
    <row r="34480">
      <c r="A34480" s="4" t="s">
        <v>43389</v>
      </c>
      <c r="B34480" s="4" t="s">
        <v>43390</v>
      </c>
      <c r="C34480" s="5" t="str">
        <f>IFERROR(__xludf.DUMMYFUNCTION("GOOGLETRANSLATE(B34480,""en"",""it"")"),"Un uomo parla con una macchina fotografica da una scena all'aperto per un pendio.")</f>
        <v>Un uomo parla con una macchina fotografica da una scena all'aperto per un pendio.</v>
      </c>
    </row>
    <row r="34481">
      <c r="A34481" s="4" t="s">
        <v>43389</v>
      </c>
      <c r="B34481" s="4" t="s">
        <v>43391</v>
      </c>
      <c r="C34481" s="5" t="str">
        <f>IFERROR(__xludf.DUMMYFUNCTION("GOOGLETRANSLATE(B34481,""en"",""it"")"),"Vengono mostrati diversi tagli rapidi che spiegano i termini alla base di invasatura nel contesto dell'arrampicata.")</f>
        <v>Vengono mostrati diversi tagli rapidi che spiegano i termini alla base di invasatura nel contesto dell'arrampicata.</v>
      </c>
    </row>
    <row r="34482">
      <c r="A34482" s="4" t="s">
        <v>43389</v>
      </c>
      <c r="B34482" s="4" t="s">
        <v>22880</v>
      </c>
      <c r="C34482" s="5" t="str">
        <f>IFERROR(__xludf.DUMMYFUNCTION("GOOGLETRANSLATE(B34482,""en"",""it"")"),"L'uomo parla di nuovo con la telecamera.")</f>
        <v>L'uomo parla di nuovo con la telecamera.</v>
      </c>
    </row>
    <row r="34483">
      <c r="A34483" s="4" t="s">
        <v>43389</v>
      </c>
      <c r="B34483" s="4" t="s">
        <v>43392</v>
      </c>
      <c r="C34483" s="5" t="str">
        <f>IFERROR(__xludf.DUMMYFUNCTION("GOOGLETRANSLATE(B34483,""en"",""it"")"),"Vengono mostrate scene più veloci che spiegano il processo alla base di una sosta nel contesto dell'arrampicata.")</f>
        <v>Vengono mostrate scene più veloci che spiegano il processo alla base di una sosta nel contesto dell'arrampicata.</v>
      </c>
    </row>
    <row r="34484">
      <c r="A34484" s="4" t="s">
        <v>43389</v>
      </c>
      <c r="B34484" s="4" t="s">
        <v>43393</v>
      </c>
      <c r="C34484" s="5" t="str">
        <f>IFERROR(__xludf.DUMMYFUNCTION("GOOGLETRANSLATE(B34484,""en"",""it"")"),"L'uomo parla ancora una volta alla telecamera.")</f>
        <v>L'uomo parla ancora una volta alla telecamera.</v>
      </c>
    </row>
    <row r="34485">
      <c r="A34485" s="4" t="s">
        <v>43394</v>
      </c>
      <c r="B34485" s="4" t="s">
        <v>43395</v>
      </c>
      <c r="C34485" s="5" t="str">
        <f>IFERROR(__xludf.DUMMYFUNCTION("GOOGLETRANSLATE(B34485,""en"",""it"")"),"La ginnasta si avvicina al bar con un salto.")</f>
        <v>La ginnasta si avvicina al bar con un salto.</v>
      </c>
    </row>
    <row r="34486">
      <c r="A34486" s="4" t="s">
        <v>43394</v>
      </c>
      <c r="B34486" s="6" t="s">
        <v>43396</v>
      </c>
      <c r="C34486" s="5" t="str">
        <f>IFERROR(__xludf.DUMMYFUNCTION("GOOGLETRANSLATE(B34486,""en"",""it"")"),"Prende il bar e inizia a girare intorno al bar prima di saltare al bar successivo e spingersi su e su di esso ripetutamente.")</f>
        <v>Prende il bar e inizia a girare intorno al bar prima di saltare al bar successivo e spingersi su e su di esso ripetutamente.</v>
      </c>
    </row>
    <row r="34487">
      <c r="A34487" s="4" t="s">
        <v>43394</v>
      </c>
      <c r="B34487" s="4" t="s">
        <v>43397</v>
      </c>
      <c r="C34487" s="5" t="str">
        <f>IFERROR(__xludf.DUMMYFUNCTION("GOOGLETRANSLATE(B34487,""en"",""it"")"),"Si lancia in aria e atterra sul tappeto.")</f>
        <v>Si lancia in aria e atterra sul tappeto.</v>
      </c>
    </row>
    <row r="34488">
      <c r="A34488" s="4" t="s">
        <v>43398</v>
      </c>
      <c r="B34488" s="4" t="s">
        <v>43399</v>
      </c>
      <c r="C34488" s="5" t="str">
        <f>IFERROR(__xludf.DUMMYFUNCTION("GOOGLETRANSLATE(B34488,""en"",""it"")"),"Un mucchio di macchine sta guidando mentre si inclina su un lato.")</f>
        <v>Un mucchio di macchine sta guidando mentre si inclina su un lato.</v>
      </c>
    </row>
    <row r="34489">
      <c r="A34489" s="4" t="s">
        <v>43398</v>
      </c>
      <c r="B34489" s="4" t="s">
        <v>43400</v>
      </c>
      <c r="C34489" s="5" t="str">
        <f>IFERROR(__xludf.DUMMYFUNCTION("GOOGLETRANSLATE(B34489,""en"",""it"")"),"Le gomme sono tolte da una delle auto.")</f>
        <v>Le gomme sono tolte da una delle auto.</v>
      </c>
    </row>
    <row r="34490">
      <c r="A34490" s="4" t="s">
        <v>43401</v>
      </c>
      <c r="B34490" s="6" t="s">
        <v>43402</v>
      </c>
      <c r="C34490" s="5" t="str">
        <f>IFERROR(__xludf.DUMMYFUNCTION("GOOGLETRANSLATE(B34490,""en"",""it"")"),"Viene visto un uomo parlare con la telecamera e conduce in clip della sua guida per camion e persone che cavalcano.")</f>
        <v>Viene visto un uomo parlare con la telecamera e conduce in clip della sua guida per camion e persone che cavalcano.</v>
      </c>
    </row>
    <row r="34491">
      <c r="A34491" s="4" t="s">
        <v>43401</v>
      </c>
      <c r="B34491" s="6" t="s">
        <v>43403</v>
      </c>
      <c r="C34491" s="5" t="str">
        <f>IFERROR(__xludf.DUMMYFUNCTION("GOOGLETRANSLATE(B34491,""en"",""it"")"),"Un uomo parla a terra con un bastone mentre vagano per una zona deserta e mostrano varie piante e fauna selvatica nella zona.")</f>
        <v>Un uomo parla a terra con un bastone mentre vagano per una zona deserta e mostrano varie piante e fauna selvatica nella zona.</v>
      </c>
    </row>
    <row r="34492">
      <c r="A34492" s="4" t="s">
        <v>43401</v>
      </c>
      <c r="B34492" s="6" t="s">
        <v>43404</v>
      </c>
      <c r="C34492" s="5" t="str">
        <f>IFERROR(__xludf.DUMMYFUNCTION("GOOGLETRANSLATE(B34492,""en"",""it"")"),"Mette abiti bianchi su tutto il suo corpo e molti altri e conduce alle persone che cavalcano cammelli con altri che conducono davanti.")</f>
        <v>Mette abiti bianchi su tutto il suo corpo e molti altri e conduce alle persone che cavalcano cammelli con altri che conducono davanti.</v>
      </c>
    </row>
    <row r="34493">
      <c r="A34493" s="4" t="s">
        <v>43405</v>
      </c>
      <c r="B34493" s="4" t="s">
        <v>43406</v>
      </c>
      <c r="C34493" s="5" t="str">
        <f>IFERROR(__xludf.DUMMYFUNCTION("GOOGLETRANSLATE(B34493,""en"",""it"")"),"Una bandiera viene mostrata salutando dove è bloccata nel terreno.")</f>
        <v>Una bandiera viene mostrata salutando dove è bloccata nel terreno.</v>
      </c>
    </row>
    <row r="34494">
      <c r="A34494" s="4" t="s">
        <v>43405</v>
      </c>
      <c r="B34494" s="4" t="s">
        <v>43407</v>
      </c>
      <c r="C34494" s="5" t="str">
        <f>IFERROR(__xludf.DUMMYFUNCTION("GOOGLETRANSLATE(B34494,""en"",""it"")"),"Un gruppo di persone è in piedi fuori dall'edificio, alcuni mangiando.")</f>
        <v>Un gruppo di persone è in piedi fuori dall'edificio, alcuni mangiando.</v>
      </c>
    </row>
    <row r="34495">
      <c r="A34495" s="4" t="s">
        <v>43405</v>
      </c>
      <c r="B34495" s="4" t="s">
        <v>43408</v>
      </c>
      <c r="C34495" s="5" t="str">
        <f>IFERROR(__xludf.DUMMYFUNCTION("GOOGLETRANSLATE(B34495,""en"",""it"")"),"Un uomo si shurg alla telecamera mentre un gioco inizia.")</f>
        <v>Un uomo si shurg alla telecamera mentre un gioco inizia.</v>
      </c>
    </row>
    <row r="34496">
      <c r="A34496" s="4" t="s">
        <v>43409</v>
      </c>
      <c r="B34496" s="4" t="s">
        <v>43410</v>
      </c>
      <c r="C34496" s="5" t="str">
        <f>IFERROR(__xludf.DUMMYFUNCTION("GOOGLETRANSLATE(B34496,""en"",""it"")"),"Un bambino è immerso nell'acqua della piscina mentre si guarda intorno.")</f>
        <v>Un bambino è immerso nell'acqua della piscina mentre si guarda intorno.</v>
      </c>
    </row>
    <row r="34497">
      <c r="A34497" s="4" t="s">
        <v>43409</v>
      </c>
      <c r="B34497" s="4" t="s">
        <v>43411</v>
      </c>
      <c r="C34497" s="5" t="str">
        <f>IFERROR(__xludf.DUMMYFUNCTION("GOOGLETRANSLATE(B34497,""en"",""it"")"),"Fluisce e nuota con l'aiuto di sua madre.")</f>
        <v>Fluisce e nuota con l'aiuto di sua madre.</v>
      </c>
    </row>
    <row r="34498">
      <c r="A34498" s="4" t="s">
        <v>43409</v>
      </c>
      <c r="B34498" s="4" t="s">
        <v>43412</v>
      </c>
      <c r="C34498" s="5" t="str">
        <f>IFERROR(__xludf.DUMMYFUNCTION("GOOGLETRANSLATE(B34498,""en"",""it"")"),"Egli soffia bolle e lei lo rimuove dall'acqua.")</f>
        <v>Egli soffia bolle e lei lo rimuove dall'acqua.</v>
      </c>
    </row>
    <row r="34499">
      <c r="A34499" s="4" t="s">
        <v>43413</v>
      </c>
      <c r="B34499" s="4" t="s">
        <v>43414</v>
      </c>
      <c r="C34499" s="5" t="str">
        <f>IFERROR(__xludf.DUMMYFUNCTION("GOOGLETRANSLATE(B34499,""en"",""it"")"),"Una donna è seduta davanti a una macchina fotografica.")</f>
        <v>Una donna è seduta davanti a una macchina fotografica.</v>
      </c>
    </row>
    <row r="34500">
      <c r="A34500" s="4" t="s">
        <v>43413</v>
      </c>
      <c r="B34500" s="4" t="s">
        <v>43415</v>
      </c>
      <c r="C34500" s="5" t="str">
        <f>IFERROR(__xludf.DUMMYFUNCTION("GOOGLETRANSLATE(B34500,""en"",""it"")"),"Comincia a lavarsi i capelli parzialmente bagnati.")</f>
        <v>Comincia a lavarsi i capelli parzialmente bagnati.</v>
      </c>
    </row>
    <row r="34501">
      <c r="A34501" s="4" t="s">
        <v>43413</v>
      </c>
      <c r="B34501" s="4" t="s">
        <v>43416</v>
      </c>
      <c r="C34501" s="5" t="str">
        <f>IFERROR(__xludf.DUMMYFUNCTION("GOOGLETRANSLATE(B34501,""en"",""it"")"),"Continua a spazzolare, poi si ferma e fissa la telecamera.")</f>
        <v>Continua a spazzolare, poi si ferma e fissa la telecamera.</v>
      </c>
    </row>
    <row r="34502">
      <c r="A34502" s="4" t="s">
        <v>43417</v>
      </c>
      <c r="B34502" s="4" t="s">
        <v>43418</v>
      </c>
      <c r="C34502" s="5" t="str">
        <f>IFERROR(__xludf.DUMMYFUNCTION("GOOGLETRANSLATE(B34502,""en"",""it"")"),"Un uomo è visto in piedi su un campo da tennis su un lato della recinzione.")</f>
        <v>Un uomo è visto in piedi su un campo da tennis su un lato della recinzione.</v>
      </c>
    </row>
    <row r="34503">
      <c r="A34503" s="4" t="s">
        <v>43417</v>
      </c>
      <c r="B34503" s="4" t="s">
        <v>43419</v>
      </c>
      <c r="C34503" s="5" t="str">
        <f>IFERROR(__xludf.DUMMYFUNCTION("GOOGLETRANSLATE(B34503,""en"",""it"")"),"Un'altra persona viene vista in piedi dall'altra parte e poi colpire una palla l'una contro l'altra.")</f>
        <v>Un'altra persona viene vista in piedi dall'altra parte e poi colpire una palla l'una contro l'altra.</v>
      </c>
    </row>
    <row r="34504">
      <c r="A34504" s="4" t="s">
        <v>43417</v>
      </c>
      <c r="B34504" s="4" t="s">
        <v>43420</v>
      </c>
      <c r="C34504" s="5" t="str">
        <f>IFERROR(__xludf.DUMMYFUNCTION("GOOGLETRANSLATE(B34504,""en"",""it"")"),"La persona manca l'uccello e si avvicina.")</f>
        <v>La persona manca l'uccello e si avvicina.</v>
      </c>
    </row>
    <row r="34505">
      <c r="A34505" s="4" t="s">
        <v>43421</v>
      </c>
      <c r="B34505" s="4" t="s">
        <v>43422</v>
      </c>
      <c r="C34505" s="5" t="str">
        <f>IFERROR(__xludf.DUMMYFUNCTION("GOOGLETRANSLATE(B34505,""en"",""it"")"),"Un uomo si trova su un molo che indossa una camicia verde.")</f>
        <v>Un uomo si trova su un molo che indossa una camicia verde.</v>
      </c>
    </row>
    <row r="34506">
      <c r="A34506" s="4" t="s">
        <v>43421</v>
      </c>
      <c r="B34506" s="4" t="s">
        <v>43423</v>
      </c>
      <c r="C34506" s="5" t="str">
        <f>IFERROR(__xludf.DUMMYFUNCTION("GOOGLETRANSLATE(B34506,""en"",""it"")"),"Quindi cavalca una barca con una vela.")</f>
        <v>Quindi cavalca una barca con una vela.</v>
      </c>
    </row>
    <row r="34507">
      <c r="A34507" s="4" t="s">
        <v>43421</v>
      </c>
      <c r="B34507" s="4" t="s">
        <v>43424</v>
      </c>
      <c r="C34507" s="5" t="str">
        <f>IFERROR(__xludf.DUMMYFUNCTION("GOOGLETRANSLATE(B34507,""en"",""it"")"),"Lo suscita attraverso il lago.")</f>
        <v>Lo suscita attraverso il lago.</v>
      </c>
    </row>
    <row r="34508">
      <c r="A34508" s="4" t="s">
        <v>43421</v>
      </c>
      <c r="B34508" s="4" t="s">
        <v>43425</v>
      </c>
      <c r="C34508" s="5" t="str">
        <f>IFERROR(__xludf.DUMMYFUNCTION("GOOGLETRANSLATE(B34508,""en"",""it"")"),"Alla fine si trova di nuovo sul dock.")</f>
        <v>Alla fine si trova di nuovo sul dock.</v>
      </c>
    </row>
    <row r="34509">
      <c r="A34509" s="4" t="s">
        <v>43426</v>
      </c>
      <c r="B34509" s="4" t="s">
        <v>43427</v>
      </c>
      <c r="C34509" s="5" t="str">
        <f>IFERROR(__xludf.DUMMYFUNCTION("GOOGLETRANSLATE(B34509,""en"",""it"")"),"Una coppia è in piedi su una collina innevata.")</f>
        <v>Una coppia è in piedi su una collina innevata.</v>
      </c>
    </row>
    <row r="34510">
      <c r="A34510" s="4" t="s">
        <v>43426</v>
      </c>
      <c r="B34510" s="4" t="s">
        <v>43428</v>
      </c>
      <c r="C34510" s="5" t="str">
        <f>IFERROR(__xludf.DUMMYFUNCTION("GOOGLETRANSLATE(B34510,""en"",""it"")"),"Un uomo si avvicina a una piccola bandiera rossa.")</f>
        <v>Un uomo si avvicina a una piccola bandiera rossa.</v>
      </c>
    </row>
    <row r="34511">
      <c r="A34511" s="4" t="s">
        <v>43426</v>
      </c>
      <c r="B34511" s="4" t="s">
        <v>43429</v>
      </c>
      <c r="C34511" s="5" t="str">
        <f>IFERROR(__xludf.DUMMYFUNCTION("GOOGLETRANSLATE(B34511,""en"",""it"")"),"Rimuove la bandiera, quindi estrae una linea da terra.")</f>
        <v>Rimuove la bandiera, quindi estrae una linea da terra.</v>
      </c>
    </row>
    <row r="34512">
      <c r="A34512" s="4" t="s">
        <v>43426</v>
      </c>
      <c r="B34512" s="4" t="s">
        <v>43430</v>
      </c>
      <c r="C34512" s="5" t="str">
        <f>IFERROR(__xludf.DUMMYFUNCTION("GOOGLETRANSLATE(B34512,""en"",""it"")"),"Tira su un pesce gigante che ha catturato.")</f>
        <v>Tira su un pesce gigante che ha catturato.</v>
      </c>
    </row>
    <row r="34513">
      <c r="A34513" s="4" t="s">
        <v>43431</v>
      </c>
      <c r="B34513" s="4" t="s">
        <v>43432</v>
      </c>
      <c r="C34513" s="5" t="str">
        <f>IFERROR(__xludf.DUMMYFUNCTION("GOOGLETRANSLATE(B34513,""en"",""it"")"),"Vediamo persone che giocano a pallavolo a sabbia con un cane.")</f>
        <v>Vediamo persone che giocano a pallavolo a sabbia con un cane.</v>
      </c>
    </row>
    <row r="34514">
      <c r="A34514" s="4" t="s">
        <v>43431</v>
      </c>
      <c r="B34514" s="4" t="s">
        <v>43433</v>
      </c>
      <c r="C34514" s="5" t="str">
        <f>IFERROR(__xludf.DUMMYFUNCTION("GOOGLETRANSLATE(B34514,""en"",""it"")"),"Vediamo un uomo che giace nella sabbia.")</f>
        <v>Vediamo un uomo che giace nella sabbia.</v>
      </c>
    </row>
    <row r="34515">
      <c r="A34515" s="4" t="s">
        <v>43431</v>
      </c>
      <c r="B34515" s="4" t="s">
        <v>43434</v>
      </c>
      <c r="C34515" s="5" t="str">
        <f>IFERROR(__xludf.DUMMYFUNCTION("GOOGLETRANSLATE(B34515,""en"",""it"")"),"Il cane corre per la palla.")</f>
        <v>Il cane corre per la palla.</v>
      </c>
    </row>
    <row r="34516">
      <c r="A34516" s="4" t="s">
        <v>43431</v>
      </c>
      <c r="B34516" s="4" t="s">
        <v>43435</v>
      </c>
      <c r="C34516" s="5" t="str">
        <f>IFERROR(__xludf.DUMMYFUNCTION("GOOGLETRANSLATE(B34516,""en"",""it"")"),"Una persona getta indietro la palla e il cane ritorna.")</f>
        <v>Una persona getta indietro la palla e il cane ritorna.</v>
      </c>
    </row>
    <row r="34517">
      <c r="A34517" s="4" t="s">
        <v>43431</v>
      </c>
      <c r="B34517" s="4" t="s">
        <v>43436</v>
      </c>
      <c r="C34517" s="5" t="str">
        <f>IFERROR(__xludf.DUMMYFUNCTION("GOOGLETRANSLATE(B34517,""en"",""it"")"),"Il cane cerca di prendere la palla.")</f>
        <v>Il cane cerca di prendere la palla.</v>
      </c>
    </row>
    <row r="34518">
      <c r="A34518" s="4" t="s">
        <v>43431</v>
      </c>
      <c r="B34518" s="4" t="s">
        <v>43437</v>
      </c>
      <c r="C34518" s="5" t="str">
        <f>IFERROR(__xludf.DUMMYFUNCTION("GOOGLETRANSLATE(B34518,""en"",""it"")"),"Un uomo prende a calci la sabbia e scruta il cane.")</f>
        <v>Un uomo prende a calci la sabbia e scruta il cane.</v>
      </c>
    </row>
    <row r="34519">
      <c r="A34519" s="4" t="s">
        <v>43438</v>
      </c>
      <c r="B34519" s="4" t="s">
        <v>43439</v>
      </c>
      <c r="C34519" s="5" t="str">
        <f>IFERROR(__xludf.DUMMYFUNCTION("GOOGLETRANSLATE(B34519,""en"",""it"")"),"Un uomo sfreccia una scarpa per strada mentre un'altra persona si siede e guarda.")</f>
        <v>Un uomo sfreccia una scarpa per strada mentre un'altra persona si siede e guarda.</v>
      </c>
    </row>
    <row r="34520">
      <c r="A34520" s="4" t="s">
        <v>43438</v>
      </c>
      <c r="B34520" s="4" t="s">
        <v>43440</v>
      </c>
      <c r="C34520" s="5" t="str">
        <f>IFERROR(__xludf.DUMMYFUNCTION("GOOGLETRANSLATE(B34520,""en"",""it"")"),"Parla con l'uomo e muove le mani per seguire il suo movimento.")</f>
        <v>Parla con l'uomo e muove le mani per seguire il suo movimento.</v>
      </c>
    </row>
    <row r="34521">
      <c r="A34521" s="4" t="s">
        <v>43441</v>
      </c>
      <c r="B34521" s="4" t="s">
        <v>23870</v>
      </c>
      <c r="C34521" s="5" t="str">
        <f>IFERROR(__xludf.DUMMYFUNCTION("GOOGLETRANSLATE(B34521,""en"",""it"")"),"Un uomo è in piedi in una stanza a parlare.")</f>
        <v>Un uomo è in piedi in una stanza a parlare.</v>
      </c>
    </row>
    <row r="34522">
      <c r="A34522" s="4" t="s">
        <v>43441</v>
      </c>
      <c r="B34522" s="4" t="s">
        <v>43442</v>
      </c>
      <c r="C34522" s="5" t="str">
        <f>IFERROR(__xludf.DUMMYFUNCTION("GOOGLETRANSLATE(B34522,""en"",""it"")"),"Sta mostrando uno shuffleboard.")</f>
        <v>Sta mostrando uno shuffleboard.</v>
      </c>
    </row>
    <row r="34523">
      <c r="A34523" s="4" t="s">
        <v>43441</v>
      </c>
      <c r="B34523" s="4" t="s">
        <v>43443</v>
      </c>
      <c r="C34523" s="5" t="str">
        <f>IFERROR(__xludf.DUMMYFUNCTION("GOOGLETRANSLATE(B34523,""en"",""it"")"),"Cammina fino alla fine dello shuffleboard e un altro uomo è dall'altra parte.")</f>
        <v>Cammina fino alla fine dello shuffleboard e un altro uomo è dall'altra parte.</v>
      </c>
    </row>
    <row r="34524">
      <c r="A34524" s="4" t="s">
        <v>43441</v>
      </c>
      <c r="B34524" s="4" t="s">
        <v>43444</v>
      </c>
      <c r="C34524" s="5" t="str">
        <f>IFERROR(__xludf.DUMMYFUNCTION("GOOGLETRANSLATE(B34524,""en"",""it"")"),"Comincia a suonare gettando uno giù per il tabellone.")</f>
        <v>Comincia a suonare gettando uno giù per il tabellone.</v>
      </c>
    </row>
    <row r="34525">
      <c r="A34525" s="4" t="s">
        <v>43445</v>
      </c>
      <c r="B34525" s="4" t="s">
        <v>43446</v>
      </c>
      <c r="C34525" s="5" t="str">
        <f>IFERROR(__xludf.DUMMYFUNCTION("GOOGLETRANSLATE(B34525,""en"",""it"")"),"Vediamo alcuni schermi di apertura.")</f>
        <v>Vediamo alcuni schermi di apertura.</v>
      </c>
    </row>
    <row r="34526">
      <c r="A34526" s="4" t="s">
        <v>43445</v>
      </c>
      <c r="B34526" s="4" t="s">
        <v>43447</v>
      </c>
      <c r="C34526" s="5" t="str">
        <f>IFERROR(__xludf.DUMMYFUNCTION("GOOGLETRANSLATE(B34526,""en"",""it"")"),"Vediamo che una signora esegue una routine di testimone in un'arena.")</f>
        <v>Vediamo che una signora esegue una routine di testimone in un'arena.</v>
      </c>
    </row>
    <row r="34527">
      <c r="A34527" s="4" t="s">
        <v>43445</v>
      </c>
      <c r="B34527" s="4" t="s">
        <v>43448</v>
      </c>
      <c r="C34527" s="5" t="str">
        <f>IFERROR(__xludf.DUMMYFUNCTION("GOOGLETRANSLATE(B34527,""en"",""it"")"),"La signora gira e cattura il suo testimone.")</f>
        <v>La signora gira e cattura il suo testimone.</v>
      </c>
    </row>
    <row r="34528">
      <c r="A34528" s="4" t="s">
        <v>43445</v>
      </c>
      <c r="B34528" s="4" t="s">
        <v>43449</v>
      </c>
      <c r="C34528" s="5" t="str">
        <f>IFERROR(__xludf.DUMMYFUNCTION("GOOGLETRANSLATE(B34528,""en"",""it"")"),"La signora gira in avanti e indietro e cattura il suo testimone.")</f>
        <v>La signora gira in avanti e indietro e cattura il suo testimone.</v>
      </c>
    </row>
    <row r="34529">
      <c r="A34529" s="4" t="s">
        <v>43445</v>
      </c>
      <c r="B34529" s="4" t="s">
        <v>43450</v>
      </c>
      <c r="C34529" s="5" t="str">
        <f>IFERROR(__xludf.DUMMYFUNCTION("GOOGLETRANSLATE(B34529,""en"",""it"")"),"La signora gira e prende di nuovo il suo testimone.")</f>
        <v>La signora gira e prende di nuovo il suo testimone.</v>
      </c>
    </row>
    <row r="34530">
      <c r="A34530" s="4" t="s">
        <v>43445</v>
      </c>
      <c r="B34530" s="4" t="s">
        <v>43451</v>
      </c>
      <c r="C34530" s="5" t="str">
        <f>IFERROR(__xludf.DUMMYFUNCTION("GOOGLETRANSLATE(B34530,""en"",""it"")"),"La signora gira più volte e cattura il suo testimone prima di posare.")</f>
        <v>La signora gira più volte e cattura il suo testimone prima di posare.</v>
      </c>
    </row>
    <row r="34531">
      <c r="A34531" s="4" t="s">
        <v>43445</v>
      </c>
      <c r="B34531" s="4" t="s">
        <v>43452</v>
      </c>
      <c r="C34531" s="5" t="str">
        <f>IFERROR(__xludf.DUMMYFUNCTION("GOOGLETRANSLATE(B34531,""en"",""it"")"),"La folla applaude e le onde della signora.")</f>
        <v>La folla applaude e le onde della signora.</v>
      </c>
    </row>
    <row r="34532">
      <c r="A34532" s="4" t="s">
        <v>43453</v>
      </c>
      <c r="B34532" s="4" t="s">
        <v>43454</v>
      </c>
      <c r="C34532" s="5" t="str">
        <f>IFERROR(__xludf.DUMMYFUNCTION("GOOGLETRANSLATE(B34532,""en"",""it"")"),"Il video inizia con una schermata del titolo e un'introduzione che mostra varie opere d'arte.")</f>
        <v>Il video inizia con una schermata del titolo e un'introduzione che mostra varie opere d'arte.</v>
      </c>
    </row>
    <row r="34533">
      <c r="A34533" s="4" t="s">
        <v>43453</v>
      </c>
      <c r="B34533" s="4" t="s">
        <v>43455</v>
      </c>
      <c r="C34533" s="5" t="str">
        <f>IFERROR(__xludf.DUMMYFUNCTION("GOOGLETRANSLATE(B34533,""en"",""it"")"),"L'argomento riguarda i dipinti cinesi di cascate e rocce.")</f>
        <v>L'argomento riguarda i dipinti cinesi di cascate e rocce.</v>
      </c>
    </row>
    <row r="34534">
      <c r="A34534" s="4" t="s">
        <v>43453</v>
      </c>
      <c r="B34534" s="4" t="s">
        <v>43456</v>
      </c>
      <c r="C34534" s="5" t="str">
        <f>IFERROR(__xludf.DUMMYFUNCTION("GOOGLETRANSLATE(B34534,""en"",""it"")"),"Un uomo cinese più anziano parla alla telecamera.")</f>
        <v>Un uomo cinese più anziano parla alla telecamera.</v>
      </c>
    </row>
    <row r="34535">
      <c r="A34535" s="4" t="s">
        <v>43453</v>
      </c>
      <c r="B34535" s="4" t="s">
        <v>43457</v>
      </c>
      <c r="C34535" s="5" t="str">
        <f>IFERROR(__xludf.DUMMYFUNCTION("GOOGLETRANSLATE(B34535,""en"",""it"")"),"Quindi inizia a dipingere mentre la telecamera si muove per vedere come lo fa.")</f>
        <v>Quindi inizia a dipingere mentre la telecamera si muove per vedere come lo fa.</v>
      </c>
    </row>
    <row r="34536">
      <c r="A34536" s="4" t="s">
        <v>43453</v>
      </c>
      <c r="B34536" s="4" t="s">
        <v>43458</v>
      </c>
      <c r="C34536" s="5" t="str">
        <f>IFERROR(__xludf.DUMMYFUNCTION("GOOGLETRANSLATE(B34536,""en"",""it"")"),"Ad un certo punto, la telecamera si concentra sul suo viso per un momento.")</f>
        <v>Ad un certo punto, la telecamera si concentra sul suo viso per un momento.</v>
      </c>
    </row>
    <row r="34537">
      <c r="A34537" s="4" t="s">
        <v>43453</v>
      </c>
      <c r="B34537" s="4" t="s">
        <v>43459</v>
      </c>
      <c r="C34537" s="5" t="str">
        <f>IFERROR(__xludf.DUMMYFUNCTION("GOOGLETRANSLATE(B34537,""en"",""it"")"),"Il video termina con un'altra schermata del titolo.")</f>
        <v>Il video termina con un'altra schermata del titolo.</v>
      </c>
    </row>
    <row r="34538">
      <c r="A34538" s="4" t="s">
        <v>43460</v>
      </c>
      <c r="B34538" s="4" t="s">
        <v>43461</v>
      </c>
      <c r="C34538" s="5" t="str">
        <f>IFERROR(__xludf.DUMMYFUNCTION("GOOGLETRANSLATE(B34538,""en"",""it"")"),"Un aquilone sta volando sopra una spiaggia.")</f>
        <v>Un aquilone sta volando sopra una spiaggia.</v>
      </c>
    </row>
    <row r="34539">
      <c r="A34539" s="4" t="s">
        <v>43460</v>
      </c>
      <c r="B34539" s="4" t="s">
        <v>43462</v>
      </c>
      <c r="C34539" s="5" t="str">
        <f>IFERROR(__xludf.DUMMYFUNCTION("GOOGLETRANSLATE(B34539,""en"",""it"")"),"Diverse persone siedono sulla spiaggia.")</f>
        <v>Diverse persone siedono sulla spiaggia.</v>
      </c>
    </row>
    <row r="34540">
      <c r="A34540" s="4" t="s">
        <v>43460</v>
      </c>
      <c r="B34540" s="4" t="s">
        <v>43463</v>
      </c>
      <c r="C34540" s="5" t="str">
        <f>IFERROR(__xludf.DUMMYFUNCTION("GOOGLETRANSLATE(B34540,""en"",""it"")"),"L'aquilone si alza nel cielo.")</f>
        <v>L'aquilone si alza nel cielo.</v>
      </c>
    </row>
    <row r="34541">
      <c r="A34541" s="4" t="s">
        <v>43460</v>
      </c>
      <c r="B34541" s="4" t="s">
        <v>43464</v>
      </c>
      <c r="C34541" s="5" t="str">
        <f>IFERROR(__xludf.DUMMYFUNCTION("GOOGLETRANSLATE(B34541,""en"",""it"")"),"Diverse persone sono in acqua.")</f>
        <v>Diverse persone sono in acqua.</v>
      </c>
    </row>
    <row r="34542">
      <c r="A34542" s="4" t="s">
        <v>43465</v>
      </c>
      <c r="B34542" s="4" t="s">
        <v>43466</v>
      </c>
      <c r="C34542" s="5" t="str">
        <f>IFERROR(__xludf.DUMMYFUNCTION("GOOGLETRANSLATE(B34542,""en"",""it"")"),"Un vecchio interpreta l'ukulele e un ragazzo interpreta i Tam-Tams per strada.")</f>
        <v>Un vecchio interpreta l'ukulele e un ragazzo interpreta i Tam-Tams per strada.</v>
      </c>
    </row>
    <row r="34543">
      <c r="A34543" s="4" t="s">
        <v>43465</v>
      </c>
      <c r="B34543" s="4" t="s">
        <v>43467</v>
      </c>
      <c r="C34543" s="5" t="str">
        <f>IFERROR(__xludf.DUMMYFUNCTION("GOOGLETRANSLATE(B34543,""en"",""it"")"),"Una persona passa davanti ai giocatori.")</f>
        <v>Una persona passa davanti ai giocatori.</v>
      </c>
    </row>
    <row r="34544">
      <c r="A34544" s="4" t="s">
        <v>43468</v>
      </c>
      <c r="B34544" s="6" t="s">
        <v>43469</v>
      </c>
      <c r="C34544" s="5" t="str">
        <f>IFERROR(__xludf.DUMMYFUNCTION("GOOGLETRANSLATE(B34544,""en"",""it"")"),"Viene mostrato una serie di istruzioni che passa indietro e quarto tra un uomo che posa su un set di scale.")</f>
        <v>Viene mostrato una serie di istruzioni che passa indietro e quarto tra un uomo che posa su un set di scale.</v>
      </c>
    </row>
    <row r="34545">
      <c r="A34545" s="4" t="s">
        <v>43468</v>
      </c>
      <c r="B34545" s="4" t="s">
        <v>43470</v>
      </c>
      <c r="C34545" s="5" t="str">
        <f>IFERROR(__xludf.DUMMYFUNCTION("GOOGLETRANSLATE(B34545,""en"",""it"")"),"Il testo continua a mostrare mentre l'uomo esprime la carta per tutte le scale.")</f>
        <v>Il testo continua a mostrare mentre l'uomo esprime la carta per tutte le scale.</v>
      </c>
    </row>
    <row r="34546">
      <c r="A34546" s="4" t="s">
        <v>43471</v>
      </c>
      <c r="B34546" s="4" t="s">
        <v>43472</v>
      </c>
      <c r="C34546" s="5" t="str">
        <f>IFERROR(__xludf.DUMMYFUNCTION("GOOGLETRANSLATE(B34546,""en"",""it"")"),"Una donna viene vista camminare lungo un campo e lanciare una corda per un altro.")</f>
        <v>Una donna viene vista camminare lungo un campo e lanciare una corda per un altro.</v>
      </c>
    </row>
    <row r="34547">
      <c r="A34547" s="4" t="s">
        <v>43471</v>
      </c>
      <c r="B34547" s="4" t="s">
        <v>43473</v>
      </c>
      <c r="C34547" s="5" t="str">
        <f>IFERROR(__xludf.DUMMYFUNCTION("GOOGLETRANSLATE(B34547,""en"",""it"")"),"Diverse clip sono seguite da persone che saltano in vasta gamma in varie località e tra loro.")</f>
        <v>Diverse clip sono seguite da persone che saltano in vasta gamma in varie località e tra loro.</v>
      </c>
    </row>
    <row r="34548">
      <c r="A34548" s="4" t="s">
        <v>43471</v>
      </c>
      <c r="B34548" s="6" t="s">
        <v>43474</v>
      </c>
      <c r="C34548" s="5" t="str">
        <f>IFERROR(__xludf.DUMMYFUNCTION("GOOGLETRANSLATE(B34548,""en"",""it"")"),"Il gruppo continua a ballare e saltare in luoghi pubblici e termina con un bambino che tiene una corda.")</f>
        <v>Il gruppo continua a ballare e saltare in luoghi pubblici e termina con un bambino che tiene una corda.</v>
      </c>
    </row>
    <row r="34549">
      <c r="A34549" s="4" t="s">
        <v>43475</v>
      </c>
      <c r="B34549" s="4" t="s">
        <v>43476</v>
      </c>
      <c r="C34549" s="5" t="str">
        <f>IFERROR(__xludf.DUMMYFUNCTION("GOOGLETRANSLATE(B34549,""en"",""it"")"),"Vediamo due uomini in una strada cittadina e il titolo.")</f>
        <v>Vediamo due uomini in una strada cittadina e il titolo.</v>
      </c>
    </row>
    <row r="34550">
      <c r="A34550" s="4" t="s">
        <v>43475</v>
      </c>
      <c r="B34550" s="4" t="s">
        <v>43477</v>
      </c>
      <c r="C34550" s="5" t="str">
        <f>IFERROR(__xludf.DUMMYFUNCTION("GOOGLETRANSLATE(B34550,""en"",""it"")"),"Un uomo si toglie il cofano e parla alla telecamera.")</f>
        <v>Un uomo si toglie il cofano e parla alla telecamera.</v>
      </c>
    </row>
    <row r="34551">
      <c r="A34551" s="4" t="s">
        <v>43475</v>
      </c>
      <c r="B34551" s="4" t="s">
        <v>43478</v>
      </c>
      <c r="C34551" s="5" t="str">
        <f>IFERROR(__xludf.DUMMYFUNCTION("GOOGLETRANSLATE(B34551,""en"",""it"")"),"Vediamo che gli uomini nelle lame a rulli cadono e poi pattinano una ringhiera.")</f>
        <v>Vediamo che gli uomini nelle lame a rulli cadono e poi pattinano una ringhiera.</v>
      </c>
    </row>
    <row r="34552">
      <c r="A34552" s="4" t="s">
        <v>43475</v>
      </c>
      <c r="B34552" s="4" t="s">
        <v>43479</v>
      </c>
      <c r="C34552" s="5" t="str">
        <f>IFERROR(__xludf.DUMMYFUNCTION("GOOGLETRANSLATE(B34552,""en"",""it"")"),"Una persona lampeggia una luce alla fotocamera.")</f>
        <v>Una persona lampeggia una luce alla fotocamera.</v>
      </c>
    </row>
    <row r="34553">
      <c r="A34553" s="4" t="s">
        <v>43475</v>
      </c>
      <c r="B34553" s="4" t="s">
        <v>43480</v>
      </c>
      <c r="C34553" s="5" t="str">
        <f>IFERROR(__xludf.DUMMYFUNCTION("GOOGLETRANSLATE(B34553,""en"",""it"")"),"Un uomo cade sulla ringhiera.")</f>
        <v>Un uomo cade sulla ringhiera.</v>
      </c>
    </row>
    <row r="34554">
      <c r="A34554" s="4" t="s">
        <v>43475</v>
      </c>
      <c r="B34554" s="4" t="s">
        <v>43481</v>
      </c>
      <c r="C34554" s="5" t="str">
        <f>IFERROR(__xludf.DUMMYFUNCTION("GOOGLETRANSLATE(B34554,""en"",""it"")"),"Una persona cade sul fondo delle scale e poi la luce lampeggia di nuovo.")</f>
        <v>Una persona cade sul fondo delle scale e poi la luce lampeggia di nuovo.</v>
      </c>
    </row>
    <row r="34555">
      <c r="A34555" s="4" t="s">
        <v>43475</v>
      </c>
      <c r="B34555" s="4" t="s">
        <v>43482</v>
      </c>
      <c r="C34555" s="5" t="str">
        <f>IFERROR(__xludf.DUMMYFUNCTION("GOOGLETRANSLATE(B34555,""en"",""it"")"),"Vediamo un uomo cadere nella ringhiera tre volte.")</f>
        <v>Vediamo un uomo cadere nella ringhiera tre volte.</v>
      </c>
    </row>
    <row r="34556">
      <c r="A34556" s="4" t="s">
        <v>43475</v>
      </c>
      <c r="B34556" s="4" t="s">
        <v>43483</v>
      </c>
      <c r="C34556" s="5" t="str">
        <f>IFERROR(__xludf.DUMMYFUNCTION("GOOGLETRANSLATE(B34556,""en"",""it"")"),"Vediamo gli uomini parlare e stringere la mano prima di vedere lo schermo finale.")</f>
        <v>Vediamo gli uomini parlare e stringere la mano prima di vedere lo schermo finale.</v>
      </c>
    </row>
    <row r="34557">
      <c r="A34557" s="4" t="s">
        <v>43484</v>
      </c>
      <c r="B34557" s="4" t="s">
        <v>43485</v>
      </c>
      <c r="C34557" s="5" t="str">
        <f>IFERROR(__xludf.DUMMYFUNCTION("GOOGLETRANSLATE(B34557,""en"",""it"")"),"Un uomo colpisce una palla con una racchetta da tennis.")</f>
        <v>Un uomo colpisce una palla con una racchetta da tennis.</v>
      </c>
    </row>
    <row r="34558">
      <c r="A34558" s="4" t="s">
        <v>43484</v>
      </c>
      <c r="B34558" s="4" t="s">
        <v>43486</v>
      </c>
      <c r="C34558" s="5" t="str">
        <f>IFERROR(__xludf.DUMMYFUNCTION("GOOGLETRANSLATE(B34558,""en"",""it"")"),"Un altro uomo si unisce a lui poco dopo.")</f>
        <v>Un altro uomo si unisce a lui poco dopo.</v>
      </c>
    </row>
    <row r="34559">
      <c r="A34559" s="4" t="s">
        <v>43484</v>
      </c>
      <c r="B34559" s="6" t="s">
        <v>43487</v>
      </c>
      <c r="C34559" s="5" t="str">
        <f>IFERROR(__xludf.DUMMYFUNCTION("GOOGLETRANSLATE(B34559,""en"",""it"")"),"Diversi angoli diversi sono mostrati come il gruppo di quattro gioca davanti a un pubblico, colpendo rapidamente la palla avanti e indietro.")</f>
        <v>Diversi angoli diversi sono mostrati come il gruppo di quattro gioca davanti a un pubblico, colpendo rapidamente la palla avanti e indietro.</v>
      </c>
    </row>
    <row r="34560">
      <c r="A34560" s="4" t="s">
        <v>43484</v>
      </c>
      <c r="B34560" s="4" t="s">
        <v>43488</v>
      </c>
      <c r="C34560" s="5" t="str">
        <f>IFERROR(__xludf.DUMMYFUNCTION("GOOGLETRANSLATE(B34560,""en"",""it"")"),"Quando hanno finito, gli uomini si allontanano, dando una pacca sul retro.")</f>
        <v>Quando hanno finito, gli uomini si allontanano, dando una pacca sul retro.</v>
      </c>
    </row>
    <row r="34561">
      <c r="A34561" s="4" t="s">
        <v>43489</v>
      </c>
      <c r="B34561" s="4" t="s">
        <v>43490</v>
      </c>
      <c r="C34561" s="5" t="str">
        <f>IFERROR(__xludf.DUMMYFUNCTION("GOOGLETRANSLATE(B34561,""en"",""it"")"),"Un gruppo di donne balla in una classe aerobica in un gruppo all'interno di uno studio di palestra.")</f>
        <v>Un gruppo di donne balla in una classe aerobica in un gruppo all'interno di uno studio di palestra.</v>
      </c>
    </row>
    <row r="34562">
      <c r="A34562" s="4" t="s">
        <v>43489</v>
      </c>
      <c r="B34562" s="4" t="s">
        <v>43491</v>
      </c>
      <c r="C34562" s="5" t="str">
        <f>IFERROR(__xludf.DUMMYFUNCTION("GOOGLETRANSLATE(B34562,""en"",""it"")"),"Le donne saltano su e giù ai piedi alternati.")</f>
        <v>Le donne saltano su e giù ai piedi alternati.</v>
      </c>
    </row>
    <row r="34563">
      <c r="A34563" s="4" t="s">
        <v>43489</v>
      </c>
      <c r="B34563" s="4" t="s">
        <v>43492</v>
      </c>
      <c r="C34563" s="5" t="str">
        <f>IFERROR(__xludf.DUMMYFUNCTION("GOOGLETRANSLATE(B34563,""en"",""it"")"),"La donna cammina in un modo a fare qualche passo, poi indietro durante la routine.")</f>
        <v>La donna cammina in un modo a fare qualche passo, poi indietro durante la routine.</v>
      </c>
    </row>
    <row r="34564">
      <c r="A34564" s="4" t="s">
        <v>43493</v>
      </c>
      <c r="B34564" s="4" t="s">
        <v>43494</v>
      </c>
      <c r="C34564" s="5" t="str">
        <f>IFERROR(__xludf.DUMMYFUNCTION("GOOGLETRANSLATE(B34564,""en"",""it"")"),"Un uomo sta dietro una barra che parla con la telecamera.")</f>
        <v>Un uomo sta dietro una barra che parla con la telecamera.</v>
      </c>
    </row>
    <row r="34565">
      <c r="A34565" s="4" t="s">
        <v>43493</v>
      </c>
      <c r="B34565" s="4" t="s">
        <v>43495</v>
      </c>
      <c r="C34565" s="5" t="str">
        <f>IFERROR(__xludf.DUMMYFUNCTION("GOOGLETRANSLATE(B34565,""en"",""it"")"),"L'uomo tiene un drink e lo mette giù.")</f>
        <v>L'uomo tiene un drink e lo mette giù.</v>
      </c>
    </row>
    <row r="34566">
      <c r="A34566" s="4" t="s">
        <v>43493</v>
      </c>
      <c r="B34566" s="4" t="s">
        <v>43496</v>
      </c>
      <c r="C34566" s="5" t="str">
        <f>IFERROR(__xludf.DUMMYFUNCTION("GOOGLETRANSLATE(B34566,""en"",""it"")"),"L'uomo aggiunge ghiaccio a un bicchiere e due colpi di liquore rosso, poi un altro.")</f>
        <v>L'uomo aggiunge ghiaccio a un bicchiere e due colpi di liquore rosso, poi un altro.</v>
      </c>
    </row>
    <row r="34567">
      <c r="A34567" s="4" t="s">
        <v>43493</v>
      </c>
      <c r="B34567" s="4" t="s">
        <v>43497</v>
      </c>
      <c r="C34567" s="5" t="str">
        <f>IFERROR(__xludf.DUMMYFUNCTION("GOOGLETRANSLATE(B34567,""en"",""it"")"),"L'uomo mette un filtro sul vetro e mescola il vetro con un lungo bastone di metallo.")</f>
        <v>L'uomo mette un filtro sul vetro e mescola il vetro con un lungo bastone di metallo.</v>
      </c>
    </row>
    <row r="34568">
      <c r="A34568" s="4" t="s">
        <v>43493</v>
      </c>
      <c r="B34568" s="4" t="s">
        <v>43498</v>
      </c>
      <c r="C34568" s="5" t="str">
        <f>IFERROR(__xludf.DUMMYFUNCTION("GOOGLETRANSLATE(B34568,""en"",""it"")"),"L'uomo lo versa in un bicchiere di martini.")</f>
        <v>L'uomo lo versa in un bicchiere di martini.</v>
      </c>
    </row>
    <row r="34569">
      <c r="A34569" s="4" t="s">
        <v>43493</v>
      </c>
      <c r="B34569" s="4" t="s">
        <v>43499</v>
      </c>
      <c r="C34569" s="5" t="str">
        <f>IFERROR(__xludf.DUMMYFUNCTION("GOOGLETRANSLATE(B34569,""en"",""it"")"),"L'uomo sorride e tiene la bevanda in aria.")</f>
        <v>L'uomo sorride e tiene la bevanda in aria.</v>
      </c>
    </row>
    <row r="34570">
      <c r="A34570" s="4" t="s">
        <v>43500</v>
      </c>
      <c r="B34570" s="4" t="s">
        <v>43501</v>
      </c>
      <c r="C34570" s="5" t="str">
        <f>IFERROR(__xludf.DUMMYFUNCTION("GOOGLETRANSLATE(B34570,""en"",""it"")"),"Una ragazza dimostra l'applicazione delle lenti a contatto ai suoi occhi in un video di primo piano estremo.")</f>
        <v>Una ragazza dimostra l'applicazione delle lenti a contatto ai suoi occhi in un video di primo piano estremo.</v>
      </c>
    </row>
    <row r="34571">
      <c r="A34571" s="4" t="s">
        <v>43500</v>
      </c>
      <c r="B34571" s="4" t="s">
        <v>43502</v>
      </c>
      <c r="C34571" s="5" t="str">
        <f>IFERROR(__xludf.DUMMYFUNCTION("GOOGLETRANSLATE(B34571,""en"",""it"")"),"Viene visualizzata una diapositiva rosa consigliando che una persona non è brava ad applicare le lenti a contatto.")</f>
        <v>Viene visualizzata una diapositiva rosa consigliando che una persona non è brava ad applicare le lenti a contatto.</v>
      </c>
    </row>
    <row r="34572">
      <c r="A34572" s="4" t="s">
        <v>43500</v>
      </c>
      <c r="B34572" s="6" t="s">
        <v>43503</v>
      </c>
      <c r="C34572" s="5" t="str">
        <f>IFERROR(__xludf.DUMMYFUNCTION("GOOGLETRANSLATE(B34572,""en"",""it"")"),"Una ragazza con capelli biondi e lunghe unghie rosa procede ad applicare le lenti a contatto ai suoi occhi in un video ravvicinato che cattura l'obiettivo e l'occhio prima e dopo.")</f>
        <v>Una ragazza con capelli biondi e lunghe unghie rosa procede ad applicare le lenti a contatto ai suoi occhi in un video ravvicinato che cattura l'obiettivo e l'occhio prima e dopo.</v>
      </c>
    </row>
    <row r="34573">
      <c r="A34573" s="4" t="s">
        <v>43504</v>
      </c>
      <c r="B34573" s="4" t="s">
        <v>43505</v>
      </c>
      <c r="C34573" s="5" t="str">
        <f>IFERROR(__xludf.DUMMYFUNCTION("GOOGLETRANSLATE(B34573,""en"",""it"")"),"Due ragazze vengono viste parlare alla telecamera e giocare tra loro.")</f>
        <v>Due ragazze vengono viste parlare alla telecamera e giocare tra loro.</v>
      </c>
    </row>
    <row r="34574">
      <c r="A34574" s="4" t="s">
        <v>43504</v>
      </c>
      <c r="B34574" s="4" t="s">
        <v>43506</v>
      </c>
      <c r="C34574" s="5" t="str">
        <f>IFERROR(__xludf.DUMMYFUNCTION("GOOGLETRANSLATE(B34574,""en"",""it"")"),"Una ragazza tira quindi fuori una bottiglia di smalto mentre le altre ondate alla telecamera.")</f>
        <v>Una ragazza tira quindi fuori una bottiglia di smalto mentre le altre ondate alla telecamera.</v>
      </c>
    </row>
    <row r="34575">
      <c r="A34575" s="4" t="s">
        <v>43504</v>
      </c>
      <c r="B34575" s="6" t="s">
        <v>43507</v>
      </c>
      <c r="C34575" s="5" t="str">
        <f>IFERROR(__xludf.DUMMYFUNCTION("GOOGLETRANSLATE(B34575,""en"",""it"")"),"Vengono mostrate altre clip di una ragazza che tenta di dipingere le unghie dell'altra e termina agitando la telecamera.")</f>
        <v>Vengono mostrate altre clip di una ragazza che tenta di dipingere le unghie dell'altra e termina agitando la telecamera.</v>
      </c>
    </row>
    <row r="34576">
      <c r="A34576" s="4" t="s">
        <v>43508</v>
      </c>
      <c r="B34576" s="4" t="s">
        <v>43509</v>
      </c>
      <c r="C34576" s="5" t="str">
        <f>IFERROR(__xludf.DUMMYFUNCTION("GOOGLETRANSLATE(B34576,""en"",""it"")"),"Viene mostrato un video a movimento rapido di varie persone che raschiano le foglie intorno a un cortile.")</f>
        <v>Viene mostrato un video a movimento rapido di varie persone che raschiano le foglie intorno a un cortile.</v>
      </c>
    </row>
    <row r="34577">
      <c r="A34577" s="4" t="s">
        <v>43508</v>
      </c>
      <c r="B34577" s="4" t="s">
        <v>43510</v>
      </c>
      <c r="C34577" s="5" t="str">
        <f>IFERROR(__xludf.DUMMYFUNCTION("GOOGLETRANSLATE(B34577,""en"",""it"")"),"Due ragazzi si guardano intorno e continuano a rastrellare le perdite fino a quando il cortile non è finito.")</f>
        <v>Due ragazzi si guardano intorno e continuano a rastrellare le perdite fino a quando il cortile non è finito.</v>
      </c>
    </row>
    <row r="34578">
      <c r="A34578" s="4" t="s">
        <v>43511</v>
      </c>
      <c r="B34578" s="4" t="s">
        <v>43512</v>
      </c>
      <c r="C34578" s="5" t="str">
        <f>IFERROR(__xludf.DUMMYFUNCTION("GOOGLETRANSLATE(B34578,""en"",""it"")"),"Un uomo gira il suo corpo, preparandosi a gettare il suo disco.")</f>
        <v>Un uomo gira il suo corpo, preparandosi a gettare il suo disco.</v>
      </c>
    </row>
    <row r="34579">
      <c r="A34579" s="4" t="s">
        <v>43511</v>
      </c>
      <c r="B34579" s="4" t="s">
        <v>43513</v>
      </c>
      <c r="C34579" s="5" t="str">
        <f>IFERROR(__xludf.DUMMYFUNCTION("GOOGLETRANSLATE(B34579,""en"",""it"")"),"L'uomo lancia il disco davvero forte.")</f>
        <v>L'uomo lancia il disco davvero forte.</v>
      </c>
    </row>
    <row r="34580">
      <c r="A34580" s="4" t="s">
        <v>43511</v>
      </c>
      <c r="B34580" s="4" t="s">
        <v>43514</v>
      </c>
      <c r="C34580" s="5" t="str">
        <f>IFERROR(__xludf.DUMMYFUNCTION("GOOGLETRANSLATE(B34580,""en"",""it"")"),"L'uomo guarda avanti dopo il suo disco.")</f>
        <v>L'uomo guarda avanti dopo il suo disco.</v>
      </c>
    </row>
    <row r="34581">
      <c r="A34581" s="4" t="s">
        <v>43515</v>
      </c>
      <c r="B34581" s="6" t="s">
        <v>43516</v>
      </c>
      <c r="C34581" s="5" t="str">
        <f>IFERROR(__xludf.DUMMYFUNCTION("GOOGLETRANSLATE(B34581,""en"",""it"")"),"Viene visto un giovane indossare occhiali e parlare alla telecamera seguiti da lui che salta in piscina.")</f>
        <v>Viene visto un giovane indossare occhiali e parlare alla telecamera seguiti da lui che salta in piscina.</v>
      </c>
    </row>
    <row r="34582">
      <c r="A34582" s="4" t="s">
        <v>43515</v>
      </c>
      <c r="B34582" s="6" t="s">
        <v>43517</v>
      </c>
      <c r="C34582" s="5" t="str">
        <f>IFERROR(__xludf.DUMMYFUNCTION("GOOGLETRANSLATE(B34582,""en"",""it"")"),"Il ragazzo esce e viene visto di nuovo saltare in piscina e nuotare di lato per presentare un oggetto.")</f>
        <v>Il ragazzo esce e viene visto di nuovo saltare in piscina e nuotare di lato per presentare un oggetto.</v>
      </c>
    </row>
    <row r="34583">
      <c r="A34583" s="4" t="s">
        <v>43518</v>
      </c>
      <c r="B34583" s="4" t="s">
        <v>43519</v>
      </c>
      <c r="C34583" s="5" t="str">
        <f>IFERROR(__xludf.DUMMYFUNCTION("GOOGLETRANSLATE(B34583,""en"",""it"")"),"Un uomo introduce i concetti di basket del video alla telecamera.")</f>
        <v>Un uomo introduce i concetti di basket del video alla telecamera.</v>
      </c>
    </row>
    <row r="34584">
      <c r="A34584" s="4" t="s">
        <v>43518</v>
      </c>
      <c r="B34584" s="4" t="s">
        <v>43520</v>
      </c>
      <c r="C34584" s="5" t="str">
        <f>IFERROR(__xludf.DUMMYFUNCTION("GOOGLETRANSLATE(B34584,""en"",""it"")"),"Il giocatore inizia da un lato del campo e corre e pone il basket in rete.")</f>
        <v>Il giocatore inizia da un lato del campo e corre e pone il basket in rete.</v>
      </c>
    </row>
    <row r="34585">
      <c r="A34585" s="4" t="s">
        <v>43518</v>
      </c>
      <c r="B34585" s="4" t="s">
        <v>43521</v>
      </c>
      <c r="C34585" s="5" t="str">
        <f>IFERROR(__xludf.DUMMYFUNCTION("GOOGLETRANSLATE(B34585,""en"",""it"")"),"Si ripete intorno al campo da ogni angolo.")</f>
        <v>Si ripete intorno al campo da ogni angolo.</v>
      </c>
    </row>
    <row r="34586">
      <c r="A34586" s="4" t="s">
        <v>43518</v>
      </c>
      <c r="B34586" s="4" t="s">
        <v>43522</v>
      </c>
      <c r="C34586" s="5" t="str">
        <f>IFERROR(__xludf.DUMMYFUNCTION("GOOGLETRANSLATE(B34586,""en"",""it"")"),"L'uomo torna a ripassare i concetti mentre il video si chiude.")</f>
        <v>L'uomo torna a ripassare i concetti mentre il video si chiude.</v>
      </c>
    </row>
    <row r="34587">
      <c r="A34587" s="4" t="s">
        <v>43523</v>
      </c>
      <c r="B34587" s="4" t="s">
        <v>43524</v>
      </c>
      <c r="C34587" s="5" t="str">
        <f>IFERROR(__xludf.DUMMYFUNCTION("GOOGLETRANSLATE(B34587,""en"",""it"")"),"L'atleta si sta bilanciando nel fagiolo mentre l'uomo tirava fuori il maglione di primavera.")</f>
        <v>L'atleta si sta bilanciando nel fagiolo mentre l'uomo tirava fuori il maglione di primavera.</v>
      </c>
    </row>
    <row r="34588">
      <c r="A34588" s="4" t="s">
        <v>43523</v>
      </c>
      <c r="B34588" s="4" t="s">
        <v>43525</v>
      </c>
      <c r="C34588" s="5" t="str">
        <f>IFERROR(__xludf.DUMMYFUNCTION("GOOGLETRANSLATE(B34588,""en"",""it"")"),"L'atleta si è fatto girare sul raggio mentre la folla applaudeva.")</f>
        <v>L'atleta si è fatto girare sul raggio mentre la folla applaudeva.</v>
      </c>
    </row>
    <row r="34589">
      <c r="A34589" s="4" t="s">
        <v>43523</v>
      </c>
      <c r="B34589" s="6" t="s">
        <v>43526</v>
      </c>
      <c r="C34589" s="5" t="str">
        <f>IFERROR(__xludf.DUMMYFUNCTION("GOOGLETRANSLATE(B34589,""en"",""it"")"),"Quando l'atleta femminile finì il suo numero, saltò giù dal carrello della trave lungo il tappeto blu.")</f>
        <v>Quando l'atleta femminile finì il suo numero, saltò giù dal carrello della trave lungo il tappeto blu.</v>
      </c>
    </row>
    <row r="34590">
      <c r="A34590" s="4" t="s">
        <v>43527</v>
      </c>
      <c r="B34590" s="6" t="s">
        <v>43528</v>
      </c>
      <c r="C34590" s="5" t="str">
        <f>IFERROR(__xludf.DUMMYFUNCTION("GOOGLETRANSLATE(B34590,""en"",""it"")"),"Il video mostra clip di giocatori di ginnastica che eseguono trucchi lungo un'area imbottita, mentre giudici e spettatori guardano e allegriano.")</f>
        <v>Il video mostra clip di giocatori di ginnastica che eseguono trucchi lungo un'area imbottita, mentre giudici e spettatori guardano e allegriano.</v>
      </c>
    </row>
    <row r="34591">
      <c r="A34591" s="4" t="s">
        <v>43527</v>
      </c>
      <c r="B34591" s="4" t="s">
        <v>43529</v>
      </c>
      <c r="C34591" s="5" t="str">
        <f>IFERROR(__xludf.DUMMYFUNCTION("GOOGLETRANSLATE(B34591,""en"",""it"")"),"Il primo giocatore colpisce la testa alla fine della sua esibizione.")</f>
        <v>Il primo giocatore colpisce la testa alla fine della sua esibizione.</v>
      </c>
    </row>
    <row r="34592">
      <c r="A34592" s="4" t="s">
        <v>43527</v>
      </c>
      <c r="B34592" s="6" t="s">
        <v>43530</v>
      </c>
      <c r="C34592" s="5" t="str">
        <f>IFERROR(__xludf.DUMMYFUNCTION("GOOGLETRANSLATE(B34592,""en"",""it"")"),"Il video continua a mostrare molte altre ginnaste in competizione, con il pubblico incoraggiando dopo il completamento di ogni esibizione.")</f>
        <v>Il video continua a mostrare molte altre ginnaste in competizione, con il pubblico incoraggiando dopo il completamento di ogni esibizione.</v>
      </c>
    </row>
    <row r="34593">
      <c r="A34593" s="4" t="s">
        <v>43527</v>
      </c>
      <c r="B34593" s="4" t="s">
        <v>43531</v>
      </c>
      <c r="C34593" s="5" t="str">
        <f>IFERROR(__xludf.DUMMYFUNCTION("GOOGLETRANSLATE(B34593,""en"",""it"")"),"Il video termina con un artista maschile.")</f>
        <v>Il video termina con un artista maschile.</v>
      </c>
    </row>
    <row r="34594">
      <c r="A34594" s="4" t="s">
        <v>43532</v>
      </c>
      <c r="B34594" s="4" t="s">
        <v>43533</v>
      </c>
      <c r="C34594" s="5" t="str">
        <f>IFERROR(__xludf.DUMMYFUNCTION("GOOGLETRANSLATE(B34594,""en"",""it"")"),"Una donna appare e scompare sotto l'acqua mentre nuota in una piscina di dimensioni olimpiche.")</f>
        <v>Una donna appare e scompare sotto l'acqua mentre nuota in una piscina di dimensioni olimpiche.</v>
      </c>
    </row>
    <row r="34595">
      <c r="A34595" s="4" t="s">
        <v>43532</v>
      </c>
      <c r="B34595" s="4" t="s">
        <v>43534</v>
      </c>
      <c r="C34595" s="5" t="str">
        <f>IFERROR(__xludf.DUMMYFUNCTION("GOOGLETRANSLATE(B34595,""en"",""it"")"),"Viene vista nuotare in modo pesce sotto l'acqua.")</f>
        <v>Viene vista nuotare in modo pesce sotto l'acqua.</v>
      </c>
    </row>
    <row r="34596">
      <c r="A34596" s="4" t="s">
        <v>43532</v>
      </c>
      <c r="B34596" s="4" t="s">
        <v>43535</v>
      </c>
      <c r="C34596" s="5" t="str">
        <f>IFERROR(__xludf.DUMMYFUNCTION("GOOGLETRANSLATE(B34596,""en"",""it"")"),"Mostra diversi stili di nuoto e mosse.")</f>
        <v>Mostra diversi stili di nuoto e mosse.</v>
      </c>
    </row>
    <row r="34597">
      <c r="A34597" s="4" t="s">
        <v>43536</v>
      </c>
      <c r="B34597" s="6" t="s">
        <v>43537</v>
      </c>
      <c r="C34597" s="5" t="str">
        <f>IFERROR(__xludf.DUMMYFUNCTION("GOOGLETRANSLATE(B34597,""en"",""it"")"),"Un'intro di effetto speciale che sembra una lavagna sul legno e le parole su di essa dicono la scuola di sci in alto a sinistra, e le parole di mezzo dicono ""Suggerimenti per lo sci: rotazione del piede"" insieme a un sito web in fondo e un'icona del cer"&amp;"chio blu in alto a destra.")</f>
        <v>Un'intro di effetto speciale che sembra una lavagna sul legno e le parole su di essa dicono la scuola di sci in alto a sinistra, e le parole di mezzo dicono "Suggerimenti per lo sci: rotazione del piede" insieme a un sito web in fondo e un'icona del cerchio blu in alto a destra.</v>
      </c>
    </row>
    <row r="34598">
      <c r="A34598" s="4" t="s">
        <v>43536</v>
      </c>
      <c r="B34598" s="6" t="s">
        <v>43538</v>
      </c>
      <c r="C34598" s="5" t="str">
        <f>IFERROR(__xludf.DUMMYFUNCTION("GOOGLETRANSLATE(B34598,""en"",""it"")"),"Uno sci di un uomo in vista e si trova su una montagna innevata con molti alberi e sta parlando e sembra che stia dando consigli su come sciare mentre dimostra fisicamente e continua a parlare per tutto il tempo.")</f>
        <v>Uno sci di un uomo in vista e si trova su una montagna innevata con molti alberi e sta parlando e sembra che stia dando consigli su come sciare mentre dimostra fisicamente e continua a parlare per tutto il tempo.</v>
      </c>
    </row>
    <row r="34599">
      <c r="A34599" s="4" t="s">
        <v>43536</v>
      </c>
      <c r="B34599" s="4" t="s">
        <v>43539</v>
      </c>
      <c r="C34599" s="5" t="str">
        <f>IFERROR(__xludf.DUMMYFUNCTION("GOOGLETRANSLATE(B34599,""en"",""it"")"),"L'uomo ora è tornato al suo punto di partenza in cui era originariamente in piedi e sta parlando di nuovo.")</f>
        <v>L'uomo ora è tornato al suo punto di partenza in cui era originariamente in piedi e sta parlando di nuovo.</v>
      </c>
    </row>
    <row r="34600">
      <c r="A34600" s="4" t="s">
        <v>43536</v>
      </c>
      <c r="B34600" s="6" t="s">
        <v>43540</v>
      </c>
      <c r="C34600" s="5" t="str">
        <f>IFERROR(__xludf.DUMMYFUNCTION("GOOGLETRANSLATE(B34600,""en"",""it"")"),"La schermata di affetto speciale appare con uno sfondo di legno e 4 diverse immagini sullo schermo con parole sotto di loro.")</f>
        <v>La schermata di affetto speciale appare con uno sfondo di legno e 4 diverse immagini sullo schermo con parole sotto di loro.</v>
      </c>
    </row>
    <row r="34601">
      <c r="A34601" s="4" t="s">
        <v>43541</v>
      </c>
      <c r="B34601" s="4" t="s">
        <v>43542</v>
      </c>
      <c r="C34601" s="5" t="str">
        <f>IFERROR(__xludf.DUMMYFUNCTION("GOOGLETRANSLATE(B34601,""en"",""it"")"),"Due uomini sono in piedi su un goal di basket.")</f>
        <v>Due uomini sono in piedi su un goal di basket.</v>
      </c>
    </row>
    <row r="34602">
      <c r="A34602" s="4" t="s">
        <v>43541</v>
      </c>
      <c r="B34602" s="4" t="s">
        <v>43543</v>
      </c>
      <c r="C34602" s="5" t="str">
        <f>IFERROR(__xludf.DUMMYFUNCTION("GOOGLETRANSLATE(B34602,""en"",""it"")"),"Iniziano a fare i layup, quindi stanno parlando di nuovo con la fotocamera.")</f>
        <v>Iniziano a fare i layup, quindi stanno parlando di nuovo con la fotocamera.</v>
      </c>
    </row>
    <row r="34603">
      <c r="A34603" s="4" t="s">
        <v>43544</v>
      </c>
      <c r="B34603" s="4" t="s">
        <v>43545</v>
      </c>
      <c r="C34603" s="5" t="str">
        <f>IFERROR(__xludf.DUMMYFUNCTION("GOOGLETRANSLATE(B34603,""en"",""it"")"),"L'uomo parla con il video che spara alla telecamera.")</f>
        <v>L'uomo parla con il video che spara alla telecamera.</v>
      </c>
    </row>
    <row r="34604">
      <c r="A34604" s="4" t="s">
        <v>43544</v>
      </c>
      <c r="B34604" s="4" t="s">
        <v>43546</v>
      </c>
      <c r="C34604" s="5" t="str">
        <f>IFERROR(__xludf.DUMMYFUNCTION("GOOGLETRANSLATE(B34604,""en"",""it"")"),"I giocatori di calcio vengono mostrati a praticare le loro mosse.")</f>
        <v>I giocatori di calcio vengono mostrati a praticare le loro mosse.</v>
      </c>
    </row>
    <row r="34605">
      <c r="A34605" s="4" t="s">
        <v>43544</v>
      </c>
      <c r="B34605" s="4" t="s">
        <v>43547</v>
      </c>
      <c r="C34605" s="5" t="str">
        <f>IFERROR(__xludf.DUMMYFUNCTION("GOOGLETRANSLATE(B34605,""en"",""it"")"),"I giocatori di calcio fanno colpi.")</f>
        <v>I giocatori di calcio fanno colpi.</v>
      </c>
    </row>
    <row r="34606">
      <c r="A34606" s="4" t="s">
        <v>43544</v>
      </c>
      <c r="B34606" s="4" t="s">
        <v>43548</v>
      </c>
      <c r="C34606" s="5" t="str">
        <f>IFERROR(__xludf.DUMMYFUNCTION("GOOGLETRANSLATE(B34606,""en"",""it"")"),"L'uomo è spinto fuori dal campo.")</f>
        <v>L'uomo è spinto fuori dal campo.</v>
      </c>
    </row>
    <row r="34607">
      <c r="A34607" s="4" t="s">
        <v>43544</v>
      </c>
      <c r="B34607" s="4" t="s">
        <v>43549</v>
      </c>
      <c r="C34607" s="5" t="str">
        <f>IFERROR(__xludf.DUMMYFUNCTION("GOOGLETRANSLATE(B34607,""en"",""it"")"),"L'uomo si congratula per il suo obiettivo.")</f>
        <v>L'uomo si congratula per il suo obiettivo.</v>
      </c>
    </row>
    <row r="34608">
      <c r="A34608" s="4" t="s">
        <v>43544</v>
      </c>
      <c r="B34608" s="4" t="s">
        <v>43550</v>
      </c>
      <c r="C34608" s="5" t="str">
        <f>IFERROR(__xludf.DUMMYFUNCTION("GOOGLETRANSLATE(B34608,""en"",""it"")"),"L'uomo scuote la mano alla telecamera.")</f>
        <v>L'uomo scuote la mano alla telecamera.</v>
      </c>
    </row>
    <row r="34609">
      <c r="A34609" s="4" t="s">
        <v>43551</v>
      </c>
      <c r="B34609" s="6" t="s">
        <v>43552</v>
      </c>
      <c r="C34609" s="5" t="str">
        <f>IFERROR(__xludf.DUMMYFUNCTION("GOOGLETRANSLATE(B34609,""en"",""it"")"),"Queste persone stanno giocando a tiro alla fune contro il wrestler di sumo che hanno più di 4 volte le loro dimensioni e le piccole persone vincono contro di loro.")</f>
        <v>Queste persone stanno giocando a tiro alla fune contro il wrestler di sumo che hanno più di 4 volte le loro dimensioni e le piccole persone vincono contro di loro.</v>
      </c>
    </row>
    <row r="34610">
      <c r="A34610" s="4" t="s">
        <v>43551</v>
      </c>
      <c r="B34610" s="6" t="s">
        <v>43553</v>
      </c>
      <c r="C34610" s="5" t="str">
        <f>IFERROR(__xludf.DUMMYFUNCTION("GOOGLETRANSLATE(B34610,""en"",""it"")"),"Alla fine il popolo e i lottatori di sumo prendono selfie e i lottatori di sumo aprono la Fanta e la gettano l'uno sull'altro.")</f>
        <v>Alla fine il popolo e i lottatori di sumo prendono selfie e i lottatori di sumo aprono la Fanta e la gettano l'uno sull'altro.</v>
      </c>
    </row>
    <row r="34611">
      <c r="A34611" s="4" t="s">
        <v>43554</v>
      </c>
      <c r="B34611" s="4" t="s">
        <v>43555</v>
      </c>
      <c r="C34611" s="5" t="str">
        <f>IFERROR(__xludf.DUMMYFUNCTION("GOOGLETRANSLATE(B34611,""en"",""it"")"),"Un uomo che indossa un cappello nero sta parlando.")</f>
        <v>Un uomo che indossa un cappello nero sta parlando.</v>
      </c>
    </row>
    <row r="34612">
      <c r="A34612" s="4" t="s">
        <v>43554</v>
      </c>
      <c r="B34612" s="4" t="s">
        <v>43556</v>
      </c>
      <c r="C34612" s="5" t="str">
        <f>IFERROR(__xludf.DUMMYFUNCTION("GOOGLETRANSLATE(B34612,""en"",""it"")"),"Un uomo gocciola un basket attorno ad alcuni coni e spara alla palla.")</f>
        <v>Un uomo gocciola un basket attorno ad alcuni coni e spara alla palla.</v>
      </c>
    </row>
    <row r="34613">
      <c r="A34613" s="4" t="s">
        <v>43554</v>
      </c>
      <c r="B34613" s="4" t="s">
        <v>43557</v>
      </c>
      <c r="C34613" s="5" t="str">
        <f>IFERROR(__xludf.DUMMYFUNCTION("GOOGLETRANSLATE(B34613,""en"",""it"")"),"Due persone giocano a basket.")</f>
        <v>Due persone giocano a basket.</v>
      </c>
    </row>
    <row r="34614">
      <c r="A34614" s="4" t="s">
        <v>43554</v>
      </c>
      <c r="B34614" s="4" t="s">
        <v>43558</v>
      </c>
      <c r="C34614" s="5" t="str">
        <f>IFERROR(__xludf.DUMMYFUNCTION("GOOGLETRANSLATE(B34614,""en"",""it"")"),"Un uomo dribbla un basket su un campo.")</f>
        <v>Un uomo dribbla un basket su un campo.</v>
      </c>
    </row>
    <row r="34615">
      <c r="A34615" s="4" t="s">
        <v>43559</v>
      </c>
      <c r="B34615" s="4" t="s">
        <v>43560</v>
      </c>
      <c r="C34615" s="5" t="str">
        <f>IFERROR(__xludf.DUMMYFUNCTION("GOOGLETRANSLATE(B34615,""en"",""it"")"),"Un uomo è seduto su uno sgabello mentre il cane è di fronte a lui, il cane indossa un guinzaglio rosso.")</f>
        <v>Un uomo è seduto su uno sgabello mentre il cane è di fronte a lui, il cane indossa un guinzaglio rosso.</v>
      </c>
    </row>
    <row r="34616">
      <c r="A34616" s="4" t="s">
        <v>43559</v>
      </c>
      <c r="B34616" s="4" t="s">
        <v>43561</v>
      </c>
      <c r="C34616" s="5" t="str">
        <f>IFERROR(__xludf.DUMMYFUNCTION("GOOGLETRANSLATE(B34616,""en"",""it"")"),"Un cane bianco si nasconde dietro il muro.")</f>
        <v>Un cane bianco si nasconde dietro il muro.</v>
      </c>
    </row>
    <row r="34617">
      <c r="A34617" s="4" t="s">
        <v>43559</v>
      </c>
      <c r="B34617" s="4" t="s">
        <v>43562</v>
      </c>
      <c r="C34617" s="5" t="str">
        <f>IFERROR(__xludf.DUMMYFUNCTION("GOOGLETRANSLATE(B34617,""en"",""it"")"),"Un uomo sta spazzolando la pelliccia del cane sul suo fianco prima sul retro.")</f>
        <v>Un uomo sta spazzolando la pelliccia del cane sul suo fianco prima sul retro.</v>
      </c>
    </row>
    <row r="34618">
      <c r="A34618" s="4" t="s">
        <v>43559</v>
      </c>
      <c r="B34618" s="4" t="s">
        <v>43563</v>
      </c>
      <c r="C34618" s="5" t="str">
        <f>IFERROR(__xludf.DUMMYFUNCTION("GOOGLETRANSLATE(B34618,""en"",""it"")"),"L'uomo iniziò a radersi la gamba anteriore del cane.")</f>
        <v>L'uomo iniziò a radersi la gamba anteriore del cane.</v>
      </c>
    </row>
    <row r="34619">
      <c r="A34619" s="4" t="s">
        <v>43559</v>
      </c>
      <c r="B34619" s="4" t="s">
        <v>43564</v>
      </c>
      <c r="C34619" s="5" t="str">
        <f>IFERROR(__xludf.DUMMYFUNCTION("GOOGLETRANSLATE(B34619,""en"",""it"")"),"Un cane bianco è sdraiato sul letto marrone.")</f>
        <v>Un cane bianco è sdraiato sul letto marrone.</v>
      </c>
    </row>
    <row r="34620">
      <c r="A34620" s="4" t="s">
        <v>43559</v>
      </c>
      <c r="B34620" s="4" t="s">
        <v>43565</v>
      </c>
      <c r="C34620" s="5" t="str">
        <f>IFERROR(__xludf.DUMMYFUNCTION("GOOGLETRANSLATE(B34620,""en"",""it"")"),"Il cane beige è sdraiato sul tappeto mentre l'uomo sta rasa il beige.")</f>
        <v>Il cane beige è sdraiato sul tappeto mentre l'uomo sta rasa il beige.</v>
      </c>
    </row>
    <row r="34621">
      <c r="A34621" s="4" t="s">
        <v>43559</v>
      </c>
      <c r="B34621" s="6" t="s">
        <v>43566</v>
      </c>
      <c r="C34621" s="5" t="str">
        <f>IFERROR(__xludf.DUMMYFUNCTION("GOOGLETRANSLATE(B34621,""en"",""it"")"),"Il cane bianco si strofina la faccia sul tavolo di vetro, quindi il cane beige è in piedi sul vetro seduto, quindi seduto sul tavolo, quindi il cane bianco è in piedi accanto al cane beige.")</f>
        <v>Il cane bianco si strofina la faccia sul tavolo di vetro, quindi il cane beige è in piedi sul vetro seduto, quindi seduto sul tavolo, quindi il cane bianco è in piedi accanto al cane beige.</v>
      </c>
    </row>
    <row r="34622">
      <c r="A34622" s="4" t="s">
        <v>43567</v>
      </c>
      <c r="B34622" s="4" t="s">
        <v>43568</v>
      </c>
      <c r="C34622" s="5" t="str">
        <f>IFERROR(__xludf.DUMMYFUNCTION("GOOGLETRANSLATE(B34622,""en"",""it"")"),"Vediamo una persona in ingranaggi da hockey sul ghiaccio.")</f>
        <v>Vediamo una persona in ingranaggi da hockey sul ghiaccio.</v>
      </c>
    </row>
    <row r="34623">
      <c r="A34623" s="4" t="s">
        <v>43567</v>
      </c>
      <c r="B34623" s="4" t="s">
        <v>43569</v>
      </c>
      <c r="C34623" s="5" t="str">
        <f>IFERROR(__xludf.DUMMYFUNCTION("GOOGLETRANSLATE(B34623,""en"",""it"")"),"Un'altra persona entra e guardiamo due persone giocare a hockey.")</f>
        <v>Un'altra persona entra e guardiamo due persone giocare a hockey.</v>
      </c>
    </row>
    <row r="34624">
      <c r="A34624" s="4" t="s">
        <v>43567</v>
      </c>
      <c r="B34624" s="4" t="s">
        <v>43570</v>
      </c>
      <c r="C34624" s="5" t="str">
        <f>IFERROR(__xludf.DUMMYFUNCTION("GOOGLETRANSLATE(B34624,""en"",""it"")"),"Vediamo cadere il disco davanti alla fotocamera.")</f>
        <v>Vediamo cadere il disco davanti alla fotocamera.</v>
      </c>
    </row>
    <row r="34625">
      <c r="A34625" s="4" t="s">
        <v>43567</v>
      </c>
      <c r="B34625" s="4" t="s">
        <v>43571</v>
      </c>
      <c r="C34625" s="5" t="str">
        <f>IFERROR(__xludf.DUMMYFUNCTION("GOOGLETRANSLATE(B34625,""en"",""it"")"),"La persona bussa al portiere a terra.")</f>
        <v>La persona bussa al portiere a terra.</v>
      </c>
    </row>
    <row r="34626">
      <c r="A34626" s="4" t="s">
        <v>43567</v>
      </c>
      <c r="B34626" s="4" t="s">
        <v>43572</v>
      </c>
      <c r="C34626" s="5" t="str">
        <f>IFERROR(__xludf.DUMMYFUNCTION("GOOGLETRANSLATE(B34626,""en"",""it"")"),"Il portiere pattina fino alla telecamera.")</f>
        <v>Il portiere pattina fino alla telecamera.</v>
      </c>
    </row>
    <row r="34627">
      <c r="A34627" s="4" t="s">
        <v>43573</v>
      </c>
      <c r="B34627" s="6" t="s">
        <v>43574</v>
      </c>
      <c r="C34627" s="5" t="str">
        <f>IFERROR(__xludf.DUMMYFUNCTION("GOOGLETRANSLATE(B34627,""en"",""it"")"),"Un ragazzo sta dando una lezione sulle tavole da neve, mette un grosso marchio di sfregamento sul tabellone per tenere in posizione i piatti del piede.")</f>
        <v>Un ragazzo sta dando una lezione sulle tavole da neve, mette un grosso marchio di sfregamento sul tabellone per tenere in posizione i piatti del piede.</v>
      </c>
    </row>
    <row r="34628">
      <c r="A34628" s="4" t="s">
        <v>43573</v>
      </c>
      <c r="B34628" s="6" t="s">
        <v>43575</v>
      </c>
      <c r="C34628" s="5" t="str">
        <f>IFERROR(__xludf.DUMMYFUNCTION("GOOGLETRANSLATE(B34628,""en"",""it"")"),"Il ragazzo mostra la differenza tra le tavole da neve e le mette su un oggetto per appianare il fondo della tavola per uno sci migliore.")</f>
        <v>Il ragazzo mostra la differenza tra le tavole da neve e le mette su un oggetto per appianare il fondo della tavola per uno sci migliore.</v>
      </c>
    </row>
    <row r="34629">
      <c r="A34629" s="4" t="s">
        <v>43576</v>
      </c>
      <c r="B34629" s="4" t="s">
        <v>43577</v>
      </c>
      <c r="C34629" s="5" t="str">
        <f>IFERROR(__xludf.DUMMYFUNCTION("GOOGLETRANSLATE(B34629,""en"",""it"")"),"Una donna sta disegnando una tavola di hopscotch a terra nel gesso.")</f>
        <v>Una donna sta disegnando una tavola di hopscotch a terra nel gesso.</v>
      </c>
    </row>
    <row r="34630">
      <c r="A34630" s="4" t="s">
        <v>43576</v>
      </c>
      <c r="B34630" s="4" t="s">
        <v>43578</v>
      </c>
      <c r="C34630" s="5" t="str">
        <f>IFERROR(__xludf.DUMMYFUNCTION("GOOGLETRANSLATE(B34630,""en"",""it"")"),"Si alza e cammina dalla parte anteriore della tavola di Hopscotch.")</f>
        <v>Si alza e cammina dalla parte anteriore della tavola di Hopscotch.</v>
      </c>
    </row>
    <row r="34631">
      <c r="A34631" s="4" t="s">
        <v>43576</v>
      </c>
      <c r="B34631" s="4" t="s">
        <v>43579</v>
      </c>
      <c r="C34631" s="5" t="str">
        <f>IFERROR(__xludf.DUMMYFUNCTION("GOOGLETRANSLATE(B34631,""en"",""it"")"),"Comincia a saltare sul tabellone.")</f>
        <v>Comincia a saltare sul tabellone.</v>
      </c>
    </row>
    <row r="34632">
      <c r="A34632" s="4" t="s">
        <v>43580</v>
      </c>
      <c r="B34632" s="4" t="s">
        <v>43581</v>
      </c>
      <c r="C34632" s="5" t="str">
        <f>IFERROR(__xludf.DUMMYFUNCTION("GOOGLETRANSLATE(B34632,""en"",""it"")"),"La gente cammina per il campo da basket.")</f>
        <v>La gente cammina per il campo da basket.</v>
      </c>
    </row>
    <row r="34633">
      <c r="A34633" s="4" t="s">
        <v>43580</v>
      </c>
      <c r="B34633" s="4" t="s">
        <v>43582</v>
      </c>
      <c r="C34633" s="5" t="str">
        <f>IFERROR(__xludf.DUMMYFUNCTION("GOOGLETRANSLATE(B34633,""en"",""it"")"),"Una squadra di ballerini cammina sul campo da basket e si mette all'attenzione.")</f>
        <v>Una squadra di ballerini cammina sul campo da basket e si mette all'attenzione.</v>
      </c>
    </row>
    <row r="34634">
      <c r="A34634" s="4" t="s">
        <v>43580</v>
      </c>
      <c r="B34634" s="4" t="s">
        <v>43583</v>
      </c>
      <c r="C34634" s="5" t="str">
        <f>IFERROR(__xludf.DUMMYFUNCTION("GOOGLETRANSLATE(B34634,""en"",""it"")"),"Mentre gli spettatori applaudono, la squadra si gira all'unisono.")</f>
        <v>Mentre gli spettatori applaudono, la squadra si gira all'unisono.</v>
      </c>
    </row>
    <row r="34635">
      <c r="A34635" s="4" t="s">
        <v>43580</v>
      </c>
      <c r="B34635" s="4" t="s">
        <v>43584</v>
      </c>
      <c r="C34635" s="5" t="str">
        <f>IFERROR(__xludf.DUMMYFUNCTION("GOOGLETRANSLATE(B34635,""en"",""it"")"),"La squadra fa la loro routine.")</f>
        <v>La squadra fa la loro routine.</v>
      </c>
    </row>
    <row r="34636">
      <c r="A34636" s="4" t="s">
        <v>43580</v>
      </c>
      <c r="B34636" s="4" t="s">
        <v>43585</v>
      </c>
      <c r="C34636" s="5" t="str">
        <f>IFERROR(__xludf.DUMMYFUNCTION("GOOGLETRANSLATE(B34636,""en"",""it"")"),"La squadra termina la loro routine ed esce dal pavimento.")</f>
        <v>La squadra termina la loro routine ed esce dal pavimento.</v>
      </c>
    </row>
    <row r="34637">
      <c r="A34637" s="4" t="s">
        <v>43586</v>
      </c>
      <c r="B34637" s="4" t="s">
        <v>43587</v>
      </c>
      <c r="C34637" s="5" t="str">
        <f>IFERROR(__xludf.DUMMYFUNCTION("GOOGLETRANSLATE(B34637,""en"",""it"")"),"Un uomo sostiene la gamba sul lato di una vasca.")</f>
        <v>Un uomo sostiene la gamba sul lato di una vasca.</v>
      </c>
    </row>
    <row r="34638">
      <c r="A34638" s="4" t="s">
        <v>43586</v>
      </c>
      <c r="B34638" s="4" t="s">
        <v>43588</v>
      </c>
      <c r="C34638" s="5" t="str">
        <f>IFERROR(__xludf.DUMMYFUNCTION("GOOGLETRANSLATE(B34638,""en"",""it"")"),"Si sta randing la gamba con un rasoio, rivelando un tatuaggio sotto.")</f>
        <v>Si sta randing la gamba con un rasoio, rivelando un tatuaggio sotto.</v>
      </c>
    </row>
    <row r="34639">
      <c r="A34639" s="4" t="s">
        <v>43586</v>
      </c>
      <c r="B34639" s="4" t="s">
        <v>43589</v>
      </c>
      <c r="C34639" s="5" t="str">
        <f>IFERROR(__xludf.DUMMYFUNCTION("GOOGLETRANSLATE(B34639,""en"",""it"")"),"Quando ha finito, si asciuga i capelli e mostra un tatuaggio di Homer Simpson come Grim Reaper.")</f>
        <v>Quando ha finito, si asciuga i capelli e mostra un tatuaggio di Homer Simpson come Grim Reaper.</v>
      </c>
    </row>
    <row r="34640">
      <c r="A34640" s="4" t="s">
        <v>43590</v>
      </c>
      <c r="B34640" s="4" t="s">
        <v>43591</v>
      </c>
      <c r="C34640" s="5" t="str">
        <f>IFERROR(__xludf.DUMMYFUNCTION("GOOGLETRANSLATE(B34640,""en"",""it"")"),"Una pubblicità sui tubi è sullo schermo.")</f>
        <v>Una pubblicità sui tubi è sullo schermo.</v>
      </c>
    </row>
    <row r="34641">
      <c r="A34641" s="4" t="s">
        <v>43590</v>
      </c>
      <c r="B34641" s="4" t="s">
        <v>43592</v>
      </c>
      <c r="C34641" s="5" t="str">
        <f>IFERROR(__xludf.DUMMYFUNCTION("GOOGLETRANSLATE(B34641,""en"",""it"")"),"I tuberi stanno andando giù per il fiume.")</f>
        <v>I tuberi stanno andando giù per il fiume.</v>
      </c>
    </row>
    <row r="34642">
      <c r="A34642" s="4" t="s">
        <v>43590</v>
      </c>
      <c r="B34642" s="4" t="s">
        <v>43593</v>
      </c>
      <c r="C34642" s="5" t="str">
        <f>IFERROR(__xludf.DUMMYFUNCTION("GOOGLETRANSLATE(B34642,""en"",""it"")"),"La pubblicità della West Virginia è sullo schermo.")</f>
        <v>La pubblicità della West Virginia è sullo schermo.</v>
      </c>
    </row>
    <row r="34643">
      <c r="A34643" s="4" t="s">
        <v>43590</v>
      </c>
      <c r="B34643" s="4" t="s">
        <v>43594</v>
      </c>
      <c r="C34643" s="5" t="str">
        <f>IFERROR(__xludf.DUMMYFUNCTION("GOOGLETRANSLATE(B34643,""en"",""it"")"),"Un tubero va sotto una tavola con un cane sopra.")</f>
        <v>Un tubero va sotto una tavola con un cane sopra.</v>
      </c>
    </row>
    <row r="34644">
      <c r="A34644" s="4" t="s">
        <v>43590</v>
      </c>
      <c r="B34644" s="4" t="s">
        <v>43595</v>
      </c>
      <c r="C34644" s="5" t="str">
        <f>IFERROR(__xludf.DUMMYFUNCTION("GOOGLETRANSLATE(B34644,""en"",""it"")"),"La fotocamera è puntata verso il cielo e gli alberi.")</f>
        <v>La fotocamera è puntata verso il cielo e gli alberi.</v>
      </c>
    </row>
    <row r="34645">
      <c r="A34645" s="4" t="s">
        <v>43590</v>
      </c>
      <c r="B34645" s="4" t="s">
        <v>43596</v>
      </c>
      <c r="C34645" s="5" t="str">
        <f>IFERROR(__xludf.DUMMYFUNCTION("GOOGLETRANSLATE(B34645,""en"",""it"")"),"Un tubero si imbatte in filiali, uno si alza e cade.")</f>
        <v>Un tubero si imbatte in filiali, uno si alza e cade.</v>
      </c>
    </row>
    <row r="34646">
      <c r="A34646" s="4" t="s">
        <v>43590</v>
      </c>
      <c r="B34646" s="4" t="s">
        <v>43597</v>
      </c>
      <c r="C34646" s="5" t="str">
        <f>IFERROR(__xludf.DUMMYFUNCTION("GOOGLETRANSLATE(B34646,""en"",""it"")"),"Il cameraman gira i cerchi nel suo tubo quindi ha uno spuntino.")</f>
        <v>Il cameraman gira i cerchi nel suo tubo quindi ha uno spuntino.</v>
      </c>
    </row>
    <row r="34647">
      <c r="A34647" s="4" t="s">
        <v>43590</v>
      </c>
      <c r="B34647" s="4" t="s">
        <v>43598</v>
      </c>
      <c r="C34647" s="5" t="str">
        <f>IFERROR(__xludf.DUMMYFUNCTION("GOOGLETRANSLATE(B34647,""en"",""it"")"),"Un ragazzo si aggroviglia la testa nei rami.")</f>
        <v>Un ragazzo si aggroviglia la testa nei rami.</v>
      </c>
    </row>
    <row r="34648">
      <c r="A34648" s="4" t="s">
        <v>43590</v>
      </c>
      <c r="B34648" s="4" t="s">
        <v>43599</v>
      </c>
      <c r="C34648" s="5" t="str">
        <f>IFERROR(__xludf.DUMMYFUNCTION("GOOGLETRANSLATE(B34648,""en"",""it"")"),"Il video termina con gli annunci pubblicitari.")</f>
        <v>Il video termina con gli annunci pubblicitari.</v>
      </c>
    </row>
    <row r="34649">
      <c r="A34649" s="4" t="s">
        <v>43600</v>
      </c>
      <c r="B34649" s="4" t="s">
        <v>43601</v>
      </c>
      <c r="C34649" s="5" t="str">
        <f>IFERROR(__xludf.DUMMYFUNCTION("GOOGLETRANSLATE(B34649,""en"",""it"")"),"Un logo sportivo lampeggia sullo schermo.")</f>
        <v>Un logo sportivo lampeggia sullo schermo.</v>
      </c>
    </row>
    <row r="34650">
      <c r="A34650" s="4" t="s">
        <v>43600</v>
      </c>
      <c r="B34650" s="4" t="s">
        <v>43602</v>
      </c>
      <c r="C34650" s="5" t="str">
        <f>IFERROR(__xludf.DUMMYFUNCTION("GOOGLETRANSLATE(B34650,""en"",""it"")"),"Una donna che parla in un microfono che indossa una camicia bianca.")</f>
        <v>Una donna che parla in un microfono che indossa una camicia bianca.</v>
      </c>
    </row>
    <row r="34651">
      <c r="A34651" s="4" t="s">
        <v>43600</v>
      </c>
      <c r="B34651" s="4" t="s">
        <v>43603</v>
      </c>
      <c r="C34651" s="5" t="str">
        <f>IFERROR(__xludf.DUMMYFUNCTION("GOOGLETRANSLATE(B34651,""en"",""it"")"),"Un uomo gioca a piscina dietro un tavolo da biliardo blu.")</f>
        <v>Un uomo gioca a piscina dietro un tavolo da biliardo blu.</v>
      </c>
    </row>
    <row r="34652">
      <c r="A34652" s="4" t="s">
        <v>43600</v>
      </c>
      <c r="B34652" s="4" t="s">
        <v>43604</v>
      </c>
      <c r="C34652" s="5" t="str">
        <f>IFERROR(__xludf.DUMMYFUNCTION("GOOGLETRANSLATE(B34652,""en"",""it"")"),"La donna continua a parlare di fronte al tavolo da biliardo.")</f>
        <v>La donna continua a parlare di fronte al tavolo da biliardo.</v>
      </c>
    </row>
    <row r="34653">
      <c r="A34653" s="4" t="s">
        <v>43600</v>
      </c>
      <c r="B34653" s="4" t="s">
        <v>43605</v>
      </c>
      <c r="C34653" s="5" t="str">
        <f>IFERROR(__xludf.DUMMYFUNCTION("GOOGLETRANSLATE(B34653,""en"",""it"")"),"La donna e l'uomo parlano tra loro.")</f>
        <v>La donna e l'uomo parlano tra loro.</v>
      </c>
    </row>
    <row r="34654">
      <c r="A34654" s="4" t="s">
        <v>43600</v>
      </c>
      <c r="B34654" s="4" t="s">
        <v>43606</v>
      </c>
      <c r="C34654" s="5" t="str">
        <f>IFERROR(__xludf.DUMMYFUNCTION("GOOGLETRANSLATE(B34654,""en"",""it"")"),"Un trofeo lampeggia sullo schermo.")</f>
        <v>Un trofeo lampeggia sullo schermo.</v>
      </c>
    </row>
    <row r="34655">
      <c r="A34655" s="4" t="s">
        <v>43600</v>
      </c>
      <c r="B34655" s="4" t="s">
        <v>43607</v>
      </c>
      <c r="C34655" s="5" t="str">
        <f>IFERROR(__xludf.DUMMYFUNCTION("GOOGLETRANSLATE(B34655,""en"",""it"")"),"L'uomo e la donna continuano a parlare.")</f>
        <v>L'uomo e la donna continuano a parlare.</v>
      </c>
    </row>
    <row r="34656">
      <c r="A34656" s="4" t="s">
        <v>43600</v>
      </c>
      <c r="B34656" s="4" t="s">
        <v>43608</v>
      </c>
      <c r="C34656" s="5" t="str">
        <f>IFERROR(__xludf.DUMMYFUNCTION("GOOGLETRANSLATE(B34656,""en"",""it"")"),"L'uomo gioca di nuovo in piscina.")</f>
        <v>L'uomo gioca di nuovo in piscina.</v>
      </c>
    </row>
    <row r="34657">
      <c r="A34657" s="4" t="s">
        <v>43600</v>
      </c>
      <c r="B34657" s="4" t="s">
        <v>43609</v>
      </c>
      <c r="C34657" s="5" t="str">
        <f>IFERROR(__xludf.DUMMYFUNCTION("GOOGLETRANSLATE(B34657,""en"",""it"")"),"L'uomo e la donna continuano a parlarsi.")</f>
        <v>L'uomo e la donna continuano a parlarsi.</v>
      </c>
    </row>
    <row r="34658">
      <c r="A34658" s="4" t="s">
        <v>43600</v>
      </c>
      <c r="B34658" s="4" t="s">
        <v>43610</v>
      </c>
      <c r="C34658" s="5" t="str">
        <f>IFERROR(__xludf.DUMMYFUNCTION("GOOGLETRANSLATE(B34658,""en"",""it"")"),"Lampeggia al tavolo da biliardo.")</f>
        <v>Lampeggia al tavolo da biliardo.</v>
      </c>
    </row>
    <row r="34659">
      <c r="A34659" s="4" t="s">
        <v>43600</v>
      </c>
      <c r="B34659" s="4" t="s">
        <v>43611</v>
      </c>
      <c r="C34659" s="5" t="str">
        <f>IFERROR(__xludf.DUMMYFUNCTION("GOOGLETRANSLATE(B34659,""en"",""it"")"),"L'uomo e la donna continuano a parlare e la donna ride di quello che dice l'uomo.")</f>
        <v>L'uomo e la donna continuano a parlare e la donna ride di quello che dice l'uomo.</v>
      </c>
    </row>
    <row r="34660">
      <c r="A34660" s="4" t="s">
        <v>43600</v>
      </c>
      <c r="B34660" s="4" t="s">
        <v>43612</v>
      </c>
      <c r="C34660" s="5" t="str">
        <f>IFERROR(__xludf.DUMMYFUNCTION("GOOGLETRANSLATE(B34660,""en"",""it"")"),"L'uomo ora insegna alla donna come sparare alla palla da piscina mentre sta dietro di lei.")</f>
        <v>L'uomo ora insegna alla donna come sparare alla palla da piscina mentre sta dietro di lei.</v>
      </c>
    </row>
    <row r="34661">
      <c r="A34661" s="4" t="s">
        <v>43600</v>
      </c>
      <c r="B34661" s="4" t="s">
        <v>43613</v>
      </c>
      <c r="C34661" s="5" t="str">
        <f>IFERROR(__xludf.DUMMYFUNCTION("GOOGLETRANSLATE(B34661,""en"",""it"")"),"La donna fa il tiro e festeggiano con un cinque.")</f>
        <v>La donna fa il tiro e festeggiano con un cinque.</v>
      </c>
    </row>
    <row r="34662">
      <c r="A34662" s="4" t="s">
        <v>43600</v>
      </c>
      <c r="B34662" s="4" t="s">
        <v>43614</v>
      </c>
      <c r="C34662" s="5" t="str">
        <f>IFERROR(__xludf.DUMMYFUNCTION("GOOGLETRANSLATE(B34662,""en"",""it"")"),"L'uomo sta dicendo alla donna come fare un altro colpo.")</f>
        <v>L'uomo sta dicendo alla donna come fare un altro colpo.</v>
      </c>
    </row>
    <row r="34663">
      <c r="A34663" s="4" t="s">
        <v>43600</v>
      </c>
      <c r="B34663" s="4" t="s">
        <v>43615</v>
      </c>
      <c r="C34663" s="5" t="str">
        <f>IFERROR(__xludf.DUMMYFUNCTION("GOOGLETRANSLATE(B34663,""en"",""it"")"),"Tenta il tiro e ce la fa e loro di nuovo sono alti cinque.")</f>
        <v>Tenta il tiro e ce la fa e loro di nuovo sono alti cinque.</v>
      </c>
    </row>
    <row r="34664">
      <c r="A34664" s="4" t="s">
        <v>43600</v>
      </c>
      <c r="B34664" s="4" t="s">
        <v>43616</v>
      </c>
      <c r="C34664" s="5" t="str">
        <f>IFERROR(__xludf.DUMMYFUNCTION("GOOGLETRANSLATE(B34664,""en"",""it"")"),"Continuano a parlare e ridere.")</f>
        <v>Continuano a parlare e ridere.</v>
      </c>
    </row>
    <row r="34665">
      <c r="A34665" s="4" t="s">
        <v>43600</v>
      </c>
      <c r="B34665" s="4" t="s">
        <v>43617</v>
      </c>
      <c r="C34665" s="5" t="str">
        <f>IFERROR(__xludf.DUMMYFUNCTION("GOOGLETRANSLATE(B34665,""en"",""it"")"),"La donna si sdraia sul tavolo da biliardo e le spara una palla dalla bocca.")</f>
        <v>La donna si sdraia sul tavolo da biliardo e le spara una palla dalla bocca.</v>
      </c>
    </row>
    <row r="34666">
      <c r="A34666" s="4" t="s">
        <v>43600</v>
      </c>
      <c r="B34666" s="4" t="s">
        <v>43618</v>
      </c>
      <c r="C34666" s="5" t="str">
        <f>IFERROR(__xludf.DUMMYFUNCTION("GOOGLETRANSLATE(B34666,""en"",""it"")"),"La donna è seduta su una sedia accanto al tavolo da biliardo parlando nel microfono.")</f>
        <v>La donna è seduta su una sedia accanto al tavolo da biliardo parlando nel microfono.</v>
      </c>
    </row>
    <row r="34667">
      <c r="A34667" s="4" t="s">
        <v>43600</v>
      </c>
      <c r="B34667" s="4" t="s">
        <v>43619</v>
      </c>
      <c r="C34667" s="5" t="str">
        <f>IFERROR(__xludf.DUMMYFUNCTION("GOOGLETRANSLATE(B34667,""en"",""it"")"),"Un logo massimo lampeggia sullo schermo.")</f>
        <v>Un logo massimo lampeggia sullo schermo.</v>
      </c>
    </row>
    <row r="34668">
      <c r="A34668" s="4" t="s">
        <v>43620</v>
      </c>
      <c r="B34668" s="6" t="s">
        <v>43621</v>
      </c>
      <c r="C34668" s="5" t="str">
        <f>IFERROR(__xludf.DUMMYFUNCTION("GOOGLETRANSLATE(B34668,""en"",""it"")"),"Un uomo dimostra come applicare il trucco a una faccia applicando il trucco alla sua faccia nella telecamera.")</f>
        <v>Un uomo dimostra come applicare il trucco a una faccia applicando il trucco alla sua faccia nella telecamera.</v>
      </c>
    </row>
    <row r="34669">
      <c r="A34669" s="4" t="s">
        <v>43620</v>
      </c>
      <c r="B34669" s="4" t="s">
        <v>43622</v>
      </c>
      <c r="C34669" s="5" t="str">
        <f>IFERROR(__xludf.DUMMYFUNCTION("GOOGLETRANSLATE(B34669,""en"",""it"")"),"Un uomo parla con la telecamera, da vicino, mentre si trova davanti a uno specchio.")</f>
        <v>Un uomo parla con la telecamera, da vicino, mentre si trova davanti a uno specchio.</v>
      </c>
    </row>
    <row r="34670">
      <c r="A34670" s="4" t="s">
        <v>43620</v>
      </c>
      <c r="B34670" s="6" t="s">
        <v>43623</v>
      </c>
      <c r="C34670" s="5" t="str">
        <f>IFERROR(__xludf.DUMMYFUNCTION("GOOGLETRANSLATE(B34670,""en"",""it"")"),"L'uomo inizia a mettere il blush di trucco usando un pennello e sfiorare le mele delle guance.")</f>
        <v>L'uomo inizia a mettere il blush di trucco usando un pennello e sfiorare le mele delle guance.</v>
      </c>
    </row>
    <row r="34671">
      <c r="A34671" s="4" t="s">
        <v>43620</v>
      </c>
      <c r="B34671" s="6" t="s">
        <v>43624</v>
      </c>
      <c r="C34671" s="5" t="str">
        <f>IFERROR(__xludf.DUMMYFUNCTION("GOOGLETRANSLATE(B34671,""en"",""it"")"),"L'uomo quindi gestisce un pastello simile a un trucco attraverso le sue guance prima di tornare per applicare il rossore alle guance e alla fronte.")</f>
        <v>L'uomo quindi gestisce un pastello simile a un trucco attraverso le sue guance prima di tornare per applicare il rossore alle guance e alla fronte.</v>
      </c>
    </row>
    <row r="34672">
      <c r="A34672" s="4" t="s">
        <v>43620</v>
      </c>
      <c r="B34672" s="6" t="s">
        <v>43625</v>
      </c>
      <c r="C34672" s="5" t="str">
        <f>IFERROR(__xludf.DUMMYFUNCTION("GOOGLETRANSLATE(B34672,""en"",""it"")"),"L'uomo quindi usa un pennello stretto e largo sulle sue guance e poi di nuovo al pennello normale per le stesse aree del suo viso.")</f>
        <v>L'uomo quindi usa un pennello stretto e largo sulle sue guance e poi di nuovo al pennello normale per le stesse aree del suo viso.</v>
      </c>
    </row>
    <row r="34673">
      <c r="A34673" s="4" t="s">
        <v>43626</v>
      </c>
      <c r="B34673" s="4" t="s">
        <v>43627</v>
      </c>
      <c r="C34673" s="5" t="str">
        <f>IFERROR(__xludf.DUMMYFUNCTION("GOOGLETRANSLATE(B34673,""en"",""it"")"),"Un'introduzione conduce a un uomo che tiene un violino e gioca con le mani.")</f>
        <v>Un'introduzione conduce a un uomo che tiene un violino e gioca con le mani.</v>
      </c>
    </row>
    <row r="34674">
      <c r="A34674" s="4" t="s">
        <v>43626</v>
      </c>
      <c r="B34674" s="6" t="s">
        <v>43628</v>
      </c>
      <c r="C34674" s="5" t="str">
        <f>IFERROR(__xludf.DUMMYFUNCTION("GOOGLETRANSLATE(B34674,""en"",""it"")"),"L'uomo continua a giocare e poi fa una pausa per parlare alla telecamera, dimostrando anche come giocare correttamente.")</f>
        <v>L'uomo continua a giocare e poi fa una pausa per parlare alla telecamera, dimostrando anche come giocare correttamente.</v>
      </c>
    </row>
    <row r="34675">
      <c r="A34675" s="4" t="s">
        <v>43629</v>
      </c>
      <c r="B34675" s="4" t="s">
        <v>43630</v>
      </c>
      <c r="C34675" s="5" t="str">
        <f>IFERROR(__xludf.DUMMYFUNCTION("GOOGLETRANSLATE(B34675,""en"",""it"")"),"Un uomo sta pulendo la pianta delle sue scarpe da ginnastica con l'estremità sottile e metallica di un tubo.")</f>
        <v>Un uomo sta pulendo la pianta delle sue scarpe da ginnastica con l'estremità sottile e metallica di un tubo.</v>
      </c>
    </row>
    <row r="34676">
      <c r="A34676" s="4" t="s">
        <v>43629</v>
      </c>
      <c r="B34676" s="4" t="s">
        <v>43631</v>
      </c>
      <c r="C34676" s="5" t="str">
        <f>IFERROR(__xludf.DUMMYFUNCTION("GOOGLETRANSLATE(B34676,""en"",""it"")"),"L'uomo rimette il tubo e inizia a andarsene.")</f>
        <v>L'uomo rimette il tubo e inizia a andarsene.</v>
      </c>
    </row>
    <row r="34677">
      <c r="A34677" s="4" t="s">
        <v>43632</v>
      </c>
      <c r="B34677" s="4" t="s">
        <v>43633</v>
      </c>
      <c r="C34677" s="5" t="str">
        <f>IFERROR(__xludf.DUMMYFUNCTION("GOOGLETRANSLATE(B34677,""en"",""it"")"),"Un uomo balla su un palco in pantaloni bianchi.")</f>
        <v>Un uomo balla su un palco in pantaloni bianchi.</v>
      </c>
    </row>
    <row r="34678">
      <c r="A34678" s="4" t="s">
        <v>43632</v>
      </c>
      <c r="B34678" s="4" t="s">
        <v>43634</v>
      </c>
      <c r="C34678" s="5" t="str">
        <f>IFERROR(__xludf.DUMMYFUNCTION("GOOGLETRANSLATE(B34678,""en"",""it"")"),"Due persone iniziano a ballare insieme su un palco.")</f>
        <v>Due persone iniziano a ballare insieme su un palco.</v>
      </c>
    </row>
    <row r="34679">
      <c r="A34679" s="4" t="s">
        <v>43632</v>
      </c>
      <c r="B34679" s="4" t="s">
        <v>43635</v>
      </c>
      <c r="C34679" s="5" t="str">
        <f>IFERROR(__xludf.DUMMYFUNCTION("GOOGLETRANSLATE(B34679,""en"",""it"")"),"Un uomo fa diversi ribaltamenti sul palco.")</f>
        <v>Un uomo fa diversi ribaltamenti sul palco.</v>
      </c>
    </row>
    <row r="34680">
      <c r="A34680" s="4" t="s">
        <v>43632</v>
      </c>
      <c r="B34680" s="4" t="s">
        <v>43636</v>
      </c>
      <c r="C34680" s="5" t="str">
        <f>IFERROR(__xludf.DUMMYFUNCTION("GOOGLETRANSLATE(B34680,""en"",""it"")"),"Una persona sta suonando un tamburo.")</f>
        <v>Una persona sta suonando un tamburo.</v>
      </c>
    </row>
    <row r="34681">
      <c r="A34681" s="4" t="s">
        <v>43637</v>
      </c>
      <c r="B34681" s="6" t="s">
        <v>43638</v>
      </c>
      <c r="C34681" s="5" t="str">
        <f>IFERROR(__xludf.DUMMYFUNCTION("GOOGLETRANSLATE(B34681,""en"",""it"")"),"Diverse persone sono viste cavalcare una collina sulle lame a rulli mentre una persona su una bici di polizia va davanti.")</f>
        <v>Diverse persone sono viste cavalcare una collina sulle lame a rulli mentre una persona su una bici di polizia va davanti.</v>
      </c>
    </row>
    <row r="34682">
      <c r="A34682" s="4" t="s">
        <v>43637</v>
      </c>
      <c r="B34682" s="4" t="s">
        <v>43639</v>
      </c>
      <c r="C34682" s="5" t="str">
        <f>IFERROR(__xludf.DUMMYFUNCTION("GOOGLETRANSLATE(B34682,""en"",""it"")"),"Ad un certo punto diverse persone cadono e si inciampano l'una sull'altra ma continuano a cavalcare le lame.")</f>
        <v>Ad un certo punto diverse persone cadono e si inciampano l'una sull'altra ma continuano a cavalcare le lame.</v>
      </c>
    </row>
    <row r="34683">
      <c r="A34683" s="4" t="s">
        <v>43640</v>
      </c>
      <c r="B34683" s="4" t="s">
        <v>43641</v>
      </c>
      <c r="C34683" s="5" t="str">
        <f>IFERROR(__xludf.DUMMYFUNCTION("GOOGLETRANSLATE(B34683,""en"",""it"")"),"Un uomo montato su un cavallo insegue una mucca.")</f>
        <v>Un uomo montato su un cavallo insegue una mucca.</v>
      </c>
    </row>
    <row r="34684">
      <c r="A34684" s="4" t="s">
        <v>43640</v>
      </c>
      <c r="B34684" s="4" t="s">
        <v>43642</v>
      </c>
      <c r="C34684" s="5" t="str">
        <f>IFERROR(__xludf.DUMMYFUNCTION("GOOGLETRANSLATE(B34684,""en"",""it"")"),"Cattura la mucca con una corda.")</f>
        <v>Cattura la mucca con una corda.</v>
      </c>
    </row>
    <row r="34685">
      <c r="A34685" s="4" t="s">
        <v>43640</v>
      </c>
      <c r="B34685" s="4" t="s">
        <v>43643</v>
      </c>
      <c r="C34685" s="5" t="str">
        <f>IFERROR(__xludf.DUMMYFUNCTION("GOOGLETRANSLATE(B34685,""en"",""it"")"),"Si muove dal cavallo e colpisce la mucca più volte.")</f>
        <v>Si muove dal cavallo e colpisce la mucca più volte.</v>
      </c>
    </row>
    <row r="34686">
      <c r="A34686" s="4" t="s">
        <v>43644</v>
      </c>
      <c r="B34686" s="4" t="s">
        <v>43645</v>
      </c>
      <c r="C34686" s="5" t="str">
        <f>IFERROR(__xludf.DUMMYFUNCTION("GOOGLETRANSLATE(B34686,""en"",""it"")"),"Un uomo sta intorno a una buca per il fuoco, parlando.")</f>
        <v>Un uomo sta intorno a una buca per il fuoco, parlando.</v>
      </c>
    </row>
    <row r="34687">
      <c r="A34687" s="4" t="s">
        <v>43644</v>
      </c>
      <c r="B34687" s="4" t="s">
        <v>43646</v>
      </c>
      <c r="C34687" s="5" t="str">
        <f>IFERROR(__xludf.DUMMYFUNCTION("GOOGLETRANSLATE(B34687,""en"",""it"")"),"L'uomo accende una torcia.")</f>
        <v>L'uomo accende una torcia.</v>
      </c>
    </row>
    <row r="34688">
      <c r="A34688" s="4" t="s">
        <v>43644</v>
      </c>
      <c r="B34688" s="4" t="s">
        <v>43647</v>
      </c>
      <c r="C34688" s="5" t="str">
        <f>IFERROR(__xludf.DUMMYFUNCTION("GOOGLETRANSLATE(B34688,""en"",""it"")"),"L'uomo usa la torcia per accendere il legno nella buca del fuoco.")</f>
        <v>L'uomo usa la torcia per accendere il legno nella buca del fuoco.</v>
      </c>
    </row>
    <row r="34689">
      <c r="A34689" s="4" t="s">
        <v>43644</v>
      </c>
      <c r="B34689" s="4" t="s">
        <v>43648</v>
      </c>
      <c r="C34689" s="5" t="str">
        <f>IFERROR(__xludf.DUMMYFUNCTION("GOOGLETRANSLATE(B34689,""en"",""it"")"),"L'uomo si siede per la buca per il fuoco, godendosi il calore.")</f>
        <v>L'uomo si siede per la buca per il fuoco, godendosi il calore.</v>
      </c>
    </row>
    <row r="34690">
      <c r="A34690" s="4" t="s">
        <v>43649</v>
      </c>
      <c r="B34690" s="4" t="s">
        <v>43650</v>
      </c>
      <c r="C34690" s="5" t="str">
        <f>IFERROR(__xludf.DUMMYFUNCTION("GOOGLETRANSLATE(B34690,""en"",""it"")"),"Un uomo con una camicia nera sta controllando il cibo in una paninoteca.")</f>
        <v>Un uomo con una camicia nera sta controllando il cibo in una paninoteca.</v>
      </c>
    </row>
    <row r="34691">
      <c r="A34691" s="4" t="s">
        <v>43649</v>
      </c>
      <c r="B34691" s="4" t="s">
        <v>43651</v>
      </c>
      <c r="C34691" s="5" t="str">
        <f>IFERROR(__xludf.DUMMYFUNCTION("GOOGLETRANSLATE(B34691,""en"",""it"")"),"L'uomo si muove quindi velocemente per preparare un panino hoagie aggiungendo ingredienti dai bidoni.")</f>
        <v>L'uomo si muove quindi velocemente per preparare un panino hoagie aggiungendo ingredienti dai bidoni.</v>
      </c>
    </row>
    <row r="34692">
      <c r="A34692" s="4" t="s">
        <v>43649</v>
      </c>
      <c r="B34692" s="4" t="s">
        <v>43652</v>
      </c>
      <c r="C34692" s="5" t="str">
        <f>IFERROR(__xludf.DUMMYFUNCTION("GOOGLETRANSLATE(B34692,""en"",""it"")"),"L'uomo avvolge il sandwich in carta e lo mette in un sacchetto di plastica.")</f>
        <v>L'uomo avvolge il sandwich in carta e lo mette in un sacchetto di plastica.</v>
      </c>
    </row>
    <row r="34693">
      <c r="A34693" s="4" t="s">
        <v>43649</v>
      </c>
      <c r="B34693" s="4" t="s">
        <v>43653</v>
      </c>
      <c r="C34693" s="5" t="str">
        <f>IFERROR(__xludf.DUMMYFUNCTION("GOOGLETRANSLATE(B34693,""en"",""it"")"),"Vediamo su un telefono l'uomo ha preparato il sandwich in 41 secondi.")</f>
        <v>Vediamo su un telefono l'uomo ha preparato il sandwich in 41 secondi.</v>
      </c>
    </row>
    <row r="34694">
      <c r="A34694" s="4" t="s">
        <v>43649</v>
      </c>
      <c r="B34694" s="4" t="s">
        <v>43654</v>
      </c>
      <c r="C34694" s="5" t="str">
        <f>IFERROR(__xludf.DUMMYFUNCTION("GOOGLETRANSLATE(B34694,""en"",""it"")"),"L'uomo quindi smontare il panino nella parte posteriore.")</f>
        <v>L'uomo quindi smontare il panino nella parte posteriore.</v>
      </c>
    </row>
    <row r="34695">
      <c r="A34695" s="4" t="s">
        <v>43655</v>
      </c>
      <c r="B34695" s="4" t="s">
        <v>6935</v>
      </c>
      <c r="C34695" s="5" t="str">
        <f>IFERROR(__xludf.DUMMYFUNCTION("GOOGLETRANSLATE(B34695,""en"",""it"")"),"Il testo appare brevemente sullo schermo.")</f>
        <v>Il testo appare brevemente sullo schermo.</v>
      </c>
    </row>
    <row r="34696">
      <c r="A34696" s="4" t="s">
        <v>43655</v>
      </c>
      <c r="B34696" s="4" t="s">
        <v>43656</v>
      </c>
      <c r="C34696" s="5" t="str">
        <f>IFERROR(__xludf.DUMMYFUNCTION("GOOGLETRANSLATE(B34696,""en"",""it"")"),"La fotocamera si panoramica lungo una recinzione.")</f>
        <v>La fotocamera si panoramica lungo una recinzione.</v>
      </c>
    </row>
    <row r="34697">
      <c r="A34697" s="4" t="s">
        <v>43655</v>
      </c>
      <c r="B34697" s="4" t="s">
        <v>43657</v>
      </c>
      <c r="C34697" s="5" t="str">
        <f>IFERROR(__xludf.DUMMYFUNCTION("GOOGLETRANSLATE(B34697,""en"",""it"")"),"Si ferma in una sezione rotta.")</f>
        <v>Si ferma in una sezione rotta.</v>
      </c>
    </row>
    <row r="34698">
      <c r="A34698" s="4" t="s">
        <v>43655</v>
      </c>
      <c r="B34698" s="4" t="s">
        <v>43658</v>
      </c>
      <c r="C34698" s="5" t="str">
        <f>IFERROR(__xludf.DUMMYFUNCTION("GOOGLETRANSLATE(B34698,""en"",""it"")"),"Continua a panoramonare il recinto.")</f>
        <v>Continua a panoramonare il recinto.</v>
      </c>
    </row>
    <row r="34699">
      <c r="A34699" s="4" t="s">
        <v>43655</v>
      </c>
      <c r="B34699" s="4" t="s">
        <v>43659</v>
      </c>
      <c r="C34699" s="5" t="str">
        <f>IFERROR(__xludf.DUMMYFUNCTION("GOOGLETRANSLATE(B34699,""en"",""it"")"),"Le unghie vengono martellate nel recinto.")</f>
        <v>Le unghie vengono martellate nel recinto.</v>
      </c>
    </row>
    <row r="34700">
      <c r="A34700" s="4" t="s">
        <v>43655</v>
      </c>
      <c r="B34700" s="4" t="s">
        <v>43660</v>
      </c>
      <c r="C34700" s="5" t="str">
        <f>IFERROR(__xludf.DUMMYFUNCTION("GOOGLETRANSLATE(B34700,""en"",""it"")"),"Continuano lungo la recinzione e rimuovono alcune piante morte.")</f>
        <v>Continuano lungo la recinzione e rimuovono alcune piante morte.</v>
      </c>
    </row>
    <row r="34701">
      <c r="A34701" s="4" t="s">
        <v>43655</v>
      </c>
      <c r="B34701" s="4" t="s">
        <v>43661</v>
      </c>
      <c r="C34701" s="5" t="str">
        <f>IFERROR(__xludf.DUMMYFUNCTION("GOOGLETRANSLATE(B34701,""en"",""it"")"),"Mostrano un prodotto usato per pulire la recinzione.")</f>
        <v>Mostrano un prodotto usato per pulire la recinzione.</v>
      </c>
    </row>
    <row r="34702">
      <c r="A34702" s="4" t="s">
        <v>43655</v>
      </c>
      <c r="B34702" s="4" t="s">
        <v>43662</v>
      </c>
      <c r="C34702" s="5" t="str">
        <f>IFERROR(__xludf.DUMMYFUNCTION("GOOGLETRANSLATE(B34702,""en"",""it"")"),"Un uomo spruzza la recinzione con il prodotto.")</f>
        <v>Un uomo spruzza la recinzione con il prodotto.</v>
      </c>
    </row>
    <row r="34703">
      <c r="A34703" s="4" t="s">
        <v>43655</v>
      </c>
      <c r="B34703" s="4" t="s">
        <v>43663</v>
      </c>
      <c r="C34703" s="5" t="str">
        <f>IFERROR(__xludf.DUMMYFUNCTION("GOOGLETRANSLATE(B34703,""en"",""it"")"),"Lo lascia cadere e ottiene un po 'di vernice.")</f>
        <v>Lo lascia cadere e ottiene un po 'di vernice.</v>
      </c>
    </row>
    <row r="34704">
      <c r="A34704" s="4" t="s">
        <v>43655</v>
      </c>
      <c r="B34704" s="4" t="s">
        <v>43664</v>
      </c>
      <c r="C34704" s="5" t="str">
        <f>IFERROR(__xludf.DUMMYFUNCTION("GOOGLETRANSLATE(B34704,""en"",""it"")"),"Viene mostrata una sezione dipinta della recinzione.")</f>
        <v>Viene mostrata una sezione dipinta della recinzione.</v>
      </c>
    </row>
    <row r="34705">
      <c r="A34705" s="4" t="s">
        <v>43665</v>
      </c>
      <c r="B34705" s="4" t="s">
        <v>43666</v>
      </c>
      <c r="C34705" s="5" t="str">
        <f>IFERROR(__xludf.DUMMYFUNCTION("GOOGLETRANSLATE(B34705,""en"",""it"")"),"Un po 'in una camicia rosa sta attraversando le barre delle scimmie.")</f>
        <v>Un po 'in una camicia rosa sta attraversando le barre delle scimmie.</v>
      </c>
    </row>
    <row r="34706">
      <c r="A34706" s="4" t="s">
        <v>43665</v>
      </c>
      <c r="B34706" s="4" t="s">
        <v>43667</v>
      </c>
      <c r="C34706" s="5" t="str">
        <f>IFERROR(__xludf.DUMMYFUNCTION("GOOGLETRANSLATE(B34706,""en"",""it"")"),"Si aggrappa dai bar.")</f>
        <v>Si aggrappa dai bar.</v>
      </c>
    </row>
    <row r="34707">
      <c r="A34707" s="4" t="s">
        <v>43665</v>
      </c>
      <c r="B34707" s="4" t="s">
        <v>43668</v>
      </c>
      <c r="C34707" s="5" t="str">
        <f>IFERROR(__xludf.DUMMYFUNCTION("GOOGLETRANSLATE(B34707,""en"",""it"")"),"Lei sorride alla telecamera.")</f>
        <v>Lei sorride alla telecamera.</v>
      </c>
    </row>
    <row r="34708">
      <c r="A34708" s="4" t="s">
        <v>43669</v>
      </c>
      <c r="B34708" s="4" t="s">
        <v>43670</v>
      </c>
      <c r="C34708" s="5" t="str">
        <f>IFERROR(__xludf.DUMMYFUNCTION("GOOGLETRANSLATE(B34708,""en"",""it"")"),"Una schermata del titolo appare per un tutorial per l'agilità dell'hockey.")</f>
        <v>Una schermata del titolo appare per un tutorial per l'agilità dell'hockey.</v>
      </c>
    </row>
    <row r="34709">
      <c r="A34709" s="4" t="s">
        <v>43669</v>
      </c>
      <c r="B34709" s="6" t="s">
        <v>43671</v>
      </c>
      <c r="C34709" s="5" t="str">
        <f>IFERROR(__xludf.DUMMYFUNCTION("GOOGLETRANSLATE(B34709,""en"",""it"")"),"Un giocatore di hockey attraversa diverse routine che mostrano riscaldamenti di agilità con un bastone da hockey e disco e esercizi con pneumatici, piccoli coni.")</f>
        <v>Un giocatore di hockey attraversa diverse routine che mostrano riscaldamenti di agilità con un bastone da hockey e disco e esercizi con pneumatici, piccoli coni.</v>
      </c>
    </row>
    <row r="34710">
      <c r="A34710" s="4" t="s">
        <v>43669</v>
      </c>
      <c r="B34710" s="4" t="s">
        <v>43672</v>
      </c>
      <c r="C34710" s="5" t="str">
        <f>IFERROR(__xludf.DUMMYFUNCTION("GOOGLETRANSLATE(B34710,""en"",""it"")"),"Un altro schermo del titolo viene visualizzato con un sito Web appena sotto di esso.")</f>
        <v>Un altro schermo del titolo viene visualizzato con un sito Web appena sotto di esso.</v>
      </c>
    </row>
    <row r="34711">
      <c r="A34711" s="4" t="s">
        <v>43673</v>
      </c>
      <c r="B34711" s="4" t="s">
        <v>43674</v>
      </c>
      <c r="C34711" s="5" t="str">
        <f>IFERROR(__xludf.DUMMYFUNCTION("GOOGLETRANSLATE(B34711,""en"",""it"")"),"Una persona guarda un'altra persona che usa un soffiatore a foglia in un cortile da una finestra elevata.")</f>
        <v>Una persona guarda un'altra persona che usa un soffiatore a foglia in un cortile da una finestra elevata.</v>
      </c>
    </row>
    <row r="34712">
      <c r="A34712" s="4" t="s">
        <v>43673</v>
      </c>
      <c r="B34712" s="4" t="s">
        <v>43675</v>
      </c>
      <c r="C34712" s="5" t="str">
        <f>IFERROR(__xludf.DUMMYFUNCTION("GOOGLETRANSLATE(B34712,""en"",""it"")"),"Una persona in abbigliamento scuro soffia foglie su un pezzo di proprietà di fronte a due porte da garage aperte.")</f>
        <v>Una persona in abbigliamento scuro soffia foglie su un pezzo di proprietà di fronte a due porte da garage aperte.</v>
      </c>
    </row>
    <row r="34713">
      <c r="A34713" s="4" t="s">
        <v>43673</v>
      </c>
      <c r="B34713" s="6" t="s">
        <v>43676</v>
      </c>
      <c r="C34713" s="5" t="str">
        <f>IFERROR(__xludf.DUMMYFUNCTION("GOOGLETRANSLATE(B34713,""en"",""it"")"),"Un'altra persona si muove con la fotocamera mentre guardano da una finestra in una stanza elevata contro un davanzale bianco.")</f>
        <v>Un'altra persona si muove con la fotocamera mentre guardano da una finestra in una stanza elevata contro un davanzale bianco.</v>
      </c>
    </row>
    <row r="34714">
      <c r="A34714" s="4" t="s">
        <v>43673</v>
      </c>
      <c r="B34714" s="4" t="s">
        <v>43677</v>
      </c>
      <c r="C34714" s="5" t="str">
        <f>IFERROR(__xludf.DUMMYFUNCTION("GOOGLETRANSLATE(B34714,""en"",""it"")"),"La persona che soffia le foglie si muove attorno al cortile e continua a fare il mantenimento del prato.")</f>
        <v>La persona che soffia le foglie si muove attorno al cortile e continua a fare il mantenimento del prato.</v>
      </c>
    </row>
    <row r="34715">
      <c r="A34715" s="4" t="s">
        <v>43678</v>
      </c>
      <c r="B34715" s="4" t="s">
        <v>43679</v>
      </c>
      <c r="C34715" s="5" t="str">
        <f>IFERROR(__xludf.DUMMYFUNCTION("GOOGLETRANSLATE(B34715,""en"",""it"")"),"Una donna parla mentre su una macchina in palestra e mostra un basamento adeguato.")</f>
        <v>Una donna parla mentre su una macchina in palestra e mostra un basamento adeguato.</v>
      </c>
    </row>
    <row r="34716">
      <c r="A34716" s="4" t="s">
        <v>43678</v>
      </c>
      <c r="B34716" s="4" t="s">
        <v>43680</v>
      </c>
      <c r="C34716" s="5" t="str">
        <f>IFERROR(__xludf.DUMMYFUNCTION("GOOGLETRANSLATE(B34716,""en"",""it"")"),"La donna cammina sulla macchina aerobica in palestra senza maniglie.")</f>
        <v>La donna cammina sulla macchina aerobica in palestra senza maniglie.</v>
      </c>
    </row>
    <row r="34717">
      <c r="A34717" s="4" t="s">
        <v>43678</v>
      </c>
      <c r="B34717" s="4" t="s">
        <v>43681</v>
      </c>
      <c r="C34717" s="5" t="str">
        <f>IFERROR(__xludf.DUMMYFUNCTION("GOOGLETRANSLATE(B34717,""en"",""it"")"),"La donna usa le barrette di braccio mentre si cammina sulla macchina aerobica.")</f>
        <v>La donna usa le barrette di braccio mentre si cammina sulla macchina aerobica.</v>
      </c>
    </row>
    <row r="34718">
      <c r="A34718" s="4" t="s">
        <v>43678</v>
      </c>
      <c r="B34718" s="4" t="s">
        <v>43682</v>
      </c>
      <c r="C34718" s="5" t="str">
        <f>IFERROR(__xludf.DUMMYFUNCTION("GOOGLETRANSLATE(B34718,""en"",""it"")"),"La donna tiene le impugnature per scendere dalla macchina.")</f>
        <v>La donna tiene le impugnature per scendere dalla macchina.</v>
      </c>
    </row>
    <row r="34719">
      <c r="A34719" s="4" t="s">
        <v>43683</v>
      </c>
      <c r="B34719" s="4" t="s">
        <v>43684</v>
      </c>
      <c r="C34719" s="5" t="str">
        <f>IFERROR(__xludf.DUMMYFUNCTION("GOOGLETRANSLATE(B34719,""en"",""it"")"),"La mano di una persona viene vista con in mano un pennello.")</f>
        <v>La mano di una persona viene vista con in mano un pennello.</v>
      </c>
    </row>
    <row r="34720">
      <c r="A34720" s="4" t="s">
        <v>43683</v>
      </c>
      <c r="B34720" s="4" t="s">
        <v>43685</v>
      </c>
      <c r="C34720" s="5" t="str">
        <f>IFERROR(__xludf.DUMMYFUNCTION("GOOGLETRANSLATE(B34720,""en"",""it"")"),"La mano quindi mette gocce di inchiostro sulla carta.")</f>
        <v>La mano quindi mette gocce di inchiostro sulla carta.</v>
      </c>
    </row>
    <row r="34721">
      <c r="A34721" s="4" t="s">
        <v>43683</v>
      </c>
      <c r="B34721" s="4" t="s">
        <v>43686</v>
      </c>
      <c r="C34721" s="5" t="str">
        <f>IFERROR(__xludf.DUMMYFUNCTION("GOOGLETRANSLATE(B34721,""en"",""it"")"),"La mano della persona è nuovamente vista con il pennello.")</f>
        <v>La mano della persona è nuovamente vista con il pennello.</v>
      </c>
    </row>
    <row r="34722">
      <c r="A34722" s="4" t="s">
        <v>43683</v>
      </c>
      <c r="B34722" s="4" t="s">
        <v>43687</v>
      </c>
      <c r="C34722" s="5" t="str">
        <f>IFERROR(__xludf.DUMMYFUNCTION("GOOGLETRANSLATE(B34722,""en"",""it"")"),"La mano ritorna con un contagocce e crea immagini con inchiostro.")</f>
        <v>La mano ritorna con un contagocce e crea immagini con inchiostro.</v>
      </c>
    </row>
    <row r="34723">
      <c r="A34723" s="4" t="s">
        <v>43683</v>
      </c>
      <c r="B34723" s="4" t="s">
        <v>43688</v>
      </c>
      <c r="C34723" s="5" t="str">
        <f>IFERROR(__xludf.DUMMYFUNCTION("GOOGLETRANSLATE(B34723,""en"",""it"")"),"La mano tocca delicatamente l'immagine con un tovagliolo di carta.")</f>
        <v>La mano tocca delicatamente l'immagine con un tovagliolo di carta.</v>
      </c>
    </row>
    <row r="34724">
      <c r="A34724" s="4" t="s">
        <v>43689</v>
      </c>
      <c r="B34724" s="4" t="s">
        <v>43690</v>
      </c>
      <c r="C34724" s="5" t="str">
        <f>IFERROR(__xludf.DUMMYFUNCTION("GOOGLETRANSLATE(B34724,""en"",""it"")"),"La donna con camicia nera si piega e colpisce la palla con martello.")</f>
        <v>La donna con camicia nera si piega e colpisce la palla con martello.</v>
      </c>
    </row>
    <row r="34725">
      <c r="A34725" s="4" t="s">
        <v>43689</v>
      </c>
      <c r="B34725" s="4" t="s">
        <v>43691</v>
      </c>
      <c r="C34725" s="5" t="str">
        <f>IFERROR(__xludf.DUMMYFUNCTION("GOOGLETRANSLATE(B34725,""en"",""it"")"),"La donna colpì di nuovo la palla verde causando la colpire il polo piccolo.")</f>
        <v>La donna colpì di nuovo la palla verde causando la colpire il polo piccolo.</v>
      </c>
    </row>
    <row r="34726">
      <c r="A34726" s="4" t="s">
        <v>43689</v>
      </c>
      <c r="B34726" s="4" t="s">
        <v>43692</v>
      </c>
      <c r="C34726" s="5" t="str">
        <f>IFERROR(__xludf.DUMMYFUNCTION("GOOGLETRANSLATE(B34726,""en"",""it"")"),"La donna in nero applaudiva e cominciò a camminare.")</f>
        <v>La donna in nero applaudiva e cominciò a camminare.</v>
      </c>
    </row>
    <row r="34727">
      <c r="A34727" s="4" t="s">
        <v>43693</v>
      </c>
      <c r="B34727" s="4" t="s">
        <v>43694</v>
      </c>
      <c r="C34727" s="5" t="str">
        <f>IFERROR(__xludf.DUMMYFUNCTION("GOOGLETRANSLATE(B34727,""en"",""it"")"),"Viene mostrato un cronometro e una folla si riunisce per una partita di hockey in campo.")</f>
        <v>Viene mostrato un cronometro e una folla si riunisce per una partita di hockey in campo.</v>
      </c>
    </row>
    <row r="34728">
      <c r="A34728" s="4" t="s">
        <v>43693</v>
      </c>
      <c r="B34728" s="4" t="s">
        <v>43695</v>
      </c>
      <c r="C34728" s="5" t="str">
        <f>IFERROR(__xludf.DUMMYFUNCTION("GOOGLETRANSLATE(B34728,""en"",""it"")"),"Il documentario presenta la voce di un ex giocatore come filmato d'archivio viene mostrato a colori.")</f>
        <v>Il documentario presenta la voce di un ex giocatore come filmato d'archivio viene mostrato a colori.</v>
      </c>
    </row>
    <row r="34729">
      <c r="A34729" s="4" t="s">
        <v>43693</v>
      </c>
      <c r="B34729" s="4" t="s">
        <v>43696</v>
      </c>
      <c r="C34729" s="5" t="str">
        <f>IFERROR(__xludf.DUMMYFUNCTION("GOOGLETRANSLATE(B34729,""en"",""it"")"),"Foto e video in bianco e nero raffigurano la storia del gioco.")</f>
        <v>Foto e video in bianco e nero raffigurano la storia del gioco.</v>
      </c>
    </row>
    <row r="34730">
      <c r="A34730" s="4" t="s">
        <v>43693</v>
      </c>
      <c r="B34730" s="4" t="s">
        <v>43697</v>
      </c>
      <c r="C34730" s="5" t="str">
        <f>IFERROR(__xludf.DUMMYFUNCTION("GOOGLETRANSLATE(B34730,""en"",""it"")"),"Il documentario si concentra quindi su un giocatore famoso.")</f>
        <v>Il documentario si concentra quindi su un giocatore famoso.</v>
      </c>
    </row>
    <row r="34731">
      <c r="A34731" s="4" t="s">
        <v>43693</v>
      </c>
      <c r="B34731" s="4" t="s">
        <v>43698</v>
      </c>
      <c r="C34731" s="5" t="str">
        <f>IFERROR(__xludf.DUMMYFUNCTION("GOOGLETRANSLATE(B34731,""en"",""it"")"),"Dopodiché, viene evidenziato un famoso manager e gli ex giocatori parlano di lui.")</f>
        <v>Dopodiché, viene evidenziato un famoso manager e gli ex giocatori parlano di lui.</v>
      </c>
    </row>
    <row r="34732">
      <c r="A34732" s="4" t="s">
        <v>43699</v>
      </c>
      <c r="B34732" s="6" t="s">
        <v>43700</v>
      </c>
      <c r="C34732" s="5" t="str">
        <f>IFERROR(__xludf.DUMMYFUNCTION("GOOGLETRANSLATE(B34732,""en"",""it"")"),"Una donna parla con una macchina fotografica e quindi dimostra esercizi che possono essere fatti dal parco giochi usando attrezzature da parco giochi tra cui le barre delle scimmie.")</f>
        <v>Una donna parla con una macchina fotografica e quindi dimostra esercizi che possono essere fatti dal parco giochi usando attrezzature da parco giochi tra cui le barre delle scimmie.</v>
      </c>
    </row>
    <row r="34733">
      <c r="A34733" s="4" t="s">
        <v>43699</v>
      </c>
      <c r="B34733" s="6" t="s">
        <v>43701</v>
      </c>
      <c r="C34733" s="5" t="str">
        <f>IFERROR(__xludf.DUMMYFUNCTION("GOOGLETRANSLATE(B34733,""en"",""it"")"),"Una donna con una camicia a maniche corte rossa si trova sulla sabbia di un parco giochi e parla di fronte alla telecamera, mentre si trova accanto ad alcune barre delle scimmie.")</f>
        <v>Una donna con una camicia a maniche corte rossa si trova sulla sabbia di un parco giochi e parla di fronte alla telecamera, mentre si trova accanto ad alcune barre delle scimmie.</v>
      </c>
    </row>
    <row r="34734">
      <c r="A34734" s="4" t="s">
        <v>43699</v>
      </c>
      <c r="B34734" s="6" t="s">
        <v>43702</v>
      </c>
      <c r="C34734" s="5" t="str">
        <f>IFERROR(__xludf.DUMMYFUNCTION("GOOGLETRANSLATE(B34734,""en"",""it"")"),"La donna inizia a usare le barre delle scimmie e si trascina attraverso l'intera distesa della barra senza usare i piedi per la propulsione da una barra all'altra, usando solo la forza della parte superiore e la forza del nucleo per attraversare le barre.")</f>
        <v>La donna inizia a usare le barre delle scimmie e si trascina attraverso l'intera distesa della barra senza usare i piedi per la propulsione da una barra all'altra, usando solo la forza della parte superiore e la forza del nucleo per attraversare le barre.</v>
      </c>
    </row>
    <row r="34735">
      <c r="A34735" s="4" t="s">
        <v>43699</v>
      </c>
      <c r="B34735" s="6" t="s">
        <v>43703</v>
      </c>
      <c r="C34735" s="5" t="str">
        <f>IFERROR(__xludf.DUMMYFUNCTION("GOOGLETRANSLATE(B34735,""en"",""it"")"),"La donna si arrampica quindi un muro e lo salta giù in una ginnastica ginnastica nella sabbia e inizia a parlare di nuovo con la telecamera.")</f>
        <v>La donna si arrampica quindi un muro e lo salta giù in una ginnastica ginnastica nella sabbia e inizia a parlare di nuovo con la telecamera.</v>
      </c>
    </row>
    <row r="34736">
      <c r="A34736" s="4" t="s">
        <v>43704</v>
      </c>
      <c r="B34736" s="4" t="s">
        <v>43705</v>
      </c>
      <c r="C34736" s="5" t="str">
        <f>IFERROR(__xludf.DUMMYFUNCTION("GOOGLETRANSLATE(B34736,""en"",""it"")"),"Un uomo è visto seduto a margine seguito da un folto gruppo di persone che giocano a lacrosse.")</f>
        <v>Un uomo è visto seduto a margine seguito da un folto gruppo di persone che giocano a lacrosse.</v>
      </c>
    </row>
    <row r="34737">
      <c r="A34737" s="4" t="s">
        <v>43704</v>
      </c>
      <c r="B34737" s="6" t="s">
        <v>43706</v>
      </c>
      <c r="C34737" s="5" t="str">
        <f>IFERROR(__xludf.DUMMYFUNCTION("GOOGLETRANSLATE(B34737,""en"",""it"")"),"I giocatori continuano a muoversi su e giù nel campo l'uno accanto all'altro e molti guardano sui lati.")</f>
        <v>I giocatori continuano a muoversi su e giù nel campo l'uno accanto all'altro e molti guardano sui lati.</v>
      </c>
    </row>
    <row r="34738">
      <c r="A34738" s="4" t="s">
        <v>43704</v>
      </c>
      <c r="B34738" s="4" t="s">
        <v>43707</v>
      </c>
      <c r="C34738" s="5" t="str">
        <f>IFERROR(__xludf.DUMMYFUNCTION("GOOGLETRANSLATE(B34738,""en"",""it"")"),"Il gruppo continua a giocare e terminare segnando un goal e l'arbitro reagendo.")</f>
        <v>Il gruppo continua a giocare e terminare segnando un goal e l'arbitro reagendo.</v>
      </c>
    </row>
    <row r="34739">
      <c r="A34739" s="4" t="s">
        <v>43708</v>
      </c>
      <c r="B34739" s="6" t="s">
        <v>43709</v>
      </c>
      <c r="C34739" s="5" t="str">
        <f>IFERROR(__xludf.DUMMYFUNCTION("GOOGLETRANSLATE(B34739,""en"",""it"")"),"Un gruppo in marcia di cadetti in abiti scuri viene alla vista in quella che sembra essere una piazza della città del centro.")</f>
        <v>Un gruppo in marcia di cadetti in abiti scuri viene alla vista in quella che sembra essere una piazza della città del centro.</v>
      </c>
    </row>
    <row r="34740">
      <c r="A34740" s="4" t="s">
        <v>43708</v>
      </c>
      <c r="B34740" s="4" t="s">
        <v>43710</v>
      </c>
      <c r="C34740" s="5" t="str">
        <f>IFERROR(__xludf.DUMMYFUNCTION("GOOGLETRANSLATE(B34740,""en"",""it"")"),"Viene ascoltato un drum corp che batteva con orgoglio mentre i cadetti marciano in fondo alla strada.")</f>
        <v>Viene ascoltato un drum corp che batteva con orgoglio mentre i cadetti marciano in fondo alla strada.</v>
      </c>
    </row>
    <row r="34741">
      <c r="A34741" s="4" t="s">
        <v>43708</v>
      </c>
      <c r="B34741" s="4" t="s">
        <v>43711</v>
      </c>
      <c r="C34741" s="5" t="str">
        <f>IFERROR(__xludf.DUMMYFUNCTION("GOOGLETRANSLATE(B34741,""en"",""it"")"),"I manifestanti iniziano a salutare la folla e salutare gli spettatori.")</f>
        <v>I manifestanti iniziano a salutare la folla e salutare gli spettatori.</v>
      </c>
    </row>
    <row r="34742">
      <c r="A34742" s="4" t="s">
        <v>43708</v>
      </c>
      <c r="B34742" s="4" t="s">
        <v>43712</v>
      </c>
      <c r="C34742" s="5" t="str">
        <f>IFERROR(__xludf.DUMMYFUNCTION("GOOGLETRANSLATE(B34742,""en"",""it"")"),"Viene ascoltato un lungo fischio del treno mentre i cadetti continuano a salutare la folla.")</f>
        <v>Viene ascoltato un lungo fischio del treno mentre i cadetti continuano a salutare la folla.</v>
      </c>
    </row>
    <row r="34743">
      <c r="A34743" s="4" t="s">
        <v>43708</v>
      </c>
      <c r="B34743" s="4" t="s">
        <v>43713</v>
      </c>
      <c r="C34743" s="5" t="str">
        <f>IFERROR(__xludf.DUMMYFUNCTION("GOOGLETRANSLATE(B34743,""en"",""it"")"),"Dietro i cadetti, viene visualizzata una band di marcia, vestita di bianco.")</f>
        <v>Dietro i cadetti, viene visualizzata una band di marcia, vestita di bianco.</v>
      </c>
    </row>
    <row r="34744">
      <c r="A34744" s="4" t="s">
        <v>43708</v>
      </c>
      <c r="B34744" s="4" t="s">
        <v>43714</v>
      </c>
      <c r="C34744" s="5" t="str">
        <f>IFERROR(__xludf.DUMMYFUNCTION("GOOGLETRANSLATE(B34744,""en"",""it"")"),"La band marcia mentre suona canzoni di cadetti.")</f>
        <v>La band marcia mentre suona canzoni di cadetti.</v>
      </c>
    </row>
    <row r="34745">
      <c r="A34745" s="4" t="s">
        <v>43715</v>
      </c>
      <c r="B34745" s="4" t="s">
        <v>43716</v>
      </c>
      <c r="C34745" s="5" t="str">
        <f>IFERROR(__xludf.DUMMYFUNCTION("GOOGLETRANSLATE(B34745,""en"",""it"")"),"Le lettere spagnole sono mostrate nel video.")</f>
        <v>Le lettere spagnole sono mostrate nel video.</v>
      </c>
    </row>
    <row r="34746">
      <c r="A34746" s="4" t="s">
        <v>43715</v>
      </c>
      <c r="B34746" s="6" t="s">
        <v>43717</v>
      </c>
      <c r="C34746" s="5" t="str">
        <f>IFERROR(__xludf.DUMMYFUNCTION("GOOGLETRANSLATE(B34746,""en"",""it"")"),"Baby Kid sta ballando nella parte superiore di un tavolo che indossa un pannolino bianco in cucina e una donna lo sta girando.")</f>
        <v>Baby Kid sta ballando nella parte superiore di un tavolo che indossa un pannolino bianco in cucina e una donna lo sta girando.</v>
      </c>
    </row>
    <row r="34747">
      <c r="A34747" s="4" t="s">
        <v>43718</v>
      </c>
      <c r="B34747" s="4" t="s">
        <v>43719</v>
      </c>
      <c r="C34747" s="5" t="str">
        <f>IFERROR(__xludf.DUMMYFUNCTION("GOOGLETRANSLATE(B34747,""en"",""it"")"),"Una curva di ginnasta per aumentare di peso sopra la sua testa, mentre altri uomini siedono in palestra lo guardano.")</f>
        <v>Una curva di ginnasta per aumentare di peso sopra la sua testa, mentre altri uomini siedono in palestra lo guardano.</v>
      </c>
    </row>
    <row r="34748">
      <c r="A34748" s="4" t="s">
        <v>43718</v>
      </c>
      <c r="B34748" s="4" t="s">
        <v>43720</v>
      </c>
      <c r="C34748" s="5" t="str">
        <f>IFERROR(__xludf.DUMMYFUNCTION("GOOGLETRANSLATE(B34748,""en"",""it"")"),"La ginnasta lascia cadere il peso sul pavimento.")</f>
        <v>La ginnasta lascia cadere il peso sul pavimento.</v>
      </c>
    </row>
    <row r="34749">
      <c r="A34749" s="4" t="s">
        <v>43721</v>
      </c>
      <c r="B34749" s="4" t="s">
        <v>43722</v>
      </c>
      <c r="C34749" s="5" t="str">
        <f>IFERROR(__xludf.DUMMYFUNCTION("GOOGLETRANSLATE(B34749,""en"",""it"")"),"Un uomo viene mostrato seduto su una recinzione e parlare con la telecamera mentre indica i cavalli.")</f>
        <v>Un uomo viene mostrato seduto su una recinzione e parlare con la telecamera mentre indica i cavalli.</v>
      </c>
    </row>
    <row r="34750">
      <c r="A34750" s="4" t="s">
        <v>43721</v>
      </c>
      <c r="B34750" s="4" t="s">
        <v>43723</v>
      </c>
      <c r="C34750" s="5" t="str">
        <f>IFERROR(__xludf.DUMMYFUNCTION("GOOGLETRANSLATE(B34750,""en"",""it"")"),"Una ragazza viene mostrata a cavallo mentre altri tre si aggrappano al cavallo e aiutano.")</f>
        <v>Una ragazza viene mostrata a cavallo mentre altri tre si aggrappano al cavallo e aiutano.</v>
      </c>
    </row>
    <row r="34751">
      <c r="A34751" s="4" t="s">
        <v>43721</v>
      </c>
      <c r="B34751" s="4" t="s">
        <v>43724</v>
      </c>
      <c r="C34751" s="5" t="str">
        <f>IFERROR(__xludf.DUMMYFUNCTION("GOOGLETRANSLATE(B34751,""en"",""it"")"),"Queste persone aiutano varie persone dentro e fuori i cavalli.")</f>
        <v>Queste persone aiutano varie persone dentro e fuori i cavalli.</v>
      </c>
    </row>
    <row r="34752">
      <c r="A34752" s="4" t="s">
        <v>43721</v>
      </c>
      <c r="B34752" s="4" t="s">
        <v>43725</v>
      </c>
      <c r="C34752" s="5" t="str">
        <f>IFERROR(__xludf.DUMMYFUNCTION("GOOGLETRANSLATE(B34752,""en"",""it"")"),"La gente attraversa anche corsi a ostacoli con i cavalli e tengono sempre una mano.")</f>
        <v>La gente attraversa anche corsi a ostacoli con i cavalli e tengono sempre una mano.</v>
      </c>
    </row>
    <row r="34753">
      <c r="A34753" s="4" t="s">
        <v>43721</v>
      </c>
      <c r="B34753" s="4" t="s">
        <v>43726</v>
      </c>
      <c r="C34753" s="5" t="str">
        <f>IFERROR(__xludf.DUMMYFUNCTION("GOOGLETRANSLATE(B34753,""en"",""it"")"),"L'uomo si trova nel mezzo applaude ai cavalieri e dando la direzione dei cavalli.")</f>
        <v>L'uomo si trova nel mezzo applaude ai cavalieri e dando la direzione dei cavalli.</v>
      </c>
    </row>
    <row r="34754">
      <c r="A34754" s="4" t="s">
        <v>43721</v>
      </c>
      <c r="B34754" s="4" t="s">
        <v>43727</v>
      </c>
      <c r="C34754" s="5" t="str">
        <f>IFERROR(__xludf.DUMMYFUNCTION("GOOGLETRANSLATE(B34754,""en"",""it"")"),"Un ragazzo sorride quando scende dal cavallo e diverse persone si congratulano con lui.")</f>
        <v>Un ragazzo sorride quando scende dal cavallo e diverse persone si congratulano con lui.</v>
      </c>
    </row>
    <row r="34755">
      <c r="A34755" s="4" t="s">
        <v>43721</v>
      </c>
      <c r="B34755" s="4" t="s">
        <v>43728</v>
      </c>
      <c r="C34755" s="5" t="str">
        <f>IFERROR(__xludf.DUMMYFUNCTION("GOOGLETRANSLATE(B34755,""en"",""it"")"),"L'uomo finisce parlando del suo campo e perché dovresti unirti.")</f>
        <v>L'uomo finisce parlando del suo campo e perché dovresti unirti.</v>
      </c>
    </row>
    <row r="34756">
      <c r="A34756" s="4" t="s">
        <v>43729</v>
      </c>
      <c r="B34756" s="6" t="s">
        <v>43730</v>
      </c>
      <c r="C34756" s="5" t="str">
        <f>IFERROR(__xludf.DUMMYFUNCTION("GOOGLETRANSLATE(B34756,""en"",""it"")"),"Due bambini vengono visti camminare per un cortile giocando uncinetto l'uno con l'altro e ridendo sul lato.")</f>
        <v>Due bambini vengono visti camminare per un cortile giocando uncinetto l'uno con l'altro e ridendo sul lato.</v>
      </c>
    </row>
    <row r="34757">
      <c r="A34757" s="4" t="s">
        <v>43729</v>
      </c>
      <c r="B34757" s="4" t="s">
        <v>43731</v>
      </c>
      <c r="C34757" s="5" t="str">
        <f>IFERROR(__xludf.DUMMYFUNCTION("GOOGLETRANSLATE(B34757,""en"",""it"")"),"I bambini continuano a giocare tra loro mentre la telecamera si muove intorno ai loro movimenti.")</f>
        <v>I bambini continuano a giocare tra loro mentre la telecamera si muove intorno ai loro movimenti.</v>
      </c>
    </row>
    <row r="34758">
      <c r="A34758" s="4" t="s">
        <v>43732</v>
      </c>
      <c r="B34758" s="4" t="s">
        <v>43733</v>
      </c>
      <c r="C34758" s="5" t="str">
        <f>IFERROR(__xludf.DUMMYFUNCTION("GOOGLETRANSLATE(B34758,""en"",""it"")"),"Viene mostrato un grande cortile seguito da un bambino che spinge un tosaerba.")</f>
        <v>Viene mostrato un grande cortile seguito da un bambino che spinge un tosaerba.</v>
      </c>
    </row>
    <row r="34759">
      <c r="A34759" s="4" t="s">
        <v>43732</v>
      </c>
      <c r="B34759" s="4" t="s">
        <v>43734</v>
      </c>
      <c r="C34759" s="5" t="str">
        <f>IFERROR(__xludf.DUMMYFUNCTION("GOOGLETRANSLATE(B34759,""en"",""it"")"),"Il ragazzo continua a spingere il tosaerba mentre la telecamera guarda da un lato.")</f>
        <v>Il ragazzo continua a spingere il tosaerba mentre la telecamera guarda da un lato.</v>
      </c>
    </row>
    <row r="34760">
      <c r="A34760" s="4" t="s">
        <v>43732</v>
      </c>
      <c r="B34760" s="4" t="s">
        <v>43735</v>
      </c>
      <c r="C34760" s="5" t="str">
        <f>IFERROR(__xludf.DUMMYFUNCTION("GOOGLETRANSLATE(B34760,""en"",""it"")"),"Il ragazzo muove il tosaerba lungo tutto il cortile.")</f>
        <v>Il ragazzo muove il tosaerba lungo tutto il cortile.</v>
      </c>
    </row>
    <row r="34761">
      <c r="A34761" s="4" t="s">
        <v>43736</v>
      </c>
      <c r="B34761" s="6" t="s">
        <v>43737</v>
      </c>
      <c r="C34761" s="5" t="str">
        <f>IFERROR(__xludf.DUMMYFUNCTION("GOOGLETRANSLATE(B34761,""en"",""it"")"),"Viene vista una donna parlare alla telecamera e porta a lei reggere vari smalti e cominciare a una serie di unghie finte.")</f>
        <v>Viene vista una donna parlare alla telecamera e porta a lei reggere vari smalti e cominciare a una serie di unghie finte.</v>
      </c>
    </row>
    <row r="34762">
      <c r="A34762" s="4" t="s">
        <v>43736</v>
      </c>
      <c r="B34762" s="6" t="s">
        <v>43738</v>
      </c>
      <c r="C34762" s="5" t="str">
        <f>IFERROR(__xludf.DUMMYFUNCTION("GOOGLETRANSLATE(B34762,""en"",""it"")"),"Continua a dipingere sulle unghie usa diversi colori e presenta l'unghia alla fotocamera alla fine.")</f>
        <v>Continua a dipingere sulle unghie usa diversi colori e presenta l'unghia alla fotocamera alla fine.</v>
      </c>
    </row>
    <row r="34763">
      <c r="A34763" s="4" t="s">
        <v>43739</v>
      </c>
      <c r="B34763" s="4" t="s">
        <v>43740</v>
      </c>
      <c r="C34763" s="5" t="str">
        <f>IFERROR(__xludf.DUMMYFUNCTION("GOOGLETRANSLATE(B34763,""en"",""it"")"),"Un gruppo di ragazze guarda un giro di divertimenti e saluta lì le mani nella paura e nell'anticipazione.")</f>
        <v>Un gruppo di ragazze guarda un giro di divertimenti e saluta lì le mani nella paura e nell'anticipazione.</v>
      </c>
    </row>
    <row r="34764">
      <c r="A34764" s="4" t="s">
        <v>43739</v>
      </c>
      <c r="B34764" s="4" t="s">
        <v>43741</v>
      </c>
      <c r="C34764" s="5" t="str">
        <f>IFERROR(__xludf.DUMMYFUNCTION("GOOGLETRANSLATE(B34764,""en"",""it"")"),"Le ragazze indossano imbracature di sicurezza.")</f>
        <v>Le ragazze indossano imbracature di sicurezza.</v>
      </c>
    </row>
    <row r="34765">
      <c r="A34765" s="4" t="s">
        <v>43739</v>
      </c>
      <c r="B34765" s="4" t="s">
        <v>43742</v>
      </c>
      <c r="C34765" s="5" t="str">
        <f>IFERROR(__xludf.DUMMYFUNCTION("GOOGLETRANSLATE(B34765,""en"",""it"")"),"Il gruppo saliva le scale fino alla cima della piattaforma.")</f>
        <v>Il gruppo saliva le scale fino alla cima della piattaforma.</v>
      </c>
    </row>
    <row r="34766">
      <c r="A34766" s="4" t="s">
        <v>43739</v>
      </c>
      <c r="B34766" s="4" t="s">
        <v>43743</v>
      </c>
      <c r="C34766" s="5" t="str">
        <f>IFERROR(__xludf.DUMMYFUNCTION("GOOGLETRANSLATE(B34766,""en"",""it"")"),"Una ragazza si trova in cima alla piattaforma con una corda e l'imbracatura e si prepara a saltare.")</f>
        <v>Una ragazza si trova in cima alla piattaforma con una corda e l'imbracatura e si prepara a saltare.</v>
      </c>
    </row>
    <row r="34767">
      <c r="A34767" s="4" t="s">
        <v>43739</v>
      </c>
      <c r="B34767" s="4" t="s">
        <v>43744</v>
      </c>
      <c r="C34767" s="5" t="str">
        <f>IFERROR(__xludf.DUMMYFUNCTION("GOOGLETRANSLATE(B34767,""en"",""it"")"),"Una band pop viene vista cantare una canzone e ballare.")</f>
        <v>Una band pop viene vista cantare una canzone e ballare.</v>
      </c>
    </row>
    <row r="34768">
      <c r="A34768" s="4" t="s">
        <v>43739</v>
      </c>
      <c r="B34768" s="4" t="s">
        <v>43745</v>
      </c>
      <c r="C34768" s="5" t="str">
        <f>IFERROR(__xludf.DUMMYFUNCTION("GOOGLETRANSLATE(B34768,""en"",""it"")"),"La ragazza salta dalla piattaforma e rimbalza sul cordone bungee in aria.")</f>
        <v>La ragazza salta dalla piattaforma e rimbalza sul cordone bungee in aria.</v>
      </c>
    </row>
    <row r="34769">
      <c r="A34769" s="4" t="s">
        <v>43739</v>
      </c>
      <c r="B34769" s="4" t="s">
        <v>43746</v>
      </c>
      <c r="C34769" s="5" t="str">
        <f>IFERROR(__xludf.DUMMYFUNCTION("GOOGLETRANSLATE(B34769,""en"",""it"")"),"La ragazza è accolta dai membri del gruppo che si congratulano con lei per il salto.")</f>
        <v>La ragazza è accolta dai membri del gruppo che si congratulano con lei per il salto.</v>
      </c>
    </row>
    <row r="34770">
      <c r="A34770" s="4" t="s">
        <v>43747</v>
      </c>
      <c r="B34770" s="4" t="s">
        <v>43748</v>
      </c>
      <c r="C34770" s="5" t="str">
        <f>IFERROR(__xludf.DUMMYFUNCTION("GOOGLETRANSLATE(B34770,""en"",""it"")"),"Un uomo con una camicia blu sta spazzando il pavimento in palestra.")</f>
        <v>Un uomo con una camicia blu sta spazzando il pavimento in palestra.</v>
      </c>
    </row>
    <row r="34771">
      <c r="A34771" s="4" t="s">
        <v>43747</v>
      </c>
      <c r="B34771" s="4" t="s">
        <v>43749</v>
      </c>
      <c r="C34771" s="5" t="str">
        <f>IFERROR(__xludf.DUMMYFUNCTION("GOOGLETRANSLATE(B34771,""en"",""it"")"),"Solleva la scopa e la posa sul pavimento.")</f>
        <v>Solleva la scopa e la posa sul pavimento.</v>
      </c>
    </row>
    <row r="34772">
      <c r="A34772" s="4" t="s">
        <v>43747</v>
      </c>
      <c r="B34772" s="4" t="s">
        <v>43750</v>
      </c>
      <c r="C34772" s="5" t="str">
        <f>IFERROR(__xludf.DUMMYFUNCTION("GOOGLETRANSLATE(B34772,""en"",""it"")"),"Comincia a aspirare sul pavimento.")</f>
        <v>Comincia a aspirare sul pavimento.</v>
      </c>
    </row>
    <row r="34773">
      <c r="A34773" s="4" t="s">
        <v>43747</v>
      </c>
      <c r="B34773" s="4" t="s">
        <v>43751</v>
      </c>
      <c r="C34773" s="5" t="str">
        <f>IFERROR(__xludf.DUMMYFUNCTION("GOOGLETRANSLATE(B34773,""en"",""it"")"),"Elimina il fondo della scopa.")</f>
        <v>Elimina il fondo della scopa.</v>
      </c>
    </row>
    <row r="34774">
      <c r="A34774" s="4" t="s">
        <v>43752</v>
      </c>
      <c r="B34774" s="4" t="s">
        <v>43753</v>
      </c>
      <c r="C34774" s="5" t="str">
        <f>IFERROR(__xludf.DUMMYFUNCTION("GOOGLETRANSLATE(B34774,""en"",""it"")"),"Due uomini giocano a ping pong davanti a una folla.")</f>
        <v>Due uomini giocano a ping pong davanti a una folla.</v>
      </c>
    </row>
    <row r="34775">
      <c r="A34775" s="4" t="s">
        <v>43752</v>
      </c>
      <c r="B34775" s="6" t="s">
        <v>43754</v>
      </c>
      <c r="C34775" s="5" t="str">
        <f>IFERROR(__xludf.DUMMYFUNCTION("GOOGLETRANSLATE(B34775,""en"",""it"")"),"Quando la persona con la giacca nera serve, la palla atterra in rete, anche il giovane non riesce a servire bene e la palla atterra fuori dal tavolo.")</f>
        <v>Quando la persona con la giacca nera serve, la palla atterra in rete, anche il giovane non riesce a servire bene e la palla atterra fuori dal tavolo.</v>
      </c>
    </row>
    <row r="34776">
      <c r="A34776" s="4" t="s">
        <v>43752</v>
      </c>
      <c r="B34776" s="4" t="s">
        <v>43755</v>
      </c>
      <c r="C34776" s="5" t="str">
        <f>IFERROR(__xludf.DUMMYFUNCTION("GOOGLETRANSLATE(B34776,""en"",""it"")"),"Il giovane vince e alza le mani, mentre il suo avversario lo abbraccia.")</f>
        <v>Il giovane vince e alza le mani, mentre il suo avversario lo abbraccia.</v>
      </c>
    </row>
    <row r="34777">
      <c r="A34777" s="4" t="s">
        <v>43752</v>
      </c>
      <c r="B34777" s="4" t="s">
        <v>43756</v>
      </c>
      <c r="C34777" s="5" t="str">
        <f>IFERROR(__xludf.DUMMYFUNCTION("GOOGLETRANSLATE(B34777,""en"",""it"")"),"Le persone scattano foto agli uomini.")</f>
        <v>Le persone scattano foto agli uomini.</v>
      </c>
    </row>
    <row r="34778">
      <c r="A34778" s="4" t="s">
        <v>43757</v>
      </c>
      <c r="B34778" s="6" t="s">
        <v>43758</v>
      </c>
      <c r="C34778" s="5" t="str">
        <f>IFERROR(__xludf.DUMMYFUNCTION("GOOGLETRANSLATE(B34778,""en"",""it"")"),"Una fotocamera mostra diversi ingredienti disposti su un tavolo seguito da qualcuno che mescola insieme gli ingredienti.")</f>
        <v>Una fotocamera mostra diversi ingredienti disposti su un tavolo seguito da qualcuno che mescola insieme gli ingredienti.</v>
      </c>
    </row>
    <row r="34779">
      <c r="A34779" s="4" t="s">
        <v>43757</v>
      </c>
      <c r="B34779" s="4" t="s">
        <v>43759</v>
      </c>
      <c r="C34779" s="5" t="str">
        <f>IFERROR(__xludf.DUMMYFUNCTION("GOOGLETRANSLATE(B34779,""en"",""it"")"),"Hanno messo la miscela su una padella per creare biscotti nel forno e mostrare i risultati finali.")</f>
        <v>Hanno messo la miscela su una padella per creare biscotti nel forno e mostrare i risultati finali.</v>
      </c>
    </row>
    <row r="34780">
      <c r="A34780" s="4" t="s">
        <v>43760</v>
      </c>
      <c r="B34780" s="6" t="s">
        <v>43761</v>
      </c>
      <c r="C34780" s="5" t="str">
        <f>IFERROR(__xludf.DUMMYFUNCTION("GOOGLETRANSLATE(B34780,""en"",""it"")"),"Due uomini sono visti correre in giro per un cerchio circondato da persone e esibire mosse di arti marziali.")</f>
        <v>Due uomini sono visti correre in giro per un cerchio circondato da persone e esibire mosse di arti marziali.</v>
      </c>
    </row>
    <row r="34781">
      <c r="A34781" s="4" t="s">
        <v>43760</v>
      </c>
      <c r="B34781" s="6" t="s">
        <v>43762</v>
      </c>
      <c r="C34781" s="5" t="str">
        <f>IFERROR(__xludf.DUMMYFUNCTION("GOOGLETRANSLATE(B34781,""en"",""it"")"),"Più persone entrano nel cerchio e le persone continuano a girarsi l'una verso l'altra e combattere l'una con l'altra.")</f>
        <v>Più persone entrano nel cerchio e le persone continuano a girarsi l'una verso l'altra e combattere l'una con l'altra.</v>
      </c>
    </row>
    <row r="34782">
      <c r="A34782" s="4" t="s">
        <v>43763</v>
      </c>
      <c r="B34782" s="4" t="s">
        <v>43764</v>
      </c>
      <c r="C34782" s="5" t="str">
        <f>IFERROR(__xludf.DUMMYFUNCTION("GOOGLETRANSLATE(B34782,""en"",""it"")"),"Quattro ragazzi stanno lanciando palline da golf su un tavolo per colpire i bicchieri di plastica.")</f>
        <v>Quattro ragazzi stanno lanciando palline da golf su un tavolo per colpire i bicchieri di plastica.</v>
      </c>
    </row>
    <row r="34783">
      <c r="A34783" s="4" t="s">
        <v>43763</v>
      </c>
      <c r="B34783" s="4" t="s">
        <v>43765</v>
      </c>
      <c r="C34783" s="5" t="str">
        <f>IFERROR(__xludf.DUMMYFUNCTION("GOOGLETRANSLATE(B34783,""en"",""it"")"),"Due ragazzi alti cinque dopo che un ragazzo porta la pallina da golf nel bicchiere di plastica.")</f>
        <v>Due ragazzi alti cinque dopo che un ragazzo porta la pallina da golf nel bicchiere di plastica.</v>
      </c>
    </row>
    <row r="34784">
      <c r="A34784" s="4" t="s">
        <v>43763</v>
      </c>
      <c r="B34784" s="4" t="s">
        <v>43766</v>
      </c>
      <c r="C34784" s="5" t="str">
        <f>IFERROR(__xludf.DUMMYFUNCTION("GOOGLETRANSLATE(B34784,""en"",""it"")"),"I ragazzi indicano la telecamera e ridono.")</f>
        <v>I ragazzi indicano la telecamera e ridono.</v>
      </c>
    </row>
    <row r="34785">
      <c r="A34785" s="4" t="s">
        <v>43763</v>
      </c>
      <c r="B34785" s="4" t="s">
        <v>43767</v>
      </c>
      <c r="C34785" s="5" t="str">
        <f>IFERROR(__xludf.DUMMYFUNCTION("GOOGLETRANSLATE(B34785,""en"",""it"")"),"Un ragazzo toglie la pallina da golf dalla tazza e tenta di bere il liquido.")</f>
        <v>Un ragazzo toglie la pallina da golf dalla tazza e tenta di bere il liquido.</v>
      </c>
    </row>
    <row r="34786">
      <c r="A34786" s="4" t="s">
        <v>43763</v>
      </c>
      <c r="B34786" s="6" t="s">
        <v>43768</v>
      </c>
      <c r="C34786" s="5" t="str">
        <f>IFERROR(__xludf.DUMMYFUNCTION("GOOGLETRANSLATE(B34786,""en"",""it"")"),"Un ragazzo lancia una pallina da golf con la schiena verso il tavolo, la atterra all'interno della tazza e lascia la stanza.")</f>
        <v>Un ragazzo lancia una pallina da golf con la schiena verso il tavolo, la atterra all'interno della tazza e lascia la stanza.</v>
      </c>
    </row>
    <row r="34787">
      <c r="A34787" s="4" t="s">
        <v>43763</v>
      </c>
      <c r="B34787" s="4" t="s">
        <v>43769</v>
      </c>
      <c r="C34787" s="5" t="str">
        <f>IFERROR(__xludf.DUMMYFUNCTION("GOOGLETRANSLATE(B34787,""en"",""it"")"),"I ragazzi festeggiano e danno alti cinque.")</f>
        <v>I ragazzi festeggiano e danno alti cinque.</v>
      </c>
    </row>
    <row r="34788">
      <c r="A34788" s="4" t="s">
        <v>43770</v>
      </c>
      <c r="B34788" s="4" t="s">
        <v>43771</v>
      </c>
      <c r="C34788" s="5" t="str">
        <f>IFERROR(__xludf.DUMMYFUNCTION("GOOGLETRANSLATE(B34788,""en"",""it"")"),"Una persona viene vista disegnare sul lato di una zucca e quindi porta a tagliare i contorni.")</f>
        <v>Una persona viene vista disegnare sul lato di una zucca e quindi porta a tagliare i contorni.</v>
      </c>
    </row>
    <row r="34789">
      <c r="A34789" s="4" t="s">
        <v>43770</v>
      </c>
      <c r="B34789" s="4" t="s">
        <v>43772</v>
      </c>
      <c r="C34789" s="5" t="str">
        <f>IFERROR(__xludf.DUMMYFUNCTION("GOOGLETRANSLATE(B34789,""en"",""it"")"),"La persona quindi asciuga uno straccio su tutta la zucca che pulisce i lati.")</f>
        <v>La persona quindi asciuga uno straccio su tutta la zucca che pulisce i lati.</v>
      </c>
    </row>
    <row r="34790">
      <c r="A34790" s="4" t="s">
        <v>43773</v>
      </c>
      <c r="B34790" s="4" t="s">
        <v>43774</v>
      </c>
      <c r="C34790" s="5" t="str">
        <f>IFERROR(__xludf.DUMMYFUNCTION("GOOGLETRANSLATE(B34790,""en"",""it"")"),"Un uomo si avvicina lentamente e toglie un po 'di attrezzatura dal muro mentre una musica drammatica suona.")</f>
        <v>Un uomo si avvicina lentamente e toglie un po 'di attrezzatura dal muro mentre una musica drammatica suona.</v>
      </c>
    </row>
    <row r="34791">
      <c r="A34791" s="4" t="s">
        <v>43773</v>
      </c>
      <c r="B34791" s="4" t="s">
        <v>43775</v>
      </c>
      <c r="C34791" s="5" t="str">
        <f>IFERROR(__xludf.DUMMYFUNCTION("GOOGLETRANSLATE(B34791,""en"",""it"")"),"Imposta l'arco e ottiene le sue frecce.")</f>
        <v>Imposta l'arco e ottiene le sue frecce.</v>
      </c>
    </row>
    <row r="34792">
      <c r="A34792" s="4" t="s">
        <v>43773</v>
      </c>
      <c r="B34792" s="4" t="s">
        <v>43776</v>
      </c>
      <c r="C34792" s="5" t="str">
        <f>IFERROR(__xludf.DUMMYFUNCTION("GOOGLETRANSLATE(B34792,""en"",""it"")"),"Successivamente lo vediamo all'aperto mentre attraversa un po 'di erba verso un bersaglio.")</f>
        <v>Successivamente lo vediamo all'aperto mentre attraversa un po 'di erba verso un bersaglio.</v>
      </c>
    </row>
    <row r="34793">
      <c r="A34793" s="4" t="s">
        <v>43773</v>
      </c>
      <c r="B34793" s="4" t="s">
        <v>43777</v>
      </c>
      <c r="C34793" s="5" t="str">
        <f>IFERROR(__xludf.DUMMYFUNCTION("GOOGLETRANSLATE(B34793,""en"",""it"")"),"Tira fuori una freccia e se la mette in prua.")</f>
        <v>Tira fuori una freccia e se la mette in prua.</v>
      </c>
    </row>
    <row r="34794">
      <c r="A34794" s="4" t="s">
        <v>43773</v>
      </c>
      <c r="B34794" s="4" t="s">
        <v>43778</v>
      </c>
      <c r="C34794" s="5" t="str">
        <f>IFERROR(__xludf.DUMMYFUNCTION("GOOGLETRANSLATE(B34794,""en"",""it"")"),"Dopo alcuni tentativi, ha un occhio di toro.")</f>
        <v>Dopo alcuni tentativi, ha un occhio di toro.</v>
      </c>
    </row>
    <row r="34795">
      <c r="A34795" s="4" t="s">
        <v>43773</v>
      </c>
      <c r="B34795" s="4" t="s">
        <v>43779</v>
      </c>
      <c r="C34795" s="5" t="str">
        <f>IFERROR(__xludf.DUMMYFUNCTION("GOOGLETRANSLATE(B34795,""en"",""it"")"),"Mette il suo arco e le frecce su una piattaforma di legno.")</f>
        <v>Mette il suo arco e le frecce su una piattaforma di legno.</v>
      </c>
    </row>
    <row r="34796">
      <c r="A34796" s="4" t="s">
        <v>43780</v>
      </c>
      <c r="B34796" s="4" t="s">
        <v>43781</v>
      </c>
      <c r="C34796" s="5" t="str">
        <f>IFERROR(__xludf.DUMMYFUNCTION("GOOGLETRANSLATE(B34796,""en"",""it"")"),"Quattro persone giocano a un tavolo da calcio in casa.")</f>
        <v>Quattro persone giocano a un tavolo da calcio in casa.</v>
      </c>
    </row>
    <row r="34797">
      <c r="A34797" s="4" t="s">
        <v>43780</v>
      </c>
      <c r="B34797" s="4" t="s">
        <v>43782</v>
      </c>
      <c r="C34797" s="5" t="str">
        <f>IFERROR(__xludf.DUMMYFUNCTION("GOOGLETRANSLATE(B34797,""en"",""it"")"),"Un uomo mostra una palla su un bastone e dimostra il movimento della palla sul tavolo del calcio.")</f>
        <v>Un uomo mostra una palla su un bastone e dimostra il movimento della palla sul tavolo del calcio.</v>
      </c>
    </row>
    <row r="34798">
      <c r="A34798" s="4" t="s">
        <v>43780</v>
      </c>
      <c r="B34798" s="4" t="s">
        <v>43783</v>
      </c>
      <c r="C34798" s="5" t="str">
        <f>IFERROR(__xludf.DUMMYFUNCTION("GOOGLETRANSLATE(B34798,""en"",""it"")"),"Quindi l'uomo mostra la palla ai giocatori e uno di loro afferra la palla e altri giocano.")</f>
        <v>Quindi l'uomo mostra la palla ai giocatori e uno di loro afferra la palla e altri giocano.</v>
      </c>
    </row>
    <row r="34799">
      <c r="A34799" s="4" t="s">
        <v>43784</v>
      </c>
      <c r="B34799" s="4" t="s">
        <v>43785</v>
      </c>
      <c r="C34799" s="5" t="str">
        <f>IFERROR(__xludf.DUMMYFUNCTION("GOOGLETRANSLATE(B34799,""en"",""it"")"),"Un uomo viene visto seduto su una panchina con altri asciugarsi l'orecchio con più pulito.")</f>
        <v>Un uomo viene visto seduto su una panchina con altri asciugarsi l'orecchio con più pulito.</v>
      </c>
    </row>
    <row r="34800">
      <c r="A34800" s="4" t="s">
        <v>43784</v>
      </c>
      <c r="B34800" s="4" t="s">
        <v>43786</v>
      </c>
      <c r="C34800" s="5" t="str">
        <f>IFERROR(__xludf.DUMMYFUNCTION("GOOGLETRANSLATE(B34800,""en"",""it"")"),"L'uomo guarda il suo telefono mentre il suo altro inizia poi per perforargli le orecchie.")</f>
        <v>L'uomo guarda il suo telefono mentre il suo altro inizia poi per perforargli le orecchie.</v>
      </c>
    </row>
    <row r="34801">
      <c r="A34801" s="4" t="s">
        <v>43784</v>
      </c>
      <c r="B34801" s="4" t="s">
        <v>43787</v>
      </c>
      <c r="C34801" s="5" t="str">
        <f>IFERROR(__xludf.DUMMYFUNCTION("GOOGLETRANSLATE(B34801,""en"",""it"")"),"L'uomo mette un orecchino in ogni buca mentre parlava ancora con l'uomo e si spinge via.")</f>
        <v>L'uomo mette un orecchino in ogni buca mentre parlava ancora con l'uomo e si spinge via.</v>
      </c>
    </row>
    <row r="34802">
      <c r="A34802" s="4" t="s">
        <v>43788</v>
      </c>
      <c r="B34802" s="4" t="s">
        <v>43789</v>
      </c>
      <c r="C34802" s="5" t="str">
        <f>IFERROR(__xludf.DUMMYFUNCTION("GOOGLETRANSLATE(B34802,""en"",""it"")"),"Un uomo festeggia con le braccia in aria.")</f>
        <v>Un uomo festeggia con le braccia in aria.</v>
      </c>
    </row>
    <row r="34803">
      <c r="A34803" s="4" t="s">
        <v>43788</v>
      </c>
      <c r="B34803" s="4" t="s">
        <v>43790</v>
      </c>
      <c r="C34803" s="5" t="str">
        <f>IFERROR(__xludf.DUMMYFUNCTION("GOOGLETRANSLATE(B34803,""en"",""it"")"),"Viene mostrato girare su un campo.")</f>
        <v>Viene mostrato girare su un campo.</v>
      </c>
    </row>
    <row r="34804">
      <c r="A34804" s="4" t="s">
        <v>43788</v>
      </c>
      <c r="B34804" s="4" t="s">
        <v>43791</v>
      </c>
      <c r="C34804" s="5" t="str">
        <f>IFERROR(__xludf.DUMMYFUNCTION("GOOGLETRANSLATE(B34804,""en"",""it"")"),"Quindi lancia la palla lontano e viene misurata.")</f>
        <v>Quindi lancia la palla lontano e viene misurata.</v>
      </c>
    </row>
    <row r="34805">
      <c r="A34805" s="4" t="s">
        <v>43792</v>
      </c>
      <c r="B34805" s="4" t="s">
        <v>43793</v>
      </c>
      <c r="C34805" s="5" t="str">
        <f>IFERROR(__xludf.DUMMYFUNCTION("GOOGLETRANSLATE(B34805,""en"",""it"")"),"Una femmina di mezza età parla di un prodotto per la pulizia.")</f>
        <v>Una femmina di mezza età parla di un prodotto per la pulizia.</v>
      </c>
    </row>
    <row r="34806">
      <c r="A34806" s="4" t="s">
        <v>43792</v>
      </c>
      <c r="B34806" s="4" t="s">
        <v>43794</v>
      </c>
      <c r="C34806" s="5" t="str">
        <f>IFERROR(__xludf.DUMMYFUNCTION("GOOGLETRANSLATE(B34806,""en"",""it"")"),"La femmina apre un contenitore di più pulito e lo mette su uno straccio.")</f>
        <v>La femmina apre un contenitore di più pulito e lo mette su uno straccio.</v>
      </c>
    </row>
    <row r="34807">
      <c r="A34807" s="4" t="s">
        <v>43792</v>
      </c>
      <c r="B34807" s="4" t="s">
        <v>43795</v>
      </c>
      <c r="C34807" s="5" t="str">
        <f>IFERROR(__xludf.DUMMYFUNCTION("GOOGLETRANSLATE(B34807,""en"",""it"")"),"La femmina usa quindi lo straccio per strofinare l'interno del lavandino.")</f>
        <v>La femmina usa quindi lo straccio per strofinare l'interno del lavandino.</v>
      </c>
    </row>
    <row r="34808">
      <c r="A34808" s="4" t="s">
        <v>43792</v>
      </c>
      <c r="B34808" s="4" t="s">
        <v>43796</v>
      </c>
      <c r="C34808" s="5" t="str">
        <f>IFERROR(__xludf.DUMMYFUNCTION("GOOGLETRANSLATE(B34808,""en"",""it"")"),"La stessa femmina usa quindi uno straccio diverso per strofinare la superficie del lavandino.")</f>
        <v>La stessa femmina usa quindi uno straccio diverso per strofinare la superficie del lavandino.</v>
      </c>
    </row>
    <row r="34809">
      <c r="A34809" s="4" t="s">
        <v>43792</v>
      </c>
      <c r="B34809" s="4" t="s">
        <v>43797</v>
      </c>
      <c r="C34809" s="5" t="str">
        <f>IFERROR(__xludf.DUMMYFUNCTION("GOOGLETRANSLATE(B34809,""en"",""it"")"),"La femmina mette più detergente sullo straccio e pulisce il bancone.")</f>
        <v>La femmina mette più detergente sullo straccio e pulisce il bancone.</v>
      </c>
    </row>
    <row r="34810">
      <c r="A34810" s="4" t="s">
        <v>43798</v>
      </c>
      <c r="B34810" s="6" t="s">
        <v>43799</v>
      </c>
      <c r="C34810" s="5" t="str">
        <f>IFERROR(__xludf.DUMMYFUNCTION("GOOGLETRANSLATE(B34810,""en"",""it"")"),"Viene visto un uomo parlare alla telecamera e conduce in lui presentano vari oggetti e affila un coltello su una tavola.")</f>
        <v>Viene visto un uomo parlare alla telecamera e conduce in lui presentano vari oggetti e affila un coltello su una tavola.</v>
      </c>
    </row>
    <row r="34811">
      <c r="A34811" s="4" t="s">
        <v>43798</v>
      </c>
      <c r="B34811" s="6" t="s">
        <v>43800</v>
      </c>
      <c r="C34811" s="5" t="str">
        <f>IFERROR(__xludf.DUMMYFUNCTION("GOOGLETRANSLATE(B34811,""en"",""it"")"),"L'uomo dimostra come affinare correttamente il coltello usando gli strumenti e le mani continuando a affilare il coltello sul tabellone.")</f>
        <v>L'uomo dimostra come affinare correttamente il coltello usando gli strumenti e le mani continuando a affilare il coltello sul tabellone.</v>
      </c>
    </row>
    <row r="34812">
      <c r="A34812" s="4" t="s">
        <v>43801</v>
      </c>
      <c r="B34812" s="4" t="s">
        <v>43802</v>
      </c>
      <c r="C34812" s="5" t="str">
        <f>IFERROR(__xludf.DUMMYFUNCTION("GOOGLETRANSLATE(B34812,""en"",""it"")"),"Una donna parla e mostra una piccola bottiglia.")</f>
        <v>Una donna parla e mostra una piccola bottiglia.</v>
      </c>
    </row>
    <row r="34813">
      <c r="A34813" s="4" t="s">
        <v>43801</v>
      </c>
      <c r="B34813" s="4" t="s">
        <v>43803</v>
      </c>
      <c r="C34813" s="5" t="str">
        <f>IFERROR(__xludf.DUMMYFUNCTION("GOOGLETRANSLATE(B34813,""en"",""it"")"),"Quindi, la donna si mette gli occhi lenti a contatto bianco e continua a spiegare.")</f>
        <v>Quindi, la donna si mette gli occhi lenti a contatto bianco e continua a spiegare.</v>
      </c>
    </row>
    <row r="34814">
      <c r="A34814" s="4" t="s">
        <v>43804</v>
      </c>
      <c r="B34814" s="4" t="s">
        <v>43805</v>
      </c>
      <c r="C34814" s="5" t="str">
        <f>IFERROR(__xludf.DUMMYFUNCTION("GOOGLETRANSLATE(B34814,""en"",""it"")"),"Un paio di giocattoli stanno lottando su un tavolo accanto a una pila di DVD.")</f>
        <v>Un paio di giocattoli stanno lottando su un tavolo accanto a una pila di DVD.</v>
      </c>
    </row>
    <row r="34815">
      <c r="A34815" s="4" t="s">
        <v>43804</v>
      </c>
      <c r="B34815" s="4" t="s">
        <v>43806</v>
      </c>
      <c r="C34815" s="5" t="str">
        <f>IFERROR(__xludf.DUMMYFUNCTION("GOOGLETRANSLATE(B34815,""en"",""it"")"),"Si prendono a calci e si spingono a vicenda.")</f>
        <v>Si prendono a calci e si spingono a vicenda.</v>
      </c>
    </row>
    <row r="34816">
      <c r="A34816" s="4" t="s">
        <v>43804</v>
      </c>
      <c r="B34816" s="4" t="s">
        <v>43807</v>
      </c>
      <c r="C34816" s="5" t="str">
        <f>IFERROR(__xludf.DUMMYFUNCTION("GOOGLETRANSLATE(B34816,""en"",""it"")"),"Viene mostrato uno schermo di stelle in un cielo nero.")</f>
        <v>Viene mostrato uno schermo di stelle in un cielo nero.</v>
      </c>
    </row>
    <row r="34817">
      <c r="A34817" s="4" t="s">
        <v>43808</v>
      </c>
      <c r="B34817" s="4" t="s">
        <v>43809</v>
      </c>
      <c r="C34817" s="5" t="str">
        <f>IFERROR(__xludf.DUMMYFUNCTION("GOOGLETRANSLATE(B34817,""en"",""it"")"),"Un vitello e un cavallo corrono fuori da un cancello.")</f>
        <v>Un vitello e un cavallo corrono fuori da un cancello.</v>
      </c>
    </row>
    <row r="34818">
      <c r="A34818" s="4" t="s">
        <v>43808</v>
      </c>
      <c r="B34818" s="4" t="s">
        <v>43810</v>
      </c>
      <c r="C34818" s="5" t="str">
        <f>IFERROR(__xludf.DUMMYFUNCTION("GOOGLETRANSLATE(B34818,""en"",""it"")"),"L'uomo cattura il vitello e lo lega.")</f>
        <v>L'uomo cattura il vitello e lo lega.</v>
      </c>
    </row>
    <row r="34819">
      <c r="A34819" s="4" t="s">
        <v>43811</v>
      </c>
      <c r="B34819" s="6" t="s">
        <v>43812</v>
      </c>
      <c r="C34819" s="5" t="str">
        <f>IFERROR(__xludf.DUMMYFUNCTION("GOOGLETRANSLATE(B34819,""en"",""it"")"),"Un uomo che indossa una camicia nera dimostra come lucidare il legno e altre superfici con smalto liquido e un panno morbido bianco.")</f>
        <v>Un uomo che indossa una camicia nera dimostra come lucidare il legno e altre superfici con smalto liquido e un panno morbido bianco.</v>
      </c>
    </row>
    <row r="34820">
      <c r="A34820" s="4" t="s">
        <v>43811</v>
      </c>
      <c r="B34820" s="6" t="s">
        <v>43813</v>
      </c>
      <c r="C34820" s="5" t="str">
        <f>IFERROR(__xludf.DUMMYFUNCTION("GOOGLETRANSLATE(B34820,""en"",""it"")"),"Versa un po 'di smalto dalla bottiglia sul panno e lo usa per strofinare delicatamente la pubblicità su mobili e tavolo.")</f>
        <v>Versa un po 'di smalto dalla bottiglia sul panno e lo usa per strofinare delicatamente la pubblicità su mobili e tavolo.</v>
      </c>
    </row>
    <row r="34821">
      <c r="A34821" s="4" t="s">
        <v>43811</v>
      </c>
      <c r="B34821" s="4" t="s">
        <v>43814</v>
      </c>
      <c r="C34821" s="5" t="str">
        <f>IFERROR(__xludf.DUMMYFUNCTION("GOOGLETRANSLATE(B34821,""en"",""it"")"),"Lo usa su varie superfici per pulire e lucidare le superfici di legno, vinile e pelle.")</f>
        <v>Lo usa su varie superfici per pulire e lucidare le superfici di legno, vinile e pelle.</v>
      </c>
    </row>
    <row r="34822">
      <c r="A34822" s="4" t="s">
        <v>43815</v>
      </c>
      <c r="B34822" s="4" t="s">
        <v>43816</v>
      </c>
      <c r="C34822" s="5" t="str">
        <f>IFERROR(__xludf.DUMMYFUNCTION("GOOGLETRANSLATE(B34822,""en"",""it"")"),"I bambini sono raccolti attorno a un tavolo di legno in cucina.")</f>
        <v>I bambini sono raccolti attorno a un tavolo di legno in cucina.</v>
      </c>
    </row>
    <row r="34823">
      <c r="A34823" s="4" t="s">
        <v>43815</v>
      </c>
      <c r="B34823" s="4" t="s">
        <v>43817</v>
      </c>
      <c r="C34823" s="5" t="str">
        <f>IFERROR(__xludf.DUMMYFUNCTION("GOOGLETRANSLATE(B34823,""en"",""it"")"),"La donna sta tagliando le arance e lo mostra ai bambini e lo stringe in un bicchiere nel tavolo.")</f>
        <v>La donna sta tagliando le arance e lo mostra ai bambini e lo stringe in un bicchiere nel tavolo.</v>
      </c>
    </row>
    <row r="34824">
      <c r="A34824" s="4" t="s">
        <v>43818</v>
      </c>
      <c r="B34824" s="4" t="s">
        <v>43819</v>
      </c>
      <c r="C34824" s="5" t="str">
        <f>IFERROR(__xludf.DUMMYFUNCTION("GOOGLETRANSLATE(B34824,""en"",""it"")"),"Un uomo fa diversi ribaltamenti su una stuoia rossa.")</f>
        <v>Un uomo fa diversi ribaltamenti su una stuoia rossa.</v>
      </c>
    </row>
    <row r="34825">
      <c r="A34825" s="4" t="s">
        <v>43818</v>
      </c>
      <c r="B34825" s="4" t="s">
        <v>43820</v>
      </c>
      <c r="C34825" s="5" t="str">
        <f>IFERROR(__xludf.DUMMYFUNCTION("GOOGLETRANSLATE(B34825,""en"",""it"")"),"Una donna con una camicia nera lo guarda passare e si aggrappa.")</f>
        <v>Una donna con una camicia nera lo guarda passare e si aggrappa.</v>
      </c>
    </row>
    <row r="34826">
      <c r="A34826" s="4" t="s">
        <v>43818</v>
      </c>
      <c r="B34826" s="4" t="s">
        <v>43821</v>
      </c>
      <c r="C34826" s="5" t="str">
        <f>IFERROR(__xludf.DUMMYFUNCTION("GOOGLETRANSLATE(B34826,""en"",""it"")"),"Si alza e si allontana.")</f>
        <v>Si alza e si allontana.</v>
      </c>
    </row>
    <row r="34827">
      <c r="A34827" s="4" t="s">
        <v>43822</v>
      </c>
      <c r="B34827" s="4" t="s">
        <v>43823</v>
      </c>
      <c r="C34827" s="5" t="str">
        <f>IFERROR(__xludf.DUMMYFUNCTION("GOOGLETRANSLATE(B34827,""en"",""it"")"),"Vari testo sono mostrati sullo schermo che porta a un uomo che ospita un segmento di notizie.")</f>
        <v>Vari testo sono mostrati sullo schermo che porta a un uomo che ospita un segmento di notizie.</v>
      </c>
    </row>
    <row r="34828">
      <c r="A34828" s="4" t="s">
        <v>43822</v>
      </c>
      <c r="B34828" s="4" t="s">
        <v>43824</v>
      </c>
      <c r="C34828" s="5" t="str">
        <f>IFERROR(__xludf.DUMMYFUNCTION("GOOGLETRANSLATE(B34828,""en"",""it"")"),"Un atleta viene quindi visto girare in cerchio e gettare un oggetto in lontananza.")</f>
        <v>Un atleta viene quindi visto girare in cerchio e gettare un oggetto in lontananza.</v>
      </c>
    </row>
    <row r="34829">
      <c r="A34829" s="4" t="s">
        <v>43822</v>
      </c>
      <c r="B34829" s="4" t="s">
        <v>43825</v>
      </c>
      <c r="C34829" s="5" t="str">
        <f>IFERROR(__xludf.DUMMYFUNCTION("GOOGLETRANSLATE(B34829,""en"",""it"")"),"Più testo viene mostrato sullo schermo.")</f>
        <v>Più testo viene mostrato sullo schermo.</v>
      </c>
    </row>
    <row r="34830">
      <c r="A34830" s="4" t="s">
        <v>43826</v>
      </c>
      <c r="B34830" s="4" t="s">
        <v>43827</v>
      </c>
      <c r="C34830" s="5" t="str">
        <f>IFERROR(__xludf.DUMMYFUNCTION("GOOGLETRANSLATE(B34830,""en"",""it"")"),"Un canale mostra alcuni video interessanti e incredibili.")</f>
        <v>Un canale mostra alcuni video interessanti e incredibili.</v>
      </c>
    </row>
    <row r="34831">
      <c r="A34831" s="4" t="s">
        <v>43826</v>
      </c>
      <c r="B34831" s="6" t="s">
        <v>43828</v>
      </c>
      <c r="C34831" s="5" t="str">
        <f>IFERROR(__xludf.DUMMYFUNCTION("GOOGLETRANSLATE(B34831,""en"",""it"")"),"Un ragazzo è seduto all'aperto su una panca di legno e battendo su un tamburo fatto da piastre in acciaio, lattine e vasi.")</f>
        <v>Un ragazzo è seduto all'aperto su una panca di legno e battendo su un tamburo fatto da piastre in acciaio, lattine e vasi.</v>
      </c>
    </row>
    <row r="34832">
      <c r="A34832" s="4" t="s">
        <v>43826</v>
      </c>
      <c r="B34832" s="4" t="s">
        <v>43829</v>
      </c>
      <c r="C34832" s="5" t="str">
        <f>IFERROR(__xludf.DUMMYFUNCTION("GOOGLETRANSLATE(B34832,""en"",""it"")"),"Un uomo lo passò davanti mentre il ragazzo stava battendo rumorosamente.")</f>
        <v>Un uomo lo passò davanti mentre il ragazzo stava battendo rumorosamente.</v>
      </c>
    </row>
    <row r="34833">
      <c r="A34833" s="4" t="s">
        <v>43826</v>
      </c>
      <c r="B34833" s="4" t="s">
        <v>43830</v>
      </c>
      <c r="C34833" s="5" t="str">
        <f>IFERROR(__xludf.DUMMYFUNCTION("GOOGLETRANSLATE(B34833,""en"",""it"")"),"Continua a tamburo sul set di batteria fatto a mano ritmicamente.")</f>
        <v>Continua a tamburo sul set di batteria fatto a mano ritmicamente.</v>
      </c>
    </row>
    <row r="34834">
      <c r="A34834" s="4" t="s">
        <v>43826</v>
      </c>
      <c r="B34834" s="4" t="s">
        <v>43831</v>
      </c>
      <c r="C34834" s="5" t="str">
        <f>IFERROR(__xludf.DUMMYFUNCTION("GOOGLETRANSLATE(B34834,""en"",""it"")"),"Gioca in modo veloce senza fermarsi.")</f>
        <v>Gioca in modo veloce senza fermarsi.</v>
      </c>
    </row>
    <row r="34835">
      <c r="A34835" s="4" t="s">
        <v>43826</v>
      </c>
      <c r="B34835" s="4" t="s">
        <v>43832</v>
      </c>
      <c r="C34835" s="5" t="str">
        <f>IFERROR(__xludf.DUMMYFUNCTION("GOOGLETRANSLATE(B34835,""en"",""it"")"),"Lo schermo mostra i dettagli su come iscriversi al canale.")</f>
        <v>Lo schermo mostra i dettagli su come iscriversi al canale.</v>
      </c>
    </row>
    <row r="34836">
      <c r="A34836" s="4" t="s">
        <v>43833</v>
      </c>
      <c r="B34836" s="6" t="s">
        <v>43834</v>
      </c>
      <c r="C34836" s="5" t="str">
        <f>IFERROR(__xludf.DUMMYFUNCTION("GOOGLETRANSLATE(B34836,""en"",""it"")"),"Un video di compilation/tributo per un disco ungherese che lancia Olympian inizia con alcune foto di lui in azione.")</f>
        <v>Un video di compilation/tributo per un disco ungherese che lancia Olympian inizia con alcune foto di lui in azione.</v>
      </c>
    </row>
    <row r="34837">
      <c r="A34837" s="4" t="s">
        <v>43833</v>
      </c>
      <c r="B34837" s="4" t="s">
        <v>43835</v>
      </c>
      <c r="C34837" s="5" t="str">
        <f>IFERROR(__xludf.DUMMYFUNCTION("GOOGLETRANSLATE(B34837,""en"",""it"")"),"Un tentativo con lui che gira rapidamente inizia e il disco lancia.")</f>
        <v>Un tentativo con lui che gira rapidamente inizia e il disco lancia.</v>
      </c>
    </row>
    <row r="34838">
      <c r="A34838" s="4" t="s">
        <v>43833</v>
      </c>
      <c r="B34838" s="4" t="s">
        <v>43836</v>
      </c>
      <c r="C34838" s="5" t="str">
        <f>IFERROR(__xludf.DUMMYFUNCTION("GOOGLETRANSLATE(B34838,""en"",""it"")"),"Altre foto giocano, mostrando il concorrente in diverse posizioni.")</f>
        <v>Altre foto giocano, mostrando il concorrente in diverse posizioni.</v>
      </c>
    </row>
    <row r="34839">
      <c r="A34839" s="4" t="s">
        <v>43833</v>
      </c>
      <c r="B34839" s="4" t="s">
        <v>43837</v>
      </c>
      <c r="C34839" s="5" t="str">
        <f>IFERROR(__xludf.DUMMYFUNCTION("GOOGLETRANSLATE(B34839,""en"",""it"")"),"Due tentativi consecutivi che presentano un potente risultato del Discus che vola lontano entrambe le volte.")</f>
        <v>Due tentativi consecutivi che presentano un potente risultato del Discus che vola lontano entrambe le volte.</v>
      </c>
    </row>
    <row r="34840">
      <c r="A34840" s="4" t="s">
        <v>43833</v>
      </c>
      <c r="B34840" s="4" t="s">
        <v>43838</v>
      </c>
      <c r="C34840" s="5" t="str">
        <f>IFERROR(__xludf.DUMMYFUNCTION("GOOGLETRANSLATE(B34840,""en"",""it"")"),"Questo è seguito da altre foto.")</f>
        <v>Questo è seguito da altre foto.</v>
      </c>
    </row>
    <row r="34841">
      <c r="A34841" s="4" t="s">
        <v>43833</v>
      </c>
      <c r="B34841" s="4" t="s">
        <v>43839</v>
      </c>
      <c r="C34841" s="5" t="str">
        <f>IFERROR(__xludf.DUMMYFUNCTION("GOOGLETRANSLATE(B34841,""en"",""it"")"),"Un altro tentativo suona, seguito da un'altra lista di foto.")</f>
        <v>Un altro tentativo suona, seguito da un'altra lista di foto.</v>
      </c>
    </row>
    <row r="34842">
      <c r="A34842" s="4" t="s">
        <v>43833</v>
      </c>
      <c r="B34842" s="6" t="s">
        <v>43840</v>
      </c>
      <c r="C34842" s="5" t="str">
        <f>IFERROR(__xludf.DUMMYFUNCTION("GOOGLETRANSLATE(B34842,""en"",""it"")"),"Il prossimo tentativo si verifica davanti a una grande rete verde, il discus viene lanciato come un razzo e il lanciatore celebra.")</f>
        <v>Il prossimo tentativo si verifica davanti a una grande rete verde, il discus viene lanciato come un razzo e il lanciatore celebra.</v>
      </c>
    </row>
    <row r="34843">
      <c r="A34843" s="4" t="s">
        <v>43833</v>
      </c>
      <c r="B34843" s="4" t="s">
        <v>43841</v>
      </c>
      <c r="C34843" s="5" t="str">
        <f>IFERROR(__xludf.DUMMYFUNCTION("GOOGLETRANSLATE(B34843,""en"",""it"")"),"Un'altra serie di foto chiudono il montaggio.")</f>
        <v>Un'altra serie di foto chiudono il montaggio.</v>
      </c>
    </row>
    <row r="34844">
      <c r="A34844" s="4" t="s">
        <v>43842</v>
      </c>
      <c r="B34844" s="6" t="s">
        <v>43843</v>
      </c>
      <c r="C34844" s="5" t="str">
        <f>IFERROR(__xludf.DUMMYFUNCTION("GOOGLETRANSLATE(B34844,""en"",""it"")"),"Un uomo è in piedi in un cortile di erba verde e viene mostrato falciare il prato e quando ha fatto c'è un breve scambio di una mano che gli consegna una banconota da un dollaro.")</f>
        <v>Un uomo è in piedi in un cortile di erba verde e viene mostrato falciare il prato e quando ha fatto c'è un breve scambio di una mano che gli consegna una banconota da un dollaro.</v>
      </c>
    </row>
    <row r="34845">
      <c r="A34845" s="4" t="s">
        <v>43842</v>
      </c>
      <c r="B34845" s="6" t="s">
        <v>43844</v>
      </c>
      <c r="C34845" s="5" t="str">
        <f>IFERROR(__xludf.DUMMYFUNCTION("GOOGLETRANSLATE(B34845,""en"",""it"")"),"All'uomo viene quindi mostrato di muovere di nuovo l'erba e quando ha finito è di nuovo in casa e questa volta fa consegnare tre banconote da un dollaro.")</f>
        <v>All'uomo viene quindi mostrato di muovere di nuovo l'erba e quando ha finito è di nuovo in casa e questa volta fa consegnare tre banconote da un dollaro.</v>
      </c>
    </row>
    <row r="34846">
      <c r="A34846" s="4" t="s">
        <v>43842</v>
      </c>
      <c r="B34846" s="6" t="s">
        <v>43845</v>
      </c>
      <c r="C34846" s="5" t="str">
        <f>IFERROR(__xludf.DUMMYFUNCTION("GOOGLETRANSLATE(B34846,""en"",""it"")"),"È di nuovo di nuovo nel cortile, ma questa volta ha il contenitore pieno di erba tagliata e un effetto speciale fa sembrare che l'erba tagliata salti nel suo contenitore.")</f>
        <v>È di nuovo di nuovo nel cortile, ma questa volta ha il contenitore pieno di erba tagliata e un effetto speciale fa sembrare che l'erba tagliata salti nel suo contenitore.</v>
      </c>
    </row>
    <row r="34847">
      <c r="A34847" s="4" t="s">
        <v>43842</v>
      </c>
      <c r="B34847" s="6" t="s">
        <v>43846</v>
      </c>
      <c r="C34847" s="5" t="str">
        <f>IFERROR(__xludf.DUMMYFUNCTION("GOOGLETRANSLATE(B34847,""en"",""it"")"),"Un effetto speciale mostra l'uomo rapidamente in un posto e poi in un altro punto che varia molto in tutto il cortile.")</f>
        <v>Un effetto speciale mostra l'uomo rapidamente in un posto e poi in un altro punto che varia molto in tutto il cortile.</v>
      </c>
    </row>
    <row r="34848">
      <c r="A34848" s="4" t="s">
        <v>43842</v>
      </c>
      <c r="B34848" s="6" t="s">
        <v>43847</v>
      </c>
      <c r="C34848" s="5" t="str">
        <f>IFERROR(__xludf.DUMMYFUNCTION("GOOGLETRANSLATE(B34848,""en"",""it"")"),"L'uomo torna a falciare il cortile e poi di nuovo in casa per fargli consegnare un altro dollaro.")</f>
        <v>L'uomo torna a falciare il cortile e poi di nuovo in casa per fargli consegnare un altro dollaro.</v>
      </c>
    </row>
    <row r="34849">
      <c r="A34849" s="4" t="s">
        <v>43842</v>
      </c>
      <c r="B34849" s="6" t="s">
        <v>43848</v>
      </c>
      <c r="C34849" s="5" t="str">
        <f>IFERROR(__xludf.DUMMYFUNCTION("GOOGLETRANSLATE(B34849,""en"",""it"")"),"L'uomo è molto felice per questo ed è tornato nel cortile che celebra saltando e falciando un po 'di più il cortile.")</f>
        <v>L'uomo è molto felice per questo ed è tornato nel cortile che celebra saltando e falciando un po 'di più il cortile.</v>
      </c>
    </row>
    <row r="34850">
      <c r="A34850" s="4" t="s">
        <v>43842</v>
      </c>
      <c r="B34850" s="6" t="s">
        <v>43849</v>
      </c>
      <c r="C34850" s="5" t="str">
        <f>IFERROR(__xludf.DUMMYFUNCTION("GOOGLETRANSLATE(B34850,""en"",""it"")"),"L'uomo è quindi tornato in casa e un effetto speciale mostra un mucchio di soldi che volano in aria e dritta nelle sue mani e finisce con l'uomo che tiene in mano un sacco di soldi mentre si muovono.")</f>
        <v>L'uomo è quindi tornato in casa e un effetto speciale mostra un mucchio di soldi che volano in aria e dritta nelle sue mani e finisce con l'uomo che tiene in mano un sacco di soldi mentre si muovono.</v>
      </c>
    </row>
    <row r="34851">
      <c r="A34851" s="4" t="s">
        <v>43850</v>
      </c>
      <c r="B34851" s="4" t="s">
        <v>43851</v>
      </c>
      <c r="C34851" s="5" t="str">
        <f>IFERROR(__xludf.DUMMYFUNCTION("GOOGLETRANSLATE(B34851,""en"",""it"")"),"Vediamo un uomo che parla in una nave da bici.")</f>
        <v>Vediamo un uomo che parla in una nave da bici.</v>
      </c>
    </row>
    <row r="34852">
      <c r="A34852" s="4" t="s">
        <v>43850</v>
      </c>
      <c r="B34852" s="4" t="s">
        <v>43852</v>
      </c>
      <c r="C34852" s="5" t="str">
        <f>IFERROR(__xludf.DUMMYFUNCTION("GOOGLETRANSLATE(B34852,""en"",""it"")"),"L'uomo indica una bici.")</f>
        <v>L'uomo indica una bici.</v>
      </c>
    </row>
    <row r="34853">
      <c r="A34853" s="4" t="s">
        <v>43850</v>
      </c>
      <c r="B34853" s="4" t="s">
        <v>43853</v>
      </c>
      <c r="C34853" s="5" t="str">
        <f>IFERROR(__xludf.DUMMYFUNCTION("GOOGLETRANSLATE(B34853,""en"",""it"")"),"L'uomo si toglie il manubrio su una bici e li regola.")</f>
        <v>L'uomo si toglie il manubrio su una bici e li regola.</v>
      </c>
    </row>
    <row r="34854">
      <c r="A34854" s="4" t="s">
        <v>43850</v>
      </c>
      <c r="B34854" s="4" t="s">
        <v>43854</v>
      </c>
      <c r="C34854" s="5" t="str">
        <f>IFERROR(__xludf.DUMMYFUNCTION("GOOGLETRANSLATE(B34854,""en"",""it"")"),"L'uomo rimette il manubrio.")</f>
        <v>L'uomo rimette il manubrio.</v>
      </c>
    </row>
    <row r="34855">
      <c r="A34855" s="4" t="s">
        <v>43850</v>
      </c>
      <c r="B34855" s="4" t="s">
        <v>43855</v>
      </c>
      <c r="C34855" s="5" t="str">
        <f>IFERROR(__xludf.DUMMYFUNCTION("GOOGLETRANSLATE(B34855,""en"",""it"")"),"L'uomo si sposta sulla parte anteriore della bici per regolare il manubrio.")</f>
        <v>L'uomo si sposta sulla parte anteriore della bici per regolare il manubrio.</v>
      </c>
    </row>
    <row r="34856">
      <c r="A34856" s="4" t="s">
        <v>43850</v>
      </c>
      <c r="B34856" s="4" t="s">
        <v>43856</v>
      </c>
      <c r="C34856" s="5" t="str">
        <f>IFERROR(__xludf.DUMMYFUNCTION("GOOGLETRANSLATE(B34856,""en"",""it"")"),"L'uomo finisce quindi di stringere il bullone sul manubrio.")</f>
        <v>L'uomo finisce quindi di stringere il bullone sul manubrio.</v>
      </c>
    </row>
    <row r="34857">
      <c r="A34857" s="4" t="s">
        <v>43850</v>
      </c>
      <c r="B34857" s="4" t="s">
        <v>43857</v>
      </c>
      <c r="C34857" s="5" t="str">
        <f>IFERROR(__xludf.DUMMYFUNCTION("GOOGLETRANSLATE(B34857,""en"",""it"")"),"L'uomo fa un passo indietro al termine.")</f>
        <v>L'uomo fa un passo indietro al termine.</v>
      </c>
    </row>
    <row r="34858">
      <c r="A34858" s="4" t="s">
        <v>43858</v>
      </c>
      <c r="B34858" s="4" t="s">
        <v>43859</v>
      </c>
      <c r="C34858" s="5" t="str">
        <f>IFERROR(__xludf.DUMMYFUNCTION("GOOGLETRANSLATE(B34858,""en"",""it"")"),"Due uomini parlano con la telecamera, intervallati da filmati d'azione che giocano a lacrosse.")</f>
        <v>Due uomini parlano con la telecamera, intervallati da filmati d'azione che giocano a lacrosse.</v>
      </c>
    </row>
    <row r="34859">
      <c r="A34859" s="4" t="s">
        <v>43858</v>
      </c>
      <c r="B34859" s="4" t="s">
        <v>43860</v>
      </c>
      <c r="C34859" s="5" t="str">
        <f>IFERROR(__xludf.DUMMYFUNCTION("GOOGLETRANSLATE(B34859,""en"",""it"")"),"L'uomo vestito con discorsi arancioni alla telecamera.")</f>
        <v>L'uomo vestito con discorsi arancioni alla telecamera.</v>
      </c>
    </row>
    <row r="34860">
      <c r="A34860" s="4" t="s">
        <v>43858</v>
      </c>
      <c r="B34860" s="4" t="s">
        <v>43861</v>
      </c>
      <c r="C34860" s="5" t="str">
        <f>IFERROR(__xludf.DUMMYFUNCTION("GOOGLETRANSLATE(B34860,""en"",""it"")"),"L'uomo in arancione dimostra il passaggio della palla di lacrosse contro il muro.")</f>
        <v>L'uomo in arancione dimostra il passaggio della palla di lacrosse contro il muro.</v>
      </c>
    </row>
    <row r="34861">
      <c r="A34861" s="4" t="s">
        <v>43858</v>
      </c>
      <c r="B34861" s="4" t="s">
        <v>43862</v>
      </c>
      <c r="C34861" s="5" t="str">
        <f>IFERROR(__xludf.DUMMYFUNCTION("GOOGLETRANSLATE(B34861,""en"",""it"")"),"L'uomo in arancione parla di nuovo con la telecamera.")</f>
        <v>L'uomo in arancione parla di nuovo con la telecamera.</v>
      </c>
    </row>
    <row r="34862">
      <c r="A34862" s="4" t="s">
        <v>43858</v>
      </c>
      <c r="B34862" s="4" t="s">
        <v>43863</v>
      </c>
      <c r="C34862" s="5" t="str">
        <f>IFERROR(__xludf.DUMMYFUNCTION("GOOGLETRANSLATE(B34862,""en"",""it"")"),"Entrambi gli uomini dimostrano di passare la palla di lacrosse contro il muro.")</f>
        <v>Entrambi gli uomini dimostrano di passare la palla di lacrosse contro il muro.</v>
      </c>
    </row>
    <row r="34863">
      <c r="A34863" s="4" t="s">
        <v>43858</v>
      </c>
      <c r="B34863" s="4" t="s">
        <v>43864</v>
      </c>
      <c r="C34863" s="5" t="str">
        <f>IFERROR(__xludf.DUMMYFUNCTION("GOOGLETRANSLATE(B34863,""en"",""it"")"),"L'uomo in arancione parla con la telecamera una terza volta mentre dimostra con il suo bastone di lacrosse.")</f>
        <v>L'uomo in arancione parla con la telecamera una terza volta mentre dimostra con il suo bastone di lacrosse.</v>
      </c>
    </row>
    <row r="34864">
      <c r="A34864" s="4" t="s">
        <v>43858</v>
      </c>
      <c r="B34864" s="4" t="s">
        <v>43865</v>
      </c>
      <c r="C34864" s="5" t="str">
        <f>IFERROR(__xludf.DUMMYFUNCTION("GOOGLETRANSLATE(B34864,""en"",""it"")"),"L'uomo viene brevemente interrotto da una scena di lui che passa la palla contro il muro.")</f>
        <v>L'uomo viene brevemente interrotto da una scena di lui che passa la palla contro il muro.</v>
      </c>
    </row>
    <row r="34865">
      <c r="A34865" s="4" t="s">
        <v>43858</v>
      </c>
      <c r="B34865" s="4" t="s">
        <v>43866</v>
      </c>
      <c r="C34865" s="5" t="str">
        <f>IFERROR(__xludf.DUMMYFUNCTION("GOOGLETRANSLATE(B34865,""en"",""it"")"),"I due uomini si esercitano passando la palla l'uno contro l'altro con il muro.")</f>
        <v>I due uomini si esercitano passando la palla l'uno contro l'altro con il muro.</v>
      </c>
    </row>
    <row r="34866">
      <c r="A34866" s="4" t="s">
        <v>43858</v>
      </c>
      <c r="B34866" s="4" t="s">
        <v>43867</v>
      </c>
      <c r="C34866" s="5" t="str">
        <f>IFERROR(__xludf.DUMMYFUNCTION("GOOGLETRANSLATE(B34866,""en"",""it"")"),"L'uomo in arancione parla con la fotocamera un'ultima volta.")</f>
        <v>L'uomo in arancione parla con la fotocamera un'ultima volta.</v>
      </c>
    </row>
    <row r="34867">
      <c r="A34867" s="4" t="s">
        <v>43868</v>
      </c>
      <c r="B34867" s="4" t="s">
        <v>43869</v>
      </c>
      <c r="C34867" s="5" t="str">
        <f>IFERROR(__xludf.DUMMYFUNCTION("GOOGLETRANSLATE(B34867,""en"",""it"")"),"Una donna viene vista sedersi su una corda mentre altri guardano intorno a lei.")</f>
        <v>Una donna viene vista sedersi su una corda mentre altri guardano intorno a lei.</v>
      </c>
    </row>
    <row r="34868">
      <c r="A34868" s="4" t="s">
        <v>43868</v>
      </c>
      <c r="B34868" s="4" t="s">
        <v>43870</v>
      </c>
      <c r="C34868" s="5" t="str">
        <f>IFERROR(__xludf.DUMMYFUNCTION("GOOGLETRANSLATE(B34868,""en"",""it"")"),"Viene mostrato un uomo che parla alla telecamera mentre altri prendono l'equilibrio della corda.")</f>
        <v>Viene mostrato un uomo che parla alla telecamera mentre altri prendono l'equilibrio della corda.</v>
      </c>
    </row>
    <row r="34869">
      <c r="A34869" s="4" t="s">
        <v>43868</v>
      </c>
      <c r="B34869" s="4" t="s">
        <v>43871</v>
      </c>
      <c r="C34869" s="5" t="str">
        <f>IFERROR(__xludf.DUMMYFUNCTION("GOOGLETRANSLATE(B34869,""en"",""it"")"),"Vengono mostrati altri colpi delle persone che camminano l'una verso l'altra.")</f>
        <v>Vengono mostrati altri colpi delle persone che camminano l'una verso l'altra.</v>
      </c>
    </row>
    <row r="34870">
      <c r="A34870" s="4" t="s">
        <v>43872</v>
      </c>
      <c r="B34870" s="4" t="s">
        <v>43873</v>
      </c>
      <c r="C34870" s="5" t="str">
        <f>IFERROR(__xludf.DUMMYFUNCTION("GOOGLETRANSLATE(B34870,""en"",""it"")"),"Una donna viene vista camminare fino a una porta e sorridere alla telecamera mentre si appenna il cappotto.")</f>
        <v>Una donna viene vista camminare fino a una porta e sorridere alla telecamera mentre si appenna il cappotto.</v>
      </c>
    </row>
    <row r="34871">
      <c r="A34871" s="4" t="s">
        <v>43872</v>
      </c>
      <c r="B34871" s="4" t="s">
        <v>43874</v>
      </c>
      <c r="C34871" s="5" t="str">
        <f>IFERROR(__xludf.DUMMYFUNCTION("GOOGLETRANSLATE(B34871,""en"",""it"")"),"Mette un grembiule e versa la vernice in un secchio mentre parla alla telecamera.")</f>
        <v>Mette un grembiule e versa la vernice in un secchio mentre parla alla telecamera.</v>
      </c>
    </row>
    <row r="34872">
      <c r="A34872" s="4" t="s">
        <v>43872</v>
      </c>
      <c r="B34872" s="4" t="s">
        <v>43875</v>
      </c>
      <c r="C34872" s="5" t="str">
        <f>IFERROR(__xludf.DUMMYFUNCTION("GOOGLETRANSLATE(B34872,""en"",""it"")"),"Viene mostrata dipingere vari mobili e mostrarlo alla fine.")</f>
        <v>Viene mostrata dipingere vari mobili e mostrarlo alla fine.</v>
      </c>
    </row>
    <row r="34873">
      <c r="A34873" s="4" t="s">
        <v>43876</v>
      </c>
      <c r="B34873" s="6" t="s">
        <v>43877</v>
      </c>
      <c r="C34873" s="5" t="str">
        <f>IFERROR(__xludf.DUMMYFUNCTION("GOOGLETRANSLATE(B34873,""en"",""it"")"),"Una donna viene vista seduta su una sedia mentre parla alla telecamera e conduce in un primo piano di un albero e la donna che mette gli ornamenti.")</f>
        <v>Una donna viene vista seduta su una sedia mentre parla alla telecamera e conduce in un primo piano di un albero e la donna che mette gli ornamenti.</v>
      </c>
    </row>
    <row r="34874">
      <c r="A34874" s="4" t="s">
        <v>43876</v>
      </c>
      <c r="B34874" s="6" t="s">
        <v>43878</v>
      </c>
      <c r="C34874" s="5" t="str">
        <f>IFERROR(__xludf.DUMMYFUNCTION("GOOGLETRANSLATE(B34874,""en"",""it"")"),"La donna lega lo spago lungo l'albero mentre la telecamera si muove e termina con lei che mostra il risultato finale e parla alla telecamera.")</f>
        <v>La donna lega lo spago lungo l'albero mentre la telecamera si muove e termina con lei che mostra il risultato finale e parla alla telecamera.</v>
      </c>
    </row>
    <row r="34875">
      <c r="A34875" s="4" t="s">
        <v>43879</v>
      </c>
      <c r="B34875" s="4" t="s">
        <v>43880</v>
      </c>
      <c r="C34875" s="5" t="str">
        <f>IFERROR(__xludf.DUMMYFUNCTION("GOOGLETRANSLATE(B34875,""en"",""it"")"),"Un ragazzo è seduto su una rampa con le alette sulla sua bici da terra in attesa di seguire il percorso.")</f>
        <v>Un ragazzo è seduto su una rampa con le alette sulla sua bici da terra in attesa di seguire il percorso.</v>
      </c>
    </row>
    <row r="34876">
      <c r="A34876" s="4" t="s">
        <v>43879</v>
      </c>
      <c r="B34876" s="6" t="s">
        <v>43881</v>
      </c>
      <c r="C34876" s="5" t="str">
        <f>IFERROR(__xludf.DUMMYFUNCTION("GOOGLETRANSLATE(B34876,""en"",""it"")"),"Il ragazzo poi torna e inizia a spostare i pedali sulla bicicletta e poi si alza sulla bici.")</f>
        <v>Il ragazzo poi torna e inizia a spostare i pedali sulla bicicletta e poi si alza sulla bici.</v>
      </c>
    </row>
    <row r="34877">
      <c r="A34877" s="4" t="s">
        <v>43879</v>
      </c>
      <c r="B34877" s="6" t="s">
        <v>43882</v>
      </c>
      <c r="C34877" s="5" t="str">
        <f>IFERROR(__xludf.DUMMYFUNCTION("GOOGLETRANSLATE(B34877,""en"",""it"")"),"Viene mostrato un altro angolo e le rampe vengono deluse e il ragazzo inizia a cavalcare il marciapiede.")</f>
        <v>Viene mostrato un altro angolo e le rampe vengono deluse e il ragazzo inizia a cavalcare il marciapiede.</v>
      </c>
    </row>
    <row r="34878">
      <c r="A34878" s="4" t="s">
        <v>43883</v>
      </c>
      <c r="B34878" s="4" t="s">
        <v>43884</v>
      </c>
      <c r="C34878" s="5" t="str">
        <f>IFERROR(__xludf.DUMMYFUNCTION("GOOGLETRANSLATE(B34878,""en"",""it"")"),"Un adolescente si siede su una sedia a parlare.")</f>
        <v>Un adolescente si siede su una sedia a parlare.</v>
      </c>
    </row>
    <row r="34879">
      <c r="A34879" s="4" t="s">
        <v>43883</v>
      </c>
      <c r="B34879" s="4" t="s">
        <v>43885</v>
      </c>
      <c r="C34879" s="5" t="str">
        <f>IFERROR(__xludf.DUMMYFUNCTION("GOOGLETRANSLATE(B34879,""en"",""it"")"),"Il ragazzo si alza e lo vediamo rimbalzare su una riga in varie località.")</f>
        <v>Il ragazzo si alza e lo vediamo rimbalzare su una riga in varie località.</v>
      </c>
    </row>
    <row r="34880">
      <c r="A34880" s="4" t="s">
        <v>43883</v>
      </c>
      <c r="B34880" s="4" t="s">
        <v>43886</v>
      </c>
      <c r="C34880" s="5" t="str">
        <f>IFERROR(__xludf.DUMMYFUNCTION("GOOGLETRANSLATE(B34880,""en"",""it"")"),"C'è un secondo ragazzo su una linea diversa che se ne va.")</f>
        <v>C'è un secondo ragazzo su una linea diversa che se ne va.</v>
      </c>
    </row>
    <row r="34881">
      <c r="A34881" s="4" t="s">
        <v>43883</v>
      </c>
      <c r="B34881" s="4" t="s">
        <v>43887</v>
      </c>
      <c r="C34881" s="5" t="str">
        <f>IFERROR(__xludf.DUMMYFUNCTION("GOOGLETRANSLATE(B34881,""en"",""it"")"),"Il ragazzo quasi cade e si stabilisce.")</f>
        <v>Il ragazzo quasi cade e si stabilisce.</v>
      </c>
    </row>
    <row r="34882">
      <c r="A34882" s="4" t="s">
        <v>43883</v>
      </c>
      <c r="B34882" s="4" t="s">
        <v>43888</v>
      </c>
      <c r="C34882" s="5" t="str">
        <f>IFERROR(__xludf.DUMMYFUNCTION("GOOGLETRANSLATE(B34882,""en"",""it"")"),"Il ragazzo scende e si allontana.")</f>
        <v>Il ragazzo scende e si allontana.</v>
      </c>
    </row>
    <row r="34883">
      <c r="A34883" s="4" t="s">
        <v>43883</v>
      </c>
      <c r="B34883" s="4" t="s">
        <v>43889</v>
      </c>
      <c r="C34883" s="5" t="str">
        <f>IFERROR(__xludf.DUMMYFUNCTION("GOOGLETRANSLATE(B34883,""en"",""it"")"),"Il ragazzo cammina verso la telecamera e gestisce con le mani.")</f>
        <v>Il ragazzo cammina verso la telecamera e gestisce con le mani.</v>
      </c>
    </row>
    <row r="34884">
      <c r="A34884" s="4" t="s">
        <v>43890</v>
      </c>
      <c r="B34884" s="6" t="s">
        <v>43891</v>
      </c>
      <c r="C34884" s="5" t="str">
        <f>IFERROR(__xludf.DUMMYFUNCTION("GOOGLETRANSLATE(B34884,""en"",""it"")"),"Una schermata introduttiva nera appare con parole bianche e lettere che dicono ""Darts"" Robin Hood ""TV di Eric Bristow Shot 1983 vs J Wilson"".")</f>
        <v>Una schermata introduttiva nera appare con parole bianche e lettere che dicono "Darts" Robin Hood "TV di Eric Bristow Shot 1983 vs J Wilson".</v>
      </c>
    </row>
    <row r="34885">
      <c r="A34885" s="4" t="s">
        <v>43890</v>
      </c>
      <c r="B34885" s="4" t="s">
        <v>43892</v>
      </c>
      <c r="C34885" s="5" t="str">
        <f>IFERROR(__xludf.DUMMYFUNCTION("GOOGLETRANSLATE(B34885,""en"",""it"")"),"Inizia un video dall'aspetto più vecchio e due uomini diversi stanno lanciando freccette a bordo di freccette.")</f>
        <v>Inizia un video dall'aspetto più vecchio e due uomini diversi stanno lanciando freccette a bordo di freccette.</v>
      </c>
    </row>
    <row r="34886">
      <c r="A34886" s="4" t="s">
        <v>43890</v>
      </c>
      <c r="B34886" s="6" t="s">
        <v>43893</v>
      </c>
      <c r="C34886" s="5" t="str">
        <f>IFERROR(__xludf.DUMMYFUNCTION("GOOGLETRANSLATE(B34886,""en"",""it"")"),"Quando gli uomini hanno finito di lanciare freccette, un dardo è mostrato e le lettere blu scorrono verso l'alto dal basso verso l'alto.")</f>
        <v>Quando gli uomini hanno finito di lanciare freccette, un dardo è mostrato e le lettere blu scorrono verso l'alto dal basso verso l'alto.</v>
      </c>
    </row>
    <row r="34887">
      <c r="A34887" s="4" t="s">
        <v>43894</v>
      </c>
      <c r="B34887" s="4" t="s">
        <v>43895</v>
      </c>
      <c r="C34887" s="5" t="str">
        <f>IFERROR(__xludf.DUMMYFUNCTION("GOOGLETRANSLATE(B34887,""en"",""it"")"),"Un'introduzione arriva sullo schermo per un video su come preparare la linguine con salsa di vongole.")</f>
        <v>Un'introduzione arriva sullo schermo per un video su come preparare la linguine con salsa di vongole.</v>
      </c>
    </row>
    <row r="34888">
      <c r="A34888" s="4" t="s">
        <v>43894</v>
      </c>
      <c r="B34888" s="4" t="s">
        <v>43896</v>
      </c>
      <c r="C34888" s="5" t="str">
        <f>IFERROR(__xludf.DUMMYFUNCTION("GOOGLETRANSLATE(B34888,""en"",""it"")"),"L'acqua viene portata a ebollizione in una pentola e la pasta viene aggiunta alla pentola.")</f>
        <v>L'acqua viene portata a ebollizione in una pentola e la pasta viene aggiunta alla pentola.</v>
      </c>
    </row>
    <row r="34889">
      <c r="A34889" s="4" t="s">
        <v>43894</v>
      </c>
      <c r="B34889" s="6" t="s">
        <v>43897</v>
      </c>
      <c r="C34889" s="5" t="str">
        <f>IFERROR(__xludf.DUMMYFUNCTION("GOOGLETRANSLATE(B34889,""en"",""it"")"),"Il prezzemolo viene tritato finemente insieme ad un po 'di aglio e le vongole vengono drenate in una ciotola per separarle dal succo.")</f>
        <v>Il prezzemolo viene tritato finemente insieme ad un po 'di aglio e le vongole vengono drenate in una ciotola per separarle dal succo.</v>
      </c>
    </row>
    <row r="34890">
      <c r="A34890" s="4" t="s">
        <v>43894</v>
      </c>
      <c r="B34890" s="6" t="s">
        <v>43898</v>
      </c>
      <c r="C34890" s="5" t="str">
        <f>IFERROR(__xludf.DUMMYFUNCTION("GOOGLETRANSLATE(B34890,""en"",""it"")"),"L'olio d'oliva va nella padella con l'aglio, il peperoncino, il prezzemolo, il vino bianco, il basilico, il sale e il succo di vongole per cuocere a fuoco lento e le vongole vengono aggiunte alla miscela alla fine.")</f>
        <v>L'olio d'oliva va nella padella con l'aglio, il peperoncino, il prezzemolo, il vino bianco, il basilico, il sale e il succo di vongole per cuocere a fuoco lento e le vongole vengono aggiunte alla miscela alla fine.</v>
      </c>
    </row>
    <row r="34891">
      <c r="A34891" s="4" t="s">
        <v>43894</v>
      </c>
      <c r="B34891" s="4" t="s">
        <v>43899</v>
      </c>
      <c r="C34891" s="5" t="str">
        <f>IFERROR(__xludf.DUMMYFUNCTION("GOOGLETRANSLATE(B34891,""en"",""it"")"),"La pasta viene drenata e aggiunta nella padella con la salsa.")</f>
        <v>La pasta viene drenata e aggiunta nella padella con la salsa.</v>
      </c>
    </row>
    <row r="34892">
      <c r="A34892" s="4" t="s">
        <v>43894</v>
      </c>
      <c r="B34892" s="4" t="s">
        <v>43900</v>
      </c>
      <c r="C34892" s="5" t="str">
        <f>IFERROR(__xludf.DUMMYFUNCTION("GOOGLETRANSLATE(B34892,""en"",""it"")"),"La pasta viene quindi servita con formaggio grattugiato in cima.")</f>
        <v>La pasta viene quindi servita con formaggio grattugiato in cima.</v>
      </c>
    </row>
    <row r="34893">
      <c r="A34893" s="4" t="s">
        <v>43901</v>
      </c>
      <c r="B34893" s="6" t="s">
        <v>43902</v>
      </c>
      <c r="C34893" s="5" t="str">
        <f>IFERROR(__xludf.DUMMYFUNCTION("GOOGLETRANSLATE(B34893,""en"",""it"")"),"Viene vista una donna con i capelli lunghi parlare alla telecamera mentre muove le braccia e sorride mentre parla.")</f>
        <v>Viene vista una donna con i capelli lunghi parlare alla telecamera mentre muove le braccia e sorride mentre parla.</v>
      </c>
    </row>
    <row r="34894">
      <c r="A34894" s="4" t="s">
        <v>43901</v>
      </c>
      <c r="B34894" s="4" t="s">
        <v>43903</v>
      </c>
      <c r="C34894" s="5" t="str">
        <f>IFERROR(__xludf.DUMMYFUNCTION("GOOGLETRANSLATE(B34894,""en"",""it"")"),"Quindi inizia a sfiorare i capelli lunghi e sorridendo alla telecamera e ad agitarsi.")</f>
        <v>Quindi inizia a sfiorare i capelli lunghi e sorridendo alla telecamera e ad agitarsi.</v>
      </c>
    </row>
    <row r="34895">
      <c r="A34895" s="4" t="s">
        <v>43904</v>
      </c>
      <c r="B34895" s="4" t="s">
        <v>43905</v>
      </c>
      <c r="C34895" s="5" t="str">
        <f>IFERROR(__xludf.DUMMYFUNCTION("GOOGLETRANSLATE(B34895,""en"",""it"")"),"Una ragazza sale al centro del palco e si mescola con i piedi e si mette in posizione.")</f>
        <v>Una ragazza sale al centro del palco e si mescola con i piedi e si mette in posizione.</v>
      </c>
    </row>
    <row r="34896">
      <c r="A34896" s="4" t="s">
        <v>43904</v>
      </c>
      <c r="B34896" s="4" t="s">
        <v>43906</v>
      </c>
      <c r="C34896" s="5" t="str">
        <f>IFERROR(__xludf.DUMMYFUNCTION("GOOGLETRANSLATE(B34896,""en"",""it"")"),"Fa una pausa in quella posizione prima di iniziare a ballare.")</f>
        <v>Fa una pausa in quella posizione prima di iniziare a ballare.</v>
      </c>
    </row>
    <row r="34897">
      <c r="A34897" s="4" t="s">
        <v>43904</v>
      </c>
      <c r="B34897" s="4" t="s">
        <v>43907</v>
      </c>
      <c r="C34897" s="5" t="str">
        <f>IFERROR(__xludf.DUMMYFUNCTION("GOOGLETRANSLATE(B34897,""en"",""it"")"),"Fa una divisione e alcune pose tutt'intorno.")</f>
        <v>Fa una divisione e alcune pose tutt'intorno.</v>
      </c>
    </row>
    <row r="34898">
      <c r="A34898" s="4" t="s">
        <v>43904</v>
      </c>
      <c r="B34898" s="4" t="s">
        <v>43908</v>
      </c>
      <c r="C34898" s="5" t="str">
        <f>IFERROR(__xludf.DUMMYFUNCTION("GOOGLETRANSLATE(B34898,""en"",""it"")"),"Fa alcune ruote di carrelli e più balla in tutto il campo e finalmente finisce.")</f>
        <v>Fa alcune ruote di carrelli e più balla in tutto il campo e finalmente finisce.</v>
      </c>
    </row>
    <row r="34899">
      <c r="A34899" s="4" t="s">
        <v>43909</v>
      </c>
      <c r="B34899" s="4" t="s">
        <v>43910</v>
      </c>
      <c r="C34899" s="5" t="str">
        <f>IFERROR(__xludf.DUMMYFUNCTION("GOOGLETRANSLATE(B34899,""en"",""it"")"),"Un folto gruppo di persone viene mostrato che cammina con fiocchi e frecce e uno che fa un tiro.")</f>
        <v>Un folto gruppo di persone viene mostrato che cammina con fiocchi e frecce e uno che fa un tiro.</v>
      </c>
    </row>
    <row r="34900">
      <c r="A34900" s="4" t="s">
        <v>43909</v>
      </c>
      <c r="B34900" s="6" t="s">
        <v>43911</v>
      </c>
      <c r="C34900" s="5" t="str">
        <f>IFERROR(__xludf.DUMMYFUNCTION("GOOGLETRANSLATE(B34900,""en"",""it"")"),"Diverse altre persone vengono mostrate facendo scatti con i loro archi e frecce e celebrano alla fine e in piedi su un podio che saluta.")</f>
        <v>Diverse altre persone vengono mostrate facendo scatti con i loro archi e frecce e celebrano alla fine e in piedi su un podio che saluta.</v>
      </c>
    </row>
    <row r="34901">
      <c r="A34901" s="4" t="s">
        <v>43912</v>
      </c>
      <c r="B34901" s="4" t="s">
        <v>43913</v>
      </c>
      <c r="C34901" s="5" t="str">
        <f>IFERROR(__xludf.DUMMYFUNCTION("GOOGLETRANSLATE(B34901,""en"",""it"")"),"Vediamo uno sci d'acqua.")</f>
        <v>Vediamo uno sci d'acqua.</v>
      </c>
    </row>
    <row r="34902">
      <c r="A34902" s="4" t="s">
        <v>43912</v>
      </c>
      <c r="B34902" s="4" t="s">
        <v>43914</v>
      </c>
      <c r="C34902" s="5" t="str">
        <f>IFERROR(__xludf.DUMMYFUNCTION("GOOGLETRANSLATE(B34902,""en"",""it"")"),"Vediamo l'acqua spruzzare a sinistra.")</f>
        <v>Vediamo l'acqua spruzzare a sinistra.</v>
      </c>
    </row>
    <row r="34903">
      <c r="A34903" s="4" t="s">
        <v>43912</v>
      </c>
      <c r="B34903" s="4" t="s">
        <v>43915</v>
      </c>
      <c r="C34903" s="5" t="str">
        <f>IFERROR(__xludf.DUMMYFUNCTION("GOOGLETRANSLATE(B34903,""en"",""it"")"),"L'uomo salta a destra.")</f>
        <v>L'uomo salta a destra.</v>
      </c>
    </row>
    <row r="34904">
      <c r="A34904" s="4" t="s">
        <v>43912</v>
      </c>
      <c r="B34904" s="4" t="s">
        <v>43916</v>
      </c>
      <c r="C34904" s="5" t="str">
        <f>IFERROR(__xludf.DUMMYFUNCTION("GOOGLETRANSLATE(B34904,""en"",""it"")"),"L'uomo si piega sulla tavola da surf.")</f>
        <v>L'uomo si piega sulla tavola da surf.</v>
      </c>
    </row>
    <row r="34905">
      <c r="A34905" s="4" t="s">
        <v>43912</v>
      </c>
      <c r="B34905" s="4" t="s">
        <v>43917</v>
      </c>
      <c r="C34905" s="5" t="str">
        <f>IFERROR(__xludf.DUMMYFUNCTION("GOOGLETRANSLATE(B34905,""en"",""it"")"),"L'uomo esegue un lancio.")</f>
        <v>L'uomo esegue un lancio.</v>
      </c>
    </row>
    <row r="34906">
      <c r="A34906" s="4" t="s">
        <v>43918</v>
      </c>
      <c r="B34906" s="4" t="s">
        <v>43919</v>
      </c>
      <c r="C34906" s="5" t="str">
        <f>IFERROR(__xludf.DUMMYFUNCTION("GOOGLETRANSLATE(B34906,""en"",""it"")"),"Un paio di mani femminili usa un ferro su un pezzo di abbigliamento per bambini.")</f>
        <v>Un paio di mani femminili usa un ferro su un pezzo di abbigliamento per bambini.</v>
      </c>
    </row>
    <row r="34907">
      <c r="A34907" s="4" t="s">
        <v>43918</v>
      </c>
      <c r="B34907" s="4" t="s">
        <v>43920</v>
      </c>
      <c r="C34907" s="5" t="str">
        <f>IFERROR(__xludf.DUMMYFUNCTION("GOOGLETRANSLATE(B34907,""en"",""it"")"),"La donna mette da parte il ferro e lancia i vestiti.")</f>
        <v>La donna mette da parte il ferro e lancia i vestiti.</v>
      </c>
    </row>
    <row r="34908">
      <c r="A34908" s="4" t="s">
        <v>43918</v>
      </c>
      <c r="B34908" s="4" t="s">
        <v>43921</v>
      </c>
      <c r="C34908" s="5" t="str">
        <f>IFERROR(__xludf.DUMMYFUNCTION("GOOGLETRANSLATE(B34908,""en"",""it"")"),"La donna usa il ferro dall'altra parte dell'abbigliamento.")</f>
        <v>La donna usa il ferro dall'altra parte dell'abbigliamento.</v>
      </c>
    </row>
    <row r="34909">
      <c r="A34909" s="4" t="s">
        <v>43918</v>
      </c>
      <c r="B34909" s="4" t="s">
        <v>43922</v>
      </c>
      <c r="C34909" s="5" t="str">
        <f>IFERROR(__xludf.DUMMYFUNCTION("GOOGLETRANSLATE(B34909,""en"",""it"")"),"La donna mette da parte il ferro.")</f>
        <v>La donna mette da parte il ferro.</v>
      </c>
    </row>
    <row r="34910">
      <c r="A34910" s="4" t="s">
        <v>43923</v>
      </c>
      <c r="B34910" s="4" t="s">
        <v>43924</v>
      </c>
      <c r="C34910" s="5" t="str">
        <f>IFERROR(__xludf.DUMMYFUNCTION("GOOGLETRANSLATE(B34910,""en"",""it"")"),"Un uomo sorseggia un drink sulla spiaggia.")</f>
        <v>Un uomo sorseggia un drink sulla spiaggia.</v>
      </c>
    </row>
    <row r="34911">
      <c r="A34911" s="4" t="s">
        <v>43923</v>
      </c>
      <c r="B34911" s="4" t="s">
        <v>43925</v>
      </c>
      <c r="C34911" s="5" t="str">
        <f>IFERROR(__xludf.DUMMYFUNCTION("GOOGLETRANSLATE(B34911,""en"",""it"")"),"Una ragazza sta applicando schizzi di lozione solare sui loro corpi.")</f>
        <v>Una ragazza sta applicando schizzi di lozione solare sui loro corpi.</v>
      </c>
    </row>
    <row r="34912">
      <c r="A34912" s="4" t="s">
        <v>43923</v>
      </c>
      <c r="B34912" s="4" t="s">
        <v>43926</v>
      </c>
      <c r="C34912" s="5" t="str">
        <f>IFERROR(__xludf.DUMMYFUNCTION("GOOGLETRANSLATE(B34912,""en"",""it"")"),"Quindi vai in acqua, nuotando e camminando nel surf.")</f>
        <v>Quindi vai in acqua, nuotando e camminando nel surf.</v>
      </c>
    </row>
    <row r="34913">
      <c r="A34913" s="4" t="s">
        <v>43927</v>
      </c>
      <c r="B34913" s="4" t="s">
        <v>43928</v>
      </c>
      <c r="C34913" s="5" t="str">
        <f>IFERROR(__xludf.DUMMYFUNCTION("GOOGLETRANSLATE(B34913,""en"",""it"")"),"Un uomo viene visto parlare alla fotocamera mentre tiene in mano un tappetino in gomma in schiuma.")</f>
        <v>Un uomo viene visto parlare alla fotocamera mentre tiene in mano un tappetino in gomma in schiuma.</v>
      </c>
    </row>
    <row r="34914">
      <c r="A34914" s="4" t="s">
        <v>43927</v>
      </c>
      <c r="B34914" s="4" t="s">
        <v>43929</v>
      </c>
      <c r="C34914" s="5" t="str">
        <f>IFERROR(__xludf.DUMMYFUNCTION("GOOGLETRANSLATE(B34914,""en"",""it"")"),"La fotocamera si lancia attorno a più tappetini che si stabiliscono mentre l'uomo parla ancora alla fotocamera.")</f>
        <v>La fotocamera si lancia attorno a più tappetini che si stabiliscono mentre l'uomo parla ancora alla fotocamera.</v>
      </c>
    </row>
    <row r="34915">
      <c r="A34915" s="4" t="s">
        <v>43930</v>
      </c>
      <c r="B34915" s="4" t="s">
        <v>43931</v>
      </c>
      <c r="C34915" s="5" t="str">
        <f>IFERROR(__xludf.DUMMYFUNCTION("GOOGLETRANSLATE(B34915,""en"",""it"")"),"Una donna inizia a parlare con la telecamera che sorride e conduce ai suoi capelli di un'altra donna.")</f>
        <v>Una donna inizia a parlare con la telecamera che sorride e conduce ai suoi capelli di un'altra donna.</v>
      </c>
    </row>
    <row r="34916">
      <c r="A34916" s="4" t="s">
        <v>43930</v>
      </c>
      <c r="B34916" s="6" t="s">
        <v>43932</v>
      </c>
      <c r="C34916" s="5" t="str">
        <f>IFERROR(__xludf.DUMMYFUNCTION("GOOGLETRANSLATE(B34916,""en"",""it"")"),"Parla i capelli in sezioni e mette i rulli nei capelli della donna e parlando con la telecamera.")</f>
        <v>Parla i capelli in sezioni e mette i rulli nei capelli della donna e parlando con la telecamera.</v>
      </c>
    </row>
    <row r="34917">
      <c r="A34917" s="4" t="s">
        <v>43933</v>
      </c>
      <c r="B34917" s="4" t="s">
        <v>43934</v>
      </c>
      <c r="C34917" s="5" t="str">
        <f>IFERROR(__xludf.DUMMYFUNCTION("GOOGLETRANSLATE(B34917,""en"",""it"")"),"Due persone sollevano un grande peso sopra la testa.")</f>
        <v>Due persone sollevano un grande peso sopra la testa.</v>
      </c>
    </row>
    <row r="34918">
      <c r="A34918" s="4" t="s">
        <v>43933</v>
      </c>
      <c r="B34918" s="4" t="s">
        <v>43935</v>
      </c>
      <c r="C34918" s="5" t="str">
        <f>IFERROR(__xludf.DUMMYFUNCTION("GOOGLETRANSLATE(B34918,""en"",""it"")"),"Lasciano cadere il peso a terra.")</f>
        <v>Lasciano cadere il peso a terra.</v>
      </c>
    </row>
    <row r="34919">
      <c r="A34919" s="4" t="s">
        <v>43933</v>
      </c>
      <c r="B34919" s="4" t="s">
        <v>43936</v>
      </c>
      <c r="C34919" s="5" t="str">
        <f>IFERROR(__xludf.DUMMYFUNCTION("GOOGLETRANSLATE(B34919,""en"",""it"")"),"I pesi sono mostrati su ciascun lato.")</f>
        <v>I pesi sono mostrati su ciascun lato.</v>
      </c>
    </row>
    <row r="34920">
      <c r="A34920" s="4" t="s">
        <v>43937</v>
      </c>
      <c r="B34920" s="4" t="s">
        <v>43938</v>
      </c>
      <c r="C34920" s="5" t="str">
        <f>IFERROR(__xludf.DUMMYFUNCTION("GOOGLETRANSLATE(B34920,""en"",""it"")"),"Due auto sono viste parcheggiate fuori da un garage mentre un uomo focalizza la sua macchina fotografica.")</f>
        <v>Due auto sono viste parcheggiate fuori da un garage mentre un uomo focalizza la sua macchina fotografica.</v>
      </c>
    </row>
    <row r="34921">
      <c r="A34921" s="4" t="s">
        <v>43937</v>
      </c>
      <c r="B34921" s="6" t="s">
        <v>43939</v>
      </c>
      <c r="C34921" s="5" t="str">
        <f>IFERROR(__xludf.DUMMYFUNCTION("GOOGLETRANSLATE(B34921,""en"",""it"")"),"Una volta che la fotocamera è la posizione del peccato, un uomo viene mostrato con una maschera d'acciaio mentre batte un pezzo su un cemento.")</f>
        <v>Una volta che la fotocamera è la posizione del peccato, un uomo viene mostrato con una maschera d'acciaio mentre batte un pezzo su un cemento.</v>
      </c>
    </row>
    <row r="34922">
      <c r="A34922" s="4" t="s">
        <v>43937</v>
      </c>
      <c r="B34922" s="6" t="s">
        <v>43940</v>
      </c>
      <c r="C34922" s="5" t="str">
        <f>IFERROR(__xludf.DUMMYFUNCTION("GOOGLETRANSLATE(B34922,""en"",""it"")"),"Il pezzo è sul cemento e mette il fondo della maschera e inizia a bruciare il metallo.")</f>
        <v>Il pezzo è sul cemento e mette il fondo della maschera e inizia a bruciare il metallo.</v>
      </c>
    </row>
    <row r="34923">
      <c r="A34923" s="4" t="s">
        <v>43941</v>
      </c>
      <c r="B34923" s="4" t="s">
        <v>43942</v>
      </c>
      <c r="C34923" s="5" t="str">
        <f>IFERROR(__xludf.DUMMYFUNCTION("GOOGLETRANSLATE(B34923,""en"",""it"")"),"Una donna in un vestito da ballerino di pancia è sul palco.")</f>
        <v>Una donna in un vestito da ballerino di pancia è sul palco.</v>
      </c>
    </row>
    <row r="34924">
      <c r="A34924" s="4" t="s">
        <v>43941</v>
      </c>
      <c r="B34924" s="4" t="s">
        <v>43943</v>
      </c>
      <c r="C34924" s="5" t="str">
        <f>IFERROR(__xludf.DUMMYFUNCTION("GOOGLETRANSLATE(B34924,""en"",""it"")"),"Cammina lungo la corsia mentre balla e canta.")</f>
        <v>Cammina lungo la corsia mentre balla e canta.</v>
      </c>
    </row>
    <row r="34925">
      <c r="A34925" s="4" t="s">
        <v>43941</v>
      </c>
      <c r="B34925" s="4" t="s">
        <v>43944</v>
      </c>
      <c r="C34925" s="5" t="str">
        <f>IFERROR(__xludf.DUMMYFUNCTION("GOOGLETRANSLATE(B34925,""en"",""it"")"),"Gira i fianchi e le braccia mentre si esibisce.")</f>
        <v>Gira i fianchi e le braccia mentre si esibisce.</v>
      </c>
    </row>
    <row r="34926">
      <c r="A34926" s="4" t="s">
        <v>43945</v>
      </c>
      <c r="B34926" s="4" t="s">
        <v>43946</v>
      </c>
      <c r="C34926" s="5" t="str">
        <f>IFERROR(__xludf.DUMMYFUNCTION("GOOGLETRANSLATE(B34926,""en"",""it"")"),"Viene mostrato un video su come fare uno scoppio senza crespo.")</f>
        <v>Viene mostrato un video su come fare uno scoppio senza crespo.</v>
      </c>
    </row>
    <row r="34927">
      <c r="A34927" s="4" t="s">
        <v>43945</v>
      </c>
      <c r="B34927" s="4" t="s">
        <v>43947</v>
      </c>
      <c r="C34927" s="5" t="str">
        <f>IFERROR(__xludf.DUMMYFUNCTION("GOOGLETRANSLATE(B34927,""en"",""it"")"),"Dopo il lavaggio e il condizionamento, il prodotto viene applicato e asciugato.")</f>
        <v>Dopo il lavaggio e il condizionamento, il prodotto viene applicato e asciugato.</v>
      </c>
    </row>
    <row r="34928">
      <c r="A34928" s="4" t="s">
        <v>43945</v>
      </c>
      <c r="B34928" s="4" t="s">
        <v>43948</v>
      </c>
      <c r="C34928" s="5" t="str">
        <f>IFERROR(__xludf.DUMMYFUNCTION("GOOGLETRANSLATE(B34928,""en"",""it"")"),"Quindi il resto della procedura è completato.")</f>
        <v>Quindi il resto della procedura è completato.</v>
      </c>
    </row>
    <row r="34929">
      <c r="A34929" s="4" t="s">
        <v>43949</v>
      </c>
      <c r="B34929" s="4" t="s">
        <v>43950</v>
      </c>
      <c r="C34929" s="5" t="str">
        <f>IFERROR(__xludf.DUMMYFUNCTION("GOOGLETRANSLATE(B34929,""en"",""it"")"),"Un uomo sta aiutando una bambina a scendere una diapositiva.")</f>
        <v>Un uomo sta aiutando una bambina a scendere una diapositiva.</v>
      </c>
    </row>
    <row r="34930">
      <c r="A34930" s="4" t="s">
        <v>43949</v>
      </c>
      <c r="B34930" s="4" t="s">
        <v>43951</v>
      </c>
      <c r="C34930" s="5" t="str">
        <f>IFERROR(__xludf.DUMMYFUNCTION("GOOGLETRANSLATE(B34930,""en"",""it"")"),"Scende la diapositiva sulla pancia.")</f>
        <v>Scende la diapositiva sulla pancia.</v>
      </c>
    </row>
    <row r="34931">
      <c r="A34931" s="4" t="s">
        <v>43949</v>
      </c>
      <c r="B34931" s="4" t="s">
        <v>43952</v>
      </c>
      <c r="C34931" s="5" t="str">
        <f>IFERROR(__xludf.DUMMYFUNCTION("GOOGLETRANSLATE(B34931,""en"",""it"")"),"Si arrampica sul lato del parco giochi e scende di nuovo.")</f>
        <v>Si arrampica sul lato del parco giochi e scende di nuovo.</v>
      </c>
    </row>
    <row r="34932">
      <c r="A34932" s="4" t="s">
        <v>43953</v>
      </c>
      <c r="B34932" s="6" t="s">
        <v>43954</v>
      </c>
      <c r="C34932" s="5" t="str">
        <f>IFERROR(__xludf.DUMMYFUNCTION("GOOGLETRANSLATE(B34932,""en"",""it"")"),"Un folto gruppo di atleti si vede in piedi in una pista mentre alcuni che tiene le braccia per applaudire.")</f>
        <v>Un folto gruppo di atleti si vede in piedi in una pista mentre alcuni che tiene le braccia per applaudire.</v>
      </c>
    </row>
    <row r="34933">
      <c r="A34933" s="4" t="s">
        <v>43953</v>
      </c>
      <c r="B34933" s="4" t="s">
        <v>43955</v>
      </c>
      <c r="C34933" s="5" t="str">
        <f>IFERROR(__xludf.DUMMYFUNCTION("GOOGLETRANSLATE(B34933,""en"",""it"")"),"Un corridore si fa strada lungo la pista e salta in una grande buca di sabbia e si allontana.")</f>
        <v>Un corridore si fa strada lungo la pista e salta in una grande buca di sabbia e si allontana.</v>
      </c>
    </row>
    <row r="34934">
      <c r="A34934" s="4" t="s">
        <v>43956</v>
      </c>
      <c r="B34934" s="4" t="s">
        <v>43957</v>
      </c>
      <c r="C34934" s="5" t="str">
        <f>IFERROR(__xludf.DUMMYFUNCTION("GOOGLETRANSLATE(B34934,""en"",""it"")"),"Un uomo in rosso corre salta e lancia un ostacolo.")</f>
        <v>Un uomo in rosso corre salta e lancia un ostacolo.</v>
      </c>
    </row>
    <row r="34935">
      <c r="A34935" s="4" t="s">
        <v>43956</v>
      </c>
      <c r="B34935" s="4" t="s">
        <v>43958</v>
      </c>
      <c r="C34935" s="5" t="str">
        <f>IFERROR(__xludf.DUMMYFUNCTION("GOOGLETRANSLATE(B34935,""en"",""it"")"),"Viene fatto più e più volte al rallentatore.")</f>
        <v>Viene fatto più e più volte al rallentatore.</v>
      </c>
    </row>
    <row r="34936">
      <c r="A34936" s="4" t="s">
        <v>43956</v>
      </c>
      <c r="B34936" s="4" t="s">
        <v>43959</v>
      </c>
      <c r="C34936" s="5" t="str">
        <f>IFERROR(__xludf.DUMMYFUNCTION("GOOGLETRANSLATE(B34936,""en"",""it"")"),"Quindi lo fa di nuovo per l'ultima volta.")</f>
        <v>Quindi lo fa di nuovo per l'ultima volta.</v>
      </c>
    </row>
    <row r="34937">
      <c r="A34937" s="4" t="s">
        <v>43956</v>
      </c>
      <c r="B34937" s="4" t="s">
        <v>43960</v>
      </c>
      <c r="C34937" s="5" t="str">
        <f>IFERROR(__xludf.DUMMYFUNCTION("GOOGLETRANSLATE(B34937,""en"",""it"")"),"Quindi, infine, iniziano una gara su un campo Un uomo che indossa neri attraversa prima il traguardo.")</f>
        <v>Quindi, infine, iniziano una gara su un campo Un uomo che indossa neri attraversa prima il traguardo.</v>
      </c>
    </row>
    <row r="34938">
      <c r="A34938" s="4" t="s">
        <v>43961</v>
      </c>
      <c r="B34938" s="4" t="s">
        <v>43962</v>
      </c>
      <c r="C34938" s="5" t="str">
        <f>IFERROR(__xludf.DUMMYFUNCTION("GOOGLETRANSLATE(B34938,""en"",""it"")"),"Una donna che indossa il numero 177 è in posizione, si incrocia il cuore e si prepara a correre.")</f>
        <v>Una donna che indossa il numero 177 è in posizione, si incrocia il cuore e si prepara a correre.</v>
      </c>
    </row>
    <row r="34939">
      <c r="A34939" s="4" t="s">
        <v>43961</v>
      </c>
      <c r="B34939" s="4" t="s">
        <v>43963</v>
      </c>
      <c r="C34939" s="5" t="str">
        <f>IFERROR(__xludf.DUMMYFUNCTION("GOOGLETRANSLATE(B34939,""en"",""it"")"),"Respira profondamente e inizia a correre molto velocemente lungo il campo.")</f>
        <v>Respira profondamente e inizia a correre molto velocemente lungo il campo.</v>
      </c>
    </row>
    <row r="34940">
      <c r="A34940" s="4" t="s">
        <v>43961</v>
      </c>
      <c r="B34940" s="6" t="s">
        <v>43964</v>
      </c>
      <c r="C34940" s="5" t="str">
        <f>IFERROR(__xludf.DUMMYFUNCTION("GOOGLETRANSLATE(B34940,""en"",""it"")"),"Salta in alto e atterra proprio nella sabbia sul sedere, mostrano replay mulattple della sua esibizione.")</f>
        <v>Salta in alto e atterra proprio nella sabbia sul sedere, mostrano replay mulattple della sua esibizione.</v>
      </c>
    </row>
    <row r="34941">
      <c r="A34941" s="4" t="s">
        <v>43961</v>
      </c>
      <c r="B34941" s="4" t="s">
        <v>43965</v>
      </c>
      <c r="C34941" s="5" t="str">
        <f>IFERROR(__xludf.DUMMYFUNCTION("GOOGLETRANSLATE(B34941,""en"",""it"")"),"Si china e fissa la sua uniforme, spolverando il fondo mentre si allontana.")</f>
        <v>Si china e fissa la sua uniforme, spolverando il fondo mentre si allontana.</v>
      </c>
    </row>
    <row r="34942">
      <c r="A34942" s="4" t="s">
        <v>43966</v>
      </c>
      <c r="B34942" s="4" t="s">
        <v>43967</v>
      </c>
      <c r="C34942" s="5" t="str">
        <f>IFERROR(__xludf.DUMMYFUNCTION("GOOGLETRANSLATE(B34942,""en"",""it"")"),"Le persone stanno a pattine di fronte a un edificio.")</f>
        <v>Le persone stanno a pattine di fronte a un edificio.</v>
      </c>
    </row>
    <row r="34943">
      <c r="A34943" s="4" t="s">
        <v>43966</v>
      </c>
      <c r="B34943" s="4" t="s">
        <v>43968</v>
      </c>
      <c r="C34943" s="5" t="str">
        <f>IFERROR(__xludf.DUMMYFUNCTION("GOOGLETRANSLATE(B34943,""en"",""it"")"),"Un roller da uomo si lale velocemente.")</f>
        <v>Un roller da uomo si lale velocemente.</v>
      </c>
    </row>
    <row r="34944">
      <c r="A34944" s="4" t="s">
        <v>43966</v>
      </c>
      <c r="B34944" s="4" t="s">
        <v>43969</v>
      </c>
      <c r="C34944" s="5" t="str">
        <f>IFERROR(__xludf.DUMMYFUNCTION("GOOGLETRANSLATE(B34944,""en"",""it"")"),"L'uomo alza le mani in aria e inizia a fermare le lame a rulli.")</f>
        <v>L'uomo alza le mani in aria e inizia a fermare le lame a rulli.</v>
      </c>
    </row>
    <row r="34945">
      <c r="A34945" s="4" t="s">
        <v>43970</v>
      </c>
      <c r="B34945" s="4" t="s">
        <v>43971</v>
      </c>
      <c r="C34945" s="5" t="str">
        <f>IFERROR(__xludf.DUMMYFUNCTION("GOOGLETRANSLATE(B34945,""en"",""it"")"),"Le persone finiscono su una grande specchio d'acqua.")</f>
        <v>Le persone finiscono su una grande specchio d'acqua.</v>
      </c>
    </row>
    <row r="34946">
      <c r="A34946" s="4" t="s">
        <v>43970</v>
      </c>
      <c r="B34946" s="4" t="s">
        <v>43972</v>
      </c>
      <c r="C34946" s="5" t="str">
        <f>IFERROR(__xludf.DUMMYFUNCTION("GOOGLETRANSLATE(B34946,""en"",""it"")"),"Viene mostrato un cartello del parco che recita ""Benvenuto a Kanaha Beach Park"".")</f>
        <v>Viene mostrato un cartello del parco che recita "Benvenuto a Kanaha Beach Park".</v>
      </c>
    </row>
    <row r="34947">
      <c r="A34947" s="4" t="s">
        <v>43970</v>
      </c>
      <c r="B34947" s="4" t="s">
        <v>43973</v>
      </c>
      <c r="C34947" s="5" t="str">
        <f>IFERROR(__xludf.DUMMYFUNCTION("GOOGLETRANSLATE(B34947,""en"",""it"")"),"Più surfuggini vengono mostrati correndo attraverso l'acqua.")</f>
        <v>Più surfuggini vengono mostrati correndo attraverso l'acqua.</v>
      </c>
    </row>
    <row r="34948">
      <c r="A34948" s="4" t="s">
        <v>43974</v>
      </c>
      <c r="B34948" s="4" t="s">
        <v>43975</v>
      </c>
      <c r="C34948" s="5" t="str">
        <f>IFERROR(__xludf.DUMMYFUNCTION("GOOGLETRANSLATE(B34948,""en"",""it"")"),"L'uomo nell'angolo prende a calci la palla direttamente in rete.")</f>
        <v>L'uomo nell'angolo prende a calci la palla direttamente in rete.</v>
      </c>
    </row>
    <row r="34949">
      <c r="A34949" s="4" t="s">
        <v>43974</v>
      </c>
      <c r="B34949" s="4" t="s">
        <v>43976</v>
      </c>
      <c r="C34949" s="5" t="str">
        <f>IFERROR(__xludf.DUMMYFUNCTION("GOOGLETRANSLATE(B34949,""en"",""it"")"),"La squadra corre intorno al campo festeggiando.")</f>
        <v>La squadra corre intorno al campo festeggiando.</v>
      </c>
    </row>
    <row r="34950">
      <c r="A34950" s="4" t="s">
        <v>43974</v>
      </c>
      <c r="B34950" s="4" t="s">
        <v>43977</v>
      </c>
      <c r="C34950" s="5" t="str">
        <f>IFERROR(__xludf.DUMMYFUNCTION("GOOGLETRANSLATE(B34950,""en"",""it"")"),"Un uomo sugli spali si arrampica sulla ringhiera e corre sul campo celebrando.")</f>
        <v>Un uomo sugli spali si arrampica sulla ringhiera e corre sul campo celebrando.</v>
      </c>
    </row>
    <row r="34951">
      <c r="A34951" s="4" t="s">
        <v>43974</v>
      </c>
      <c r="B34951" s="4" t="s">
        <v>43978</v>
      </c>
      <c r="C34951" s="5" t="str">
        <f>IFERROR(__xludf.DUMMYFUNCTION("GOOGLETRANSLATE(B34951,""en"",""it"")"),"Il gruppo è in un gruppo che celebra in campo.")</f>
        <v>Il gruppo è in un gruppo che celebra in campo.</v>
      </c>
    </row>
    <row r="34952">
      <c r="A34952" s="4" t="s">
        <v>43974</v>
      </c>
      <c r="B34952" s="4" t="s">
        <v>43979</v>
      </c>
      <c r="C34952" s="5" t="str">
        <f>IFERROR(__xludf.DUMMYFUNCTION("GOOGLETRANSLATE(B34952,""en"",""it"")"),"Uno dei giocatori dà il via alla palla sugli spalti e si allontana con la testa.")</f>
        <v>Uno dei giocatori dà il via alla palla sugli spalti e si allontana con la testa.</v>
      </c>
    </row>
    <row r="34953">
      <c r="A34953" s="4" t="s">
        <v>43974</v>
      </c>
      <c r="B34953" s="4" t="s">
        <v>43980</v>
      </c>
      <c r="C34953" s="5" t="str">
        <f>IFERROR(__xludf.DUMMYFUNCTION("GOOGLETRANSLATE(B34953,""en"",""it"")"),"Alcuni giocatori sono in piedi in un angolo sembra che stiano discutendo.")</f>
        <v>Alcuni giocatori sono in piedi in un angolo sembra che stiano discutendo.</v>
      </c>
    </row>
    <row r="34954">
      <c r="A34954" s="4" t="s">
        <v>43974</v>
      </c>
      <c r="B34954" s="4" t="s">
        <v>43981</v>
      </c>
      <c r="C34954" s="5" t="str">
        <f>IFERROR(__xludf.DUMMYFUNCTION("GOOGLETRANSLATE(B34954,""en"",""it"")"),"Un mucchio di giocatori e spettatori corrono il campo verso la mischia.")</f>
        <v>Un mucchio di giocatori e spettatori corrono il campo verso la mischia.</v>
      </c>
    </row>
    <row r="34955">
      <c r="A34955" s="4" t="s">
        <v>43974</v>
      </c>
      <c r="B34955" s="4" t="s">
        <v>43982</v>
      </c>
      <c r="C34955" s="5" t="str">
        <f>IFERROR(__xludf.DUMMYFUNCTION("GOOGLETRANSLATE(B34955,""en"",""it"")"),"Gli uomini corrono lungo il bordo della corte.")</f>
        <v>Gli uomini corrono lungo il bordo della corte.</v>
      </c>
    </row>
    <row r="34956">
      <c r="A34956" s="4" t="s">
        <v>43974</v>
      </c>
      <c r="B34956" s="4" t="s">
        <v>43983</v>
      </c>
      <c r="C34956" s="5" t="str">
        <f>IFERROR(__xludf.DUMMYFUNCTION("GOOGLETRANSLATE(B34956,""en"",""it"")"),"Il piccolo gruppo sta ancora discutendo e trattenendo combattimenti.")</f>
        <v>Il piccolo gruppo sta ancora discutendo e trattenendo combattimenti.</v>
      </c>
    </row>
    <row r="34957">
      <c r="A34957" s="4" t="s">
        <v>43974</v>
      </c>
      <c r="B34957" s="4" t="s">
        <v>43984</v>
      </c>
      <c r="C34957" s="5" t="str">
        <f>IFERROR(__xludf.DUMMYFUNCTION("GOOGLETRANSLATE(B34957,""en"",""it"")"),"Un piccolo gruppo sta vivendo una discussione animata.")</f>
        <v>Un piccolo gruppo sta vivendo una discussione animata.</v>
      </c>
    </row>
    <row r="34958">
      <c r="A34958" s="4" t="s">
        <v>43974</v>
      </c>
      <c r="B34958" s="6" t="s">
        <v>43985</v>
      </c>
      <c r="C34958" s="5" t="str">
        <f>IFERROR(__xludf.DUMMYFUNCTION("GOOGLETRANSLATE(B34958,""en"",""it"")"),"I due uomini tornano in campo mentre il gruppo inizia a parlare di nuovo intorno al pavimento e al bordo del campo.")</f>
        <v>I due uomini tornano in campo mentre il gruppo inizia a parlare di nuovo intorno al pavimento e al bordo del campo.</v>
      </c>
    </row>
    <row r="34959">
      <c r="A34959" s="4" t="s">
        <v>43986</v>
      </c>
      <c r="B34959" s="4" t="s">
        <v>43987</v>
      </c>
      <c r="C34959" s="5" t="str">
        <f>IFERROR(__xludf.DUMMYFUNCTION("GOOGLETRANSLATE(B34959,""en"",""it"")"),"Una donna parla mentre è seduta a terra.")</f>
        <v>Una donna parla mentre è seduta a terra.</v>
      </c>
    </row>
    <row r="34960">
      <c r="A34960" s="4" t="s">
        <v>43986</v>
      </c>
      <c r="B34960" s="4" t="s">
        <v>43988</v>
      </c>
      <c r="C34960" s="5" t="str">
        <f>IFERROR(__xludf.DUMMYFUNCTION("GOOGLETRANSLATE(B34960,""en"",""it"")"),"Mostra un paio di forbici ritagliate.")</f>
        <v>Mostra un paio di forbici ritagliate.</v>
      </c>
    </row>
    <row r="34961">
      <c r="A34961" s="4" t="s">
        <v>43986</v>
      </c>
      <c r="B34961" s="4" t="s">
        <v>43989</v>
      </c>
      <c r="C34961" s="5" t="str">
        <f>IFERROR(__xludf.DUMMYFUNCTION("GOOGLETRANSLATE(B34961,""en"",""it"")"),"Quindi li usa per delicatamente ma tagliare rapidamente le unghie di un gatto mentre un'altra donna la assiste.")</f>
        <v>Quindi li usa per delicatamente ma tagliare rapidamente le unghie di un gatto mentre un'altra donna la assiste.</v>
      </c>
    </row>
    <row r="34962">
      <c r="A34962" s="4" t="s">
        <v>43990</v>
      </c>
      <c r="B34962" s="4" t="s">
        <v>43991</v>
      </c>
      <c r="C34962" s="5" t="str">
        <f>IFERROR(__xludf.DUMMYFUNCTION("GOOGLETRANSLATE(B34962,""en"",""it"")"),"Le persone si affrettano a uno stretto fiume tra due montagne.")</f>
        <v>Le persone si affrettano a uno stretto fiume tra due montagne.</v>
      </c>
    </row>
    <row r="34963">
      <c r="A34963" s="4" t="s">
        <v>43990</v>
      </c>
      <c r="B34963" s="4" t="s">
        <v>43992</v>
      </c>
      <c r="C34963" s="5" t="str">
        <f>IFERROR(__xludf.DUMMYFUNCTION("GOOGLETRANSLATE(B34963,""en"",""it"")"),"La gente rafting che passava acque travagliate nello stretto fiume.")</f>
        <v>La gente rafting che passava acque travagliate nello stretto fiume.</v>
      </c>
    </row>
    <row r="34964">
      <c r="A34964" s="4" t="s">
        <v>43990</v>
      </c>
      <c r="B34964" s="4" t="s">
        <v>43993</v>
      </c>
      <c r="C34964" s="5" t="str">
        <f>IFERROR(__xludf.DUMMYFUNCTION("GOOGLETRANSLATE(B34964,""en"",""it"")"),"Le persone navigano lungo il fiume roccioso in uno spazio aperto.")</f>
        <v>Le persone navigano lungo il fiume roccioso in uno spazio aperto.</v>
      </c>
    </row>
    <row r="34965">
      <c r="A34965" s="4" t="s">
        <v>43994</v>
      </c>
      <c r="B34965" s="4" t="s">
        <v>43995</v>
      </c>
      <c r="C34965" s="5" t="str">
        <f>IFERROR(__xludf.DUMMYFUNCTION("GOOGLETRANSLATE(B34965,""en"",""it"")"),"Un uomo è seduto nella parte anteriore di una chiesa e suona una canzone su una fisarmonica.")</f>
        <v>Un uomo è seduto nella parte anteriore di una chiesa e suona una canzone su una fisarmonica.</v>
      </c>
    </row>
    <row r="34966">
      <c r="A34966" s="4" t="s">
        <v>43994</v>
      </c>
      <c r="B34966" s="4" t="s">
        <v>43996</v>
      </c>
      <c r="C34966" s="5" t="str">
        <f>IFERROR(__xludf.DUMMYFUNCTION("GOOGLETRANSLATE(B34966,""en"",""it"")"),"L'uomo scende fino in fondo rispetto al backup alla fine della canzone.")</f>
        <v>L'uomo scende fino in fondo rispetto al backup alla fine della canzone.</v>
      </c>
    </row>
    <row r="34967">
      <c r="A34967" s="4" t="s">
        <v>43994</v>
      </c>
      <c r="B34967" s="4" t="s">
        <v>43997</v>
      </c>
      <c r="C34967" s="5" t="str">
        <f>IFERROR(__xludf.DUMMYFUNCTION("GOOGLETRANSLATE(B34967,""en"",""it"")"),"L'uomo finisce la canzone e sorride.")</f>
        <v>L'uomo finisce la canzone e sorride.</v>
      </c>
    </row>
    <row r="34968">
      <c r="A34968" s="4" t="s">
        <v>43998</v>
      </c>
      <c r="B34968" s="4" t="s">
        <v>43999</v>
      </c>
      <c r="C34968" s="5" t="str">
        <f>IFERROR(__xludf.DUMMYFUNCTION("GOOGLETRANSLATE(B34968,""en"",""it"")"),"Un uomo viene visto cavalcare su uno skateboard giù per una collina in testa.")</f>
        <v>Un uomo viene visto cavalcare su uno skateboard giù per una collina in testa.</v>
      </c>
    </row>
    <row r="34969">
      <c r="A34969" s="4" t="s">
        <v>43998</v>
      </c>
      <c r="B34969" s="4" t="s">
        <v>44000</v>
      </c>
      <c r="C34969" s="5" t="str">
        <f>IFERROR(__xludf.DUMMYFUNCTION("GOOGLETRANSLATE(B34969,""en"",""it"")"),"Vengono mostrati più scatti di persone che eseguono trucchi su skateboard intorno a un'area.")</f>
        <v>Vengono mostrati più scatti di persone che eseguono trucchi su skateboard intorno a un'area.</v>
      </c>
    </row>
    <row r="34970">
      <c r="A34970" s="4" t="s">
        <v>43998</v>
      </c>
      <c r="B34970" s="4" t="s">
        <v>44001</v>
      </c>
      <c r="C34970" s="5" t="str">
        <f>IFERROR(__xludf.DUMMYFUNCTION("GOOGLETRANSLATE(B34970,""en"",""it"")"),"Le persone continuano a eseguire trucchi e vanno in giro mentre altre persone guardano sul lato.")</f>
        <v>Le persone continuano a eseguire trucchi e vanno in giro mentre altre persone guardano sul lato.</v>
      </c>
    </row>
    <row r="34971">
      <c r="A34971" s="4" t="s">
        <v>44002</v>
      </c>
      <c r="B34971" s="4" t="s">
        <v>44003</v>
      </c>
      <c r="C34971" s="5" t="str">
        <f>IFERROR(__xludf.DUMMYFUNCTION("GOOGLETRANSLATE(B34971,""en"",""it"")"),"Un gruppo di compagni di banda è fuori in un parco.")</f>
        <v>Un gruppo di compagni di banda è fuori in un parco.</v>
      </c>
    </row>
    <row r="34972">
      <c r="A34972" s="4" t="s">
        <v>44002</v>
      </c>
      <c r="B34972" s="4" t="s">
        <v>44004</v>
      </c>
      <c r="C34972" s="5" t="str">
        <f>IFERROR(__xludf.DUMMYFUNCTION("GOOGLETRANSLATE(B34972,""en"",""it"")"),"Stanno indossando abiti rivoluzionari dell'era della guerra.")</f>
        <v>Stanno indossando abiti rivoluzionari dell'era della guerra.</v>
      </c>
    </row>
    <row r="34973">
      <c r="A34973" s="4" t="s">
        <v>44002</v>
      </c>
      <c r="B34973" s="4" t="s">
        <v>44005</v>
      </c>
      <c r="C34973" s="5" t="str">
        <f>IFERROR(__xludf.DUMMYFUNCTION("GOOGLETRANSLATE(B34973,""en"",""it"")"),"Suonano la batteria all'unisono per un battito.")</f>
        <v>Suonano la batteria all'unisono per un battito.</v>
      </c>
    </row>
    <row r="34974">
      <c r="A34974" s="4" t="s">
        <v>44006</v>
      </c>
      <c r="B34974" s="4" t="s">
        <v>44007</v>
      </c>
      <c r="C34974" s="5" t="str">
        <f>IFERROR(__xludf.DUMMYFUNCTION("GOOGLETRANSLATE(B34974,""en"",""it"")"),"Un uomo viene visto inginocchiarsi su un pavimento con un po 'di tappeto e parlare alla telecamera.")</f>
        <v>Un uomo viene visto inginocchiarsi su un pavimento con un po 'di tappeto e parlare alla telecamera.</v>
      </c>
    </row>
    <row r="34975">
      <c r="A34975" s="4" t="s">
        <v>44006</v>
      </c>
      <c r="B34975" s="4" t="s">
        <v>44008</v>
      </c>
      <c r="C34975" s="5" t="str">
        <f>IFERROR(__xludf.DUMMYFUNCTION("GOOGLETRANSLATE(B34975,""en"",""it"")"),"Si stacca gli strati e inizia a strofinare sul tappeto.")</f>
        <v>Si stacca gli strati e inizia a strofinare sul tappeto.</v>
      </c>
    </row>
    <row r="34976">
      <c r="A34976" s="4" t="s">
        <v>44006</v>
      </c>
      <c r="B34976" s="4" t="s">
        <v>44009</v>
      </c>
      <c r="C34976" s="5" t="str">
        <f>IFERROR(__xludf.DUMMYFUNCTION("GOOGLETRANSLATE(B34976,""en"",""it"")"),"Versa liquido sul tappeto e lo picchia con un tovagliolo di carta.")</f>
        <v>Versa liquido sul tappeto e lo picchia con un tovagliolo di carta.</v>
      </c>
    </row>
    <row r="34977">
      <c r="A34977" s="4" t="s">
        <v>44006</v>
      </c>
      <c r="B34977" s="4" t="s">
        <v>44010</v>
      </c>
      <c r="C34977" s="5" t="str">
        <f>IFERROR(__xludf.DUMMYFUNCTION("GOOGLETRANSLATE(B34977,""en"",""it"")"),"Alla fine la persona aspira il tappeto e viene vista in piedi accanto al vuoto.")</f>
        <v>Alla fine la persona aspira il tappeto e viene vista in piedi accanto al vuoto.</v>
      </c>
    </row>
    <row r="34978">
      <c r="A34978" s="4" t="s">
        <v>44011</v>
      </c>
      <c r="B34978" s="6" t="s">
        <v>44012</v>
      </c>
      <c r="C34978" s="5" t="str">
        <f>IFERROR(__xludf.DUMMYFUNCTION("GOOGLETRANSLATE(B34978,""en"",""it"")"),"Tre persone sono in palestra, uno dei maschi si inginocchia e masturba un bar mentre l'altro fa un massaggio a una donna.")</f>
        <v>Tre persone sono in palestra, uno dei maschi si inginocchia e masturba un bar mentre l'altro fa un massaggio a una donna.</v>
      </c>
    </row>
    <row r="34979">
      <c r="A34979" s="4" t="s">
        <v>44011</v>
      </c>
      <c r="B34979" s="6" t="s">
        <v>44013</v>
      </c>
      <c r="C34979" s="5" t="str">
        <f>IFERROR(__xludf.DUMMYFUNCTION("GOOGLETRANSLATE(B34979,""en"",""it"")"),"Il maschio con la barra solleva i pesi, lo lascia cadere e poi salta di gioia che ha sollevato il peso, lascia cadere la cintura e cammina.")</f>
        <v>Il maschio con la barra solleva i pesi, lo lascia cadere e poi salta di gioia che ha sollevato il peso, lascia cadere la cintura e cammina.</v>
      </c>
    </row>
    <row r="34980">
      <c r="A34980" s="4" t="s">
        <v>44014</v>
      </c>
      <c r="B34980" s="4" t="s">
        <v>44015</v>
      </c>
      <c r="C34980" s="5" t="str">
        <f>IFERROR(__xludf.DUMMYFUNCTION("GOOGLETRANSLATE(B34980,""en"",""it"")"),"Un bambino piccolo viene visto regolare la telecamera e mostrarsi dalla sua faccia.")</f>
        <v>Un bambino piccolo viene visto regolare la telecamera e mostrarsi dalla sua faccia.</v>
      </c>
    </row>
    <row r="34981">
      <c r="A34981" s="4" t="s">
        <v>44014</v>
      </c>
      <c r="B34981" s="4" t="s">
        <v>44016</v>
      </c>
      <c r="C34981" s="5" t="str">
        <f>IFERROR(__xludf.DUMMYFUNCTION("GOOGLETRANSLATE(B34981,""en"",""it"")"),"Afferra un po 'di trucco e inizia a metterlo su tutto il viso.")</f>
        <v>Afferra un po 'di trucco e inizia a metterlo su tutto il viso.</v>
      </c>
    </row>
    <row r="34982">
      <c r="A34982" s="4" t="s">
        <v>44014</v>
      </c>
      <c r="B34982" s="4" t="s">
        <v>44017</v>
      </c>
      <c r="C34982" s="5" t="str">
        <f>IFERROR(__xludf.DUMMYFUNCTION("GOOGLETRANSLATE(B34982,""en"",""it"")"),"Continua a truccarsi e mostrarlo alla telecamera.")</f>
        <v>Continua a truccarsi e mostrarlo alla telecamera.</v>
      </c>
    </row>
    <row r="34983">
      <c r="A34983" s="4" t="s">
        <v>44018</v>
      </c>
      <c r="B34983" s="4" t="s">
        <v>44019</v>
      </c>
      <c r="C34983" s="5" t="str">
        <f>IFERROR(__xludf.DUMMYFUNCTION("GOOGLETRANSLATE(B34983,""en"",""it"")"),"Un uomo corre lungo una pista.")</f>
        <v>Un uomo corre lungo una pista.</v>
      </c>
    </row>
    <row r="34984">
      <c r="A34984" s="4" t="s">
        <v>44018</v>
      </c>
      <c r="B34984" s="4" t="s">
        <v>44020</v>
      </c>
      <c r="C34984" s="5" t="str">
        <f>IFERROR(__xludf.DUMMYFUNCTION("GOOGLETRANSLATE(B34984,""en"",""it"")"),"L'uomo salta alla fine della pista.")</f>
        <v>L'uomo salta alla fine della pista.</v>
      </c>
    </row>
    <row r="34985">
      <c r="A34985" s="4" t="s">
        <v>44018</v>
      </c>
      <c r="B34985" s="4" t="s">
        <v>44021</v>
      </c>
      <c r="C34985" s="5" t="str">
        <f>IFERROR(__xludf.DUMMYFUNCTION("GOOGLETRANSLATE(B34985,""en"",""it"")"),"Il salto dell'uomo è mostrato da diverse angolazioni e in rallentamento.")</f>
        <v>Il salto dell'uomo è mostrato da diverse angolazioni e in rallentamento.</v>
      </c>
    </row>
    <row r="34986">
      <c r="A34986" s="4" t="s">
        <v>44022</v>
      </c>
      <c r="B34986" s="4" t="s">
        <v>44023</v>
      </c>
      <c r="C34986" s="5" t="str">
        <f>IFERROR(__xludf.DUMMYFUNCTION("GOOGLETRANSLATE(B34986,""en"",""it"")"),"Una telecamera si lancia intorno a grandi edifici cittadini e conduce a persone in sella a motocross bici.")</f>
        <v>Una telecamera si lancia intorno a grandi edifici cittadini e conduce a persone in sella a motocross bici.</v>
      </c>
    </row>
    <row r="34987">
      <c r="A34987" s="4" t="s">
        <v>44022</v>
      </c>
      <c r="B34987" s="6" t="s">
        <v>44024</v>
      </c>
      <c r="C34987" s="5" t="str">
        <f>IFERROR(__xludf.DUMMYFUNCTION("GOOGLETRANSLATE(B34987,""en"",""it"")"),"Si vedono più clip di persone che eseguono trucchi in bici mentre centinaia guardano a margine.")</f>
        <v>Si vedono più clip di persone che eseguono trucchi in bici mentre centinaia guardano a margine.</v>
      </c>
    </row>
    <row r="34988">
      <c r="A34988" s="4" t="s">
        <v>44022</v>
      </c>
      <c r="B34988" s="4" t="s">
        <v>44025</v>
      </c>
      <c r="C34988" s="5" t="str">
        <f>IFERROR(__xludf.DUMMYFUNCTION("GOOGLETRANSLATE(B34988,""en"",""it"")"),"Più persone vengono viste andare in giro e agitare le mani alla fine.")</f>
        <v>Più persone vengono viste andare in giro e agitare le mani alla fine.</v>
      </c>
    </row>
    <row r="34989">
      <c r="A34989" s="4" t="s">
        <v>44026</v>
      </c>
      <c r="B34989" s="4" t="s">
        <v>44027</v>
      </c>
      <c r="C34989" s="5" t="str">
        <f>IFERROR(__xludf.DUMMYFUNCTION("GOOGLETRANSLATE(B34989,""en"",""it"")"),"Le persone iniziano a giocare a piscina.")</f>
        <v>Le persone iniziano a giocare a piscina.</v>
      </c>
    </row>
    <row r="34990">
      <c r="A34990" s="4" t="s">
        <v>44026</v>
      </c>
      <c r="B34990" s="4" t="s">
        <v>44028</v>
      </c>
      <c r="C34990" s="5" t="str">
        <f>IFERROR(__xludf.DUMMYFUNCTION("GOOGLETRANSLATE(B34990,""en"",""it"")"),"Un uomo parla alla telecamera e ride.")</f>
        <v>Un uomo parla alla telecamera e ride.</v>
      </c>
    </row>
    <row r="34991">
      <c r="A34991" s="4" t="s">
        <v>44026</v>
      </c>
      <c r="B34991" s="4" t="s">
        <v>1599</v>
      </c>
      <c r="C34991" s="5" t="str">
        <f>IFERROR(__xludf.DUMMYFUNCTION("GOOGLETRANSLATE(B34991,""en"",""it"")"),"Le parole sono mostrate sullo schermo.")</f>
        <v>Le parole sono mostrate sullo schermo.</v>
      </c>
    </row>
    <row r="34992">
      <c r="A34992" s="4" t="s">
        <v>44029</v>
      </c>
      <c r="B34992" s="4" t="s">
        <v>44030</v>
      </c>
      <c r="C34992" s="5" t="str">
        <f>IFERROR(__xludf.DUMMYFUNCTION("GOOGLETRANSLATE(B34992,""en"",""it"")"),"Quattro persone stanno facendo situp per terra.")</f>
        <v>Quattro persone stanno facendo situp per terra.</v>
      </c>
    </row>
    <row r="34993">
      <c r="A34993" s="4" t="s">
        <v>44029</v>
      </c>
      <c r="B34993" s="4" t="s">
        <v>44031</v>
      </c>
      <c r="C34993" s="5" t="str">
        <f>IFERROR(__xludf.DUMMYFUNCTION("GOOGLETRANSLATE(B34993,""en"",""it"")"),"La terza persona è messa in pausa.")</f>
        <v>La terza persona è messa in pausa.</v>
      </c>
    </row>
    <row r="34994">
      <c r="A34994" s="4" t="s">
        <v>44029</v>
      </c>
      <c r="B34994" s="4" t="s">
        <v>44032</v>
      </c>
      <c r="C34994" s="5" t="str">
        <f>IFERROR(__xludf.DUMMYFUNCTION("GOOGLETRANSLATE(B34994,""en"",""it"")"),"La persona più lontana è appena visibile.")</f>
        <v>La persona più lontana è appena visibile.</v>
      </c>
    </row>
    <row r="34995">
      <c r="A34995" s="4" t="s">
        <v>44033</v>
      </c>
      <c r="B34995" s="4" t="s">
        <v>44034</v>
      </c>
      <c r="C34995" s="5" t="str">
        <f>IFERROR(__xludf.DUMMYFUNCTION("GOOGLETRANSLATE(B34995,""en"",""it"")"),"Le persone si trovano in giro per un'arena indossando cappelli da cowboy.")</f>
        <v>Le persone si trovano in giro per un'arena indossando cappelli da cowboy.</v>
      </c>
    </row>
    <row r="34996">
      <c r="A34996" s="4" t="s">
        <v>44033</v>
      </c>
      <c r="B34996" s="4" t="s">
        <v>44035</v>
      </c>
      <c r="C34996" s="5" t="str">
        <f>IFERROR(__xludf.DUMMYFUNCTION("GOOGLETRANSLATE(B34996,""en"",""it"")"),"Rilasciano un vitello da una scatola.")</f>
        <v>Rilasciano un vitello da una scatola.</v>
      </c>
    </row>
    <row r="34997">
      <c r="A34997" s="4" t="s">
        <v>44033</v>
      </c>
      <c r="B34997" s="4" t="s">
        <v>44036</v>
      </c>
      <c r="C34997" s="5" t="str">
        <f>IFERROR(__xludf.DUMMYFUNCTION("GOOGLETRANSLATE(B34997,""en"",""it"")"),"Un uomo su un cavallo corre dopo il vitello.")</f>
        <v>Un uomo su un cavallo corre dopo il vitello.</v>
      </c>
    </row>
    <row r="34998">
      <c r="A34998" s="4" t="s">
        <v>44033</v>
      </c>
      <c r="B34998" s="4" t="s">
        <v>44037</v>
      </c>
      <c r="C34998" s="5" t="str">
        <f>IFERROR(__xludf.DUMMYFUNCTION("GOOGLETRANSLATE(B34998,""en"",""it"")"),"Lega le gambe del vitello e si alza e si allontana.")</f>
        <v>Lega le gambe del vitello e si alza e si allontana.</v>
      </c>
    </row>
    <row r="34999">
      <c r="A34999" s="4" t="s">
        <v>44038</v>
      </c>
      <c r="B34999" s="6" t="s">
        <v>44039</v>
      </c>
      <c r="C34999" s="5" t="str">
        <f>IFERROR(__xludf.DUMMYFUNCTION("GOOGLETRANSLATE(B34999,""en"",""it"")"),"Un uomo è in piedi su un lavandino e con la mano destra che tiene un trapano che ha una patata attaccata alla fine di esso, e la mano destra tiene la pelapatrice della mano mentre il trapano sposta la patata e la pelapatrice la stacca.")</f>
        <v>Un uomo è in piedi su un lavandino e con la mano destra che tiene un trapano che ha una patata attaccata alla fine di esso, e la mano destra tiene la pelapatrice della mano mentre il trapano sposta la patata e la pelapatrice la stacca.</v>
      </c>
    </row>
    <row r="35000">
      <c r="A35000" s="4" t="s">
        <v>44038</v>
      </c>
      <c r="B35000" s="6" t="s">
        <v>44040</v>
      </c>
      <c r="C35000" s="5" t="str">
        <f>IFERROR(__xludf.DUMMYFUNCTION("GOOGLETRANSLATE(B35000,""en"",""it"")"),"L'uomo interrompe temporaneamente il trapano per estrarre un piccolo pezzo di patata e un lungo pezzo di metallo viene mostrato sporgere dal trapano.")</f>
        <v>L'uomo interrompe temporaneamente il trapano per estrarre un piccolo pezzo di patata e un lungo pezzo di metallo viene mostrato sporgere dal trapano.</v>
      </c>
    </row>
    <row r="35001">
      <c r="A35001" s="4" t="s">
        <v>44038</v>
      </c>
      <c r="B35001" s="4" t="s">
        <v>44041</v>
      </c>
      <c r="C35001" s="5" t="str">
        <f>IFERROR(__xludf.DUMMYFUNCTION("GOOGLETRANSLATE(B35001,""en"",""it"")"),"L'uomo mette quindi un'altra patata sul pezzo di metallo appuntito e continua a sbucciare la patata.")</f>
        <v>L'uomo mette quindi un'altra patata sul pezzo di metallo appuntito e continua a sbucciare la patata.</v>
      </c>
    </row>
    <row r="35002">
      <c r="A35002" s="4" t="s">
        <v>44038</v>
      </c>
      <c r="B35002" s="6" t="s">
        <v>44042</v>
      </c>
      <c r="C35002" s="5" t="str">
        <f>IFERROR(__xludf.DUMMYFUNCTION("GOOGLETRANSLATE(B35002,""en"",""it"")"),"Ancora una volta si ferma e poi pulisce il suo pedalato e poi torna a sbucciare il resto della patata.")</f>
        <v>Ancora una volta si ferma e poi pulisce il suo pedalato e poi torna a sbucciare il resto della patata.</v>
      </c>
    </row>
    <row r="35003">
      <c r="A35003" s="4" t="s">
        <v>44038</v>
      </c>
      <c r="B35003" s="6" t="s">
        <v>44043</v>
      </c>
      <c r="C35003" s="5" t="str">
        <f>IFERROR(__xludf.DUMMYFUNCTION("GOOGLETRANSLATE(B35003,""en"",""it"")"),"L'uomo ferma il trapano per l'ultima volta, lascia andare e pulisce ancora una volta il pelapacchino con entrambe le mani mentre getta il contenuto nel lavandino e.")</f>
        <v>L'uomo ferma il trapano per l'ultima volta, lascia andare e pulisce ancora una volta il pelapacchino con entrambe le mani mentre getta il contenuto nel lavandino e.</v>
      </c>
    </row>
    <row r="35004">
      <c r="A35004" s="4" t="s">
        <v>44044</v>
      </c>
      <c r="B35004" s="4" t="s">
        <v>44045</v>
      </c>
      <c r="C35004" s="5" t="str">
        <f>IFERROR(__xludf.DUMMYFUNCTION("GOOGLETRANSLATE(B35004,""en"",""it"")"),"Una signora si alza dal suo posto e vediamo l'orchestra suonare musica.")</f>
        <v>Una signora si alza dal suo posto e vediamo l'orchestra suonare musica.</v>
      </c>
    </row>
    <row r="35005">
      <c r="A35005" s="4" t="s">
        <v>44044</v>
      </c>
      <c r="B35005" s="4" t="s">
        <v>44046</v>
      </c>
      <c r="C35005" s="5" t="str">
        <f>IFERROR(__xludf.DUMMYFUNCTION("GOOGLETRANSLATE(B35005,""en"",""it"")"),"La donna fa una routine di danza del ventre sul palco.")</f>
        <v>La donna fa una routine di danza del ventre sul palco.</v>
      </c>
    </row>
    <row r="35006">
      <c r="A35006" s="4" t="s">
        <v>44044</v>
      </c>
      <c r="B35006" s="4" t="s">
        <v>44047</v>
      </c>
      <c r="C35006" s="5" t="str">
        <f>IFERROR(__xludf.DUMMYFUNCTION("GOOGLETRANSLATE(B35006,""en"",""it"")"),"Vediamo una telecamera entrare in scena a destra.")</f>
        <v>Vediamo una telecamera entrare in scena a destra.</v>
      </c>
    </row>
    <row r="35007">
      <c r="A35007" s="4" t="s">
        <v>44044</v>
      </c>
      <c r="B35007" s="4" t="s">
        <v>44048</v>
      </c>
      <c r="C35007" s="5" t="str">
        <f>IFERROR(__xludf.DUMMYFUNCTION("GOOGLETRANSLATE(B35007,""en"",""it"")"),"Vediamo la parte posteriore della testa di un uomo.")</f>
        <v>Vediamo la parte posteriore della testa di un uomo.</v>
      </c>
    </row>
    <row r="35008">
      <c r="A35008" s="4" t="s">
        <v>44044</v>
      </c>
      <c r="B35008" s="4" t="s">
        <v>44049</v>
      </c>
      <c r="C35008" s="5" t="str">
        <f>IFERROR(__xludf.DUMMYFUNCTION("GOOGLETRANSLATE(B35008,""en"",""it"")"),"Vediamo quindi la donna accanto all'uomo.")</f>
        <v>Vediamo quindi la donna accanto all'uomo.</v>
      </c>
    </row>
    <row r="35009">
      <c r="A35009" s="4" t="s">
        <v>44044</v>
      </c>
      <c r="B35009" s="4" t="s">
        <v>44050</v>
      </c>
      <c r="C35009" s="5" t="str">
        <f>IFERROR(__xludf.DUMMYFUNCTION("GOOGLETRANSLATE(B35009,""en"",""it"")"),"La donna finisce la danza e raccoglie il suo avvolgimento.")</f>
        <v>La donna finisce la danza e raccoglie il suo avvolgimento.</v>
      </c>
    </row>
    <row r="35010">
      <c r="A35010" s="4" t="s">
        <v>44044</v>
      </c>
      <c r="B35010" s="4" t="s">
        <v>44051</v>
      </c>
      <c r="C35010" s="5" t="str">
        <f>IFERROR(__xludf.DUMMYFUNCTION("GOOGLETRANSLATE(B35010,""en"",""it"")"),"Vediamo una signora cupa con in mano un microfono.")</f>
        <v>Vediamo una signora cupa con in mano un microfono.</v>
      </c>
    </row>
    <row r="35011">
      <c r="A35011" s="4" t="s">
        <v>44052</v>
      </c>
      <c r="B35011" s="4" t="s">
        <v>44053</v>
      </c>
      <c r="C35011" s="5" t="str">
        <f>IFERROR(__xludf.DUMMYFUNCTION("GOOGLETRANSLATE(B35011,""en"",""it"")"),"Un uomo sta mordando un pavimento del bagno pubblico sporco.")</f>
        <v>Un uomo sta mordando un pavimento del bagno pubblico sporco.</v>
      </c>
    </row>
    <row r="35012">
      <c r="A35012" s="4" t="s">
        <v>44052</v>
      </c>
      <c r="B35012" s="4" t="s">
        <v>44054</v>
      </c>
      <c r="C35012" s="5" t="str">
        <f>IFERROR(__xludf.DUMMYFUNCTION("GOOGLETRANSLATE(B35012,""en"",""it"")"),"Spinge il mocio avanti e indietro, rendendo il pavimento pulito e lucido.")</f>
        <v>Spinge il mocio avanti e indietro, rendendo il pavimento pulito e lucido.</v>
      </c>
    </row>
    <row r="35013">
      <c r="A35013" s="4" t="s">
        <v>44055</v>
      </c>
      <c r="B35013" s="4" t="s">
        <v>44056</v>
      </c>
      <c r="C35013" s="5" t="str">
        <f>IFERROR(__xludf.DUMMYFUNCTION("GOOGLETRANSLATE(B35013,""en"",""it"")"),"Un grande uomo vestito da Batman sta correndo facendo strane cose senza senso.")</f>
        <v>Un grande uomo vestito da Batman sta correndo facendo strane cose senza senso.</v>
      </c>
    </row>
    <row r="35014">
      <c r="A35014" s="4" t="s">
        <v>44055</v>
      </c>
      <c r="B35014" s="6" t="s">
        <v>44057</v>
      </c>
      <c r="C35014" s="5" t="str">
        <f>IFERROR(__xludf.DUMMYFUNCTION("GOOGLETRANSLATE(B35014,""en"",""it"")"),"Corre all'interno della casa e inizia a iniziare a dare istruzioni su come preparare il panino Batman perfetto.")</f>
        <v>Corre all'interno della casa e inizia a iniziare a dare istruzioni su come preparare il panino Batman perfetto.</v>
      </c>
    </row>
    <row r="35015">
      <c r="A35015" s="4" t="s">
        <v>44055</v>
      </c>
      <c r="B35015" s="4" t="s">
        <v>44058</v>
      </c>
      <c r="C35015" s="5" t="str">
        <f>IFERROR(__xludf.DUMMYFUNCTION("GOOGLETRANSLATE(B35015,""en"",""it"")"),"Sta tagliando il formaggio e aggiunge prosciutto al sandwich.")</f>
        <v>Sta tagliando il formaggio e aggiunge prosciutto al sandwich.</v>
      </c>
    </row>
    <row r="35016">
      <c r="A35016" s="4" t="s">
        <v>44055</v>
      </c>
      <c r="B35016" s="4" t="s">
        <v>44059</v>
      </c>
      <c r="C35016" s="5" t="str">
        <f>IFERROR(__xludf.DUMMYFUNCTION("GOOGLETRANSLATE(B35016,""en"",""it"")"),"Taglia persino il pane in forma di Batman prima di essere finalmente finito.")</f>
        <v>Taglia persino il pane in forma di Batman prima di essere finalmente finito.</v>
      </c>
    </row>
    <row r="35017">
      <c r="A35017" s="4" t="s">
        <v>44060</v>
      </c>
      <c r="B35017" s="4" t="s">
        <v>44061</v>
      </c>
      <c r="C35017" s="5" t="str">
        <f>IFERROR(__xludf.DUMMYFUNCTION("GOOGLETRANSLATE(B35017,""en"",""it"")"),"Due uomini si trovano in una piccola boxe di palestra e si combattono l'un l'altro.")</f>
        <v>Due uomini si trovano in una piccola boxe di palestra e si combattono l'un l'altro.</v>
      </c>
    </row>
    <row r="35018">
      <c r="A35018" s="4" t="s">
        <v>44060</v>
      </c>
      <c r="B35018" s="4" t="s">
        <v>44062</v>
      </c>
      <c r="C35018" s="5" t="str">
        <f>IFERROR(__xludf.DUMMYFUNCTION("GOOGLETRANSLATE(B35018,""en"",""it"")"),"Continuano a combattere e colpirsi l'un l'altro mentre una persona si trova nell'angolo mostrando loro.")</f>
        <v>Continuano a combattere e colpirsi l'un l'altro mentre una persona si trova nell'angolo mostrando loro.</v>
      </c>
    </row>
    <row r="35019">
      <c r="A35019" s="4" t="s">
        <v>44060</v>
      </c>
      <c r="B35019" s="4" t="s">
        <v>44063</v>
      </c>
      <c r="C35019" s="5" t="str">
        <f>IFERROR(__xludf.DUMMYFUNCTION("GOOGLETRANSLATE(B35019,""en"",""it"")"),"Dopo un po 'di tempo, finiscono di combattere e si trovano ancora uno di fronte all'altro in palestra.")</f>
        <v>Dopo un po 'di tempo, finiscono di combattere e si trovano ancora uno di fronte all'altro in palestra.</v>
      </c>
    </row>
    <row r="35020">
      <c r="A35020" s="4" t="s">
        <v>44064</v>
      </c>
      <c r="B35020" s="4" t="s">
        <v>44065</v>
      </c>
      <c r="C35020" s="5" t="str">
        <f>IFERROR(__xludf.DUMMYFUNCTION("GOOGLETRANSLATE(B35020,""en"",""it"")"),"Un uomo in giacca e cravatta si legge da un documento.")</f>
        <v>Un uomo in giacca e cravatta si legge da un documento.</v>
      </c>
    </row>
    <row r="35021">
      <c r="A35021" s="4" t="s">
        <v>44064</v>
      </c>
      <c r="B35021" s="4" t="s">
        <v>44066</v>
      </c>
      <c r="C35021" s="5" t="str">
        <f>IFERROR(__xludf.DUMMYFUNCTION("GOOGLETRANSLATE(B35021,""en"",""it"")"),"Una donna inizia quindi a segnalare una notizia.")</f>
        <v>Una donna inizia quindi a segnalare una notizia.</v>
      </c>
    </row>
    <row r="35022">
      <c r="A35022" s="4" t="s">
        <v>44064</v>
      </c>
      <c r="B35022" s="4" t="s">
        <v>44067</v>
      </c>
      <c r="C35022" s="5" t="str">
        <f>IFERROR(__xludf.DUMMYFUNCTION("GOOGLETRANSLATE(B35022,""en"",""it"")"),"Un ragazzo gioca l'armonica per strada.")</f>
        <v>Un ragazzo gioca l'armonica per strada.</v>
      </c>
    </row>
    <row r="35023">
      <c r="A35023" s="4" t="s">
        <v>44064</v>
      </c>
      <c r="B35023" s="4" t="s">
        <v>44068</v>
      </c>
      <c r="C35023" s="5" t="str">
        <f>IFERROR(__xludf.DUMMYFUNCTION("GOOGLETRANSLATE(B35023,""en"",""it"")"),"Si trova su un molo che racconta la sua storia.")</f>
        <v>Si trova su un molo che racconta la sua storia.</v>
      </c>
    </row>
    <row r="35024">
      <c r="A35024" s="4" t="s">
        <v>44069</v>
      </c>
      <c r="B35024" s="6" t="s">
        <v>44070</v>
      </c>
      <c r="C35024" s="5" t="str">
        <f>IFERROR(__xludf.DUMMYFUNCTION("GOOGLETRANSLATE(B35024,""en"",""it"")"),"Un uomo viene mostrato sulla telecamera facendo diverse mosse con le braccia e le gambe mentre sorride alla telecamera.")</f>
        <v>Un uomo viene mostrato sulla telecamera facendo diverse mosse con le braccia e le gambe mentre sorride alla telecamera.</v>
      </c>
    </row>
    <row r="35025">
      <c r="A35025" s="4" t="s">
        <v>44069</v>
      </c>
      <c r="B35025" s="4" t="s">
        <v>44071</v>
      </c>
      <c r="C35025" s="5" t="str">
        <f>IFERROR(__xludf.DUMMYFUNCTION("GOOGLETRANSLATE(B35025,""en"",""it"")"),"Esegue molte altre mosse lentamente e continua a parlare e sorridere alla telecamera.")</f>
        <v>Esegue molte altre mosse lentamente e continua a parlare e sorridere alla telecamera.</v>
      </c>
    </row>
    <row r="35026">
      <c r="A35026" s="4" t="s">
        <v>44072</v>
      </c>
      <c r="B35026" s="4" t="s">
        <v>44073</v>
      </c>
      <c r="C35026" s="5" t="str">
        <f>IFERROR(__xludf.DUMMYFUNCTION("GOOGLETRANSLATE(B35026,""en"",""it"")"),"Una donna sta bagnando un cane da cucciolo bianco e marrone in una vasca da bagno.")</f>
        <v>Una donna sta bagnando un cane da cucciolo bianco e marrone in una vasca da bagno.</v>
      </c>
    </row>
    <row r="35027">
      <c r="A35027" s="4" t="s">
        <v>44072</v>
      </c>
      <c r="B35027" s="4" t="s">
        <v>44074</v>
      </c>
      <c r="C35027" s="5" t="str">
        <f>IFERROR(__xludf.DUMMYFUNCTION("GOOGLETRANSLATE(B35027,""en"",""it"")"),"La donna sta usando una doccia a mano per lavare il cane.")</f>
        <v>La donna sta usando una doccia a mano per lavare il cane.</v>
      </c>
    </row>
    <row r="35028">
      <c r="A35028" s="4" t="s">
        <v>44072</v>
      </c>
      <c r="B35028" s="4" t="s">
        <v>44075</v>
      </c>
      <c r="C35028" s="5" t="str">
        <f>IFERROR(__xludf.DUMMYFUNCTION("GOOGLETRANSLATE(B35028,""en"",""it"")"),"La donna tiene il cane con le sue due zampe anteriori.")</f>
        <v>La donna tiene il cane con le sue due zampe anteriori.</v>
      </c>
    </row>
    <row r="35029">
      <c r="A35029" s="4" t="s">
        <v>44072</v>
      </c>
      <c r="B35029" s="4" t="s">
        <v>44076</v>
      </c>
      <c r="C35029" s="5" t="str">
        <f>IFERROR(__xludf.DUMMYFUNCTION("GOOGLETRANSLATE(B35029,""en"",""it"")"),"Continua a lavare il cane con la doccia.")</f>
        <v>Continua a lavare il cane con la doccia.</v>
      </c>
    </row>
    <row r="35030">
      <c r="A35030" s="4" t="s">
        <v>44077</v>
      </c>
      <c r="B35030" s="4" t="s">
        <v>44078</v>
      </c>
      <c r="C35030" s="5" t="str">
        <f>IFERROR(__xludf.DUMMYFUNCTION("GOOGLETRANSLATE(B35030,""en"",""it"")"),"Diverse persone sono a una festa.")</f>
        <v>Diverse persone sono a una festa.</v>
      </c>
    </row>
    <row r="35031">
      <c r="A35031" s="4" t="s">
        <v>44077</v>
      </c>
      <c r="B35031" s="4" t="s">
        <v>44079</v>
      </c>
      <c r="C35031" s="5" t="str">
        <f>IFERROR(__xludf.DUMMYFUNCTION("GOOGLETRANSLATE(B35031,""en"",""it"")"),"Stanno bevendo e giocando a Beer Pong.")</f>
        <v>Stanno bevendo e giocando a Beer Pong.</v>
      </c>
    </row>
    <row r="35032">
      <c r="A35032" s="4" t="s">
        <v>44077</v>
      </c>
      <c r="B35032" s="4" t="s">
        <v>44080</v>
      </c>
      <c r="C35032" s="5" t="str">
        <f>IFERROR(__xludf.DUMMYFUNCTION("GOOGLETRANSLATE(B35032,""en"",""it"")"),"Ci sono persone che ballano e guardano i loro telefoni.")</f>
        <v>Ci sono persone che ballano e guardano i loro telefoni.</v>
      </c>
    </row>
    <row r="35033">
      <c r="A35033" s="4" t="s">
        <v>44081</v>
      </c>
      <c r="B35033" s="4" t="s">
        <v>44082</v>
      </c>
      <c r="C35033" s="5" t="str">
        <f>IFERROR(__xludf.DUMMYFUNCTION("GOOGLETRANSLATE(B35033,""en"",""it"")"),"Il nome Seppe Smits appare sullo schermo seguito da ""Snow Boching 2400 ore al giorno"".")</f>
        <v>Il nome Seppe Smits appare sullo schermo seguito da "Snow Boching 2400 ore al giorno".</v>
      </c>
    </row>
    <row r="35034">
      <c r="A35034" s="4" t="s">
        <v>44081</v>
      </c>
      <c r="B35034" s="4" t="s">
        <v>44083</v>
      </c>
      <c r="C35034" s="5" t="str">
        <f>IFERROR(__xludf.DUMMYFUNCTION("GOOGLETRANSLATE(B35034,""en"",""it"")"),"Il video di Smits che inizia la sua giornata è mescolato con scatti di lui.")</f>
        <v>Il video di Smits che inizia la sua giornata è mescolato con scatti di lui.</v>
      </c>
    </row>
    <row r="35035">
      <c r="A35035" s="4" t="s">
        <v>44081</v>
      </c>
      <c r="B35035" s="4" t="s">
        <v>44084</v>
      </c>
      <c r="C35035" s="5" t="str">
        <f>IFERROR(__xludf.DUMMYFUNCTION("GOOGLETRANSLATE(B35035,""en"",""it"")"),"Gli hashtag di social media sono mostrati sullo schermo.")</f>
        <v>Gli hashtag di social media sono mostrati sullo schermo.</v>
      </c>
    </row>
    <row r="35036">
      <c r="A35036" s="4" t="s">
        <v>44085</v>
      </c>
      <c r="B35036" s="4" t="s">
        <v>44086</v>
      </c>
      <c r="C35036" s="5" t="str">
        <f>IFERROR(__xludf.DUMMYFUNCTION("GOOGLETRANSLATE(B35036,""en"",""it"")"),"La donna è in cucina a parlare con la telecamera con in mano una borsa di pasta.")</f>
        <v>La donna è in cucina a parlare con la telecamera con in mano una borsa di pasta.</v>
      </c>
    </row>
    <row r="35037">
      <c r="A35037" s="4" t="s">
        <v>44085</v>
      </c>
      <c r="B35037" s="4" t="s">
        <v>44087</v>
      </c>
      <c r="C35037" s="5" t="str">
        <f>IFERROR(__xludf.DUMMYFUNCTION("GOOGLETRANSLATE(B35037,""en"",""it"")"),"La donna prendi un po 'di pasta e li mette in acqua bollita.")</f>
        <v>La donna prendi un po 'di pasta e li mette in acqua bollita.</v>
      </c>
    </row>
    <row r="35038">
      <c r="A35038" s="4" t="s">
        <v>44085</v>
      </c>
      <c r="B35038" s="4" t="s">
        <v>44088</v>
      </c>
      <c r="C35038" s="5" t="str">
        <f>IFERROR(__xludf.DUMMYFUNCTION("GOOGLETRANSLATE(B35038,""en"",""it"")"),"La donna prendi uno spaghetti e lo mangia per vedere se viene cotto e spiega come saperlo.")</f>
        <v>La donna prendi uno spaghetti e lo mangia per vedere se viene cotto e spiega come saperlo.</v>
      </c>
    </row>
    <row r="35039">
      <c r="A35039" s="4" t="s">
        <v>44085</v>
      </c>
      <c r="B35039" s="6" t="s">
        <v>44089</v>
      </c>
      <c r="C35039" s="5" t="str">
        <f>IFERROR(__xludf.DUMMYFUNCTION("GOOGLETRANSLATE(B35039,""en"",""it"")"),"Lancia l'acqua nel lavandino e gratta il formaggio in pasta e un po 'di oegano e servila in un piatto bianco.")</f>
        <v>Lancia l'acqua nel lavandino e gratta il formaggio in pasta e un po 'di oegano e servila in un piatto bianco.</v>
      </c>
    </row>
    <row r="35040">
      <c r="A35040" s="4" t="s">
        <v>44090</v>
      </c>
      <c r="B35040" s="4" t="s">
        <v>44091</v>
      </c>
      <c r="C35040" s="5" t="str">
        <f>IFERROR(__xludf.DUMMYFUNCTION("GOOGLETRANSLATE(B35040,""en"",""it"")"),"Un gruppo di uomini si trova su una spiaggia sabbiosa che gioca a calcio mentre molte persone guardano.")</f>
        <v>Un gruppo di uomini si trova su una spiaggia sabbiosa che gioca a calcio mentre molte persone guardano.</v>
      </c>
    </row>
    <row r="35041">
      <c r="A35041" s="4" t="s">
        <v>44090</v>
      </c>
      <c r="B35041" s="6" t="s">
        <v>44092</v>
      </c>
      <c r="C35041" s="5" t="str">
        <f>IFERROR(__xludf.DUMMYFUNCTION("GOOGLETRANSLATE(B35041,""en"",""it"")"),"Un uomo prende a calci la palla molto duramente, ci fa in porta e alza le braccia in aria e dà un compagno di squadra un alto cinque e corrono tutti indietro per mettersi in posizione per il prossimo gioco.")</f>
        <v>Un uomo prende a calci la palla molto duramente, ci fa in porta e alza le braccia in aria e dà un compagno di squadra un alto cinque e corrono tutti indietro per mettersi in posizione per il prossimo gioco.</v>
      </c>
    </row>
    <row r="35042">
      <c r="A35042" s="4" t="s">
        <v>44090</v>
      </c>
      <c r="B35042" s="4" t="s">
        <v>44093</v>
      </c>
      <c r="C35042" s="5" t="str">
        <f>IFERROR(__xludf.DUMMYFUNCTION("GOOGLETRANSLATE(B35042,""en"",""it"")"),"Il replay dell'obiettivo che è stato calciato viene riprodotto ma al rallentatore.")</f>
        <v>Il replay dell'obiettivo che è stato calciato viene riprodotto ma al rallentatore.</v>
      </c>
    </row>
    <row r="35043">
      <c r="A35043" s="4" t="s">
        <v>44094</v>
      </c>
      <c r="B35043" s="4" t="s">
        <v>44095</v>
      </c>
      <c r="C35043" s="5" t="str">
        <f>IFERROR(__xludf.DUMMYFUNCTION("GOOGLETRANSLATE(B35043,""en"",""it"")"),"Un uomo tiene una macchina fotografica mentre si trova a parlare accanto a un lago.")</f>
        <v>Un uomo tiene una macchina fotografica mentre si trova a parlare accanto a un lago.</v>
      </c>
    </row>
    <row r="35044">
      <c r="A35044" s="4" t="s">
        <v>44094</v>
      </c>
      <c r="B35044" s="4" t="s">
        <v>44096</v>
      </c>
      <c r="C35044" s="5" t="str">
        <f>IFERROR(__xludf.DUMMYFUNCTION("GOOGLETRANSLATE(B35044,""en"",""it"")"),"Passa attraverso i tunnel, cammina lungo i ponti e si trova su scogliere.")</f>
        <v>Passa attraverso i tunnel, cammina lungo i ponti e si trova su scogliere.</v>
      </c>
    </row>
    <row r="35045">
      <c r="A35045" s="4" t="s">
        <v>44094</v>
      </c>
      <c r="B35045" s="4" t="s">
        <v>44097</v>
      </c>
      <c r="C35045" s="5" t="str">
        <f>IFERROR(__xludf.DUMMYFUNCTION("GOOGLETRANSLATE(B35045,""en"",""it"")"),"Guida lungo una strada e registra rafting su un fiume di acque bianche.")</f>
        <v>Guida lungo una strada e registra rafting su un fiume di acque bianche.</v>
      </c>
    </row>
    <row r="35046">
      <c r="A35046" s="4" t="s">
        <v>44094</v>
      </c>
      <c r="B35046" s="4" t="s">
        <v>44098</v>
      </c>
      <c r="C35046" s="5" t="str">
        <f>IFERROR(__xludf.DUMMYFUNCTION("GOOGLETRANSLATE(B35046,""en"",""it"")"),"Le persone vengono mostrate immergersi in acque profonde al largo delle scogliere prima di rafting.")</f>
        <v>Le persone vengono mostrate immergersi in acque profonde al largo delle scogliere prima di rafting.</v>
      </c>
    </row>
    <row r="35047">
      <c r="A35047" s="4" t="s">
        <v>44099</v>
      </c>
      <c r="B35047" s="4" t="s">
        <v>44100</v>
      </c>
      <c r="C35047" s="5" t="str">
        <f>IFERROR(__xludf.DUMMYFUNCTION("GOOGLETRANSLATE(B35047,""en"",""it"")"),"Una telecamera si muove sulla schiena di un uomo seguito da un uomo che esegue un'immersione lanciante in una piscina.")</f>
        <v>Una telecamera si muove sulla schiena di un uomo seguito da un uomo che esegue un'immersione lanciante in una piscina.</v>
      </c>
    </row>
    <row r="35048">
      <c r="A35048" s="4" t="s">
        <v>44099</v>
      </c>
      <c r="B35048" s="4" t="s">
        <v>44101</v>
      </c>
      <c r="C35048" s="5" t="str">
        <f>IFERROR(__xludf.DUMMYFUNCTION("GOOGLETRANSLATE(B35048,""en"",""it"")"),"Viene mostrato due volte più che si esibiscono immersioni impressionanti dalla tavola da immersione e in piscina.")</f>
        <v>Viene mostrato due volte più che si esibiscono immersioni impressionanti dalla tavola da immersione e in piscina.</v>
      </c>
    </row>
    <row r="35049">
      <c r="A35049" s="4" t="s">
        <v>44102</v>
      </c>
      <c r="B35049" s="4" t="s">
        <v>44103</v>
      </c>
      <c r="C35049" s="5" t="str">
        <f>IFERROR(__xludf.DUMMYFUNCTION("GOOGLETRANSLATE(B35049,""en"",""it"")"),"Una persona viene vista uscire da un'auto e camminare fino al bagagliaio per prendere una tavola da surf.")</f>
        <v>Una persona viene vista uscire da un'auto e camminare fino al bagagliaio per prendere una tavola da surf.</v>
      </c>
    </row>
    <row r="35050">
      <c r="A35050" s="4" t="s">
        <v>44102</v>
      </c>
      <c r="B35050" s="4" t="s">
        <v>44104</v>
      </c>
      <c r="C35050" s="5" t="str">
        <f>IFERROR(__xludf.DUMMYFUNCTION("GOOGLETRANSLATE(B35050,""en"",""it"")"),"La persona viene quindi vista indossare un abito e correre lungo un lungomare seguito da lui surf.")</f>
        <v>La persona viene quindi vista indossare un abito e correre lungo un lungomare seguito da lui surf.</v>
      </c>
    </row>
    <row r="35051">
      <c r="A35051" s="4" t="s">
        <v>44102</v>
      </c>
      <c r="B35051" s="4" t="s">
        <v>44105</v>
      </c>
      <c r="C35051" s="5" t="str">
        <f>IFERROR(__xludf.DUMMYFUNCTION("GOOGLETRANSLATE(B35051,""en"",""it"")"),"L'uomo scivola lungo l'acqua al rallentatore e viene quindi visto parlare alla telecamera.")</f>
        <v>L'uomo scivola lungo l'acqua al rallentatore e viene quindi visto parlare alla telecamera.</v>
      </c>
    </row>
    <row r="35052">
      <c r="A35052" s="4" t="s">
        <v>44106</v>
      </c>
      <c r="B35052" s="6" t="s">
        <v>44107</v>
      </c>
      <c r="C35052" s="5" t="str">
        <f>IFERROR(__xludf.DUMMYFUNCTION("GOOGLETRANSLATE(B35052,""en"",""it"")"),"Una donna bionda è seduta su un letto in una camera d'albergo che si gira in uno specchio con un telefono bianco e parla con la telecamera.")</f>
        <v>Una donna bionda è seduta su un letto in una camera d'albergo che si gira in uno specchio con un telefono bianco e parla con la telecamera.</v>
      </c>
    </row>
    <row r="35053">
      <c r="A35053" s="4" t="s">
        <v>44106</v>
      </c>
      <c r="B35053" s="6" t="s">
        <v>44108</v>
      </c>
      <c r="C35053" s="5" t="str">
        <f>IFERROR(__xludf.DUMMYFUNCTION("GOOGLETRANSLATE(B35053,""en"",""it"")"),"La donna si alza e punta la telecamera verso la porta nel bagno dove un uomo sta lavando le sue scarpe da ginnastica nel lavandino con un pennello.")</f>
        <v>La donna si alza e punta la telecamera verso la porta nel bagno dove un uomo sta lavando le sue scarpe da ginnastica nel lavandino con un pennello.</v>
      </c>
    </row>
    <row r="35054">
      <c r="A35054" s="4" t="s">
        <v>44106</v>
      </c>
      <c r="B35054" s="6" t="s">
        <v>44109</v>
      </c>
      <c r="C35054" s="5" t="str">
        <f>IFERROR(__xludf.DUMMYFUNCTION("GOOGLETRANSLATE(B35054,""en"",""it"")"),"La donna bionda torna nella stanza e mostra tutte le varie coppie di scarpe da ginnastica che l'uomo ha sdraiato in tutta la camera d'albergo.")</f>
        <v>La donna bionda torna nella stanza e mostra tutte le varie coppie di scarpe da ginnastica che l'uomo ha sdraiato in tutta la camera d'albergo.</v>
      </c>
    </row>
    <row r="35055">
      <c r="A35055" s="4" t="s">
        <v>44106</v>
      </c>
      <c r="B35055" s="6" t="s">
        <v>44110</v>
      </c>
      <c r="C35055" s="5" t="str">
        <f>IFERROR(__xludf.DUMMYFUNCTION("GOOGLETRANSLATE(B35055,""en"",""it"")"),"La donna bionda torna in bagno e video registra l'uomo che tiene le scarpe da ginnastica bianche.")</f>
        <v>La donna bionda torna in bagno e video registra l'uomo che tiene le scarpe da ginnastica bianche.</v>
      </c>
    </row>
    <row r="35056">
      <c r="A35056" s="4" t="s">
        <v>44106</v>
      </c>
      <c r="B35056" s="6" t="s">
        <v>44111</v>
      </c>
      <c r="C35056" s="5" t="str">
        <f>IFERROR(__xludf.DUMMYFUNCTION("GOOGLETRANSLATE(B35056,""en"",""it"")"),"L'uomo è ora fuori mettendo il nastro di smalto e plastica sulle scarpe da ginnastica e le sta descrivendo in dettaglio con uno spazzolino da denti.")</f>
        <v>L'uomo è ora fuori mettendo il nastro di smalto e plastica sulle scarpe da ginnastica e le sta descrivendo in dettaglio con uno spazzolino da denti.</v>
      </c>
    </row>
    <row r="35057">
      <c r="A35057" s="4" t="s">
        <v>44106</v>
      </c>
      <c r="B35057" s="4" t="s">
        <v>44112</v>
      </c>
      <c r="C35057" s="5" t="str">
        <f>IFERROR(__xludf.DUMMYFUNCTION("GOOGLETRANSLATE(B35057,""en"",""it"")"),"Esistono varie immagini del prodotto finale delle scarpe da ginnastica pulite.")</f>
        <v>Esistono varie immagini del prodotto finale delle scarpe da ginnastica pulite.</v>
      </c>
    </row>
    <row r="35058">
      <c r="A35058" s="4" t="s">
        <v>44113</v>
      </c>
      <c r="B35058" s="6" t="s">
        <v>44114</v>
      </c>
      <c r="C35058" s="5" t="str">
        <f>IFERROR(__xludf.DUMMYFUNCTION("GOOGLETRANSLATE(B35058,""en"",""it"")"),"Un folto gruppo di persone è visto in piedi in un cerchio suonare la batteria con una persona nel mezzo istruendoli.")</f>
        <v>Un folto gruppo di persone è visto in piedi in un cerchio suonare la batteria con una persona nel mezzo istruendoli.</v>
      </c>
    </row>
    <row r="35059">
      <c r="A35059" s="4" t="s">
        <v>44113</v>
      </c>
      <c r="B35059" s="4" t="s">
        <v>44115</v>
      </c>
      <c r="C35059" s="5" t="str">
        <f>IFERROR(__xludf.DUMMYFUNCTION("GOOGLETRANSLATE(B35059,""en"",""it"")"),"La telecamera si muove intorno al gruppo suonando la batteria mentre le persone sul lato.")</f>
        <v>La telecamera si muove intorno al gruppo suonando la batteria mentre le persone sul lato.</v>
      </c>
    </row>
    <row r="35060">
      <c r="A35060" s="4" t="s">
        <v>44116</v>
      </c>
      <c r="B35060" s="4" t="s">
        <v>44117</v>
      </c>
      <c r="C35060" s="5" t="str">
        <f>IFERROR(__xludf.DUMMYFUNCTION("GOOGLETRANSLATE(B35060,""en"",""it"")"),"Una donna taglia il legno su un blocco con un'ascia.")</f>
        <v>Una donna taglia il legno su un blocco con un'ascia.</v>
      </c>
    </row>
    <row r="35061">
      <c r="A35061" s="4" t="s">
        <v>44116</v>
      </c>
      <c r="B35061" s="4" t="s">
        <v>44118</v>
      </c>
      <c r="C35061" s="5" t="str">
        <f>IFERROR(__xludf.DUMMYFUNCTION("GOOGLETRANSLATE(B35061,""en"",""it"")"),"Ha difficoltà a far uscire l'ascia dal legno.")</f>
        <v>Ha difficoltà a far uscire l'ascia dal legno.</v>
      </c>
    </row>
    <row r="35062">
      <c r="A35062" s="4" t="s">
        <v>44116</v>
      </c>
      <c r="B35062" s="4" t="s">
        <v>44119</v>
      </c>
      <c r="C35062" s="5" t="str">
        <f>IFERROR(__xludf.DUMMYFUNCTION("GOOGLETRANSLATE(B35062,""en"",""it"")"),"Qualcun altro viene e cerca di tirarlo fuori ma non possono.")</f>
        <v>Qualcun altro viene e cerca di tirarlo fuori ma non possono.</v>
      </c>
    </row>
    <row r="35063">
      <c r="A35063" s="4" t="s">
        <v>44116</v>
      </c>
      <c r="B35063" s="4" t="s">
        <v>44120</v>
      </c>
      <c r="C35063" s="5" t="str">
        <f>IFERROR(__xludf.DUMMYFUNCTION("GOOGLETRANSLATE(B35063,""en"",""it"")"),"La prima ragazza torna e continua a cercare di estrarre l'ascia dal legno.")</f>
        <v>La prima ragazza torna e continua a cercare di estrarre l'ascia dal legno.</v>
      </c>
    </row>
    <row r="35064">
      <c r="A35064" s="4" t="s">
        <v>44121</v>
      </c>
      <c r="B35064" s="4" t="s">
        <v>44122</v>
      </c>
      <c r="C35064" s="5" t="str">
        <f>IFERROR(__xludf.DUMMYFUNCTION("GOOGLETRANSLATE(B35064,""en"",""it"")"),"Un giovane uomo aggrappa i capelli di diversi uomini più anziani su una sedia da barbiere all'aperto.")</f>
        <v>Un giovane uomo aggrappa i capelli di diversi uomini più anziani su una sedia da barbiere all'aperto.</v>
      </c>
    </row>
    <row r="35065">
      <c r="A35065" s="4" t="s">
        <v>44121</v>
      </c>
      <c r="B35065" s="4" t="s">
        <v>44123</v>
      </c>
      <c r="C35065" s="5" t="str">
        <f>IFERROR(__xludf.DUMMYFUNCTION("GOOGLETRANSLATE(B35065,""en"",""it"")"),"L'uomo che taglia i capelli è all'interno di un negozio di barbiere a parlare.")</f>
        <v>L'uomo che taglia i capelli è all'interno di un negozio di barbiere a parlare.</v>
      </c>
    </row>
    <row r="35066">
      <c r="A35066" s="4" t="s">
        <v>44121</v>
      </c>
      <c r="B35066" s="4" t="s">
        <v>44124</v>
      </c>
      <c r="C35066" s="5" t="str">
        <f>IFERROR(__xludf.DUMMYFUNCTION("GOOGLETRANSLATE(B35066,""en"",""it"")"),"Vengono ancora mostrati alcuni scatti dell'uomo che taglia i capelli.")</f>
        <v>Vengono ancora mostrati alcuni scatti dell'uomo che taglia i capelli.</v>
      </c>
    </row>
    <row r="35067">
      <c r="A35067" s="4" t="s">
        <v>44121</v>
      </c>
      <c r="B35067" s="4" t="s">
        <v>44125</v>
      </c>
      <c r="C35067" s="5" t="str">
        <f>IFERROR(__xludf.DUMMYFUNCTION("GOOGLETRANSLATE(B35067,""en"",""it"")"),"L'uomo viene visto di nuovo tagliare i capelli di un uomo sulla sedia da barbiere all'aperto.")</f>
        <v>L'uomo viene visto di nuovo tagliare i capelli di un uomo sulla sedia da barbiere all'aperto.</v>
      </c>
    </row>
    <row r="35068">
      <c r="A35068" s="4" t="s">
        <v>44126</v>
      </c>
      <c r="B35068" s="4" t="s">
        <v>44127</v>
      </c>
      <c r="C35068" s="5" t="str">
        <f>IFERROR(__xludf.DUMMYFUNCTION("GOOGLETRANSLATE(B35068,""en"",""it"")"),"Un uomo sta versando colpi di alcol in un frullatore.")</f>
        <v>Un uomo sta versando colpi di alcol in un frullatore.</v>
      </c>
    </row>
    <row r="35069">
      <c r="A35069" s="4" t="s">
        <v>44126</v>
      </c>
      <c r="B35069" s="4" t="s">
        <v>44128</v>
      </c>
      <c r="C35069" s="5" t="str">
        <f>IFERROR(__xludf.DUMMYFUNCTION("GOOGLETRANSLATE(B35069,""en"",""it"")"),"Lancia insieme la bevanda.")</f>
        <v>Lancia insieme la bevanda.</v>
      </c>
    </row>
    <row r="35070">
      <c r="A35070" s="4" t="s">
        <v>44126</v>
      </c>
      <c r="B35070" s="4" t="s">
        <v>44129</v>
      </c>
      <c r="C35070" s="5" t="str">
        <f>IFERROR(__xludf.DUMMYFUNCTION("GOOGLETRANSLATE(B35070,""en"",""it"")"),"Mette fette arancioni su due occhiali.")</f>
        <v>Mette fette arancioni su due occhiali.</v>
      </c>
    </row>
    <row r="35071">
      <c r="A35071" s="4" t="s">
        <v>44126</v>
      </c>
      <c r="B35071" s="4" t="s">
        <v>44130</v>
      </c>
      <c r="C35071" s="5" t="str">
        <f>IFERROR(__xludf.DUMMYFUNCTION("GOOGLETRANSLATE(B35071,""en"",""it"")"),"Versa la bevanda dal frullatore negli occhiali e aggiunge cannucce.")</f>
        <v>Versa la bevanda dal frullatore negli occhiali e aggiunge cannucce.</v>
      </c>
    </row>
    <row r="35072">
      <c r="A35072" s="4" t="s">
        <v>44131</v>
      </c>
      <c r="B35072" s="4" t="s">
        <v>44132</v>
      </c>
      <c r="C35072" s="5" t="str">
        <f>IFERROR(__xludf.DUMMYFUNCTION("GOOGLETRANSLATE(B35072,""en"",""it"")"),"Un uomo sta scolpendo una zucca.")</f>
        <v>Un uomo sta scolpendo una zucca.</v>
      </c>
    </row>
    <row r="35073">
      <c r="A35073" s="4" t="s">
        <v>44131</v>
      </c>
      <c r="B35073" s="4" t="s">
        <v>44133</v>
      </c>
      <c r="C35073" s="5" t="str">
        <f>IFERROR(__xludf.DUMMYFUNCTION("GOOGLETRANSLATE(B35073,""en"",""it"")"),"Viene mostrato un uomo in costume di Batman.")</f>
        <v>Viene mostrato un uomo in costume di Batman.</v>
      </c>
    </row>
    <row r="35074">
      <c r="A35074" s="4" t="s">
        <v>44131</v>
      </c>
      <c r="B35074" s="4" t="s">
        <v>44134</v>
      </c>
      <c r="C35074" s="5" t="str">
        <f>IFERROR(__xludf.DUMMYFUNCTION("GOOGLETRANSLATE(B35074,""en"",""it"")"),"L'uomo continua a scolpire la zucca.")</f>
        <v>L'uomo continua a scolpire la zucca.</v>
      </c>
    </row>
    <row r="35075">
      <c r="A35075" s="4" t="s">
        <v>44131</v>
      </c>
      <c r="B35075" s="4" t="s">
        <v>44135</v>
      </c>
      <c r="C35075" s="5" t="str">
        <f>IFERROR(__xludf.DUMMYFUNCTION("GOOGLETRANSLATE(B35075,""en"",""it"")"),"Un cane sta masticando una palla blu.")</f>
        <v>Un cane sta masticando una palla blu.</v>
      </c>
    </row>
    <row r="35076">
      <c r="A35076" s="4" t="s">
        <v>44136</v>
      </c>
      <c r="B35076" s="4" t="s">
        <v>44137</v>
      </c>
      <c r="C35076" s="5" t="str">
        <f>IFERROR(__xludf.DUMMYFUNCTION("GOOGLETRANSLATE(B35076,""en"",""it"")"),"Un gruppo di giovani ragazzi viene visto passare palloni da calcio a ciascuno lungo una grande spiaggia sabbiosa.")</f>
        <v>Un gruppo di giovani ragazzi viene visto passare palloni da calcio a ciascuno lungo una grande spiaggia sabbiosa.</v>
      </c>
    </row>
    <row r="35077">
      <c r="A35077" s="4" t="s">
        <v>44136</v>
      </c>
      <c r="B35077" s="4" t="s">
        <v>44138</v>
      </c>
      <c r="C35077" s="5" t="str">
        <f>IFERROR(__xludf.DUMMYFUNCTION("GOOGLETRANSLATE(B35077,""en"",""it"")"),"Continuano a correre indietro e quarto sulla sabbia e passando la palla l'uno contro l'altro.")</f>
        <v>Continuano a correre indietro e quarto sulla sabbia e passando la palla l'uno contro l'altro.</v>
      </c>
    </row>
    <row r="35078">
      <c r="A35078" s="4" t="s">
        <v>44139</v>
      </c>
      <c r="B35078" s="4" t="s">
        <v>44140</v>
      </c>
      <c r="C35078" s="5" t="str">
        <f>IFERROR(__xludf.DUMMYFUNCTION("GOOGLETRANSLATE(B35078,""en"",""it"")"),"Un uomo è seduto lungo una strada per lucidare una scarpa.")</f>
        <v>Un uomo è seduto lungo una strada per lucidare una scarpa.</v>
      </c>
    </row>
    <row r="35079">
      <c r="A35079" s="4" t="s">
        <v>44139</v>
      </c>
      <c r="B35079" s="4" t="s">
        <v>44141</v>
      </c>
      <c r="C35079" s="5" t="str">
        <f>IFERROR(__xludf.DUMMYFUNCTION("GOOGLETRANSLATE(B35079,""en"",""it"")"),"Alcune altre persone sono sedute nelle vicinanze e molte persone lo superano.")</f>
        <v>Alcune altre persone sono sedute nelle vicinanze e molte persone lo superano.</v>
      </c>
    </row>
    <row r="35080">
      <c r="A35080" s="4" t="s">
        <v>44139</v>
      </c>
      <c r="B35080" s="4" t="s">
        <v>44142</v>
      </c>
      <c r="C35080" s="5" t="str">
        <f>IFERROR(__xludf.DUMMYFUNCTION("GOOGLETRANSLATE(B35080,""en"",""it"")"),"Una moto guida sulla strada.")</f>
        <v>Una moto guida sulla strada.</v>
      </c>
    </row>
    <row r="35081">
      <c r="A35081" s="4" t="s">
        <v>44139</v>
      </c>
      <c r="B35081" s="4" t="s">
        <v>44143</v>
      </c>
      <c r="C35081" s="5" t="str">
        <f>IFERROR(__xludf.DUMMYFUNCTION("GOOGLETRANSLATE(B35081,""en"",""it"")"),"L'uomo mette giù la scarpa e ne raccoglie un'altra per lucidare.")</f>
        <v>L'uomo mette giù la scarpa e ne raccoglie un'altra per lucidare.</v>
      </c>
    </row>
    <row r="35082">
      <c r="A35082" s="4" t="s">
        <v>44144</v>
      </c>
      <c r="B35082" s="4" t="s">
        <v>44145</v>
      </c>
      <c r="C35082" s="5" t="str">
        <f>IFERROR(__xludf.DUMMYFUNCTION("GOOGLETRANSLATE(B35082,""en"",""it"")"),"Un uomo con una polo rossa dimostra il affiliatore affilato di Kleva.")</f>
        <v>Un uomo con una polo rossa dimostra il affiliatore affilato di Kleva.</v>
      </c>
    </row>
    <row r="35083">
      <c r="A35083" s="4" t="s">
        <v>44144</v>
      </c>
      <c r="B35083" s="4" t="s">
        <v>44146</v>
      </c>
      <c r="C35083" s="5" t="str">
        <f>IFERROR(__xludf.DUMMYFUNCTION("GOOGLETRANSLATE(B35083,""en"",""it"")"),"Affina un coltello da macellaio opaco e taglia un pomodoro.")</f>
        <v>Affina un coltello da macellaio opaco e taglia un pomodoro.</v>
      </c>
    </row>
    <row r="35084">
      <c r="A35084" s="4" t="s">
        <v>44144</v>
      </c>
      <c r="B35084" s="6" t="s">
        <v>44147</v>
      </c>
      <c r="C35084" s="5" t="str">
        <f>IFERROR(__xludf.DUMMYFUNCTION("GOOGLETRANSLATE(B35084,""en"",""it"")"),"L'uomo con la polo rossa quindi affila un coltello da bistecca opaco e taglia un pomodoro a fette e poi taglia un cetriolo a fette.")</f>
        <v>L'uomo con la polo rossa quindi affila un coltello da bistecca opaco e taglia un pomodoro a fette e poi taglia un cetriolo a fette.</v>
      </c>
    </row>
    <row r="35085">
      <c r="A35085" s="4" t="s">
        <v>44144</v>
      </c>
      <c r="B35085" s="4" t="s">
        <v>44148</v>
      </c>
      <c r="C35085" s="5" t="str">
        <f>IFERROR(__xludf.DUMMYFUNCTION("GOOGLETRANSLATE(B35085,""en"",""it"")"),"L'uomo che dimostra il temperamatita Kleva, affila un clipper e taglia una carota.")</f>
        <v>L'uomo che dimostra il temperamatita Kleva, affila un clipper e taglia una carota.</v>
      </c>
    </row>
    <row r="35086">
      <c r="A35086" s="4" t="s">
        <v>44144</v>
      </c>
      <c r="B35086" s="4" t="s">
        <v>44149</v>
      </c>
      <c r="C35086" s="5" t="str">
        <f>IFERROR(__xludf.DUMMYFUNCTION("GOOGLETRANSLATE(B35086,""en"",""it"")"),"Il dimostratore quindi affila un coltello da pane sereto e taglia una pagnotta di pane.")</f>
        <v>Il dimostratore quindi affila un coltello da pane sereto e taglia una pagnotta di pane.</v>
      </c>
    </row>
    <row r="35087">
      <c r="A35087" s="4" t="s">
        <v>44144</v>
      </c>
      <c r="B35087" s="4" t="s">
        <v>44150</v>
      </c>
      <c r="C35087" s="5" t="str">
        <f>IFERROR(__xludf.DUMMYFUNCTION("GOOGLETRANSLATE(B35087,""en"",""it"")"),"Una serie di dimostrazioni di coltelli diversi che tagliano cibi diversi.")</f>
        <v>Una serie di dimostrazioni di coltelli diversi che tagliano cibi diversi.</v>
      </c>
    </row>
    <row r="35088">
      <c r="A35088" s="4" t="s">
        <v>44144</v>
      </c>
      <c r="B35088" s="4" t="s">
        <v>44151</v>
      </c>
      <c r="C35088" s="5" t="str">
        <f>IFERROR(__xludf.DUMMYFUNCTION("GOOGLETRANSLATE(B35088,""en"",""it"")"),"La temperama Kleva viene smontata dal tavolo e conservato in un cassetto del mobile.")</f>
        <v>La temperama Kleva viene smontata dal tavolo e conservato in un cassetto del mobile.</v>
      </c>
    </row>
    <row r="35089">
      <c r="A35089" s="4" t="s">
        <v>44144</v>
      </c>
      <c r="B35089" s="4" t="s">
        <v>44152</v>
      </c>
      <c r="C35089" s="5" t="str">
        <f>IFERROR(__xludf.DUMMYFUNCTION("GOOGLETRANSLATE(B35089,""en"",""it"")"),"La penombra di Kleva è montata sul frigorifero su un muro e sul tavolo.")</f>
        <v>La penombra di Kleva è montata sul frigorifero su un muro e sul tavolo.</v>
      </c>
    </row>
    <row r="35090">
      <c r="A35090" s="4" t="s">
        <v>44144</v>
      </c>
      <c r="B35090" s="4" t="s">
        <v>44153</v>
      </c>
      <c r="C35090" s="5" t="str">
        <f>IFERROR(__xludf.DUMMYFUNCTION("GOOGLETRANSLATE(B35090,""en"",""it"")"),"Dimostra il meccanismo di bloccaggio.")</f>
        <v>Dimostra il meccanismo di bloccaggio.</v>
      </c>
    </row>
    <row r="35091">
      <c r="A35091" s="4" t="s">
        <v>44154</v>
      </c>
      <c r="B35091" s="4" t="s">
        <v>44155</v>
      </c>
      <c r="C35091" s="5" t="str">
        <f>IFERROR(__xludf.DUMMYFUNCTION("GOOGLETRANSLATE(B35091,""en"",""it"")"),"Una donna sta parlando mentre si trova accanto a un allenatore ellittico.")</f>
        <v>Una donna sta parlando mentre si trova accanto a un allenatore ellittico.</v>
      </c>
    </row>
    <row r="35092">
      <c r="A35092" s="4" t="s">
        <v>44154</v>
      </c>
      <c r="B35092" s="4" t="s">
        <v>44156</v>
      </c>
      <c r="C35092" s="5" t="str">
        <f>IFERROR(__xludf.DUMMYFUNCTION("GOOGLETRANSLATE(B35092,""en"",""it"")"),"Sono mostrati i meccanici della macchina ellittica.")</f>
        <v>Sono mostrati i meccanici della macchina ellittica.</v>
      </c>
    </row>
    <row r="35093">
      <c r="A35093" s="4" t="s">
        <v>44154</v>
      </c>
      <c r="B35093" s="4" t="s">
        <v>44157</v>
      </c>
      <c r="C35093" s="5" t="str">
        <f>IFERROR(__xludf.DUMMYFUNCTION("GOOGLETRANSLATE(B35093,""en"",""it"")"),"Vediamo quindi la donna sulla macchina, dimostrando come funziona.")</f>
        <v>Vediamo quindi la donna sulla macchina, dimostrando come funziona.</v>
      </c>
    </row>
    <row r="35094">
      <c r="A35094" s="4" t="s">
        <v>44158</v>
      </c>
      <c r="B35094" s="4" t="s">
        <v>44159</v>
      </c>
      <c r="C35094" s="5" t="str">
        <f>IFERROR(__xludf.DUMMYFUNCTION("GOOGLETRANSLATE(B35094,""en"",""it"")"),"Un uomo viene mostrato su una bici che guida sulla neve.")</f>
        <v>Un uomo viene mostrato su una bici che guida sulla neve.</v>
      </c>
    </row>
    <row r="35095">
      <c r="A35095" s="4" t="s">
        <v>44158</v>
      </c>
      <c r="B35095" s="4" t="s">
        <v>44160</v>
      </c>
      <c r="C35095" s="5" t="str">
        <f>IFERROR(__xludf.DUMMYFUNCTION("GOOGLETRANSLATE(B35095,""en"",""it"")"),"Quindi un altro gruppo di persone sta cavalcando un carrello attraverso la neve.")</f>
        <v>Quindi un altro gruppo di persone sta cavalcando un carrello attraverso la neve.</v>
      </c>
    </row>
    <row r="35096">
      <c r="A35096" s="4" t="s">
        <v>44158</v>
      </c>
      <c r="B35096" s="4" t="s">
        <v>44161</v>
      </c>
      <c r="C35096" s="5" t="str">
        <f>IFERROR(__xludf.DUMMYFUNCTION("GOOGLETRANSLATE(B35096,""en"",""it"")"),"Tre sciatori sono raffigurati in cima a una montagna di neve e iniziano a sciare.")</f>
        <v>Tre sciatori sono raffigurati in cima a una montagna di neve e iniziano a sciare.</v>
      </c>
    </row>
    <row r="35097">
      <c r="A35097" s="4" t="s">
        <v>44158</v>
      </c>
      <c r="B35097" s="6" t="s">
        <v>44162</v>
      </c>
      <c r="C35097" s="5" t="str">
        <f>IFERROR(__xludf.DUMMYFUNCTION("GOOGLETRANSLATE(B35097,""en"",""it"")"),"Uno sciatore viene quindi fatto su e giù con una serie di sci e persone in mountain bike e iniziano a correre.")</f>
        <v>Uno sciatore viene quindi fatto su e giù con una serie di sci e persone in mountain bike e iniziano a correre.</v>
      </c>
    </row>
    <row r="35098">
      <c r="A35098" s="4" t="s">
        <v>44163</v>
      </c>
      <c r="B35098" s="4" t="s">
        <v>44164</v>
      </c>
      <c r="C35098" s="5" t="str">
        <f>IFERROR(__xludf.DUMMYFUNCTION("GOOGLETRANSLATE(B35098,""en"",""it"")"),"Una donna mette i rulli a una giovane donna, pettinando una parte dei capelli e poi avvolge un rullo.")</f>
        <v>Una donna mette i rulli a una giovane donna, pettinando una parte dei capelli e poi avvolge un rullo.</v>
      </c>
    </row>
    <row r="35099">
      <c r="A35099" s="4" t="s">
        <v>44163</v>
      </c>
      <c r="B35099" s="4" t="s">
        <v>44165</v>
      </c>
      <c r="C35099" s="5" t="str">
        <f>IFERROR(__xludf.DUMMYFUNCTION("GOOGLETRANSLATE(B35099,""en"",""it"")"),"La giovane donna alza la mano sinistra per passare un rullo alla donna mentre prendeva.")</f>
        <v>La giovane donna alza la mano sinistra per passare un rullo alla donna mentre prendeva.</v>
      </c>
    </row>
    <row r="35100">
      <c r="A35100" s="4" t="s">
        <v>44163</v>
      </c>
      <c r="B35100" s="4" t="s">
        <v>44166</v>
      </c>
      <c r="C35100" s="5" t="str">
        <f>IFERROR(__xludf.DUMMYFUNCTION("GOOGLETRANSLATE(B35100,""en"",""it"")"),"La giovane donna mise un asciugamano davanti al suo viso.")</f>
        <v>La giovane donna mise un asciugamano davanti al suo viso.</v>
      </c>
    </row>
    <row r="35101">
      <c r="A35101" s="4" t="s">
        <v>44167</v>
      </c>
      <c r="B35101" s="4" t="s">
        <v>44168</v>
      </c>
      <c r="C35101" s="5" t="str">
        <f>IFERROR(__xludf.DUMMYFUNCTION("GOOGLETRANSLATE(B35101,""en"",""it"")"),"Diverse viste sono mostrate da una macchina da diverse angolazioni.")</f>
        <v>Diverse viste sono mostrate da una macchina da diverse angolazioni.</v>
      </c>
    </row>
    <row r="35102">
      <c r="A35102" s="4" t="s">
        <v>44167</v>
      </c>
      <c r="B35102" s="4" t="s">
        <v>44169</v>
      </c>
      <c r="C35102" s="5" t="str">
        <f>IFERROR(__xludf.DUMMYFUNCTION("GOOGLETRANSLATE(B35102,""en"",""it"")"),"Una donna usa un attaccamento per succhiare le rughe da una camicia.")</f>
        <v>Una donna usa un attaccamento per succhiare le rughe da una camicia.</v>
      </c>
    </row>
    <row r="35103">
      <c r="A35103" s="4" t="s">
        <v>44167</v>
      </c>
      <c r="B35103" s="4" t="s">
        <v>44170</v>
      </c>
      <c r="C35103" s="5" t="str">
        <f>IFERROR(__xludf.DUMMYFUNCTION("GOOGLETRANSLATE(B35103,""en"",""it"")"),"Quindi appende un paio di pantaloni e lo stira liscio, creando una piega.")</f>
        <v>Quindi appende un paio di pantaloni e lo stira liscio, creando una piega.</v>
      </c>
    </row>
    <row r="35104">
      <c r="A35104" s="4" t="s">
        <v>44171</v>
      </c>
      <c r="B35104" s="4" t="s">
        <v>44172</v>
      </c>
      <c r="C35104" s="5" t="str">
        <f>IFERROR(__xludf.DUMMYFUNCTION("GOOGLETRANSLATE(B35104,""en"",""it"")"),"Vediamo un uomo nell'angolo superiore e fuori sopra il cofano di un'auto mentre guidano.")</f>
        <v>Vediamo un uomo nell'angolo superiore e fuori sopra il cofano di un'auto mentre guidano.</v>
      </c>
    </row>
    <row r="35105">
      <c r="A35105" s="4" t="s">
        <v>44171</v>
      </c>
      <c r="B35105" s="4" t="s">
        <v>44173</v>
      </c>
      <c r="C35105" s="5" t="str">
        <f>IFERROR(__xludf.DUMMYFUNCTION("GOOGLETRANSLATE(B35105,""en"",""it"")"),"L'auto si ferma a un incrocio.")</f>
        <v>L'auto si ferma a un incrocio.</v>
      </c>
    </row>
    <row r="35106">
      <c r="A35106" s="4" t="s">
        <v>44171</v>
      </c>
      <c r="B35106" s="4" t="s">
        <v>44174</v>
      </c>
      <c r="C35106" s="5" t="str">
        <f>IFERROR(__xludf.DUMMYFUNCTION("GOOGLETRANSLATE(B35106,""en"",""it"")"),"L'auto fa un'inversione a U.")</f>
        <v>L'auto fa un'inversione a U.</v>
      </c>
    </row>
    <row r="35107">
      <c r="A35107" s="4" t="s">
        <v>44171</v>
      </c>
      <c r="B35107" s="4" t="s">
        <v>44175</v>
      </c>
      <c r="C35107" s="5" t="str">
        <f>IFERROR(__xludf.DUMMYFUNCTION("GOOGLETRANSLATE(B35107,""en"",""it"")"),"L'uomo guida in un autolavaggio ed esce.")</f>
        <v>L'uomo guida in un autolavaggio ed esce.</v>
      </c>
    </row>
    <row r="35108">
      <c r="A35108" s="4" t="s">
        <v>44171</v>
      </c>
      <c r="B35108" s="4" t="s">
        <v>44176</v>
      </c>
      <c r="C35108" s="5" t="str">
        <f>IFERROR(__xludf.DUMMYFUNCTION("GOOGLETRANSLATE(B35108,""en"",""it"")"),"La pressione dell'uomo lava il ghiaccio dalla sua auto e continua a sciacquare la sua auto.")</f>
        <v>La pressione dell'uomo lava il ghiaccio dalla sua auto e continua a sciacquare la sua auto.</v>
      </c>
    </row>
    <row r="35109">
      <c r="A35109" s="4" t="s">
        <v>44171</v>
      </c>
      <c r="B35109" s="4" t="s">
        <v>44177</v>
      </c>
      <c r="C35109" s="5" t="str">
        <f>IFERROR(__xludf.DUMMYFUNCTION("GOOGLETRANSLATE(B35109,""en"",""it"")"),"L'uomo mostra la sua macchina bagnata.")</f>
        <v>L'uomo mostra la sua macchina bagnata.</v>
      </c>
    </row>
    <row r="35110">
      <c r="A35110" s="4" t="s">
        <v>44178</v>
      </c>
      <c r="B35110" s="4" t="s">
        <v>44179</v>
      </c>
      <c r="C35110" s="5" t="str">
        <f>IFERROR(__xludf.DUMMYFUNCTION("GOOGLETRANSLATE(B35110,""en"",""it"")"),"L'uomo sta parlando con la telecamera è una giornata nevosa fuori da una casa.")</f>
        <v>L'uomo sta parlando con la telecamera è una giornata nevosa fuori da una casa.</v>
      </c>
    </row>
    <row r="35111">
      <c r="A35111" s="4" t="s">
        <v>44178</v>
      </c>
      <c r="B35111" s="4" t="s">
        <v>44180</v>
      </c>
      <c r="C35111" s="5" t="str">
        <f>IFERROR(__xludf.DUMMYFUNCTION("GOOGLETRANSLATE(B35111,""en"",""it"")"),"L'uomo tiene una pala e pulisce il sentiero dalla neve.")</f>
        <v>L'uomo tiene una pala e pulisce il sentiero dalla neve.</v>
      </c>
    </row>
    <row r="35112">
      <c r="A35112" s="4" t="s">
        <v>44178</v>
      </c>
      <c r="B35112" s="4" t="s">
        <v>44181</v>
      </c>
      <c r="C35112" s="5" t="str">
        <f>IFERROR(__xludf.DUMMYFUNCTION("GOOGLETRANSLATE(B35112,""en"",""it"")"),"Little Kid indossa abiti da neve rossi e è in piedi per una macchina.")</f>
        <v>Little Kid indossa abiti da neve rossi e è in piedi per una macchina.</v>
      </c>
    </row>
    <row r="35113">
      <c r="A35113" s="4" t="s">
        <v>44178</v>
      </c>
      <c r="B35113" s="4" t="s">
        <v>44182</v>
      </c>
      <c r="C35113" s="5" t="str">
        <f>IFERROR(__xludf.DUMMYFUNCTION("GOOGLETRANSLATE(B35113,""en"",""it"")"),"L'uomo si ferma e sta di nuovo parlando con la telecamera con la pala sulle mani.")</f>
        <v>L'uomo si ferma e sta di nuovo parlando con la telecamera con la pala sulle mani.</v>
      </c>
    </row>
    <row r="35114">
      <c r="A35114" s="4" t="s">
        <v>44183</v>
      </c>
      <c r="B35114" s="4" t="s">
        <v>44184</v>
      </c>
      <c r="C35114" s="5" t="str">
        <f>IFERROR(__xludf.DUMMYFUNCTION("GOOGLETRANSLATE(B35114,""en"",""it"")"),"Una signora in una canotta nera dà istruzioni su come asciugare i capelli di una ragazza che indossano una maglietta blu.")</f>
        <v>Una signora in una canotta nera dà istruzioni su come asciugare i capelli di una ragazza che indossano una maglietta blu.</v>
      </c>
    </row>
    <row r="35115">
      <c r="A35115" s="4" t="s">
        <v>44183</v>
      </c>
      <c r="B35115" s="6" t="s">
        <v>44185</v>
      </c>
      <c r="C35115" s="5" t="str">
        <f>IFERROR(__xludf.DUMMYFUNCTION("GOOGLETRANSLATE(B35115,""en"",""it"")"),"Lo stilista di capelli pone prima un liquido in mano e lo strofina tra i capelli e poi spazzola i capelli ai clienti.")</f>
        <v>Lo stilista di capelli pone prima un liquido in mano e lo strofina tra i capelli e poi spazzola i capelli ai clienti.</v>
      </c>
    </row>
    <row r="35116">
      <c r="A35116" s="4" t="s">
        <v>44183</v>
      </c>
      <c r="B35116" s="4" t="s">
        <v>44186</v>
      </c>
      <c r="C35116" s="5" t="str">
        <f>IFERROR(__xludf.DUMMYFUNCTION("GOOGLETRANSLATE(B35116,""en"",""it"")"),"La signora nella canotta nera usa l'asciugatrice mentre si pettina i capelli con un pennello.")</f>
        <v>La signora nella canotta nera usa l'asciugatrice mentre si pettina i capelli con un pennello.</v>
      </c>
    </row>
    <row r="35117">
      <c r="A35117" s="4" t="s">
        <v>44183</v>
      </c>
      <c r="B35117" s="4" t="s">
        <v>44187</v>
      </c>
      <c r="C35117" s="5" t="str">
        <f>IFERROR(__xludf.DUMMYFUNCTION("GOOGLETRANSLATE(B35117,""en"",""it"")"),"Scene del prodotto finito che mostrano viste secondarie e back Vies dei capelli dei modelli.")</f>
        <v>Scene del prodotto finito che mostrano viste secondarie e back Vies dei capelli dei modelli.</v>
      </c>
    </row>
    <row r="35118">
      <c r="A35118" s="4" t="s">
        <v>44188</v>
      </c>
      <c r="B35118" s="6" t="s">
        <v>44189</v>
      </c>
      <c r="C35118" s="5" t="str">
        <f>IFERROR(__xludf.DUMMYFUNCTION("GOOGLETRANSLATE(B35118,""en"",""it"")"),"Viene vista una donna che si muove su e giù su una barra di allenamento mentre vengono mostrati diversi colpi del suo esercizio.")</f>
        <v>Viene vista una donna che si muove su e giù su una barra di allenamento mentre vengono mostrati diversi colpi del suo esercizio.</v>
      </c>
    </row>
    <row r="35119">
      <c r="A35119" s="4" t="s">
        <v>44188</v>
      </c>
      <c r="B35119" s="6" t="s">
        <v>44190</v>
      </c>
      <c r="C35119" s="5" t="str">
        <f>IFERROR(__xludf.DUMMYFUNCTION("GOOGLETRANSLATE(B35119,""en"",""it"")"),"Ha mostrato di nuovo trattenere pesi e fare esercizi mentre si trova sul raggio e la posa.")</f>
        <v>Ha mostrato di nuovo trattenere pesi e fare esercizi mentre si trova sul raggio e la posa.</v>
      </c>
    </row>
    <row r="35120">
      <c r="A35120" s="4" t="s">
        <v>44191</v>
      </c>
      <c r="B35120" s="4" t="s">
        <v>44192</v>
      </c>
      <c r="C35120" s="5" t="str">
        <f>IFERROR(__xludf.DUMMYFUNCTION("GOOGLETRANSLATE(B35120,""en"",""it"")"),"L'uomo è seduto su un sedile dell'auto a guardare vicino al finestrino.")</f>
        <v>L'uomo è seduto su un sedile dell'auto a guardare vicino al finestrino.</v>
      </c>
    </row>
    <row r="35121">
      <c r="A35121" s="4" t="s">
        <v>44191</v>
      </c>
      <c r="B35121" s="4" t="s">
        <v>44193</v>
      </c>
      <c r="C35121" s="5" t="str">
        <f>IFERROR(__xludf.DUMMYFUNCTION("GOOGLETRANSLATE(B35121,""en"",""it"")"),"L'uomo sta snowboard sul pendio nevoso facendo salti alti.")</f>
        <v>L'uomo sta snowboard sul pendio nevoso facendo salti alti.</v>
      </c>
    </row>
    <row r="35122">
      <c r="A35122" s="4" t="s">
        <v>44191</v>
      </c>
      <c r="B35122" s="4" t="s">
        <v>44194</v>
      </c>
      <c r="C35122" s="5" t="str">
        <f>IFERROR(__xludf.DUMMYFUNCTION("GOOGLETRANSLATE(B35122,""en"",""it"")"),"Gli uomini sono in una stanza buia con vasi.")</f>
        <v>Gli uomini sono in una stanza buia con vasi.</v>
      </c>
    </row>
    <row r="35123">
      <c r="A35123" s="4" t="s">
        <v>44195</v>
      </c>
      <c r="B35123" s="4" t="s">
        <v>25249</v>
      </c>
      <c r="C35123" s="5" t="str">
        <f>IFERROR(__xludf.DUMMYFUNCTION("GOOGLETRANSLATE(B35123,""en"",""it"")"),"Vengono mostrati i crediti delle clip.")</f>
        <v>Vengono mostrati i crediti delle clip.</v>
      </c>
    </row>
    <row r="35124">
      <c r="A35124" s="4" t="s">
        <v>44195</v>
      </c>
      <c r="B35124" s="4" t="s">
        <v>44196</v>
      </c>
      <c r="C35124" s="5" t="str">
        <f>IFERROR(__xludf.DUMMYFUNCTION("GOOGLETRANSLATE(B35124,""en"",""it"")"),"I ragazzi giocano a polo sport su un'arena sporca.")</f>
        <v>I ragazzi giocano a polo sport su un'arena sporca.</v>
      </c>
    </row>
    <row r="35125">
      <c r="A35125" s="4" t="s">
        <v>44195</v>
      </c>
      <c r="B35125" s="4" t="s">
        <v>573</v>
      </c>
      <c r="C35125" s="5" t="str">
        <f>IFERROR(__xludf.DUMMYFUNCTION("GOOGLETRANSLATE(B35125,""en"",""it"")"),"Vengono visualizzati i crediti del video.")</f>
        <v>Vengono visualizzati i crediti del video.</v>
      </c>
    </row>
    <row r="35126">
      <c r="A35126" s="4" t="s">
        <v>44197</v>
      </c>
      <c r="B35126" s="4" t="s">
        <v>44198</v>
      </c>
      <c r="C35126" s="5" t="str">
        <f>IFERROR(__xludf.DUMMYFUNCTION("GOOGLETRANSLATE(B35126,""en"",""it"")"),"Un'introduzione conduce in un segmento Fox News con due ancore che parlano.")</f>
        <v>Un'introduzione conduce in un segmento Fox News con due ancore che parlano.</v>
      </c>
    </row>
    <row r="35127">
      <c r="A35127" s="4" t="s">
        <v>44197</v>
      </c>
      <c r="B35127" s="6" t="s">
        <v>44199</v>
      </c>
      <c r="C35127" s="5" t="str">
        <f>IFERROR(__xludf.DUMMYFUNCTION("GOOGLETRANSLATE(B35127,""en"",""it"")"),"Una donna viene quindi intervistata seguita da diverse foto di funghi e persone che parlano tra loro.")</f>
        <v>Una donna viene quindi intervistata seguita da diverse foto di funghi e persone che parlano tra loro.</v>
      </c>
    </row>
    <row r="35128">
      <c r="A35128" s="4" t="s">
        <v>44197</v>
      </c>
      <c r="B35128" s="6" t="s">
        <v>44200</v>
      </c>
      <c r="C35128" s="5" t="str">
        <f>IFERROR(__xludf.DUMMYFUNCTION("GOOGLETRANSLATE(B35128,""en"",""it"")"),"Un medico esamina un uomo e intervista la telecamera seguita da persone che utilizzano prodotti domestici e intervistano il giornalista.")</f>
        <v>Un medico esamina un uomo e intervista la telecamera seguita da persone che utilizzano prodotti domestici e intervistano il giornalista.</v>
      </c>
    </row>
    <row r="35129">
      <c r="A35129" s="4" t="s">
        <v>44201</v>
      </c>
      <c r="B35129" s="4" t="s">
        <v>1828</v>
      </c>
      <c r="C35129" s="5" t="str">
        <f>IFERROR(__xludf.DUMMYFUNCTION("GOOGLETRANSLATE(B35129,""en"",""it"")"),"Vediamo uno schermo di apertura su bianco.")</f>
        <v>Vediamo uno schermo di apertura su bianco.</v>
      </c>
    </row>
    <row r="35130">
      <c r="A35130" s="4" t="s">
        <v>44201</v>
      </c>
      <c r="B35130" s="4" t="s">
        <v>44202</v>
      </c>
      <c r="C35130" s="5" t="str">
        <f>IFERROR(__xludf.DUMMYFUNCTION("GOOGLETRANSLATE(B35130,""en"",""it"")"),"Vediamo una signora seduta sul pavimento con una scarpa, un secchio d'acqua, un pennello e un sapone.")</f>
        <v>Vediamo una signora seduta sul pavimento con una scarpa, un secchio d'acqua, un pennello e un sapone.</v>
      </c>
    </row>
    <row r="35131">
      <c r="A35131" s="4" t="s">
        <v>44201</v>
      </c>
      <c r="B35131" s="4" t="s">
        <v>44203</v>
      </c>
      <c r="C35131" s="5" t="str">
        <f>IFERROR(__xludf.DUMMYFUNCTION("GOOGLETRANSLATE(B35131,""en"",""it"")"),"La signora ci mostra gli oggetti uno alla volta.")</f>
        <v>La signora ci mostra gli oggetti uno alla volta.</v>
      </c>
    </row>
    <row r="35132">
      <c r="A35132" s="4" t="s">
        <v>44201</v>
      </c>
      <c r="B35132" s="4" t="s">
        <v>44204</v>
      </c>
      <c r="C35132" s="5" t="str">
        <f>IFERROR(__xludf.DUMMYFUNCTION("GOOGLETRANSLATE(B35132,""en"",""it"")"),"Vediamo un'illustrazione di un termometro.")</f>
        <v>Vediamo un'illustrazione di un termometro.</v>
      </c>
    </row>
    <row r="35133">
      <c r="A35133" s="4" t="s">
        <v>44201</v>
      </c>
      <c r="B35133" s="4" t="s">
        <v>44205</v>
      </c>
      <c r="C35133" s="5" t="str">
        <f>IFERROR(__xludf.DUMMYFUNCTION("GOOGLETRANSLATE(B35133,""en"",""it"")"),"Vediamo un'illustrazione di una lavatrice.")</f>
        <v>Vediamo un'illustrazione di una lavatrice.</v>
      </c>
    </row>
    <row r="35134">
      <c r="A35134" s="4" t="s">
        <v>44201</v>
      </c>
      <c r="B35134" s="4" t="s">
        <v>44206</v>
      </c>
      <c r="C35134" s="5" t="str">
        <f>IFERROR(__xludf.DUMMYFUNCTION("GOOGLETRANSLATE(B35134,""en"",""it"")"),"La signora mette la scarpa nel secchio e la strofina con un pennello.")</f>
        <v>La signora mette la scarpa nel secchio e la strofina con un pennello.</v>
      </c>
    </row>
    <row r="35135">
      <c r="A35135" s="4" t="s">
        <v>44201</v>
      </c>
      <c r="B35135" s="4" t="s">
        <v>44207</v>
      </c>
      <c r="C35135" s="5" t="str">
        <f>IFERROR(__xludf.DUMMYFUNCTION("GOOGLETRANSLATE(B35135,""en"",""it"")"),"Ci mostra la scarpa già pulita.")</f>
        <v>Ci mostra la scarpa già pulita.</v>
      </c>
    </row>
    <row r="35136">
      <c r="A35136" s="4" t="s">
        <v>44201</v>
      </c>
      <c r="B35136" s="4" t="s">
        <v>44208</v>
      </c>
      <c r="C35136" s="5" t="str">
        <f>IFERROR(__xludf.DUMMYFUNCTION("GOOGLETRANSLATE(B35136,""en"",""it"")"),"Vediamo un'illustrazione del radiatore.")</f>
        <v>Vediamo un'illustrazione del radiatore.</v>
      </c>
    </row>
    <row r="35137">
      <c r="A35137" s="4" t="s">
        <v>44201</v>
      </c>
      <c r="B35137" s="4" t="s">
        <v>44209</v>
      </c>
      <c r="C35137" s="5" t="str">
        <f>IFERROR(__xludf.DUMMYFUNCTION("GOOGLETRANSLATE(B35137,""en"",""it"")"),"La signora raccoglie il sapone e vediamo un'illustrazione di uno scaffale.")</f>
        <v>La signora raccoglie il sapone e vediamo un'illustrazione di uno scaffale.</v>
      </c>
    </row>
    <row r="35138">
      <c r="A35138" s="4" t="s">
        <v>44201</v>
      </c>
      <c r="B35138" s="4" t="s">
        <v>44210</v>
      </c>
      <c r="C35138" s="5" t="str">
        <f>IFERROR(__xludf.DUMMYFUNCTION("GOOGLETRANSLATE(B35138,""en"",""it"")"),"La schermata del titolo finale è riprodotta.")</f>
        <v>La schermata del titolo finale è riprodotta.</v>
      </c>
    </row>
    <row r="35139">
      <c r="A35139" s="4" t="s">
        <v>44211</v>
      </c>
      <c r="B35139" s="4" t="s">
        <v>44212</v>
      </c>
      <c r="C35139" s="5" t="str">
        <f>IFERROR(__xludf.DUMMYFUNCTION("GOOGLETRANSLATE(B35139,""en"",""it"")"),"Una donna e suo figlio sono fuori da una cabina seduta su un tavolo di legno che parlano tra loro.")</f>
        <v>Una donna e suo figlio sono fuori da una cabina seduta su un tavolo di legno che parlano tra loro.</v>
      </c>
    </row>
    <row r="35140">
      <c r="A35140" s="4" t="s">
        <v>44211</v>
      </c>
      <c r="B35140" s="4" t="s">
        <v>44213</v>
      </c>
      <c r="C35140" s="5" t="str">
        <f>IFERROR(__xludf.DUMMYFUNCTION("GOOGLETRANSLATE(B35140,""en"",""it"")"),"Viene mostrata la fotocamera quindi la cabina e una grande montagna di neve.")</f>
        <v>Viene mostrata la fotocamera quindi la cabina e una grande montagna di neve.</v>
      </c>
    </row>
    <row r="35141">
      <c r="A35141" s="4" t="s">
        <v>44211</v>
      </c>
      <c r="B35141" s="6" t="s">
        <v>44214</v>
      </c>
      <c r="C35141" s="5" t="str">
        <f>IFERROR(__xludf.DUMMYFUNCTION("GOOGLETRANSLATE(B35141,""en"",""it"")"),"Dopo, la donna e sua figlia sono viste su un ascensore da sci in piedi con grandi tubi di ciambella che seguono dietro di loro.")</f>
        <v>Dopo, la donna e sua figlia sono viste su un ascensore da sci in piedi con grandi tubi di ciambella che seguono dietro di loro.</v>
      </c>
    </row>
    <row r="35142">
      <c r="A35142" s="4" t="s">
        <v>44211</v>
      </c>
      <c r="B35142" s="6" t="s">
        <v>44215</v>
      </c>
      <c r="C35142" s="5" t="str">
        <f>IFERROR(__xludf.DUMMYFUNCTION("GOOGLETRANSLATE(B35142,""en"",""it"")"),"Una volta che sono in cima, entrano nei tubi e corrono verso il basso insieme a molte altre persone che sono anche sul posto.")</f>
        <v>Una volta che sono in cima, entrano nei tubi e corrono verso il basso insieme a molte altre persone che sono anche sul posto.</v>
      </c>
    </row>
    <row r="35143">
      <c r="A35143" s="4" t="s">
        <v>44216</v>
      </c>
      <c r="B35143" s="6" t="s">
        <v>44217</v>
      </c>
      <c r="C35143" s="5" t="str">
        <f>IFERROR(__xludf.DUMMYFUNCTION("GOOGLETRANSLATE(B35143,""en"",""it"")"),"Un uomo viene visto in piedi davanti a una lavagna con in mano uno strumento musicale e passa al lavabo di tanto in tanto.")</f>
        <v>Un uomo viene visto in piedi davanti a una lavagna con in mano uno strumento musicale e passa al lavabo di tanto in tanto.</v>
      </c>
    </row>
    <row r="35144">
      <c r="A35144" s="4" t="s">
        <v>44216</v>
      </c>
      <c r="B35144" s="6" t="s">
        <v>44218</v>
      </c>
      <c r="C35144" s="5" t="str">
        <f>IFERROR(__xludf.DUMMYFUNCTION("GOOGLETRANSLATE(B35144,""en"",""it"")"),"La mano di una persona viene vista usando un iPod seguito da più scatti della persona che parla e scrive su un documento.")</f>
        <v>La mano di una persona viene vista usando un iPod seguito da più scatti della persona che parla e scrive su un documento.</v>
      </c>
    </row>
    <row r="35145">
      <c r="A35145" s="4" t="s">
        <v>44216</v>
      </c>
      <c r="B35145" s="6" t="s">
        <v>44219</v>
      </c>
      <c r="C35145" s="5" t="str">
        <f>IFERROR(__xludf.DUMMYFUNCTION("GOOGLETRANSLATE(B35145,""en"",""it"")"),"L'uomo quindi suona lo strumento mentre la telecamera lo cattura da diversi angoli mentre si ferma per parlare.")</f>
        <v>L'uomo quindi suona lo strumento mentre la telecamera lo cattura da diversi angoli mentre si ferma per parlare.</v>
      </c>
    </row>
    <row r="35146">
      <c r="A35146" s="4" t="s">
        <v>44220</v>
      </c>
      <c r="B35146" s="6" t="s">
        <v>44221</v>
      </c>
      <c r="C35146" s="5" t="str">
        <f>IFERROR(__xludf.DUMMYFUNCTION("GOOGLETRANSLATE(B35146,""en"",""it"")"),"Un uomo con camicia bianca e pantaloncini grigi è in piedi al centro del campo, mentre i giovani con top neri e pantaloncini neri sono in piedi dietro di lui.")</f>
        <v>Un uomo con camicia bianca e pantaloncini grigi è in piedi al centro del campo, mentre i giovani con top neri e pantaloncini neri sono in piedi dietro di lui.</v>
      </c>
    </row>
    <row r="35147">
      <c r="A35147" s="4" t="s">
        <v>44220</v>
      </c>
      <c r="B35147" s="6" t="s">
        <v>44222</v>
      </c>
      <c r="C35147" s="5" t="str">
        <f>IFERROR(__xludf.DUMMYFUNCTION("GOOGLETRANSLATE(B35147,""en"",""it"")"),"I giovani dove si trovano in una forma triangolare, il giovane al centro inizia a esibirsi facendo le braccia e saltano e lo fanno di nuovo e alcune ragazze hanno seguito quello che sta facendo.")</f>
        <v>I giovani dove si trovano in una forma triangolare, il giovane al centro inizia a esibirsi facendo le braccia e saltano e lo fanno di nuovo e alcune ragazze hanno seguito quello che sta facendo.</v>
      </c>
    </row>
    <row r="35148">
      <c r="A35148" s="4" t="s">
        <v>44223</v>
      </c>
      <c r="B35148" s="4" t="s">
        <v>44224</v>
      </c>
      <c r="C35148" s="5" t="str">
        <f>IFERROR(__xludf.DUMMYFUNCTION("GOOGLETRANSLATE(B35148,""en"",""it"")"),"Una donna è seduta tenendo in mano un violino.")</f>
        <v>Una donna è seduta tenendo in mano un violino.</v>
      </c>
    </row>
    <row r="35149">
      <c r="A35149" s="4" t="s">
        <v>44223</v>
      </c>
      <c r="B35149" s="4" t="s">
        <v>44225</v>
      </c>
      <c r="C35149" s="5" t="str">
        <f>IFERROR(__xludf.DUMMYFUNCTION("GOOGLETRANSLATE(B35149,""en"",""it"")"),"Solleva il violino e inizia a suonarlo.")</f>
        <v>Solleva il violino e inizia a suonarlo.</v>
      </c>
    </row>
    <row r="35150">
      <c r="A35150" s="4" t="s">
        <v>44223</v>
      </c>
      <c r="B35150" s="4" t="s">
        <v>44226</v>
      </c>
      <c r="C35150" s="5" t="str">
        <f>IFERROR(__xludf.DUMMYFUNCTION("GOOGLETRANSLATE(B35150,""en"",""it"")"),"Finisce e abbassa il violino.")</f>
        <v>Finisce e abbassa il violino.</v>
      </c>
    </row>
    <row r="35151">
      <c r="A35151" s="4" t="s">
        <v>44227</v>
      </c>
      <c r="B35151" s="4" t="s">
        <v>44228</v>
      </c>
      <c r="C35151" s="5" t="str">
        <f>IFERROR(__xludf.DUMMYFUNCTION("GOOGLETRANSLATE(B35151,""en"",""it"")"),"Un folto gruppo di persone viene visto entrare in un ufficio e intervistare un uomo in televisione.")</f>
        <v>Un folto gruppo di persone viene visto entrare in un ufficio e intervistare un uomo in televisione.</v>
      </c>
    </row>
    <row r="35152">
      <c r="A35152" s="4" t="s">
        <v>44227</v>
      </c>
      <c r="B35152" s="4" t="s">
        <v>44229</v>
      </c>
      <c r="C35152" s="5" t="str">
        <f>IFERROR(__xludf.DUMMYFUNCTION("GOOGLETRANSLATE(B35152,""en"",""it"")"),"Molte persone stanno guardando l'intervista e un uomo parla con rabbia una donna.")</f>
        <v>Molte persone stanno guardando l'intervista e un uomo parla con rabbia una donna.</v>
      </c>
    </row>
    <row r="35153">
      <c r="A35153" s="4" t="s">
        <v>44227</v>
      </c>
      <c r="B35153" s="4" t="s">
        <v>44230</v>
      </c>
      <c r="C35153" s="5" t="str">
        <f>IFERROR(__xludf.DUMMYFUNCTION("GOOGLETRANSLATE(B35153,""en"",""it"")"),"La donna colpisce l'uomo e più persone vengono viste camminare e parlare.")</f>
        <v>La donna colpisce l'uomo e più persone vengono viste camminare e parlare.</v>
      </c>
    </row>
    <row r="35154">
      <c r="A35154" s="4" t="s">
        <v>44227</v>
      </c>
      <c r="B35154" s="4" t="s">
        <v>44231</v>
      </c>
      <c r="C35154" s="5" t="str">
        <f>IFERROR(__xludf.DUMMYFUNCTION("GOOGLETRANSLATE(B35154,""en"",""it"")"),"Le persone entrano in un bar e iniziano a giocare a biliardo e a parlare.")</f>
        <v>Le persone entrano in un bar e iniziano a giocare a biliardo e a parlare.</v>
      </c>
    </row>
    <row r="35155">
      <c r="A35155" s="4" t="s">
        <v>44232</v>
      </c>
      <c r="B35155" s="6" t="s">
        <v>44233</v>
      </c>
      <c r="C35155" s="5" t="str">
        <f>IFERROR(__xludf.DUMMYFUNCTION("GOOGLETRANSLATE(B35155,""en"",""it"")"),"Un piccolo gruppo di donne è visto in piedi in una cucina con uno che si muove gli ingredienti in una pentola capiente.")</f>
        <v>Un piccolo gruppo di donne è visto in piedi in una cucina con uno che si muove gli ingredienti in una pentola capiente.</v>
      </c>
    </row>
    <row r="35156">
      <c r="A35156" s="4" t="s">
        <v>44232</v>
      </c>
      <c r="B35156" s="6" t="s">
        <v>44234</v>
      </c>
      <c r="C35156" s="5" t="str">
        <f>IFERROR(__xludf.DUMMYFUNCTION("GOOGLETRANSLATE(B35156,""en"",""it"")"),"Un'altra donna entra in cornice quando una donna si riversa di più nella ciotola e mescola.")</f>
        <v>Un'altra donna entra in cornice quando una donna si riversa di più nella ciotola e mescola.</v>
      </c>
    </row>
    <row r="35157">
      <c r="A35157" s="4" t="s">
        <v>44232</v>
      </c>
      <c r="B35157" s="4" t="s">
        <v>44235</v>
      </c>
      <c r="C35157" s="5" t="str">
        <f>IFERROR(__xludf.DUMMYFUNCTION("GOOGLETRANSLATE(B35157,""en"",""it"")"),"Passa un cucchiaio per una ragazza da provare e un'altra toglie la ciotola dal tavolo.")</f>
        <v>Passa un cucchiaio per una ragazza da provare e un'altra toglie la ciotola dal tavolo.</v>
      </c>
    </row>
    <row r="35158">
      <c r="A35158" s="4" t="s">
        <v>44236</v>
      </c>
      <c r="B35158" s="4" t="s">
        <v>44237</v>
      </c>
      <c r="C35158" s="5" t="str">
        <f>IFERROR(__xludf.DUMMYFUNCTION("GOOGLETRANSLATE(B35158,""en"",""it"")"),"Un uomo viene visto con gli occhi bendati mentre tiene un bastone e altri due intorno a lui.")</f>
        <v>Un uomo viene visto con gli occhi bendati mentre tiene un bastone e altri due intorno a lui.</v>
      </c>
    </row>
    <row r="35159">
      <c r="A35159" s="4" t="s">
        <v>44236</v>
      </c>
      <c r="B35159" s="6" t="s">
        <v>44238</v>
      </c>
      <c r="C35159" s="5" t="str">
        <f>IFERROR(__xludf.DUMMYFUNCTION("GOOGLETRANSLATE(B35159,""en"",""it"")"),"L'uomo oscilla quindi violentemente al Pinata mentre qualcuno lo muove più in alto e poi lascia cadere la Pinata proprio sopra la sua testa.")</f>
        <v>L'uomo oscilla quindi violentemente al Pinata mentre qualcuno lo muove più in alto e poi lascia cadere la Pinata proprio sopra la sua testa.</v>
      </c>
    </row>
    <row r="35160">
      <c r="A35160" s="4" t="s">
        <v>44239</v>
      </c>
      <c r="B35160" s="4" t="s">
        <v>44240</v>
      </c>
      <c r="C35160" s="5" t="str">
        <f>IFERROR(__xludf.DUMMYFUNCTION("GOOGLETRANSLATE(B35160,""en"",""it"")"),"Il video parla di un tutorial di tennis e trapano di Edgar Giffenig.")</f>
        <v>Il video parla di un tutorial di tennis e trapano di Edgar Giffenig.</v>
      </c>
    </row>
    <row r="35161">
      <c r="A35161" s="4" t="s">
        <v>44239</v>
      </c>
      <c r="B35161" s="6" t="s">
        <v>44241</v>
      </c>
      <c r="C35161" s="5" t="str">
        <f>IFERROR(__xludf.DUMMYFUNCTION("GOOGLETRANSLATE(B35161,""en"",""it"")"),"Ci sono due giocatori di tennis su un campo di argilla che stanno dimostrando come lanciare la palla in alto al partner.")</f>
        <v>Ci sono due giocatori di tennis su un campo di argilla che stanno dimostrando come lanciare la palla in alto al partner.</v>
      </c>
    </row>
    <row r="35162">
      <c r="A35162" s="4" t="s">
        <v>44239</v>
      </c>
      <c r="B35162" s="4" t="s">
        <v>44242</v>
      </c>
      <c r="C35162" s="5" t="str">
        <f>IFERROR(__xludf.DUMMYFUNCTION("GOOGLETRANSLATE(B35162,""en"",""it"")"),"Il giocatore si mescola dietro la rete e capovolge la racchetta tra i colpi.")</f>
        <v>Il giocatore si mescola dietro la rete e capovolge la racchetta tra i colpi.</v>
      </c>
    </row>
    <row r="35163">
      <c r="A35163" s="4" t="s">
        <v>44239</v>
      </c>
      <c r="B35163" s="6" t="s">
        <v>44243</v>
      </c>
      <c r="C35163" s="5" t="str">
        <f>IFERROR(__xludf.DUMMYFUNCTION("GOOGLETRANSLATE(B35163,""en"",""it"")"),"Quindi i giocatori dimostrano un altro trapano mentre si mescolano sul campo da tennis tra un tiro e il ritorno delle palle.")</f>
        <v>Quindi i giocatori dimostrano un altro trapano mentre si mescolano sul campo da tennis tra un tiro e il ritorno delle palle.</v>
      </c>
    </row>
    <row r="35164">
      <c r="A35164" s="4" t="s">
        <v>44239</v>
      </c>
      <c r="B35164" s="4" t="s">
        <v>44244</v>
      </c>
      <c r="C35164" s="5" t="str">
        <f>IFERROR(__xludf.DUMMYFUNCTION("GOOGLETRANSLATE(B35164,""en"",""it"")"),"Il giocatore rimbalza la palla indietro con la punta del manico della racchetta.")</f>
        <v>Il giocatore rimbalza la palla indietro con la punta del manico della racchetta.</v>
      </c>
    </row>
    <row r="35165">
      <c r="A35165" s="4" t="s">
        <v>44239</v>
      </c>
      <c r="B35165" s="4" t="s">
        <v>44245</v>
      </c>
      <c r="C35165" s="5" t="str">
        <f>IFERROR(__xludf.DUMMYFUNCTION("GOOGLETRANSLATE(B35165,""en"",""it"")"),"Continuano a suonare mentre dimostrano il trapano da tennis.")</f>
        <v>Continuano a suonare mentre dimostrano il trapano da tennis.</v>
      </c>
    </row>
    <row r="35166">
      <c r="A35166" s="4" t="s">
        <v>44246</v>
      </c>
      <c r="B35166" s="4" t="s">
        <v>44247</v>
      </c>
      <c r="C35166" s="5" t="str">
        <f>IFERROR(__xludf.DUMMYFUNCTION("GOOGLETRANSLATE(B35166,""en"",""it"")"),"Una persona viene vista staccare le patate in una scatola con una pausa per parlare un po 'con la fotocamera.")</f>
        <v>Una persona viene vista staccare le patate in una scatola con una pausa per parlare un po 'con la fotocamera.</v>
      </c>
    </row>
    <row r="35167">
      <c r="A35167" s="4" t="s">
        <v>44246</v>
      </c>
      <c r="B35167" s="4" t="s">
        <v>44248</v>
      </c>
      <c r="C35167" s="5" t="str">
        <f>IFERROR(__xludf.DUMMYFUNCTION("GOOGLETRANSLATE(B35167,""en"",""it"")"),"La persona sbuccia diverse patate e spettacoli di una ciotola piena di patate mentre si sbuccia ancora di più.")</f>
        <v>La persona sbuccia diverse patate e spettacoli di una ciotola piena di patate mentre si sbuccia ancora di più.</v>
      </c>
    </row>
    <row r="35168">
      <c r="A35168" s="4" t="s">
        <v>44249</v>
      </c>
      <c r="B35168" s="4" t="s">
        <v>44250</v>
      </c>
      <c r="C35168" s="5" t="str">
        <f>IFERROR(__xludf.DUMMYFUNCTION("GOOGLETRANSLATE(B35168,""en"",""it"")"),"Un uomo si accovaccia a terra, pulendo qualcosa.")</f>
        <v>Un uomo si accovaccia a terra, pulendo qualcosa.</v>
      </c>
    </row>
    <row r="35169">
      <c r="A35169" s="4" t="s">
        <v>44249</v>
      </c>
      <c r="B35169" s="4" t="s">
        <v>44251</v>
      </c>
      <c r="C35169" s="5" t="str">
        <f>IFERROR(__xludf.DUMMYFUNCTION("GOOGLETRANSLATE(B35169,""en"",""it"")"),"Diverse auto sono parcheggiate in un parcheggio.")</f>
        <v>Diverse auto sono parcheggiate in un parcheggio.</v>
      </c>
    </row>
    <row r="35170">
      <c r="A35170" s="4" t="s">
        <v>44249</v>
      </c>
      <c r="B35170" s="4" t="s">
        <v>44252</v>
      </c>
      <c r="C35170" s="5" t="str">
        <f>IFERROR(__xludf.DUMMYFUNCTION("GOOGLETRANSLATE(B35170,""en"",""it"")"),"Le persone vedono lavare le macchine con acqua e sapone.")</f>
        <v>Le persone vedono lavare le macchine con acqua e sapone.</v>
      </c>
    </row>
    <row r="35171">
      <c r="A35171" s="4" t="s">
        <v>44253</v>
      </c>
      <c r="B35171" s="4" t="s">
        <v>44254</v>
      </c>
      <c r="C35171" s="5" t="str">
        <f>IFERROR(__xludf.DUMMYFUNCTION("GOOGLETRANSLATE(B35171,""en"",""it"")"),"Tre persone vengono viste far volare un aquilone in un campo e il testo appare sullo schermo.")</f>
        <v>Tre persone vengono viste far volare un aquilone in un campo e il testo appare sullo schermo.</v>
      </c>
    </row>
    <row r="35172">
      <c r="A35172" s="4" t="s">
        <v>44253</v>
      </c>
      <c r="B35172" s="4" t="s">
        <v>44255</v>
      </c>
      <c r="C35172" s="5" t="str">
        <f>IFERROR(__xludf.DUMMYFUNCTION("GOOGLETRANSLATE(B35172,""en"",""it"")"),"Appare una ragazza spaventosa, quindi conduce a foto di Kids che volano aquiloni.")</f>
        <v>Appare una ragazza spaventosa, quindi conduce a foto di Kids che volano aquiloni.</v>
      </c>
    </row>
    <row r="35173">
      <c r="A35173" s="4" t="s">
        <v>44256</v>
      </c>
      <c r="B35173" s="4" t="s">
        <v>44257</v>
      </c>
      <c r="C35173" s="5" t="str">
        <f>IFERROR(__xludf.DUMMYFUNCTION("GOOGLETRANSLATE(B35173,""en"",""it"")"),"Un uomo Buff entra in un cerchio e mette il tiro messo su questa spalla.")</f>
        <v>Un uomo Buff entra in un cerchio e mette il tiro messo su questa spalla.</v>
      </c>
    </row>
    <row r="35174">
      <c r="A35174" s="4" t="s">
        <v>44256</v>
      </c>
      <c r="B35174" s="4" t="s">
        <v>44258</v>
      </c>
      <c r="C35174" s="5" t="str">
        <f>IFERROR(__xludf.DUMMYFUNCTION("GOOGLETRANSLATE(B35174,""en"",""it"")"),"L'uomo poi gira e lancia la palla in campo.")</f>
        <v>L'uomo poi gira e lancia la palla in campo.</v>
      </c>
    </row>
    <row r="35175">
      <c r="A35175" s="4" t="s">
        <v>44256</v>
      </c>
      <c r="B35175" s="4" t="s">
        <v>44259</v>
      </c>
      <c r="C35175" s="5" t="str">
        <f>IFERROR(__xludf.DUMMYFUNCTION("GOOGLETRANSLATE(B35175,""en"",""it"")"),"Una volta completato, indossa una grande camicia al neon.")</f>
        <v>Una volta completato, indossa una grande camicia al neon.</v>
      </c>
    </row>
    <row r="35176">
      <c r="A35176" s="4" t="s">
        <v>44256</v>
      </c>
      <c r="B35176" s="6" t="s">
        <v>44260</v>
      </c>
      <c r="C35176" s="5" t="str">
        <f>IFERROR(__xludf.DUMMYFUNCTION("GOOGLETRANSLATE(B35176,""en"",""it"")"),"Un altro uomo si avvicina al Cirle e fa il Samething mentre qualcuno arriva in campo e misura quanto è andata la palla.")</f>
        <v>Un altro uomo si avvicina al Cirle e fa il Samething mentre qualcuno arriva in campo e misura quanto è andata la palla.</v>
      </c>
    </row>
    <row r="35177">
      <c r="A35177" s="4" t="s">
        <v>44256</v>
      </c>
      <c r="B35177" s="4" t="s">
        <v>44261</v>
      </c>
      <c r="C35177" s="5" t="str">
        <f>IFERROR(__xludf.DUMMYFUNCTION("GOOGLETRANSLATE(B35177,""en"",""it"")"),"I concorrenti tornano e iniziano a parlarsi prima che vengano mostrati i loro punteggi.")</f>
        <v>I concorrenti tornano e iniziano a parlarsi prima che vengano mostrati i loro punteggi.</v>
      </c>
    </row>
    <row r="35178">
      <c r="A35178" s="4" t="s">
        <v>44256</v>
      </c>
      <c r="B35178" s="4" t="s">
        <v>44262</v>
      </c>
      <c r="C35178" s="5" t="str">
        <f>IFERROR(__xludf.DUMMYFUNCTION("GOOGLETRANSLATE(B35178,""en"",""it"")"),"Viene quindi fornita una vista aerea, quindi la fotocamera lancia la folla.")</f>
        <v>Viene quindi fornita una vista aerea, quindi la fotocamera lancia la folla.</v>
      </c>
    </row>
    <row r="35179">
      <c r="A35179" s="4" t="s">
        <v>44263</v>
      </c>
      <c r="B35179" s="6" t="s">
        <v>44264</v>
      </c>
      <c r="C35179" s="5" t="str">
        <f>IFERROR(__xludf.DUMMYFUNCTION("GOOGLETRANSLATE(B35179,""en"",""it"")"),"Un primo piano di un tavolo da poker viene mostrato seguito dalla fotocamera che si lancia verso altri tavoli della zona, così come le persone che giocano.")</f>
        <v>Un primo piano di un tavolo da poker viene mostrato seguito dalla fotocamera che si lancia verso altri tavoli della zona, così come le persone che giocano.</v>
      </c>
    </row>
    <row r="35180">
      <c r="A35180" s="4" t="s">
        <v>44263</v>
      </c>
      <c r="B35180" s="4" t="s">
        <v>44265</v>
      </c>
      <c r="C35180" s="5" t="str">
        <f>IFERROR(__xludf.DUMMYFUNCTION("GOOGLETRANSLATE(B35180,""en"",""it"")"),"Vengono mostrate diverse clip di persone sedute ai tavoli che giocano e ridono della telecamera.")</f>
        <v>Vengono mostrate diverse clip di persone sedute ai tavoli che giocano e ridono della telecamera.</v>
      </c>
    </row>
    <row r="35181">
      <c r="A35181" s="4" t="s">
        <v>44263</v>
      </c>
      <c r="B35181" s="6" t="s">
        <v>44266</v>
      </c>
      <c r="C35181" s="5" t="str">
        <f>IFERROR(__xludf.DUMMYFUNCTION("GOOGLETRANSLATE(B35181,""en"",""it"")"),"Altre immagini vengono mostrate di persone nel casinò e video che vagano per la zona.")</f>
        <v>Altre immagini vengono mostrate di persone nel casinò e video che vagano per la zona.</v>
      </c>
    </row>
    <row r="35182">
      <c r="A35182" s="4" t="s">
        <v>44267</v>
      </c>
      <c r="B35182" s="4" t="s">
        <v>44268</v>
      </c>
      <c r="C35182" s="5" t="str">
        <f>IFERROR(__xludf.DUMMYFUNCTION("GOOGLETRANSLATE(B35182,""en"",""it"")"),"Questa ragazza viene mostrata ingrandire i denti, gli occhi e altre cose della gente sul viso.")</f>
        <v>Questa ragazza viene mostrata ingrandire i denti, gli occhi e altre cose della gente sul viso.</v>
      </c>
    </row>
    <row r="35183">
      <c r="A35183" s="4" t="s">
        <v>44267</v>
      </c>
      <c r="B35183" s="4" t="s">
        <v>44269</v>
      </c>
      <c r="C35183" s="5" t="str">
        <f>IFERROR(__xludf.DUMMYFUNCTION("GOOGLETRANSLATE(B35183,""en"",""it"")"),"Quindi ci mostra il gioco di Dodge Ball sta andando.")</f>
        <v>Quindi ci mostra il gioco di Dodge Ball sta andando.</v>
      </c>
    </row>
    <row r="35184">
      <c r="A35184" s="4" t="s">
        <v>44270</v>
      </c>
      <c r="B35184" s="4" t="s">
        <v>44271</v>
      </c>
      <c r="C35184" s="5" t="str">
        <f>IFERROR(__xludf.DUMMYFUNCTION("GOOGLETRANSLATE(B35184,""en"",""it"")"),"Un uomo cammina su un campo davanti a una folla, tenendo in aria una palla pesante.")</f>
        <v>Un uomo cammina su un campo davanti a una folla, tenendo in aria una palla pesante.</v>
      </c>
    </row>
    <row r="35185">
      <c r="A35185" s="4" t="s">
        <v>44270</v>
      </c>
      <c r="B35185" s="4" t="s">
        <v>44272</v>
      </c>
      <c r="C35185" s="5" t="str">
        <f>IFERROR(__xludf.DUMMYFUNCTION("GOOGLETRANSLATE(B35185,""en"",""it"")"),"Si gira, quindi lancia la palla il più possibile.")</f>
        <v>Si gira, quindi lancia la palla il più possibile.</v>
      </c>
    </row>
    <row r="35186">
      <c r="A35186" s="4" t="s">
        <v>44270</v>
      </c>
      <c r="B35186" s="4" t="s">
        <v>44273</v>
      </c>
      <c r="C35186" s="5" t="str">
        <f>IFERROR(__xludf.DUMMYFUNCTION("GOOGLETRANSLATE(B35186,""en"",""it"")"),"Seguono una donna e molti altri, facendo lo stesso.")</f>
        <v>Seguono una donna e molti altri, facendo lo stesso.</v>
      </c>
    </row>
    <row r="35187">
      <c r="A35187" s="4" t="s">
        <v>44270</v>
      </c>
      <c r="B35187" s="4" t="s">
        <v>44274</v>
      </c>
      <c r="C35187" s="5" t="str">
        <f>IFERROR(__xludf.DUMMYFUNCTION("GOOGLETRANSLATE(B35187,""en"",""it"")"),"I vincitori festeggiano, tenendo le bandiere e abbracciati con gioia.")</f>
        <v>I vincitori festeggiano, tenendo le bandiere e abbracciati con gioia.</v>
      </c>
    </row>
    <row r="35188">
      <c r="A35188" s="4" t="s">
        <v>44275</v>
      </c>
      <c r="B35188" s="6" t="s">
        <v>44276</v>
      </c>
      <c r="C35188" s="5" t="str">
        <f>IFERROR(__xludf.DUMMYFUNCTION("GOOGLETRANSLATE(B35188,""en"",""it"")"),"Un uomo viene visto nuotare in una piscina con vari oggetti tra le mani e mostrare come indossarli.")</f>
        <v>Un uomo viene visto nuotare in una piscina con vari oggetti tra le mani e mostrare come indossarli.</v>
      </c>
    </row>
    <row r="35189">
      <c r="A35189" s="4" t="s">
        <v>44275</v>
      </c>
      <c r="B35189" s="4" t="s">
        <v>44277</v>
      </c>
      <c r="C35189" s="5" t="str">
        <f>IFERROR(__xludf.DUMMYFUNCTION("GOOGLETRANSLATE(B35189,""en"",""it"")"),"Quindi nuota lungo la piscina con un colpo al seno fino alla fine e torna indietro.")</f>
        <v>Quindi nuota lungo la piscina con un colpo al seno fino alla fine e torna indietro.</v>
      </c>
    </row>
    <row r="35190">
      <c r="A35190" s="4" t="s">
        <v>44278</v>
      </c>
      <c r="B35190" s="4" t="s">
        <v>44279</v>
      </c>
      <c r="C35190" s="5" t="str">
        <f>IFERROR(__xludf.DUMMYFUNCTION("GOOGLETRANSLATE(B35190,""en"",""it"")"),"Una ragazza che tiene una chitarra parla alla telecamera.")</f>
        <v>Una ragazza che tiene una chitarra parla alla telecamera.</v>
      </c>
    </row>
    <row r="35191">
      <c r="A35191" s="4" t="s">
        <v>44278</v>
      </c>
      <c r="B35191" s="4" t="s">
        <v>44280</v>
      </c>
      <c r="C35191" s="5" t="str">
        <f>IFERROR(__xludf.DUMMYFUNCTION("GOOGLETRANSLATE(B35191,""en"",""it"")"),"La ragazza suona la chitarra mentre si siede sul divano.")</f>
        <v>La ragazza suona la chitarra mentre si siede sul divano.</v>
      </c>
    </row>
    <row r="35192">
      <c r="A35192" s="4" t="s">
        <v>44278</v>
      </c>
      <c r="B35192" s="4" t="s">
        <v>44281</v>
      </c>
      <c r="C35192" s="5" t="str">
        <f>IFERROR(__xludf.DUMMYFUNCTION("GOOGLETRANSLATE(B35192,""en"",""it"")"),"La ragazza smette di giocare e parla di nuovo con la telecamera mentre dimostra.")</f>
        <v>La ragazza smette di giocare e parla di nuovo con la telecamera mentre dimostra.</v>
      </c>
    </row>
    <row r="35193">
      <c r="A35193" s="4" t="s">
        <v>44282</v>
      </c>
      <c r="B35193" s="4" t="s">
        <v>44283</v>
      </c>
      <c r="C35193" s="5" t="str">
        <f>IFERROR(__xludf.DUMMYFUNCTION("GOOGLETRANSLATE(B35193,""en"",""it"")"),"Il video si svolge in un'arena di ginnastica.")</f>
        <v>Il video si svolge in un'arena di ginnastica.</v>
      </c>
    </row>
    <row r="35194">
      <c r="A35194" s="4" t="s">
        <v>44282</v>
      </c>
      <c r="B35194" s="4" t="s">
        <v>44284</v>
      </c>
      <c r="C35194" s="5" t="str">
        <f>IFERROR(__xludf.DUMMYFUNCTION("GOOGLETRANSLATE(B35194,""en"",""it"")"),"Un uomo sta eseguendo la ginnastica su una trave mentre molti altri guardano.")</f>
        <v>Un uomo sta eseguendo la ginnastica su una trave mentre molti altri guardano.</v>
      </c>
    </row>
    <row r="35195">
      <c r="A35195" s="4" t="s">
        <v>44282</v>
      </c>
      <c r="B35195" s="4" t="s">
        <v>44285</v>
      </c>
      <c r="C35195" s="5" t="str">
        <f>IFERROR(__xludf.DUMMYFUNCTION("GOOGLETRANSLATE(B35195,""en"",""it"")"),"L'uomo inizia sul raggio sottosopra.")</f>
        <v>L'uomo inizia sul raggio sottosopra.</v>
      </c>
    </row>
    <row r="35196">
      <c r="A35196" s="4" t="s">
        <v>44282</v>
      </c>
      <c r="B35196" s="4" t="s">
        <v>44286</v>
      </c>
      <c r="C35196" s="5" t="str">
        <f>IFERROR(__xludf.DUMMYFUNCTION("GOOGLETRANSLATE(B35196,""en"",""it"")"),"Quindi fa diversi lanci.")</f>
        <v>Quindi fa diversi lanci.</v>
      </c>
    </row>
    <row r="35197">
      <c r="A35197" s="4" t="s">
        <v>44282</v>
      </c>
      <c r="B35197" s="4" t="s">
        <v>44287</v>
      </c>
      <c r="C35197" s="5" t="str">
        <f>IFERROR(__xludf.DUMMYFUNCTION("GOOGLETRANSLATE(B35197,""en"",""it"")"),"Il video termina mentre esegue un capovolgimento finale e salta fuori dal raggio.")</f>
        <v>Il video termina mentre esegue un capovolgimento finale e salta fuori dal raggio.</v>
      </c>
    </row>
    <row r="35198">
      <c r="A35198" s="4" t="s">
        <v>44288</v>
      </c>
      <c r="B35198" s="4" t="s">
        <v>44289</v>
      </c>
      <c r="C35198" s="5" t="str">
        <f>IFERROR(__xludf.DUMMYFUNCTION("GOOGLETRANSLATE(B35198,""en"",""it"")"),"Vengono mostrate diverse clip di cricket.")</f>
        <v>Vengono mostrate diverse clip di cricket.</v>
      </c>
    </row>
    <row r="35199">
      <c r="A35199" s="4" t="s">
        <v>44288</v>
      </c>
      <c r="B35199" s="4" t="s">
        <v>44290</v>
      </c>
      <c r="C35199" s="5" t="str">
        <f>IFERROR(__xludf.DUMMYFUNCTION("GOOGLETRANSLATE(B35199,""en"",""it"")"),"In loro qualcuno lancia una palla contro un giocatore.")</f>
        <v>In loro qualcuno lancia una palla contro un giocatore.</v>
      </c>
    </row>
    <row r="35200">
      <c r="A35200" s="4" t="s">
        <v>44288</v>
      </c>
      <c r="B35200" s="4" t="s">
        <v>44291</v>
      </c>
      <c r="C35200" s="5" t="str">
        <f>IFERROR(__xludf.DUMMYFUNCTION("GOOGLETRANSLATE(B35200,""en"",""it"")"),"Un altro giocatore colpisce la palla con la sua mazza.")</f>
        <v>Un altro giocatore colpisce la palla con la sua mazza.</v>
      </c>
    </row>
    <row r="35201">
      <c r="A35201" s="4" t="s">
        <v>44288</v>
      </c>
      <c r="B35201" s="4" t="s">
        <v>44292</v>
      </c>
      <c r="C35201" s="5" t="str">
        <f>IFERROR(__xludf.DUMMYFUNCTION("GOOGLETRANSLATE(B35201,""en"",""it"")"),"Un altro giocatore quindi cattura la palla.")</f>
        <v>Un altro giocatore quindi cattura la palla.</v>
      </c>
    </row>
    <row r="35202">
      <c r="A35202" s="4" t="s">
        <v>44293</v>
      </c>
      <c r="B35202" s="6" t="s">
        <v>44294</v>
      </c>
      <c r="C35202" s="5" t="str">
        <f>IFERROR(__xludf.DUMMYFUNCTION("GOOGLETRANSLATE(B35202,""en"",""it"")"),"Viene vista una donna parlare alla telecamera e conduce a levigare su una tavola in diverse località.")</f>
        <v>Viene vista una donna parlare alla telecamera e conduce a levigare su una tavola in diverse località.</v>
      </c>
    </row>
    <row r="35203">
      <c r="A35203" s="4" t="s">
        <v>44293</v>
      </c>
      <c r="B35203" s="4" t="s">
        <v>44295</v>
      </c>
      <c r="C35203" s="5" t="str">
        <f>IFERROR(__xludf.DUMMYFUNCTION("GOOGLETRANSLATE(B35203,""en"",""it"")"),"Quindi leviga più oggetti e mostra una vasta selezione di strumenti che ha.")</f>
        <v>Quindi leviga più oggetti e mostra una vasta selezione di strumenti che ha.</v>
      </c>
    </row>
    <row r="35204">
      <c r="A35204" s="4" t="s">
        <v>44293</v>
      </c>
      <c r="B35204" s="4" t="s">
        <v>44296</v>
      </c>
      <c r="C35204" s="5" t="str">
        <f>IFERROR(__xludf.DUMMYFUNCTION("GOOGLETRANSLATE(B35204,""en"",""it"")"),"Martella lungo i lati del tabellone e termina con la sua pittura il tabellone.")</f>
        <v>Martella lungo i lati del tabellone e termina con la sua pittura il tabellone.</v>
      </c>
    </row>
    <row r="35205">
      <c r="A35205" s="4" t="s">
        <v>44297</v>
      </c>
      <c r="B35205" s="6" t="s">
        <v>44298</v>
      </c>
      <c r="C35205" s="5" t="str">
        <f>IFERROR(__xludf.DUMMYFUNCTION("GOOGLETRANSLATE(B35205,""en"",""it"")"),"La squadra di allegria che ha camminato verso il palco, mentre tra il pubblico, i loro compagni di squadra, che indossano uniformi rosse e bianche sono incoraggianti.")</f>
        <v>La squadra di allegria che ha camminato verso il palco, mentre tra il pubblico, i loro compagni di squadra, che indossano uniformi rosse e bianche sono incoraggianti.</v>
      </c>
    </row>
    <row r="35206">
      <c r="A35206" s="4" t="s">
        <v>44297</v>
      </c>
      <c r="B35206" s="6" t="s">
        <v>44299</v>
      </c>
      <c r="C35206" s="5" t="str">
        <f>IFERROR(__xludf.DUMMYFUNCTION("GOOGLETRANSLATE(B35206,""en"",""it"")"),"La squadra ha iniziato la loro danza di allegria, dove le donne sono alzate sulle mani degli uomini, hanno fatto girare le ruote, saltavano in aria, tenevano alcuni stendardi in aria, saltavano in aria e caddero sulle braccia del loro compagno di squadra.")</f>
        <v>La squadra ha iniziato la loro danza di allegria, dove le donne sono alzate sulle mani degli uomini, hanno fatto girare le ruote, saltavano in aria, tenevano alcuni stendardi in aria, saltavano in aria e caddero sulle braccia del loro compagno di squadra.</v>
      </c>
    </row>
    <row r="35207">
      <c r="A35207" s="4" t="s">
        <v>44300</v>
      </c>
      <c r="B35207" s="4" t="s">
        <v>44301</v>
      </c>
      <c r="C35207" s="5" t="str">
        <f>IFERROR(__xludf.DUMMYFUNCTION("GOOGLETRANSLATE(B35207,""en"",""it"")"),"Viene mostrato il video degli anni '80.")</f>
        <v>Viene mostrato il video degli anni '80.</v>
      </c>
    </row>
    <row r="35208">
      <c r="A35208" s="4" t="s">
        <v>44300</v>
      </c>
      <c r="B35208" s="4" t="s">
        <v>44302</v>
      </c>
      <c r="C35208" s="5" t="str">
        <f>IFERROR(__xludf.DUMMYFUNCTION("GOOGLETRANSLATE(B35208,""en"",""it"")"),"Le celebrità giocano una partita di tiro all'aria aperta della guerra.")</f>
        <v>Le celebrità giocano una partita di tiro all'aria aperta della guerra.</v>
      </c>
    </row>
    <row r="35209">
      <c r="A35209" s="4" t="s">
        <v>44300</v>
      </c>
      <c r="B35209" s="4" t="s">
        <v>44303</v>
      </c>
      <c r="C35209" s="5" t="str">
        <f>IFERROR(__xludf.DUMMYFUNCTION("GOOGLETRANSLATE(B35209,""en"",""it"")"),"La squadra con Lou Ferrigno che gioca vince il concorso.")</f>
        <v>La squadra con Lou Ferrigno che gioca vince il concorso.</v>
      </c>
    </row>
    <row r="35210">
      <c r="A35210" s="4" t="s">
        <v>44300</v>
      </c>
      <c r="B35210" s="4" t="s">
        <v>44304</v>
      </c>
      <c r="C35210" s="5" t="str">
        <f>IFERROR(__xludf.DUMMYFUNCTION("GOOGLETRANSLATE(B35210,""en"",""it"")"),"Ferrigno e altre celebrità vengono intervistate.")</f>
        <v>Ferrigno e altre celebrità vengono intervistate.</v>
      </c>
    </row>
    <row r="35211">
      <c r="A35211" s="4" t="s">
        <v>44305</v>
      </c>
      <c r="B35211" s="4" t="s">
        <v>44306</v>
      </c>
      <c r="C35211" s="5" t="str">
        <f>IFERROR(__xludf.DUMMYFUNCTION("GOOGLETRANSLATE(B35211,""en"",""it"")"),"Un gruppo di ragazze è fuori sotto una tenda.")</f>
        <v>Un gruppo di ragazze è fuori sotto una tenda.</v>
      </c>
    </row>
    <row r="35212">
      <c r="A35212" s="4" t="s">
        <v>44305</v>
      </c>
      <c r="B35212" s="4" t="s">
        <v>44307</v>
      </c>
      <c r="C35212" s="5" t="str">
        <f>IFERROR(__xludf.DUMMYFUNCTION("GOOGLETRANSLATE(B35212,""en"",""it"")"),"Una ragazza asciuga un piatto giallo con un asciugamano.")</f>
        <v>Una ragazza asciuga un piatto giallo con un asciugamano.</v>
      </c>
    </row>
    <row r="35213">
      <c r="A35213" s="4" t="s">
        <v>44305</v>
      </c>
      <c r="B35213" s="4" t="s">
        <v>44308</v>
      </c>
      <c r="C35213" s="5" t="str">
        <f>IFERROR(__xludf.DUMMYFUNCTION("GOOGLETRANSLATE(B35213,""en"",""it"")"),"Tre ragazze stanno lavando i piatti in grandi vasche.")</f>
        <v>Tre ragazze stanno lavando i piatti in grandi vasche.</v>
      </c>
    </row>
    <row r="35214">
      <c r="A35214" s="4" t="s">
        <v>44309</v>
      </c>
      <c r="B35214" s="6" t="s">
        <v>44310</v>
      </c>
      <c r="C35214" s="5" t="str">
        <f>IFERROR(__xludf.DUMMYFUNCTION("GOOGLETRANSLATE(B35214,""en"",""it"")"),"Viene vista una donna parlare alla telecamera e conduce a mettere diversi ingredienti all'interno di un barattolo di muratore.")</f>
        <v>Viene vista una donna parlare alla telecamera e conduce a mettere diversi ingredienti all'interno di un barattolo di muratore.</v>
      </c>
    </row>
    <row r="35215">
      <c r="A35215" s="4" t="s">
        <v>44309</v>
      </c>
      <c r="B35215" s="4" t="s">
        <v>44311</v>
      </c>
      <c r="C35215" s="5" t="str">
        <f>IFERROR(__xludf.DUMMYFUNCTION("GOOGLETRANSLATE(B35215,""en"",""it"")"),"La donna usa le pinze per stratificare gli oggetti nel barattolo e quindi mette un coperchio in cima.")</f>
        <v>La donna usa le pinze per stratificare gli oggetti nel barattolo e quindi mette un coperchio in cima.</v>
      </c>
    </row>
    <row r="35216">
      <c r="A35216" s="4" t="s">
        <v>44309</v>
      </c>
      <c r="B35216" s="4" t="s">
        <v>44312</v>
      </c>
      <c r="C35216" s="5" t="str">
        <f>IFERROR(__xludf.DUMMYFUNCTION("GOOGLETRANSLATE(B35216,""en"",""it"")"),"La donna mette un nastro attorno al lato, nonché un'etichetta e sorride alla telecamera.")</f>
        <v>La donna mette un nastro attorno al lato, nonché un'etichetta e sorride alla telecamera.</v>
      </c>
    </row>
    <row r="35217">
      <c r="A35217" s="4" t="s">
        <v>44313</v>
      </c>
      <c r="B35217" s="4" t="s">
        <v>44314</v>
      </c>
      <c r="C35217" s="5" t="str">
        <f>IFERROR(__xludf.DUMMYFUNCTION("GOOGLETRANSLATE(B35217,""en"",""it"")"),"Le persone si esercitano su varie attrezzature.")</f>
        <v>Le persone si esercitano su varie attrezzature.</v>
      </c>
    </row>
    <row r="35218">
      <c r="A35218" s="4" t="s">
        <v>44313</v>
      </c>
      <c r="B35218" s="4" t="s">
        <v>44315</v>
      </c>
      <c r="C35218" s="5" t="str">
        <f>IFERROR(__xludf.DUMMYFUNCTION("GOOGLETRANSLATE(B35218,""en"",""it"")"),"Un maschio e una femmina si muovono avanti e indietro.")</f>
        <v>Un maschio e una femmina si muovono avanti e indietro.</v>
      </c>
    </row>
    <row r="35219">
      <c r="A35219" s="4" t="s">
        <v>44316</v>
      </c>
      <c r="B35219" s="4" t="s">
        <v>44317</v>
      </c>
      <c r="C35219" s="5" t="str">
        <f>IFERROR(__xludf.DUMMYFUNCTION("GOOGLETRANSLATE(B35219,""en"",""it"")"),"C'è una coppia di mezza età che dimostra come fare la ballo balla.")</f>
        <v>C'è una coppia di mezza età che dimostra come fare la ballo balla.</v>
      </c>
    </row>
    <row r="35220">
      <c r="A35220" s="4" t="s">
        <v>44316</v>
      </c>
      <c r="B35220" s="4" t="s">
        <v>44318</v>
      </c>
      <c r="C35220" s="5" t="str">
        <f>IFERROR(__xludf.DUMMYFUNCTION("GOOGLETRANSLATE(B35220,""en"",""it"")"),"Sono in una stanza con grandi specchi su un muro e pavimenti in legno.")</f>
        <v>Sono in una stanza con grandi specchi su un muro e pavimenti in legno.</v>
      </c>
    </row>
    <row r="35221">
      <c r="A35221" s="4" t="s">
        <v>44316</v>
      </c>
      <c r="B35221" s="4" t="s">
        <v>44319</v>
      </c>
      <c r="C35221" s="5" t="str">
        <f>IFERROR(__xludf.DUMMYFUNCTION("GOOGLETRANSLATE(B35221,""en"",""it"")"),"Stanno mostrando come spostare il piede avanti e indietro nel ritmo mentre faceva roteare i fianchi.")</f>
        <v>Stanno mostrando come spostare il piede avanti e indietro nel ritmo mentre faceva roteare i fianchi.</v>
      </c>
    </row>
    <row r="35222">
      <c r="A35222" s="4" t="s">
        <v>44320</v>
      </c>
      <c r="B35222" s="4" t="s">
        <v>44321</v>
      </c>
      <c r="C35222" s="5" t="str">
        <f>IFERROR(__xludf.DUMMYFUNCTION("GOOGLETRANSLATE(B35222,""en"",""it"")"),"Un cowboy si esaurisce da un cancello su un cavallo.")</f>
        <v>Un cowboy si esaurisce da un cancello su un cavallo.</v>
      </c>
    </row>
    <row r="35223">
      <c r="A35223" s="4" t="s">
        <v>44320</v>
      </c>
      <c r="B35223" s="4" t="s">
        <v>44322</v>
      </c>
      <c r="C35223" s="5" t="str">
        <f>IFERROR(__xludf.DUMMYFUNCTION("GOOGLETRANSLATE(B35223,""en"",""it"")"),"Usa un lazo per corrompere un vitello.")</f>
        <v>Usa un lazo per corrompere un vitello.</v>
      </c>
    </row>
    <row r="35224">
      <c r="A35224" s="4" t="s">
        <v>44320</v>
      </c>
      <c r="B35224" s="4" t="s">
        <v>44323</v>
      </c>
      <c r="C35224" s="5" t="str">
        <f>IFERROR(__xludf.DUMMYFUNCTION("GOOGLETRANSLATE(B35224,""en"",""it"")"),"Cerca di legare il polpaccio, perdendo la corda.")</f>
        <v>Cerca di legare il polpaccio, perdendo la corda.</v>
      </c>
    </row>
    <row r="35225">
      <c r="A35225" s="4" t="s">
        <v>44324</v>
      </c>
      <c r="B35225" s="4" t="s">
        <v>44325</v>
      </c>
      <c r="C35225" s="5" t="str">
        <f>IFERROR(__xludf.DUMMYFUNCTION("GOOGLETRANSLATE(B35225,""en"",""it"")"),"Una ragazza che indossa una camicetta nera descrive come cuocere in cucina.")</f>
        <v>Una ragazza che indossa una camicetta nera descrive come cuocere in cucina.</v>
      </c>
    </row>
    <row r="35226">
      <c r="A35226" s="4" t="s">
        <v>44324</v>
      </c>
      <c r="B35226" s="4" t="s">
        <v>44326</v>
      </c>
      <c r="C35226" s="5" t="str">
        <f>IFERROR(__xludf.DUMMYFUNCTION("GOOGLETRANSLATE(B35226,""en"",""it"")"),"Il fornaio versa la farina in una ciotola limpida usando una tazza di misurazione.")</f>
        <v>Il fornaio versa la farina in una ciotola limpida usando una tazza di misurazione.</v>
      </c>
    </row>
    <row r="35227">
      <c r="A35227" s="4" t="s">
        <v>44324</v>
      </c>
      <c r="B35227" s="6" t="s">
        <v>44327</v>
      </c>
      <c r="C35227" s="5" t="str">
        <f>IFERROR(__xludf.DUMMYFUNCTION("GOOGLETRANSLATE(B35227,""en"",""it"")"),"Il fornaio raccoglie quindi quattro cucchiai di livello da un contenitore giallo di amido di mais e lo aggiunge alla ciotola di farina.")</f>
        <v>Il fornaio raccoglie quindi quattro cucchiai di livello da un contenitore giallo di amido di mais e lo aggiunge alla ciotola di farina.</v>
      </c>
    </row>
    <row r="35228">
      <c r="A35228" s="4" t="s">
        <v>44324</v>
      </c>
      <c r="B35228" s="6" t="s">
        <v>44328</v>
      </c>
      <c r="C35228" s="5" t="str">
        <f>IFERROR(__xludf.DUMMYFUNCTION("GOOGLETRANSLATE(B35228,""en"",""it"")"),"Il fornaio versa la miscela di farina e amido di mais in un setaccio e inizia a setacciare tre volte gli ingredienti.")</f>
        <v>Il fornaio versa la miscela di farina e amido di mais in un setaccio e inizia a setacciare tre volte gli ingredienti.</v>
      </c>
    </row>
    <row r="35229">
      <c r="A35229" s="4" t="s">
        <v>44329</v>
      </c>
      <c r="B35229" s="4" t="s">
        <v>44330</v>
      </c>
      <c r="C35229" s="5" t="str">
        <f>IFERROR(__xludf.DUMMYFUNCTION("GOOGLETRANSLATE(B35229,""en"",""it"")"),"Una persona viene vista correre lungo una lunga pista mentre tiene in mano un palo.")</f>
        <v>Una persona viene vista correre lungo una lunga pista mentre tiene in mano un palo.</v>
      </c>
    </row>
    <row r="35230">
      <c r="A35230" s="4" t="s">
        <v>44329</v>
      </c>
      <c r="B35230" s="4" t="s">
        <v>44331</v>
      </c>
      <c r="C35230" s="5" t="str">
        <f>IFERROR(__xludf.DUMMYFUNCTION("GOOGLETRANSLATE(B35230,""en"",""it"")"),"Il palo della persona volt sul raggio su un tappetino e viene nuovamente mostrata al rallentatore.")</f>
        <v>Il palo della persona volt sul raggio su un tappetino e viene nuovamente mostrata al rallentatore.</v>
      </c>
    </row>
    <row r="35231">
      <c r="A35231" s="4" t="s">
        <v>44332</v>
      </c>
      <c r="B35231" s="4" t="s">
        <v>44333</v>
      </c>
      <c r="C35231" s="5" t="str">
        <f>IFERROR(__xludf.DUMMYFUNCTION("GOOGLETRANSLATE(B35231,""en"",""it"")"),"Un giovane si mette il rossetto sulle labbra.")</f>
        <v>Un giovane si mette il rossetto sulle labbra.</v>
      </c>
    </row>
    <row r="35232">
      <c r="A35232" s="4" t="s">
        <v>44332</v>
      </c>
      <c r="B35232" s="4" t="s">
        <v>44334</v>
      </c>
      <c r="C35232" s="5" t="str">
        <f>IFERROR(__xludf.DUMMYFUNCTION("GOOGLETRANSLATE(B35232,""en"",""it"")"),"Due giornalisti parlano in un televisore con il pubblico.")</f>
        <v>Due giornalisti parlano in un televisore con il pubblico.</v>
      </c>
    </row>
    <row r="35233">
      <c r="A35233" s="4" t="s">
        <v>44332</v>
      </c>
      <c r="B35233" s="4" t="s">
        <v>44335</v>
      </c>
      <c r="C35233" s="5" t="str">
        <f>IFERROR(__xludf.DUMMYFUNCTION("GOOGLETRANSLATE(B35233,""en"",""it"")"),"Quindi, il giovane si sfiorava il viso, poi le persone tra il pubblico parlano.")</f>
        <v>Quindi, il giovane si sfiorava il viso, poi le persone tra il pubblico parlano.</v>
      </c>
    </row>
    <row r="35234">
      <c r="A35234" s="4" t="s">
        <v>44332</v>
      </c>
      <c r="B35234" s="4" t="s">
        <v>44336</v>
      </c>
      <c r="C35234" s="5" t="str">
        <f>IFERROR(__xludf.DUMMYFUNCTION("GOOGLETRANSLATE(B35234,""en"",""it"")"),"Dopo, i giovani mostrano la sua faccia con il trucco.")</f>
        <v>Dopo, i giovani mostrano la sua faccia con il trucco.</v>
      </c>
    </row>
    <row r="35235">
      <c r="A35235" s="4" t="s">
        <v>44337</v>
      </c>
      <c r="B35235" s="4" t="s">
        <v>44338</v>
      </c>
      <c r="C35235" s="5" t="str">
        <f>IFERROR(__xludf.DUMMYFUNCTION("GOOGLETRANSLATE(B35235,""en"",""it"")"),"Un uomo vestito con fatiche dell'esercito sta giocando a cornamuse mentre altre persone guardano.")</f>
        <v>Un uomo vestito con fatiche dell'esercito sta giocando a cornamuse mentre altre persone guardano.</v>
      </c>
    </row>
    <row r="35236">
      <c r="A35236" s="4" t="s">
        <v>44337</v>
      </c>
      <c r="B35236" s="4" t="s">
        <v>44339</v>
      </c>
      <c r="C35236" s="5" t="str">
        <f>IFERROR(__xludf.DUMMYFUNCTION("GOOGLETRANSLATE(B35236,""en"",""it"")"),"Una donna viene mostrata in background a ballare mentre suona.")</f>
        <v>Una donna viene mostrata in background a ballare mentre suona.</v>
      </c>
    </row>
    <row r="35237">
      <c r="A35237" s="4" t="s">
        <v>44337</v>
      </c>
      <c r="B35237" s="4" t="s">
        <v>44340</v>
      </c>
      <c r="C35237" s="5" t="str">
        <f>IFERROR(__xludf.DUMMYFUNCTION("GOOGLETRANSLATE(B35237,""en"",""it"")"),"Quando ha finito di affermare, ride e scherza con le altre persone.")</f>
        <v>Quando ha finito di affermare, ride e scherza con le altre persone.</v>
      </c>
    </row>
    <row r="35238">
      <c r="A35238" s="4" t="s">
        <v>44341</v>
      </c>
      <c r="B35238" s="4" t="s">
        <v>44342</v>
      </c>
      <c r="C35238" s="5" t="str">
        <f>IFERROR(__xludf.DUMMYFUNCTION("GOOGLETRANSLATE(B35238,""en"",""it"")"),"Un uomo fa un tatuaggio sull'area della vita di una donna che usa un ago.")</f>
        <v>Un uomo fa un tatuaggio sull'area della vita di una donna che usa un ago.</v>
      </c>
    </row>
    <row r="35239">
      <c r="A35239" s="4" t="s">
        <v>44341</v>
      </c>
      <c r="B35239" s="4" t="s">
        <v>44343</v>
      </c>
      <c r="C35239" s="5" t="str">
        <f>IFERROR(__xludf.DUMMYFUNCTION("GOOGLETRANSLATE(B35239,""en"",""it"")"),"L'uomo pulisce l'area del tatuaggio con un tessuto.")</f>
        <v>L'uomo pulisce l'area del tatuaggio con un tessuto.</v>
      </c>
    </row>
    <row r="35240">
      <c r="A35240" s="4" t="s">
        <v>44341</v>
      </c>
      <c r="B35240" s="4" t="s">
        <v>44344</v>
      </c>
      <c r="C35240" s="5" t="str">
        <f>IFERROR(__xludf.DUMMYFUNCTION("GOOGLETRANSLATE(B35240,""en"",""it"")"),"L'uomo continua a fare il tatuaggio e la pulizia.")</f>
        <v>L'uomo continua a fare il tatuaggio e la pulizia.</v>
      </c>
    </row>
    <row r="35241">
      <c r="A35241" s="4" t="s">
        <v>44345</v>
      </c>
      <c r="B35241" s="4" t="s">
        <v>44346</v>
      </c>
      <c r="C35241" s="5" t="str">
        <f>IFERROR(__xludf.DUMMYFUNCTION("GOOGLETRANSLATE(B35241,""en"",""it"")"),"Viene mostrato l'immagine e l'etichetta del presentatore o dello stilista.")</f>
        <v>Viene mostrato l'immagine e l'etichetta del presentatore o dello stilista.</v>
      </c>
    </row>
    <row r="35242">
      <c r="A35242" s="4" t="s">
        <v>44345</v>
      </c>
      <c r="B35242" s="4" t="s">
        <v>44347</v>
      </c>
      <c r="C35242" s="5" t="str">
        <f>IFERROR(__xludf.DUMMYFUNCTION("GOOGLETRANSLATE(B35242,""en"",""it"")"),"Il presentatore stabilisce i capelli di un cliente femminile.")</f>
        <v>Il presentatore stabilisce i capelli di un cliente femminile.</v>
      </c>
    </row>
    <row r="35243">
      <c r="A35243" s="4" t="s">
        <v>44345</v>
      </c>
      <c r="B35243" s="4" t="s">
        <v>44348</v>
      </c>
      <c r="C35243" s="5" t="str">
        <f>IFERROR(__xludf.DUMMYFUNCTION("GOOGLETRANSLATE(B35243,""en"",""it"")"),"Il presentatore parla direttamente nella fotocamera.")</f>
        <v>Il presentatore parla direttamente nella fotocamera.</v>
      </c>
    </row>
    <row r="35244">
      <c r="A35244" s="4" t="s">
        <v>44345</v>
      </c>
      <c r="B35244" s="4" t="s">
        <v>44349</v>
      </c>
      <c r="C35244" s="5" t="str">
        <f>IFERROR(__xludf.DUMMYFUNCTION("GOOGLETRANSLATE(B35244,""en"",""it"")"),"Il cliente gira lentamente su una sedia per presentare i suoi capelli.")</f>
        <v>Il cliente gira lentamente su una sedia per presentare i suoi capelli.</v>
      </c>
    </row>
    <row r="35245">
      <c r="A35245" s="4" t="s">
        <v>44345</v>
      </c>
      <c r="B35245" s="4" t="s">
        <v>44350</v>
      </c>
      <c r="C35245" s="5" t="str">
        <f>IFERROR(__xludf.DUMMYFUNCTION("GOOGLETRANSLATE(B35245,""en"",""it"")"),"Lo stilista bagna i capelli del cliente.")</f>
        <v>Lo stilista bagna i capelli del cliente.</v>
      </c>
    </row>
    <row r="35246">
      <c r="A35246" s="4" t="s">
        <v>44345</v>
      </c>
      <c r="B35246" s="4" t="s">
        <v>44351</v>
      </c>
      <c r="C35246" s="5" t="str">
        <f>IFERROR(__xludf.DUMMYFUNCTION("GOOGLETRANSLATE(B35246,""en"",""it"")"),"Lo stilista parte i capelli dei clienti.")</f>
        <v>Lo stilista parte i capelli dei clienti.</v>
      </c>
    </row>
    <row r="35247">
      <c r="A35247" s="4" t="s">
        <v>44345</v>
      </c>
      <c r="B35247" s="4" t="s">
        <v>44352</v>
      </c>
      <c r="C35247" s="5" t="str">
        <f>IFERROR(__xludf.DUMMYFUNCTION("GOOGLETRANSLATE(B35247,""en"",""it"")"),"Lo stilista usa una spazzola e un asciugacapelli per aggiungere volume, consistenza e arricciati ai capelli del cliente.")</f>
        <v>Lo stilista usa una spazzola e un asciugacapelli per aggiungere volume, consistenza e arricciati ai capelli del cliente.</v>
      </c>
    </row>
    <row r="35248">
      <c r="A35248" s="4" t="s">
        <v>44345</v>
      </c>
      <c r="B35248" s="4" t="s">
        <v>44353</v>
      </c>
      <c r="C35248" s="5" t="str">
        <f>IFERROR(__xludf.DUMMYFUNCTION("GOOGLETRANSLATE(B35248,""en"",""it"")"),"Lo stilista spruzza i capelli dei clienti.")</f>
        <v>Lo stilista spruzza i capelli dei clienti.</v>
      </c>
    </row>
    <row r="35249">
      <c r="A35249" s="4" t="s">
        <v>44345</v>
      </c>
      <c r="B35249" s="4" t="s">
        <v>44354</v>
      </c>
      <c r="C35249" s="5" t="str">
        <f>IFERROR(__xludf.DUMMYFUNCTION("GOOGLETRANSLATE(B35249,""en"",""it"")"),"Lo stilista usa la mano per posizionare i frangili.")</f>
        <v>Lo stilista usa la mano per posizionare i frangili.</v>
      </c>
    </row>
    <row r="35250">
      <c r="A35250" s="4" t="s">
        <v>44345</v>
      </c>
      <c r="B35250" s="4" t="s">
        <v>44355</v>
      </c>
      <c r="C35250" s="5" t="str">
        <f>IFERROR(__xludf.DUMMYFUNCTION("GOOGLETRANSLATE(B35250,""en"",""it"")"),"Lo stilista usa la mano per aggiungere un prodotto in gel ai capelli del cliente.")</f>
        <v>Lo stilista usa la mano per aggiungere un prodotto in gel ai capelli del cliente.</v>
      </c>
    </row>
    <row r="35251">
      <c r="A35251" s="4" t="s">
        <v>44345</v>
      </c>
      <c r="B35251" s="4" t="s">
        <v>44356</v>
      </c>
      <c r="C35251" s="5" t="str">
        <f>IFERROR(__xludf.DUMMYFUNCTION("GOOGLETRANSLATE(B35251,""en"",""it"")"),"Il cliente gira lentamente sulla sedia per mostrare il suo stile di capelli.")</f>
        <v>Il cliente gira lentamente sulla sedia per mostrare il suo stile di capelli.</v>
      </c>
    </row>
    <row r="35252">
      <c r="A35252" s="4" t="s">
        <v>44345</v>
      </c>
      <c r="B35252" s="4" t="s">
        <v>44357</v>
      </c>
      <c r="C35252" s="5" t="str">
        <f>IFERROR(__xludf.DUMMYFUNCTION("GOOGLETRANSLATE(B35252,""en"",""it"")"),"Vengono visualizzati il ​​nome e i crediti stilista.")</f>
        <v>Vengono visualizzati il ​​nome e i crediti stilista.</v>
      </c>
    </row>
    <row r="35253">
      <c r="A35253" s="4" t="s">
        <v>44358</v>
      </c>
      <c r="B35253" s="4" t="s">
        <v>44359</v>
      </c>
      <c r="C35253" s="5" t="str">
        <f>IFERROR(__xludf.DUMMYFUNCTION("GOOGLETRANSLATE(B35253,""en"",""it"")"),"Un uomo in un giubbotto nero è in piedi in una stanza.")</f>
        <v>Un uomo in un giubbotto nero è in piedi in una stanza.</v>
      </c>
    </row>
    <row r="35254">
      <c r="A35254" s="4" t="s">
        <v>44358</v>
      </c>
      <c r="B35254" s="4" t="s">
        <v>44360</v>
      </c>
      <c r="C35254" s="5" t="str">
        <f>IFERROR(__xludf.DUMMYFUNCTION("GOOGLETRANSLATE(B35254,""en"",""it"")"),"Getta le freccette su una tavola da darda sul muro.")</f>
        <v>Getta le freccette su una tavola da darda sul muro.</v>
      </c>
    </row>
    <row r="35255">
      <c r="A35255" s="4" t="s">
        <v>44358</v>
      </c>
      <c r="B35255" s="4" t="s">
        <v>44361</v>
      </c>
      <c r="C35255" s="5" t="str">
        <f>IFERROR(__xludf.DUMMYFUNCTION("GOOGLETRANSLATE(B35255,""en"",""it"")"),"Una donna è accanto a lui che guarda.")</f>
        <v>Una donna è accanto a lui che guarda.</v>
      </c>
    </row>
    <row r="35256">
      <c r="A35256" s="4" t="s">
        <v>44358</v>
      </c>
      <c r="B35256" s="4" t="s">
        <v>44362</v>
      </c>
      <c r="C35256" s="5" t="str">
        <f>IFERROR(__xludf.DUMMYFUNCTION("GOOGLETRANSLATE(B35256,""en"",""it"")"),"Un uomo si alza e tira fuori il dardo dal tabellone.")</f>
        <v>Un uomo si alza e tira fuori il dardo dal tabellone.</v>
      </c>
    </row>
    <row r="35257">
      <c r="A35257" s="4" t="s">
        <v>44363</v>
      </c>
      <c r="B35257" s="4" t="s">
        <v>44364</v>
      </c>
      <c r="C35257" s="5" t="str">
        <f>IFERROR(__xludf.DUMMYFUNCTION("GOOGLETRANSLATE(B35257,""en"",""it"")"),"Appare uno schermo del titolo di calcio da spiaggia ""Finale Coppa Italia"" con Sambienettese e Catania.")</f>
        <v>Appare uno schermo del titolo di calcio da spiaggia "Finale Coppa Italia" con Sambienettese e Catania.</v>
      </c>
    </row>
    <row r="35258">
      <c r="A35258" s="4" t="s">
        <v>44363</v>
      </c>
      <c r="B35258" s="4" t="s">
        <v>44365</v>
      </c>
      <c r="C35258" s="5" t="str">
        <f>IFERROR(__xludf.DUMMYFUNCTION("GOOGLETRANSLATE(B35258,""en"",""it"")"),"Gli uomini giocano a calcio professionista su una spiaggia vicino all'acqua.")</f>
        <v>Gli uomini giocano a calcio professionista su una spiaggia vicino all'acqua.</v>
      </c>
    </row>
    <row r="35259">
      <c r="A35259" s="4" t="s">
        <v>44363</v>
      </c>
      <c r="B35259" s="4" t="s">
        <v>44366</v>
      </c>
      <c r="C35259" s="5" t="str">
        <f>IFERROR(__xludf.DUMMYFUNCTION("GOOGLETRANSLATE(B35259,""en"",""it"")"),"I giocatori sul campo celebrano una vittoria e posano per una foto.")</f>
        <v>I giocatori sul campo celebrano una vittoria e posano per una foto.</v>
      </c>
    </row>
    <row r="35260">
      <c r="A35260" s="4" t="s">
        <v>44367</v>
      </c>
      <c r="B35260" s="4" t="s">
        <v>44368</v>
      </c>
      <c r="C35260" s="5" t="str">
        <f>IFERROR(__xludf.DUMMYFUNCTION("GOOGLETRANSLATE(B35260,""en"",""it"")"),"Un tosaerba da prato è mostrato a terra.")</f>
        <v>Un tosaerba da prato è mostrato a terra.</v>
      </c>
    </row>
    <row r="35261">
      <c r="A35261" s="4" t="s">
        <v>44367</v>
      </c>
      <c r="B35261" s="4" t="s">
        <v>44369</v>
      </c>
      <c r="C35261" s="5" t="str">
        <f>IFERROR(__xludf.DUMMYFUNCTION("GOOGLETRANSLATE(B35261,""en"",""it"")"),"Un uomo inizia il tosaerba e inizia a falciare il prato.")</f>
        <v>Un uomo inizia il tosaerba e inizia a falciare il prato.</v>
      </c>
    </row>
    <row r="35262">
      <c r="A35262" s="4" t="s">
        <v>44367</v>
      </c>
      <c r="B35262" s="4" t="s">
        <v>44370</v>
      </c>
      <c r="C35262" s="5" t="str">
        <f>IFERROR(__xludf.DUMMYFUNCTION("GOOGLETRANSLATE(B35262,""en"",""it"")"),"Viene mostrato falciare il prato e il prato.")</f>
        <v>Viene mostrato falciare il prato e il prato.</v>
      </c>
    </row>
    <row r="35263">
      <c r="A35263" s="4" t="s">
        <v>44371</v>
      </c>
      <c r="B35263" s="4" t="s">
        <v>44372</v>
      </c>
      <c r="C35263" s="5" t="str">
        <f>IFERROR(__xludf.DUMMYFUNCTION("GOOGLETRANSLATE(B35263,""en"",""it"")"),"Viene visto un uomo che tiene in mano un bastone e parla alla telecamera.")</f>
        <v>Viene visto un uomo che tiene in mano un bastone e parla alla telecamera.</v>
      </c>
    </row>
    <row r="35264">
      <c r="A35264" s="4" t="s">
        <v>44371</v>
      </c>
      <c r="B35264" s="6" t="s">
        <v>44373</v>
      </c>
      <c r="C35264" s="5" t="str">
        <f>IFERROR(__xludf.DUMMYFUNCTION("GOOGLETRANSLATE(B35264,""en"",""it"")"),"L'uomo tenta più volte di colpire la palla seguita da lui che lo raccoglie e colpendola in lontananza.")</f>
        <v>L'uomo tenta più volte di colpire la palla seguita da lui che lo raccoglie e colpendola in lontananza.</v>
      </c>
    </row>
    <row r="35265">
      <c r="A35265" s="4" t="s">
        <v>44374</v>
      </c>
      <c r="B35265" s="4" t="s">
        <v>44375</v>
      </c>
      <c r="C35265" s="5" t="str">
        <f>IFERROR(__xludf.DUMMYFUNCTION("GOOGLETRANSLATE(B35265,""en"",""it"")"),"Un gruppo di maschi è in piedi in una stanza che si veste.")</f>
        <v>Un gruppo di maschi è in piedi in una stanza che si veste.</v>
      </c>
    </row>
    <row r="35266">
      <c r="A35266" s="4" t="s">
        <v>44374</v>
      </c>
      <c r="B35266" s="6" t="s">
        <v>44376</v>
      </c>
      <c r="C35266" s="5" t="str">
        <f>IFERROR(__xludf.DUMMYFUNCTION("GOOGLETRANSLATE(B35266,""en"",""it"")"),"All'improvviso vengono mostrate molte donne e attività sulla spiaggia tra cui nuoto, pallavolo e bere.")</f>
        <v>All'improvviso vengono mostrate molte donne e attività sulla spiaggia tra cui nuoto, pallavolo e bere.</v>
      </c>
    </row>
    <row r="35267">
      <c r="A35267" s="4" t="s">
        <v>44374</v>
      </c>
      <c r="B35267" s="6" t="s">
        <v>44377</v>
      </c>
      <c r="C35267" s="5" t="str">
        <f>IFERROR(__xludf.DUMMYFUNCTION("GOOGLETRANSLATE(B35267,""en"",""it"")"),"Successivamente, l'uomo riappare, ma è raggiunto da compagni di squadra che giocano una partita di calcio sulla spiaggia in uno stadio circondato da persone.")</f>
        <v>Successivamente, l'uomo riappare, ma è raggiunto da compagni di squadra che giocano una partita di calcio sulla spiaggia in uno stadio circondato da persone.</v>
      </c>
    </row>
    <row r="35268">
      <c r="A35268" s="4" t="s">
        <v>44374</v>
      </c>
      <c r="B35268" s="6" t="s">
        <v>44378</v>
      </c>
      <c r="C35268" s="5" t="str">
        <f>IFERROR(__xludf.DUMMYFUNCTION("GOOGLETRANSLATE(B35268,""en"",""it"")"),"Una squadra vince e viene mostrato portando a casa il loro trofeo e il tifo e poi torna a mostrare il resto della squadra in competizione.")</f>
        <v>Una squadra vince e viene mostrato portando a casa il loro trofeo e il tifo e poi torna a mostrare il resto della squadra in competizione.</v>
      </c>
    </row>
    <row r="35269">
      <c r="A35269" s="4" t="s">
        <v>44379</v>
      </c>
      <c r="B35269" s="4" t="s">
        <v>44380</v>
      </c>
      <c r="C35269" s="5" t="str">
        <f>IFERROR(__xludf.DUMMYFUNCTION("GOOGLETRANSLATE(B35269,""en"",""it"")"),"Viene vista una donna che trasporta un soffiatore di neve e lo spinge lungo un sentiero.")</f>
        <v>Viene vista una donna che trasporta un soffiatore di neve e lo spinge lungo un sentiero.</v>
      </c>
    </row>
    <row r="35270">
      <c r="A35270" s="4" t="s">
        <v>44379</v>
      </c>
      <c r="B35270" s="6" t="s">
        <v>44381</v>
      </c>
      <c r="C35270" s="5" t="str">
        <f>IFERROR(__xludf.DUMMYFUNCTION("GOOGLETRANSLATE(B35270,""en"",""it"")"),"La donna continua a spingere la neve che soffia lungo la neve con la telecamera seguendo i suoi movimenti.")</f>
        <v>La donna continua a spingere la neve che soffia lungo la neve con la telecamera seguendo i suoi movimenti.</v>
      </c>
    </row>
    <row r="35271">
      <c r="A35271" s="4" t="s">
        <v>44379</v>
      </c>
      <c r="B35271" s="4" t="s">
        <v>44382</v>
      </c>
      <c r="C35271" s="5" t="str">
        <f>IFERROR(__xludf.DUMMYFUNCTION("GOOGLETRANSLATE(B35271,""en"",""it"")"),"Si sposta indietro e quarto mentre si ferma a parlare alla telecamera e continua a muoversi.")</f>
        <v>Si sposta indietro e quarto mentre si ferma a parlare alla telecamera e continua a muoversi.</v>
      </c>
    </row>
    <row r="35272">
      <c r="A35272" s="4" t="s">
        <v>44383</v>
      </c>
      <c r="B35272" s="4" t="s">
        <v>44384</v>
      </c>
      <c r="C35272" s="5" t="str">
        <f>IFERROR(__xludf.DUMMYFUNCTION("GOOGLETRANSLATE(B35272,""en"",""it"")"),"Un gruppo di sciatori sta cavalcando una collina.")</f>
        <v>Un gruppo di sciatori sta cavalcando una collina.</v>
      </c>
    </row>
    <row r="35273">
      <c r="A35273" s="4" t="s">
        <v>44383</v>
      </c>
      <c r="B35273" s="4" t="s">
        <v>44385</v>
      </c>
      <c r="C35273" s="5" t="str">
        <f>IFERROR(__xludf.DUMMYFUNCTION("GOOGLETRANSLATE(B35273,""en"",""it"")"),"Dividono la loro linea e creano più righe.")</f>
        <v>Dividono la loro linea e creano più righe.</v>
      </c>
    </row>
    <row r="35274">
      <c r="A35274" s="4" t="s">
        <v>44383</v>
      </c>
      <c r="B35274" s="4" t="s">
        <v>44386</v>
      </c>
      <c r="C35274" s="5" t="str">
        <f>IFERROR(__xludf.DUMMYFUNCTION("GOOGLETRANSLATE(B35274,""en"",""it"")"),"Si sono di nuovo separati per creare 4 linee diverse.")</f>
        <v>Si sono di nuovo separati per creare 4 linee diverse.</v>
      </c>
    </row>
    <row r="35275">
      <c r="A35275" s="4" t="s">
        <v>44383</v>
      </c>
      <c r="B35275" s="4" t="s">
        <v>44387</v>
      </c>
      <c r="C35275" s="5" t="str">
        <f>IFERROR(__xludf.DUMMYFUNCTION("GOOGLETRANSLATE(B35275,""en"",""it"")"),"Tutto l'essere e finisce allo stesso tempo.")</f>
        <v>Tutto l'essere e finisce allo stesso tempo.</v>
      </c>
    </row>
    <row r="35276">
      <c r="A35276" s="4" t="s">
        <v>44388</v>
      </c>
      <c r="B35276" s="4" t="s">
        <v>44389</v>
      </c>
      <c r="C35276" s="5" t="str">
        <f>IFERROR(__xludf.DUMMYFUNCTION("GOOGLETRANSLATE(B35276,""en"",""it"")"),"Una persona getta un pesante in uno stadio pieno di persone, quindi le persone misurano dove è atterrato la palla.")</f>
        <v>Una persona getta un pesante in uno stadio pieno di persone, quindi le persone misurano dove è atterrato la palla.</v>
      </c>
    </row>
    <row r="35277">
      <c r="A35277" s="4" t="s">
        <v>44388</v>
      </c>
      <c r="B35277" s="4" t="s">
        <v>44390</v>
      </c>
      <c r="C35277" s="5" t="str">
        <f>IFERROR(__xludf.DUMMYFUNCTION("GOOGLETRANSLATE(B35277,""en"",""it"")"),"Quindi, l'uomo cammina mentre giornalisti e cameraman lo seguono sul campo.")</f>
        <v>Quindi, l'uomo cammina mentre giornalisti e cameraman lo seguono sul campo.</v>
      </c>
    </row>
    <row r="35278">
      <c r="A35278" s="4" t="s">
        <v>44388</v>
      </c>
      <c r="B35278" s="4" t="s">
        <v>44391</v>
      </c>
      <c r="C35278" s="5" t="str">
        <f>IFERROR(__xludf.DUMMYFUNCTION("GOOGLETRANSLATE(B35278,""en"",""it"")"),"Dopo, l'uomo mette una camicia a maniche lunghe mentre un cameraman lo filmò.")</f>
        <v>Dopo, l'uomo mette una camicia a maniche lunghe mentre un cameraman lo filmò.</v>
      </c>
    </row>
    <row r="35279">
      <c r="A35279" s="4" t="s">
        <v>44392</v>
      </c>
      <c r="B35279" s="4" t="s">
        <v>44393</v>
      </c>
      <c r="C35279" s="5" t="str">
        <f>IFERROR(__xludf.DUMMYFUNCTION("GOOGLETRANSLATE(B35279,""en"",""it"")"),"Una donna è in piedi a un tavolo con un mucchio di forbici e rifornimenti.")</f>
        <v>Una donna è in piedi a un tavolo con un mucchio di forbici e rifornimenti.</v>
      </c>
    </row>
    <row r="35280">
      <c r="A35280" s="4" t="s">
        <v>44392</v>
      </c>
      <c r="B35280" s="4" t="s">
        <v>44394</v>
      </c>
      <c r="C35280" s="5" t="str">
        <f>IFERROR(__xludf.DUMMYFUNCTION("GOOGLETRANSLATE(B35280,""en"",""it"")"),"Dimostra come tagliare il cellophane e avvolgerlo attorno a un regalo.")</f>
        <v>Dimostra come tagliare il cellophane e avvolgerlo attorno a un regalo.</v>
      </c>
    </row>
    <row r="35281">
      <c r="A35281" s="4" t="s">
        <v>44392</v>
      </c>
      <c r="B35281" s="4" t="s">
        <v>44395</v>
      </c>
      <c r="C35281" s="5" t="str">
        <f>IFERROR(__xludf.DUMMYFUNCTION("GOOGLETRANSLATE(B35281,""en"",""it"")"),"Lei lega una corda attorno al regalo, mostrando il prodotto finale.")</f>
        <v>Lei lega una corda attorno al regalo, mostrando il prodotto finale.</v>
      </c>
    </row>
    <row r="35282">
      <c r="A35282" s="4" t="s">
        <v>44396</v>
      </c>
      <c r="B35282" s="4" t="s">
        <v>1251</v>
      </c>
      <c r="C35282" s="5" t="str">
        <f>IFERROR(__xludf.DUMMYFUNCTION("GOOGLETRANSLATE(B35282,""en"",""it"")"),"Vengono visualizzati i crediti della clip.")</f>
        <v>Vengono visualizzati i crediti della clip.</v>
      </c>
    </row>
    <row r="35283">
      <c r="A35283" s="4" t="s">
        <v>44396</v>
      </c>
      <c r="B35283" s="4" t="s">
        <v>44397</v>
      </c>
      <c r="C35283" s="5" t="str">
        <f>IFERROR(__xludf.DUMMYFUNCTION("GOOGLETRANSLATE(B35283,""en"",""it"")"),"Una ragazza in una coda di cavallo sta parlando.")</f>
        <v>Una ragazza in una coda di cavallo sta parlando.</v>
      </c>
    </row>
    <row r="35284">
      <c r="A35284" s="4" t="s">
        <v>44396</v>
      </c>
      <c r="B35284" s="4" t="s">
        <v>44398</v>
      </c>
      <c r="C35284" s="5" t="str">
        <f>IFERROR(__xludf.DUMMYFUNCTION("GOOGLETRANSLATE(B35284,""en"",""it"")"),"La ragazza con i capelli sta parlando in un bagno e mette la mano sul lavandino.")</f>
        <v>La ragazza con i capelli sta parlando in un bagno e mette la mano sul lavandino.</v>
      </c>
    </row>
    <row r="35285">
      <c r="A35285" s="4" t="s">
        <v>44396</v>
      </c>
      <c r="B35285" s="4" t="s">
        <v>44399</v>
      </c>
      <c r="C35285" s="5" t="str">
        <f>IFERROR(__xludf.DUMMYFUNCTION("GOOGLETRANSLATE(B35285,""en"",""it"")"),"La ragazza accende il rubinetto per bagnare lo spazzolino da denti.")</f>
        <v>La ragazza accende il rubinetto per bagnare lo spazzolino da denti.</v>
      </c>
    </row>
    <row r="35286">
      <c r="A35286" s="4" t="s">
        <v>44396</v>
      </c>
      <c r="B35286" s="6" t="s">
        <v>44400</v>
      </c>
      <c r="C35286" s="5" t="str">
        <f>IFERROR(__xludf.DUMMYFUNCTION("GOOGLETRANSLATE(B35286,""en"",""it"")"),"La ragazza spegne il rubinetto, svita il dentifricio e mette un po 'di dentifricio sul suo spazzolino da denti.")</f>
        <v>La ragazza spegne il rubinetto, svita il dentifricio e mette un po 'di dentifricio sul suo spazzolino da denti.</v>
      </c>
    </row>
    <row r="35287">
      <c r="A35287" s="4" t="s">
        <v>44396</v>
      </c>
      <c r="B35287" s="4" t="s">
        <v>44401</v>
      </c>
      <c r="C35287" s="5" t="str">
        <f>IFERROR(__xludf.DUMMYFUNCTION("GOOGLETRANSLATE(B35287,""en"",""it"")"),"La ragazza si lava i denti e sputa nel lavandino.")</f>
        <v>La ragazza si lava i denti e sputa nel lavandino.</v>
      </c>
    </row>
    <row r="35288">
      <c r="A35288" s="4" t="s">
        <v>44396</v>
      </c>
      <c r="B35288" s="4" t="s">
        <v>44402</v>
      </c>
      <c r="C35288" s="5" t="str">
        <f>IFERROR(__xludf.DUMMYFUNCTION("GOOGLETRANSLATE(B35288,""en"",""it"")"),"La ragazza sciacqua lo spazzolino e si posiziona sul lato del lavandino.")</f>
        <v>La ragazza sciacqua lo spazzolino e si posiziona sul lato del lavandino.</v>
      </c>
    </row>
    <row r="35289">
      <c r="A35289" s="4" t="s">
        <v>44396</v>
      </c>
      <c r="B35289" s="4" t="s">
        <v>44403</v>
      </c>
      <c r="C35289" s="5" t="str">
        <f>IFERROR(__xludf.DUMMYFUNCTION("GOOGLETRANSLATE(B35289,""en"",""it"")"),"I crediti del video sono mostrati sulle immagini del video.")</f>
        <v>I crediti del video sono mostrati sulle immagini del video.</v>
      </c>
    </row>
    <row r="35290">
      <c r="A35290" s="4" t="s">
        <v>44404</v>
      </c>
      <c r="B35290" s="4" t="s">
        <v>33402</v>
      </c>
      <c r="C35290" s="5" t="str">
        <f>IFERROR(__xludf.DUMMYFUNCTION("GOOGLETRANSLATE(B35290,""en"",""it"")"),"Una grande ondata si sta schiantando verso la riva.")</f>
        <v>Una grande ondata si sta schiantando verso la riva.</v>
      </c>
    </row>
    <row r="35291">
      <c r="A35291" s="4" t="s">
        <v>44404</v>
      </c>
      <c r="B35291" s="4" t="s">
        <v>44405</v>
      </c>
      <c r="C35291" s="5" t="str">
        <f>IFERROR(__xludf.DUMMYFUNCTION("GOOGLETRANSLATE(B35291,""en"",""it"")"),"Le persone navigano dietro l'onda gigante.")</f>
        <v>Le persone navigano dietro l'onda gigante.</v>
      </c>
    </row>
    <row r="35292">
      <c r="A35292" s="4" t="s">
        <v>44404</v>
      </c>
      <c r="B35292" s="4" t="s">
        <v>44406</v>
      </c>
      <c r="C35292" s="5" t="str">
        <f>IFERROR(__xludf.DUMMYFUNCTION("GOOGLETRANSLATE(B35292,""en"",""it"")"),"Il surfista mantiene l'equilibrio mentre naviga e va sotto una seconda ondata.")</f>
        <v>Il surfista mantiene l'equilibrio mentre naviga e va sotto una seconda ondata.</v>
      </c>
    </row>
    <row r="35293">
      <c r="A35293" s="4" t="s">
        <v>44407</v>
      </c>
      <c r="B35293" s="4" t="s">
        <v>44408</v>
      </c>
      <c r="C35293" s="5" t="str">
        <f>IFERROR(__xludf.DUMMYFUNCTION("GOOGLETRANSLATE(B35293,""en"",""it"")"),"Vediamo lo schermo di apertura e vediamo paesaggi e una spada.")</f>
        <v>Vediamo lo schermo di apertura e vediamo paesaggi e una spada.</v>
      </c>
    </row>
    <row r="35294">
      <c r="A35294" s="4" t="s">
        <v>44407</v>
      </c>
      <c r="B35294" s="4" t="s">
        <v>44409</v>
      </c>
      <c r="C35294" s="5" t="str">
        <f>IFERROR(__xludf.DUMMYFUNCTION("GOOGLETRANSLATE(B35294,""en"",""it"")"),"Vediamo una signora parlare, poi un uomo.")</f>
        <v>Vediamo una signora parlare, poi un uomo.</v>
      </c>
    </row>
    <row r="35295">
      <c r="A35295" s="4" t="s">
        <v>44407</v>
      </c>
      <c r="B35295" s="4" t="s">
        <v>44410</v>
      </c>
      <c r="C35295" s="5" t="str">
        <f>IFERROR(__xludf.DUMMYFUNCTION("GOOGLETRANSLATE(B35295,""en"",""it"")"),"Vediamo molte persone che lo snowboard.")</f>
        <v>Vediamo molte persone che lo snowboard.</v>
      </c>
    </row>
    <row r="35296">
      <c r="A35296" s="4" t="s">
        <v>44407</v>
      </c>
      <c r="B35296" s="4" t="s">
        <v>44411</v>
      </c>
      <c r="C35296" s="5" t="str">
        <f>IFERROR(__xludf.DUMMYFUNCTION("GOOGLETRANSLATE(B35296,""en"",""it"")"),"Due persone stringono la mano all'atterraggio.")</f>
        <v>Due persone stringono la mano all'atterraggio.</v>
      </c>
    </row>
    <row r="35297">
      <c r="A35297" s="4" t="s">
        <v>44407</v>
      </c>
      <c r="B35297" s="4" t="s">
        <v>44412</v>
      </c>
      <c r="C35297" s="5" t="str">
        <f>IFERROR(__xludf.DUMMYFUNCTION("GOOGLETRANSLATE(B35297,""en"",""it"")"),"Un uomo in una stanza nera viene intervistato, quindi vediamo un uomo fuori parlare.")</f>
        <v>Un uomo in una stanza nera viene intervistato, quindi vediamo un uomo fuori parlare.</v>
      </c>
    </row>
    <row r="35298">
      <c r="A35298" s="4" t="s">
        <v>44407</v>
      </c>
      <c r="B35298" s="4" t="s">
        <v>44413</v>
      </c>
      <c r="C35298" s="5" t="str">
        <f>IFERROR(__xludf.DUMMYFUNCTION("GOOGLETRANSLATE(B35298,""en"",""it"")"),"Persone alte cinque e vediamo una signora parlare.")</f>
        <v>Persone alte cinque e vediamo una signora parlare.</v>
      </c>
    </row>
    <row r="35299">
      <c r="A35299" s="4" t="s">
        <v>44407</v>
      </c>
      <c r="B35299" s="4" t="s">
        <v>44414</v>
      </c>
      <c r="C35299" s="5" t="str">
        <f>IFERROR(__xludf.DUMMYFUNCTION("GOOGLETRANSLATE(B35299,""en"",""it"")"),"Una signora getta le braccia in aria, la gente viene spruzzata e un uomo con una spada.")</f>
        <v>Una signora getta le braccia in aria, la gente viene spruzzata e un uomo con una spada.</v>
      </c>
    </row>
    <row r="35300">
      <c r="A35300" s="4" t="s">
        <v>44415</v>
      </c>
      <c r="B35300" s="4" t="s">
        <v>44416</v>
      </c>
      <c r="C35300" s="5" t="str">
        <f>IFERROR(__xludf.DUMMYFUNCTION("GOOGLETRANSLATE(B35300,""en"",""it"")"),"Una donna sta parlando con una macchina fotografica all'interno di una cucina.")</f>
        <v>Una donna sta parlando con una macchina fotografica all'interno di una cucina.</v>
      </c>
    </row>
    <row r="35301">
      <c r="A35301" s="4" t="s">
        <v>44415</v>
      </c>
      <c r="B35301" s="4" t="s">
        <v>44417</v>
      </c>
      <c r="C35301" s="5" t="str">
        <f>IFERROR(__xludf.DUMMYFUNCTION("GOOGLETRANSLATE(B35301,""en"",""it"")"),"Accende l'acqua, mostrando come inasprire correttamente le mani.")</f>
        <v>Accende l'acqua, mostrando come inasprire correttamente le mani.</v>
      </c>
    </row>
    <row r="35302">
      <c r="A35302" s="4" t="s">
        <v>44415</v>
      </c>
      <c r="B35302" s="4" t="s">
        <v>44418</v>
      </c>
      <c r="C35302" s="5" t="str">
        <f>IFERROR(__xludf.DUMMYFUNCTION("GOOGLETRANSLATE(B35302,""en"",""it"")"),"Quindi li sciacqua e li asciuga.")</f>
        <v>Quindi li sciacqua e li asciuga.</v>
      </c>
    </row>
    <row r="35303">
      <c r="A35303" s="4" t="s">
        <v>44419</v>
      </c>
      <c r="B35303" s="4" t="s">
        <v>44420</v>
      </c>
      <c r="C35303" s="5" t="str">
        <f>IFERROR(__xludf.DUMMYFUNCTION("GOOGLETRANSLATE(B35303,""en"",""it"")"),"Il motociclista sta pedalando e saltando sulle grandi rampe.")</f>
        <v>Il motociclista sta pedalando e saltando sulle grandi rampe.</v>
      </c>
    </row>
    <row r="35304">
      <c r="A35304" s="4" t="s">
        <v>44419</v>
      </c>
      <c r="B35304" s="4" t="s">
        <v>44421</v>
      </c>
      <c r="C35304" s="5" t="str">
        <f>IFERROR(__xludf.DUMMYFUNCTION("GOOGLETRANSLATE(B35304,""en"",""it"")"),"Il motociclista salta nella rampa con la sua bici davanti.")</f>
        <v>Il motociclista salta nella rampa con la sua bici davanti.</v>
      </c>
    </row>
    <row r="35305">
      <c r="A35305" s="4" t="s">
        <v>44419</v>
      </c>
      <c r="B35305" s="4" t="s">
        <v>44422</v>
      </c>
      <c r="C35305" s="5" t="str">
        <f>IFERROR(__xludf.DUMMYFUNCTION("GOOGLETRANSLATE(B35305,""en"",""it"")"),"Quattro motociclisti hanno corso e saltato oltre le rampe, il motociclista in bianco è in testa.")</f>
        <v>Quattro motociclisti hanno corso e saltato oltre le rampe, il motociclista in bianco è in testa.</v>
      </c>
    </row>
    <row r="35306">
      <c r="A35306" s="4" t="s">
        <v>44423</v>
      </c>
      <c r="B35306" s="6" t="s">
        <v>44424</v>
      </c>
      <c r="C35306" s="5" t="str">
        <f>IFERROR(__xludf.DUMMYFUNCTION("GOOGLETRANSLATE(B35306,""en"",""it"")"),"Un uomo e una donna sono in piedi davanti alla telecamera e una donna mostra come eseguire correttamente il tango.")</f>
        <v>Un uomo e una donna sono in piedi davanti alla telecamera e una donna mostra come eseguire correttamente il tango.</v>
      </c>
    </row>
    <row r="35307">
      <c r="A35307" s="4" t="s">
        <v>44423</v>
      </c>
      <c r="B35307" s="6" t="s">
        <v>44425</v>
      </c>
      <c r="C35307" s="5" t="str">
        <f>IFERROR(__xludf.DUMMYFUNCTION("GOOGLETRANSLATE(B35307,""en"",""it"")"),"Muove i piedi tra le braccia in un movimento particolare mentre l'uomo fa lo stesso da un angolo diverso.")</f>
        <v>Muove i piedi tra le braccia in un movimento particolare mentre l'uomo fa lo stesso da un angolo diverso.</v>
      </c>
    </row>
    <row r="35308">
      <c r="A35308" s="4" t="s">
        <v>44423</v>
      </c>
      <c r="B35308" s="6" t="s">
        <v>44426</v>
      </c>
      <c r="C35308" s="5" t="str">
        <f>IFERROR(__xludf.DUMMYFUNCTION("GOOGLETRANSLATE(B35308,""en"",""it"")"),"L'uomo e la donna finalmente mettono insieme le loro istruzioni ed eseguono il tango si muove insieme.")</f>
        <v>L'uomo e la donna finalmente mettono insieme le loro istruzioni ed eseguono il tango si muove insieme.</v>
      </c>
    </row>
    <row r="35309">
      <c r="A35309" s="4" t="s">
        <v>44427</v>
      </c>
      <c r="B35309" s="4" t="s">
        <v>44428</v>
      </c>
      <c r="C35309" s="5" t="str">
        <f>IFERROR(__xludf.DUMMYFUNCTION("GOOGLETRANSLATE(B35309,""en"",""it"")"),"I giocatori tengono una mazza piatta e corrono verso le palle.")</f>
        <v>I giocatori tengono una mazza piatta e corrono verso le palle.</v>
      </c>
    </row>
    <row r="35310">
      <c r="A35310" s="4" t="s">
        <v>44427</v>
      </c>
      <c r="B35310" s="6" t="s">
        <v>44429</v>
      </c>
      <c r="C35310" s="5" t="str">
        <f>IFERROR(__xludf.DUMMYFUNCTION("GOOGLETRANSLATE(B35310,""en"",""it"")"),"I giocatori hanno rimbalzato le palle sulla mazza, alcune hanno raccolto le palle da terra usando la mazza.")</f>
        <v>I giocatori hanno rimbalzato le palle sulla mazza, alcune hanno raccolto le palle da terra usando la mazza.</v>
      </c>
    </row>
    <row r="35311">
      <c r="A35311" s="4" t="s">
        <v>44427</v>
      </c>
      <c r="B35311" s="6" t="s">
        <v>44430</v>
      </c>
      <c r="C35311" s="5" t="str">
        <f>IFERROR(__xludf.DUMMYFUNCTION("GOOGLETRANSLATE(B35311,""en"",""it"")"),"La ragazza con la giacca blu rimbalzò la palla sulla mazza e lei andò in avanti, ma la palla cade a terra.")</f>
        <v>La ragazza con la giacca blu rimbalzò la palla sulla mazza e lei andò in avanti, ma la palla cade a terra.</v>
      </c>
    </row>
    <row r="35312">
      <c r="A35312" s="4" t="s">
        <v>44427</v>
      </c>
      <c r="B35312" s="4" t="s">
        <v>44431</v>
      </c>
      <c r="C35312" s="5" t="str">
        <f>IFERROR(__xludf.DUMMYFUNCTION("GOOGLETRANSLATE(B35312,""en"",""it"")"),"Una ragazza con il giubbotto nero sta raccogliendo la palla da terra usando la sua mazza.")</f>
        <v>Una ragazza con il giubbotto nero sta raccogliendo la palla da terra usando la sua mazza.</v>
      </c>
    </row>
    <row r="35313">
      <c r="A35313" s="4" t="s">
        <v>44427</v>
      </c>
      <c r="B35313" s="4" t="s">
        <v>44432</v>
      </c>
      <c r="C35313" s="5" t="str">
        <f>IFERROR(__xludf.DUMMYFUNCTION("GOOGLETRANSLATE(B35313,""en"",""it"")"),"Due ragazze camminavano normalmente senza inseguire le palle.")</f>
        <v>Due ragazze camminavano normalmente senza inseguire le palle.</v>
      </c>
    </row>
    <row r="35314">
      <c r="A35314" s="4" t="s">
        <v>44427</v>
      </c>
      <c r="B35314" s="4" t="s">
        <v>44433</v>
      </c>
      <c r="C35314" s="5" t="str">
        <f>IFERROR(__xludf.DUMMYFUNCTION("GOOGLETRANSLATE(B35314,""en"",""it"")"),"Una ragazza sul campo sta cercando di raccogliere la palla.")</f>
        <v>Una ragazza sul campo sta cercando di raccogliere la palla.</v>
      </c>
    </row>
    <row r="35315">
      <c r="A35315" s="4" t="s">
        <v>44427</v>
      </c>
      <c r="B35315" s="4" t="s">
        <v>44434</v>
      </c>
      <c r="C35315" s="5" t="str">
        <f>IFERROR(__xludf.DUMMYFUNCTION("GOOGLETRANSLATE(B35315,""en"",""it"")"),"I giocatori sono allineati e pronti a raccogliere le palle da terra usando i loro pipistrelli.")</f>
        <v>I giocatori sono allineati e pronti a raccogliere le palle da terra usando i loro pipistrelli.</v>
      </c>
    </row>
    <row r="35316">
      <c r="A35316" s="4" t="s">
        <v>44427</v>
      </c>
      <c r="B35316" s="6" t="s">
        <v>44435</v>
      </c>
      <c r="C35316" s="5" t="str">
        <f>IFERROR(__xludf.DUMMYFUNCTION("GOOGLETRANSLATE(B35316,""en"",""it"")"),"I giocatori hanno iniziato a rimbalzare le palle sulla mazza mentre correvano in avanti, alcune palle sono cadute a terra e i giocatori devono prenderle usando la mazza.")</f>
        <v>I giocatori hanno iniziato a rimbalzare le palle sulla mazza mentre correvano in avanti, alcune palle sono cadute a terra e i giocatori devono prenderle usando la mazza.</v>
      </c>
    </row>
    <row r="35317">
      <c r="A35317" s="4" t="s">
        <v>44436</v>
      </c>
      <c r="B35317" s="4" t="s">
        <v>44437</v>
      </c>
      <c r="C35317" s="5" t="str">
        <f>IFERROR(__xludf.DUMMYFUNCTION("GOOGLETRANSLATE(B35317,""en"",""it"")"),"Un uomo si trova su un cavallo galoppo in giro per lo sport.")</f>
        <v>Un uomo si trova su un cavallo galoppo in giro per lo sport.</v>
      </c>
    </row>
    <row r="35318">
      <c r="A35318" s="4" t="s">
        <v>44436</v>
      </c>
      <c r="B35318" s="4" t="s">
        <v>44438</v>
      </c>
      <c r="C35318" s="5" t="str">
        <f>IFERROR(__xludf.DUMMYFUNCTION("GOOGLETRANSLATE(B35318,""en"",""it"")"),"L'equitazione di cavallo è considerata uno sport, divertente ma funziona ancora.")</f>
        <v>L'equitazione di cavallo è considerata uno sport, divertente ma funziona ancora.</v>
      </c>
    </row>
    <row r="35319">
      <c r="A35319" s="4" t="s">
        <v>44436</v>
      </c>
      <c r="B35319" s="6" t="s">
        <v>44439</v>
      </c>
      <c r="C35319" s="5" t="str">
        <f>IFERROR(__xludf.DUMMYFUNCTION("GOOGLETRANSLATE(B35319,""en"",""it"")"),"Come lavorare con una squadra che devi lavorare anche con un cavallo, devi comunicare con un cavallo che non parla.")</f>
        <v>Come lavorare con una squadra che devi lavorare anche con un cavallo, devi comunicare con un cavallo che non parla.</v>
      </c>
    </row>
    <row r="35320">
      <c r="A35320" s="4" t="s">
        <v>44436</v>
      </c>
      <c r="B35320" s="4" t="s">
        <v>44440</v>
      </c>
      <c r="C35320" s="5" t="str">
        <f>IFERROR(__xludf.DUMMYFUNCTION("GOOGLETRANSLATE(B35320,""en"",""it"")"),"Fallo sapere quando devi andare più veloce, quando deve saltare e così via.")</f>
        <v>Fallo sapere quando devi andare più veloce, quando deve saltare e così via.</v>
      </c>
    </row>
    <row r="35321">
      <c r="A35321" s="4" t="s">
        <v>44441</v>
      </c>
      <c r="B35321" s="4" t="s">
        <v>44442</v>
      </c>
      <c r="C35321" s="5" t="str">
        <f>IFERROR(__xludf.DUMMYFUNCTION("GOOGLETRANSLATE(B35321,""en"",""it"")"),"Un piccolo gruppo di persone viene visto spingere una palla lungo l'acqua e segnare in porta.")</f>
        <v>Un piccolo gruppo di persone viene visto spingere una palla lungo l'acqua e segnare in porta.</v>
      </c>
    </row>
    <row r="35322">
      <c r="A35322" s="4" t="s">
        <v>44441</v>
      </c>
      <c r="B35322" s="4" t="s">
        <v>44443</v>
      </c>
      <c r="C35322" s="5" t="str">
        <f>IFERROR(__xludf.DUMMYFUNCTION("GOOGLETRANSLATE(B35322,""en"",""it"")"),"La gente continua a giocare con la palla e nuotare lungo l'acqua.")</f>
        <v>La gente continua a giocare con la palla e nuotare lungo l'acqua.</v>
      </c>
    </row>
    <row r="35323">
      <c r="A35323" s="4" t="s">
        <v>44441</v>
      </c>
      <c r="B35323" s="4" t="s">
        <v>44444</v>
      </c>
      <c r="C35323" s="5" t="str">
        <f>IFERROR(__xludf.DUMMYFUNCTION("GOOGLETRANSLATE(B35323,""en"",""it"")"),"La palla viene superata un altro per segnare un goal e poi il gioco continua.")</f>
        <v>La palla viene superata un altro per segnare un goal e poi il gioco continua.</v>
      </c>
    </row>
    <row r="35324">
      <c r="A35324" s="4" t="s">
        <v>44445</v>
      </c>
      <c r="B35324" s="4" t="s">
        <v>44446</v>
      </c>
      <c r="C35324" s="5" t="str">
        <f>IFERROR(__xludf.DUMMYFUNCTION("GOOGLETRANSLATE(B35324,""en"",""it"")"),"Una donna viene vista in ginocchio su un tappetino yoga mentre si piega in avanti.")</f>
        <v>Una donna viene vista in ginocchio su un tappetino yoga mentre si piega in avanti.</v>
      </c>
    </row>
    <row r="35325">
      <c r="A35325" s="4" t="s">
        <v>44445</v>
      </c>
      <c r="B35325" s="4" t="s">
        <v>44447</v>
      </c>
      <c r="C35325" s="5" t="str">
        <f>IFERROR(__xludf.DUMMYFUNCTION("GOOGLETRANSLATE(B35325,""en"",""it"")"),"La donna quindi sposta la gamba davanti a lei e si piega ulteriormente creando un tratto.")</f>
        <v>La donna quindi sposta la gamba davanti a lei e si piega ulteriormente creando un tratto.</v>
      </c>
    </row>
    <row r="35326">
      <c r="A35326" s="4" t="s">
        <v>44448</v>
      </c>
      <c r="B35326" s="6" t="s">
        <v>44449</v>
      </c>
      <c r="C35326" s="5" t="str">
        <f>IFERROR(__xludf.DUMMYFUNCTION("GOOGLETRANSLATE(B35326,""en"",""it"")"),"Un atleta viene visto girare in giro e lanciare una discussione mentre gli uomini sul campo corrono per seguire il suo punteggio.")</f>
        <v>Un atleta viene visto girare in giro e lanciare una discussione mentre gli uomini sul campo corrono per seguire il suo punteggio.</v>
      </c>
    </row>
    <row r="35327">
      <c r="A35327" s="4" t="s">
        <v>44448</v>
      </c>
      <c r="B35327" s="4" t="s">
        <v>44450</v>
      </c>
      <c r="C35327" s="5" t="str">
        <f>IFERROR(__xludf.DUMMYFUNCTION("GOOGLETRANSLATE(B35327,""en"",""it"")"),"L'atleta si allontana e un altro si alza e lancia la discussione.")</f>
        <v>L'atleta si allontana e un altro si alza e lancia la discussione.</v>
      </c>
    </row>
    <row r="35328">
      <c r="A35328" s="4" t="s">
        <v>44448</v>
      </c>
      <c r="B35328" s="6" t="s">
        <v>44451</v>
      </c>
      <c r="C35328" s="5" t="str">
        <f>IFERROR(__xludf.DUMMYFUNCTION("GOOGLETRANSLATE(B35328,""en"",""it"")"),"Diverse altre persone si fanno avanti per gettare l'oggetto e termina con un atleta che vince e si allontana.")</f>
        <v>Diverse altre persone si fanno avanti per gettare l'oggetto e termina con un atleta che vince e si allontana.</v>
      </c>
    </row>
    <row r="35329">
      <c r="A35329" s="4" t="s">
        <v>44452</v>
      </c>
      <c r="B35329" s="4" t="s">
        <v>44453</v>
      </c>
      <c r="C35329" s="5" t="str">
        <f>IFERROR(__xludf.DUMMYFUNCTION("GOOGLETRANSLATE(B35329,""en"",""it"")"),"Ci sono due bambini sul set di swing mentre due vecchie donne in piedi accanto a loro che li oscillano.")</f>
        <v>Ci sono due bambini sul set di swing mentre due vecchie donne in piedi accanto a loro che li oscillano.</v>
      </c>
    </row>
    <row r="35330">
      <c r="A35330" s="4" t="s">
        <v>44452</v>
      </c>
      <c r="B35330" s="6" t="s">
        <v>44454</v>
      </c>
      <c r="C35330" s="5" t="str">
        <f>IFERROR(__xludf.DUMMYFUNCTION("GOOGLETRANSLATE(B35330,""en"",""it"")"),"La vecchia signora in top rosa è andata via, mentre l'altra vecchia in viola continua a far oscillare il ragazzo.")</f>
        <v>La vecchia signora in top rosa è andata via, mentre l'altra vecchia in viola continua a far oscillare il ragazzo.</v>
      </c>
    </row>
    <row r="35331">
      <c r="A35331" s="4" t="s">
        <v>44452</v>
      </c>
      <c r="B35331" s="6" t="s">
        <v>44455</v>
      </c>
      <c r="C35331" s="5" t="str">
        <f>IFERROR(__xludf.DUMMYFUNCTION("GOOGLETRANSLATE(B35331,""en"",""it"")"),"La vecchia signora con camicia rosa è tornata indietro con un pezzo di carta per ventilare un po 'd'aria, mentre un bambino cammina verso la parte anteriore della panchina.")</f>
        <v>La vecchia signora con camicia rosa è tornata indietro con un pezzo di carta per ventilare un po 'd'aria, mentre un bambino cammina verso la parte anteriore della panchina.</v>
      </c>
    </row>
    <row r="35332">
      <c r="A35332" s="4" t="s">
        <v>44452</v>
      </c>
      <c r="B35332" s="6" t="s">
        <v>44456</v>
      </c>
      <c r="C35332" s="5" t="str">
        <f>IFERROR(__xludf.DUMMYFUNCTION("GOOGLETRANSLATE(B35332,""en"",""it"")"),"La vecchia signora in Purple continua a far oscillare il ragazzo, mentre la vecchia signora in cima rosa si alzava e appoggia la schiena sulla barra rossa dell'oscillazione.")</f>
        <v>La vecchia signora in Purple continua a far oscillare il ragazzo, mentre la vecchia signora in cima rosa si alzava e appoggia la schiena sulla barra rossa dell'oscillazione.</v>
      </c>
    </row>
    <row r="35333">
      <c r="A35333" s="4" t="s">
        <v>44452</v>
      </c>
      <c r="B35333" s="6" t="s">
        <v>44457</v>
      </c>
      <c r="C35333" s="5" t="str">
        <f>IFERROR(__xludf.DUMMYFUNCTION("GOOGLETRANSLATE(B35333,""en"",""it"")"),"La signora in top rosa arrivò davanti all'altro ragazzo con la camicia bianca e gli parlò, iniziò a spingerlo sull'altalena, dargli un bacio e continuare a farlo oscillare dal lato dell'oscillazione.")</f>
        <v>La signora in top rosa arrivò davanti all'altro ragazzo con la camicia bianca e gli parlò, iniziò a spingerlo sull'altalena, dargli un bacio e continuare a farlo oscillare dal lato dell'oscillazione.</v>
      </c>
    </row>
    <row r="35334">
      <c r="A35334" s="4" t="s">
        <v>44452</v>
      </c>
      <c r="B35334" s="4" t="s">
        <v>44458</v>
      </c>
      <c r="C35334" s="5" t="str">
        <f>IFERROR(__xludf.DUMMYFUNCTION("GOOGLETRANSLATE(B35334,""en"",""it"")"),"La ragazza più piccola vicino alla panchina si sedette per raccogliere qualcosa dal terreno blu.")</f>
        <v>La ragazza più piccola vicino alla panchina si sedette per raccogliere qualcosa dal terreno blu.</v>
      </c>
    </row>
    <row r="35335">
      <c r="A35335" s="4" t="s">
        <v>44459</v>
      </c>
      <c r="B35335" s="4" t="s">
        <v>44460</v>
      </c>
      <c r="C35335" s="5" t="str">
        <f>IFERROR(__xludf.DUMMYFUNCTION("GOOGLETRANSLATE(B35335,""en"",""it"")"),"Un uomo che indossa gli occhiali è su un palco.")</f>
        <v>Un uomo che indossa gli occhiali è su un palco.</v>
      </c>
    </row>
    <row r="35336">
      <c r="A35336" s="4" t="s">
        <v>44459</v>
      </c>
      <c r="B35336" s="4" t="s">
        <v>44461</v>
      </c>
      <c r="C35336" s="5" t="str">
        <f>IFERROR(__xludf.DUMMYFUNCTION("GOOGLETRANSLATE(B35336,""en"",""it"")"),"Getta le freccette su una tavola, cercando di colpire il bersaglio mentre la folla si avvicina.")</f>
        <v>Getta le freccette su una tavola, cercando di colpire il bersaglio mentre la folla si avvicina.</v>
      </c>
    </row>
    <row r="35337">
      <c r="A35337" s="4" t="s">
        <v>44459</v>
      </c>
      <c r="B35337" s="4" t="s">
        <v>44462</v>
      </c>
      <c r="C35337" s="5" t="str">
        <f>IFERROR(__xludf.DUMMYFUNCTION("GOOGLETRANSLATE(B35337,""en"",""it"")"),"Appare un altro concorrente, facendo lo stesso.")</f>
        <v>Appare un altro concorrente, facendo lo stesso.</v>
      </c>
    </row>
    <row r="35338">
      <c r="A35338" s="4" t="s">
        <v>44459</v>
      </c>
      <c r="B35338" s="4" t="s">
        <v>44463</v>
      </c>
      <c r="C35338" s="5" t="str">
        <f>IFERROR(__xludf.DUMMYFUNCTION("GOOGLETRANSLATE(B35338,""en"",""it"")"),"Il vincitore entra sul palco mentre la fotocamera Flash, celebra.")</f>
        <v>Il vincitore entra sul palco mentre la fotocamera Flash, celebra.</v>
      </c>
    </row>
    <row r="35339">
      <c r="A35339" s="4" t="s">
        <v>44464</v>
      </c>
      <c r="B35339" s="4" t="s">
        <v>44465</v>
      </c>
      <c r="C35339" s="5" t="str">
        <f>IFERROR(__xludf.DUMMYFUNCTION("GOOGLETRANSLATE(B35339,""en"",""it"")"),"Sono visti due bambini giocare una partita di shuffleboard sul lato di una barca mentre la telecamera guarda.")</f>
        <v>Sono visti due bambini giocare una partita di shuffleboard sul lato di una barca mentre la telecamera guarda.</v>
      </c>
    </row>
    <row r="35340">
      <c r="A35340" s="4" t="s">
        <v>44464</v>
      </c>
      <c r="B35340" s="4" t="s">
        <v>44466</v>
      </c>
      <c r="C35340" s="5" t="str">
        <f>IFERROR(__xludf.DUMMYFUNCTION("GOOGLETRANSLATE(B35340,""en"",""it"")"),"I bambini continuano a turno mentre corrono su e giù per il sentiero sulla barca.")</f>
        <v>I bambini continuano a turno mentre corrono su e giù per il sentiero sulla barca.</v>
      </c>
    </row>
    <row r="35341">
      <c r="A35341" s="4" t="s">
        <v>44467</v>
      </c>
      <c r="B35341" s="4" t="s">
        <v>44468</v>
      </c>
      <c r="C35341" s="5" t="str">
        <f>IFERROR(__xludf.DUMMYFUNCTION("GOOGLETRANSLATE(B35341,""en"",""it"")"),"Un medico parla mentre un'infermiera si siede accanto a lui in un ufficio medico.")</f>
        <v>Un medico parla mentre un'infermiera si siede accanto a lui in un ufficio medico.</v>
      </c>
    </row>
    <row r="35342">
      <c r="A35342" s="4" t="s">
        <v>44467</v>
      </c>
      <c r="B35342" s="6" t="s">
        <v>44469</v>
      </c>
      <c r="C35342" s="5" t="str">
        <f>IFERROR(__xludf.DUMMYFUNCTION("GOOGLETRANSLATE(B35342,""en"",""it"")"),"Alza una bottiglia di detergente e usa uno straccio per pulirlo sul viso della donna, prima di asciugarlo di nuovo.")</f>
        <v>Alza una bottiglia di detergente e usa uno straccio per pulirlo sul viso della donna, prima di asciugarlo di nuovo.</v>
      </c>
    </row>
    <row r="35343">
      <c r="A35343" s="4" t="s">
        <v>44467</v>
      </c>
      <c r="B35343" s="4" t="s">
        <v>44470</v>
      </c>
      <c r="C35343" s="5" t="str">
        <f>IFERROR(__xludf.DUMMYFUNCTION("GOOGLETRANSLATE(B35343,""en"",""it"")"),"Viene anche strofinato nelle sue mani.")</f>
        <v>Viene anche strofinato nelle sue mani.</v>
      </c>
    </row>
    <row r="35344">
      <c r="A35344" s="4" t="s">
        <v>44471</v>
      </c>
      <c r="B35344" s="4" t="s">
        <v>44472</v>
      </c>
      <c r="C35344" s="5" t="str">
        <f>IFERROR(__xludf.DUMMYFUNCTION("GOOGLETRANSLATE(B35344,""en"",""it"")"),"Uno chef è in piedi davanti a un tavolo e inizia a accendere una stufa con una padella.")</f>
        <v>Uno chef è in piedi davanti a un tavolo e inizia a accendere una stufa con una padella.</v>
      </c>
    </row>
    <row r="35345">
      <c r="A35345" s="4" t="s">
        <v>44471</v>
      </c>
      <c r="B35345" s="6" t="s">
        <v>44473</v>
      </c>
      <c r="C35345" s="5" t="str">
        <f>IFERROR(__xludf.DUMMYFUNCTION("GOOGLETRANSLATE(B35345,""en"",""it"")"),"L'uomo quindi mescola vari ingredienti insieme e infine mette gli ingredienti sulla parte superiore della stufa.")</f>
        <v>L'uomo quindi mescola vari ingredienti insieme e infine mette gli ingredienti sulla parte superiore della stufa.</v>
      </c>
    </row>
    <row r="35346">
      <c r="A35346" s="4" t="s">
        <v>44471</v>
      </c>
      <c r="B35346" s="4" t="s">
        <v>44474</v>
      </c>
      <c r="C35346" s="5" t="str">
        <f>IFERROR(__xludf.DUMMYFUNCTION("GOOGLETRANSLATE(B35346,""en"",""it"")"),"Termina il piatto facendo una frittata e lo serve su un piatto e lo taglia.")</f>
        <v>Termina il piatto facendo una frittata e lo serve su un piatto e lo taglia.</v>
      </c>
    </row>
    <row r="35347">
      <c r="A35347" s="4" t="s">
        <v>44475</v>
      </c>
      <c r="B35347" s="4" t="s">
        <v>44476</v>
      </c>
      <c r="C35347" s="5" t="str">
        <f>IFERROR(__xludf.DUMMYFUNCTION("GOOGLETRANSLATE(B35347,""en"",""it"")"),"Le persone sono in un campo con molti cammelli seduti sul pavimento.")</f>
        <v>Le persone sono in un campo con molti cammelli seduti sul pavimento.</v>
      </c>
    </row>
    <row r="35348">
      <c r="A35348" s="4" t="s">
        <v>44475</v>
      </c>
      <c r="B35348" s="6" t="s">
        <v>44477</v>
      </c>
      <c r="C35348" s="5" t="str">
        <f>IFERROR(__xludf.DUMMYFUNCTION("GOOGLETRANSLATE(B35348,""en"",""it"")"),"Un uomo sta cavalcando un cammello e inizia a camminare nel dessert che passa vicino alle piramidi mentre un uomo li guida con una corda.")</f>
        <v>Un uomo sta cavalcando un cammello e inizia a camminare nel dessert che passa vicino alle piramidi mentre un uomo li guida con una corda.</v>
      </c>
    </row>
    <row r="35349">
      <c r="A35349" s="4" t="s">
        <v>44475</v>
      </c>
      <c r="B35349" s="4" t="s">
        <v>44478</v>
      </c>
      <c r="C35349" s="5" t="str">
        <f>IFERROR(__xludf.DUMMYFUNCTION("GOOGLETRANSLATE(B35349,""en"",""it"")"),"I cammelli si fermano e un uomo sta scattando una foto.")</f>
        <v>I cammelli si fermano e un uomo sta scattando una foto.</v>
      </c>
    </row>
    <row r="35350">
      <c r="A35350" s="4" t="s">
        <v>44475</v>
      </c>
      <c r="B35350" s="4" t="s">
        <v>44479</v>
      </c>
      <c r="C35350" s="5" t="str">
        <f>IFERROR(__xludf.DUMMYFUNCTION("GOOGLETRANSLATE(B35350,""en"",""it"")"),"Gli uomini guidano cammelli nel dessert.")</f>
        <v>Gli uomini guidano cammelli nel dessert.</v>
      </c>
    </row>
    <row r="35351">
      <c r="A35351" s="4" t="s">
        <v>44480</v>
      </c>
      <c r="B35351" s="4" t="s">
        <v>44481</v>
      </c>
      <c r="C35351" s="5" t="str">
        <f>IFERROR(__xludf.DUMMYFUNCTION("GOOGLETRANSLATE(B35351,""en"",""it"")"),"Vediamo un piccolo cane in una vasca da bagno con il titolo sopra.")</f>
        <v>Vediamo un piccolo cane in una vasca da bagno con il titolo sopra.</v>
      </c>
    </row>
    <row r="35352">
      <c r="A35352" s="4" t="s">
        <v>44480</v>
      </c>
      <c r="B35352" s="4" t="s">
        <v>44482</v>
      </c>
      <c r="C35352" s="5" t="str">
        <f>IFERROR(__xludf.DUMMYFUNCTION("GOOGLETRANSLATE(B35352,""en"",""it"")"),"Una persona bagna il cane e ci mette lo shampoo.")</f>
        <v>Una persona bagna il cane e ci mette lo shampoo.</v>
      </c>
    </row>
    <row r="35353">
      <c r="A35353" s="4" t="s">
        <v>44480</v>
      </c>
      <c r="B35353" s="4" t="s">
        <v>44483</v>
      </c>
      <c r="C35353" s="5" t="str">
        <f>IFERROR(__xludf.DUMMYFUNCTION("GOOGLETRANSLATE(B35353,""en"",""it"")"),"La persona lava il cane con le mani.")</f>
        <v>La persona lava il cane con le mani.</v>
      </c>
    </row>
    <row r="35354">
      <c r="A35354" s="4" t="s">
        <v>44480</v>
      </c>
      <c r="B35354" s="4" t="s">
        <v>44484</v>
      </c>
      <c r="C35354" s="5" t="str">
        <f>IFERROR(__xludf.DUMMYFUNCTION("GOOGLETRANSLATE(B35354,""en"",""it"")"),"Rimangono il cane e lo lavano.")</f>
        <v>Rimangono il cane e lo lavano.</v>
      </c>
    </row>
    <row r="35355">
      <c r="A35355" s="4" t="s">
        <v>44480</v>
      </c>
      <c r="B35355" s="4" t="s">
        <v>44485</v>
      </c>
      <c r="C35355" s="5" t="str">
        <f>IFERROR(__xludf.DUMMYFUNCTION("GOOGLETRANSLATE(B35355,""en"",""it"")"),"Sciacquano il sapone dal cane.")</f>
        <v>Sciacquano il sapone dal cane.</v>
      </c>
    </row>
    <row r="35356">
      <c r="A35356" s="4" t="s">
        <v>44480</v>
      </c>
      <c r="B35356" s="4" t="s">
        <v>44486</v>
      </c>
      <c r="C35356" s="5" t="str">
        <f>IFERROR(__xludf.DUMMYFUNCTION("GOOGLETRANSLATE(B35356,""en"",""it"")"),"Vediamo il cane bagnato dall'alto.")</f>
        <v>Vediamo il cane bagnato dall'alto.</v>
      </c>
    </row>
    <row r="35357">
      <c r="A35357" s="4" t="s">
        <v>44487</v>
      </c>
      <c r="B35357" s="4" t="s">
        <v>44488</v>
      </c>
      <c r="C35357" s="5" t="str">
        <f>IFERROR(__xludf.DUMMYFUNCTION("GOOGLETRANSLATE(B35357,""en"",""it"")"),"Una donna sta pulendo i vestiti su un tavolo.")</f>
        <v>Una donna sta pulendo i vestiti su un tavolo.</v>
      </c>
    </row>
    <row r="35358">
      <c r="A35358" s="4" t="s">
        <v>44487</v>
      </c>
      <c r="B35358" s="4" t="s">
        <v>44489</v>
      </c>
      <c r="C35358" s="5" t="str">
        <f>IFERROR(__xludf.DUMMYFUNCTION("GOOGLETRANSLATE(B35358,""en"",""it"")"),"Versa un secchio d'acqua sui vestiti.")</f>
        <v>Versa un secchio d'acqua sui vestiti.</v>
      </c>
    </row>
    <row r="35359">
      <c r="A35359" s="4" t="s">
        <v>44487</v>
      </c>
      <c r="B35359" s="4" t="s">
        <v>44490</v>
      </c>
      <c r="C35359" s="5" t="str">
        <f>IFERROR(__xludf.DUMMYFUNCTION("GOOGLETRANSLATE(B35359,""en"",""it"")"),"Prende un pennello e strofina l'abbigliamento.")</f>
        <v>Prende un pennello e strofina l'abbigliamento.</v>
      </c>
    </row>
    <row r="35360">
      <c r="A35360" s="4" t="s">
        <v>44487</v>
      </c>
      <c r="B35360" s="4" t="s">
        <v>44491</v>
      </c>
      <c r="C35360" s="5" t="str">
        <f>IFERROR(__xludf.DUMMYFUNCTION("GOOGLETRANSLATE(B35360,""en"",""it"")"),"Versa più acqua sui vestiti.")</f>
        <v>Versa più acqua sui vestiti.</v>
      </c>
    </row>
    <row r="35361">
      <c r="A35361" s="4" t="s">
        <v>44487</v>
      </c>
      <c r="B35361" s="4" t="s">
        <v>44492</v>
      </c>
      <c r="C35361" s="5" t="str">
        <f>IFERROR(__xludf.DUMMYFUNCTION("GOOGLETRANSLATE(B35361,""en"",""it"")"),"Prende l'abbigliamento e se lo mette accanto a lei.")</f>
        <v>Prende l'abbigliamento e se lo mette accanto a lei.</v>
      </c>
    </row>
    <row r="35362">
      <c r="A35362" s="4" t="s">
        <v>44493</v>
      </c>
      <c r="B35362" s="4" t="s">
        <v>44494</v>
      </c>
      <c r="C35362" s="5" t="str">
        <f>IFERROR(__xludf.DUMMYFUNCTION("GOOGLETRANSLATE(B35362,""en"",""it"")"),"Vediamo una ginnasta maschile prepararsi a usare il cavallo da pomolo.")</f>
        <v>Vediamo una ginnasta maschile prepararsi a usare il cavallo da pomolo.</v>
      </c>
    </row>
    <row r="35363">
      <c r="A35363" s="4" t="s">
        <v>44493</v>
      </c>
      <c r="B35363" s="4" t="s">
        <v>44495</v>
      </c>
      <c r="C35363" s="5" t="str">
        <f>IFERROR(__xludf.DUMMYFUNCTION("GOOGLETRANSLATE(B35363,""en"",""it"")"),"L'uomo monta il cavallo del pomo e gira le gambe attorno ad esso.")</f>
        <v>L'uomo monta il cavallo del pomo e gira le gambe attorno ad esso.</v>
      </c>
    </row>
    <row r="35364">
      <c r="A35364" s="4" t="s">
        <v>44493</v>
      </c>
      <c r="B35364" s="4" t="s">
        <v>859</v>
      </c>
      <c r="C35364" s="5" t="str">
        <f>IFERROR(__xludf.DUMMYFUNCTION("GOOGLETRANSLATE(B35364,""en"",""it"")"),"L'uomo fa un verticale e smontare.")</f>
        <v>L'uomo fa un verticale e smontare.</v>
      </c>
    </row>
    <row r="35365">
      <c r="A35365" s="4" t="s">
        <v>44493</v>
      </c>
      <c r="B35365" s="4" t="s">
        <v>44496</v>
      </c>
      <c r="C35365" s="5" t="str">
        <f>IFERROR(__xludf.DUMMYFUNCTION("GOOGLETRANSLATE(B35365,""en"",""it"")"),"L'uomo prende un inchino e inizia a allontanarsi.")</f>
        <v>L'uomo prende un inchino e inizia a allontanarsi.</v>
      </c>
    </row>
    <row r="35366">
      <c r="A35366" s="4" t="s">
        <v>44497</v>
      </c>
      <c r="B35366" s="4" t="s">
        <v>44498</v>
      </c>
      <c r="C35366" s="5" t="str">
        <f>IFERROR(__xludf.DUMMYFUNCTION("GOOGLETRANSLATE(B35366,""en"",""it"")"),"Una ragazza si trova in un cortile con un rastrello.")</f>
        <v>Una ragazza si trova in un cortile con un rastrello.</v>
      </c>
    </row>
    <row r="35367">
      <c r="A35367" s="4" t="s">
        <v>44497</v>
      </c>
      <c r="B35367" s="4" t="s">
        <v>44499</v>
      </c>
      <c r="C35367" s="5" t="str">
        <f>IFERROR(__xludf.DUMMYFUNCTION("GOOGLETRANSLATE(B35367,""en"",""it"")"),"La ragazza rastrella le foglie in una pila.")</f>
        <v>La ragazza rastrella le foglie in una pila.</v>
      </c>
    </row>
    <row r="35368">
      <c r="A35368" s="4" t="s">
        <v>44497</v>
      </c>
      <c r="B35368" s="4" t="s">
        <v>44500</v>
      </c>
      <c r="C35368" s="5" t="str">
        <f>IFERROR(__xludf.DUMMYFUNCTION("GOOGLETRANSLATE(B35368,""en"",""it"")"),"La ragazza cammina verso un trampolino e ottiene un rastrello diverso e rastrella le foglie in cerchio.")</f>
        <v>La ragazza cammina verso un trampolino e ottiene un rastrello diverso e rastrella le foglie in cerchio.</v>
      </c>
    </row>
    <row r="35369">
      <c r="A35369" s="4" t="s">
        <v>44497</v>
      </c>
      <c r="B35369" s="4" t="s">
        <v>44501</v>
      </c>
      <c r="C35369" s="5" t="str">
        <f>IFERROR(__xludf.DUMMYFUNCTION("GOOGLETRANSLATE(B35369,""en"",""it"")"),"La ragazza ha rimesso il rastrello sul trampolino e parla alla telecamera.")</f>
        <v>La ragazza ha rimesso il rastrello sul trampolino e parla alla telecamera.</v>
      </c>
    </row>
    <row r="35370">
      <c r="A35370" s="4" t="s">
        <v>44497</v>
      </c>
      <c r="B35370" s="6" t="s">
        <v>44502</v>
      </c>
      <c r="C35370" s="5" t="str">
        <f>IFERROR(__xludf.DUMMYFUNCTION("GOOGLETRANSLATE(B35370,""en"",""it"")"),"La ragazza salta dentro, rotola e getta le foglie prima di stare e parlare con la telecamera.")</f>
        <v>La ragazza salta dentro, rotola e getta le foglie prima di stare e parlare con la telecamera.</v>
      </c>
    </row>
    <row r="35371">
      <c r="A35371" s="4" t="s">
        <v>44503</v>
      </c>
      <c r="B35371" s="4" t="s">
        <v>44504</v>
      </c>
      <c r="C35371" s="5" t="str">
        <f>IFERROR(__xludf.DUMMYFUNCTION("GOOGLETRANSLATE(B35371,""en"",""it"")"),"Un uomo in giacca e cravatta sta parlando in un microfono.")</f>
        <v>Un uomo in giacca e cravatta sta parlando in un microfono.</v>
      </c>
    </row>
    <row r="35372">
      <c r="A35372" s="4" t="s">
        <v>44503</v>
      </c>
      <c r="B35372" s="4" t="s">
        <v>44505</v>
      </c>
      <c r="C35372" s="5" t="str">
        <f>IFERROR(__xludf.DUMMYFUNCTION("GOOGLETRANSLATE(B35372,""en"",""it"")"),"Le persone stanno scivolando in acqua in acqua.")</f>
        <v>Le persone stanno scivolando in acqua in acqua.</v>
      </c>
    </row>
    <row r="35373">
      <c r="A35373" s="4" t="s">
        <v>44503</v>
      </c>
      <c r="B35373" s="4" t="s">
        <v>44506</v>
      </c>
      <c r="C35373" s="5" t="str">
        <f>IFERROR(__xludf.DUMMYFUNCTION("GOOGLETRANSLATE(B35373,""en"",""it"")"),"Un uomo cade e viene trascinato dalla barca attraverso l'acqua.")</f>
        <v>Un uomo cade e viene trascinato dalla barca attraverso l'acqua.</v>
      </c>
    </row>
    <row r="35374">
      <c r="A35374" s="4" t="s">
        <v>44503</v>
      </c>
      <c r="B35374" s="4" t="s">
        <v>44507</v>
      </c>
      <c r="C35374" s="5" t="str">
        <f>IFERROR(__xludf.DUMMYFUNCTION("GOOGLETRANSLATE(B35374,""en"",""it"")"),"Un uomo si gira mentre lo sci d'acqua e tiene la corda con il piede.")</f>
        <v>Un uomo si gira mentre lo sci d'acqua e tiene la corda con il piede.</v>
      </c>
    </row>
    <row r="35375">
      <c r="A35375" s="4" t="s">
        <v>44503</v>
      </c>
      <c r="B35375" s="4" t="s">
        <v>44508</v>
      </c>
      <c r="C35375" s="5" t="str">
        <f>IFERROR(__xludf.DUMMYFUNCTION("GOOGLETRANSLATE(B35375,""en"",""it"")"),"Si schianta e cade in acqua.")</f>
        <v>Si schianta e cade in acqua.</v>
      </c>
    </row>
    <row r="35376">
      <c r="A35376" s="4" t="s">
        <v>44509</v>
      </c>
      <c r="B35376" s="4" t="s">
        <v>44510</v>
      </c>
      <c r="C35376" s="5" t="str">
        <f>IFERROR(__xludf.DUMMYFUNCTION("GOOGLETRANSLATE(B35376,""en"",""it"")"),"Due uomini stanno facendo Capoeira circondato da un cerchio di persone.")</f>
        <v>Due uomini stanno facendo Capoeira circondato da un cerchio di persone.</v>
      </c>
    </row>
    <row r="35377">
      <c r="A35377" s="4" t="s">
        <v>44509</v>
      </c>
      <c r="B35377" s="4" t="s">
        <v>44511</v>
      </c>
      <c r="C35377" s="5" t="str">
        <f>IFERROR(__xludf.DUMMYFUNCTION("GOOGLETRANSLATE(B35377,""en"",""it"")"),"Gli uomini si fanno una pausa e si esibiscono di nuovo per la gente.")</f>
        <v>Gli uomini si fanno una pausa e si esibiscono di nuovo per la gente.</v>
      </c>
    </row>
    <row r="35378">
      <c r="A35378" s="4" t="s">
        <v>44509</v>
      </c>
      <c r="B35378" s="4" t="s">
        <v>44512</v>
      </c>
      <c r="C35378" s="5" t="str">
        <f>IFERROR(__xludf.DUMMYFUNCTION("GOOGLETRANSLATE(B35378,""en"",""it"")"),"Si stringono la mano e lasciano il cerchio permettendo ad altri due uomini di entrare nel cerchio.")</f>
        <v>Si stringono la mano e lasciano il cerchio permettendo ad altri due uomini di entrare nel cerchio.</v>
      </c>
    </row>
    <row r="35379">
      <c r="A35379" s="4" t="s">
        <v>44509</v>
      </c>
      <c r="B35379" s="4" t="s">
        <v>44513</v>
      </c>
      <c r="C35379" s="5" t="str">
        <f>IFERROR(__xludf.DUMMYFUNCTION("GOOGLETRANSLATE(B35379,""en"",""it"")"),"Un uomo in blu e un uomo in grigio si salutano nel mezzo del cerchio.")</f>
        <v>Un uomo in blu e un uomo in grigio si salutano nel mezzo del cerchio.</v>
      </c>
    </row>
    <row r="35380">
      <c r="A35380" s="4" t="s">
        <v>44509</v>
      </c>
      <c r="B35380" s="4" t="s">
        <v>44514</v>
      </c>
      <c r="C35380" s="5" t="str">
        <f>IFERROR(__xludf.DUMMYFUNCTION("GOOGLETRANSLATE(B35380,""en"",""it"")"),"Gli altri due uomini iniziano a esibirsi in Capoeira per la folla.")</f>
        <v>Gli altri due uomini iniziano a esibirsi in Capoeira per la folla.</v>
      </c>
    </row>
    <row r="35381">
      <c r="A35381" s="4" t="s">
        <v>44515</v>
      </c>
      <c r="B35381" s="4" t="s">
        <v>3714</v>
      </c>
      <c r="C35381" s="5" t="str">
        <f>IFERROR(__xludf.DUMMYFUNCTION("GOOGLETRANSLATE(B35381,""en"",""it"")"),"Vediamo uno schermo di apertura scuro.")</f>
        <v>Vediamo uno schermo di apertura scuro.</v>
      </c>
    </row>
    <row r="35382">
      <c r="A35382" s="4" t="s">
        <v>44515</v>
      </c>
      <c r="B35382" s="4" t="s">
        <v>44516</v>
      </c>
      <c r="C35382" s="5" t="str">
        <f>IFERROR(__xludf.DUMMYFUNCTION("GOOGLETRANSLATE(B35382,""en"",""it"")"),"Vediamo persone che curano vari cani.")</f>
        <v>Vediamo persone che curano vari cani.</v>
      </c>
    </row>
    <row r="35383">
      <c r="A35383" s="4" t="s">
        <v>44515</v>
      </c>
      <c r="B35383" s="4" t="s">
        <v>44517</v>
      </c>
      <c r="C35383" s="5" t="str">
        <f>IFERROR(__xludf.DUMMYFUNCTION("GOOGLETRANSLATE(B35383,""en"",""it"")"),"Vediamo un uomo lanciare la pelliccia su un cane grosso.")</f>
        <v>Vediamo un uomo lanciare la pelliccia su un cane grosso.</v>
      </c>
    </row>
    <row r="35384">
      <c r="A35384" s="4" t="s">
        <v>44515</v>
      </c>
      <c r="B35384" s="4" t="s">
        <v>44518</v>
      </c>
      <c r="C35384" s="5" t="str">
        <f>IFERROR(__xludf.DUMMYFUNCTION("GOOGLETRANSLATE(B35384,""en"",""it"")"),"Vediamo un uomo asciugare un cane.")</f>
        <v>Vediamo un uomo asciugare un cane.</v>
      </c>
    </row>
    <row r="35385">
      <c r="A35385" s="4" t="s">
        <v>44515</v>
      </c>
      <c r="B35385" s="4" t="s">
        <v>44519</v>
      </c>
      <c r="C35385" s="5" t="str">
        <f>IFERROR(__xludf.DUMMYFUNCTION("GOOGLETRANSLATE(B35385,""en"",""it"")"),"Vediamo un grosso cane nero che si asciughe.")</f>
        <v>Vediamo un grosso cane nero che si asciughe.</v>
      </c>
    </row>
    <row r="35386">
      <c r="A35386" s="4" t="s">
        <v>44515</v>
      </c>
      <c r="B35386" s="4" t="s">
        <v>44520</v>
      </c>
      <c r="C35386" s="5" t="str">
        <f>IFERROR(__xludf.DUMMYFUNCTION("GOOGLETRANSLATE(B35386,""en"",""it"")"),"Un uomo compone i capelli di cani dritti.")</f>
        <v>Un uomo compone i capelli di cani dritti.</v>
      </c>
    </row>
    <row r="35387">
      <c r="A35387" s="4" t="s">
        <v>44515</v>
      </c>
      <c r="B35387" s="4" t="s">
        <v>44521</v>
      </c>
      <c r="C35387" s="5" t="str">
        <f>IFERROR(__xludf.DUMMYFUNCTION("GOOGLETRANSLATE(B35387,""en"",""it"")"),"Vediamo due schermi finali scuri.")</f>
        <v>Vediamo due schermi finali scuri.</v>
      </c>
    </row>
    <row r="35388">
      <c r="A35388" s="4" t="s">
        <v>44522</v>
      </c>
      <c r="B35388" s="4" t="s">
        <v>44523</v>
      </c>
      <c r="C35388" s="5" t="str">
        <f>IFERROR(__xludf.DUMMYFUNCTION("GOOGLETRANSLATE(B35388,""en"",""it"")"),"`Un biscotto è mostrato su un piatto.")</f>
        <v>`Un biscotto è mostrato su un piatto.</v>
      </c>
    </row>
    <row r="35389">
      <c r="A35389" s="4" t="s">
        <v>44522</v>
      </c>
      <c r="B35389" s="4" t="s">
        <v>44524</v>
      </c>
      <c r="C35389" s="5" t="str">
        <f>IFERROR(__xludf.DUMMYFUNCTION("GOOGLETRANSLATE(B35389,""en"",""it"")"),"Gli ingredienti vengono aggiunti a una ciotola di vetro e mescolati insieme.")</f>
        <v>Gli ingredienti vengono aggiunti a una ciotola di vetro e mescolati insieme.</v>
      </c>
    </row>
    <row r="35390">
      <c r="A35390" s="4" t="s">
        <v>44522</v>
      </c>
      <c r="B35390" s="4" t="s">
        <v>44525</v>
      </c>
      <c r="C35390" s="5" t="str">
        <f>IFERROR(__xludf.DUMMYFUNCTION("GOOGLETRANSLATE(B35390,""en"",""it"")"),"Le gocce di cioccolato vengono aggiunte all'impasto.")</f>
        <v>Le gocce di cioccolato vengono aggiunte all'impasto.</v>
      </c>
    </row>
    <row r="35391">
      <c r="A35391" s="4" t="s">
        <v>44522</v>
      </c>
      <c r="B35391" s="4" t="s">
        <v>44526</v>
      </c>
      <c r="C35391" s="5" t="str">
        <f>IFERROR(__xludf.DUMMYFUNCTION("GOOGLETRANSLATE(B35391,""en"",""it"")"),"L'impasto è appiattito su un foglio di biscotti.")</f>
        <v>L'impasto è appiattito su un foglio di biscotti.</v>
      </c>
    </row>
    <row r="35392">
      <c r="A35392" s="4" t="s">
        <v>44522</v>
      </c>
      <c r="B35392" s="4" t="s">
        <v>44527</v>
      </c>
      <c r="C35392" s="5" t="str">
        <f>IFERROR(__xludf.DUMMYFUNCTION("GOOGLETRANSLATE(B35392,""en"",""it"")"),"Il cioccolato è condito sopra.")</f>
        <v>Il cioccolato è condito sopra.</v>
      </c>
    </row>
    <row r="35393">
      <c r="A35393" s="4" t="s">
        <v>44522</v>
      </c>
      <c r="B35393" s="4" t="s">
        <v>44528</v>
      </c>
      <c r="C35393" s="5" t="str">
        <f>IFERROR(__xludf.DUMMYFUNCTION("GOOGLETRANSLATE(B35393,""en"",""it"")"),"Le caramelle sono posizionate sopra il cookie.")</f>
        <v>Le caramelle sono posizionate sopra il cookie.</v>
      </c>
    </row>
    <row r="35394">
      <c r="A35394" s="4" t="s">
        <v>44522</v>
      </c>
      <c r="B35394" s="4" t="s">
        <v>44529</v>
      </c>
      <c r="C35394" s="5" t="str">
        <f>IFERROR(__xludf.DUMMYFUNCTION("GOOGLETRANSLATE(B35394,""en"",""it"")"),"Il biscotto viene tagliato e posizionato su un piatto.")</f>
        <v>Il biscotto viene tagliato e posizionato su un piatto.</v>
      </c>
    </row>
    <row r="35395">
      <c r="A35395" s="4" t="s">
        <v>44522</v>
      </c>
      <c r="B35395" s="4" t="s">
        <v>44530</v>
      </c>
      <c r="C35395" s="5" t="str">
        <f>IFERROR(__xludf.DUMMYFUNCTION("GOOGLETRANSLATE(B35395,""en"",""it"")"),"Una forchetta viene mostrata mangiando il biscotto.")</f>
        <v>Una forchetta viene mostrata mangiando il biscotto.</v>
      </c>
    </row>
    <row r="35396">
      <c r="A35396" s="4" t="s">
        <v>44531</v>
      </c>
      <c r="B35396" s="4" t="s">
        <v>44532</v>
      </c>
      <c r="C35396" s="5" t="str">
        <f>IFERROR(__xludf.DUMMYFUNCTION("GOOGLETRANSLATE(B35396,""en"",""it"")"),"Una donna è seduta in uno stand.")</f>
        <v>Una donna è seduta in uno stand.</v>
      </c>
    </row>
    <row r="35397">
      <c r="A35397" s="4" t="s">
        <v>44531</v>
      </c>
      <c r="B35397" s="4" t="s">
        <v>44533</v>
      </c>
      <c r="C35397" s="5" t="str">
        <f>IFERROR(__xludf.DUMMYFUNCTION("GOOGLETRANSLATE(B35397,""en"",""it"")"),"La sua bambina spinge un cono gelato alla vaniglia in faccia e ride.")</f>
        <v>La sua bambina spinge un cono gelato alla vaniglia in faccia e ride.</v>
      </c>
    </row>
    <row r="35398">
      <c r="A35398" s="4" t="s">
        <v>44531</v>
      </c>
      <c r="B35398" s="4" t="s">
        <v>44534</v>
      </c>
      <c r="C35398" s="5" t="str">
        <f>IFERROR(__xludf.DUMMYFUNCTION("GOOGLETRANSLATE(B35398,""en"",""it"")"),"La ragazza continua a farlo e la donna deve asciugare la bocca e il naso più volte.")</f>
        <v>La ragazza continua a farlo e la donna deve asciugare la bocca e il naso più volte.</v>
      </c>
    </row>
    <row r="35399">
      <c r="A35399" s="4" t="s">
        <v>44535</v>
      </c>
      <c r="B35399" s="4" t="s">
        <v>44536</v>
      </c>
      <c r="C35399" s="5" t="str">
        <f>IFERROR(__xludf.DUMMYFUNCTION("GOOGLETRANSLATE(B35399,""en"",""it"")"),"Il giocatore serve l'uccello per iniziare la partita.")</f>
        <v>Il giocatore serve l'uccello per iniziare la partita.</v>
      </c>
    </row>
    <row r="35400">
      <c r="A35400" s="4" t="s">
        <v>44535</v>
      </c>
      <c r="B35400" s="4" t="s">
        <v>44537</v>
      </c>
      <c r="C35400" s="5" t="str">
        <f>IFERROR(__xludf.DUMMYFUNCTION("GOOGLETRANSLATE(B35400,""en"",""it"")"),"Due squadre competono in una partita di badminton in palestra.")</f>
        <v>Due squadre competono in una partita di badminton in palestra.</v>
      </c>
    </row>
    <row r="35401">
      <c r="A35401" s="4" t="s">
        <v>44535</v>
      </c>
      <c r="B35401" s="4" t="s">
        <v>44538</v>
      </c>
      <c r="C35401" s="5" t="str">
        <f>IFERROR(__xludf.DUMMYFUNCTION("GOOGLETRANSLATE(B35401,""en"",""it"")"),"Le squadre hanno un lungo tiro al volo durante la partita.")</f>
        <v>Le squadre hanno un lungo tiro al volo durante la partita.</v>
      </c>
    </row>
    <row r="35402">
      <c r="A35402" s="4" t="s">
        <v>44535</v>
      </c>
      <c r="B35402" s="4" t="s">
        <v>44539</v>
      </c>
      <c r="C35402" s="5" t="str">
        <f>IFERROR(__xludf.DUMMYFUNCTION("GOOGLETRANSLATE(B35402,""en"",""it"")"),"Il giocatore aumenta duramente l'uccello e segna un punto.")</f>
        <v>Il giocatore aumenta duramente l'uccello e segna un punto.</v>
      </c>
    </row>
    <row r="35403">
      <c r="A35403" s="4" t="s">
        <v>44540</v>
      </c>
      <c r="B35403" s="4" t="s">
        <v>44541</v>
      </c>
      <c r="C35403" s="5" t="str">
        <f>IFERROR(__xludf.DUMMYFUNCTION("GOOGLETRANSLATE(B35403,""en"",""it"")"),"Viene mostrato un guerriero di sumo con in mano un cercapersone.")</f>
        <v>Viene mostrato un guerriero di sumo con in mano un cercapersone.</v>
      </c>
    </row>
    <row r="35404">
      <c r="A35404" s="4" t="s">
        <v>44540</v>
      </c>
      <c r="B35404" s="4" t="s">
        <v>44542</v>
      </c>
      <c r="C35404" s="5" t="str">
        <f>IFERROR(__xludf.DUMMYFUNCTION("GOOGLETRANSLATE(B35404,""en"",""it"")"),"Viene mostrato un guerriero di sumo più grande con un altro cercapersone.")</f>
        <v>Viene mostrato un guerriero di sumo più grande con un altro cercapersone.</v>
      </c>
    </row>
    <row r="35405">
      <c r="A35405" s="4" t="s">
        <v>44540</v>
      </c>
      <c r="B35405" s="4" t="s">
        <v>44543</v>
      </c>
      <c r="C35405" s="5" t="str">
        <f>IFERROR(__xludf.DUMMYFUNCTION("GOOGLETRANSLATE(B35405,""en"",""it"")"),"I SUMO Warriors si affacciano e quello più grande si siede e fa scomparire quello più piccolo.")</f>
        <v>I SUMO Warriors si affacciano e quello più grande si siede e fa scomparire quello più piccolo.</v>
      </c>
    </row>
    <row r="35406">
      <c r="A35406" s="4" t="s">
        <v>44544</v>
      </c>
      <c r="B35406" s="6" t="s">
        <v>44545</v>
      </c>
      <c r="C35406" s="5" t="str">
        <f>IFERROR(__xludf.DUMMYFUNCTION("GOOGLETRANSLATE(B35406,""en"",""it"")"),"Una telecamera si muove attorno a una foto di un cavallo seguito da una persona che sfiora e aspira i capelli da un cavallo.")</f>
        <v>Una telecamera si muove attorno a una foto di un cavallo seguito da una persona che sfiora e aspira i capelli da un cavallo.</v>
      </c>
    </row>
    <row r="35407">
      <c r="A35407" s="4" t="s">
        <v>44544</v>
      </c>
      <c r="B35407" s="6" t="s">
        <v>44546</v>
      </c>
      <c r="C35407" s="5" t="str">
        <f>IFERROR(__xludf.DUMMYFUNCTION("GOOGLETRANSLATE(B35407,""en"",""it"")"),"La persona continua a sfiorare e aspirare i capelli e terminare con l'immagine dei due insieme.")</f>
        <v>La persona continua a sfiorare e aspirare i capelli e terminare con l'immagine dei due insieme.</v>
      </c>
    </row>
    <row r="35408">
      <c r="A35408" s="4" t="s">
        <v>44547</v>
      </c>
      <c r="B35408" s="4" t="s">
        <v>44548</v>
      </c>
      <c r="C35408" s="5" t="str">
        <f>IFERROR(__xludf.DUMMYFUNCTION("GOOGLETRANSLATE(B35408,""en"",""it"")"),"Un uomo e una donna sono seduti davanti a un piano che lo suonano insieme.")</f>
        <v>Un uomo e una donna sono seduti davanti a un piano che lo suonano insieme.</v>
      </c>
    </row>
    <row r="35409">
      <c r="A35409" s="4" t="s">
        <v>44547</v>
      </c>
      <c r="B35409" s="4" t="s">
        <v>44549</v>
      </c>
      <c r="C35409" s="5" t="str">
        <f>IFERROR(__xludf.DUMMYFUNCTION("GOOGLETRANSLATE(B35409,""en"",""it"")"),"Le persone sono radunate attorno al piano a guardare le persone sedute sul piano.")</f>
        <v>Le persone sono radunate attorno al piano a guardare le persone sedute sul piano.</v>
      </c>
    </row>
    <row r="35410">
      <c r="A35410" s="4" t="s">
        <v>44547</v>
      </c>
      <c r="B35410" s="4" t="s">
        <v>44550</v>
      </c>
      <c r="C35410" s="5" t="str">
        <f>IFERROR(__xludf.DUMMYFUNCTION("GOOGLETRANSLATE(B35410,""en"",""it"")"),"Le persone sul piano si alzano e cambiano la posizione nel piano del piano.")</f>
        <v>Le persone sul piano si alzano e cambiano la posizione nel piano del piano.</v>
      </c>
    </row>
    <row r="35411">
      <c r="A35411" s="4" t="s">
        <v>44551</v>
      </c>
      <c r="B35411" s="4" t="s">
        <v>44552</v>
      </c>
      <c r="C35411" s="5" t="str">
        <f>IFERROR(__xludf.DUMMYFUNCTION("GOOGLETRANSLATE(B35411,""en"",""it"")"),"Un uomo vestito con attrezzatura invernale è seduto in inverno su un lago congelato.")</f>
        <v>Un uomo vestito con attrezzatura invernale è seduto in inverno su un lago congelato.</v>
      </c>
    </row>
    <row r="35412">
      <c r="A35412" s="4" t="s">
        <v>44551</v>
      </c>
      <c r="B35412" s="4" t="s">
        <v>44553</v>
      </c>
      <c r="C35412" s="5" t="str">
        <f>IFERROR(__xludf.DUMMYFUNCTION("GOOGLETRANSLATE(B35412,""en"",""it"")"),"È seduto lì con attrezzature da pesca che pesca sul lago congelato.")</f>
        <v>È seduto lì con attrezzature da pesca che pesca sul lago congelato.</v>
      </c>
    </row>
    <row r="35413">
      <c r="A35413" s="4" t="s">
        <v>44551</v>
      </c>
      <c r="B35413" s="4" t="s">
        <v>44554</v>
      </c>
      <c r="C35413" s="5" t="str">
        <f>IFERROR(__xludf.DUMMYFUNCTION("GOOGLETRANSLATE(B35413,""en"",""it"")"),"Usa un'esca per pescare e cattura un pesce grigio di medie dimensioni.")</f>
        <v>Usa un'esca per pescare e cattura un pesce grigio di medie dimensioni.</v>
      </c>
    </row>
    <row r="35414">
      <c r="A35414" s="4" t="s">
        <v>44551</v>
      </c>
      <c r="B35414" s="4" t="s">
        <v>44555</v>
      </c>
      <c r="C35414" s="5" t="str">
        <f>IFERROR(__xludf.DUMMYFUNCTION("GOOGLETRANSLATE(B35414,""en"",""it"")"),"Mostra i due pesci che ha catturato.")</f>
        <v>Mostra i due pesci che ha catturato.</v>
      </c>
    </row>
    <row r="35415">
      <c r="A35415" s="4" t="s">
        <v>44551</v>
      </c>
      <c r="B35415" s="4" t="s">
        <v>44556</v>
      </c>
      <c r="C35415" s="5" t="str">
        <f>IFERROR(__xludf.DUMMYFUNCTION("GOOGLETRANSLATE(B35415,""en"",""it"")"),"Quindi mette la sua rete da pesca in un buco nel lago e continua a pescare.")</f>
        <v>Quindi mette la sua rete da pesca in un buco nel lago e continua a pescare.</v>
      </c>
    </row>
    <row r="35416">
      <c r="A35416" s="4" t="s">
        <v>44551</v>
      </c>
      <c r="B35416" s="4" t="s">
        <v>44557</v>
      </c>
      <c r="C35416" s="5" t="str">
        <f>IFERROR(__xludf.DUMMYFUNCTION("GOOGLETRANSLATE(B35416,""en"",""it"")"),"Cattura un altro pesce grigio scuro e lo lancia nella sua scatola.")</f>
        <v>Cattura un altro pesce grigio scuro e lo lancia nella sua scatola.</v>
      </c>
    </row>
    <row r="35417">
      <c r="A35417" s="4" t="s">
        <v>44551</v>
      </c>
      <c r="B35417" s="4" t="s">
        <v>44558</v>
      </c>
      <c r="C35417" s="5" t="str">
        <f>IFERROR(__xludf.DUMMYFUNCTION("GOOGLETRANSLATE(B35417,""en"",""it"")"),"Continua a pescare e cattura più pesci nello stesso buco.")</f>
        <v>Continua a pescare e cattura più pesci nello stesso buco.</v>
      </c>
    </row>
    <row r="35418">
      <c r="A35418" s="4" t="s">
        <v>44551</v>
      </c>
      <c r="B35418" s="4" t="s">
        <v>44559</v>
      </c>
      <c r="C35418" s="5" t="str">
        <f>IFERROR(__xludf.DUMMYFUNCTION("GOOGLETRANSLATE(B35418,""en"",""it"")"),"Raccoglie il pesce in un secchio bianco.")</f>
        <v>Raccoglie il pesce in un secchio bianco.</v>
      </c>
    </row>
    <row r="35419">
      <c r="A35419" s="4" t="s">
        <v>44560</v>
      </c>
      <c r="B35419" s="4" t="s">
        <v>44561</v>
      </c>
      <c r="C35419" s="5" t="str">
        <f>IFERROR(__xludf.DUMMYFUNCTION("GOOGLETRANSLATE(B35419,""en"",""it"")"),"Una donna si trova su una pista.")</f>
        <v>Una donna si trova su una pista.</v>
      </c>
    </row>
    <row r="35420">
      <c r="A35420" s="4" t="s">
        <v>44560</v>
      </c>
      <c r="B35420" s="4" t="s">
        <v>44562</v>
      </c>
      <c r="C35420" s="5" t="str">
        <f>IFERROR(__xludf.DUMMYFUNCTION("GOOGLETRANSLATE(B35420,""en"",""it"")"),"Si china in pista.")</f>
        <v>Si china in pista.</v>
      </c>
    </row>
    <row r="35421">
      <c r="A35421" s="4" t="s">
        <v>44560</v>
      </c>
      <c r="B35421" s="4" t="s">
        <v>44563</v>
      </c>
      <c r="C35421" s="5" t="str">
        <f>IFERROR(__xludf.DUMMYFUNCTION("GOOGLETRANSLATE(B35421,""en"",""it"")"),"Quindi corre lungo la pista.")</f>
        <v>Quindi corre lungo la pista.</v>
      </c>
    </row>
    <row r="35422">
      <c r="A35422" s="4" t="s">
        <v>44560</v>
      </c>
      <c r="B35422" s="4" t="s">
        <v>44564</v>
      </c>
      <c r="C35422" s="5" t="str">
        <f>IFERROR(__xludf.DUMMYFUNCTION("GOOGLETRANSLATE(B35422,""en"",""it"")"),"Salta e atterra nella sabbia.")</f>
        <v>Salta e atterra nella sabbia.</v>
      </c>
    </row>
    <row r="35423">
      <c r="A35423" s="4" t="s">
        <v>44565</v>
      </c>
      <c r="B35423" s="4" t="s">
        <v>44566</v>
      </c>
      <c r="C35423" s="5" t="str">
        <f>IFERROR(__xludf.DUMMYFUNCTION("GOOGLETRANSLATE(B35423,""en"",""it"")"),"Un uomo è seduto su un corridore d'onda in acqua.")</f>
        <v>Un uomo è seduto su un corridore d'onda in acqua.</v>
      </c>
    </row>
    <row r="35424">
      <c r="A35424" s="4" t="s">
        <v>44565</v>
      </c>
      <c r="B35424" s="4" t="s">
        <v>44567</v>
      </c>
      <c r="C35424" s="5" t="str">
        <f>IFERROR(__xludf.DUMMYFUNCTION("GOOGLETRANSLATE(B35424,""en"",""it"")"),"Una persona naviga su una grande ondata nell'acqua.")</f>
        <v>Una persona naviga su una grande ondata nell'acqua.</v>
      </c>
    </row>
    <row r="35425">
      <c r="A35425" s="4" t="s">
        <v>44565</v>
      </c>
      <c r="B35425" s="4" t="s">
        <v>44568</v>
      </c>
      <c r="C35425" s="5" t="str">
        <f>IFERROR(__xludf.DUMMYFUNCTION("GOOGLETRANSLATE(B35425,""en"",""it"")"),"L'onda si schianta sul surfista.")</f>
        <v>L'onda si schianta sul surfista.</v>
      </c>
    </row>
    <row r="35426">
      <c r="A35426" s="4" t="s">
        <v>44569</v>
      </c>
      <c r="B35426" s="4" t="s">
        <v>44570</v>
      </c>
      <c r="C35426" s="5" t="str">
        <f>IFERROR(__xludf.DUMMYFUNCTION("GOOGLETRANSLATE(B35426,""en"",""it"")"),"Una donna e un uomo che ballano provocatoriamente fuori da un ristorante.")</f>
        <v>Una donna e un uomo che ballano provocatoriamente fuori da un ristorante.</v>
      </c>
    </row>
    <row r="35427">
      <c r="A35427" s="4" t="s">
        <v>44569</v>
      </c>
      <c r="B35427" s="4" t="s">
        <v>44571</v>
      </c>
      <c r="C35427" s="5" t="str">
        <f>IFERROR(__xludf.DUMMYFUNCTION("GOOGLETRANSLATE(B35427,""en"",""it"")"),"Indossa un vestito corto molto sexy e prende a calci le gambe su e giù con i tacchi.")</f>
        <v>Indossa un vestito corto molto sexy e prende a calci le gambe su e giù con i tacchi.</v>
      </c>
    </row>
    <row r="35428">
      <c r="A35428" s="4" t="s">
        <v>44569</v>
      </c>
      <c r="B35428" s="4" t="s">
        <v>44572</v>
      </c>
      <c r="C35428" s="5" t="str">
        <f>IFERROR(__xludf.DUMMYFUNCTION("GOOGLETRANSLATE(B35428,""en"",""it"")"),"Le persone stanno uscendo dal ristorante.")</f>
        <v>Le persone stanno uscendo dal ristorante.</v>
      </c>
    </row>
    <row r="35429">
      <c r="A35429" s="4" t="s">
        <v>44569</v>
      </c>
      <c r="B35429" s="4" t="s">
        <v>44573</v>
      </c>
      <c r="C35429" s="5" t="str">
        <f>IFERROR(__xludf.DUMMYFUNCTION("GOOGLETRANSLATE(B35429,""en"",""it"")"),"Uno degli operai è seduto su uno sgabello che fuma fino a quando non terminano la danza per terra.")</f>
        <v>Uno degli operai è seduto su uno sgabello che fuma fino a quando non terminano la danza per terra.</v>
      </c>
    </row>
    <row r="35430">
      <c r="A35430" s="4" t="s">
        <v>44574</v>
      </c>
      <c r="B35430" s="4" t="s">
        <v>44575</v>
      </c>
      <c r="C35430" s="5" t="str">
        <f>IFERROR(__xludf.DUMMYFUNCTION("GOOGLETRANSLATE(B35430,""en"",""it"")"),"Diverse persone stanno colpendo uno strumento con bastoncini.")</f>
        <v>Diverse persone stanno colpendo uno strumento con bastoncini.</v>
      </c>
    </row>
    <row r="35431">
      <c r="A35431" s="4" t="s">
        <v>44574</v>
      </c>
      <c r="B35431" s="4" t="s">
        <v>44576</v>
      </c>
      <c r="C35431" s="5" t="str">
        <f>IFERROR(__xludf.DUMMYFUNCTION("GOOGLETRANSLATE(B35431,""en"",""it"")"),"Due uomini si lanciano davanti all'altro.")</f>
        <v>Due uomini si lanciano davanti all'altro.</v>
      </c>
    </row>
    <row r="35432">
      <c r="A35432" s="4" t="s">
        <v>44574</v>
      </c>
      <c r="B35432" s="4" t="s">
        <v>44577</v>
      </c>
      <c r="C35432" s="5" t="str">
        <f>IFERROR(__xludf.DUMMYFUNCTION("GOOGLETRANSLATE(B35432,""en"",""it"")"),"Diversi altri gruppi di persone sembrano fare una sorta di danza di arti marziali.")</f>
        <v>Diversi altri gruppi di persone sembrano fare una sorta di danza di arti marziali.</v>
      </c>
    </row>
    <row r="35433">
      <c r="A35433" s="4" t="s">
        <v>44574</v>
      </c>
      <c r="B35433" s="4" t="s">
        <v>44578</v>
      </c>
      <c r="C35433" s="5" t="str">
        <f>IFERROR(__xludf.DUMMYFUNCTION("GOOGLETRANSLATE(B35433,""en"",""it"")"),"Sono surrondati dall'arravviso.")</f>
        <v>Sono surrondati dall'arravviso.</v>
      </c>
    </row>
    <row r="35434">
      <c r="A35434" s="4" t="s">
        <v>44579</v>
      </c>
      <c r="B35434" s="4" t="s">
        <v>44580</v>
      </c>
      <c r="C35434" s="5" t="str">
        <f>IFERROR(__xludf.DUMMYFUNCTION("GOOGLETRANSLATE(B35434,""en"",""it"")"),"Un uomo viene visto in piedi davanti a un goal che tiene un bastone e parla alla telecamera.")</f>
        <v>Un uomo viene visto in piedi davanti a un goal che tiene un bastone e parla alla telecamera.</v>
      </c>
    </row>
    <row r="35435">
      <c r="A35435" s="4" t="s">
        <v>44579</v>
      </c>
      <c r="B35435" s="4" t="s">
        <v>44581</v>
      </c>
      <c r="C35435" s="5" t="str">
        <f>IFERROR(__xludf.DUMMYFUNCTION("GOOGLETRANSLATE(B35435,""en"",""it"")"),"Vengono mostrati diversi colpi di lui che parla e dimostra come essere correttamente un portiere.")</f>
        <v>Vengono mostrati diversi colpi di lui che parla e dimostra come essere correttamente un portiere.</v>
      </c>
    </row>
    <row r="35436">
      <c r="A35436" s="4" t="s">
        <v>44579</v>
      </c>
      <c r="B35436" s="6" t="s">
        <v>44582</v>
      </c>
      <c r="C35436" s="5" t="str">
        <f>IFERROR(__xludf.DUMMYFUNCTION("GOOGLETRANSLATE(B35436,""en"",""it"")"),"Si sposta indietro e quarto un po 'mentre muove il bastone mentre tiene le braccia e parla alla telecamera.")</f>
        <v>Si sposta indietro e quarto un po 'mentre muove il bastone mentre tiene le braccia e parla alla telecamera.</v>
      </c>
    </row>
    <row r="35437">
      <c r="A35437" s="4" t="s">
        <v>44583</v>
      </c>
      <c r="B35437" s="4" t="s">
        <v>44584</v>
      </c>
      <c r="C35437" s="5" t="str">
        <f>IFERROR(__xludf.DUMMYFUNCTION("GOOGLETRANSLATE(B35437,""en"",""it"")"),"Un bambino sta giocando a Scotch Hop sul marciapiede.")</f>
        <v>Un bambino sta giocando a Scotch Hop sul marciapiede.</v>
      </c>
    </row>
    <row r="35438">
      <c r="A35438" s="4" t="s">
        <v>44583</v>
      </c>
      <c r="B35438" s="4" t="s">
        <v>44585</v>
      </c>
      <c r="C35438" s="5" t="str">
        <f>IFERROR(__xludf.DUMMYFUNCTION("GOOGLETRANSLATE(B35438,""en"",""it"")"),"C'è un camion dietro di lui.")</f>
        <v>C'è un camion dietro di lui.</v>
      </c>
    </row>
    <row r="35439">
      <c r="A35439" s="4" t="s">
        <v>44583</v>
      </c>
      <c r="B35439" s="4" t="s">
        <v>44586</v>
      </c>
      <c r="C35439" s="5" t="str">
        <f>IFERROR(__xludf.DUMMYFUNCTION("GOOGLETRANSLATE(B35439,""en"",""it"")"),"Non lo gioca davvero bene.")</f>
        <v>Non lo gioca davvero bene.</v>
      </c>
    </row>
    <row r="35440">
      <c r="A35440" s="4" t="s">
        <v>44583</v>
      </c>
      <c r="B35440" s="4" t="s">
        <v>44587</v>
      </c>
      <c r="C35440" s="5" t="str">
        <f>IFERROR(__xludf.DUMMYFUNCTION("GOOGLETRANSLATE(B35440,""en"",""it"")"),"Salta su tutti i numeri.")</f>
        <v>Salta su tutti i numeri.</v>
      </c>
    </row>
    <row r="35441">
      <c r="A35441" s="4" t="s">
        <v>44583</v>
      </c>
      <c r="B35441" s="4" t="s">
        <v>44588</v>
      </c>
      <c r="C35441" s="5" t="str">
        <f>IFERROR(__xludf.DUMMYFUNCTION("GOOGLETRANSLATE(B35441,""en"",""it"")"),"In un certo senso corre attraverso il gioco.")</f>
        <v>In un certo senso corre attraverso il gioco.</v>
      </c>
    </row>
    <row r="35442">
      <c r="A35442" s="4" t="s">
        <v>44589</v>
      </c>
      <c r="B35442" s="4" t="s">
        <v>44590</v>
      </c>
      <c r="C35442" s="5" t="str">
        <f>IFERROR(__xludf.DUMMYFUNCTION("GOOGLETRANSLATE(B35442,""en"",""it"")"),"Un atleta è visto in piedi pronto a tenere un giavellotto e gettarlo in lontananza.")</f>
        <v>Un atleta è visto in piedi pronto a tenere un giavellotto e gettarlo in lontananza.</v>
      </c>
    </row>
    <row r="35443">
      <c r="A35443" s="4" t="s">
        <v>44589</v>
      </c>
      <c r="B35443" s="4" t="s">
        <v>44591</v>
      </c>
      <c r="C35443" s="5" t="str">
        <f>IFERROR(__xludf.DUMMYFUNCTION("GOOGLETRANSLATE(B35443,""en"",""it"")"),"Diverse altre persone vengono viste lanciare un giavellotto con il loro tiro mostrato di nuovo in seguito.")</f>
        <v>Diverse altre persone vengono viste lanciare un giavellotto con il loro tiro mostrato di nuovo in seguito.</v>
      </c>
    </row>
    <row r="35444">
      <c r="A35444" s="4" t="s">
        <v>44589</v>
      </c>
      <c r="B35444" s="4" t="s">
        <v>44592</v>
      </c>
      <c r="C35444" s="5" t="str">
        <f>IFERROR(__xludf.DUMMYFUNCTION("GOOGLETRANSLATE(B35444,""en"",""it"")"),"Alla fine la telecamera attorno alla donna e mostra il loro punteggio.")</f>
        <v>Alla fine la telecamera attorno alla donna e mostra il loro punteggio.</v>
      </c>
    </row>
    <row r="35445">
      <c r="A35445" s="4" t="s">
        <v>44593</v>
      </c>
      <c r="B35445" s="4" t="s">
        <v>44594</v>
      </c>
      <c r="C35445" s="5" t="str">
        <f>IFERROR(__xludf.DUMMYFUNCTION("GOOGLETRANSLATE(B35445,""en"",""it"")"),"Un uomo parla di ginnastica di coaching.")</f>
        <v>Un uomo parla di ginnastica di coaching.</v>
      </c>
    </row>
    <row r="35446">
      <c r="A35446" s="4" t="s">
        <v>44593</v>
      </c>
      <c r="B35446" s="4" t="s">
        <v>44595</v>
      </c>
      <c r="C35446" s="5" t="str">
        <f>IFERROR(__xludf.DUMMYFUNCTION("GOOGLETRANSLATE(B35446,""en"",""it"")"),"Una ragazza inizia a fare una routine sulle barre irregolari.")</f>
        <v>Una ragazza inizia a fare una routine sulle barre irregolari.</v>
      </c>
    </row>
    <row r="35447">
      <c r="A35447" s="4" t="s">
        <v>44596</v>
      </c>
      <c r="B35447" s="4" t="s">
        <v>44597</v>
      </c>
      <c r="C35447" s="5" t="str">
        <f>IFERROR(__xludf.DUMMYFUNCTION("GOOGLETRANSLATE(B35447,""en"",""it"")"),"Un uomo viene visto inginocchiarsi sul pavimento e parlare alla telecamera.")</f>
        <v>Un uomo viene visto inginocchiarsi sul pavimento e parlare alla telecamera.</v>
      </c>
    </row>
    <row r="35448">
      <c r="A35448" s="4" t="s">
        <v>44596</v>
      </c>
      <c r="B35448" s="4" t="s">
        <v>44598</v>
      </c>
      <c r="C35448" s="5" t="str">
        <f>IFERROR(__xludf.DUMMYFUNCTION("GOOGLETRANSLATE(B35448,""en"",""it"")"),"L'uomo si capovolge quindi e inizia a fare esercizi per le gambe.")</f>
        <v>L'uomo si capovolge quindi e inizia a fare esercizi per le gambe.</v>
      </c>
    </row>
    <row r="35449">
      <c r="A35449" s="4" t="s">
        <v>44596</v>
      </c>
      <c r="B35449" s="6" t="s">
        <v>44599</v>
      </c>
      <c r="C35449" s="5" t="str">
        <f>IFERROR(__xludf.DUMMYFUNCTION("GOOGLETRANSLATE(B35449,""en"",""it"")"),"Le sue muove il suo corpo tutt'intorno a dimostrare esercizi adeguati mentre si guarda ancora e parlano alla telecamera.")</f>
        <v>Le sue muove il suo corpo tutt'intorno a dimostrare esercizi adeguati mentre si guarda ancora e parlano alla telecamera.</v>
      </c>
    </row>
    <row r="35450">
      <c r="A35450" s="4" t="s">
        <v>44600</v>
      </c>
      <c r="B35450" s="4" t="s">
        <v>44601</v>
      </c>
      <c r="C35450" s="5" t="str">
        <f>IFERROR(__xludf.DUMMYFUNCTION("GOOGLETRANSLATE(B35450,""en"",""it"")"),"Un uomo crea una fotocamera in un bar.")</f>
        <v>Un uomo crea una fotocamera in un bar.</v>
      </c>
    </row>
    <row r="35451">
      <c r="A35451" s="4" t="s">
        <v>44600</v>
      </c>
      <c r="B35451" s="4" t="s">
        <v>44602</v>
      </c>
      <c r="C35451" s="5" t="str">
        <f>IFERROR(__xludf.DUMMYFUNCTION("GOOGLETRANSLATE(B35451,""en"",""it"")"),"L'uomo quindi parla con la telecamera.")</f>
        <v>L'uomo quindi parla con la telecamera.</v>
      </c>
    </row>
    <row r="35452">
      <c r="A35452" s="4" t="s">
        <v>44600</v>
      </c>
      <c r="B35452" s="4" t="s">
        <v>44603</v>
      </c>
      <c r="C35452" s="5" t="str">
        <f>IFERROR(__xludf.DUMMYFUNCTION("GOOGLETRANSLATE(B35452,""en"",""it"")"),"L'uomo spara da solo in piscina.")</f>
        <v>L'uomo spara da solo in piscina.</v>
      </c>
    </row>
    <row r="35453">
      <c r="A35453" s="4" t="s">
        <v>44600</v>
      </c>
      <c r="B35453" s="4" t="s">
        <v>44604</v>
      </c>
      <c r="C35453" s="5" t="str">
        <f>IFERROR(__xludf.DUMMYFUNCTION("GOOGLETRANSLATE(B35453,""en"",""it"")"),"L'uomo con la barba cammina oltre il tavolo.")</f>
        <v>L'uomo con la barba cammina oltre il tavolo.</v>
      </c>
    </row>
    <row r="35454">
      <c r="A35454" s="4" t="s">
        <v>44600</v>
      </c>
      <c r="B35454" s="4" t="s">
        <v>44605</v>
      </c>
      <c r="C35454" s="5" t="str">
        <f>IFERROR(__xludf.DUMMYFUNCTION("GOOGLETRANSLATE(B35454,""en"",""it"")"),"L'uomo finisce e parla con la fotocamera prima di spegnerlo.")</f>
        <v>L'uomo finisce e parla con la fotocamera prima di spegnerlo.</v>
      </c>
    </row>
    <row r="35455">
      <c r="A35455" s="4" t="s">
        <v>44606</v>
      </c>
      <c r="B35455" s="4" t="s">
        <v>44607</v>
      </c>
      <c r="C35455" s="5" t="str">
        <f>IFERROR(__xludf.DUMMYFUNCTION("GOOGLETRANSLATE(B35455,""en"",""it"")"),"Una persona versa l'acqua in una tazza.")</f>
        <v>Una persona versa l'acqua in una tazza.</v>
      </c>
    </row>
    <row r="35456">
      <c r="A35456" s="4" t="s">
        <v>44606</v>
      </c>
      <c r="B35456" s="4" t="s">
        <v>44608</v>
      </c>
      <c r="C35456" s="5" t="str">
        <f>IFERROR(__xludf.DUMMYFUNCTION("GOOGLETRANSLATE(B35456,""en"",""it"")"),"Una donna parla in un bar che mostra bottiglie di liquori.")</f>
        <v>Una donna parla in un bar che mostra bottiglie di liquori.</v>
      </c>
    </row>
    <row r="35457">
      <c r="A35457" s="4" t="s">
        <v>44606</v>
      </c>
      <c r="B35457" s="4" t="s">
        <v>44609</v>
      </c>
      <c r="C35457" s="5" t="str">
        <f>IFERROR(__xludf.DUMMYFUNCTION("GOOGLETRANSLATE(B35457,""en"",""it"")"),"Quindi, la donna mise il ghiaccio in un bicchiere, quindi aggiunge liquori da tre bottiglie.")</f>
        <v>Quindi, la donna mise il ghiaccio in un bicchiere, quindi aggiunge liquori da tre bottiglie.</v>
      </c>
    </row>
    <row r="35458">
      <c r="A35458" s="4" t="s">
        <v>44606</v>
      </c>
      <c r="B35458" s="4" t="s">
        <v>44610</v>
      </c>
      <c r="C35458" s="5" t="str">
        <f>IFERROR(__xludf.DUMMYFUNCTION("GOOGLETRANSLATE(B35458,""en"",""it"")"),"Dopo, la donna aggiunge soda e mette una cannuccia.")</f>
        <v>Dopo, la donna aggiunge soda e mette una cannuccia.</v>
      </c>
    </row>
    <row r="35459">
      <c r="A35459" s="4" t="s">
        <v>44611</v>
      </c>
      <c r="B35459" s="4" t="s">
        <v>44612</v>
      </c>
      <c r="C35459" s="5" t="str">
        <f>IFERROR(__xludf.DUMMYFUNCTION("GOOGLETRANSLATE(B35459,""en"",""it"")"),"Un sub è nell'oceano nelle chiavi della Florida, ha una zucca in mano.")</f>
        <v>Un sub è nell'oceano nelle chiavi della Florida, ha una zucca in mano.</v>
      </c>
    </row>
    <row r="35460">
      <c r="A35460" s="4" t="s">
        <v>44611</v>
      </c>
      <c r="B35460" s="4" t="s">
        <v>44613</v>
      </c>
      <c r="C35460" s="5" t="str">
        <f>IFERROR(__xludf.DUMMYFUNCTION("GOOGLETRANSLATE(B35460,""en"",""it"")"),"Scende con un altro sub e iniziano a scolpire le zucche sotto l'acqua.")</f>
        <v>Scende con un altro sub e iniziano a scolpire le zucche sotto l'acqua.</v>
      </c>
    </row>
    <row r="35461">
      <c r="A35461" s="4" t="s">
        <v>44611</v>
      </c>
      <c r="B35461" s="4" t="s">
        <v>44614</v>
      </c>
      <c r="C35461" s="5" t="str">
        <f>IFERROR(__xludf.DUMMYFUNCTION("GOOGLETRANSLATE(B35461,""en"",""it"")"),"Stanno bramando circa cinque o sei di loro facendo facce diverse.")</f>
        <v>Stanno bramando circa cinque o sei di loro facendo facce diverse.</v>
      </c>
    </row>
    <row r="35462">
      <c r="A35462" s="4" t="s">
        <v>44611</v>
      </c>
      <c r="B35462" s="6" t="s">
        <v>44615</v>
      </c>
      <c r="C35462" s="5" t="str">
        <f>IFERROR(__xludf.DUMMYFUNCTION("GOOGLETRANSLATE(B35462,""en"",""it"")"),"Quindi li allineano e mettono un po 'di luce dentro o qualcosa mentre i pesci nuotano intorno a loro casualmente.")</f>
        <v>Quindi li allineano e mettono un po 'di luce dentro o qualcosa mentre i pesci nuotano intorno a loro casualmente.</v>
      </c>
    </row>
    <row r="35463">
      <c r="A35463" s="4" t="s">
        <v>44616</v>
      </c>
      <c r="B35463" s="4" t="s">
        <v>44617</v>
      </c>
      <c r="C35463" s="5" t="str">
        <f>IFERROR(__xludf.DUMMYFUNCTION("GOOGLETRANSLATE(B35463,""en"",""it"")"),"Si vedono le mani di una persona con in mano e girala.")</f>
        <v>Si vedono le mani di una persona con in mano e girala.</v>
      </c>
    </row>
    <row r="35464">
      <c r="A35464" s="4" t="s">
        <v>44616</v>
      </c>
      <c r="B35464" s="4" t="s">
        <v>44618</v>
      </c>
      <c r="C35464" s="5" t="str">
        <f>IFERROR(__xludf.DUMMYFUNCTION("GOOGLETRANSLATE(B35464,""en"",""it"")"),"La persona gira il cubo dappertutto i lati mentre tenta di risolvere il puzzle.")</f>
        <v>La persona gira il cubo dappertutto i lati mentre tenta di risolvere il puzzle.</v>
      </c>
    </row>
    <row r="35465">
      <c r="A35465" s="4" t="s">
        <v>44616</v>
      </c>
      <c r="B35465" s="4" t="s">
        <v>44619</v>
      </c>
      <c r="C35465" s="5" t="str">
        <f>IFERROR(__xludf.DUMMYFUNCTION("GOOGLETRANSLATE(B35465,""en"",""it"")"),"L'uomo collega tutti i lati e lo mostra alla fotocamera.")</f>
        <v>L'uomo collega tutti i lati e lo mostra alla fotocamera.</v>
      </c>
    </row>
    <row r="35466">
      <c r="A35466" s="4" t="s">
        <v>44620</v>
      </c>
      <c r="B35466" s="4" t="s">
        <v>44621</v>
      </c>
      <c r="C35466" s="5" t="str">
        <f>IFERROR(__xludf.DUMMYFUNCTION("GOOGLETRANSLATE(B35466,""en"",""it"")"),"Un primo piano di un tavolo di foose è visto seguito da persone che si aggrappano ai lati.")</f>
        <v>Un primo piano di un tavolo di foose è visto seguito da persone che si aggrappano ai lati.</v>
      </c>
    </row>
    <row r="35467">
      <c r="A35467" s="4" t="s">
        <v>44620</v>
      </c>
      <c r="B35467" s="4" t="s">
        <v>44622</v>
      </c>
      <c r="C35467" s="5" t="str">
        <f>IFERROR(__xludf.DUMMYFUNCTION("GOOGLETRANSLATE(B35467,""en"",""it"")"),"Le persone giocano indietro e quarto mentre la telecamera cattura i loro movimenti.")</f>
        <v>Le persone giocano indietro e quarto mentre la telecamera cattura i loro movimenti.</v>
      </c>
    </row>
    <row r="35468">
      <c r="A35468" s="4" t="s">
        <v>44620</v>
      </c>
      <c r="B35468" s="4" t="s">
        <v>44623</v>
      </c>
      <c r="C35468" s="5" t="str">
        <f>IFERROR(__xludf.DUMMYFUNCTION("GOOGLETRANSLATE(B35468,""en"",""it"")"),"Gli uomini continuano a suonare sul tavolo e il video si attenua al bianco.")</f>
        <v>Gli uomini continuano a suonare sul tavolo e il video si attenua al bianco.</v>
      </c>
    </row>
    <row r="35469">
      <c r="A35469" s="4" t="s">
        <v>44624</v>
      </c>
      <c r="B35469" s="4" t="s">
        <v>44625</v>
      </c>
      <c r="C35469" s="5" t="str">
        <f>IFERROR(__xludf.DUMMYFUNCTION("GOOGLETRANSLATE(B35469,""en"",""it"")"),"Un uomo e una donna sono in piedi al bancone di una cucina.")</f>
        <v>Un uomo e una donna sono in piedi al bancone di una cucina.</v>
      </c>
    </row>
    <row r="35470">
      <c r="A35470" s="4" t="s">
        <v>44624</v>
      </c>
      <c r="B35470" s="4" t="s">
        <v>44626</v>
      </c>
      <c r="C35470" s="5" t="str">
        <f>IFERROR(__xludf.DUMMYFUNCTION("GOOGLETRANSLATE(B35470,""en"",""it"")"),"Versano gli ingredienti in una grande ciotola e li mescolano insieme.")</f>
        <v>Versano gli ingredienti in una grande ciotola e li mescolano insieme.</v>
      </c>
    </row>
    <row r="35471">
      <c r="A35471" s="4" t="s">
        <v>44624</v>
      </c>
      <c r="B35471" s="4" t="s">
        <v>44627</v>
      </c>
      <c r="C35471" s="5" t="str">
        <f>IFERROR(__xludf.DUMMYFUNCTION("GOOGLETRANSLATE(B35471,""en"",""it"")"),"Versano il composto in due padelle rotonde.")</f>
        <v>Versano il composto in due padelle rotonde.</v>
      </c>
    </row>
    <row r="35472">
      <c r="A35472" s="4" t="s">
        <v>44624</v>
      </c>
      <c r="B35472" s="4" t="s">
        <v>44628</v>
      </c>
      <c r="C35472" s="5" t="str">
        <f>IFERROR(__xludf.DUMMYFUNCTION("GOOGLETRANSLATE(B35472,""en"",""it"")"),"Quindi prendono le torte e le impilano insieme alla glassa in mezzo.")</f>
        <v>Quindi prendono le torte e le impilano insieme alla glassa in mezzo.</v>
      </c>
    </row>
    <row r="35473">
      <c r="A35473" s="4" t="s">
        <v>44624</v>
      </c>
      <c r="B35473" s="4" t="s">
        <v>44629</v>
      </c>
      <c r="C35473" s="5" t="str">
        <f>IFERROR(__xludf.DUMMYFUNCTION("GOOGLETRANSLATE(B35473,""en"",""it"")"),"Mangiano la torta alla fine.")</f>
        <v>Mangiano la torta alla fine.</v>
      </c>
    </row>
    <row r="35474">
      <c r="A35474" s="4" t="s">
        <v>44630</v>
      </c>
      <c r="B35474" s="4" t="s">
        <v>44631</v>
      </c>
      <c r="C35474" s="5" t="str">
        <f>IFERROR(__xludf.DUMMYFUNCTION("GOOGLETRANSLATE(B35474,""en"",""it"")"),"Un giovane suona la batteria su un palco con luci che ballano sullo sfondo.")</f>
        <v>Un giovane suona la batteria su un palco con luci che ballano sullo sfondo.</v>
      </c>
    </row>
    <row r="35475">
      <c r="A35475" s="4" t="s">
        <v>44630</v>
      </c>
      <c r="B35475" s="4" t="s">
        <v>44632</v>
      </c>
      <c r="C35475" s="5" t="str">
        <f>IFERROR(__xludf.DUMMYFUNCTION("GOOGLETRANSLATE(B35475,""en"",""it"")"),"Finisce e si alza suonando la batteria d'aria.")</f>
        <v>Finisce e si alza suonando la batteria d'aria.</v>
      </c>
    </row>
    <row r="35476">
      <c r="A35476" s="4" t="s">
        <v>44633</v>
      </c>
      <c r="B35476" s="4" t="s">
        <v>44634</v>
      </c>
      <c r="C35476" s="5" t="str">
        <f>IFERROR(__xludf.DUMMYFUNCTION("GOOGLETRANSLATE(B35476,""en"",""it"")"),"Una ragazza viene vista strofinare un cane con sapone accanto a una vasca piena d'acqua.")</f>
        <v>Una ragazza viene vista strofinare un cane con sapone accanto a una vasca piena d'acqua.</v>
      </c>
    </row>
    <row r="35477">
      <c r="A35477" s="4" t="s">
        <v>44633</v>
      </c>
      <c r="B35477" s="6" t="s">
        <v>44635</v>
      </c>
      <c r="C35477" s="5" t="str">
        <f>IFERROR(__xludf.DUMMYFUNCTION("GOOGLETRANSLATE(B35477,""en"",""it"")"),"Versa più sapone sul cane e lo trascina e conduce in immagini del cane.")</f>
        <v>Versa più sapone sul cane e lo trascina e conduce in immagini del cane.</v>
      </c>
    </row>
    <row r="35478">
      <c r="A35478" s="4" t="s">
        <v>44636</v>
      </c>
      <c r="B35478" s="6" t="s">
        <v>44637</v>
      </c>
      <c r="C35478" s="5" t="str">
        <f>IFERROR(__xludf.DUMMYFUNCTION("GOOGLETRANSLATE(B35478,""en"",""it"")"),"Una persona applica disegni di vernice a un'unghia rossa su una mano di plastica con un arto nero flessibile etichettato ""allenatore per unghie"".")</f>
        <v>Una persona applica disegni di vernice a un'unghia rossa su una mano di plastica con un arto nero flessibile etichettato "allenatore per unghie".</v>
      </c>
    </row>
    <row r="35479">
      <c r="A35479" s="4" t="s">
        <v>44636</v>
      </c>
      <c r="B35479" s="6" t="s">
        <v>44638</v>
      </c>
      <c r="C35479" s="5" t="str">
        <f>IFERROR(__xludf.DUMMYFUNCTION("GOOGLETRANSLATE(B35479,""en"",""it"")"),"Una mano di plastica marrone con un braccio di plastica nera appare con punte bianche di unghie e unghie rosse.")</f>
        <v>Una mano di plastica marrone con un braccio di plastica nera appare con punte bianche di unghie e unghie rosse.</v>
      </c>
    </row>
    <row r="35480">
      <c r="A35480" s="4" t="s">
        <v>44636</v>
      </c>
      <c r="B35480" s="6" t="s">
        <v>44639</v>
      </c>
      <c r="C35480" s="5" t="str">
        <f>IFERROR(__xludf.DUMMYFUNCTION("GOOGLETRANSLATE(B35480,""en"",""it"")"),"Appare la mano reale di una persona e inizia ad applicare disegni bianchi su una delle unghie rosse sulla mano di plastica.")</f>
        <v>Appare la mano reale di una persona e inizia ad applicare disegni bianchi su una delle unghie rosse sulla mano di plastica.</v>
      </c>
    </row>
    <row r="35481">
      <c r="A35481" s="4" t="s">
        <v>44636</v>
      </c>
      <c r="B35481" s="6" t="s">
        <v>44640</v>
      </c>
      <c r="C35481" s="5" t="str">
        <f>IFERROR(__xludf.DUMMYFUNCTION("GOOGLETRANSLATE(B35481,""en"",""it"")"),"La scena quindi svanisce per un primo piano di un'unghia rossa finita con un design bianco completo dalla mano di plastica.")</f>
        <v>La scena quindi svanisce per un primo piano di un'unghia rossa finita con un design bianco completo dalla mano di plastica.</v>
      </c>
    </row>
    <row r="35482">
      <c r="A35482" s="4" t="s">
        <v>44641</v>
      </c>
      <c r="B35482" s="4" t="s">
        <v>44642</v>
      </c>
      <c r="C35482" s="5" t="str">
        <f>IFERROR(__xludf.DUMMYFUNCTION("GOOGLETRANSLATE(B35482,""en"",""it"")"),"Le auto stanno guidando su una strada.")</f>
        <v>Le auto stanno guidando su una strada.</v>
      </c>
    </row>
    <row r="35483">
      <c r="A35483" s="4" t="s">
        <v>44641</v>
      </c>
      <c r="B35483" s="4" t="s">
        <v>4423</v>
      </c>
      <c r="C35483" s="5" t="str">
        <f>IFERROR(__xludf.DUMMYFUNCTION("GOOGLETRANSLATE(B35483,""en"",""it"")"),"Le persone stanno snowboard lungo una collina di neve.")</f>
        <v>Le persone stanno snowboard lungo una collina di neve.</v>
      </c>
    </row>
    <row r="35484">
      <c r="A35484" s="4" t="s">
        <v>44641</v>
      </c>
      <c r="B35484" s="4" t="s">
        <v>44643</v>
      </c>
      <c r="C35484" s="5" t="str">
        <f>IFERROR(__xludf.DUMMYFUNCTION("GOOGLETRANSLATE(B35484,""en"",""it"")"),"Le persone tornano in macchina e mettono lo snowboard sopra la macchina.")</f>
        <v>Le persone tornano in macchina e mettono lo snowboard sopra la macchina.</v>
      </c>
    </row>
    <row r="35485">
      <c r="A35485" s="4" t="s">
        <v>44644</v>
      </c>
      <c r="B35485" s="4" t="s">
        <v>44645</v>
      </c>
      <c r="C35485" s="5" t="str">
        <f>IFERROR(__xludf.DUMMYFUNCTION("GOOGLETRANSLATE(B35485,""en"",""it"")"),"Un uomo viene visto in piedi davanti a un set di barre irregolari con le braccia in alto.")</f>
        <v>Un uomo viene visto in piedi davanti a un set di barre irregolari con le braccia in alto.</v>
      </c>
    </row>
    <row r="35486">
      <c r="A35486" s="4" t="s">
        <v>44644</v>
      </c>
      <c r="B35486" s="4" t="s">
        <v>44646</v>
      </c>
      <c r="C35486" s="5" t="str">
        <f>IFERROR(__xludf.DUMMYFUNCTION("GOOGLETRANSLATE(B35486,""en"",""it"")"),"Quindi salta sul raggio e si oscilla.")</f>
        <v>Quindi salta sul raggio e si oscilla.</v>
      </c>
    </row>
    <row r="35487">
      <c r="A35487" s="4" t="s">
        <v>44644</v>
      </c>
      <c r="B35487" s="6" t="s">
        <v>44647</v>
      </c>
      <c r="C35487" s="5" t="str">
        <f>IFERROR(__xludf.DUMMYFUNCTION("GOOGLETRANSLATE(B35487,""en"",""it"")"),"L'uomo continua a oscillare sui bar e finisce saltando di lato e allontanandosi.")</f>
        <v>L'uomo continua a oscillare sui bar e finisce saltando di lato e allontanandosi.</v>
      </c>
    </row>
    <row r="35488">
      <c r="A35488" s="4" t="s">
        <v>44648</v>
      </c>
      <c r="B35488" s="6" t="s">
        <v>44649</v>
      </c>
      <c r="C35488" s="5" t="str">
        <f>IFERROR(__xludf.DUMMYFUNCTION("GOOGLETRANSLATE(B35488,""en"",""it"")"),"Viene quindi mostrata eseguendo diversi esercizi, oltre a andare in bicicletta e guidare una classe.")</f>
        <v>Viene quindi mostrata eseguendo diversi esercizi, oltre a andare in bicicletta e guidare una classe.</v>
      </c>
    </row>
    <row r="35489">
      <c r="A35489" s="4" t="s">
        <v>44648</v>
      </c>
      <c r="B35489" s="4" t="s">
        <v>44650</v>
      </c>
      <c r="C35489" s="5" t="str">
        <f>IFERROR(__xludf.DUMMYFUNCTION("GOOGLETRANSLATE(B35489,""en"",""it"")"),"Altri colpi di lei vengono mostrati in sella alla bici e indossano un auricolare per parlare con gli altri.")</f>
        <v>Altri colpi di lei vengono mostrati in sella alla bici e indossano un auricolare per parlare con gli altri.</v>
      </c>
    </row>
    <row r="35490">
      <c r="A35490" s="4" t="s">
        <v>44651</v>
      </c>
      <c r="B35490" s="4" t="s">
        <v>44652</v>
      </c>
      <c r="C35490" s="5" t="str">
        <f>IFERROR(__xludf.DUMMYFUNCTION("GOOGLETRANSLATE(B35490,""en"",""it"")"),"Un uomo con una camicia rosa tiene in mano un cordone.")</f>
        <v>Un uomo con una camicia rosa tiene in mano un cordone.</v>
      </c>
    </row>
    <row r="35491">
      <c r="A35491" s="4" t="s">
        <v>44651</v>
      </c>
      <c r="B35491" s="4" t="s">
        <v>44653</v>
      </c>
      <c r="C35491" s="5" t="str">
        <f>IFERROR(__xludf.DUMMYFUNCTION("GOOGLETRANSLATE(B35491,""en"",""it"")"),"Comincia a aspirare il tappeto di fronte a lui.")</f>
        <v>Comincia a aspirare il tappeto di fronte a lui.</v>
      </c>
    </row>
    <row r="35492">
      <c r="A35492" s="4" t="s">
        <v>44654</v>
      </c>
      <c r="B35492" s="4" t="s">
        <v>44655</v>
      </c>
      <c r="C35492" s="5" t="str">
        <f>IFERROR(__xludf.DUMMYFUNCTION("GOOGLETRANSLATE(B35492,""en"",""it"")"),"Una donna sta facendo un tutorial su come fare unghie in marmo d'acqua usando l'acqua.")</f>
        <v>Una donna sta facendo un tutorial su come fare unghie in marmo d'acqua usando l'acqua.</v>
      </c>
    </row>
    <row r="35493">
      <c r="A35493" s="4" t="s">
        <v>44654</v>
      </c>
      <c r="B35493" s="4" t="s">
        <v>44656</v>
      </c>
      <c r="C35493" s="5" t="str">
        <f>IFERROR(__xludf.DUMMYFUNCTION("GOOGLETRANSLATE(B35493,""en"",""it"")"),"Usa un pennello per smalto e lo immerge in acqua.")</f>
        <v>Usa un pennello per smalto e lo immerge in acqua.</v>
      </c>
    </row>
    <row r="35494">
      <c r="A35494" s="4" t="s">
        <v>44654</v>
      </c>
      <c r="B35494" s="4" t="s">
        <v>44657</v>
      </c>
      <c r="C35494" s="5" t="str">
        <f>IFERROR(__xludf.DUMMYFUNCTION("GOOGLETRANSLATE(B35494,""en"",""it"")"),"Dà le istruzioni su come iniziare con una mano di smalto di base.")</f>
        <v>Dà le istruzioni su come iniziare con una mano di smalto di base.</v>
      </c>
    </row>
    <row r="35495">
      <c r="A35495" s="4" t="s">
        <v>44654</v>
      </c>
      <c r="B35495" s="4" t="s">
        <v>44658</v>
      </c>
      <c r="C35495" s="5" t="str">
        <f>IFERROR(__xludf.DUMMYFUNCTION("GOOGLETRANSLATE(B35495,""en"",""it"")"),"Quindi mette gocce di smalto di colore diverso sulla superficie dell'acqua.")</f>
        <v>Quindi mette gocce di smalto di colore diverso sulla superficie dell'acqua.</v>
      </c>
    </row>
    <row r="35496">
      <c r="A35496" s="4" t="s">
        <v>44654</v>
      </c>
      <c r="B35496" s="4" t="s">
        <v>44659</v>
      </c>
      <c r="C35496" s="5" t="str">
        <f>IFERROR(__xludf.DUMMYFUNCTION("GOOGLETRANSLATE(B35496,""en"",""it"")"),"Quindi si immerge l'unghia in quella vernice.")</f>
        <v>Quindi si immerge l'unghia in quella vernice.</v>
      </c>
    </row>
    <row r="35497">
      <c r="A35497" s="4" t="s">
        <v>44654</v>
      </c>
      <c r="B35497" s="6" t="s">
        <v>44660</v>
      </c>
      <c r="C35497" s="5" t="str">
        <f>IFERROR(__xludf.DUMMYFUNCTION("GOOGLETRANSLATE(B35497,""en"",""it"")"),"Pulisce qualsiasi smalto in eccesso che si è spalmato sul lato delle unghie con un pennello e un tip.")</f>
        <v>Pulisce qualsiasi smalto in eccesso che si è spalmato sul lato delle unghie con un pennello e un tip.</v>
      </c>
    </row>
    <row r="35498">
      <c r="A35498" s="4" t="s">
        <v>44654</v>
      </c>
      <c r="B35498" s="4" t="s">
        <v>44661</v>
      </c>
      <c r="C35498" s="5" t="str">
        <f>IFERROR(__xludf.DUMMYFUNCTION("GOOGLETRANSLATE(B35498,""en"",""it"")"),"Alla fine condivide informazioni su se stessa e sui suoi account sui social media.")</f>
        <v>Alla fine condivide informazioni su se stessa e sui suoi account sui social media.</v>
      </c>
    </row>
    <row r="35499">
      <c r="A35499" s="4" t="s">
        <v>44662</v>
      </c>
      <c r="B35499" s="4" t="s">
        <v>44663</v>
      </c>
      <c r="C35499" s="5" t="str">
        <f>IFERROR(__xludf.DUMMYFUNCTION("GOOGLETRANSLATE(B35499,""en"",""it"")"),"Una donna è in cucina, indossa un vestito e incinta.")</f>
        <v>Una donna è in cucina, indossa un vestito e incinta.</v>
      </c>
    </row>
    <row r="35500">
      <c r="A35500" s="4" t="s">
        <v>44662</v>
      </c>
      <c r="B35500" s="4" t="s">
        <v>44664</v>
      </c>
      <c r="C35500" s="5" t="str">
        <f>IFERROR(__xludf.DUMMYFUNCTION("GOOGLETRANSLATE(B35500,""en"",""it"")"),"Sta lavando i piatti nel lavandino e parla con la persona con la telecamera.")</f>
        <v>Sta lavando i piatti nel lavandino e parla con la persona con la telecamera.</v>
      </c>
    </row>
    <row r="35501">
      <c r="A35501" s="4" t="s">
        <v>44662</v>
      </c>
      <c r="B35501" s="4" t="s">
        <v>44665</v>
      </c>
      <c r="C35501" s="5" t="str">
        <f>IFERROR(__xludf.DUMMYFUNCTION("GOOGLETRANSLATE(B35501,""en"",""it"")"),"Sorride mentre la telecamera si ingrandisce sull'occhio destro.")</f>
        <v>Sorride mentre la telecamera si ingrandisce sull'occhio destro.</v>
      </c>
    </row>
    <row r="35502">
      <c r="A35502" s="4" t="s">
        <v>44666</v>
      </c>
      <c r="B35502" s="4" t="s">
        <v>44667</v>
      </c>
      <c r="C35502" s="5" t="str">
        <f>IFERROR(__xludf.DUMMYFUNCTION("GOOGLETRANSLATE(B35502,""en"",""it"")"),"Una donna oscilla su uno swing.")</f>
        <v>Una donna oscilla su uno swing.</v>
      </c>
    </row>
    <row r="35503">
      <c r="A35503" s="4" t="s">
        <v>44666</v>
      </c>
      <c r="B35503" s="4" t="s">
        <v>44668</v>
      </c>
      <c r="C35503" s="5" t="str">
        <f>IFERROR(__xludf.DUMMYFUNCTION("GOOGLETRANSLATE(B35503,""en"",""it"")"),"Un bambino oscilla accanto a lei.")</f>
        <v>Un bambino oscilla accanto a lei.</v>
      </c>
    </row>
    <row r="35504">
      <c r="A35504" s="4" t="s">
        <v>44666</v>
      </c>
      <c r="B35504" s="4" t="s">
        <v>44669</v>
      </c>
      <c r="C35504" s="5" t="str">
        <f>IFERROR(__xludf.DUMMYFUNCTION("GOOGLETRANSLATE(B35504,""en"",""it"")"),"Indossano entrambi il rosso.")</f>
        <v>Indossano entrambi il rosso.</v>
      </c>
    </row>
    <row r="35505">
      <c r="A35505" s="4" t="s">
        <v>44666</v>
      </c>
      <c r="B35505" s="4" t="s">
        <v>44670</v>
      </c>
      <c r="C35505" s="5" t="str">
        <f>IFERROR(__xludf.DUMMYFUNCTION("GOOGLETRANSLATE(B35505,""en"",""it"")"),"La donna sembra felice di oscillare.")</f>
        <v>La donna sembra felice di oscillare.</v>
      </c>
    </row>
    <row r="35506">
      <c r="A35506" s="4" t="s">
        <v>44671</v>
      </c>
      <c r="B35506" s="6" t="s">
        <v>44672</v>
      </c>
      <c r="C35506" s="5" t="str">
        <f>IFERROR(__xludf.DUMMYFUNCTION("GOOGLETRANSLATE(B35506,""en"",""it"")"),"Due ragazzi sono in piedi in un soggiorno accanto a un albero e iniziano a togliere ornamenti da due bidoni di plastica e decorare l'albero.")</f>
        <v>Due ragazzi sono in piedi in un soggiorno accanto a un albero e iniziano a togliere ornamenti da due bidoni di plastica e decorare l'albero.</v>
      </c>
    </row>
    <row r="35507">
      <c r="A35507" s="4" t="s">
        <v>44671</v>
      </c>
      <c r="B35507" s="4" t="s">
        <v>44673</v>
      </c>
      <c r="C35507" s="5" t="str">
        <f>IFERROR(__xludf.DUMMYFUNCTION("GOOGLETRANSLATE(B35507,""en"",""it"")"),"Mentre i ragazzi continuano, l'esterno della casa viene mostrato mentre la pioggia scende.")</f>
        <v>Mentre i ragazzi continuano, l'esterno della casa viene mostrato mentre la pioggia scende.</v>
      </c>
    </row>
    <row r="35508">
      <c r="A35508" s="4" t="s">
        <v>44671</v>
      </c>
      <c r="B35508" s="4" t="s">
        <v>44674</v>
      </c>
      <c r="C35508" s="5" t="str">
        <f>IFERROR(__xludf.DUMMYFUNCTION("GOOGLETRANSLATE(B35508,""en"",""it"")"),"Dopo, i ragazzi ricevono aiuto da un maschio e mettono il topper.")</f>
        <v>Dopo, i ragazzi ricevono aiuto da un maschio e mettono il topper.</v>
      </c>
    </row>
    <row r="35509">
      <c r="A35509" s="4" t="s">
        <v>44671</v>
      </c>
      <c r="B35509" s="6" t="s">
        <v>44675</v>
      </c>
      <c r="C35509" s="5" t="str">
        <f>IFERROR(__xludf.DUMMYFUNCTION("GOOGLETRANSLATE(B35509,""en"",""it"")"),"Una volta finito, i giovani ragazzi si abbracciano e si baciano e viene mostrato il prodotto finale dell'albero.")</f>
        <v>Una volta finito, i giovani ragazzi si abbracciano e si baciano e viene mostrato il prodotto finale dell'albero.</v>
      </c>
    </row>
    <row r="35510">
      <c r="A35510" s="4" t="s">
        <v>44676</v>
      </c>
      <c r="B35510" s="4" t="s">
        <v>44677</v>
      </c>
      <c r="C35510" s="5" t="str">
        <f>IFERROR(__xludf.DUMMYFUNCTION("GOOGLETRANSLATE(B35510,""en"",""it"")"),"Diverse persone animate sono in acqua.")</f>
        <v>Diverse persone animate sono in acqua.</v>
      </c>
    </row>
    <row r="35511">
      <c r="A35511" s="4" t="s">
        <v>44676</v>
      </c>
      <c r="B35511" s="6" t="s">
        <v>44678</v>
      </c>
      <c r="C35511" s="5" t="str">
        <f>IFERROR(__xludf.DUMMYFUNCTION("GOOGLETRANSLATE(B35511,""en"",""it"")"),"Due persone in attrezzatura subacquee si trovano sulla sporgenza di una piattaforma mentre altre due persone guardano da una piattaforma sopra.")</f>
        <v>Due persone in attrezzatura subacquee si trovano sulla sporgenza di una piattaforma mentre altre due persone guardano da una piattaforma sopra.</v>
      </c>
    </row>
    <row r="35512">
      <c r="A35512" s="4" t="s">
        <v>44676</v>
      </c>
      <c r="B35512" s="4" t="s">
        <v>44679</v>
      </c>
      <c r="C35512" s="5" t="str">
        <f>IFERROR(__xludf.DUMMYFUNCTION("GOOGLETRANSLATE(B35512,""en"",""it"")"),"Le due persone in ingranaggio subacqueo saltano in acqua.")</f>
        <v>Le due persone in ingranaggio subacqueo saltano in acqua.</v>
      </c>
    </row>
    <row r="35513">
      <c r="A35513" s="4" t="s">
        <v>44676</v>
      </c>
      <c r="B35513" s="6" t="s">
        <v>44680</v>
      </c>
      <c r="C35513" s="5" t="str">
        <f>IFERROR(__xludf.DUMMYFUNCTION("GOOGLETRANSLATE(B35513,""en"",""it"")"),"Una persona in attrezzatura subacquee si aggrappa all'altra persona con attrezzatura subacquee e fa qualcosa al suo serbatoio.")</f>
        <v>Una persona in attrezzatura subacquee si aggrappa all'altra persona con attrezzatura subacquee e fa qualcosa al suo serbatoio.</v>
      </c>
    </row>
    <row r="35514">
      <c r="A35514" s="4" t="s">
        <v>44676</v>
      </c>
      <c r="B35514" s="4" t="s">
        <v>44681</v>
      </c>
      <c r="C35514" s="5" t="str">
        <f>IFERROR(__xludf.DUMMYFUNCTION("GOOGLETRANSLATE(B35514,""en"",""it"")"),"Una persona spinge l'altra via.")</f>
        <v>Una persona spinge l'altra via.</v>
      </c>
    </row>
    <row r="35515">
      <c r="A35515" s="4" t="s">
        <v>44676</v>
      </c>
      <c r="B35515" s="4" t="s">
        <v>44682</v>
      </c>
      <c r="C35515" s="5" t="str">
        <f>IFERROR(__xludf.DUMMYFUNCTION("GOOGLETRANSLATE(B35515,""en"",""it"")"),"Diverse persone in attrezzatura subacquee si radunano con una persona ancora sullo sfondo.")</f>
        <v>Diverse persone in attrezzatura subacquee si radunano con una persona ancora sullo sfondo.</v>
      </c>
    </row>
    <row r="35516">
      <c r="A35516" s="4" t="s">
        <v>44676</v>
      </c>
      <c r="B35516" s="4" t="s">
        <v>44683</v>
      </c>
      <c r="C35516" s="5" t="str">
        <f>IFERROR(__xludf.DUMMYFUNCTION("GOOGLETRANSLATE(B35516,""en"",""it"")"),"La lotta per le persone con gli attrezzi subacquei e una persona maschera via.")</f>
        <v>La lotta per le persone con gli attrezzi subacquei e una persona maschera via.</v>
      </c>
    </row>
    <row r="35517">
      <c r="A35517" s="4" t="s">
        <v>44684</v>
      </c>
      <c r="B35517" s="4" t="s">
        <v>44685</v>
      </c>
      <c r="C35517" s="5" t="str">
        <f>IFERROR(__xludf.DUMMYFUNCTION("GOOGLETRANSLATE(B35517,""en"",""it"")"),"Un grande cane nero e una bambina in una camicetta bianca portano due hoolahoop in soggiorno.")</f>
        <v>Un grande cane nero e una bambina in una camicetta bianca portano due hoolahoop in soggiorno.</v>
      </c>
    </row>
    <row r="35518">
      <c r="A35518" s="4" t="s">
        <v>44684</v>
      </c>
      <c r="B35518" s="4" t="s">
        <v>44686</v>
      </c>
      <c r="C35518" s="5" t="str">
        <f>IFERROR(__xludf.DUMMYFUNCTION("GOOGLETRANSLATE(B35518,""en"",""it"")"),"La bambina tiene un telaio Hoola di fronte al cane e il cane cammina attraverso lo Hoolahoop.")</f>
        <v>La bambina tiene un telaio Hoola di fronte al cane e il cane cammina attraverso lo Hoolahoop.</v>
      </c>
    </row>
    <row r="35519">
      <c r="A35519" s="4" t="s">
        <v>44684</v>
      </c>
      <c r="B35519" s="4" t="s">
        <v>44687</v>
      </c>
      <c r="C35519" s="5" t="str">
        <f>IFERROR(__xludf.DUMMYFUNCTION("GOOGLETRANSLATE(B35519,""en"",""it"")"),"La bambina gira l'altro Hoola Hoop attorno ai suoi rifiuti e lo gira 10 o 12 volte.")</f>
        <v>La bambina gira l'altro Hoola Hoop attorno ai suoi rifiuti e lo gira 10 o 12 volte.</v>
      </c>
    </row>
    <row r="35520">
      <c r="A35520" s="4" t="s">
        <v>44684</v>
      </c>
      <c r="B35520" s="4" t="s">
        <v>44688</v>
      </c>
      <c r="C35520" s="5" t="str">
        <f>IFERROR(__xludf.DUMMYFUNCTION("GOOGLETRANSLATE(B35520,""en"",""it"")"),"La bambina si avvicina al cane nero e lascia il cane lecca la mano.")</f>
        <v>La bambina si avvicina al cane nero e lascia il cane lecca la mano.</v>
      </c>
    </row>
    <row r="35521">
      <c r="A35521" s="4" t="s">
        <v>44689</v>
      </c>
      <c r="B35521" s="4" t="s">
        <v>44690</v>
      </c>
      <c r="C35521" s="5" t="str">
        <f>IFERROR(__xludf.DUMMYFUNCTION("GOOGLETRANSLATE(B35521,""en"",""it"")"),"Cinque ragazzi vengono mostrati che camminano in un parco giochi.")</f>
        <v>Cinque ragazzi vengono mostrati che camminano in un parco giochi.</v>
      </c>
    </row>
    <row r="35522">
      <c r="A35522" s="4" t="s">
        <v>44689</v>
      </c>
      <c r="B35522" s="4" t="s">
        <v>44691</v>
      </c>
      <c r="C35522" s="5" t="str">
        <f>IFERROR(__xludf.DUMMYFUNCTION("GOOGLETRANSLATE(B35522,""en"",""it"")"),"I ragazzi salgono sulle altalene e iniziano a mostrare come fare trucchi.")</f>
        <v>I ragazzi salgono sulle altalene e iniziano a mostrare come fare trucchi.</v>
      </c>
    </row>
    <row r="35523">
      <c r="A35523" s="4" t="s">
        <v>44689</v>
      </c>
      <c r="B35523" s="4" t="s">
        <v>44692</v>
      </c>
      <c r="C35523" s="5" t="str">
        <f>IFERROR(__xludf.DUMMYFUNCTION("GOOGLETRANSLATE(B35523,""en"",""it"")"),"Per il finale, tutti e cinque i ragazzi salgono sulle altalene ed eseguono un capovolgimento.")</f>
        <v>Per il finale, tutti e cinque i ragazzi salgono sulle altalene ed eseguono un capovolgimento.</v>
      </c>
    </row>
    <row r="35524">
      <c r="A35524" s="4" t="s">
        <v>44693</v>
      </c>
      <c r="B35524" s="4" t="s">
        <v>44694</v>
      </c>
      <c r="C35524" s="5" t="str">
        <f>IFERROR(__xludf.DUMMYFUNCTION("GOOGLETRANSLATE(B35524,""en"",""it"")"),"Una giovane donna è in grado di esibirsi con un testimone.")</f>
        <v>Una giovane donna è in grado di esibirsi con un testimone.</v>
      </c>
    </row>
    <row r="35525">
      <c r="A35525" s="4" t="s">
        <v>44693</v>
      </c>
      <c r="B35525" s="4" t="s">
        <v>44695</v>
      </c>
      <c r="C35525" s="5" t="str">
        <f>IFERROR(__xludf.DUMMYFUNCTION("GOOGLETRANSLATE(B35525,""en"",""it"")"),"Esegue una ginnastica e una routine rotea.")</f>
        <v>Esegue una ginnastica e una routine rotea.</v>
      </c>
    </row>
    <row r="35526">
      <c r="A35526" s="4" t="s">
        <v>44693</v>
      </c>
      <c r="B35526" s="4" t="s">
        <v>44696</v>
      </c>
      <c r="C35526" s="5" t="str">
        <f>IFERROR(__xludf.DUMMYFUNCTION("GOOGLETRANSLATE(B35526,""en"",""it"")"),"Fa cartwheels come parte della sua routine.")</f>
        <v>Fa cartwheels come parte della sua routine.</v>
      </c>
    </row>
    <row r="35527">
      <c r="A35527" s="4" t="s">
        <v>44693</v>
      </c>
      <c r="B35527" s="4" t="s">
        <v>44697</v>
      </c>
      <c r="C35527" s="5" t="str">
        <f>IFERROR(__xludf.DUMMYFUNCTION("GOOGLETRANSLATE(B35527,""en"",""it"")"),"Lascia cadere il testimone, ma lo riprende e continua con la routine.")</f>
        <v>Lascia cadere il testimone, ma lo riprende e continua con la routine.</v>
      </c>
    </row>
    <row r="35528">
      <c r="A35528" s="4" t="s">
        <v>44693</v>
      </c>
      <c r="B35528" s="4" t="s">
        <v>44698</v>
      </c>
      <c r="C35528" s="5" t="str">
        <f>IFERROR(__xludf.DUMMYFUNCTION("GOOGLETRANSLATE(B35528,""en"",""it"")"),"Perde l'equilibrio ma è in grado di riprendersi.")</f>
        <v>Perde l'equilibrio ma è in grado di riprendersi.</v>
      </c>
    </row>
    <row r="35529">
      <c r="A35529" s="4" t="s">
        <v>44699</v>
      </c>
      <c r="B35529" s="4" t="s">
        <v>44700</v>
      </c>
      <c r="C35529" s="5" t="str">
        <f>IFERROR(__xludf.DUMMYFUNCTION("GOOGLETRANSLATE(B35529,""en"",""it"")"),"Una donna viene vista spingere un tosaerba attraverso un po 'di erba mentre parla alla telecamera.")</f>
        <v>Una donna viene vista spingere un tosaerba attraverso un po 'di erba mentre parla alla telecamera.</v>
      </c>
    </row>
    <row r="35530">
      <c r="A35530" s="4" t="s">
        <v>44699</v>
      </c>
      <c r="B35530" s="6" t="s">
        <v>44701</v>
      </c>
      <c r="C35530" s="5" t="str">
        <f>IFERROR(__xludf.DUMMYFUNCTION("GOOGLETRANSLATE(B35530,""en"",""it"")"),"La telecamera ingrandisce le piante nel cortile e continua a seguire la donna in giro mentre taglia l'erba.")</f>
        <v>La telecamera ingrandisce le piante nel cortile e continua a seguire la donna in giro mentre taglia l'erba.</v>
      </c>
    </row>
    <row r="35531">
      <c r="A35531" s="4" t="s">
        <v>44699</v>
      </c>
      <c r="B35531" s="4" t="s">
        <v>44702</v>
      </c>
      <c r="C35531" s="5" t="str">
        <f>IFERROR(__xludf.DUMMYFUNCTION("GOOGLETRANSLATE(B35531,""en"",""it"")"),"La telecamera si aggira attraverso un mucchio di piante e alberi alla fine.")</f>
        <v>La telecamera si aggira attraverso un mucchio di piante e alberi alla fine.</v>
      </c>
    </row>
    <row r="35532">
      <c r="A35532" s="4" t="s">
        <v>44703</v>
      </c>
      <c r="B35532" s="4" t="s">
        <v>44704</v>
      </c>
      <c r="C35532" s="5" t="str">
        <f>IFERROR(__xludf.DUMMYFUNCTION("GOOGLETRANSLATE(B35532,""en"",""it"")"),"Un uomo in attrezzatura da sci è in piedi su una collina innevata.")</f>
        <v>Un uomo in attrezzatura da sci è in piedi su una collina innevata.</v>
      </c>
    </row>
    <row r="35533">
      <c r="A35533" s="4" t="s">
        <v>44703</v>
      </c>
      <c r="B35533" s="4" t="s">
        <v>44705</v>
      </c>
      <c r="C35533" s="5" t="str">
        <f>IFERROR(__xludf.DUMMYFUNCTION("GOOGLETRANSLATE(B35533,""en"",""it"")"),"Lui e altri iniziano a sciare lungo le piste, sollevando la neve e viaggiando attraverso i tunnel.")</f>
        <v>Lui e altri iniziano a sciare lungo le piste, sollevando la neve e viaggiando attraverso i tunnel.</v>
      </c>
    </row>
    <row r="35534">
      <c r="A35534" s="4" t="s">
        <v>44706</v>
      </c>
      <c r="B35534" s="6" t="s">
        <v>44707</v>
      </c>
      <c r="C35534" s="5" t="str">
        <f>IFERROR(__xludf.DUMMYFUNCTION("GOOGLETRANSLATE(B35534,""en"",""it"")"),"Gli uomini stanno lavorando in un tavolo sullo sfondo, un uomo al centro della stanza inizia a camminare in cerchio e fare una pausa danza, uno schermo sospeso suona un video rap.")</f>
        <v>Gli uomini stanno lavorando in un tavolo sullo sfondo, un uomo al centro della stanza inizia a camminare in cerchio e fare una pausa danza, uno schermo sospeso suona un video rap.</v>
      </c>
    </row>
    <row r="35535">
      <c r="A35535" s="4" t="s">
        <v>44706</v>
      </c>
      <c r="B35535" s="4" t="s">
        <v>44708</v>
      </c>
      <c r="C35535" s="5" t="str">
        <f>IFERROR(__xludf.DUMMYFUNCTION("GOOGLETRANSLATE(B35535,""en"",""it"")"),"Lo schermo sta riproducendo un video e i crediti sono nella parte destra.")</f>
        <v>Lo schermo sta riproducendo un video e i crediti sono nella parte destra.</v>
      </c>
    </row>
    <row r="35536">
      <c r="A35536" s="4" t="s">
        <v>44709</v>
      </c>
      <c r="B35536" s="4" t="s">
        <v>44710</v>
      </c>
      <c r="C35536" s="5" t="str">
        <f>IFERROR(__xludf.DUMMYFUNCTION("GOOGLETRANSLATE(B35536,""en"",""it"")"),"Un giocatore di hockey è ferito e viene aiutato dal ghiaccio dall'allenatore.")</f>
        <v>Un giocatore di hockey è ferito e viene aiutato dal ghiaccio dall'allenatore.</v>
      </c>
    </row>
    <row r="35537">
      <c r="A35537" s="4" t="s">
        <v>44709</v>
      </c>
      <c r="B35537" s="4" t="s">
        <v>44711</v>
      </c>
      <c r="C35537" s="5" t="str">
        <f>IFERROR(__xludf.DUMMYFUNCTION("GOOGLETRANSLATE(B35537,""en"",""it"")"),"Il giocatore di hockey viene scortato dal ghiaccio dall'allenatore.")</f>
        <v>Il giocatore di hockey viene scortato dal ghiaccio dall'allenatore.</v>
      </c>
    </row>
    <row r="35538">
      <c r="A35538" s="4" t="s">
        <v>44709</v>
      </c>
      <c r="B35538" s="4" t="s">
        <v>44712</v>
      </c>
      <c r="C35538" s="5" t="str">
        <f>IFERROR(__xludf.DUMMYFUNCTION("GOOGLETRANSLATE(B35538,""en"",""it"")"),"Un replay mostra che il giocatore di hockey viene colpito in faccia dal disco e cade sul ghiaccio.")</f>
        <v>Un replay mostra che il giocatore di hockey viene colpito in faccia dal disco e cade sul ghiaccio.</v>
      </c>
    </row>
    <row r="35539">
      <c r="A35539" s="4" t="s">
        <v>44709</v>
      </c>
      <c r="B35539" s="4" t="s">
        <v>44713</v>
      </c>
      <c r="C35539" s="5" t="str">
        <f>IFERROR(__xludf.DUMMYFUNCTION("GOOGLETRANSLATE(B35539,""en"",""it"")"),"Le squadre si trovano insieme in un cerchio e si rivolgono per iniziare la partita.")</f>
        <v>Le squadre si trovano insieme in un cerchio e si rivolgono per iniziare la partita.</v>
      </c>
    </row>
    <row r="35540">
      <c r="A35540" s="4" t="s">
        <v>44709</v>
      </c>
      <c r="B35540" s="4" t="s">
        <v>44714</v>
      </c>
      <c r="C35540" s="5" t="str">
        <f>IFERROR(__xludf.DUMMYFUNCTION("GOOGLETRANSLATE(B35540,""en"",""it"")"),"Il giocatore di hockey gioca e pattina attorno al ghiaccio che passa avanti e indietro.")</f>
        <v>Il giocatore di hockey gioca e pattina attorno al ghiaccio che passa avanti e indietro.</v>
      </c>
    </row>
    <row r="35541">
      <c r="A35541" s="4" t="s">
        <v>44715</v>
      </c>
      <c r="B35541" s="4" t="s">
        <v>44716</v>
      </c>
      <c r="C35541" s="5" t="str">
        <f>IFERROR(__xludf.DUMMYFUNCTION("GOOGLETRANSLATE(B35541,""en"",""it"")"),"Vediamo acqua su uno schermo di apertura.")</f>
        <v>Vediamo acqua su uno schermo di apertura.</v>
      </c>
    </row>
    <row r="35542">
      <c r="A35542" s="4" t="s">
        <v>44715</v>
      </c>
      <c r="B35542" s="4" t="s">
        <v>44717</v>
      </c>
      <c r="C35542" s="5" t="str">
        <f>IFERROR(__xludf.DUMMYFUNCTION("GOOGLETRANSLATE(B35542,""en"",""it"")"),"Un uomo sta misurando e tagliando il tappeto mentre si inginocchia.")</f>
        <v>Un uomo sta misurando e tagliando il tappeto mentre si inginocchia.</v>
      </c>
    </row>
    <row r="35543">
      <c r="A35543" s="4" t="s">
        <v>44715</v>
      </c>
      <c r="B35543" s="4" t="s">
        <v>44718</v>
      </c>
      <c r="C35543" s="5" t="str">
        <f>IFERROR(__xludf.DUMMYFUNCTION("GOOGLETRANSLATE(B35543,""en"",""it"")"),"L'uomo aggiunge una striscia e mette uno strumento nella cucitura.")</f>
        <v>L'uomo aggiunge una striscia e mette uno strumento nella cucitura.</v>
      </c>
    </row>
    <row r="35544">
      <c r="A35544" s="4" t="s">
        <v>44715</v>
      </c>
      <c r="B35544" s="4" t="s">
        <v>44719</v>
      </c>
      <c r="C35544" s="5" t="str">
        <f>IFERROR(__xludf.DUMMYFUNCTION("GOOGLETRANSLATE(B35544,""en"",""it"")"),"L'uomo corre ripetutamente un oggetto nero sopra la cucitura.")</f>
        <v>L'uomo corre ripetutamente un oggetto nero sopra la cucitura.</v>
      </c>
    </row>
    <row r="35545">
      <c r="A35545" s="4" t="s">
        <v>44715</v>
      </c>
      <c r="B35545" s="4" t="s">
        <v>2892</v>
      </c>
      <c r="C35545" s="5" t="str">
        <f>IFERROR(__xludf.DUMMYFUNCTION("GOOGLETRANSLATE(B35545,""en"",""it"")"),"Vediamo la schermata del titolo di chiusura.")</f>
        <v>Vediamo la schermata del titolo di chiusura.</v>
      </c>
    </row>
    <row r="35546">
      <c r="A35546" s="4" t="s">
        <v>44720</v>
      </c>
      <c r="B35546" s="6" t="s">
        <v>44721</v>
      </c>
      <c r="C35546" s="5" t="str">
        <f>IFERROR(__xludf.DUMMYFUNCTION("GOOGLETRANSLATE(B35546,""en"",""it"")"),"Sono visti due uomini correre in una stanza chiusa con racchette da tennis e colpire una palla intorno alla stanza.")</f>
        <v>Sono visti due uomini correre in una stanza chiusa con racchette da tennis e colpire una palla intorno alla stanza.</v>
      </c>
    </row>
    <row r="35547">
      <c r="A35547" s="4" t="s">
        <v>44720</v>
      </c>
      <c r="B35547" s="6" t="s">
        <v>44722</v>
      </c>
      <c r="C35547" s="5" t="str">
        <f>IFERROR(__xludf.DUMMYFUNCTION("GOOGLETRANSLATE(B35547,""en"",""it"")"),"Gli uomini continuano a colpire la palla intorno alla stanza mentre la telecamera continua a seguire i loro movimenti.")</f>
        <v>Gli uomini continuano a colpire la palla intorno alla stanza mentre la telecamera continua a seguire i loro movimenti.</v>
      </c>
    </row>
    <row r="35548">
      <c r="A35548" s="4" t="s">
        <v>44723</v>
      </c>
      <c r="B35548" s="4" t="s">
        <v>44724</v>
      </c>
      <c r="C35548" s="5" t="str">
        <f>IFERROR(__xludf.DUMMYFUNCTION("GOOGLETRANSLATE(B35548,""en"",""it"")"),"Gli uomini nuotano più o meno in sintonia con le pallavolo.")</f>
        <v>Gli uomini nuotano più o meno in sintonia con le pallavolo.</v>
      </c>
    </row>
    <row r="35549">
      <c r="A35549" s="4" t="s">
        <v>44723</v>
      </c>
      <c r="B35549" s="4" t="s">
        <v>44725</v>
      </c>
      <c r="C35549" s="5" t="str">
        <f>IFERROR(__xludf.DUMMYFUNCTION("GOOGLETRANSLATE(B35549,""en"",""it"")"),"Si fermano e si mettono in cerchio in piscina e iniziano a lanciare la palla l'una tra loro.")</f>
        <v>Si fermano e si mettono in cerchio in piscina e iniziano a lanciare la palla l'una tra loro.</v>
      </c>
    </row>
    <row r="35550">
      <c r="A35550" s="4" t="s">
        <v>44723</v>
      </c>
      <c r="B35550" s="4" t="s">
        <v>44726</v>
      </c>
      <c r="C35550" s="5" t="str">
        <f>IFERROR(__xludf.DUMMYFUNCTION("GOOGLETRANSLATE(B35550,""en"",""it"")"),"Dopodiché iniziano a nuotare e lanciare per un po '.")</f>
        <v>Dopodiché iniziano a nuotare e lanciare per un po '.</v>
      </c>
    </row>
    <row r="35551">
      <c r="A35551" s="4" t="s">
        <v>44723</v>
      </c>
      <c r="B35551" s="4" t="s">
        <v>44727</v>
      </c>
      <c r="C35551" s="5" t="str">
        <f>IFERROR(__xludf.DUMMYFUNCTION("GOOGLETRANSLATE(B35551,""en"",""it"")"),"Dopo, hanno messo tutto insieme e ognuno si unisce per suonare.")</f>
        <v>Dopo, hanno messo tutto insieme e ognuno si unisce per suonare.</v>
      </c>
    </row>
    <row r="35552">
      <c r="A35552" s="4" t="s">
        <v>44728</v>
      </c>
      <c r="B35552" s="4" t="s">
        <v>44729</v>
      </c>
      <c r="C35552" s="5" t="str">
        <f>IFERROR(__xludf.DUMMYFUNCTION("GOOGLETRANSLATE(B35552,""en"",""it"")"),"Un bambino seduto al tavolo del ristorante mette le mani in un dessert.")</f>
        <v>Un bambino seduto al tavolo del ristorante mette le mani in un dessert.</v>
      </c>
    </row>
    <row r="35553">
      <c r="A35553" s="4" t="s">
        <v>44728</v>
      </c>
      <c r="B35553" s="4" t="s">
        <v>44730</v>
      </c>
      <c r="C35553" s="5" t="str">
        <f>IFERROR(__xludf.DUMMYFUNCTION("GOOGLETRANSLATE(B35553,""en"",""it"")"),"Il bambino usa le mani per mangiare il cibo.")</f>
        <v>Il bambino usa le mani per mangiare il cibo.</v>
      </c>
    </row>
    <row r="35554">
      <c r="A35554" s="4" t="s">
        <v>44728</v>
      </c>
      <c r="B35554" s="4" t="s">
        <v>44731</v>
      </c>
      <c r="C35554" s="5" t="str">
        <f>IFERROR(__xludf.DUMMYFUNCTION("GOOGLETRANSLATE(B35554,""en"",""it"")"),"L'adulto impedisce al bambino di versare il cibo sul pavimento e aiuta a dargli da mangiare.")</f>
        <v>L'adulto impedisce al bambino di versare il cibo sul pavimento e aiuta a dargli da mangiare.</v>
      </c>
    </row>
    <row r="35555">
      <c r="A35555" s="4" t="s">
        <v>44732</v>
      </c>
      <c r="B35555" s="4" t="s">
        <v>44733</v>
      </c>
      <c r="C35555" s="5" t="str">
        <f>IFERROR(__xludf.DUMMYFUNCTION("GOOGLETRANSLATE(B35555,""en"",""it"")"),"Il video inizia a mostrare il logo dell'azienda per un'azienda di coperture.")</f>
        <v>Il video inizia a mostrare il logo dell'azienda per un'azienda di coperture.</v>
      </c>
    </row>
    <row r="35556">
      <c r="A35556" s="4" t="s">
        <v>44732</v>
      </c>
      <c r="B35556" s="4" t="s">
        <v>44734</v>
      </c>
      <c r="C35556" s="5" t="str">
        <f>IFERROR(__xludf.DUMMYFUNCTION("GOOGLETRANSLATE(B35556,""en"",""it"")"),"Si sente una voce recitando i passaggi per applicare creste su un tetto.")</f>
        <v>Si sente una voce recitando i passaggi per applicare creste su un tetto.</v>
      </c>
    </row>
    <row r="35557">
      <c r="A35557" s="4" t="s">
        <v>44732</v>
      </c>
      <c r="B35557" s="4" t="s">
        <v>44735</v>
      </c>
      <c r="C35557" s="5" t="str">
        <f>IFERROR(__xludf.DUMMYFUNCTION("GOOGLETRANSLATE(B35557,""en"",""it"")"),"Mentre la voce recita i passaggi, un uomo più anziano viene mostrato sul video eseguendo questi passaggi su un tetto.")</f>
        <v>Mentre la voce recita i passaggi, un uomo più anziano viene mostrato sul video eseguendo questi passaggi su un tetto.</v>
      </c>
    </row>
    <row r="35558">
      <c r="A35558" s="4" t="s">
        <v>44732</v>
      </c>
      <c r="B35558" s="4" t="s">
        <v>44736</v>
      </c>
      <c r="C35558" s="5" t="str">
        <f>IFERROR(__xludf.DUMMYFUNCTION("GOOGLETRANSLATE(B35558,""en"",""it"")"),"Mentre la voce dice che i passaggi sono completi, lo scatto finale mostra un primo piano delle creste completate.")</f>
        <v>Mentre la voce dice che i passaggi sono completi, lo scatto finale mostra un primo piano delle creste completate.</v>
      </c>
    </row>
    <row r="35559">
      <c r="A35559" s="4" t="s">
        <v>44732</v>
      </c>
      <c r="B35559" s="4" t="s">
        <v>44737</v>
      </c>
      <c r="C35559" s="5" t="str">
        <f>IFERROR(__xludf.DUMMYFUNCTION("GOOGLETRANSLATE(B35559,""en"",""it"")"),"Il video termina con il logo dell'azienda.")</f>
        <v>Il video termina con il logo dell'azienda.</v>
      </c>
    </row>
    <row r="35560">
      <c r="A35560" s="4" t="s">
        <v>44738</v>
      </c>
      <c r="B35560" s="4" t="s">
        <v>44739</v>
      </c>
      <c r="C35560" s="5" t="str">
        <f>IFERROR(__xludf.DUMMYFUNCTION("GOOGLETRANSLATE(B35560,""en"",""it"")"),"Un giovane sta lavando i vestiti all'interno di un lavandino del bagno mentre parla con la telecamera.")</f>
        <v>Un giovane sta lavando i vestiti all'interno di un lavandino del bagno mentre parla con la telecamera.</v>
      </c>
    </row>
    <row r="35561">
      <c r="A35561" s="4" t="s">
        <v>44738</v>
      </c>
      <c r="B35561" s="4" t="s">
        <v>44740</v>
      </c>
      <c r="C35561" s="5" t="str">
        <f>IFERROR(__xludf.DUMMYFUNCTION("GOOGLETRANSLATE(B35561,""en"",""it"")"),"Inizialmente inizia a lavare i vestiti con entrambe le mani.")</f>
        <v>Inizialmente inizia a lavare i vestiti con entrambe le mani.</v>
      </c>
    </row>
    <row r="35562">
      <c r="A35562" s="4" t="s">
        <v>44738</v>
      </c>
      <c r="B35562" s="4" t="s">
        <v>44741</v>
      </c>
      <c r="C35562" s="5" t="str">
        <f>IFERROR(__xludf.DUMMYFUNCTION("GOOGLETRANSLATE(B35562,""en"",""it"")"),"Successivamente aggiunge più sapone usando due diverse bottiglie al lavandino.")</f>
        <v>Successivamente aggiunge più sapone usando due diverse bottiglie al lavandino.</v>
      </c>
    </row>
    <row r="35563">
      <c r="A35563" s="4" t="s">
        <v>44738</v>
      </c>
      <c r="B35563" s="4" t="s">
        <v>44742</v>
      </c>
      <c r="C35563" s="5" t="str">
        <f>IFERROR(__xludf.DUMMYFUNCTION("GOOGLETRANSLATE(B35563,""en"",""it"")"),"Successivamente continua a lavare i vestiti mentre parla alla telecamera.")</f>
        <v>Successivamente continua a lavare i vestiti mentre parla alla telecamera.</v>
      </c>
    </row>
    <row r="35564">
      <c r="A35564" s="4" t="s">
        <v>44743</v>
      </c>
      <c r="B35564" s="6" t="s">
        <v>44744</v>
      </c>
      <c r="C35564" s="5" t="str">
        <f>IFERROR(__xludf.DUMMYFUNCTION("GOOGLETRANSLATE(B35564,""en"",""it"")"),"Un uomo che indossa camicie nere con un design grafico è seduto vicino a un tavolo con bottiglie di liquori e uno shaker.")</f>
        <v>Un uomo che indossa camicie nere con un design grafico è seduto vicino a un tavolo con bottiglie di liquori e uno shaker.</v>
      </c>
    </row>
    <row r="35565">
      <c r="A35565" s="4" t="s">
        <v>44743</v>
      </c>
      <c r="B35565" s="4" t="s">
        <v>44745</v>
      </c>
      <c r="C35565" s="5" t="str">
        <f>IFERROR(__xludf.DUMMYFUNCTION("GOOGLETRANSLATE(B35565,""en"",""it"")"),"Sta dimostrando come fare una bevanda alcolica stagionale.")</f>
        <v>Sta dimostrando come fare una bevanda alcolica stagionale.</v>
      </c>
    </row>
    <row r="35566">
      <c r="A35566" s="4" t="s">
        <v>44743</v>
      </c>
      <c r="B35566" s="4" t="s">
        <v>44746</v>
      </c>
      <c r="C35566" s="5" t="str">
        <f>IFERROR(__xludf.DUMMYFUNCTION("GOOGLETRANSLATE(B35566,""en"",""it"")"),"Raccoglie le bottiglie di liquori che userà per le bevande.")</f>
        <v>Raccoglie le bottiglie di liquori che userà per le bevande.</v>
      </c>
    </row>
    <row r="35567">
      <c r="A35567" s="4" t="s">
        <v>44743</v>
      </c>
      <c r="B35567" s="4" t="s">
        <v>44747</v>
      </c>
      <c r="C35567" s="5" t="str">
        <f>IFERROR(__xludf.DUMMYFUNCTION("GOOGLETRANSLATE(B35567,""en"",""it"")"),"Usa il jigger per misurare e quindi versare gli ingredienti necessari nello shaker.")</f>
        <v>Usa il jigger per misurare e quindi versare gli ingredienti necessari nello shaker.</v>
      </c>
    </row>
    <row r="35568">
      <c r="A35568" s="4" t="s">
        <v>44743</v>
      </c>
      <c r="B35568" s="4" t="s">
        <v>44748</v>
      </c>
      <c r="C35568" s="5" t="str">
        <f>IFERROR(__xludf.DUMMYFUNCTION("GOOGLETRANSLATE(B35568,""en"",""it"")"),"Quindi aggiunge un po 'di crema alla miscela.")</f>
        <v>Quindi aggiunge un po 'di crema alla miscela.</v>
      </c>
    </row>
    <row r="35569">
      <c r="A35569" s="4" t="s">
        <v>44743</v>
      </c>
      <c r="B35569" s="4" t="s">
        <v>44749</v>
      </c>
      <c r="C35569" s="5" t="str">
        <f>IFERROR(__xludf.DUMMYFUNCTION("GOOGLETRANSLATE(B35569,""en"",""it"")"),"Aggiunge alcuni cubi di ghiaccio nello shaker.")</f>
        <v>Aggiunge alcuni cubi di ghiaccio nello shaker.</v>
      </c>
    </row>
    <row r="35570">
      <c r="A35570" s="4" t="s">
        <v>44743</v>
      </c>
      <c r="B35570" s="4" t="s">
        <v>44750</v>
      </c>
      <c r="C35570" s="5" t="str">
        <f>IFERROR(__xludf.DUMMYFUNCTION("GOOGLETRANSLATE(B35570,""en"",""it"")"),"Quindi scuote vigorosamente bevande e si riversa in un bicchiere conico.")</f>
        <v>Quindi scuote vigorosamente bevande e si riversa in un bicchiere conico.</v>
      </c>
    </row>
    <row r="35571">
      <c r="A35571" s="4" t="s">
        <v>44743</v>
      </c>
      <c r="B35571" s="4" t="s">
        <v>44751</v>
      </c>
      <c r="C35571" s="5" t="str">
        <f>IFERROR(__xludf.DUMMYFUNCTION("GOOGLETRANSLATE(B35571,""en"",""it"")"),"Quindi è in cima alla bevanda con panna montata da una lattina e mette una ciliegia in cima.")</f>
        <v>Quindi è in cima alla bevanda con panna montata da una lattina e mette una ciliegia in cima.</v>
      </c>
    </row>
    <row r="35572">
      <c r="A35572" s="4" t="s">
        <v>44743</v>
      </c>
      <c r="B35572" s="4" t="s">
        <v>44752</v>
      </c>
      <c r="C35572" s="5" t="str">
        <f>IFERROR(__xludf.DUMMYFUNCTION("GOOGLETRANSLATE(B35572,""en"",""it"")"),"Fornisce informazioni sulla sua pagina Facebook e su altri dettagli.")</f>
        <v>Fornisce informazioni sulla sua pagina Facebook e su altri dettagli.</v>
      </c>
    </row>
    <row r="35573">
      <c r="A35573" s="4" t="s">
        <v>44753</v>
      </c>
      <c r="B35573" s="4" t="s">
        <v>44754</v>
      </c>
      <c r="C35573" s="5" t="str">
        <f>IFERROR(__xludf.DUMMYFUNCTION("GOOGLETRANSLATE(B35573,""en"",""it"")"),"Una donna sta usando un ferro su una tavola.")</f>
        <v>Una donna sta usando un ferro su una tavola.</v>
      </c>
    </row>
    <row r="35574">
      <c r="A35574" s="4" t="s">
        <v>44753</v>
      </c>
      <c r="B35574" s="4" t="s">
        <v>44755</v>
      </c>
      <c r="C35574" s="5" t="str">
        <f>IFERROR(__xludf.DUMMYFUNCTION("GOOGLETRANSLATE(B35574,""en"",""it"")"),"Sta mostrando come stirare i vestiti per bambini.")</f>
        <v>Sta mostrando come stirare i vestiti per bambini.</v>
      </c>
    </row>
    <row r="35575">
      <c r="A35575" s="4" t="s">
        <v>44753</v>
      </c>
      <c r="B35575" s="4" t="s">
        <v>44756</v>
      </c>
      <c r="C35575" s="5" t="str">
        <f>IFERROR(__xludf.DUMMYFUNCTION("GOOGLETRANSLATE(B35575,""en"",""it"")"),"Cappa l'abbigliamento, abbottocciandolo mentre va.")</f>
        <v>Cappa l'abbigliamento, abbottocciandolo mentre va.</v>
      </c>
    </row>
    <row r="35576">
      <c r="A35576" s="4" t="s">
        <v>44757</v>
      </c>
      <c r="B35576" s="4" t="s">
        <v>44758</v>
      </c>
      <c r="C35576" s="5" t="str">
        <f>IFERROR(__xludf.DUMMYFUNCTION("GOOGLETRANSLATE(B35576,""en"",""it"")"),"Un uomo collega una macchina da falciatura, quindi spinge il tosaerba a tagliare l'erba in un cortile.")</f>
        <v>Un uomo collega una macchina da falciatura, quindi spinge il tosaerba a tagliare l'erba in un cortile.</v>
      </c>
    </row>
    <row r="35577">
      <c r="A35577" s="4" t="s">
        <v>44757</v>
      </c>
      <c r="B35577" s="4" t="s">
        <v>44759</v>
      </c>
      <c r="C35577" s="5" t="str">
        <f>IFERROR(__xludf.DUMMYFUNCTION("GOOGLETRANSLATE(B35577,""en"",""it"")"),"Dopo, l'uomo taglia l'erba sui bordi con le forbici da giardino.")</f>
        <v>Dopo, l'uomo taglia l'erba sui bordi con le forbici da giardino.</v>
      </c>
    </row>
    <row r="35578">
      <c r="A35578" s="4" t="s">
        <v>44760</v>
      </c>
      <c r="B35578" s="4" t="s">
        <v>44761</v>
      </c>
      <c r="C35578" s="5" t="str">
        <f>IFERROR(__xludf.DUMMYFUNCTION("GOOGLETRANSLATE(B35578,""en"",""it"")"),"Due lottatori sono su un ring discutendo.")</f>
        <v>Due lottatori sono su un ring discutendo.</v>
      </c>
    </row>
    <row r="35579">
      <c r="A35579" s="4" t="s">
        <v>44760</v>
      </c>
      <c r="B35579" s="4" t="s">
        <v>44762</v>
      </c>
      <c r="C35579" s="5" t="str">
        <f>IFERROR(__xludf.DUMMYFUNCTION("GOOGLETRANSLATE(B35579,""en"",""it"")"),"L'arbitro sta accanto, istruendoli su cosa fare.")</f>
        <v>L'arbitro sta accanto, istruendoli su cosa fare.</v>
      </c>
    </row>
    <row r="35580">
      <c r="A35580" s="4" t="s">
        <v>44760</v>
      </c>
      <c r="B35580" s="4" t="s">
        <v>44763</v>
      </c>
      <c r="C35580" s="5" t="str">
        <f>IFERROR(__xludf.DUMMYFUNCTION("GOOGLETRANSLATE(B35580,""en"",""it"")"),"Finalmente arrivano al wrestling del braccio.")</f>
        <v>Finalmente arrivano al wrestling del braccio.</v>
      </c>
    </row>
    <row r="35581">
      <c r="A35581" s="4" t="s">
        <v>44760</v>
      </c>
      <c r="B35581" s="4" t="s">
        <v>44764</v>
      </c>
      <c r="C35581" s="5" t="str">
        <f>IFERROR(__xludf.DUMMYFUNCTION("GOOGLETRANSLATE(B35581,""en"",""it"")"),"La folla intorno a loro si applaude.")</f>
        <v>La folla intorno a loro si applaude.</v>
      </c>
    </row>
    <row r="35582">
      <c r="A35582" s="4" t="s">
        <v>44760</v>
      </c>
      <c r="B35582" s="4" t="s">
        <v>44765</v>
      </c>
      <c r="C35582" s="5" t="str">
        <f>IFERROR(__xludf.DUMMYFUNCTION("GOOGLETRANSLATE(B35582,""en"",""it"")"),"Un ragazzo salta sul ring e inizia a combattere con uno dei lottatori.")</f>
        <v>Un ragazzo salta sul ring e inizia a combattere con uno dei lottatori.</v>
      </c>
    </row>
    <row r="35583">
      <c r="A35583" s="4" t="s">
        <v>44760</v>
      </c>
      <c r="B35583" s="6" t="s">
        <v>44766</v>
      </c>
      <c r="C35583" s="5" t="str">
        <f>IFERROR(__xludf.DUMMYFUNCTION("GOOGLETRANSLATE(B35583,""en"",""it"")"),"L'uomo lascia l'anello e il lottatore si avvicina all'altro lottatore e lo picchia a terra.")</f>
        <v>L'uomo lascia l'anello e il lottatore si avvicina all'altro lottatore e lo picchia a terra.</v>
      </c>
    </row>
    <row r="35584">
      <c r="A35584" s="4" t="s">
        <v>44760</v>
      </c>
      <c r="B35584" s="4" t="s">
        <v>44767</v>
      </c>
      <c r="C35584" s="5" t="str">
        <f>IFERROR(__xludf.DUMMYFUNCTION("GOOGLETRANSLATE(B35584,""en"",""it"")"),"Il wrestler celebra la sua vittoria.")</f>
        <v>Il wrestler celebra la sua vittoria.</v>
      </c>
    </row>
    <row r="35585">
      <c r="A35585" s="4" t="s">
        <v>44768</v>
      </c>
      <c r="B35585" s="6" t="s">
        <v>44769</v>
      </c>
      <c r="C35585" s="5" t="str">
        <f>IFERROR(__xludf.DUMMYFUNCTION("GOOGLETRANSLATE(B35585,""en"",""it"")"),"Due ragazzini rastrellano in un cortile mentre una bambina osserva e cammina con loro mentre rastrellano.")</f>
        <v>Due ragazzini rastrellano in un cortile mentre una bambina osserva e cammina con loro mentre rastrellano.</v>
      </c>
    </row>
    <row r="35586">
      <c r="A35586" s="4" t="s">
        <v>44768</v>
      </c>
      <c r="B35586" s="6" t="s">
        <v>44770</v>
      </c>
      <c r="C35586" s="5" t="str">
        <f>IFERROR(__xludf.DUMMYFUNCTION("GOOGLETRANSLATE(B35586,""en"",""it"")"),"I due ragazzini rastrellano le foglie con rastrelli maneggiati e una bambina li guarda e si aggira mentre rastrellano.")</f>
        <v>I due ragazzini rastrellano le foglie con rastrelli maneggiati e una bambina li guarda e si aggira mentre rastrellano.</v>
      </c>
    </row>
    <row r="35587">
      <c r="A35587" s="4" t="s">
        <v>44768</v>
      </c>
      <c r="B35587" s="4" t="s">
        <v>44771</v>
      </c>
      <c r="C35587" s="5" t="str">
        <f>IFERROR(__xludf.DUMMYFUNCTION("GOOGLETRANSLATE(B35587,""en"",""it"")"),"I due ragazzi iniziano a rastrellare a destra del prato e la bambina corre dietro di loro.")</f>
        <v>I due ragazzi iniziano a rastrellare a destra del prato e la bambina corre dietro di loro.</v>
      </c>
    </row>
    <row r="35588">
      <c r="A35588" s="4" t="s">
        <v>44768</v>
      </c>
      <c r="B35588" s="4" t="s">
        <v>44772</v>
      </c>
      <c r="C35588" s="5" t="str">
        <f>IFERROR(__xludf.DUMMYFUNCTION("GOOGLETRANSLATE(B35588,""en"",""it"")"),"I ragazzi quindi si girano e iniziano a rastrellare sul lato destro del prato.")</f>
        <v>I ragazzi quindi si girano e iniziano a rastrellare sul lato destro del prato.</v>
      </c>
    </row>
    <row r="35589">
      <c r="A35589" s="4" t="s">
        <v>44773</v>
      </c>
      <c r="B35589" s="6" t="s">
        <v>44774</v>
      </c>
      <c r="C35589" s="5" t="str">
        <f>IFERROR(__xludf.DUMMYFUNCTION("GOOGLETRANSLATE(B35589,""en"",""it"")"),"Little Kid è in piedi in una piscina che dà un secchio giallo nell'acqua e altri peolpe è seduto in panchina intorno alla piscina.")</f>
        <v>Little Kid è in piedi in una piscina che dà un secchio giallo nell'acqua e altri peolpe è seduto in panchina intorno alla piscina.</v>
      </c>
    </row>
    <row r="35590">
      <c r="A35590" s="4" t="s">
        <v>44773</v>
      </c>
      <c r="B35590" s="6" t="s">
        <v>44775</v>
      </c>
      <c r="C35590" s="5" t="str">
        <f>IFERROR(__xludf.DUMMYFUNCTION("GOOGLETRANSLATE(B35590,""en"",""it"")"),"La donna porta la bambina sulla schiena e poi lei è con un uomo e il bambino che va in bicicletta nel parco.")</f>
        <v>La donna porta la bambina sulla schiena e poi lei è con un uomo e il bambino che va in bicicletta nel parco.</v>
      </c>
    </row>
    <row r="35591">
      <c r="A35591" s="4" t="s">
        <v>44773</v>
      </c>
      <c r="B35591" s="4" t="s">
        <v>44776</v>
      </c>
      <c r="C35591" s="5" t="str">
        <f>IFERROR(__xludf.DUMMYFUNCTION("GOOGLETRANSLATE(B35591,""en"",""it"")"),"Kid sta correndo all'interno di un campo da basket tetto.")</f>
        <v>Kid sta correndo all'interno di un campo da basket tetto.</v>
      </c>
    </row>
    <row r="35592">
      <c r="A35592" s="4" t="s">
        <v>44773</v>
      </c>
      <c r="B35592" s="4" t="s">
        <v>44777</v>
      </c>
      <c r="C35592" s="5" t="str">
        <f>IFERROR(__xludf.DUMMYFUNCTION("GOOGLETRANSLATE(B35592,""en"",""it"")"),"Kid è sdraiato con una racchetta da tennis.")</f>
        <v>Kid è sdraiato con una racchetta da tennis.</v>
      </c>
    </row>
    <row r="35593">
      <c r="A35593" s="4" t="s">
        <v>44778</v>
      </c>
      <c r="B35593" s="4" t="s">
        <v>44779</v>
      </c>
      <c r="C35593" s="5" t="str">
        <f>IFERROR(__xludf.DUMMYFUNCTION("GOOGLETRANSLATE(B35593,""en"",""it"")"),"Un ragazzo è in piedi accanto a un parco giochi che salta la corda.")</f>
        <v>Un ragazzo è in piedi accanto a un parco giochi che salta la corda.</v>
      </c>
    </row>
    <row r="35594">
      <c r="A35594" s="4" t="s">
        <v>44778</v>
      </c>
      <c r="B35594" s="4" t="s">
        <v>44780</v>
      </c>
      <c r="C35594" s="5" t="str">
        <f>IFERROR(__xludf.DUMMYFUNCTION("GOOGLETRANSLATE(B35594,""en"",""it"")"),"Una persona sta saltando la corda su un tappetino bianco.")</f>
        <v>Una persona sta saltando la corda su un tappetino bianco.</v>
      </c>
    </row>
    <row r="35595">
      <c r="A35595" s="4" t="s">
        <v>44778</v>
      </c>
      <c r="B35595" s="4" t="s">
        <v>44781</v>
      </c>
      <c r="C35595" s="5" t="str">
        <f>IFERROR(__xludf.DUMMYFUNCTION("GOOGLETRANSLATE(B35595,""en"",""it"")"),"Un uomo si inginocchia a terra di fronte a un tavolo rosso.")</f>
        <v>Un uomo si inginocchia a terra di fronte a un tavolo rosso.</v>
      </c>
    </row>
    <row r="35596">
      <c r="A35596" s="4" t="s">
        <v>44778</v>
      </c>
      <c r="B35596" s="4" t="s">
        <v>44782</v>
      </c>
      <c r="C35596" s="5" t="str">
        <f>IFERROR(__xludf.DUMMYFUNCTION("GOOGLETRANSLATE(B35596,""en"",""it"")"),"Si alza e inizia a saltare la corda.")</f>
        <v>Si alza e inizia a saltare la corda.</v>
      </c>
    </row>
    <row r="35597">
      <c r="A35597" s="4" t="s">
        <v>44783</v>
      </c>
      <c r="B35597" s="4" t="s">
        <v>44784</v>
      </c>
      <c r="C35597" s="5" t="str">
        <f>IFERROR(__xludf.DUMMYFUNCTION("GOOGLETRANSLATE(B35597,""en"",""it"")"),"Un bambino si esibisce sulle doppie barre irregolari, mentre si gira intorno alle barre.")</f>
        <v>Un bambino si esibisce sulle doppie barre irregolari, mentre si gira intorno alle barre.</v>
      </c>
    </row>
    <row r="35598">
      <c r="A35598" s="4" t="s">
        <v>44783</v>
      </c>
      <c r="B35598" s="4" t="s">
        <v>44785</v>
      </c>
      <c r="C35598" s="5" t="str">
        <f>IFERROR(__xludf.DUMMYFUNCTION("GOOGLETRANSLATE(B35598,""en"",""it"")"),"Quindi, il bambino si lancia e la terra si trova sul pavimento, quindi cammina.")</f>
        <v>Quindi, il bambino si lancia e la terra si trova sul pavimento, quindi cammina.</v>
      </c>
    </row>
    <row r="35599">
      <c r="A35599" s="4" t="s">
        <v>44786</v>
      </c>
      <c r="B35599" s="6" t="s">
        <v>44787</v>
      </c>
      <c r="C35599" s="5" t="str">
        <f>IFERROR(__xludf.DUMMYFUNCTION("GOOGLETRANSLATE(B35599,""en"",""it"")"),"Il video conduce in diverse clip di binari che saltano su una barra con il loro salto mostrato di nuovo al rallentatore.")</f>
        <v>Il video conduce in diverse clip di binari che saltano su una barra con il loro salto mostrato di nuovo al rallentatore.</v>
      </c>
    </row>
    <row r="35600">
      <c r="A35600" s="4" t="s">
        <v>44786</v>
      </c>
      <c r="B35600" s="6" t="s">
        <v>44788</v>
      </c>
      <c r="C35600" s="5" t="str">
        <f>IFERROR(__xludf.DUMMYFUNCTION("GOOGLETRANSLATE(B35600,""en"",""it"")"),"Diverse altre persone vengono mostrate saltare sopra la barra con uno che colpisce la barra e non salta.")</f>
        <v>Diverse altre persone vengono mostrate saltare sopra la barra con uno che colpisce la barra e non salta.</v>
      </c>
    </row>
    <row r="35601">
      <c r="A35601" s="4" t="s">
        <v>44789</v>
      </c>
      <c r="B35601" s="4" t="s">
        <v>44790</v>
      </c>
      <c r="C35601" s="5" t="str">
        <f>IFERROR(__xludf.DUMMYFUNCTION("GOOGLETRANSLATE(B35601,""en"",""it"")"),"Un ragazzo si siede al volante dell'auto, guidando e parlando con gli altri passeggeri in macchina.")</f>
        <v>Un ragazzo si siede al volante dell'auto, guidando e parlando con gli altri passeggeri in macchina.</v>
      </c>
    </row>
    <row r="35602">
      <c r="A35602" s="4" t="s">
        <v>44789</v>
      </c>
      <c r="B35602" s="6" t="s">
        <v>44791</v>
      </c>
      <c r="C35602" s="5" t="str">
        <f>IFERROR(__xludf.DUMMYFUNCTION("GOOGLETRANSLATE(B35602,""en"",""it"")"),"L'auto viaggia lungo un'autostrada tortuosa mentre la telecamera piovana tra le persone che parlano in quel momento.")</f>
        <v>L'auto viaggia lungo un'autostrada tortuosa mentre la telecamera piovana tra le persone che parlano in quel momento.</v>
      </c>
    </row>
    <row r="35603">
      <c r="A35603" s="4" t="s">
        <v>44789</v>
      </c>
      <c r="B35603" s="6" t="s">
        <v>44792</v>
      </c>
      <c r="C35603" s="5" t="str">
        <f>IFERROR(__xludf.DUMMYFUNCTION("GOOGLETRANSLATE(B35603,""en"",""it"")"),"Le persone in macchina alla fine arrivano su un pendio innevato dove indossano l'abbigliamento da sci e iniziano a sciare sulle piste slip, scendendo giù per le colline e saltando giù da piattaforme elevate.")</f>
        <v>Le persone in macchina alla fine arrivano su un pendio innevato dove indossano l'abbigliamento da sci e iniziano a sciare sulle piste slip, scendendo giù per le colline e saltando giù da piattaforme elevate.</v>
      </c>
    </row>
    <row r="35604">
      <c r="A35604" s="4" t="s">
        <v>44789</v>
      </c>
      <c r="B35604" s="4" t="s">
        <v>44793</v>
      </c>
      <c r="C35604" s="5" t="str">
        <f>IFERROR(__xludf.DUMMYFUNCTION("GOOGLETRANSLATE(B35604,""en"",""it"")"),"Ad un certo punto i ragazzi cadono a terra e si aggancia nella posizione fetale sulla neve.")</f>
        <v>Ad un certo punto i ragazzi cadono a terra e si aggancia nella posizione fetale sulla neve.</v>
      </c>
    </row>
    <row r="35605">
      <c r="A35605" s="4" t="s">
        <v>44789</v>
      </c>
      <c r="B35605" s="6" t="s">
        <v>44794</v>
      </c>
      <c r="C35605" s="5" t="str">
        <f>IFERROR(__xludf.DUMMYFUNCTION("GOOGLETRANSLATE(B35605,""en"",""it"")"),"La scena quindi taglia i ragazzi a casa in cucina Peparing cose con un'immagine finale di un ragazzo in piedi nel bosco coperto di neve che parla alla telecamera.")</f>
        <v>La scena quindi taglia i ragazzi a casa in cucina Peparing cose con un'immagine finale di un ragazzo in piedi nel bosco coperto di neve che parla alla telecamera.</v>
      </c>
    </row>
    <row r="35606">
      <c r="A35606" s="4" t="s">
        <v>44795</v>
      </c>
      <c r="B35606" s="4" t="s">
        <v>44796</v>
      </c>
      <c r="C35606" s="5" t="str">
        <f>IFERROR(__xludf.DUMMYFUNCTION("GOOGLETRANSLATE(B35606,""en"",""it"")"),"Un piccolo gruppo di persone è visto in palestra con un uomo che porta davanti.")</f>
        <v>Un piccolo gruppo di persone è visto in palestra con un uomo che porta davanti.</v>
      </c>
    </row>
    <row r="35607">
      <c r="A35607" s="4" t="s">
        <v>44795</v>
      </c>
      <c r="B35607" s="4" t="s">
        <v>44797</v>
      </c>
      <c r="C35607" s="5" t="str">
        <f>IFERROR(__xludf.DUMMYFUNCTION("GOOGLETRANSLATE(B35607,""en"",""it"")"),"L'uomo guida il gruppo in una classe di allenamento che coinvolge un raggio sul pavimento.")</f>
        <v>L'uomo guida il gruppo in una classe di allenamento che coinvolge un raggio sul pavimento.</v>
      </c>
    </row>
    <row r="35608">
      <c r="A35608" s="4" t="s">
        <v>44795</v>
      </c>
      <c r="B35608" s="4" t="s">
        <v>44798</v>
      </c>
      <c r="C35608" s="5" t="str">
        <f>IFERROR(__xludf.DUMMYFUNCTION("GOOGLETRANSLATE(B35608,""en"",""it"")"),"La gente si muove su e giù per il raggio mentre l'uomo si imbatte e sorride al gruppo.")</f>
        <v>La gente si muove su e giù per il raggio mentre l'uomo si imbatte e sorride al gruppo.</v>
      </c>
    </row>
    <row r="35609">
      <c r="A35609" s="4" t="s">
        <v>44799</v>
      </c>
      <c r="B35609" s="4" t="s">
        <v>44800</v>
      </c>
      <c r="C35609" s="5" t="str">
        <f>IFERROR(__xludf.DUMMYFUNCTION("GOOGLETRANSLATE(B35609,""en"",""it"")"),"Una ginnasta corre, quindi si lancia più volte lungo una pista interna.")</f>
        <v>Una ginnasta corre, quindi si lancia più volte lungo una pista interna.</v>
      </c>
    </row>
    <row r="35610">
      <c r="A35610" s="4" t="s">
        <v>44799</v>
      </c>
      <c r="B35610" s="4" t="s">
        <v>44801</v>
      </c>
      <c r="C35610" s="5" t="str">
        <f>IFERROR(__xludf.DUMMYFUNCTION("GOOGLETRANSLATE(B35610,""en"",""it"")"),"Altre ragazze seguono l'esempio, lanciando rapidamente mentre vanno.")</f>
        <v>Altre ragazze seguono l'esempio, lanciando rapidamente mentre vanno.</v>
      </c>
    </row>
    <row r="35611">
      <c r="A35611" s="4" t="s">
        <v>44799</v>
      </c>
      <c r="B35611" s="4" t="s">
        <v>44802</v>
      </c>
      <c r="C35611" s="5" t="str">
        <f>IFERROR(__xludf.DUMMYFUNCTION("GOOGLETRANSLATE(B35611,""en"",""it"")"),"Smontano alla fine, braccia in aria.")</f>
        <v>Smontano alla fine, braccia in aria.</v>
      </c>
    </row>
    <row r="35612">
      <c r="A35612" s="4" t="s">
        <v>44803</v>
      </c>
      <c r="B35612" s="6" t="s">
        <v>44804</v>
      </c>
      <c r="C35612" s="5" t="str">
        <f>IFERROR(__xludf.DUMMYFUNCTION("GOOGLETRANSLATE(B35612,""en"",""it"")"),"Un bambino biondo con i capelli grandi si siede in un tavolo e tiene un occhio di contatto e gli mette i contatti sugli occhi.")</f>
        <v>Un bambino biondo con i capelli grandi si siede in un tavolo e tiene un occhio di contatto e gli mette i contatti sugli occhi.</v>
      </c>
    </row>
    <row r="35613">
      <c r="A35613" s="4" t="s">
        <v>44803</v>
      </c>
      <c r="B35613" s="6" t="s">
        <v>44805</v>
      </c>
      <c r="C35613" s="5" t="str">
        <f>IFERROR(__xludf.DUMMYFUNCTION("GOOGLETRANSLATE(B35613,""en"",""it"")"),"Little Kid sta parlando con la telecamera ed è in un tavolo che indossa una divisa rossa che mette le lenti a contatto sugli occhi.")</f>
        <v>Little Kid sta parlando con la telecamera ed è in un tavolo che indossa una divisa rossa che mette le lenti a contatto sugli occhi.</v>
      </c>
    </row>
    <row r="35614">
      <c r="A35614" s="4" t="s">
        <v>44806</v>
      </c>
      <c r="B35614" s="4" t="s">
        <v>44807</v>
      </c>
      <c r="C35614" s="5" t="str">
        <f>IFERROR(__xludf.DUMMYFUNCTION("GOOGLETRANSLATE(B35614,""en"",""it"")"),"L'uomo corre in una palestra coperta e fa un salto in alto.")</f>
        <v>L'uomo corre in una palestra coperta e fa un salto in alto.</v>
      </c>
    </row>
    <row r="35615">
      <c r="A35615" s="4" t="s">
        <v>44806</v>
      </c>
      <c r="B35615" s="4" t="s">
        <v>44808</v>
      </c>
      <c r="C35615" s="5" t="str">
        <f>IFERROR(__xludf.DUMMYFUNCTION("GOOGLETRANSLATE(B35615,""en"",""it"")"),"L'uomo sta facendo una capriola in una palestra coperta.")</f>
        <v>L'uomo sta facendo una capriola in una palestra coperta.</v>
      </c>
    </row>
    <row r="35616">
      <c r="A35616" s="4" t="s">
        <v>44806</v>
      </c>
      <c r="B35616" s="4" t="s">
        <v>44809</v>
      </c>
      <c r="C35616" s="5" t="str">
        <f>IFERROR(__xludf.DUMMYFUNCTION("GOOGLETRANSLATE(B35616,""en"",""it"")"),"Due donne sono in palestra dall'uomo che salta.")</f>
        <v>Due donne sono in palestra dall'uomo che salta.</v>
      </c>
    </row>
    <row r="35617">
      <c r="A35617" s="4" t="s">
        <v>44806</v>
      </c>
      <c r="B35617" s="4" t="s">
        <v>44810</v>
      </c>
      <c r="C35617" s="5" t="str">
        <f>IFERROR(__xludf.DUMMYFUNCTION("GOOGLETRANSLATE(B35617,""en"",""it"")"),"L'uomo sta facendo una capriola in una palestra coperta in una pista.")</f>
        <v>L'uomo sta facendo una capriola in una palestra coperta in una pista.</v>
      </c>
    </row>
    <row r="35618">
      <c r="A35618" s="4" t="s">
        <v>44811</v>
      </c>
      <c r="B35618" s="6" t="s">
        <v>44812</v>
      </c>
      <c r="C35618" s="5" t="str">
        <f>IFERROR(__xludf.DUMMYFUNCTION("GOOGLETRANSLATE(B35618,""en"",""it"")"),"C'è una ginnasta da ragazza vestita con body viola che fanno gite su una barretta di cavalli in un grande stadio interno pieno di spettatori.")</f>
        <v>C'è una ginnasta da ragazza vestita con body viola che fanno gite su una barretta di cavalli in un grande stadio interno pieno di spettatori.</v>
      </c>
    </row>
    <row r="35619">
      <c r="A35619" s="4" t="s">
        <v>44811</v>
      </c>
      <c r="B35619" s="4" t="s">
        <v>44813</v>
      </c>
      <c r="C35619" s="5" t="str">
        <f>IFERROR(__xludf.DUMMYFUNCTION("GOOGLETRANSLATE(B35619,""en"",""it"")"),"Continua a fare giri anteriori e girare il suo corpo sulla barra del cavallo.")</f>
        <v>Continua a fare giri anteriori e girare il suo corpo sulla barra del cavallo.</v>
      </c>
    </row>
    <row r="35620">
      <c r="A35620" s="4" t="s">
        <v>44811</v>
      </c>
      <c r="B35620" s="6" t="s">
        <v>44814</v>
      </c>
      <c r="C35620" s="5" t="str">
        <f>IFERROR(__xludf.DUMMYFUNCTION("GOOGLETRANSLATE(B35620,""en"",""it"")"),"Cammina per l'intero bar e poi alla fine salta giù dalla barra del cavallo per terminare con successo.")</f>
        <v>Cammina per l'intero bar e poi alla fine salta giù dalla barra del cavallo per terminare con successo.</v>
      </c>
    </row>
    <row r="35621">
      <c r="A35621" s="4" t="s">
        <v>44811</v>
      </c>
      <c r="B35621" s="4" t="s">
        <v>44815</v>
      </c>
      <c r="C35621" s="5" t="str">
        <f>IFERROR(__xludf.DUMMYFUNCTION("GOOGLETRANSLATE(B35621,""en"",""it"")"),"Mentre salta giù e si allontana, la folla esulta e applaude ad alta voce.")</f>
        <v>Mentre salta giù e si allontana, la folla esulta e applaude ad alta voce.</v>
      </c>
    </row>
    <row r="35622">
      <c r="A35622" s="4" t="s">
        <v>44816</v>
      </c>
      <c r="B35622" s="4" t="s">
        <v>44817</v>
      </c>
      <c r="C35622" s="5" t="str">
        <f>IFERROR(__xludf.DUMMYFUNCTION("GOOGLETRANSLATE(B35622,""en"",""it"")"),"Viene mostrata una zattera blu e viene mostrato un gruppo di persone che li vomita in una pila.")</f>
        <v>Viene mostrata una zattera blu e viene mostrato un gruppo di persone che li vomita in una pila.</v>
      </c>
    </row>
    <row r="35623">
      <c r="A35623" s="4" t="s">
        <v>44816</v>
      </c>
      <c r="B35623" s="6" t="s">
        <v>44818</v>
      </c>
      <c r="C35623" s="5" t="str">
        <f>IFERROR(__xludf.DUMMYFUNCTION("GOOGLETRANSLATE(B35623,""en"",""it"")"),"Infine, sono per l'acqua e circa otto di loro sono seduti sulla zattera che viaggiano nell'acqua.")</f>
        <v>Infine, sono per l'acqua e circa otto di loro sono seduti sulla zattera che viaggiano nell'acqua.</v>
      </c>
    </row>
    <row r="35624">
      <c r="A35624" s="4" t="s">
        <v>44816</v>
      </c>
      <c r="B35624" s="4" t="s">
        <v>44819</v>
      </c>
      <c r="C35624" s="5" t="str">
        <f>IFERROR(__xludf.DUMMYFUNCTION("GOOGLETRANSLATE(B35624,""en"",""it"")"),"Dopo una certa distanza, incontrano una roccia e una grande onda e si spostano tutti dalla zattera.")</f>
        <v>Dopo una certa distanza, incontrano una roccia e una grande onda e si spostano tutti dalla zattera.</v>
      </c>
    </row>
    <row r="35625">
      <c r="A35625" s="4" t="s">
        <v>44816</v>
      </c>
      <c r="B35625" s="6" t="s">
        <v>44820</v>
      </c>
      <c r="C35625" s="5" t="str">
        <f>IFERROR(__xludf.DUMMYFUNCTION("GOOGLETRANSLATE(B35625,""en"",""it"")"),"Il rafting continua e alla fine sono tutti mostrati in piedi fuori in un campo in un grande cerchio che parla e beve un lavoro ben fatto.")</f>
        <v>Il rafting continua e alla fine sono tutti mostrati in piedi fuori in un campo in un grande cerchio che parla e beve un lavoro ben fatto.</v>
      </c>
    </row>
    <row r="35626">
      <c r="A35626" s="4" t="s">
        <v>44821</v>
      </c>
      <c r="B35626" s="4" t="s">
        <v>44822</v>
      </c>
      <c r="C35626" s="5" t="str">
        <f>IFERROR(__xludf.DUMMYFUNCTION("GOOGLETRANSLATE(B35626,""en"",""it"")"),"Le donne giocano a pallavolo fuori.")</f>
        <v>Le donne giocano a pallavolo fuori.</v>
      </c>
    </row>
    <row r="35627">
      <c r="A35627" s="4" t="s">
        <v>44821</v>
      </c>
      <c r="B35627" s="4" t="s">
        <v>44823</v>
      </c>
      <c r="C35627" s="5" t="str">
        <f>IFERROR(__xludf.DUMMYFUNCTION("GOOGLETRANSLATE(B35627,""en"",""it"")"),"Una femmina colpisce la palla due volte.")</f>
        <v>Una femmina colpisce la palla due volte.</v>
      </c>
    </row>
    <row r="35628">
      <c r="A35628" s="4" t="s">
        <v>44821</v>
      </c>
      <c r="B35628" s="4" t="s">
        <v>44824</v>
      </c>
      <c r="C35628" s="5" t="str">
        <f>IFERROR(__xludf.DUMMYFUNCTION("GOOGLETRANSLATE(B35628,""en"",""it"")"),"Una signora tocca il braccio di un compagno di squadra.")</f>
        <v>Una signora tocca il braccio di un compagno di squadra.</v>
      </c>
    </row>
    <row r="35629">
      <c r="A35629" s="4" t="s">
        <v>44825</v>
      </c>
      <c r="B35629" s="4" t="s">
        <v>44826</v>
      </c>
      <c r="C35629" s="5" t="str">
        <f>IFERROR(__xludf.DUMMYFUNCTION("GOOGLETRANSLATE(B35629,""en"",""it"")"),"Un allenatore allinea un gruppo di adolescenti in un campo da basket, l'adolescente in testa tiene una palla da basket.")</f>
        <v>Un allenatore allinea un gruppo di adolescenti in un campo da basket, l'adolescente in testa tiene una palla da basket.</v>
      </c>
    </row>
    <row r="35630">
      <c r="A35630" s="4" t="s">
        <v>44825</v>
      </c>
      <c r="B35630" s="6" t="s">
        <v>44827</v>
      </c>
      <c r="C35630" s="5" t="str">
        <f>IFERROR(__xludf.DUMMYFUNCTION("GOOGLETRANSLATE(B35630,""en"",""it"")"),"Tre adolescenti corrono e un ragazzo lancia il basket sul cestino, quindi il secondo adolescente afferra la palla e passa la palla a due adolescenti che contestano per avere la palla.")</f>
        <v>Tre adolescenti corrono e un ragazzo lancia il basket sul cestino, quindi il secondo adolescente afferra la palla e passa la palla a due adolescenti che contestano per avere la palla.</v>
      </c>
    </row>
    <row r="35631">
      <c r="A35631" s="4" t="s">
        <v>44825</v>
      </c>
      <c r="B35631" s="4" t="s">
        <v>44828</v>
      </c>
      <c r="C35631" s="5" t="str">
        <f>IFERROR(__xludf.DUMMYFUNCTION("GOOGLETRANSLATE(B35631,""en"",""it"")"),"Quindi, altri tre ragazzi corrono per praticare gli stessi passaggi.")</f>
        <v>Quindi, altri tre ragazzi corrono per praticare gli stessi passaggi.</v>
      </c>
    </row>
    <row r="35632">
      <c r="A35632" s="4" t="s">
        <v>44825</v>
      </c>
      <c r="B35632" s="4" t="s">
        <v>44829</v>
      </c>
      <c r="C35632" s="5" t="str">
        <f>IFERROR(__xludf.DUMMYFUNCTION("GOOGLETRANSLATE(B35632,""en"",""it"")"),"Un giovane che indossa una maglietta gialla pratica il basket sull'altro goal di basket.")</f>
        <v>Un giovane che indossa una maglietta gialla pratica il basket sull'altro goal di basket.</v>
      </c>
    </row>
    <row r="35633">
      <c r="A35633" s="4" t="s">
        <v>44825</v>
      </c>
      <c r="B35633" s="4" t="s">
        <v>44830</v>
      </c>
      <c r="C35633" s="5" t="str">
        <f>IFERROR(__xludf.DUMMYFUNCTION("GOOGLETRANSLATE(B35633,""en"",""it"")"),"Dopo, un gruppo di tre ragazzi corre per praticare le riprese e il blocco del basket.")</f>
        <v>Dopo, un gruppo di tre ragazzi corre per praticare le riprese e il blocco del basket.</v>
      </c>
    </row>
    <row r="35634">
      <c r="A35634" s="4" t="s">
        <v>44831</v>
      </c>
      <c r="B35634" s="4" t="s">
        <v>44832</v>
      </c>
      <c r="C35634" s="5" t="str">
        <f>IFERROR(__xludf.DUMMYFUNCTION("GOOGLETRANSLATE(B35634,""en"",""it"")"),"Un atleta è in piedi su un campo.")</f>
        <v>Un atleta è in piedi su un campo.</v>
      </c>
    </row>
    <row r="35635">
      <c r="A35635" s="4" t="s">
        <v>44831</v>
      </c>
      <c r="B35635" s="4" t="s">
        <v>44833</v>
      </c>
      <c r="C35635" s="5" t="str">
        <f>IFERROR(__xludf.DUMMYFUNCTION("GOOGLETRANSLATE(B35635,""en"",""it"")"),"Tiene in mano una grande sfera in acciaio.")</f>
        <v>Tiene in mano una grande sfera in acciaio.</v>
      </c>
    </row>
    <row r="35636">
      <c r="A35636" s="4" t="s">
        <v>44831</v>
      </c>
      <c r="B35636" s="4" t="s">
        <v>44834</v>
      </c>
      <c r="C35636" s="5" t="str">
        <f>IFERROR(__xludf.DUMMYFUNCTION("GOOGLETRANSLATE(B35636,""en"",""it"")"),"Si gira e lancia la palla, quindi cammina per la pista in attesa del suo prossimo turno.")</f>
        <v>Si gira e lancia la palla, quindi cammina per la pista in attesa del suo prossimo turno.</v>
      </c>
    </row>
    <row r="35637">
      <c r="A35637" s="4" t="s">
        <v>44835</v>
      </c>
      <c r="B35637" s="4" t="s">
        <v>44836</v>
      </c>
      <c r="C35637" s="5" t="str">
        <f>IFERROR(__xludf.DUMMYFUNCTION("GOOGLETRANSLATE(B35637,""en"",""it"")"),"Ci sono alcune persone che giocano a croquet nel loro cortile coperto di foglie autunnali.")</f>
        <v>Ci sono alcune persone che giocano a croquet nel loro cortile coperto di foglie autunnali.</v>
      </c>
    </row>
    <row r="35638">
      <c r="A35638" s="4" t="s">
        <v>44835</v>
      </c>
      <c r="B35638" s="4" t="s">
        <v>44837</v>
      </c>
      <c r="C35638" s="5" t="str">
        <f>IFERROR(__xludf.DUMMYFUNCTION("GOOGLETRANSLATE(B35638,""en"",""it"")"),"C'è un adolescente e una ragazza adolescente che gioca a croquet su alcune tavole di legno.")</f>
        <v>C'è un adolescente e una ragazza adolescente che gioca a croquet su alcune tavole di legno.</v>
      </c>
    </row>
    <row r="35639">
      <c r="A35639" s="4" t="s">
        <v>44835</v>
      </c>
      <c r="B35639" s="4" t="s">
        <v>44838</v>
      </c>
      <c r="C35639" s="5" t="str">
        <f>IFERROR(__xludf.DUMMYFUNCTION("GOOGLETRANSLATE(B35639,""en"",""it"")"),"Usano il loro martello di legno per colpire la palla lungo le assi di legno.")</f>
        <v>Usano il loro martello di legno per colpire la palla lungo le assi di legno.</v>
      </c>
    </row>
    <row r="35640">
      <c r="A35640" s="4" t="s">
        <v>44835</v>
      </c>
      <c r="B35640" s="4" t="s">
        <v>44839</v>
      </c>
      <c r="C35640" s="5" t="str">
        <f>IFERROR(__xludf.DUMMYFUNCTION("GOOGLETRANSLATE(B35640,""en"",""it"")"),"Un altro gruppo di giovani adolescenti sta anche giocando a croquet nel cortile.")</f>
        <v>Un altro gruppo di giovani adolescenti sta anche giocando a croquet nel cortile.</v>
      </c>
    </row>
    <row r="35641">
      <c r="A35641" s="4" t="s">
        <v>44835</v>
      </c>
      <c r="B35641" s="4" t="s">
        <v>44840</v>
      </c>
      <c r="C35641" s="5" t="str">
        <f>IFERROR(__xludf.DUMMYFUNCTION("GOOGLETRANSLATE(B35641,""en"",""it"")"),"Una delle adolescenti che indossa una camicia gialla finge che il suo martello sia una chitarra e la suona.")</f>
        <v>Una delle adolescenti che indossa una camicia gialla finge che il suo martello sia una chitarra e la suona.</v>
      </c>
    </row>
    <row r="35642">
      <c r="A35642" s="4" t="s">
        <v>44835</v>
      </c>
      <c r="B35642" s="6" t="s">
        <v>44841</v>
      </c>
      <c r="C35642" s="5" t="str">
        <f>IFERROR(__xludf.DUMMYFUNCTION("GOOGLETRANSLATE(B35642,""en"",""it"")"),"Gli adolescenti continuano a giocare a croquet mentre si alternano per colpire la palla con il martello mentre un altro ragazzo gioca con un gatto bianco e nero.")</f>
        <v>Gli adolescenti continuano a giocare a croquet mentre si alternano per colpire la palla con il martello mentre un altro ragazzo gioca con un gatto bianco e nero.</v>
      </c>
    </row>
    <row r="35643">
      <c r="A35643" s="4" t="s">
        <v>44835</v>
      </c>
      <c r="B35643" s="4" t="s">
        <v>44842</v>
      </c>
      <c r="C35643" s="5" t="str">
        <f>IFERROR(__xludf.DUMMYFUNCTION("GOOGLETRANSLATE(B35643,""en"",""it"")"),"Gli adolescenti continuano a giocare mentre il gatto li osserva.")</f>
        <v>Gli adolescenti continuano a giocare mentre il gatto li osserva.</v>
      </c>
    </row>
    <row r="35644">
      <c r="A35644" s="4" t="s">
        <v>44835</v>
      </c>
      <c r="B35644" s="4" t="s">
        <v>44843</v>
      </c>
      <c r="C35644" s="5" t="str">
        <f>IFERROR(__xludf.DUMMYFUNCTION("GOOGLETRANSLATE(B35644,""en"",""it"")"),"L'adolescente nella camicia gialla suona con il gatto bianco e nero.")</f>
        <v>L'adolescente nella camicia gialla suona con il gatto bianco e nero.</v>
      </c>
    </row>
    <row r="35645">
      <c r="A35645" s="4" t="s">
        <v>44835</v>
      </c>
      <c r="B35645" s="6" t="s">
        <v>44844</v>
      </c>
      <c r="C35645" s="5" t="str">
        <f>IFERROR(__xludf.DUMMYFUNCTION("GOOGLETRANSLATE(B35645,""en"",""it"")"),"Uno degli adolescenti posa e mira a colpire la palla con il suo martello mentre gli altri due adolescenti lo guardano.")</f>
        <v>Uno degli adolescenti posa e mira a colpire la palla con il suo martello mentre gli altri due adolescenti lo guardano.</v>
      </c>
    </row>
    <row r="35646">
      <c r="A35646" s="4" t="s">
        <v>44835</v>
      </c>
      <c r="B35646" s="4" t="s">
        <v>44845</v>
      </c>
      <c r="C35646" s="5" t="str">
        <f>IFERROR(__xludf.DUMMYFUNCTION("GOOGLETRANSLATE(B35646,""en"",""it"")"),"Continuano a giocare a croquet mentre si alternano per colpire le palle una ad una con le mazze.")</f>
        <v>Continuano a giocare a croquet mentre si alternano per colpire le palle una ad una con le mazze.</v>
      </c>
    </row>
    <row r="35647">
      <c r="A35647" s="4" t="s">
        <v>44835</v>
      </c>
      <c r="B35647" s="6" t="s">
        <v>44846</v>
      </c>
      <c r="C35647" s="5" t="str">
        <f>IFERROR(__xludf.DUMMYFUNCTION("GOOGLETRANSLATE(B35647,""en"",""it"")"),"Uno degli adolescenti poi lascia cadere il mazzuolo mentre gli altri due adolescenti si danno a vicenda.")</f>
        <v>Uno degli adolescenti poi lascia cadere il mazzuolo mentre gli altri due adolescenti si danno a vicenda.</v>
      </c>
    </row>
    <row r="35648">
      <c r="A35648" s="4" t="s">
        <v>44847</v>
      </c>
      <c r="B35648" s="4" t="s">
        <v>44848</v>
      </c>
      <c r="C35648" s="5" t="str">
        <f>IFERROR(__xludf.DUMMYFUNCTION("GOOGLETRANSLATE(B35648,""en"",""it"")"),"Una donna sta mettendo la carta da toeletta su un muro.")</f>
        <v>Una donna sta mettendo la carta da toeletta su un muro.</v>
      </c>
    </row>
    <row r="35649">
      <c r="A35649" s="4" t="s">
        <v>44847</v>
      </c>
      <c r="B35649" s="4" t="s">
        <v>44849</v>
      </c>
      <c r="C35649" s="5" t="str">
        <f>IFERROR(__xludf.DUMMYFUNCTION("GOOGLETRANSLATE(B35649,""en"",""it"")"),"Lei leviga la carta da parati con le mani.")</f>
        <v>Lei leviga la carta da parati con le mani.</v>
      </c>
    </row>
    <row r="35650">
      <c r="A35650" s="4" t="s">
        <v>44847</v>
      </c>
      <c r="B35650" s="4" t="s">
        <v>44850</v>
      </c>
      <c r="C35650" s="5" t="str">
        <f>IFERROR(__xludf.DUMMYFUNCTION("GOOGLETRANSLATE(B35650,""en"",""it"")"),"Sta rotolando la carta da parati sul muro.")</f>
        <v>Sta rotolando la carta da parati sul muro.</v>
      </c>
    </row>
    <row r="35651">
      <c r="A35651" s="4" t="s">
        <v>44851</v>
      </c>
      <c r="B35651" s="4" t="s">
        <v>44852</v>
      </c>
      <c r="C35651" s="5" t="str">
        <f>IFERROR(__xludf.DUMMYFUNCTION("GOOGLETRANSLATE(B35651,""en"",""it"")"),"Un uomo si siede a un tavolo e tiene un cacciavite che lo preme contro il tavolo.")</f>
        <v>Un uomo si siede a un tavolo e tiene un cacciavite che lo preme contro il tavolo.</v>
      </c>
    </row>
    <row r="35652">
      <c r="A35652" s="4" t="s">
        <v>44851</v>
      </c>
      <c r="B35652" s="6" t="s">
        <v>44853</v>
      </c>
      <c r="C35652" s="5" t="str">
        <f>IFERROR(__xludf.DUMMYFUNCTION("GOOGLETRANSLATE(B35652,""en"",""it"")"),"L'uomo prepara il tempo stesso e usa lo strumento del cacciavite per perforare un buco in una lattina di birra piena che spruzza alcuni dei suoi contenuti.")</f>
        <v>L'uomo prepara il tempo stesso e usa lo strumento del cacciavite per perforare un buco in una lattina di birra piena che spruzza alcuni dei suoi contenuti.</v>
      </c>
    </row>
    <row r="35653">
      <c r="A35653" s="4" t="s">
        <v>44851</v>
      </c>
      <c r="B35653" s="4" t="s">
        <v>44854</v>
      </c>
      <c r="C35653" s="5" t="str">
        <f>IFERROR(__xludf.DUMMYFUNCTION("GOOGLETRANSLATE(B35653,""en"",""it"")"),"L'uomo regge la lattina con il buco rivolto verso l'alto.")</f>
        <v>L'uomo regge la lattina con il buco rivolto verso l'alto.</v>
      </c>
    </row>
    <row r="35654">
      <c r="A35654" s="4" t="s">
        <v>44851</v>
      </c>
      <c r="B35654" s="4" t="s">
        <v>44855</v>
      </c>
      <c r="C35654" s="5" t="str">
        <f>IFERROR(__xludf.DUMMYFUNCTION("GOOGLETRANSLATE(B35654,""en"",""it"")"),"L'uomo beve il contenuto della lattina di birra dal buco dopo aver aperto la parte superiore.")</f>
        <v>L'uomo beve il contenuto della lattina di birra dal buco dopo aver aperto la parte superiore.</v>
      </c>
    </row>
    <row r="35655">
      <c r="A35655" s="4" t="s">
        <v>44856</v>
      </c>
      <c r="B35655" s="4" t="s">
        <v>44857</v>
      </c>
      <c r="C35655" s="5" t="str">
        <f>IFERROR(__xludf.DUMMYFUNCTION("GOOGLETRANSLATE(B35655,""en"",""it"")"),"Un gruppo di persone si trova su un campo di falciatura.")</f>
        <v>Un gruppo di persone si trova su un campo di falciatura.</v>
      </c>
    </row>
    <row r="35656">
      <c r="A35656" s="4" t="s">
        <v>44856</v>
      </c>
      <c r="B35656" s="4" t="s">
        <v>44858</v>
      </c>
      <c r="C35656" s="5" t="str">
        <f>IFERROR(__xludf.DUMMYFUNCTION("GOOGLETRANSLATE(B35656,""en"",""it"")"),"Stanno giocando una partita di croquette.")</f>
        <v>Stanno giocando una partita di croquette.</v>
      </c>
    </row>
    <row r="35657">
      <c r="A35657" s="4" t="s">
        <v>44856</v>
      </c>
      <c r="B35657" s="4" t="s">
        <v>44859</v>
      </c>
      <c r="C35657" s="5" t="str">
        <f>IFERROR(__xludf.DUMMYFUNCTION("GOOGLETRANSLATE(B35657,""en"",""it"")"),"Hanno colpito le palle attraverso i cerchi con mazze.")</f>
        <v>Hanno colpito le palle attraverso i cerchi con mazze.</v>
      </c>
    </row>
    <row r="35658">
      <c r="A35658" s="4" t="s">
        <v>44860</v>
      </c>
      <c r="B35658" s="4" t="s">
        <v>44861</v>
      </c>
      <c r="C35658" s="5" t="str">
        <f>IFERROR(__xludf.DUMMYFUNCTION("GOOGLETRANSLATE(B35658,""en"",""it"")"),"Un ragazzo indossa una bandana e falcia un grande cortile.")</f>
        <v>Un ragazzo indossa una bandana e falcia un grande cortile.</v>
      </c>
    </row>
    <row r="35659">
      <c r="A35659" s="4" t="s">
        <v>44860</v>
      </c>
      <c r="B35659" s="4" t="s">
        <v>44862</v>
      </c>
      <c r="C35659" s="5" t="str">
        <f>IFERROR(__xludf.DUMMYFUNCTION("GOOGLETRANSLATE(B35659,""en"",""it"")"),"Si allontana dalla telecamera mentre spinge il tosaerba.")</f>
        <v>Si allontana dalla telecamera mentre spinge il tosaerba.</v>
      </c>
    </row>
    <row r="35660">
      <c r="A35660" s="4" t="s">
        <v>44860</v>
      </c>
      <c r="B35660" s="4" t="s">
        <v>44863</v>
      </c>
      <c r="C35660" s="5" t="str">
        <f>IFERROR(__xludf.DUMMYFUNCTION("GOOGLETRANSLATE(B35660,""en"",""it"")"),"Poi improvvisamente si ferma, inseguendo la persona con la telecamera e bussandole.")</f>
        <v>Poi improvvisamente si ferma, inseguendo la persona con la telecamera e bussandole.</v>
      </c>
    </row>
    <row r="35661">
      <c r="A35661" s="4" t="s">
        <v>44864</v>
      </c>
      <c r="B35661" s="4" t="s">
        <v>44865</v>
      </c>
      <c r="C35661" s="5" t="str">
        <f>IFERROR(__xludf.DUMMYFUNCTION("GOOGLETRANSLATE(B35661,""en"",""it"")"),"Vediamo un'animazione nella schermata del titolo di apertura.")</f>
        <v>Vediamo un'animazione nella schermata del titolo di apertura.</v>
      </c>
    </row>
    <row r="35662">
      <c r="A35662" s="4" t="s">
        <v>44864</v>
      </c>
      <c r="B35662" s="4" t="s">
        <v>44866</v>
      </c>
      <c r="C35662" s="5" t="str">
        <f>IFERROR(__xludf.DUMMYFUNCTION("GOOGLETRANSLATE(B35662,""en"",""it"")"),"Una persona lava e sbuccia una patata.")</f>
        <v>Una persona lava e sbuccia una patata.</v>
      </c>
    </row>
    <row r="35663">
      <c r="A35663" s="4" t="s">
        <v>44864</v>
      </c>
      <c r="B35663" s="4" t="s">
        <v>44867</v>
      </c>
      <c r="C35663" s="5" t="str">
        <f>IFERROR(__xludf.DUMMYFUNCTION("GOOGLETRANSLATE(B35663,""en"",""it"")"),"La persona sciacqua la persona sciacquare la patata sbucciata in una ciotola.")</f>
        <v>La persona sciacqua la persona sciacquare la patata sbucciata in una ciotola.</v>
      </c>
    </row>
    <row r="35664">
      <c r="A35664" s="4" t="s">
        <v>44864</v>
      </c>
      <c r="B35664" s="4" t="s">
        <v>44868</v>
      </c>
      <c r="C35664" s="5" t="str">
        <f>IFERROR(__xludf.DUMMYFUNCTION("GOOGLETRANSLATE(B35664,""en"",""it"")"),"La persona quindi taglia la patata.")</f>
        <v>La persona quindi taglia la patata.</v>
      </c>
    </row>
    <row r="35665">
      <c r="A35665" s="4" t="s">
        <v>44864</v>
      </c>
      <c r="B35665" s="4" t="s">
        <v>5107</v>
      </c>
      <c r="C35665" s="5" t="str">
        <f>IFERROR(__xludf.DUMMYFUNCTION("GOOGLETRANSLATE(B35665,""en"",""it"")"),"Vediamo quindi la schermata del titolo finale.")</f>
        <v>Vediamo quindi la schermata del titolo finale.</v>
      </c>
    </row>
    <row r="35666">
      <c r="A35666" s="4" t="s">
        <v>44869</v>
      </c>
      <c r="B35666" s="4" t="s">
        <v>44870</v>
      </c>
      <c r="C35666" s="5" t="str">
        <f>IFERROR(__xludf.DUMMYFUNCTION("GOOGLETRANSLATE(B35666,""en"",""it"")"),"Un bambino piccolo viene visto seduto una parte superiore di una scivolata con la lingua che sporge.")</f>
        <v>Un bambino piccolo viene visto seduto una parte superiore di una scivolata con la lingua che sporge.</v>
      </c>
    </row>
    <row r="35667">
      <c r="A35667" s="4" t="s">
        <v>44869</v>
      </c>
      <c r="B35667" s="4" t="s">
        <v>44871</v>
      </c>
      <c r="C35667" s="5" t="str">
        <f>IFERROR(__xludf.DUMMYFUNCTION("GOOGLETRANSLATE(B35667,""en"",""it"")"),"Comincia a scendere dalla diapositiva ma cade di lato e viene visto sdraiarsi sul pavimento.")</f>
        <v>Comincia a scendere dalla diapositiva ma cade di lato e viene visto sdraiarsi sul pavimento.</v>
      </c>
    </row>
    <row r="35668">
      <c r="A35668" s="4" t="s">
        <v>44872</v>
      </c>
      <c r="B35668" s="4" t="s">
        <v>44873</v>
      </c>
      <c r="C35668" s="5" t="str">
        <f>IFERROR(__xludf.DUMMYFUNCTION("GOOGLETRANSLATE(B35668,""en"",""it"")"),"La tecnica generale è mostrata per il lancio di giavellotti.")</f>
        <v>La tecnica generale è mostrata per il lancio di giavellotti.</v>
      </c>
    </row>
    <row r="35669">
      <c r="A35669" s="4" t="s">
        <v>44872</v>
      </c>
      <c r="B35669" s="4" t="s">
        <v>44874</v>
      </c>
      <c r="C35669" s="5" t="str">
        <f>IFERROR(__xludf.DUMMYFUNCTION("GOOGLETRANSLATE(B35669,""en"",""it"")"),"Quindi mostra come farlo con i crossover.")</f>
        <v>Quindi mostra come farlo con i crossover.</v>
      </c>
    </row>
    <row r="35670">
      <c r="A35670" s="4" t="s">
        <v>44875</v>
      </c>
      <c r="B35670" s="4" t="s">
        <v>44876</v>
      </c>
      <c r="C35670" s="5" t="str">
        <f>IFERROR(__xludf.DUMMYFUNCTION("GOOGLETRANSLATE(B35670,""en"",""it"")"),"Si vede un primo piano di un tavolo da biliardo seguito da un uomo che colpisce una palla.")</f>
        <v>Si vede un primo piano di un tavolo da biliardo seguito da un uomo che colpisce una palla.</v>
      </c>
    </row>
    <row r="35671">
      <c r="A35671" s="4" t="s">
        <v>44875</v>
      </c>
      <c r="B35671" s="4" t="s">
        <v>44877</v>
      </c>
      <c r="C35671" s="5" t="str">
        <f>IFERROR(__xludf.DUMMYFUNCTION("GOOGLETRANSLATE(B35671,""en"",""it"")"),"Un altro uomo si fa avanti con la piscina per puntare il suo tiro e colpisce le palle.")</f>
        <v>Un altro uomo si fa avanti con la piscina per puntare il suo tiro e colpisce le palle.</v>
      </c>
    </row>
    <row r="35672">
      <c r="A35672" s="4" t="s">
        <v>44875</v>
      </c>
      <c r="B35672" s="6" t="s">
        <v>44878</v>
      </c>
      <c r="C35672" s="5" t="str">
        <f>IFERROR(__xludf.DUMMYFUNCTION("GOOGLETRANSLATE(B35672,""en"",""it"")"),"Gli uomini tornano indietro e la quarta piscina giocando fino a quando si vince e la telecamera si lancia a un uomo che guarda.")</f>
        <v>Gli uomini tornano indietro e la quarta piscina giocando fino a quando si vince e la telecamera si lancia a un uomo che guarda.</v>
      </c>
    </row>
    <row r="35673">
      <c r="A35673" s="4" t="s">
        <v>44879</v>
      </c>
      <c r="B35673" s="4" t="s">
        <v>44880</v>
      </c>
      <c r="C35673" s="5" t="str">
        <f>IFERROR(__xludf.DUMMYFUNCTION("GOOGLETRANSLATE(B35673,""en"",""it"")"),"Un giovane è visto seduto davanti a uno strumento con un altro seduto su un set di tamburi.")</f>
        <v>Un giovane è visto seduto davanti a uno strumento con un altro seduto su un set di tamburi.</v>
      </c>
    </row>
    <row r="35674">
      <c r="A35674" s="4" t="s">
        <v>44879</v>
      </c>
      <c r="B35674" s="4" t="s">
        <v>44881</v>
      </c>
      <c r="C35674" s="5" t="str">
        <f>IFERROR(__xludf.DUMMYFUNCTION("GOOGLETRANSLATE(B35674,""en"",""it"")"),"L'uomo si muove si attacca mentre guarda in lontananza e inizia a giocare.")</f>
        <v>L'uomo si muove si attacca mentre guarda in lontananza e inizia a giocare.</v>
      </c>
    </row>
    <row r="35675">
      <c r="A35675" s="4" t="s">
        <v>44879</v>
      </c>
      <c r="B35675" s="4" t="s">
        <v>44882</v>
      </c>
      <c r="C35675" s="5" t="str">
        <f>IFERROR(__xludf.DUMMYFUNCTION("GOOGLETRANSLATE(B35675,""en"",""it"")"),"Un altro ragazzo entra e fuori dalla cornice e inizia a cantare in un microfono.")</f>
        <v>Un altro ragazzo entra e fuori dalla cornice e inizia a cantare in un microfono.</v>
      </c>
    </row>
    <row r="35676">
      <c r="A35676" s="4" t="s">
        <v>44883</v>
      </c>
      <c r="B35676" s="4" t="s">
        <v>44884</v>
      </c>
      <c r="C35676" s="5" t="str">
        <f>IFERROR(__xludf.DUMMYFUNCTION("GOOGLETRANSLATE(B35676,""en"",""it"")"),"Uno sciatore tiene uno sci nella mano sinistra e un palo nella mano destra.")</f>
        <v>Uno sciatore tiene uno sci nella mano sinistra e un palo nella mano destra.</v>
      </c>
    </row>
    <row r="35677">
      <c r="A35677" s="4" t="s">
        <v>44883</v>
      </c>
      <c r="B35677" s="4" t="s">
        <v>44885</v>
      </c>
      <c r="C35677" s="5" t="str">
        <f>IFERROR(__xludf.DUMMYFUNCTION("GOOGLETRANSLATE(B35677,""en"",""it"")"),"Quindi, l'uomo sciare giù per la collina coperta di neve.")</f>
        <v>Quindi, l'uomo sciare giù per la collina coperta di neve.</v>
      </c>
    </row>
    <row r="35678">
      <c r="A35678" s="4" t="s">
        <v>44883</v>
      </c>
      <c r="B35678" s="4" t="s">
        <v>44886</v>
      </c>
      <c r="C35678" s="5" t="str">
        <f>IFERROR(__xludf.DUMMYFUNCTION("GOOGLETRANSLATE(B35678,""en"",""it"")"),"L'uomo si ferma in mezzo alla collina.")</f>
        <v>L'uomo si ferma in mezzo alla collina.</v>
      </c>
    </row>
    <row r="35679">
      <c r="A35679" s="4" t="s">
        <v>44883</v>
      </c>
      <c r="B35679" s="4" t="s">
        <v>44887</v>
      </c>
      <c r="C35679" s="5" t="str">
        <f>IFERROR(__xludf.DUMMYFUNCTION("GOOGLETRANSLATE(B35679,""en"",""it"")"),"Quindi, l'uomo continua a sciare fino a quando non arriva in una città.")</f>
        <v>Quindi, l'uomo continua a sciare fino a quando non arriva in una città.</v>
      </c>
    </row>
    <row r="35680">
      <c r="A35680" s="4" t="s">
        <v>44888</v>
      </c>
      <c r="B35680" s="4" t="s">
        <v>44889</v>
      </c>
      <c r="C35680" s="5" t="str">
        <f>IFERROR(__xludf.DUMMYFUNCTION("GOOGLETRANSLATE(B35680,""en"",""it"")"),"Un uomo è su un campo in cerchio.")</f>
        <v>Un uomo è su un campo in cerchio.</v>
      </c>
    </row>
    <row r="35681">
      <c r="A35681" s="4" t="s">
        <v>44888</v>
      </c>
      <c r="B35681" s="4" t="s">
        <v>44890</v>
      </c>
      <c r="C35681" s="5" t="str">
        <f>IFERROR(__xludf.DUMMYFUNCTION("GOOGLETRANSLATE(B35681,""en"",""it"")"),"Comincia a girare una palla in tondo.")</f>
        <v>Comincia a girare una palla in tondo.</v>
      </c>
    </row>
    <row r="35682">
      <c r="A35682" s="4" t="s">
        <v>44888</v>
      </c>
      <c r="B35682" s="4" t="s">
        <v>44891</v>
      </c>
      <c r="C35682" s="5" t="str">
        <f>IFERROR(__xludf.DUMMYFUNCTION("GOOGLETRANSLATE(B35682,""en"",""it"")"),"Quindi lancia la palla il più possibile, ma cade.")</f>
        <v>Quindi lancia la palla il più possibile, ma cade.</v>
      </c>
    </row>
    <row r="35683">
      <c r="A35683" s="4" t="s">
        <v>44892</v>
      </c>
      <c r="B35683" s="6" t="s">
        <v>44893</v>
      </c>
      <c r="C35683" s="5" t="str">
        <f>IFERROR(__xludf.DUMMYFUNCTION("GOOGLETRANSLATE(B35683,""en"",""it"")"),"Un giovane che giace incline a un pavimento piastrellato con queste mani dietro la testa e le ginocchia piegate di eseguire un sit-up di fronte a alcuni amici.")</f>
        <v>Un giovane che giace incline a un pavimento piastrellato con queste mani dietro la testa e le ginocchia piegate di eseguire un sit-up di fronte a alcuni amici.</v>
      </c>
    </row>
    <row r="35684">
      <c r="A35684" s="4" t="s">
        <v>44892</v>
      </c>
      <c r="B35684" s="6" t="s">
        <v>44894</v>
      </c>
      <c r="C35684" s="5" t="str">
        <f>IFERROR(__xludf.DUMMYFUNCTION("GOOGLETRANSLATE(B35684,""en"",""it"")"),"Mentre porta i gomiti verso le sue ginocchia, si può sentire un forte crepa mentre l'uomo ride, ""questo mi fa male il culo.")</f>
        <v>Mentre porta i gomiti verso le sue ginocchia, si può sentire un forte crepa mentre l'uomo ride, "questo mi fa male il culo.</v>
      </c>
    </row>
    <row r="35685">
      <c r="A35685" s="4" t="s">
        <v>44892</v>
      </c>
      <c r="B35685" s="4" t="s">
        <v>44895</v>
      </c>
      <c r="C35685" s="5" t="str">
        <f>IFERROR(__xludf.DUMMYFUNCTION("GOOGLETRANSLATE(B35685,""en"",""it"")"),"""Tenta un secondo sit-up e con un altro suono cracking, esclama e afferra i glutei.")</f>
        <v>"Tenta un secondo sit-up e con un altro suono cracking, esclama e afferra i glutei.</v>
      </c>
    </row>
    <row r="35686">
      <c r="A35686" s="4" t="s">
        <v>44892</v>
      </c>
      <c r="B35686" s="4" t="s">
        <v>44896</v>
      </c>
      <c r="C35686" s="5" t="str">
        <f>IFERROR(__xludf.DUMMYFUNCTION("GOOGLETRANSLATE(B35686,""en"",""it"")"),"L'uomo dice ""un altro"" e tenta un'altra volta, dopo di che dice: ""È sembrato orribile.")</f>
        <v>L'uomo dice "un altro" e tenta un'altra volta, dopo di che dice: "È sembrato orribile.</v>
      </c>
    </row>
    <row r="35687">
      <c r="A35687" s="4" t="s">
        <v>44892</v>
      </c>
      <c r="B35687" s="6" t="s">
        <v>44897</v>
      </c>
      <c r="C35687" s="5" t="str">
        <f>IFERROR(__xludf.DUMMYFUNCTION("GOOGLETRANSLATE(B35687,""en"",""it"")"),"""L'uomo lotta per altri nove tentativi prima di rinunciare al divertimento dei suoi amici.")</f>
        <v>"L'uomo lotta per altri nove tentativi prima di rinunciare al divertimento dei suoi amici.</v>
      </c>
    </row>
    <row r="35688">
      <c r="A35688" s="4" t="s">
        <v>44898</v>
      </c>
      <c r="B35688" s="4" t="s">
        <v>44899</v>
      </c>
      <c r="C35688" s="5" t="str">
        <f>IFERROR(__xludf.DUMMYFUNCTION("GOOGLETRANSLATE(B35688,""en"",""it"")"),"Viene mostrato un primo piano di una siepe e un uomo che utilizza uno strumento per tagliare la siepe.")</f>
        <v>Viene mostrato un primo piano di una siepe e un uomo che utilizza uno strumento per tagliare la siepe.</v>
      </c>
    </row>
    <row r="35689">
      <c r="A35689" s="4" t="s">
        <v>44898</v>
      </c>
      <c r="B35689" s="4" t="s">
        <v>44900</v>
      </c>
      <c r="C35689" s="5" t="str">
        <f>IFERROR(__xludf.DUMMYFUNCTION("GOOGLETRANSLATE(B35689,""en"",""it"")"),"L'uomo parla alla fotocamera e continua a utilizzare lo strumento sulla copertura.")</f>
        <v>L'uomo parla alla fotocamera e continua a utilizzare lo strumento sulla copertura.</v>
      </c>
    </row>
    <row r="35690">
      <c r="A35690" s="4" t="s">
        <v>44898</v>
      </c>
      <c r="B35690" s="6" t="s">
        <v>44901</v>
      </c>
      <c r="C35690" s="5" t="str">
        <f>IFERROR(__xludf.DUMMYFUNCTION("GOOGLETRANSLATE(B35690,""en"",""it"")"),"Vengono mostrati diversi scatti su ciò che lo circonda e altri strumenti che puoi usare e più erba che viene tagliata.")</f>
        <v>Vengono mostrati diversi scatti su ciò che lo circonda e altri strumenti che puoi usare e più erba che viene tagliata.</v>
      </c>
    </row>
    <row r="35691">
      <c r="A35691" s="4" t="s">
        <v>44902</v>
      </c>
      <c r="B35691" s="4" t="s">
        <v>44903</v>
      </c>
      <c r="C35691" s="5" t="str">
        <f>IFERROR(__xludf.DUMMYFUNCTION("GOOGLETRANSLATE(B35691,""en"",""it"")"),"Un'introduzione porta a un giovane che indossa un berretto da baseball all'indietro che suona la chitarra su un letto.")</f>
        <v>Un'introduzione porta a un giovane che indossa un berretto da baseball all'indietro che suona la chitarra su un letto.</v>
      </c>
    </row>
    <row r="35692">
      <c r="A35692" s="4" t="s">
        <v>44902</v>
      </c>
      <c r="B35692" s="6" t="s">
        <v>44904</v>
      </c>
      <c r="C35692" s="5" t="str">
        <f>IFERROR(__xludf.DUMMYFUNCTION("GOOGLETRANSLATE(B35692,""en"",""it"")"),"L'uomo accarezza le dita su e giù per il collo della chitarra mentre strimpiva la corda e guarda il collo.")</f>
        <v>L'uomo accarezza le dita su e giù per il collo della chitarra mentre strimpiva la corda e guarda il collo.</v>
      </c>
    </row>
    <row r="35693">
      <c r="A35693" s="4" t="s">
        <v>44905</v>
      </c>
      <c r="B35693" s="4" t="s">
        <v>44906</v>
      </c>
      <c r="C35693" s="5" t="str">
        <f>IFERROR(__xludf.DUMMYFUNCTION("GOOGLETRANSLATE(B35693,""en"",""it"")"),"Un uomo è in piedi a un bancone.")</f>
        <v>Un uomo è in piedi a un bancone.</v>
      </c>
    </row>
    <row r="35694">
      <c r="A35694" s="4" t="s">
        <v>44905</v>
      </c>
      <c r="B35694" s="4" t="s">
        <v>44907</v>
      </c>
      <c r="C35694" s="5" t="str">
        <f>IFERROR(__xludf.DUMMYFUNCTION("GOOGLETRANSLATE(B35694,""en"",""it"")"),"Il fronte del negozio viene mostrato alla porta.")</f>
        <v>Il fronte del negozio viene mostrato alla porta.</v>
      </c>
    </row>
    <row r="35695">
      <c r="A35695" s="4" t="s">
        <v>44905</v>
      </c>
      <c r="B35695" s="4" t="s">
        <v>44908</v>
      </c>
      <c r="C35695" s="5" t="str">
        <f>IFERROR(__xludf.DUMMYFUNCTION("GOOGLETRANSLATE(B35695,""en"",""it"")"),"L'uomo è ancora al bancone a parlare.")</f>
        <v>L'uomo è ancora al bancone a parlare.</v>
      </c>
    </row>
    <row r="35696">
      <c r="A35696" s="4" t="s">
        <v>44905</v>
      </c>
      <c r="B35696" s="4" t="s">
        <v>44909</v>
      </c>
      <c r="C35696" s="5" t="str">
        <f>IFERROR(__xludf.DUMMYFUNCTION("GOOGLETRANSLATE(B35696,""en"",""it"")"),"Un uomo è corretto attorno a un percorso con una pistola.")</f>
        <v>Un uomo è corretto attorno a un percorso con una pistola.</v>
      </c>
    </row>
    <row r="35697">
      <c r="A35697" s="4" t="s">
        <v>44905</v>
      </c>
      <c r="B35697" s="4" t="s">
        <v>44910</v>
      </c>
      <c r="C35697" s="5" t="str">
        <f>IFERROR(__xludf.DUMMYFUNCTION("GOOGLETRANSLATE(B35697,""en"",""it"")"),"L'uomo è ancora talkign al bancone.")</f>
        <v>L'uomo è ancora talkign al bancone.</v>
      </c>
    </row>
    <row r="35698">
      <c r="A35698" s="4" t="s">
        <v>44905</v>
      </c>
      <c r="B35698" s="4" t="s">
        <v>44911</v>
      </c>
      <c r="C35698" s="5" t="str">
        <f>IFERROR(__xludf.DUMMYFUNCTION("GOOGLETRANSLATE(B35698,""en"",""it"")"),"Un uomo nel corso sta puntando la sua pistola.")</f>
        <v>Un uomo nel corso sta puntando la sua pistola.</v>
      </c>
    </row>
    <row r="35699">
      <c r="A35699" s="4" t="s">
        <v>44905</v>
      </c>
      <c r="B35699" s="4" t="s">
        <v>44912</v>
      </c>
      <c r="C35699" s="5" t="str">
        <f>IFERROR(__xludf.DUMMYFUNCTION("GOOGLETRANSLATE(B35699,""en"",""it"")"),"L'uomo al bancone mostra una pistola particolare.")</f>
        <v>L'uomo al bancone mostra una pistola particolare.</v>
      </c>
    </row>
    <row r="35700">
      <c r="A35700" s="4" t="s">
        <v>44905</v>
      </c>
      <c r="B35700" s="4" t="s">
        <v>44913</v>
      </c>
      <c r="C35700" s="5" t="str">
        <f>IFERROR(__xludf.DUMMYFUNCTION("GOOGLETRANSLATE(B35700,""en"",""it"")"),"Un uomo al campo sta correndo a mirare e sparare alla sua pistola.")</f>
        <v>Un uomo al campo sta correndo a mirare e sparare alla sua pistola.</v>
      </c>
    </row>
    <row r="35701">
      <c r="A35701" s="4" t="s">
        <v>44905</v>
      </c>
      <c r="B35701" s="4" t="s">
        <v>44914</v>
      </c>
      <c r="C35701" s="5" t="str">
        <f>IFERROR(__xludf.DUMMYFUNCTION("GOOGLETRANSLATE(B35701,""en"",""it"")"),"L'uomo al bancone tiene ancora la pistola a parlare.")</f>
        <v>L'uomo al bancone tiene ancora la pistola a parlare.</v>
      </c>
    </row>
    <row r="35702">
      <c r="A35702" s="4" t="s">
        <v>44905</v>
      </c>
      <c r="B35702" s="4" t="s">
        <v>44915</v>
      </c>
      <c r="C35702" s="5" t="str">
        <f>IFERROR(__xludf.DUMMYFUNCTION("GOOGLETRANSLATE(B35702,""en"",""it"")"),"L'uomo sul campo corre e spara.")</f>
        <v>L'uomo sul campo corre e spara.</v>
      </c>
    </row>
    <row r="35703">
      <c r="A35703" s="4" t="s">
        <v>44905</v>
      </c>
      <c r="B35703" s="4" t="s">
        <v>44916</v>
      </c>
      <c r="C35703" s="5" t="str">
        <f>IFERROR(__xludf.DUMMYFUNCTION("GOOGLETRANSLATE(B35703,""en"",""it"")"),"L'uomo al bancone continua a parlare con la pistola in mano.")</f>
        <v>L'uomo al bancone continua a parlare con la pistola in mano.</v>
      </c>
    </row>
    <row r="35704">
      <c r="A35704" s="4" t="s">
        <v>44905</v>
      </c>
      <c r="B35704" s="4" t="s">
        <v>44917</v>
      </c>
      <c r="C35704" s="5" t="str">
        <f>IFERROR(__xludf.DUMMYFUNCTION("GOOGLETRANSLATE(B35704,""en"",""it"")"),"L'uomo del percorso scruta un angolo puntando la sua pistola.")</f>
        <v>L'uomo del percorso scruta un angolo puntando la sua pistola.</v>
      </c>
    </row>
    <row r="35705">
      <c r="A35705" s="4" t="s">
        <v>44905</v>
      </c>
      <c r="B35705" s="4" t="s">
        <v>44918</v>
      </c>
      <c r="C35705" s="5" t="str">
        <f>IFERROR(__xludf.DUMMYFUNCTION("GOOGLETRANSLATE(B35705,""en"",""it"")"),"L'uomo al bancone sta parlando e stabilisce con la pistola in mano.")</f>
        <v>L'uomo al bancone sta parlando e stabilisce con la pistola in mano.</v>
      </c>
    </row>
    <row r="35706">
      <c r="A35706" s="4" t="s">
        <v>44919</v>
      </c>
      <c r="B35706" s="4" t="s">
        <v>44920</v>
      </c>
      <c r="C35706" s="5" t="str">
        <f>IFERROR(__xludf.DUMMYFUNCTION("GOOGLETRANSLATE(B35706,""en"",""it"")"),"Gli uomini sono contro il recinto, le porte sono alzate e un pilota è in attesa di iniziare.")</f>
        <v>Gli uomini sono contro il recinto, le porte sono alzate e un pilota è in attesa di iniziare.</v>
      </c>
    </row>
    <row r="35707">
      <c r="A35707" s="4" t="s">
        <v>44919</v>
      </c>
      <c r="B35707" s="4" t="s">
        <v>44921</v>
      </c>
      <c r="C35707" s="5" t="str">
        <f>IFERROR(__xludf.DUMMYFUNCTION("GOOGLETRANSLATE(B35707,""en"",""it"")"),"Una volta che il cancello si apre una piccola mucca viene a correre e il cavallo insegue dopo.")</f>
        <v>Una volta che il cancello si apre una piccola mucca viene a correre e il cavallo insegue dopo.</v>
      </c>
    </row>
    <row r="35708">
      <c r="A35708" s="4" t="s">
        <v>44919</v>
      </c>
      <c r="B35708" s="4" t="s">
        <v>44922</v>
      </c>
      <c r="C35708" s="5" t="str">
        <f>IFERROR(__xludf.DUMMYFUNCTION("GOOGLETRANSLATE(B35708,""en"",""it"")"),"Il pilota lancia una corda contro la mucca cercando di prenderla e poi salta dal cavallo.")</f>
        <v>Il pilota lancia una corda contro la mucca cercando di prenderla e poi salta dal cavallo.</v>
      </c>
    </row>
    <row r="35709">
      <c r="A35709" s="4" t="s">
        <v>44919</v>
      </c>
      <c r="B35709" s="6" t="s">
        <v>44923</v>
      </c>
      <c r="C35709" s="5" t="str">
        <f>IFERROR(__xludf.DUMMYFUNCTION("GOOGLETRANSLATE(B35709,""en"",""it"")"),"Dopo aver saltato giù dal cavallo, inizia a bloccare la mucca e legare la corda attorno alle gambe molto approssimativamente.")</f>
        <v>Dopo aver saltato giù dal cavallo, inizia a bloccare la mucca e legare la corda attorno alle gambe molto approssimativamente.</v>
      </c>
    </row>
    <row r="35710">
      <c r="A35710" s="4" t="s">
        <v>44924</v>
      </c>
      <c r="B35710" s="4" t="s">
        <v>44925</v>
      </c>
      <c r="C35710" s="5" t="str">
        <f>IFERROR(__xludf.DUMMYFUNCTION("GOOGLETRANSLATE(B35710,""en"",""it"")"),"Un ragazzo viene visto trattenere un tosaerba e spingerlo lungo il cortile.")</f>
        <v>Un ragazzo viene visto trattenere un tosaerba e spingerlo lungo il cortile.</v>
      </c>
    </row>
    <row r="35711">
      <c r="A35711" s="4" t="s">
        <v>44924</v>
      </c>
      <c r="B35711" s="4" t="s">
        <v>44926</v>
      </c>
      <c r="C35711" s="5" t="str">
        <f>IFERROR(__xludf.DUMMYFUNCTION("GOOGLETRANSLATE(B35711,""en"",""it"")"),"Il ragazzo continua a spingere il tosaerba mentre la telecamera cattura i suoi movimenti.")</f>
        <v>Il ragazzo continua a spingere il tosaerba mentre la telecamera cattura i suoi movimenti.</v>
      </c>
    </row>
    <row r="35712">
      <c r="A35712" s="4" t="s">
        <v>44924</v>
      </c>
      <c r="B35712" s="4" t="s">
        <v>44927</v>
      </c>
      <c r="C35712" s="5" t="str">
        <f>IFERROR(__xludf.DUMMYFUNCTION("GOOGLETRANSLATE(B35712,""en"",""it"")"),"Restiene il tosaerba dove ha iniziato e guarda indietro alla telecamera.")</f>
        <v>Restiene il tosaerba dove ha iniziato e guarda indietro alla telecamera.</v>
      </c>
    </row>
    <row r="35713">
      <c r="A35713" s="4" t="s">
        <v>44928</v>
      </c>
      <c r="B35713" s="4" t="s">
        <v>1251</v>
      </c>
      <c r="C35713" s="5" t="str">
        <f>IFERROR(__xludf.DUMMYFUNCTION("GOOGLETRANSLATE(B35713,""en"",""it"")"),"Vengono visualizzati i crediti della clip.")</f>
        <v>Vengono visualizzati i crediti della clip.</v>
      </c>
    </row>
    <row r="35714">
      <c r="A35714" s="4" t="s">
        <v>44928</v>
      </c>
      <c r="B35714" s="4" t="s">
        <v>44929</v>
      </c>
      <c r="C35714" s="5" t="str">
        <f>IFERROR(__xludf.DUMMYFUNCTION("GOOGLETRANSLATE(B35714,""en"",""it"")"),"I veicoli si stanno muovendo lungo una strada.")</f>
        <v>I veicoli si stanno muovendo lungo una strada.</v>
      </c>
    </row>
    <row r="35715">
      <c r="A35715" s="4" t="s">
        <v>44928</v>
      </c>
      <c r="B35715" s="4" t="s">
        <v>44930</v>
      </c>
      <c r="C35715" s="5" t="str">
        <f>IFERROR(__xludf.DUMMYFUNCTION("GOOGLETRANSLATE(B35715,""en"",""it"")"),"Una signora si alza e discute.")</f>
        <v>Una signora si alza e discute.</v>
      </c>
    </row>
    <row r="35716">
      <c r="A35716" s="4" t="s">
        <v>44928</v>
      </c>
      <c r="B35716" s="4" t="s">
        <v>44931</v>
      </c>
      <c r="C35716" s="5" t="str">
        <f>IFERROR(__xludf.DUMMYFUNCTION("GOOGLETRANSLATE(B35716,""en"",""it"")"),"Le persone stanno remando lungo un corpo idrico roccioso.")</f>
        <v>Le persone stanno remando lungo un corpo idrico roccioso.</v>
      </c>
    </row>
    <row r="35717">
      <c r="A35717" s="4" t="s">
        <v>44928</v>
      </c>
      <c r="B35717" s="4" t="s">
        <v>44932</v>
      </c>
      <c r="C35717" s="5" t="str">
        <f>IFERROR(__xludf.DUMMYFUNCTION("GOOGLETRANSLATE(B35717,""en"",""it"")"),"Una persona cerca di sollevare un individuo nella barca gonfiata.")</f>
        <v>Una persona cerca di sollevare un individuo nella barca gonfiata.</v>
      </c>
    </row>
    <row r="35718">
      <c r="A35718" s="4" t="s">
        <v>44928</v>
      </c>
      <c r="B35718" s="4" t="s">
        <v>44933</v>
      </c>
      <c r="C35718" s="5" t="str">
        <f>IFERROR(__xludf.DUMMYFUNCTION("GOOGLETRANSLATE(B35718,""en"",""it"")"),"Una signora si allontana dalla barca gonfiata.")</f>
        <v>Una signora si allontana dalla barca gonfiata.</v>
      </c>
    </row>
    <row r="35719">
      <c r="A35719" s="4" t="s">
        <v>44928</v>
      </c>
      <c r="B35719" s="4" t="s">
        <v>44934</v>
      </c>
      <c r="C35719" s="5" t="str">
        <f>IFERROR(__xludf.DUMMYFUNCTION("GOOGLETRANSLATE(B35719,""en"",""it"")"),"La signora usò le mani per il viso.")</f>
        <v>La signora usò le mani per il viso.</v>
      </c>
    </row>
    <row r="35720">
      <c r="A35720" s="4" t="s">
        <v>44928</v>
      </c>
      <c r="B35720" s="4" t="s">
        <v>44935</v>
      </c>
      <c r="C35720" s="5" t="str">
        <f>IFERROR(__xludf.DUMMYFUNCTION("GOOGLETRANSLATE(B35720,""en"",""it"")"),"Le persone che sono sedute su una barca gonfiata allevano le pagaie.")</f>
        <v>Le persone che sono sedute su una barca gonfiata allevano le pagaie.</v>
      </c>
    </row>
    <row r="35721">
      <c r="A35721" s="4" t="s">
        <v>44928</v>
      </c>
      <c r="B35721" s="4" t="s">
        <v>44936</v>
      </c>
      <c r="C35721" s="5" t="str">
        <f>IFERROR(__xludf.DUMMYFUNCTION("GOOGLETRANSLATE(B35721,""en"",""it"")"),"Una barca gonfiata si capovolge e gli occupanti cadono in mare.")</f>
        <v>Una barca gonfiata si capovolge e gli occupanti cadono in mare.</v>
      </c>
    </row>
    <row r="35722">
      <c r="A35722" s="4" t="s">
        <v>44928</v>
      </c>
      <c r="B35722" s="4" t="s">
        <v>44937</v>
      </c>
      <c r="C35722" s="5" t="str">
        <f>IFERROR(__xludf.DUMMYFUNCTION("GOOGLETRANSLATE(B35722,""en"",""it"")"),"La signora si toglie il casco.")</f>
        <v>La signora si toglie il casco.</v>
      </c>
    </row>
    <row r="35723">
      <c r="A35723" s="4" t="s">
        <v>44928</v>
      </c>
      <c r="B35723" s="4" t="s">
        <v>44938</v>
      </c>
      <c r="C35723" s="5" t="str">
        <f>IFERROR(__xludf.DUMMYFUNCTION("GOOGLETRANSLATE(B35723,""en"",""it"")"),"Un ragazzo dà alla signora i suoi sandali bianchi.")</f>
        <v>Un ragazzo dà alla signora i suoi sandali bianchi.</v>
      </c>
    </row>
    <row r="35724">
      <c r="A35724" s="4" t="s">
        <v>44928</v>
      </c>
      <c r="B35724" s="4" t="s">
        <v>44939</v>
      </c>
      <c r="C35724" s="5" t="str">
        <f>IFERROR(__xludf.DUMMYFUNCTION("GOOGLETRANSLATE(B35724,""en"",""it"")"),"La signora soffia un bacio.")</f>
        <v>La signora soffia un bacio.</v>
      </c>
    </row>
    <row r="35725">
      <c r="A35725" s="4" t="s">
        <v>44928</v>
      </c>
      <c r="B35725" s="4" t="s">
        <v>44940</v>
      </c>
      <c r="C35725" s="5" t="str">
        <f>IFERROR(__xludf.DUMMYFUNCTION("GOOGLETRANSLATE(B35725,""en"",""it"")"),"I ragazzi giocano a calcio fuori.")</f>
        <v>I ragazzi giocano a calcio fuori.</v>
      </c>
    </row>
    <row r="35726">
      <c r="A35726" s="4" t="s">
        <v>44928</v>
      </c>
      <c r="B35726" s="4" t="s">
        <v>44941</v>
      </c>
      <c r="C35726" s="5" t="str">
        <f>IFERROR(__xludf.DUMMYFUNCTION("GOOGLETRANSLATE(B35726,""en"",""it"")"),"Due bernocon del torace dei giocatori di squadra rossa.")</f>
        <v>Due bernocon del torace dei giocatori di squadra rossa.</v>
      </c>
    </row>
    <row r="35727">
      <c r="A35727" s="4" t="s">
        <v>44928</v>
      </c>
      <c r="B35727" s="4" t="s">
        <v>1251</v>
      </c>
      <c r="C35727" s="5" t="str">
        <f>IFERROR(__xludf.DUMMYFUNCTION("GOOGLETRANSLATE(B35727,""en"",""it"")"),"Vengono visualizzati i crediti della clip.")</f>
        <v>Vengono visualizzati i crediti della clip.</v>
      </c>
    </row>
    <row r="35728">
      <c r="A35728" s="4" t="s">
        <v>44942</v>
      </c>
      <c r="B35728" s="4" t="s">
        <v>44943</v>
      </c>
      <c r="C35728" s="5" t="str">
        <f>IFERROR(__xludf.DUMMYFUNCTION("GOOGLETRANSLATE(B35728,""en"",""it"")"),"Un'introduzione conduce a colpi fuori da un cane toelettatori e all'interno dove sono legati diversi cani.")</f>
        <v>Un'introduzione conduce a colpi fuori da un cane toelettatori e all'interno dove sono legati diversi cani.</v>
      </c>
    </row>
    <row r="35729">
      <c r="A35729" s="4" t="s">
        <v>44942</v>
      </c>
      <c r="B35729" s="6" t="s">
        <v>44944</v>
      </c>
      <c r="C35729" s="5" t="str">
        <f>IFERROR(__xludf.DUMMYFUNCTION("GOOGLETRANSLATE(B35729,""en"",""it"")"),"Molte donne vengono mostrate a spazzolare i cani e tagliare la pelliccia mentre danno loro graffi in mezzo.")</f>
        <v>Molte donne vengono mostrate a spazzolare i cani e tagliare la pelliccia mentre danno loro graffi in mezzo.</v>
      </c>
    </row>
    <row r="35730">
      <c r="A35730" s="4" t="s">
        <v>44942</v>
      </c>
      <c r="B35730" s="4" t="s">
        <v>44945</v>
      </c>
      <c r="C35730" s="5" t="str">
        <f>IFERROR(__xludf.DUMMYFUNCTION("GOOGLETRANSLATE(B35730,""en"",""it"")"),"Sono visti più cani seduti in casse e abbaiando la telecamera mentre il vento soffia su di loro.")</f>
        <v>Sono visti più cani seduti in casse e abbaiando la telecamera mentre il vento soffia su di loro.</v>
      </c>
    </row>
    <row r="35731">
      <c r="A35731" s="4" t="s">
        <v>44946</v>
      </c>
      <c r="B35731" s="6" t="s">
        <v>44947</v>
      </c>
      <c r="C35731" s="5" t="str">
        <f>IFERROR(__xludf.DUMMYFUNCTION("GOOGLETRANSLATE(B35731,""en"",""it"")"),"I compagni di squadra sono visti uscire su un campo circondato da dozzine di persone e si trovano pronti su una corda che tiene le braccia.")</f>
        <v>I compagni di squadra sono visti uscire su un campo circondato da dozzine di persone e si trovano pronti su una corda che tiene le braccia.</v>
      </c>
    </row>
    <row r="35732">
      <c r="A35732" s="4" t="s">
        <v>44946</v>
      </c>
      <c r="B35732" s="4" t="s">
        <v>44948</v>
      </c>
      <c r="C35732" s="5" t="str">
        <f>IFERROR(__xludf.DUMMYFUNCTION("GOOGLETRANSLATE(B35732,""en"",""it"")"),"Gli uomini quindi tirano la corda contro un'altra squadra e finiscono cadendo.")</f>
        <v>Gli uomini quindi tirano la corda contro un'altra squadra e finiscono cadendo.</v>
      </c>
    </row>
    <row r="35733">
      <c r="A35733" s="4" t="s">
        <v>44949</v>
      </c>
      <c r="B35733" s="4" t="s">
        <v>44950</v>
      </c>
      <c r="C35733" s="5" t="str">
        <f>IFERROR(__xludf.DUMMYFUNCTION("GOOGLETRANSLATE(B35733,""en"",""it"")"),"Un uomo viene visto tenere un'ascia e guardare indietro per sorridere alla telecamera.")</f>
        <v>Un uomo viene visto tenere un'ascia e guardare indietro per sorridere alla telecamera.</v>
      </c>
    </row>
    <row r="35734">
      <c r="A35734" s="4" t="s">
        <v>44949</v>
      </c>
      <c r="B35734" s="4" t="s">
        <v>44951</v>
      </c>
      <c r="C35734" s="5" t="str">
        <f>IFERROR(__xludf.DUMMYFUNCTION("GOOGLETRANSLATE(B35734,""en"",""it"")"),"L'uomo quindi fa oscillare l'ascia e colpisce un tronco di legno che sorride ancora alla telecamera.")</f>
        <v>L'uomo quindi fa oscillare l'ascia e colpisce un tronco di legno che sorride ancora alla telecamera.</v>
      </c>
    </row>
    <row r="35735">
      <c r="A35735" s="4" t="s">
        <v>44952</v>
      </c>
      <c r="B35735" s="4" t="s">
        <v>44953</v>
      </c>
      <c r="C35735" s="5" t="str">
        <f>IFERROR(__xludf.DUMMYFUNCTION("GOOGLETRANSLATE(B35735,""en"",""it"")"),"La vernice viene mostrata mescolata su una piastra di polistirolo.")</f>
        <v>La vernice viene mostrata mescolata su una piastra di polistirolo.</v>
      </c>
    </row>
    <row r="35736">
      <c r="A35736" s="4" t="s">
        <v>44952</v>
      </c>
      <c r="B35736" s="4" t="s">
        <v>44954</v>
      </c>
      <c r="C35736" s="5" t="str">
        <f>IFERROR(__xludf.DUMMYFUNCTION("GOOGLETRANSLATE(B35736,""en"",""it"")"),"Una mano disegna su un pezzo di carta usando un pennello e la vernice mista.")</f>
        <v>Una mano disegna su un pezzo di carta usando un pennello e la vernice mista.</v>
      </c>
    </row>
    <row r="35737">
      <c r="A35737" s="4" t="s">
        <v>44955</v>
      </c>
      <c r="B35737" s="4" t="s">
        <v>44956</v>
      </c>
      <c r="C35737" s="5" t="str">
        <f>IFERROR(__xludf.DUMMYFUNCTION("GOOGLETRANSLATE(B35737,""en"",""it"")"),"Uno chef si vede parlare con una donna e conduce in lui con in mano coltelli e affilando i lati.")</f>
        <v>Uno chef si vede parlare con una donna e conduce in lui con in mano coltelli e affilando i lati.</v>
      </c>
    </row>
    <row r="35738">
      <c r="A35738" s="4" t="s">
        <v>44955</v>
      </c>
      <c r="B35738" s="4" t="s">
        <v>44957</v>
      </c>
      <c r="C35738" s="5" t="str">
        <f>IFERROR(__xludf.DUMMYFUNCTION("GOOGLETRANSLATE(B35738,""en"",""it"")"),"Quindi asciuga il coltello con uno straccio e continua a affilare i coltelli.")</f>
        <v>Quindi asciuga il coltello con uno straccio e continua a affilare i coltelli.</v>
      </c>
    </row>
    <row r="35739">
      <c r="A35739" s="4" t="s">
        <v>44958</v>
      </c>
      <c r="B35739" s="4" t="s">
        <v>7239</v>
      </c>
      <c r="C35739" s="5" t="str">
        <f>IFERROR(__xludf.DUMMYFUNCTION("GOOGLETRANSLATE(B35739,""en"",""it"")"),"Vediamo uno schermo del titolo nero.")</f>
        <v>Vediamo uno schermo del titolo nero.</v>
      </c>
    </row>
    <row r="35740">
      <c r="A35740" s="4" t="s">
        <v>44958</v>
      </c>
      <c r="B35740" s="4" t="s">
        <v>44959</v>
      </c>
      <c r="C35740" s="5" t="str">
        <f>IFERROR(__xludf.DUMMYFUNCTION("GOOGLETRANSLATE(B35740,""en"",""it"")"),"Vediamo che stanno guidando per strada, quindi vediamo l'uomo in macchina.")</f>
        <v>Vediamo che stanno guidando per strada, quindi vediamo l'uomo in macchina.</v>
      </c>
    </row>
    <row r="35741">
      <c r="A35741" s="4" t="s">
        <v>44958</v>
      </c>
      <c r="B35741" s="4" t="s">
        <v>44960</v>
      </c>
      <c r="C35741" s="5" t="str">
        <f>IFERROR(__xludf.DUMMYFUNCTION("GOOGLETRANSLATE(B35741,""en"",""it"")"),"L'uomo esce e afferra le forniture di pneumatici a terra.")</f>
        <v>L'uomo esce e afferra le forniture di pneumatici a terra.</v>
      </c>
    </row>
    <row r="35742">
      <c r="A35742" s="4" t="s">
        <v>44958</v>
      </c>
      <c r="B35742" s="4" t="s">
        <v>44961</v>
      </c>
      <c r="C35742" s="5" t="str">
        <f>IFERROR(__xludf.DUMMYFUNCTION("GOOGLETRANSLATE(B35742,""en"",""it"")"),"L'uomo si siede in macchina e pensa a come cambiare una gomma.")</f>
        <v>L'uomo si siede in macchina e pensa a come cambiare una gomma.</v>
      </c>
    </row>
    <row r="35743">
      <c r="A35743" s="4" t="s">
        <v>44958</v>
      </c>
      <c r="B35743" s="4" t="s">
        <v>44962</v>
      </c>
      <c r="C35743" s="5" t="str">
        <f>IFERROR(__xludf.DUMMYFUNCTION("GOOGLETRANSLATE(B35743,""en"",""it"")"),"Il ragazzo allenta i bulloni, solleva l'auto e si toglie l'appartamento.")</f>
        <v>Il ragazzo allenta i bulloni, solleva l'auto e si toglie l'appartamento.</v>
      </c>
    </row>
    <row r="35744">
      <c r="A35744" s="4" t="s">
        <v>44958</v>
      </c>
      <c r="B35744" s="4" t="s">
        <v>44963</v>
      </c>
      <c r="C35744" s="5" t="str">
        <f>IFERROR(__xludf.DUMMYFUNCTION("GOOGLETRANSLATE(B35744,""en"",""it"")"),"Il ragazzo quindi mette la ruota di scorta sulla macchina.")</f>
        <v>Il ragazzo quindi mette la ruota di scorta sulla macchina.</v>
      </c>
    </row>
    <row r="35745">
      <c r="A35745" s="4" t="s">
        <v>44958</v>
      </c>
      <c r="B35745" s="4" t="s">
        <v>44964</v>
      </c>
      <c r="C35745" s="5" t="str">
        <f>IFERROR(__xludf.DUMMYFUNCTION("GOOGLETRANSLATE(B35745,""en"",""it"")"),"Vediamo i bulloni da vicino in una linea.")</f>
        <v>Vediamo i bulloni da vicino in una linea.</v>
      </c>
    </row>
    <row r="35746">
      <c r="A35746" s="4" t="s">
        <v>44958</v>
      </c>
      <c r="B35746" s="4" t="s">
        <v>44965</v>
      </c>
      <c r="C35746" s="5" t="str">
        <f>IFERROR(__xludf.DUMMYFUNCTION("GOOGLETRANSLATE(B35746,""en"",""it"")"),"L'uomo mette la ruota di scorta in macchina e sale in macchina.")</f>
        <v>L'uomo mette la ruota di scorta in macchina e sale in macchina.</v>
      </c>
    </row>
    <row r="35747">
      <c r="A35747" s="4" t="s">
        <v>44958</v>
      </c>
      <c r="B35747" s="4" t="s">
        <v>44966</v>
      </c>
      <c r="C35747" s="5" t="str">
        <f>IFERROR(__xludf.DUMMYFUNCTION("GOOGLETRANSLATE(B35747,""en"",""it"")"),"Fa una chiamata e gira alla radio.")</f>
        <v>Fa una chiamata e gira alla radio.</v>
      </c>
    </row>
    <row r="35748">
      <c r="A35748" s="4" t="s">
        <v>44958</v>
      </c>
      <c r="B35748" s="4" t="s">
        <v>44967</v>
      </c>
      <c r="C35748" s="5" t="str">
        <f>IFERROR(__xludf.DUMMYFUNCTION("GOOGLETRANSLATE(B35748,""en"",""it"")"),"L'uomo fa inversione a U e se ne va.")</f>
        <v>L'uomo fa inversione a U e se ne va.</v>
      </c>
    </row>
    <row r="35749">
      <c r="A35749" s="4" t="s">
        <v>44958</v>
      </c>
      <c r="B35749" s="4" t="s">
        <v>44968</v>
      </c>
      <c r="C35749" s="5" t="str">
        <f>IFERROR(__xludf.DUMMYFUNCTION("GOOGLETRANSLATE(B35749,""en"",""it"")"),"Vediamo il titolo finale.")</f>
        <v>Vediamo il titolo finale.</v>
      </c>
    </row>
    <row r="35750">
      <c r="A35750" s="4" t="s">
        <v>44969</v>
      </c>
      <c r="B35750" s="4" t="s">
        <v>44970</v>
      </c>
      <c r="C35750" s="5" t="str">
        <f>IFERROR(__xludf.DUMMYFUNCTION("GOOGLETRANSLATE(B35750,""en"",""it"")"),"Un contenitore di crema per l'acconciatura è mostrato da uno stilista.")</f>
        <v>Un contenitore di crema per l'acconciatura è mostrato da uno stilista.</v>
      </c>
    </row>
    <row r="35751">
      <c r="A35751" s="4" t="s">
        <v>44969</v>
      </c>
      <c r="B35751" s="4" t="s">
        <v>44971</v>
      </c>
      <c r="C35751" s="5" t="str">
        <f>IFERROR(__xludf.DUMMYFUNCTION("GOOGLETRANSLATE(B35751,""en"",""it"")"),"Lo applica alla pelle di una bruna seduta.")</f>
        <v>Lo applica alla pelle di una bruna seduta.</v>
      </c>
    </row>
    <row r="35752">
      <c r="A35752" s="4" t="s">
        <v>44969</v>
      </c>
      <c r="B35752" s="4" t="s">
        <v>44972</v>
      </c>
      <c r="C35752" s="5" t="str">
        <f>IFERROR(__xludf.DUMMYFUNCTION("GOOGLETRANSLATE(B35752,""en"",""it"")"),"Quindi dimostra come funziona.")</f>
        <v>Quindi dimostra come funziona.</v>
      </c>
    </row>
    <row r="35753">
      <c r="A35753" s="4" t="s">
        <v>44973</v>
      </c>
      <c r="B35753" s="4" t="s">
        <v>44974</v>
      </c>
      <c r="C35753" s="5" t="str">
        <f>IFERROR(__xludf.DUMMYFUNCTION("GOOGLETRANSLATE(B35753,""en"",""it"")"),"Viene visto un uomo parlare con la telecamera e piovere su un tetto che si sta rompendo.")</f>
        <v>Viene visto un uomo parlare con la telecamera e piovere su un tetto che si sta rompendo.</v>
      </c>
    </row>
    <row r="35754">
      <c r="A35754" s="4" t="s">
        <v>44973</v>
      </c>
      <c r="B35754" s="4" t="s">
        <v>44975</v>
      </c>
      <c r="C35754" s="5" t="str">
        <f>IFERROR(__xludf.DUMMYFUNCTION("GOOGLETRANSLATE(B35754,""en"",""it"")"),"Indica tutto sul tetto e mostra un uomo che lavora sul tetto mentre si fa di nuovo in giro.")</f>
        <v>Indica tutto sul tetto e mostra un uomo che lavora sul tetto mentre si fa di nuovo in giro.</v>
      </c>
    </row>
    <row r="35755">
      <c r="A35755" s="4" t="s">
        <v>44976</v>
      </c>
      <c r="B35755" s="4" t="s">
        <v>44977</v>
      </c>
      <c r="C35755" s="5" t="str">
        <f>IFERROR(__xludf.DUMMYFUNCTION("GOOGLETRANSLATE(B35755,""en"",""it"")"),"Una donna viene vista alzarsi i capelli in una coda di cavallo con un uomo che la guarda sul lato.")</f>
        <v>Una donna viene vista alzarsi i capelli in una coda di cavallo con un uomo che la guarda sul lato.</v>
      </c>
    </row>
    <row r="35756">
      <c r="A35756" s="4" t="s">
        <v>44976</v>
      </c>
      <c r="B35756" s="4" t="s">
        <v>44978</v>
      </c>
      <c r="C35756" s="5" t="str">
        <f>IFERROR(__xludf.DUMMYFUNCTION("GOOGLETRANSLATE(B35756,""en"",""it"")"),"Quindi suona il piano mentre sorride e l'uomo continua a guardarla.")</f>
        <v>Quindi suona il piano mentre sorride e l'uomo continua a guardarla.</v>
      </c>
    </row>
    <row r="35757">
      <c r="A35757" s="4" t="s">
        <v>44979</v>
      </c>
      <c r="B35757" s="4" t="s">
        <v>44980</v>
      </c>
      <c r="C35757" s="5" t="str">
        <f>IFERROR(__xludf.DUMMYFUNCTION("GOOGLETRANSLATE(B35757,""en"",""it"")"),"Le persone pagano in kayak in un corpo d'acqua.")</f>
        <v>Le persone pagano in kayak in un corpo d'acqua.</v>
      </c>
    </row>
    <row r="35758">
      <c r="A35758" s="4" t="s">
        <v>44979</v>
      </c>
      <c r="B35758" s="4" t="s">
        <v>44981</v>
      </c>
      <c r="C35758" s="5" t="str">
        <f>IFERROR(__xludf.DUMMYFUNCTION("GOOGLETRANSLATE(B35758,""en"",""it"")"),"Un uomo decolla in un kayak verde.")</f>
        <v>Un uomo decolla in un kayak verde.</v>
      </c>
    </row>
    <row r="35759">
      <c r="A35759" s="4" t="s">
        <v>44979</v>
      </c>
      <c r="B35759" s="4" t="s">
        <v>44982</v>
      </c>
      <c r="C35759" s="5" t="str">
        <f>IFERROR(__xludf.DUMMYFUNCTION("GOOGLETRANSLATE(B35759,""en"",""it"")"),"Un uomo con una giacca rossa sta parlando con la fotocamera.")</f>
        <v>Un uomo con una giacca rossa sta parlando con la fotocamera.</v>
      </c>
    </row>
    <row r="35760">
      <c r="A35760" s="4" t="s">
        <v>44983</v>
      </c>
      <c r="B35760" s="4" t="s">
        <v>44984</v>
      </c>
      <c r="C35760" s="5" t="str">
        <f>IFERROR(__xludf.DUMMYFUNCTION("GOOGLETRANSLATE(B35760,""en"",""it"")"),"Una donna e un cane suonano sull'erba con un frisbee.")</f>
        <v>Una donna e un cane suonano sull'erba con un frisbee.</v>
      </c>
    </row>
    <row r="35761">
      <c r="A35761" s="4" t="s">
        <v>44983</v>
      </c>
      <c r="B35761" s="4" t="s">
        <v>44985</v>
      </c>
      <c r="C35761" s="5" t="str">
        <f>IFERROR(__xludf.DUMMYFUNCTION("GOOGLETRANSLATE(B35761,""en"",""it"")"),"Il cane ha il frisbee in bocca.")</f>
        <v>Il cane ha il frisbee in bocca.</v>
      </c>
    </row>
    <row r="35762">
      <c r="A35762" s="4" t="s">
        <v>44983</v>
      </c>
      <c r="B35762" s="4" t="s">
        <v>44986</v>
      </c>
      <c r="C35762" s="5" t="str">
        <f>IFERROR(__xludf.DUMMYFUNCTION("GOOGLETRANSLATE(B35762,""en"",""it"")"),"La donna e il cane stanno giocando con una corda.")</f>
        <v>La donna e il cane stanno giocando con una corda.</v>
      </c>
    </row>
    <row r="35763">
      <c r="A35763" s="4" t="s">
        <v>44987</v>
      </c>
      <c r="B35763" s="6" t="s">
        <v>44988</v>
      </c>
      <c r="C35763" s="5" t="str">
        <f>IFERROR(__xludf.DUMMYFUNCTION("GOOGLETRANSLATE(B35763,""en"",""it"")"),"In spiaggia, un gruppo di palloni da calcio si trova accanto a un uomo che li sta dando a un calcio in porta, protetto da un custode.")</f>
        <v>In spiaggia, un gruppo di palloni da calcio si trova accanto a un uomo che li sta dando a un calcio in porta, protetto da un custode.</v>
      </c>
    </row>
    <row r="35764">
      <c r="A35764" s="4" t="s">
        <v>44987</v>
      </c>
      <c r="B35764" s="4" t="s">
        <v>44989</v>
      </c>
      <c r="C35764" s="5" t="str">
        <f>IFERROR(__xludf.DUMMYFUNCTION("GOOGLETRANSLATE(B35764,""en"",""it"")"),"Li avvolge e scende il ginocchio prima di sparare.")</f>
        <v>Li avvolge e scende il ginocchio prima di sparare.</v>
      </c>
    </row>
    <row r="35765">
      <c r="A35765" s="4" t="s">
        <v>44987</v>
      </c>
      <c r="B35765" s="4" t="s">
        <v>44990</v>
      </c>
      <c r="C35765" s="5" t="str">
        <f>IFERROR(__xludf.DUMMYFUNCTION("GOOGLETRANSLATE(B35765,""en"",""it"")"),"Alla fine segna il portiere.")</f>
        <v>Alla fine segna il portiere.</v>
      </c>
    </row>
    <row r="35766">
      <c r="A35766" s="4" t="s">
        <v>44987</v>
      </c>
      <c r="B35766" s="4" t="s">
        <v>44991</v>
      </c>
      <c r="C35766" s="5" t="str">
        <f>IFERROR(__xludf.DUMMYFUNCTION("GOOGLETRANSLATE(B35766,""en"",""it"")"),"La sua palla finale viene nuovamente salvata dal custode.")</f>
        <v>La sua palla finale viene nuovamente salvata dal custode.</v>
      </c>
    </row>
    <row r="35767">
      <c r="A35767" s="4" t="s">
        <v>44992</v>
      </c>
      <c r="B35767" s="6" t="s">
        <v>44993</v>
      </c>
      <c r="C35767" s="5" t="str">
        <f>IFERROR(__xludf.DUMMYFUNCTION("GOOGLETRANSLATE(B35767,""en"",""it"")"),"Viene mostrata una donna che indossa l'attrezzatura da esercizi che parla con la telecamera e indica diverse aree del suo corpo.")</f>
        <v>Viene mostrata una donna che indossa l'attrezzatura da esercizi che parla con la telecamera e indica diverse aree del suo corpo.</v>
      </c>
    </row>
    <row r="35768">
      <c r="A35768" s="4" t="s">
        <v>44992</v>
      </c>
      <c r="B35768" s="4" t="s">
        <v>44994</v>
      </c>
      <c r="C35768" s="5" t="str">
        <f>IFERROR(__xludf.DUMMYFUNCTION("GOOGLETRANSLATE(B35768,""en"",""it"")"),"Continua a parlare con la telecamera mentre esegue diversi scricchiolii per lavorare il tuo core.")</f>
        <v>Continua a parlare con la telecamera mentre esegue diversi scricchiolii per lavorare il tuo core.</v>
      </c>
    </row>
    <row r="35769">
      <c r="A35769" s="4" t="s">
        <v>44992</v>
      </c>
      <c r="B35769" s="4" t="s">
        <v>44995</v>
      </c>
      <c r="C35769" s="5" t="str">
        <f>IFERROR(__xludf.DUMMYFUNCTION("GOOGLETRANSLATE(B35769,""en"",""it"")"),"Quindi afferra un peso in entrambe le mani e un gatto da usare come peso per l'esercizio.")</f>
        <v>Quindi afferra un peso in entrambe le mani e un gatto da usare come peso per l'esercizio.</v>
      </c>
    </row>
    <row r="35770">
      <c r="A35770" s="4" t="s">
        <v>44992</v>
      </c>
      <c r="B35770" s="4" t="s">
        <v>44996</v>
      </c>
      <c r="C35770" s="5" t="str">
        <f>IFERROR(__xludf.DUMMYFUNCTION("GOOGLETRANSLATE(B35770,""en"",""it"")"),"Si piega in avanti e continua a parlare con la telecamera.")</f>
        <v>Si piega in avanti e continua a parlare con la telecamera.</v>
      </c>
    </row>
    <row r="35771">
      <c r="A35771" s="4" t="s">
        <v>44997</v>
      </c>
      <c r="B35771" s="4" t="s">
        <v>44998</v>
      </c>
      <c r="C35771" s="5" t="str">
        <f>IFERROR(__xludf.DUMMYFUNCTION("GOOGLETRANSLATE(B35771,""en"",""it"")"),"Un uomo è seduto su un tamburo.")</f>
        <v>Un uomo è seduto su un tamburo.</v>
      </c>
    </row>
    <row r="35772">
      <c r="A35772" s="4" t="s">
        <v>44997</v>
      </c>
      <c r="B35772" s="4" t="s">
        <v>44999</v>
      </c>
      <c r="C35772" s="5" t="str">
        <f>IFERROR(__xludf.DUMMYFUNCTION("GOOGLETRANSLATE(B35772,""en"",""it"")"),"Sta suonando la batteria e i piatti e parla con la telecamera.")</f>
        <v>Sta suonando la batteria e i piatti e parla con la telecamera.</v>
      </c>
    </row>
    <row r="35773">
      <c r="A35773" s="4" t="s">
        <v>44997</v>
      </c>
      <c r="B35773" s="4" t="s">
        <v>45000</v>
      </c>
      <c r="C35773" s="5" t="str">
        <f>IFERROR(__xludf.DUMMYFUNCTION("GOOGLETRANSLATE(B35773,""en"",""it"")"),"Mostra la meccanica dei pedali e gli effetti sulla batteria mentre li usa.")</f>
        <v>Mostra la meccanica dei pedali e gli effetti sulla batteria mentre li usa.</v>
      </c>
    </row>
    <row r="35774">
      <c r="A35774" s="4" t="s">
        <v>45001</v>
      </c>
      <c r="B35774" s="4" t="s">
        <v>45002</v>
      </c>
      <c r="C35774" s="5" t="str">
        <f>IFERROR(__xludf.DUMMYFUNCTION("GOOGLETRANSLATE(B35774,""en"",""it"")"),"Un gruppo di persone che cavalca bici bmx scende insieme.")</f>
        <v>Un gruppo di persone che cavalca bici bmx scende insieme.</v>
      </c>
    </row>
    <row r="35775">
      <c r="A35775" s="4" t="s">
        <v>45001</v>
      </c>
      <c r="B35775" s="4" t="s">
        <v>45003</v>
      </c>
      <c r="C35775" s="5" t="str">
        <f>IFERROR(__xludf.DUMMYFUNCTION("GOOGLETRANSLATE(B35775,""en"",""it"")"),"Quindi gira intorno, facendo giri taglienti e curve in pista.")</f>
        <v>Quindi gira intorno, facendo giri taglienti e curve in pista.</v>
      </c>
    </row>
    <row r="35776">
      <c r="A35776" s="4" t="s">
        <v>45001</v>
      </c>
      <c r="B35776" s="4" t="s">
        <v>45004</v>
      </c>
      <c r="C35776" s="5" t="str">
        <f>IFERROR(__xludf.DUMMYFUNCTION("GOOGLETRANSLATE(B35776,""en"",""it"")"),"Quando la gara è finita, vanno in giro distribuendo medaglie e posano per le foto.")</f>
        <v>Quando la gara è finita, vanno in giro distribuendo medaglie e posano per le foto.</v>
      </c>
    </row>
    <row r="35777">
      <c r="A35777" s="4" t="s">
        <v>45005</v>
      </c>
      <c r="B35777" s="4" t="s">
        <v>45006</v>
      </c>
      <c r="C35777" s="5" t="str">
        <f>IFERROR(__xludf.DUMMYFUNCTION("GOOGLETRANSLATE(B35777,""en"",""it"")"),"Una signora si trova alla fine di un campo da hopscotch.")</f>
        <v>Una signora si trova alla fine di un campo da hopscotch.</v>
      </c>
    </row>
    <row r="35778">
      <c r="A35778" s="4" t="s">
        <v>45005</v>
      </c>
      <c r="B35778" s="4" t="s">
        <v>45007</v>
      </c>
      <c r="C35778" s="5" t="str">
        <f>IFERROR(__xludf.DUMMYFUNCTION("GOOGLETRANSLATE(B35778,""en"",""it"")"),"La signora salta quindi attraverso il campo da hopscotch verso la destra.")</f>
        <v>La signora salta quindi attraverso il campo da hopscotch verso la destra.</v>
      </c>
    </row>
    <row r="35779">
      <c r="A35779" s="4" t="s">
        <v>45005</v>
      </c>
      <c r="B35779" s="4" t="s">
        <v>45008</v>
      </c>
      <c r="C35779" s="5" t="str">
        <f>IFERROR(__xludf.DUMMYFUNCTION("GOOGLETRANSLATE(B35779,""en"",""it"")"),"La signora poi ricopre da dove ha iniziato.")</f>
        <v>La signora poi ricopre da dove ha iniziato.</v>
      </c>
    </row>
    <row r="35780">
      <c r="A35780" s="4" t="s">
        <v>45009</v>
      </c>
      <c r="B35780" s="6" t="s">
        <v>45010</v>
      </c>
      <c r="C35780" s="5" t="str">
        <f>IFERROR(__xludf.DUMMYFUNCTION("GOOGLETRANSLATE(B35780,""en"",""it"")"),"La donna sta parlando con la telecamera di fronte a una grande palestra con molte bici estatiche in sottofondo e le persone fanno esercizio.")</f>
        <v>La donna sta parlando con la telecamera di fronte a una grande palestra con molte bici estatiche in sottofondo e le persone fanno esercizio.</v>
      </c>
    </row>
    <row r="35781">
      <c r="A35781" s="4" t="s">
        <v>45009</v>
      </c>
      <c r="B35781" s="4" t="s">
        <v>45011</v>
      </c>
      <c r="C35781" s="5" t="str">
        <f>IFERROR(__xludf.DUMMYFUNCTION("GOOGLETRANSLATE(B35781,""en"",""it"")"),"La ragazza inizia a fare esercizio nella bici ellittica.")</f>
        <v>La ragazza inizia a fare esercizio nella bici ellittica.</v>
      </c>
    </row>
    <row r="35782">
      <c r="A35782" s="4" t="s">
        <v>45012</v>
      </c>
      <c r="B35782" s="4" t="s">
        <v>45013</v>
      </c>
      <c r="C35782" s="5" t="str">
        <f>IFERROR(__xludf.DUMMYFUNCTION("GOOGLETRANSLATE(B35782,""en"",""it"")"),"Vengono visualizzati diversi pezzi di gioielli con bottone dell'ombelico.")</f>
        <v>Vengono visualizzati diversi pezzi di gioielli con bottone dell'ombelico.</v>
      </c>
    </row>
    <row r="35783">
      <c r="A35783" s="4" t="s">
        <v>45012</v>
      </c>
      <c r="B35783" s="4" t="s">
        <v>45014</v>
      </c>
      <c r="C35783" s="5" t="str">
        <f>IFERROR(__xludf.DUMMYFUNCTION("GOOGLETRANSLATE(B35783,""en"",""it"")"),"Questo è seguito da un uomo che disinfetta l'ombelico di una donna.")</f>
        <v>Questo è seguito da un uomo che disinfetta l'ombelico di una donna.</v>
      </c>
    </row>
    <row r="35784">
      <c r="A35784" s="4" t="s">
        <v>45012</v>
      </c>
      <c r="B35784" s="4" t="s">
        <v>45015</v>
      </c>
      <c r="C35784" s="5" t="str">
        <f>IFERROR(__xludf.DUMMYFUNCTION("GOOGLETRANSLATE(B35784,""en"",""it"")"),"Quindi inserisce un piercing usando un morsetto e un'asta.")</f>
        <v>Quindi inserisce un piercing usando un morsetto e un'asta.</v>
      </c>
    </row>
    <row r="35785">
      <c r="A35785" s="4" t="s">
        <v>45012</v>
      </c>
      <c r="B35785" s="4" t="s">
        <v>45016</v>
      </c>
      <c r="C35785" s="5" t="str">
        <f>IFERROR(__xludf.DUMMYFUNCTION("GOOGLETRANSLATE(B35785,""en"",""it"")"),"La donna guarda come le prime stalloni sono in atto.")</f>
        <v>La donna guarda come le prime stalloni sono in atto.</v>
      </c>
    </row>
    <row r="35786">
      <c r="A35786" s="4" t="s">
        <v>45017</v>
      </c>
      <c r="B35786" s="4" t="s">
        <v>45018</v>
      </c>
      <c r="C35786" s="5" t="str">
        <f>IFERROR(__xludf.DUMMYFUNCTION("GOOGLETRANSLATE(B35786,""en"",""it"")"),"Un folto gruppo di persone viene visto correre in un campo di calcio giocando una partita di calcio.")</f>
        <v>Un folto gruppo di persone viene visto correre in un campo di calcio giocando una partita di calcio.</v>
      </c>
    </row>
    <row r="35787">
      <c r="A35787" s="4" t="s">
        <v>45017</v>
      </c>
      <c r="B35787" s="4" t="s">
        <v>45019</v>
      </c>
      <c r="C35787" s="5" t="str">
        <f>IFERROR(__xludf.DUMMYFUNCTION("GOOGLETRANSLATE(B35787,""en"",""it"")"),"I bambini continuano a calciare la palla l'uno attorno all'altro mentre altri guardano sul lato.")</f>
        <v>I bambini continuano a calciare la palla l'uno attorno all'altro mentre altri guardano sul lato.</v>
      </c>
    </row>
    <row r="35788">
      <c r="A35788" s="4" t="s">
        <v>45017</v>
      </c>
      <c r="B35788" s="4" t="s">
        <v>45020</v>
      </c>
      <c r="C35788" s="5" t="str">
        <f>IFERROR(__xludf.DUMMYFUNCTION("GOOGLETRANSLATE(B35788,""en"",""it"")"),"Vengono mostrati più colpi del gioco e persone che giocano tra loro.")</f>
        <v>Vengono mostrati più colpi del gioco e persone che giocano tra loro.</v>
      </c>
    </row>
    <row r="35789">
      <c r="A35789" s="4" t="s">
        <v>45021</v>
      </c>
      <c r="B35789" s="4" t="s">
        <v>45022</v>
      </c>
      <c r="C35789" s="5" t="str">
        <f>IFERROR(__xludf.DUMMYFUNCTION("GOOGLETRANSLATE(B35789,""en"",""it"")"),"Un uomo con una camicia bianca è seduto suonando una chitarra.")</f>
        <v>Un uomo con una camicia bianca è seduto suonando una chitarra.</v>
      </c>
    </row>
    <row r="35790">
      <c r="A35790" s="4" t="s">
        <v>45021</v>
      </c>
      <c r="B35790" s="4" t="s">
        <v>45023</v>
      </c>
      <c r="C35790" s="5" t="str">
        <f>IFERROR(__xludf.DUMMYFUNCTION("GOOGLETRANSLATE(B35790,""en"",""it"")"),"Accanto all'uomo c'è uno schermo più piccolo di un video in bianco e nero di un uomo che canta e una donna.")</f>
        <v>Accanto all'uomo c'è uno schermo più piccolo di un video in bianco e nero di un uomo che canta e una donna.</v>
      </c>
    </row>
    <row r="35791">
      <c r="A35791" s="4" t="s">
        <v>45024</v>
      </c>
      <c r="B35791" s="6" t="s">
        <v>45025</v>
      </c>
      <c r="C35791" s="5" t="str">
        <f>IFERROR(__xludf.DUMMYFUNCTION("GOOGLETRANSLATE(B35791,""en"",""it"")"),"Un vicino una ragazza che sorride e indica il suo viso viene mostrata seguita da un paio di pinze che la perforano il labbro interno.")</f>
        <v>Un vicino una ragazza che sorride e indica il suo viso viene mostrata seguita da un paio di pinze che la perforano il labbro interno.</v>
      </c>
    </row>
    <row r="35792">
      <c r="A35792" s="4" t="s">
        <v>45024</v>
      </c>
      <c r="B35792" s="6" t="s">
        <v>45026</v>
      </c>
      <c r="C35792" s="5" t="str">
        <f>IFERROR(__xludf.DUMMYFUNCTION("GOOGLETRANSLATE(B35792,""en"",""it"")"),"Il Piercer spinge la forbice attraverso il labbro mentre la solleva e presenta il piercing alla fine.")</f>
        <v>Il Piercer spinge la forbice attraverso il labbro mentre la solleva e presenta il piercing alla fine.</v>
      </c>
    </row>
    <row r="35793">
      <c r="A35793" s="4" t="s">
        <v>45027</v>
      </c>
      <c r="B35793" s="4" t="s">
        <v>45028</v>
      </c>
      <c r="C35793" s="5" t="str">
        <f>IFERROR(__xludf.DUMMYFUNCTION("GOOGLETRANSLATE(B35793,""en"",""it"")"),"Una donna sta dando istruzioni su come installare e regolare una sella su una bici.")</f>
        <v>Una donna sta dando istruzioni su come installare e regolare una sella su una bici.</v>
      </c>
    </row>
    <row r="35794">
      <c r="A35794" s="4" t="s">
        <v>45027</v>
      </c>
      <c r="B35794" s="4" t="s">
        <v>45029</v>
      </c>
      <c r="C35794" s="5" t="str">
        <f>IFERROR(__xludf.DUMMYFUNCTION("GOOGLETRANSLATE(B35794,""en"",""it"")"),"Usa una chiave a chiave Allen per allentare il bullone.")</f>
        <v>Usa una chiave a chiave Allen per allentare il bullone.</v>
      </c>
    </row>
    <row r="35795">
      <c r="A35795" s="4" t="s">
        <v>45027</v>
      </c>
      <c r="B35795" s="4" t="s">
        <v>45030</v>
      </c>
      <c r="C35795" s="5" t="str">
        <f>IFERROR(__xludf.DUMMYFUNCTION("GOOGLETRANSLATE(B35795,""en"",""it"")"),"Quindi dimostra come può spostare la sella dopo averla abilitata.")</f>
        <v>Quindi dimostra come può spostare la sella dopo averla abilitata.</v>
      </c>
    </row>
    <row r="35796">
      <c r="A35796" s="4" t="s">
        <v>45027</v>
      </c>
      <c r="B35796" s="4" t="s">
        <v>45031</v>
      </c>
      <c r="C35796" s="5" t="str">
        <f>IFERROR(__xludf.DUMMYFUNCTION("GOOGLETRANSLATE(B35796,""en"",""it"")"),"Lo colpisce con la mano per spingere la sella inceppata.")</f>
        <v>Lo colpisce con la mano per spingere la sella inceppata.</v>
      </c>
    </row>
    <row r="35797">
      <c r="A35797" s="4" t="s">
        <v>45027</v>
      </c>
      <c r="B35797" s="4" t="s">
        <v>45032</v>
      </c>
      <c r="C35797" s="5" t="str">
        <f>IFERROR(__xludf.DUMMYFUNCTION("GOOGLETRANSLATE(B35797,""en"",""it"")"),"Quindi mostra come regolare la sella spostandola avanti e indietro.")</f>
        <v>Quindi mostra come regolare la sella spostandola avanti e indietro.</v>
      </c>
    </row>
    <row r="35798">
      <c r="A35798" s="4" t="s">
        <v>45027</v>
      </c>
      <c r="B35798" s="4" t="s">
        <v>45033</v>
      </c>
      <c r="C35798" s="5" t="str">
        <f>IFERROR(__xludf.DUMMYFUNCTION("GOOGLETRANSLATE(B35798,""en"",""it"")"),"In seguito dimostra come rimuovere la sella.")</f>
        <v>In seguito dimostra come rimuovere la sella.</v>
      </c>
    </row>
    <row r="35799">
      <c r="A35799" s="4" t="s">
        <v>45027</v>
      </c>
      <c r="B35799" s="4" t="s">
        <v>45034</v>
      </c>
      <c r="C35799" s="5" t="str">
        <f>IFERROR(__xludf.DUMMYFUNCTION("GOOGLETRANSLATE(B35799,""en"",""it"")"),"Mette quello nuovo e poi usa gli strumenti per stringerlo.")</f>
        <v>Mette quello nuovo e poi usa gli strumenti per stringerlo.</v>
      </c>
    </row>
    <row r="35800">
      <c r="A35800" s="4" t="s">
        <v>45027</v>
      </c>
      <c r="B35800" s="4" t="s">
        <v>45035</v>
      </c>
      <c r="C35800" s="5" t="str">
        <f>IFERROR(__xludf.DUMMYFUNCTION("GOOGLETRANSLATE(B35800,""en"",""it"")"),"Usa un cacciavite per serrare le viti e regolare il livello.")</f>
        <v>Usa un cacciavite per serrare le viti e regolare il livello.</v>
      </c>
    </row>
    <row r="35801">
      <c r="A35801" s="4" t="s">
        <v>45027</v>
      </c>
      <c r="B35801" s="6" t="s">
        <v>45036</v>
      </c>
      <c r="C35801" s="5" t="str">
        <f>IFERROR(__xludf.DUMMYFUNCTION("GOOGLETRANSLATE(B35801,""en"",""it"")"),"Quindi mostra un'altra sella e dimostra come stringere i bulloni per regolare il livello della sella.")</f>
        <v>Quindi mostra un'altra sella e dimostra come stringere i bulloni per regolare il livello della sella.</v>
      </c>
    </row>
    <row r="35802">
      <c r="A35802" s="4" t="s">
        <v>45027</v>
      </c>
      <c r="B35802" s="4" t="s">
        <v>45037</v>
      </c>
      <c r="C35802" s="5" t="str">
        <f>IFERROR(__xludf.DUMMYFUNCTION("GOOGLETRANSLATE(B35802,""en"",""it"")"),"Mostra come stringere il bullone per assicurarsi che la sella si adatta perfettamente.")</f>
        <v>Mostra come stringere il bullone per assicurarsi che la sella si adatta perfettamente.</v>
      </c>
    </row>
    <row r="35803">
      <c r="A35803" s="4" t="s">
        <v>45038</v>
      </c>
      <c r="B35803" s="4" t="s">
        <v>45039</v>
      </c>
      <c r="C35803" s="5" t="str">
        <f>IFERROR(__xludf.DUMMYFUNCTION("GOOGLETRANSLATE(B35803,""en"",""it"")"),"Un ragazzo in grigio lancia una palla contro un bambino dall'altra parte del campo.")</f>
        <v>Un ragazzo in grigio lancia una palla contro un bambino dall'altra parte del campo.</v>
      </c>
    </row>
    <row r="35804">
      <c r="A35804" s="4" t="s">
        <v>45038</v>
      </c>
      <c r="B35804" s="4" t="s">
        <v>45040</v>
      </c>
      <c r="C35804" s="5" t="str">
        <f>IFERROR(__xludf.DUMMYFUNCTION("GOOGLETRANSLATE(B35804,""en"",""it"")"),"Un ragazzo in blu fa uno straordinario capovolgimento in aria dopo aver preso la palla e atterra.")</f>
        <v>Un ragazzo in blu fa uno straordinario capovolgimento in aria dopo aver preso la palla e atterra.</v>
      </c>
    </row>
    <row r="35805">
      <c r="A35805" s="4" t="s">
        <v>45038</v>
      </c>
      <c r="B35805" s="4" t="s">
        <v>45041</v>
      </c>
      <c r="C35805" s="5" t="str">
        <f>IFERROR(__xludf.DUMMYFUNCTION("GOOGLETRANSLATE(B35805,""en"",""it"")"),"Lancia la palla all'altro bambino dopo l'atterraggio.")</f>
        <v>Lancia la palla all'altro bambino dopo l'atterraggio.</v>
      </c>
    </row>
    <row r="35806">
      <c r="A35806" s="4" t="s">
        <v>45038</v>
      </c>
      <c r="B35806" s="4" t="s">
        <v>45042</v>
      </c>
      <c r="C35806" s="5" t="str">
        <f>IFERROR(__xludf.DUMMYFUNCTION("GOOGLETRANSLATE(B35806,""en"",""it"")"),"Vengono osservati da un gruppo di bambini in piedi dietro di loro.")</f>
        <v>Vengono osservati da un gruppo di bambini in piedi dietro di loro.</v>
      </c>
    </row>
    <row r="35807">
      <c r="A35807" s="4" t="s">
        <v>45043</v>
      </c>
      <c r="B35807" s="4" t="s">
        <v>45044</v>
      </c>
      <c r="C35807" s="5" t="str">
        <f>IFERROR(__xludf.DUMMYFUNCTION("GOOGLETRANSLATE(B35807,""en"",""it"")"),"Quattro uomini stanno lavorando sul tetto di una casa.")</f>
        <v>Quattro uomini stanno lavorando sul tetto di una casa.</v>
      </c>
    </row>
    <row r="35808">
      <c r="A35808" s="4" t="s">
        <v>45043</v>
      </c>
      <c r="B35808" s="4" t="s">
        <v>45045</v>
      </c>
      <c r="C35808" s="5" t="str">
        <f>IFERROR(__xludf.DUMMYFUNCTION("GOOGLETRANSLATE(B35808,""en"",""it"")"),"Stanno raschiando le tegole con pale, bussando detriti a terra mentre lavorano.")</f>
        <v>Stanno raschiando le tegole con pale, bussando detriti a terra mentre lavorano.</v>
      </c>
    </row>
    <row r="35809">
      <c r="A35809" s="4" t="s">
        <v>45046</v>
      </c>
      <c r="B35809" s="4" t="s">
        <v>15882</v>
      </c>
      <c r="C35809" s="5" t="str">
        <f>IFERROR(__xludf.DUMMYFUNCTION("GOOGLETRANSLATE(B35809,""en"",""it"")"),"Vediamo gli schermi del titolo di apertura.")</f>
        <v>Vediamo gli schermi del titolo di apertura.</v>
      </c>
    </row>
    <row r="35810">
      <c r="A35810" s="4" t="s">
        <v>45046</v>
      </c>
      <c r="B35810" s="4" t="s">
        <v>45047</v>
      </c>
      <c r="C35810" s="5" t="str">
        <f>IFERROR(__xludf.DUMMYFUNCTION("GOOGLETRANSLATE(B35810,""en"",""it"")"),"Vediamo quindi gli uomini girare sul cavallo di pomel con schermi del titolo tagliati nel mezzo.")</f>
        <v>Vediamo quindi gli uomini girare sul cavallo di pomel con schermi del titolo tagliati nel mezzo.</v>
      </c>
    </row>
    <row r="35811">
      <c r="A35811" s="4" t="s">
        <v>45046</v>
      </c>
      <c r="B35811" s="4" t="s">
        <v>45048</v>
      </c>
      <c r="C35811" s="5" t="str">
        <f>IFERROR(__xludf.DUMMYFUNCTION("GOOGLETRANSLATE(B35811,""en"",""it"")"),"Vediamo un uomo che gli getta le gambe sul cavallo da pomolo.")</f>
        <v>Vediamo un uomo che gli getta le gambe sul cavallo da pomolo.</v>
      </c>
    </row>
    <row r="35812">
      <c r="A35812" s="4" t="s">
        <v>45046</v>
      </c>
      <c r="B35812" s="4" t="s">
        <v>45049</v>
      </c>
      <c r="C35812" s="5" t="str">
        <f>IFERROR(__xludf.DUMMYFUNCTION("GOOGLETRANSLATE(B35812,""en"",""it"")"),"Vediamo un uomo in rosso che si gira rapidamente attorno al cavallo da pomolo.")</f>
        <v>Vediamo un uomo in rosso che si gira rapidamente attorno al cavallo da pomolo.</v>
      </c>
    </row>
    <row r="35813">
      <c r="A35813" s="4" t="s">
        <v>45046</v>
      </c>
      <c r="B35813" s="4" t="s">
        <v>45050</v>
      </c>
      <c r="C35813" s="5" t="str">
        <f>IFERROR(__xludf.DUMMYFUNCTION("GOOGLETRANSLATE(B35813,""en"",""it"")"),"Un uomo in rosso e giallo gira velocemente sul pomo.")</f>
        <v>Un uomo in rosso e giallo gira velocemente sul pomo.</v>
      </c>
    </row>
    <row r="35814">
      <c r="A35814" s="4" t="s">
        <v>45046</v>
      </c>
      <c r="B35814" s="4" t="s">
        <v>45051</v>
      </c>
      <c r="C35814" s="5" t="str">
        <f>IFERROR(__xludf.DUMMYFUNCTION("GOOGLETRANSLATE(B35814,""en"",""it"")"),"Vediamo un uomo smontare il pomo e gettare le braccia in aria.")</f>
        <v>Vediamo un uomo smontare il pomo e gettare le braccia in aria.</v>
      </c>
    </row>
    <row r="35815">
      <c r="A35815" s="4" t="s">
        <v>45046</v>
      </c>
      <c r="B35815" s="4" t="s">
        <v>45052</v>
      </c>
      <c r="C35815" s="5" t="str">
        <f>IFERROR(__xludf.DUMMYFUNCTION("GOOGLETRANSLATE(B35815,""en"",""it"")"),"Vediamo quindi le scene di chiusura.")</f>
        <v>Vediamo quindi le scene di chiusura.</v>
      </c>
    </row>
    <row r="35816">
      <c r="A35816" s="4" t="s">
        <v>45053</v>
      </c>
      <c r="B35816" s="6" t="s">
        <v>45054</v>
      </c>
      <c r="C35816" s="5" t="str">
        <f>IFERROR(__xludf.DUMMYFUNCTION("GOOGLETRANSLATE(B35816,""en"",""it"")"),"Una donna tiene una scatola con luce UV per accendere la maniglia del frigorifero, la mano, il forno a microonde e gli utensili.")</f>
        <v>Una donna tiene una scatola con luce UV per accendere la maniglia del frigorifero, la mano, il forno a microonde e gli utensili.</v>
      </c>
    </row>
    <row r="35817">
      <c r="A35817" s="4" t="s">
        <v>45053</v>
      </c>
      <c r="B35817" s="4" t="s">
        <v>45055</v>
      </c>
      <c r="C35817" s="5" t="str">
        <f>IFERROR(__xludf.DUMMYFUNCTION("GOOGLETRANSLATE(B35817,""en"",""it"")"),"Quindi, la donna si lava e asciuga le mani e accendi una mano con la luce UV.")</f>
        <v>Quindi, la donna si lava e asciuga le mani e accendi una mano con la luce UV.</v>
      </c>
    </row>
    <row r="35818">
      <c r="A35818" s="4" t="s">
        <v>45053</v>
      </c>
      <c r="B35818" s="4" t="s">
        <v>45056</v>
      </c>
      <c r="C35818" s="5" t="str">
        <f>IFERROR(__xludf.DUMMYFUNCTION("GOOGLETRANSLATE(B35818,""en"",""it"")"),"Dopo, la donna si toglie l'anello e lava e lavale le mani con sapone e risciacquare con acqua.")</f>
        <v>Dopo, la donna si toglie l'anello e lava e lavale le mani con sapone e risciacquare con acqua.</v>
      </c>
    </row>
    <row r="35819">
      <c r="A35819" s="4" t="s">
        <v>45057</v>
      </c>
      <c r="B35819" s="4" t="s">
        <v>45058</v>
      </c>
      <c r="C35819" s="5" t="str">
        <f>IFERROR(__xludf.DUMMYFUNCTION("GOOGLETRANSLATE(B35819,""en"",""it"")"),"Un uomo tiene le clip contro una staffa posizionata su una scrivania di legno.")</f>
        <v>Un uomo tiene le clip contro una staffa posizionata su una scrivania di legno.</v>
      </c>
    </row>
    <row r="35820">
      <c r="A35820" s="4" t="s">
        <v>45057</v>
      </c>
      <c r="B35820" s="4" t="s">
        <v>45059</v>
      </c>
      <c r="C35820" s="5" t="str">
        <f>IFERROR(__xludf.DUMMYFUNCTION("GOOGLETRANSLATE(B35820,""en"",""it"")"),"Salda la staffa di metallo.")</f>
        <v>Salda la staffa di metallo.</v>
      </c>
    </row>
    <row r="35821">
      <c r="A35821" s="4" t="s">
        <v>45057</v>
      </c>
      <c r="B35821" s="4" t="s">
        <v>45060</v>
      </c>
      <c r="C35821" s="5" t="str">
        <f>IFERROR(__xludf.DUMMYFUNCTION("GOOGLETRANSLATE(B35821,""en"",""it"")"),"L'uomo termina la saldatura e raccoglie un bastone dalla scrivania di legno.")</f>
        <v>L'uomo termina la saldatura e raccoglie un bastone dalla scrivania di legno.</v>
      </c>
    </row>
    <row r="35822">
      <c r="A35822" s="4" t="s">
        <v>45061</v>
      </c>
      <c r="B35822" s="6" t="s">
        <v>45062</v>
      </c>
      <c r="C35822" s="5" t="str">
        <f>IFERROR(__xludf.DUMMYFUNCTION("GOOGLETRANSLATE(B35822,""en"",""it"")"),"Un uomo paffuto è in piedi fuori in un campo e lancia una palla di medicina gialla che dimostra l'esercizio per rafforzare gli atleti per il tiro messo.")</f>
        <v>Un uomo paffuto è in piedi fuori in un campo e lancia una palla di medicina gialla che dimostra l'esercizio per rafforzare gli atleti per il tiro messo.</v>
      </c>
    </row>
    <row r="35823">
      <c r="A35823" s="4" t="s">
        <v>45061</v>
      </c>
      <c r="B35823" s="6" t="s">
        <v>45063</v>
      </c>
      <c r="C35823" s="5" t="str">
        <f>IFERROR(__xludf.DUMMYFUNCTION("GOOGLETRANSLATE(B35823,""en"",""it"")"),"L'uomo viene quindi raffigurato in palestra facendo ripetizioni con il bar e poi inizia a lanciare una palla contro l'albero.")</f>
        <v>L'uomo viene quindi raffigurato in palestra facendo ripetizioni con il bar e poi inizia a lanciare una palla contro l'albero.</v>
      </c>
    </row>
    <row r="35824">
      <c r="A35824" s="4" t="s">
        <v>45061</v>
      </c>
      <c r="B35824" s="6" t="s">
        <v>45064</v>
      </c>
      <c r="C35824" s="5" t="str">
        <f>IFERROR(__xludf.DUMMYFUNCTION("GOOGLETRANSLATE(B35824,""en"",""it"")"),"Un altro ragazzo inizia quindi a lanciare un sacchetto di sabbia prima che l'uomo precedente torni e inizi a usare macchine ellittiche.")</f>
        <v>Un altro ragazzo inizia quindi a lanciare un sacchetto di sabbia prima che l'uomo precedente torni e inizi a usare macchine ellittiche.</v>
      </c>
    </row>
    <row r="35825">
      <c r="A35825" s="4" t="s">
        <v>45061</v>
      </c>
      <c r="B35825" s="6" t="s">
        <v>45065</v>
      </c>
      <c r="C35825" s="5" t="str">
        <f>IFERROR(__xludf.DUMMYFUNCTION("GOOGLETRANSLATE(B35825,""en"",""it"")"),"Una volta finito, torna in un campo e inizia a tirarli attraverso il campo e lanciando palline di bollitore.")</f>
        <v>Una volta finito, torna in un campo e inizia a tirarli attraverso il campo e lanciando palline di bollitore.</v>
      </c>
    </row>
    <row r="35826">
      <c r="A35826" s="4" t="s">
        <v>45066</v>
      </c>
      <c r="B35826" s="4" t="s">
        <v>45067</v>
      </c>
      <c r="C35826" s="5" t="str">
        <f>IFERROR(__xludf.DUMMYFUNCTION("GOOGLETRANSLATE(B35826,""en"",""it"")"),"Un uomo con un cappello è in piedi fuori parlando.")</f>
        <v>Un uomo con un cappello è in piedi fuori parlando.</v>
      </c>
    </row>
    <row r="35827">
      <c r="A35827" s="4" t="s">
        <v>45066</v>
      </c>
      <c r="B35827" s="4" t="s">
        <v>45068</v>
      </c>
      <c r="C35827" s="5" t="str">
        <f>IFERROR(__xludf.DUMMYFUNCTION("GOOGLETRANSLATE(B35827,""en"",""it"")"),"Le persone praticano la volta su un tappetino blu.")</f>
        <v>Le persone praticano la volta su un tappetino blu.</v>
      </c>
    </row>
    <row r="35828">
      <c r="A35828" s="4" t="s">
        <v>45066</v>
      </c>
      <c r="B35828" s="4" t="s">
        <v>45069</v>
      </c>
      <c r="C35828" s="5" t="str">
        <f>IFERROR(__xludf.DUMMYFUNCTION("GOOGLETRANSLATE(B35828,""en"",""it"")"),"Una persona sta saltando sopra gli ostacoli su una pista.")</f>
        <v>Una persona sta saltando sopra gli ostacoli su una pista.</v>
      </c>
    </row>
    <row r="35829">
      <c r="A35829" s="4" t="s">
        <v>45066</v>
      </c>
      <c r="B35829" s="4" t="s">
        <v>45070</v>
      </c>
      <c r="C35829" s="5" t="str">
        <f>IFERROR(__xludf.DUMMYFUNCTION("GOOGLETRANSLATE(B35829,""en"",""it"")"),"Le persone si sdraiano su un tappetino blu.")</f>
        <v>Le persone si sdraiano su un tappetino blu.</v>
      </c>
    </row>
    <row r="35830">
      <c r="A35830" s="4" t="s">
        <v>45071</v>
      </c>
      <c r="B35830" s="4" t="s">
        <v>45072</v>
      </c>
      <c r="C35830" s="5" t="str">
        <f>IFERROR(__xludf.DUMMYFUNCTION("GOOGLETRANSLATE(B35830,""en"",""it"")"),"Un gruppo è sulla spiaggia, giocando a pallavolo.")</f>
        <v>Un gruppo è sulla spiaggia, giocando a pallavolo.</v>
      </c>
    </row>
    <row r="35831">
      <c r="A35831" s="4" t="s">
        <v>45071</v>
      </c>
      <c r="B35831" s="4" t="s">
        <v>37395</v>
      </c>
      <c r="C35831" s="5" t="str">
        <f>IFERROR(__xludf.DUMMYFUNCTION("GOOGLETRANSLATE(B35831,""en"",""it"")"),"Lanciano la palla avanti e indietro sopra la rete.")</f>
        <v>Lanciano la palla avanti e indietro sopra la rete.</v>
      </c>
    </row>
    <row r="35832">
      <c r="A35832" s="4" t="s">
        <v>45071</v>
      </c>
      <c r="B35832" s="4" t="s">
        <v>45073</v>
      </c>
      <c r="C35832" s="5" t="str">
        <f>IFERROR(__xludf.DUMMYFUNCTION("GOOGLETRANSLATE(B35832,""en"",""it"")"),"La folla li rallegra mentre continuano la competizione.")</f>
        <v>La folla li rallegra mentre continuano la competizione.</v>
      </c>
    </row>
    <row r="35833">
      <c r="A35833" s="4" t="s">
        <v>45074</v>
      </c>
      <c r="B35833" s="4" t="s">
        <v>45075</v>
      </c>
      <c r="C35833" s="5" t="str">
        <f>IFERROR(__xludf.DUMMYFUNCTION("GOOGLETRANSLATE(B35833,""en"",""it"")"),"Vediamo uomini che giocano a hockey in una pista di pattinaggio.")</f>
        <v>Vediamo uomini che giocano a hockey in una pista di pattinaggio.</v>
      </c>
    </row>
    <row r="35834">
      <c r="A35834" s="4" t="s">
        <v>45074</v>
      </c>
      <c r="B35834" s="4" t="s">
        <v>45076</v>
      </c>
      <c r="C35834" s="5" t="str">
        <f>IFERROR(__xludf.DUMMYFUNCTION("GOOGLETRANSLATE(B35834,""en"",""it"")"),"Un giocatore in blu va dietro l'obiettivo vicino alla fotocamera.")</f>
        <v>Un giocatore in blu va dietro l'obiettivo vicino alla fotocamera.</v>
      </c>
    </row>
    <row r="35835">
      <c r="A35835" s="4" t="s">
        <v>45074</v>
      </c>
      <c r="B35835" s="4" t="s">
        <v>45077</v>
      </c>
      <c r="C35835" s="5" t="str">
        <f>IFERROR(__xludf.DUMMYFUNCTION("GOOGLETRANSLATE(B35835,""en"",""it"")"),"Il disco da hockey scivola oltre il portiere e nella rete del goal.")</f>
        <v>Il disco da hockey scivola oltre il portiere e nella rete del goal.</v>
      </c>
    </row>
    <row r="35836">
      <c r="A35836" s="4" t="s">
        <v>45074</v>
      </c>
      <c r="B35836" s="4" t="s">
        <v>45078</v>
      </c>
      <c r="C35836" s="5" t="str">
        <f>IFERROR(__xludf.DUMMYFUNCTION("GOOGLETRANSLATE(B35836,""en"",""it"")"),"Il portiere si alza da terra.")</f>
        <v>Il portiere si alza da terra.</v>
      </c>
    </row>
    <row r="35837">
      <c r="A35837" s="4" t="s">
        <v>45079</v>
      </c>
      <c r="B35837" s="4" t="s">
        <v>45080</v>
      </c>
      <c r="C35837" s="5" t="str">
        <f>IFERROR(__xludf.DUMMYFUNCTION("GOOGLETRANSLATE(B35837,""en"",""it"")"),"Una signora cammina verso un bilanciere.")</f>
        <v>Una signora cammina verso un bilanciere.</v>
      </c>
    </row>
    <row r="35838">
      <c r="A35838" s="4" t="s">
        <v>45079</v>
      </c>
      <c r="B35838" s="4" t="s">
        <v>45081</v>
      </c>
      <c r="C35838" s="5" t="str">
        <f>IFERROR(__xludf.DUMMYFUNCTION("GOOGLETRANSLATE(B35838,""en"",""it"")"),"Si china e afferra il palo.")</f>
        <v>Si china e afferra il palo.</v>
      </c>
    </row>
    <row r="35839">
      <c r="A35839" s="4" t="s">
        <v>45079</v>
      </c>
      <c r="B35839" s="4" t="s">
        <v>45082</v>
      </c>
      <c r="C35839" s="5" t="str">
        <f>IFERROR(__xludf.DUMMYFUNCTION("GOOGLETRANSLATE(B35839,""en"",""it"")"),"La signora si alza e solleva il peso sopra la sua testa.")</f>
        <v>La signora si alza e solleva il peso sopra la sua testa.</v>
      </c>
    </row>
    <row r="35840">
      <c r="A35840" s="4" t="s">
        <v>45079</v>
      </c>
      <c r="B35840" s="4" t="s">
        <v>45083</v>
      </c>
      <c r="C35840" s="5" t="str">
        <f>IFERROR(__xludf.DUMMYFUNCTION("GOOGLETRANSLATE(B35840,""en"",""it"")"),"La signora lascia cadere il bilanciere e sorride.")</f>
        <v>La signora lascia cadere il bilanciere e sorride.</v>
      </c>
    </row>
    <row r="35841">
      <c r="A35841" s="4" t="s">
        <v>45084</v>
      </c>
      <c r="B35841" s="4" t="s">
        <v>45085</v>
      </c>
      <c r="C35841" s="5" t="str">
        <f>IFERROR(__xludf.DUMMYFUNCTION("GOOGLETRANSLATE(B35841,""en"",""it"")"),"Una donna è in piedi in una cucina buia, parlando.")</f>
        <v>Una donna è in piedi in una cucina buia, parlando.</v>
      </c>
    </row>
    <row r="35842">
      <c r="A35842" s="4" t="s">
        <v>45084</v>
      </c>
      <c r="B35842" s="4" t="s">
        <v>45086</v>
      </c>
      <c r="C35842" s="5" t="str">
        <f>IFERROR(__xludf.DUMMYFUNCTION("GOOGLETRANSLATE(B35842,""en"",""it"")"),"Mostra un raffreddamento della torta su una griglia di metallo.")</f>
        <v>Mostra un raffreddamento della torta su una griglia di metallo.</v>
      </c>
    </row>
    <row r="35843">
      <c r="A35843" s="4" t="s">
        <v>45084</v>
      </c>
      <c r="B35843" s="4" t="s">
        <v>45087</v>
      </c>
      <c r="C35843" s="5" t="str">
        <f>IFERROR(__xludf.DUMMYFUNCTION("GOOGLETRANSLATE(B35843,""en"",""it"")"),"Dimostra come mescolare gli ingredienti in un mixer, quindi cuocere la torta.")</f>
        <v>Dimostra come mescolare gli ingredienti in un mixer, quindi cuocere la torta.</v>
      </c>
    </row>
    <row r="35844">
      <c r="A35844" s="4" t="s">
        <v>45084</v>
      </c>
      <c r="B35844" s="4" t="s">
        <v>45088</v>
      </c>
      <c r="C35844" s="5" t="str">
        <f>IFERROR(__xludf.DUMMYFUNCTION("GOOGLETRANSLATE(B35844,""en"",""it"")"),"Quando è fatto, lo trasforma sul rack per raffreddare.")</f>
        <v>Quando è fatto, lo trasforma sul rack per raffreddare.</v>
      </c>
    </row>
    <row r="35845">
      <c r="A35845" s="4" t="s">
        <v>45089</v>
      </c>
      <c r="B35845" s="6" t="s">
        <v>45090</v>
      </c>
      <c r="C35845" s="5" t="str">
        <f>IFERROR(__xludf.DUMMYFUNCTION("GOOGLETRANSLATE(B35845,""en"",""it"")"),"La donna è con due bambini a neve in una terra aperta e sono su una gonfiabile che scivola lungo una montagna.")</f>
        <v>La donna è con due bambini a neve in una terra aperta e sono su una gonfiabile che scivola lungo una montagna.</v>
      </c>
    </row>
    <row r="35846">
      <c r="A35846" s="4" t="s">
        <v>45089</v>
      </c>
      <c r="B35846" s="4" t="s">
        <v>45091</v>
      </c>
      <c r="C35846" s="5" t="str">
        <f>IFERROR(__xludf.DUMMYFUNCTION("GOOGLETRANSLATE(B35846,""en"",""it"")"),"I bambini camminano con il gonfiabile tra le mani attraverso il campo e corrono di nuovo in montagna.")</f>
        <v>I bambini camminano con il gonfiabile tra le mani attraverso il campo e corrono di nuovo in montagna.</v>
      </c>
    </row>
    <row r="35847">
      <c r="A35847" s="4" t="s">
        <v>45092</v>
      </c>
      <c r="B35847" s="6" t="s">
        <v>45093</v>
      </c>
      <c r="C35847" s="5" t="str">
        <f>IFERROR(__xludf.DUMMYFUNCTION("GOOGLETRANSLATE(B35847,""en"",""it"")"),"Un ragazzo ha una maglia da calcio in bianco e nero ed è seduto sul pavimento accanto a un letto e inizia a mettere su un lungo calzino di calcio nero.")</f>
        <v>Un ragazzo ha una maglia da calcio in bianco e nero ed è seduto sul pavimento accanto a un letto e inizia a mettere su un lungo calzino di calcio nero.</v>
      </c>
    </row>
    <row r="35848">
      <c r="A35848" s="4" t="s">
        <v>45092</v>
      </c>
      <c r="B35848" s="6" t="s">
        <v>45094</v>
      </c>
      <c r="C35848" s="5" t="str">
        <f>IFERROR(__xludf.DUMMYFUNCTION("GOOGLETRANSLATE(B35848,""en"",""it"")"),"Il ragazzo quindi raggiunge la sua guardia stinco e se la mette sulla gamba destra e poi si piega la calza su di esso.")</f>
        <v>Il ragazzo quindi raggiunge la sua guardia stinco e se la mette sulla gamba destra e poi si piega la calza su di esso.</v>
      </c>
    </row>
    <row r="35849">
      <c r="A35849" s="4" t="s">
        <v>45092</v>
      </c>
      <c r="B35849" s="6" t="s">
        <v>45095</v>
      </c>
      <c r="C35849" s="5" t="str">
        <f>IFERROR(__xludf.DUMMYFUNCTION("GOOGLETRANSLATE(B35849,""en"",""it"")"),"Una volta finito, si allunga per l'altro calzino e inizia a fare la stessa cosa sulla gamba sinistra.")</f>
        <v>Una volta finito, si allunga per l'altro calzino e inizia a fare la stessa cosa sulla gamba sinistra.</v>
      </c>
    </row>
    <row r="35850">
      <c r="A35850" s="4" t="s">
        <v>45092</v>
      </c>
      <c r="B35850" s="4" t="s">
        <v>45096</v>
      </c>
      <c r="C35850" s="5" t="str">
        <f>IFERROR(__xludf.DUMMYFUNCTION("GOOGLETRANSLATE(B35850,""en"",""it"")"),"Alla fine, si sposta sulle sue tacchetti e afferra un paio di tacchette di calcio adidas arancione e le lega.")</f>
        <v>Alla fine, si sposta sulle sue tacchetti e afferra un paio di tacchette di calcio adidas arancione e le lega.</v>
      </c>
    </row>
    <row r="35851">
      <c r="A35851" s="4" t="s">
        <v>45092</v>
      </c>
      <c r="B35851" s="4" t="s">
        <v>45097</v>
      </c>
      <c r="C35851" s="5" t="str">
        <f>IFERROR(__xludf.DUMMYFUNCTION("GOOGLETRANSLATE(B35851,""en"",""it"")"),"Tutto è completato e il bambino siede incrociato e inizia a parlare con la telecamera.")</f>
        <v>Tutto è completato e il bambino siede incrociato e inizia a parlare con la telecamera.</v>
      </c>
    </row>
    <row r="35852">
      <c r="A35852" s="4" t="s">
        <v>45098</v>
      </c>
      <c r="B35852" s="4" t="s">
        <v>45099</v>
      </c>
      <c r="C35852" s="5" t="str">
        <f>IFERROR(__xludf.DUMMYFUNCTION("GOOGLETRANSLATE(B35852,""en"",""it"")"),"Un ravvicinato si zoom su uno schermo.")</f>
        <v>Un ravvicinato si zoom su uno schermo.</v>
      </c>
    </row>
    <row r="35853">
      <c r="A35853" s="4" t="s">
        <v>45098</v>
      </c>
      <c r="B35853" s="4" t="s">
        <v>45100</v>
      </c>
      <c r="C35853" s="5" t="str">
        <f>IFERROR(__xludf.DUMMYFUNCTION("GOOGLETRANSLATE(B35853,""en"",""it"")"),"Diversi adulti e bambini sono all'aperto.")</f>
        <v>Diversi adulti e bambini sono all'aperto.</v>
      </c>
    </row>
    <row r="35854">
      <c r="A35854" s="4" t="s">
        <v>45098</v>
      </c>
      <c r="B35854" s="4" t="s">
        <v>45101</v>
      </c>
      <c r="C35854" s="5" t="str">
        <f>IFERROR(__xludf.DUMMYFUNCTION("GOOGLETRANSLATE(B35854,""en"",""it"")"),"I bambini stanno guidando bici da sporcizia in una competizione.")</f>
        <v>I bambini stanno guidando bici da sporcizia in una competizione.</v>
      </c>
    </row>
    <row r="35855">
      <c r="A35855" s="4" t="s">
        <v>45098</v>
      </c>
      <c r="B35855" s="4" t="s">
        <v>45102</v>
      </c>
      <c r="C35855" s="5" t="str">
        <f>IFERROR(__xludf.DUMMYFUNCTION("GOOGLETRANSLATE(B35855,""en"",""it"")"),"Vengono mostrati correre attorno a un percorso e sopra le colline e girare taglienti.")</f>
        <v>Vengono mostrati correre attorno a un percorso e sopra le colline e girare taglienti.</v>
      </c>
    </row>
    <row r="35856">
      <c r="A35856" s="4" t="s">
        <v>45098</v>
      </c>
      <c r="B35856" s="4" t="s">
        <v>45103</v>
      </c>
      <c r="C35856" s="5" t="str">
        <f>IFERROR(__xludf.DUMMYFUNCTION("GOOGLETRANSLATE(B35856,""en"",""it"")"),"Un ragazzo su una bici si ferma alla telecamera, guardando intensamente.")</f>
        <v>Un ragazzo su una bici si ferma alla telecamera, guardando intensamente.</v>
      </c>
    </row>
    <row r="35857">
      <c r="A35857" s="4" t="s">
        <v>45104</v>
      </c>
      <c r="B35857" s="4" t="s">
        <v>45105</v>
      </c>
      <c r="C35857" s="5" t="str">
        <f>IFERROR(__xludf.DUMMYFUNCTION("GOOGLETRANSLATE(B35857,""en"",""it"")"),"Un uomo si sporge sopra la telecamera che ha messo su un cane.")</f>
        <v>Un uomo si sporge sopra la telecamera che ha messo su un cane.</v>
      </c>
    </row>
    <row r="35858">
      <c r="A35858" s="4" t="s">
        <v>45104</v>
      </c>
      <c r="B35858" s="4" t="s">
        <v>45106</v>
      </c>
      <c r="C35858" s="5" t="str">
        <f>IFERROR(__xludf.DUMMYFUNCTION("GOOGLETRANSLATE(B35858,""en"",""it"")"),"Il cane corre attraverso diverse stanze della casa, quindi verso la porta e fuori.")</f>
        <v>Il cane corre attraverso diverse stanze della casa, quindi verso la porta e fuori.</v>
      </c>
    </row>
    <row r="35859">
      <c r="A35859" s="4" t="s">
        <v>45104</v>
      </c>
      <c r="B35859" s="4" t="s">
        <v>45107</v>
      </c>
      <c r="C35859" s="5" t="str">
        <f>IFERROR(__xludf.DUMMYFUNCTION("GOOGLETRANSLATE(B35859,""en"",""it"")"),"Fanno una passeggiata fuori con le persone e altri cani.")</f>
        <v>Fanno una passeggiata fuori con le persone e altri cani.</v>
      </c>
    </row>
    <row r="35860">
      <c r="A35860" s="4" t="s">
        <v>45104</v>
      </c>
      <c r="B35860" s="4" t="s">
        <v>45108</v>
      </c>
      <c r="C35860" s="5" t="str">
        <f>IFERROR(__xludf.DUMMYFUNCTION("GOOGLETRANSLATE(B35860,""en"",""it"")"),"Ritorna a casa e guarda nella sua ciotola d'acqua.")</f>
        <v>Ritorna a casa e guarda nella sua ciotola d'acqua.</v>
      </c>
    </row>
    <row r="35861">
      <c r="A35861" s="4" t="s">
        <v>45109</v>
      </c>
      <c r="B35861" s="4" t="s">
        <v>45110</v>
      </c>
      <c r="C35861" s="5" t="str">
        <f>IFERROR(__xludf.DUMMYFUNCTION("GOOGLETRANSLATE(B35861,""en"",""it"")"),"Una donna seduta sul pavimento parla con la telecamera mentre accarezza un cane.")</f>
        <v>Una donna seduta sul pavimento parla con la telecamera mentre accarezza un cane.</v>
      </c>
    </row>
    <row r="35862">
      <c r="A35862" s="4" t="s">
        <v>45109</v>
      </c>
      <c r="B35862" s="4" t="s">
        <v>45111</v>
      </c>
      <c r="C35862" s="5" t="str">
        <f>IFERROR(__xludf.DUMMYFUNCTION("GOOGLETRANSLATE(B35862,""en"",""it"")"),"La donna regge una sorta di strumento mentre parla con la telecamera.")</f>
        <v>La donna regge una sorta di strumento mentre parla con la telecamera.</v>
      </c>
    </row>
    <row r="35863">
      <c r="A35863" s="4" t="s">
        <v>45109</v>
      </c>
      <c r="B35863" s="4" t="s">
        <v>45112</v>
      </c>
      <c r="C35863" s="5" t="str">
        <f>IFERROR(__xludf.DUMMYFUNCTION("GOOGLETRANSLATE(B35863,""en"",""it"")"),"La donna usa lo strumento per spazzolare il cane mentre parla.")</f>
        <v>La donna usa lo strumento per spazzolare il cane mentre parla.</v>
      </c>
    </row>
    <row r="35864">
      <c r="A35864" s="4" t="s">
        <v>45109</v>
      </c>
      <c r="B35864" s="4" t="s">
        <v>45113</v>
      </c>
      <c r="C35864" s="5" t="str">
        <f>IFERROR(__xludf.DUMMYFUNCTION("GOOGLETRANSLATE(B35864,""en"",""it"")"),"La donna mette giù lo strumento e animali domestici mentre parla con la telecamera.")</f>
        <v>La donna mette giù lo strumento e animali domestici mentre parla con la telecamera.</v>
      </c>
    </row>
    <row r="35865">
      <c r="A35865" s="4" t="s">
        <v>45109</v>
      </c>
      <c r="B35865" s="4" t="s">
        <v>45114</v>
      </c>
      <c r="C35865" s="5" t="str">
        <f>IFERROR(__xludf.DUMMYFUNCTION("GOOGLETRANSLATE(B35865,""en"",""it"")"),"La donna parla alla telecamera dello strumento.")</f>
        <v>La donna parla alla telecamera dello strumento.</v>
      </c>
    </row>
    <row r="35866">
      <c r="A35866" s="4" t="s">
        <v>45109</v>
      </c>
      <c r="B35866" s="4" t="s">
        <v>45115</v>
      </c>
      <c r="C35866" s="5" t="str">
        <f>IFERROR(__xludf.DUMMYFUNCTION("GOOGLETRANSLATE(B35866,""en"",""it"")"),"Il cane e le donne si alzano da terra.")</f>
        <v>Il cane e le donne si alzano da terra.</v>
      </c>
    </row>
    <row r="35867">
      <c r="A35867" s="4" t="s">
        <v>45109</v>
      </c>
      <c r="B35867" s="4" t="s">
        <v>45116</v>
      </c>
      <c r="C35867" s="5" t="str">
        <f>IFERROR(__xludf.DUMMYFUNCTION("GOOGLETRANSLATE(B35867,""en"",""it"")"),"Viene mostrato un processo a trapelato di disegno di un emblema da gufo.")</f>
        <v>Viene mostrato un processo a trapelato di disegno di un emblema da gufo.</v>
      </c>
    </row>
    <row r="35868">
      <c r="A35868" s="4" t="s">
        <v>45117</v>
      </c>
      <c r="B35868" s="4" t="s">
        <v>45118</v>
      </c>
      <c r="C35868" s="5" t="str">
        <f>IFERROR(__xludf.DUMMYFUNCTION("GOOGLETRANSLATE(B35868,""en"",""it"")"),"Uno sciatore usa un drone del vento per spingerlo attraverso un pendio piatto.")</f>
        <v>Uno sciatore usa un drone del vento per spingerlo attraverso un pendio piatto.</v>
      </c>
    </row>
    <row r="35869">
      <c r="A35869" s="4" t="s">
        <v>45117</v>
      </c>
      <c r="B35869" s="4" t="s">
        <v>45119</v>
      </c>
      <c r="C35869" s="5" t="str">
        <f>IFERROR(__xludf.DUMMYFUNCTION("GOOGLETRANSLATE(B35869,""en"",""it"")"),"Lo sciatore usa il drone del vento per fare alcuni passaggi su una zona piatta di una stazione sciistica.")</f>
        <v>Lo sciatore usa il drone del vento per fare alcuni passaggi su una zona piatta di una stazione sciistica.</v>
      </c>
    </row>
    <row r="35870">
      <c r="A35870" s="4" t="s">
        <v>45117</v>
      </c>
      <c r="B35870" s="4" t="s">
        <v>45120</v>
      </c>
      <c r="C35870" s="5" t="str">
        <f>IFERROR(__xludf.DUMMYFUNCTION("GOOGLETRANSLATE(B35870,""en"",""it"")"),"La telecamera si panoramica attraverso l'area sciistica e le viste sulle montagne circostanti.")</f>
        <v>La telecamera si panoramica attraverso l'area sciistica e le viste sulle montagne circostanti.</v>
      </c>
    </row>
    <row r="35871">
      <c r="A35871" s="4" t="s">
        <v>45117</v>
      </c>
      <c r="B35871" s="4" t="s">
        <v>45121</v>
      </c>
      <c r="C35871" s="5" t="str">
        <f>IFERROR(__xludf.DUMMYFUNCTION("GOOGLETRANSLATE(B35871,""en"",""it"")"),"Lo sciatore passa su una grande area piatta che va molto velocemente.")</f>
        <v>Lo sciatore passa su una grande area piatta che va molto velocemente.</v>
      </c>
    </row>
    <row r="35872">
      <c r="A35872" s="4" t="s">
        <v>45122</v>
      </c>
      <c r="B35872" s="4" t="s">
        <v>45123</v>
      </c>
      <c r="C35872" s="5" t="str">
        <f>IFERROR(__xludf.DUMMYFUNCTION("GOOGLETRANSLATE(B35872,""en"",""it"")"),"Un uomo si accovaccia e solleva una barra di pesi in palestra.")</f>
        <v>Un uomo si accovaccia e solleva una barra di pesi in palestra.</v>
      </c>
    </row>
    <row r="35873">
      <c r="A35873" s="4" t="s">
        <v>45122</v>
      </c>
      <c r="B35873" s="4" t="s">
        <v>45124</v>
      </c>
      <c r="C35873" s="5" t="str">
        <f>IFERROR(__xludf.DUMMYFUNCTION("GOOGLETRANSLATE(B35873,""en"",""it"")"),"Getta la barra e si schianta sul pavimento e fa un respiro profondo.")</f>
        <v>Getta la barra e si schianta sul pavimento e fa un respiro profondo.</v>
      </c>
    </row>
    <row r="35874">
      <c r="A35874" s="4" t="s">
        <v>45125</v>
      </c>
      <c r="B35874" s="4" t="s">
        <v>45126</v>
      </c>
      <c r="C35874" s="5" t="str">
        <f>IFERROR(__xludf.DUMMYFUNCTION("GOOGLETRANSLATE(B35874,""en"",""it"")"),"Un bambino oscilla sulle barre delle scimmie.")</f>
        <v>Un bambino oscilla sulle barre delle scimmie.</v>
      </c>
    </row>
    <row r="35875">
      <c r="A35875" s="4" t="s">
        <v>45125</v>
      </c>
      <c r="B35875" s="4" t="s">
        <v>45127</v>
      </c>
      <c r="C35875" s="5" t="str">
        <f>IFERROR(__xludf.DUMMYFUNCTION("GOOGLETRANSLATE(B35875,""en"",""it"")"),"Il bambino smonta dalle barre delle scimmie.")</f>
        <v>Il bambino smonta dalle barre delle scimmie.</v>
      </c>
    </row>
    <row r="35876">
      <c r="A35876" s="4" t="s">
        <v>45125</v>
      </c>
      <c r="B35876" s="4" t="s">
        <v>45128</v>
      </c>
      <c r="C35876" s="5" t="str">
        <f>IFERROR(__xludf.DUMMYFUNCTION("GOOGLETRANSLATE(B35876,""en"",""it"")"),"Il bambino cammina verso la telecamera.")</f>
        <v>Il bambino cammina verso la telecamera.</v>
      </c>
    </row>
    <row r="35877">
      <c r="A35877" s="4" t="s">
        <v>45129</v>
      </c>
      <c r="B35877" s="6" t="s">
        <v>45130</v>
      </c>
      <c r="C35877" s="5" t="str">
        <f>IFERROR(__xludf.DUMMYFUNCTION("GOOGLETRANSLATE(B35877,""en"",""it"")"),"Il video mostra varie clip di lottatori di sumo che combattono su un anello mentre un arbitro e un pubblico guardano.")</f>
        <v>Il video mostra varie clip di lottatori di sumo che combattono su un anello mentre un arbitro e un pubblico guardano.</v>
      </c>
    </row>
    <row r="35878">
      <c r="A35878" s="4" t="s">
        <v>45129</v>
      </c>
      <c r="B35878" s="4" t="s">
        <v>45131</v>
      </c>
      <c r="C35878" s="5" t="str">
        <f>IFERROR(__xludf.DUMMYFUNCTION("GOOGLETRANSLATE(B35878,""en"",""it"")"),"Nella prima clip, un lottatore molto più grande lotta un uomo più piccolo che finisce per vincere.")</f>
        <v>Nella prima clip, un lottatore molto più grande lotta un uomo più piccolo che finisce per vincere.</v>
      </c>
    </row>
    <row r="35879">
      <c r="A35879" s="4" t="s">
        <v>45129</v>
      </c>
      <c r="B35879" s="4" t="s">
        <v>45132</v>
      </c>
      <c r="C35879" s="5" t="str">
        <f>IFERROR(__xludf.DUMMYFUNCTION("GOOGLETRANSLATE(B35879,""en"",""it"")"),"Il video continua con diverse altre clip di lottatori e come ogni lottatore vince il round.")</f>
        <v>Il video continua con diverse altre clip di lottatori e come ogni lottatore vince il round.</v>
      </c>
    </row>
    <row r="35880">
      <c r="A35880" s="4" t="s">
        <v>45129</v>
      </c>
      <c r="B35880" s="6" t="s">
        <v>45133</v>
      </c>
      <c r="C35880" s="5" t="str">
        <f>IFERROR(__xludf.DUMMYFUNCTION("GOOGLETRANSLATE(B35880,""en"",""it"")"),"Il video termina con uno spot comico in cui un wrestler di sumo più piccolo striscia sotto un altro molto grande e finisce bloccato nel suo outfit di sumo.")</f>
        <v>Il video termina con uno spot comico in cui un wrestler di sumo più piccolo striscia sotto un altro molto grande e finisce bloccato nel suo outfit di sumo.</v>
      </c>
    </row>
    <row r="35881">
      <c r="A35881" s="4" t="s">
        <v>45134</v>
      </c>
      <c r="B35881" s="4" t="s">
        <v>45135</v>
      </c>
      <c r="C35881" s="5" t="str">
        <f>IFERROR(__xludf.DUMMYFUNCTION("GOOGLETRANSLATE(B35881,""en"",""it"")"),"Una mascotte viene vista correre in un campo mentre la telecamera si muove attorno a un vasto pubblico.")</f>
        <v>Una mascotte viene vista correre in un campo mentre la telecamera si muove attorno a un vasto pubblico.</v>
      </c>
    </row>
    <row r="35882">
      <c r="A35882" s="4" t="s">
        <v>45134</v>
      </c>
      <c r="B35882" s="6" t="s">
        <v>45136</v>
      </c>
      <c r="C35882" s="5" t="str">
        <f>IFERROR(__xludf.DUMMYFUNCTION("GOOGLETRANSLATE(B35882,""en"",""it"")"),"Diverse mascotte vengono viste forare i bastoncini su un campo che camminano l'una verso l'altra e conducono a inseguire una palla.")</f>
        <v>Diverse mascotte vengono viste forare i bastoncini su un campo che camminano l'una verso l'altra e conducono a inseguire una palla.</v>
      </c>
    </row>
    <row r="35883">
      <c r="A35883" s="4" t="s">
        <v>45134</v>
      </c>
      <c r="B35883" s="6" t="s">
        <v>45137</v>
      </c>
      <c r="C35883" s="5" t="str">
        <f>IFERROR(__xludf.DUMMYFUNCTION("GOOGLETRANSLATE(B35883,""en"",""it"")"),"Il gruppo continua a correre per il campo mentre le mascotte continuano a inseguire la palla una dopo l'altra.")</f>
        <v>Il gruppo continua a correre per il campo mentre le mascotte continuano a inseguire la palla una dopo l'altra.</v>
      </c>
    </row>
    <row r="35884">
      <c r="A35884" s="4" t="s">
        <v>45138</v>
      </c>
      <c r="B35884" s="6" t="s">
        <v>45139</v>
      </c>
      <c r="C35884" s="5" t="str">
        <f>IFERROR(__xludf.DUMMYFUNCTION("GOOGLETRANSLATE(B35884,""en"",""it"")"),"Ci sono 3 persone in un negozio in una sezione di scarpe e ci sono due persone a terra che provano gli stivali.")</f>
        <v>Ci sono 3 persone in un negozio in una sezione di scarpe e ci sono due persone a terra che provano gli stivali.</v>
      </c>
    </row>
    <row r="35885">
      <c r="A35885" s="4" t="s">
        <v>45138</v>
      </c>
      <c r="B35885" s="4" t="s">
        <v>45140</v>
      </c>
      <c r="C35885" s="5" t="str">
        <f>IFERROR(__xludf.DUMMYFUNCTION("GOOGLETRANSLATE(B35885,""en"",""it"")"),"L'uomo a terra rimuove il suo stivale rosa, lo lancia sul lato e si alza sorridendo.")</f>
        <v>L'uomo a terra rimuove il suo stivale rosa, lo lancia sul lato e si alza sorridendo.</v>
      </c>
    </row>
    <row r="35886">
      <c r="A35886" s="4" t="s">
        <v>45138</v>
      </c>
      <c r="B35886" s="6" t="s">
        <v>45141</v>
      </c>
      <c r="C35886" s="5" t="str">
        <f>IFERROR(__xludf.DUMMYFUNCTION("GOOGLETRANSLATE(B35886,""en"",""it"")"),"La ragazza afferra il suo stivale rosa, lo prova con il piede destro e si siede lì modellandolo mentre parla con le persone intorno a lei.")</f>
        <v>La ragazza afferra il suo stivale rosa, lo prova con il piede destro e si siede lì modellandolo mentre parla con le persone intorno a lei.</v>
      </c>
    </row>
    <row r="35887">
      <c r="A35887" s="4" t="s">
        <v>45138</v>
      </c>
      <c r="B35887" s="4" t="s">
        <v>45142</v>
      </c>
      <c r="C35887" s="5" t="str">
        <f>IFERROR(__xludf.DUMMYFUNCTION("GOOGLETRANSLATE(B35887,""en"",""it"")"),"La ragazza quindi afferra lo stivale sinistro, rimuove la roba, la prova e si alza per modellarli.")</f>
        <v>La ragazza quindi afferra lo stivale sinistro, rimuove la roba, la prova e si alza per modellarli.</v>
      </c>
    </row>
    <row r="35888">
      <c r="A35888" s="4" t="s">
        <v>45138</v>
      </c>
      <c r="B35888" s="6" t="s">
        <v>45143</v>
      </c>
      <c r="C35888" s="5" t="str">
        <f>IFERROR(__xludf.DUMMYFUNCTION("GOOGLETRANSLATE(B35888,""en"",""it"")"),"La ragazza sta accanto al ragazzo e sorridono, lei dà un pollice in su e lui la abbraccia da dietro.")</f>
        <v>La ragazza sta accanto al ragazzo e sorridono, lei dà un pollice in su e lui la abbraccia da dietro.</v>
      </c>
    </row>
    <row r="35889">
      <c r="A35889" s="4" t="s">
        <v>45144</v>
      </c>
      <c r="B35889" s="6" t="s">
        <v>45145</v>
      </c>
      <c r="C35889" s="5" t="str">
        <f>IFERROR(__xludf.DUMMYFUNCTION("GOOGLETRANSLATE(B35889,""en"",""it"")"),"Un'immagine fissa di un uomo vestito con una camicia sotto armatura e un paio di pantaloni è in piedi in un punto in una pista da bowling.")</f>
        <v>Un'immagine fissa di un uomo vestito con una camicia sotto armatura e un paio di pantaloni è in piedi in un punto in una pista da bowling.</v>
      </c>
    </row>
    <row r="35890">
      <c r="A35890" s="4" t="s">
        <v>45144</v>
      </c>
      <c r="B35890" s="4" t="s">
        <v>45146</v>
      </c>
      <c r="C35890" s="5" t="str">
        <f>IFERROR(__xludf.DUMMYFUNCTION("GOOGLETRANSLATE(B35890,""en"",""it"")"),"L'uomo finalmente si muove e lancia la palla lungo il vicolo.")</f>
        <v>L'uomo finalmente si muove e lancia la palla lungo il vicolo.</v>
      </c>
    </row>
    <row r="35891">
      <c r="A35891" s="4" t="s">
        <v>45144</v>
      </c>
      <c r="B35891" s="6" t="s">
        <v>45147</v>
      </c>
      <c r="C35891" s="5" t="str">
        <f>IFERROR(__xludf.DUMMYFUNCTION("GOOGLETRANSLATE(B35891,""en"",""it"")"),"Dopo, viene mostrato un replay istantaneo del video tagliato e avvitato con un cerchio che evidenzia la palla prima che venga gettato lungo la corsia.")</f>
        <v>Dopo, viene mostrato un replay istantaneo del video tagliato e avvitato con un cerchio che evidenzia la palla prima che venga gettato lungo la corsia.</v>
      </c>
    </row>
    <row r="35892">
      <c r="A35892" s="4" t="s">
        <v>45148</v>
      </c>
      <c r="B35892" s="6" t="s">
        <v>45149</v>
      </c>
      <c r="C35892" s="5" t="str">
        <f>IFERROR(__xludf.DUMMYFUNCTION("GOOGLETRANSLATE(B35892,""en"",""it"")"),"Una donna dimostra come fare sit up, in una sala da palestra, usando una donna che sta simulando l'esercizio come esempio.")</f>
        <v>Una donna dimostra come fare sit up, in una sala da palestra, usando una donna che sta simulando l'esercizio come esempio.</v>
      </c>
    </row>
    <row r="35893">
      <c r="A35893" s="4" t="s">
        <v>45148</v>
      </c>
      <c r="B35893" s="4" t="s">
        <v>45150</v>
      </c>
      <c r="C35893" s="5" t="str">
        <f>IFERROR(__xludf.DUMMYFUNCTION("GOOGLETRANSLATE(B35893,""en"",""it"")"),"Una donna si inginocchia sui pavimenti in legno di una sala da palestra e parla con la telecamera.")</f>
        <v>Una donna si inginocchia sui pavimenti in legno di una sala da palestra e parla con la telecamera.</v>
      </c>
    </row>
    <row r="35894">
      <c r="A35894" s="4" t="s">
        <v>45148</v>
      </c>
      <c r="B35894" s="6" t="s">
        <v>45151</v>
      </c>
      <c r="C35894" s="5" t="str">
        <f>IFERROR(__xludf.DUMMYFUNCTION("GOOGLETRANSLATE(B35894,""en"",""it"")"),"La telecamera si lancia fuori e un'altra donna viene rivelata sdraiata sulla schiena su un tappetino da palestra mentre la donna che si inginocchia sopra di lei continua a parlare.")</f>
        <v>La telecamera si lancia fuori e un'altra donna viene rivelata sdraiata sulla schiena su un tappetino da palestra mentre la donna che si inginocchia sopra di lei continua a parlare.</v>
      </c>
    </row>
    <row r="35895">
      <c r="A35895" s="4" t="s">
        <v>45148</v>
      </c>
      <c r="B35895" s="6" t="s">
        <v>45152</v>
      </c>
      <c r="C35895" s="5" t="str">
        <f>IFERROR(__xludf.DUMMYFUNCTION("GOOGLETRANSLATE(B35895,""en"",""it"")"),"La donna sdraiata dimostra come sedersi e l'altra donna continua a parlare a volte toccando lo stomaco dell'altra donna.")</f>
        <v>La donna sdraiata dimostra come sedersi e l'altra donna continua a parlare a volte toccando lo stomaco dell'altra donna.</v>
      </c>
    </row>
    <row r="35896">
      <c r="A35896" s="4" t="s">
        <v>45153</v>
      </c>
      <c r="B35896" s="4" t="s">
        <v>45154</v>
      </c>
      <c r="C35896" s="5" t="str">
        <f>IFERROR(__xludf.DUMMYFUNCTION("GOOGLETRANSLATE(B35896,""en"",""it"")"),"Una persona è vista in piedi nel mezzo di un cerchio che lancia una discussione in lontananza.")</f>
        <v>Una persona è vista in piedi nel mezzo di un cerchio che lancia una discussione in lontananza.</v>
      </c>
    </row>
    <row r="35897">
      <c r="A35897" s="4" t="s">
        <v>45153</v>
      </c>
      <c r="B35897" s="4" t="s">
        <v>45155</v>
      </c>
      <c r="C35897" s="5" t="str">
        <f>IFERROR(__xludf.DUMMYFUNCTION("GOOGLETRANSLATE(B35897,""en"",""it"")"),"L'uomo torna più volte e viene mostrato continua a lanciare l'oggetto.")</f>
        <v>L'uomo torna più volte e viene mostrato continua a lanciare l'oggetto.</v>
      </c>
    </row>
    <row r="35898">
      <c r="A35898" s="4" t="s">
        <v>45153</v>
      </c>
      <c r="B35898" s="4" t="s">
        <v>45156</v>
      </c>
      <c r="C35898" s="5" t="str">
        <f>IFERROR(__xludf.DUMMYFUNCTION("GOOGLETRANSLATE(B35898,""en"",""it"")"),"L'uomo continua a girare mentre getta l'oggetto in lontananza.")</f>
        <v>L'uomo continua a girare mentre getta l'oggetto in lontananza.</v>
      </c>
    </row>
    <row r="35899">
      <c r="A35899" s="4" t="s">
        <v>45157</v>
      </c>
      <c r="B35899" s="4" t="s">
        <v>45158</v>
      </c>
      <c r="C35899" s="5" t="str">
        <f>IFERROR(__xludf.DUMMYFUNCTION("GOOGLETRANSLATE(B35899,""en"",""it"")"),"Due uomini sono in piedi in un'aula di tribunale giocando a squash.")</f>
        <v>Due uomini sono in piedi in un'aula di tribunale giocando a squash.</v>
      </c>
    </row>
    <row r="35900">
      <c r="A35900" s="4" t="s">
        <v>45157</v>
      </c>
      <c r="B35900" s="4" t="s">
        <v>45159</v>
      </c>
      <c r="C35900" s="5" t="str">
        <f>IFERROR(__xludf.DUMMYFUNCTION("GOOGLETRANSLATE(B35900,""en"",""it"")"),"L'uomo indossa una camicia bianca in piedi in un'aula di tribunale.")</f>
        <v>L'uomo indossa una camicia bianca in piedi in un'aula di tribunale.</v>
      </c>
    </row>
    <row r="35901">
      <c r="A35901" s="4" t="s">
        <v>45157</v>
      </c>
      <c r="B35901" s="4" t="s">
        <v>45160</v>
      </c>
      <c r="C35901" s="5" t="str">
        <f>IFERROR(__xludf.DUMMYFUNCTION("GOOGLETRANSLATE(B35901,""en"",""it"")"),"Gli uomini sono in piedi in un'aula di tribunale dietro porte trasparenti.")</f>
        <v>Gli uomini sono in piedi in un'aula di tribunale dietro porte trasparenti.</v>
      </c>
    </row>
    <row r="35902">
      <c r="A35902" s="4" t="s">
        <v>45161</v>
      </c>
      <c r="B35902" s="6" t="s">
        <v>45162</v>
      </c>
      <c r="C35902" s="5" t="str">
        <f>IFERROR(__xludf.DUMMYFUNCTION("GOOGLETRANSLATE(B35902,""en"",""it"")"),"Un bambino è in piedi fuori sul marciapiede che ha le braccia dietro la schiena con qualcosa.")</f>
        <v>Un bambino è in piedi fuori sul marciapiede che ha le braccia dietro la schiena con qualcosa.</v>
      </c>
    </row>
    <row r="35903">
      <c r="A35903" s="4" t="s">
        <v>45161</v>
      </c>
      <c r="B35903" s="4" t="s">
        <v>45163</v>
      </c>
      <c r="C35903" s="5" t="str">
        <f>IFERROR(__xludf.DUMMYFUNCTION("GOOGLETRANSLATE(B35903,""en"",""it"")"),"Quindi dal nulla inizia a girare la cosa in mano, sembra davvero pericoloso.")</f>
        <v>Quindi dal nulla inizia a girare la cosa in mano, sembra davvero pericoloso.</v>
      </c>
    </row>
    <row r="35904">
      <c r="A35904" s="4" t="s">
        <v>45161</v>
      </c>
      <c r="B35904" s="4" t="s">
        <v>45164</v>
      </c>
      <c r="C35904" s="5" t="str">
        <f>IFERROR(__xludf.DUMMYFUNCTION("GOOGLETRANSLATE(B35904,""en"",""it"")"),"Comincia a girarlo quando cattura molta velocità.")</f>
        <v>Comincia a girarlo quando cattura molta velocità.</v>
      </c>
    </row>
    <row r="35905">
      <c r="A35905" s="4" t="s">
        <v>45161</v>
      </c>
      <c r="B35905" s="4" t="s">
        <v>45165</v>
      </c>
      <c r="C35905" s="5" t="str">
        <f>IFERROR(__xludf.DUMMYFUNCTION("GOOGLETRANSLATE(B35905,""en"",""it"")"),"Poi improvvisamente perde il controllo e finisce per cadere a terra.")</f>
        <v>Poi improvvisamente perde il controllo e finisce per cadere a terra.</v>
      </c>
    </row>
    <row r="35906">
      <c r="A35906" s="4" t="s">
        <v>45166</v>
      </c>
      <c r="B35906" s="4" t="s">
        <v>45167</v>
      </c>
      <c r="C35906" s="5" t="str">
        <f>IFERROR(__xludf.DUMMYFUNCTION("GOOGLETRANSLATE(B35906,""en"",""it"")"),"Un uomo che indossa una camicia rossa sta decorando un albero di Natale.")</f>
        <v>Un uomo che indossa una camicia rossa sta decorando un albero di Natale.</v>
      </c>
    </row>
    <row r="35907">
      <c r="A35907" s="4" t="s">
        <v>45166</v>
      </c>
      <c r="B35907" s="4" t="s">
        <v>45168</v>
      </c>
      <c r="C35907" s="5" t="str">
        <f>IFERROR(__xludf.DUMMYFUNCTION("GOOGLETRANSLATE(B35907,""en"",""it"")"),"Sta usando luci bianche per avvolgere l'albero per decorarlo.")</f>
        <v>Sta usando luci bianche per avvolgere l'albero per decorarlo.</v>
      </c>
    </row>
    <row r="35908">
      <c r="A35908" s="4" t="s">
        <v>45166</v>
      </c>
      <c r="B35908" s="4" t="s">
        <v>45169</v>
      </c>
      <c r="C35908" s="5" t="str">
        <f>IFERROR(__xludf.DUMMYFUNCTION("GOOGLETRANSLATE(B35908,""en"",""it"")"),"Va intorno all'albero più volte.")</f>
        <v>Va intorno all'albero più volte.</v>
      </c>
    </row>
    <row r="35909">
      <c r="A35909" s="4" t="s">
        <v>45166</v>
      </c>
      <c r="B35909" s="4" t="s">
        <v>45170</v>
      </c>
      <c r="C35909" s="5" t="str">
        <f>IFERROR(__xludf.DUMMYFUNCTION("GOOGLETRANSLATE(B35909,""en"",""it"")"),"Quindi prende una ghirlanda di colore oro e avvolge l'albero.")</f>
        <v>Quindi prende una ghirlanda di colore oro e avvolge l'albero.</v>
      </c>
    </row>
    <row r="35910">
      <c r="A35910" s="4" t="s">
        <v>45166</v>
      </c>
      <c r="B35910" s="4" t="s">
        <v>45171</v>
      </c>
      <c r="C35910" s="5" t="str">
        <f>IFERROR(__xludf.DUMMYFUNCTION("GOOGLETRANSLATE(B35910,""en"",""it"")"),"Quindi accese le luci per illuminare l'albero.")</f>
        <v>Quindi accese le luci per illuminare l'albero.</v>
      </c>
    </row>
    <row r="35911">
      <c r="A35911" s="4" t="s">
        <v>45166</v>
      </c>
      <c r="B35911" s="4" t="s">
        <v>45172</v>
      </c>
      <c r="C35911" s="5" t="str">
        <f>IFERROR(__xludf.DUMMYFUNCTION("GOOGLETRANSLATE(B35911,""en"",""it"")"),"Quindi si trova oltre all'albero, indicandolo dopo che le luci si accendono.")</f>
        <v>Quindi si trova oltre all'albero, indicandolo dopo che le luci si accendono.</v>
      </c>
    </row>
    <row r="35912">
      <c r="A35912" s="4" t="s">
        <v>45173</v>
      </c>
      <c r="B35912" s="4" t="s">
        <v>45174</v>
      </c>
      <c r="C35912" s="5" t="str">
        <f>IFERROR(__xludf.DUMMYFUNCTION("GOOGLETRANSLATE(B35912,""en"",""it"")"),"Un uomo usa un tubo per spruzzare qualcosa di verticalmente su una parete di legno.")</f>
        <v>Un uomo usa un tubo per spruzzare qualcosa di verticalmente su una parete di legno.</v>
      </c>
    </row>
    <row r="35913">
      <c r="A35913" s="4" t="s">
        <v>45173</v>
      </c>
      <c r="B35913" s="4" t="s">
        <v>45175</v>
      </c>
      <c r="C35913" s="5" t="str">
        <f>IFERROR(__xludf.DUMMYFUNCTION("GOOGLETRANSLATE(B35913,""en"",""it"")"),"L'uomo si trasforma nella spruzzatura orizzontale sul muro.")</f>
        <v>L'uomo si trasforma nella spruzzatura orizzontale sul muro.</v>
      </c>
    </row>
    <row r="35914">
      <c r="A35914" s="4" t="s">
        <v>45173</v>
      </c>
      <c r="B35914" s="4" t="s">
        <v>45176</v>
      </c>
      <c r="C35914" s="5" t="str">
        <f>IFERROR(__xludf.DUMMYFUNCTION("GOOGLETRANSLATE(B35914,""en"",""it"")"),"L'uomo manipola la punta dell'ugello spray.")</f>
        <v>L'uomo manipola la punta dell'ugello spray.</v>
      </c>
    </row>
    <row r="35915">
      <c r="A35915" s="4" t="s">
        <v>45177</v>
      </c>
      <c r="B35915" s="6" t="s">
        <v>45178</v>
      </c>
      <c r="C35915" s="5" t="str">
        <f>IFERROR(__xludf.DUMMYFUNCTION("GOOGLETRANSLATE(B35915,""en"",""it"")"),"C'è una ginnasta da ragazza vestita con body blu lucenti che eseguono ginnastica in un bar di cavalli davanti a molti spettatori in una grande palestra.")</f>
        <v>C'è una ginnasta da ragazza vestita con body blu lucenti che eseguono ginnastica in un bar di cavalli davanti a molti spettatori in una grande palestra.</v>
      </c>
    </row>
    <row r="35916">
      <c r="A35916" s="4" t="s">
        <v>45177</v>
      </c>
      <c r="B35916" s="4" t="s">
        <v>45179</v>
      </c>
      <c r="C35916" s="5" t="str">
        <f>IFERROR(__xludf.DUMMYFUNCTION("GOOGLETRANSLATE(B35916,""en"",""it"")"),"Si mette sulla barra del cavallo e inizia a fare giri anteriori e giri posteriori.")</f>
        <v>Si mette sulla barra del cavallo e inizia a fare giri anteriori e giri posteriori.</v>
      </c>
    </row>
    <row r="35917">
      <c r="A35917" s="4" t="s">
        <v>45177</v>
      </c>
      <c r="B35917" s="4" t="s">
        <v>45180</v>
      </c>
      <c r="C35917" s="5" t="str">
        <f>IFERROR(__xludf.DUMMYFUNCTION("GOOGLETRANSLATE(B35917,""en"",""it"")"),"Quindi fa girare le spalle girate mentre atterrano saldamente sulla barra del cavallo.")</f>
        <v>Quindi fa girare le spalle girate mentre atterrano saldamente sulla barra del cavallo.</v>
      </c>
    </row>
    <row r="35918">
      <c r="A35918" s="4" t="s">
        <v>45177</v>
      </c>
      <c r="B35918" s="6" t="s">
        <v>45181</v>
      </c>
      <c r="C35918" s="5" t="str">
        <f>IFERROR(__xludf.DUMMYFUNCTION("GOOGLETRANSLATE(B35918,""en"",""it"")"),"Continua le sue mosse di ginnastica e poi salta saldamente dalla barra del cavallo e atterra a terra.")</f>
        <v>Continua le sue mosse di ginnastica e poi salta saldamente dalla barra del cavallo e atterra a terra.</v>
      </c>
    </row>
    <row r="35919">
      <c r="A35919" s="4" t="s">
        <v>45177</v>
      </c>
      <c r="B35919" s="4" t="s">
        <v>45182</v>
      </c>
      <c r="C35919" s="5" t="str">
        <f>IFERROR(__xludf.DUMMYFUNCTION("GOOGLETRANSLATE(B35919,""en"",""it"")"),"Dopo essere scesa dal bar, va e abbraccia il suo allenatore.")</f>
        <v>Dopo essere scesa dal bar, va e abbraccia il suo allenatore.</v>
      </c>
    </row>
    <row r="35920">
      <c r="A35920" s="4" t="s">
        <v>45177</v>
      </c>
      <c r="B35920" s="6" t="s">
        <v>45183</v>
      </c>
      <c r="C35920" s="5" t="str">
        <f>IFERROR(__xludf.DUMMYFUNCTION("GOOGLETRANSLATE(B35920,""en"",""it"")"),"Le azioni a rallentatore delle sue mosse di ginnastica vengono riprodotte per mostrare come è tornata a terra dalla barra del cavallo.")</f>
        <v>Le azioni a rallentatore delle sue mosse di ginnastica vengono riprodotte per mostrare come è tornata a terra dalla barra del cavallo.</v>
      </c>
    </row>
    <row r="35921">
      <c r="A35921" s="4" t="s">
        <v>45177</v>
      </c>
      <c r="B35921" s="4" t="s">
        <v>45184</v>
      </c>
      <c r="C35921" s="5" t="str">
        <f>IFERROR(__xludf.DUMMYFUNCTION("GOOGLETRANSLATE(B35921,""en"",""it"")"),"Quindi la ginnasta cammina oltre il punto in cui la giuria è seduta.")</f>
        <v>Quindi la ginnasta cammina oltre il punto in cui la giuria è seduta.</v>
      </c>
    </row>
    <row r="35922">
      <c r="A35922" s="4" t="s">
        <v>45185</v>
      </c>
      <c r="B35922" s="4" t="s">
        <v>45186</v>
      </c>
      <c r="C35922" s="5" t="str">
        <f>IFERROR(__xludf.DUMMYFUNCTION("GOOGLETRANSLATE(B35922,""en"",""it"")"),"Una donna è vista seduta su una roccia e afferrare il bucato da un secchio.")</f>
        <v>Una donna è vista seduta su una roccia e afferrare il bucato da un secchio.</v>
      </c>
    </row>
    <row r="35923">
      <c r="A35923" s="4" t="s">
        <v>45185</v>
      </c>
      <c r="B35923" s="4" t="s">
        <v>45187</v>
      </c>
      <c r="C35923" s="5" t="str">
        <f>IFERROR(__xludf.DUMMYFUNCTION("GOOGLETRANSLATE(B35923,""en"",""it"")"),"Quindi si strofina i vestiti con uno straccio mentre sorride alla telecamera.")</f>
        <v>Quindi si strofina i vestiti con uno straccio mentre sorride alla telecamera.</v>
      </c>
    </row>
    <row r="35924">
      <c r="A35924" s="4" t="s">
        <v>45185</v>
      </c>
      <c r="B35924" s="4" t="s">
        <v>45188</v>
      </c>
      <c r="C35924" s="5" t="str">
        <f>IFERROR(__xludf.DUMMYFUNCTION("GOOGLETRANSLATE(B35924,""en"",""it"")"),"Continua a pulire il panno colpendolo sul cemento e lavandolo con acqua.")</f>
        <v>Continua a pulire il panno colpendolo sul cemento e lavandolo con acqua.</v>
      </c>
    </row>
    <row r="35925">
      <c r="A35925" s="4" t="s">
        <v>45189</v>
      </c>
      <c r="B35925" s="4" t="s">
        <v>45190</v>
      </c>
      <c r="C35925" s="5" t="str">
        <f>IFERROR(__xludf.DUMMYFUNCTION("GOOGLETRANSLATE(B35925,""en"",""it"")"),"Un elicottero si vede guidare su un oceano in cui le persone vengono viste navigare.")</f>
        <v>Un elicottero si vede guidare su un oceano in cui le persone vengono viste navigare.</v>
      </c>
    </row>
    <row r="35926">
      <c r="A35926" s="4" t="s">
        <v>45189</v>
      </c>
      <c r="B35926" s="4" t="s">
        <v>45191</v>
      </c>
      <c r="C35926" s="5" t="str">
        <f>IFERROR(__xludf.DUMMYFUNCTION("GOOGLETRANSLATE(B35926,""en"",""it"")"),"Vengono mostrati diversi colpi di persone che cavalcano lungo l'acqua e altre sedute.")</f>
        <v>Vengono mostrati diversi colpi di persone che cavalcano lungo l'acqua e altre sedute.</v>
      </c>
    </row>
    <row r="35927">
      <c r="A35927" s="4" t="s">
        <v>45189</v>
      </c>
      <c r="B35927" s="4" t="s">
        <v>45192</v>
      </c>
      <c r="C35927" s="5" t="str">
        <f>IFERROR(__xludf.DUMMYFUNCTION("GOOGLETRANSLATE(B35927,""en"",""it"")"),"La gente continua a guidare lungo l'acqua mentre l'elicottero cavalca.")</f>
        <v>La gente continua a guidare lungo l'acqua mentre l'elicottero cavalca.</v>
      </c>
    </row>
    <row r="35928">
      <c r="A35928" s="4" t="s">
        <v>45193</v>
      </c>
      <c r="B35928" s="6" t="s">
        <v>45194</v>
      </c>
      <c r="C35928" s="5" t="str">
        <f>IFERROR(__xludf.DUMMYFUNCTION("GOOGLETRANSLATE(B35928,""en"",""it"")"),"I giovani ragazzi vengono mostrati giocando a ping pong tra loro in una grande palestra che serve una dopo l'altra.")</f>
        <v>I giovani ragazzi vengono mostrati giocando a ping pong tra loro in una grande palestra che serve una dopo l'altra.</v>
      </c>
    </row>
    <row r="35929">
      <c r="A35929" s="4" t="s">
        <v>45193</v>
      </c>
      <c r="B35929" s="6" t="s">
        <v>45195</v>
      </c>
      <c r="C35929" s="5" t="str">
        <f>IFERROR(__xludf.DUMMYFUNCTION("GOOGLETRANSLATE(B35929,""en"",""it"")"),"Un altro ragazzo si avvicina al tavolo e inizia a giocare con gli altri ragazzi, che poi si trasforma in due contro due partite di Ping Pong.")</f>
        <v>Un altro ragazzo si avvicina al tavolo e inizia a giocare con gli altri ragazzi, che poi si trasforma in due contro due partite di Ping Pong.</v>
      </c>
    </row>
    <row r="35930">
      <c r="A35930" s="4" t="s">
        <v>45193</v>
      </c>
      <c r="B35930" s="4" t="s">
        <v>45196</v>
      </c>
      <c r="C35930" s="5" t="str">
        <f>IFERROR(__xludf.DUMMYFUNCTION("GOOGLETRANSLATE(B35930,""en"",""it"")"),"I ragazzi si alternano servendo a caso e indietro punti.")</f>
        <v>I ragazzi si alternano servendo a caso e indietro punti.</v>
      </c>
    </row>
    <row r="35931">
      <c r="A35931" s="4" t="s">
        <v>45193</v>
      </c>
      <c r="B35931" s="6" t="s">
        <v>45197</v>
      </c>
      <c r="C35931" s="5" t="str">
        <f>IFERROR(__xludf.DUMMYFUNCTION("GOOGLETRANSLATE(B35931,""en"",""it"")"),"Il ragazzo che è stato mostrato per la prima volta sta giocando una terza partita ora che viene mantenuta da un ufficiale e segna i primi 4 punti.")</f>
        <v>Il ragazzo che è stato mostrato per la prima volta sta giocando una terza partita ora che viene mantenuta da un ufficiale e segna i primi 4 punti.</v>
      </c>
    </row>
    <row r="35932">
      <c r="A35932" s="4" t="s">
        <v>45193</v>
      </c>
      <c r="B35932" s="6" t="s">
        <v>45198</v>
      </c>
      <c r="C35932" s="5" t="str">
        <f>IFERROR(__xludf.DUMMYFUNCTION("GOOGLETRANSLATE(B35932,""en"",""it"")"),"Il ragazzo sta giocando un altro torneo con un bambino diverso a Ping Pong e sembra che sia un po 'indietro in punti.")</f>
        <v>Il ragazzo sta giocando un altro torneo con un bambino diverso a Ping Pong e sembra che sia un po 'indietro in punti.</v>
      </c>
    </row>
    <row r="35933">
      <c r="A35933" s="4" t="s">
        <v>45199</v>
      </c>
      <c r="B35933" s="4" t="s">
        <v>45200</v>
      </c>
      <c r="C35933" s="5" t="str">
        <f>IFERROR(__xludf.DUMMYFUNCTION("GOOGLETRANSLATE(B35933,""en"",""it"")"),"Un uomo sta mostrando la sua moto.")</f>
        <v>Un uomo sta mostrando la sua moto.</v>
      </c>
    </row>
    <row r="35934">
      <c r="A35934" s="4" t="s">
        <v>45199</v>
      </c>
      <c r="B35934" s="4" t="s">
        <v>45201</v>
      </c>
      <c r="C35934" s="5" t="str">
        <f>IFERROR(__xludf.DUMMYFUNCTION("GOOGLETRANSLATE(B35934,""en"",""it"")"),"Fa prima un piccolo discorso sulla sua bici.")</f>
        <v>Fa prima un piccolo discorso sulla sua bici.</v>
      </c>
    </row>
    <row r="35935">
      <c r="A35935" s="4" t="s">
        <v>45199</v>
      </c>
      <c r="B35935" s="4" t="s">
        <v>45202</v>
      </c>
      <c r="C35935" s="5" t="str">
        <f>IFERROR(__xludf.DUMMYFUNCTION("GOOGLETRANSLATE(B35935,""en"",""it"")"),"Quindi guida la sua bici in pista.")</f>
        <v>Quindi guida la sua bici in pista.</v>
      </c>
    </row>
    <row r="35936">
      <c r="A35936" s="4" t="s">
        <v>45199</v>
      </c>
      <c r="B35936" s="4" t="s">
        <v>45203</v>
      </c>
      <c r="C35936" s="5" t="str">
        <f>IFERROR(__xludf.DUMMYFUNCTION("GOOGLETRANSLATE(B35936,""en"",""it"")"),"Quindi fa rapide dimostrazioni su come si muove la sua bici e su come si trova.")</f>
        <v>Quindi fa rapide dimostrazioni su come si muove la sua bici e su come si trova.</v>
      </c>
    </row>
    <row r="35937">
      <c r="A35937" s="4" t="s">
        <v>45199</v>
      </c>
      <c r="B35937" s="4" t="s">
        <v>45204</v>
      </c>
      <c r="C35937" s="5" t="str">
        <f>IFERROR(__xludf.DUMMYFUNCTION("GOOGLETRANSLATE(B35937,""en"",""it"")"),"Quindi parla di più della sua bici mentre è seduto sulla sua bici.")</f>
        <v>Quindi parla di più della sua bici mentre è seduto sulla sua bici.</v>
      </c>
    </row>
    <row r="35938">
      <c r="A35938" s="4" t="s">
        <v>45199</v>
      </c>
      <c r="B35938" s="6" t="s">
        <v>45205</v>
      </c>
      <c r="C35938" s="5" t="str">
        <f>IFERROR(__xludf.DUMMYFUNCTION("GOOGLETRANSLATE(B35938,""en"",""it"")"),"Quindi guida attorno a una pista sporca piatta mentre taglia alcune volte i suoi discorsi che descrivono le sue tecniche.")</f>
        <v>Quindi guida attorno a una pista sporca piatta mentre taglia alcune volte i suoi discorsi che descrivono le sue tecniche.</v>
      </c>
    </row>
    <row r="35939">
      <c r="A35939" s="4" t="s">
        <v>45199</v>
      </c>
      <c r="B35939" s="4" t="s">
        <v>45206</v>
      </c>
      <c r="C35939" s="5" t="str">
        <f>IFERROR(__xludf.DUMMYFUNCTION("GOOGLETRANSLATE(B35939,""en"",""it"")"),"Termina parlando ancora della sua bici.")</f>
        <v>Termina parlando ancora della sua bici.</v>
      </c>
    </row>
    <row r="35940">
      <c r="A35940" s="4" t="s">
        <v>45207</v>
      </c>
      <c r="B35940" s="4" t="s">
        <v>45208</v>
      </c>
      <c r="C35940" s="5" t="str">
        <f>IFERROR(__xludf.DUMMYFUNCTION("GOOGLETRANSLATE(B35940,""en"",""it"")"),"Un nuotatore mette un paio di occhiali che si preparano.")</f>
        <v>Un nuotatore mette un paio di occhiali che si preparano.</v>
      </c>
    </row>
    <row r="35941">
      <c r="A35941" s="4" t="s">
        <v>45207</v>
      </c>
      <c r="B35941" s="6" t="s">
        <v>45209</v>
      </c>
      <c r="C35941" s="5" t="str">
        <f>IFERROR(__xludf.DUMMYFUNCTION("GOOGLETRANSLATE(B35941,""en"",""it"")"),"Il nuotatore tira un muscolo in piscina e salta sul ponte della piscina e si allunga la gamba.")</f>
        <v>Il nuotatore tira un muscolo in piscina e salta sul ponte della piscina e si allunga la gamba.</v>
      </c>
    </row>
    <row r="35942">
      <c r="A35942" s="4" t="s">
        <v>45207</v>
      </c>
      <c r="B35942" s="4" t="s">
        <v>45210</v>
      </c>
      <c r="C35942" s="5" t="str">
        <f>IFERROR(__xludf.DUMMYFUNCTION("GOOGLETRANSLATE(B35942,""en"",""it"")"),"Un nuotatore si tuffa da una tavola in acqua con un tuffo.")</f>
        <v>Un nuotatore si tuffa da una tavola in acqua con un tuffo.</v>
      </c>
    </row>
    <row r="35943">
      <c r="A35943" s="4" t="s">
        <v>45207</v>
      </c>
      <c r="B35943" s="4" t="s">
        <v>45211</v>
      </c>
      <c r="C35943" s="5" t="str">
        <f>IFERROR(__xludf.DUMMYFUNCTION("GOOGLETRANSLATE(B35943,""en"",""it"")"),"L'atleta nuota in una corsia e si tira insieme alla linea del galleggiante.")</f>
        <v>L'atleta nuota in una corsia e si tira insieme alla linea del galleggiante.</v>
      </c>
    </row>
    <row r="35944">
      <c r="A35944" s="4" t="s">
        <v>45207</v>
      </c>
      <c r="B35944" s="4" t="s">
        <v>45212</v>
      </c>
      <c r="C35944" s="5" t="str">
        <f>IFERROR(__xludf.DUMMYFUNCTION("GOOGLETRANSLATE(B35944,""en"",""it"")"),"Il nuotatore nuota sott'acqua e spinge dal pavimento della piscina.")</f>
        <v>Il nuotatore nuota sott'acqua e spinge dal pavimento della piscina.</v>
      </c>
    </row>
    <row r="35945">
      <c r="A35945" s="4" t="s">
        <v>45207</v>
      </c>
      <c r="B35945" s="4" t="s">
        <v>45213</v>
      </c>
      <c r="C35945" s="5" t="str">
        <f>IFERROR(__xludf.DUMMYFUNCTION("GOOGLETRANSLATE(B35945,""en"",""it"")"),"Il nuotatore fa un colpo di farfalla nella corsia della piscina.")</f>
        <v>Il nuotatore fa un colpo di farfalla nella corsia della piscina.</v>
      </c>
    </row>
    <row r="35946">
      <c r="A35946" s="4" t="s">
        <v>45214</v>
      </c>
      <c r="B35946" s="4" t="s">
        <v>45215</v>
      </c>
      <c r="C35946" s="5" t="str">
        <f>IFERROR(__xludf.DUMMYFUNCTION("GOOGLETRANSLATE(B35946,""en"",""it"")"),"Una ginnasta salta su un cavallo da pummel.")</f>
        <v>Una ginnasta salta su un cavallo da pummel.</v>
      </c>
    </row>
    <row r="35947">
      <c r="A35947" s="4" t="s">
        <v>45214</v>
      </c>
      <c r="B35947" s="6" t="s">
        <v>45216</v>
      </c>
      <c r="C35947" s="5" t="str">
        <f>IFERROR(__xludf.DUMMYFUNCTION("GOOGLETRANSLATE(B35947,""en"",""it"")"),"La ginnasta esegue molti giri attorno al cavallo mentre tiene sui due bar sul cavallo da pummel.")</f>
        <v>La ginnasta esegue molti giri attorno al cavallo mentre tiene sui due bar sul cavallo da pummel.</v>
      </c>
    </row>
    <row r="35948">
      <c r="A35948" s="4" t="s">
        <v>45214</v>
      </c>
      <c r="B35948" s="4" t="s">
        <v>45217</v>
      </c>
      <c r="C35948" s="5" t="str">
        <f>IFERROR(__xludf.DUMMYFUNCTION("GOOGLETRANSLATE(B35948,""en"",""it"")"),"Un paio di giudici guardano.")</f>
        <v>Un paio di giudici guardano.</v>
      </c>
    </row>
    <row r="35949">
      <c r="A35949" s="4" t="s">
        <v>45214</v>
      </c>
      <c r="B35949" s="4" t="s">
        <v>45218</v>
      </c>
      <c r="C35949" s="5" t="str">
        <f>IFERROR(__xludf.DUMMYFUNCTION("GOOGLETRANSLATE(B35949,""en"",""it"")"),"La ginnasta salta giù dal cavallo da pummel.")</f>
        <v>La ginnasta salta giù dal cavallo da pummel.</v>
      </c>
    </row>
    <row r="35950">
      <c r="A35950" s="4" t="s">
        <v>45219</v>
      </c>
      <c r="B35950" s="6" t="s">
        <v>45220</v>
      </c>
      <c r="C35950" s="5" t="str">
        <f>IFERROR(__xludf.DUMMYFUNCTION("GOOGLETRANSLATE(B35950,""en"",""it"")"),"Una ginnasta viene vista saltare su una serie di barre irregolari ed esegue una routine di ginnastica di fronte a una grande folla.")</f>
        <v>Una ginnasta viene vista saltare su una serie di barre irregolari ed esegue una routine di ginnastica di fronte a una grande folla.</v>
      </c>
    </row>
    <row r="35951">
      <c r="A35951" s="4" t="s">
        <v>45219</v>
      </c>
      <c r="B35951" s="6" t="s">
        <v>45221</v>
      </c>
      <c r="C35951" s="5" t="str">
        <f>IFERROR(__xludf.DUMMYFUNCTION("GOOGLETRANSLATE(B35951,""en"",""it"")"),"L'uomo gira intorno alle travi e finisce con lui che salta giù con le braccia e saluta la folla.")</f>
        <v>L'uomo gira intorno alle travi e finisce con lui che salta giù con le braccia e saluta la folla.</v>
      </c>
    </row>
    <row r="35952">
      <c r="A35952" s="4" t="s">
        <v>45222</v>
      </c>
      <c r="B35952" s="4" t="s">
        <v>45223</v>
      </c>
      <c r="C35952" s="5" t="str">
        <f>IFERROR(__xludf.DUMMYFUNCTION("GOOGLETRANSLATE(B35952,""en"",""it"")"),"Una donna che indossa un cappello è vista seduta dietro una grande serie di tamburi di bongo.")</f>
        <v>Una donna che indossa un cappello è vista seduta dietro una grande serie di tamburi di bongo.</v>
      </c>
    </row>
    <row r="35953">
      <c r="A35953" s="4" t="s">
        <v>45222</v>
      </c>
      <c r="B35953" s="4" t="s">
        <v>45224</v>
      </c>
      <c r="C35953" s="5" t="str">
        <f>IFERROR(__xludf.DUMMYFUNCTION("GOOGLETRANSLATE(B35953,""en"",""it"")"),"La donna suona continuamente alla batteria.")</f>
        <v>La donna suona continuamente alla batteria.</v>
      </c>
    </row>
    <row r="35954">
      <c r="A35954" s="4" t="s">
        <v>45222</v>
      </c>
      <c r="B35954" s="4" t="s">
        <v>45225</v>
      </c>
      <c r="C35954" s="5" t="str">
        <f>IFERROR(__xludf.DUMMYFUNCTION("GOOGLETRANSLATE(B35954,""en"",""it"")"),"La donna continua a colpire i tamburi e termina indicando la telecamera e alzandosi.")</f>
        <v>La donna continua a colpire i tamburi e termina indicando la telecamera e alzandosi.</v>
      </c>
    </row>
    <row r="35955">
      <c r="A35955" s="4" t="s">
        <v>45226</v>
      </c>
      <c r="B35955" s="4" t="s">
        <v>45227</v>
      </c>
      <c r="C35955" s="5" t="str">
        <f>IFERROR(__xludf.DUMMYFUNCTION("GOOGLETRANSLATE(B35955,""en"",""it"")"),"Una ragazza sta attraversando un set di barre di scimmia.")</f>
        <v>Una ragazza sta attraversando un set di barre di scimmia.</v>
      </c>
    </row>
    <row r="35956">
      <c r="A35956" s="4" t="s">
        <v>45226</v>
      </c>
      <c r="B35956" s="4" t="s">
        <v>45228</v>
      </c>
      <c r="C35956" s="5" t="str">
        <f>IFERROR(__xludf.DUMMYFUNCTION("GOOGLETRANSLATE(B35956,""en"",""it"")"),"Arriva alla fine e si trova su una tavola di legno.")</f>
        <v>Arriva alla fine e si trova su una tavola di legno.</v>
      </c>
    </row>
    <row r="35957">
      <c r="A35957" s="4" t="s">
        <v>45226</v>
      </c>
      <c r="B35957" s="4" t="s">
        <v>45229</v>
      </c>
      <c r="C35957" s="5" t="str">
        <f>IFERROR(__xludf.DUMMYFUNCTION("GOOGLETRANSLATE(B35957,""en"",""it"")"),"Quindi risale alle barre delle scimmie nell'altra direzione.")</f>
        <v>Quindi risale alle barre delle scimmie nell'altra direzione.</v>
      </c>
    </row>
    <row r="35958">
      <c r="A35958" s="4" t="s">
        <v>45226</v>
      </c>
      <c r="B35958" s="4" t="s">
        <v>45230</v>
      </c>
      <c r="C35958" s="5" t="str">
        <f>IFERROR(__xludf.DUMMYFUNCTION("GOOGLETRANSLATE(B35958,""en"",""it"")"),"Va in un'altra parte del parco giochi e salta su e giù.")</f>
        <v>Va in un'altra parte del parco giochi e salta su e giù.</v>
      </c>
    </row>
    <row r="35959">
      <c r="A35959" s="4" t="s">
        <v>45231</v>
      </c>
      <c r="B35959" s="6" t="s">
        <v>45232</v>
      </c>
      <c r="C35959" s="5" t="str">
        <f>IFERROR(__xludf.DUMMYFUNCTION("GOOGLETRANSLATE(B35959,""en"",""it"")"),"L'uomo è di fronte a un cassiere automatico e ne prende un po 'di soldi e vai a parlare con alcuni uomini in una stanza piena di persone.")</f>
        <v>L'uomo è di fronte a un cassiere automatico e ne prende un po 'di soldi e vai a parlare con alcuni uomini in una stanza piena di persone.</v>
      </c>
    </row>
    <row r="35960">
      <c r="A35960" s="4" t="s">
        <v>45231</v>
      </c>
      <c r="B35960" s="6" t="s">
        <v>45233</v>
      </c>
      <c r="C35960" s="5" t="str">
        <f>IFERROR(__xludf.DUMMYFUNCTION("GOOGLETRANSLATE(B35960,""en"",""it"")"),"Gli uomini sono seduti in un tavolo di blackjack e giocano in un casinò e si parlano mentre le persone guardano il gioco e camminano intorno al tavolo.")</f>
        <v>Gli uomini sono seduti in un tavolo di blackjack e giocano in un casinò e si parlano mentre le persone guardano il gioco e camminano intorno al tavolo.</v>
      </c>
    </row>
    <row r="35961">
      <c r="A35961" s="4" t="s">
        <v>45231</v>
      </c>
      <c r="B35961" s="4" t="s">
        <v>45234</v>
      </c>
      <c r="C35961" s="5" t="str">
        <f>IFERROR(__xludf.DUMMYFUNCTION("GOOGLETRANSLATE(B35961,""en"",""it"")"),"La traffico sta diffondendo le carte e gli uomini accendono un tabacco.")</f>
        <v>La traffico sta diffondendo le carte e gli uomini accendono un tabacco.</v>
      </c>
    </row>
    <row r="35962">
      <c r="A35962" s="4" t="s">
        <v>45235</v>
      </c>
      <c r="B35962" s="6" t="s">
        <v>45236</v>
      </c>
      <c r="C35962" s="5" t="str">
        <f>IFERROR(__xludf.DUMMYFUNCTION("GOOGLETRANSLATE(B35962,""en"",""it"")"),"Una donna lava una pentola con acqua insaponata mentre si trova con la schiena alla telecamera sul lavandino della cucina.")</f>
        <v>Una donna lava una pentola con acqua insaponata mentre si trova con la schiena alla telecamera sul lavandino della cucina.</v>
      </c>
    </row>
    <row r="35963">
      <c r="A35963" s="4" t="s">
        <v>45235</v>
      </c>
      <c r="B35963" s="6" t="s">
        <v>45237</v>
      </c>
      <c r="C35963" s="5" t="str">
        <f>IFERROR(__xludf.DUMMYFUNCTION("GOOGLETRANSLATE(B35963,""en"",""it"")"),"La donna si gira e parla alla telecamera mentre si lava la pentola e sorride un po 'mentre la telecamera cattura l'attività.")</f>
        <v>La donna si gira e parla alla telecamera mentre si lava la pentola e sorride un po 'mentre la telecamera cattura l'attività.</v>
      </c>
    </row>
    <row r="35964">
      <c r="A35964" s="4" t="s">
        <v>45235</v>
      </c>
      <c r="B35964" s="6" t="s">
        <v>45238</v>
      </c>
      <c r="C35964" s="5" t="str">
        <f>IFERROR(__xludf.DUMMYFUNCTION("GOOGLETRANSLATE(B35964,""en"",""it"")"),"La donna si sciacqua la pentola e poi si gira e la tiene in aria, gocciolando acqua, facendo una faccia spaventosa, come se stesse per attaccare l'uomo della telecamera con essa, ma poi si allontana dall'uomo della telecamera e verso il lavandino contator"&amp;"e.")</f>
        <v>La donna si sciacqua la pentola e poi si gira e la tiene in aria, gocciolando acqua, facendo una faccia spaventosa, come se stesse per attaccare l'uomo della telecamera con essa, ma poi si allontana dall'uomo della telecamera e verso il lavandino contatore.</v>
      </c>
    </row>
    <row r="35965">
      <c r="A35965" s="4" t="s">
        <v>45239</v>
      </c>
      <c r="B35965" s="4" t="s">
        <v>45240</v>
      </c>
      <c r="C35965" s="5" t="str">
        <f>IFERROR(__xludf.DUMMYFUNCTION("GOOGLETRANSLATE(B35965,""en"",""it"")"),"Due persone sono in camera dipingendo e ridecoranti.")</f>
        <v>Due persone sono in camera dipingendo e ridecoranti.</v>
      </c>
    </row>
    <row r="35966">
      <c r="A35966" s="4" t="s">
        <v>45239</v>
      </c>
      <c r="B35966" s="4" t="s">
        <v>45241</v>
      </c>
      <c r="C35966" s="5" t="str">
        <f>IFERROR(__xludf.DUMMYFUNCTION("GOOGLETRANSLATE(B35966,""en"",""it"")"),"Due uomini si alternano su e giù su una scala che mette in pasta sul muro per la carta da toele.")</f>
        <v>Due uomini si alternano su e giù su una scala che mette in pasta sul muro per la carta da toele.</v>
      </c>
    </row>
    <row r="35967">
      <c r="A35967" s="4" t="s">
        <v>45239</v>
      </c>
      <c r="B35967" s="6" t="s">
        <v>45242</v>
      </c>
      <c r="C35967" s="5" t="str">
        <f>IFERROR(__xludf.DUMMYFUNCTION("GOOGLETRANSLATE(B35967,""en"",""it"")"),"Queste azioni continuano a svolgersi fino a quando l'intera parete non è coperta da carta da parati bianche con grandi fiori blu mentre una ragazza si siede dietro una fila di libri.")</f>
        <v>Queste azioni continuano a svolgersi fino a quando l'intera parete non è coperta da carta da parati bianche con grandi fiori blu mentre una ragazza si siede dietro una fila di libri.</v>
      </c>
    </row>
    <row r="35968">
      <c r="A35968" s="4" t="s">
        <v>45243</v>
      </c>
      <c r="B35968" s="4" t="s">
        <v>45244</v>
      </c>
      <c r="C35968" s="5" t="str">
        <f>IFERROR(__xludf.DUMMYFUNCTION("GOOGLETRANSLATE(B35968,""en"",""it"")"),"Una donna con una camicia rossa è in piedi in una stanza.")</f>
        <v>Una donna con una camicia rossa è in piedi in una stanza.</v>
      </c>
    </row>
    <row r="35969">
      <c r="A35969" s="4" t="s">
        <v>45243</v>
      </c>
      <c r="B35969" s="4" t="s">
        <v>45245</v>
      </c>
      <c r="C35969" s="5" t="str">
        <f>IFERROR(__xludf.DUMMYFUNCTION("GOOGLETRANSLATE(B35969,""en"",""it"")"),"Comincia a allenarsi su un tappetino blu.")</f>
        <v>Comincia a allenarsi su un tappetino blu.</v>
      </c>
    </row>
    <row r="35970">
      <c r="A35970" s="4" t="s">
        <v>45243</v>
      </c>
      <c r="B35970" s="4" t="s">
        <v>45246</v>
      </c>
      <c r="C35970" s="5" t="str">
        <f>IFERROR(__xludf.DUMMYFUNCTION("GOOGLETRANSLATE(B35970,""en"",""it"")"),"Si ferma e parla con la telecamera.")</f>
        <v>Si ferma e parla con la telecamera.</v>
      </c>
    </row>
    <row r="35971">
      <c r="A35971" s="4" t="s">
        <v>45247</v>
      </c>
      <c r="B35971" s="4" t="s">
        <v>45248</v>
      </c>
      <c r="C35971" s="5" t="str">
        <f>IFERROR(__xludf.DUMMYFUNCTION("GOOGLETRANSLATE(B35971,""en"",""it"")"),"Una ginnasta si estende e si arrampica su un set di doppie barre parallele.")</f>
        <v>Una ginnasta si estende e si arrampica su un set di doppie barre parallele.</v>
      </c>
    </row>
    <row r="35972">
      <c r="A35972" s="4" t="s">
        <v>45247</v>
      </c>
      <c r="B35972" s="4" t="s">
        <v>45249</v>
      </c>
      <c r="C35972" s="5" t="str">
        <f>IFERROR(__xludf.DUMMYFUNCTION("GOOGLETRANSLATE(B35972,""en"",""it"")"),"La ginnasta fa una routine in una competizione sui doppi bar con giri e giri.")</f>
        <v>La ginnasta fa una routine in una competizione sui doppi bar con giri e giri.</v>
      </c>
    </row>
    <row r="35973">
      <c r="A35973" s="4" t="s">
        <v>45247</v>
      </c>
      <c r="B35973" s="4" t="s">
        <v>45250</v>
      </c>
      <c r="C35973" s="5" t="str">
        <f>IFERROR(__xludf.DUMMYFUNCTION("GOOGLETRANSLATE(B35973,""en"",""it"")"),"La ginnasta smontato dall'attrezzatura e atterra sul tappeto.")</f>
        <v>La ginnasta smontato dall'attrezzatura e atterra sul tappeto.</v>
      </c>
    </row>
    <row r="35974">
      <c r="A35974" s="4" t="s">
        <v>45251</v>
      </c>
      <c r="B35974" s="4" t="s">
        <v>1251</v>
      </c>
      <c r="C35974" s="5" t="str">
        <f>IFERROR(__xludf.DUMMYFUNCTION("GOOGLETRANSLATE(B35974,""en"",""it"")"),"Vengono visualizzati i crediti della clip.")</f>
        <v>Vengono visualizzati i crediti della clip.</v>
      </c>
    </row>
    <row r="35975">
      <c r="A35975" s="4" t="s">
        <v>45251</v>
      </c>
      <c r="B35975" s="4" t="s">
        <v>45252</v>
      </c>
      <c r="C35975" s="5" t="str">
        <f>IFERROR(__xludf.DUMMYFUNCTION("GOOGLETRANSLATE(B35975,""en"",""it"")"),"Un ragazzo sta per metà ginocchia su un pavimento in palestra.")</f>
        <v>Un ragazzo sta per metà ginocchia su un pavimento in palestra.</v>
      </c>
    </row>
    <row r="35976">
      <c r="A35976" s="4" t="s">
        <v>45251</v>
      </c>
      <c r="B35976" s="4" t="s">
        <v>45253</v>
      </c>
      <c r="C35976" s="5" t="str">
        <f>IFERROR(__xludf.DUMMYFUNCTION("GOOGLETRANSLATE(B35976,""en"",""it"")"),"Il ragazzo inizia a premere un peso in una mano.")</f>
        <v>Il ragazzo inizia a premere un peso in una mano.</v>
      </c>
    </row>
    <row r="35977">
      <c r="A35977" s="4" t="s">
        <v>45254</v>
      </c>
      <c r="B35977" s="4" t="s">
        <v>45255</v>
      </c>
      <c r="C35977" s="5" t="str">
        <f>IFERROR(__xludf.DUMMYFUNCTION("GOOGLETRANSLATE(B35977,""en"",""it"")"),"Ci sono diversi uomini che giocano a strati di guerra su un terreno sabbioso che è circondato da montagne.")</f>
        <v>Ci sono diversi uomini che giocano a strati di guerra su un terreno sabbioso che è circondato da montagne.</v>
      </c>
    </row>
    <row r="35978">
      <c r="A35978" s="4" t="s">
        <v>45254</v>
      </c>
      <c r="B35978" s="4" t="s">
        <v>45256</v>
      </c>
      <c r="C35978" s="5" t="str">
        <f>IFERROR(__xludf.DUMMYFUNCTION("GOOGLETRANSLATE(B35978,""en"",""it"")"),"Continuano a tirare la corda con la forza.")</f>
        <v>Continuano a tirare la corda con la forza.</v>
      </c>
    </row>
    <row r="35979">
      <c r="A35979" s="4" t="s">
        <v>45254</v>
      </c>
      <c r="B35979" s="4" t="s">
        <v>45257</v>
      </c>
      <c r="C35979" s="5" t="str">
        <f>IFERROR(__xludf.DUMMYFUNCTION("GOOGLETRANSLATE(B35979,""en"",""it"")"),"Diversi spettatori li guardano e li rallegrano mentre continuano a giocare.")</f>
        <v>Diversi spettatori li guardano e li rallegrano mentre continuano a giocare.</v>
      </c>
    </row>
    <row r="35980">
      <c r="A35980" s="4" t="s">
        <v>45254</v>
      </c>
      <c r="B35980" s="4" t="s">
        <v>45258</v>
      </c>
      <c r="C35980" s="5" t="str">
        <f>IFERROR(__xludf.DUMMYFUNCTION("GOOGLETRANSLATE(B35980,""en"",""it"")"),"I giocatori continuano a tirare la corda con la concentrazione.")</f>
        <v>I giocatori continuano a tirare la corda con la concentrazione.</v>
      </c>
    </row>
    <row r="35981">
      <c r="A35981" s="4" t="s">
        <v>45254</v>
      </c>
      <c r="B35981" s="4" t="s">
        <v>45259</v>
      </c>
      <c r="C35981" s="5" t="str">
        <f>IFERROR(__xludf.DUMMYFUNCTION("GOOGLETRANSLATE(B35981,""en"",""it"")"),"Alla fine la squadra vittoriosa alza le mani e rallegra e balla in cerchio.")</f>
        <v>Alla fine la squadra vittoriosa alza le mani e rallegra e balla in cerchio.</v>
      </c>
    </row>
    <row r="35982">
      <c r="A35982" s="4" t="s">
        <v>45260</v>
      </c>
      <c r="B35982" s="4" t="s">
        <v>45261</v>
      </c>
      <c r="C35982" s="5" t="str">
        <f>IFERROR(__xludf.DUMMYFUNCTION("GOOGLETRANSLATE(B35982,""en"",""it"")"),"Una giovane femmina preteen è in piedi nell'angolo di una stanza a parlare.")</f>
        <v>Una giovane femmina preteen è in piedi nell'angolo di una stanza a parlare.</v>
      </c>
    </row>
    <row r="35983">
      <c r="A35983" s="4" t="s">
        <v>45260</v>
      </c>
      <c r="B35983" s="4" t="s">
        <v>45262</v>
      </c>
      <c r="C35983" s="5" t="str">
        <f>IFERROR(__xludf.DUMMYFUNCTION("GOOGLETRANSLATE(B35983,""en"",""it"")"),"La ragazza viene quindi mostrata in un body luccicante all'interno di una palestra.")</f>
        <v>La ragazza viene quindi mostrata in un body luccicante all'interno di una palestra.</v>
      </c>
    </row>
    <row r="35984">
      <c r="A35984" s="4" t="s">
        <v>45260</v>
      </c>
      <c r="B35984" s="6" t="s">
        <v>45263</v>
      </c>
      <c r="C35984" s="5" t="str">
        <f>IFERROR(__xludf.DUMMYFUNCTION("GOOGLETRANSLATE(B35984,""en"",""it"")"),"Dopo, salta sul raggio di equilibrio e inizia a fare trucchi prima di capovolgere il raggio dell'equilibrio.")</f>
        <v>Dopo, salta sul raggio di equilibrio e inizia a fare trucchi prima di capovolgere il raggio dell'equilibrio.</v>
      </c>
    </row>
    <row r="35985">
      <c r="A35985" s="4" t="s">
        <v>45260</v>
      </c>
      <c r="B35985" s="4" t="s">
        <v>45264</v>
      </c>
      <c r="C35985" s="5" t="str">
        <f>IFERROR(__xludf.DUMMYFUNCTION("GOOGLETRANSLATE(B35985,""en"",""it"")"),"Quindi si ritira di nuovo alla telecamera, dice alcune brevi parole e ondate ciao.")</f>
        <v>Quindi si ritira di nuovo alla telecamera, dice alcune brevi parole e ondate ciao.</v>
      </c>
    </row>
    <row r="35986">
      <c r="A35986" s="4" t="s">
        <v>45265</v>
      </c>
      <c r="B35986" s="4" t="s">
        <v>45266</v>
      </c>
      <c r="C35986" s="5" t="str">
        <f>IFERROR(__xludf.DUMMYFUNCTION("GOOGLETRANSLATE(B35986,""en"",""it"")"),"Le persone giocano a shuffleboard all'interno e all'esterno.")</f>
        <v>Le persone giocano a shuffleboard all'interno e all'esterno.</v>
      </c>
    </row>
    <row r="35987">
      <c r="A35987" s="4" t="s">
        <v>45265</v>
      </c>
      <c r="B35987" s="4" t="s">
        <v>45267</v>
      </c>
      <c r="C35987" s="5" t="str">
        <f>IFERROR(__xludf.DUMMYFUNCTION("GOOGLETRANSLATE(B35987,""en"",""it"")"),"Una persona osserva quando le persone giocano a shuffleboard per strada.")</f>
        <v>Una persona osserva quando le persone giocano a shuffleboard per strada.</v>
      </c>
    </row>
    <row r="35988">
      <c r="A35988" s="4" t="s">
        <v>45265</v>
      </c>
      <c r="B35988" s="4" t="s">
        <v>45268</v>
      </c>
      <c r="C35988" s="5" t="str">
        <f>IFERROR(__xludf.DUMMYFUNCTION("GOOGLETRANSLATE(B35988,""en"",""it"")"),"Un paio di anziani giocano all'aperto.")</f>
        <v>Un paio di anziani giocano all'aperto.</v>
      </c>
    </row>
    <row r="35989">
      <c r="A35989" s="4" t="s">
        <v>45265</v>
      </c>
      <c r="B35989" s="4" t="s">
        <v>45269</v>
      </c>
      <c r="C35989" s="5" t="str">
        <f>IFERROR(__xludf.DUMMYFUNCTION("GOOGLETRANSLATE(B35989,""en"",""it"")"),"Altre persone giocano a shuffleboard spingendo le palle nel triangolo.")</f>
        <v>Altre persone giocano a shuffleboard spingendo le palle nel triangolo.</v>
      </c>
    </row>
    <row r="35990">
      <c r="A35990" s="4" t="s">
        <v>45270</v>
      </c>
      <c r="B35990" s="4" t="s">
        <v>45271</v>
      </c>
      <c r="C35990" s="5" t="str">
        <f>IFERROR(__xludf.DUMMYFUNCTION("GOOGLETRANSLATE(B35990,""en"",""it"")"),"Un uomo dimostra come lavare il sottoscocca di un'auto.")</f>
        <v>Un uomo dimostra come lavare il sottoscocca di un'auto.</v>
      </c>
    </row>
    <row r="35991">
      <c r="A35991" s="4" t="s">
        <v>45270</v>
      </c>
      <c r="B35991" s="4" t="s">
        <v>45272</v>
      </c>
      <c r="C35991" s="5" t="str">
        <f>IFERROR(__xludf.DUMMYFUNCTION("GOOGLETRANSLATE(B35991,""en"",""it"")"),"Un'auto viene mostrata attraverso un lavaggio commerciale.")</f>
        <v>Un'auto viene mostrata attraverso un lavaggio commerciale.</v>
      </c>
    </row>
    <row r="35992">
      <c r="A35992" s="4" t="s">
        <v>45270</v>
      </c>
      <c r="B35992" s="4" t="s">
        <v>45273</v>
      </c>
      <c r="C35992" s="5" t="str">
        <f>IFERROR(__xludf.DUMMYFUNCTION("GOOGLETRANSLATE(B35992,""en"",""it"")"),"Pubblicizzano la loro esperienza nel lavaggio delle auto.")</f>
        <v>Pubblicizzano la loro esperienza nel lavaggio delle auto.</v>
      </c>
    </row>
    <row r="35993">
      <c r="A35993" s="4" t="s">
        <v>45274</v>
      </c>
      <c r="B35993" s="4" t="s">
        <v>45275</v>
      </c>
      <c r="C35993" s="5" t="str">
        <f>IFERROR(__xludf.DUMMYFUNCTION("GOOGLETRANSLATE(B35993,""en"",""it"")"),"Una vecchia parla in un negozio di costumi.")</f>
        <v>Una vecchia parla in un negozio di costumi.</v>
      </c>
    </row>
    <row r="35994">
      <c r="A35994" s="4" t="s">
        <v>45274</v>
      </c>
      <c r="B35994" s="4" t="s">
        <v>45276</v>
      </c>
      <c r="C35994" s="5" t="str">
        <f>IFERROR(__xludf.DUMMYFUNCTION("GOOGLETRANSLATE(B35994,""en"",""it"")"),"Quindi mette un indumento sulla tavola di ferro, spruzza acqua e stira il collare.")</f>
        <v>Quindi mette un indumento sulla tavola di ferro, spruzza acqua e stira il collare.</v>
      </c>
    </row>
    <row r="35995">
      <c r="A35995" s="4" t="s">
        <v>45274</v>
      </c>
      <c r="B35995" s="4" t="s">
        <v>45277</v>
      </c>
      <c r="C35995" s="5" t="str">
        <f>IFERROR(__xludf.DUMMYFUNCTION("GOOGLETRANSLATE(B35995,""en"",""it"")"),"Dopo, la donna fa irruzione le maniche del capo e la parte del corpo.")</f>
        <v>Dopo, la donna fa irruzione le maniche del capo e la parte del corpo.</v>
      </c>
    </row>
    <row r="35996">
      <c r="A35996" s="4" t="s">
        <v>45274</v>
      </c>
      <c r="B35996" s="4" t="s">
        <v>45278</v>
      </c>
      <c r="C35996" s="5" t="str">
        <f>IFERROR(__xludf.DUMMYFUNCTION("GOOGLETRANSLATE(B35996,""en"",""it"")"),"Successivamente, la donna mostra il capo stirato.")</f>
        <v>Successivamente, la donna mostra il capo stirato.</v>
      </c>
    </row>
    <row r="35997">
      <c r="A35997" s="4" t="s">
        <v>45279</v>
      </c>
      <c r="B35997" s="4" t="s">
        <v>45280</v>
      </c>
      <c r="C35997" s="5" t="str">
        <f>IFERROR(__xludf.DUMMYFUNCTION("GOOGLETRANSLATE(B35997,""en"",""it"")"),"Un uomo è uno sfondo appeso a un muro.")</f>
        <v>Un uomo è uno sfondo appeso a un muro.</v>
      </c>
    </row>
    <row r="35998">
      <c r="A35998" s="4" t="s">
        <v>45279</v>
      </c>
      <c r="B35998" s="4" t="s">
        <v>45281</v>
      </c>
      <c r="C35998" s="5" t="str">
        <f>IFERROR(__xludf.DUMMYFUNCTION("GOOGLETRANSLATE(B35998,""en"",""it"")"),"Si stacca il lato appiccicoso dalla carta di supporto.")</f>
        <v>Si stacca il lato appiccicoso dalla carta di supporto.</v>
      </c>
    </row>
    <row r="35999">
      <c r="A35999" s="4" t="s">
        <v>45279</v>
      </c>
      <c r="B35999" s="4" t="s">
        <v>45282</v>
      </c>
      <c r="C35999" s="5" t="str">
        <f>IFERROR(__xludf.DUMMYFUNCTION("GOOGLETRANSLATE(B35999,""en"",""it"")"),"Ora sta applicando il lato appiccicoso della carta al muro.")</f>
        <v>Ora sta applicando il lato appiccicoso della carta al muro.</v>
      </c>
    </row>
    <row r="36000">
      <c r="A36000" s="4" t="s">
        <v>45279</v>
      </c>
      <c r="B36000" s="4" t="s">
        <v>45283</v>
      </c>
      <c r="C36000" s="5" t="str">
        <f>IFERROR(__xludf.DUMMYFUNCTION("GOOGLETRANSLATE(B36000,""en"",""it"")"),"Ripete questo più volte in diverse parti del muro.")</f>
        <v>Ripete questo più volte in diverse parti del muro.</v>
      </c>
    </row>
    <row r="36001">
      <c r="A36001" s="4" t="s">
        <v>45284</v>
      </c>
      <c r="B36001" s="4" t="s">
        <v>45285</v>
      </c>
      <c r="C36001" s="5" t="str">
        <f>IFERROR(__xludf.DUMMYFUNCTION("GOOGLETRANSLATE(B36001,""en"",""it"")"),"Una donna di notizie sta parlando da una sala da notizie.")</f>
        <v>Una donna di notizie sta parlando da una sala da notizie.</v>
      </c>
    </row>
    <row r="36002">
      <c r="A36002" s="4" t="s">
        <v>45284</v>
      </c>
      <c r="B36002" s="4" t="s">
        <v>45286</v>
      </c>
      <c r="C36002" s="5" t="str">
        <f>IFERROR(__xludf.DUMMYFUNCTION("GOOGLETRANSLATE(B36002,""en"",""it"")"),"Quindi vediamo video di Breaking News sullo schermo.")</f>
        <v>Quindi vediamo video di Breaking News sullo schermo.</v>
      </c>
    </row>
    <row r="36003">
      <c r="A36003" s="4" t="s">
        <v>45284</v>
      </c>
      <c r="B36003" s="6" t="s">
        <v>45287</v>
      </c>
      <c r="C36003" s="5" t="str">
        <f>IFERROR(__xludf.DUMMYFUNCTION("GOOGLETRANSLATE(B36003,""en"",""it"")"),"Una donna viene mostrata a bere una specie di fluido su un coraggio e le donne si alternano bevendo il liquido.")</f>
        <v>Una donna viene mostrata a bere una specie di fluido su un coraggio e le donne si alternano bevendo il liquido.</v>
      </c>
    </row>
    <row r="36004">
      <c r="A36004" s="4" t="s">
        <v>45288</v>
      </c>
      <c r="B36004" s="6" t="s">
        <v>45289</v>
      </c>
      <c r="C36004" s="5" t="str">
        <f>IFERROR(__xludf.DUMMYFUNCTION("GOOGLETRANSLATE(B36004,""en"",""it"")"),"Un uomo e una donna vestiti con stand nero e rosso nel mezzo di una stanza circondati da una grande quantità di persone sedute e guardarle.")</f>
        <v>Un uomo e una donna vestiti con stand nero e rosso nel mezzo di una stanza circondati da una grande quantità di persone sedute e guardarle.</v>
      </c>
    </row>
    <row r="36005">
      <c r="A36005" s="4" t="s">
        <v>45288</v>
      </c>
      <c r="B36005" s="4" t="s">
        <v>45290</v>
      </c>
      <c r="C36005" s="5" t="str">
        <f>IFERROR(__xludf.DUMMYFUNCTION("GOOGLETRANSLATE(B36005,""en"",""it"")"),"Ballano e ballano lavorando molto bene insieme.")</f>
        <v>Ballano e ballano lavorando molto bene insieme.</v>
      </c>
    </row>
    <row r="36006">
      <c r="A36006" s="4" t="s">
        <v>45288</v>
      </c>
      <c r="B36006" s="4" t="s">
        <v>45291</v>
      </c>
      <c r="C36006" s="5" t="str">
        <f>IFERROR(__xludf.DUMMYFUNCTION("GOOGLETRANSLATE(B36006,""en"",""it"")"),"Si girano e si girano e fanno persino tutti i tipi di belle mosse insieme.")</f>
        <v>Si girano e si girano e fanno persino tutti i tipi di belle mosse insieme.</v>
      </c>
    </row>
    <row r="36007">
      <c r="A36007" s="4" t="s">
        <v>45288</v>
      </c>
      <c r="B36007" s="6" t="s">
        <v>45292</v>
      </c>
      <c r="C36007" s="5" t="str">
        <f>IFERROR(__xludf.DUMMYFUNCTION("GOOGLETRANSLATE(B36007,""en"",""it"")"),"L'uomo si china e fa oscillare la femmina sulla schiena dove si capovolge e termina la danza.")</f>
        <v>L'uomo si china e fa oscillare la femmina sulla schiena dove si capovolge e termina la danza.</v>
      </c>
    </row>
    <row r="36008">
      <c r="A36008" s="4" t="s">
        <v>45293</v>
      </c>
      <c r="B36008" s="4" t="s">
        <v>45294</v>
      </c>
      <c r="C36008" s="5" t="str">
        <f>IFERROR(__xludf.DUMMYFUNCTION("GOOGLETRANSLATE(B36008,""en"",""it"")"),"Una ragazza è seduta a parlare della telecamera.")</f>
        <v>Una ragazza è seduta a parlare della telecamera.</v>
      </c>
    </row>
    <row r="36009">
      <c r="A36009" s="4" t="s">
        <v>45293</v>
      </c>
      <c r="B36009" s="4" t="s">
        <v>45295</v>
      </c>
      <c r="C36009" s="5" t="str">
        <f>IFERROR(__xludf.DUMMYFUNCTION("GOOGLETRANSLATE(B36009,""en"",""it"")"),"La ragazza punta a terra la telecamera.")</f>
        <v>La ragazza punta a terra la telecamera.</v>
      </c>
    </row>
    <row r="36010">
      <c r="A36010" s="4" t="s">
        <v>45293</v>
      </c>
      <c r="B36010" s="4" t="s">
        <v>45296</v>
      </c>
      <c r="C36010" s="5" t="str">
        <f>IFERROR(__xludf.DUMMYFUNCTION("GOOGLETRANSLATE(B36010,""en"",""it"")"),"Una metà manicure di un'altra ragazza è vista sul pavimento.")</f>
        <v>Una metà manicure di un'altra ragazza è vista sul pavimento.</v>
      </c>
    </row>
    <row r="36011">
      <c r="A36011" s="4" t="s">
        <v>45293</v>
      </c>
      <c r="B36011" s="4" t="s">
        <v>45297</v>
      </c>
      <c r="C36011" s="5" t="str">
        <f>IFERROR(__xludf.DUMMYFUNCTION("GOOGLETRANSLATE(B36011,""en"",""it"")"),"La prima ragazza procede a lucidare le unghie della seconda ragazza.")</f>
        <v>La prima ragazza procede a lucidare le unghie della seconda ragazza.</v>
      </c>
    </row>
    <row r="36012">
      <c r="A36012" s="4" t="s">
        <v>45298</v>
      </c>
      <c r="B36012" s="4" t="s">
        <v>45299</v>
      </c>
      <c r="C36012" s="5" t="str">
        <f>IFERROR(__xludf.DUMMYFUNCTION("GOOGLETRANSLATE(B36012,""en"",""it"")"),"Una cheerleader si esibisce con grazia usando una canna che gira nella mano destra.")</f>
        <v>Una cheerleader si esibisce con grazia usando una canna che gira nella mano destra.</v>
      </c>
    </row>
    <row r="36013">
      <c r="A36013" s="4" t="s">
        <v>45298</v>
      </c>
      <c r="B36013" s="4" t="s">
        <v>45300</v>
      </c>
      <c r="C36013" s="5" t="str">
        <f>IFERROR(__xludf.DUMMYFUNCTION("GOOGLETRANSLATE(B36013,""en"",""it"")"),"Quindi, prende un'altra canna per esibirsi e gira allo stesso tempo le aste.")</f>
        <v>Quindi, prende un'altra canna per esibirsi e gira allo stesso tempo le aste.</v>
      </c>
    </row>
    <row r="36014">
      <c r="A36014" s="4" t="s">
        <v>45298</v>
      </c>
      <c r="B36014" s="4" t="s">
        <v>45301</v>
      </c>
      <c r="C36014" s="5" t="str">
        <f>IFERROR(__xludf.DUMMYFUNCTION("GOOGLETRANSLATE(B36014,""en"",""it"")"),"Dopo, la cheerleader ha messo un'asta sul pavimento e continua a esibirsi solo con una canna.")</f>
        <v>Dopo, la cheerleader ha messo un'asta sul pavimento e continua a esibirsi solo con una canna.</v>
      </c>
    </row>
    <row r="36015">
      <c r="A36015" s="4" t="s">
        <v>45302</v>
      </c>
      <c r="B36015" s="6" t="s">
        <v>45303</v>
      </c>
      <c r="C36015" s="5" t="str">
        <f>IFERROR(__xludf.DUMMYFUNCTION("GOOGLETRANSLATE(B36015,""en"",""it"")"),"Una classe di bambini è all'esterno a scuola vestita con uniformi con il loro insegnante in piedi accanto a loro.")</f>
        <v>Una classe di bambini è all'esterno a scuola vestita con uniformi con il loro insegnante in piedi accanto a loro.</v>
      </c>
    </row>
    <row r="36016">
      <c r="A36016" s="4" t="s">
        <v>45302</v>
      </c>
      <c r="B36016" s="6" t="s">
        <v>45304</v>
      </c>
      <c r="C36016" s="5" t="str">
        <f>IFERROR(__xludf.DUMMYFUNCTION("GOOGLETRANSLATE(B36016,""en"",""it"")"),"Dato che sono in fila, una ragazza è nel mezzo di una partita di Scotch Hop, si gira, finisce e torna in fila.")</f>
        <v>Dato che sono in fila, una ragazza è nel mezzo di una partita di Scotch Hop, si gira, finisce e torna in fila.</v>
      </c>
    </row>
    <row r="36017">
      <c r="A36017" s="4" t="s">
        <v>45302</v>
      </c>
      <c r="B36017" s="4" t="s">
        <v>45305</v>
      </c>
      <c r="C36017" s="5" t="str">
        <f>IFERROR(__xludf.DUMMYFUNCTION("GOOGLETRANSLATE(B36017,""en"",""it"")"),"Una volta che ha finito, tutti gli altri bambini prendono il loro turno uno per uno.")</f>
        <v>Una volta che ha finito, tutti gli altri bambini prendono il loro turno uno per uno.</v>
      </c>
    </row>
    <row r="36018">
      <c r="A36018" s="4" t="s">
        <v>45306</v>
      </c>
      <c r="B36018" s="4" t="s">
        <v>45307</v>
      </c>
      <c r="C36018" s="5" t="str">
        <f>IFERROR(__xludf.DUMMYFUNCTION("GOOGLETRANSLATE(B36018,""en"",""it"")"),"Un uomo asiatico che indossa occhiali, una camicia verde con strisce gialle è seduta a parlare in una stanza.")</f>
        <v>Un uomo asiatico che indossa occhiali, una camicia verde con strisce gialle è seduta a parlare in una stanza.</v>
      </c>
    </row>
    <row r="36019">
      <c r="A36019" s="4" t="s">
        <v>45306</v>
      </c>
      <c r="B36019" s="6" t="s">
        <v>45308</v>
      </c>
      <c r="C36019" s="5" t="str">
        <f>IFERROR(__xludf.DUMMYFUNCTION("GOOGLETRANSLATE(B36019,""en"",""it"")"),"Sono ancora scattate foto di un libro e l'uomo sembra parlare di nuovo, e poi viene visualizzato un testo nero su uno schermo bianco.")</f>
        <v>Sono ancora scattate foto di un libro e l'uomo sembra parlare di nuovo, e poi viene visualizzato un testo nero su uno schermo bianco.</v>
      </c>
    </row>
    <row r="36020">
      <c r="A36020" s="4" t="s">
        <v>45306</v>
      </c>
      <c r="B36020" s="6" t="s">
        <v>45309</v>
      </c>
      <c r="C36020" s="5" t="str">
        <f>IFERROR(__xludf.DUMMYFUNCTION("GOOGLETRANSLATE(B36020,""en"",""it"")"),"L'uomo appare di nuovo, ma questa volta è all'aperto e tiene un tiro con l'arco molto grande e sta mostrando il modo giusto e sbagliato di estrarre la sua corda.")</f>
        <v>L'uomo appare di nuovo, ma questa volta è all'aperto e tiene un tiro con l'arco molto grande e sta mostrando il modo giusto e sbagliato di estrarre la sua corda.</v>
      </c>
    </row>
    <row r="36021">
      <c r="A36021" s="4" t="s">
        <v>45306</v>
      </c>
      <c r="B36021" s="6" t="s">
        <v>45310</v>
      </c>
      <c r="C36021" s="5" t="str">
        <f>IFERROR(__xludf.DUMMYFUNCTION("GOOGLETRANSLATE(B36021,""en"",""it"")"),"L'uomo quindi muove una pianta e si alza in modo che sia in piedi tra due di loro per terra e inizia a tenere il tiro con l'arco e mostra diversi modi per tenerlo.")</f>
        <v>L'uomo quindi muove una pianta e si alza in modo che sia in piedi tra due di loro per terra e inizia a tenere il tiro con l'arco e mostra diversi modi per tenerlo.</v>
      </c>
    </row>
    <row r="36022">
      <c r="A36022" s="4" t="s">
        <v>45306</v>
      </c>
      <c r="B36022" s="4" t="s">
        <v>45311</v>
      </c>
      <c r="C36022" s="5" t="str">
        <f>IFERROR(__xludf.DUMMYFUNCTION("GOOGLETRANSLATE(B36022,""en"",""it"")"),"L'uomo sembra di nuovo di nuovo in casa e sedersi a parlare.")</f>
        <v>L'uomo sembra di nuovo di nuovo in casa e sedersi a parlare.</v>
      </c>
    </row>
    <row r="36023">
      <c r="A36023" s="4" t="s">
        <v>45312</v>
      </c>
      <c r="B36023" s="4" t="s">
        <v>45313</v>
      </c>
      <c r="C36023" s="5" t="str">
        <f>IFERROR(__xludf.DUMMYFUNCTION("GOOGLETRANSLATE(B36023,""en"",""it"")"),"Un giovane viene visto guardare nella telecamera con uno spazzolino da denti.")</f>
        <v>Un giovane viene visto guardare nella telecamera con uno spazzolino da denti.</v>
      </c>
    </row>
    <row r="36024">
      <c r="A36024" s="4" t="s">
        <v>45312</v>
      </c>
      <c r="B36024" s="4" t="s">
        <v>45314</v>
      </c>
      <c r="C36024" s="5" t="str">
        <f>IFERROR(__xludf.DUMMYFUNCTION("GOOGLETRANSLATE(B36024,""en"",""it"")"),"L'uomo inizia quindi a lavarsi i denti in diversi colpi.")</f>
        <v>L'uomo inizia quindi a lavarsi i denti in diversi colpi.</v>
      </c>
    </row>
    <row r="36025">
      <c r="A36025" s="4" t="s">
        <v>45312</v>
      </c>
      <c r="B36025" s="4" t="s">
        <v>45315</v>
      </c>
      <c r="C36025" s="5" t="str">
        <f>IFERROR(__xludf.DUMMYFUNCTION("GOOGLETRANSLATE(B36025,""en"",""it"")"),"Continua a lavarsi i denti e mostra la bocca alla fine.")</f>
        <v>Continua a lavarsi i denti e mostra la bocca alla fine.</v>
      </c>
    </row>
    <row r="36026">
      <c r="A36026" s="4" t="s">
        <v>45316</v>
      </c>
      <c r="B36026" s="4" t="s">
        <v>45317</v>
      </c>
      <c r="C36026" s="5" t="str">
        <f>IFERROR(__xludf.DUMMYFUNCTION("GOOGLETRANSLATE(B36026,""en"",""it"")"),"Un atleta si trova con impazienza in attesa del suo turno mentre i giudici si preparano per la sua routine.")</f>
        <v>Un atleta si trova con impazienza in attesa del suo turno mentre i giudici si preparano per la sua routine.</v>
      </c>
    </row>
    <row r="36027">
      <c r="A36027" s="4" t="s">
        <v>45316</v>
      </c>
      <c r="B36027" s="4" t="s">
        <v>45318</v>
      </c>
      <c r="C36027" s="5" t="str">
        <f>IFERROR(__xludf.DUMMYFUNCTION("GOOGLETRANSLATE(B36027,""en"",""it"")"),"Un commentatore straniero commenta la sua routine mentre si lancia in aria.")</f>
        <v>Un commentatore straniero commenta la sua routine mentre si lancia in aria.</v>
      </c>
    </row>
    <row r="36028">
      <c r="A36028" s="4" t="s">
        <v>45316</v>
      </c>
      <c r="B36028" s="6" t="s">
        <v>45319</v>
      </c>
      <c r="C36028" s="5" t="str">
        <f>IFERROR(__xludf.DUMMYFUNCTION("GOOGLETRANSLATE(B36028,""en"",""it"")"),"L'uomo continua a roteare e girare sui bar per la sua routine ginnastica mentre i membri del pubblico rallegrano forte.")</f>
        <v>L'uomo continua a roteare e girare sui bar per la sua routine ginnastica mentre i membri del pubblico rallegrano forte.</v>
      </c>
    </row>
    <row r="36029">
      <c r="A36029" s="4" t="s">
        <v>45316</v>
      </c>
      <c r="B36029" s="4" t="s">
        <v>45320</v>
      </c>
      <c r="C36029" s="5" t="str">
        <f>IFERROR(__xludf.DUMMYFUNCTION("GOOGLETRANSLATE(B36029,""en"",""it"")"),"Il video rallenta e mostra i punti salienti della routine al rallentatore.")</f>
        <v>Il video rallenta e mostra i punti salienti della routine al rallentatore.</v>
      </c>
    </row>
    <row r="36030">
      <c r="A36030" s="4" t="s">
        <v>45316</v>
      </c>
      <c r="B36030" s="4" t="s">
        <v>45321</v>
      </c>
      <c r="C36030" s="5" t="str">
        <f>IFERROR(__xludf.DUMMYFUNCTION("GOOGLETRANSLATE(B36030,""en"",""it"")"),"L'atleta poggia sul divano mentre i giudici finiscono le loro critiche.")</f>
        <v>L'atleta poggia sul divano mentre i giudici finiscono le loro critiche.</v>
      </c>
    </row>
    <row r="36031">
      <c r="A36031" s="4" t="s">
        <v>45316</v>
      </c>
      <c r="B36031" s="4" t="s">
        <v>45322</v>
      </c>
      <c r="C36031" s="5" t="str">
        <f>IFERROR(__xludf.DUMMYFUNCTION("GOOGLETRANSLATE(B36031,""en"",""it"")"),"Alla fine l'uomo sente il suo punteggio e sorride piacevolmente.")</f>
        <v>Alla fine l'uomo sente il suo punteggio e sorride piacevolmente.</v>
      </c>
    </row>
    <row r="36032">
      <c r="A36032" s="4" t="s">
        <v>45323</v>
      </c>
      <c r="B36032" s="6" t="s">
        <v>45324</v>
      </c>
      <c r="C36032" s="5" t="str">
        <f>IFERROR(__xludf.DUMMYFUNCTION("GOOGLETRANSLATE(B36032,""en"",""it"")"),"Una ragazza è vista seduta davanti alla telecamera con diversi oggetti tenuti davanti al viso.")</f>
        <v>Una ragazza è vista seduta davanti alla telecamera con diversi oggetti tenuti davanti al viso.</v>
      </c>
    </row>
    <row r="36033">
      <c r="A36033" s="4" t="s">
        <v>45323</v>
      </c>
      <c r="B36033" s="4" t="s">
        <v>45325</v>
      </c>
      <c r="C36033" s="5" t="str">
        <f>IFERROR(__xludf.DUMMYFUNCTION("GOOGLETRANSLATE(B36033,""en"",""it"")"),"Due mani tirano un tubo accanto a lei e la donna mette i tubi nei capelli della ragazza.")</f>
        <v>Due mani tirano un tubo accanto a lei e la donna mette i tubi nei capelli della ragazza.</v>
      </c>
    </row>
    <row r="36034">
      <c r="A36034" s="4" t="s">
        <v>45323</v>
      </c>
      <c r="B36034" s="4" t="s">
        <v>45326</v>
      </c>
      <c r="C36034" s="5" t="str">
        <f>IFERROR(__xludf.DUMMYFUNCTION("GOOGLETRANSLATE(B36034,""en"",""it"")"),"Alla fine la donna toglie i tubi e la ragazza continua a guardare la telecamera.")</f>
        <v>Alla fine la donna toglie i tubi e la ragazza continua a guardare la telecamera.</v>
      </c>
    </row>
    <row r="36035">
      <c r="A36035" s="4" t="s">
        <v>45327</v>
      </c>
      <c r="B36035" s="4" t="s">
        <v>45328</v>
      </c>
      <c r="C36035" s="5" t="str">
        <f>IFERROR(__xludf.DUMMYFUNCTION("GOOGLETRANSLATE(B36035,""en"",""it"")"),"Una ragazza inizia a scalare le barre delle scimmie.")</f>
        <v>Una ragazza inizia a scalare le barre delle scimmie.</v>
      </c>
    </row>
    <row r="36036">
      <c r="A36036" s="4" t="s">
        <v>45327</v>
      </c>
      <c r="B36036" s="4" t="s">
        <v>45329</v>
      </c>
      <c r="C36036" s="5" t="str">
        <f>IFERROR(__xludf.DUMMYFUNCTION("GOOGLETRANSLATE(B36036,""en"",""it"")"),"Comincia a salire fino alla fine.")</f>
        <v>Comincia a salire fino alla fine.</v>
      </c>
    </row>
    <row r="36037">
      <c r="A36037" s="4" t="s">
        <v>45327</v>
      </c>
      <c r="B36037" s="4" t="s">
        <v>45330</v>
      </c>
      <c r="C36037" s="5" t="str">
        <f>IFERROR(__xludf.DUMMYFUNCTION("GOOGLETRANSLATE(B36037,""en"",""it"")"),"Ha difficoltà nel mezzo dei bar.")</f>
        <v>Ha difficoltà nel mezzo dei bar.</v>
      </c>
    </row>
    <row r="36038">
      <c r="A36038" s="4" t="s">
        <v>45327</v>
      </c>
      <c r="B36038" s="4" t="s">
        <v>45331</v>
      </c>
      <c r="C36038" s="5" t="str">
        <f>IFERROR(__xludf.DUMMYFUNCTION("GOOGLETRANSLATE(B36038,""en"",""it"")"),"Una donna sembra che cerca di aiutare.")</f>
        <v>Una donna sembra che cerca di aiutare.</v>
      </c>
    </row>
    <row r="36039">
      <c r="A36039" s="4" t="s">
        <v>45327</v>
      </c>
      <c r="B36039" s="4" t="s">
        <v>45332</v>
      </c>
      <c r="C36039" s="5" t="str">
        <f>IFERROR(__xludf.DUMMYFUNCTION("GOOGLETRANSLATE(B36039,""en"",""it"")"),"Finisce la salita molto felice.")</f>
        <v>Finisce la salita molto felice.</v>
      </c>
    </row>
    <row r="36040">
      <c r="A36040" s="4" t="s">
        <v>45333</v>
      </c>
      <c r="B36040" s="4" t="s">
        <v>45334</v>
      </c>
      <c r="C36040" s="5" t="str">
        <f>IFERROR(__xludf.DUMMYFUNCTION("GOOGLETRANSLATE(B36040,""en"",""it"")"),"Una persona sta girando una casa e un cane che cammina in cornice.")</f>
        <v>Una persona sta girando una casa e un cane che cammina in cornice.</v>
      </c>
    </row>
    <row r="36041">
      <c r="A36041" s="4" t="s">
        <v>45333</v>
      </c>
      <c r="B36041" s="4" t="s">
        <v>45335</v>
      </c>
      <c r="C36041" s="5" t="str">
        <f>IFERROR(__xludf.DUMMYFUNCTION("GOOGLETRANSLATE(B36041,""en"",""it"")"),"Una bambina sta lavando il pavimento con un mop e sta parlando con l'uomo della telecamera.")</f>
        <v>Una bambina sta lavando il pavimento con un mop e sta parlando con l'uomo della telecamera.</v>
      </c>
    </row>
    <row r="36042">
      <c r="A36042" s="4" t="s">
        <v>45333</v>
      </c>
      <c r="B36042" s="4" t="s">
        <v>45336</v>
      </c>
      <c r="C36042" s="5" t="str">
        <f>IFERROR(__xludf.DUMMYFUNCTION("GOOGLETRANSLATE(B36042,""en"",""it"")"),"L'uomo fotografico parla alla ragazza della pulizia e del perché le piace.")</f>
        <v>L'uomo fotografico parla alla ragazza della pulizia e del perché le piace.</v>
      </c>
    </row>
    <row r="36043">
      <c r="A36043" s="4" t="s">
        <v>45333</v>
      </c>
      <c r="B36043" s="4" t="s">
        <v>45337</v>
      </c>
      <c r="C36043" s="5" t="str">
        <f>IFERROR(__xludf.DUMMYFUNCTION("GOOGLETRANSLATE(B36043,""en"",""it"")"),"La ragazza finisce di lavare il pavimento.")</f>
        <v>La ragazza finisce di lavare il pavimento.</v>
      </c>
    </row>
    <row r="36044">
      <c r="A36044" s="4" t="s">
        <v>45338</v>
      </c>
      <c r="B36044" s="4" t="s">
        <v>45339</v>
      </c>
      <c r="C36044" s="5" t="str">
        <f>IFERROR(__xludf.DUMMYFUNCTION("GOOGLETRANSLATE(B36044,""en"",""it"")"),"Un'introduzione arriva sullo schermo per un video su una competizione di corda per saltare.")</f>
        <v>Un'introduzione arriva sullo schermo per un video su una competizione di corda per saltare.</v>
      </c>
    </row>
    <row r="36045">
      <c r="A36045" s="4" t="s">
        <v>45338</v>
      </c>
      <c r="B36045" s="4" t="s">
        <v>45340</v>
      </c>
      <c r="C36045" s="5" t="str">
        <f>IFERROR(__xludf.DUMMYFUNCTION("GOOGLETRANSLATE(B36045,""en"",""it"")"),"Una persona viene mostrata facendo una serie di trucchi per la corda per saltare.")</f>
        <v>Una persona viene mostrata facendo una serie di trucchi per la corda per saltare.</v>
      </c>
    </row>
    <row r="36046">
      <c r="A36046" s="4" t="s">
        <v>45338</v>
      </c>
      <c r="B36046" s="4" t="s">
        <v>45341</v>
      </c>
      <c r="C36046" s="5" t="str">
        <f>IFERROR(__xludf.DUMMYFUNCTION("GOOGLETRANSLATE(B36046,""en"",""it"")"),"Due persone vengono quindi mostrate facendo più trucchi per la corda di salto.")</f>
        <v>Due persone vengono quindi mostrate facendo più trucchi per la corda di salto.</v>
      </c>
    </row>
    <row r="36047">
      <c r="A36047" s="4" t="s">
        <v>45338</v>
      </c>
      <c r="B36047" s="4" t="s">
        <v>45342</v>
      </c>
      <c r="C36047" s="5" t="str">
        <f>IFERROR(__xludf.DUMMYFUNCTION("GOOGLETRANSLATE(B36047,""en"",""it"")"),"Successivamente, quattro persone vengono mostrate facendo trucchi per la corda di salto in palestra.")</f>
        <v>Successivamente, quattro persone vengono mostrate facendo trucchi per la corda di salto in palestra.</v>
      </c>
    </row>
    <row r="36048">
      <c r="A36048" s="4" t="s">
        <v>45338</v>
      </c>
      <c r="B36048" s="6" t="s">
        <v>45343</v>
      </c>
      <c r="C36048" s="5" t="str">
        <f>IFERROR(__xludf.DUMMYFUNCTION("GOOGLETRANSLATE(B36048,""en"",""it"")"),"Successivamente una varietà di trucchi viene mostrata da diverse persone sul pavimento in palestra.")</f>
        <v>Successivamente una varietà di trucchi viene mostrata da diverse persone sul pavimento in palestra.</v>
      </c>
    </row>
    <row r="36049">
      <c r="A36049" s="4" t="s">
        <v>45338</v>
      </c>
      <c r="B36049" s="4" t="s">
        <v>45344</v>
      </c>
      <c r="C36049" s="5" t="str">
        <f>IFERROR(__xludf.DUMMYFUNCTION("GOOGLETRANSLATE(B36049,""en"",""it"")"),"Il video termina quindi con i crediti di chiusura.")</f>
        <v>Il video termina quindi con i crediti di chiusura.</v>
      </c>
    </row>
    <row r="36050">
      <c r="A36050" s="4" t="s">
        <v>45345</v>
      </c>
      <c r="B36050" s="4" t="s">
        <v>45346</v>
      </c>
      <c r="C36050" s="5" t="str">
        <f>IFERROR(__xludf.DUMMYFUNCTION("GOOGLETRANSLATE(B36050,""en"",""it"")"),"Vediamo una schermata di apertura rossa.")</f>
        <v>Vediamo una schermata di apertura rossa.</v>
      </c>
    </row>
    <row r="36051">
      <c r="A36051" s="4" t="s">
        <v>45345</v>
      </c>
      <c r="B36051" s="4" t="s">
        <v>45347</v>
      </c>
      <c r="C36051" s="5" t="str">
        <f>IFERROR(__xludf.DUMMYFUNCTION("GOOGLETRANSLATE(B36051,""en"",""it"")"),"Uomo salto con l'asta in un campo esterno.")</f>
        <v>Uomo salto con l'asta in un campo esterno.</v>
      </c>
    </row>
    <row r="36052">
      <c r="A36052" s="4" t="s">
        <v>45345</v>
      </c>
      <c r="B36052" s="4" t="s">
        <v>45348</v>
      </c>
      <c r="C36052" s="5" t="str">
        <f>IFERROR(__xludf.DUMMYFUNCTION("GOOGLETRANSLATE(B36052,""en"",""it"")"),"La faccia di un uomo a sinistra dello schermo si sposta indietro e fuori dal tiro.")</f>
        <v>La faccia di un uomo a sinistra dello schermo si sposta indietro e fuori dal tiro.</v>
      </c>
    </row>
    <row r="36053">
      <c r="A36053" s="4" t="s">
        <v>45345</v>
      </c>
      <c r="B36053" s="4" t="s">
        <v>45349</v>
      </c>
      <c r="C36053" s="5" t="str">
        <f>IFERROR(__xludf.DUMMYFUNCTION("GOOGLETRANSLATE(B36053,""en"",""it"")"),"L'angolazione della fotocamera cambia e continuiamo a guardare la caveau di uomini.")</f>
        <v>L'angolazione della fotocamera cambia e continuiamo a guardare la caveau di uomini.</v>
      </c>
    </row>
    <row r="36054">
      <c r="A36054" s="4" t="s">
        <v>45350</v>
      </c>
      <c r="B36054" s="4" t="s">
        <v>45351</v>
      </c>
      <c r="C36054" s="5" t="str">
        <f>IFERROR(__xludf.DUMMYFUNCTION("GOOGLETRANSLATE(B36054,""en"",""it"")"),"Un uomo viene visto conferire una folla mentre tiene in mano diversi frisbee verdi.")</f>
        <v>Un uomo viene visto conferire una folla mentre tiene in mano diversi frisbee verdi.</v>
      </c>
    </row>
    <row r="36055">
      <c r="A36055" s="4" t="s">
        <v>45350</v>
      </c>
      <c r="B36055" s="4" t="s">
        <v>45352</v>
      </c>
      <c r="C36055" s="5" t="str">
        <f>IFERROR(__xludf.DUMMYFUNCTION("GOOGLETRANSLATE(B36055,""en"",""it"")"),"Dopo aver parlato con la folla, lo chiama e un cane si esaurisce sul palco.")</f>
        <v>Dopo aver parlato con la folla, lo chiama e un cane si esaurisce sul palco.</v>
      </c>
    </row>
    <row r="36056">
      <c r="A36056" s="4" t="s">
        <v>45350</v>
      </c>
      <c r="B36056" s="6" t="s">
        <v>45353</v>
      </c>
      <c r="C36056" s="5" t="str">
        <f>IFERROR(__xludf.DUMMYFUNCTION("GOOGLETRANSLATE(B36056,""en"",""it"")"),"Inizialmente inizia a giocare con il cane e il cane continuava a cercare di afferrare i frisbee di Mans, che l'uomo lancia i frisbee a terra e inizia a giocare a prendere con il cane.")</f>
        <v>Inizialmente inizia a giocare con il cane e il cane continuava a cercare di afferrare i frisbee di Mans, che l'uomo lancia i frisbee a terra e inizia a giocare a prendere con il cane.</v>
      </c>
    </row>
    <row r="36057">
      <c r="A36057" s="4" t="s">
        <v>45350</v>
      </c>
      <c r="B36057" s="4" t="s">
        <v>45354</v>
      </c>
      <c r="C36057" s="5" t="str">
        <f>IFERROR(__xludf.DUMMYFUNCTION("GOOGLETRANSLATE(B36057,""en"",""it"")"),"Ad un certo punto il cane inizia a saltare indietro mentre insegue i frisbees.")</f>
        <v>Ad un certo punto il cane inizia a saltare indietro mentre insegue i frisbees.</v>
      </c>
    </row>
    <row r="36058">
      <c r="A36058" s="4" t="s">
        <v>45350</v>
      </c>
      <c r="B36058" s="6" t="s">
        <v>45355</v>
      </c>
      <c r="C36058" s="5" t="str">
        <f>IFERROR(__xludf.DUMMYFUNCTION("GOOGLETRANSLATE(B36058,""en"",""it"")"),"Anche in un altro punto l'uomo afferra un frisbee ad un'estremità e un cane dall'altra parte e inizia a girare il cane.")</f>
        <v>Anche in un altro punto l'uomo afferra un frisbee ad un'estremità e un cane dall'altra parte e inizia a girare il cane.</v>
      </c>
    </row>
    <row r="36059">
      <c r="A36059" s="4" t="s">
        <v>45350</v>
      </c>
      <c r="B36059" s="6" t="s">
        <v>45356</v>
      </c>
      <c r="C36059" s="5" t="str">
        <f>IFERROR(__xludf.DUMMYFUNCTION("GOOGLETRANSLATE(B36059,""en"",""it"")"),"Alla fine l'uomo esegue un trucco con il cane e lo fa fare una gita alla schiena e lo prende e lo toglie dal palco.")</f>
        <v>Alla fine l'uomo esegue un trucco con il cane e lo fa fare una gita alla schiena e lo prende e lo toglie dal palco.</v>
      </c>
    </row>
    <row r="36060">
      <c r="A36060" s="4" t="s">
        <v>45357</v>
      </c>
      <c r="B36060" s="4" t="s">
        <v>45358</v>
      </c>
      <c r="C36060" s="5" t="str">
        <f>IFERROR(__xludf.DUMMYFUNCTION("GOOGLETRANSLATE(B36060,""en"",""it"")"),"Un bambino è seduto su un seggiolone.")</f>
        <v>Un bambino è seduto su un seggiolone.</v>
      </c>
    </row>
    <row r="36061">
      <c r="A36061" s="4" t="s">
        <v>45357</v>
      </c>
      <c r="B36061" s="4" t="s">
        <v>45359</v>
      </c>
      <c r="C36061" s="5" t="str">
        <f>IFERROR(__xludf.DUMMYFUNCTION("GOOGLETRANSLATE(B36061,""en"",""it"")"),"Un pop di gelato gli entra in bocca e ne mastica un morso.")</f>
        <v>Un pop di gelato gli entra in bocca e ne mastica un morso.</v>
      </c>
    </row>
    <row r="36062">
      <c r="A36062" s="4" t="s">
        <v>45357</v>
      </c>
      <c r="B36062" s="4" t="s">
        <v>45360</v>
      </c>
      <c r="C36062" s="5" t="str">
        <f>IFERROR(__xludf.DUMMYFUNCTION("GOOGLETRANSLATE(B36062,""en"",""it"")"),"Sporge la lingua dopo ogni boccone, leccando l'aria.")</f>
        <v>Sporge la lingua dopo ogni boccone, leccando l'aria.</v>
      </c>
    </row>
    <row r="36063">
      <c r="A36063" s="4" t="s">
        <v>45361</v>
      </c>
      <c r="B36063" s="4" t="s">
        <v>45362</v>
      </c>
      <c r="C36063" s="5" t="str">
        <f>IFERROR(__xludf.DUMMYFUNCTION("GOOGLETRANSLATE(B36063,""en"",""it"")"),"Un uomo tiene un contenitore giallo mentre cancella una tavola di legno.")</f>
        <v>Un uomo tiene un contenitore giallo mentre cancella una tavola di legno.</v>
      </c>
    </row>
    <row r="36064">
      <c r="A36064" s="4" t="s">
        <v>45361</v>
      </c>
      <c r="B36064" s="4" t="s">
        <v>45363</v>
      </c>
      <c r="C36064" s="5" t="str">
        <f>IFERROR(__xludf.DUMMYFUNCTION("GOOGLETRANSLATE(B36064,""en"",""it"")"),"Spruzza il legno con il contenitore giallo.")</f>
        <v>Spruzza il legno con il contenitore giallo.</v>
      </c>
    </row>
    <row r="36065">
      <c r="A36065" s="4" t="s">
        <v>45361</v>
      </c>
      <c r="B36065" s="4" t="s">
        <v>45364</v>
      </c>
      <c r="C36065" s="5" t="str">
        <f>IFERROR(__xludf.DUMMYFUNCTION("GOOGLETRANSLATE(B36065,""en"",""it"")"),"Prende uno straccio e pulisce il legno.")</f>
        <v>Prende uno straccio e pulisce il legno.</v>
      </c>
    </row>
    <row r="36066">
      <c r="A36066" s="4" t="s">
        <v>45361</v>
      </c>
      <c r="B36066" s="4" t="s">
        <v>45365</v>
      </c>
      <c r="C36066" s="5" t="str">
        <f>IFERROR(__xludf.DUMMYFUNCTION("GOOGLETRANSLATE(B36066,""en"",""it"")"),"Parla mentre mette in mostra il legno e preme le dita sul tabellone.")</f>
        <v>Parla mentre mette in mostra il legno e preme le dita sul tabellone.</v>
      </c>
    </row>
    <row r="36067">
      <c r="A36067" s="4" t="s">
        <v>45366</v>
      </c>
      <c r="B36067" s="4" t="s">
        <v>45367</v>
      </c>
      <c r="C36067" s="5" t="str">
        <f>IFERROR(__xludf.DUMMYFUNCTION("GOOGLETRANSLATE(B36067,""en"",""it"")"),"Viene mostrato l'esterno di un edificio, tra cui una bandiera americana ondeggiata vicino alla porta d'ingresso.")</f>
        <v>Viene mostrato l'esterno di un edificio, tra cui una bandiera americana ondeggiata vicino alla porta d'ingresso.</v>
      </c>
    </row>
    <row r="36068">
      <c r="A36068" s="4" t="s">
        <v>45366</v>
      </c>
      <c r="B36068" s="4" t="s">
        <v>45368</v>
      </c>
      <c r="C36068" s="5" t="str">
        <f>IFERROR(__xludf.DUMMYFUNCTION("GOOGLETRANSLATE(B36068,""en"",""it"")"),"Appare un uomo e parla di un albero vicino alla parte anteriore dell'edificio.")</f>
        <v>Appare un uomo e parla di un albero vicino alla parte anteriore dell'edificio.</v>
      </c>
    </row>
    <row r="36069">
      <c r="A36069" s="4" t="s">
        <v>45366</v>
      </c>
      <c r="B36069" s="6" t="s">
        <v>45369</v>
      </c>
      <c r="C36069" s="5" t="str">
        <f>IFERROR(__xludf.DUMMYFUNCTION("GOOGLETRANSLATE(B36069,""en"",""it"")"),"Dimostra quindi come tagliare l'albero, raccogliendo rami a livello degli occhi e usando uno strumento per rami più alti.")</f>
        <v>Dimostra quindi come tagliare l'albero, raccogliendo rami a livello degli occhi e usando uno strumento per rami più alti.</v>
      </c>
    </row>
    <row r="36070">
      <c r="A36070" s="4" t="s">
        <v>45366</v>
      </c>
      <c r="B36070" s="4" t="s">
        <v>45370</v>
      </c>
      <c r="C36070" s="5" t="str">
        <f>IFERROR(__xludf.DUMMYFUNCTION("GOOGLETRANSLATE(B36070,""en"",""it"")"),"Il cappello della compagnia viene quindi mostrato sul gradino, circondato da foglie.")</f>
        <v>Il cappello della compagnia viene quindi mostrato sul gradino, circondato da foglie.</v>
      </c>
    </row>
    <row r="36071">
      <c r="A36071" s="4" t="s">
        <v>45371</v>
      </c>
      <c r="B36071" s="6" t="s">
        <v>45372</v>
      </c>
      <c r="C36071" s="5" t="str">
        <f>IFERROR(__xludf.DUMMYFUNCTION("GOOGLETRANSLATE(B36071,""en"",""it"")"),"Al centro di Sandy Field, ha le mucche che combattono al centro, mentre il pubblico sta guardando sui lati, seduti a terra.")</f>
        <v>Al centro di Sandy Field, ha le mucche che combattono al centro, mentre il pubblico sta guardando sui lati, seduti a terra.</v>
      </c>
    </row>
    <row r="36072">
      <c r="A36072" s="4" t="s">
        <v>45371</v>
      </c>
      <c r="B36072" s="4" t="s">
        <v>45373</v>
      </c>
      <c r="C36072" s="5" t="str">
        <f>IFERROR(__xludf.DUMMYFUNCTION("GOOGLETRANSLATE(B36072,""en"",""it"")"),"Tre uomini supervisionano la corrida, il toro si spinge a vicenda con le corna.")</f>
        <v>Tre uomini supervisionano la corrida, il toro si spinge a vicenda con le corna.</v>
      </c>
    </row>
    <row r="36073">
      <c r="A36073" s="4" t="s">
        <v>45371</v>
      </c>
      <c r="B36073" s="6" t="s">
        <v>45374</v>
      </c>
      <c r="C36073" s="5" t="str">
        <f>IFERROR(__xludf.DUMMYFUNCTION("GOOGLETRANSLATE(B36073,""en"",""it"")"),"Un uomo scese dal suo camion, l'altro uomo tirò fuori il toro dal suo camion, il toro è legato a pali.")</f>
        <v>Un uomo scese dal suo camion, l'altro uomo tirò fuori il toro dal suo camion, il toro è legato a pali.</v>
      </c>
    </row>
    <row r="36074">
      <c r="A36074" s="4" t="s">
        <v>45371</v>
      </c>
      <c r="B36074" s="4" t="s">
        <v>45375</v>
      </c>
      <c r="C36074" s="5" t="str">
        <f>IFERROR(__xludf.DUMMYFUNCTION("GOOGLETRANSLATE(B36074,""en"",""it"")"),"Due uomini tengono ogni estremità della corda mentre il toro nero si scontrava a terra.")</f>
        <v>Due uomini tengono ogni estremità della corda mentre il toro nero si scontrava a terra.</v>
      </c>
    </row>
    <row r="36075">
      <c r="A36075" s="4" t="s">
        <v>45371</v>
      </c>
      <c r="B36075" s="6" t="s">
        <v>45376</v>
      </c>
      <c r="C36075" s="5" t="str">
        <f>IFERROR(__xludf.DUMMYFUNCTION("GOOGLETRANSLATE(B36075,""en"",""it"")"),"I tori stanno combattendo al centro del campo e la gente sta guardando, un toro ha corso verso il pubblico.")</f>
        <v>I tori stanno combattendo al centro del campo e la gente sta guardando, un toro ha corso verso il pubblico.</v>
      </c>
    </row>
    <row r="36076">
      <c r="A36076" s="4" t="s">
        <v>45377</v>
      </c>
      <c r="B36076" s="6" t="s">
        <v>45378</v>
      </c>
      <c r="C36076" s="5" t="str">
        <f>IFERROR(__xludf.DUMMYFUNCTION("GOOGLETRANSLATE(B36076,""en"",""it"")"),"Appare una vista di un ampio oceano tratto da una barca e vari uomini vengono mostrati facendo cose diverse sulla barca sia all'interno che all'esterno e includono lo sterzare la ruota verso l'alto o sedersi ai computer che monitorano le cose.")</f>
        <v>Appare una vista di un ampio oceano tratto da una barca e vari uomini vengono mostrati facendo cose diverse sulla barca sia all'interno che all'esterno e includono lo sterzare la ruota verso l'alto o sedersi ai computer che monitorano le cose.</v>
      </c>
    </row>
    <row r="36077">
      <c r="A36077" s="4" t="s">
        <v>45377</v>
      </c>
      <c r="B36077" s="6" t="s">
        <v>45379</v>
      </c>
      <c r="C36077" s="5" t="str">
        <f>IFERROR(__xludf.DUMMYFUNCTION("GOOGLETRANSLATE(B36077,""en"",""it"")"),"Un uomo seduto sul ponte della barca sta parlando con la telecamera mentre un uomo dietro di lui è in piedi e l'uomo accanto a quell'uomo in piedi controlla il volante della barca.")</f>
        <v>Un uomo seduto sul ponte della barca sta parlando con la telecamera mentre un uomo dietro di lui è in piedi e l'uomo accanto a quell'uomo in piedi controlla il volante della barca.</v>
      </c>
    </row>
    <row r="36078">
      <c r="A36078" s="4" t="s">
        <v>45377</v>
      </c>
      <c r="B36078" s="4" t="s">
        <v>45380</v>
      </c>
      <c r="C36078" s="5" t="str">
        <f>IFERROR(__xludf.DUMMYFUNCTION("GOOGLETRANSLATE(B36078,""en"",""it"")"),"La messa a fuoco cambia in un altro uomo sulla barca e sta parlando anche con la telecamera.")</f>
        <v>La messa a fuoco cambia in un altro uomo sulla barca e sta parlando anche con la telecamera.</v>
      </c>
    </row>
    <row r="36079">
      <c r="A36079" s="4" t="s">
        <v>45381</v>
      </c>
      <c r="B36079" s="4" t="s">
        <v>45382</v>
      </c>
      <c r="C36079" s="5" t="str">
        <f>IFERROR(__xludf.DUMMYFUNCTION("GOOGLETRANSLATE(B36079,""en"",""it"")"),"Una donna asiatica è in piedi fuori in un grande campo indossando una lino sciolta rosa come un outfit.")</f>
        <v>Una donna asiatica è in piedi fuori in un grande campo indossando una lino sciolta rosa come un outfit.</v>
      </c>
    </row>
    <row r="36080">
      <c r="A36080" s="4" t="s">
        <v>45381</v>
      </c>
      <c r="B36080" s="4" t="s">
        <v>45383</v>
      </c>
      <c r="C36080" s="5" t="str">
        <f>IFERROR(__xludf.DUMMYFUNCTION("GOOGLETRANSLATE(B36080,""en"",""it"")"),"Quindi mette le gambe e le mani e inizia a muoversi come un ninja in tutto il campo.")</f>
        <v>Quindi mette le gambe e le mani e inizia a muoversi come un ninja in tutto il campo.</v>
      </c>
    </row>
    <row r="36081">
      <c r="A36081" s="4" t="s">
        <v>45381</v>
      </c>
      <c r="B36081" s="6" t="s">
        <v>45384</v>
      </c>
      <c r="C36081" s="5" t="str">
        <f>IFERROR(__xludf.DUMMYFUNCTION("GOOGLETRANSLATE(B36081,""en"",""it"")"),"Dopo che si è spostata a sinistra e a destra attraverso il campo, poi torna al centro del campo e si ferma per completare la sua routine.")</f>
        <v>Dopo che si è spostata a sinistra e a destra attraverso il campo, poi torna al centro del campo e si ferma per completare la sua routine.</v>
      </c>
    </row>
    <row r="36082">
      <c r="A36082" s="4" t="s">
        <v>45385</v>
      </c>
      <c r="B36082" s="4" t="s">
        <v>45386</v>
      </c>
      <c r="C36082" s="5" t="str">
        <f>IFERROR(__xludf.DUMMYFUNCTION("GOOGLETRANSLATE(B36082,""en"",""it"")"),"Una donna con una camicia arancione sta bevendo un bicchiere di birra.")</f>
        <v>Una donna con una camicia arancione sta bevendo un bicchiere di birra.</v>
      </c>
    </row>
    <row r="36083">
      <c r="A36083" s="4" t="s">
        <v>45385</v>
      </c>
      <c r="B36083" s="4" t="s">
        <v>45387</v>
      </c>
      <c r="C36083" s="5" t="str">
        <f>IFERROR(__xludf.DUMMYFUNCTION("GOOGLETRANSLATE(B36083,""en"",""it"")"),"La birra si sta versando lungo la parte anteriore della sua camicia.")</f>
        <v>La birra si sta versando lungo la parte anteriore della sua camicia.</v>
      </c>
    </row>
    <row r="36084">
      <c r="A36084" s="4" t="s">
        <v>45385</v>
      </c>
      <c r="B36084" s="4" t="s">
        <v>45388</v>
      </c>
      <c r="C36084" s="5" t="str">
        <f>IFERROR(__xludf.DUMMYFUNCTION("GOOGLETRANSLATE(B36084,""en"",""it"")"),"Le persone dietro di lei ballano.")</f>
        <v>Le persone dietro di lei ballano.</v>
      </c>
    </row>
    <row r="36085">
      <c r="A36085" s="4" t="s">
        <v>45385</v>
      </c>
      <c r="B36085" s="4" t="s">
        <v>45389</v>
      </c>
      <c r="C36085" s="5" t="str">
        <f>IFERROR(__xludf.DUMMYFUNCTION("GOOGLETRANSLATE(B36085,""en"",""it"")"),"Finisce la bevanda e la mette giù.")</f>
        <v>Finisce la bevanda e la mette giù.</v>
      </c>
    </row>
    <row r="36086">
      <c r="A36086" s="4" t="s">
        <v>45390</v>
      </c>
      <c r="B36086" s="4" t="s">
        <v>45391</v>
      </c>
      <c r="C36086" s="5" t="str">
        <f>IFERROR(__xludf.DUMMYFUNCTION("GOOGLETRANSLATE(B36086,""en"",""it"")"),"Un uomo con una camicia marrone chiaro sta parlando.")</f>
        <v>Un uomo con una camicia marrone chiaro sta parlando.</v>
      </c>
    </row>
    <row r="36087">
      <c r="A36087" s="4" t="s">
        <v>45390</v>
      </c>
      <c r="B36087" s="4" t="s">
        <v>45392</v>
      </c>
      <c r="C36087" s="5" t="str">
        <f>IFERROR(__xludf.DUMMYFUNCTION("GOOGLETRANSLATE(B36087,""en"",""it"")"),"Mette la sua racchetta da tennis a terra.")</f>
        <v>Mette la sua racchetta da tennis a terra.</v>
      </c>
    </row>
    <row r="36088">
      <c r="A36088" s="4" t="s">
        <v>45390</v>
      </c>
      <c r="B36088" s="4" t="s">
        <v>45393</v>
      </c>
      <c r="C36088" s="5" t="str">
        <f>IFERROR(__xludf.DUMMYFUNCTION("GOOGLETRANSLATE(B36088,""en"",""it"")"),"Un altro uomo corre in giro su un campo da tennis.")</f>
        <v>Un altro uomo corre in giro su un campo da tennis.</v>
      </c>
    </row>
    <row r="36089">
      <c r="A36089" s="4" t="s">
        <v>45394</v>
      </c>
      <c r="B36089" s="6" t="s">
        <v>45395</v>
      </c>
      <c r="C36089" s="5" t="str">
        <f>IFERROR(__xludf.DUMMYFUNCTION("GOOGLETRANSLATE(B36089,""en"",""it"")"),"Un cane bianco e nero si trova vicino alla porta principale di una casa mentre ascolta il suono dell'elicottero.")</f>
        <v>Un cane bianco e nero si trova vicino alla porta principale di una casa mentre ascolta il suono dell'elicottero.</v>
      </c>
    </row>
    <row r="36090">
      <c r="A36090" s="4" t="s">
        <v>45394</v>
      </c>
      <c r="B36090" s="4" t="s">
        <v>45396</v>
      </c>
      <c r="C36090" s="5" t="str">
        <f>IFERROR(__xludf.DUMMYFUNCTION("GOOGLETRANSLATE(B36090,""en"",""it"")"),"Quindi la porta principale si apre e il cane fa un passo indietro.")</f>
        <v>Quindi la porta principale si apre e il cane fa un passo indietro.</v>
      </c>
    </row>
    <row r="36091">
      <c r="A36091" s="4" t="s">
        <v>45394</v>
      </c>
      <c r="B36091" s="4" t="s">
        <v>45397</v>
      </c>
      <c r="C36091" s="5" t="str">
        <f>IFERROR(__xludf.DUMMYFUNCTION("GOOGLETRANSLATE(B36091,""en"",""it"")"),"Ci sono due scarpe da ginnastica in una stanza chiusa che allena un cane per saltare e catturare diversi frisbee.")</f>
        <v>Ci sono due scarpe da ginnastica in una stanza chiusa che allena un cane per saltare e catturare diversi frisbee.</v>
      </c>
    </row>
    <row r="36092">
      <c r="A36092" s="4" t="s">
        <v>45394</v>
      </c>
      <c r="B36092" s="4" t="s">
        <v>45398</v>
      </c>
      <c r="C36092" s="5" t="str">
        <f>IFERROR(__xludf.DUMMYFUNCTION("GOOGLETRANSLATE(B36092,""en"",""it"")"),"L'allenatore maschio getta il frisbee contro il cane e il cane salta e lo prende per lui.")</f>
        <v>L'allenatore maschio getta il frisbee contro il cane e il cane salta e lo prende per lui.</v>
      </c>
    </row>
    <row r="36093">
      <c r="A36093" s="4" t="s">
        <v>45394</v>
      </c>
      <c r="B36093" s="6" t="s">
        <v>45399</v>
      </c>
      <c r="C36093" s="5" t="str">
        <f>IFERROR(__xludf.DUMMYFUNCTION("GOOGLETRANSLATE(B36093,""en"",""it"")"),"L'allenatore lancia continuamente il frisbee e il cane salta in alto e afferra ogni volta il frisbee.")</f>
        <v>L'allenatore lancia continuamente il frisbee e il cane salta in alto e afferra ogni volta il frisbee.</v>
      </c>
    </row>
    <row r="36094">
      <c r="A36094" s="4" t="s">
        <v>45394</v>
      </c>
      <c r="B36094" s="4" t="s">
        <v>45400</v>
      </c>
      <c r="C36094" s="5" t="str">
        <f>IFERROR(__xludf.DUMMYFUNCTION("GOOGLETRANSLATE(B36094,""en"",""it"")"),"Esistono diversi addestratori che hanno mostrato formazione e insegnamento dei loro trucchi per cani.")</f>
        <v>Esistono diversi addestratori che hanno mostrato formazione e insegnamento dei loro trucchi per cani.</v>
      </c>
    </row>
    <row r="36095">
      <c r="A36095" s="4" t="s">
        <v>45401</v>
      </c>
      <c r="B36095" s="4" t="s">
        <v>45402</v>
      </c>
      <c r="C36095" s="5" t="str">
        <f>IFERROR(__xludf.DUMMYFUNCTION("GOOGLETRANSLATE(B36095,""en"",""it"")"),"Sullo schermo viene mostrata un'introduzione per una demo del vuoto.")</f>
        <v>Sullo schermo viene mostrata un'introduzione per una demo del vuoto.</v>
      </c>
    </row>
    <row r="36096">
      <c r="A36096" s="4" t="s">
        <v>45401</v>
      </c>
      <c r="B36096" s="6" t="s">
        <v>45403</v>
      </c>
      <c r="C36096" s="5" t="str">
        <f>IFERROR(__xludf.DUMMYFUNCTION("GOOGLETRANSLATE(B36096,""en"",""it"")"),"Il video mostra il vuoto testato contro diverse sfide da un ragazzo e suo padre.")</f>
        <v>Il video mostra il vuoto testato contro diverse sfide da un ragazzo e suo padre.</v>
      </c>
    </row>
    <row r="36097">
      <c r="A36097" s="4" t="s">
        <v>45401</v>
      </c>
      <c r="B36097" s="4" t="s">
        <v>45404</v>
      </c>
      <c r="C36097" s="5" t="str">
        <f>IFERROR(__xludf.DUMMYFUNCTION("GOOGLETRANSLATE(B36097,""en"",""it"")"),"Il video termina con una schermata che mostra il logo per la società a vuoto.")</f>
        <v>Il video termina con una schermata che mostra il logo per la società a vuoto.</v>
      </c>
    </row>
    <row r="36098">
      <c r="A36098" s="4" t="s">
        <v>45405</v>
      </c>
      <c r="B36098" s="6" t="s">
        <v>45406</v>
      </c>
      <c r="C36098" s="5" t="str">
        <f>IFERROR(__xludf.DUMMYFUNCTION("GOOGLETRANSLATE(B36098,""en"",""it"")"),"Due donne che indossano abiti abbinati sono sui loro microfoni e una specie di metà guardando un ragazzo giocare con un cubo di Rubix.")</f>
        <v>Due donne che indossano abiti abbinati sono sui loro microfoni e una specie di metà guardando un ragazzo giocare con un cubo di Rubix.</v>
      </c>
    </row>
    <row r="36099">
      <c r="A36099" s="4" t="s">
        <v>45405</v>
      </c>
      <c r="B36099" s="4" t="s">
        <v>45407</v>
      </c>
      <c r="C36099" s="5" t="str">
        <f>IFERROR(__xludf.DUMMYFUNCTION("GOOGLETRANSLATE(B36099,""en"",""it"")"),"Il ragazzo sta risolvendo il cubo abbastanza rapidamente che la ragazza sembra piuttosto scioccata.")</f>
        <v>Il ragazzo sta risolvendo il cubo abbastanza rapidamente che la ragazza sembra piuttosto scioccata.</v>
      </c>
    </row>
    <row r="36100">
      <c r="A36100" s="4" t="s">
        <v>45405</v>
      </c>
      <c r="B36100" s="4" t="s">
        <v>45408</v>
      </c>
      <c r="C36100" s="5" t="str">
        <f>IFERROR(__xludf.DUMMYFUNCTION("GOOGLETRANSLATE(B36100,""en"",""it"")"),"Quindi un gruppo di persone inizia a provare un puzzle per vedere chi è il più veloce.")</f>
        <v>Quindi un gruppo di persone inizia a provare un puzzle per vedere chi è il più veloce.</v>
      </c>
    </row>
    <row r="36101">
      <c r="A36101" s="4" t="s">
        <v>45405</v>
      </c>
      <c r="B36101" s="6" t="s">
        <v>45409</v>
      </c>
      <c r="C36101" s="5" t="str">
        <f>IFERROR(__xludf.DUMMYFUNCTION("GOOGLETRANSLATE(B36101,""en"",""it"")"),"Un altro ragazzo con una camicia blu si alza e inizia a risolverlo e quando le ragazze danno un premio.")</f>
        <v>Un altro ragazzo con una camicia blu si alza e inizia a risolverlo e quando le ragazze danno un premio.</v>
      </c>
    </row>
    <row r="36102">
      <c r="A36102" s="4" t="s">
        <v>45410</v>
      </c>
      <c r="B36102" s="4" t="s">
        <v>45411</v>
      </c>
      <c r="C36102" s="5" t="str">
        <f>IFERROR(__xludf.DUMMYFUNCTION("GOOGLETRANSLATE(B36102,""en"",""it"")"),"Una persona osserva un vecchio tempio di samurai.")</f>
        <v>Una persona osserva un vecchio tempio di samurai.</v>
      </c>
    </row>
    <row r="36103">
      <c r="A36103" s="4" t="s">
        <v>45410</v>
      </c>
      <c r="B36103" s="4" t="s">
        <v>45412</v>
      </c>
      <c r="C36103" s="5" t="str">
        <f>IFERROR(__xludf.DUMMYFUNCTION("GOOGLETRANSLATE(B36103,""en"",""it"")"),"Un uomo tiene un arco e lancia frecce, mentre gli uomini si siedono sulla strada ordina le frecce.")</f>
        <v>Un uomo tiene un arco e lancia frecce, mentre gli uomini si siedono sulla strada ordina le frecce.</v>
      </c>
    </row>
    <row r="36104">
      <c r="A36104" s="4" t="s">
        <v>45410</v>
      </c>
      <c r="B36104" s="4" t="s">
        <v>45413</v>
      </c>
      <c r="C36104" s="5" t="str">
        <f>IFERROR(__xludf.DUMMYFUNCTION("GOOGLETRANSLATE(B36104,""en"",""it"")"),"Tre piccole tavole sono fissate a terra, improvvisamente e Arrow colpisce una tavola.")</f>
        <v>Tre piccole tavole sono fissate a terra, improvvisamente e Arrow colpisce una tavola.</v>
      </c>
    </row>
    <row r="36105">
      <c r="A36105" s="4" t="s">
        <v>45410</v>
      </c>
      <c r="B36105" s="4" t="s">
        <v>45414</v>
      </c>
      <c r="C36105" s="5" t="str">
        <f>IFERROR(__xludf.DUMMYFUNCTION("GOOGLETRANSLATE(B36105,""en"",""it"")"),"La gente si riunisce su una strada, poi un vecchio dà una scatola bianca a un uomo vestito con abiti bianchi.")</f>
        <v>La gente si riunisce su una strada, poi un vecchio dà una scatola bianca a un uomo vestito con abiti bianchi.</v>
      </c>
    </row>
    <row r="36106">
      <c r="A36106" s="4" t="s">
        <v>45415</v>
      </c>
      <c r="B36106" s="4" t="s">
        <v>45416</v>
      </c>
      <c r="C36106" s="5" t="str">
        <f>IFERROR(__xludf.DUMMYFUNCTION("GOOGLETRANSLATE(B36106,""en"",""it"")"),"Un ragazzo fa cartwheels e posteriore gira sull'erba mentre un amico guarda e dischi.")</f>
        <v>Un ragazzo fa cartwheels e posteriore gira sull'erba mentre un amico guarda e dischi.</v>
      </c>
    </row>
    <row r="36107">
      <c r="A36107" s="4" t="s">
        <v>45415</v>
      </c>
      <c r="B36107" s="4" t="s">
        <v>45417</v>
      </c>
      <c r="C36107" s="5" t="str">
        <f>IFERROR(__xludf.DUMMYFUNCTION("GOOGLETRANSLATE(B36107,""en"",""it"")"),"Si ferma per un momento e si prende una pausa, quindi continua a fare più lanci.")</f>
        <v>Si ferma per un momento e si prende una pausa, quindi continua a fare più lanci.</v>
      </c>
    </row>
    <row r="36108">
      <c r="A36108" s="4" t="s">
        <v>45415</v>
      </c>
      <c r="B36108" s="4" t="s">
        <v>45418</v>
      </c>
      <c r="C36108" s="5" t="str">
        <f>IFERROR(__xludf.DUMMYFUNCTION("GOOGLETRANSLATE(B36108,""en"",""it"")"),"Un altro ragazzo arriva sullo schermo e tenta di fare alcuni lanci sull'erba.")</f>
        <v>Un altro ragazzo arriva sullo schermo e tenta di fare alcuni lanci sull'erba.</v>
      </c>
    </row>
    <row r="36109">
      <c r="A36109" s="4" t="s">
        <v>45419</v>
      </c>
      <c r="B36109" s="4" t="s">
        <v>45420</v>
      </c>
      <c r="C36109" s="5" t="str">
        <f>IFERROR(__xludf.DUMMYFUNCTION("GOOGLETRANSLATE(B36109,""en"",""it"")"),"Una ragazza esce da una stanza e lungo un corridoio.")</f>
        <v>Una ragazza esce da una stanza e lungo un corridoio.</v>
      </c>
    </row>
    <row r="36110">
      <c r="A36110" s="4" t="s">
        <v>45419</v>
      </c>
      <c r="B36110" s="4" t="s">
        <v>45421</v>
      </c>
      <c r="C36110" s="5" t="str">
        <f>IFERROR(__xludf.DUMMYFUNCTION("GOOGLETRANSLATE(B36110,""en"",""it"")"),"Mette giù la sua borsa da borsone prima di sdraiarsi su un tavolo.")</f>
        <v>Mette giù la sua borsa da borsone prima di sdraiarsi su un tavolo.</v>
      </c>
    </row>
    <row r="36111">
      <c r="A36111" s="4" t="s">
        <v>45419</v>
      </c>
      <c r="B36111" s="4" t="s">
        <v>45422</v>
      </c>
      <c r="C36111" s="5" t="str">
        <f>IFERROR(__xludf.DUMMYFUNCTION("GOOGLETRANSLATE(B36111,""en"",""it"")"),"Qualcuno le consegna una tazza e lei la beve, poi lavorano sul tatuaggio della lingua.")</f>
        <v>Qualcuno le consegna una tazza e lei la beve, poi lavorano sul tatuaggio della lingua.</v>
      </c>
    </row>
    <row r="36112">
      <c r="A36112" s="4" t="s">
        <v>45419</v>
      </c>
      <c r="B36112" s="4" t="s">
        <v>45423</v>
      </c>
      <c r="C36112" s="5" t="str">
        <f>IFERROR(__xludf.DUMMYFUNCTION("GOOGLETRANSLATE(B36112,""en"",""it"")"),"Una canna viene inserita nella sua tonalità e tagliata, creando un piercing.")</f>
        <v>Una canna viene inserita nella sua tonalità e tagliata, creando un piercing.</v>
      </c>
    </row>
    <row r="36113">
      <c r="A36113" s="4" t="s">
        <v>45419</v>
      </c>
      <c r="B36113" s="4" t="s">
        <v>45424</v>
      </c>
      <c r="C36113" s="5" t="str">
        <f>IFERROR(__xludf.DUMMYFUNCTION("GOOGLETRANSLATE(B36113,""en"",""it"")"),"Sporge la lingua alla telecamera, mostrando il suo piercing.")</f>
        <v>Sporge la lingua alla telecamera, mostrando il suo piercing.</v>
      </c>
    </row>
    <row r="36114">
      <c r="A36114" s="4" t="s">
        <v>45425</v>
      </c>
      <c r="B36114" s="4" t="s">
        <v>45426</v>
      </c>
      <c r="C36114" s="5" t="str">
        <f>IFERROR(__xludf.DUMMYFUNCTION("GOOGLETRANSLATE(B36114,""en"",""it"")"),"Un custode spruzza il bancone di un lavandino con un flacone spray.")</f>
        <v>Un custode spruzza il bancone di un lavandino con un flacone spray.</v>
      </c>
    </row>
    <row r="36115">
      <c r="A36115" s="4" t="s">
        <v>45425</v>
      </c>
      <c r="B36115" s="4" t="s">
        <v>45427</v>
      </c>
      <c r="C36115" s="5" t="str">
        <f>IFERROR(__xludf.DUMMYFUNCTION("GOOGLETRANSLATE(B36115,""en"",""it"")"),"Il lavoratore usa un pennello per pulire il lavandino.")</f>
        <v>Il lavoratore usa un pennello per pulire il lavandino.</v>
      </c>
    </row>
    <row r="36116">
      <c r="A36116" s="4" t="s">
        <v>45425</v>
      </c>
      <c r="B36116" s="4" t="s">
        <v>45428</v>
      </c>
      <c r="C36116" s="5" t="str">
        <f>IFERROR(__xludf.DUMMYFUNCTION("GOOGLETRANSLATE(B36116,""en"",""it"")"),"Il lavoratore usa un asciugamano per pulire il liquido nel lavandino.")</f>
        <v>Il lavoratore usa un asciugamano per pulire il liquido nel lavandino.</v>
      </c>
    </row>
    <row r="36117">
      <c r="A36117" s="4" t="s">
        <v>45429</v>
      </c>
      <c r="B36117" s="4" t="s">
        <v>45430</v>
      </c>
      <c r="C36117" s="5" t="str">
        <f>IFERROR(__xludf.DUMMYFUNCTION("GOOGLETRANSLATE(B36117,""en"",""it"")"),"Un uomo sta parlando di ciò che sta accadendo in TV dietro di lui come una notizia.")</f>
        <v>Un uomo sta parlando di ciò che sta accadendo in TV dietro di lui come una notizia.</v>
      </c>
    </row>
    <row r="36118">
      <c r="A36118" s="4" t="s">
        <v>45429</v>
      </c>
      <c r="B36118" s="4" t="s">
        <v>45431</v>
      </c>
      <c r="C36118" s="5" t="str">
        <f>IFERROR(__xludf.DUMMYFUNCTION("GOOGLETRANSLATE(B36118,""en"",""it"")"),"Un gruppo di persone è in campo giocando una partita in giro dappertutto.")</f>
        <v>Un gruppo di persone è in campo giocando una partita in giro dappertutto.</v>
      </c>
    </row>
    <row r="36119">
      <c r="A36119" s="4" t="s">
        <v>45429</v>
      </c>
      <c r="B36119" s="4" t="s">
        <v>45432</v>
      </c>
      <c r="C36119" s="5" t="str">
        <f>IFERROR(__xludf.DUMMYFUNCTION("GOOGLETRANSLATE(B36119,""en"",""it"")"),"Molti giocatori sono in grado di avere la possibilità di parlare della squadra e del genere.")</f>
        <v>Molti giocatori sono in grado di avere la possibilità di parlare della squadra e del genere.</v>
      </c>
    </row>
    <row r="36120">
      <c r="A36120" s="4" t="s">
        <v>45429</v>
      </c>
      <c r="B36120" s="6" t="s">
        <v>45433</v>
      </c>
      <c r="C36120" s="5" t="str">
        <f>IFERROR(__xludf.DUMMYFUNCTION("GOOGLETRANSLATE(B36120,""en"",""it"")"),"Mostrano la pratica e i giocatori e poi tornano alle ancore di notizie che continuano a parlarne un po 'di più.")</f>
        <v>Mostrano la pratica e i giocatori e poi tornano alle ancore di notizie che continuano a parlarne un po 'di più.</v>
      </c>
    </row>
    <row r="36121">
      <c r="A36121" s="4" t="s">
        <v>45434</v>
      </c>
      <c r="B36121" s="4" t="s">
        <v>45435</v>
      </c>
      <c r="C36121" s="5" t="str">
        <f>IFERROR(__xludf.DUMMYFUNCTION("GOOGLETRANSLATE(B36121,""en"",""it"")"),"Una donna è in cucina mentre parla.")</f>
        <v>Una donna è in cucina mentre parla.</v>
      </c>
    </row>
    <row r="36122">
      <c r="A36122" s="4" t="s">
        <v>45434</v>
      </c>
      <c r="B36122" s="4" t="s">
        <v>45436</v>
      </c>
      <c r="C36122" s="5" t="str">
        <f>IFERROR(__xludf.DUMMYFUNCTION("GOOGLETRANSLATE(B36122,""en"",""it"")"),"Mostra una borsa, spingendola con il pugno.")</f>
        <v>Mostra una borsa, spingendola con il pugno.</v>
      </c>
    </row>
    <row r="36123">
      <c r="A36123" s="4" t="s">
        <v>45434</v>
      </c>
      <c r="B36123" s="4" t="s">
        <v>45437</v>
      </c>
      <c r="C36123" s="5" t="str">
        <f>IFERROR(__xludf.DUMMYFUNCTION("GOOGLETRANSLATE(B36123,""en"",""it"")"),"Lo chiude e mostra come rimane in forma.")</f>
        <v>Lo chiude e mostra come rimane in forma.</v>
      </c>
    </row>
    <row r="36124">
      <c r="A36124" s="4" t="s">
        <v>45438</v>
      </c>
      <c r="B36124" s="4" t="s">
        <v>6759</v>
      </c>
      <c r="C36124" s="5" t="str">
        <f>IFERROR(__xludf.DUMMYFUNCTION("GOOGLETRANSLATE(B36124,""en"",""it"")"),"Le persone sono in piedi su un campo d'erba.")</f>
        <v>Le persone sono in piedi su un campo d'erba.</v>
      </c>
    </row>
    <row r="36125">
      <c r="A36125" s="4" t="s">
        <v>45438</v>
      </c>
      <c r="B36125" s="4" t="s">
        <v>45439</v>
      </c>
      <c r="C36125" s="5" t="str">
        <f>IFERROR(__xludf.DUMMYFUNCTION("GOOGLETRANSLATE(B36125,""en"",""it"")"),"Un uomo raccoglie un palo lungo e inizia a correre lungo una pista.")</f>
        <v>Un uomo raccoglie un palo lungo e inizia a correre lungo una pista.</v>
      </c>
    </row>
    <row r="36126">
      <c r="A36126" s="4" t="s">
        <v>45438</v>
      </c>
      <c r="B36126" s="4" t="s">
        <v>45440</v>
      </c>
      <c r="C36126" s="5" t="str">
        <f>IFERROR(__xludf.DUMMYFUNCTION("GOOGLETRANSLATE(B36126,""en"",""it"")"),"Salta su un bar alto e atterra su un tappetino.")</f>
        <v>Salta su un bar alto e atterra su un tappetino.</v>
      </c>
    </row>
    <row r="36127">
      <c r="A36127" s="4" t="s">
        <v>45441</v>
      </c>
      <c r="B36127" s="4" t="s">
        <v>45442</v>
      </c>
      <c r="C36127" s="5" t="str">
        <f>IFERROR(__xludf.DUMMYFUNCTION("GOOGLETRANSLATE(B36127,""en"",""it"")"),"Diverse persone vengono viste a guidare le attrezzature per l'esercizio mentre parlano alla telecamera.")</f>
        <v>Diverse persone vengono viste a guidare le attrezzature per l'esercizio mentre parlano alla telecamera.</v>
      </c>
    </row>
    <row r="36128">
      <c r="A36128" s="4" t="s">
        <v>45441</v>
      </c>
      <c r="B36128" s="4" t="s">
        <v>45443</v>
      </c>
      <c r="C36128" s="5" t="str">
        <f>IFERROR(__xludf.DUMMYFUNCTION("GOOGLETRANSLATE(B36128,""en"",""it"")"),"Viene visto un uomo parlare alla fotocamera mentre vengono mostrati più scatti dell'attrezzatura.")</f>
        <v>Viene visto un uomo parlare alla fotocamera mentre vengono mostrati più scatti dell'attrezzatura.</v>
      </c>
    </row>
    <row r="36129">
      <c r="A36129" s="4" t="s">
        <v>45441</v>
      </c>
      <c r="B36129" s="6" t="s">
        <v>45444</v>
      </c>
      <c r="C36129" s="5" t="str">
        <f>IFERROR(__xludf.DUMMYFUNCTION("GOOGLETRANSLATE(B36129,""en"",""it"")"),"Le persone si muovono intorno alla macchina e guidano con l'uomo che parla di più e mostrando come regolare la macchina.")</f>
        <v>Le persone si muovono intorno alla macchina e guidano con l'uomo che parla di più e mostrando come regolare la macchina.</v>
      </c>
    </row>
    <row r="36130">
      <c r="A36130" s="4" t="s">
        <v>45445</v>
      </c>
      <c r="B36130" s="6" t="s">
        <v>45446</v>
      </c>
      <c r="C36130" s="5" t="str">
        <f>IFERROR(__xludf.DUMMYFUNCTION("GOOGLETRANSLATE(B36130,""en"",""it"")"),"Alcune persone giocano a Beer Bong che si divertono, l'uomo lancia il pugno e lo fa nella Coppa delle ragazze.")</f>
        <v>Alcune persone giocano a Beer Bong che si divertono, l'uomo lancia il pugno e lo fa nella Coppa delle ragazze.</v>
      </c>
    </row>
    <row r="36131">
      <c r="A36131" s="4" t="s">
        <v>45445</v>
      </c>
      <c r="B36131" s="4" t="s">
        <v>45447</v>
      </c>
      <c r="C36131" s="5" t="str">
        <f>IFERROR(__xludf.DUMMYFUNCTION("GOOGLETRANSLATE(B36131,""en"",""it"")"),"Beve il suo drink e poi bagna la palla in acqua prima di lanciare la palla.")</f>
        <v>Beve il suo drink e poi bagna la palla in acqua prima di lanciare la palla.</v>
      </c>
    </row>
    <row r="36132">
      <c r="A36132" s="4" t="s">
        <v>45445</v>
      </c>
      <c r="B36132" s="4" t="s">
        <v>45448</v>
      </c>
      <c r="C36132" s="5" t="str">
        <f>IFERROR(__xludf.DUMMYFUNCTION("GOOGLETRANSLATE(B36132,""en"",""it"")"),"Quindi, si siede e l'altro ragazzo prende il suo turno.")</f>
        <v>Quindi, si siede e l'altro ragazzo prende il suo turno.</v>
      </c>
    </row>
    <row r="36133">
      <c r="A36133" s="4" t="s">
        <v>45445</v>
      </c>
      <c r="B36133" s="6" t="s">
        <v>45449</v>
      </c>
      <c r="C36133" s="5" t="str">
        <f>IFERROR(__xludf.DUMMYFUNCTION("GOOGLETRANSLATE(B36133,""en"",""it"")"),"Quindi è la ragazza delle altre squadre, continuano a fare i loro turni e a bere, divertendosi.")</f>
        <v>Quindi è la ragazza delle altre squadre, continuano a fare i loro turni e a bere, divertendosi.</v>
      </c>
    </row>
    <row r="36134">
      <c r="A36134" s="4" t="s">
        <v>45450</v>
      </c>
      <c r="B36134" s="4" t="s">
        <v>45451</v>
      </c>
      <c r="C36134" s="5" t="str">
        <f>IFERROR(__xludf.DUMMYFUNCTION("GOOGLETRANSLATE(B36134,""en"",""it"")"),"Vediamo una signora dietro un bar che parla.")</f>
        <v>Vediamo una signora dietro un bar che parla.</v>
      </c>
    </row>
    <row r="36135">
      <c r="A36135" s="4" t="s">
        <v>45450</v>
      </c>
      <c r="B36135" s="4" t="s">
        <v>45452</v>
      </c>
      <c r="C36135" s="5" t="str">
        <f>IFERROR(__xludf.DUMMYFUNCTION("GOOGLETRANSLATE(B36135,""en"",""it"")"),"La signora versa ghiaccio in vetro.")</f>
        <v>La signora versa ghiaccio in vetro.</v>
      </c>
    </row>
    <row r="36136">
      <c r="A36136" s="4" t="s">
        <v>45450</v>
      </c>
      <c r="B36136" s="4" t="s">
        <v>45453</v>
      </c>
      <c r="C36136" s="5" t="str">
        <f>IFERROR(__xludf.DUMMYFUNCTION("GOOGLETRANSLATE(B36136,""en"",""it"")"),"La signora versa tre colpi di liquore in una tazza.")</f>
        <v>La signora versa tre colpi di liquore in una tazza.</v>
      </c>
    </row>
    <row r="36137">
      <c r="A36137" s="4" t="s">
        <v>45450</v>
      </c>
      <c r="B36137" s="4" t="s">
        <v>45454</v>
      </c>
      <c r="C36137" s="5" t="str">
        <f>IFERROR(__xludf.DUMMYFUNCTION("GOOGLETRANSLATE(B36137,""en"",""it"")"),"La signora versa altre cose e la scuote.")</f>
        <v>La signora versa altre cose e la scuote.</v>
      </c>
    </row>
    <row r="36138">
      <c r="A36138" s="4" t="s">
        <v>45450</v>
      </c>
      <c r="B36138" s="4" t="s">
        <v>45455</v>
      </c>
      <c r="C36138" s="5" t="str">
        <f>IFERROR(__xludf.DUMMYFUNCTION("GOOGLETRANSLATE(B36138,""en"",""it"")"),"La signora versa la bevanda in un bicchiere.")</f>
        <v>La signora versa la bevanda in un bicchiere.</v>
      </c>
    </row>
    <row r="36139">
      <c r="A36139" s="4" t="s">
        <v>45450</v>
      </c>
      <c r="B36139" s="4" t="s">
        <v>45456</v>
      </c>
      <c r="C36139" s="5" t="str">
        <f>IFERROR(__xludf.DUMMYFUNCTION("GOOGLETRANSLATE(B36139,""en"",""it"")"),"La signora aggiunge alcune cose rosse.")</f>
        <v>La signora aggiunge alcune cose rosse.</v>
      </c>
    </row>
    <row r="36140">
      <c r="A36140" s="4" t="s">
        <v>45450</v>
      </c>
      <c r="B36140" s="4" t="s">
        <v>45457</v>
      </c>
      <c r="C36140" s="5" t="str">
        <f>IFERROR(__xludf.DUMMYFUNCTION("GOOGLETRANSLATE(B36140,""en"",""it"")"),"La signora tiene il vetro e sorride.")</f>
        <v>La signora tiene il vetro e sorride.</v>
      </c>
    </row>
    <row r="36141">
      <c r="A36141" s="4" t="s">
        <v>45458</v>
      </c>
      <c r="B36141" s="4" t="s">
        <v>45459</v>
      </c>
      <c r="C36141" s="5" t="str">
        <f>IFERROR(__xludf.DUMMYFUNCTION("GOOGLETRANSLATE(B36141,""en"",""it"")"),"I bambini stanno giocando a scagliare in un grande campo verde.")</f>
        <v>I bambini stanno giocando a scagliare in un grande campo verde.</v>
      </c>
    </row>
    <row r="36142">
      <c r="A36142" s="4" t="s">
        <v>45458</v>
      </c>
      <c r="B36142" s="4" t="s">
        <v>45460</v>
      </c>
      <c r="C36142" s="5" t="str">
        <f>IFERROR(__xludf.DUMMYFUNCTION("GOOGLETRANSLATE(B36142,""en"",""it"")"),"I bambini stanno levigando Al di fronte all'obiettivo di fare un tiro gratuito.")</f>
        <v>I bambini stanno levigando Al di fronte all'obiettivo di fare un tiro gratuito.</v>
      </c>
    </row>
    <row r="36143">
      <c r="A36143" s="4" t="s">
        <v>45458</v>
      </c>
      <c r="B36143" s="4" t="s">
        <v>45461</v>
      </c>
      <c r="C36143" s="5" t="str">
        <f>IFERROR(__xludf.DUMMYFUNCTION("GOOGLETRANSLATE(B36143,""en"",""it"")"),"I bambini stanno posando per una foto nel campo verde.")</f>
        <v>I bambini stanno posando per una foto nel campo verde.</v>
      </c>
    </row>
    <row r="36144">
      <c r="A36144" s="4" t="s">
        <v>45462</v>
      </c>
      <c r="B36144" s="4" t="s">
        <v>45463</v>
      </c>
      <c r="C36144" s="5" t="str">
        <f>IFERROR(__xludf.DUMMYFUNCTION("GOOGLETRANSLATE(B36144,""en"",""it"")"),"Un cane grosso è in piedi in una vasca da bagno.")</f>
        <v>Un cane grosso è in piedi in una vasca da bagno.</v>
      </c>
    </row>
    <row r="36145">
      <c r="A36145" s="4" t="s">
        <v>45462</v>
      </c>
      <c r="B36145" s="4" t="s">
        <v>45464</v>
      </c>
      <c r="C36145" s="5" t="str">
        <f>IFERROR(__xludf.DUMMYFUNCTION("GOOGLETRANSLATE(B36145,""en"",""it"")"),"Una donna con una camicia rosa sta strofinando il cane con sapone.")</f>
        <v>Una donna con una camicia rosa sta strofinando il cane con sapone.</v>
      </c>
    </row>
    <row r="36146">
      <c r="A36146" s="4" t="s">
        <v>45462</v>
      </c>
      <c r="B36146" s="4" t="s">
        <v>45465</v>
      </c>
      <c r="C36146" s="5" t="str">
        <f>IFERROR(__xludf.DUMMYFUNCTION("GOOGLETRANSLATE(B36146,""en"",""it"")"),"Quindi inizia a lavare il cane con un tubo.")</f>
        <v>Quindi inizia a lavare il cane con un tubo.</v>
      </c>
    </row>
    <row r="36147">
      <c r="A36147" s="4" t="s">
        <v>45466</v>
      </c>
      <c r="B36147" s="4" t="s">
        <v>45467</v>
      </c>
      <c r="C36147" s="5" t="str">
        <f>IFERROR(__xludf.DUMMYFUNCTION("GOOGLETRANSLATE(B36147,""en"",""it"")"),"Una donna è seduta sul pavimento con le scarpe.")</f>
        <v>Una donna è seduta sul pavimento con le scarpe.</v>
      </c>
    </row>
    <row r="36148">
      <c r="A36148" s="4" t="s">
        <v>45466</v>
      </c>
      <c r="B36148" s="4" t="s">
        <v>45468</v>
      </c>
      <c r="C36148" s="5" t="str">
        <f>IFERROR(__xludf.DUMMYFUNCTION("GOOGLETRANSLATE(B36148,""en"",""it"")"),"La donna mette una scarpa.")</f>
        <v>La donna mette una scarpa.</v>
      </c>
    </row>
    <row r="36149">
      <c r="A36149" s="4" t="s">
        <v>45466</v>
      </c>
      <c r="B36149" s="4" t="s">
        <v>45469</v>
      </c>
      <c r="C36149" s="5" t="str">
        <f>IFERROR(__xludf.DUMMYFUNCTION("GOOGLETRANSLATE(B36149,""en"",""it"")"),"Qualcosa viene lanciato alla donna e lei tenta di prenderlo.")</f>
        <v>Qualcosa viene lanciato alla donna e lei tenta di prenderlo.</v>
      </c>
    </row>
    <row r="36150">
      <c r="A36150" s="4" t="s">
        <v>45466</v>
      </c>
      <c r="B36150" s="4" t="s">
        <v>45470</v>
      </c>
      <c r="C36150" s="5" t="str">
        <f>IFERROR(__xludf.DUMMYFUNCTION("GOOGLETRANSLATE(B36150,""en"",""it"")"),"La fotocamera si sposta brevemente a destra per mostrare un altro individuo.")</f>
        <v>La fotocamera si sposta brevemente a destra per mostrare un altro individuo.</v>
      </c>
    </row>
    <row r="36151">
      <c r="A36151" s="4" t="s">
        <v>45466</v>
      </c>
      <c r="B36151" s="4" t="s">
        <v>45471</v>
      </c>
      <c r="C36151" s="5" t="str">
        <f>IFERROR(__xludf.DUMMYFUNCTION("GOOGLETRANSLATE(B36151,""en"",""it"")"),"La fotocamera ritorna alla donna ancora mettendo la scarpa.")</f>
        <v>La fotocamera ritorna alla donna ancora mettendo la scarpa.</v>
      </c>
    </row>
    <row r="36152">
      <c r="A36152" s="4" t="s">
        <v>45466</v>
      </c>
      <c r="B36152" s="6" t="s">
        <v>45472</v>
      </c>
      <c r="C36152" s="5" t="str">
        <f>IFERROR(__xludf.DUMMYFUNCTION("GOOGLETRANSLATE(B36152,""en"",""it"")"),"La telecamera si sposta direttamente a diverse persone nella stanza, in attesa che la donna si metta le scarpe.")</f>
        <v>La telecamera si sposta direttamente a diverse persone nella stanza, in attesa che la donna si metta le scarpe.</v>
      </c>
    </row>
    <row r="36153">
      <c r="A36153" s="4" t="s">
        <v>45466</v>
      </c>
      <c r="B36153" s="4" t="s">
        <v>45473</v>
      </c>
      <c r="C36153" s="5" t="str">
        <f>IFERROR(__xludf.DUMMYFUNCTION("GOOGLETRANSLATE(B36153,""en"",""it"")"),"La telecamera si sposta di nuovo sulla donna, ancora mettendo la scarpa.")</f>
        <v>La telecamera si sposta di nuovo sulla donna, ancora mettendo la scarpa.</v>
      </c>
    </row>
    <row r="36154">
      <c r="A36154" s="4" t="s">
        <v>45466</v>
      </c>
      <c r="B36154" s="4" t="s">
        <v>45474</v>
      </c>
      <c r="C36154" s="5" t="str">
        <f>IFERROR(__xludf.DUMMYFUNCTION("GOOGLETRANSLATE(B36154,""en"",""it"")"),"La donna inizia a mettere l'altra scarpa.")</f>
        <v>La donna inizia a mettere l'altra scarpa.</v>
      </c>
    </row>
    <row r="36155">
      <c r="A36155" s="4" t="s">
        <v>45475</v>
      </c>
      <c r="B36155" s="4" t="s">
        <v>45476</v>
      </c>
      <c r="C36155" s="5" t="str">
        <f>IFERROR(__xludf.DUMMYFUNCTION("GOOGLETRANSLATE(B36155,""en"",""it"")"),"Una diapositiva di immagini mostra che si esibisce in una banda e ragazze che si muovono.")</f>
        <v>Una diapositiva di immagini mostra che si esibisce in una banda e ragazze che si muovono.</v>
      </c>
    </row>
    <row r="36156">
      <c r="A36156" s="4" t="s">
        <v>45475</v>
      </c>
      <c r="B36156" s="4" t="s">
        <v>45477</v>
      </c>
      <c r="C36156" s="5" t="str">
        <f>IFERROR(__xludf.DUMMYFUNCTION("GOOGLETRANSLATE(B36156,""en"",""it"")"),"Quindi, suonano le bande di marcia e le ragazze si esibiscono con bandiere.")</f>
        <v>Quindi, suonano le bande di marcia e le ragazze si esibiscono con bandiere.</v>
      </c>
    </row>
    <row r="36157">
      <c r="A36157" s="4" t="s">
        <v>45478</v>
      </c>
      <c r="B36157" s="4" t="s">
        <v>45479</v>
      </c>
      <c r="C36157" s="5" t="str">
        <f>IFERROR(__xludf.DUMMYFUNCTION("GOOGLETRANSLATE(B36157,""en"",""it"")"),"Una giovane donna si trova in un campo di terra con un'ascia in mano che tenta di tagliare un tronco.")</f>
        <v>Una giovane donna si trova in un campo di terra con un'ascia in mano che tenta di tagliare un tronco.</v>
      </c>
    </row>
    <row r="36158">
      <c r="A36158" s="4" t="s">
        <v>45478</v>
      </c>
      <c r="B36158" s="4" t="s">
        <v>45480</v>
      </c>
      <c r="C36158" s="5" t="str">
        <f>IFERROR(__xludf.DUMMYFUNCTION("GOOGLETRANSLATE(B36158,""en"",""it"")"),"La ragazza non ha successo nel suo primo tentativo, quindi riprende il tronco e riprova.")</f>
        <v>La ragazza non ha successo nel suo primo tentativo, quindi riprende il tronco e riprova.</v>
      </c>
    </row>
    <row r="36159">
      <c r="A36159" s="4" t="s">
        <v>45481</v>
      </c>
      <c r="B36159" s="4" t="s">
        <v>45482</v>
      </c>
      <c r="C36159" s="5" t="str">
        <f>IFERROR(__xludf.DUMMYFUNCTION("GOOGLETRANSLATE(B36159,""en"",""it"")"),"Un gruppo di persone viene visto andare in giro nei tubi mentre si spinge giù per un sub.")</f>
        <v>Un gruppo di persone viene visto andare in giro nei tubi mentre si spinge giù per un sub.</v>
      </c>
    </row>
    <row r="36160">
      <c r="A36160" s="4" t="s">
        <v>45481</v>
      </c>
      <c r="B36160" s="6" t="s">
        <v>45483</v>
      </c>
      <c r="C36160" s="5" t="str">
        <f>IFERROR(__xludf.DUMMYFUNCTION("GOOGLETRANSLATE(B36160,""en"",""it"")"),"Le persone continuano a cavalcare nei tubi lungo il fiume guardando verso la telecamera e ride e sorride.")</f>
        <v>Le persone continuano a cavalcare nei tubi lungo il fiume guardando verso la telecamera e ride e sorride.</v>
      </c>
    </row>
    <row r="36161">
      <c r="A36161" s="4" t="s">
        <v>45484</v>
      </c>
      <c r="B36161" s="4" t="s">
        <v>45485</v>
      </c>
      <c r="C36161" s="5" t="str">
        <f>IFERROR(__xludf.DUMMYFUNCTION("GOOGLETRANSLATE(B36161,""en"",""it"")"),"Un uomo che indossa il nero è in palestra.")</f>
        <v>Un uomo che indossa il nero è in palestra.</v>
      </c>
    </row>
    <row r="36162">
      <c r="A36162" s="4" t="s">
        <v>45484</v>
      </c>
      <c r="B36162" s="4" t="s">
        <v>45486</v>
      </c>
      <c r="C36162" s="5" t="str">
        <f>IFERROR(__xludf.DUMMYFUNCTION("GOOGLETRANSLATE(B36162,""en"",""it"")"),"Raccoglie alcuni bilancieri pesanti.")</f>
        <v>Raccoglie alcuni bilancieri pesanti.</v>
      </c>
    </row>
    <row r="36163">
      <c r="A36163" s="4" t="s">
        <v>45484</v>
      </c>
      <c r="B36163" s="4" t="s">
        <v>45487</v>
      </c>
      <c r="C36163" s="5" t="str">
        <f>IFERROR(__xludf.DUMMYFUNCTION("GOOGLETRANSLATE(B36163,""en"",""it"")"),"Solleva i bilancieri sopra la sua testa.")</f>
        <v>Solleva i bilancieri sopra la sua testa.</v>
      </c>
    </row>
    <row r="36164">
      <c r="A36164" s="4" t="s">
        <v>45484</v>
      </c>
      <c r="B36164" s="4" t="s">
        <v>45488</v>
      </c>
      <c r="C36164" s="5" t="str">
        <f>IFERROR(__xludf.DUMMYFUNCTION("GOOGLETRANSLATE(B36164,""en"",""it"")"),"Quindi lascia cadere i bilancieri a terra.")</f>
        <v>Quindi lascia cadere i bilancieri a terra.</v>
      </c>
    </row>
    <row r="36165">
      <c r="A36165" s="4" t="s">
        <v>45489</v>
      </c>
      <c r="B36165" s="4" t="s">
        <v>45490</v>
      </c>
      <c r="C36165" s="5" t="str">
        <f>IFERROR(__xludf.DUMMYFUNCTION("GOOGLETRANSLATE(B36165,""en"",""it"")"),"Un uomo esce da un edificio e inizia lo skateboard.")</f>
        <v>Un uomo esce da un edificio e inizia lo skateboard.</v>
      </c>
    </row>
    <row r="36166">
      <c r="A36166" s="4" t="s">
        <v>45489</v>
      </c>
      <c r="B36166" s="4" t="s">
        <v>45491</v>
      </c>
      <c r="C36166" s="5" t="str">
        <f>IFERROR(__xludf.DUMMYFUNCTION("GOOGLETRANSLATE(B36166,""en"",""it"")"),"Sta skateboard tra le auto.")</f>
        <v>Sta skateboard tra le auto.</v>
      </c>
    </row>
    <row r="36167">
      <c r="A36167" s="4" t="s">
        <v>45489</v>
      </c>
      <c r="B36167" s="4" t="s">
        <v>45492</v>
      </c>
      <c r="C36167" s="5" t="str">
        <f>IFERROR(__xludf.DUMMYFUNCTION("GOOGLETRANSLATE(B36167,""en"",""it"")"),"Entra in un edificio e si siede a un computer.")</f>
        <v>Entra in un edificio e si siede a un computer.</v>
      </c>
    </row>
    <row r="36168">
      <c r="A36168" s="4" t="s">
        <v>45493</v>
      </c>
      <c r="B36168" s="4" t="s">
        <v>45494</v>
      </c>
      <c r="C36168" s="5" t="str">
        <f>IFERROR(__xludf.DUMMYFUNCTION("GOOGLETRANSLATE(B36168,""en"",""it"")"),"Vediamo una signora a maglia e cantare.")</f>
        <v>Vediamo una signora a maglia e cantare.</v>
      </c>
    </row>
    <row r="36169">
      <c r="A36169" s="4" t="s">
        <v>45493</v>
      </c>
      <c r="B36169" s="4" t="s">
        <v>45495</v>
      </c>
      <c r="C36169" s="5" t="str">
        <f>IFERROR(__xludf.DUMMYFUNCTION("GOOGLETRANSLATE(B36169,""en"",""it"")"),"Vediamo quindi un annuncio per una birra.")</f>
        <v>Vediamo quindi un annuncio per una birra.</v>
      </c>
    </row>
    <row r="36170">
      <c r="A36170" s="4" t="s">
        <v>45496</v>
      </c>
      <c r="B36170" s="4" t="s">
        <v>45497</v>
      </c>
      <c r="C36170" s="5" t="str">
        <f>IFERROR(__xludf.DUMMYFUNCTION("GOOGLETRANSLATE(B36170,""en"",""it"")"),"Due persone sono in una stanza, indossano attrezzature di scherma.")</f>
        <v>Due persone sono in una stanza, indossano attrezzature di scherma.</v>
      </c>
    </row>
    <row r="36171">
      <c r="A36171" s="4" t="s">
        <v>45496</v>
      </c>
      <c r="B36171" s="4" t="s">
        <v>45498</v>
      </c>
      <c r="C36171" s="5" t="str">
        <f>IFERROR(__xludf.DUMMYFUNCTION("GOOGLETRANSLATE(B36171,""en"",""it"")"),"Combattono con le spade, passando avanti e indietro mentre si colpiscono.")</f>
        <v>Combattono con le spade, passando avanti e indietro mentre si colpiscono.</v>
      </c>
    </row>
    <row r="36172">
      <c r="A36172" s="4" t="s">
        <v>45499</v>
      </c>
      <c r="B36172" s="6" t="s">
        <v>45500</v>
      </c>
      <c r="C36172" s="5" t="str">
        <f>IFERROR(__xludf.DUMMYFUNCTION("GOOGLETRANSLATE(B36172,""en"",""it"")"),"Una telecamera mostra un gruppo di persone sedute in una palestra con alcuni in piedi e uno che si incrocia le braccia.")</f>
        <v>Una telecamera mostra un gruppo di persone sedute in una palestra con alcuni in piedi e uno che si incrocia le braccia.</v>
      </c>
    </row>
    <row r="36173">
      <c r="A36173" s="4" t="s">
        <v>45499</v>
      </c>
      <c r="B36173" s="4" t="s">
        <v>45501</v>
      </c>
      <c r="C36173" s="5" t="str">
        <f>IFERROR(__xludf.DUMMYFUNCTION("GOOGLETRANSLATE(B36173,""en"",""it"")"),"Improvvisamente uno studente entra in telaio e salta su un palo in un tappetino.")</f>
        <v>Improvvisamente uno studente entra in telaio e salta su un palo in un tappetino.</v>
      </c>
    </row>
    <row r="36174">
      <c r="A36174" s="4" t="s">
        <v>45502</v>
      </c>
      <c r="B36174" s="6" t="s">
        <v>45503</v>
      </c>
      <c r="C36174" s="5" t="str">
        <f>IFERROR(__xludf.DUMMYFUNCTION("GOOGLETRANSLATE(B36174,""en"",""it"")"),"Un uomo inizia a fare cose diverse come starnuti, cucinare, usare il bagno e lavarsi il viso indicando quando lavare le mani.")</f>
        <v>Un uomo inizia a fare cose diverse come starnuti, cucinare, usare il bagno e lavarsi il viso indicando quando lavare le mani.</v>
      </c>
    </row>
    <row r="36175">
      <c r="A36175" s="4" t="s">
        <v>45502</v>
      </c>
      <c r="B36175" s="4" t="s">
        <v>45504</v>
      </c>
      <c r="C36175" s="5" t="str">
        <f>IFERROR(__xludf.DUMMYFUNCTION("GOOGLETRANSLATE(B36175,""en"",""it"")"),"Una femmina arriva quindi e cammina in un lavandino in cucina e inizia a sgretolare le mani.")</f>
        <v>Una femmina arriva quindi e cammina in un lavandino in cucina e inizia a sgretolare le mani.</v>
      </c>
    </row>
    <row r="36176">
      <c r="A36176" s="4" t="s">
        <v>45502</v>
      </c>
      <c r="B36176" s="6" t="s">
        <v>45505</v>
      </c>
      <c r="C36176" s="5" t="str">
        <f>IFERROR(__xludf.DUMMYFUNCTION("GOOGLETRANSLATE(B36176,""en"",""it"")"),"Quindi gira il rubinetto e si sciacqua le mani, le asciuga e mette il tovagliolo nella spazzatura.")</f>
        <v>Quindi gira il rubinetto e si sciacqua le mani, le asciuga e mette il tovagliolo nella spazzatura.</v>
      </c>
    </row>
    <row r="36177">
      <c r="A36177" s="4" t="s">
        <v>45506</v>
      </c>
      <c r="B36177" s="4" t="s">
        <v>45507</v>
      </c>
      <c r="C36177" s="5" t="str">
        <f>IFERROR(__xludf.DUMMYFUNCTION("GOOGLETRANSLATE(B36177,""en"",""it"")"),"Viene vista una persona che indossa un pacchetto posteriore e cavalcando dalla telecamera su lame a rulli.")</f>
        <v>Viene vista una persona che indossa un pacchetto posteriore e cavalcando dalla telecamera su lame a rulli.</v>
      </c>
    </row>
    <row r="36178">
      <c r="A36178" s="4" t="s">
        <v>45506</v>
      </c>
      <c r="B36178" s="6" t="s">
        <v>45508</v>
      </c>
      <c r="C36178" s="5" t="str">
        <f>IFERROR(__xludf.DUMMYFUNCTION("GOOGLETRANSLATE(B36178,""en"",""it"")"),"La persona poi torna indietro e si blocca su un cartello che si aggira intorno, poi sorride alla telecamera.")</f>
        <v>La persona poi torna indietro e si blocca su un cartello che si aggira intorno, poi sorride alla telecamera.</v>
      </c>
    </row>
    <row r="36179">
      <c r="A36179" s="4" t="s">
        <v>45509</v>
      </c>
      <c r="B36179" s="4" t="s">
        <v>45510</v>
      </c>
      <c r="C36179" s="5" t="str">
        <f>IFERROR(__xludf.DUMMYFUNCTION("GOOGLETRANSLATE(B36179,""en"",""it"")"),"Un uomo indossa un giubbotto di sicurezza.")</f>
        <v>Un uomo indossa un giubbotto di sicurezza.</v>
      </c>
    </row>
    <row r="36180">
      <c r="A36180" s="4" t="s">
        <v>45509</v>
      </c>
      <c r="B36180" s="4" t="s">
        <v>45511</v>
      </c>
      <c r="C36180" s="5" t="str">
        <f>IFERROR(__xludf.DUMMYFUNCTION("GOOGLETRANSLATE(B36180,""en"",""it"")"),"Sta lavorando con strumenti e sabbia.")</f>
        <v>Sta lavorando con strumenti e sabbia.</v>
      </c>
    </row>
    <row r="36181">
      <c r="A36181" s="4" t="s">
        <v>45509</v>
      </c>
      <c r="B36181" s="4" t="s">
        <v>45512</v>
      </c>
      <c r="C36181" s="5" t="str">
        <f>IFERROR(__xludf.DUMMYFUNCTION("GOOGLETRANSLATE(B36181,""en"",""it"")"),"Usa la sabbia per diffondersi uniformemente contro le pareti.")</f>
        <v>Usa la sabbia per diffondersi uniformemente contro le pareti.</v>
      </c>
    </row>
    <row r="36182">
      <c r="A36182" s="4" t="s">
        <v>45513</v>
      </c>
      <c r="B36182" s="4" t="s">
        <v>45514</v>
      </c>
      <c r="C36182" s="5" t="str">
        <f>IFERROR(__xludf.DUMMYFUNCTION("GOOGLETRANSLATE(B36182,""en"",""it"")"),"Vediamo una persona che salda al buio.")</f>
        <v>Vediamo una persona che salda al buio.</v>
      </c>
    </row>
    <row r="36183">
      <c r="A36183" s="4" t="s">
        <v>45513</v>
      </c>
      <c r="B36183" s="4" t="s">
        <v>45515</v>
      </c>
      <c r="C36183" s="5" t="str">
        <f>IFERROR(__xludf.DUMMYFUNCTION("GOOGLETRANSLATE(B36183,""en"",""it"")"),"La persona fa una pausa e regola il suo casco.")</f>
        <v>La persona fa una pausa e regola il suo casco.</v>
      </c>
    </row>
    <row r="36184">
      <c r="A36184" s="4" t="s">
        <v>45513</v>
      </c>
      <c r="B36184" s="4" t="s">
        <v>45516</v>
      </c>
      <c r="C36184" s="5" t="str">
        <f>IFERROR(__xludf.DUMMYFUNCTION("GOOGLETRANSLATE(B36184,""en"",""it"")"),"L'uomo solleva brevemente il casco.")</f>
        <v>L'uomo solleva brevemente il casco.</v>
      </c>
    </row>
    <row r="36185">
      <c r="A36185" s="4" t="s">
        <v>45513</v>
      </c>
      <c r="B36185" s="4" t="s">
        <v>45517</v>
      </c>
      <c r="C36185" s="5" t="str">
        <f>IFERROR(__xludf.DUMMYFUNCTION("GOOGLETRANSLATE(B36185,""en"",""it"")"),"L'uomo solleva e abbassa il casco.")</f>
        <v>L'uomo solleva e abbassa il casco.</v>
      </c>
    </row>
    <row r="36186">
      <c r="A36186" s="4" t="s">
        <v>45513</v>
      </c>
      <c r="B36186" s="4" t="s">
        <v>45518</v>
      </c>
      <c r="C36186" s="5" t="str">
        <f>IFERROR(__xludf.DUMMYFUNCTION("GOOGLETRANSLATE(B36186,""en"",""it"")"),"L'uomo si affaccia da sotto il casco.")</f>
        <v>L'uomo si affaccia da sotto il casco.</v>
      </c>
    </row>
    <row r="36187">
      <c r="A36187" s="4" t="s">
        <v>45513</v>
      </c>
      <c r="B36187" s="4" t="s">
        <v>45519</v>
      </c>
      <c r="C36187" s="5" t="str">
        <f>IFERROR(__xludf.DUMMYFUNCTION("GOOGLETRANSLATE(B36187,""en"",""it"")"),"L'uomo finisce e solleva il casco.")</f>
        <v>L'uomo finisce e solleva il casco.</v>
      </c>
    </row>
    <row r="36188">
      <c r="A36188" s="4" t="s">
        <v>45520</v>
      </c>
      <c r="B36188" s="4" t="s">
        <v>45521</v>
      </c>
      <c r="C36188" s="5" t="str">
        <f>IFERROR(__xludf.DUMMYFUNCTION("GOOGLETRANSLATE(B36188,""en"",""it"")"),"Un maschio attacca un bastone cavo su un toro che lo insegue.")</f>
        <v>Un maschio attacca un bastone cavo su un toro che lo insegue.</v>
      </c>
    </row>
    <row r="36189">
      <c r="A36189" s="4" t="s">
        <v>45520</v>
      </c>
      <c r="B36189" s="4" t="s">
        <v>45522</v>
      </c>
      <c r="C36189" s="5" t="str">
        <f>IFERROR(__xludf.DUMMYFUNCTION("GOOGLETRANSLATE(B36189,""en"",""it"")"),"Un ragazzo scherza con un toro.")</f>
        <v>Un ragazzo scherza con un toro.</v>
      </c>
    </row>
    <row r="36190">
      <c r="A36190" s="4" t="s">
        <v>45520</v>
      </c>
      <c r="B36190" s="4" t="s">
        <v>45523</v>
      </c>
      <c r="C36190" s="5" t="str">
        <f>IFERROR(__xludf.DUMMYFUNCTION("GOOGLETRANSLATE(B36190,""en"",""it"")"),"Un toro spinge giù un uomo.")</f>
        <v>Un toro spinge giù un uomo.</v>
      </c>
    </row>
    <row r="36191">
      <c r="A36191" s="4" t="s">
        <v>45520</v>
      </c>
      <c r="B36191" s="4" t="s">
        <v>45524</v>
      </c>
      <c r="C36191" s="5" t="str">
        <f>IFERROR(__xludf.DUMMYFUNCTION("GOOGLETRANSLATE(B36191,""en"",""it"")"),"Il pubblico applaude mentre si trova in piedi.")</f>
        <v>Il pubblico applaude mentre si trova in piedi.</v>
      </c>
    </row>
    <row r="36192">
      <c r="A36192" s="4" t="s">
        <v>45520</v>
      </c>
      <c r="B36192" s="4" t="s">
        <v>45525</v>
      </c>
      <c r="C36192" s="5" t="str">
        <f>IFERROR(__xludf.DUMMYFUNCTION("GOOGLETRANSLATE(B36192,""en"",""it"")"),"Il toro viene attirato in una penna e le porte sono vicine.")</f>
        <v>Il toro viene attirato in una penna e le porte sono vicine.</v>
      </c>
    </row>
    <row r="36193">
      <c r="A36193" s="4" t="s">
        <v>45520</v>
      </c>
      <c r="B36193" s="4" t="s">
        <v>45526</v>
      </c>
      <c r="C36193" s="5" t="str">
        <f>IFERROR(__xludf.DUMMYFUNCTION("GOOGLETRANSLATE(B36193,""en"",""it"")"),"Il maschio dà un pollice in su e sorride.")</f>
        <v>Il maschio dà un pollice in su e sorride.</v>
      </c>
    </row>
    <row r="36194">
      <c r="A36194" s="4" t="s">
        <v>45520</v>
      </c>
      <c r="B36194" s="4" t="s">
        <v>45527</v>
      </c>
      <c r="C36194" s="5" t="str">
        <f>IFERROR(__xludf.DUMMYFUNCTION("GOOGLETRANSLATE(B36194,""en"",""it"")"),"Un maschio attacca due bastoncini cavi su un toro e scappa.")</f>
        <v>Un maschio attacca due bastoncini cavi su un toro e scappa.</v>
      </c>
    </row>
    <row r="36195">
      <c r="A36195" s="4" t="s">
        <v>45520</v>
      </c>
      <c r="B36195" s="4" t="s">
        <v>45528</v>
      </c>
      <c r="C36195" s="5" t="str">
        <f>IFERROR(__xludf.DUMMYFUNCTION("GOOGLETRANSLATE(B36195,""en"",""it"")"),"Il toro affronta il maschio.")</f>
        <v>Il toro affronta il maschio.</v>
      </c>
    </row>
    <row r="36196">
      <c r="A36196" s="4" t="s">
        <v>45520</v>
      </c>
      <c r="B36196" s="4" t="s">
        <v>45529</v>
      </c>
      <c r="C36196" s="5" t="str">
        <f>IFERROR(__xludf.DUMMYFUNCTION("GOOGLETRANSLATE(B36196,""en"",""it"")"),"Il maschio si alza e il suo viso è sanguinoso.")</f>
        <v>Il maschio si alza e il suo viso è sanguinoso.</v>
      </c>
    </row>
    <row r="36197">
      <c r="A36197" s="4" t="s">
        <v>45520</v>
      </c>
      <c r="B36197" s="4" t="s">
        <v>45530</v>
      </c>
      <c r="C36197" s="5" t="str">
        <f>IFERROR(__xludf.DUMMYFUNCTION("GOOGLETRANSLATE(B36197,""en"",""it"")"),"Le persone aiutano il maschio e lo portano via.")</f>
        <v>Le persone aiutano il maschio e lo portano via.</v>
      </c>
    </row>
    <row r="36198">
      <c r="A36198" s="4" t="s">
        <v>45520</v>
      </c>
      <c r="B36198" s="4" t="s">
        <v>45531</v>
      </c>
      <c r="C36198" s="5" t="str">
        <f>IFERROR(__xludf.DUMMYFUNCTION("GOOGLETRANSLATE(B36198,""en"",""it"")"),"Il maschio lascia una scarpa nera dietro.")</f>
        <v>Il maschio lascia una scarpa nera dietro.</v>
      </c>
    </row>
    <row r="36199">
      <c r="A36199" s="4" t="s">
        <v>45520</v>
      </c>
      <c r="B36199" s="4" t="s">
        <v>45532</v>
      </c>
      <c r="C36199" s="5" t="str">
        <f>IFERROR(__xludf.DUMMYFUNCTION("GOOGLETRANSLATE(B36199,""en"",""it"")"),"Le persone discutono in cerchio.")</f>
        <v>Le persone discutono in cerchio.</v>
      </c>
    </row>
    <row r="36200">
      <c r="A36200" s="4" t="s">
        <v>45520</v>
      </c>
      <c r="B36200" s="4" t="s">
        <v>45533</v>
      </c>
      <c r="C36200" s="5" t="str">
        <f>IFERROR(__xludf.DUMMYFUNCTION("GOOGLETRANSLATE(B36200,""en"",""it"")"),"L'uomo annuisce con la testa.")</f>
        <v>L'uomo annuisce con la testa.</v>
      </c>
    </row>
    <row r="36201">
      <c r="A36201" s="4" t="s">
        <v>45520</v>
      </c>
      <c r="B36201" s="4" t="s">
        <v>45534</v>
      </c>
      <c r="C36201" s="5" t="str">
        <f>IFERROR(__xludf.DUMMYFUNCTION("GOOGLETRANSLATE(B36201,""en"",""it"")"),"La gente scende dalla terra del rodeo e l'uomo si copre il naso.")</f>
        <v>La gente scende dalla terra del rodeo e l'uomo si copre il naso.</v>
      </c>
    </row>
    <row r="36202">
      <c r="A36202" s="4" t="s">
        <v>45535</v>
      </c>
      <c r="B36202" s="4" t="s">
        <v>45536</v>
      </c>
      <c r="C36202" s="5" t="str">
        <f>IFERROR(__xludf.DUMMYFUNCTION("GOOGLETRANSLATE(B36202,""en"",""it"")"),"Una squadra di cheerleader alla competizione si esaurisce sul campo e entra in formazione.")</f>
        <v>Una squadra di cheerleader alla competizione si esaurisce sul campo e entra in formazione.</v>
      </c>
    </row>
    <row r="36203">
      <c r="A36203" s="4" t="s">
        <v>45535</v>
      </c>
      <c r="B36203" s="6" t="s">
        <v>45537</v>
      </c>
      <c r="C36203" s="5" t="str">
        <f>IFERROR(__xludf.DUMMYFUNCTION("GOOGLETRANSLATE(B36203,""en"",""it"")"),"Le ragazze si accovacciano e iniziano a fare il loro tifo che consiste in diverse acrobazie, trucchi e salti sul tappeto.")</f>
        <v>Le ragazze si accovacciano e iniziano a fare il loro tifo che consiste in diverse acrobazie, trucchi e salti sul tappeto.</v>
      </c>
    </row>
    <row r="36204">
      <c r="A36204" s="4" t="s">
        <v>45535</v>
      </c>
      <c r="B36204" s="4" t="s">
        <v>45538</v>
      </c>
      <c r="C36204" s="5" t="str">
        <f>IFERROR(__xludf.DUMMYFUNCTION("GOOGLETRANSLATE(B36204,""en"",""it"")"),"Una volta che hanno finito, le ragazze finiscono in una acrobazia e l'uomo acrobatico si esaurisce al gruppo.")</f>
        <v>Una volta che hanno finito, le ragazze finiscono in una acrobazia e l'uomo acrobatico si esaurisce al gruppo.</v>
      </c>
    </row>
    <row r="36205">
      <c r="A36205" s="4" t="s">
        <v>45539</v>
      </c>
      <c r="B36205" s="4" t="s">
        <v>45540</v>
      </c>
      <c r="C36205" s="5" t="str">
        <f>IFERROR(__xludf.DUMMYFUNCTION("GOOGLETRANSLATE(B36205,""en"",""it"")"),"Little Kid è appeso da un palo in un parco giochi.")</f>
        <v>Little Kid è appeso da un palo in un parco giochi.</v>
      </c>
    </row>
    <row r="36206">
      <c r="A36206" s="4" t="s">
        <v>45539</v>
      </c>
      <c r="B36206" s="4" t="s">
        <v>45541</v>
      </c>
      <c r="C36206" s="5" t="str">
        <f>IFERROR(__xludf.DUMMYFUNCTION("GOOGLETRANSLATE(B36206,""en"",""it"")"),"Il parco giochi è mostrato in un campo polveroso in un grande parco.")</f>
        <v>Il parco giochi è mostrato in un campo polveroso in un grande parco.</v>
      </c>
    </row>
    <row r="36207">
      <c r="A36207" s="4" t="s">
        <v>45539</v>
      </c>
      <c r="B36207" s="4" t="s">
        <v>45542</v>
      </c>
      <c r="C36207" s="5" t="str">
        <f>IFERROR(__xludf.DUMMYFUNCTION("GOOGLETRANSLATE(B36207,""en"",""it"")"),"Little Kid è una camicia rosa e è appesa da un lato all'altro.")</f>
        <v>Little Kid è una camicia rosa e è appesa da un lato all'altro.</v>
      </c>
    </row>
    <row r="36208">
      <c r="A36208" s="4" t="s">
        <v>45543</v>
      </c>
      <c r="B36208" s="4" t="s">
        <v>45544</v>
      </c>
      <c r="C36208" s="5" t="str">
        <f>IFERROR(__xludf.DUMMYFUNCTION("GOOGLETRANSLATE(B36208,""en"",""it"")"),"Joe Morin di Titan Alline sta parlando di alluminio di saldatura.")</f>
        <v>Joe Morin di Titan Alline sta parlando di alluminio di saldatura.</v>
      </c>
    </row>
    <row r="36209">
      <c r="A36209" s="4" t="s">
        <v>45543</v>
      </c>
      <c r="B36209" s="4" t="s">
        <v>45545</v>
      </c>
      <c r="C36209" s="5" t="str">
        <f>IFERROR(__xludf.DUMMYFUNCTION("GOOGLETRANSLATE(B36209,""en"",""it"")"),"Sta facendo un tutorial su come correggere l'alluminio.")</f>
        <v>Sta facendo un tutorial su come correggere l'alluminio.</v>
      </c>
    </row>
    <row r="36210">
      <c r="A36210" s="4" t="s">
        <v>45543</v>
      </c>
      <c r="B36210" s="4" t="s">
        <v>45546</v>
      </c>
      <c r="C36210" s="5" t="str">
        <f>IFERROR(__xludf.DUMMYFUNCTION("GOOGLETRANSLATE(B36210,""en"",""it"")"),"Mostra un nuovo prodotto chiamato Nova, che è un elettrodo per la pulizia di alluminio sporco.")</f>
        <v>Mostra un nuovo prodotto chiamato Nova, che è un elettrodo per la pulizia di alluminio sporco.</v>
      </c>
    </row>
    <row r="36211">
      <c r="A36211" s="4" t="s">
        <v>45543</v>
      </c>
      <c r="B36211" s="4" t="s">
        <v>45547</v>
      </c>
      <c r="C36211" s="5" t="str">
        <f>IFERROR(__xludf.DUMMYFUNCTION("GOOGLETRANSLATE(B36211,""en"",""it"")"),"Mostra due piastre di alluminio che sono unite per scopi dimostrativi.")</f>
        <v>Mostra due piastre di alluminio che sono unite per scopi dimostrativi.</v>
      </c>
    </row>
    <row r="36212">
      <c r="A36212" s="4" t="s">
        <v>45543</v>
      </c>
      <c r="B36212" s="4" t="s">
        <v>45548</v>
      </c>
      <c r="C36212" s="5" t="str">
        <f>IFERROR(__xludf.DUMMYFUNCTION("GOOGLETRANSLATE(B36212,""en"",""it"")"),"Prende l'asta Nova e mostra come può saldare insieme i due pezzi.")</f>
        <v>Prende l'asta Nova e mostra come può saldare insieme i due pezzi.</v>
      </c>
    </row>
    <row r="36213">
      <c r="A36213" s="4" t="s">
        <v>45543</v>
      </c>
      <c r="B36213" s="4" t="s">
        <v>45549</v>
      </c>
      <c r="C36213" s="5" t="str">
        <f>IFERROR(__xludf.DUMMYFUNCTION("GOOGLETRANSLATE(B36213,""en"",""it"")"),"Comincia a saldare le due piastre di alluminio.")</f>
        <v>Comincia a saldare le due piastre di alluminio.</v>
      </c>
    </row>
    <row r="36214">
      <c r="A36214" s="4" t="s">
        <v>45543</v>
      </c>
      <c r="B36214" s="4" t="s">
        <v>45550</v>
      </c>
      <c r="C36214" s="5" t="str">
        <f>IFERROR(__xludf.DUMMYFUNCTION("GOOGLETRANSLATE(B36214,""en"",""it"")"),"Quindi colpisce le piastre con un martello e scrub dalla polvere.")</f>
        <v>Quindi colpisce le piastre con un martello e scrub dalla polvere.</v>
      </c>
    </row>
    <row r="36215">
      <c r="A36215" s="4" t="s">
        <v>45543</v>
      </c>
      <c r="B36215" s="4" t="s">
        <v>45551</v>
      </c>
      <c r="C36215" s="5" t="str">
        <f>IFERROR(__xludf.DUMMYFUNCTION("GOOGLETRANSLATE(B36215,""en"",""it"")"),"Mostra il lato posteriore delle piastre e come è saldato insieme.")</f>
        <v>Mostra il lato posteriore delle piastre e come è saldato insieme.</v>
      </c>
    </row>
    <row r="36216">
      <c r="A36216" s="4" t="s">
        <v>45552</v>
      </c>
      <c r="B36216" s="6" t="s">
        <v>45553</v>
      </c>
      <c r="C36216" s="5" t="str">
        <f>IFERROR(__xludf.DUMMYFUNCTION("GOOGLETRANSLATE(B36216,""en"",""it"")"),"Un uomo in un evento sportivo professionale, solleva un peso grande e pesante usando ginocchia, schiena e braccio, mentre una donna in abito guarda a margine.")</f>
        <v>Un uomo in un evento sportivo professionale, solleva un peso grande e pesante usando ginocchia, schiena e braccio, mentre una donna in abito guarda a margine.</v>
      </c>
    </row>
    <row r="36217">
      <c r="A36217" s="4" t="s">
        <v>45552</v>
      </c>
      <c r="B36217" s="6" t="s">
        <v>45554</v>
      </c>
      <c r="C36217" s="5" t="str">
        <f>IFERROR(__xludf.DUMMYFUNCTION("GOOGLETRANSLATE(B36217,""en"",""it"")"),"Un uomo che indossa una camicia ""USA"" o l'uniforme di squadra si avvicina a un peso a due lati mentre una donna guarda da un lato vicino a una porta.")</f>
        <v>Un uomo che indossa una camicia "USA" o l'uniforme di squadra si avvicina a un peso a due lati mentre una donna guarda da un lato vicino a una porta.</v>
      </c>
    </row>
    <row r="36218">
      <c r="A36218" s="4" t="s">
        <v>45552</v>
      </c>
      <c r="B36218" s="4" t="s">
        <v>45555</v>
      </c>
      <c r="C36218" s="5" t="str">
        <f>IFERROR(__xludf.DUMMYFUNCTION("GOOGLETRANSLATE(B36218,""en"",""it"")"),"L'uomo solleva il peso e la fotocamera mostra il processo al rallentatore.")</f>
        <v>L'uomo solleva il peso e la fotocamera mostra il processo al rallentatore.</v>
      </c>
    </row>
    <row r="36219">
      <c r="A36219" s="4" t="s">
        <v>45552</v>
      </c>
      <c r="B36219" s="6" t="s">
        <v>45556</v>
      </c>
      <c r="C36219" s="5" t="str">
        <f>IFERROR(__xludf.DUMMYFUNCTION("GOOGLETRANSLATE(B36219,""en"",""it"")"),"L'uomo solleva il peso sopra la sua testa e poi lo lascia cadere a mezzogiorno prima di lasciarlo cadere a terra, al quale indica che rinuncia a un pubblico invisibile, il tutto mentre la donna a bordo campo continua a osservare.")</f>
        <v>L'uomo solleva il peso sopra la sua testa e poi lo lascia cadere a mezzogiorno prima di lasciarlo cadere a terra, al quale indica che rinuncia a un pubblico invisibile, il tutto mentre la donna a bordo campo continua a osservare.</v>
      </c>
    </row>
    <row r="36220">
      <c r="A36220" s="4" t="s">
        <v>45557</v>
      </c>
      <c r="B36220" s="6" t="s">
        <v>45558</v>
      </c>
      <c r="C36220" s="5" t="str">
        <f>IFERROR(__xludf.DUMMYFUNCTION("GOOGLETRANSLATE(B36220,""en"",""it"")"),"Un ragazzo con una maglietta blu rimbalza due basket in palestra mentre bloccano un altro giocatore di basket e fa un goal con la palla.")</f>
        <v>Un ragazzo con una maglietta blu rimbalza due basket in palestra mentre bloccano un altro giocatore di basket e fa un goal con la palla.</v>
      </c>
    </row>
    <row r="36221">
      <c r="A36221" s="4" t="s">
        <v>45557</v>
      </c>
      <c r="B36221" s="4" t="s">
        <v>45559</v>
      </c>
      <c r="C36221" s="5" t="str">
        <f>IFERROR(__xludf.DUMMYFUNCTION("GOOGLETRANSLATE(B36221,""en"",""it"")"),"Un ragazzo rimbalza due basket tra le gambe.")</f>
        <v>Un ragazzo rimbalza due basket tra le gambe.</v>
      </c>
    </row>
    <row r="36222">
      <c r="A36222" s="4" t="s">
        <v>45557</v>
      </c>
      <c r="B36222" s="4" t="s">
        <v>45560</v>
      </c>
      <c r="C36222" s="5" t="str">
        <f>IFERROR(__xludf.DUMMYFUNCTION("GOOGLETRANSLATE(B36222,""en"",""it"")"),"Un altro giocatore di basket si avvicina a lui e cerca di prendere la palla da lui.")</f>
        <v>Un altro giocatore di basket si avvicina a lui e cerca di prendere la palla da lui.</v>
      </c>
    </row>
    <row r="36223">
      <c r="A36223" s="4" t="s">
        <v>45557</v>
      </c>
      <c r="B36223" s="6" t="s">
        <v>45561</v>
      </c>
      <c r="C36223" s="5" t="str">
        <f>IFERROR(__xludf.DUMMYFUNCTION("GOOGLETRANSLATE(B36223,""en"",""it"")"),"Il giocatore nella camicia blu lo blocca e fa l'obiettivo, e poi procede a farlo di nuovo, due volte.")</f>
        <v>Il giocatore nella camicia blu lo blocca e fa l'obiettivo, e poi procede a farlo di nuovo, due volte.</v>
      </c>
    </row>
    <row r="36224">
      <c r="A36224" s="4" t="s">
        <v>45562</v>
      </c>
      <c r="B36224" s="4" t="s">
        <v>45563</v>
      </c>
      <c r="C36224" s="5" t="str">
        <f>IFERROR(__xludf.DUMMYFUNCTION("GOOGLETRANSLATE(B36224,""en"",""it"")"),"L'uomo suona il piano con molte persone che si sono radunate intorno a lui.")</f>
        <v>L'uomo suona il piano con molte persone che si sono radunate intorno a lui.</v>
      </c>
    </row>
    <row r="36225">
      <c r="A36225" s="4" t="s">
        <v>45562</v>
      </c>
      <c r="B36225" s="4" t="s">
        <v>45564</v>
      </c>
      <c r="C36225" s="5" t="str">
        <f>IFERROR(__xludf.DUMMYFUNCTION("GOOGLETRANSLATE(B36225,""en"",""it"")"),"L'uomo tiene un cellulare e sta registrando l'uomo nel piano.")</f>
        <v>L'uomo tiene un cellulare e sta registrando l'uomo nel piano.</v>
      </c>
    </row>
    <row r="36226">
      <c r="A36226" s="4" t="s">
        <v>45565</v>
      </c>
      <c r="B36226" s="4" t="s">
        <v>45566</v>
      </c>
      <c r="C36226" s="5" t="str">
        <f>IFERROR(__xludf.DUMMYFUNCTION("GOOGLETRANSLATE(B36226,""en"",""it"")"),"Vengono mostrati un uomo davanti alla telecamera e vari viaggi di persone e siti.")</f>
        <v>Vengono mostrati un uomo davanti alla telecamera e vari viaggi di persone e siti.</v>
      </c>
    </row>
    <row r="36227">
      <c r="A36227" s="4" t="s">
        <v>45565</v>
      </c>
      <c r="B36227" s="4" t="s">
        <v>45567</v>
      </c>
      <c r="C36227" s="5" t="str">
        <f>IFERROR(__xludf.DUMMYFUNCTION("GOOGLETRANSLATE(B36227,""en"",""it"")"),"Un altro uomo viene intervistato seguito da molti altri scatti della zona.")</f>
        <v>Un altro uomo viene intervistato seguito da molti altri scatti della zona.</v>
      </c>
    </row>
    <row r="36228">
      <c r="A36228" s="4" t="s">
        <v>45565</v>
      </c>
      <c r="B36228" s="4" t="s">
        <v>45568</v>
      </c>
      <c r="C36228" s="5" t="str">
        <f>IFERROR(__xludf.DUMMYFUNCTION("GOOGLETRANSLATE(B36228,""en"",""it"")"),"Un gruppo di persone si parla e le persone si preparano per una gara.")</f>
        <v>Un gruppo di persone si parla e le persone si preparano per una gara.</v>
      </c>
    </row>
    <row r="36229">
      <c r="A36229" s="4" t="s">
        <v>45565</v>
      </c>
      <c r="B36229" s="4" t="s">
        <v>45569</v>
      </c>
      <c r="C36229" s="5" t="str">
        <f>IFERROR(__xludf.DUMMYFUNCTION("GOOGLETRANSLATE(B36229,""en"",""it"")"),"Dozzine di persone si allineano e iniziano a nuotare nell'oceano per correre.")</f>
        <v>Dozzine di persone si allineano e iniziano a nuotare nell'oceano per correre.</v>
      </c>
    </row>
    <row r="36230">
      <c r="A36230" s="4" t="s">
        <v>45565</v>
      </c>
      <c r="B36230" s="6" t="s">
        <v>45570</v>
      </c>
      <c r="C36230" s="5" t="str">
        <f>IFERROR(__xludf.DUMMYFUNCTION("GOOGLETRANSLATE(B36230,""en"",""it"")"),"Molte più persone vengono intervistate mentre la gara continua e molte persone guardano e discutono degli eventi.")</f>
        <v>Molte più persone vengono intervistate mentre la gara continua e molte persone guardano e discutono degli eventi.</v>
      </c>
    </row>
    <row r="36231">
      <c r="A36231" s="4" t="s">
        <v>45571</v>
      </c>
      <c r="B36231" s="4" t="s">
        <v>45572</v>
      </c>
      <c r="C36231" s="5" t="str">
        <f>IFERROR(__xludf.DUMMYFUNCTION("GOOGLETRANSLATE(B36231,""en"",""it"")"),"Una ragazza è vista seduta su un letto con due aghi a maglia e filo tra le mani.")</f>
        <v>Una ragazza è vista seduta su un letto con due aghi a maglia e filo tra le mani.</v>
      </c>
    </row>
    <row r="36232">
      <c r="A36232" s="4" t="s">
        <v>45571</v>
      </c>
      <c r="B36232" s="6" t="s">
        <v>45573</v>
      </c>
      <c r="C36232" s="5" t="str">
        <f>IFERROR(__xludf.DUMMYFUNCTION("GOOGLETRANSLATE(B36232,""en"",""it"")"),"La telecamera si muove intorno a lei e le guarda a maglia mentre parla e si guarda in lontananza.")</f>
        <v>La telecamera si muove intorno a lei e le guarda a maglia mentre parla e si guarda in lontananza.</v>
      </c>
    </row>
    <row r="36233">
      <c r="A36233" s="4" t="s">
        <v>45574</v>
      </c>
      <c r="B36233" s="4" t="s">
        <v>45575</v>
      </c>
      <c r="C36233" s="5" t="str">
        <f>IFERROR(__xludf.DUMMYFUNCTION("GOOGLETRANSLATE(B36233,""en"",""it"")"),"Un ragazzo con giacca rossa contiene uno strumento di raschietto per finestre e rimuove la neve da un parabrezza dell'auto.")</f>
        <v>Un ragazzo con giacca rossa contiene uno strumento di raschietto per finestre e rimuove la neve da un parabrezza dell'auto.</v>
      </c>
    </row>
    <row r="36234">
      <c r="A36234" s="4" t="s">
        <v>45574</v>
      </c>
      <c r="B36234" s="4" t="s">
        <v>45576</v>
      </c>
      <c r="C36234" s="5" t="str">
        <f>IFERROR(__xludf.DUMMYFUNCTION("GOOGLETRANSLATE(B36234,""en"",""it"")"),"Il ragazzo gira lo strumento e usa brevemente il bordo angolare Edge.")</f>
        <v>Il ragazzo gira lo strumento e usa brevemente il bordo angolare Edge.</v>
      </c>
    </row>
    <row r="36235">
      <c r="A36235" s="4" t="s">
        <v>45574</v>
      </c>
      <c r="B36235" s="4" t="s">
        <v>45577</v>
      </c>
      <c r="C36235" s="5" t="str">
        <f>IFERROR(__xludf.DUMMYFUNCTION("GOOGLETRANSLATE(B36235,""en"",""it"")"),"Il ragazzo continua a raschiare il parabrezza come prima con il lato ampio dello strumento.")</f>
        <v>Il ragazzo continua a raschiare il parabrezza come prima con il lato ampio dello strumento.</v>
      </c>
    </row>
    <row r="36236">
      <c r="A36236" s="4" t="s">
        <v>45578</v>
      </c>
      <c r="B36236" s="4" t="s">
        <v>45579</v>
      </c>
      <c r="C36236" s="5" t="str">
        <f>IFERROR(__xludf.DUMMYFUNCTION("GOOGLETRANSLATE(B36236,""en"",""it"")"),"Vediamo la scheda del titolo colorata.")</f>
        <v>Vediamo la scheda del titolo colorata.</v>
      </c>
    </row>
    <row r="36237">
      <c r="A36237" s="4" t="s">
        <v>45578</v>
      </c>
      <c r="B36237" s="4" t="s">
        <v>45580</v>
      </c>
      <c r="C36237" s="5" t="str">
        <f>IFERROR(__xludf.DUMMYFUNCTION("GOOGLETRANSLATE(B36237,""en"",""it"")"),"Vediamo i bambini che giocano al parco giochi.")</f>
        <v>Vediamo i bambini che giocano al parco giochi.</v>
      </c>
    </row>
    <row r="36238">
      <c r="A36238" s="4" t="s">
        <v>45578</v>
      </c>
      <c r="B36238" s="4" t="s">
        <v>45581</v>
      </c>
      <c r="C36238" s="5" t="str">
        <f>IFERROR(__xludf.DUMMYFUNCTION("GOOGLETRANSLATE(B36238,""en"",""it"")"),"Il ragazzo scende dall'altalena e lo seguiamo nella diapositiva.")</f>
        <v>Il ragazzo scende dall'altalena e lo seguiamo nella diapositiva.</v>
      </c>
    </row>
    <row r="36239">
      <c r="A36239" s="4" t="s">
        <v>45578</v>
      </c>
      <c r="B36239" s="4" t="s">
        <v>45582</v>
      </c>
      <c r="C36239" s="5" t="str">
        <f>IFERROR(__xludf.DUMMYFUNCTION("GOOGLETRANSLATE(B36239,""en"",""it"")"),"Il ragazzo finisce di scivolare e va in una parte diversa del parco e gioca in giro.")</f>
        <v>Il ragazzo finisce di scivolare e va in una parte diversa del parco e gioca in giro.</v>
      </c>
    </row>
    <row r="36240">
      <c r="A36240" s="4" t="s">
        <v>45578</v>
      </c>
      <c r="B36240" s="4" t="s">
        <v>45583</v>
      </c>
      <c r="C36240" s="5" t="str">
        <f>IFERROR(__xludf.DUMMYFUNCTION("GOOGLETRANSLATE(B36240,""en"",""it"")"),"Il ragazzo scivola e cade sul ponte prima di scivolare giù.")</f>
        <v>Il ragazzo scivola e cade sul ponte prima di scivolare giù.</v>
      </c>
    </row>
    <row r="36241">
      <c r="A36241" s="4" t="s">
        <v>45578</v>
      </c>
      <c r="B36241" s="4" t="s">
        <v>45584</v>
      </c>
      <c r="C36241" s="5" t="str">
        <f>IFERROR(__xludf.DUMMYFUNCTION("GOOGLETRANSLATE(B36241,""en"",""it"")"),"Gioca con il grande swing con un altro bambino.")</f>
        <v>Gioca con il grande swing con un altro bambino.</v>
      </c>
    </row>
    <row r="36242">
      <c r="A36242" s="4" t="s">
        <v>45578</v>
      </c>
      <c r="B36242" s="4" t="s">
        <v>45585</v>
      </c>
      <c r="C36242" s="5" t="str">
        <f>IFERROR(__xludf.DUMMYFUNCTION("GOOGLETRANSLATE(B36242,""en"",""it"")"),"Vediamo lo schermo finale.")</f>
        <v>Vediamo lo schermo finale.</v>
      </c>
    </row>
    <row r="36243">
      <c r="A36243" s="4" t="s">
        <v>45586</v>
      </c>
      <c r="B36243" s="4" t="s">
        <v>45587</v>
      </c>
      <c r="C36243" s="5" t="str">
        <f>IFERROR(__xludf.DUMMYFUNCTION("GOOGLETRANSLATE(B36243,""en"",""it"")"),"Una persona tiene qualcuno sulle spalle.")</f>
        <v>Una persona tiene qualcuno sulle spalle.</v>
      </c>
    </row>
    <row r="36244">
      <c r="A36244" s="4" t="s">
        <v>45586</v>
      </c>
      <c r="B36244" s="4" t="s">
        <v>45588</v>
      </c>
      <c r="C36244" s="5" t="str">
        <f>IFERROR(__xludf.DUMMYFUNCTION("GOOGLETRANSLATE(B36244,""en"",""it"")"),"Girano più volte e cadono sul pavimento.")</f>
        <v>Girano più volte e cadono sul pavimento.</v>
      </c>
    </row>
    <row r="36245">
      <c r="A36245" s="4" t="s">
        <v>45586</v>
      </c>
      <c r="B36245" s="4" t="s">
        <v>45589</v>
      </c>
      <c r="C36245" s="5" t="str">
        <f>IFERROR(__xludf.DUMMYFUNCTION("GOOGLETRANSLATE(B36245,""en"",""it"")"),"L'uomo si alza e si siede sul letto.")</f>
        <v>L'uomo si alza e si siede sul letto.</v>
      </c>
    </row>
    <row r="36246">
      <c r="A36246" s="4" t="s">
        <v>45590</v>
      </c>
      <c r="B36246" s="6" t="s">
        <v>45591</v>
      </c>
      <c r="C36246" s="5" t="str">
        <f>IFERROR(__xludf.DUMMYFUNCTION("GOOGLETRANSLATE(B36246,""en"",""it"")"),"Queste ragazze vengono mostrate in ginocchio sul pavimento e giocano a vestire una ragazza di un bastone su labbra, guance, fronte e sotto gli occhi.")</f>
        <v>Queste ragazze vengono mostrate in ginocchio sul pavimento e giocano a vestire una ragazza di un bastone su labbra, guance, fronte e sotto gli occhi.</v>
      </c>
    </row>
    <row r="36247">
      <c r="A36247" s="4" t="s">
        <v>45590</v>
      </c>
      <c r="B36247" s="4" t="s">
        <v>45592</v>
      </c>
      <c r="C36247" s="5" t="str">
        <f>IFERROR(__xludf.DUMMYFUNCTION("GOOGLETRANSLATE(B36247,""en"",""it"")"),"Poi un altro si trucca un po 'sulla cima degli occhi.")</f>
        <v>Poi un altro si trucca un po 'sulla cima degli occhi.</v>
      </c>
    </row>
    <row r="36248">
      <c r="A36248" s="4" t="s">
        <v>45593</v>
      </c>
      <c r="B36248" s="4" t="s">
        <v>45594</v>
      </c>
      <c r="C36248" s="5" t="str">
        <f>IFERROR(__xludf.DUMMYFUNCTION("GOOGLETRANSLATE(B36248,""en"",""it"")"),"Un bambino piccolo viene visto in piedi davanti a un'auto che tiene uno straccio e guarda la telecamera.")</f>
        <v>Un bambino piccolo viene visto in piedi davanti a un'auto che tiene uno straccio e guarda la telecamera.</v>
      </c>
    </row>
    <row r="36249">
      <c r="A36249" s="4" t="s">
        <v>45593</v>
      </c>
      <c r="B36249" s="4" t="s">
        <v>45595</v>
      </c>
      <c r="C36249" s="5" t="str">
        <f>IFERROR(__xludf.DUMMYFUNCTION("GOOGLETRANSLATE(B36249,""en"",""it"")"),"Il ragazzo usa lo straccio su tutta la macchina mentre la telecamera segue i suoi movimenti.")</f>
        <v>Il ragazzo usa lo straccio su tutta la macchina mentre la telecamera segue i suoi movimenti.</v>
      </c>
    </row>
    <row r="36250">
      <c r="A36250" s="4" t="s">
        <v>45593</v>
      </c>
      <c r="B36250" s="4" t="s">
        <v>45596</v>
      </c>
      <c r="C36250" s="5" t="str">
        <f>IFERROR(__xludf.DUMMYFUNCTION("GOOGLETRANSLATE(B36250,""en"",""it"")"),"Continua a muoversi attorno alla macchina mentre un altro uomo spruzza un tubo e il ragazzo lo asciuga.")</f>
        <v>Continua a muoversi attorno alla macchina mentre un altro uomo spruzza un tubo e il ragazzo lo asciuga.</v>
      </c>
    </row>
    <row r="36251">
      <c r="A36251" s="4" t="s">
        <v>45597</v>
      </c>
      <c r="B36251" s="4" t="s">
        <v>45598</v>
      </c>
      <c r="C36251" s="5" t="str">
        <f>IFERROR(__xludf.DUMMYFUNCTION("GOOGLETRANSLATE(B36251,""en"",""it"")"),"Diverse persone vengono viste perforare buchi nel ghiaccio mentre guardano in basso e parlano alla telecamera.")</f>
        <v>Diverse persone vengono viste perforare buchi nel ghiaccio mentre guardano in basso e parlano alla telecamera.</v>
      </c>
    </row>
    <row r="36252">
      <c r="A36252" s="4" t="s">
        <v>45597</v>
      </c>
      <c r="B36252" s="4" t="s">
        <v>45599</v>
      </c>
      <c r="C36252" s="5" t="str">
        <f>IFERROR(__xludf.DUMMYFUNCTION("GOOGLETRANSLATE(B36252,""en"",""it"")"),"Vengono mostrate molte foto delle persone che pescano e tirano fuori il pesce da un buco.")</f>
        <v>Vengono mostrate molte foto delle persone che pescano e tirano fuori il pesce da un buco.</v>
      </c>
    </row>
    <row r="36253">
      <c r="A36253" s="4" t="s">
        <v>45597</v>
      </c>
      <c r="B36253" s="4" t="s">
        <v>45600</v>
      </c>
      <c r="C36253" s="5" t="str">
        <f>IFERROR(__xludf.DUMMYFUNCTION("GOOGLETRANSLATE(B36253,""en"",""it"")"),"Più persone si siedono sui buchi e continuano a tirare fuori il pesce.")</f>
        <v>Più persone si siedono sui buchi e continuano a tirare fuori il pesce.</v>
      </c>
    </row>
    <row r="36254">
      <c r="A36254" s="4" t="s">
        <v>45601</v>
      </c>
      <c r="B36254" s="4" t="s">
        <v>45602</v>
      </c>
      <c r="C36254" s="5" t="str">
        <f>IFERROR(__xludf.DUMMYFUNCTION("GOOGLETRANSLATE(B36254,""en"",""it"")"),"Un gruppo di persone è in un percorso ad ostacoli insieme.")</f>
        <v>Un gruppo di persone è in un percorso ad ostacoli insieme.</v>
      </c>
    </row>
    <row r="36255">
      <c r="A36255" s="4" t="s">
        <v>45601</v>
      </c>
      <c r="B36255" s="4" t="s">
        <v>45603</v>
      </c>
      <c r="C36255" s="5" t="str">
        <f>IFERROR(__xludf.DUMMYFUNCTION("GOOGLETRANSLATE(B36255,""en"",""it"")"),"Si nascondono dietro gli ostacoli e si sparano a vicenda con pistole di verniciatura.")</f>
        <v>Si nascondono dietro gli ostacoli e si sparano a vicenda con pistole di verniciatura.</v>
      </c>
    </row>
    <row r="36256">
      <c r="A36256" s="4" t="s">
        <v>45601</v>
      </c>
      <c r="B36256" s="4" t="s">
        <v>45604</v>
      </c>
      <c r="C36256" s="5" t="str">
        <f>IFERROR(__xludf.DUMMYFUNCTION("GOOGLETRANSLATE(B36256,""en"",""it"")"),"Corrono, poi si radunano e si abbracciano quando hanno finito.")</f>
        <v>Corrono, poi si radunano e si abbracciano quando hanno finito.</v>
      </c>
    </row>
    <row r="36257">
      <c r="A36257" s="4" t="s">
        <v>45605</v>
      </c>
      <c r="B36257" s="4" t="s">
        <v>45606</v>
      </c>
      <c r="C36257" s="5" t="str">
        <f>IFERROR(__xludf.DUMMYFUNCTION("GOOGLETRANSLATE(B36257,""en"",""it"")"),"Gli ingredienti sono mescolati insieme in una ciotola d'argento.")</f>
        <v>Gli ingredienti sono mescolati insieme in una ciotola d'argento.</v>
      </c>
    </row>
    <row r="36258">
      <c r="A36258" s="4" t="s">
        <v>45605</v>
      </c>
      <c r="B36258" s="4" t="s">
        <v>45607</v>
      </c>
      <c r="C36258" s="5" t="str">
        <f>IFERROR(__xludf.DUMMYFUNCTION("GOOGLETRANSLATE(B36258,""en"",""it"")"),"Viene quindi posizionato su un foglio di cookie.")</f>
        <v>Viene quindi posizionato su un foglio di cookie.</v>
      </c>
    </row>
    <row r="36259">
      <c r="A36259" s="4" t="s">
        <v>45605</v>
      </c>
      <c r="B36259" s="4" t="s">
        <v>45608</v>
      </c>
      <c r="C36259" s="5" t="str">
        <f>IFERROR(__xludf.DUMMYFUNCTION("GOOGLETRANSLATE(B36259,""en"",""it"")"),"Il cibo cotto viene quindi mostrato e rotto a metà.")</f>
        <v>Il cibo cotto viene quindi mostrato e rotto a metà.</v>
      </c>
    </row>
    <row r="36260">
      <c r="A36260" s="4" t="s">
        <v>45609</v>
      </c>
      <c r="B36260" s="4" t="s">
        <v>45610</v>
      </c>
      <c r="C36260" s="5" t="str">
        <f>IFERROR(__xludf.DUMMYFUNCTION("GOOGLETRANSLATE(B36260,""en"",""it"")"),"Viene mostrato un campo insieme ad alcune montagne mentre una persona inizia a guidare lungo una strada.")</f>
        <v>Viene mostrato un campo insieme ad alcune montagne mentre una persona inizia a guidare lungo una strada.</v>
      </c>
    </row>
    <row r="36261">
      <c r="A36261" s="4" t="s">
        <v>45609</v>
      </c>
      <c r="B36261" s="4" t="s">
        <v>45611</v>
      </c>
      <c r="C36261" s="5" t="str">
        <f>IFERROR(__xludf.DUMMYFUNCTION("GOOGLETRANSLATE(B36261,""en"",""it"")"),"Dopo, gli uomini vengono mostrati e escono e iniziano lo skateboard lungo una strada nel paese.")</f>
        <v>Dopo, gli uomini vengono mostrati e escono e iniziano lo skateboard lungo una strada nel paese.</v>
      </c>
    </row>
    <row r="36262">
      <c r="A36262" s="4" t="s">
        <v>45609</v>
      </c>
      <c r="B36262" s="6" t="s">
        <v>45612</v>
      </c>
      <c r="C36262" s="5" t="str">
        <f>IFERROR(__xludf.DUMMYFUNCTION("GOOGLETRANSLATE(B36262,""en"",""it"")"),"Mentre continua, un grande stand di fieno si trova nel mezzo della strada e lo attraversano tutti e finiscono di pattinare lungo la strada.")</f>
        <v>Mentre continua, un grande stand di fieno si trova nel mezzo della strada e lo attraversano tutti e finiscono di pattinare lungo la strada.</v>
      </c>
    </row>
    <row r="36263">
      <c r="A36263" s="4" t="s">
        <v>45613</v>
      </c>
      <c r="B36263" s="4" t="s">
        <v>45614</v>
      </c>
      <c r="C36263" s="5" t="str">
        <f>IFERROR(__xludf.DUMMYFUNCTION("GOOGLETRANSLATE(B36263,""en"",""it"")"),"Un mucchio di alberi viene mostrato che soffia fuori su un sentiero di ciottoli fuori da un edificio.")</f>
        <v>Un mucchio di alberi viene mostrato che soffia fuori su un sentiero di ciottoli fuori da un edificio.</v>
      </c>
    </row>
    <row r="36264">
      <c r="A36264" s="4" t="s">
        <v>45613</v>
      </c>
      <c r="B36264" s="6" t="s">
        <v>45615</v>
      </c>
      <c r="C36264" s="5" t="str">
        <f>IFERROR(__xludf.DUMMYFUNCTION("GOOGLETRANSLATE(B36264,""en"",""it"")"),"Mentre le foglie continuano a soffiare un ragazzo entra nella scena eliminando il sentiero con il suo soffiatore di foglie.")</f>
        <v>Mentre le foglie continuano a soffiare un ragazzo entra nella scena eliminando il sentiero con il suo soffiatore di foglie.</v>
      </c>
    </row>
    <row r="36265">
      <c r="A36265" s="4" t="s">
        <v>45616</v>
      </c>
      <c r="B36265" s="4" t="s">
        <v>45617</v>
      </c>
      <c r="C36265" s="5" t="str">
        <f>IFERROR(__xludf.DUMMYFUNCTION("GOOGLETRANSLATE(B36265,""en"",""it"")"),"Un uomo in abito suona un flauto sul palco di fronte a un uomo che suona un piano.")</f>
        <v>Un uomo in abito suona un flauto sul palco di fronte a un uomo che suona un piano.</v>
      </c>
    </row>
    <row r="36266">
      <c r="A36266" s="4" t="s">
        <v>45616</v>
      </c>
      <c r="B36266" s="4" t="s">
        <v>45618</v>
      </c>
      <c r="C36266" s="5" t="str">
        <f>IFERROR(__xludf.DUMMYFUNCTION("GOOGLETRANSLATE(B36266,""en"",""it"")"),"Finiscono di giocare e l'uomo suona il piano.")</f>
        <v>Finiscono di giocare e l'uomo suona il piano.</v>
      </c>
    </row>
    <row r="36267">
      <c r="A36267" s="4" t="s">
        <v>45619</v>
      </c>
      <c r="B36267" s="4" t="s">
        <v>45620</v>
      </c>
      <c r="C36267" s="5" t="str">
        <f>IFERROR(__xludf.DUMMYFUNCTION("GOOGLETRANSLATE(B36267,""en"",""it"")"),"Un subacqueo si trova sotto l'acqua che indossa ossigeno in bocca.")</f>
        <v>Un subacqueo si trova sotto l'acqua che indossa ossigeno in bocca.</v>
      </c>
    </row>
    <row r="36268">
      <c r="A36268" s="4" t="s">
        <v>45619</v>
      </c>
      <c r="B36268" s="4" t="s">
        <v>45621</v>
      </c>
      <c r="C36268" s="5" t="str">
        <f>IFERROR(__xludf.DUMMYFUNCTION("GOOGLETRANSLATE(B36268,""en"",""it"")"),"Il subacqueo tiene la maschera per gli occhi e lo mette.")</f>
        <v>Il subacqueo tiene la maschera per gli occhi e lo mette.</v>
      </c>
    </row>
    <row r="36269">
      <c r="A36269" s="4" t="s">
        <v>45619</v>
      </c>
      <c r="B36269" s="6" t="s">
        <v>45622</v>
      </c>
      <c r="C36269" s="5" t="str">
        <f>IFERROR(__xludf.DUMMYFUNCTION("GOOGLETRANSLATE(B36269,""en"",""it"")"),"Un altro subacqueo si è tolto le maschere per gli occhi, mentre dietro di lui ci sono altri subacquei che nuotano, poi ha rimesso indietro è mascherato e dà un segno ok con le dita.")</f>
        <v>Un altro subacqueo si è tolto le maschere per gli occhi, mentre dietro di lui ci sono altri subacquei che nuotano, poi ha rimesso indietro è mascherato e dà un segno ok con le dita.</v>
      </c>
    </row>
    <row r="36270">
      <c r="A36270" s="4" t="s">
        <v>45623</v>
      </c>
      <c r="B36270" s="4" t="s">
        <v>45624</v>
      </c>
      <c r="C36270" s="5" t="str">
        <f>IFERROR(__xludf.DUMMYFUNCTION("GOOGLETRANSLATE(B36270,""en"",""it"")"),"Un uomo sta coprendo un cespuglio in un cortile.")</f>
        <v>Un uomo sta coprendo un cespuglio in un cortile.</v>
      </c>
    </row>
    <row r="36271">
      <c r="A36271" s="4" t="s">
        <v>45623</v>
      </c>
      <c r="B36271" s="4" t="s">
        <v>45625</v>
      </c>
      <c r="C36271" s="5" t="str">
        <f>IFERROR(__xludf.DUMMYFUNCTION("GOOGLETRANSLATE(B36271,""en"",""it"")"),"Taglia la pennellata spessa su e giù.")</f>
        <v>Taglia la pennellata spessa su e giù.</v>
      </c>
    </row>
    <row r="36272">
      <c r="A36272" s="4" t="s">
        <v>45623</v>
      </c>
      <c r="B36272" s="4" t="s">
        <v>45626</v>
      </c>
      <c r="C36272" s="5" t="str">
        <f>IFERROR(__xludf.DUMMYFUNCTION("GOOGLETRANSLATE(B36272,""en"",""it"")"),"Finisce la siepe, mostrando le sue abilità.")</f>
        <v>Finisce la siepe, mostrando le sue abilità.</v>
      </c>
    </row>
    <row r="36273">
      <c r="A36273" s="4" t="s">
        <v>45627</v>
      </c>
      <c r="B36273" s="6" t="s">
        <v>45628</v>
      </c>
      <c r="C36273" s="5" t="str">
        <f>IFERROR(__xludf.DUMMYFUNCTION("GOOGLETRANSLATE(B36273,""en"",""it"")"),"Un toro corre nella strada che gode le persone e gettandole a terra, mentre i tori sono attaccati a una corda.")</f>
        <v>Un toro corre nella strada che gode le persone e gettandole a terra, mentre i tori sono attaccati a una corda.</v>
      </c>
    </row>
    <row r="36274">
      <c r="A36274" s="4" t="s">
        <v>45627</v>
      </c>
      <c r="B36274" s="4" t="s">
        <v>45629</v>
      </c>
      <c r="C36274" s="5" t="str">
        <f>IFERROR(__xludf.DUMMYFUNCTION("GOOGLETRANSLATE(B36274,""en"",""it"")"),"Il toro entra in una casa, poi il toro continua a grigliare le persone per strada.")</f>
        <v>Il toro entra in una casa, poi il toro continua a grigliare le persone per strada.</v>
      </c>
    </row>
    <row r="36275">
      <c r="A36275" s="4" t="s">
        <v>45627</v>
      </c>
      <c r="B36275" s="6" t="s">
        <v>45630</v>
      </c>
      <c r="C36275" s="5" t="str">
        <f>IFERROR(__xludf.DUMMYFUNCTION("GOOGLETRANSLATE(B36275,""en"",""it"")"),"Il toro entra in un recinto e attacca una persona dietro la recinzione, quindi il toro continua a grigliare ferocemente le persone per strada.")</f>
        <v>Il toro entra in un recinto e attacca una persona dietro la recinzione, quindi il toro continua a grigliare ferocemente le persone per strada.</v>
      </c>
    </row>
    <row r="36276">
      <c r="A36276" s="4" t="s">
        <v>45627</v>
      </c>
      <c r="B36276" s="6" t="s">
        <v>45631</v>
      </c>
      <c r="C36276" s="5" t="str">
        <f>IFERROR(__xludf.DUMMYFUNCTION("GOOGLETRANSLATE(B36276,""en"",""it"")"),"Una persona accarezza il toro attraverso una finestra, dopo che il toro si scontra con un altro toro che cade a terra.")</f>
        <v>Una persona accarezza il toro attraverso una finestra, dopo che il toro si scontra con un altro toro che cade a terra.</v>
      </c>
    </row>
    <row r="36277">
      <c r="A36277" s="4" t="s">
        <v>45627</v>
      </c>
      <c r="B36277" s="4" t="s">
        <v>45632</v>
      </c>
      <c r="C36277" s="5" t="str">
        <f>IFERROR(__xludf.DUMMYFUNCTION("GOOGLETRANSLATE(B36277,""en"",""it"")"),"Il toro attacca un cane seduto davanti a una porta.")</f>
        <v>Il toro attacca un cane seduto davanti a una porta.</v>
      </c>
    </row>
    <row r="36278">
      <c r="A36278" s="4" t="s">
        <v>45627</v>
      </c>
      <c r="B36278" s="4" t="s">
        <v>45633</v>
      </c>
      <c r="C36278" s="5" t="str">
        <f>IFERROR(__xludf.DUMMYFUNCTION("GOOGLETRANSLATE(B36278,""en"",""it"")"),"Il Bull Gores e attacca anche le persone sul marciapiede.")</f>
        <v>Il Bull Gores e attacca anche le persone sul marciapiede.</v>
      </c>
    </row>
    <row r="36279">
      <c r="A36279" s="4" t="s">
        <v>45627</v>
      </c>
      <c r="B36279" s="4" t="s">
        <v>45634</v>
      </c>
      <c r="C36279" s="5" t="str">
        <f>IFERROR(__xludf.DUMMYFUNCTION("GOOGLETRANSLATE(B36279,""en"",""it"")"),"Il toro continua a goring delle persone dietro.")</f>
        <v>Il toro continua a goring delle persone dietro.</v>
      </c>
    </row>
    <row r="36280">
      <c r="A36280" s="4" t="s">
        <v>45635</v>
      </c>
      <c r="B36280" s="6" t="s">
        <v>45636</v>
      </c>
      <c r="C36280" s="5" t="str">
        <f>IFERROR(__xludf.DUMMYFUNCTION("GOOGLETRANSLATE(B36280,""en"",""it"")"),"Prima l'uomo cammina la donna bendata vicino alla Pinata e inizia a oscillare la scopa per colpirla.")</f>
        <v>Prima l'uomo cammina la donna bendata vicino alla Pinata e inizia a oscillare la scopa per colpirla.</v>
      </c>
    </row>
    <row r="36281">
      <c r="A36281" s="4" t="s">
        <v>45635</v>
      </c>
      <c r="B36281" s="4" t="s">
        <v>45637</v>
      </c>
      <c r="C36281" s="5" t="str">
        <f>IFERROR(__xludf.DUMMYFUNCTION("GOOGLETRANSLATE(B36281,""en"",""it"")"),"Ma le manca alcune volte perché la Pinata si muove su e giù in aria.")</f>
        <v>Ma le manca alcune volte perché la Pinata si muove su e giù in aria.</v>
      </c>
    </row>
    <row r="36282">
      <c r="A36282" s="4" t="s">
        <v>45635</v>
      </c>
      <c r="B36282" s="6" t="s">
        <v>45638</v>
      </c>
      <c r="C36282" s="5" t="str">
        <f>IFERROR(__xludf.DUMMYFUNCTION("GOOGLETRANSLATE(B36282,""en"",""it"")"),"Dopo un po 'di prova, colpisce la corda da cui Pinata è appesa e abbatte la Pinata, ma ha appena tirato fuori caramelle.")</f>
        <v>Dopo un po 'di prova, colpisce la corda da cui Pinata è appesa e abbatte la Pinata, ma ha appena tirato fuori caramelle.</v>
      </c>
    </row>
    <row r="36283">
      <c r="A36283" s="4" t="s">
        <v>45639</v>
      </c>
      <c r="B36283" s="6" t="s">
        <v>45640</v>
      </c>
      <c r="C36283" s="5" t="str">
        <f>IFERROR(__xludf.DUMMYFUNCTION("GOOGLETRANSLATE(B36283,""en"",""it"")"),"Un piccolo gruppo di persone visto seduto in acqua seguita da una cavalcata dietro un elicottero su una tavola e una donna che parla alla telecamera.")</f>
        <v>Un piccolo gruppo di persone visto seduto in acqua seguita da una cavalcata dietro un elicottero su una tavola e una donna che parla alla telecamera.</v>
      </c>
    </row>
    <row r="36284">
      <c r="A36284" s="4" t="s">
        <v>45639</v>
      </c>
      <c r="B36284" s="6" t="s">
        <v>45641</v>
      </c>
      <c r="C36284" s="5" t="str">
        <f>IFERROR(__xludf.DUMMYFUNCTION("GOOGLETRANSLATE(B36284,""en"",""it"")"),"L'uomo continua a cavalcare e poi viene visto in aria con l'elicottero e i piloti che salutano.")</f>
        <v>L'uomo continua a cavalcare e poi viene visto in aria con l'elicottero e i piloti che salutano.</v>
      </c>
    </row>
    <row r="36285">
      <c r="A36285" s="4" t="s">
        <v>45639</v>
      </c>
      <c r="B36285" s="6" t="s">
        <v>45642</v>
      </c>
      <c r="C36285" s="5" t="str">
        <f>IFERROR(__xludf.DUMMYFUNCTION("GOOGLETRANSLATE(B36285,""en"",""it"")"),"L'uomo quindi lascia andare l'elicottero, cavalcando un paracadute e atterrando in sicurezza in acqua.")</f>
        <v>L'uomo quindi lascia andare l'elicottero, cavalcando un paracadute e atterrando in sicurezza in acqua.</v>
      </c>
    </row>
    <row r="36286">
      <c r="A36286" s="4" t="s">
        <v>45639</v>
      </c>
      <c r="B36286" s="4" t="s">
        <v>45643</v>
      </c>
      <c r="C36286" s="5" t="str">
        <f>IFERROR(__xludf.DUMMYFUNCTION("GOOGLETRANSLATE(B36286,""en"",""it"")"),"L'uomo si sdraia quindi mentre il suo tiro viene mostrato di nuovo e la donna gli parla.")</f>
        <v>L'uomo si sdraia quindi mentre il suo tiro viene mostrato di nuovo e la donna gli parla.</v>
      </c>
    </row>
    <row r="36287">
      <c r="A36287" s="4" t="s">
        <v>45644</v>
      </c>
      <c r="B36287" s="4" t="s">
        <v>45645</v>
      </c>
      <c r="C36287" s="5" t="str">
        <f>IFERROR(__xludf.DUMMYFUNCTION("GOOGLETRANSLATE(B36287,""en"",""it"")"),"Due donne sono in piedi su una spiaggia, indossano bikini e tengono una tavola da surf.")</f>
        <v>Due donne sono in piedi su una spiaggia, indossano bikini e tengono una tavola da surf.</v>
      </c>
    </row>
    <row r="36288">
      <c r="A36288" s="4" t="s">
        <v>45644</v>
      </c>
      <c r="B36288" s="6" t="s">
        <v>45646</v>
      </c>
      <c r="C36288" s="5" t="str">
        <f>IFERROR(__xludf.DUMMYFUNCTION("GOOGLETRANSLATE(B36288,""en"",""it"")"),"Vengono quindi mostrati che camminano sulla spiaggia e si posano per le foto tra il surf sulle onde.")</f>
        <v>Vengono quindi mostrati che camminano sulla spiaggia e si posano per le foto tra il surf sulle onde.</v>
      </c>
    </row>
    <row r="36289">
      <c r="A36289" s="4" t="s">
        <v>45644</v>
      </c>
      <c r="B36289" s="4" t="s">
        <v>45647</v>
      </c>
      <c r="C36289" s="5" t="str">
        <f>IFERROR(__xludf.DUMMYFUNCTION("GOOGLETRANSLATE(B36289,""en"",""it"")"),"Mostrano come fare varie mosse di surf.")</f>
        <v>Mostrano come fare varie mosse di surf.</v>
      </c>
    </row>
    <row r="36290">
      <c r="A36290" s="4" t="s">
        <v>45644</v>
      </c>
      <c r="B36290" s="4" t="s">
        <v>45648</v>
      </c>
      <c r="C36290" s="5" t="str">
        <f>IFERROR(__xludf.DUMMYFUNCTION("GOOGLETRANSLATE(B36290,""en"",""it"")"),"Vengono quindi mostrati sulla spiaggia, seduti mentre parlano.")</f>
        <v>Vengono quindi mostrati sulla spiaggia, seduti mentre parlano.</v>
      </c>
    </row>
    <row r="36291">
      <c r="A36291" s="4" t="s">
        <v>45649</v>
      </c>
      <c r="B36291" s="6" t="s">
        <v>45650</v>
      </c>
      <c r="C36291" s="5" t="str">
        <f>IFERROR(__xludf.DUMMYFUNCTION("GOOGLETRANSLATE(B36291,""en"",""it"")"),"Diversi uomini sono visti ospitare un segmento di notizie che conduce a clip di persone che giocano insieme e litigano l'uno con l'altro.")</f>
        <v>Diversi uomini sono visti ospitare un segmento di notizie che conduce a clip di persone che giocano insieme e litigano l'uno con l'altro.</v>
      </c>
    </row>
    <row r="36292">
      <c r="A36292" s="4" t="s">
        <v>45649</v>
      </c>
      <c r="B36292" s="4" t="s">
        <v>45651</v>
      </c>
      <c r="C36292" s="5" t="str">
        <f>IFERROR(__xludf.DUMMYFUNCTION("GOOGLETRANSLATE(B36292,""en"",""it"")"),"Vengono mostrati altri scatti di persone che suonano e persone che celebrano e si allontanano.")</f>
        <v>Vengono mostrati altri scatti di persone che suonano e persone che celebrano e si allontanano.</v>
      </c>
    </row>
    <row r="36293">
      <c r="A36293" s="4" t="s">
        <v>45649</v>
      </c>
      <c r="B36293" s="6" t="s">
        <v>45652</v>
      </c>
      <c r="C36293" s="5" t="str">
        <f>IFERROR(__xludf.DUMMYFUNCTION("GOOGLETRANSLATE(B36293,""en"",""it"")"),"Vengono mostrati altri colpi degli ospiti che si parlano e le persone che colpiscono la palla e si allontanano.")</f>
        <v>Vengono mostrati altri colpi degli ospiti che si parlano e le persone che colpiscono la palla e si allontanano.</v>
      </c>
    </row>
    <row r="36294">
      <c r="A36294" s="4" t="s">
        <v>45653</v>
      </c>
      <c r="B36294" s="6" t="s">
        <v>45654</v>
      </c>
      <c r="C36294" s="5" t="str">
        <f>IFERROR(__xludf.DUMMYFUNCTION("GOOGLETRANSLATE(B36294,""en"",""it"")"),"Una donna e un'altra persona pagavano in una canoa arancione in un calmo specchio d'acqua circondato da montagne, alberi e cespugli.")</f>
        <v>Una donna e un'altra persona pagavano in una canoa arancione in un calmo specchio d'acqua circondato da montagne, alberi e cespugli.</v>
      </c>
    </row>
    <row r="36295">
      <c r="A36295" s="4" t="s">
        <v>45653</v>
      </c>
      <c r="B36295" s="6" t="s">
        <v>45655</v>
      </c>
      <c r="C36295" s="5" t="str">
        <f>IFERROR(__xludf.DUMMYFUNCTION("GOOGLETRANSLATE(B36295,""en"",""it"")"),"La donna è davanti alla canotta in canoa e l'altra persona, che indossa un viso che copre il cappello, si trova dietro la donna.")</f>
        <v>La donna è davanti alla canotta in canoa e l'altra persona, che indossa un viso che copre il cappello, si trova dietro la donna.</v>
      </c>
    </row>
    <row r="36296">
      <c r="A36296" s="4" t="s">
        <v>45653</v>
      </c>
      <c r="B36296" s="4" t="s">
        <v>45656</v>
      </c>
      <c r="C36296" s="5" t="str">
        <f>IFERROR(__xludf.DUMMYFUNCTION("GOOGLETRANSLATE(B36296,""en"",""it"")"),"Le due persone pagavano da sinistra e passano una fila di cespugli di fronte a una montagna.")</f>
        <v>Le due persone pagavano da sinistra e passano una fila di cespugli di fronte a una montagna.</v>
      </c>
    </row>
    <row r="36297">
      <c r="A36297" s="4" t="s">
        <v>45653</v>
      </c>
      <c r="B36297" s="6" t="s">
        <v>45657</v>
      </c>
      <c r="C36297" s="5" t="str">
        <f>IFERROR(__xludf.DUMMYFUNCTION("GOOGLETRANSLATE(B36297,""en"",""it"")"),"Le due persone poi pagavano più lontano dalla montagna e più vicine al centro del corpo dell'acqua.")</f>
        <v>Le due persone poi pagavano più lontano dalla montagna e più vicine al centro del corpo dell'acqua.</v>
      </c>
    </row>
    <row r="36298">
      <c r="A36298" s="4" t="s">
        <v>45658</v>
      </c>
      <c r="B36298" s="6" t="s">
        <v>45659</v>
      </c>
      <c r="C36298" s="5" t="str">
        <f>IFERROR(__xludf.DUMMYFUNCTION("GOOGLETRANSLATE(B36298,""en"",""it"")"),"Il video conduce in diversi scatti di persone che eseguono salti impressionanti e si spostano da un'immersione alta.")</f>
        <v>Il video conduce in diversi scatti di persone che eseguono salti impressionanti e si spostano da un'immersione alta.</v>
      </c>
    </row>
    <row r="36299">
      <c r="A36299" s="4" t="s">
        <v>45658</v>
      </c>
      <c r="B36299" s="6" t="s">
        <v>45660</v>
      </c>
      <c r="C36299" s="5" t="str">
        <f>IFERROR(__xludf.DUMMYFUNCTION("GOOGLETRANSLATE(B36299,""en"",""it"")"),"Sempre più persone saltano giù dalle varie altezze delle immersioni e due vengono mostrate allo stesso tempo alla fine.")</f>
        <v>Sempre più persone saltano giù dalle varie altezze delle immersioni e due vengono mostrate allo stesso tempo alla fine.</v>
      </c>
    </row>
    <row r="36300">
      <c r="A36300" s="4" t="s">
        <v>45661</v>
      </c>
      <c r="B36300" s="4" t="s">
        <v>45662</v>
      </c>
      <c r="C36300" s="5" t="str">
        <f>IFERROR(__xludf.DUMMYFUNCTION("GOOGLETRANSLATE(B36300,""en"",""it"")"),"Viene visto un uomo parlare alla telecamera mentre la gente dell'uomo sta dietro di lui e si esercita.")</f>
        <v>Viene visto un uomo parlare alla telecamera mentre la gente dell'uomo sta dietro di lui e si esercita.</v>
      </c>
    </row>
    <row r="36301">
      <c r="A36301" s="4" t="s">
        <v>45661</v>
      </c>
      <c r="B36301" s="6" t="s">
        <v>45663</v>
      </c>
      <c r="C36301" s="5" t="str">
        <f>IFERROR(__xludf.DUMMYFUNCTION("GOOGLETRANSLATE(B36301,""en"",""it"")"),"Gli uomini hanno colpito il badminton e il quarto mentre i signori più anziani continuano a parlare e puntare in campo.")</f>
        <v>Gli uomini hanno colpito il badminton e il quarto mentre i signori più anziani continuano a parlare e puntare in campo.</v>
      </c>
    </row>
    <row r="36302">
      <c r="A36302" s="4" t="s">
        <v>45664</v>
      </c>
      <c r="B36302" s="6" t="s">
        <v>45665</v>
      </c>
      <c r="C36302" s="5" t="str">
        <f>IFERROR(__xludf.DUMMYFUNCTION("GOOGLETRANSLATE(B36302,""en"",""it"")"),"Un primo piano di strumenti e oggetti viene mostrato conduceti in diverse clip di una media che misura una parete e gettano intonaco su di essa.")</f>
        <v>Un primo piano di strumenti e oggetti viene mostrato conduceti in diverse clip di una media che misura una parete e gettano intonaco su di essa.</v>
      </c>
    </row>
    <row r="36303">
      <c r="A36303" s="4" t="s">
        <v>45664</v>
      </c>
      <c r="B36303" s="6" t="s">
        <v>45666</v>
      </c>
      <c r="C36303" s="5" t="str">
        <f>IFERROR(__xludf.DUMMYFUNCTION("GOOGLETRANSLATE(B36303,""en"",""it"")"),"L'uomo mostra come fare l'intonaco mentre passa con lui che fa un intonaco e continua a mostrare più clip di lui che lo stabilisce.")</f>
        <v>L'uomo mostra come fare l'intonaco mentre passa con lui che fa un intonaco e continua a mostrare più clip di lui che lo stabilisce.</v>
      </c>
    </row>
    <row r="36304">
      <c r="A36304" s="4" t="s">
        <v>45667</v>
      </c>
      <c r="B36304" s="4" t="s">
        <v>45668</v>
      </c>
      <c r="C36304" s="5" t="str">
        <f>IFERROR(__xludf.DUMMYFUNCTION("GOOGLETRANSLATE(B36304,""en"",""it"")"),"Una bicicletta è mostrata in una stanza appoggiata a un tavolo marrone.")</f>
        <v>Una bicicletta è mostrata in una stanza appoggiata a un tavolo marrone.</v>
      </c>
    </row>
    <row r="36305">
      <c r="A36305" s="4" t="s">
        <v>45667</v>
      </c>
      <c r="B36305" s="4" t="s">
        <v>45669</v>
      </c>
      <c r="C36305" s="5" t="str">
        <f>IFERROR(__xludf.DUMMYFUNCTION("GOOGLETRANSLATE(B36305,""en"",""it"")"),"Una persona quindi entra nella stanza e inizia a prendere pezzi dalla bicicletta.")</f>
        <v>Una persona quindi entra nella stanza e inizia a prendere pezzi dalla bicicletta.</v>
      </c>
    </row>
    <row r="36306">
      <c r="A36306" s="4" t="s">
        <v>45667</v>
      </c>
      <c r="B36306" s="4" t="s">
        <v>45670</v>
      </c>
      <c r="C36306" s="5" t="str">
        <f>IFERROR(__xludf.DUMMYFUNCTION("GOOGLETRANSLATE(B36306,""en"",""it"")"),"I pezzi vengono quindi aggiunti sulla bici e si serrano intorno alla ruota.")</f>
        <v>I pezzi vengono quindi aggiunti sulla bici e si serrano intorno alla ruota.</v>
      </c>
    </row>
    <row r="36307">
      <c r="A36307" s="4" t="s">
        <v>45671</v>
      </c>
      <c r="B36307" s="4" t="s">
        <v>45672</v>
      </c>
      <c r="C36307" s="5" t="str">
        <f>IFERROR(__xludf.DUMMYFUNCTION("GOOGLETRANSLATE(B36307,""en"",""it"")"),"Un uomo sta sotto il portico di una casa si guarda intorno e sorride.")</f>
        <v>Un uomo sta sotto il portico di una casa si guarda intorno e sorride.</v>
      </c>
    </row>
    <row r="36308">
      <c r="A36308" s="4" t="s">
        <v>45671</v>
      </c>
      <c r="B36308" s="4" t="s">
        <v>45673</v>
      </c>
      <c r="C36308" s="5" t="str">
        <f>IFERROR(__xludf.DUMMYFUNCTION("GOOGLETRANSLATE(B36308,""en"",""it"")"),"Quindi, l'uomo afferra una tazza e beve, dopo che se ne è andato.")</f>
        <v>Quindi, l'uomo afferra una tazza e beve, dopo che se ne è andato.</v>
      </c>
    </row>
    <row r="36309">
      <c r="A36309" s="4" t="s">
        <v>45674</v>
      </c>
      <c r="B36309" s="4" t="s">
        <v>45675</v>
      </c>
      <c r="C36309" s="5" t="str">
        <f>IFERROR(__xludf.DUMMYFUNCTION("GOOGLETRANSLATE(B36309,""en"",""it"")"),"Una donna ha toccato un telefono nero e si presentava uno schermo di capsula viola come batteri.")</f>
        <v>Una donna ha toccato un telefono nero e si presentava uno schermo di capsula viola come batteri.</v>
      </c>
    </row>
    <row r="36310">
      <c r="A36310" s="4" t="s">
        <v>45674</v>
      </c>
      <c r="B36310" s="4" t="s">
        <v>45676</v>
      </c>
      <c r="C36310" s="5" t="str">
        <f>IFERROR(__xludf.DUMMYFUNCTION("GOOGLETRANSLATE(B36310,""en"",""it"")"),"La persona ha rimesso il telefono e ha iniziato a digitare sulla tastiera nera.")</f>
        <v>La persona ha rimesso il telefono e ha iniziato a digitare sulla tastiera nera.</v>
      </c>
    </row>
    <row r="36311">
      <c r="A36311" s="4" t="s">
        <v>45674</v>
      </c>
      <c r="B36311" s="4" t="s">
        <v>45677</v>
      </c>
      <c r="C36311" s="5" t="str">
        <f>IFERROR(__xludf.DUMMYFUNCTION("GOOGLETRANSLATE(B36311,""en"",""it"")"),"Il colpo di batteri è messo nella scena.")</f>
        <v>Il colpo di batteri è messo nella scena.</v>
      </c>
    </row>
    <row r="36312">
      <c r="A36312" s="4" t="s">
        <v>45674</v>
      </c>
      <c r="B36312" s="4" t="s">
        <v>45678</v>
      </c>
      <c r="C36312" s="5" t="str">
        <f>IFERROR(__xludf.DUMMYFUNCTION("GOOGLETRANSLATE(B36312,""en"",""it"")"),"La donna mise una mano sul topo.")</f>
        <v>La donna mise una mano sul topo.</v>
      </c>
    </row>
    <row r="36313">
      <c r="A36313" s="4" t="s">
        <v>45674</v>
      </c>
      <c r="B36313" s="4" t="s">
        <v>45679</v>
      </c>
      <c r="C36313" s="5" t="str">
        <f>IFERROR(__xludf.DUMMYFUNCTION("GOOGLETRANSLATE(B36313,""en"",""it"")"),"Mise la mano sul desktop di legno.")</f>
        <v>Mise la mano sul desktop di legno.</v>
      </c>
    </row>
    <row r="36314">
      <c r="A36314" s="4" t="s">
        <v>45674</v>
      </c>
      <c r="B36314" s="4" t="s">
        <v>45680</v>
      </c>
      <c r="C36314" s="5" t="str">
        <f>IFERROR(__xludf.DUMMYFUNCTION("GOOGLETRANSLATE(B36314,""en"",""it"")"),"La donna si alzò e camminava verso il corridoio.")</f>
        <v>La donna si alzò e camminava verso il corridoio.</v>
      </c>
    </row>
    <row r="36315">
      <c r="A36315" s="4" t="s">
        <v>45674</v>
      </c>
      <c r="B36315" s="4" t="s">
        <v>45681</v>
      </c>
      <c r="C36315" s="5" t="str">
        <f>IFERROR(__xludf.DUMMYFUNCTION("GOOGLETRANSLATE(B36315,""en"",""it"")"),"La donna vide un uomo e stringeva la mano.")</f>
        <v>La donna vide un uomo e stringeva la mano.</v>
      </c>
    </row>
    <row r="36316">
      <c r="A36316" s="4" t="s">
        <v>45674</v>
      </c>
      <c r="B36316" s="4" t="s">
        <v>45682</v>
      </c>
      <c r="C36316" s="5" t="str">
        <f>IFERROR(__xludf.DUMMYFUNCTION("GOOGLETRANSLATE(B36316,""en"",""it"")"),"La donna è andata in bagno.")</f>
        <v>La donna è andata in bagno.</v>
      </c>
    </row>
    <row r="36317">
      <c r="A36317" s="4" t="s">
        <v>45674</v>
      </c>
      <c r="B36317" s="6" t="s">
        <v>45683</v>
      </c>
      <c r="C36317" s="5" t="str">
        <f>IFERROR(__xludf.DUMMYFUNCTION("GOOGLETRANSLATE(B36317,""en"",""it"")"),"La donna si tolse l'anello, lavale la mano, si strofinò a casa e se la strofinò accuratamente e la risciacqua.")</f>
        <v>La donna si tolse l'anello, lavale la mano, si strofinò a casa e se la strofinò accuratamente e la risciacqua.</v>
      </c>
    </row>
    <row r="36318">
      <c r="A36318" s="4" t="s">
        <v>45674</v>
      </c>
      <c r="B36318" s="4" t="s">
        <v>45684</v>
      </c>
      <c r="C36318" s="5" t="str">
        <f>IFERROR(__xludf.DUMMYFUNCTION("GOOGLETRANSLATE(B36318,""en"",""it"")"),"La donna starnutisce sulla sua mano.")</f>
        <v>La donna starnutisce sulla sua mano.</v>
      </c>
    </row>
    <row r="36319">
      <c r="A36319" s="4" t="s">
        <v>45674</v>
      </c>
      <c r="B36319" s="4" t="s">
        <v>45685</v>
      </c>
      <c r="C36319" s="5" t="str">
        <f>IFERROR(__xludf.DUMMYFUNCTION("GOOGLETRANSLATE(B36319,""en"",""it"")"),"Cammina verso il suo ufficio, mise una mano sulla scrivania e sul telefono.")</f>
        <v>Cammina verso il suo ufficio, mise una mano sulla scrivania e sul telefono.</v>
      </c>
    </row>
    <row r="36320">
      <c r="A36320" s="4" t="s">
        <v>45686</v>
      </c>
      <c r="B36320" s="4" t="s">
        <v>45687</v>
      </c>
      <c r="C36320" s="5" t="str">
        <f>IFERROR(__xludf.DUMMYFUNCTION("GOOGLETRANSLATE(B36320,""en"",""it"")"),"Queste due persone mostrate qui stanno guidando le loro biciclette su gobbe innevate fuori.")</f>
        <v>Queste due persone mostrate qui stanno guidando le loro biciclette su gobbe innevate fuori.</v>
      </c>
    </row>
    <row r="36321">
      <c r="A36321" s="4" t="s">
        <v>45686</v>
      </c>
      <c r="B36321" s="4" t="s">
        <v>45688</v>
      </c>
      <c r="C36321" s="5" t="str">
        <f>IFERROR(__xludf.DUMMYFUNCTION("GOOGLETRANSLATE(B36321,""en"",""it"")"),"Hanno cavalcato su gobba di terra.")</f>
        <v>Hanno cavalcato su gobba di terra.</v>
      </c>
    </row>
    <row r="36322">
      <c r="A36322" s="4" t="s">
        <v>45686</v>
      </c>
      <c r="B36322" s="4" t="s">
        <v>45689</v>
      </c>
      <c r="C36322" s="5" t="str">
        <f>IFERROR(__xludf.DUMMYFUNCTION("GOOGLETRANSLATE(B36322,""en"",""it"")"),"Hanno anche cavalcato su gobba di sabbia nell'edificio e altre gobbe in una gara.")</f>
        <v>Hanno anche cavalcato su gobba di sabbia nell'edificio e altre gobbe in una gara.</v>
      </c>
    </row>
    <row r="36323">
      <c r="A36323" s="4" t="s">
        <v>45690</v>
      </c>
      <c r="B36323" s="6" t="s">
        <v>45691</v>
      </c>
      <c r="C36323" s="5" t="str">
        <f>IFERROR(__xludf.DUMMYFUNCTION("GOOGLETRANSLATE(B36323,""en"",""it"")"),"Un uomo viene visto sollevare oggetti mentre parla a una donna e strofina l'oggetto lungo il muro.")</f>
        <v>Un uomo viene visto sollevare oggetti mentre parla a una donna e strofina l'oggetto lungo il muro.</v>
      </c>
    </row>
    <row r="36324">
      <c r="A36324" s="4" t="s">
        <v>45690</v>
      </c>
      <c r="B36324" s="4" t="s">
        <v>45692</v>
      </c>
      <c r="C36324" s="5" t="str">
        <f>IFERROR(__xludf.DUMMYFUNCTION("GOOGLETRANSLATE(B36324,""en"",""it"")"),"Quindi immerge la carta in acqua e inizia a appenderla sulle pareti.")</f>
        <v>Quindi immerge la carta in acqua e inizia a appenderla sulle pareti.</v>
      </c>
    </row>
    <row r="36325">
      <c r="A36325" s="4" t="s">
        <v>45690</v>
      </c>
      <c r="B36325" s="4" t="s">
        <v>45693</v>
      </c>
      <c r="C36325" s="5" t="str">
        <f>IFERROR(__xludf.DUMMYFUNCTION("GOOGLETRANSLATE(B36325,""en"",""it"")"),"Alza un flacone spray per spruzzare le pareti mentre gli altri aiutano.")</f>
        <v>Alza un flacone spray per spruzzare le pareti mentre gli altri aiutano.</v>
      </c>
    </row>
    <row r="36326">
      <c r="A36326" s="4" t="s">
        <v>45690</v>
      </c>
      <c r="B36326" s="6" t="s">
        <v>45694</v>
      </c>
      <c r="C36326" s="5" t="str">
        <f>IFERROR(__xludf.DUMMYFUNCTION("GOOGLETRANSLATE(B36326,""en"",""it"")"),"Le persone controllano il muro e toglievano la carta seguirono togliendo lo sfondo effettivo e sfregando il muro.")</f>
        <v>Le persone controllano il muro e toglievano la carta seguirono togliendo lo sfondo effettivo e sfregando il muro.</v>
      </c>
    </row>
    <row r="36327">
      <c r="A36327" s="4" t="s">
        <v>45695</v>
      </c>
      <c r="B36327" s="4" t="s">
        <v>45696</v>
      </c>
      <c r="C36327" s="5" t="str">
        <f>IFERROR(__xludf.DUMMYFUNCTION("GOOGLETRANSLATE(B36327,""en"",""it"")"),"Un bambino viene mostrato sdraiato a letto mentre un pettine spazzola delicatamente i suoi capelli.")</f>
        <v>Un bambino viene mostrato sdraiato a letto mentre un pettine spazzola delicatamente i suoi capelli.</v>
      </c>
    </row>
    <row r="36328">
      <c r="A36328" s="4" t="s">
        <v>45695</v>
      </c>
      <c r="B36328" s="4" t="s">
        <v>45697</v>
      </c>
      <c r="C36328" s="5" t="str">
        <f>IFERROR(__xludf.DUMMYFUNCTION("GOOGLETRANSLATE(B36328,""en"",""it"")"),"Il bambino alla fine sorride mentre la mano continua a spazzolare la testa del bambino.")</f>
        <v>Il bambino alla fine sorride mentre la mano continua a spazzolare la testa del bambino.</v>
      </c>
    </row>
    <row r="36329">
      <c r="A36329" s="4" t="s">
        <v>45695</v>
      </c>
      <c r="B36329" s="4" t="s">
        <v>45698</v>
      </c>
      <c r="C36329" s="5" t="str">
        <f>IFERROR(__xludf.DUMMYFUNCTION("GOOGLETRANSLATE(B36329,""en"",""it"")"),"Il bambino chiude delicatamente gli occhi e sbadiglia mentre il pennello continua a pettinare.")</f>
        <v>Il bambino chiude delicatamente gli occhi e sbadiglia mentre il pennello continua a pettinare.</v>
      </c>
    </row>
    <row r="36330">
      <c r="A36330" s="4" t="s">
        <v>45699</v>
      </c>
      <c r="B36330" s="4" t="s">
        <v>45700</v>
      </c>
      <c r="C36330" s="5" t="str">
        <f>IFERROR(__xludf.DUMMYFUNCTION("GOOGLETRANSLATE(B36330,""en"",""it"")"),"Una donna dimostra come lavare il viso lavando la faccia nel lavandino.")</f>
        <v>Una donna dimostra come lavare il viso lavando la faccia nel lavandino.</v>
      </c>
    </row>
    <row r="36331">
      <c r="A36331" s="4" t="s">
        <v>45699</v>
      </c>
      <c r="B36331" s="4" t="s">
        <v>45701</v>
      </c>
      <c r="C36331" s="5" t="str">
        <f>IFERROR(__xludf.DUMMYFUNCTION("GOOGLETRANSLATE(B36331,""en"",""it"")"),"Una donna si trova su un lavandino e gli schizza acqua sul viso.")</f>
        <v>Una donna si trova su un lavandino e gli schizza acqua sul viso.</v>
      </c>
    </row>
    <row r="36332">
      <c r="A36332" s="4" t="s">
        <v>45699</v>
      </c>
      <c r="B36332" s="4" t="s">
        <v>45702</v>
      </c>
      <c r="C36332" s="5" t="str">
        <f>IFERROR(__xludf.DUMMYFUNCTION("GOOGLETRANSLATE(B36332,""en"",""it"")"),"La donna quindi fa una schiuma con sapone liquido che ha versato sulle sue mani.")</f>
        <v>La donna quindi fa una schiuma con sapone liquido che ha versato sulle sue mani.</v>
      </c>
    </row>
    <row r="36333">
      <c r="A36333" s="4" t="s">
        <v>45699</v>
      </c>
      <c r="B36333" s="6" t="s">
        <v>45703</v>
      </c>
      <c r="C36333" s="5" t="str">
        <f>IFERROR(__xludf.DUMMYFUNCTION("GOOGLETRANSLATE(B36333,""en"",""it"")"),"La donna quindi lava il viso con movimenti circolari che la donna ha quindi usato un asciugamano per asciugare il viso.")</f>
        <v>La donna quindi lava il viso con movimenti circolari che la donna ha quindi usato un asciugamano per asciugare il viso.</v>
      </c>
    </row>
    <row r="36334">
      <c r="A36334" s="4" t="s">
        <v>45704</v>
      </c>
      <c r="B36334" s="4" t="s">
        <v>45705</v>
      </c>
      <c r="C36334" s="5" t="str">
        <f>IFERROR(__xludf.DUMMYFUNCTION("GOOGLETRANSLATE(B36334,""en"",""it"")"),"Uno spot di copertura dimostra come riparare un tetto in ardesia su una casa.")</f>
        <v>Uno spot di copertura dimostra come riparare un tetto in ardesia su una casa.</v>
      </c>
    </row>
    <row r="36335">
      <c r="A36335" s="4" t="s">
        <v>45704</v>
      </c>
      <c r="B36335" s="6" t="s">
        <v>45706</v>
      </c>
      <c r="C36335" s="5" t="str">
        <f>IFERROR(__xludf.DUMMYFUNCTION("GOOGLETRANSLATE(B36335,""en"",""it"")"),"Un uomo taglia le parti su un tavolo pieghevole all'esterno e quindi installa una lavagna su un tetto usando utensili e strumenti dalla sua cintura degli strumenti.")</f>
        <v>Un uomo taglia le parti su un tavolo pieghevole all'esterno e quindi installa una lavagna su un tetto usando utensili e strumenti dalla sua cintura degli strumenti.</v>
      </c>
    </row>
    <row r="36336">
      <c r="A36336" s="4" t="s">
        <v>45704</v>
      </c>
      <c r="B36336" s="4" t="s">
        <v>45707</v>
      </c>
      <c r="C36336" s="5" t="str">
        <f>IFERROR(__xludf.DUMMYFUNCTION("GOOGLETRANSLATE(B36336,""en"",""it"")"),"L'uomo installa pezzi di rame sul tetto in ardesia che sporge dal tetto.")</f>
        <v>L'uomo installa pezzi di rame sul tetto in ardesia che sporge dal tetto.</v>
      </c>
    </row>
    <row r="36337">
      <c r="A36337" s="4" t="s">
        <v>45704</v>
      </c>
      <c r="B36337" s="6" t="s">
        <v>45708</v>
      </c>
      <c r="C36337" s="5" t="str">
        <f>IFERROR(__xludf.DUMMYFUNCTION("GOOGLETRANSLATE(B36337,""en"",""it"")"),"L'uomo quindi taglia un tubo di rame e fa un po 'di saldatura ai bordi di un foro nel tubo di rame prima che la fotocamera tagliasse di nuovo sul tetto e quindi una grafica di marketing.")</f>
        <v>L'uomo quindi taglia un tubo di rame e fa un po 'di saldatura ai bordi di un foro nel tubo di rame prima che la fotocamera tagliasse di nuovo sul tetto e quindi una grafica di marketing.</v>
      </c>
    </row>
    <row r="36338">
      <c r="A36338" s="4" t="s">
        <v>45709</v>
      </c>
      <c r="B36338" s="6" t="s">
        <v>45710</v>
      </c>
      <c r="C36338" s="5" t="str">
        <f>IFERROR(__xludf.DUMMYFUNCTION("GOOGLETRANSLATE(B36338,""en"",""it"")"),"Un uomo con sassofono gioca al centro del parco mentre una donna è seduta vicino alla fontana.")</f>
        <v>Un uomo con sassofono gioca al centro del parco mentre una donna è seduta vicino alla fontana.</v>
      </c>
    </row>
    <row r="36339">
      <c r="A36339" s="4" t="s">
        <v>45709</v>
      </c>
      <c r="B36339" s="4" t="s">
        <v>45711</v>
      </c>
      <c r="C36339" s="5" t="str">
        <f>IFERROR(__xludf.DUMMYFUNCTION("GOOGLETRANSLATE(B36339,""en"",""it"")"),"L'uomo suona il sassofono.")</f>
        <v>L'uomo suona il sassofono.</v>
      </c>
    </row>
    <row r="36340">
      <c r="A36340" s="4" t="s">
        <v>45709</v>
      </c>
      <c r="B36340" s="4" t="s">
        <v>45712</v>
      </c>
      <c r="C36340" s="5" t="str">
        <f>IFERROR(__xludf.DUMMYFUNCTION("GOOGLETRANSLATE(B36340,""en"",""it"")"),"Dietro di lui ci sono persone che si snodano al bancomat.")</f>
        <v>Dietro di lui ci sono persone che si snodano al bancomat.</v>
      </c>
    </row>
    <row r="36341">
      <c r="A36341" s="4" t="s">
        <v>45709</v>
      </c>
      <c r="B36341" s="4" t="s">
        <v>45713</v>
      </c>
      <c r="C36341" s="5" t="str">
        <f>IFERROR(__xludf.DUMMYFUNCTION("GOOGLETRANSLATE(B36341,""en"",""it"")"),"La telecamera si avvicinò al sassofono d'oro.")</f>
        <v>La telecamera si avvicinò al sassofono d'oro.</v>
      </c>
    </row>
    <row r="36342">
      <c r="A36342" s="4" t="s">
        <v>45709</v>
      </c>
      <c r="B36342" s="4" t="s">
        <v>45714</v>
      </c>
      <c r="C36342" s="5" t="str">
        <f>IFERROR(__xludf.DUMMYFUNCTION("GOOGLETRANSLATE(B36342,""en"",""it"")"),"L'uomo continua a suonare mentre le persone che lo superano.")</f>
        <v>L'uomo continua a suonare mentre le persone che lo superano.</v>
      </c>
    </row>
    <row r="36343">
      <c r="A36343" s="4" t="s">
        <v>45709</v>
      </c>
      <c r="B36343" s="4" t="s">
        <v>45715</v>
      </c>
      <c r="C36343" s="5" t="str">
        <f>IFERROR(__xludf.DUMMYFUNCTION("GOOGLETRANSLATE(B36343,""en"",""it"")"),"L'uomo soffia così forte sul suo sassofono.")</f>
        <v>L'uomo soffia così forte sul suo sassofono.</v>
      </c>
    </row>
    <row r="36344">
      <c r="A36344" s="4" t="s">
        <v>45709</v>
      </c>
      <c r="B36344" s="4" t="s">
        <v>45716</v>
      </c>
      <c r="C36344" s="5" t="str">
        <f>IFERROR(__xludf.DUMMYFUNCTION("GOOGLETRANSLATE(B36344,""en"",""it"")"),"Un uccello bianco in piedi dietro l'uomo.")</f>
        <v>Un uccello bianco in piedi dietro l'uomo.</v>
      </c>
    </row>
    <row r="36345">
      <c r="A36345" s="4" t="s">
        <v>45717</v>
      </c>
      <c r="B36345" s="4" t="s">
        <v>45718</v>
      </c>
      <c r="C36345" s="5" t="str">
        <f>IFERROR(__xludf.DUMMYFUNCTION("GOOGLETRANSLATE(B36345,""en"",""it"")"),"Un uomo è in piedi accanto a una bicicletta.")</f>
        <v>Un uomo è in piedi accanto a una bicicletta.</v>
      </c>
    </row>
    <row r="36346">
      <c r="A36346" s="4" t="s">
        <v>45717</v>
      </c>
      <c r="B36346" s="4" t="s">
        <v>45719</v>
      </c>
      <c r="C36346" s="5" t="str">
        <f>IFERROR(__xludf.DUMMYFUNCTION("GOOGLETRANSLATE(B36346,""en"",""it"")"),"Tiene in mano un nuovo tubo per un pneumatico.")</f>
        <v>Tiene in mano un nuovo tubo per un pneumatico.</v>
      </c>
    </row>
    <row r="36347">
      <c r="A36347" s="4" t="s">
        <v>45717</v>
      </c>
      <c r="B36347" s="4" t="s">
        <v>45720</v>
      </c>
      <c r="C36347" s="5" t="str">
        <f>IFERROR(__xludf.DUMMYFUNCTION("GOOGLETRANSLATE(B36347,""en"",""it"")"),"Afferra una pompa dell'aria e la collega al pneumatico.")</f>
        <v>Afferra una pompa dell'aria e la collega al pneumatico.</v>
      </c>
    </row>
    <row r="36348">
      <c r="A36348" s="4" t="s">
        <v>45717</v>
      </c>
      <c r="B36348" s="4" t="s">
        <v>45721</v>
      </c>
      <c r="C36348" s="5" t="str">
        <f>IFERROR(__xludf.DUMMYFUNCTION("GOOGLETRANSLATE(B36348,""en"",""it"")"),"Pompa la gomma con aria.")</f>
        <v>Pompa la gomma con aria.</v>
      </c>
    </row>
    <row r="36349">
      <c r="A36349" s="4" t="s">
        <v>45717</v>
      </c>
      <c r="B36349" s="4" t="s">
        <v>45722</v>
      </c>
      <c r="C36349" s="5" t="str">
        <f>IFERROR(__xludf.DUMMYFUNCTION("GOOGLETRANSLATE(B36349,""en"",""it"")"),"Collega la pompa alla gomma a terra e la pompa.")</f>
        <v>Collega la pompa alla gomma a terra e la pompa.</v>
      </c>
    </row>
    <row r="36350">
      <c r="A36350" s="4" t="s">
        <v>45723</v>
      </c>
      <c r="B36350" s="4" t="s">
        <v>45724</v>
      </c>
      <c r="C36350" s="5" t="str">
        <f>IFERROR(__xludf.DUMMYFUNCTION("GOOGLETRANSLATE(B36350,""en"",""it"")"),"La mano di una persona viene mostrata infilando una penna in un po 'd'acqua seguita da un po' di smalto.")</f>
        <v>La mano di una persona viene mostrata infilando una penna in un po 'd'acqua seguita da un po' di smalto.</v>
      </c>
    </row>
    <row r="36351">
      <c r="A36351" s="4" t="s">
        <v>45723</v>
      </c>
      <c r="B36351" s="6" t="s">
        <v>45725</v>
      </c>
      <c r="C36351" s="5" t="str">
        <f>IFERROR(__xludf.DUMMYFUNCTION("GOOGLETRANSLATE(B36351,""en"",""it"")"),"L'acqua cambia i colori man mano che vengono mostrate le varie vernici e la persona crea un modello vorticoso nell'acqua.")</f>
        <v>L'acqua cambia i colori man mano che vengono mostrate le varie vernici e la persona crea un modello vorticoso nell'acqua.</v>
      </c>
    </row>
    <row r="36352">
      <c r="A36352" s="4" t="s">
        <v>45726</v>
      </c>
      <c r="B36352" s="4" t="s">
        <v>45727</v>
      </c>
      <c r="C36352" s="5" t="str">
        <f>IFERROR(__xludf.DUMMYFUNCTION("GOOGLETRANSLATE(B36352,""en"",""it"")"),"Vediamo tre uomini in un campo che taglia l'erba alta con una falce.")</f>
        <v>Vediamo tre uomini in un campo che taglia l'erba alta con una falce.</v>
      </c>
    </row>
    <row r="36353">
      <c r="A36353" s="4" t="s">
        <v>45726</v>
      </c>
      <c r="B36353" s="4" t="s">
        <v>45728</v>
      </c>
      <c r="C36353" s="5" t="str">
        <f>IFERROR(__xludf.DUMMYFUNCTION("GOOGLETRANSLATE(B36353,""en"",""it"")"),"Vediamo l'uomo prendere una manciata di erba e asciugare la testa di falce.")</f>
        <v>Vediamo l'uomo prendere una manciata di erba e asciugare la testa di falce.</v>
      </c>
    </row>
    <row r="36354">
      <c r="A36354" s="4" t="s">
        <v>45726</v>
      </c>
      <c r="B36354" s="4" t="s">
        <v>45729</v>
      </c>
      <c r="C36354" s="5" t="str">
        <f>IFERROR(__xludf.DUMMYFUNCTION("GOOGLETRANSLATE(B36354,""en"",""it"")"),"L'uomo tira qualcosa dalla tasca e lo strofina sulla falce.")</f>
        <v>L'uomo tira qualcosa dalla tasca e lo strofina sulla falce.</v>
      </c>
    </row>
    <row r="36355">
      <c r="A36355" s="4" t="s">
        <v>45726</v>
      </c>
      <c r="B36355" s="4" t="s">
        <v>45730</v>
      </c>
      <c r="C36355" s="5" t="str">
        <f>IFERROR(__xludf.DUMMYFUNCTION("GOOGLETRANSLATE(B36355,""en"",""it"")"),"Gli uomini tornano quindi per tagliare l'erba.")</f>
        <v>Gli uomini tornano quindi per tagliare l'erba.</v>
      </c>
    </row>
    <row r="36356">
      <c r="A36356" s="4" t="s">
        <v>45731</v>
      </c>
      <c r="B36356" s="4" t="s">
        <v>45732</v>
      </c>
      <c r="C36356" s="5" t="str">
        <f>IFERROR(__xludf.DUMMYFUNCTION("GOOGLETRANSLATE(B36356,""en"",""it"")"),"Le persone sono in piedi su un campo da pallavolo.")</f>
        <v>Le persone sono in piedi su un campo da pallavolo.</v>
      </c>
    </row>
    <row r="36357">
      <c r="A36357" s="4" t="s">
        <v>45731</v>
      </c>
      <c r="B36357" s="4" t="s">
        <v>45733</v>
      </c>
      <c r="C36357" s="5" t="str">
        <f>IFERROR(__xludf.DUMMYFUNCTION("GOOGLETRANSLATE(B36357,""en"",""it"")"),"Un uomo con un cappello bianco è in piedi nella sabbia.")</f>
        <v>Un uomo con un cappello bianco è in piedi nella sabbia.</v>
      </c>
    </row>
    <row r="36358">
      <c r="A36358" s="4" t="s">
        <v>45731</v>
      </c>
      <c r="B36358" s="4" t="s">
        <v>45734</v>
      </c>
      <c r="C36358" s="5" t="str">
        <f>IFERROR(__xludf.DUMMYFUNCTION("GOOGLETRANSLATE(B36358,""en"",""it"")"),"Una persona in una camicia nera serve la pallavolo ma non ce la fa in rete.")</f>
        <v>Una persona in una camicia nera serve la pallavolo ma non ce la fa in rete.</v>
      </c>
    </row>
    <row r="36359">
      <c r="A36359" s="4" t="s">
        <v>45735</v>
      </c>
      <c r="B36359" s="4" t="s">
        <v>45736</v>
      </c>
      <c r="C36359" s="5" t="str">
        <f>IFERROR(__xludf.DUMMYFUNCTION("GOOGLETRANSLATE(B36359,""en"",""it"")"),"Una donna si siede in un piano e suona davanti a un piccolo pubblico.")</f>
        <v>Una donna si siede in un piano e suona davanti a un piccolo pubblico.</v>
      </c>
    </row>
    <row r="36360">
      <c r="A36360" s="4" t="s">
        <v>45735</v>
      </c>
      <c r="B36360" s="4" t="s">
        <v>45737</v>
      </c>
      <c r="C36360" s="5" t="str">
        <f>IFERROR(__xludf.DUMMYFUNCTION("GOOGLETRANSLATE(B36360,""en"",""it"")"),"La telecamera si concentra su diversi uomini che la guardano.")</f>
        <v>La telecamera si concentra su diversi uomini che la guardano.</v>
      </c>
    </row>
    <row r="36361">
      <c r="A36361" s="4" t="s">
        <v>45735</v>
      </c>
      <c r="B36361" s="4" t="s">
        <v>45738</v>
      </c>
      <c r="C36361" s="5" t="str">
        <f>IFERROR(__xludf.DUMMYFUNCTION("GOOGLETRANSLATE(B36361,""en"",""it"")"),"La donna canta con il piano.")</f>
        <v>La donna canta con il piano.</v>
      </c>
    </row>
    <row r="36362">
      <c r="A36362" s="4" t="s">
        <v>45735</v>
      </c>
      <c r="B36362" s="4" t="s">
        <v>45739</v>
      </c>
      <c r="C36362" s="5" t="str">
        <f>IFERROR(__xludf.DUMMYFUNCTION("GOOGLETRANSLATE(B36362,""en"",""it"")"),"La telecamera cattura la reazione dei membri del pubblico.")</f>
        <v>La telecamera cattura la reazione dei membri del pubblico.</v>
      </c>
    </row>
    <row r="36363">
      <c r="A36363" s="4" t="s">
        <v>45735</v>
      </c>
      <c r="B36363" s="4" t="s">
        <v>45740</v>
      </c>
      <c r="C36363" s="5" t="str">
        <f>IFERROR(__xludf.DUMMYFUNCTION("GOOGLETRANSLATE(B36363,""en"",""it"")"),"La fotocamera cattura più scatti di reazione dal pubblico.")</f>
        <v>La fotocamera cattura più scatti di reazione dal pubblico.</v>
      </c>
    </row>
    <row r="36364">
      <c r="A36364" s="4" t="s">
        <v>45741</v>
      </c>
      <c r="B36364" s="4" t="s">
        <v>45742</v>
      </c>
      <c r="C36364" s="5" t="str">
        <f>IFERROR(__xludf.DUMMYFUNCTION("GOOGLETRANSLATE(B36364,""en"",""it"")"),"Viene mostrata una coppia di cesoie da giardino.")</f>
        <v>Viene mostrata una coppia di cesoie da giardino.</v>
      </c>
    </row>
    <row r="36365">
      <c r="A36365" s="4" t="s">
        <v>45741</v>
      </c>
      <c r="B36365" s="4" t="s">
        <v>45743</v>
      </c>
      <c r="C36365" s="5" t="str">
        <f>IFERROR(__xludf.DUMMYFUNCTION("GOOGLETRANSLATE(B36365,""en"",""it"")"),"Una donna sta dimostrando come usare le cesoie da giardino in diverse situazioni.")</f>
        <v>Una donna sta dimostrando come usare le cesoie da giardino in diverse situazioni.</v>
      </c>
    </row>
    <row r="36366">
      <c r="A36366" s="4" t="s">
        <v>45741</v>
      </c>
      <c r="B36366" s="4" t="s">
        <v>45744</v>
      </c>
      <c r="C36366" s="5" t="str">
        <f>IFERROR(__xludf.DUMMYFUNCTION("GOOGLETRANSLATE(B36366,""en"",""it"")"),"Una ragazza più giovane dimostra come usare le cesoie.")</f>
        <v>Una ragazza più giovane dimostra come usare le cesoie.</v>
      </c>
    </row>
    <row r="36367">
      <c r="A36367" s="4" t="s">
        <v>45741</v>
      </c>
      <c r="B36367" s="4" t="s">
        <v>45745</v>
      </c>
      <c r="C36367" s="5" t="str">
        <f>IFERROR(__xludf.DUMMYFUNCTION("GOOGLETRANSLATE(B36367,""en"",""it"")"),"Un uomo più anziano mostra come usa le cesoie.")</f>
        <v>Un uomo più anziano mostra come usa le cesoie.</v>
      </c>
    </row>
    <row r="36368">
      <c r="A36368" s="4" t="s">
        <v>45741</v>
      </c>
      <c r="B36368" s="4" t="s">
        <v>45746</v>
      </c>
      <c r="C36368" s="5" t="str">
        <f>IFERROR(__xludf.DUMMYFUNCTION("GOOGLETRANSLATE(B36368,""en"",""it"")"),"Un giovane viene mostrato usando le cesoie per raggiungere qualcosa sopra la sua testa.")</f>
        <v>Un giovane viene mostrato usando le cesoie per raggiungere qualcosa sopra la sua testa.</v>
      </c>
    </row>
    <row r="36369">
      <c r="A36369" s="4" t="s">
        <v>45741</v>
      </c>
      <c r="B36369" s="4" t="s">
        <v>45747</v>
      </c>
      <c r="C36369" s="5" t="str">
        <f>IFERROR(__xludf.DUMMYFUNCTION("GOOGLETRANSLATE(B36369,""en"",""it"")"),"La donna originale mostrata dimostra l'uso delle cesoie su diversi tipi di piante.")</f>
        <v>La donna originale mostrata dimostra l'uso delle cesoie su diversi tipi di piante.</v>
      </c>
    </row>
    <row r="36370">
      <c r="A36370" s="4" t="s">
        <v>45741</v>
      </c>
      <c r="B36370" s="6" t="s">
        <v>45748</v>
      </c>
      <c r="C36370" s="5" t="str">
        <f>IFERROR(__xludf.DUMMYFUNCTION("GOOGLETRANSLATE(B36370,""en"",""it"")"),"La stessa donna mostra come usare la maniglia telescopica delle cesoie e le piante di taglio che sarebbero fuori portata.")</f>
        <v>La stessa donna mostra come usare la maniglia telescopica delle cesoie e le piante di taglio che sarebbero fuori portata.</v>
      </c>
    </row>
    <row r="36371">
      <c r="A36371" s="4" t="s">
        <v>45741</v>
      </c>
      <c r="B36371" s="4" t="s">
        <v>45749</v>
      </c>
      <c r="C36371" s="5" t="str">
        <f>IFERROR(__xludf.DUMMYFUNCTION("GOOGLETRANSLATE(B36371,""en"",""it"")"),"La stessa donna cammina lungo un sentiero con le cesoie.")</f>
        <v>La stessa donna cammina lungo un sentiero con le cesoie.</v>
      </c>
    </row>
    <row r="36372">
      <c r="A36372" s="4" t="s">
        <v>45741</v>
      </c>
      <c r="B36372" s="4" t="s">
        <v>45750</v>
      </c>
      <c r="C36372" s="5" t="str">
        <f>IFERROR(__xludf.DUMMYFUNCTION("GOOGLETRANSLATE(B36372,""en"",""it"")"),"La donna mostra quindi come il lavoro di cesoie dimostrando su diverse altre piante.")</f>
        <v>La donna mostra quindi come il lavoro di cesoie dimostrando su diverse altre piante.</v>
      </c>
    </row>
    <row r="36373">
      <c r="A36373" s="4" t="s">
        <v>45741</v>
      </c>
      <c r="B36373" s="4" t="s">
        <v>45751</v>
      </c>
      <c r="C36373" s="5" t="str">
        <f>IFERROR(__xludf.DUMMYFUNCTION("GOOGLETRANSLATE(B36373,""en"",""it"")"),"Una giovane donna viene mostrata usando le cesoie.")</f>
        <v>Una giovane donna viene mostrata usando le cesoie.</v>
      </c>
    </row>
    <row r="36374">
      <c r="A36374" s="4" t="s">
        <v>45741</v>
      </c>
      <c r="B36374" s="4" t="s">
        <v>45752</v>
      </c>
      <c r="C36374" s="5" t="str">
        <f>IFERROR(__xludf.DUMMYFUNCTION("GOOGLETRANSLATE(B36374,""en"",""it"")"),"Un uomo più anziano usa le cesoie.")</f>
        <v>Un uomo più anziano usa le cesoie.</v>
      </c>
    </row>
    <row r="36375">
      <c r="A36375" s="4" t="s">
        <v>45741</v>
      </c>
      <c r="B36375" s="4" t="s">
        <v>45753</v>
      </c>
      <c r="C36375" s="5" t="str">
        <f>IFERROR(__xludf.DUMMYFUNCTION("GOOGLETRANSLATE(B36375,""en"",""it"")"),"Un altro uomo viene mostrato usando le cesoie per raggiungere gli arti degli alberi.")</f>
        <v>Un altro uomo viene mostrato usando le cesoie per raggiungere gli arti degli alberi.</v>
      </c>
    </row>
    <row r="36376">
      <c r="A36376" s="4" t="s">
        <v>45741</v>
      </c>
      <c r="B36376" s="6" t="s">
        <v>45754</v>
      </c>
      <c r="C36376" s="5" t="str">
        <f>IFERROR(__xludf.DUMMYFUNCTION("GOOGLETRANSLATE(B36376,""en"",""it"")"),"La prima donna mostra ulteriori caratteristiche delle cesoie e vengono mostrati gli stessi esempi di altre persone che usano le cesoie.")</f>
        <v>La prima donna mostra ulteriori caratteristiche delle cesoie e vengono mostrati gli stessi esempi di altre persone che usano le cesoie.</v>
      </c>
    </row>
    <row r="36377">
      <c r="A36377" s="4" t="s">
        <v>45741</v>
      </c>
      <c r="B36377" s="4" t="s">
        <v>45755</v>
      </c>
      <c r="C36377" s="5" t="str">
        <f>IFERROR(__xludf.DUMMYFUNCTION("GOOGLETRANSLATE(B36377,""en"",""it"")"),"La donna sale un set di scale con le cesoie.")</f>
        <v>La donna sale un set di scale con le cesoie.</v>
      </c>
    </row>
    <row r="36378">
      <c r="A36378" s="4" t="s">
        <v>45741</v>
      </c>
      <c r="B36378" s="4" t="s">
        <v>45756</v>
      </c>
      <c r="C36378" s="5" t="str">
        <f>IFERROR(__xludf.DUMMYFUNCTION("GOOGLETRANSLATE(B36378,""en"",""it"")"),"La stessa donna è mostrata nel negozio che acquista le cesoie.")</f>
        <v>La stessa donna è mostrata nel negozio che acquista le cesoie.</v>
      </c>
    </row>
    <row r="36379">
      <c r="A36379" s="4" t="s">
        <v>45757</v>
      </c>
      <c r="B36379" s="4" t="s">
        <v>45758</v>
      </c>
      <c r="C36379" s="5" t="str">
        <f>IFERROR(__xludf.DUMMYFUNCTION("GOOGLETRANSLATE(B36379,""en"",""it"")"),"Due uomini sono in palestra.")</f>
        <v>Due uomini sono in palestra.</v>
      </c>
    </row>
    <row r="36380">
      <c r="A36380" s="4" t="s">
        <v>45757</v>
      </c>
      <c r="B36380" s="4" t="s">
        <v>45759</v>
      </c>
      <c r="C36380" s="5" t="str">
        <f>IFERROR(__xludf.DUMMYFUNCTION("GOOGLETRANSLATE(B36380,""en"",""it"")"),"Uno è in guanti da boxe e l'altro indossa le guardie del braccio.")</f>
        <v>Uno è in guanti da boxe e l'altro indossa le guardie del braccio.</v>
      </c>
    </row>
    <row r="36381">
      <c r="A36381" s="4" t="s">
        <v>45757</v>
      </c>
      <c r="B36381" s="4" t="s">
        <v>45760</v>
      </c>
      <c r="C36381" s="5" t="str">
        <f>IFERROR(__xludf.DUMMYFUNCTION("GOOGLETRANSLATE(B36381,""en"",""it"")"),"Mostrano le diverse mosse nei pugni e nei calci.")</f>
        <v>Mostrano le diverse mosse nei pugni e nei calci.</v>
      </c>
    </row>
    <row r="36382">
      <c r="A36382" s="4" t="s">
        <v>45761</v>
      </c>
      <c r="B36382" s="4" t="s">
        <v>45762</v>
      </c>
      <c r="C36382" s="5" t="str">
        <f>IFERROR(__xludf.DUMMYFUNCTION("GOOGLETRANSLATE(B36382,""en"",""it"")"),"Una telecamera si lancia attorno a un campo atletico con varie persone che si scaldano e tengono bastoni.")</f>
        <v>Una telecamera si lancia attorno a un campo atletico con varie persone che si scaldano e tengono bastoni.</v>
      </c>
    </row>
    <row r="36383">
      <c r="A36383" s="4" t="s">
        <v>45761</v>
      </c>
      <c r="B36383" s="4" t="s">
        <v>45763</v>
      </c>
      <c r="C36383" s="5" t="str">
        <f>IFERROR(__xludf.DUMMYFUNCTION("GOOGLETRANSLATE(B36383,""en"",""it"")"),"Una ragazza che tiene un bastone è parlato da un istruttore e corre e lancia il palo.")</f>
        <v>Una ragazza che tiene un bastone è parlato da un istruttore e corre e lancia il palo.</v>
      </c>
    </row>
    <row r="36384">
      <c r="A36384" s="4" t="s">
        <v>45761</v>
      </c>
      <c r="B36384" s="4" t="s">
        <v>45764</v>
      </c>
      <c r="C36384" s="5" t="str">
        <f>IFERROR(__xludf.DUMMYFUNCTION("GOOGLETRANSLATE(B36384,""en"",""it"")"),"Torna indietro mentre un altro afferra una corda per stimare la sua distanza.")</f>
        <v>Torna indietro mentre un altro afferra una corda per stimare la sua distanza.</v>
      </c>
    </row>
    <row r="36385">
      <c r="A36385" s="4" t="s">
        <v>45765</v>
      </c>
      <c r="B36385" s="4" t="s">
        <v>45766</v>
      </c>
      <c r="C36385" s="5" t="str">
        <f>IFERROR(__xludf.DUMMYFUNCTION("GOOGLETRANSLATE(B36385,""en"",""it"")"),"Un giovane in un'uniforme di karate bianca pratica alcune mosse.")</f>
        <v>Un giovane in un'uniforme di karate bianca pratica alcune mosse.</v>
      </c>
    </row>
    <row r="36386">
      <c r="A36386" s="4" t="s">
        <v>45765</v>
      </c>
      <c r="B36386" s="4" t="s">
        <v>45767</v>
      </c>
      <c r="C36386" s="5" t="str">
        <f>IFERROR(__xludf.DUMMYFUNCTION("GOOGLETRANSLATE(B36386,""en"",""it"")"),"Si inchina alla fine e corre verso la fotocamera.")</f>
        <v>Si inchina alla fine e corre verso la fotocamera.</v>
      </c>
    </row>
    <row r="36387">
      <c r="A36387" s="4" t="s">
        <v>45768</v>
      </c>
      <c r="B36387" s="4" t="s">
        <v>45769</v>
      </c>
      <c r="C36387" s="5" t="str">
        <f>IFERROR(__xludf.DUMMYFUNCTION("GOOGLETRANSLATE(B36387,""en"",""it"")"),"Gli uomini sono in piedi in un campo giocando a gettare un piccolo pezzo di cibo nella bocca di un altro uomo.")</f>
        <v>Gli uomini sono in piedi in un campo giocando a gettare un piccolo pezzo di cibo nella bocca di un altro uomo.</v>
      </c>
    </row>
    <row r="36388">
      <c r="A36388" s="4" t="s">
        <v>45768</v>
      </c>
      <c r="B36388" s="4" t="s">
        <v>45770</v>
      </c>
      <c r="C36388" s="5" t="str">
        <f>IFERROR(__xludf.DUMMYFUNCTION("GOOGLETRANSLATE(B36388,""en"",""it"")"),"L'uomo sta parlando di fronte alla telecamera e la squadra si trova in un grande campo erboso verde.")</f>
        <v>L'uomo sta parlando di fronte alla telecamera e la squadra si trova in un grande campo erboso verde.</v>
      </c>
    </row>
    <row r="36389">
      <c r="A36389" s="4" t="s">
        <v>45768</v>
      </c>
      <c r="B36389" s="4" t="s">
        <v>45771</v>
      </c>
      <c r="C36389" s="5" t="str">
        <f>IFERROR(__xludf.DUMMYFUNCTION("GOOGLETRANSLATE(B36389,""en"",""it"")"),"L'uomo inizia a giocare a cricket sul campo.")</f>
        <v>L'uomo inizia a giocare a cricket sul campo.</v>
      </c>
    </row>
    <row r="36390">
      <c r="A36390" s="4" t="s">
        <v>45768</v>
      </c>
      <c r="B36390" s="4" t="s">
        <v>45772</v>
      </c>
      <c r="C36390" s="5" t="str">
        <f>IFERROR(__xludf.DUMMYFUNCTION("GOOGLETRANSLATE(B36390,""en"",""it"")"),"La donna sta parlando con la telecamera nelle notizie.")</f>
        <v>La donna sta parlando con la telecamera nelle notizie.</v>
      </c>
    </row>
    <row r="36391">
      <c r="A36391" s="4" t="s">
        <v>45773</v>
      </c>
      <c r="B36391" s="4" t="s">
        <v>45774</v>
      </c>
      <c r="C36391" s="5" t="str">
        <f>IFERROR(__xludf.DUMMYFUNCTION("GOOGLETRANSLATE(B36391,""en"",""it"")"),"Una ragazza sta cavalcando sul sedile posteriore di un'auto, giocando a rossetto per una bambina in un seggiolino.")</f>
        <v>Una ragazza sta cavalcando sul sedile posteriore di un'auto, giocando a rossetto per una bambina in un seggiolino.</v>
      </c>
    </row>
    <row r="36392">
      <c r="A36392" s="4" t="s">
        <v>45773</v>
      </c>
      <c r="B36392" s="4" t="s">
        <v>45775</v>
      </c>
      <c r="C36392" s="5" t="str">
        <f>IFERROR(__xludf.DUMMYFUNCTION("GOOGLETRANSLATE(B36392,""en"",""it"")"),"La ragazza prende la bacchetta, cercando di metterla sulle labbra.")</f>
        <v>La ragazza prende la bacchetta, cercando di metterla sulle labbra.</v>
      </c>
    </row>
    <row r="36393">
      <c r="A36393" s="4" t="s">
        <v>45773</v>
      </c>
      <c r="B36393" s="4" t="s">
        <v>45776</v>
      </c>
      <c r="C36393" s="5" t="str">
        <f>IFERROR(__xludf.DUMMYFUNCTION("GOOGLETRANSLATE(B36393,""en"",""it"")"),"Sorride ampiamente per la telecamera.")</f>
        <v>Sorride ampiamente per la telecamera.</v>
      </c>
    </row>
    <row r="36394">
      <c r="A36394" s="4" t="s">
        <v>45777</v>
      </c>
      <c r="B36394" s="4" t="s">
        <v>45778</v>
      </c>
      <c r="C36394" s="5" t="str">
        <f>IFERROR(__xludf.DUMMYFUNCTION("GOOGLETRANSLATE(B36394,""en"",""it"")"),"Un uomo sta parlando all'interno di un negozio.")</f>
        <v>Un uomo sta parlando all'interno di un negozio.</v>
      </c>
    </row>
    <row r="36395">
      <c r="A36395" s="4" t="s">
        <v>45777</v>
      </c>
      <c r="B36395" s="4" t="s">
        <v>45779</v>
      </c>
      <c r="C36395" s="5" t="str">
        <f>IFERROR(__xludf.DUMMYFUNCTION("GOOGLETRANSLATE(B36395,""en"",""it"")"),"Mostra un ferro, quindi lo usa per sciogliere un pezzo di plastica.")</f>
        <v>Mostra un ferro, quindi lo usa per sciogliere un pezzo di plastica.</v>
      </c>
    </row>
    <row r="36396">
      <c r="A36396" s="4" t="s">
        <v>45777</v>
      </c>
      <c r="B36396" s="4" t="s">
        <v>45780</v>
      </c>
      <c r="C36396" s="5" t="str">
        <f>IFERROR(__xludf.DUMMYFUNCTION("GOOGLETRANSLATE(B36396,""en"",""it"")"),"L'uomo ferisce quindi un lungo pezzo di metallo.")</f>
        <v>L'uomo ferisce quindi un lungo pezzo di metallo.</v>
      </c>
    </row>
    <row r="36397">
      <c r="A36397" s="4" t="s">
        <v>45781</v>
      </c>
      <c r="B36397" s="4" t="s">
        <v>45782</v>
      </c>
      <c r="C36397" s="5" t="str">
        <f>IFERROR(__xludf.DUMMYFUNCTION("GOOGLETRANSLATE(B36397,""en"",""it"")"),"Una persona sta eliminando la neve con un'obiettivo di neve rosso.")</f>
        <v>Una persona sta eliminando la neve con un'obiettivo di neve rosso.</v>
      </c>
    </row>
    <row r="36398">
      <c r="A36398" s="4" t="s">
        <v>45781</v>
      </c>
      <c r="B36398" s="4" t="s">
        <v>45783</v>
      </c>
      <c r="C36398" s="5" t="str">
        <f>IFERROR(__xludf.DUMMYFUNCTION("GOOGLETRANSLATE(B36398,""en"",""it"")"),"Spingono la neve di lato in una pila.")</f>
        <v>Spingono la neve di lato in una pila.</v>
      </c>
    </row>
    <row r="36399">
      <c r="A36399" s="4" t="s">
        <v>45781</v>
      </c>
      <c r="B36399" s="4" t="s">
        <v>45784</v>
      </c>
      <c r="C36399" s="5" t="str">
        <f>IFERROR(__xludf.DUMMYFUNCTION("GOOGLETRANSLATE(B36399,""en"",""it"")"),"Finiscono arando il vialetto.")</f>
        <v>Finiscono arando il vialetto.</v>
      </c>
    </row>
    <row r="36400">
      <c r="A36400" s="4" t="s">
        <v>45785</v>
      </c>
      <c r="B36400" s="4" t="s">
        <v>45786</v>
      </c>
      <c r="C36400" s="5" t="str">
        <f>IFERROR(__xludf.DUMMYFUNCTION("GOOGLETRANSLATE(B36400,""en"",""it"")"),"Un uomo in un maglione nero esegue rapidamente una sfida di Rubik Cube mentre il timer tick.")</f>
        <v>Un uomo in un maglione nero esegue rapidamente una sfida di Rubik Cube mentre il timer tick.</v>
      </c>
    </row>
    <row r="36401">
      <c r="A36401" s="4" t="s">
        <v>45785</v>
      </c>
      <c r="B36401" s="4" t="s">
        <v>45787</v>
      </c>
      <c r="C36401" s="5" t="str">
        <f>IFERROR(__xludf.DUMMYFUNCTION("GOOGLETRANSLATE(B36401,""en"",""it"")"),"Un uomo si siede accanto a lui a guardare.")</f>
        <v>Un uomo si siede accanto a lui a guardare.</v>
      </c>
    </row>
    <row r="36402">
      <c r="A36402" s="4" t="s">
        <v>45785</v>
      </c>
      <c r="B36402" s="4" t="s">
        <v>45788</v>
      </c>
      <c r="C36402" s="5" t="str">
        <f>IFERROR(__xludf.DUMMYFUNCTION("GOOGLETRANSLATE(B36402,""en"",""it"")"),"L'uomo nel maglione nero finisce e salta in alto per l'eccitazione.")</f>
        <v>L'uomo nel maglione nero finisce e salta in alto per l'eccitazione.</v>
      </c>
    </row>
    <row r="36403">
      <c r="A36403" s="4" t="s">
        <v>45785</v>
      </c>
      <c r="B36403" s="4" t="s">
        <v>45789</v>
      </c>
      <c r="C36403" s="5" t="str">
        <f>IFERROR(__xludf.DUMMYFUNCTION("GOOGLETRANSLATE(B36403,""en"",""it"")"),"L'uomo che era seduto accanto a lui si alza e si unisce ad altri giovani.")</f>
        <v>L'uomo che era seduto accanto a lui si alza e si unisce ad altri giovani.</v>
      </c>
    </row>
    <row r="36404">
      <c r="A36404" s="4" t="s">
        <v>45790</v>
      </c>
      <c r="B36404" s="4" t="s">
        <v>45791</v>
      </c>
      <c r="C36404" s="5" t="str">
        <f>IFERROR(__xludf.DUMMYFUNCTION("GOOGLETRANSLATE(B36404,""en"",""it"")"),"Un gruppo di cheerleader si posa su un palco.")</f>
        <v>Un gruppo di cheerleader si posa su un palco.</v>
      </c>
    </row>
    <row r="36405">
      <c r="A36405" s="4" t="s">
        <v>45790</v>
      </c>
      <c r="B36405" s="4" t="s">
        <v>45792</v>
      </c>
      <c r="C36405" s="5" t="str">
        <f>IFERROR(__xludf.DUMMYFUNCTION("GOOGLETRANSLATE(B36405,""en"",""it"")"),"Si rompono, entrando in una routine di danza elaborata.")</f>
        <v>Si rompono, entrando in una routine di danza elaborata.</v>
      </c>
    </row>
    <row r="36406">
      <c r="A36406" s="4" t="s">
        <v>45790</v>
      </c>
      <c r="B36406" s="4" t="s">
        <v>45793</v>
      </c>
      <c r="C36406" s="5" t="str">
        <f>IFERROR(__xludf.DUMMYFUNCTION("GOOGLETRANSLATE(B36406,""en"",""it"")"),"Si capovolgono, si lanciano e si lanciano, poi saltano su e giù eccitati.")</f>
        <v>Si capovolgono, si lanciano e si lanciano, poi saltano su e giù eccitati.</v>
      </c>
    </row>
    <row r="36407">
      <c r="A36407" s="4" t="s">
        <v>45794</v>
      </c>
      <c r="B36407" s="4" t="s">
        <v>45795</v>
      </c>
      <c r="C36407" s="5" t="str">
        <f>IFERROR(__xludf.DUMMYFUNCTION("GOOGLETRANSLATE(B36407,""en"",""it"")"),"Due uomini cucinano omelette su lunghe pentole per strada.")</f>
        <v>Due uomini cucinano omelette su lunghe pentole per strada.</v>
      </c>
    </row>
    <row r="36408">
      <c r="A36408" s="4" t="s">
        <v>45794</v>
      </c>
      <c r="B36408" s="4" t="s">
        <v>45796</v>
      </c>
      <c r="C36408" s="5" t="str">
        <f>IFERROR(__xludf.DUMMYFUNCTION("GOOGLETRANSLATE(B36408,""en"",""it"")"),"Le persone passano davanti agli uomini.")</f>
        <v>Le persone passano davanti agli uomini.</v>
      </c>
    </row>
    <row r="36409">
      <c r="A36409" s="4" t="s">
        <v>45794</v>
      </c>
      <c r="B36409" s="4" t="s">
        <v>45797</v>
      </c>
      <c r="C36409" s="5" t="str">
        <f>IFERROR(__xludf.DUMMYFUNCTION("GOOGLETRANSLATE(B36409,""en"",""it"")"),"Un uomo mette le uova di scrambles nella padella calda usando due bastoncini per girare le uova.")</f>
        <v>Un uomo mette le uova di scrambles nella padella calda usando due bastoncini per girare le uova.</v>
      </c>
    </row>
    <row r="36410">
      <c r="A36410" s="4" t="s">
        <v>45794</v>
      </c>
      <c r="B36410" s="4" t="s">
        <v>45798</v>
      </c>
      <c r="C36410" s="5" t="str">
        <f>IFERROR(__xludf.DUMMYFUNCTION("GOOGLETRANSLATE(B36410,""en"",""it"")"),"Quindi l'uomo aggiunge più uova strapazzate mentre gira la frittata per ingrandirla.")</f>
        <v>Quindi l'uomo aggiunge più uova strapazzate mentre gira la frittata per ingrandirla.</v>
      </c>
    </row>
    <row r="36411">
      <c r="A36411" s="4" t="s">
        <v>45794</v>
      </c>
      <c r="B36411" s="4" t="s">
        <v>45799</v>
      </c>
      <c r="C36411" s="5" t="str">
        <f>IFERROR(__xludf.DUMMYFUNCTION("GOOGLETRANSLATE(B36411,""en"",""it"")"),"Dopo, l'uomo avvolge la frittata.")</f>
        <v>Dopo, l'uomo avvolge la frittata.</v>
      </c>
    </row>
    <row r="36412">
      <c r="A36412" s="4" t="s">
        <v>45800</v>
      </c>
      <c r="B36412" s="4" t="s">
        <v>45801</v>
      </c>
      <c r="C36412" s="5" t="str">
        <f>IFERROR(__xludf.DUMMYFUNCTION("GOOGLETRANSLATE(B36412,""en"",""it"")"),"Un uomo salta su barre parallele.")</f>
        <v>Un uomo salta su barre parallele.</v>
      </c>
    </row>
    <row r="36413">
      <c r="A36413" s="4" t="s">
        <v>45800</v>
      </c>
      <c r="B36413" s="4" t="s">
        <v>45802</v>
      </c>
      <c r="C36413" s="5" t="str">
        <f>IFERROR(__xludf.DUMMYFUNCTION("GOOGLETRANSLATE(B36413,""en"",""it"")"),"Comincia a fare una routine di ginnastica sulle barre parallele.")</f>
        <v>Comincia a fare una routine di ginnastica sulle barre parallele.</v>
      </c>
    </row>
    <row r="36414">
      <c r="A36414" s="4" t="s">
        <v>45800</v>
      </c>
      <c r="B36414" s="4" t="s">
        <v>45803</v>
      </c>
      <c r="C36414" s="5" t="str">
        <f>IFERROR(__xludf.DUMMYFUNCTION("GOOGLETRANSLATE(B36414,""en"",""it"")"),"Fa un salto e atterra sul tappeto.")</f>
        <v>Fa un salto e atterra sul tappeto.</v>
      </c>
    </row>
    <row r="36415">
      <c r="A36415" s="4" t="s">
        <v>45804</v>
      </c>
      <c r="B36415" s="4" t="s">
        <v>45805</v>
      </c>
      <c r="C36415" s="5" t="str">
        <f>IFERROR(__xludf.DUMMYFUNCTION("GOOGLETRANSLATE(B36415,""en"",""it"")"),"Una ragazza fa Hula Hoop che gira un anello di hula intorno al collo, al corpo e alle mani.")</f>
        <v>Una ragazza fa Hula Hoop che gira un anello di hula intorno al collo, al corpo e alle mani.</v>
      </c>
    </row>
    <row r="36416">
      <c r="A36416" s="4" t="s">
        <v>45804</v>
      </c>
      <c r="B36416" s="4" t="s">
        <v>45806</v>
      </c>
      <c r="C36416" s="5" t="str">
        <f>IFERROR(__xludf.DUMMYFUNCTION("GOOGLETRANSLATE(B36416,""en"",""it"")"),"Quindi, una persona dà un'hula alla ragazza che gira contemporaneamente i due anelli di hula.")</f>
        <v>Quindi, una persona dà un'hula alla ragazza che gira contemporaneamente i due anelli di hula.</v>
      </c>
    </row>
    <row r="36417">
      <c r="A36417" s="4" t="s">
        <v>45804</v>
      </c>
      <c r="B36417" s="4" t="s">
        <v>45807</v>
      </c>
      <c r="C36417" s="5" t="str">
        <f>IFERROR(__xludf.DUMMYFUNCTION("GOOGLETRANSLATE(B36417,""en"",""it"")"),"Dopo, una persona dà un altro anello di Hula alla ragazza per fare hula Hooping con tre anelli.")</f>
        <v>Dopo, una persona dà un altro anello di Hula alla ragazza per fare hula Hooping con tre anelli.</v>
      </c>
    </row>
    <row r="36418">
      <c r="A36418" s="4" t="s">
        <v>45804</v>
      </c>
      <c r="B36418" s="4" t="s">
        <v>45808</v>
      </c>
      <c r="C36418" s="5" t="str">
        <f>IFERROR(__xludf.DUMMYFUNCTION("GOOGLETRANSLATE(B36418,""en"",""it"")"),"Alla fine la ragazza si abbraccia alla persona e un presentatore parla.")</f>
        <v>Alla fine la ragazza si abbraccia alla persona e un presentatore parla.</v>
      </c>
    </row>
    <row r="36419">
      <c r="A36419" s="4" t="s">
        <v>45809</v>
      </c>
      <c r="B36419" s="6" t="s">
        <v>45810</v>
      </c>
      <c r="C36419" s="5" t="str">
        <f>IFERROR(__xludf.DUMMYFUNCTION("GOOGLETRANSLATE(B36419,""en"",""it"")"),"Una grande folla di persone è vista in piedi nel mezzo della strada e conduce a una performance di danza e un'esibizione musicale.")</f>
        <v>Una grande folla di persone è vista in piedi nel mezzo della strada e conduce a una performance di danza e un'esibizione musicale.</v>
      </c>
    </row>
    <row r="36420">
      <c r="A36420" s="4" t="s">
        <v>45809</v>
      </c>
      <c r="B36420" s="4" t="s">
        <v>45811</v>
      </c>
      <c r="C36420" s="5" t="str">
        <f>IFERROR(__xludf.DUMMYFUNCTION("GOOGLETRANSLATE(B36420,""en"",""it"")"),"Le persone continuano a muoversi per strada e finiscono con una posa finale.")</f>
        <v>Le persone continuano a muoversi per strada e finiscono con una posa finale.</v>
      </c>
    </row>
    <row r="36421">
      <c r="A36421" s="4" t="s">
        <v>45812</v>
      </c>
      <c r="B36421" s="6" t="s">
        <v>45813</v>
      </c>
      <c r="C36421" s="5" t="str">
        <f>IFERROR(__xludf.DUMMYFUNCTION("GOOGLETRANSLATE(B36421,""en"",""it"")"),"Una telecamera piovana fuori da un edificio e guarda in una stanza buia dove un uomo si esercita e parla alla telecamera.")</f>
        <v>Una telecamera piovana fuori da un edificio e guarda in una stanza buia dove un uomo si esercita e parla alla telecamera.</v>
      </c>
    </row>
    <row r="36422">
      <c r="A36422" s="4" t="s">
        <v>45812</v>
      </c>
      <c r="B36422" s="6" t="s">
        <v>45814</v>
      </c>
      <c r="C36422" s="5" t="str">
        <f>IFERROR(__xludf.DUMMYFUNCTION("GOOGLETRANSLATE(B36422,""en"",""it"")"),"L'uomo continua a guidare sull'attrezzatura mentre si muove più velocemente e più lento e la fotocamera si muove attorno ai suoi movimenti.")</f>
        <v>L'uomo continua a guidare sull'attrezzatura mentre si muove più velocemente e più lento e la fotocamera si muove attorno ai suoi movimenti.</v>
      </c>
    </row>
    <row r="36423">
      <c r="A36423" s="4" t="s">
        <v>45815</v>
      </c>
      <c r="B36423" s="4" t="s">
        <v>45816</v>
      </c>
      <c r="C36423" s="5" t="str">
        <f>IFERROR(__xludf.DUMMYFUNCTION("GOOGLETRANSLATE(B36423,""en"",""it"")"),"Vediamo una sedia con un cuscino sopra.")</f>
        <v>Vediamo una sedia con un cuscino sopra.</v>
      </c>
    </row>
    <row r="36424">
      <c r="A36424" s="4" t="s">
        <v>45815</v>
      </c>
      <c r="B36424" s="4" t="s">
        <v>45817</v>
      </c>
      <c r="C36424" s="5" t="str">
        <f>IFERROR(__xludf.DUMMYFUNCTION("GOOGLETRANSLATE(B36424,""en"",""it"")"),"Un uomo che tiene un gatto si siede sulla sedia.")</f>
        <v>Un uomo che tiene un gatto si siede sulla sedia.</v>
      </c>
    </row>
    <row r="36425">
      <c r="A36425" s="4" t="s">
        <v>45815</v>
      </c>
      <c r="B36425" s="4" t="s">
        <v>45818</v>
      </c>
      <c r="C36425" s="5" t="str">
        <f>IFERROR(__xludf.DUMMYFUNCTION("GOOGLETRANSLATE(B36425,""en"",""it"")"),"L'uomo ritaglia le unghie dei gatti.")</f>
        <v>L'uomo ritaglia le unghie dei gatti.</v>
      </c>
    </row>
    <row r="36426">
      <c r="A36426" s="4" t="s">
        <v>45815</v>
      </c>
      <c r="B36426" s="4" t="s">
        <v>45819</v>
      </c>
      <c r="C36426" s="5" t="str">
        <f>IFERROR(__xludf.DUMMYFUNCTION("GOOGLETRANSLATE(B36426,""en"",""it"")"),"L'uomo accarezza la testa del gatto.")</f>
        <v>L'uomo accarezza la testa del gatto.</v>
      </c>
    </row>
    <row r="36427">
      <c r="A36427" s="4" t="s">
        <v>45815</v>
      </c>
      <c r="B36427" s="4" t="s">
        <v>45820</v>
      </c>
      <c r="C36427" s="5" t="str">
        <f>IFERROR(__xludf.DUMMYFUNCTION("GOOGLETRANSLATE(B36427,""en"",""it"")"),"L'uomo gioca con il gatto che lo dondola avanti e indietro.")</f>
        <v>L'uomo gioca con il gatto che lo dondola avanti e indietro.</v>
      </c>
    </row>
    <row r="36428">
      <c r="A36428" s="4" t="s">
        <v>45815</v>
      </c>
      <c r="B36428" s="4" t="s">
        <v>45821</v>
      </c>
      <c r="C36428" s="5" t="str">
        <f>IFERROR(__xludf.DUMMYFUNCTION("GOOGLETRANSLATE(B36428,""en"",""it"")"),"L'uomo ferma la fotocamera.")</f>
        <v>L'uomo ferma la fotocamera.</v>
      </c>
    </row>
    <row r="36429">
      <c r="A36429" s="4" t="s">
        <v>45822</v>
      </c>
      <c r="B36429" s="6" t="s">
        <v>45823</v>
      </c>
      <c r="C36429" s="5" t="str">
        <f>IFERROR(__xludf.DUMMYFUNCTION("GOOGLETRANSLATE(B36429,""en"",""it"")"),"Una donna con i capelli lunghi biondi trasporta un hula cerchi bianco, i cerchi di hula hanno un nastro color arcobaleno su parti di esso.")</f>
        <v>Una donna con i capelli lunghi biondi trasporta un hula cerchi bianco, i cerchi di hula hanno un nastro color arcobaleno su parti di esso.</v>
      </c>
    </row>
    <row r="36430">
      <c r="A36430" s="4" t="s">
        <v>45822</v>
      </c>
      <c r="B36430" s="4" t="s">
        <v>45824</v>
      </c>
      <c r="C36430" s="5" t="str">
        <f>IFERROR(__xludf.DUMMYFUNCTION("GOOGLETRANSLATE(B36430,""en"",""it"")"),"La ragazza camminava verso il lago, sta camminando a piedi nudi sull'erba.")</f>
        <v>La ragazza camminava verso il lago, sta camminando a piedi nudi sull'erba.</v>
      </c>
    </row>
    <row r="36431">
      <c r="A36431" s="4" t="s">
        <v>45822</v>
      </c>
      <c r="B36431" s="4" t="s">
        <v>45825</v>
      </c>
      <c r="C36431" s="5" t="str">
        <f>IFERROR(__xludf.DUMMYFUNCTION("GOOGLETRANSLATE(B36431,""en"",""it"")"),"La telecamera si gira verso il viso, poi ha iniziato a turbinare i cerchi di hula e se la misero su di lei.")</f>
        <v>La telecamera si gira verso il viso, poi ha iniziato a turbinare i cerchi di hula e se la misero su di lei.</v>
      </c>
    </row>
    <row r="36432">
      <c r="A36432" s="4" t="s">
        <v>45822</v>
      </c>
      <c r="B36432" s="4" t="s">
        <v>45826</v>
      </c>
      <c r="C36432" s="5" t="str">
        <f>IFERROR(__xludf.DUMMYFUNCTION("GOOGLETRANSLATE(B36432,""en"",""it"")"),"La ragazza iniziò a fare trucchi di Hula Hoops, prima sulla sua vita, poi verso le gambe e le braccia.")</f>
        <v>La ragazza iniziò a fare trucchi di Hula Hoops, prima sulla sua vita, poi verso le gambe e le braccia.</v>
      </c>
    </row>
    <row r="36433">
      <c r="A36433" s="4" t="s">
        <v>45827</v>
      </c>
      <c r="B36433" s="6" t="s">
        <v>45828</v>
      </c>
      <c r="C36433" s="5" t="str">
        <f>IFERROR(__xludf.DUMMYFUNCTION("GOOGLETRANSLATE(B36433,""en"",""it"")"),"Un folto gruppo di persone si vede in piedi attorno a un tavolo da palla di foose che parlano e porta a loro giocando.")</f>
        <v>Un folto gruppo di persone si vede in piedi attorno a un tavolo da palla di foose che parlano e porta a loro giocando.</v>
      </c>
    </row>
    <row r="36434">
      <c r="A36434" s="4" t="s">
        <v>45827</v>
      </c>
      <c r="B36434" s="6" t="s">
        <v>45829</v>
      </c>
      <c r="C36434" s="5" t="str">
        <f>IFERROR(__xludf.DUMMYFUNCTION("GOOGLETRANSLATE(B36434,""en"",""it"")"),"Molte persone continuano a guardare la partita a margine e guardano in basso il gioco che si svolge.")</f>
        <v>Molte persone continuano a guardare la partita a margine e guardano in basso il gioco che si svolge.</v>
      </c>
    </row>
    <row r="36435">
      <c r="A36435" s="4" t="s">
        <v>45830</v>
      </c>
      <c r="B36435" s="4" t="s">
        <v>45831</v>
      </c>
      <c r="C36435" s="5" t="str">
        <f>IFERROR(__xludf.DUMMYFUNCTION("GOOGLETRANSLATE(B36435,""en"",""it"")"),"Una persona viene vista in piedi davanti a un lavandino che gira il rubinetto e bagnando le mani.")</f>
        <v>Una persona viene vista in piedi davanti a un lavandino che gira il rubinetto e bagnando le mani.</v>
      </c>
    </row>
    <row r="36436">
      <c r="A36436" s="4" t="s">
        <v>45830</v>
      </c>
      <c r="B36436" s="4" t="s">
        <v>45832</v>
      </c>
      <c r="C36436" s="5" t="str">
        <f>IFERROR(__xludf.DUMMYFUNCTION("GOOGLETRANSLATE(B36436,""en"",""it"")"),"Quindi mettono il sapone sulle mani, strofinano il sapone e sciacquano le mani attraverso l'acqua.")</f>
        <v>Quindi mettono il sapone sulle mani, strofinano il sapone e sciacquano le mani attraverso l'acqua.</v>
      </c>
    </row>
    <row r="36437">
      <c r="A36437" s="4" t="s">
        <v>45830</v>
      </c>
      <c r="B36437" s="4" t="s">
        <v>45833</v>
      </c>
      <c r="C36437" s="5" t="str">
        <f>IFERROR(__xludf.DUMMYFUNCTION("GOOGLETRANSLATE(B36437,""en"",""it"")"),"Finalmente usano gli asciugamani di carta per asciugare le mani e gettarli nella spazzatura.")</f>
        <v>Finalmente usano gli asciugamani di carta per asciugare le mani e gettarli nella spazzatura.</v>
      </c>
    </row>
    <row r="36438">
      <c r="A36438" s="4" t="s">
        <v>45834</v>
      </c>
      <c r="B36438" s="4" t="s">
        <v>45835</v>
      </c>
      <c r="C36438" s="5" t="str">
        <f>IFERROR(__xludf.DUMMYFUNCTION("GOOGLETRANSLATE(B36438,""en"",""it"")"),"Una donna sta fumando una sigaretta.")</f>
        <v>Una donna sta fumando una sigaretta.</v>
      </c>
    </row>
    <row r="36439">
      <c r="A36439" s="4" t="s">
        <v>45834</v>
      </c>
      <c r="B36439" s="4" t="s">
        <v>45836</v>
      </c>
      <c r="C36439" s="5" t="str">
        <f>IFERROR(__xludf.DUMMYFUNCTION("GOOGLETRANSLATE(B36439,""en"",""it"")"),"È seduta e la gente cammina dietro di lei.")</f>
        <v>È seduta e la gente cammina dietro di lei.</v>
      </c>
    </row>
    <row r="36440">
      <c r="A36440" s="4" t="s">
        <v>45834</v>
      </c>
      <c r="B36440" s="4" t="s">
        <v>45837</v>
      </c>
      <c r="C36440" s="5" t="str">
        <f>IFERROR(__xludf.DUMMYFUNCTION("GOOGLETRANSLATE(B36440,""en"",""it"")"),"Continua a tenere la sigaretta in un braccio.")</f>
        <v>Continua a tenere la sigaretta in un braccio.</v>
      </c>
    </row>
    <row r="36441">
      <c r="A36441" s="4" t="s">
        <v>45834</v>
      </c>
      <c r="B36441" s="4" t="s">
        <v>45838</v>
      </c>
      <c r="C36441" s="5" t="str">
        <f>IFERROR(__xludf.DUMMYFUNCTION("GOOGLETRANSLATE(B36441,""en"",""it"")"),"La gente continua a camminare dietro di lei e di fronte.")</f>
        <v>La gente continua a camminare dietro di lei e di fronte.</v>
      </c>
    </row>
    <row r="36442">
      <c r="A36442" s="4" t="s">
        <v>45834</v>
      </c>
      <c r="B36442" s="4" t="s">
        <v>45839</v>
      </c>
      <c r="C36442" s="5" t="str">
        <f>IFERROR(__xludf.DUMMYFUNCTION("GOOGLETRANSLATE(B36442,""en"",""it"")"),"Continua a fumare e fissare dritto.")</f>
        <v>Continua a fumare e fissare dritto.</v>
      </c>
    </row>
    <row r="36443">
      <c r="A36443" s="4" t="s">
        <v>45840</v>
      </c>
      <c r="B36443" s="6" t="s">
        <v>45841</v>
      </c>
      <c r="C36443" s="5" t="str">
        <f>IFERROR(__xludf.DUMMYFUNCTION("GOOGLETRANSLATE(B36443,""en"",""it"")"),"Due ragazzi giocano a Ping pong attraverso un grande tavolo da ping pong all'aperto mentre un terzo ragazzo guarda a margine.")</f>
        <v>Due ragazzi giocano a Ping pong attraverso un grande tavolo da ping pong all'aperto mentre un terzo ragazzo guarda a margine.</v>
      </c>
    </row>
    <row r="36444">
      <c r="A36444" s="4" t="s">
        <v>45840</v>
      </c>
      <c r="B36444" s="4" t="s">
        <v>45842</v>
      </c>
      <c r="C36444" s="5" t="str">
        <f>IFERROR(__xludf.DUMMYFUNCTION("GOOGLETRANSLATE(B36444,""en"",""it"")"),"Un ragazzo con una maglietta con un grafico ala su di essa colpisce la palla verso l'altro giocatore senza camicia.")</f>
        <v>Un ragazzo con una maglietta con un grafico ala su di essa colpisce la palla verso l'altro giocatore senza camicia.</v>
      </c>
    </row>
    <row r="36445">
      <c r="A36445" s="4" t="s">
        <v>45840</v>
      </c>
      <c r="B36445" s="6" t="s">
        <v>45843</v>
      </c>
      <c r="C36445" s="5" t="str">
        <f>IFERROR(__xludf.DUMMYFUNCTION("GOOGLETRANSLATE(B36445,""en"",""it"")"),"Il giocatore senza camicia restituisce il servizio e il ragazzo con la maglietta manca la palla e deve raccoglierla e gettarla all'altro giocatore per un ripristino.")</f>
        <v>Il giocatore senza camicia restituisce il servizio e il ragazzo con la maglietta manca la palla e deve raccoglierla e gettarla all'altro giocatore per un ripristino.</v>
      </c>
    </row>
    <row r="36446">
      <c r="A36446" s="4" t="s">
        <v>45840</v>
      </c>
      <c r="B36446" s="4" t="s">
        <v>45844</v>
      </c>
      <c r="C36446" s="5" t="str">
        <f>IFERROR(__xludf.DUMMYFUNCTION("GOOGLETRANSLATE(B36446,""en"",""it"")"),"I due ricominciano a giocare mentre il ragazzo nel mezzo a margine osserva il gioco.")</f>
        <v>I due ricominciano a giocare mentre il ragazzo nel mezzo a margine osserva il gioco.</v>
      </c>
    </row>
    <row r="36447">
      <c r="A36447" s="4" t="s">
        <v>45845</v>
      </c>
      <c r="B36447" s="6" t="s">
        <v>45846</v>
      </c>
      <c r="C36447" s="5" t="str">
        <f>IFERROR(__xludf.DUMMYFUNCTION("GOOGLETRANSLATE(B36447,""en"",""it"")"),"Un giovane con una giacca verde è in piedi davanti a un tumulo di terra e parla dei suoi compiti di manutenzione.")</f>
        <v>Un giovane con una giacca verde è in piedi davanti a un tumulo di terra e parla dei suoi compiti di manutenzione.</v>
      </c>
    </row>
    <row r="36448">
      <c r="A36448" s="4" t="s">
        <v>45845</v>
      </c>
      <c r="B36448" s="6" t="s">
        <v>45847</v>
      </c>
      <c r="C36448" s="5" t="str">
        <f>IFERROR(__xludf.DUMMYFUNCTION("GOOGLETRANSLATE(B36448,""en"",""it"")"),"L'uomo arriva quindi nel cortile sul retro con una carriola verde e scarica lo sporco nel cortile posteriore.")</f>
        <v>L'uomo arriva quindi nel cortile sul retro con una carriola verde e scarica lo sporco nel cortile posteriore.</v>
      </c>
    </row>
    <row r="36449">
      <c r="A36449" s="4" t="s">
        <v>45845</v>
      </c>
      <c r="B36449" s="4" t="s">
        <v>45848</v>
      </c>
      <c r="C36449" s="5" t="str">
        <f>IFERROR(__xludf.DUMMYFUNCTION("GOOGLETRANSLATE(B36449,""en"",""it"")"),"Quindi prende il suo rastrello e muove lo sporco avanti e indietro intorno alla casa sera.")</f>
        <v>Quindi prende il suo rastrello e muove lo sporco avanti e indietro intorno alla casa sera.</v>
      </c>
    </row>
    <row r="36450">
      <c r="A36450" s="4" t="s">
        <v>45845</v>
      </c>
      <c r="B36450" s="4" t="s">
        <v>45849</v>
      </c>
      <c r="C36450" s="5" t="str">
        <f>IFERROR(__xludf.DUMMYFUNCTION("GOOGLETRANSLATE(B36450,""en"",""it"")"),"Quando è completo, scompare e si vede un percorso di pacciame lungo il garage.")</f>
        <v>Quando è completo, scompare e si vede un percorso di pacciame lungo il garage.</v>
      </c>
    </row>
    <row r="36451">
      <c r="A36451" s="4" t="s">
        <v>45850</v>
      </c>
      <c r="B36451" s="6" t="s">
        <v>45851</v>
      </c>
      <c r="C36451" s="5" t="str">
        <f>IFERROR(__xludf.DUMMYFUNCTION("GOOGLETRANSLATE(B36451,""en"",""it"")"),"Due squadre di dodgeball giocano l'una contro l'altra in una palestra interna circondata da curiosi in gradinate.")</f>
        <v>Due squadre di dodgeball giocano l'una contro l'altra in una palestra interna circondata da curiosi in gradinate.</v>
      </c>
    </row>
    <row r="36452">
      <c r="A36452" s="4" t="s">
        <v>45850</v>
      </c>
      <c r="B36452" s="6" t="s">
        <v>45852</v>
      </c>
      <c r="C36452" s="5" t="str">
        <f>IFERROR(__xludf.DUMMYFUNCTION("GOOGLETRANSLATE(B36452,""en"",""it"")"),"Il gioco inizia con una squadra di uomini contro una squadra di donne che si svolgono ciascuna lanciando palline Dodge l'una contro l'altra.")</f>
        <v>Il gioco inizia con una squadra di uomini contro una squadra di donne che si svolgono ciascuna lanciando palline Dodge l'una contro l'altra.</v>
      </c>
    </row>
    <row r="36453">
      <c r="A36453" s="4" t="s">
        <v>45850</v>
      </c>
      <c r="B36453" s="6" t="s">
        <v>45853</v>
      </c>
      <c r="C36453" s="5" t="str">
        <f>IFERROR(__xludf.DUMMYFUNCTION("GOOGLETRANSLATE(B36453,""en"",""it"")"),"Le squadre quindi cambiano i lati sul pavimento della palestra con le donne a sinistra e gli uomini a destra.")</f>
        <v>Le squadre quindi cambiano i lati sul pavimento della palestra con le donne a sinistra e gli uomini a destra.</v>
      </c>
    </row>
    <row r="36454">
      <c r="A36454" s="4" t="s">
        <v>45850</v>
      </c>
      <c r="B36454" s="4" t="s">
        <v>45854</v>
      </c>
      <c r="C36454" s="5" t="str">
        <f>IFERROR(__xludf.DUMMYFUNCTION("GOOGLETRANSLATE(B36454,""en"",""it"")"),"Il gioco termina e entrambe le squadre si incontrano nel mezzo del pavimento e si danno a vicenda.")</f>
        <v>Il gioco termina e entrambe le squadre si incontrano nel mezzo del pavimento e si danno a vicenda.</v>
      </c>
    </row>
    <row r="36455">
      <c r="A36455" s="4" t="s">
        <v>45855</v>
      </c>
      <c r="B36455" s="4" t="s">
        <v>45856</v>
      </c>
      <c r="C36455" s="5" t="str">
        <f>IFERROR(__xludf.DUMMYFUNCTION("GOOGLETRANSLATE(B36455,""en"",""it"")"),"C'è una donna che sciolta dove la donna viene rimorchiata su una tavola da surf dietro una barca a vela.")</f>
        <v>C'è una donna che sciolta dove la donna viene rimorchiata su una tavola da surf dietro una barca a vela.</v>
      </c>
    </row>
    <row r="36456">
      <c r="A36456" s="4" t="s">
        <v>45855</v>
      </c>
      <c r="B36456" s="4" t="s">
        <v>45857</v>
      </c>
      <c r="C36456" s="5" t="str">
        <f>IFERROR(__xludf.DUMMYFUNCTION("GOOGLETRANSLATE(B36456,""en"",""it"")"),"La donna surfista salta in alto mentre la barca a vela naviga nell'acqua.")</f>
        <v>La donna surfista salta in alto mentre la barca a vela naviga nell'acqua.</v>
      </c>
    </row>
    <row r="36457">
      <c r="A36457" s="4" t="s">
        <v>45855</v>
      </c>
      <c r="B36457" s="4" t="s">
        <v>45858</v>
      </c>
      <c r="C36457" s="5" t="str">
        <f>IFERROR(__xludf.DUMMYFUNCTION("GOOGLETRANSLATE(B36457,""en"",""it"")"),"La donna si gira e si gira mentre si trova sulla tavola da surf.")</f>
        <v>La donna si gira e si gira mentre si trova sulla tavola da surf.</v>
      </c>
    </row>
    <row r="36458">
      <c r="A36458" s="4" t="s">
        <v>45855</v>
      </c>
      <c r="B36458" s="6" t="s">
        <v>45859</v>
      </c>
      <c r="C36458" s="5" t="str">
        <f>IFERROR(__xludf.DUMMYFUNCTION("GOOGLETRANSLATE(B36458,""en"",""it"")"),"La barca a vela continua a tirare la donna e lei si bilancia perfettamente sui surf mentre si gira e gira e gira sui surf.")</f>
        <v>La barca a vela continua a tirare la donna e lei si bilancia perfettamente sui surf mentre si gira e gira e gira sui surf.</v>
      </c>
    </row>
    <row r="36459">
      <c r="A36459" s="4" t="s">
        <v>45855</v>
      </c>
      <c r="B36459" s="4" t="s">
        <v>45860</v>
      </c>
      <c r="C36459" s="5" t="str">
        <f>IFERROR(__xludf.DUMMYFUNCTION("GOOGLETRANSLATE(B36459,""en"",""it"")"),"Va in uno schema Zig Zag facendo onde schiumose nell'acqua mentre le barche accelerano.")</f>
        <v>Va in uno schema Zig Zag facendo onde schiumose nell'acqua mentre le barche accelerano.</v>
      </c>
    </row>
    <row r="36460">
      <c r="A36460" s="4" t="s">
        <v>45855</v>
      </c>
      <c r="B36460" s="6" t="s">
        <v>45861</v>
      </c>
      <c r="C36460" s="5" t="str">
        <f>IFERROR(__xludf.DUMMYFUNCTION("GOOGLETRANSLATE(B36460,""en"",""it"")"),"Lo stesso surf è visto in televisione da ragazzo e un'altra donna ha messo diverse medaglie intorno al collo del surfista.")</f>
        <v>Lo stesso surf è visto in televisione da ragazzo e un'altra donna ha messo diverse medaglie intorno al collo del surfista.</v>
      </c>
    </row>
    <row r="36461">
      <c r="A36461" s="4" t="s">
        <v>45855</v>
      </c>
      <c r="B36461" s="4" t="s">
        <v>45862</v>
      </c>
      <c r="C36461" s="5" t="str">
        <f>IFERROR(__xludf.DUMMYFUNCTION("GOOGLETRANSLATE(B36461,""en"",""it"")"),"Il surfista finge di cadere con il peso puro delle medaglie.")</f>
        <v>Il surfista finge di cadere con il peso puro delle medaglie.</v>
      </c>
    </row>
    <row r="36462">
      <c r="A36462" s="4" t="s">
        <v>45863</v>
      </c>
      <c r="B36462" s="4" t="s">
        <v>45864</v>
      </c>
      <c r="C36462" s="5" t="str">
        <f>IFERROR(__xludf.DUMMYFUNCTION("GOOGLETRANSLATE(B36462,""en"",""it"")"),"Due bambini piccoli stanno giocando su una swingset in un cortile innevato.")</f>
        <v>Due bambini piccoli stanno giocando su una swingset in un cortile innevato.</v>
      </c>
    </row>
    <row r="36463">
      <c r="A36463" s="4" t="s">
        <v>45863</v>
      </c>
      <c r="B36463" s="4" t="s">
        <v>45865</v>
      </c>
      <c r="C36463" s="5" t="str">
        <f>IFERROR(__xludf.DUMMYFUNCTION("GOOGLETRANSLATE(B36463,""en"",""it"")"),"Un bambino corre su una swingset, ma decide di passare a un'altalena verde.")</f>
        <v>Un bambino corre su una swingset, ma decide di passare a un'altalena verde.</v>
      </c>
    </row>
    <row r="36464">
      <c r="A36464" s="4" t="s">
        <v>45863</v>
      </c>
      <c r="B36464" s="4" t="s">
        <v>45866</v>
      </c>
      <c r="C36464" s="5" t="str">
        <f>IFERROR(__xludf.DUMMYFUNCTION("GOOGLETRANSLATE(B36464,""en"",""it"")"),"Un adulto aiuta il bambino a swing.")</f>
        <v>Un adulto aiuta il bambino a swing.</v>
      </c>
    </row>
    <row r="36465">
      <c r="A36465" s="4" t="s">
        <v>45863</v>
      </c>
      <c r="B36465" s="6" t="s">
        <v>45867</v>
      </c>
      <c r="C36465" s="5" t="str">
        <f>IFERROR(__xludf.DUMMYFUNCTION("GOOGLETRANSLATE(B36465,""en"",""it"")"),"L'altro bambino vuole anche unirsi al primo figlio sulla stessa oscillazione e tiene costantemente l'oscillazione mentre il bambino si arrampica.")</f>
        <v>L'altro bambino vuole anche unirsi al primo figlio sulla stessa oscillazione e tiene costantemente l'oscillazione mentre il bambino si arrampica.</v>
      </c>
    </row>
    <row r="36466">
      <c r="A36466" s="4" t="s">
        <v>45863</v>
      </c>
      <c r="B36466" s="6" t="s">
        <v>45868</v>
      </c>
      <c r="C36466" s="5" t="str">
        <f>IFERROR(__xludf.DUMMYFUNCTION("GOOGLETRANSLATE(B36466,""en"",""it"")"),"Il bambino è in grado di arrampicarsi e i due bambini si divertono a oscillare mentre l'adulto spinge l'oscillazione in avanti.")</f>
        <v>Il bambino è in grado di arrampicarsi e i due bambini si divertono a oscillare mentre l'adulto spinge l'oscillazione in avanti.</v>
      </c>
    </row>
    <row r="36467">
      <c r="A36467" s="4" t="s">
        <v>45869</v>
      </c>
      <c r="B36467" s="6" t="s">
        <v>45870</v>
      </c>
      <c r="C36467" s="5" t="str">
        <f>IFERROR(__xludf.DUMMYFUNCTION("GOOGLETRANSLATE(B36467,""en"",""it"")"),"Una persona aspirare l'interno di un'auto, mentre altri uomini puliscono a mano l'auto con detergente e acqua.")</f>
        <v>Una persona aspirare l'interno di un'auto, mentre altri uomini puliscono a mano l'auto con detergente e acqua.</v>
      </c>
    </row>
    <row r="36468">
      <c r="A36468" s="4" t="s">
        <v>45869</v>
      </c>
      <c r="B36468" s="4" t="s">
        <v>45871</v>
      </c>
      <c r="C36468" s="5" t="str">
        <f>IFERROR(__xludf.DUMMYFUNCTION("GOOGLETRANSLATE(B36468,""en"",""it"")"),"Quindi, un uomo asciuga la macchina con i vestiti.")</f>
        <v>Quindi, un uomo asciuga la macchina con i vestiti.</v>
      </c>
    </row>
    <row r="36469">
      <c r="A36469" s="4" t="s">
        <v>45869</v>
      </c>
      <c r="B36469" s="4" t="s">
        <v>45872</v>
      </c>
      <c r="C36469" s="5" t="str">
        <f>IFERROR(__xludf.DUMMYFUNCTION("GOOGLETRANSLATE(B36469,""en"",""it"")"),"Altre auto vengono lavate in una macchina per auto automatiche.")</f>
        <v>Altre auto vengono lavate in una macchina per auto automatiche.</v>
      </c>
    </row>
    <row r="36470">
      <c r="A36470" s="4" t="s">
        <v>45869</v>
      </c>
      <c r="B36470" s="4" t="s">
        <v>45873</v>
      </c>
      <c r="C36470" s="5" t="str">
        <f>IFERROR(__xludf.DUMMYFUNCTION("GOOGLETRANSLATE(B36470,""en"",""it"")"),"Dopo, le persone puliscono l'auto con i panni dentro e fuori a mano.")</f>
        <v>Dopo, le persone puliscono l'auto con i panni dentro e fuori a mano.</v>
      </c>
    </row>
    <row r="36471">
      <c r="A36471" s="4" t="s">
        <v>45874</v>
      </c>
      <c r="B36471" s="4" t="s">
        <v>45875</v>
      </c>
      <c r="C36471" s="5" t="str">
        <f>IFERROR(__xludf.DUMMYFUNCTION("GOOGLETRANSLATE(B36471,""en"",""it"")"),"L'esterno delle case è mostrata da una donna con una camicia rosa.")</f>
        <v>L'esterno delle case è mostrata da una donna con una camicia rosa.</v>
      </c>
    </row>
    <row r="36472">
      <c r="A36472" s="4" t="s">
        <v>45874</v>
      </c>
      <c r="B36472" s="4" t="s">
        <v>45876</v>
      </c>
      <c r="C36472" s="5" t="str">
        <f>IFERROR(__xludf.DUMMYFUNCTION("GOOGLETRANSLATE(B36472,""en"",""it"")"),"Sta dipingendo una delle case con vernice blu.")</f>
        <v>Sta dipingendo una delle case con vernice blu.</v>
      </c>
    </row>
    <row r="36473">
      <c r="A36473" s="4" t="s">
        <v>45874</v>
      </c>
      <c r="B36473" s="4" t="s">
        <v>45877</v>
      </c>
      <c r="C36473" s="5" t="str">
        <f>IFERROR(__xludf.DUMMYFUNCTION("GOOGLETRANSLATE(B36473,""en"",""it"")"),"Ha in mano un secchio di vernice.")</f>
        <v>Ha in mano un secchio di vernice.</v>
      </c>
    </row>
    <row r="36474">
      <c r="A36474" s="4" t="s">
        <v>45878</v>
      </c>
      <c r="B36474" s="4" t="s">
        <v>45879</v>
      </c>
      <c r="C36474" s="5" t="str">
        <f>IFERROR(__xludf.DUMMYFUNCTION("GOOGLETRANSLATE(B36474,""en"",""it"")"),"Peolpe sta correndo indossando passioni in una strada.")</f>
        <v>Peolpe sta correndo indossando passioni in una strada.</v>
      </c>
    </row>
    <row r="36475">
      <c r="A36475" s="4" t="s">
        <v>45878</v>
      </c>
      <c r="B36475" s="4" t="s">
        <v>45880</v>
      </c>
      <c r="C36475" s="5" t="str">
        <f>IFERROR(__xludf.DUMMYFUNCTION("GOOGLETRANSLATE(B36475,""en"",""it"")"),"L'uomo sta intervistando una donna anziana nella SREET.")</f>
        <v>L'uomo sta intervistando una donna anziana nella SREET.</v>
      </c>
    </row>
    <row r="36476">
      <c r="A36476" s="4" t="s">
        <v>45878</v>
      </c>
      <c r="B36476" s="4" t="s">
        <v>45881</v>
      </c>
      <c r="C36476" s="5" t="str">
        <f>IFERROR(__xludf.DUMMYFUNCTION("GOOGLETRANSLATE(B36476,""en"",""it"")"),"L'uomo sta facendo un salto in alto sopra un'auto in strada.")</f>
        <v>L'uomo sta facendo un salto in alto sopra un'auto in strada.</v>
      </c>
    </row>
    <row r="36477">
      <c r="A36477" s="4" t="s">
        <v>45878</v>
      </c>
      <c r="B36477" s="4" t="s">
        <v>45882</v>
      </c>
      <c r="C36477" s="5" t="str">
        <f>IFERROR(__xludf.DUMMYFUNCTION("GOOGLETRANSLATE(B36477,""en"",""it"")"),"L'uomo si sdraia in un tavolo di legno e l'altro uomo salta sopra il tavolo.")</f>
        <v>L'uomo si sdraia in un tavolo di legno e l'altro uomo salta sopra il tavolo.</v>
      </c>
    </row>
    <row r="36478">
      <c r="A36478" s="4" t="s">
        <v>45878</v>
      </c>
      <c r="B36478" s="4" t="s">
        <v>45883</v>
      </c>
      <c r="C36478" s="5" t="str">
        <f>IFERROR(__xludf.DUMMYFUNCTION("GOOGLETRANSLATE(B36478,""en"",""it"")"),"Gli uomini saltano da un lato all'altro indossando palafitte.")</f>
        <v>Gli uomini saltano da un lato all'altro indossando palafitte.</v>
      </c>
    </row>
    <row r="36479">
      <c r="A36479" s="4" t="s">
        <v>45878</v>
      </c>
      <c r="B36479" s="6" t="s">
        <v>45884</v>
      </c>
      <c r="C36479" s="5" t="str">
        <f>IFERROR(__xludf.DUMMYFUNCTION("GOOGLETRANSLATE(B36479,""en"",""it"")"),"L'uomo sta aiutando una donna a indossare le passioni e cammina in una palestra giocando a basket con i giocatori di Oher.")</f>
        <v>L'uomo sta aiutando una donna a indossare le passioni e cammina in una palestra giocando a basket con i giocatori di Oher.</v>
      </c>
    </row>
    <row r="36480">
      <c r="A36480" s="4" t="s">
        <v>45878</v>
      </c>
      <c r="B36480" s="4" t="s">
        <v>45885</v>
      </c>
      <c r="C36480" s="5" t="str">
        <f>IFERROR(__xludf.DUMMYFUNCTION("GOOGLETRANSLATE(B36480,""en"",""it"")"),"Le persone sono a SREET che indossano palafitte e corrono e saltano.")</f>
        <v>Le persone sono a SREET che indossano palafitte e corrono e saltano.</v>
      </c>
    </row>
    <row r="36481">
      <c r="A36481" s="4" t="s">
        <v>45878</v>
      </c>
      <c r="B36481" s="4" t="s">
        <v>45886</v>
      </c>
      <c r="C36481" s="5" t="str">
        <f>IFERROR(__xludf.DUMMYFUNCTION("GOOGLETRANSLATE(B36481,""en"",""it"")"),"L'uomo è seduto in una panchina in strada fuori da un ristorante.")</f>
        <v>L'uomo è seduto in una panchina in strada fuori da un ristorante.</v>
      </c>
    </row>
    <row r="36482">
      <c r="A36482" s="4" t="s">
        <v>45878</v>
      </c>
      <c r="B36482" s="4" t="s">
        <v>45887</v>
      </c>
      <c r="C36482" s="5" t="str">
        <f>IFERROR(__xludf.DUMMYFUNCTION("GOOGLETRANSLATE(B36482,""en"",""it"")"),"La squadra sta saltando in palestra nella palestra coperta.")</f>
        <v>La squadra sta saltando in palestra nella palestra coperta.</v>
      </c>
    </row>
    <row r="36483">
      <c r="A36483" s="4" t="s">
        <v>45888</v>
      </c>
      <c r="B36483" s="4" t="s">
        <v>45889</v>
      </c>
      <c r="C36483" s="5" t="str">
        <f>IFERROR(__xludf.DUMMYFUNCTION("GOOGLETRANSLATE(B36483,""en"",""it"")"),"Un vecchio con camicia bianca sta spazzolando il corpo del cavallo marrone.")</f>
        <v>Un vecchio con camicia bianca sta spazzolando il corpo del cavallo marrone.</v>
      </c>
    </row>
    <row r="36484">
      <c r="A36484" s="4" t="s">
        <v>45888</v>
      </c>
      <c r="B36484" s="6" t="s">
        <v>45890</v>
      </c>
      <c r="C36484" s="5" t="str">
        <f>IFERROR(__xludf.DUMMYFUNCTION("GOOGLETRANSLATE(B36484,""en"",""it"")"),"La ragazza con camicia blu in piedi accanto al vecchio sfiorò la pelliccia del cavallo, poi il vecchio prese il sopravvento, spazzola il cavallo e la ragazza strofina la pelliccia del cavallo con le mani.")</f>
        <v>La ragazza con camicia blu in piedi accanto al vecchio sfiorò la pelliccia del cavallo, poi il vecchio prese il sopravvento, spazzola il cavallo e la ragazza strofina la pelliccia del cavallo con le mani.</v>
      </c>
    </row>
    <row r="36485">
      <c r="A36485" s="4" t="s">
        <v>45891</v>
      </c>
      <c r="B36485" s="4" t="s">
        <v>45892</v>
      </c>
      <c r="C36485" s="5" t="str">
        <f>IFERROR(__xludf.DUMMYFUNCTION("GOOGLETRANSLATE(B36485,""en"",""it"")"),"Una band di Marching sta camminando lungo una pista.")</f>
        <v>Una band di Marching sta camminando lungo una pista.</v>
      </c>
    </row>
    <row r="36486">
      <c r="A36486" s="4" t="s">
        <v>45891</v>
      </c>
      <c r="B36486" s="4" t="s">
        <v>45893</v>
      </c>
      <c r="C36486" s="5" t="str">
        <f>IFERROR(__xludf.DUMMYFUNCTION("GOOGLETRANSLATE(B36486,""en"",""it"")"),"Le persone che portano bandiere segue dietro di loro.")</f>
        <v>Le persone che portano bandiere segue dietro di loro.</v>
      </c>
    </row>
    <row r="36487">
      <c r="A36487" s="4" t="s">
        <v>45891</v>
      </c>
      <c r="B36487" s="4" t="s">
        <v>45894</v>
      </c>
      <c r="C36487" s="5" t="str">
        <f>IFERROR(__xludf.DUMMYFUNCTION("GOOGLETRANSLATE(B36487,""en"",""it"")"),"I batteristi a dietro suonavano la batteria.")</f>
        <v>I batteristi a dietro suonavano la batteria.</v>
      </c>
    </row>
    <row r="36488">
      <c r="A36488" s="4" t="s">
        <v>45895</v>
      </c>
      <c r="B36488" s="6" t="s">
        <v>45896</v>
      </c>
      <c r="C36488" s="5" t="str">
        <f>IFERROR(__xludf.DUMMYFUNCTION("GOOGLETRANSLATE(B36488,""en"",""it"")"),"Un'introduzione colorata include le parole bianche che dicono ""eventi sportivi più pericolosi del mondo"" e le lettere verdi separatamente ""SRP"".")</f>
        <v>Un'introduzione colorata include le parole bianche che dicono "eventi sportivi più pericolosi del mondo" e le lettere verdi separatamente "SRP".</v>
      </c>
    </row>
    <row r="36489">
      <c r="A36489" s="4" t="s">
        <v>45895</v>
      </c>
      <c r="B36489" s="6" t="s">
        <v>45897</v>
      </c>
      <c r="C36489" s="5" t="str">
        <f>IFERROR(__xludf.DUMMYFUNCTION("GOOGLETRANSLATE(B36489,""en"",""it"")"),"Appare la Madrid Spagna su una mappa e va rapidamente in diverse clip di uomini nelle arene che tengono mantello rosso mentre scherzano i tori arrabbiati.")</f>
        <v>Appare la Madrid Spagna su una mappa e va rapidamente in diverse clip di uomini nelle arene che tengono mantello rosso mentre scherzano i tori arrabbiati.</v>
      </c>
    </row>
    <row r="36490">
      <c r="A36490" s="4" t="s">
        <v>45895</v>
      </c>
      <c r="B36490" s="6" t="s">
        <v>45898</v>
      </c>
      <c r="C36490" s="5" t="str">
        <f>IFERROR(__xludf.DUMMYFUNCTION("GOOGLETRANSLATE(B36490,""en"",""it"")"),"All'improvviso un toro non insegue il mantello, e invece insegue l'uomo in cui il toro continua ad attaccarlo con le sue corna e lanciarlo sulla terra.")</f>
        <v>All'improvviso un toro non insegue il mantello, e invece insegue l'uomo in cui il toro continua ad attaccarlo con le sue corna e lanciarlo sulla terra.</v>
      </c>
    </row>
    <row r="36491">
      <c r="A36491" s="4" t="s">
        <v>45895</v>
      </c>
      <c r="B36491" s="6" t="s">
        <v>45899</v>
      </c>
      <c r="C36491" s="5" t="str">
        <f>IFERROR(__xludf.DUMMYFUNCTION("GOOGLETRANSLATE(B36491,""en"",""it"")"),"Le persone iniziano a correre verso il toro e l'uomo per aiutare lui e l'uomo ferito viene rapidamente trasportato e esaurisci l'area del pericolo.")</f>
        <v>Le persone iniziano a correre verso il toro e l'uomo per aiutare lui e l'uomo ferito viene rapidamente trasportato e esaurisci l'area del pericolo.</v>
      </c>
    </row>
    <row r="36492">
      <c r="A36492" s="4" t="s">
        <v>45895</v>
      </c>
      <c r="B36492" s="6" t="s">
        <v>45900</v>
      </c>
      <c r="C36492" s="5" t="str">
        <f>IFERROR(__xludf.DUMMYFUNCTION("GOOGLETRANSLATE(B36492,""en"",""it"")"),"L'introduzione appare ed è uno schermo nero con le lettere verdi SRP, crediti di produzione insieme ai diritti.")</f>
        <v>L'introduzione appare ed è uno schermo nero con le lettere verdi SRP, crediti di produzione insieme ai diritti.</v>
      </c>
    </row>
    <row r="36493">
      <c r="A36493" s="4" t="s">
        <v>45901</v>
      </c>
      <c r="B36493" s="6" t="s">
        <v>45902</v>
      </c>
      <c r="C36493" s="5" t="str">
        <f>IFERROR(__xludf.DUMMYFUNCTION("GOOGLETRANSLATE(B36493,""en"",""it"")"),"Un giovane è visto seduto davanti a un drum kit e inizia a suonare il set di tamburi per la telecamera.")</f>
        <v>Un giovane è visto seduto davanti a un drum kit e inizia a suonare il set di tamburi per la telecamera.</v>
      </c>
    </row>
    <row r="36494">
      <c r="A36494" s="4" t="s">
        <v>45901</v>
      </c>
      <c r="B36494" s="4" t="s">
        <v>45903</v>
      </c>
      <c r="C36494" s="5" t="str">
        <f>IFERROR(__xludf.DUMMYFUNCTION("GOOGLETRANSLATE(B36494,""en"",""it"")"),"Continua a suonare la batteria e finisce colpendo il piatto un'ultima volta.")</f>
        <v>Continua a suonare la batteria e finisce colpendo il piatto un'ultima volta.</v>
      </c>
    </row>
    <row r="36495">
      <c r="A36495" s="4" t="s">
        <v>45904</v>
      </c>
      <c r="B36495" s="4" t="s">
        <v>45905</v>
      </c>
      <c r="C36495" s="5" t="str">
        <f>IFERROR(__xludf.DUMMYFUNCTION("GOOGLETRANSLATE(B36495,""en"",""it"")"),"Una donna è in cucina a parlare.")</f>
        <v>Una donna è in cucina a parlare.</v>
      </c>
    </row>
    <row r="36496">
      <c r="A36496" s="4" t="s">
        <v>45904</v>
      </c>
      <c r="B36496" s="4" t="s">
        <v>45906</v>
      </c>
      <c r="C36496" s="5" t="str">
        <f>IFERROR(__xludf.DUMMYFUNCTION("GOOGLETRANSLATE(B36496,""en"",""it"")"),"Versa più detergente in un lavandino e descrive alcuni strumenti di pulizia.")</f>
        <v>Versa più detergente in un lavandino e descrive alcuni strumenti di pulizia.</v>
      </c>
    </row>
    <row r="36497">
      <c r="A36497" s="4" t="s">
        <v>45904</v>
      </c>
      <c r="B36497" s="4" t="s">
        <v>45907</v>
      </c>
      <c r="C36497" s="5" t="str">
        <f>IFERROR(__xludf.DUMMYFUNCTION("GOOGLETRANSLATE(B36497,""en"",""it"")"),"Mette una polvere nel lavandino e stringe un limone sopra la polvere.")</f>
        <v>Mette una polvere nel lavandino e stringe un limone sopra la polvere.</v>
      </c>
    </row>
    <row r="36498">
      <c r="A36498" s="4" t="s">
        <v>45904</v>
      </c>
      <c r="B36498" s="4" t="s">
        <v>45908</v>
      </c>
      <c r="C36498" s="5" t="str">
        <f>IFERROR(__xludf.DUMMYFUNCTION("GOOGLETRANSLATE(B36498,""en"",""it"")"),"Si riversa un liquido su quello e strofina con un pennello.")</f>
        <v>Si riversa un liquido su quello e strofina con un pennello.</v>
      </c>
    </row>
    <row r="36499">
      <c r="A36499" s="4" t="s">
        <v>45904</v>
      </c>
      <c r="B36499" s="6" t="s">
        <v>45909</v>
      </c>
      <c r="C36499" s="5" t="str">
        <f>IFERROR(__xludf.DUMMYFUNCTION("GOOGLETRANSLATE(B36499,""en"",""it"")"),"Accende l'acqua per un secondo e poi usa una pietra sul lavandino prima di usare lo spruzzatore per sciacquare tutto.")</f>
        <v>Accende l'acqua per un secondo e poi usa una pietra sul lavandino prima di usare lo spruzzatore per sciacquare tutto.</v>
      </c>
    </row>
    <row r="36500">
      <c r="A36500" s="4" t="s">
        <v>45910</v>
      </c>
      <c r="B36500" s="4" t="s">
        <v>45911</v>
      </c>
      <c r="C36500" s="5" t="str">
        <f>IFERROR(__xludf.DUMMYFUNCTION("GOOGLETRANSLATE(B36500,""en"",""it"")"),"C'è un grande gruppo di persone fuori su un campo da basket dopo il tramonto.")</f>
        <v>C'è un grande gruppo di persone fuori su un campo da basket dopo il tramonto.</v>
      </c>
    </row>
    <row r="36501">
      <c r="A36501" s="4" t="s">
        <v>45910</v>
      </c>
      <c r="B36501" s="4" t="s">
        <v>45912</v>
      </c>
      <c r="C36501" s="5" t="str">
        <f>IFERROR(__xludf.DUMMYFUNCTION("GOOGLETRANSLATE(B36501,""en"",""it"")"),"Stanno tutti saltando su e giù su queste nuove cose di pogo stick che indossi come le scarpe.")</f>
        <v>Stanno tutti saltando su e giù su queste nuove cose di pogo stick che indossi come le scarpe.</v>
      </c>
    </row>
    <row r="36502">
      <c r="A36502" s="4" t="s">
        <v>45910</v>
      </c>
      <c r="B36502" s="4" t="s">
        <v>45913</v>
      </c>
      <c r="C36502" s="5" t="str">
        <f>IFERROR(__xludf.DUMMYFUNCTION("GOOGLETRANSLATE(B36502,""en"",""it"")"),"Ci sono molti bambini che rimbalzano su e giù su di loro godendosi la sera.")</f>
        <v>Ci sono molti bambini che rimbalzano su e giù su di loro godendosi la sera.</v>
      </c>
    </row>
    <row r="36503">
      <c r="A36503" s="4" t="s">
        <v>45910</v>
      </c>
      <c r="B36503" s="4" t="s">
        <v>45914</v>
      </c>
      <c r="C36503" s="5" t="str">
        <f>IFERROR(__xludf.DUMMYFUNCTION("GOOGLETRANSLATE(B36503,""en"",""it"")"),"Ci sono anche alcune persone in piedi e guardano.")</f>
        <v>Ci sono anche alcune persone in piedi e guardano.</v>
      </c>
    </row>
    <row r="36504">
      <c r="A36504" s="4" t="s">
        <v>45915</v>
      </c>
      <c r="B36504" s="6" t="s">
        <v>45916</v>
      </c>
      <c r="C36504" s="5" t="str">
        <f>IFERROR(__xludf.DUMMYFUNCTION("GOOGLETRANSLATE(B36504,""en"",""it"")"),"L'occhio di una persona viene visto vicino alla telecamera che tira in mano una lente a contatto e si aprirà l'occhio.")</f>
        <v>L'occhio di una persona viene visto vicino alla telecamera che tira in mano una lente a contatto e si aprirà l'occhio.</v>
      </c>
    </row>
    <row r="36505">
      <c r="A36505" s="4" t="s">
        <v>45915</v>
      </c>
      <c r="B36505" s="6" t="s">
        <v>45917</v>
      </c>
      <c r="C36505" s="5" t="str">
        <f>IFERROR(__xludf.DUMMYFUNCTION("GOOGLETRANSLATE(B36505,""en"",""it"")"),"La persona mette quindi la lente a contatto negli occhi e si strofina l'occhio mentre sbatte le palpebre più volte.")</f>
        <v>La persona mette quindi la lente a contatto negli occhi e si strofina l'occhio mentre sbatte le palpebre più volte.</v>
      </c>
    </row>
    <row r="36506">
      <c r="A36506" s="4" t="s">
        <v>45918</v>
      </c>
      <c r="B36506" s="4" t="s">
        <v>45919</v>
      </c>
      <c r="C36506" s="5" t="str">
        <f>IFERROR(__xludf.DUMMYFUNCTION("GOOGLETRANSLATE(B36506,""en"",""it"")"),"Vediamo la scheda del titolo sullo schermo.")</f>
        <v>Vediamo la scheda del titolo sullo schermo.</v>
      </c>
    </row>
    <row r="36507">
      <c r="A36507" s="4" t="s">
        <v>45918</v>
      </c>
      <c r="B36507" s="4" t="s">
        <v>45920</v>
      </c>
      <c r="C36507" s="5" t="str">
        <f>IFERROR(__xludf.DUMMYFUNCTION("GOOGLETRANSLATE(B36507,""en"",""it"")"),"Vediamo persone in piedi su un palco blu.")</f>
        <v>Vediamo persone in piedi su un palco blu.</v>
      </c>
    </row>
    <row r="36508">
      <c r="A36508" s="4" t="s">
        <v>45918</v>
      </c>
      <c r="B36508" s="4" t="s">
        <v>45921</v>
      </c>
      <c r="C36508" s="5" t="str">
        <f>IFERROR(__xludf.DUMMYFUNCTION("GOOGLETRANSLATE(B36508,""en"",""it"")"),"Quindi eseguono una routine di allegria.")</f>
        <v>Quindi eseguono una routine di allegria.</v>
      </c>
    </row>
    <row r="36509">
      <c r="A36509" s="4" t="s">
        <v>45918</v>
      </c>
      <c r="B36509" s="4" t="s">
        <v>45922</v>
      </c>
      <c r="C36509" s="5" t="str">
        <f>IFERROR(__xludf.DUMMYFUNCTION("GOOGLETRANSLATE(B36509,""en"",""it"")"),"Gli uomini sollevano le donne che girano tra le braccia.")</f>
        <v>Gli uomini sollevano le donne che girano tra le braccia.</v>
      </c>
    </row>
    <row r="36510">
      <c r="A36510" s="4" t="s">
        <v>45918</v>
      </c>
      <c r="B36510" s="4" t="s">
        <v>45923</v>
      </c>
      <c r="C36510" s="5" t="str">
        <f>IFERROR(__xludf.DUMMYFUNCTION("GOOGLETRANSLATE(B36510,""en"",""it"")"),"Si girano tutti all'indietro insieme.")</f>
        <v>Si girano tutti all'indietro insieme.</v>
      </c>
    </row>
    <row r="36511">
      <c r="A36511" s="4" t="s">
        <v>45918</v>
      </c>
      <c r="B36511" s="4" t="s">
        <v>45924</v>
      </c>
      <c r="C36511" s="5" t="str">
        <f>IFERROR(__xludf.DUMMYFUNCTION("GOOGLETRANSLATE(B36511,""en"",""it"")"),"Gli uomini tengono le donne con una gamba e quasi lasciano cadere una signora.")</f>
        <v>Gli uomini tengono le donne con una gamba e quasi lasciano cadere una signora.</v>
      </c>
    </row>
    <row r="36512">
      <c r="A36512" s="4" t="s">
        <v>45918</v>
      </c>
      <c r="B36512" s="4" t="s">
        <v>45925</v>
      </c>
      <c r="C36512" s="5" t="str">
        <f>IFERROR(__xludf.DUMMYFUNCTION("GOOGLETRANSLATE(B36512,""en"",""it"")"),"Una ragazza porta lettere sul campo.")</f>
        <v>Una ragazza porta lettere sul campo.</v>
      </c>
    </row>
    <row r="36513">
      <c r="A36513" s="4" t="s">
        <v>45918</v>
      </c>
      <c r="B36513" s="4" t="s">
        <v>45926</v>
      </c>
      <c r="C36513" s="5" t="str">
        <f>IFERROR(__xludf.DUMMYFUNCTION("GOOGLETRANSLATE(B36513,""en"",""it"")"),"Usano la lettera per scrivere una parola mentre si trova in aria.")</f>
        <v>Usano la lettera per scrivere una parola mentre si trova in aria.</v>
      </c>
    </row>
    <row r="36514">
      <c r="A36514" s="4" t="s">
        <v>45918</v>
      </c>
      <c r="B36514" s="4" t="s">
        <v>45927</v>
      </c>
      <c r="C36514" s="5" t="str">
        <f>IFERROR(__xludf.DUMMYFUNCTION("GOOGLETRANSLATE(B36514,""en"",""it"")"),"Hanno carte diverse con nomi di colori su di loro.")</f>
        <v>Hanno carte diverse con nomi di colori su di loro.</v>
      </c>
    </row>
    <row r="36515">
      <c r="A36515" s="4" t="s">
        <v>45918</v>
      </c>
      <c r="B36515" s="4" t="s">
        <v>45928</v>
      </c>
      <c r="C36515" s="5" t="str">
        <f>IFERROR(__xludf.DUMMYFUNCTION("GOOGLETRANSLATE(B36515,""en"",""it"")"),"Gli uomini urlano dalle corna.")</f>
        <v>Gli uomini urlano dalle corna.</v>
      </c>
    </row>
    <row r="36516">
      <c r="A36516" s="4" t="s">
        <v>45918</v>
      </c>
      <c r="B36516" s="4" t="s">
        <v>45929</v>
      </c>
      <c r="C36516" s="5" t="str">
        <f>IFERROR(__xludf.DUMMYFUNCTION("GOOGLETRANSLATE(B36516,""en"",""it"")"),"Due donne si spostano da una posizione e finiscono in aria.")</f>
        <v>Due donne si spostano da una posizione e finiscono in aria.</v>
      </c>
    </row>
    <row r="36517">
      <c r="A36517" s="4" t="s">
        <v>45930</v>
      </c>
      <c r="B36517" s="4" t="s">
        <v>45931</v>
      </c>
      <c r="C36517" s="5" t="str">
        <f>IFERROR(__xludf.DUMMYFUNCTION("GOOGLETRANSLATE(B36517,""en"",""it"")"),"Ci sono alcuni nuotatori che giocano ad acqua in una piscina interna.")</f>
        <v>Ci sono alcuni nuotatori che giocano ad acqua in una piscina interna.</v>
      </c>
    </row>
    <row r="36518">
      <c r="A36518" s="4" t="s">
        <v>45930</v>
      </c>
      <c r="B36518" s="4" t="s">
        <v>45932</v>
      </c>
      <c r="C36518" s="5" t="str">
        <f>IFERROR(__xludf.DUMMYFUNCTION("GOOGLETRANSLATE(B36518,""en"",""it"")"),"Uno dei nuotatori è sott'acqua, cercando di raggiungere la palla.")</f>
        <v>Uno dei nuotatori è sott'acqua, cercando di raggiungere la palla.</v>
      </c>
    </row>
    <row r="36519">
      <c r="A36519" s="4" t="s">
        <v>45930</v>
      </c>
      <c r="B36519" s="4" t="s">
        <v>45933</v>
      </c>
      <c r="C36519" s="5" t="str">
        <f>IFERROR(__xludf.DUMMYFUNCTION("GOOGLETRANSLATE(B36519,""en"",""it"")"),"Lancia la palla su un altro nuotatore che cattura la palla.")</f>
        <v>Lancia la palla su un altro nuotatore che cattura la palla.</v>
      </c>
    </row>
    <row r="36520">
      <c r="A36520" s="4" t="s">
        <v>45930</v>
      </c>
      <c r="B36520" s="4" t="s">
        <v>45934</v>
      </c>
      <c r="C36520" s="5" t="str">
        <f>IFERROR(__xludf.DUMMYFUNCTION("GOOGLETRANSLATE(B36520,""en"",""it"")"),"Due nuotatori sono sott'acqua cercando di raggiungere la palla.")</f>
        <v>Due nuotatori sono sott'acqua cercando di raggiungere la palla.</v>
      </c>
    </row>
    <row r="36521">
      <c r="A36521" s="4" t="s">
        <v>45930</v>
      </c>
      <c r="B36521" s="4" t="s">
        <v>45935</v>
      </c>
      <c r="C36521" s="5" t="str">
        <f>IFERROR(__xludf.DUMMYFUNCTION("GOOGLETRANSLATE(B36521,""en"",""it"")"),"Passano la palla mentre nuotano attraverso l'acqua.")</f>
        <v>Passano la palla mentre nuotano attraverso l'acqua.</v>
      </c>
    </row>
    <row r="36522">
      <c r="A36522" s="4" t="s">
        <v>45930</v>
      </c>
      <c r="B36522" s="6" t="s">
        <v>45936</v>
      </c>
      <c r="C36522" s="5" t="str">
        <f>IFERROR(__xludf.DUMMYFUNCTION("GOOGLETRANSLATE(B36522,""en"",""it"")"),"Quindi i nuotatori nuotano e escono dalla piscina mentre alcuni altri nuotatori sono ancora all'interno della piscina.")</f>
        <v>Quindi i nuotatori nuotano e escono dalla piscina mentre alcuni altri nuotatori sono ancora all'interno della piscina.</v>
      </c>
    </row>
    <row r="36523">
      <c r="A36523" s="4" t="s">
        <v>45930</v>
      </c>
      <c r="B36523" s="4" t="s">
        <v>45937</v>
      </c>
      <c r="C36523" s="5" t="str">
        <f>IFERROR(__xludf.DUMMYFUNCTION("GOOGLETRANSLATE(B36523,""en"",""it"")"),"Uno dei nuotatori sputa acqua sulla fotocamera mentre era ancora all'interno della piscina.")</f>
        <v>Uno dei nuotatori sputa acqua sulla fotocamera mentre era ancora all'interno della piscina.</v>
      </c>
    </row>
    <row r="36524">
      <c r="A36524" s="4" t="s">
        <v>45930</v>
      </c>
      <c r="B36524" s="4" t="s">
        <v>45938</v>
      </c>
      <c r="C36524" s="5" t="str">
        <f>IFERROR(__xludf.DUMMYFUNCTION("GOOGLETRANSLATE(B36524,""en"",""it"")"),"Alcuni altri nuotatori possono essere visti negli spogliatoi che si asciugano dopo la nuotata.")</f>
        <v>Alcuni altri nuotatori possono essere visti negli spogliatoi che si asciugano dopo la nuotata.</v>
      </c>
    </row>
    <row r="36525">
      <c r="A36525" s="4" t="s">
        <v>45939</v>
      </c>
      <c r="B36525" s="4" t="s">
        <v>45940</v>
      </c>
      <c r="C36525" s="5" t="str">
        <f>IFERROR(__xludf.DUMMYFUNCTION("GOOGLETRANSLATE(B36525,""en"",""it"")"),"Un piccolo gruppo di persone viene visto muoversi in una palestra che calcia una palla intorno.")</f>
        <v>Un piccolo gruppo di persone viene visto muoversi in una palestra che calcia una palla intorno.</v>
      </c>
    </row>
    <row r="36526">
      <c r="A36526" s="4" t="s">
        <v>45939</v>
      </c>
      <c r="B36526" s="4" t="s">
        <v>45941</v>
      </c>
      <c r="C36526" s="5" t="str">
        <f>IFERROR(__xludf.DUMMYFUNCTION("GOOGLETRANSLATE(B36526,""en"",""it"")"),"I ragazzi urlano l'un l'altro con le mani in alto e continuano a camminare in palestra.")</f>
        <v>I ragazzi urlano l'un l'altro con le mani in alto e continuano a camminare in palestra.</v>
      </c>
    </row>
    <row r="36527">
      <c r="A36527" s="4" t="s">
        <v>45942</v>
      </c>
      <c r="B36527" s="6" t="s">
        <v>45943</v>
      </c>
      <c r="C36527" s="5" t="str">
        <f>IFERROR(__xludf.DUMMYFUNCTION("GOOGLETRANSLATE(B36527,""en"",""it"")"),"C'è una persona che falcia il prato nel suo cortile con un tosaerba mentre porta suo figlio sulla schiena.")</f>
        <v>C'è una persona che falcia il prato nel suo cortile con un tosaerba mentre porta suo figlio sulla schiena.</v>
      </c>
    </row>
    <row r="36528">
      <c r="A36528" s="4" t="s">
        <v>45942</v>
      </c>
      <c r="B36528" s="4" t="s">
        <v>45944</v>
      </c>
      <c r="C36528" s="5" t="str">
        <f>IFERROR(__xludf.DUMMYFUNCTION("GOOGLETRANSLATE(B36528,""en"",""it"")"),"L'uomo cammina su e giù, dritto attraverso il cortile mentre falcia il prato.")</f>
        <v>L'uomo cammina su e giù, dritto attraverso il cortile mentre falcia il prato.</v>
      </c>
    </row>
    <row r="36529">
      <c r="A36529" s="4" t="s">
        <v>45942</v>
      </c>
      <c r="B36529" s="4" t="s">
        <v>45945</v>
      </c>
      <c r="C36529" s="5" t="str">
        <f>IFERROR(__xludf.DUMMYFUNCTION("GOOGLETRANSLATE(B36529,""en"",""it"")"),"Il bambino osserva con calma mentre si appoggia sulla schiena dell'uomo.")</f>
        <v>Il bambino osserva con calma mentre si appoggia sulla schiena dell'uomo.</v>
      </c>
    </row>
    <row r="36530">
      <c r="A36530" s="4" t="s">
        <v>45942</v>
      </c>
      <c r="B36530" s="4" t="s">
        <v>45946</v>
      </c>
      <c r="C36530" s="5" t="str">
        <f>IFERROR(__xludf.DUMMYFUNCTION("GOOGLETRANSLATE(B36530,""en"",""it"")"),"L'uomo continua a falciare il prato con il suo tosaerba nera.")</f>
        <v>L'uomo continua a falciare il prato con il suo tosaerba nera.</v>
      </c>
    </row>
    <row r="36531">
      <c r="A36531" s="4" t="s">
        <v>45947</v>
      </c>
      <c r="B36531" s="6" t="s">
        <v>45948</v>
      </c>
      <c r="C36531" s="5" t="str">
        <f>IFERROR(__xludf.DUMMYFUNCTION("GOOGLETRANSLATE(B36531,""en"",""it"")"),"C'è una persona di nome Michael della Wild Flower Tool Company che sta facendo un tutorial sulle cesoie telescopiche per il giardinaggio.")</f>
        <v>C'è una persona di nome Michael della Wild Flower Tool Company che sta facendo un tutorial sulle cesoie telescopiche per il giardinaggio.</v>
      </c>
    </row>
    <row r="36532">
      <c r="A36532" s="4" t="s">
        <v>45947</v>
      </c>
      <c r="B36532" s="4" t="s">
        <v>45949</v>
      </c>
      <c r="C36532" s="5" t="str">
        <f>IFERROR(__xludf.DUMMYFUNCTION("GOOGLETRANSLATE(B36532,""en"",""it"")"),"Dimostra le diverse caratteristiche delle cesoie come maniglie estensibili.")</f>
        <v>Dimostra le diverse caratteristiche delle cesoie come maniglie estensibili.</v>
      </c>
    </row>
    <row r="36533">
      <c r="A36533" s="4" t="s">
        <v>45947</v>
      </c>
      <c r="B36533" s="4" t="s">
        <v>45950</v>
      </c>
      <c r="C36533" s="5" t="str">
        <f>IFERROR(__xludf.DUMMYFUNCTION("GOOGLETRANSLATE(B36533,""en"",""it"")"),"È in piedi vicino a una grande siepe in un giardino.")</f>
        <v>È in piedi vicino a una grande siepe in un giardino.</v>
      </c>
    </row>
    <row r="36534">
      <c r="A36534" s="4" t="s">
        <v>45947</v>
      </c>
      <c r="B36534" s="4" t="s">
        <v>45951</v>
      </c>
      <c r="C36534" s="5" t="str">
        <f>IFERROR(__xludf.DUMMYFUNCTION("GOOGLETRANSLATE(B36534,""en"",""it"")"),"Mostra come usare le cesoie tagliando alcuni dei rami della siepe.")</f>
        <v>Mostra come usare le cesoie tagliando alcuni dei rami della siepe.</v>
      </c>
    </row>
    <row r="36535">
      <c r="A36535" s="4" t="s">
        <v>45947</v>
      </c>
      <c r="B36535" s="6" t="s">
        <v>45952</v>
      </c>
      <c r="C36535" s="5" t="str">
        <f>IFERROR(__xludf.DUMMYFUNCTION("GOOGLETRANSLATE(B36535,""en"",""it"")"),"Quindi estende le maniglie delle cesoie per mostrare fino a che punto può raggiungere i luoghi difficili per raggiungere i posti in cima alla siepe.")</f>
        <v>Quindi estende le maniglie delle cesoie per mostrare fino a che punto può raggiungere i luoghi difficili per raggiungere i posti in cima alla siepe.</v>
      </c>
    </row>
    <row r="36536">
      <c r="A36536" s="4" t="s">
        <v>45953</v>
      </c>
      <c r="B36536" s="4" t="s">
        <v>45954</v>
      </c>
      <c r="C36536" s="5" t="str">
        <f>IFERROR(__xludf.DUMMYFUNCTION("GOOGLETRANSLATE(B36536,""en"",""it"")"),"Una donna si avvicina a parlare con la telecamera e mettendo le mani sui fianchi.")</f>
        <v>Una donna si avvicina a parlare con la telecamera e mettendo le mani sui fianchi.</v>
      </c>
    </row>
    <row r="36537">
      <c r="A36537" s="4" t="s">
        <v>45953</v>
      </c>
      <c r="B36537" s="4" t="s">
        <v>45955</v>
      </c>
      <c r="C36537" s="5" t="str">
        <f>IFERROR(__xludf.DUMMYFUNCTION("GOOGLETRANSLATE(B36537,""en"",""it"")"),"A una ragazza viene mostrato da un hockey sul campo e presenta varie clip di se stessa che fa mosse.")</f>
        <v>A una ragazza viene mostrato da un hockey sul campo e presenta varie clip di se stessa che fa mosse.</v>
      </c>
    </row>
    <row r="36538">
      <c r="A36538" s="4" t="s">
        <v>45953</v>
      </c>
      <c r="B36538" s="6" t="s">
        <v>45956</v>
      </c>
      <c r="C36538" s="5" t="str">
        <f>IFERROR(__xludf.DUMMYFUNCTION("GOOGLETRANSLATE(B36538,""en"",""it"")"),"In seguito sta parlando con la macchina fotografica delle sue esperienze con lo sport e di chi è esattamente e perché le altre persone la adorano.")</f>
        <v>In seguito sta parlando con la macchina fotografica delle sue esperienze con lo sport e di chi è esattamente e perché le altre persone la adorano.</v>
      </c>
    </row>
    <row r="36539">
      <c r="A36539" s="4" t="s">
        <v>45957</v>
      </c>
      <c r="B36539" s="4" t="s">
        <v>45958</v>
      </c>
      <c r="C36539" s="5" t="str">
        <f>IFERROR(__xludf.DUMMYFUNCTION("GOOGLETRANSLATE(B36539,""en"",""it"")"),"Vediamo persone che camminano con le zattere su una scala mobile in un campo nevoso in un parco di rafting.")</f>
        <v>Vediamo persone che camminano con le zattere su una scala mobile in un campo nevoso in un parco di rafting.</v>
      </c>
    </row>
    <row r="36540">
      <c r="A36540" s="4" t="s">
        <v>45957</v>
      </c>
      <c r="B36540" s="4" t="s">
        <v>45959</v>
      </c>
      <c r="C36540" s="5" t="str">
        <f>IFERROR(__xludf.DUMMYFUNCTION("GOOGLETRANSLATE(B36540,""en"",""it"")"),"Un bambino cade quasi a sinistra.")</f>
        <v>Un bambino cade quasi a sinistra.</v>
      </c>
    </row>
    <row r="36541">
      <c r="A36541" s="4" t="s">
        <v>45957</v>
      </c>
      <c r="B36541" s="4" t="s">
        <v>45960</v>
      </c>
      <c r="C36541" s="5" t="str">
        <f>IFERROR(__xludf.DUMMYFUNCTION("GOOGLETRANSLATE(B36541,""en"",""it"")"),"Vediamo la scala mobile affollata da lontano.")</f>
        <v>Vediamo la scala mobile affollata da lontano.</v>
      </c>
    </row>
    <row r="36542">
      <c r="A36542" s="4" t="s">
        <v>45957</v>
      </c>
      <c r="B36542" s="4" t="s">
        <v>45961</v>
      </c>
      <c r="C36542" s="5" t="str">
        <f>IFERROR(__xludf.DUMMYFUNCTION("GOOGLETRANSLATE(B36542,""en"",""it"")"),"Vediamo un ragazzo in un cappotto nero che corre con la zattera al seguito.")</f>
        <v>Vediamo un ragazzo in un cappotto nero che corre con la zattera al seguito.</v>
      </c>
    </row>
    <row r="36543">
      <c r="A36543" s="4" t="s">
        <v>45962</v>
      </c>
      <c r="B36543" s="4" t="s">
        <v>45963</v>
      </c>
      <c r="C36543" s="5" t="str">
        <f>IFERROR(__xludf.DUMMYFUNCTION("GOOGLETRANSLATE(B36543,""en"",""it"")"),"Un uomo con gli occhiali che suonavano una fisarmonica e sorridente.")</f>
        <v>Un uomo con gli occhiali che suonavano una fisarmonica e sorridente.</v>
      </c>
    </row>
    <row r="36544">
      <c r="A36544" s="4" t="s">
        <v>45962</v>
      </c>
      <c r="B36544" s="4" t="s">
        <v>45964</v>
      </c>
      <c r="C36544" s="5" t="str">
        <f>IFERROR(__xludf.DUMMYFUNCTION("GOOGLETRANSLATE(B36544,""en"",""it"")"),"La telecamera si ingrandisce sulle dita che scende su e giù per il collo dello strumento.")</f>
        <v>La telecamera si ingrandisce sulle dita che scende su e giù per il collo dello strumento.</v>
      </c>
    </row>
    <row r="36545">
      <c r="A36545" s="4" t="s">
        <v>45962</v>
      </c>
      <c r="B36545" s="4" t="s">
        <v>45965</v>
      </c>
      <c r="C36545" s="5" t="str">
        <f>IFERROR(__xludf.DUMMYFUNCTION("GOOGLETRANSLATE(B36545,""en"",""it"")"),"L'uomo continua a suonare la sua canzone e sorride alla telecamera mentre si muove su e giù.")</f>
        <v>L'uomo continua a suonare la sua canzone e sorride alla telecamera mentre si muove su e giù.</v>
      </c>
    </row>
    <row r="36546">
      <c r="A36546" s="4" t="s">
        <v>45966</v>
      </c>
      <c r="B36546" s="4" t="s">
        <v>45967</v>
      </c>
      <c r="C36546" s="5" t="str">
        <f>IFERROR(__xludf.DUMMYFUNCTION("GOOGLETRANSLATE(B36546,""en"",""it"")"),"Un bambino si trova su un tribunale come un gruppo di giudici lo guarda saltare rapidamente.")</f>
        <v>Un bambino si trova su un tribunale come un gruppo di giudici lo guarda saltare rapidamente.</v>
      </c>
    </row>
    <row r="36547">
      <c r="A36547" s="4" t="s">
        <v>45966</v>
      </c>
      <c r="B36547" s="4" t="s">
        <v>45968</v>
      </c>
      <c r="C36547" s="5" t="str">
        <f>IFERROR(__xludf.DUMMYFUNCTION("GOOGLETRANSLATE(B36547,""en"",""it"")"),"Dietro di lui, anche altri concorrenti saltano la corda.")</f>
        <v>Dietro di lui, anche altri concorrenti saltano la corda.</v>
      </c>
    </row>
    <row r="36548">
      <c r="A36548" s="4" t="s">
        <v>45969</v>
      </c>
      <c r="B36548" s="4" t="s">
        <v>45970</v>
      </c>
      <c r="C36548" s="5" t="str">
        <f>IFERROR(__xludf.DUMMYFUNCTION("GOOGLETRANSLATE(B36548,""en"",""it"")"),"Un ragazzo è seduto contro il muro facendo una faccia mentre due persone sono di fronte a lui.")</f>
        <v>Un ragazzo è seduto contro il muro facendo una faccia mentre due persone sono di fronte a lui.</v>
      </c>
    </row>
    <row r="36549">
      <c r="A36549" s="4" t="s">
        <v>45969</v>
      </c>
      <c r="B36549" s="6" t="s">
        <v>45971</v>
      </c>
      <c r="C36549" s="5" t="str">
        <f>IFERROR(__xludf.DUMMYFUNCTION("GOOGLETRANSLATE(B36549,""en"",""it"")"),"La ragazza a sinistra prende quindi un piccolo tubo di smalto e inizia a dipingere l'unghia del ragazzo con glitter rosso.")</f>
        <v>La ragazza a sinistra prende quindi un piccolo tubo di smalto e inizia a dipingere l'unghia del ragazzo con glitter rosso.</v>
      </c>
    </row>
    <row r="36550">
      <c r="A36550" s="4" t="s">
        <v>45969</v>
      </c>
      <c r="B36550" s="4" t="s">
        <v>45972</v>
      </c>
      <c r="C36550" s="5" t="str">
        <f>IFERROR(__xludf.DUMMYFUNCTION("GOOGLETRANSLATE(B36550,""en"",""it"")"),"Quando ha finito, il ragazzo viene mostrato e lui inizia a ridere della situazione.")</f>
        <v>Quando ha finito, il ragazzo viene mostrato e lui inizia a ridere della situazione.</v>
      </c>
    </row>
    <row r="36551">
      <c r="A36551" s="4" t="s">
        <v>45973</v>
      </c>
      <c r="B36551" s="6" t="s">
        <v>45974</v>
      </c>
      <c r="C36551" s="5" t="str">
        <f>IFERROR(__xludf.DUMMYFUNCTION("GOOGLETRANSLATE(B36551,""en"",""it"")"),"Appaiono uno schermo da fondo con zampe e ossa per cani e le parole in rosso e nero appaiono e leggono ""TEG's CANINE CLIPPERY Dog &amp; Cat Grooming"".")</f>
        <v>Appaiono uno schermo da fondo con zampe e ossa per cani e le parole in rosso e nero appaiono e leggono "TEG's CANINE CLIPPERY Dog &amp; Cat Grooming".</v>
      </c>
    </row>
    <row r="36552">
      <c r="A36552" s="4" t="s">
        <v>45973</v>
      </c>
      <c r="B36552" s="6" t="s">
        <v>45975</v>
      </c>
      <c r="C36552" s="5" t="str">
        <f>IFERROR(__xludf.DUMMYFUNCTION("GOOGLETRANSLATE(B36552,""en"",""it"")"),"Le clip di cani diversi vengono mostrati che ottengono bagni, tagli di capelli e spazzolati mentre compaiono ancora scatti di immagini tra clip e tutti includono il nome dell'azienda, il sito Web e il numero di telefono.")</f>
        <v>Le clip di cani diversi vengono mostrati che ottengono bagni, tagli di capelli e spazzolati mentre compaiono ancora scatti di immagini tra clip e tutti includono il nome dell'azienda, il sito Web e il numero di telefono.</v>
      </c>
    </row>
    <row r="36553">
      <c r="A36553" s="4" t="s">
        <v>45973</v>
      </c>
      <c r="B36553" s="6" t="s">
        <v>45976</v>
      </c>
      <c r="C36553" s="5" t="str">
        <f>IFERROR(__xludf.DUMMYFUNCTION("GOOGLETRANSLATE(B36553,""en"",""it"")"),"L'ultima schermata è la foto di un cane con gli occhi chiusi e 2 paia di mani che lo asciugano con un pennello sopra la sua testa, il nome dell'azienda, il sito Web, il numero di telefono e l'indirizzo.")</f>
        <v>L'ultima schermata è la foto di un cane con gli occhi chiusi e 2 paia di mani che lo asciugano con un pennello sopra la sua testa, il nome dell'azienda, il sito Web, il numero di telefono e l'indirizzo.</v>
      </c>
    </row>
    <row r="36554">
      <c r="A36554" s="4" t="s">
        <v>45977</v>
      </c>
      <c r="B36554" s="4" t="s">
        <v>45978</v>
      </c>
      <c r="C36554" s="5" t="str">
        <f>IFERROR(__xludf.DUMMYFUNCTION("GOOGLETRANSLATE(B36554,""en"",""it"")"),"Un giovane è visto seduto su una sedia che tiene in mano un vuoto.")</f>
        <v>Un giovane è visto seduto su una sedia che tiene in mano un vuoto.</v>
      </c>
    </row>
    <row r="36555">
      <c r="A36555" s="4" t="s">
        <v>45977</v>
      </c>
      <c r="B36555" s="4" t="s">
        <v>45979</v>
      </c>
      <c r="C36555" s="5" t="str">
        <f>IFERROR(__xludf.DUMMYFUNCTION("GOOGLETRANSLATE(B36555,""en"",""it"")"),"Il ragazzo parla alla telecamera mentre continua a spingere indietro il vuoto e quarto.")</f>
        <v>Il ragazzo parla alla telecamera mentre continua a spingere indietro il vuoto e quarto.</v>
      </c>
    </row>
    <row r="36556">
      <c r="A36556" s="4" t="s">
        <v>45977</v>
      </c>
      <c r="B36556" s="4" t="s">
        <v>45980</v>
      </c>
      <c r="C36556" s="5" t="str">
        <f>IFERROR(__xludf.DUMMYFUNCTION("GOOGLETRANSLATE(B36556,""en"",""it"")"),"La telecamera si avvicina al ragazzo e si ingrandisce sul viso mentre si aspira.")</f>
        <v>La telecamera si avvicina al ragazzo e si ingrandisce sul viso mentre si aspira.</v>
      </c>
    </row>
    <row r="36557">
      <c r="A36557" s="4" t="s">
        <v>45981</v>
      </c>
      <c r="B36557" s="4" t="s">
        <v>45982</v>
      </c>
      <c r="C36557" s="5" t="str">
        <f>IFERROR(__xludf.DUMMYFUNCTION("GOOGLETRANSLATE(B36557,""en"",""it"")"),"Un uomo è in cima a un camion.")</f>
        <v>Un uomo è in cima a un camion.</v>
      </c>
    </row>
    <row r="36558">
      <c r="A36558" s="4" t="s">
        <v>45981</v>
      </c>
      <c r="B36558" s="4" t="s">
        <v>45983</v>
      </c>
      <c r="C36558" s="5" t="str">
        <f>IFERROR(__xludf.DUMMYFUNCTION("GOOGLETRANSLATE(B36558,""en"",""it"")"),"Due uomini saltano su un trampolino.")</f>
        <v>Due uomini saltano su un trampolino.</v>
      </c>
    </row>
    <row r="36559">
      <c r="A36559" s="4" t="s">
        <v>45981</v>
      </c>
      <c r="B36559" s="4" t="s">
        <v>45984</v>
      </c>
      <c r="C36559" s="5" t="str">
        <f>IFERROR(__xludf.DUMMYFUNCTION("GOOGLETRANSLATE(B36559,""en"",""it"")"),"Uno degli uomini si sdraia e l'altro uomo lo colpisce.")</f>
        <v>Uno degli uomini si sdraia e l'altro uomo lo colpisce.</v>
      </c>
    </row>
    <row r="36560">
      <c r="A36560" s="4" t="s">
        <v>45981</v>
      </c>
      <c r="B36560" s="4" t="s">
        <v>45985</v>
      </c>
      <c r="C36560" s="5" t="str">
        <f>IFERROR(__xludf.DUMMYFUNCTION("GOOGLETRANSLATE(B36560,""en"",""it"")"),"L'uomo sul camion salta sul trampolino.")</f>
        <v>L'uomo sul camion salta sul trampolino.</v>
      </c>
    </row>
    <row r="36561">
      <c r="A36561" s="4" t="s">
        <v>45986</v>
      </c>
      <c r="B36561" s="4" t="s">
        <v>45987</v>
      </c>
      <c r="C36561" s="5" t="str">
        <f>IFERROR(__xludf.DUMMYFUNCTION("GOOGLETRANSLATE(B36561,""en"",""it"")"),"Viene mostrato il piede di una persona e poi si alza lentamente in faccia.")</f>
        <v>Viene mostrato il piede di una persona e poi si alza lentamente in faccia.</v>
      </c>
    </row>
    <row r="36562">
      <c r="A36562" s="4" t="s">
        <v>45986</v>
      </c>
      <c r="B36562" s="4" t="s">
        <v>45988</v>
      </c>
      <c r="C36562" s="5" t="str">
        <f>IFERROR(__xludf.DUMMYFUNCTION("GOOGLETRANSLATE(B36562,""en"",""it"")"),"La fotocamera si lancia e mostra un'auto d'argento.")</f>
        <v>La fotocamera si lancia e mostra un'auto d'argento.</v>
      </c>
    </row>
    <row r="36563">
      <c r="A36563" s="4" t="s">
        <v>45986</v>
      </c>
      <c r="B36563" s="4" t="s">
        <v>45989</v>
      </c>
      <c r="C36563" s="5" t="str">
        <f>IFERROR(__xludf.DUMMYFUNCTION("GOOGLETRANSLATE(B36563,""en"",""it"")"),"La persona tiene in mano un bastone.")</f>
        <v>La persona tiene in mano un bastone.</v>
      </c>
    </row>
    <row r="36564">
      <c r="A36564" s="4" t="s">
        <v>45986</v>
      </c>
      <c r="B36564" s="4" t="s">
        <v>45990</v>
      </c>
      <c r="C36564" s="5" t="str">
        <f>IFERROR(__xludf.DUMMYFUNCTION("GOOGLETRANSLATE(B36564,""en"",""it"")"),"La persona tiene un tubo e lava la macchina.")</f>
        <v>La persona tiene un tubo e lava la macchina.</v>
      </c>
    </row>
    <row r="36565">
      <c r="A36565" s="4" t="s">
        <v>45986</v>
      </c>
      <c r="B36565" s="4" t="s">
        <v>45991</v>
      </c>
      <c r="C36565" s="5" t="str">
        <f>IFERROR(__xludf.DUMMYFUNCTION("GOOGLETRANSLATE(B36565,""en"",""it"")"),"Immergono il bastone in un secchio di acqua insaponata e continuano a lavare l'auto.")</f>
        <v>Immergono il bastone in un secchio di acqua insaponata e continuano a lavare l'auto.</v>
      </c>
    </row>
    <row r="36566">
      <c r="A36566" s="4" t="s">
        <v>45986</v>
      </c>
      <c r="B36566" s="4" t="s">
        <v>45992</v>
      </c>
      <c r="C36566" s="5" t="str">
        <f>IFERROR(__xludf.DUMMYFUNCTION("GOOGLETRANSLATE(B36566,""en"",""it"")"),"Tengono il tubo e versano l'acqua sul viso.")</f>
        <v>Tengono il tubo e versano l'acqua sul viso.</v>
      </c>
    </row>
    <row r="36567">
      <c r="A36567" s="4" t="s">
        <v>45986</v>
      </c>
      <c r="B36567" s="4" t="s">
        <v>45993</v>
      </c>
      <c r="C36567" s="5" t="str">
        <f>IFERROR(__xludf.DUMMYFUNCTION("GOOGLETRANSLATE(B36567,""en"",""it"")"),"Si tolgono gli occhiali da sole alla fine e si asciugano il viso.")</f>
        <v>Si tolgono gli occhiali da sole alla fine e si asciugano il viso.</v>
      </c>
    </row>
    <row r="36568">
      <c r="A36568" s="4" t="s">
        <v>45994</v>
      </c>
      <c r="B36568" s="4" t="s">
        <v>45995</v>
      </c>
      <c r="C36568" s="5" t="str">
        <f>IFERROR(__xludf.DUMMYFUNCTION("GOOGLETRANSLATE(B36568,""en"",""it"")"),"Due persone sono in piedi davanti a una performance di strada.")</f>
        <v>Due persone sono in piedi davanti a una performance di strada.</v>
      </c>
    </row>
    <row r="36569">
      <c r="A36569" s="4" t="s">
        <v>45994</v>
      </c>
      <c r="B36569" s="4" t="s">
        <v>45996</v>
      </c>
      <c r="C36569" s="5" t="str">
        <f>IFERROR(__xludf.DUMMYFUNCTION("GOOGLETRANSLATE(B36569,""en"",""it"")"),"Vediamo un gruppo di persone mentre due usano una corda per saltare.")</f>
        <v>Vediamo un gruppo di persone mentre due usano una corda per saltare.</v>
      </c>
    </row>
    <row r="36570">
      <c r="A36570" s="4" t="s">
        <v>45994</v>
      </c>
      <c r="B36570" s="4" t="s">
        <v>45997</v>
      </c>
      <c r="C36570" s="5" t="str">
        <f>IFERROR(__xludf.DUMMYFUNCTION("GOOGLETRANSLATE(B36570,""en"",""it"")"),"Molti altri saltano dentro, saltando sopra la corda, lanciando e facendo acrobazie.")</f>
        <v>Molti altri saltano dentro, saltando sopra la corda, lanciando e facendo acrobazie.</v>
      </c>
    </row>
    <row r="36571">
      <c r="A36571" s="4" t="s">
        <v>45998</v>
      </c>
      <c r="B36571" s="4" t="s">
        <v>45999</v>
      </c>
      <c r="C36571" s="5" t="str">
        <f>IFERROR(__xludf.DUMMYFUNCTION("GOOGLETRANSLATE(B36571,""en"",""it"")"),"Un uomo si allontana da una scrivania.")</f>
        <v>Un uomo si allontana da una scrivania.</v>
      </c>
    </row>
    <row r="36572">
      <c r="A36572" s="4" t="s">
        <v>45998</v>
      </c>
      <c r="B36572" s="4" t="s">
        <v>46000</v>
      </c>
      <c r="C36572" s="5" t="str">
        <f>IFERROR(__xludf.DUMMYFUNCTION("GOOGLETRANSLATE(B36572,""en"",""it"")"),"L'uomo applica il suo guanto alla mano sinistra.")</f>
        <v>L'uomo applica il suo guanto alla mano sinistra.</v>
      </c>
    </row>
    <row r="36573">
      <c r="A36573" s="4" t="s">
        <v>45998</v>
      </c>
      <c r="B36573" s="4" t="s">
        <v>46001</v>
      </c>
      <c r="C36573" s="5" t="str">
        <f>IFERROR(__xludf.DUMMYFUNCTION("GOOGLETRANSLATE(B36573,""en"",""it"")"),"L'uomo tocca un metallo con un saldatore.")</f>
        <v>L'uomo tocca un metallo con un saldatore.</v>
      </c>
    </row>
    <row r="36574">
      <c r="A36574" s="4" t="s">
        <v>45998</v>
      </c>
      <c r="B36574" s="4" t="s">
        <v>46002</v>
      </c>
      <c r="C36574" s="5" t="str">
        <f>IFERROR(__xludf.DUMMYFUNCTION("GOOGLETRANSLATE(B36574,""en"",""it"")"),"L'uomo soldato sul pezzo di metallo.")</f>
        <v>L'uomo soldato sul pezzo di metallo.</v>
      </c>
    </row>
    <row r="36575">
      <c r="A36575" s="4" t="s">
        <v>45998</v>
      </c>
      <c r="B36575" s="4" t="s">
        <v>46003</v>
      </c>
      <c r="C36575" s="5" t="str">
        <f>IFERROR(__xludf.DUMMYFUNCTION("GOOGLETRANSLATE(B36575,""en"",""it"")"),"L'uomo smette di saldare il metallo.")</f>
        <v>L'uomo smette di saldare il metallo.</v>
      </c>
    </row>
    <row r="36576">
      <c r="A36576" s="4" t="s">
        <v>45998</v>
      </c>
      <c r="B36576" s="4" t="s">
        <v>46004</v>
      </c>
      <c r="C36576" s="5" t="str">
        <f>IFERROR(__xludf.DUMMYFUNCTION("GOOGLETRANSLATE(B36576,""en"",""it"")"),"L'uomo rimuove il guanto e fa il fumo dal pezzo di metallo.")</f>
        <v>L'uomo rimuove il guanto e fa il fumo dal pezzo di metallo.</v>
      </c>
    </row>
    <row r="36577">
      <c r="A36577" s="4" t="s">
        <v>46005</v>
      </c>
      <c r="B36577" s="6" t="s">
        <v>46006</v>
      </c>
      <c r="C36577" s="5" t="str">
        <f>IFERROR(__xludf.DUMMYFUNCTION("GOOGLETRANSLATE(B36577,""en"",""it"")"),"Un uomo che indossa pantaloni neri, una camicia a quadri e un berretto da baseball taglia una siepe verde scuro con un ribasso elettrico.")</f>
        <v>Un uomo che indossa pantaloni neri, una camicia a quadri e un berretto da baseball taglia una siepe verde scuro con un ribasso elettrico.</v>
      </c>
    </row>
    <row r="36578">
      <c r="A36578" s="4" t="s">
        <v>46005</v>
      </c>
      <c r="B36578" s="4" t="s">
        <v>46007</v>
      </c>
      <c r="C36578" s="5" t="str">
        <f>IFERROR(__xludf.DUMMYFUNCTION("GOOGLETRANSLATE(B36578,""en"",""it"")"),"L'uomo taglia una siepe verde chiaro più piccola con il trimmer.")</f>
        <v>L'uomo taglia una siepe verde chiaro più piccola con il trimmer.</v>
      </c>
    </row>
    <row r="36579">
      <c r="A36579" s="4" t="s">
        <v>46005</v>
      </c>
      <c r="B36579" s="4" t="s">
        <v>46008</v>
      </c>
      <c r="C36579" s="5" t="str">
        <f>IFERROR(__xludf.DUMMYFUNCTION("GOOGLETRANSLATE(B36579,""en"",""it"")"),"L'uomo taglia un'altra siepe con il trimmer.")</f>
        <v>L'uomo taglia un'altra siepe con il trimmer.</v>
      </c>
    </row>
    <row r="36580">
      <c r="A36580" s="4" t="s">
        <v>46005</v>
      </c>
      <c r="B36580" s="4" t="s">
        <v>46009</v>
      </c>
      <c r="C36580" s="5" t="str">
        <f>IFERROR(__xludf.DUMMYFUNCTION("GOOGLETRANSLATE(B36580,""en"",""it"")"),"La scena è accelerata e contiene rumori ambientali.")</f>
        <v>La scena è accelerata e contiene rumori ambientali.</v>
      </c>
    </row>
    <row r="36581">
      <c r="A36581" s="4" t="s">
        <v>46010</v>
      </c>
      <c r="B36581" s="4" t="s">
        <v>46011</v>
      </c>
      <c r="C36581" s="5" t="str">
        <f>IFERROR(__xludf.DUMMYFUNCTION("GOOGLETRANSLATE(B36581,""en"",""it"")"),"Viene visto un uomo parlare con la telecamera all'interno e all'esterno.")</f>
        <v>Viene visto un uomo parlare con la telecamera all'interno e all'esterno.</v>
      </c>
    </row>
    <row r="36582">
      <c r="A36582" s="4" t="s">
        <v>46010</v>
      </c>
      <c r="B36582" s="4" t="s">
        <v>46012</v>
      </c>
      <c r="C36582" s="5" t="str">
        <f>IFERROR(__xludf.DUMMYFUNCTION("GOOGLETRANSLATE(B36582,""en"",""it"")"),"Indica diversi oggetti mentre conduce lo sporco che viene mostrato così come l'intonaco.")</f>
        <v>Indica diversi oggetti mentre conduce lo sporco che viene mostrato così come l'intonaco.</v>
      </c>
    </row>
    <row r="36583">
      <c r="A36583" s="4" t="s">
        <v>46010</v>
      </c>
      <c r="B36583" s="4" t="s">
        <v>46013</v>
      </c>
      <c r="C36583" s="5" t="str">
        <f>IFERROR(__xludf.DUMMYFUNCTION("GOOGLETRANSLATE(B36583,""en"",""it"")"),"Le persone sono viste mettere intonaco su tutte le pareti mentre l'uomo continua a parlare.")</f>
        <v>Le persone sono viste mettere intonaco su tutte le pareti mentre l'uomo continua a parlare.</v>
      </c>
    </row>
    <row r="36584">
      <c r="A36584" s="4" t="s">
        <v>46014</v>
      </c>
      <c r="B36584" s="6" t="s">
        <v>46015</v>
      </c>
      <c r="C36584" s="5" t="str">
        <f>IFERROR(__xludf.DUMMYFUNCTION("GOOGLETRANSLATE(B36584,""en"",""it"")"),"C'è un allenatore di fitness che rappresenta il fitness Fitcast in una palestra che dimostra come fare una pallaffia alta in ginocchio.")</f>
        <v>C'è un allenatore di fitness che rappresenta il fitness Fitcast in una palestra che dimostra come fare una pallaffia alta in ginocchio.</v>
      </c>
    </row>
    <row r="36585">
      <c r="A36585" s="4" t="s">
        <v>46014</v>
      </c>
      <c r="B36585" s="4" t="s">
        <v>46016</v>
      </c>
      <c r="C36585" s="5" t="str">
        <f>IFERROR(__xludf.DUMMYFUNCTION("GOOGLETRANSLATE(B36585,""en"",""it"")"),"Si inginocchia sul pavimento con una camicia nera e pantaloni della tuta grigi.")</f>
        <v>Si inginocchia sul pavimento con una camicia nera e pantaloni della tuta grigi.</v>
      </c>
    </row>
    <row r="36586">
      <c r="A36586" s="4" t="s">
        <v>46014</v>
      </c>
      <c r="B36586" s="6" t="s">
        <v>46017</v>
      </c>
      <c r="C36586" s="5" t="str">
        <f>IFERROR(__xludf.DUMMYFUNCTION("GOOGLETRANSLATE(B36586,""en"",""it"")"),"Sta tirando le maniglie del pallone con entrambe le mani verso il petto mentre si tiene la schiena e le spalle dritte.")</f>
        <v>Sta tirando le maniglie del pallone con entrambe le mani verso il petto mentre si tiene la schiena e le spalle dritte.</v>
      </c>
    </row>
    <row r="36587">
      <c r="A36587" s="4" t="s">
        <v>46018</v>
      </c>
      <c r="B36587" s="4" t="s">
        <v>46019</v>
      </c>
      <c r="C36587" s="5" t="str">
        <f>IFERROR(__xludf.DUMMYFUNCTION("GOOGLETRANSLATE(B36587,""en"",""it"")"),"Un uomo in un garage si trova su una tavola di legno.")</f>
        <v>Un uomo in un garage si trova su una tavola di legno.</v>
      </c>
    </row>
    <row r="36588">
      <c r="A36588" s="4" t="s">
        <v>46018</v>
      </c>
      <c r="B36588" s="4" t="s">
        <v>46020</v>
      </c>
      <c r="C36588" s="5" t="str">
        <f>IFERROR(__xludf.DUMMYFUNCTION("GOOGLETRANSLATE(B36588,""en"",""it"")"),"L'uomo toglie un po 'di pasta bianca da una lattina, aggiunge un po' di colorazione e la mescola.")</f>
        <v>L'uomo toglie un po 'di pasta bianca da una lattina, aggiunge un po' di colorazione e la mescola.</v>
      </c>
    </row>
    <row r="36589">
      <c r="A36589" s="4" t="s">
        <v>46018</v>
      </c>
      <c r="B36589" s="4" t="s">
        <v>46021</v>
      </c>
      <c r="C36589" s="5" t="str">
        <f>IFERROR(__xludf.DUMMYFUNCTION("GOOGLETRANSLATE(B36589,""en"",""it"")"),"L'uomo applica la pasta di colore marrone ai fori nel legno.")</f>
        <v>L'uomo applica la pasta di colore marrone ai fori nel legno.</v>
      </c>
    </row>
    <row r="36590">
      <c r="A36590" s="4" t="s">
        <v>46022</v>
      </c>
      <c r="B36590" s="4" t="s">
        <v>46023</v>
      </c>
      <c r="C36590" s="5" t="str">
        <f>IFERROR(__xludf.DUMMYFUNCTION("GOOGLETRANSLATE(B36590,""en"",""it"")"),"Un colpo di spille viene mostrato seduto su una corsia seguita da un uomo che cammina nella cornice.")</f>
        <v>Un colpo di spille viene mostrato seduto su una corsia seguita da un uomo che cammina nella cornice.</v>
      </c>
    </row>
    <row r="36591">
      <c r="A36591" s="4" t="s">
        <v>46022</v>
      </c>
      <c r="B36591" s="4" t="s">
        <v>46024</v>
      </c>
      <c r="C36591" s="5" t="str">
        <f>IFERROR(__xludf.DUMMYFUNCTION("GOOGLETRANSLATE(B36591,""en"",""it"")"),"L'uomo gira una palla per aggirare i perni per colpire di più alla fine.")</f>
        <v>L'uomo gira una palla per aggirare i perni per colpire di più alla fine.</v>
      </c>
    </row>
    <row r="36592">
      <c r="A36592" s="4" t="s">
        <v>46022</v>
      </c>
      <c r="B36592" s="4" t="s">
        <v>46025</v>
      </c>
      <c r="C36592" s="5" t="str">
        <f>IFERROR(__xludf.DUMMYFUNCTION("GOOGLETRANSLATE(B36592,""en"",""it"")"),"La persona gira un'altra palla che viene seguita poco dopo.")</f>
        <v>La persona gira un'altra palla che viene seguita poco dopo.</v>
      </c>
    </row>
    <row r="36593">
      <c r="A36593" s="4" t="s">
        <v>46026</v>
      </c>
      <c r="B36593" s="4" t="s">
        <v>46027</v>
      </c>
      <c r="C36593" s="5" t="str">
        <f>IFERROR(__xludf.DUMMYFUNCTION("GOOGLETRANSLATE(B36593,""en"",""it"")"),"Una donna che indossa un grembiule sta parlando e raccoglie un secchio con rifornimenti.")</f>
        <v>Una donna che indossa un grembiule sta parlando e raccoglie un secchio con rifornimenti.</v>
      </c>
    </row>
    <row r="36594">
      <c r="A36594" s="4" t="s">
        <v>46026</v>
      </c>
      <c r="B36594" s="4" t="s">
        <v>46028</v>
      </c>
      <c r="C36594" s="5" t="str">
        <f>IFERROR(__xludf.DUMMYFUNCTION("GOOGLETRANSLATE(B36594,""en"",""it"")"),"Afferra un pennello e pulisce una finestra.")</f>
        <v>Afferra un pennello e pulisce una finestra.</v>
      </c>
    </row>
    <row r="36595">
      <c r="A36595" s="4" t="s">
        <v>46026</v>
      </c>
      <c r="B36595" s="4" t="s">
        <v>46029</v>
      </c>
      <c r="C36595" s="5" t="str">
        <f>IFERROR(__xludf.DUMMYFUNCTION("GOOGLETRANSLATE(B36595,""en"",""it"")"),"Afferra uno spremere e rimuove l'acqua in eccesso dalla finestra.")</f>
        <v>Afferra uno spremere e rimuove l'acqua in eccesso dalla finestra.</v>
      </c>
    </row>
    <row r="36596">
      <c r="A36596" s="4" t="s">
        <v>46030</v>
      </c>
      <c r="B36596" s="4" t="s">
        <v>9910</v>
      </c>
      <c r="C36596" s="5" t="str">
        <f>IFERROR(__xludf.DUMMYFUNCTION("GOOGLETRANSLATE(B36596,""en"",""it"")"),"Un uomo salta su un raggio di equilibrio.")</f>
        <v>Un uomo salta su un raggio di equilibrio.</v>
      </c>
    </row>
    <row r="36597">
      <c r="A36597" s="4" t="s">
        <v>46030</v>
      </c>
      <c r="B36597" s="4" t="s">
        <v>46031</v>
      </c>
      <c r="C36597" s="5" t="str">
        <f>IFERROR(__xludf.DUMMYFUNCTION("GOOGLETRANSLATE(B36597,""en"",""it"")"),"Fa una routine di ginnastica sul raggio.")</f>
        <v>Fa una routine di ginnastica sul raggio.</v>
      </c>
    </row>
    <row r="36598">
      <c r="A36598" s="4" t="s">
        <v>46030</v>
      </c>
      <c r="B36598" s="4" t="s">
        <v>46032</v>
      </c>
      <c r="C36598" s="5" t="str">
        <f>IFERROR(__xludf.DUMMYFUNCTION("GOOGLETRANSLATE(B36598,""en"",""it"")"),"Fa una mano prima di saltare su un tappetino.")</f>
        <v>Fa una mano prima di saltare su un tappetino.</v>
      </c>
    </row>
    <row r="36599">
      <c r="A36599" s="4" t="s">
        <v>46033</v>
      </c>
      <c r="B36599" s="4" t="s">
        <v>46034</v>
      </c>
      <c r="C36599" s="5" t="str">
        <f>IFERROR(__xludf.DUMMYFUNCTION("GOOGLETRANSLATE(B36599,""en"",""it"")"),"Un uomo soffia foglie morte di un cortile.")</f>
        <v>Un uomo soffia foglie morte di un cortile.</v>
      </c>
    </row>
    <row r="36600">
      <c r="A36600" s="4" t="s">
        <v>46033</v>
      </c>
      <c r="B36600" s="4" t="s">
        <v>46035</v>
      </c>
      <c r="C36600" s="5" t="str">
        <f>IFERROR(__xludf.DUMMYFUNCTION("GOOGLETRANSLATE(B36600,""en"",""it"")"),"Una persona fa un mucchio di foglie morte.")</f>
        <v>Una persona fa un mucchio di foglie morte.</v>
      </c>
    </row>
    <row r="36601">
      <c r="A36601" s="4" t="s">
        <v>46036</v>
      </c>
      <c r="B36601" s="4" t="s">
        <v>46037</v>
      </c>
      <c r="C36601" s="5" t="str">
        <f>IFERROR(__xludf.DUMMYFUNCTION("GOOGLETRANSLATE(B36601,""en"",""it"")"),"Un uomo ha un grande aquilone in un grande campo.")</f>
        <v>Un uomo ha un grande aquilone in un grande campo.</v>
      </c>
    </row>
    <row r="36602">
      <c r="A36602" s="4" t="s">
        <v>46036</v>
      </c>
      <c r="B36602" s="4" t="s">
        <v>46038</v>
      </c>
      <c r="C36602" s="5" t="str">
        <f>IFERROR(__xludf.DUMMYFUNCTION("GOOGLETRANSLATE(B36602,""en"",""it"")"),"Un cane insegue l'uomo mentre corre e salta.")</f>
        <v>Un cane insegue l'uomo mentre corre e salta.</v>
      </c>
    </row>
    <row r="36603">
      <c r="A36603" s="4" t="s">
        <v>46036</v>
      </c>
      <c r="B36603" s="4" t="s">
        <v>46039</v>
      </c>
      <c r="C36603" s="5" t="str">
        <f>IFERROR(__xludf.DUMMYFUNCTION("GOOGLETRANSLATE(B36603,""en"",""it"")"),"L'uomo porta l'aquilone a terra.")</f>
        <v>L'uomo porta l'aquilone a terra.</v>
      </c>
    </row>
    <row r="36604">
      <c r="A36604" s="4" t="s">
        <v>46040</v>
      </c>
      <c r="B36604" s="4" t="s">
        <v>46041</v>
      </c>
      <c r="C36604" s="5" t="str">
        <f>IFERROR(__xludf.DUMMYFUNCTION("GOOGLETRANSLATE(B36604,""en"",""it"")"),"Un uomo sta riversando qualcosa su un grande fuoco da campo.")</f>
        <v>Un uomo sta riversando qualcosa su un grande fuoco da campo.</v>
      </c>
    </row>
    <row r="36605">
      <c r="A36605" s="4" t="s">
        <v>46040</v>
      </c>
      <c r="B36605" s="4" t="s">
        <v>46042</v>
      </c>
      <c r="C36605" s="5" t="str">
        <f>IFERROR(__xludf.DUMMYFUNCTION("GOOGLETRANSLATE(B36605,""en"",""it"")"),"Un cane cammina per il campeggio.")</f>
        <v>Un cane cammina per il campeggio.</v>
      </c>
    </row>
    <row r="36606">
      <c r="A36606" s="4" t="s">
        <v>46040</v>
      </c>
      <c r="B36606" s="4" t="s">
        <v>46043</v>
      </c>
      <c r="C36606" s="5" t="str">
        <f>IFERROR(__xludf.DUMMYFUNCTION("GOOGLETRANSLATE(B36606,""en"",""it"")"),"Una persona con una camicia gialla che tiene una coperta cammina attorno al fuoco.")</f>
        <v>Una persona con una camicia gialla che tiene una coperta cammina attorno al fuoco.</v>
      </c>
    </row>
    <row r="36607">
      <c r="A36607" s="4" t="s">
        <v>46044</v>
      </c>
      <c r="B36607" s="4" t="s">
        <v>46045</v>
      </c>
      <c r="C36607" s="5" t="str">
        <f>IFERROR(__xludf.DUMMYFUNCTION("GOOGLETRANSLATE(B36607,""en"",""it"")"),"Una ragazza in un vestito scintillante balla su un pavimento in legno.")</f>
        <v>Una ragazza in un vestito scintillante balla su un pavimento in legno.</v>
      </c>
    </row>
    <row r="36608">
      <c r="A36608" s="4" t="s">
        <v>46044</v>
      </c>
      <c r="B36608" s="4" t="s">
        <v>46046</v>
      </c>
      <c r="C36608" s="5" t="str">
        <f>IFERROR(__xludf.DUMMYFUNCTION("GOOGLETRANSLATE(B36608,""en"",""it"")"),"Tira fuori mangimi e li fa roteare mentre balla.")</f>
        <v>Tira fuori mangimi e li fa roteare mentre balla.</v>
      </c>
    </row>
    <row r="36609">
      <c r="A36609" s="4" t="s">
        <v>46044</v>
      </c>
      <c r="B36609" s="4" t="s">
        <v>46047</v>
      </c>
      <c r="C36609" s="5" t="str">
        <f>IFERROR(__xludf.DUMMYFUNCTION("GOOGLETRANSLATE(B36609,""en"",""it"")"),"Si siede a terra dopo aver terminato la sua esibizione.")</f>
        <v>Si siede a terra dopo aver terminato la sua esibizione.</v>
      </c>
    </row>
    <row r="36610">
      <c r="A36610" s="4" t="s">
        <v>46048</v>
      </c>
      <c r="B36610" s="4" t="s">
        <v>6958</v>
      </c>
      <c r="C36610" s="5" t="str">
        <f>IFERROR(__xludf.DUMMYFUNCTION("GOOGLETRANSLATE(B36610,""en"",""it"")"),"Vediamo uno schermo di apertura bianco.")</f>
        <v>Vediamo uno schermo di apertura bianco.</v>
      </c>
    </row>
    <row r="36611">
      <c r="A36611" s="4" t="s">
        <v>46048</v>
      </c>
      <c r="B36611" s="4" t="s">
        <v>46049</v>
      </c>
      <c r="C36611" s="5" t="str">
        <f>IFERROR(__xludf.DUMMYFUNCTION("GOOGLETRANSLATE(B36611,""en"",""it"")"),"Vediamo un uomo schiacciare un basket che indossa passioni da salto.")</f>
        <v>Vediamo un uomo schiacciare un basket che indossa passioni da salto.</v>
      </c>
    </row>
    <row r="36612">
      <c r="A36612" s="4" t="s">
        <v>46048</v>
      </c>
      <c r="B36612" s="4" t="s">
        <v>46050</v>
      </c>
      <c r="C36612" s="5" t="str">
        <f>IFERROR(__xludf.DUMMYFUNCTION("GOOGLETRANSLATE(B36612,""en"",""it"")"),"Vediamo un altro uomo rimbalzare la palla e l'uomo di salto mira di nuovo.")</f>
        <v>Vediamo un altro uomo rimbalzare la palla e l'uomo di salto mira di nuovo.</v>
      </c>
    </row>
    <row r="36613">
      <c r="A36613" s="4" t="s">
        <v>46048</v>
      </c>
      <c r="B36613" s="4" t="s">
        <v>46051</v>
      </c>
      <c r="C36613" s="5" t="str">
        <f>IFERROR(__xludf.DUMMYFUNCTION("GOOGLETRANSLATE(B36613,""en"",""it"")"),"Vediamo quindi la schermata di apertura per la chiusura.")</f>
        <v>Vediamo quindi la schermata di apertura per la chiusura.</v>
      </c>
    </row>
    <row r="36614">
      <c r="A36614" s="4" t="s">
        <v>46052</v>
      </c>
      <c r="B36614" s="4" t="s">
        <v>46053</v>
      </c>
      <c r="C36614" s="5" t="str">
        <f>IFERROR(__xludf.DUMMYFUNCTION("GOOGLETRANSLATE(B36614,""en"",""it"")"),"Un gruppo di cheerleader corre su un palco davanti a un pubblico incoraggiante.")</f>
        <v>Un gruppo di cheerleader corre su un palco davanti a un pubblico incoraggiante.</v>
      </c>
    </row>
    <row r="36615">
      <c r="A36615" s="4" t="s">
        <v>46052</v>
      </c>
      <c r="B36615" s="4" t="s">
        <v>46054</v>
      </c>
      <c r="C36615" s="5" t="str">
        <f>IFERROR(__xludf.DUMMYFUNCTION("GOOGLETRANSLATE(B36615,""en"",""it"")"),"Entrano in formazione, quindi iniziano a ballare e girare mentre le cheerleader maschi si uniscono a loro.")</f>
        <v>Entrano in formazione, quindi iniziano a ballare e girare mentre le cheerleader maschi si uniscono a loro.</v>
      </c>
    </row>
    <row r="36616">
      <c r="A36616" s="4" t="s">
        <v>46052</v>
      </c>
      <c r="B36616" s="4" t="s">
        <v>46055</v>
      </c>
      <c r="C36616" s="5" t="str">
        <f>IFERROR(__xludf.DUMMYFUNCTION("GOOGLETRANSLATE(B36616,""en"",""it"")"),"Continuano tutti a ballare e girare, facendo molle a mano.")</f>
        <v>Continuano tutti a ballare e girare, facendo molle a mano.</v>
      </c>
    </row>
    <row r="36617">
      <c r="A36617" s="4" t="s">
        <v>46052</v>
      </c>
      <c r="B36617" s="4" t="s">
        <v>46056</v>
      </c>
      <c r="C36617" s="5" t="str">
        <f>IFERROR(__xludf.DUMMYFUNCTION("GOOGLETRANSLATE(B36617,""en"",""it"")"),"Quando hanno finito, saltano su e giù felici e scendono dal palco, sfiniti.")</f>
        <v>Quando hanno finito, saltano su e giù felici e scendono dal palco, sfiniti.</v>
      </c>
    </row>
    <row r="36618">
      <c r="A36618" s="4" t="s">
        <v>46057</v>
      </c>
      <c r="B36618" s="4" t="s">
        <v>46058</v>
      </c>
      <c r="C36618" s="5" t="str">
        <f>IFERROR(__xludf.DUMMYFUNCTION("GOOGLETRANSLATE(B36618,""en"",""it"")"),"Un uomo solleva una ragazza per raggiungere il lavandino in un bagno.")</f>
        <v>Un uomo solleva una ragazza per raggiungere il lavandino in un bagno.</v>
      </c>
    </row>
    <row r="36619">
      <c r="A36619" s="4" t="s">
        <v>46057</v>
      </c>
      <c r="B36619" s="4" t="s">
        <v>46059</v>
      </c>
      <c r="C36619" s="5" t="str">
        <f>IFERROR(__xludf.DUMMYFUNCTION("GOOGLETRANSLATE(B36619,""en"",""it"")"),"Sia l'uomo che la ragazza raggiungono lo spazzolino e aggiungono dentifricio allo stesso tempo.")</f>
        <v>Sia l'uomo che la ragazza raggiungono lo spazzolino e aggiungono dentifricio allo stesso tempo.</v>
      </c>
    </row>
    <row r="36620">
      <c r="A36620" s="4" t="s">
        <v>46057</v>
      </c>
      <c r="B36620" s="4" t="s">
        <v>46060</v>
      </c>
      <c r="C36620" s="5" t="str">
        <f>IFERROR(__xludf.DUMMYFUNCTION("GOOGLETRANSLATE(B36620,""en"",""it"")"),"Si guardano allo specchio insieme mentre l'uomo mostra alla ragazza come lavarsi i denti correttamente.")</f>
        <v>Si guardano allo specchio insieme mentre l'uomo mostra alla ragazza come lavarsi i denti correttamente.</v>
      </c>
    </row>
    <row r="36621">
      <c r="A36621" s="4" t="s">
        <v>46057</v>
      </c>
      <c r="B36621" s="4" t="s">
        <v>46061</v>
      </c>
      <c r="C36621" s="5" t="str">
        <f>IFERROR(__xludf.DUMMYFUNCTION("GOOGLETRANSLATE(B36621,""en"",""it"")"),"Sciacquano e sorridono ai loro denti puliti allo specchio.")</f>
        <v>Sciacquano e sorridono ai loro denti puliti allo specchio.</v>
      </c>
    </row>
    <row r="36622">
      <c r="A36622" s="4" t="s">
        <v>46057</v>
      </c>
      <c r="B36622" s="4" t="s">
        <v>46062</v>
      </c>
      <c r="C36622" s="5" t="str">
        <f>IFERROR(__xludf.DUMMYFUNCTION("GOOGLETRANSLATE(B36622,""en"",""it"")"),"L'uomo insegna quindi alla ragazza al filo interdentale.")</f>
        <v>L'uomo insegna quindi alla ragazza al filo interdentale.</v>
      </c>
    </row>
    <row r="36623">
      <c r="A36623" s="4" t="s">
        <v>46057</v>
      </c>
      <c r="B36623" s="4" t="s">
        <v>46063</v>
      </c>
      <c r="C36623" s="5" t="str">
        <f>IFERROR(__xludf.DUMMYFUNCTION("GOOGLETRANSLATE(B36623,""en"",""it"")"),"Mettono via gli spazzolini da denti e l'uomo aiuta la ragazza a tornare a terra.")</f>
        <v>Mettono via gli spazzolini da denti e l'uomo aiuta la ragazza a tornare a terra.</v>
      </c>
    </row>
    <row r="36624">
      <c r="A36624" s="4" t="s">
        <v>46057</v>
      </c>
      <c r="B36624" s="4" t="s">
        <v>46064</v>
      </c>
      <c r="C36624" s="5" t="str">
        <f>IFERROR(__xludf.DUMMYFUNCTION("GOOGLETRANSLATE(B36624,""en"",""it"")"),"Si allontanano insieme e spegnano la luce del bagno.")</f>
        <v>Si allontanano insieme e spegnano la luce del bagno.</v>
      </c>
    </row>
    <row r="36625">
      <c r="A36625" s="4" t="s">
        <v>46065</v>
      </c>
      <c r="B36625" s="4" t="s">
        <v>46066</v>
      </c>
      <c r="C36625" s="5" t="str">
        <f>IFERROR(__xludf.DUMMYFUNCTION("GOOGLETRANSLATE(B36625,""en"",""it"")"),"Un uomo con una camicia nera sorride alla telecamera.")</f>
        <v>Un uomo con una camicia nera sorride alla telecamera.</v>
      </c>
    </row>
    <row r="36626">
      <c r="A36626" s="4" t="s">
        <v>46065</v>
      </c>
      <c r="B36626" s="4" t="s">
        <v>46067</v>
      </c>
      <c r="C36626" s="5" t="str">
        <f>IFERROR(__xludf.DUMMYFUNCTION("GOOGLETRANSLATE(B36626,""en"",""it"")"),"Estrae un'armonica e inizia a giocarci.")</f>
        <v>Estrae un'armonica e inizia a giocarci.</v>
      </c>
    </row>
    <row r="36627">
      <c r="A36627" s="4" t="s">
        <v>46065</v>
      </c>
      <c r="B36627" s="4" t="s">
        <v>46068</v>
      </c>
      <c r="C36627" s="5" t="str">
        <f>IFERROR(__xludf.DUMMYFUNCTION("GOOGLETRANSLATE(B36627,""en"",""it"")"),"Usa la mano per accentuare le note.")</f>
        <v>Usa la mano per accentuare le note.</v>
      </c>
    </row>
    <row r="36628">
      <c r="A36628" s="4" t="s">
        <v>46065</v>
      </c>
      <c r="B36628" s="4" t="s">
        <v>46069</v>
      </c>
      <c r="C36628" s="5" t="str">
        <f>IFERROR(__xludf.DUMMYFUNCTION("GOOGLETRANSLATE(B36628,""en"",""it"")"),"Alla fine finisce la canzone.")</f>
        <v>Alla fine finisce la canzone.</v>
      </c>
    </row>
    <row r="36629">
      <c r="A36629" s="4" t="s">
        <v>46070</v>
      </c>
      <c r="B36629" s="4" t="s">
        <v>46071</v>
      </c>
      <c r="C36629" s="5" t="str">
        <f>IFERROR(__xludf.DUMMYFUNCTION("GOOGLETRANSLATE(B36629,""en"",""it"")"),"Viene mostrata un'arena per auto paraurti seguita da persone che guidano e si imbattono l'una nell'altra.")</f>
        <v>Viene mostrata un'arena per auto paraurti seguita da persone che guidano e si imbattono l'una nell'altra.</v>
      </c>
    </row>
    <row r="36630">
      <c r="A36630" s="4" t="s">
        <v>46070</v>
      </c>
      <c r="B36630" s="6" t="s">
        <v>46072</v>
      </c>
      <c r="C36630" s="5" t="str">
        <f>IFERROR(__xludf.DUMMYFUNCTION("GOOGLETRANSLATE(B36630,""en"",""it"")"),"Vengono mostrati diversi scatti di persone che si schiantano l'una contro l'altra e alla fine un uomo che parla alla telecamera.")</f>
        <v>Vengono mostrati diversi scatti di persone che si schiantano l'una contro l'altra e alla fine un uomo che parla alla telecamera.</v>
      </c>
    </row>
    <row r="36631">
      <c r="A36631" s="4" t="s">
        <v>46073</v>
      </c>
      <c r="B36631" s="4" t="s">
        <v>46074</v>
      </c>
      <c r="C36631" s="5" t="str">
        <f>IFERROR(__xludf.DUMMYFUNCTION("GOOGLETRANSLATE(B36631,""en"",""it"")"),"Una persona sta cavalcando all'interno di una barca sull'acqua.")</f>
        <v>Una persona sta cavalcando all'interno di una barca sull'acqua.</v>
      </c>
    </row>
    <row r="36632">
      <c r="A36632" s="4" t="s">
        <v>46073</v>
      </c>
      <c r="B36632" s="4" t="s">
        <v>46075</v>
      </c>
      <c r="C36632" s="5" t="str">
        <f>IFERROR(__xludf.DUMMYFUNCTION("GOOGLETRANSLATE(B36632,""en"",""it"")"),"Stanno trascinando una persona sugli sci d'acqua.")</f>
        <v>Stanno trascinando una persona sugli sci d'acqua.</v>
      </c>
    </row>
    <row r="36633">
      <c r="A36633" s="4" t="s">
        <v>46073</v>
      </c>
      <c r="B36633" s="4" t="s">
        <v>46076</v>
      </c>
      <c r="C36633" s="5" t="str">
        <f>IFERROR(__xludf.DUMMYFUNCTION("GOOGLETRANSLATE(B36633,""en"",""it"")"),"La persona rimane in posizione verticale mentre vengono tirate rapidamente attraverso l'acqua.")</f>
        <v>La persona rimane in posizione verticale mentre vengono tirate rapidamente attraverso l'acqua.</v>
      </c>
    </row>
    <row r="36634">
      <c r="A36634" s="4" t="s">
        <v>46077</v>
      </c>
      <c r="B36634" s="4" t="s">
        <v>46078</v>
      </c>
      <c r="C36634" s="5" t="str">
        <f>IFERROR(__xludf.DUMMYFUNCTION("GOOGLETRANSLATE(B36634,""en"",""it"")"),"Una ragazza oscilla su barre di scimmia in un parco giochi all'aperto.")</f>
        <v>Una ragazza oscilla su barre di scimmia in un parco giochi all'aperto.</v>
      </c>
    </row>
    <row r="36635">
      <c r="A36635" s="4" t="s">
        <v>46077</v>
      </c>
      <c r="B36635" s="4" t="s">
        <v>46079</v>
      </c>
      <c r="C36635" s="5" t="str">
        <f>IFERROR(__xludf.DUMMYFUNCTION("GOOGLETRANSLATE(B36635,""en"",""it"")"),"La ragazza manca una barra di scimmia e poi perde la presa e cade a terra.")</f>
        <v>La ragazza manca una barra di scimmia e poi perde la presa e cade a terra.</v>
      </c>
    </row>
    <row r="36636">
      <c r="A36636" s="4" t="s">
        <v>46080</v>
      </c>
      <c r="B36636" s="4" t="s">
        <v>46081</v>
      </c>
      <c r="C36636" s="5" t="str">
        <f>IFERROR(__xludf.DUMMYFUNCTION("GOOGLETRANSLATE(B36636,""en"",""it"")"),"Le persone sono sedute in gradinate a guardare le persone.")</f>
        <v>Le persone sono sedute in gradinate a guardare le persone.</v>
      </c>
    </row>
    <row r="36637">
      <c r="A36637" s="4" t="s">
        <v>46080</v>
      </c>
      <c r="B36637" s="4" t="s">
        <v>46082</v>
      </c>
      <c r="C36637" s="5" t="str">
        <f>IFERROR(__xludf.DUMMYFUNCTION("GOOGLETRANSLATE(B36637,""en"",""it"")"),"Le persone nella stanza giocano a palla da parete.")</f>
        <v>Le persone nella stanza giocano a palla da parete.</v>
      </c>
    </row>
    <row r="36638">
      <c r="A36638" s="4" t="s">
        <v>46080</v>
      </c>
      <c r="B36638" s="4" t="s">
        <v>46083</v>
      </c>
      <c r="C36638" s="5" t="str">
        <f>IFERROR(__xludf.DUMMYFUNCTION("GOOGLETRANSLATE(B36638,""en"",""it"")"),"Un uomo sugli spalti gli mette le mani sul viso.")</f>
        <v>Un uomo sugli spalti gli mette le mani sul viso.</v>
      </c>
    </row>
    <row r="36639">
      <c r="A36639" s="4" t="s">
        <v>46084</v>
      </c>
      <c r="B36639" s="6" t="s">
        <v>46085</v>
      </c>
      <c r="C36639" s="5" t="str">
        <f>IFERROR(__xludf.DUMMYFUNCTION("GOOGLETRANSLATE(B36639,""en"",""it"")"),"Una donna viene vista eseguire una routine di danza del ventre in una stanza buia con una sola linea mostrata su di lei.")</f>
        <v>Una donna viene vista eseguire una routine di danza del ventre in una stanza buia con una sola linea mostrata su di lei.</v>
      </c>
    </row>
    <row r="36640">
      <c r="A36640" s="4" t="s">
        <v>46084</v>
      </c>
      <c r="B36640" s="4" t="s">
        <v>46086</v>
      </c>
      <c r="C36640" s="5" t="str">
        <f>IFERROR(__xludf.DUMMYFUNCTION("GOOGLETRANSLATE(B36640,""en"",""it"")"),"Continua a ballare per la stanza e termina nella stanza diventando scura mentre gira.")</f>
        <v>Continua a ballare per la stanza e termina nella stanza diventando scura mentre gira.</v>
      </c>
    </row>
    <row r="36641">
      <c r="A36641" s="4" t="s">
        <v>46087</v>
      </c>
      <c r="B36641" s="4" t="s">
        <v>46088</v>
      </c>
      <c r="C36641" s="5" t="str">
        <f>IFERROR(__xludf.DUMMYFUNCTION("GOOGLETRANSLATE(B36641,""en"",""it"")"),"Una donna che indossa una camicia bianca è seduta con il suo gatto bianco e nero in grembo.")</f>
        <v>Una donna che indossa una camicia bianca è seduta con il suo gatto bianco e nero in grembo.</v>
      </c>
    </row>
    <row r="36642">
      <c r="A36642" s="4" t="s">
        <v>46087</v>
      </c>
      <c r="B36642" s="4" t="s">
        <v>46089</v>
      </c>
      <c r="C36642" s="5" t="str">
        <f>IFERROR(__xludf.DUMMYFUNCTION("GOOGLETRANSLATE(B36642,""en"",""it"")"),"Sta tagliando le unghie dei gatti tenendo le zampe del gatto tra le mani.")</f>
        <v>Sta tagliando le unghie dei gatti tenendo le zampe del gatto tra le mani.</v>
      </c>
    </row>
    <row r="36643">
      <c r="A36643" s="4" t="s">
        <v>46087</v>
      </c>
      <c r="B36643" s="4" t="s">
        <v>46090</v>
      </c>
      <c r="C36643" s="5" t="str">
        <f>IFERROR(__xludf.DUMMYFUNCTION("GOOGLETRANSLATE(B36643,""en"",""it"")"),"Continua a ritagliare le unghie del gatto una per una.")</f>
        <v>Continua a ritagliare le unghie del gatto una per una.</v>
      </c>
    </row>
    <row r="36644">
      <c r="A36644" s="4" t="s">
        <v>46087</v>
      </c>
      <c r="B36644" s="4" t="s">
        <v>46091</v>
      </c>
      <c r="C36644" s="5" t="str">
        <f>IFERROR(__xludf.DUMMYFUNCTION("GOOGLETRANSLATE(B36644,""en"",""it"")"),"Quando ha finito, bacia il gatto.")</f>
        <v>Quando ha finito, bacia il gatto.</v>
      </c>
    </row>
    <row r="36645">
      <c r="A36645" s="4" t="s">
        <v>46087</v>
      </c>
      <c r="B36645" s="4" t="s">
        <v>46092</v>
      </c>
      <c r="C36645" s="5" t="str">
        <f>IFERROR(__xludf.DUMMYFUNCTION("GOOGLETRANSLATE(B36645,""en"",""it"")"),"Quindi inizia a tagliare le unghie di un gatto marrone.")</f>
        <v>Quindi inizia a tagliare le unghie di un gatto marrone.</v>
      </c>
    </row>
    <row r="36646">
      <c r="A36646" s="4" t="s">
        <v>46087</v>
      </c>
      <c r="B36646" s="4" t="s">
        <v>46093</v>
      </c>
      <c r="C36646" s="5" t="str">
        <f>IFERROR(__xludf.DUMMYFUNCTION("GOOGLETRANSLATE(B36646,""en"",""it"")"),"Il gatto si siede con calma in grembo mentre finisce di tagliarsi le unghie.")</f>
        <v>Il gatto si siede con calma in grembo mentre finisce di tagliarsi le unghie.</v>
      </c>
    </row>
    <row r="36647">
      <c r="A36647" s="4" t="s">
        <v>46094</v>
      </c>
      <c r="B36647" s="4" t="s">
        <v>46095</v>
      </c>
      <c r="C36647" s="5" t="str">
        <f>IFERROR(__xludf.DUMMYFUNCTION("GOOGLETRANSLATE(B36647,""en"",""it"")"),"Una persona dipinge fiori su una tela bianca con un pennello fine.")</f>
        <v>Una persona dipinge fiori su una tela bianca con un pennello fine.</v>
      </c>
    </row>
    <row r="36648">
      <c r="A36648" s="4" t="s">
        <v>46094</v>
      </c>
      <c r="B36648" s="4" t="s">
        <v>46096</v>
      </c>
      <c r="C36648" s="5" t="str">
        <f>IFERROR(__xludf.DUMMYFUNCTION("GOOGLETRANSLATE(B36648,""en"",""it"")"),"La persona rimuove il dipinto dal tavolo e mostra il prodotto finito.")</f>
        <v>La persona rimuove il dipinto dal tavolo e mostra il prodotto finito.</v>
      </c>
    </row>
    <row r="36649">
      <c r="A36649" s="4" t="s">
        <v>46097</v>
      </c>
      <c r="B36649" s="4" t="s">
        <v>46098</v>
      </c>
      <c r="C36649" s="5" t="str">
        <f>IFERROR(__xludf.DUMMYFUNCTION("GOOGLETRANSLATE(B36649,""en"",""it"")"),"Le persone giocano e nuotano in una piscina.")</f>
        <v>Le persone giocano e nuotano in una piscina.</v>
      </c>
    </row>
    <row r="36650">
      <c r="A36650" s="4" t="s">
        <v>46097</v>
      </c>
      <c r="B36650" s="4" t="s">
        <v>46099</v>
      </c>
      <c r="C36650" s="5" t="str">
        <f>IFERROR(__xludf.DUMMYFUNCTION("GOOGLETRANSLATE(B36650,""en"",""it"")"),"Una ragazza fa una schiena da una tavola.")</f>
        <v>Una ragazza fa una schiena da una tavola.</v>
      </c>
    </row>
    <row r="36651">
      <c r="A36651" s="4" t="s">
        <v>46100</v>
      </c>
      <c r="B36651" s="4" t="s">
        <v>46101</v>
      </c>
      <c r="C36651" s="5" t="str">
        <f>IFERROR(__xludf.DUMMYFUNCTION("GOOGLETRANSLATE(B36651,""en"",""it"")"),"Una persona viene vista riempire un lavandino con acqua e tenere uno straccio nell'acqua.")</f>
        <v>Una persona viene vista riempire un lavandino con acqua e tenere uno straccio nell'acqua.</v>
      </c>
    </row>
    <row r="36652">
      <c r="A36652" s="4" t="s">
        <v>46100</v>
      </c>
      <c r="B36652" s="4" t="s">
        <v>46102</v>
      </c>
      <c r="C36652" s="5" t="str">
        <f>IFERROR(__xludf.DUMMYFUNCTION("GOOGLETRANSLATE(B36652,""en"",""it"")"),"Si strofina sul viso e lo lava con lo straccio e sorride allo specchio.")</f>
        <v>Si strofina sul viso e lo lava con lo straccio e sorride allo specchio.</v>
      </c>
    </row>
    <row r="36653">
      <c r="A36653" s="4" t="s">
        <v>46103</v>
      </c>
      <c r="B36653" s="4" t="s">
        <v>46104</v>
      </c>
      <c r="C36653" s="5" t="str">
        <f>IFERROR(__xludf.DUMMYFUNCTION("GOOGLETRANSLATE(B36653,""en"",""it"")"),"Una persona è appesa alle maniglie di un aquilone che vola in alto.")</f>
        <v>Una persona è appesa alle maniglie di un aquilone che vola in alto.</v>
      </c>
    </row>
    <row r="36654">
      <c r="A36654" s="4" t="s">
        <v>46103</v>
      </c>
      <c r="B36654" s="4" t="s">
        <v>46105</v>
      </c>
      <c r="C36654" s="5" t="str">
        <f>IFERROR(__xludf.DUMMYFUNCTION("GOOGLETRANSLATE(B36654,""en"",""it"")"),"L'aquilone cade man mano che il vento diminuisce.")</f>
        <v>L'aquilone cade man mano che il vento diminuisce.</v>
      </c>
    </row>
    <row r="36655">
      <c r="A36655" s="4" t="s">
        <v>46103</v>
      </c>
      <c r="B36655" s="4" t="s">
        <v>46106</v>
      </c>
      <c r="C36655" s="5" t="str">
        <f>IFERROR(__xludf.DUMMYFUNCTION("GOOGLETRANSLATE(B36655,""en"",""it"")"),"L'aquilone soffia duramente in aria mentre il vento riprende.")</f>
        <v>L'aquilone soffia duramente in aria mentre il vento riprende.</v>
      </c>
    </row>
    <row r="36656">
      <c r="A36656" s="4" t="s">
        <v>46107</v>
      </c>
      <c r="B36656" s="4" t="s">
        <v>46108</v>
      </c>
      <c r="C36656" s="5" t="str">
        <f>IFERROR(__xludf.DUMMYFUNCTION("GOOGLETRANSLATE(B36656,""en"",""it"")"),"Un uomo e una donna ballano su un terreno di cemento di notte sotto una luce di strada.")</f>
        <v>Un uomo e una donna ballano su un terreno di cemento di notte sotto una luce di strada.</v>
      </c>
    </row>
    <row r="36657">
      <c r="A36657" s="4" t="s">
        <v>46107</v>
      </c>
      <c r="B36657" s="6" t="s">
        <v>46109</v>
      </c>
      <c r="C36657" s="5" t="str">
        <f>IFERROR(__xludf.DUMMYFUNCTION("GOOGLETRANSLATE(B36657,""en"",""it"")"),"Sia l'uomo che la donna indossano una canotta nera e pantaloncini neri insieme a scarpe nere.")</f>
        <v>Sia l'uomo che la donna indossano una canotta nera e pantaloncini neri insieme a scarpe nere.</v>
      </c>
    </row>
    <row r="36658">
      <c r="A36658" s="4" t="s">
        <v>46107</v>
      </c>
      <c r="B36658" s="4" t="s">
        <v>46110</v>
      </c>
      <c r="C36658" s="5" t="str">
        <f>IFERROR(__xludf.DUMMYFUNCTION("GOOGLETRANSLATE(B36658,""en"",""it"")"),"Stanno ballando in modo sincronizzato seguendo i passaggi di danza coreografati a una canzone.")</f>
        <v>Stanno ballando in modo sincronizzato seguendo i passaggi di danza coreografati a una canzone.</v>
      </c>
    </row>
    <row r="36659">
      <c r="A36659" s="4" t="s">
        <v>46107</v>
      </c>
      <c r="B36659" s="4" t="s">
        <v>46111</v>
      </c>
      <c r="C36659" s="5" t="str">
        <f>IFERROR(__xludf.DUMMYFUNCTION("GOOGLETRANSLATE(B36659,""en"",""it"")"),"Si muovono le mani mentre sollevano la gamba destra in alto mentre ballano.")</f>
        <v>Si muovono le mani mentre sollevano la gamba destra in alto mentre ballano.</v>
      </c>
    </row>
    <row r="36660">
      <c r="A36660" s="4" t="s">
        <v>46107</v>
      </c>
      <c r="B36660" s="4" t="s">
        <v>46112</v>
      </c>
      <c r="C36660" s="5" t="str">
        <f>IFERROR(__xludf.DUMMYFUNCTION("GOOGLETRANSLATE(B36660,""en"",""it"")"),"Quindi scuotono i fianchi e le loro teste si sincronizzano sulla canzone.")</f>
        <v>Quindi scuotono i fianchi e le loro teste si sincronizzano sulla canzone.</v>
      </c>
    </row>
    <row r="36661">
      <c r="A36661" s="4" t="s">
        <v>46107</v>
      </c>
      <c r="B36661" s="4" t="s">
        <v>46113</v>
      </c>
      <c r="C36661" s="5" t="str">
        <f>IFERROR(__xludf.DUMMYFUNCTION("GOOGLETRANSLATE(B36661,""en"",""it"")"),"Quando la musica diventa più veloce, si muovono le mani in un movimento circolare.")</f>
        <v>Quando la musica diventa più veloce, si muovono le mani in un movimento circolare.</v>
      </c>
    </row>
    <row r="36662">
      <c r="A36662" s="4" t="s">
        <v>46107</v>
      </c>
      <c r="B36662" s="4" t="s">
        <v>46114</v>
      </c>
      <c r="C36662" s="5" t="str">
        <f>IFERROR(__xludf.DUMMYFUNCTION("GOOGLETRANSLATE(B36662,""en"",""it"")"),"Sollevano anche le ginocchia in alto mentre scuotono i loro corpi.")</f>
        <v>Sollevano anche le ginocchia in alto mentre scuotono i loro corpi.</v>
      </c>
    </row>
    <row r="36663">
      <c r="A36663" s="4" t="s">
        <v>46107</v>
      </c>
      <c r="B36663" s="4" t="s">
        <v>46115</v>
      </c>
      <c r="C36663" s="5" t="str">
        <f>IFERROR(__xludf.DUMMYFUNCTION("GOOGLETRANSLATE(B36663,""en"",""it"")"),"Ripeti i passaggi ogni volta che suona il coro della canzone.")</f>
        <v>Ripeti i passaggi ogni volta che suona il coro della canzone.</v>
      </c>
    </row>
    <row r="36664">
      <c r="A36664" s="4" t="s">
        <v>46107</v>
      </c>
      <c r="B36664" s="4" t="s">
        <v>46116</v>
      </c>
      <c r="C36664" s="5" t="str">
        <f>IFERROR(__xludf.DUMMYFUNCTION("GOOGLETRANSLATE(B36664,""en"",""it"")"),"Sollevano le ginocchia alternando tra le due gambe.")</f>
        <v>Sollevano le ginocchia alternando tra le due gambe.</v>
      </c>
    </row>
    <row r="36665">
      <c r="A36665" s="4" t="s">
        <v>46107</v>
      </c>
      <c r="B36665" s="4" t="s">
        <v>46117</v>
      </c>
      <c r="C36665" s="5" t="str">
        <f>IFERROR(__xludf.DUMMYFUNCTION("GOOGLETRANSLATE(B36665,""en"",""it"")"),"Continuano a ballare mentre sollevano i palmi delle mani dritti e muovono i fianchi.")</f>
        <v>Continuano a ballare mentre sollevano i palmi delle mani dritti e muovono i fianchi.</v>
      </c>
    </row>
    <row r="36666">
      <c r="A36666" s="4" t="s">
        <v>46107</v>
      </c>
      <c r="B36666" s="4" t="s">
        <v>46118</v>
      </c>
      <c r="C36666" s="5" t="str">
        <f>IFERROR(__xludf.DUMMYFUNCTION("GOOGLETRANSLATE(B36666,""en"",""it"")"),"Ripeti i passaggi mentre il coro della canzone si ripete.")</f>
        <v>Ripeti i passaggi mentre il coro della canzone si ripete.</v>
      </c>
    </row>
    <row r="36667">
      <c r="A36667" s="4" t="s">
        <v>46107</v>
      </c>
      <c r="B36667" s="4" t="s">
        <v>46119</v>
      </c>
      <c r="C36667" s="5" t="str">
        <f>IFERROR(__xludf.DUMMYFUNCTION("GOOGLETRANSLATE(B36667,""en"",""it"")"),"Finalmente dopo la fine della canzone, entrambi si fermano con le mani sui fianchi.")</f>
        <v>Finalmente dopo la fine della canzone, entrambi si fermano con le mani sui fianchi.</v>
      </c>
    </row>
    <row r="36668">
      <c r="A36668" s="4" t="s">
        <v>46120</v>
      </c>
      <c r="B36668" s="4" t="s">
        <v>46121</v>
      </c>
      <c r="C36668" s="5" t="str">
        <f>IFERROR(__xludf.DUMMYFUNCTION("GOOGLETRANSLATE(B36668,""en"",""it"")"),"Un uomo prende una patch e indossa una ruota mentre spiega e mostra materiali.")</f>
        <v>Un uomo prende una patch e indossa una ruota mentre spiega e mostra materiali.</v>
      </c>
    </row>
    <row r="36669">
      <c r="A36669" s="4" t="s">
        <v>46120</v>
      </c>
      <c r="B36669" s="4" t="s">
        <v>46122</v>
      </c>
      <c r="C36669" s="5" t="str">
        <f>IFERROR(__xludf.DUMMYFUNCTION("GOOGLETRANSLATE(B36669,""en"",""it"")"),"Quindi, l'uomo prende la ruota di una bici per riparare il foro del tubo applicando una patch.")</f>
        <v>Quindi, l'uomo prende la ruota di una bici per riparare il foro del tubo applicando una patch.</v>
      </c>
    </row>
    <row r="36670">
      <c r="A36670" s="4" t="s">
        <v>46120</v>
      </c>
      <c r="B36670" s="4" t="s">
        <v>46123</v>
      </c>
      <c r="C36670" s="5" t="str">
        <f>IFERROR(__xludf.DUMMYFUNCTION("GOOGLETRANSLATE(B36670,""en"",""it"")"),"Dopo, l'uomo mise il tubo sulla ruota e pompa l'aria alla ruota.")</f>
        <v>Dopo, l'uomo mise il tubo sulla ruota e pompa l'aria alla ruota.</v>
      </c>
    </row>
    <row r="36671">
      <c r="A36671" s="4" t="s">
        <v>46120</v>
      </c>
      <c r="B36671" s="4" t="s">
        <v>46124</v>
      </c>
      <c r="C36671" s="5" t="str">
        <f>IFERROR(__xludf.DUMMYFUNCTION("GOOGLETRANSLATE(B36671,""en"",""it"")"),"Quindi, l'uomo ha messo e aggiustato la ruota nella bici.")</f>
        <v>Quindi, l'uomo ha messo e aggiustato la ruota nella bici.</v>
      </c>
    </row>
    <row r="36672">
      <c r="A36672" s="4" t="s">
        <v>46125</v>
      </c>
      <c r="B36672" s="4" t="s">
        <v>46126</v>
      </c>
      <c r="C36672" s="5" t="str">
        <f>IFERROR(__xludf.DUMMYFUNCTION("GOOGLETRANSLATE(B36672,""en"",""it"")"),"Un uomo mostra il modo corretto per sollevare un kettlebell.")</f>
        <v>Un uomo mostra il modo corretto per sollevare un kettlebell.</v>
      </c>
    </row>
    <row r="36673">
      <c r="A36673" s="4" t="s">
        <v>46125</v>
      </c>
      <c r="B36673" s="4" t="s">
        <v>46127</v>
      </c>
      <c r="C36673" s="5" t="str">
        <f>IFERROR(__xludf.DUMMYFUNCTION("GOOGLETRANSLATE(B36673,""en"",""it"")"),"Mostra con i suoi fianchi come non farlo.")</f>
        <v>Mostra con i suoi fianchi come non farlo.</v>
      </c>
    </row>
    <row r="36674">
      <c r="A36674" s="4" t="s">
        <v>46128</v>
      </c>
      <c r="B36674" s="4" t="s">
        <v>46129</v>
      </c>
      <c r="C36674" s="5" t="str">
        <f>IFERROR(__xludf.DUMMYFUNCTION("GOOGLETRANSLATE(B36674,""en"",""it"")"),"Un uomo sta tagliando i capelli di un altro uomo.")</f>
        <v>Un uomo sta tagliando i capelli di un altro uomo.</v>
      </c>
    </row>
    <row r="36675">
      <c r="A36675" s="4" t="s">
        <v>46128</v>
      </c>
      <c r="B36675" s="4" t="s">
        <v>46130</v>
      </c>
      <c r="C36675" s="5" t="str">
        <f>IFERROR(__xludf.DUMMYFUNCTION("GOOGLETRANSLATE(B36675,""en"",""it"")"),"Sta dimostrando i tipi di tagli.")</f>
        <v>Sta dimostrando i tipi di tagli.</v>
      </c>
    </row>
    <row r="36676">
      <c r="A36676" s="4" t="s">
        <v>46128</v>
      </c>
      <c r="B36676" s="4" t="s">
        <v>46131</v>
      </c>
      <c r="C36676" s="5" t="str">
        <f>IFERROR(__xludf.DUMMYFUNCTION("GOOGLETRANSLATE(B36676,""en"",""it"")"),"Cubba e taglia la parte anteriore dei capelli dell'uomo.")</f>
        <v>Cubba e taglia la parte anteriore dei capelli dell'uomo.</v>
      </c>
    </row>
    <row r="36677">
      <c r="A36677" s="4" t="s">
        <v>46128</v>
      </c>
      <c r="B36677" s="4" t="s">
        <v>46132</v>
      </c>
      <c r="C36677" s="5" t="str">
        <f>IFERROR(__xludf.DUMMYFUNCTION("GOOGLETRANSLATE(B36677,""en"",""it"")"),"Parla dei capelli e continua a tirare e tagliare il lancio anteriore.")</f>
        <v>Parla dei capelli e continua a tirare e tagliare il lancio anteriore.</v>
      </c>
    </row>
    <row r="36678">
      <c r="A36678" s="4" t="s">
        <v>46128</v>
      </c>
      <c r="B36678" s="4" t="s">
        <v>46133</v>
      </c>
      <c r="C36678" s="5" t="str">
        <f>IFERROR(__xludf.DUMMYFUNCTION("GOOGLETRANSLATE(B36678,""en"",""it"")"),"Quindi gira la testa dell'uomo e lavora sul retro.")</f>
        <v>Quindi gira la testa dell'uomo e lavora sul retro.</v>
      </c>
    </row>
    <row r="36679">
      <c r="A36679" s="4" t="s">
        <v>46128</v>
      </c>
      <c r="B36679" s="4" t="s">
        <v>46134</v>
      </c>
      <c r="C36679" s="5" t="str">
        <f>IFERROR(__xludf.DUMMYFUNCTION("GOOGLETRANSLATE(B36679,""en"",""it"")"),"Termina il taglio di capelli sull'uomo.")</f>
        <v>Termina il taglio di capelli sull'uomo.</v>
      </c>
    </row>
    <row r="36680">
      <c r="A36680" s="4" t="s">
        <v>46135</v>
      </c>
      <c r="B36680" s="4" t="s">
        <v>46136</v>
      </c>
      <c r="C36680" s="5" t="str">
        <f>IFERROR(__xludf.DUMMYFUNCTION("GOOGLETRANSLATE(B36680,""en"",""it"")"),"I piedi di una persona sono mostrati seguiti da una donna che mette le scarpe sulle calze e si piega in avanti.")</f>
        <v>I piedi di una persona sono mostrati seguiti da una donna che mette le scarpe sulle calze e si piega in avanti.</v>
      </c>
    </row>
    <row r="36681">
      <c r="A36681" s="4" t="s">
        <v>46135</v>
      </c>
      <c r="B36681" s="4" t="s">
        <v>46137</v>
      </c>
      <c r="C36681" s="5" t="str">
        <f>IFERROR(__xludf.DUMMYFUNCTION("GOOGLETRANSLATE(B36681,""en"",""it"")"),"Si gira intorno ai suoi piedi e guarda alla telecamera mentre mostra la scarpa completamente accesa.")</f>
        <v>Si gira intorno ai suoi piedi e guarda alla telecamera mentre mostra la scarpa completamente accesa.</v>
      </c>
    </row>
    <row r="36682">
      <c r="A36682" s="4" t="s">
        <v>46138</v>
      </c>
      <c r="B36682" s="4" t="s">
        <v>46139</v>
      </c>
      <c r="C36682" s="5" t="str">
        <f>IFERROR(__xludf.DUMMYFUNCTION("GOOGLETRANSLATE(B36682,""en"",""it"")"),"La donna indossa una merda viola che solleva peso.")</f>
        <v>La donna indossa una merda viola che solleva peso.</v>
      </c>
    </row>
    <row r="36683">
      <c r="A36683" s="4" t="s">
        <v>46138</v>
      </c>
      <c r="B36683" s="4" t="s">
        <v>46140</v>
      </c>
      <c r="C36683" s="5" t="str">
        <f>IFERROR(__xludf.DUMMYFUNCTION("GOOGLETRANSLATE(B36683,""en"",""it"")"),"La donna è seduta in scale a legare i lacci.")</f>
        <v>La donna è seduta in scale a legare i lacci.</v>
      </c>
    </row>
    <row r="36684">
      <c r="A36684" s="4" t="s">
        <v>46138</v>
      </c>
      <c r="B36684" s="4" t="s">
        <v>46141</v>
      </c>
      <c r="C36684" s="5" t="str">
        <f>IFERROR(__xludf.DUMMYFUNCTION("GOOGLETRANSLATE(B36684,""en"",""it"")"),"Due donne sono in palestra facendo esercizio.")</f>
        <v>Due donne sono in palestra facendo esercizio.</v>
      </c>
    </row>
    <row r="36685">
      <c r="A36685" s="4" t="s">
        <v>46142</v>
      </c>
      <c r="B36685" s="4" t="s">
        <v>46143</v>
      </c>
      <c r="C36685" s="5" t="str">
        <f>IFERROR(__xludf.DUMMYFUNCTION("GOOGLETRANSLATE(B36685,""en"",""it"")"),"Viene mostrato un uomo che parla alla telecamera e conduce a una donna che taglia la pelliccia su un cane.")</f>
        <v>Viene mostrato un uomo che parla alla telecamera e conduce a una donna che taglia la pelliccia su un cane.</v>
      </c>
    </row>
    <row r="36686">
      <c r="A36686" s="4" t="s">
        <v>46142</v>
      </c>
      <c r="B36686" s="6" t="s">
        <v>46144</v>
      </c>
      <c r="C36686" s="5" t="str">
        <f>IFERROR(__xludf.DUMMYFUNCTION("GOOGLETRANSLATE(B36686,""en"",""it"")"),"Parla di più alla telecamera mentre altri cani vengono mostrati curati e una donna si allontana con due cani eccitati.")</f>
        <v>Parla di più alla telecamera mentre altri cani vengono mostrati curati e una donna si allontana con due cani eccitati.</v>
      </c>
    </row>
    <row r="36687">
      <c r="A36687" s="4" t="s">
        <v>46142</v>
      </c>
      <c r="B36687" s="6" t="s">
        <v>46145</v>
      </c>
      <c r="C36687" s="5" t="str">
        <f>IFERROR(__xludf.DUMMYFUNCTION("GOOGLETRANSLATE(B36687,""en"",""it"")"),"Vengono mostrati altri colpi di cani tenuti mentre l'uomo parla e la telecamera si panoramica attorno all'edificio.")</f>
        <v>Vengono mostrati altri colpi di cani tenuti mentre l'uomo parla e la telecamera si panoramica attorno all'edificio.</v>
      </c>
    </row>
    <row r="36688">
      <c r="A36688" s="4" t="s">
        <v>46146</v>
      </c>
      <c r="B36688" s="4" t="s">
        <v>46147</v>
      </c>
      <c r="C36688" s="5" t="str">
        <f>IFERROR(__xludf.DUMMYFUNCTION("GOOGLETRANSLATE(B36688,""en"",""it"")"),"Un logo mostra che questo video è presentato da Expert Village.")</f>
        <v>Un logo mostra che questo video è presentato da Expert Village.</v>
      </c>
    </row>
    <row r="36689">
      <c r="A36689" s="4" t="s">
        <v>46146</v>
      </c>
      <c r="B36689" s="6" t="s">
        <v>46148</v>
      </c>
      <c r="C36689" s="5" t="str">
        <f>IFERROR(__xludf.DUMMYFUNCTION("GOOGLETRANSLATE(B36689,""en"",""it"")"),"Un uomo in una piccola barca blu discute l'argomento della navigazione a mano in un buco e dà suggerimenti su come svolgere questa attività.")</f>
        <v>Un uomo in una piccola barca blu discute l'argomento della navigazione a mano in un buco e dà suggerimenti su come svolgere questa attività.</v>
      </c>
    </row>
    <row r="36690">
      <c r="A36690" s="4" t="s">
        <v>46146</v>
      </c>
      <c r="B36690" s="4" t="s">
        <v>46149</v>
      </c>
      <c r="C36690" s="5" t="str">
        <f>IFERROR(__xludf.DUMMYFUNCTION("GOOGLETRANSLATE(B36690,""en"",""it"")"),"L'uomo dimostra trucchi che possono essere fatti durante l'esecuzione di questa attività.")</f>
        <v>L'uomo dimostra trucchi che possono essere fatti durante l'esecuzione di questa attività.</v>
      </c>
    </row>
    <row r="36691">
      <c r="A36691" s="4" t="s">
        <v>46150</v>
      </c>
      <c r="B36691" s="4" t="s">
        <v>46151</v>
      </c>
      <c r="C36691" s="5" t="str">
        <f>IFERROR(__xludf.DUMMYFUNCTION("GOOGLETRANSLATE(B36691,""en"",""it"")"),"Le notizie presentano una storia seduta in una scrivania in una sala da notizie.")</f>
        <v>Le notizie presentano una storia seduta in una scrivania in una sala da notizie.</v>
      </c>
    </row>
    <row r="36692">
      <c r="A36692" s="4" t="s">
        <v>46150</v>
      </c>
      <c r="B36692" s="4" t="s">
        <v>46152</v>
      </c>
      <c r="C36692" s="5" t="str">
        <f>IFERROR(__xludf.DUMMYFUNCTION("GOOGLETRANSLATE(B36692,""en"",""it"")"),"Un giornalista intervista un uomo su una pista di pattinaggio sul ghiaccio.")</f>
        <v>Un giornalista intervista un uomo su una pista di pattinaggio sul ghiaccio.</v>
      </c>
    </row>
    <row r="36693">
      <c r="A36693" s="4" t="s">
        <v>46150</v>
      </c>
      <c r="B36693" s="4" t="s">
        <v>46153</v>
      </c>
      <c r="C36693" s="5" t="str">
        <f>IFERROR(__xludf.DUMMYFUNCTION("GOOGLETRANSLATE(B36693,""en"",""it"")"),"Un atleta scivola una pietra sul ghiaccio.")</f>
        <v>Un atleta scivola una pietra sul ghiaccio.</v>
      </c>
    </row>
    <row r="36694">
      <c r="A36694" s="4" t="s">
        <v>46150</v>
      </c>
      <c r="B36694" s="4" t="s">
        <v>46154</v>
      </c>
      <c r="C36694" s="5" t="str">
        <f>IFERROR(__xludf.DUMMYFUNCTION("GOOGLETRANSLATE(B36694,""en"",""it"")"),"Il giornalista e l'uomo si esercitano a spazzolare il ghiaccio con le scope.")</f>
        <v>Il giornalista e l'uomo si esercitano a spazzolare il ghiaccio con le scope.</v>
      </c>
    </row>
    <row r="36695">
      <c r="A36695" s="4" t="s">
        <v>46150</v>
      </c>
      <c r="B36695" s="4" t="s">
        <v>46155</v>
      </c>
      <c r="C36695" s="5" t="str">
        <f>IFERROR(__xludf.DUMMYFUNCTION("GOOGLETRANSLATE(B36695,""en"",""it"")"),"Una donna si siede in un salone e ha i capelli arricciati.")</f>
        <v>Una donna si siede in un salone e ha i capelli arricciati.</v>
      </c>
    </row>
    <row r="36696">
      <c r="A36696" s="4" t="s">
        <v>46150</v>
      </c>
      <c r="B36696" s="4" t="s">
        <v>46156</v>
      </c>
      <c r="C36696" s="5" t="str">
        <f>IFERROR(__xludf.DUMMYFUNCTION("GOOGLETRANSLATE(B36696,""en"",""it"")"),"I riccioli vengono portati fuori dai capelli della donna dopo il restyling.")</f>
        <v>I riccioli vengono portati fuori dai capelli della donna dopo il restyling.</v>
      </c>
    </row>
    <row r="36697">
      <c r="A36697" s="4" t="s">
        <v>46150</v>
      </c>
      <c r="B36697" s="4" t="s">
        <v>46157</v>
      </c>
      <c r="C36697" s="5" t="str">
        <f>IFERROR(__xludf.DUMMYFUNCTION("GOOGLETRANSLATE(B36697,""en"",""it"")"),"Le notizie ancora chiudono la storia.")</f>
        <v>Le notizie ancora chiudono la storia.</v>
      </c>
    </row>
    <row r="36698">
      <c r="A36698" s="4" t="s">
        <v>46158</v>
      </c>
      <c r="B36698" s="4" t="s">
        <v>46159</v>
      </c>
      <c r="C36698" s="5" t="str">
        <f>IFERROR(__xludf.DUMMYFUNCTION("GOOGLETRANSLATE(B36698,""en"",""it"")"),"Un gruppo di bambini è in pista e si esercitano a saltare su un raggio basso.")</f>
        <v>Un gruppo di bambini è in pista e si esercitano a saltare su un raggio basso.</v>
      </c>
    </row>
    <row r="36699">
      <c r="A36699" s="4" t="s">
        <v>46158</v>
      </c>
      <c r="B36699" s="4" t="s">
        <v>46160</v>
      </c>
      <c r="C36699" s="5" t="str">
        <f>IFERROR(__xludf.DUMMYFUNCTION("GOOGLETRANSLATE(B36699,""en"",""it"")"),"Eseguono il movimento più volte, interpretando l'atto al rallentatore.")</f>
        <v>Eseguono il movimento più volte, interpretando l'atto al rallentatore.</v>
      </c>
    </row>
    <row r="36700">
      <c r="A36700" s="4" t="s">
        <v>46161</v>
      </c>
      <c r="B36700" s="6" t="s">
        <v>46162</v>
      </c>
      <c r="C36700" s="5" t="str">
        <f>IFERROR(__xludf.DUMMYFUNCTION("GOOGLETRANSLATE(B36700,""en"",""it"")"),"Due persone si vedono parlare con la telecamera indossando costume quando un'altra persona entra nel telaio.")</f>
        <v>Due persone si vedono parlare con la telecamera indossando costume quando un'altra persona entra nel telaio.</v>
      </c>
    </row>
    <row r="36701">
      <c r="A36701" s="4" t="s">
        <v>46161</v>
      </c>
      <c r="B36701" s="4" t="s">
        <v>46163</v>
      </c>
      <c r="C36701" s="5" t="str">
        <f>IFERROR(__xludf.DUMMYFUNCTION("GOOGLETRANSLATE(B36701,""en"",""it"")"),"Due persone si battono l'un l'altro nei costumi e si incontrano.")</f>
        <v>Due persone si battono l'un l'altro nei costumi e si incontrano.</v>
      </c>
    </row>
    <row r="36702">
      <c r="A36702" s="4" t="s">
        <v>46161</v>
      </c>
      <c r="B36702" s="4" t="s">
        <v>46164</v>
      </c>
      <c r="C36702" s="5" t="str">
        <f>IFERROR(__xludf.DUMMYFUNCTION("GOOGLETRANSLATE(B36702,""en"",""it"")"),"Una persona bussa all'altra a terra e mostra una mossa di wrestling.")</f>
        <v>Una persona bussa all'altra a terra e mostra una mossa di wrestling.</v>
      </c>
    </row>
    <row r="36703">
      <c r="A36703" s="4" t="s">
        <v>46165</v>
      </c>
      <c r="B36703" s="4" t="s">
        <v>46166</v>
      </c>
      <c r="C36703" s="5" t="str">
        <f>IFERROR(__xludf.DUMMYFUNCTION("GOOGLETRANSLATE(B36703,""en"",""it"")"),"Un uomo atletico viene visto agitare un braccio in aria e stare pronto per una trave.")</f>
        <v>Un uomo atletico viene visto agitare un braccio in aria e stare pronto per una trave.</v>
      </c>
    </row>
    <row r="36704">
      <c r="A36704" s="4" t="s">
        <v>46165</v>
      </c>
      <c r="B36704" s="6" t="s">
        <v>46167</v>
      </c>
      <c r="C36704" s="5" t="str">
        <f>IFERROR(__xludf.DUMMYFUNCTION("GOOGLETRANSLATE(B36704,""en"",""it"")"),"L'uomo poi si gira attorno al raggio eseguendo una routine di ginnastica e finisce con lui che salta di lato e tiene le braccia in alto, sorridendo e salutando la folla.")</f>
        <v>L'uomo poi si gira attorno al raggio eseguendo una routine di ginnastica e finisce con lui che salta di lato e tiene le braccia in alto, sorridendo e salutando la folla.</v>
      </c>
    </row>
    <row r="36705">
      <c r="A36705" s="4" t="s">
        <v>46168</v>
      </c>
      <c r="B36705" s="4" t="s">
        <v>46169</v>
      </c>
      <c r="C36705" s="5" t="str">
        <f>IFERROR(__xludf.DUMMYFUNCTION("GOOGLETRANSLATE(B36705,""en"",""it"")"),"Un uomo viene visto in piedi in un goal seguito da una persona che calcia una capsula.")</f>
        <v>Un uomo viene visto in piedi in un goal seguito da una persona che calcia una capsula.</v>
      </c>
    </row>
    <row r="36706">
      <c r="A36706" s="4" t="s">
        <v>46168</v>
      </c>
      <c r="B36706" s="4" t="s">
        <v>46170</v>
      </c>
      <c r="C36706" s="5" t="str">
        <f>IFERROR(__xludf.DUMMYFUNCTION("GOOGLETRANSLATE(B36706,""en"",""it"")"),"Vengono mostrate altre clip di persone che calciano una palla verso l'obiettivo mentre le persone guardano sui lati.")</f>
        <v>Vengono mostrate altre clip di persone che calciano una palla verso l'obiettivo mentre le persone guardano sui lati.</v>
      </c>
    </row>
    <row r="36707">
      <c r="A36707" s="4" t="s">
        <v>46168</v>
      </c>
      <c r="B36707" s="4" t="s">
        <v>46171</v>
      </c>
      <c r="C36707" s="5" t="str">
        <f>IFERROR(__xludf.DUMMYFUNCTION("GOOGLETRANSLATE(B36707,""en"",""it"")"),"Diverse altre persone si svolgono a calci a calci e finiscono correndo tutti insieme e tifando.")</f>
        <v>Diverse altre persone si svolgono a calci a calci e finiscono correndo tutti insieme e tifando.</v>
      </c>
    </row>
    <row r="36708">
      <c r="A36708" s="4" t="s">
        <v>46172</v>
      </c>
      <c r="B36708" s="4" t="s">
        <v>46173</v>
      </c>
      <c r="C36708" s="5" t="str">
        <f>IFERROR(__xludf.DUMMYFUNCTION("GOOGLETRANSLATE(B36708,""en"",""it"")"),"Un'auto si spinge dietro un'altra mentre gira diverse case e alberi innevati.")</f>
        <v>Un'auto si spinge dietro un'altra mentre gira diverse case e alberi innevati.</v>
      </c>
    </row>
    <row r="36709">
      <c r="A36709" s="4" t="s">
        <v>46172</v>
      </c>
      <c r="B36709" s="4" t="s">
        <v>46174</v>
      </c>
      <c r="C36709" s="5" t="str">
        <f>IFERROR(__xludf.DUMMYFUNCTION("GOOGLETRANSLATE(B36709,""en"",""it"")"),"Alla fine vengono mostrati due snowboard facendo salti e trucchi giù da una montagna.")</f>
        <v>Alla fine vengono mostrati due snowboard facendo salti e trucchi giù da una montagna.</v>
      </c>
    </row>
    <row r="36710">
      <c r="A36710" s="4" t="s">
        <v>46172</v>
      </c>
      <c r="B36710" s="4" t="s">
        <v>46175</v>
      </c>
      <c r="C36710" s="5" t="str">
        <f>IFERROR(__xludf.DUMMYFUNCTION("GOOGLETRANSLATE(B36710,""en"",""it"")"),"Un altro fa diversi lanci e trucchi mentre un altro esegue lo stesso lungo la montagna.")</f>
        <v>Un altro fa diversi lanci e trucchi mentre un altro esegue lo stesso lungo la montagna.</v>
      </c>
    </row>
    <row r="36711">
      <c r="A36711" s="4" t="s">
        <v>46176</v>
      </c>
      <c r="B36711" s="4" t="s">
        <v>46177</v>
      </c>
      <c r="C36711" s="5" t="str">
        <f>IFERROR(__xludf.DUMMYFUNCTION("GOOGLETRANSLATE(B36711,""en"",""it"")"),"Un uomo si siede su una sedia mentre un uomo in piedi usa un rasoio elettrico sulla barba.")</f>
        <v>Un uomo si siede su una sedia mentre un uomo in piedi usa un rasoio elettrico sulla barba.</v>
      </c>
    </row>
    <row r="36712">
      <c r="A36712" s="4" t="s">
        <v>46176</v>
      </c>
      <c r="B36712" s="4" t="s">
        <v>46178</v>
      </c>
      <c r="C36712" s="5" t="str">
        <f>IFERROR(__xludf.DUMMYFUNCTION("GOOGLETRANSLATE(B36712,""en"",""it"")"),"L'uomo rade delicatamente la barba dell'altro uomo fino a quando non è sparita.")</f>
        <v>L'uomo rade delicatamente la barba dell'altro uomo fino a quando non è sparita.</v>
      </c>
    </row>
    <row r="36713">
      <c r="A36713" s="4" t="s">
        <v>46176</v>
      </c>
      <c r="B36713" s="4" t="s">
        <v>46179</v>
      </c>
      <c r="C36713" s="5" t="str">
        <f>IFERROR(__xludf.DUMMYFUNCTION("GOOGLETRANSLATE(B36713,""en"",""it"")"),"L'uomo si siede sulla sedia, asciugandosi prima di alzarsi.")</f>
        <v>L'uomo si siede sulla sedia, asciugandosi prima di alzarsi.</v>
      </c>
    </row>
    <row r="36714">
      <c r="A36714" s="4" t="s">
        <v>46180</v>
      </c>
      <c r="B36714" s="6" t="s">
        <v>46181</v>
      </c>
      <c r="C36714" s="5" t="str">
        <f>IFERROR(__xludf.DUMMYFUNCTION("GOOGLETRANSLATE(B36714,""en"",""it"")"),"Due persone sono viste in piedi su un campo di fronte alla palla quando si piega per bilanciarsi sulla palla.")</f>
        <v>Due persone sono viste in piedi su un campo di fronte alla palla quando si piega per bilanciarsi sulla palla.</v>
      </c>
    </row>
    <row r="36715">
      <c r="A36715" s="4" t="s">
        <v>46180</v>
      </c>
      <c r="B36715" s="4" t="s">
        <v>46182</v>
      </c>
      <c r="C36715" s="5" t="str">
        <f>IFERROR(__xludf.DUMMYFUNCTION("GOOGLETRANSLATE(B36715,""en"",""it"")"),"La donna quindi esegue esercizi sulla palla con l'assistenza dell'uomo.")</f>
        <v>La donna quindi esegue esercizi sulla palla con l'assistenza dell'uomo.</v>
      </c>
    </row>
    <row r="36716">
      <c r="A36716" s="4" t="s">
        <v>46183</v>
      </c>
      <c r="B36716" s="4" t="s">
        <v>46184</v>
      </c>
      <c r="C36716" s="5" t="str">
        <f>IFERROR(__xludf.DUMMYFUNCTION("GOOGLETRANSLATE(B36716,""en"",""it"")"),"Diverse foto di un uomo che vedeva un uomo e che lo conducevano a parlare alla telecamera.")</f>
        <v>Diverse foto di un uomo che vedeva un uomo e che lo conducevano a parlare alla telecamera.</v>
      </c>
    </row>
    <row r="36717">
      <c r="A36717" s="4" t="s">
        <v>46183</v>
      </c>
      <c r="B36717" s="4" t="s">
        <v>46185</v>
      </c>
      <c r="C36717" s="5" t="str">
        <f>IFERROR(__xludf.DUMMYFUNCTION("GOOGLETRANSLATE(B36717,""en"",""it"")"),"Dimostra come eseguire correttamente le mosse mentre si trova sul prato.")</f>
        <v>Dimostra come eseguire correttamente le mosse mentre si trova sul prato.</v>
      </c>
    </row>
    <row r="36718">
      <c r="A36718" s="4" t="s">
        <v>46183</v>
      </c>
      <c r="B36718" s="4" t="s">
        <v>46186</v>
      </c>
      <c r="C36718" s="5" t="str">
        <f>IFERROR(__xludf.DUMMYFUNCTION("GOOGLETRANSLATE(B36718,""en"",""it"")"),"Segue l'uomo in giro su un wakeboard.")</f>
        <v>Segue l'uomo in giro su un wakeboard.</v>
      </c>
    </row>
    <row r="36719">
      <c r="A36719" s="4" t="s">
        <v>46187</v>
      </c>
      <c r="B36719" s="4" t="s">
        <v>46188</v>
      </c>
      <c r="C36719" s="5" t="str">
        <f>IFERROR(__xludf.DUMMYFUNCTION("GOOGLETRANSLATE(B36719,""en"",""it"")"),"Un uomo si trova di fronte a una folla che punta e parla del layout di un anello di corrida.")</f>
        <v>Un uomo si trova di fronte a una folla che punta e parla del layout di un anello di corrida.</v>
      </c>
    </row>
    <row r="36720">
      <c r="A36720" s="4" t="s">
        <v>46187</v>
      </c>
      <c r="B36720" s="6" t="s">
        <v>46189</v>
      </c>
      <c r="C36720" s="5" t="str">
        <f>IFERROR(__xludf.DUMMYFUNCTION("GOOGLETRANSLATE(B36720,""en"",""it"")"),"Una dimostrazione di corrida viene eseguita da un uomo con un mantello rosa e un uomo che muove un falso oggetto toro con una ruota.")</f>
        <v>Una dimostrazione di corrida viene eseguita da un uomo con un mantello rosa e un uomo che muove un falso oggetto toro con una ruota.</v>
      </c>
    </row>
    <row r="36721">
      <c r="A36721" s="4" t="s">
        <v>46187</v>
      </c>
      <c r="B36721" s="4" t="s">
        <v>46190</v>
      </c>
      <c r="C36721" s="5" t="str">
        <f>IFERROR(__xludf.DUMMYFUNCTION("GOOGLETRANSLATE(B36721,""en"",""it"")"),"Il Bullfighter dimostra quindi come usare la sua spada sul toro.")</f>
        <v>Il Bullfighter dimostra quindi come usare la sua spada sul toro.</v>
      </c>
    </row>
    <row r="36722">
      <c r="A36722" s="4" t="s">
        <v>46187</v>
      </c>
      <c r="B36722" s="4" t="s">
        <v>46191</v>
      </c>
      <c r="C36722" s="5" t="str">
        <f>IFERROR(__xludf.DUMMYFUNCTION("GOOGLETRANSLATE(B36722,""en"",""it"")"),"Quindi gli studenti vogliono provarlo.")</f>
        <v>Quindi gli studenti vogliono provarlo.</v>
      </c>
    </row>
    <row r="36723">
      <c r="A36723" s="4" t="s">
        <v>46192</v>
      </c>
      <c r="B36723" s="4" t="s">
        <v>46193</v>
      </c>
      <c r="C36723" s="5" t="str">
        <f>IFERROR(__xludf.DUMMYFUNCTION("GOOGLETRANSLATE(B36723,""en"",""it"")"),"Due uomini sono visti combattere e quarto su un set di tappetini usando guanti e cuscinetti da boxe.")</f>
        <v>Due uomini sono visti combattere e quarto su un set di tappetini usando guanti e cuscinetti da boxe.</v>
      </c>
    </row>
    <row r="36724">
      <c r="A36724" s="4" t="s">
        <v>46192</v>
      </c>
      <c r="B36724" s="6" t="s">
        <v>46194</v>
      </c>
      <c r="C36724" s="5" t="str">
        <f>IFERROR(__xludf.DUMMYFUNCTION("GOOGLETRANSLATE(B36724,""en"",""it"")"),"Gli uomini continuano a prendere a pugni e calciare indietro e quarto mentre la telecamera continua a seguirli.")</f>
        <v>Gli uomini continuano a prendere a pugni e calciare indietro e quarto mentre la telecamera continua a seguirli.</v>
      </c>
    </row>
    <row r="36725">
      <c r="A36725" s="4" t="s">
        <v>46195</v>
      </c>
      <c r="B36725" s="4" t="s">
        <v>46196</v>
      </c>
      <c r="C36725" s="5" t="str">
        <f>IFERROR(__xludf.DUMMYFUNCTION("GOOGLETRANSLATE(B36725,""en"",""it"")"),"Una ragazza viene vista inginocchiarsi davanti alla telecamera e la conduce a camminare per casa sua.")</f>
        <v>Una ragazza viene vista inginocchiarsi davanti alla telecamera e la conduce a camminare per casa sua.</v>
      </c>
    </row>
    <row r="36726">
      <c r="A36726" s="4" t="s">
        <v>46195</v>
      </c>
      <c r="B36726" s="4" t="s">
        <v>46197</v>
      </c>
      <c r="C36726" s="5" t="str">
        <f>IFERROR(__xludf.DUMMYFUNCTION("GOOGLETRANSLATE(B36726,""en"",""it"")"),"Si ingrandisce su un forno e viene mostrata a prendere una padella piena di biscotti.")</f>
        <v>Si ingrandisce su un forno e viene mostrata a prendere una padella piena di biscotti.</v>
      </c>
    </row>
    <row r="36727">
      <c r="A36727" s="4" t="s">
        <v>46195</v>
      </c>
      <c r="B36727" s="4" t="s">
        <v>46198</v>
      </c>
      <c r="C36727" s="5" t="str">
        <f>IFERROR(__xludf.DUMMYFUNCTION("GOOGLETRANSLATE(B36727,""en"",""it"")"),"Dispone un piatto per pulire seguendo i biscotti e gettandoli sul piatto.")</f>
        <v>Dispone un piatto per pulire seguendo i biscotti e gettandoli sul piatto.</v>
      </c>
    </row>
    <row r="36728">
      <c r="A36728" s="4" t="s">
        <v>46199</v>
      </c>
      <c r="B36728" s="4" t="s">
        <v>46200</v>
      </c>
      <c r="C36728" s="5" t="str">
        <f>IFERROR(__xludf.DUMMYFUNCTION("GOOGLETRANSLATE(B36728,""en"",""it"")"),"Un gruppo di bambini sta guidando in auto paraurti.")</f>
        <v>Un gruppo di bambini sta guidando in auto paraurti.</v>
      </c>
    </row>
    <row r="36729">
      <c r="A36729" s="4" t="s">
        <v>46199</v>
      </c>
      <c r="B36729" s="4" t="s">
        <v>46201</v>
      </c>
      <c r="C36729" s="5" t="str">
        <f>IFERROR(__xludf.DUMMYFUNCTION("GOOGLETRANSLATE(B36729,""en"",""it"")"),"Girano e si muovono, colpendosi a vicenda.")</f>
        <v>Girano e si muovono, colpendosi a vicenda.</v>
      </c>
    </row>
    <row r="36730">
      <c r="A36730" s="4" t="s">
        <v>46199</v>
      </c>
      <c r="B36730" s="4" t="s">
        <v>46202</v>
      </c>
      <c r="C36730" s="5" t="str">
        <f>IFERROR(__xludf.DUMMYFUNCTION("GOOGLETRANSLATE(B36730,""en"",""it"")"),"I bambini sorridono e ridono l'un l'altro mentre si scontrano.")</f>
        <v>I bambini sorridono e ridono l'un l'altro mentre si scontrano.</v>
      </c>
    </row>
    <row r="36731">
      <c r="A36731" s="4" t="s">
        <v>46203</v>
      </c>
      <c r="B36731" s="4" t="s">
        <v>40853</v>
      </c>
      <c r="C36731" s="5" t="str">
        <f>IFERROR(__xludf.DUMMYFUNCTION("GOOGLETRANSLATE(B36731,""en"",""it"")"),"Un cowboy su un cavallo viene rilasciato da un cancello.")</f>
        <v>Un cowboy su un cavallo viene rilasciato da un cancello.</v>
      </c>
    </row>
    <row r="36732">
      <c r="A36732" s="4" t="s">
        <v>46203</v>
      </c>
      <c r="B36732" s="4" t="s">
        <v>46204</v>
      </c>
      <c r="C36732" s="5" t="str">
        <f>IFERROR(__xludf.DUMMYFUNCTION("GOOGLETRANSLATE(B36732,""en"",""it"")"),"Lassos un giovane vitello sulla terra.")</f>
        <v>Lassos un giovane vitello sulla terra.</v>
      </c>
    </row>
    <row r="36733">
      <c r="A36733" s="4" t="s">
        <v>46203</v>
      </c>
      <c r="B36733" s="4" t="s">
        <v>46205</v>
      </c>
      <c r="C36733" s="5" t="str">
        <f>IFERROR(__xludf.DUMMYFUNCTION("GOOGLETRANSLATE(B36733,""en"",""it"")"),"Salta da cavallo e lega il vitello.")</f>
        <v>Salta da cavallo e lega il vitello.</v>
      </c>
    </row>
    <row r="36734">
      <c r="A36734" s="4" t="s">
        <v>46206</v>
      </c>
      <c r="B36734" s="6" t="s">
        <v>46207</v>
      </c>
      <c r="C36734" s="5" t="str">
        <f>IFERROR(__xludf.DUMMYFUNCTION("GOOGLETRANSLATE(B36734,""en"",""it"")"),"Ci sono persone in piedi in un grande campo interno, su due diversi lati, con palline nel mezzo del campo.")</f>
        <v>Ci sono persone in piedi in un grande campo interno, su due diversi lati, con palline nel mezzo del campo.</v>
      </c>
    </row>
    <row r="36735">
      <c r="A36735" s="4" t="s">
        <v>46206</v>
      </c>
      <c r="B36735" s="6" t="s">
        <v>46208</v>
      </c>
      <c r="C36735" s="5" t="str">
        <f>IFERROR(__xludf.DUMMYFUNCTION("GOOGLETRANSLATE(B36735,""en"",""it"")"),"All'improvviso le persone iniziano a correre verso le palle e iniziano a giocare a Dodge Ball e li raccolgono e li lanciano fino a quando una delle squadre non ha rimasto solo 1 persona.")</f>
        <v>All'improvviso le persone iniziano a correre verso le palle e iniziano a giocare a Dodge Ball e li raccolgono e li lanciano fino a quando una delle squadre non ha rimasto solo 1 persona.</v>
      </c>
    </row>
    <row r="36736">
      <c r="A36736" s="4" t="s">
        <v>46206</v>
      </c>
      <c r="B36736" s="6" t="s">
        <v>46209</v>
      </c>
      <c r="C36736" s="5" t="str">
        <f>IFERROR(__xludf.DUMMYFUNCTION("GOOGLETRANSLATE(B36736,""en"",""it"")"),"Solo 1 ragazzo rimangono classificato e tenta di colpire qualcun altro nell'altra squadra con una palla, e in cambio fanno lo stesso, vanno avanti e indietro facendo questo fino a quando una palla rossa finalmente colpisce l'ultimo ragazzo in piedi sulla "&amp;"squadra e lui lui colpisce il pavimento.")</f>
        <v>Solo 1 ragazzo rimangono classificato e tenta di colpire qualcun altro nell'altra squadra con una palla, e in cambio fanno lo stesso, vanno avanti e indietro facendo questo fino a quando una palla rossa finalmente colpisce l'ultimo ragazzo in piedi sulla squadra e lui lui colpisce il pavimento.</v>
      </c>
    </row>
    <row r="36737">
      <c r="A36737" s="4" t="s">
        <v>46210</v>
      </c>
      <c r="B36737" s="4" t="s">
        <v>46211</v>
      </c>
      <c r="C36737" s="5" t="str">
        <f>IFERROR(__xludf.DUMMYFUNCTION("GOOGLETRANSLATE(B36737,""en"",""it"")"),"L'uomo è in piedi in un campo di legno a parlare con la telecamera.")</f>
        <v>L'uomo è in piedi in un campo di legno a parlare con la telecamera.</v>
      </c>
    </row>
    <row r="36738">
      <c r="A36738" s="4" t="s">
        <v>46210</v>
      </c>
      <c r="B36738" s="4" t="s">
        <v>46212</v>
      </c>
      <c r="C36738" s="5" t="str">
        <f>IFERROR(__xludf.DUMMYFUNCTION("GOOGLETRANSLATE(B36738,""en"",""it"")"),"Gli uomini giocano a squash in una stanza con racchette sulle mani.")</f>
        <v>Gli uomini giocano a squash in una stanza con racchette sulle mani.</v>
      </c>
    </row>
    <row r="36739">
      <c r="A36739" s="4" t="s">
        <v>46210</v>
      </c>
      <c r="B36739" s="4" t="s">
        <v>46213</v>
      </c>
      <c r="C36739" s="5" t="str">
        <f>IFERROR(__xludf.DUMMYFUNCTION("GOOGLETRANSLATE(B36739,""en"",""it"")"),"L'uomo tiene una racchetta e sta parlando con la fotocamera.")</f>
        <v>L'uomo tiene una racchetta e sta parlando con la fotocamera.</v>
      </c>
    </row>
    <row r="36740">
      <c r="A36740" s="4" t="s">
        <v>46214</v>
      </c>
      <c r="B36740" s="6" t="s">
        <v>46215</v>
      </c>
      <c r="C36740" s="5" t="str">
        <f>IFERROR(__xludf.DUMMYFUNCTION("GOOGLETRANSLATE(B36740,""en"",""it"")"),"Viene vista una band che si esibisce sul palco mentre la telecamera si muove e li cattura da diversi angoli.")</f>
        <v>Viene vista una band che si esibisce sul palco mentre la telecamera si muove e li cattura da diversi angoli.</v>
      </c>
    </row>
    <row r="36741">
      <c r="A36741" s="4" t="s">
        <v>46214</v>
      </c>
      <c r="B36741" s="4" t="s">
        <v>46216</v>
      </c>
      <c r="C36741" s="5" t="str">
        <f>IFERROR(__xludf.DUMMYFUNCTION("GOOGLETRANSLATE(B36741,""en"",""it"")"),"Il cantante interagisce con la band e continua a suonare mentre il pubblico applaude.")</f>
        <v>Il cantante interagisce con la band e continua a suonare mentre il pubblico applaude.</v>
      </c>
    </row>
    <row r="36742">
      <c r="A36742" s="4" t="s">
        <v>46217</v>
      </c>
      <c r="B36742" s="4" t="s">
        <v>46218</v>
      </c>
      <c r="C36742" s="5" t="str">
        <f>IFERROR(__xludf.DUMMYFUNCTION("GOOGLETRANSLATE(B36742,""en"",""it"")"),"Un uomo è in un kayak nell'acqua che fa gira con l'aiuto di un remo.")</f>
        <v>Un uomo è in un kayak nell'acqua che fa gira con l'aiuto di un remo.</v>
      </c>
    </row>
    <row r="36743">
      <c r="A36743" s="4" t="s">
        <v>46217</v>
      </c>
      <c r="B36743" s="4" t="s">
        <v>46219</v>
      </c>
      <c r="C36743" s="5" t="str">
        <f>IFERROR(__xludf.DUMMYFUNCTION("GOOGLETRANSLATE(B36743,""en"",""it"")"),"Quindi, l'uomo spiega mostrare e spostare il remo.")</f>
        <v>Quindi, l'uomo spiega mostrare e spostare il remo.</v>
      </c>
    </row>
    <row r="36744">
      <c r="A36744" s="4" t="s">
        <v>46217</v>
      </c>
      <c r="B36744" s="4" t="s">
        <v>46220</v>
      </c>
      <c r="C36744" s="5" t="str">
        <f>IFERROR(__xludf.DUMMYFUNCTION("GOOGLETRANSLATE(B36744,""en"",""it"")"),"Dopo che l'uomo ha iniziato a remare nel fiume e girare il kayak.")</f>
        <v>Dopo che l'uomo ha iniziato a remare nel fiume e girare il kayak.</v>
      </c>
    </row>
    <row r="36745">
      <c r="A36745" s="4" t="s">
        <v>46221</v>
      </c>
      <c r="B36745" s="4" t="s">
        <v>46222</v>
      </c>
      <c r="C36745" s="5" t="str">
        <f>IFERROR(__xludf.DUMMYFUNCTION("GOOGLETRANSLATE(B36745,""en"",""it"")"),"L'uomo è in piedi da un furgone che indossa palafitte.")</f>
        <v>L'uomo è in piedi da un furgone che indossa palafitte.</v>
      </c>
    </row>
    <row r="36746">
      <c r="A36746" s="4" t="s">
        <v>46221</v>
      </c>
      <c r="B36746" s="4" t="s">
        <v>46223</v>
      </c>
      <c r="C36746" s="5" t="str">
        <f>IFERROR(__xludf.DUMMYFUNCTION("GOOGLETRANSLATE(B36746,""en"",""it"")"),"Un altro uomo è seduto sulla parte posteriore di un furgone sta mettendo le passioni in piedi.")</f>
        <v>Un altro uomo è seduto sulla parte posteriore di un furgone sta mettendo le passioni in piedi.</v>
      </c>
    </row>
    <row r="36747">
      <c r="A36747" s="4" t="s">
        <v>46221</v>
      </c>
      <c r="B36747" s="4" t="s">
        <v>46224</v>
      </c>
      <c r="C36747" s="5" t="str">
        <f>IFERROR(__xludf.DUMMYFUNCTION("GOOGLETRANSLATE(B36747,""en"",""it"")"),"Gli uomini che indossano palafitte stanno camminando in un parcheggio in strada.")</f>
        <v>Gli uomini che indossano palafitte stanno camminando in un parcheggio in strada.</v>
      </c>
    </row>
    <row r="36748">
      <c r="A36748" s="4" t="s">
        <v>46221</v>
      </c>
      <c r="B36748" s="4" t="s">
        <v>46225</v>
      </c>
      <c r="C36748" s="5" t="str">
        <f>IFERROR(__xludf.DUMMYFUNCTION("GOOGLETRANSLATE(B36748,""en"",""it"")"),"Gli uomini si inginocchiano per strada e iniziano a saltare scendendo il pendio asfaltato.")</f>
        <v>Gli uomini si inginocchiano per strada e iniziano a saltare scendendo il pendio asfaltato.</v>
      </c>
    </row>
    <row r="36749">
      <c r="A36749" s="4" t="s">
        <v>46226</v>
      </c>
      <c r="B36749" s="6" t="s">
        <v>46227</v>
      </c>
      <c r="C36749" s="5" t="str">
        <f>IFERROR(__xludf.DUMMYFUNCTION("GOOGLETRANSLATE(B36749,""en"",""it"")"),"La donna è in cucina a parlare con la telecamera e mostra i limoni, il barattolo e la ciotola sul bancone.")</f>
        <v>La donna è in cucina a parlare con la telecamera e mostra i limoni, il barattolo e la ciotola sul bancone.</v>
      </c>
    </row>
    <row r="36750">
      <c r="A36750" s="4" t="s">
        <v>46226</v>
      </c>
      <c r="B36750" s="4" t="s">
        <v>46228</v>
      </c>
      <c r="C36750" s="5" t="str">
        <f>IFERROR(__xludf.DUMMYFUNCTION("GOOGLETRANSLATE(B36750,""en"",""it"")"),"La donna sta stringendo il limone in una ciotola e sull'acqua.")</f>
        <v>La donna sta stringendo il limone in una ciotola e sull'acqua.</v>
      </c>
    </row>
    <row r="36751">
      <c r="A36751" s="4" t="s">
        <v>46226</v>
      </c>
      <c r="B36751" s="4" t="s">
        <v>46229</v>
      </c>
      <c r="C36751" s="5" t="str">
        <f>IFERROR(__xludf.DUMMYFUNCTION("GOOGLETRANSLATE(B36751,""en"",""it"")"),"La donna è anteriore della stufa e versare lo zucchero in acqua in una padella fino a bollire.")</f>
        <v>La donna è anteriore della stufa e versare lo zucchero in acqua in una padella fino a bollire.</v>
      </c>
    </row>
    <row r="36752">
      <c r="A36752" s="4" t="s">
        <v>46226</v>
      </c>
      <c r="B36752" s="4" t="s">
        <v>46230</v>
      </c>
      <c r="C36752" s="5" t="str">
        <f>IFERROR(__xludf.DUMMYFUNCTION("GOOGLETRANSLATE(B36752,""en"",""it"")"),"La donna versa lo zucchero nel barattolo con ghiaccio.")</f>
        <v>La donna versa lo zucchero nel barattolo con ghiaccio.</v>
      </c>
    </row>
    <row r="36753">
      <c r="A36753" s="4" t="s">
        <v>46231</v>
      </c>
      <c r="B36753" s="4" t="s">
        <v>46232</v>
      </c>
      <c r="C36753" s="5" t="str">
        <f>IFERROR(__xludf.DUMMYFUNCTION("GOOGLETRANSLATE(B36753,""en"",""it"")"),"Una persona bagna un'auto con acqua, quindi mette il detergente in macchina usando un lungo spremuto.")</f>
        <v>Una persona bagna un'auto con acqua, quindi mette il detergente in macchina usando un lungo spremuto.</v>
      </c>
    </row>
    <row r="36754">
      <c r="A36754" s="4" t="s">
        <v>46231</v>
      </c>
      <c r="B36754" s="4" t="s">
        <v>46233</v>
      </c>
      <c r="C36754" s="5" t="str">
        <f>IFERROR(__xludf.DUMMYFUNCTION("GOOGLETRANSLATE(B36754,""en"",""it"")"),"L'uomo sciacqua l'auto con acqua.")</f>
        <v>L'uomo sciacqua l'auto con acqua.</v>
      </c>
    </row>
    <row r="36755">
      <c r="A36755" s="4" t="s">
        <v>46231</v>
      </c>
      <c r="B36755" s="4" t="s">
        <v>46234</v>
      </c>
      <c r="C36755" s="5" t="str">
        <f>IFERROR(__xludf.DUMMYFUNCTION("GOOGLETRANSLATE(B36755,""en"",""it"")"),"Quindi, l'uomo pulisce di nuovo con sapone e acqua per la seconda volta.")</f>
        <v>Quindi, l'uomo pulisce di nuovo con sapone e acqua per la seconda volta.</v>
      </c>
    </row>
    <row r="36756">
      <c r="A36756" s="4" t="s">
        <v>46231</v>
      </c>
      <c r="B36756" s="4" t="s">
        <v>46235</v>
      </c>
      <c r="C36756" s="5" t="str">
        <f>IFERROR(__xludf.DUMMYFUNCTION("GOOGLETRANSLATE(B36756,""en"",""it"")"),"L'uomo pulisce con un panno e risciacqua con acqua i cerchi dell'auto.")</f>
        <v>L'uomo pulisce con un panno e risciacqua con acqua i cerchi dell'auto.</v>
      </c>
    </row>
    <row r="36757">
      <c r="A36757" s="4" t="s">
        <v>46231</v>
      </c>
      <c r="B36757" s="4" t="s">
        <v>46236</v>
      </c>
      <c r="C36757" s="5" t="str">
        <f>IFERROR(__xludf.DUMMYFUNCTION("GOOGLETRANSLATE(B36757,""en"",""it"")"),"Dopo, l'uomo asciugò la macchina manualmente con un panno.")</f>
        <v>Dopo, l'uomo asciugò la macchina manualmente con un panno.</v>
      </c>
    </row>
    <row r="36758">
      <c r="A36758" s="4" t="s">
        <v>46231</v>
      </c>
      <c r="B36758" s="4" t="s">
        <v>46237</v>
      </c>
      <c r="C36758" s="5" t="str">
        <f>IFERROR(__xludf.DUMMYFUNCTION("GOOGLETRANSLATE(B36758,""en"",""it"")"),"Successivamente, l'uomo pulisce all'interno dell'auto, quindi guida la macchina.")</f>
        <v>Successivamente, l'uomo pulisce all'interno dell'auto, quindi guida la macchina.</v>
      </c>
    </row>
    <row r="36759">
      <c r="A36759" s="4" t="s">
        <v>46238</v>
      </c>
      <c r="B36759" s="4" t="s">
        <v>46239</v>
      </c>
      <c r="C36759" s="5" t="str">
        <f>IFERROR(__xludf.DUMMYFUNCTION("GOOGLETRANSLATE(B36759,""en"",""it"")"),"Un uomo si siede a un tavolo a parlare.")</f>
        <v>Un uomo si siede a un tavolo a parlare.</v>
      </c>
    </row>
    <row r="36760">
      <c r="A36760" s="4" t="s">
        <v>46238</v>
      </c>
      <c r="B36760" s="4" t="s">
        <v>46240</v>
      </c>
      <c r="C36760" s="5" t="str">
        <f>IFERROR(__xludf.DUMMYFUNCTION("GOOGLETRANSLATE(B36760,""en"",""it"")"),"L'uomo, ora in piedi, versa la vernice più sottile e si asciuga il tavolo con lo straccio.")</f>
        <v>L'uomo, ora in piedi, versa la vernice più sottile e si asciuga il tavolo con lo straccio.</v>
      </c>
    </row>
    <row r="36761">
      <c r="A36761" s="4" t="s">
        <v>46238</v>
      </c>
      <c r="B36761" s="4" t="s">
        <v>46241</v>
      </c>
      <c r="C36761" s="5" t="str">
        <f>IFERROR(__xludf.DUMMYFUNCTION("GOOGLETRANSLATE(B36761,""en"",""it"")"),"L'uomo si siede di nuovo al tavolo mentre parla.")</f>
        <v>L'uomo si siede di nuovo al tavolo mentre parla.</v>
      </c>
    </row>
    <row r="36762">
      <c r="A36762" s="4" t="s">
        <v>46238</v>
      </c>
      <c r="B36762" s="4" t="s">
        <v>46242</v>
      </c>
      <c r="C36762" s="5" t="str">
        <f>IFERROR(__xludf.DUMMYFUNCTION("GOOGLETRANSLATE(B36762,""en"",""it"")"),"Ora è in piedi a mettere uno smalto sul tavolo e brillare.")</f>
        <v>Ora è in piedi a mettere uno smalto sul tavolo e brillare.</v>
      </c>
    </row>
    <row r="36763">
      <c r="A36763" s="4" t="s">
        <v>46238</v>
      </c>
      <c r="B36763" s="4" t="s">
        <v>46243</v>
      </c>
      <c r="C36763" s="5" t="str">
        <f>IFERROR(__xludf.DUMMYFUNCTION("GOOGLETRANSLATE(B36763,""en"",""it"")"),"Quindi pulisce le gambe del tavolo con un pennello.")</f>
        <v>Quindi pulisce le gambe del tavolo con un pennello.</v>
      </c>
    </row>
    <row r="36764">
      <c r="A36764" s="4" t="s">
        <v>46238</v>
      </c>
      <c r="B36764" s="4" t="s">
        <v>46244</v>
      </c>
      <c r="C36764" s="5" t="str">
        <f>IFERROR(__xludf.DUMMYFUNCTION("GOOGLETRANSLATE(B36764,""en"",""it"")"),"Si siede al tavolo a parlare per un altro momento.")</f>
        <v>Si siede al tavolo a parlare per un altro momento.</v>
      </c>
    </row>
    <row r="36765">
      <c r="A36765" s="4" t="s">
        <v>46238</v>
      </c>
      <c r="B36765" s="4" t="s">
        <v>46245</v>
      </c>
      <c r="C36765" s="5" t="str">
        <f>IFERROR(__xludf.DUMMYFUNCTION("GOOGLETRANSLATE(B36765,""en"",""it"")"),"La scena cambia e l'uomo è visto in piedi in un garage.")</f>
        <v>La scena cambia e l'uomo è visto in piedi in un garage.</v>
      </c>
    </row>
    <row r="36766">
      <c r="A36766" s="4" t="s">
        <v>46246</v>
      </c>
      <c r="B36766" s="6" t="s">
        <v>46247</v>
      </c>
      <c r="C36766" s="5" t="str">
        <f>IFERROR(__xludf.DUMMYFUNCTION("GOOGLETRANSLATE(B36766,""en"",""it"")"),"Due persone vengono viste cavalcare su una canoa che spinge una pagaia lungo l'acqua e guardando nella telecamera.")</f>
        <v>Due persone vengono viste cavalcare su una canoa che spinge una pagaia lungo l'acqua e guardando nella telecamera.</v>
      </c>
    </row>
    <row r="36767">
      <c r="A36767" s="4" t="s">
        <v>46246</v>
      </c>
      <c r="B36767" s="6" t="s">
        <v>46248</v>
      </c>
      <c r="C36767" s="5" t="str">
        <f>IFERROR(__xludf.DUMMYFUNCTION("GOOGLETRANSLATE(B36767,""en"",""it"")"),"Vengono mostrate altre clip dello scenario e delle persone che vanno in giro e si incontrano con gli altri.")</f>
        <v>Vengono mostrate altre clip dello scenario e delle persone che vanno in giro e si incontrano con gli altri.</v>
      </c>
    </row>
    <row r="36768">
      <c r="A36768" s="4" t="s">
        <v>46249</v>
      </c>
      <c r="B36768" s="6" t="s">
        <v>46250</v>
      </c>
      <c r="C36768" s="5" t="str">
        <f>IFERROR(__xludf.DUMMYFUNCTION("GOOGLETRANSLATE(B36768,""en"",""it"")"),"Un folto gruppo di persone è visto in piedi intorno a una sala di balletto e conduce a quattro esibirsi in una danza.")</f>
        <v>Un folto gruppo di persone è visto in piedi intorno a una sala di balletto e conduce a quattro esibirsi in una danza.</v>
      </c>
    </row>
    <row r="36769">
      <c r="A36769" s="4" t="s">
        <v>46249</v>
      </c>
      <c r="B36769" s="4" t="s">
        <v>46251</v>
      </c>
      <c r="C36769" s="5" t="str">
        <f>IFERROR(__xludf.DUMMYFUNCTION("GOOGLETRANSLATE(B36769,""en"",""it"")"),"I quattro si muovono continuamente insieme mentre si tengono per mano e fanno le stesse mosse.")</f>
        <v>I quattro si muovono continuamente insieme mentre si tengono per mano e fanno le stesse mosse.</v>
      </c>
    </row>
    <row r="36770">
      <c r="A36770" s="4" t="s">
        <v>46249</v>
      </c>
      <c r="B36770" s="4" t="s">
        <v>46252</v>
      </c>
      <c r="C36770" s="5" t="str">
        <f>IFERROR(__xludf.DUMMYFUNCTION("GOOGLETRANSLATE(B36770,""en"",""it"")"),"Le ragazze ridono insieme e continuano a ballare e finire tenendo una posa.")</f>
        <v>Le ragazze ridono insieme e continuano a ballare e finire tenendo una posa.</v>
      </c>
    </row>
    <row r="36771">
      <c r="A36771" s="4" t="s">
        <v>46253</v>
      </c>
      <c r="B36771" s="6" t="s">
        <v>46254</v>
      </c>
      <c r="C36771" s="5" t="str">
        <f>IFERROR(__xludf.DUMMYFUNCTION("GOOGLETRANSLATE(B36771,""en"",""it"")"),"Una donna entra in un telaio parlando alla telecamera e indica un cartello che la porta a parlare con un uomo di fronte a un arco e una freccia.")</f>
        <v>Una donna entra in un telaio parlando alla telecamera e indica un cartello che la porta a parlare con un uomo di fronte a un arco e una freccia.</v>
      </c>
    </row>
    <row r="36772">
      <c r="A36772" s="4" t="s">
        <v>46253</v>
      </c>
      <c r="B36772" s="4" t="s">
        <v>46255</v>
      </c>
      <c r="C36772" s="5" t="str">
        <f>IFERROR(__xludf.DUMMYFUNCTION("GOOGLETRANSLATE(B36772,""en"",""it"")"),"L'uomo le parla e mette l'attrezzatura da arco sulla donna e le tiene in prua.")</f>
        <v>L'uomo le parla e mette l'attrezzatura da arco sulla donna e le tiene in prua.</v>
      </c>
    </row>
    <row r="36773">
      <c r="A36773" s="4" t="s">
        <v>46253</v>
      </c>
      <c r="B36773" s="6" t="s">
        <v>46256</v>
      </c>
      <c r="C36773" s="5" t="str">
        <f>IFERROR(__xludf.DUMMYFUNCTION("GOOGLETRANSLATE(B36773,""en"",""it"")"),"Le insegna come tenere correttamente l'arco e la donna fa diversi turni che sparano all'arco e alla freccia.")</f>
        <v>Le insegna come tenere correttamente l'arco e la donna fa diversi turni che sparano all'arco e alla freccia.</v>
      </c>
    </row>
    <row r="36774">
      <c r="A36774" s="4" t="s">
        <v>46253</v>
      </c>
      <c r="B36774" s="6" t="s">
        <v>46257</v>
      </c>
      <c r="C36774" s="5" t="str">
        <f>IFERROR(__xludf.DUMMYFUNCTION("GOOGLETRANSLATE(B36774,""en"",""it"")"),"Lei esercita e continua a sparare mentre l'uomo le parla e scuote la mano mentre si allontanano.")</f>
        <v>Lei esercita e continua a sparare mentre l'uomo le parla e scuote la mano mentre si allontanano.</v>
      </c>
    </row>
    <row r="36775">
      <c r="A36775" s="4" t="s">
        <v>46258</v>
      </c>
      <c r="B36775" s="4" t="s">
        <v>46259</v>
      </c>
      <c r="C36775" s="5" t="str">
        <f>IFERROR(__xludf.DUMMYFUNCTION("GOOGLETRANSLATE(B36775,""en"",""it"")"),"Una donna viene vista seduta sotto un ombrello con un bastone da narghilè in bocca.")</f>
        <v>Una donna viene vista seduta sotto un ombrello con un bastone da narghilè in bocca.</v>
      </c>
    </row>
    <row r="36776">
      <c r="A36776" s="4" t="s">
        <v>46258</v>
      </c>
      <c r="B36776" s="6" t="s">
        <v>46260</v>
      </c>
      <c r="C36776" s="5" t="str">
        <f>IFERROR(__xludf.DUMMYFUNCTION("GOOGLETRANSLATE(B36776,""en"",""it"")"),"Prende un paio di sbuffi dal bastone mentre lo soffia nella telecamera e parla alla telecamera.")</f>
        <v>Prende un paio di sbuffi dal bastone mentre lo soffia nella telecamera e parla alla telecamera.</v>
      </c>
    </row>
    <row r="36777">
      <c r="A36777" s="4" t="s">
        <v>46261</v>
      </c>
      <c r="B36777" s="4" t="s">
        <v>46262</v>
      </c>
      <c r="C36777" s="5" t="str">
        <f>IFERROR(__xludf.DUMMYFUNCTION("GOOGLETRANSLATE(B36777,""en"",""it"")"),"La donna puzza i mobili con acetone.")</f>
        <v>La donna puzza i mobili con acetone.</v>
      </c>
    </row>
    <row r="36778">
      <c r="A36778" s="4" t="s">
        <v>46261</v>
      </c>
      <c r="B36778" s="4" t="s">
        <v>46263</v>
      </c>
      <c r="C36778" s="5" t="str">
        <f>IFERROR(__xludf.DUMMYFUNCTION("GOOGLETRANSLATE(B36778,""en"",""it"")"),"La donna spruzza il silicone sul tavolo e lo asciuga.")</f>
        <v>La donna spruzza il silicone sul tavolo e lo asciuga.</v>
      </c>
    </row>
    <row r="36779">
      <c r="A36779" s="4" t="s">
        <v>46261</v>
      </c>
      <c r="B36779" s="4" t="s">
        <v>46264</v>
      </c>
      <c r="C36779" s="5" t="str">
        <f>IFERROR(__xludf.DUMMYFUNCTION("GOOGLETRANSLATE(B36779,""en"",""it"")"),"La donna confronta la vecchia sezione con la sezione pulita.")</f>
        <v>La donna confronta la vecchia sezione con la sezione pulita.</v>
      </c>
    </row>
    <row r="36780">
      <c r="A36780" s="4" t="s">
        <v>46265</v>
      </c>
      <c r="B36780" s="6" t="s">
        <v>46266</v>
      </c>
      <c r="C36780" s="5" t="str">
        <f>IFERROR(__xludf.DUMMYFUNCTION("GOOGLETRANSLATE(B36780,""en"",""it"")"),"Un folto gruppo di persone è visto seduto intorno a una fossa con un uomo che gira e lancia una palla in lontananza.")</f>
        <v>Un folto gruppo di persone è visto seduto intorno a una fossa con un uomo che gira e lancia una palla in lontananza.</v>
      </c>
    </row>
    <row r="36781">
      <c r="A36781" s="4" t="s">
        <v>46265</v>
      </c>
      <c r="B36781" s="4" t="s">
        <v>46267</v>
      </c>
      <c r="C36781" s="5" t="str">
        <f>IFERROR(__xludf.DUMMYFUNCTION("GOOGLETRANSLATE(B36781,""en"",""it"")"),"Le persone intorno a lui applaudire mentre si trovano più in giro e parlano e guardano le palle essere lanciate.")</f>
        <v>Le persone intorno a lui applaudire mentre si trovano più in giro e parlano e guardano le palle essere lanciate.</v>
      </c>
    </row>
    <row r="36782">
      <c r="A36782" s="4" t="s">
        <v>46265</v>
      </c>
      <c r="B36782" s="6" t="s">
        <v>46268</v>
      </c>
      <c r="C36782" s="5" t="str">
        <f>IFERROR(__xludf.DUMMYFUNCTION("GOOGLETRANSLATE(B36782,""en"",""it"")"),"Le persone afferrano più e più volte la palla da terra mentre occasionalmente guardano verso la telecamera e tornano alla grande folla.")</f>
        <v>Le persone afferrano più e più volte la palla da terra mentre occasionalmente guardano verso la telecamera e tornano alla grande folla.</v>
      </c>
    </row>
    <row r="36783">
      <c r="A36783" s="4" t="s">
        <v>46269</v>
      </c>
      <c r="B36783" s="4" t="s">
        <v>46270</v>
      </c>
      <c r="C36783" s="5" t="str">
        <f>IFERROR(__xludf.DUMMYFUNCTION("GOOGLETRANSLATE(B36783,""en"",""it"")"),"Viene mostrata una palla che vola nel cielo mentre un folto gruppo di persone sta intorno.")</f>
        <v>Viene mostrata una palla che vola nel cielo mentre un folto gruppo di persone sta intorno.</v>
      </c>
    </row>
    <row r="36784">
      <c r="A36784" s="4" t="s">
        <v>46269</v>
      </c>
      <c r="B36784" s="4" t="s">
        <v>46271</v>
      </c>
      <c r="C36784" s="5" t="str">
        <f>IFERROR(__xludf.DUMMYFUNCTION("GOOGLETRANSLATE(B36784,""en"",""it"")"),"Una persona viene quindi vista afferrare la palla a terra.")</f>
        <v>Una persona viene quindi vista afferrare la palla a terra.</v>
      </c>
    </row>
    <row r="36785">
      <c r="A36785" s="4" t="s">
        <v>46269</v>
      </c>
      <c r="B36785" s="4" t="s">
        <v>46272</v>
      </c>
      <c r="C36785" s="5" t="str">
        <f>IFERROR(__xludf.DUMMYFUNCTION("GOOGLETRANSLATE(B36785,""en"",""it"")"),"La persona cattura la palla e la clip viene nuovamente mostrata al rallentatore.")</f>
        <v>La persona cattura la palla e la clip viene nuovamente mostrata al rallentatore.</v>
      </c>
    </row>
    <row r="36786">
      <c r="A36786" s="4" t="s">
        <v>46273</v>
      </c>
      <c r="B36786" s="4" t="s">
        <v>46274</v>
      </c>
      <c r="C36786" s="5" t="str">
        <f>IFERROR(__xludf.DUMMYFUNCTION("GOOGLETRANSLATE(B36786,""en"",""it"")"),"In una struttura povera all'aperto, le persone sono in piscina e altre sono fuori in piedi.")</f>
        <v>In una struttura povera all'aperto, le persone sono in piscina e altre sono fuori in piedi.</v>
      </c>
    </row>
    <row r="36787">
      <c r="A36787" s="4" t="s">
        <v>46273</v>
      </c>
      <c r="B36787" s="4" t="s">
        <v>46275</v>
      </c>
      <c r="C36787" s="5" t="str">
        <f>IFERROR(__xludf.DUMMYFUNCTION("GOOGLETRANSLATE(B36787,""en"",""it"")"),"Ci sono due ragazzi sul tabellone che si preparano a saltare.")</f>
        <v>Ci sono due ragazzi sul tabellone che si preparano a saltare.</v>
      </c>
    </row>
    <row r="36788">
      <c r="A36788" s="4" t="s">
        <v>46273</v>
      </c>
      <c r="B36788" s="4" t="s">
        <v>46276</v>
      </c>
      <c r="C36788" s="5" t="str">
        <f>IFERROR(__xludf.DUMMYFUNCTION("GOOGLETRANSLATE(B36788,""en"",""it"")"),"Si mettono in una posizione unica e poi si immergono contemporaneamente insieme.")</f>
        <v>Si mettono in una posizione unica e poi si immergono contemporaneamente insieme.</v>
      </c>
    </row>
    <row r="36789">
      <c r="A36789" s="4" t="s">
        <v>46273</v>
      </c>
      <c r="B36789" s="4" t="s">
        <v>46277</v>
      </c>
      <c r="C36789" s="5" t="str">
        <f>IFERROR(__xludf.DUMMYFUNCTION("GOOGLETRANSLATE(B36789,""en"",""it"")"),"Fanno un enorme schiocco mentre atterrano all'interno dell'acqua.")</f>
        <v>Fanno un enorme schiocco mentre atterrano all'interno dell'acqua.</v>
      </c>
    </row>
    <row r="36790">
      <c r="A36790" s="4" t="s">
        <v>46278</v>
      </c>
      <c r="B36790" s="4" t="s">
        <v>46279</v>
      </c>
      <c r="C36790" s="5" t="str">
        <f>IFERROR(__xludf.DUMMYFUNCTION("GOOGLETRANSLATE(B36790,""en"",""it"")"),"Una foto di un set di patio viene mostrata seguita da una donna che strofina lungo i tavoli e le sedie.")</f>
        <v>Una foto di un set di patio viene mostrata seguita da una donna che strofina lungo i tavoli e le sedie.</v>
      </c>
    </row>
    <row r="36791">
      <c r="A36791" s="4" t="s">
        <v>46278</v>
      </c>
      <c r="B36791" s="4" t="s">
        <v>46280</v>
      </c>
      <c r="C36791" s="5" t="str">
        <f>IFERROR(__xludf.DUMMYFUNCTION("GOOGLETRANSLATE(B36791,""en"",""it"")"),"Li asciuga con uno straccio e poi scuote una lattina e spruzza dipinge i mobili.")</f>
        <v>Li asciuga con uno straccio e poi scuote una lattina e spruzza dipinge i mobili.</v>
      </c>
    </row>
    <row r="36792">
      <c r="A36792" s="4" t="s">
        <v>46278</v>
      </c>
      <c r="B36792" s="4" t="s">
        <v>46281</v>
      </c>
      <c r="C36792" s="5" t="str">
        <f>IFERROR(__xludf.DUMMYFUNCTION("GOOGLETRANSLATE(B36792,""en"",""it"")"),"Vengono visualizzati altri primi piani dei mobili mentre le istruzioni di testo sono disponibili sullo schermo.")</f>
        <v>Vengono visualizzati altri primi piani dei mobili mentre le istruzioni di testo sono disponibili sullo schermo.</v>
      </c>
    </row>
    <row r="36793">
      <c r="A36793" s="4" t="s">
        <v>46282</v>
      </c>
      <c r="B36793" s="4" t="s">
        <v>46283</v>
      </c>
      <c r="C36793" s="5" t="str">
        <f>IFERROR(__xludf.DUMMYFUNCTION("GOOGLETRANSLATE(B36793,""en"",""it"")"),"Un uomo si trova in uno studio di danza e mostra come si prepara per diverse posture di danza.")</f>
        <v>Un uomo si trova in uno studio di danza e mostra come si prepara per diverse posture di danza.</v>
      </c>
    </row>
    <row r="36794">
      <c r="A36794" s="4" t="s">
        <v>46282</v>
      </c>
      <c r="B36794" s="4" t="s">
        <v>46284</v>
      </c>
      <c r="C36794" s="5" t="str">
        <f>IFERROR(__xludf.DUMMYFUNCTION("GOOGLETRANSLATE(B36794,""en"",""it"")"),"L'uomo in maglietta bianca fa gira mentre balla.")</f>
        <v>L'uomo in maglietta bianca fa gira mentre balla.</v>
      </c>
    </row>
    <row r="36795">
      <c r="A36795" s="4" t="s">
        <v>46285</v>
      </c>
      <c r="B36795" s="4" t="s">
        <v>46286</v>
      </c>
      <c r="C36795" s="5" t="str">
        <f>IFERROR(__xludf.DUMMYFUNCTION("GOOGLETRANSLATE(B36795,""en"",""it"")"),"L'uomo è in scena nelle notizie.")</f>
        <v>L'uomo è in scena nelle notizie.</v>
      </c>
    </row>
    <row r="36796">
      <c r="A36796" s="4" t="s">
        <v>46285</v>
      </c>
      <c r="B36796" s="6" t="s">
        <v>46287</v>
      </c>
      <c r="C36796" s="5" t="str">
        <f>IFERROR(__xludf.DUMMYFUNCTION("GOOGLETRANSLATE(B36796,""en"",""it"")"),"Le persone sono in strada saltando la corda e ballando mentre le persone si sono radunate intorno a loro stanno guardando.")</f>
        <v>Le persone sono in strada saltando la corda e ballando mentre le persone si sono radunate intorno a loro stanno guardando.</v>
      </c>
    </row>
    <row r="36797">
      <c r="A36797" s="4" t="s">
        <v>46285</v>
      </c>
      <c r="B36797" s="4" t="s">
        <v>46288</v>
      </c>
      <c r="C36797" s="5" t="str">
        <f>IFERROR(__xludf.DUMMYFUNCTION("GOOGLETRANSLATE(B36797,""en"",""it"")"),"Una vecchia donna cinese viene intervistata.")</f>
        <v>Una vecchia donna cinese viene intervistata.</v>
      </c>
    </row>
    <row r="36798">
      <c r="A36798" s="4" t="s">
        <v>46285</v>
      </c>
      <c r="B36798" s="4" t="s">
        <v>46289</v>
      </c>
      <c r="C36798" s="5" t="str">
        <f>IFERROR(__xludf.DUMMYFUNCTION("GOOGLETRANSLATE(B36798,""en"",""it"")"),"Il vecchio sta parlando con la telecamera.")</f>
        <v>Il vecchio sta parlando con la telecamera.</v>
      </c>
    </row>
    <row r="36799">
      <c r="A36799" s="4" t="s">
        <v>46285</v>
      </c>
      <c r="B36799" s="4" t="s">
        <v>46290</v>
      </c>
      <c r="C36799" s="5" t="str">
        <f>IFERROR(__xludf.DUMMYFUNCTION("GOOGLETRANSLATE(B36799,""en"",""it"")"),"La donna tiene un microfono che parla con la telecamera che salta la corda.")</f>
        <v>La donna tiene un microfono che parla con la telecamera che salta la corda.</v>
      </c>
    </row>
    <row r="36800">
      <c r="A36800" s="4" t="s">
        <v>46285</v>
      </c>
      <c r="B36800" s="4" t="s">
        <v>46291</v>
      </c>
      <c r="C36800" s="5" t="str">
        <f>IFERROR(__xludf.DUMMYFUNCTION("GOOGLETRANSLATE(B36800,""en"",""it"")"),"La donna sta saltando la corda e fa Somersault.")</f>
        <v>La donna sta saltando la corda e fa Somersault.</v>
      </c>
    </row>
    <row r="36801">
      <c r="A36801" s="4" t="s">
        <v>46285</v>
      </c>
      <c r="B36801" s="4" t="s">
        <v>46292</v>
      </c>
      <c r="C36801" s="5" t="str">
        <f>IFERROR(__xludf.DUMMYFUNCTION("GOOGLETRANSLATE(B36801,""en"",""it"")"),"Le donne vengono intervistate e dietro la sua gente salta la corda.")</f>
        <v>Le donne vengono intervistate e dietro la sua gente salta la corda.</v>
      </c>
    </row>
    <row r="36802">
      <c r="A36802" s="4" t="s">
        <v>46285</v>
      </c>
      <c r="B36802" s="4" t="s">
        <v>46293</v>
      </c>
      <c r="C36802" s="5" t="str">
        <f>IFERROR(__xludf.DUMMYFUNCTION("GOOGLETRANSLATE(B36802,""en"",""it"")"),"Le persone sono in scena in competizione saltando la corda.")</f>
        <v>Le persone sono in scena in competizione saltando la corda.</v>
      </c>
    </row>
    <row r="36803">
      <c r="A36803" s="4" t="s">
        <v>46285</v>
      </c>
      <c r="B36803" s="4" t="s">
        <v>46294</v>
      </c>
      <c r="C36803" s="5" t="str">
        <f>IFERROR(__xludf.DUMMYFUNCTION("GOOGLETRANSLATE(B36803,""en"",""it"")"),"Le donne sono in strada che vengono intervistate e le persone continuano a saltare la corda.")</f>
        <v>Le donne sono in strada che vengono intervistate e le persone continuano a saltare la corda.</v>
      </c>
    </row>
    <row r="36804">
      <c r="A36804" s="4" t="s">
        <v>46295</v>
      </c>
      <c r="B36804" s="4" t="s">
        <v>46296</v>
      </c>
      <c r="C36804" s="5" t="str">
        <f>IFERROR(__xludf.DUMMYFUNCTION("GOOGLETRANSLATE(B36804,""en"",""it"")"),"L'uomo in blu leotard alzò il barbiglio, ma lasciò andare il barbel e cadde sulla schiena.")</f>
        <v>L'uomo in blu leotard alzò il barbiglio, ma lasciò andare il barbel e cadde sulla schiena.</v>
      </c>
    </row>
    <row r="36805">
      <c r="A36805" s="4" t="s">
        <v>46295</v>
      </c>
      <c r="B36805" s="4" t="s">
        <v>46297</v>
      </c>
      <c r="C36805" s="5" t="str">
        <f>IFERROR(__xludf.DUMMYFUNCTION("GOOGLETRANSLATE(B36805,""en"",""it"")"),"L'uomo in Red Leotard portava il barbol fino in fondo alla testa, la folla applaudiva.")</f>
        <v>L'uomo in Red Leotard portava il barbol fino in fondo alla testa, la folla applaudiva.</v>
      </c>
    </row>
    <row r="36806">
      <c r="A36806" s="4" t="s">
        <v>46295</v>
      </c>
      <c r="B36806" s="4" t="s">
        <v>46298</v>
      </c>
      <c r="C36806" s="5" t="str">
        <f>IFERROR(__xludf.DUMMYFUNCTION("GOOGLETRANSLATE(B36806,""en"",""it"")"),"L'atleta sollevò il barbiglio ma non era in grado di salire fino in fondo.")</f>
        <v>L'atleta sollevò il barbiglio ma non era in grado di salire fino in fondo.</v>
      </c>
    </row>
    <row r="36807">
      <c r="A36807" s="4" t="s">
        <v>46295</v>
      </c>
      <c r="B36807" s="4" t="s">
        <v>46299</v>
      </c>
      <c r="C36807" s="5" t="str">
        <f>IFERROR(__xludf.DUMMYFUNCTION("GOOGLETRANSLATE(B36807,""en"",""it"")"),"La folla è incoraggiata mentre gli atleti sono in grado di alzare il barbello tutta la testa.")</f>
        <v>La folla è incoraggiata mentre gli atleti sono in grado di alzare il barbello tutta la testa.</v>
      </c>
    </row>
    <row r="36808">
      <c r="A36808" s="4" t="s">
        <v>46300</v>
      </c>
      <c r="B36808" s="4" t="s">
        <v>46301</v>
      </c>
      <c r="C36808" s="5" t="str">
        <f>IFERROR(__xludf.DUMMYFUNCTION("GOOGLETRANSLATE(B36808,""en"",""it"")"),"Un uomo in palestra blu stira i vestiti su una tavola da stiro a casa.")</f>
        <v>Un uomo in palestra blu stira i vestiti su una tavola da stiro a casa.</v>
      </c>
    </row>
    <row r="36809">
      <c r="A36809" s="4" t="s">
        <v>46300</v>
      </c>
      <c r="B36809" s="4" t="s">
        <v>46302</v>
      </c>
      <c r="C36809" s="5" t="str">
        <f>IFERROR(__xludf.DUMMYFUNCTION("GOOGLETRANSLATE(B36809,""en"",""it"")"),"L'uomo si siede sul pavimento e si piega i vestiti e li impila.")</f>
        <v>L'uomo si siede sul pavimento e si piega i vestiti e li impila.</v>
      </c>
    </row>
    <row r="36810">
      <c r="A36810" s="4" t="s">
        <v>46300</v>
      </c>
      <c r="B36810" s="4" t="s">
        <v>46303</v>
      </c>
      <c r="C36810" s="5" t="str">
        <f>IFERROR(__xludf.DUMMYFUNCTION("GOOGLETRANSLATE(B36810,""en"",""it"")"),"L'uomo lascia la stanza e la stanza diventa scura.")</f>
        <v>L'uomo lascia la stanza e la stanza diventa scura.</v>
      </c>
    </row>
    <row r="36811">
      <c r="A36811" s="4" t="s">
        <v>46304</v>
      </c>
      <c r="B36811" s="4" t="s">
        <v>46305</v>
      </c>
      <c r="C36811" s="5" t="str">
        <f>IFERROR(__xludf.DUMMYFUNCTION("GOOGLETRANSLATE(B36811,""en"",""it"")"),"Un uomo si trova in una grande arena.")</f>
        <v>Un uomo si trova in una grande arena.</v>
      </c>
    </row>
    <row r="36812">
      <c r="A36812" s="4" t="s">
        <v>46304</v>
      </c>
      <c r="B36812" s="4" t="s">
        <v>46306</v>
      </c>
      <c r="C36812" s="5" t="str">
        <f>IFERROR(__xludf.DUMMYFUNCTION("GOOGLETRANSLATE(B36812,""en"",""it"")"),"Lancia una palla pesante molto lontano.")</f>
        <v>Lancia una palla pesante molto lontano.</v>
      </c>
    </row>
    <row r="36813">
      <c r="A36813" s="4" t="s">
        <v>46304</v>
      </c>
      <c r="B36813" s="4" t="s">
        <v>46307</v>
      </c>
      <c r="C36813" s="5" t="str">
        <f>IFERROR(__xludf.DUMMYFUNCTION("GOOGLETRANSLATE(B36813,""en"",""it"")"),"Lo fa ancora e ancora.")</f>
        <v>Lo fa ancora e ancora.</v>
      </c>
    </row>
    <row r="36814">
      <c r="A36814" s="4" t="s">
        <v>46304</v>
      </c>
      <c r="B36814" s="4" t="s">
        <v>46308</v>
      </c>
      <c r="C36814" s="5" t="str">
        <f>IFERROR(__xludf.DUMMYFUNCTION("GOOGLETRANSLATE(B36814,""en"",""it"")"),"Lancia le palle molto lontano.")</f>
        <v>Lancia le palle molto lontano.</v>
      </c>
    </row>
    <row r="36815">
      <c r="A36815" s="4" t="s">
        <v>46309</v>
      </c>
      <c r="B36815" s="4" t="s">
        <v>46310</v>
      </c>
      <c r="C36815" s="5" t="str">
        <f>IFERROR(__xludf.DUMMYFUNCTION("GOOGLETRANSLATE(B36815,""en"",""it"")"),"Fuori da un cane si sdraia sul marciapiede quando un essere umano prende un frisbee e lo lancia.")</f>
        <v>Fuori da un cane si sdraia sul marciapiede quando un essere umano prende un frisbee e lo lancia.</v>
      </c>
    </row>
    <row r="36816">
      <c r="A36816" s="4" t="s">
        <v>46309</v>
      </c>
      <c r="B36816" s="4" t="s">
        <v>46311</v>
      </c>
      <c r="C36816" s="5" t="str">
        <f>IFERROR(__xludf.DUMMYFUNCTION("GOOGLETRANSLATE(B36816,""en"",""it"")"),"Il cane corre con entusiasmo e torna indietro con esso, riportandolo al suo essere umano.")</f>
        <v>Il cane corre con entusiasmo e torna indietro con esso, riportandolo al suo essere umano.</v>
      </c>
    </row>
    <row r="36817">
      <c r="A36817" s="4" t="s">
        <v>46309</v>
      </c>
      <c r="B36817" s="4" t="s">
        <v>46312</v>
      </c>
      <c r="C36817" s="5" t="str">
        <f>IFERROR(__xludf.DUMMYFUNCTION("GOOGLETRANSLATE(B36817,""en"",""it"")"),"Scompare per un po 'e poi lo vedi eccitato a prepararsi a correre di nuovo.")</f>
        <v>Scompare per un po 'e poi lo vedi eccitato a prepararsi a correre di nuovo.</v>
      </c>
    </row>
    <row r="36818">
      <c r="A36818" s="4" t="s">
        <v>46309</v>
      </c>
      <c r="B36818" s="4" t="s">
        <v>46313</v>
      </c>
      <c r="C36818" s="5" t="str">
        <f>IFERROR(__xludf.DUMMYFUNCTION("GOOGLETRANSLATE(B36818,""en"",""it"")"),"Una volta che vede il frisbee volare, inizia a correre per questo e lo riporta ogni volta.")</f>
        <v>Una volta che vede il frisbee volare, inizia a correre per questo e lo riporta ogni volta.</v>
      </c>
    </row>
    <row r="36819">
      <c r="A36819" s="4" t="s">
        <v>46314</v>
      </c>
      <c r="B36819" s="4" t="s">
        <v>46315</v>
      </c>
      <c r="C36819" s="5" t="str">
        <f>IFERROR(__xludf.DUMMYFUNCTION("GOOGLETRANSLATE(B36819,""en"",""it"")"),"Ci sono alcuni adolescenti che skateboard in una tranquilla strade in un quartiere.")</f>
        <v>Ci sono alcuni adolescenti che skateboard in una tranquilla strade in un quartiere.</v>
      </c>
    </row>
    <row r="36820">
      <c r="A36820" s="4" t="s">
        <v>46314</v>
      </c>
      <c r="B36820" s="4" t="s">
        <v>46316</v>
      </c>
      <c r="C36820" s="5" t="str">
        <f>IFERROR(__xludf.DUMMYFUNCTION("GOOGLETRANSLATE(B36820,""en"",""it"")"),"Stanno andando in fondo alla strada, provando alcune acrobazie sullo skateboard.")</f>
        <v>Stanno andando in fondo alla strada, provando alcune acrobazie sullo skateboard.</v>
      </c>
    </row>
    <row r="36821">
      <c r="A36821" s="4" t="s">
        <v>46314</v>
      </c>
      <c r="B36821" s="4" t="s">
        <v>46317</v>
      </c>
      <c r="C36821" s="5" t="str">
        <f>IFERROR(__xludf.DUMMYFUNCTION("GOOGLETRANSLATE(B36821,""en"",""it"")"),"Ci sono alcune foglie cadute sul marciapiede.")</f>
        <v>Ci sono alcune foglie cadute sul marciapiede.</v>
      </c>
    </row>
    <row r="36822">
      <c r="A36822" s="4" t="s">
        <v>46314</v>
      </c>
      <c r="B36822" s="4" t="s">
        <v>46318</v>
      </c>
      <c r="C36822" s="5" t="str">
        <f>IFERROR(__xludf.DUMMYFUNCTION("GOOGLETRANSLATE(B36822,""en"",""it"")"),"Uno dei ragazzi si china e pattina in una posizione seduta.")</f>
        <v>Uno dei ragazzi si china e pattina in una posizione seduta.</v>
      </c>
    </row>
    <row r="36823">
      <c r="A36823" s="4" t="s">
        <v>46314</v>
      </c>
      <c r="B36823" s="4" t="s">
        <v>46319</v>
      </c>
      <c r="C36823" s="5" t="str">
        <f>IFERROR(__xludf.DUMMYFUNCTION("GOOGLETRANSLATE(B36823,""en"",""it"")"),"I ragazzi continuano a skateboard per le strade, superando le case nella zona residenziale.")</f>
        <v>I ragazzi continuano a skateboard per le strade, superando le case nella zona residenziale.</v>
      </c>
    </row>
    <row r="36824">
      <c r="A36824" s="4" t="s">
        <v>46320</v>
      </c>
      <c r="B36824" s="4" t="s">
        <v>46321</v>
      </c>
      <c r="C36824" s="5" t="str">
        <f>IFERROR(__xludf.DUMMYFUNCTION("GOOGLETRANSLATE(B36824,""en"",""it"")"),"Un uomo con una camicia a strisce si prepara a lanciare freccette su una tavola da dardo.")</f>
        <v>Un uomo con una camicia a strisce si prepara a lanciare freccette su una tavola da dardo.</v>
      </c>
    </row>
    <row r="36825">
      <c r="A36825" s="4" t="s">
        <v>46320</v>
      </c>
      <c r="B36825" s="4" t="s">
        <v>46322</v>
      </c>
      <c r="C36825" s="5" t="str">
        <f>IFERROR(__xludf.DUMMYFUNCTION("GOOGLETRANSLATE(B36825,""en"",""it"")"),"L'uomo lancia tre freccette a bordo di freccette.")</f>
        <v>L'uomo lancia tre freccette a bordo di freccette.</v>
      </c>
    </row>
    <row r="36826">
      <c r="A36826" s="4" t="s">
        <v>46320</v>
      </c>
      <c r="B36826" s="6" t="s">
        <v>46323</v>
      </c>
      <c r="C36826" s="5" t="str">
        <f>IFERROR(__xludf.DUMMYFUNCTION("GOOGLETRANSLATE(B36826,""en"",""it"")"),"L'uomo della telecamera si muove sul lato del gambe e ingrandisce le freccette mentre l'uomo nella camicia a strisce raggiunge la tavola da freccetta.")</f>
        <v>L'uomo della telecamera si muove sul lato del gambe e ingrandisce le freccette mentre l'uomo nella camicia a strisce raggiunge la tavola da freccetta.</v>
      </c>
    </row>
    <row r="36827">
      <c r="A36827" s="4" t="s">
        <v>46324</v>
      </c>
      <c r="B36827" s="4" t="s">
        <v>46325</v>
      </c>
      <c r="C36827" s="5" t="str">
        <f>IFERROR(__xludf.DUMMYFUNCTION("GOOGLETRANSLATE(B36827,""en"",""it"")"),"Appare un annuncio per Sassoon Vidal.")</f>
        <v>Appare un annuncio per Sassoon Vidal.</v>
      </c>
    </row>
    <row r="36828">
      <c r="A36828" s="4" t="s">
        <v>46324</v>
      </c>
      <c r="B36828" s="4" t="s">
        <v>46326</v>
      </c>
      <c r="C36828" s="5" t="str">
        <f>IFERROR(__xludf.DUMMYFUNCTION("GOOGLETRANSLATE(B36828,""en"",""it"")"),"Vediamo quindi il loro ferro arricciacapelli e il set di rulli caldi.")</f>
        <v>Vediamo quindi il loro ferro arricciacapelli e il set di rulli caldi.</v>
      </c>
    </row>
    <row r="36829">
      <c r="A36829" s="4" t="s">
        <v>46324</v>
      </c>
      <c r="B36829" s="4" t="s">
        <v>46327</v>
      </c>
      <c r="C36829" s="5" t="str">
        <f>IFERROR(__xludf.DUMMYFUNCTION("GOOGLETRANSLATE(B36829,""en"",""it"")"),"Viene mostrata una dimostrazione su come impostare e usare i rulli caldi e il ferro sui capelli di una donna.")</f>
        <v>Viene mostrata una dimostrazione su come impostare e usare i rulli caldi e il ferro sui capelli di una donna.</v>
      </c>
    </row>
    <row r="36830">
      <c r="A36830" s="4" t="s">
        <v>46324</v>
      </c>
      <c r="B36830" s="4" t="s">
        <v>46328</v>
      </c>
      <c r="C36830" s="5" t="str">
        <f>IFERROR(__xludf.DUMMYFUNCTION("GOOGLETRANSLATE(B36830,""en"",""it"")"),"I suoi capelli sono mostrati in graziosi ricci intorno alla sua testa.")</f>
        <v>I suoi capelli sono mostrati in graziosi ricci intorno alla sua testa.</v>
      </c>
    </row>
    <row r="36831">
      <c r="A36831" s="4" t="s">
        <v>46329</v>
      </c>
      <c r="B36831" s="4" t="s">
        <v>46330</v>
      </c>
      <c r="C36831" s="5" t="str">
        <f>IFERROR(__xludf.DUMMYFUNCTION("GOOGLETRANSLATE(B36831,""en"",""it"")"),"Viene mostrato un colpo introduttivo di vari atleti.")</f>
        <v>Viene mostrato un colpo introduttivo di vari atleti.</v>
      </c>
    </row>
    <row r="36832">
      <c r="A36832" s="4" t="s">
        <v>46329</v>
      </c>
      <c r="B36832" s="4" t="s">
        <v>46331</v>
      </c>
      <c r="C36832" s="5" t="str">
        <f>IFERROR(__xludf.DUMMYFUNCTION("GOOGLETRANSLATE(B36832,""en"",""it"")"),"Viene quindi mostrato un uomo che lancia un disco su un campo grande.")</f>
        <v>Viene quindi mostrato un uomo che lancia un disco su un campo grande.</v>
      </c>
    </row>
    <row r="36833">
      <c r="A36833" s="4" t="s">
        <v>46329</v>
      </c>
      <c r="B36833" s="6" t="s">
        <v>46332</v>
      </c>
      <c r="C36833" s="5" t="str">
        <f>IFERROR(__xludf.DUMMYFUNCTION("GOOGLETRANSLATE(B36833,""en"",""it"")"),"Un altro uomo viene anche mostrato facendo lo stesso con un colpo ancora di lui che mostra la sua postura e il suo tiro al rallentatore.")</f>
        <v>Un altro uomo viene anche mostrato facendo lo stesso con un colpo ancora di lui che mostra la sua postura e il suo tiro al rallentatore.</v>
      </c>
    </row>
    <row r="36834">
      <c r="A36834" s="4" t="s">
        <v>46329</v>
      </c>
      <c r="B36834" s="4" t="s">
        <v>46333</v>
      </c>
      <c r="C36834" s="5" t="str">
        <f>IFERROR(__xludf.DUMMYFUNCTION("GOOGLETRANSLATE(B36834,""en"",""it"")"),"Viene quindi mostrato di andarsene e si sente molto sicuro di ciò che ha appena realizzato.")</f>
        <v>Viene quindi mostrato di andarsene e si sente molto sicuro di ciò che ha appena realizzato.</v>
      </c>
    </row>
    <row r="36835">
      <c r="A36835" s="4" t="s">
        <v>46334</v>
      </c>
      <c r="B36835" s="6" t="s">
        <v>46335</v>
      </c>
      <c r="C36835" s="5" t="str">
        <f>IFERROR(__xludf.DUMMYFUNCTION("GOOGLETRANSLATE(B36835,""en"",""it"")"),"Vengono viste vagare per una spiaggia, seguite da onde che si muovono lungo l'acqua e persone sedute in acqua.")</f>
        <v>Vengono viste vagare per una spiaggia, seguite da onde che si muovono lungo l'acqua e persone sedute in acqua.</v>
      </c>
    </row>
    <row r="36836">
      <c r="A36836" s="4" t="s">
        <v>46334</v>
      </c>
      <c r="B36836" s="4" t="s">
        <v>46336</v>
      </c>
      <c r="C36836" s="5" t="str">
        <f>IFERROR(__xludf.DUMMYFUNCTION("GOOGLETRANSLATE(B36836,""en"",""it"")"),"Diverse persone che navigano sulle onde mentre le persone a margine guardano gli atleti muoversi.")</f>
        <v>Diverse persone che navigano sulle onde mentre le persone a margine guardano gli atleti muoversi.</v>
      </c>
    </row>
    <row r="36837">
      <c r="A36837" s="4" t="s">
        <v>46337</v>
      </c>
      <c r="B36837" s="4" t="s">
        <v>46338</v>
      </c>
      <c r="C36837" s="5" t="str">
        <f>IFERROR(__xludf.DUMMYFUNCTION("GOOGLETRANSLATE(B36837,""en"",""it"")"),"Una signora tiene un giavellotto su una traccia che lo mette giù.")</f>
        <v>Una signora tiene un giavellotto su una traccia che lo mette giù.</v>
      </c>
    </row>
    <row r="36838">
      <c r="A36838" s="4" t="s">
        <v>46337</v>
      </c>
      <c r="B36838" s="4" t="s">
        <v>46339</v>
      </c>
      <c r="C36838" s="5" t="str">
        <f>IFERROR(__xludf.DUMMYFUNCTION("GOOGLETRANSLATE(B36838,""en"",""it"")"),"La scena ricomincia e vediamo una signora gettare un giavellotto e se ne andiamo.")</f>
        <v>La scena ricomincia e vediamo una signora gettare un giavellotto e se ne andiamo.</v>
      </c>
    </row>
    <row r="36839">
      <c r="A36839" s="4" t="s">
        <v>46337</v>
      </c>
      <c r="B36839" s="4" t="s">
        <v>46340</v>
      </c>
      <c r="C36839" s="5" t="str">
        <f>IFERROR(__xludf.DUMMYFUNCTION("GOOGLETRANSLATE(B36839,""en"",""it"")"),"Vediamo quindi il tiro misurato e un uomo si avvicina alla ragazza.")</f>
        <v>Vediamo quindi il tiro misurato e un uomo si avvicina alla ragazza.</v>
      </c>
    </row>
    <row r="36840">
      <c r="A36840" s="4" t="s">
        <v>46341</v>
      </c>
      <c r="B36840" s="4" t="s">
        <v>46342</v>
      </c>
      <c r="C36840" s="5" t="str">
        <f>IFERROR(__xludf.DUMMYFUNCTION("GOOGLETRANSLATE(B36840,""en"",""it"")"),"Un uomo con lunghe basette laterali che indossa una veste di colore rosso suona il piano.")</f>
        <v>Un uomo con lunghe basette laterali che indossa una veste di colore rosso suona il piano.</v>
      </c>
    </row>
    <row r="36841">
      <c r="A36841" s="4" t="s">
        <v>46341</v>
      </c>
      <c r="B36841" s="4" t="s">
        <v>46343</v>
      </c>
      <c r="C36841" s="5" t="str">
        <f>IFERROR(__xludf.DUMMYFUNCTION("GOOGLETRANSLATE(B36841,""en"",""it"")"),"C'è un altro uomo in una camicia blu in piedi vicino a lui, impegnato a fare le valigie.")</f>
        <v>C'è un altro uomo in una camicia blu in piedi vicino a lui, impegnato a fare le valigie.</v>
      </c>
    </row>
    <row r="36842">
      <c r="A36842" s="4" t="s">
        <v>46341</v>
      </c>
      <c r="B36842" s="4" t="s">
        <v>46344</v>
      </c>
      <c r="C36842" s="5" t="str">
        <f>IFERROR(__xludf.DUMMYFUNCTION("GOOGLETRANSLATE(B36842,""en"",""it"")"),"Il principale in rosso continua a suonare il piano mentre l'altro uomo trasporta due borse e foglie.")</f>
        <v>Il principale in rosso continua a suonare il piano mentre l'altro uomo trasporta due borse e foglie.</v>
      </c>
    </row>
    <row r="36843">
      <c r="A36843" s="4" t="s">
        <v>46341</v>
      </c>
      <c r="B36843" s="4" t="s">
        <v>46345</v>
      </c>
      <c r="C36843" s="5" t="str">
        <f>IFERROR(__xludf.DUMMYFUNCTION("GOOGLETRANSLATE(B36843,""en"",""it"")"),"L'uomo smette di suonare il piano e ondeggia l'altra persona mentre si alza e se ne va.")</f>
        <v>L'uomo smette di suonare il piano e ondeggia l'altra persona mentre si alza e se ne va.</v>
      </c>
    </row>
    <row r="36844">
      <c r="A36844" s="4" t="s">
        <v>46346</v>
      </c>
      <c r="B36844" s="6" t="s">
        <v>46347</v>
      </c>
      <c r="C36844" s="5" t="str">
        <f>IFERROR(__xludf.DUMMYFUNCTION("GOOGLETRANSLATE(B36844,""en"",""it"")"),"C'è una persona che indossa guanti in lattice blu lucidando un tavolo di legno esagonale per dimostrare la tecnica di lucidatura francese.")</f>
        <v>C'è una persona che indossa guanti in lattice blu lucidando un tavolo di legno esagonale per dimostrare la tecnica di lucidatura francese.</v>
      </c>
    </row>
    <row r="36845">
      <c r="A36845" s="4" t="s">
        <v>46346</v>
      </c>
      <c r="B36845" s="4" t="s">
        <v>46348</v>
      </c>
      <c r="C36845" s="5" t="str">
        <f>IFERROR(__xludf.DUMMYFUNCTION("GOOGLETRANSLATE(B36845,""en"",""it"")"),"Sta usando una spugna di lucidatura per lucidare la superficie superiore del tavolo in movimento circolare.")</f>
        <v>Sta usando una spugna di lucidatura per lucidare la superficie superiore del tavolo in movimento circolare.</v>
      </c>
    </row>
    <row r="36846">
      <c r="A36846" s="4" t="s">
        <v>46346</v>
      </c>
      <c r="B36846" s="4" t="s">
        <v>46349</v>
      </c>
      <c r="C36846" s="5" t="str">
        <f>IFERROR(__xludf.DUMMYFUNCTION("GOOGLETRANSLATE(B36846,""en"",""it"")"),"Poi entra su e giù sul movimento sulla superficie del tavolo per renderlo brillante.")</f>
        <v>Poi entra su e giù sul movimento sulla superficie del tavolo per renderlo brillante.</v>
      </c>
    </row>
    <row r="36847">
      <c r="A36847" s="4" t="s">
        <v>46346</v>
      </c>
      <c r="B36847" s="4" t="s">
        <v>46350</v>
      </c>
      <c r="C36847" s="5" t="str">
        <f>IFERROR(__xludf.DUMMYFUNCTION("GOOGLETRANSLATE(B36847,""en"",""it"")"),"Passa meticolosamente su tutta la superficie assicurandosi che nessuna parte del tavolo sia lasciata intatta.")</f>
        <v>Passa meticolosamente su tutta la superficie assicurandosi che nessuna parte del tavolo sia lasciata intatta.</v>
      </c>
    </row>
    <row r="36848">
      <c r="A36848" s="4" t="s">
        <v>46346</v>
      </c>
      <c r="B36848" s="4" t="s">
        <v>46351</v>
      </c>
      <c r="C36848" s="5" t="str">
        <f>IFERROR(__xludf.DUMMYFUNCTION("GOOGLETRANSLATE(B36848,""en"",""it"")"),"Quindi inizia a lucidare la superficie di un buffet della sala da pranzo con porte di finitura di bambù.")</f>
        <v>Quindi inizia a lucidare la superficie di un buffet della sala da pranzo con porte di finitura di bambù.</v>
      </c>
    </row>
    <row r="36849">
      <c r="A36849" s="4" t="s">
        <v>46346</v>
      </c>
      <c r="B36849" s="4" t="s">
        <v>46352</v>
      </c>
      <c r="C36849" s="5" t="str">
        <f>IFERROR(__xludf.DUMMYFUNCTION("GOOGLETRANSLATE(B36849,""en"",""it"")"),"Solleva di nuovo con movimenti circolari sulla superficie superiore.")</f>
        <v>Solleva di nuovo con movimenti circolari sulla superficie superiore.</v>
      </c>
    </row>
    <row r="36850">
      <c r="A36850" s="4" t="s">
        <v>46353</v>
      </c>
      <c r="B36850" s="6" t="s">
        <v>46354</v>
      </c>
      <c r="C36850" s="5" t="str">
        <f>IFERROR(__xludf.DUMMYFUNCTION("GOOGLETRANSLATE(B36850,""en"",""it"")"),"Un uomo e una donna stanno eseguendo la routine di danza di una coppia mentre altre coppie ballano intorno a loro.")</f>
        <v>Un uomo e una donna stanno eseguendo la routine di danza di una coppia mentre altre coppie ballano intorno a loro.</v>
      </c>
    </row>
    <row r="36851">
      <c r="A36851" s="4" t="s">
        <v>46353</v>
      </c>
      <c r="B36851" s="4" t="s">
        <v>46355</v>
      </c>
      <c r="C36851" s="5" t="str">
        <f>IFERROR(__xludf.DUMMYFUNCTION("GOOGLETRANSLATE(B36851,""en"",""it"")"),"Un gruppo di spettatori guardano le coppie girare e continuare la routine di danza.")</f>
        <v>Un gruppo di spettatori guardano le coppie girare e continuare la routine di danza.</v>
      </c>
    </row>
    <row r="36852">
      <c r="A36852" s="4" t="s">
        <v>46356</v>
      </c>
      <c r="B36852" s="4" t="s">
        <v>46357</v>
      </c>
      <c r="C36852" s="5" t="str">
        <f>IFERROR(__xludf.DUMMYFUNCTION("GOOGLETRANSLATE(B36852,""en"",""it"")"),"Vediamo i bambini piccoli cavalcare bici BMX su una pista sporca in un'arena.")</f>
        <v>Vediamo i bambini piccoli cavalcare bici BMX su una pista sporca in un'arena.</v>
      </c>
    </row>
    <row r="36853">
      <c r="A36853" s="4" t="s">
        <v>46356</v>
      </c>
      <c r="B36853" s="4" t="s">
        <v>46358</v>
      </c>
      <c r="C36853" s="5" t="str">
        <f>IFERROR(__xludf.DUMMYFUNCTION("GOOGLETRANSLATE(B36853,""en"",""it"")"),"I bambini superano la macchina fotografica.")</f>
        <v>I bambini superano la macchina fotografica.</v>
      </c>
    </row>
    <row r="36854">
      <c r="A36854" s="4" t="s">
        <v>46356</v>
      </c>
      <c r="B36854" s="4" t="s">
        <v>46359</v>
      </c>
      <c r="C36854" s="5" t="str">
        <f>IFERROR(__xludf.DUMMYFUNCTION("GOOGLETRANSLATE(B36854,""en"",""it"")"),"I bambini iniziano a superare il traguardo.")</f>
        <v>I bambini iniziano a superare il traguardo.</v>
      </c>
    </row>
    <row r="36855">
      <c r="A36855" s="4" t="s">
        <v>46360</v>
      </c>
      <c r="B36855" s="4" t="s">
        <v>46361</v>
      </c>
      <c r="C36855" s="5" t="str">
        <f>IFERROR(__xludf.DUMMYFUNCTION("GOOGLETRANSLATE(B36855,""en"",""it"")"),"Una donna si sta bilanciando su una corda stretta all'aperto.")</f>
        <v>Una donna si sta bilanciando su una corda stretta all'aperto.</v>
      </c>
    </row>
    <row r="36856">
      <c r="A36856" s="4" t="s">
        <v>46360</v>
      </c>
      <c r="B36856" s="4" t="s">
        <v>46362</v>
      </c>
      <c r="C36856" s="5" t="str">
        <f>IFERROR(__xludf.DUMMYFUNCTION("GOOGLETRANSLATE(B36856,""en"",""it"")"),"La donna sta mostrando varie mosse acrobatiche.")</f>
        <v>La donna sta mostrando varie mosse acrobatiche.</v>
      </c>
    </row>
    <row r="36857">
      <c r="A36857" s="4" t="s">
        <v>46360</v>
      </c>
      <c r="B36857" s="4" t="s">
        <v>46363</v>
      </c>
      <c r="C36857" s="5" t="str">
        <f>IFERROR(__xludf.DUMMYFUNCTION("GOOGLETRANSLATE(B36857,""en"",""it"")"),"La donna rimbalza sul filo.")</f>
        <v>La donna rimbalza sul filo.</v>
      </c>
    </row>
    <row r="36858">
      <c r="A36858" s="4" t="s">
        <v>46360</v>
      </c>
      <c r="B36858" s="4" t="s">
        <v>46364</v>
      </c>
      <c r="C36858" s="5" t="str">
        <f>IFERROR(__xludf.DUMMYFUNCTION("GOOGLETRANSLATE(B36858,""en"",""it"")"),"Un animale è sul campo sullo sfondo.")</f>
        <v>Un animale è sul campo sullo sfondo.</v>
      </c>
    </row>
    <row r="36859">
      <c r="A36859" s="4" t="s">
        <v>46365</v>
      </c>
      <c r="B36859" s="4" t="s">
        <v>46366</v>
      </c>
      <c r="C36859" s="5" t="str">
        <f>IFERROR(__xludf.DUMMYFUNCTION("GOOGLETRANSLATE(B36859,""en"",""it"")"),"Si vede un primo piano delle decorazioni natalizie.")</f>
        <v>Si vede un primo piano delle decorazioni natalizie.</v>
      </c>
    </row>
    <row r="36860">
      <c r="A36860" s="4" t="s">
        <v>46365</v>
      </c>
      <c r="B36860" s="4" t="s">
        <v>46367</v>
      </c>
      <c r="C36860" s="5" t="str">
        <f>IFERROR(__xludf.DUMMYFUNCTION("GOOGLETRANSLATE(B36860,""en"",""it"")"),"Un uomo in costume di Babbo Natale suona una batteria in una casa con un albero di Natale illuminato.")</f>
        <v>Un uomo in costume di Babbo Natale suona una batteria in una casa con un albero di Natale illuminato.</v>
      </c>
    </row>
    <row r="36861">
      <c r="A36861" s="4" t="s">
        <v>46365</v>
      </c>
      <c r="B36861" s="4" t="s">
        <v>46368</v>
      </c>
      <c r="C36861" s="5" t="str">
        <f>IFERROR(__xludf.DUMMYFUNCTION("GOOGLETRANSLATE(B36861,""en"",""it"")"),"L'uomo vestito mentre Babbo Natale finisce suonando la canzone alla batteria.")</f>
        <v>L'uomo vestito mentre Babbo Natale finisce suonando la canzone alla batteria.</v>
      </c>
    </row>
    <row r="36862">
      <c r="A36862" s="4" t="s">
        <v>46369</v>
      </c>
      <c r="B36862" s="6" t="s">
        <v>46370</v>
      </c>
      <c r="C36862" s="5" t="str">
        <f>IFERROR(__xludf.DUMMYFUNCTION("GOOGLETRANSLATE(B36862,""en"",""it"")"),"Il video inizia con diversi scatti di una persona che cavalcano una collina su uno skateboard e fa trucchi.")</f>
        <v>Il video inizia con diversi scatti di una persona che cavalcano una collina su uno skateboard e fa trucchi.</v>
      </c>
    </row>
    <row r="36863">
      <c r="A36863" s="4" t="s">
        <v>46369</v>
      </c>
      <c r="B36863" s="6" t="s">
        <v>46371</v>
      </c>
      <c r="C36863" s="5" t="str">
        <f>IFERROR(__xludf.DUMMYFUNCTION("GOOGLETRANSLATE(B36863,""en"",""it"")"),"Il ragazzo continua a cavalcare su uno skateboard facendo giri e trucchi e la telecamera lo cattura da diversi angoli.")</f>
        <v>Il ragazzo continua a cavalcare su uno skateboard facendo giri e trucchi e la telecamera lo cattura da diversi angoli.</v>
      </c>
    </row>
    <row r="36864">
      <c r="A36864" s="4" t="s">
        <v>46372</v>
      </c>
      <c r="B36864" s="4" t="s">
        <v>46373</v>
      </c>
      <c r="C36864" s="5" t="str">
        <f>IFERROR(__xludf.DUMMYFUNCTION("GOOGLETRANSLATE(B36864,""en"",""it"")"),"Un uomo sta dando istruzioni sul suonare il Congo.")</f>
        <v>Un uomo sta dando istruzioni sul suonare il Congo.</v>
      </c>
    </row>
    <row r="36865">
      <c r="A36865" s="4" t="s">
        <v>46372</v>
      </c>
      <c r="B36865" s="4" t="s">
        <v>46374</v>
      </c>
      <c r="C36865" s="5" t="str">
        <f>IFERROR(__xludf.DUMMYFUNCTION("GOOGLETRANSLATE(B36865,""en"",""it"")"),"Parla con le mani e poi tocca leggermente la parte superiore del Congo.")</f>
        <v>Parla con le mani e poi tocca leggermente la parte superiore del Congo.</v>
      </c>
    </row>
    <row r="36866">
      <c r="A36866" s="4" t="s">
        <v>46372</v>
      </c>
      <c r="B36866" s="6" t="s">
        <v>46375</v>
      </c>
      <c r="C36866" s="5" t="str">
        <f>IFERROR(__xludf.DUMMYFUNCTION("GOOGLETRANSLATE(B36866,""en"",""it"")"),"Comincia a toccare leggermente il Congo con un ritmo molto lento e dopo un po 'di farlo smette di ricominciare a parlare.")</f>
        <v>Comincia a toccare leggermente il Congo con un ritmo molto lento e dopo un po 'di farlo smette di ricominciare a parlare.</v>
      </c>
    </row>
    <row r="36867">
      <c r="A36867" s="4" t="s">
        <v>46372</v>
      </c>
      <c r="B36867" s="4" t="s">
        <v>46376</v>
      </c>
      <c r="C36867" s="5" t="str">
        <f>IFERROR(__xludf.DUMMYFUNCTION("GOOGLETRANSLATE(B36867,""en"",""it"")"),"Alla fine, inizia a usare entrambe le mani per costruire un vero ritmo e ne parla ancora.")</f>
        <v>Alla fine, inizia a usare entrambe le mani per costruire un vero ritmo e ne parla ancora.</v>
      </c>
    </row>
    <row r="36868">
      <c r="A36868" s="4" t="s">
        <v>46377</v>
      </c>
      <c r="B36868" s="4" t="s">
        <v>46378</v>
      </c>
      <c r="C36868" s="5" t="str">
        <f>IFERROR(__xludf.DUMMYFUNCTION("GOOGLETRANSLATE(B36868,""en"",""it"")"),"C'è una donna vestita di nero che gioca a biliardo di fronte ad alcuni spettatori.")</f>
        <v>C'è una donna vestita di nero che gioca a biliardo di fronte ad alcuni spettatori.</v>
      </c>
    </row>
    <row r="36869">
      <c r="A36869" s="4" t="s">
        <v>46377</v>
      </c>
      <c r="B36869" s="4" t="s">
        <v>46379</v>
      </c>
      <c r="C36869" s="5" t="str">
        <f>IFERROR(__xludf.DUMMYFUNCTION("GOOGLETRANSLATE(B36869,""en"",""it"")"),"Dopo aver finito, un'altra signora prende il suo turno e colpisce alcuni colpi.")</f>
        <v>Dopo aver finito, un'altra signora prende il suo turno e colpisce alcuni colpi.</v>
      </c>
    </row>
    <row r="36870">
      <c r="A36870" s="4" t="s">
        <v>46377</v>
      </c>
      <c r="B36870" s="4" t="s">
        <v>46380</v>
      </c>
      <c r="C36870" s="5" t="str">
        <f>IFERROR(__xludf.DUMMYFUNCTION("GOOGLETRANSLATE(B36870,""en"",""it"")"),"Il secondo concorrente mira e spara la palla nella buca.")</f>
        <v>Il secondo concorrente mira e spara la palla nella buca.</v>
      </c>
    </row>
    <row r="36871">
      <c r="A36871" s="4" t="s">
        <v>46377</v>
      </c>
      <c r="B36871" s="4" t="s">
        <v>46381</v>
      </c>
      <c r="C36871" s="5" t="str">
        <f>IFERROR(__xludf.DUMMYFUNCTION("GOOGLETRANSLATE(B36871,""en"",""it"")"),"Mira con precisione e spara alle palle nei fori uno per uno, senza perdere un solo colpo.")</f>
        <v>Mira con precisione e spara alle palle nei fori uno per uno, senza perdere un solo colpo.</v>
      </c>
    </row>
    <row r="36872">
      <c r="A36872" s="4" t="s">
        <v>46377</v>
      </c>
      <c r="B36872" s="4" t="s">
        <v>46382</v>
      </c>
      <c r="C36872" s="5" t="str">
        <f>IFERROR(__xludf.DUMMYFUNCTION("GOOGLETRANSLATE(B36872,""en"",""it"")"),"Continua a concentrarsi e spara alle palle fino a quando non viene lasciata una sola palla sul tavolo da biliardo.")</f>
        <v>Continua a concentrarsi e spara alle palle fino a quando non viene lasciata una sola palla sul tavolo da biliardo.</v>
      </c>
    </row>
    <row r="36873">
      <c r="A36873" s="4" t="s">
        <v>46383</v>
      </c>
      <c r="B36873" s="6" t="s">
        <v>46384</v>
      </c>
      <c r="C36873" s="5" t="str">
        <f>IFERROR(__xludf.DUMMYFUNCTION("GOOGLETRANSLATE(B36873,""en"",""it"")"),"Due uomini vestiti in giacca e cravatta si stanno uno di fronte all'altro con una mano l'uno sull'altro, e si tengono per mano con l'altro e ballano in una direzione, poi di nuovo in un'altra e poi ridono e separati.")</f>
        <v>Due uomini vestiti in giacca e cravatta si stanno uno di fronte all'altro con una mano l'uno sull'altro, e si tengono per mano con l'altro e ballano in una direzione, poi di nuovo in un'altra e poi ridono e separati.</v>
      </c>
    </row>
    <row r="36874">
      <c r="A36874" s="4" t="s">
        <v>46383</v>
      </c>
      <c r="B36874" s="6" t="s">
        <v>46385</v>
      </c>
      <c r="C36874" s="5" t="str">
        <f>IFERROR(__xludf.DUMMYFUNCTION("GOOGLETRANSLATE(B36874,""en"",""it"")"),"Proprio dove gli uomini si separano dalla danza c'è una donna asiatica che ora è al centro dell'attenzione mentre gioca su una tastiera di fisarmonica.")</f>
        <v>Proprio dove gli uomini si separano dalla danza c'è una donna asiatica che ora è al centro dell'attenzione mentre gioca su una tastiera di fisarmonica.</v>
      </c>
    </row>
    <row r="36875">
      <c r="A36875" s="4" t="s">
        <v>46383</v>
      </c>
      <c r="B36875" s="4" t="s">
        <v>46386</v>
      </c>
      <c r="C36875" s="5" t="str">
        <f>IFERROR(__xludf.DUMMYFUNCTION("GOOGLETRANSLATE(B36875,""en"",""it"")"),"La donna smette di giocare, ride e guarda e dice qualcosa.")</f>
        <v>La donna smette di giocare, ride e guarda e dice qualcosa.</v>
      </c>
    </row>
    <row r="36876">
      <c r="A36876" s="4" t="s">
        <v>46387</v>
      </c>
      <c r="B36876" s="4" t="s">
        <v>46388</v>
      </c>
      <c r="C36876" s="5" t="str">
        <f>IFERROR(__xludf.DUMMYFUNCTION("GOOGLETRANSLATE(B36876,""en"",""it"")"),"Un uomo tiene una chitarra e guarda indietro e quarto tra la telecamera e la chitarra.")</f>
        <v>Un uomo tiene una chitarra e guarda indietro e quarto tra la telecamera e la chitarra.</v>
      </c>
    </row>
    <row r="36877">
      <c r="A36877" s="4" t="s">
        <v>46387</v>
      </c>
      <c r="B36877" s="4" t="s">
        <v>46389</v>
      </c>
      <c r="C36877" s="5" t="str">
        <f>IFERROR(__xludf.DUMMYFUNCTION("GOOGLETRANSLATE(B36877,""en"",""it"")"),"Muove le mani su e giù per il collo della chitarra e canta dolcemente alla telecamera.")</f>
        <v>Muove le mani su e giù per il collo della chitarra e canta dolcemente alla telecamera.</v>
      </c>
    </row>
    <row r="36878">
      <c r="A36878" s="4" t="s">
        <v>46390</v>
      </c>
      <c r="B36878" s="4" t="s">
        <v>46391</v>
      </c>
      <c r="C36878" s="5" t="str">
        <f>IFERROR(__xludf.DUMMYFUNCTION("GOOGLETRANSLATE(B36878,""en"",""it"")"),"Una persona in rosa fa Tai Chi.")</f>
        <v>Una persona in rosa fa Tai Chi.</v>
      </c>
    </row>
    <row r="36879">
      <c r="A36879" s="4" t="s">
        <v>46390</v>
      </c>
      <c r="B36879" s="4" t="s">
        <v>46392</v>
      </c>
      <c r="C36879" s="5" t="str">
        <f>IFERROR(__xludf.DUMMYFUNCTION("GOOGLETRANSLATE(B36879,""en"",""it"")"),"Si muove ma sta fondamentalmente facendo la stessa cosa di base.")</f>
        <v>Si muove ma sta fondamentalmente facendo la stessa cosa di base.</v>
      </c>
    </row>
    <row r="36880">
      <c r="A36880" s="4" t="s">
        <v>46390</v>
      </c>
      <c r="B36880" s="4" t="s">
        <v>46393</v>
      </c>
      <c r="C36880" s="5" t="str">
        <f>IFERROR(__xludf.DUMMYFUNCTION("GOOGLETRANSLATE(B36880,""en"",""it"")"),"Si ferma ed è ancora alla fine.")</f>
        <v>Si ferma ed è ancora alla fine.</v>
      </c>
    </row>
    <row r="36881">
      <c r="A36881" s="4" t="s">
        <v>46394</v>
      </c>
      <c r="B36881" s="4" t="s">
        <v>46395</v>
      </c>
      <c r="C36881" s="5" t="str">
        <f>IFERROR(__xludf.DUMMYFUNCTION("GOOGLETRANSLATE(B36881,""en"",""it"")"),"Diversi atleti competono per i campionati del mondo giavellotto.")</f>
        <v>Diversi atleti competono per i campionati del mondo giavellotto.</v>
      </c>
    </row>
    <row r="36882">
      <c r="A36882" s="4" t="s">
        <v>46394</v>
      </c>
      <c r="B36882" s="4" t="s">
        <v>46396</v>
      </c>
      <c r="C36882" s="5" t="str">
        <f>IFERROR(__xludf.DUMMYFUNCTION("GOOGLETRANSLATE(B36882,""en"",""it"")"),"La Russia Dimitri è la terza medaglia di bronzo nella competizione.")</f>
        <v>La Russia Dimitri è la terza medaglia di bronzo nella competizione.</v>
      </c>
    </row>
    <row r="36883">
      <c r="A36883" s="4" t="s">
        <v>46394</v>
      </c>
      <c r="B36883" s="4" t="s">
        <v>46397</v>
      </c>
      <c r="C36883" s="5" t="str">
        <f>IFERROR(__xludf.DUMMYFUNCTION("GOOGLETRANSLATE(B36883,""en"",""it"")"),"Il jenki giapponese è la medaglia d'argento.")</f>
        <v>Il jenki giapponese è la medaglia d'argento.</v>
      </c>
    </row>
    <row r="36884">
      <c r="A36884" s="4" t="s">
        <v>46394</v>
      </c>
      <c r="B36884" s="4" t="s">
        <v>46398</v>
      </c>
      <c r="C36884" s="5" t="str">
        <f>IFERROR(__xludf.DUMMYFUNCTION("GOOGLETRANSLATE(B36884,""en"",""it"")"),"Fino alla Germania ha vinto la medaglia d'oro.")</f>
        <v>Fino alla Germania ha vinto la medaglia d'oro.</v>
      </c>
    </row>
    <row r="36885">
      <c r="A36885" s="4" t="s">
        <v>46399</v>
      </c>
      <c r="B36885" s="6" t="s">
        <v>46400</v>
      </c>
      <c r="C36885" s="5" t="str">
        <f>IFERROR(__xludf.DUMMYFUNCTION("GOOGLETRANSLATE(B36885,""en"",""it"")"),"Un'introduzione conduce nelle mani viste suonare uno strumento musicale mentre ferma il punto sullo strumento.")</f>
        <v>Un'introduzione conduce nelle mani viste suonare uno strumento musicale mentre ferma il punto sullo strumento.</v>
      </c>
    </row>
    <row r="36886">
      <c r="A36886" s="4" t="s">
        <v>46399</v>
      </c>
      <c r="B36886" s="4" t="s">
        <v>46401</v>
      </c>
      <c r="C36886" s="5" t="str">
        <f>IFERROR(__xludf.DUMMYFUNCTION("GOOGLETRANSLATE(B36886,""en"",""it"")"),"Continua a muovere le mani per giocare e viene poi visto parlare alla telecamera.")</f>
        <v>Continua a muovere le mani per giocare e viene poi visto parlare alla telecamera.</v>
      </c>
    </row>
    <row r="36887">
      <c r="A36887" s="4" t="s">
        <v>46402</v>
      </c>
      <c r="B36887" s="6" t="s">
        <v>46403</v>
      </c>
      <c r="C36887" s="5" t="str">
        <f>IFERROR(__xludf.DUMMYFUNCTION("GOOGLETRANSLATE(B36887,""en"",""it"")"),"Un uomo che indossa abiti chirurgici dimostra il modo corretto di lavarsi le mani per procedure chirurgiche e prima rimuove i gioielli.")</f>
        <v>Un uomo che indossa abiti chirurgici dimostra il modo corretto di lavarsi le mani per procedure chirurgiche e prima rimuove i gioielli.</v>
      </c>
    </row>
    <row r="36888">
      <c r="A36888" s="4" t="s">
        <v>46402</v>
      </c>
      <c r="B36888" s="4" t="s">
        <v>46404</v>
      </c>
      <c r="C36888" s="5" t="str">
        <f>IFERROR(__xludf.DUMMYFUNCTION("GOOGLETRANSLATE(B36888,""en"",""it"")"),"Il chirurgo quindi si bagna le mani e il sapone delle pubblicità.")</f>
        <v>Il chirurgo quindi si bagna le mani e il sapone delle pubblicità.</v>
      </c>
    </row>
    <row r="36889">
      <c r="A36889" s="4" t="s">
        <v>46402</v>
      </c>
      <c r="B36889" s="4" t="s">
        <v>46405</v>
      </c>
      <c r="C36889" s="5" t="str">
        <f>IFERROR(__xludf.DUMMYFUNCTION("GOOGLETRANSLATE(B36889,""en"",""it"")"),"Il chirurgo quindi si strofina i palmi e costruisce una schiuma.")</f>
        <v>Il chirurgo quindi si strofina i palmi e costruisce una schiuma.</v>
      </c>
    </row>
    <row r="36890">
      <c r="A36890" s="4" t="s">
        <v>46402</v>
      </c>
      <c r="B36890" s="4" t="s">
        <v>46406</v>
      </c>
      <c r="C36890" s="5" t="str">
        <f>IFERROR(__xludf.DUMMYFUNCTION("GOOGLETRANSLATE(B36890,""en"",""it"")"),"Quindi strofina la schiena con il palmo.")</f>
        <v>Quindi strofina la schiena con il palmo.</v>
      </c>
    </row>
    <row r="36891">
      <c r="A36891" s="4" t="s">
        <v>46402</v>
      </c>
      <c r="B36891" s="4" t="s">
        <v>46407</v>
      </c>
      <c r="C36891" s="5" t="str">
        <f>IFERROR(__xludf.DUMMYFUNCTION("GOOGLETRANSLATE(B36891,""en"",""it"")"),"Il chirurgo quindi strofina la parte posteriore delle dita con le mani.")</f>
        <v>Il chirurgo quindi strofina la parte posteriore delle dita con le mani.</v>
      </c>
    </row>
    <row r="36892">
      <c r="A36892" s="4" t="s">
        <v>46402</v>
      </c>
      <c r="B36892" s="4" t="s">
        <v>46408</v>
      </c>
      <c r="C36892" s="5" t="str">
        <f>IFERROR(__xludf.DUMMYFUNCTION("GOOGLETRANSLATE(B36892,""en"",""it"")"),"Quindi strofina i pollici con il pollice di crassa del palmo.")</f>
        <v>Quindi strofina i pollici con il pollice di crassa del palmo.</v>
      </c>
    </row>
    <row r="36893">
      <c r="A36893" s="4" t="s">
        <v>46402</v>
      </c>
      <c r="B36893" s="4" t="s">
        <v>46409</v>
      </c>
      <c r="C36893" s="5" t="str">
        <f>IFERROR(__xludf.DUMMYFUNCTION("GOOGLETRANSLATE(B36893,""en"",""it"")"),"Quindi strofina le punte delle dita nel palmo.")</f>
        <v>Quindi strofina le punte delle dita nel palmo.</v>
      </c>
    </row>
    <row r="36894">
      <c r="A36894" s="4" t="s">
        <v>46402</v>
      </c>
      <c r="B36894" s="4" t="s">
        <v>46410</v>
      </c>
      <c r="C36894" s="5" t="str">
        <f>IFERROR(__xludf.DUMMYFUNCTION("GOOGLETRANSLATE(B36894,""en"",""it"")"),"Quindi strofina i polsi e sciacqua le mani in Wter e si asciuga completamente le mani.")</f>
        <v>Quindi strofina i polsi e sciacqua le mani in Wter e si asciuga completamente le mani.</v>
      </c>
    </row>
    <row r="36895">
      <c r="A36895" s="4" t="s">
        <v>46411</v>
      </c>
      <c r="B36895" s="4" t="s">
        <v>46412</v>
      </c>
      <c r="C36895" s="5" t="str">
        <f>IFERROR(__xludf.DUMMYFUNCTION("GOOGLETRANSLATE(B36895,""en"",""it"")"),"Un ballerino si alza da una sedia.")</f>
        <v>Un ballerino si alza da una sedia.</v>
      </c>
    </row>
    <row r="36896">
      <c r="A36896" s="4" t="s">
        <v>46411</v>
      </c>
      <c r="B36896" s="4" t="s">
        <v>46413</v>
      </c>
      <c r="C36896" s="5" t="str">
        <f>IFERROR(__xludf.DUMMYFUNCTION("GOOGLETRANSLATE(B36896,""en"",""it"")"),"Spinge la sedia verso lui una compagna di danza femminile.")</f>
        <v>Spinge la sedia verso lui una compagna di danza femminile.</v>
      </c>
    </row>
    <row r="36897">
      <c r="A36897" s="4" t="s">
        <v>46411</v>
      </c>
      <c r="B36897" s="4" t="s">
        <v>46414</v>
      </c>
      <c r="C36897" s="5" t="str">
        <f>IFERROR(__xludf.DUMMYFUNCTION("GOOGLETRANSLATE(B36897,""en"",""it"")"),"Si siede sulla sedia.")</f>
        <v>Si siede sulla sedia.</v>
      </c>
    </row>
    <row r="36898">
      <c r="A36898" s="4" t="s">
        <v>46411</v>
      </c>
      <c r="B36898" s="4" t="s">
        <v>46415</v>
      </c>
      <c r="C36898" s="5" t="str">
        <f>IFERROR(__xludf.DUMMYFUNCTION("GOOGLETRANSLATE(B36898,""en"",""it"")"),"Si cammina verso di lei, raccogliendola dalla sedia e ballano.")</f>
        <v>Si cammina verso di lei, raccogliendola dalla sedia e ballano.</v>
      </c>
    </row>
    <row r="36899">
      <c r="A36899" s="4" t="s">
        <v>46411</v>
      </c>
      <c r="B36899" s="4" t="s">
        <v>46416</v>
      </c>
      <c r="C36899" s="5" t="str">
        <f>IFERROR(__xludf.DUMMYFUNCTION("GOOGLETRANSLATE(B36899,""en"",""it"")"),"Le persone tra il pubblico applaudono.")</f>
        <v>Le persone tra il pubblico applaudono.</v>
      </c>
    </row>
    <row r="36900">
      <c r="A36900" s="4" t="s">
        <v>46417</v>
      </c>
      <c r="B36900" s="4" t="s">
        <v>46418</v>
      </c>
      <c r="C36900" s="5" t="str">
        <f>IFERROR(__xludf.DUMMYFUNCTION("GOOGLETRANSLATE(B36900,""en"",""it"")"),"Una ragazza è di fronte a una macchina fotografica.")</f>
        <v>Una ragazza è di fronte a una macchina fotografica.</v>
      </c>
    </row>
    <row r="36901">
      <c r="A36901" s="4" t="s">
        <v>46417</v>
      </c>
      <c r="B36901" s="4" t="s">
        <v>46419</v>
      </c>
      <c r="C36901" s="5" t="str">
        <f>IFERROR(__xludf.DUMMYFUNCTION("GOOGLETRANSLATE(B36901,""en"",""it"")"),"Applica lucidalabbra rosa chiaro alle labbra.")</f>
        <v>Applica lucidalabbra rosa chiaro alle labbra.</v>
      </c>
    </row>
    <row r="36902">
      <c r="A36902" s="4" t="s">
        <v>46420</v>
      </c>
      <c r="B36902" s="4" t="s">
        <v>46421</v>
      </c>
      <c r="C36902" s="5" t="str">
        <f>IFERROR(__xludf.DUMMYFUNCTION("GOOGLETRANSLATE(B36902,""en"",""it"")"),"Un uomo viene visto seduto davanti a una recinzione seduta su uno skateboard e parla con la telecamera.")</f>
        <v>Un uomo viene visto seduto davanti a una recinzione seduta su uno skateboard e parla con la telecamera.</v>
      </c>
    </row>
    <row r="36903">
      <c r="A36903" s="4" t="s">
        <v>46420</v>
      </c>
      <c r="B36903" s="6" t="s">
        <v>46422</v>
      </c>
      <c r="C36903" s="5" t="str">
        <f>IFERROR(__xludf.DUMMYFUNCTION("GOOGLETRANSLATE(B36903,""en"",""it"")"),"Vengono quindi mostrati diversi scatti che parlano alla telecamera ed esegue vari trucchi di skateboard in un parco.")</f>
        <v>Vengono quindi mostrati diversi scatti che parlano alla telecamera ed esegue vari trucchi di skateboard in un parco.</v>
      </c>
    </row>
    <row r="36904">
      <c r="A36904" s="4" t="s">
        <v>46423</v>
      </c>
      <c r="B36904" s="6" t="s">
        <v>46424</v>
      </c>
      <c r="C36904" s="5" t="str">
        <f>IFERROR(__xludf.DUMMYFUNCTION("GOOGLETRANSLATE(B36904,""en"",""it"")"),"Due bambini piccoli sono visti in piedi dietro un tavolo con un limone sbucciato e un ragazzo che guarda sul lato.")</f>
        <v>Due bambini piccoli sono visti in piedi dietro un tavolo con un limone sbucciato e un ragazzo che guarda sul lato.</v>
      </c>
    </row>
    <row r="36905">
      <c r="A36905" s="4" t="s">
        <v>46423</v>
      </c>
      <c r="B36905" s="4" t="s">
        <v>46425</v>
      </c>
      <c r="C36905" s="5" t="str">
        <f>IFERROR(__xludf.DUMMYFUNCTION("GOOGLETRANSLATE(B36905,""en"",""it"")"),"Un altro bambino viene visto stringere limoni e ingrandire i bambini che lavorano.")</f>
        <v>Un altro bambino viene visto stringere limoni e ingrandire i bambini che lavorano.</v>
      </c>
    </row>
    <row r="36906">
      <c r="A36906" s="4" t="s">
        <v>46423</v>
      </c>
      <c r="B36906" s="6" t="s">
        <v>46426</v>
      </c>
      <c r="C36906" s="5" t="str">
        <f>IFERROR(__xludf.DUMMYFUNCTION("GOOGLETRANSLATE(B36906,""en"",""it"")"),"I bambini continuano a spremere il limone mentre guardano e salutano la telecamera e parlano sul lato.")</f>
        <v>I bambini continuano a spremere il limone mentre guardano e salutano la telecamera e parlano sul lato.</v>
      </c>
    </row>
    <row r="36907">
      <c r="A36907" s="4" t="s">
        <v>46427</v>
      </c>
      <c r="B36907" s="4" t="s">
        <v>46428</v>
      </c>
      <c r="C36907" s="5" t="str">
        <f>IFERROR(__xludf.DUMMYFUNCTION("GOOGLETRANSLATE(B36907,""en"",""it"")"),"Un uomo si prepara a lanciare un disco.")</f>
        <v>Un uomo si prepara a lanciare un disco.</v>
      </c>
    </row>
    <row r="36908">
      <c r="A36908" s="4" t="s">
        <v>46427</v>
      </c>
      <c r="B36908" s="4" t="s">
        <v>46429</v>
      </c>
      <c r="C36908" s="5" t="str">
        <f>IFERROR(__xludf.DUMMYFUNCTION("GOOGLETRANSLATE(B36908,""en"",""it"")"),"Più persone vanno in giro e parlano in sottofondo.")</f>
        <v>Più persone vanno in giro e parlano in sottofondo.</v>
      </c>
    </row>
    <row r="36909">
      <c r="A36909" s="4" t="s">
        <v>46427</v>
      </c>
      <c r="B36909" s="4" t="s">
        <v>46430</v>
      </c>
      <c r="C36909" s="5" t="str">
        <f>IFERROR(__xludf.DUMMYFUNCTION("GOOGLETRANSLATE(B36909,""en"",""it"")"),"L'uomo gira e lancia il disco.")</f>
        <v>L'uomo gira e lancia il disco.</v>
      </c>
    </row>
    <row r="36910">
      <c r="A36910" s="4" t="s">
        <v>46431</v>
      </c>
      <c r="B36910" s="6" t="s">
        <v>46432</v>
      </c>
      <c r="C36910" s="5" t="str">
        <f>IFERROR(__xludf.DUMMYFUNCTION("GOOGLETRANSLATE(B36910,""en"",""it"")"),"Un gruppo di ciclisti è visto in piedi pronto fianco a fianco l'uno con l'altro e parlare con un uomo davanti.")</f>
        <v>Un gruppo di ciclisti è visto in piedi pronto fianco a fianco l'uno con l'altro e parlare con un uomo davanti.</v>
      </c>
    </row>
    <row r="36911">
      <c r="A36911" s="4" t="s">
        <v>46431</v>
      </c>
      <c r="B36911" s="6" t="s">
        <v>46433</v>
      </c>
      <c r="C36911" s="5" t="str">
        <f>IFERROR(__xludf.DUMMYFUNCTION("GOOGLETRANSLATE(B36911,""en"",""it"")"),"La fotocamera continua a panoramonare intorno ai cavalieri preparandosi e infine saltando giù e correndo lungo il sentiero sterrato.")</f>
        <v>La fotocamera continua a panoramonare intorno ai cavalieri preparandosi e infine saltando giù e correndo lungo il sentiero sterrato.</v>
      </c>
    </row>
    <row r="36912">
      <c r="A36912" s="4" t="s">
        <v>46434</v>
      </c>
      <c r="B36912" s="6" t="s">
        <v>46435</v>
      </c>
      <c r="C36912" s="5" t="str">
        <f>IFERROR(__xludf.DUMMYFUNCTION("GOOGLETRANSLATE(B36912,""en"",""it"")"),"Una ragazza viene vista tagliare un buco nella parte superiore di una zucca seguita dai suoi semi di scatto e tagliando i lati.")</f>
        <v>Una ragazza viene vista tagliare un buco nella parte superiore di una zucca seguita dai suoi semi di scatto e tagliando i lati.</v>
      </c>
    </row>
    <row r="36913">
      <c r="A36913" s="4" t="s">
        <v>46434</v>
      </c>
      <c r="B36913" s="4" t="s">
        <v>46436</v>
      </c>
      <c r="C36913" s="5" t="str">
        <f>IFERROR(__xludf.DUMMYFUNCTION("GOOGLETRANSLATE(B36913,""en"",""it"")"),"La ragazza spazza via la zucca e mette in cima e mostra la zucca al buio.")</f>
        <v>La ragazza spazza via la zucca e mette in cima e mostra la zucca al buio.</v>
      </c>
    </row>
    <row r="36914">
      <c r="A36914" s="4" t="s">
        <v>46437</v>
      </c>
      <c r="B36914" s="4" t="s">
        <v>46438</v>
      </c>
      <c r="C36914" s="5" t="str">
        <f>IFERROR(__xludf.DUMMYFUNCTION("GOOGLETRANSLATE(B36914,""en"",""it"")"),"Una donna in piedi in un bancone che parla di preparare biscotti al cioccolato.")</f>
        <v>Una donna in piedi in un bancone che parla di preparare biscotti al cioccolato.</v>
      </c>
    </row>
    <row r="36915">
      <c r="A36915" s="4" t="s">
        <v>46437</v>
      </c>
      <c r="B36915" s="4" t="s">
        <v>46439</v>
      </c>
      <c r="C36915" s="5" t="str">
        <f>IFERROR(__xludf.DUMMYFUNCTION("GOOGLETRANSLATE(B36915,""en"",""it"")"),"Combina e mescola gli ingredienti con un mixer manuale.")</f>
        <v>Combina e mescola gli ingredienti con un mixer manuale.</v>
      </c>
    </row>
    <row r="36916">
      <c r="A36916" s="4" t="s">
        <v>46437</v>
      </c>
      <c r="B36916" s="4" t="s">
        <v>46440</v>
      </c>
      <c r="C36916" s="5" t="str">
        <f>IFERROR(__xludf.DUMMYFUNCTION("GOOGLETRANSLATE(B36916,""en"",""it"")"),"Quindi mette la farina in una ciotola dopo averla misurata insieme al bicarbonato di sodio.")</f>
        <v>Quindi mette la farina in una ciotola dopo averla misurata insieme al bicarbonato di sodio.</v>
      </c>
    </row>
    <row r="36917">
      <c r="A36917" s="4" t="s">
        <v>46437</v>
      </c>
      <c r="B36917" s="4" t="s">
        <v>46441</v>
      </c>
      <c r="C36917" s="5" t="str">
        <f>IFERROR(__xludf.DUMMYFUNCTION("GOOGLETRANSLATE(B36917,""en"",""it"")"),"Lo aggiunge all'impasto dei biscotti e lo mescola a mano, quindi aggiunge le gocce di cioccolato.")</f>
        <v>Lo aggiunge all'impasto dei biscotti e lo mescola a mano, quindi aggiunge le gocce di cioccolato.</v>
      </c>
    </row>
    <row r="36918">
      <c r="A36918" s="4" t="s">
        <v>46437</v>
      </c>
      <c r="B36918" s="4" t="s">
        <v>46442</v>
      </c>
      <c r="C36918" s="5" t="str">
        <f>IFERROR(__xludf.DUMMYFUNCTION("GOOGLETRANSLATE(B36918,""en"",""it"")"),"Quindi misura l'impasto che si trova su una teglia per cucinare.")</f>
        <v>Quindi misura l'impasto che si trova su una teglia per cucinare.</v>
      </c>
    </row>
    <row r="36919">
      <c r="A36919" s="4" t="s">
        <v>46437</v>
      </c>
      <c r="B36919" s="4" t="s">
        <v>46443</v>
      </c>
      <c r="C36919" s="5" t="str">
        <f>IFERROR(__xludf.DUMMYFUNCTION("GOOGLETRANSLATE(B36919,""en"",""it"")"),"Messo nel forno e dopo aver raffreddato hai i biscotti.")</f>
        <v>Messo nel forno e dopo aver raffreddato hai i biscotti.</v>
      </c>
    </row>
    <row r="36920">
      <c r="A36920" s="4" t="s">
        <v>46444</v>
      </c>
      <c r="B36920" s="4" t="s">
        <v>46445</v>
      </c>
      <c r="C36920" s="5" t="str">
        <f>IFERROR(__xludf.DUMMYFUNCTION("GOOGLETRANSLATE(B36920,""en"",""it"")"),"Una ragazza si alza da un tavolo in cucina.")</f>
        <v>Una ragazza si alza da un tavolo in cucina.</v>
      </c>
    </row>
    <row r="36921">
      <c r="A36921" s="4" t="s">
        <v>46444</v>
      </c>
      <c r="B36921" s="4" t="s">
        <v>46446</v>
      </c>
      <c r="C36921" s="5" t="str">
        <f>IFERROR(__xludf.DUMMYFUNCTION("GOOGLETRANSLATE(B36921,""en"",""it"")"),"Lei e un'altra ragazza hanno occhiali e cucchiai.")</f>
        <v>Lei e un'altra ragazza hanno occhiali e cucchiai.</v>
      </c>
    </row>
    <row r="36922">
      <c r="A36922" s="4" t="s">
        <v>46444</v>
      </c>
      <c r="B36922" s="4" t="s">
        <v>46447</v>
      </c>
      <c r="C36922" s="5" t="str">
        <f>IFERROR(__xludf.DUMMYFUNCTION("GOOGLETRANSLATE(B36922,""en"",""it"")"),"Procedono a mangiare la sostanza mentre si siedono sul pavimento.")</f>
        <v>Procedono a mangiare la sostanza mentre si siedono sul pavimento.</v>
      </c>
    </row>
    <row r="36923">
      <c r="A36923" s="4" t="s">
        <v>46448</v>
      </c>
      <c r="B36923" s="4" t="s">
        <v>46449</v>
      </c>
      <c r="C36923" s="5" t="str">
        <f>IFERROR(__xludf.DUMMYFUNCTION("GOOGLETRANSLATE(B36923,""en"",""it"")"),"Una persona che tiene un alce muove il burattino e conduce a qualcuno che apre una scatola.")</f>
        <v>Una persona che tiene un alce muove il burattino e conduce a qualcuno che apre una scatola.</v>
      </c>
    </row>
    <row r="36924">
      <c r="A36924" s="4" t="s">
        <v>46448</v>
      </c>
      <c r="B36924" s="4" t="s">
        <v>46450</v>
      </c>
      <c r="C36924" s="5" t="str">
        <f>IFERROR(__xludf.DUMMYFUNCTION("GOOGLETRANSLATE(B36924,""en"",""it"")"),"La persona estrae le zucche dalla scatola e taglia un cerchio intorno alla parte superiore.")</f>
        <v>La persona estrae le zucche dalla scatola e taglia un cerchio intorno alla parte superiore.</v>
      </c>
    </row>
    <row r="36925">
      <c r="A36925" s="4" t="s">
        <v>46448</v>
      </c>
      <c r="B36925" s="6" t="s">
        <v>46451</v>
      </c>
      <c r="C36925" s="5" t="str">
        <f>IFERROR(__xludf.DUMMYFUNCTION("GOOGLETRANSLATE(B36925,""en"",""it"")"),"Raccoglie i semi fuori dalla zucca mentre usa l'alce e usa un pennarello per disegnare sul suo fianco.")</f>
        <v>Raccoglie i semi fuori dalla zucca mentre usa l'alce e usa un pennarello per disegnare sul suo fianco.</v>
      </c>
    </row>
    <row r="36926">
      <c r="A36926" s="4" t="s">
        <v>46448</v>
      </c>
      <c r="B36926" s="4" t="s">
        <v>46452</v>
      </c>
      <c r="C36926" s="5" t="str">
        <f>IFERROR(__xludf.DUMMYFUNCTION("GOOGLETRANSLATE(B36926,""en"",""it"")"),"Taglia attorno alle linee del marcatore e mette una candela per fare una lanterna di Jack O.")</f>
        <v>Taglia attorno alle linee del marcatore e mette una candela per fare una lanterna di Jack O.</v>
      </c>
    </row>
    <row r="36927">
      <c r="A36927" s="4" t="s">
        <v>46453</v>
      </c>
      <c r="B36927" s="4" t="s">
        <v>46454</v>
      </c>
      <c r="C36927" s="5" t="str">
        <f>IFERROR(__xludf.DUMMYFUNCTION("GOOGLETRANSLATE(B36927,""en"",""it"")"),"Un uomo si filma in un bagno mentre tiene un rasoio vicino al suo viso.")</f>
        <v>Un uomo si filma in un bagno mentre tiene un rasoio vicino al suo viso.</v>
      </c>
    </row>
    <row r="36928">
      <c r="A36928" s="4" t="s">
        <v>46453</v>
      </c>
      <c r="B36928" s="4" t="s">
        <v>46455</v>
      </c>
      <c r="C36928" s="5" t="str">
        <f>IFERROR(__xludf.DUMMYFUNCTION("GOOGLETRANSLATE(B36928,""en"",""it"")"),"Comincia a radersi delicatamente i lati del suo viso e si muove verso la barba.")</f>
        <v>Comincia a radersi delicatamente i lati del suo viso e si muove verso la barba.</v>
      </c>
    </row>
    <row r="36929">
      <c r="A36929" s="4" t="s">
        <v>46453</v>
      </c>
      <c r="B36929" s="6" t="s">
        <v>46456</v>
      </c>
      <c r="C36929" s="5" t="str">
        <f>IFERROR(__xludf.DUMMYFUNCTION("GOOGLETRANSLATE(B36929,""en"",""it"")"),"Continua a radersi la barba da tutti gli angoli e alla fine non lascia altro che un'ombra di cinque lucchetti.")</f>
        <v>Continua a radersi la barba da tutti gli angoli e alla fine non lascia altro che un'ombra di cinque lucchetti.</v>
      </c>
    </row>
    <row r="36930">
      <c r="A36930" s="4" t="s">
        <v>46457</v>
      </c>
      <c r="B36930" s="4" t="s">
        <v>46458</v>
      </c>
      <c r="C36930" s="5" t="str">
        <f>IFERROR(__xludf.DUMMYFUNCTION("GOOGLETRANSLATE(B36930,""en"",""it"")"),"Una femmina bianca di mezza età si trova in una hall di qualche tipo accanto a una foto che parla.")</f>
        <v>Una femmina bianca di mezza età si trova in una hall di qualche tipo accanto a una foto che parla.</v>
      </c>
    </row>
    <row r="36931">
      <c r="A36931" s="4" t="s">
        <v>46457</v>
      </c>
      <c r="B36931" s="6" t="s">
        <v>46459</v>
      </c>
      <c r="C36931" s="5" t="str">
        <f>IFERROR(__xludf.DUMMYFUNCTION("GOOGLETRANSLATE(B36931,""en"",""it"")"),"Quindi riappare in un'altra stanza dello stesso posto e sta parlando di fronte a uno specchio, un vaso e una pianta.")</f>
        <v>Quindi riappare in un'altra stanza dello stesso posto e sta parlando di fronte a uno specchio, un vaso e una pianta.</v>
      </c>
    </row>
    <row r="36932">
      <c r="A36932" s="4" t="s">
        <v>46457</v>
      </c>
      <c r="B36932" s="6" t="s">
        <v>46460</v>
      </c>
      <c r="C36932" s="5" t="str">
        <f>IFERROR(__xludf.DUMMYFUNCTION("GOOGLETRANSLATE(B36932,""en"",""it"")"),"In mano, ha un piccolo contenitore circolare con lucido da scarpe e prende uno straccio e scende lo straccio nel contenitore.")</f>
        <v>In mano, ha un piccolo contenitore circolare con lucido da scarpe e prende uno straccio e scende lo straccio nel contenitore.</v>
      </c>
    </row>
    <row r="36933">
      <c r="A36933" s="4" t="s">
        <v>46457</v>
      </c>
      <c r="B36933" s="4" t="s">
        <v>46461</v>
      </c>
      <c r="C36933" s="5" t="str">
        <f>IFERROR(__xludf.DUMMYFUNCTION("GOOGLETRANSLATE(B36933,""en"",""it"")"),"La donna procede quindi a pulire la scarpa da maschio con il panno e lo smalto.")</f>
        <v>La donna procede quindi a pulire la scarpa da maschio con il panno e lo smalto.</v>
      </c>
    </row>
    <row r="36934">
      <c r="A36934" s="4" t="s">
        <v>46457</v>
      </c>
      <c r="B36934" s="4" t="s">
        <v>46462</v>
      </c>
      <c r="C36934" s="5" t="str">
        <f>IFERROR(__xludf.DUMMYFUNCTION("GOOGLETRANSLATE(B36934,""en"",""it"")"),"Quindi prende un pennello e inizia ad andare oltre la scarpa con esso e fa una pausa breve e inizia a parlare.")</f>
        <v>Quindi prende un pennello e inizia ad andare oltre la scarpa con esso e fa una pausa breve e inizia a parlare.</v>
      </c>
    </row>
    <row r="36935">
      <c r="A36935" s="4" t="s">
        <v>46463</v>
      </c>
      <c r="B36935" s="4" t="s">
        <v>46464</v>
      </c>
      <c r="C36935" s="5" t="str">
        <f>IFERROR(__xludf.DUMMYFUNCTION("GOOGLETRANSLATE(B36935,""en"",""it"")"),"Un gruppo di ragazze viene mostrato in piedi attorno a un campo rannicchiato insieme.")</f>
        <v>Un gruppo di ragazze viene mostrato in piedi attorno a un campo rannicchiato insieme.</v>
      </c>
    </row>
    <row r="36936">
      <c r="A36936" s="4" t="s">
        <v>46463</v>
      </c>
      <c r="B36936" s="4" t="s">
        <v>46465</v>
      </c>
      <c r="C36936" s="5" t="str">
        <f>IFERROR(__xludf.DUMMYFUNCTION("GOOGLETRANSLATE(B36936,""en"",""it"")"),"I colpi successivi sono delle ragazze che corrono in campo passando la palla indietro e quarto.")</f>
        <v>I colpi successivi sono delle ragazze che corrono in campo passando la palla indietro e quarto.</v>
      </c>
    </row>
    <row r="36937">
      <c r="A36937" s="4" t="s">
        <v>46463</v>
      </c>
      <c r="B36937" s="4" t="s">
        <v>46466</v>
      </c>
      <c r="C36937" s="5" t="str">
        <f>IFERROR(__xludf.DUMMYFUNCTION("GOOGLETRANSLATE(B36937,""en"",""it"")"),"Una ragazza spara la palla in porta e raggiunge un punto.")</f>
        <v>Una ragazza spara la palla in porta e raggiunge un punto.</v>
      </c>
    </row>
    <row r="36938">
      <c r="A36938" s="4" t="s">
        <v>46463</v>
      </c>
      <c r="B36938" s="4" t="s">
        <v>46467</v>
      </c>
      <c r="C36938" s="5" t="str">
        <f>IFERROR(__xludf.DUMMYFUNCTION("GOOGLETRANSLATE(B36938,""en"",""it"")"),"Un altro in seguito cerca di sparare a un goal, ma è bloccato dal portiere.")</f>
        <v>Un altro in seguito cerca di sparare a un goal, ma è bloccato dal portiere.</v>
      </c>
    </row>
    <row r="36939">
      <c r="A36939" s="4" t="s">
        <v>46468</v>
      </c>
      <c r="B36939" s="4" t="s">
        <v>46469</v>
      </c>
      <c r="C36939" s="5" t="str">
        <f>IFERROR(__xludf.DUMMYFUNCTION("GOOGLETRANSLATE(B36939,""en"",""it"")"),"Un uomo tiene Windex vicino alla porta della sua auto.")</f>
        <v>Un uomo tiene Windex vicino alla porta della sua auto.</v>
      </c>
    </row>
    <row r="36940">
      <c r="A36940" s="4" t="s">
        <v>46468</v>
      </c>
      <c r="B36940" s="4" t="s">
        <v>46470</v>
      </c>
      <c r="C36940" s="5" t="str">
        <f>IFERROR(__xludf.DUMMYFUNCTION("GOOGLETRANSLATE(B36940,""en"",""it"")"),"L'uomo quindi spruzza la finestra con Windex e si asciuga la finestra.")</f>
        <v>L'uomo quindi spruzza la finestra con Windex e si asciuga la finestra.</v>
      </c>
    </row>
    <row r="36941">
      <c r="A36941" s="4" t="s">
        <v>46468</v>
      </c>
      <c r="B36941" s="4" t="s">
        <v>46471</v>
      </c>
      <c r="C36941" s="5" t="str">
        <f>IFERROR(__xludf.DUMMYFUNCTION("GOOGLETRANSLATE(B36941,""en"",""it"")"),"L'uomo rotola la finestra.")</f>
        <v>L'uomo rotola la finestra.</v>
      </c>
    </row>
    <row r="36942">
      <c r="A36942" s="4" t="s">
        <v>46468</v>
      </c>
      <c r="B36942" s="4" t="s">
        <v>46472</v>
      </c>
      <c r="C36942" s="5" t="str">
        <f>IFERROR(__xludf.DUMMYFUNCTION("GOOGLETRANSLATE(B36942,""en"",""it"")"),"L'uomo finisce e rotola la finestra per pulirla ancora.")</f>
        <v>L'uomo finisce e rotola la finestra per pulirla ancora.</v>
      </c>
    </row>
    <row r="36943">
      <c r="A36943" s="4" t="s">
        <v>46473</v>
      </c>
      <c r="B36943" s="4" t="s">
        <v>25249</v>
      </c>
      <c r="C36943" s="5" t="str">
        <f>IFERROR(__xludf.DUMMYFUNCTION("GOOGLETRANSLATE(B36943,""en"",""it"")"),"Vengono mostrati i crediti delle clip.")</f>
        <v>Vengono mostrati i crediti delle clip.</v>
      </c>
    </row>
    <row r="36944">
      <c r="A36944" s="4" t="s">
        <v>46473</v>
      </c>
      <c r="B36944" s="4" t="s">
        <v>46474</v>
      </c>
      <c r="C36944" s="5" t="str">
        <f>IFERROR(__xludf.DUMMYFUNCTION("GOOGLETRANSLATE(B36944,""en"",""it"")"),"I ragazzi giocano a lacrosse su un campo.")</f>
        <v>I ragazzi giocano a lacrosse su un campo.</v>
      </c>
    </row>
    <row r="36945">
      <c r="A36945" s="4" t="s">
        <v>46473</v>
      </c>
      <c r="B36945" s="4" t="s">
        <v>46475</v>
      </c>
      <c r="C36945" s="5" t="str">
        <f>IFERROR(__xludf.DUMMYFUNCTION("GOOGLETRANSLATE(B36945,""en"",""it"")"),"Un ragazzo spinge un maschio a terra.")</f>
        <v>Un ragazzo spinge un maschio a terra.</v>
      </c>
    </row>
    <row r="36946">
      <c r="A36946" s="4" t="s">
        <v>46473</v>
      </c>
      <c r="B36946" s="4" t="s">
        <v>573</v>
      </c>
      <c r="C36946" s="5" t="str">
        <f>IFERROR(__xludf.DUMMYFUNCTION("GOOGLETRANSLATE(B36946,""en"",""it"")"),"Vengono visualizzati i crediti del video.")</f>
        <v>Vengono visualizzati i crediti del video.</v>
      </c>
    </row>
    <row r="36947">
      <c r="A36947" s="4" t="s">
        <v>46476</v>
      </c>
      <c r="B36947" s="6" t="s">
        <v>46477</v>
      </c>
      <c r="C36947" s="5" t="str">
        <f>IFERROR(__xludf.DUMMYFUNCTION("GOOGLETRANSLATE(B36947,""en"",""it"")"),"Viene visualizzato uno schermo introduttivo di effetto speciale, è principalmente rosso e contiene parole che dicono ""come migliorare il tuo picco di pallavolo"".")</f>
        <v>Viene visualizzato uno schermo introduttivo di effetto speciale, è principalmente rosso e contiene parole che dicono "come migliorare il tuo picco di pallavolo".</v>
      </c>
    </row>
    <row r="36948">
      <c r="A36948" s="4" t="s">
        <v>46476</v>
      </c>
      <c r="B36948" s="6" t="s">
        <v>46478</v>
      </c>
      <c r="C36948" s="5" t="str">
        <f>IFERROR(__xludf.DUMMYFUNCTION("GOOGLETRANSLATE(B36948,""en"",""it"")"),"Al rallentatore un uomo si trova su un campo da pallavolo che dimostra mosse mentre il testo bianco appare mentre fa alcuni movimenti.")</f>
        <v>Al rallentatore un uomo si trova su un campo da pallavolo che dimostra mosse mentre il testo bianco appare mentre fa alcuni movimenti.</v>
      </c>
    </row>
    <row r="36949">
      <c r="A36949" s="4" t="s">
        <v>46476</v>
      </c>
      <c r="B36949" s="6" t="s">
        <v>46479</v>
      </c>
      <c r="C36949" s="5" t="str">
        <f>IFERROR(__xludf.DUMMYFUNCTION("GOOGLETRANSLATE(B36949,""en"",""it"")"),"Quando appare uno schermo rosso che include un sito Web nel testo bianco che dice ""Acuspike Dot Com"" di Say e include una clip art blu che lo attraversa insieme a una pallavolo bianca.")</f>
        <v>Quando appare uno schermo rosso che include un sito Web nel testo bianco che dice "Acuspike Dot Com" di Say e include una clip art blu che lo attraversa insieme a una pallavolo bianca.</v>
      </c>
    </row>
    <row r="36950">
      <c r="A36950" s="4" t="s">
        <v>46480</v>
      </c>
      <c r="B36950" s="4" t="s">
        <v>46481</v>
      </c>
      <c r="C36950" s="5" t="str">
        <f>IFERROR(__xludf.DUMMYFUNCTION("GOOGLETRANSLATE(B36950,""en"",""it"")"),"Una ginnasta maschile afroamericana in un body blu scende sotto due bar e inizia lo stretching.")</f>
        <v>Una ginnasta maschile afroamericana in un body blu scende sotto due bar e inizia lo stretching.</v>
      </c>
    </row>
    <row r="36951">
      <c r="A36951" s="4" t="s">
        <v>46480</v>
      </c>
      <c r="B36951" s="4" t="s">
        <v>46482</v>
      </c>
      <c r="C36951" s="5" t="str">
        <f>IFERROR(__xludf.DUMMYFUNCTION("GOOGLETRANSLATE(B36951,""en"",""it"")"),"Afferra le sbarre e si tira su in uno stand a mano sulle sbarre.")</f>
        <v>Afferra le sbarre e si tira su in uno stand a mano sulle sbarre.</v>
      </c>
    </row>
    <row r="36952">
      <c r="A36952" s="4" t="s">
        <v>46480</v>
      </c>
      <c r="B36952" s="4" t="s">
        <v>46483</v>
      </c>
      <c r="C36952" s="5" t="str">
        <f>IFERROR(__xludf.DUMMYFUNCTION("GOOGLETRANSLATE(B36952,""en"",""it"")"),"Continua a fare giri acrobatici e lanci continui.")</f>
        <v>Continua a fare giri acrobatici e lanci continui.</v>
      </c>
    </row>
    <row r="36953">
      <c r="A36953" s="4" t="s">
        <v>46480</v>
      </c>
      <c r="B36953" s="4" t="s">
        <v>46484</v>
      </c>
      <c r="C36953" s="5" t="str">
        <f>IFERROR(__xludf.DUMMYFUNCTION("GOOGLETRANSLATE(B36953,""en"",""it"")"),"La sua prossima serie di lanci è costituita da divisioni sopra le barre, seguite da stand delle mani.")</f>
        <v>La sua prossima serie di lanci è costituita da divisioni sopra le barre, seguite da stand delle mani.</v>
      </c>
    </row>
    <row r="36954">
      <c r="A36954" s="4" t="s">
        <v>46480</v>
      </c>
      <c r="B36954" s="4" t="s">
        <v>46485</v>
      </c>
      <c r="C36954" s="5" t="str">
        <f>IFERROR(__xludf.DUMMYFUNCTION("GOOGLETRANSLATE(B36954,""en"",""it"")"),"Alla fine, gira dai bar e atterra sul tappeto per completare la sua esibizione.")</f>
        <v>Alla fine, gira dai bar e atterra sul tappeto per completare la sua esibizione.</v>
      </c>
    </row>
    <row r="36955">
      <c r="A36955" s="4" t="s">
        <v>46486</v>
      </c>
      <c r="B36955" s="4" t="s">
        <v>46487</v>
      </c>
      <c r="C36955" s="5" t="str">
        <f>IFERROR(__xludf.DUMMYFUNCTION("GOOGLETRANSLATE(B36955,""en"",""it"")"),"Un cielo con il sole si sta sbirciando tra le nuvole.")</f>
        <v>Un cielo con il sole si sta sbirciando tra le nuvole.</v>
      </c>
    </row>
    <row r="36956">
      <c r="A36956" s="4" t="s">
        <v>46486</v>
      </c>
      <c r="B36956" s="4" t="s">
        <v>46488</v>
      </c>
      <c r="C36956" s="5" t="str">
        <f>IFERROR(__xludf.DUMMYFUNCTION("GOOGLETRANSLATE(B36956,""en"",""it"")"),"Un uomo è su una pista di fronte a una folla.")</f>
        <v>Un uomo è su una pista di fronte a una folla.</v>
      </c>
    </row>
    <row r="36957">
      <c r="A36957" s="4" t="s">
        <v>46486</v>
      </c>
      <c r="B36957" s="4" t="s">
        <v>46489</v>
      </c>
      <c r="C36957" s="5" t="str">
        <f>IFERROR(__xludf.DUMMYFUNCTION("GOOGLETRANSLATE(B36957,""en"",""it"")"),"Corre, facendo un salto in lungo al rallentatore.")</f>
        <v>Corre, facendo un salto in lungo al rallentatore.</v>
      </c>
    </row>
    <row r="36958">
      <c r="A36958" s="4" t="s">
        <v>46486</v>
      </c>
      <c r="B36958" s="4" t="s">
        <v>46490</v>
      </c>
      <c r="C36958" s="5" t="str">
        <f>IFERROR(__xludf.DUMMYFUNCTION("GOOGLETRANSLATE(B36958,""en"",""it"")"),"Celebra mentre vince la medaglia.")</f>
        <v>Celebra mentre vince la medaglia.</v>
      </c>
    </row>
    <row r="36959">
      <c r="A36959" s="4" t="s">
        <v>46486</v>
      </c>
      <c r="B36959" s="4" t="s">
        <v>46491</v>
      </c>
      <c r="C36959" s="5" t="str">
        <f>IFERROR(__xludf.DUMMYFUNCTION("GOOGLETRANSLATE(B36959,""en"",""it"")"),"Un uomo viene mostrato a parlare di lui.")</f>
        <v>Un uomo viene mostrato a parlare di lui.</v>
      </c>
    </row>
    <row r="36960">
      <c r="A36960" s="4" t="s">
        <v>46486</v>
      </c>
      <c r="B36960" s="4" t="s">
        <v>46492</v>
      </c>
      <c r="C36960" s="5" t="str">
        <f>IFERROR(__xludf.DUMMYFUNCTION("GOOGLETRANSLATE(B36960,""en"",""it"")"),"I crediti compaiono alla fine.")</f>
        <v>I crediti compaiono alla fine.</v>
      </c>
    </row>
    <row r="36961">
      <c r="A36961" s="4" t="s">
        <v>46493</v>
      </c>
      <c r="B36961" s="4" t="s">
        <v>46494</v>
      </c>
      <c r="C36961" s="5" t="str">
        <f>IFERROR(__xludf.DUMMYFUNCTION("GOOGLETRANSLATE(B36961,""en"",""it"")"),"Un uomo e una donna sono in piedi in un soggiorno con grandi costumi di sumo.")</f>
        <v>Un uomo e una donna sono in piedi in un soggiorno con grandi costumi di sumo.</v>
      </c>
    </row>
    <row r="36962">
      <c r="A36962" s="4" t="s">
        <v>46493</v>
      </c>
      <c r="B36962" s="4" t="s">
        <v>46495</v>
      </c>
      <c r="C36962" s="5" t="str">
        <f>IFERROR(__xludf.DUMMYFUNCTION("GOOGLETRANSLATE(B36962,""en"",""it"")"),"La ragazza salta su e poi l'uomo prova a vedere quanto è pesante l'uniforme.")</f>
        <v>La ragazza salta su e poi l'uomo prova a vedere quanto è pesante l'uniforme.</v>
      </c>
    </row>
    <row r="36963">
      <c r="A36963" s="4" t="s">
        <v>46493</v>
      </c>
      <c r="B36963" s="6" t="s">
        <v>46496</v>
      </c>
      <c r="C36963" s="5" t="str">
        <f>IFERROR(__xludf.DUMMYFUNCTION("GOOGLETRANSLATE(B36963,""en"",""it"")"),"Successivamente, l'uomo regge una borsa di limoni e inizia a parlare prima di indossare la propria attrezzatura.")</f>
        <v>Successivamente, l'uomo regge una borsa di limoni e inizia a parlare prima di indossare la propria attrezzatura.</v>
      </c>
    </row>
    <row r="36964">
      <c r="A36964" s="4" t="s">
        <v>46493</v>
      </c>
      <c r="B36964" s="4" t="s">
        <v>46497</v>
      </c>
      <c r="C36964" s="5" t="str">
        <f>IFERROR(__xludf.DUMMYFUNCTION("GOOGLETRANSLATE(B36964,""en"",""it"")"),"Ora, è tempo per la partita e iniziano a lottare l'uno con l'altro.")</f>
        <v>Ora, è tempo per la partita e iniziano a lottare l'uno con l'altro.</v>
      </c>
    </row>
    <row r="36965">
      <c r="A36965" s="4" t="s">
        <v>46493</v>
      </c>
      <c r="B36965" s="6" t="s">
        <v>46498</v>
      </c>
      <c r="C36965" s="5" t="str">
        <f>IFERROR(__xludf.DUMMYFUNCTION("GOOGLETRANSLATE(B36965,""en"",""it"")"),"Tuttavia, hanno aggiunto una funzione alla partita e ogni persona deve mettere i limoni nel cappello dell'altro per guadagnare punti.")</f>
        <v>Tuttavia, hanno aggiunto una funzione alla partita e ogni persona deve mettere i limoni nel cappello dell'altro per guadagnare punti.</v>
      </c>
    </row>
    <row r="36966">
      <c r="A36966" s="4" t="s">
        <v>46493</v>
      </c>
      <c r="B36966" s="4" t="s">
        <v>46499</v>
      </c>
      <c r="C36966" s="5" t="str">
        <f>IFERROR(__xludf.DUMMYFUNCTION("GOOGLETRANSLATE(B36966,""en"",""it"")"),"Dopo diversi tentativi, la ragazza vince e il punteggio è da 4 a 0.")</f>
        <v>Dopo diversi tentativi, la ragazza vince e il punteggio è da 4 a 0.</v>
      </c>
    </row>
    <row r="36967">
      <c r="A36967" s="4" t="s">
        <v>46493</v>
      </c>
      <c r="B36967" s="4" t="s">
        <v>46500</v>
      </c>
      <c r="C36967" s="5" t="str">
        <f>IFERROR(__xludf.DUMMYFUNCTION("GOOGLETRANSLATE(B36967,""en"",""it"")"),"Ora inizia il secondo round e il risultato è lo stesso che la ragazza tradisce per vincere.")</f>
        <v>Ora inizia il secondo round e il risultato è lo stesso che la ragazza tradisce per vincere.</v>
      </c>
    </row>
    <row r="36968">
      <c r="A36968" s="4" t="s">
        <v>46501</v>
      </c>
      <c r="B36968" s="4" t="s">
        <v>46502</v>
      </c>
      <c r="C36968" s="5" t="str">
        <f>IFERROR(__xludf.DUMMYFUNCTION("GOOGLETRANSLATE(B36968,""en"",""it"")"),"Due aspiratori appaiono in una stanza grigia.")</f>
        <v>Due aspiratori appaiono in una stanza grigia.</v>
      </c>
    </row>
    <row r="36969">
      <c r="A36969" s="4" t="s">
        <v>46501</v>
      </c>
      <c r="B36969" s="4" t="s">
        <v>46503</v>
      </c>
      <c r="C36969" s="5" t="str">
        <f>IFERROR(__xludf.DUMMYFUNCTION("GOOGLETRANSLATE(B36969,""en"",""it"")"),"Uno dei vuoti scompare.")</f>
        <v>Uno dei vuoti scompare.</v>
      </c>
    </row>
    <row r="36970">
      <c r="A36970" s="4" t="s">
        <v>46501</v>
      </c>
      <c r="B36970" s="4" t="s">
        <v>46504</v>
      </c>
      <c r="C36970" s="5" t="str">
        <f>IFERROR(__xludf.DUMMYFUNCTION("GOOGLETRANSLATE(B36970,""en"",""it"")"),"Una signora aspira la sua casa e poi svuota il vuoto.")</f>
        <v>Una signora aspira la sua casa e poi svuota il vuoto.</v>
      </c>
    </row>
    <row r="36971">
      <c r="A36971" s="4" t="s">
        <v>46501</v>
      </c>
      <c r="B36971" s="4" t="s">
        <v>46505</v>
      </c>
      <c r="C36971" s="5" t="str">
        <f>IFERROR(__xludf.DUMMYFUNCTION("GOOGLETRANSLATE(B36971,""en"",""it"")"),"La signora mette il vuoto in un armadio.")</f>
        <v>La signora mette il vuoto in un armadio.</v>
      </c>
    </row>
    <row r="36972">
      <c r="A36972" s="4" t="s">
        <v>46501</v>
      </c>
      <c r="B36972" s="4" t="s">
        <v>46506</v>
      </c>
      <c r="C36972" s="5" t="str">
        <f>IFERROR(__xludf.DUMMYFUNCTION("GOOGLETRANSLATE(B36972,""en"",""it"")"),"Vediamo una stanza piena di scrivanie e ingegneri che progettano prodotti.")</f>
        <v>Vediamo una stanza piena di scrivanie e ingegneri che progettano prodotti.</v>
      </c>
    </row>
    <row r="36973">
      <c r="A36973" s="4" t="s">
        <v>46501</v>
      </c>
      <c r="B36973" s="4" t="s">
        <v>46507</v>
      </c>
      <c r="C36973" s="5" t="str">
        <f>IFERROR(__xludf.DUMMYFUNCTION("GOOGLETRANSLATE(B36973,""en"",""it"")"),"Tre ventole di Dyson ruotano verso la telecamera.")</f>
        <v>Tre ventole di Dyson ruotano verso la telecamera.</v>
      </c>
    </row>
    <row r="36974">
      <c r="A36974" s="4" t="s">
        <v>46508</v>
      </c>
      <c r="B36974" s="4" t="s">
        <v>46509</v>
      </c>
      <c r="C36974" s="5" t="str">
        <f>IFERROR(__xludf.DUMMYFUNCTION("GOOGLETRANSLATE(B36974,""en"",""it"")"),"Viene vista una donna parlare alla telecamera e sollevare una latta.")</f>
        <v>Viene vista una donna parlare alla telecamera e sollevare una latta.</v>
      </c>
    </row>
    <row r="36975">
      <c r="A36975" s="4" t="s">
        <v>46508</v>
      </c>
      <c r="B36975" s="4" t="s">
        <v>46510</v>
      </c>
      <c r="C36975" s="5" t="str">
        <f>IFERROR(__xludf.DUMMYFUNCTION("GOOGLETRANSLATE(B36975,""en"",""it"")"),"Quindi piega un pezzo di carta in un aereo e lo strofina lungo la padella.")</f>
        <v>Quindi piega un pezzo di carta in un aereo e lo strofina lungo la padella.</v>
      </c>
    </row>
    <row r="36976">
      <c r="A36976" s="4" t="s">
        <v>46508</v>
      </c>
      <c r="B36976" s="4" t="s">
        <v>46511</v>
      </c>
      <c r="C36976" s="5" t="str">
        <f>IFERROR(__xludf.DUMMYFUNCTION("GOOGLETRANSLATE(B36976,""en"",""it"")"),"Quindi mette un contenitore nella padella mentre parla alla telecamera.")</f>
        <v>Quindi mette un contenitore nella padella mentre parla alla telecamera.</v>
      </c>
    </row>
    <row r="36977">
      <c r="A36977" s="4" t="s">
        <v>46512</v>
      </c>
      <c r="B36977" s="4" t="s">
        <v>46513</v>
      </c>
      <c r="C36977" s="5" t="str">
        <f>IFERROR(__xludf.DUMMYFUNCTION("GOOGLETRANSLATE(B36977,""en"",""it"")"),"Viene visto un uomo parlare alla telecamera mentre mostra colpi di persone che giocano ad acqua.")</f>
        <v>Viene visto un uomo parlare alla telecamera mentre mostra colpi di persone che giocano ad acqua.</v>
      </c>
    </row>
    <row r="36978">
      <c r="A36978" s="4" t="s">
        <v>46512</v>
      </c>
      <c r="B36978" s="4" t="s">
        <v>46514</v>
      </c>
      <c r="C36978" s="5" t="str">
        <f>IFERROR(__xludf.DUMMYFUNCTION("GOOGLETRANSLATE(B36978,""en"",""it"")"),"Vengono mostrate altre clip di persone che colpiscono la palla e l'ospite che parlano con un altro uomo.")</f>
        <v>Vengono mostrate altre clip di persone che colpiscono la palla e l'ospite che parlano con un altro uomo.</v>
      </c>
    </row>
    <row r="36979">
      <c r="A36979" s="4" t="s">
        <v>46512</v>
      </c>
      <c r="B36979" s="4" t="s">
        <v>46515</v>
      </c>
      <c r="C36979" s="5" t="str">
        <f>IFERROR(__xludf.DUMMYFUNCTION("GOOGLETRANSLATE(B36979,""en"",""it"")"),"Vengono mostrate altre clip di persone che giocano in piscina e ridono l'una con l'altra.")</f>
        <v>Vengono mostrate altre clip di persone che giocano in piscina e ridono l'una con l'altra.</v>
      </c>
    </row>
    <row r="36980">
      <c r="A36980" s="4" t="s">
        <v>46516</v>
      </c>
      <c r="B36980" s="4" t="s">
        <v>46517</v>
      </c>
      <c r="C36980" s="5" t="str">
        <f>IFERROR(__xludf.DUMMYFUNCTION("GOOGLETRANSLATE(B36980,""en"",""it"")"),"Un uomo corre su un paio di passioni lungo un vicolo.")</f>
        <v>Un uomo corre su un paio di passioni lungo un vicolo.</v>
      </c>
    </row>
    <row r="36981">
      <c r="A36981" s="4" t="s">
        <v>46516</v>
      </c>
      <c r="B36981" s="4" t="s">
        <v>46518</v>
      </c>
      <c r="C36981" s="5" t="str">
        <f>IFERROR(__xludf.DUMMYFUNCTION("GOOGLETRANSLATE(B36981,""en"",""it"")"),"Rimbalzi su una bici mentre corre.")</f>
        <v>Rimbalzi su una bici mentre corre.</v>
      </c>
    </row>
    <row r="36982">
      <c r="A36982" s="4" t="s">
        <v>46516</v>
      </c>
      <c r="B36982" s="4" t="s">
        <v>46519</v>
      </c>
      <c r="C36982" s="5" t="str">
        <f>IFERROR(__xludf.DUMMYFUNCTION("GOOGLETRANSLATE(B36982,""en"",""it"")"),"Quindi corre lungo il rivestimento laterale di un edificio prima di scomparire dietro l'angolo.")</f>
        <v>Quindi corre lungo il rivestimento laterale di un edificio prima di scomparire dietro l'angolo.</v>
      </c>
    </row>
    <row r="36983">
      <c r="A36983" s="4" t="s">
        <v>46520</v>
      </c>
      <c r="B36983" s="4" t="s">
        <v>46521</v>
      </c>
      <c r="C36983" s="5" t="str">
        <f>IFERROR(__xludf.DUMMYFUNCTION("GOOGLETRANSLATE(B36983,""en"",""it"")"),"Vengono mostrati gli edifici dei cartoni animati, quindi una coppia di angeli.")</f>
        <v>Vengono mostrati gli edifici dei cartoni animati, quindi una coppia di angeli.</v>
      </c>
    </row>
    <row r="36984">
      <c r="A36984" s="4" t="s">
        <v>46520</v>
      </c>
      <c r="B36984" s="4" t="s">
        <v>46522</v>
      </c>
      <c r="C36984" s="5" t="str">
        <f>IFERROR(__xludf.DUMMYFUNCTION("GOOGLETRANSLATE(B36984,""en"",""it"")"),"Vediamo un secchio pieno di bucato.")</f>
        <v>Vediamo un secchio pieno di bucato.</v>
      </c>
    </row>
    <row r="36985">
      <c r="A36985" s="4" t="s">
        <v>46520</v>
      </c>
      <c r="B36985" s="4" t="s">
        <v>46523</v>
      </c>
      <c r="C36985" s="5" t="str">
        <f>IFERROR(__xludf.DUMMYFUNCTION("GOOGLETRANSLATE(B36985,""en"",""it"")"),"Il video spiega come il lavaggio dei vestiti dovrebbe comportare immergere e spazzolare e lavaggio delle mani.")</f>
        <v>Il video spiega come il lavaggio dei vestiti dovrebbe comportare immergere e spazzolare e lavaggio delle mani.</v>
      </c>
    </row>
    <row r="36986">
      <c r="A36986" s="4" t="s">
        <v>46520</v>
      </c>
      <c r="B36986" s="4" t="s">
        <v>46524</v>
      </c>
      <c r="C36986" s="5" t="str">
        <f>IFERROR(__xludf.DUMMYFUNCTION("GOOGLETRANSLATE(B36986,""en"",""it"")"),"Quindi parla di risciacquare e appendere gli indumenti per asciugare.")</f>
        <v>Quindi parla di risciacquare e appendere gli indumenti per asciugare.</v>
      </c>
    </row>
    <row r="36987">
      <c r="A36987" s="4" t="s">
        <v>46520</v>
      </c>
      <c r="B36987" s="4" t="s">
        <v>46525</v>
      </c>
      <c r="C36987" s="5" t="str">
        <f>IFERROR(__xludf.DUMMYFUNCTION("GOOGLETRANSLATE(B36987,""en"",""it"")"),"Finalmente vediamo un essiccatore vuoto prima di un annuncio per il lavanderia.")</f>
        <v>Finalmente vediamo un essiccatore vuoto prima di un annuncio per il lavanderia.</v>
      </c>
    </row>
    <row r="36988">
      <c r="A36988" s="4" t="s">
        <v>46526</v>
      </c>
      <c r="B36988" s="4" t="s">
        <v>46527</v>
      </c>
      <c r="C36988" s="5" t="str">
        <f>IFERROR(__xludf.DUMMYFUNCTION("GOOGLETRANSLATE(B36988,""en"",""it"")"),"Un gruppo di bambini piccoli si trova in un parco giochi.")</f>
        <v>Un gruppo di bambini piccoli si trova in un parco giochi.</v>
      </c>
    </row>
    <row r="36989">
      <c r="A36989" s="4" t="s">
        <v>46526</v>
      </c>
      <c r="B36989" s="4" t="s">
        <v>46528</v>
      </c>
      <c r="C36989" s="5" t="str">
        <f>IFERROR(__xludf.DUMMYFUNCTION("GOOGLETRANSLATE(B36989,""en"",""it"")"),"Si alternano saltando attraverso una partita di hopscotch disegnata sul marciapiede.")</f>
        <v>Si alternano saltando attraverso una partita di hopscotch disegnata sul marciapiede.</v>
      </c>
    </row>
    <row r="36990">
      <c r="A36990" s="4" t="s">
        <v>46526</v>
      </c>
      <c r="B36990" s="4" t="s">
        <v>46529</v>
      </c>
      <c r="C36990" s="5" t="str">
        <f>IFERROR(__xludf.DUMMYFUNCTION("GOOGLETRANSLATE(B36990,""en"",""it"")"),"Continuano a svolgere più volte.")</f>
        <v>Continuano a svolgere più volte.</v>
      </c>
    </row>
    <row r="36991">
      <c r="A36991" s="4" t="s">
        <v>46530</v>
      </c>
      <c r="B36991" s="4" t="s">
        <v>46531</v>
      </c>
      <c r="C36991" s="5" t="str">
        <f>IFERROR(__xludf.DUMMYFUNCTION("GOOGLETRANSLATE(B36991,""en"",""it"")"),"Un uomo sta facendo un cubo Rubiks dietro un tavolo.")</f>
        <v>Un uomo sta facendo un cubo Rubiks dietro un tavolo.</v>
      </c>
    </row>
    <row r="36992">
      <c r="A36992" s="4" t="s">
        <v>46530</v>
      </c>
      <c r="B36992" s="4" t="s">
        <v>46532</v>
      </c>
      <c r="C36992" s="5" t="str">
        <f>IFERROR(__xludf.DUMMYFUNCTION("GOOGLETRANSLATE(B36992,""en"",""it"")"),"C'è un timer sul tavolo di fronte a lui.")</f>
        <v>C'è un timer sul tavolo di fronte a lui.</v>
      </c>
    </row>
    <row r="36993">
      <c r="A36993" s="4" t="s">
        <v>46530</v>
      </c>
      <c r="B36993" s="4" t="s">
        <v>46533</v>
      </c>
      <c r="C36993" s="5" t="str">
        <f>IFERROR(__xludf.DUMMYFUNCTION("GOOGLETRANSLATE(B36993,""en"",""it"")"),"Raccoglie un altro cubo Rubiks e inizia a completarlo.")</f>
        <v>Raccoglie un altro cubo Rubiks e inizia a completarlo.</v>
      </c>
    </row>
    <row r="36994">
      <c r="A36994" s="4" t="s">
        <v>46534</v>
      </c>
      <c r="B36994" s="4" t="s">
        <v>46535</v>
      </c>
      <c r="C36994" s="5" t="str">
        <f>IFERROR(__xludf.DUMMYFUNCTION("GOOGLETRANSLATE(B36994,""en"",""it"")"),"Un uomo sta per fare una partita di wrestling con un signore più anziani.")</f>
        <v>Un uomo sta per fare una partita di wrestling con un signore più anziani.</v>
      </c>
    </row>
    <row r="36995">
      <c r="A36995" s="4" t="s">
        <v>46534</v>
      </c>
      <c r="B36995" s="4" t="s">
        <v>46536</v>
      </c>
      <c r="C36995" s="5" t="str">
        <f>IFERROR(__xludf.DUMMYFUNCTION("GOOGLETRANSLATE(B36995,""en"",""it"")"),"L'uomo più anziano sta lottando dai volti che sta facendo.")</f>
        <v>L'uomo più anziano sta lottando dai volti che sta facendo.</v>
      </c>
    </row>
    <row r="36996">
      <c r="A36996" s="4" t="s">
        <v>46534</v>
      </c>
      <c r="B36996" s="4" t="s">
        <v>46537</v>
      </c>
      <c r="C36996" s="5" t="str">
        <f>IFERROR(__xludf.DUMMYFUNCTION("GOOGLETRANSLATE(B36996,""en"",""it"")"),"Le fotocamere si stanno mettendo tutti in faccia in pratica.")</f>
        <v>Le fotocamere si stanno mettendo tutti in faccia in pratica.</v>
      </c>
    </row>
    <row r="36997">
      <c r="A36997" s="4" t="s">
        <v>46534</v>
      </c>
      <c r="B36997" s="4" t="s">
        <v>46538</v>
      </c>
      <c r="C36997" s="5" t="str">
        <f>IFERROR(__xludf.DUMMYFUNCTION("GOOGLETRANSLATE(B36997,""en"",""it"")"),"L'uomo più anziano vince la partita e gli arbitri e tutti iniziano a parlare.")</f>
        <v>L'uomo più anziano vince la partita e gli arbitri e tutti iniziano a parlare.</v>
      </c>
    </row>
    <row r="36998">
      <c r="A36998" s="4" t="s">
        <v>46539</v>
      </c>
      <c r="B36998" s="6" t="s">
        <v>46540</v>
      </c>
      <c r="C36998" s="5" t="str">
        <f>IFERROR(__xludf.DUMMYFUNCTION("GOOGLETRANSLATE(B36998,""en"",""it"")"),"Un'introduzione a Dancing With the Stars Show seguita da un uomo che suona il piano e una coppia che guarda in lontananza.")</f>
        <v>Un'introduzione a Dancing With the Stars Show seguita da un uomo che suona il piano e una coppia che guarda in lontananza.</v>
      </c>
    </row>
    <row r="36999">
      <c r="A36999" s="4" t="s">
        <v>46539</v>
      </c>
      <c r="B36999" s="4" t="s">
        <v>46541</v>
      </c>
      <c r="C36999" s="5" t="str">
        <f>IFERROR(__xludf.DUMMYFUNCTION("GOOGLETRANSLATE(B36999,""en"",""it"")"),"La donna inizia a suonare il piano quando l'uomo in piedi suona e la afferra.")</f>
        <v>La donna inizia a suonare il piano quando l'uomo in piedi suona e la afferra.</v>
      </c>
    </row>
    <row r="37000">
      <c r="A37000" s="4" t="s">
        <v>46539</v>
      </c>
      <c r="B37000" s="4" t="s">
        <v>46542</v>
      </c>
      <c r="C37000" s="5" t="str">
        <f>IFERROR(__xludf.DUMMYFUNCTION("GOOGLETRANSLATE(B37000,""en"",""it"")"),"Si girano attorno a un grande palcoscenico circondato da centinaia di persone che li guardano ballare.")</f>
        <v>Si girano attorno a un grande palcoscenico circondato da centinaia di persone che li guardano ballare.</v>
      </c>
    </row>
    <row r="37001">
      <c r="A37001" s="4" t="s">
        <v>46539</v>
      </c>
      <c r="B37001" s="4" t="s">
        <v>46543</v>
      </c>
      <c r="C37001" s="5" t="str">
        <f>IFERROR(__xludf.DUMMYFUNCTION("GOOGLETRANSLATE(B37001,""en"",""it"")"),"L'uomo la raccoglie e la fa roteare attorno alla musica e termina con il pubblico che applaude.")</f>
        <v>L'uomo la raccoglie e la fa roteare attorno alla musica e termina con il pubblico che applaude.</v>
      </c>
    </row>
    <row r="37002">
      <c r="A37002" s="4" t="s">
        <v>46544</v>
      </c>
      <c r="B37002" s="4" t="s">
        <v>46545</v>
      </c>
      <c r="C37002" s="5" t="str">
        <f>IFERROR(__xludf.DUMMYFUNCTION("GOOGLETRANSLATE(B37002,""en"",""it"")"),"Un gruppo di persone che cavalcano macchine per paraurti.")</f>
        <v>Un gruppo di persone che cavalcano macchine per paraurti.</v>
      </c>
    </row>
    <row r="37003">
      <c r="A37003" s="4" t="s">
        <v>46544</v>
      </c>
      <c r="B37003" s="4" t="s">
        <v>46546</v>
      </c>
      <c r="C37003" s="5" t="str">
        <f>IFERROR(__xludf.DUMMYFUNCTION("GOOGLETRANSLATE(B37003,""en"",""it"")"),"L'assistente attraversa il corso schivando le auto del paraurti.")</f>
        <v>L'assistente attraversa il corso schivando le auto del paraurti.</v>
      </c>
    </row>
    <row r="37004">
      <c r="A37004" s="4" t="s">
        <v>46544</v>
      </c>
      <c r="B37004" s="4" t="s">
        <v>46547</v>
      </c>
      <c r="C37004" s="5" t="str">
        <f>IFERROR(__xludf.DUMMYFUNCTION("GOOGLETRANSLATE(B37004,""en"",""it"")"),"L'assistente salta su un'auto per ragazze e la aiuta a manovrare la macchina.")</f>
        <v>L'assistente salta su un'auto per ragazze e la aiuta a manovrare la macchina.</v>
      </c>
    </row>
    <row r="37005">
      <c r="A37005" s="4" t="s">
        <v>46544</v>
      </c>
      <c r="B37005" s="6" t="s">
        <v>46548</v>
      </c>
      <c r="C37005" s="5" t="str">
        <f>IFERROR(__xludf.DUMMYFUNCTION("GOOGLETRANSLATE(B37005,""en"",""it"")"),"L'assistente continua a correre attraverso il percorso assistendo i conducenti mentre gli altri conducenti continuano a schiantarsi l'uno contro l'altro.")</f>
        <v>L'assistente continua a correre attraverso il percorso assistendo i conducenti mentre gli altri conducenti continuano a schiantarsi l'uno contro l'altro.</v>
      </c>
    </row>
    <row r="37006">
      <c r="A37006" s="4" t="s">
        <v>46549</v>
      </c>
      <c r="B37006" s="6" t="s">
        <v>46550</v>
      </c>
      <c r="C37006" s="5" t="str">
        <f>IFERROR(__xludf.DUMMYFUNCTION("GOOGLETRANSLATE(B37006,""en"",""it"")"),"Una ragazza è seduta davanti a uno schermo e inizia a parlare mentre tiene una bottiglia di collutorio blu.")</f>
        <v>Una ragazza è seduta davanti a uno schermo e inizia a parlare mentre tiene una bottiglia di collutorio blu.</v>
      </c>
    </row>
    <row r="37007">
      <c r="A37007" s="4" t="s">
        <v>46549</v>
      </c>
      <c r="B37007" s="6" t="s">
        <v>46551</v>
      </c>
      <c r="C37007" s="5" t="str">
        <f>IFERROR(__xludf.DUMMYFUNCTION("GOOGLETRANSLATE(B37007,""en"",""it"")"),"La ragazza quindi prende il collutorio e inizia a metterlo sopra la testa e giocare è mentre fa volti divertenti.")</f>
        <v>La ragazza quindi prende il collutorio e inizia a metterlo sopra la testa e giocare è mentre fa volti divertenti.</v>
      </c>
    </row>
    <row r="37008">
      <c r="A37008" s="4" t="s">
        <v>46549</v>
      </c>
      <c r="B37008" s="4" t="s">
        <v>46552</v>
      </c>
      <c r="C37008" s="5" t="str">
        <f>IFERROR(__xludf.DUMMYFUNCTION("GOOGLETRANSLATE(B37008,""en"",""it"")"),"Dopo averne preso, le ragazze ne prendono un sorso e iniziano a gargarlo e lo tiene in bocca.")</f>
        <v>Dopo averne preso, le ragazze ne prendono un sorso e iniziano a gargarlo e lo tiene in bocca.</v>
      </c>
    </row>
    <row r="37009">
      <c r="A37009" s="4" t="s">
        <v>46549</v>
      </c>
      <c r="B37009" s="4" t="s">
        <v>46553</v>
      </c>
      <c r="C37009" s="5" t="str">
        <f>IFERROR(__xludf.DUMMYFUNCTION("GOOGLETRANSLATE(B37009,""en"",""it"")"),"Alla fine, lo sputa e prende un drink d'acqua prima che venga mostrato il replay.")</f>
        <v>Alla fine, lo sputa e prende un drink d'acqua prima che venga mostrato il replay.</v>
      </c>
    </row>
    <row r="37010">
      <c r="A37010" s="4" t="s">
        <v>46554</v>
      </c>
      <c r="B37010" s="4" t="s">
        <v>46555</v>
      </c>
      <c r="C37010" s="5" t="str">
        <f>IFERROR(__xludf.DUMMYFUNCTION("GOOGLETRANSLATE(B37010,""en"",""it"")"),"Un uomo con una giacca a neve è seduto in un sollevatore di sci.")</f>
        <v>Un uomo con una giacca a neve è seduto in un sollevatore di sci.</v>
      </c>
    </row>
    <row r="37011">
      <c r="A37011" s="4" t="s">
        <v>46554</v>
      </c>
      <c r="B37011" s="6" t="s">
        <v>46556</v>
      </c>
      <c r="C37011" s="5" t="str">
        <f>IFERROR(__xludf.DUMMYFUNCTION("GOOGLETRANSLATE(B37011,""en"",""it"")"),"Un uomo in giacca gialla contiene un tubo tra gomma con una corda e un bambino con abiti da sci si trova all'interno.")</f>
        <v>Un uomo in giacca gialla contiene un tubo tra gomma con una corda e un bambino con abiti da sci si trova all'interno.</v>
      </c>
    </row>
    <row r="37012">
      <c r="A37012" s="4" t="s">
        <v>46554</v>
      </c>
      <c r="B37012" s="4" t="s">
        <v>46557</v>
      </c>
      <c r="C37012" s="5" t="str">
        <f>IFERROR(__xludf.DUMMYFUNCTION("GOOGLETRANSLATE(B37012,""en"",""it"")"),"L'uomo spinge il bambino lungo un pendio da sci.")</f>
        <v>L'uomo spinge il bambino lungo un pendio da sci.</v>
      </c>
    </row>
    <row r="37013">
      <c r="A37013" s="4" t="s">
        <v>46554</v>
      </c>
      <c r="B37013" s="4" t="s">
        <v>46558</v>
      </c>
      <c r="C37013" s="5" t="str">
        <f>IFERROR(__xludf.DUMMYFUNCTION("GOOGLETRANSLATE(B37013,""en"",""it"")"),"Il bambino scende una serie di colline sull'Intertube.")</f>
        <v>Il bambino scende una serie di colline sull'Intertube.</v>
      </c>
    </row>
    <row r="37014">
      <c r="A37014" s="4" t="s">
        <v>46554</v>
      </c>
      <c r="B37014" s="4" t="s">
        <v>46559</v>
      </c>
      <c r="C37014" s="5" t="str">
        <f>IFERROR(__xludf.DUMMYFUNCTION("GOOGLETRANSLATE(B37014,""en"",""it"")"),"Una donna tenta di fermare il bambino, quindi recupera il suo intertube.")</f>
        <v>Una donna tenta di fermare il bambino, quindi recupera il suo intertube.</v>
      </c>
    </row>
    <row r="37015">
      <c r="A37015" s="4" t="s">
        <v>46554</v>
      </c>
      <c r="B37015" s="4" t="s">
        <v>46560</v>
      </c>
      <c r="C37015" s="5" t="str">
        <f>IFERROR(__xludf.DUMMYFUNCTION("GOOGLETRANSLATE(B37015,""en"",""it"")"),"Un gruppo di ragazze e ragazzi tirano su una collina.")</f>
        <v>Un gruppo di ragazze e ragazzi tirano su una collina.</v>
      </c>
    </row>
    <row r="37016">
      <c r="A37016" s="4" t="s">
        <v>46554</v>
      </c>
      <c r="B37016" s="4" t="s">
        <v>46561</v>
      </c>
      <c r="C37016" s="5" t="str">
        <f>IFERROR(__xludf.DUMMYFUNCTION("GOOGLETRANSLATE(B37016,""en"",""it"")"),"Un bambino in giacca verde entra in un intertubo.")</f>
        <v>Un bambino in giacca verde entra in un intertubo.</v>
      </c>
    </row>
    <row r="37017">
      <c r="A37017" s="4" t="s">
        <v>46554</v>
      </c>
      <c r="B37017" s="4" t="s">
        <v>46562</v>
      </c>
      <c r="C37017" s="5" t="str">
        <f>IFERROR(__xludf.DUMMYFUNCTION("GOOGLETRANSLATE(B37017,""en"",""it"")"),"Il bambino viene spinto lungo il pendio dello sci e slitte sul fondo.")</f>
        <v>Il bambino viene spinto lungo il pendio dello sci e slitte sul fondo.</v>
      </c>
    </row>
    <row r="37018">
      <c r="A37018" s="4" t="s">
        <v>46554</v>
      </c>
      <c r="B37018" s="4" t="s">
        <v>46563</v>
      </c>
      <c r="C37018" s="5" t="str">
        <f>IFERROR(__xludf.DUMMYFUNCTION("GOOGLETRANSLATE(B37018,""en"",""it"")"),"Una donna con la felpa grigia recupera l'intertubo nella parte inferiore del pendio.")</f>
        <v>Una donna con la felpa grigia recupera l'intertubo nella parte inferiore del pendio.</v>
      </c>
    </row>
    <row r="37019">
      <c r="A37019" s="4" t="s">
        <v>46554</v>
      </c>
      <c r="B37019" s="4" t="s">
        <v>46564</v>
      </c>
      <c r="C37019" s="5" t="str">
        <f>IFERROR(__xludf.DUMMYFUNCTION("GOOGLETRANSLATE(B37019,""en"",""it"")"),"Un ragazzo con giacca verde viene spinto giù per il pendio dello sci.")</f>
        <v>Un ragazzo con giacca verde viene spinto giù per il pendio dello sci.</v>
      </c>
    </row>
    <row r="37020">
      <c r="A37020" s="4" t="s">
        <v>46554</v>
      </c>
      <c r="B37020" s="4" t="s">
        <v>46565</v>
      </c>
      <c r="C37020" s="5" t="str">
        <f>IFERROR(__xludf.DUMMYFUNCTION("GOOGLETRANSLATE(B37020,""en"",""it"")"),"Una donna una felpa grigia recupera l'intertubo nella parte inferiore del pendio.")</f>
        <v>Una donna una felpa grigia recupera l'intertubo nella parte inferiore del pendio.</v>
      </c>
    </row>
    <row r="37021">
      <c r="A37021" s="4" t="s">
        <v>46566</v>
      </c>
      <c r="B37021" s="4" t="s">
        <v>46567</v>
      </c>
      <c r="C37021" s="5" t="str">
        <f>IFERROR(__xludf.DUMMYFUNCTION("GOOGLETRANSLATE(B37021,""en"",""it"")"),"Una signora parla alla telecamera.")</f>
        <v>Una signora parla alla telecamera.</v>
      </c>
    </row>
    <row r="37022">
      <c r="A37022" s="4" t="s">
        <v>46566</v>
      </c>
      <c r="B37022" s="4" t="s">
        <v>46568</v>
      </c>
      <c r="C37022" s="5" t="str">
        <f>IFERROR(__xludf.DUMMYFUNCTION("GOOGLETRANSLATE(B37022,""en"",""it"")"),"Vediamo la bottiglia da ladra di Hamel e un cotone e parlano.")</f>
        <v>Vediamo la bottiglia da ladra di Hamel e un cotone e parlano.</v>
      </c>
    </row>
    <row r="37023">
      <c r="A37023" s="4" t="s">
        <v>46566</v>
      </c>
      <c r="B37023" s="4" t="s">
        <v>46569</v>
      </c>
      <c r="C37023" s="5" t="str">
        <f>IFERROR(__xludf.DUMMYFUNCTION("GOOGLETRANSLATE(B37023,""en"",""it"")"),"La signora regge una bottiglia di lozione.")</f>
        <v>La signora regge una bottiglia di lozione.</v>
      </c>
    </row>
    <row r="37024">
      <c r="A37024" s="4" t="s">
        <v>46566</v>
      </c>
      <c r="B37024" s="4" t="s">
        <v>46570</v>
      </c>
      <c r="C37024" s="5" t="str">
        <f>IFERROR(__xludf.DUMMYFUNCTION("GOOGLETRANSLATE(B37024,""en"",""it"")"),"Vediamo che la signora si metta la lozione sul viso e poi tiene una bottiglia di siero che le si mette sul viso.")</f>
        <v>Vediamo che la signora si metta la lozione sul viso e poi tiene una bottiglia di siero che le si mette sul viso.</v>
      </c>
    </row>
    <row r="37025">
      <c r="A37025" s="4" t="s">
        <v>46566</v>
      </c>
      <c r="B37025" s="4" t="s">
        <v>46571</v>
      </c>
      <c r="C37025" s="5" t="str">
        <f>IFERROR(__xludf.DUMMYFUNCTION("GOOGLETRANSLATE(B37025,""en"",""it"")"),"Vediamo la signora con il trucco per parlare con la telecamera.")</f>
        <v>Vediamo la signora con il trucco per parlare con la telecamera.</v>
      </c>
    </row>
    <row r="37026">
      <c r="A37026" s="4" t="s">
        <v>46572</v>
      </c>
      <c r="B37026" s="4" t="s">
        <v>46573</v>
      </c>
      <c r="C37026" s="5" t="str">
        <f>IFERROR(__xludf.DUMMYFUNCTION("GOOGLETRANSLATE(B37026,""en"",""it"")"),"1 Un uomo della telecamera guarda gli uomini in bici che stanno per correre.")</f>
        <v>1 Un uomo della telecamera guarda gli uomini in bici che stanno per correre.</v>
      </c>
    </row>
    <row r="37027">
      <c r="A37027" s="4" t="s">
        <v>46572</v>
      </c>
      <c r="B37027" s="4" t="s">
        <v>46574</v>
      </c>
      <c r="C37027" s="5" t="str">
        <f>IFERROR(__xludf.DUMMYFUNCTION("GOOGLETRANSLATE(B37027,""en"",""it"")"),"2 La gara inizia con i ragazzi in bici.")</f>
        <v>2 La gara inizia con i ragazzi in bici.</v>
      </c>
    </row>
    <row r="37028">
      <c r="A37028" s="4" t="s">
        <v>46572</v>
      </c>
      <c r="B37028" s="4" t="s">
        <v>46575</v>
      </c>
      <c r="C37028" s="5" t="str">
        <f>IFERROR(__xludf.DUMMYFUNCTION("GOOGLETRANSLATE(B37028,""en"",""it"")"),"3 Un uomo spazza via.")</f>
        <v>3 Un uomo spazza via.</v>
      </c>
    </row>
    <row r="37029">
      <c r="A37029" s="4" t="s">
        <v>46572</v>
      </c>
      <c r="B37029" s="4" t="s">
        <v>46576</v>
      </c>
      <c r="C37029" s="5" t="str">
        <f>IFERROR(__xludf.DUMMYFUNCTION("GOOGLETRANSLATE(B37029,""en"",""it"")"),"4 La gara finisce e i ragazzi prendono le loro bici.")</f>
        <v>4 La gara finisce e i ragazzi prendono le loro bici.</v>
      </c>
    </row>
    <row r="37030">
      <c r="A37030" s="4" t="s">
        <v>46577</v>
      </c>
      <c r="B37030" s="6" t="s">
        <v>46578</v>
      </c>
      <c r="C37030" s="5" t="str">
        <f>IFERROR(__xludf.DUMMYFUNCTION("GOOGLETRANSLATE(B37030,""en"",""it"")"),"Un uomo sta guidando una barca, quindi due uomini sono seduti sul lato della barca, l'uomo con giubbotto di salvataggio nero è sul lato della barca, quindi lascia andare dalla barca, quindi iniziano a svegliarsi mentre si aggrappa al cablaggio .")</f>
        <v>Un uomo sta guidando una barca, quindi due uomini sono seduti sul lato della barca, l'uomo con giubbotto di salvataggio nero è sul lato della barca, quindi lascia andare dalla barca, quindi iniziano a svegliarsi mentre si aggrappa al cablaggio .</v>
      </c>
    </row>
    <row r="37031">
      <c r="A37031" s="4" t="s">
        <v>46577</v>
      </c>
      <c r="B37031" s="4" t="s">
        <v>46579</v>
      </c>
      <c r="C37031" s="5" t="str">
        <f>IFERROR(__xludf.DUMMYFUNCTION("GOOGLETRANSLATE(B37031,""en"",""it"")"),"L'uomo continua a svegliarsi, si è capovolto e poi sveglia sull'acqua.")</f>
        <v>L'uomo continua a svegliarsi, si è capovolto e poi sveglia sull'acqua.</v>
      </c>
    </row>
    <row r="37032">
      <c r="A37032" s="4" t="s">
        <v>46580</v>
      </c>
      <c r="B37032" s="4" t="s">
        <v>46581</v>
      </c>
      <c r="C37032" s="5" t="str">
        <f>IFERROR(__xludf.DUMMYFUNCTION("GOOGLETRANSLATE(B37032,""en"",""it"")"),"Vediamo una schermata di istruzione di apertura.")</f>
        <v>Vediamo una schermata di istruzione di apertura.</v>
      </c>
    </row>
    <row r="37033">
      <c r="A37033" s="4" t="s">
        <v>46580</v>
      </c>
      <c r="B37033" s="4" t="s">
        <v>46582</v>
      </c>
      <c r="C37033" s="5" t="str">
        <f>IFERROR(__xludf.DUMMYFUNCTION("GOOGLETRANSLATE(B37033,""en"",""it"")"),"Vediamo una persona che tiene una lente a contatto.")</f>
        <v>Vediamo una persona che tiene una lente a contatto.</v>
      </c>
    </row>
    <row r="37034">
      <c r="A37034" s="4" t="s">
        <v>46580</v>
      </c>
      <c r="B37034" s="4" t="s">
        <v>46583</v>
      </c>
      <c r="C37034" s="5" t="str">
        <f>IFERROR(__xludf.DUMMYFUNCTION("GOOGLETRANSLATE(B37034,""en"",""it"")"),"Vediamo un'altra schermata di istruzioni e vediamo che la persona inserisce l'obiettivo a sinistra.")</f>
        <v>Vediamo un'altra schermata di istruzioni e vediamo che la persona inserisce l'obiettivo a sinistra.</v>
      </c>
    </row>
    <row r="37035">
      <c r="A37035" s="4" t="s">
        <v>46580</v>
      </c>
      <c r="B37035" s="4" t="s">
        <v>46584</v>
      </c>
      <c r="C37035" s="5" t="str">
        <f>IFERROR(__xludf.DUMMYFUNCTION("GOOGLETRANSLATE(B37035,""en"",""it"")"),"Un'altra schermata di istruzioni e la persona inserisce l'obiettivo giusto.")</f>
        <v>Un'altra schermata di istruzioni e la persona inserisce l'obiettivo giusto.</v>
      </c>
    </row>
    <row r="37036">
      <c r="A37036" s="4" t="s">
        <v>46580</v>
      </c>
      <c r="B37036" s="4" t="s">
        <v>46585</v>
      </c>
      <c r="C37036" s="5" t="str">
        <f>IFERROR(__xludf.DUMMYFUNCTION("GOOGLETRANSLATE(B37036,""en"",""it"")"),"Due serie di istruzioni appaiono e la persona rimuove l'obiettivo sinistro e destro.")</f>
        <v>Due serie di istruzioni appaiono e la persona rimuove l'obiettivo sinistro e destro.</v>
      </c>
    </row>
    <row r="37037">
      <c r="A37037" s="4" t="s">
        <v>46580</v>
      </c>
      <c r="B37037" s="4" t="s">
        <v>46586</v>
      </c>
      <c r="C37037" s="5" t="str">
        <f>IFERROR(__xludf.DUMMYFUNCTION("GOOGLETRANSLATE(B37037,""en"",""it"")"),"La persona saluta la telecamera.")</f>
        <v>La persona saluta la telecamera.</v>
      </c>
    </row>
    <row r="37038">
      <c r="A37038" s="4" t="s">
        <v>46587</v>
      </c>
      <c r="B37038" s="4" t="s">
        <v>46588</v>
      </c>
      <c r="C37038" s="5" t="str">
        <f>IFERROR(__xludf.DUMMYFUNCTION("GOOGLETRANSLATE(B37038,""en"",""it"")"),"Un uomo sta sciare molto velocemente lungo una collina e salta uno per divertimento.")</f>
        <v>Un uomo sta sciare molto velocemente lungo una collina e salta uno per divertimento.</v>
      </c>
    </row>
    <row r="37039">
      <c r="A37039" s="4" t="s">
        <v>46587</v>
      </c>
      <c r="B37039" s="4" t="s">
        <v>46589</v>
      </c>
      <c r="C37039" s="5" t="str">
        <f>IFERROR(__xludf.DUMMYFUNCTION("GOOGLETRANSLATE(B37039,""en"",""it"")"),"Ora sta tornando su per la montagna con difficoltà.")</f>
        <v>Ora sta tornando su per la montagna con difficoltà.</v>
      </c>
    </row>
    <row r="37040">
      <c r="A37040" s="4" t="s">
        <v>46587</v>
      </c>
      <c r="B37040" s="4" t="s">
        <v>46590</v>
      </c>
      <c r="C37040" s="5" t="str">
        <f>IFERROR(__xludf.DUMMYFUNCTION("GOOGLETRANSLATE(B37040,""en"",""it"")"),"Sceli e cammina su varie colline.")</f>
        <v>Sceli e cammina su varie colline.</v>
      </c>
    </row>
    <row r="37041">
      <c r="A37041" s="4" t="s">
        <v>46587</v>
      </c>
      <c r="B37041" s="4" t="s">
        <v>46591</v>
      </c>
      <c r="C37041" s="5" t="str">
        <f>IFERROR(__xludf.DUMMYFUNCTION("GOOGLETRANSLATE(B37041,""en"",""it"")"),"Skiis lungo una collina piuttosto grande o una montagna.")</f>
        <v>Skiis lungo una collina piuttosto grande o una montagna.</v>
      </c>
    </row>
    <row r="37042">
      <c r="A37042" s="4" t="s">
        <v>46587</v>
      </c>
      <c r="B37042" s="4" t="s">
        <v>46592</v>
      </c>
      <c r="C37042" s="5" t="str">
        <f>IFERROR(__xludf.DUMMYFUNCTION("GOOGLETRANSLATE(B37042,""en"",""it"")"),"Salta da una collina e cerca di fare un 360 ma cade.")</f>
        <v>Salta da una collina e cerca di fare un 360 ma cade.</v>
      </c>
    </row>
    <row r="37043">
      <c r="A37043" s="4" t="s">
        <v>46587</v>
      </c>
      <c r="B37043" s="4" t="s">
        <v>46593</v>
      </c>
      <c r="C37043" s="5" t="str">
        <f>IFERROR(__xludf.DUMMYFUNCTION("GOOGLETRANSLATE(B37043,""en"",""it"")"),"Sceli tra alcuni alberi e su un sentiero.")</f>
        <v>Sceli tra alcuni alberi e su un sentiero.</v>
      </c>
    </row>
    <row r="37044">
      <c r="A37044" s="4" t="s">
        <v>46594</v>
      </c>
      <c r="B37044" s="4" t="s">
        <v>46595</v>
      </c>
      <c r="C37044" s="5" t="str">
        <f>IFERROR(__xludf.DUMMYFUNCTION("GOOGLETRANSLATE(B37044,""en"",""it"")"),"Una partita di tennis professionale viene giocata durante un torneo.")</f>
        <v>Una partita di tennis professionale viene giocata durante un torneo.</v>
      </c>
    </row>
    <row r="37045">
      <c r="A37045" s="4" t="s">
        <v>46594</v>
      </c>
      <c r="B37045" s="4" t="s">
        <v>46596</v>
      </c>
      <c r="C37045" s="5" t="str">
        <f>IFERROR(__xludf.DUMMYFUNCTION("GOOGLETRANSLATE(B37045,""en"",""it"")"),"I giocatori parlano sulle cuffie durante la partita.")</f>
        <v>I giocatori parlano sulle cuffie durante la partita.</v>
      </c>
    </row>
    <row r="37046">
      <c r="A37046" s="4" t="s">
        <v>46594</v>
      </c>
      <c r="B37046" s="4" t="s">
        <v>46597</v>
      </c>
      <c r="C37046" s="5" t="str">
        <f>IFERROR(__xludf.DUMMYFUNCTION("GOOGLETRANSLATE(B37046,""en"",""it"")"),"Un uomo si prepara a servire la palla per iniziare la partita.")</f>
        <v>Un uomo si prepara a servire la palla per iniziare la partita.</v>
      </c>
    </row>
    <row r="37047">
      <c r="A37047" s="4" t="s">
        <v>46594</v>
      </c>
      <c r="B37047" s="4" t="s">
        <v>46598</v>
      </c>
      <c r="C37047" s="5" t="str">
        <f>IFERROR(__xludf.DUMMYFUNCTION("GOOGLETRANSLATE(B37047,""en"",""it"")"),"L'uomo serve la palla e segna un punto.")</f>
        <v>L'uomo serve la palla e segna un punto.</v>
      </c>
    </row>
    <row r="37048">
      <c r="A37048" s="4" t="s">
        <v>46594</v>
      </c>
      <c r="B37048" s="4" t="s">
        <v>46599</v>
      </c>
      <c r="C37048" s="5" t="str">
        <f>IFERROR(__xludf.DUMMYFUNCTION("GOOGLETRANSLATE(B37048,""en"",""it"")"),"La squadra avversaria ha una svolta per servire la palla.")</f>
        <v>La squadra avversaria ha una svolta per servire la palla.</v>
      </c>
    </row>
    <row r="37049">
      <c r="A37049" s="4" t="s">
        <v>46600</v>
      </c>
      <c r="B37049" s="4" t="s">
        <v>46601</v>
      </c>
      <c r="C37049" s="5" t="str">
        <f>IFERROR(__xludf.DUMMYFUNCTION("GOOGLETRANSLATE(B37049,""en"",""it"")"),"Un uomo sta lavorando fuori da una casa.")</f>
        <v>Un uomo sta lavorando fuori da una casa.</v>
      </c>
    </row>
    <row r="37050">
      <c r="A37050" s="4" t="s">
        <v>46600</v>
      </c>
      <c r="B37050" s="4" t="s">
        <v>46602</v>
      </c>
      <c r="C37050" s="5" t="str">
        <f>IFERROR(__xludf.DUMMYFUNCTION("GOOGLETRANSLATE(B37050,""en"",""it"")"),"Usa un martello e un morsetto sulle tegole.")</f>
        <v>Usa un martello e un morsetto sulle tegole.</v>
      </c>
    </row>
    <row r="37051">
      <c r="A37051" s="4" t="s">
        <v>46600</v>
      </c>
      <c r="B37051" s="4" t="s">
        <v>46603</v>
      </c>
      <c r="C37051" s="5" t="str">
        <f>IFERROR(__xludf.DUMMYFUNCTION("GOOGLETRANSLATE(B37051,""en"",""it"")"),"Busta ogni Sant'Antonio dalla casa con il martello.")</f>
        <v>Busta ogni Sant'Antonio dalla casa con il martello.</v>
      </c>
    </row>
    <row r="37052">
      <c r="A37052" s="4" t="s">
        <v>46604</v>
      </c>
      <c r="B37052" s="4" t="s">
        <v>46605</v>
      </c>
      <c r="C37052" s="5" t="str">
        <f>IFERROR(__xludf.DUMMYFUNCTION("GOOGLETRANSLATE(B37052,""en"",""it"")"),"Prima questa ragazza fa una curva sul retro e poi un'altra ragazza fa una passeggiata sul retro.")</f>
        <v>Prima questa ragazza fa una curva sul retro e poi un'altra ragazza fa una passeggiata sul retro.</v>
      </c>
    </row>
    <row r="37053">
      <c r="A37053" s="4" t="s">
        <v>46604</v>
      </c>
      <c r="B37053" s="4" t="s">
        <v>46606</v>
      </c>
      <c r="C37053" s="5" t="str">
        <f>IFERROR(__xludf.DUMMYFUNCTION("GOOGLETRANSLATE(B37053,""en"",""it"")"),"Quindi qualcun altro fa una ruota di carrello e quella stessa persona fa un arrotonda.")</f>
        <v>Quindi qualcun altro fa una ruota di carrello e quella stessa persona fa un arrotonda.</v>
      </c>
    </row>
    <row r="37054">
      <c r="A37054" s="4" t="s">
        <v>46604</v>
      </c>
      <c r="B37054" s="6" t="s">
        <v>46607</v>
      </c>
      <c r="C37054" s="5" t="str">
        <f>IFERROR(__xludf.DUMMYFUNCTION("GOOGLETRANSLATE(B37054,""en"",""it"")"),"Successivamente qualcuno fa una passeggiata frontale e un'altra ragazza fa una molla posteriore in piedi insieme ad altre persone che stanno facendo mosse di ginnastica.")</f>
        <v>Successivamente qualcuno fa una passeggiata frontale e un'altra ragazza fa una molla posteriore in piedi insieme ad altre persone che stanno facendo mosse di ginnastica.</v>
      </c>
    </row>
    <row r="37055">
      <c r="A37055" s="4" t="s">
        <v>46608</v>
      </c>
      <c r="B37055" s="6" t="s">
        <v>46609</v>
      </c>
      <c r="C37055" s="5" t="str">
        <f>IFERROR(__xludf.DUMMYFUNCTION("GOOGLETRANSLATE(B37055,""en"",""it"")"),"Un uomo che indossa una borsa si vede parlare alla telecamera e conduce in un gruppo di persone che cavalcano in una zattera.")</f>
        <v>Un uomo che indossa una borsa si vede parlare alla telecamera e conduce in un gruppo di persone che cavalcano in una zattera.</v>
      </c>
    </row>
    <row r="37056">
      <c r="A37056" s="4" t="s">
        <v>46608</v>
      </c>
      <c r="B37056" s="6" t="s">
        <v>46610</v>
      </c>
      <c r="C37056" s="5" t="str">
        <f>IFERROR(__xludf.DUMMYFUNCTION("GOOGLETRANSLATE(B37056,""en"",""it"")"),"Una persona paga e gira il terreno, riportando di nuovo nell'uomo che parla alla telecamera.")</f>
        <v>Una persona paga e gira il terreno, riportando di nuovo nell'uomo che parla alla telecamera.</v>
      </c>
    </row>
    <row r="37057">
      <c r="A37057" s="4" t="s">
        <v>46611</v>
      </c>
      <c r="B37057" s="4" t="s">
        <v>46612</v>
      </c>
      <c r="C37057" s="5" t="str">
        <f>IFERROR(__xludf.DUMMYFUNCTION("GOOGLETRANSLATE(B37057,""en"",""it"")"),"Un gruppo di batteristi vestiti con tutti gli abiti bianchi eseguono una canzone.")</f>
        <v>Un gruppo di batteristi vestiti con tutti gli abiti bianchi eseguono una canzone.</v>
      </c>
    </row>
    <row r="37058">
      <c r="A37058" s="4" t="s">
        <v>46611</v>
      </c>
      <c r="B37058" s="4" t="s">
        <v>46613</v>
      </c>
      <c r="C37058" s="5" t="str">
        <f>IFERROR(__xludf.DUMMYFUNCTION("GOOGLETRANSLATE(B37058,""en"",""it"")"),"Un istruttore si trova di fronte al gruppo che dà istruzioni.")</f>
        <v>Un istruttore si trova di fronte al gruppo che dà istruzioni.</v>
      </c>
    </row>
    <row r="37059">
      <c r="A37059" s="4" t="s">
        <v>46614</v>
      </c>
      <c r="B37059" s="4" t="s">
        <v>46615</v>
      </c>
      <c r="C37059" s="5" t="str">
        <f>IFERROR(__xludf.DUMMYFUNCTION("GOOGLETRANSLATE(B37059,""en"",""it"")"),"L'uomo è seduto in un Ofice a parlare con la telecamera.")</f>
        <v>L'uomo è seduto in un Ofice a parlare con la telecamera.</v>
      </c>
    </row>
    <row r="37060">
      <c r="A37060" s="4" t="s">
        <v>46614</v>
      </c>
      <c r="B37060" s="4" t="s">
        <v>46616</v>
      </c>
      <c r="C37060" s="5" t="str">
        <f>IFERROR(__xludf.DUMMYFUNCTION("GOOGLETRANSLATE(B37060,""en"",""it"")"),"Un tatuaggio è mostrato in una parte posteriore di un uomo e l'uomo lo sta tatuando.")</f>
        <v>Un tatuaggio è mostrato in una parte posteriore di un uomo e l'uomo lo sta tatuando.</v>
      </c>
    </row>
    <row r="37061">
      <c r="A37061" s="4" t="s">
        <v>46614</v>
      </c>
      <c r="B37061" s="4" t="s">
        <v>46617</v>
      </c>
      <c r="C37061" s="5" t="str">
        <f>IFERROR(__xludf.DUMMYFUNCTION("GOOGLETRANSLATE(B37061,""en"",""it"")"),"L'uomo è in piedi a non posa senza stare un tatto sulla schiena.")</f>
        <v>L'uomo è in piedi a non posa senza stare un tatto sulla schiena.</v>
      </c>
    </row>
    <row r="37062">
      <c r="A37062" s="4" t="s">
        <v>46618</v>
      </c>
      <c r="B37062" s="4" t="s">
        <v>46619</v>
      </c>
      <c r="C37062" s="5" t="str">
        <f>IFERROR(__xludf.DUMMYFUNCTION("GOOGLETRANSLATE(B37062,""en"",""it"")"),"Un gruppo di bambini sta giocando su un campo.")</f>
        <v>Un gruppo di bambini sta giocando su un campo.</v>
      </c>
    </row>
    <row r="37063">
      <c r="A37063" s="4" t="s">
        <v>46618</v>
      </c>
      <c r="B37063" s="4" t="s">
        <v>46620</v>
      </c>
      <c r="C37063" s="5" t="str">
        <f>IFERROR(__xludf.DUMMYFUNCTION("GOOGLETRANSLATE(B37063,""en"",""it"")"),"Gli allenatori parlano con loro mentre corrono.")</f>
        <v>Gli allenatori parlano con loro mentre corrono.</v>
      </c>
    </row>
    <row r="37064">
      <c r="A37064" s="4" t="s">
        <v>46618</v>
      </c>
      <c r="B37064" s="4" t="s">
        <v>46621</v>
      </c>
      <c r="C37064" s="5" t="str">
        <f>IFERROR(__xludf.DUMMYFUNCTION("GOOGLETRANSLATE(B37064,""en"",""it"")"),"Si impegnano insieme in un gioco di lacrosse.")</f>
        <v>Si impegnano insieme in un gioco di lacrosse.</v>
      </c>
    </row>
    <row r="37065">
      <c r="A37065" s="4" t="s">
        <v>46622</v>
      </c>
      <c r="B37065" s="6" t="s">
        <v>46623</v>
      </c>
      <c r="C37065" s="5" t="str">
        <f>IFERROR(__xludf.DUMMYFUNCTION("GOOGLETRANSLATE(B37065,""en"",""it"")"),"Un folto gruppo di persone è visto in piedi sul ghiaccio seguito da vari scatti di strumenti di arricciatura e persone che praticano questo sport.")</f>
        <v>Un folto gruppo di persone è visto in piedi sul ghiaccio seguito da vari scatti di strumenti di arricciatura e persone che praticano questo sport.</v>
      </c>
    </row>
    <row r="37066">
      <c r="A37066" s="4" t="s">
        <v>46622</v>
      </c>
      <c r="B37066" s="4" t="s">
        <v>46624</v>
      </c>
      <c r="C37066" s="5" t="str">
        <f>IFERROR(__xludf.DUMMYFUNCTION("GOOGLETRANSLATE(B37066,""en"",""it"")"),"Un uomo viene visto mettere le scarpe, camminare lungo il ghiaccio mentre un altro lo aiuta a camminare.")</f>
        <v>Un uomo viene visto mettere le scarpe, camminare lungo il ghiaccio mentre un altro lo aiuta a camminare.</v>
      </c>
    </row>
    <row r="37067">
      <c r="A37067" s="4" t="s">
        <v>46622</v>
      </c>
      <c r="B37067" s="6" t="s">
        <v>46625</v>
      </c>
      <c r="C37067" s="5" t="str">
        <f>IFERROR(__xludf.DUMMYFUNCTION("GOOGLETRANSLATE(B37067,""en"",""it"")"),"Gli uomini continuano a insegnargli come scivolare lungo il ghiaccio e usare il pennello per spostare il disco.")</f>
        <v>Gli uomini continuano a insegnargli come scivolare lungo il ghiaccio e usare il pennello per spostare il disco.</v>
      </c>
    </row>
    <row r="37068">
      <c r="A37068" s="4" t="s">
        <v>46626</v>
      </c>
      <c r="B37068" s="4" t="s">
        <v>46627</v>
      </c>
      <c r="C37068" s="5" t="str">
        <f>IFERROR(__xludf.DUMMYFUNCTION("GOOGLETRANSLATE(B37068,""en"",""it"")"),"Un gruppo di uomini si trova in un deserto sabbioso.")</f>
        <v>Un gruppo di uomini si trova in un deserto sabbioso.</v>
      </c>
    </row>
    <row r="37069">
      <c r="A37069" s="4" t="s">
        <v>46626</v>
      </c>
      <c r="B37069" s="4" t="s">
        <v>46628</v>
      </c>
      <c r="C37069" s="5" t="str">
        <f>IFERROR(__xludf.DUMMYFUNCTION("GOOGLETRANSLATE(B37069,""en"",""it"")"),"Si arrampicano sopra i cammelli e li cavalcano.")</f>
        <v>Si arrampicano sopra i cammelli e li cavalcano.</v>
      </c>
    </row>
    <row r="37070">
      <c r="A37070" s="4" t="s">
        <v>46626</v>
      </c>
      <c r="B37070" s="4" t="s">
        <v>46629</v>
      </c>
      <c r="C37070" s="5" t="str">
        <f>IFERROR(__xludf.DUMMYFUNCTION("GOOGLETRANSLATE(B37070,""en"",""it"")"),"Sceglieranno i cammelli verso una serie di piramidi.")</f>
        <v>Sceglieranno i cammelli verso una serie di piramidi.</v>
      </c>
    </row>
    <row r="37071">
      <c r="A37071" s="4" t="s">
        <v>46630</v>
      </c>
      <c r="B37071" s="4" t="s">
        <v>46631</v>
      </c>
      <c r="C37071" s="5" t="str">
        <f>IFERROR(__xludf.DUMMYFUNCTION("GOOGLETRANSLATE(B37071,""en"",""it"")"),"Vediamo uno schermo del titolo svanire dentro e fuori.")</f>
        <v>Vediamo uno schermo del titolo svanire dentro e fuori.</v>
      </c>
    </row>
    <row r="37072">
      <c r="A37072" s="4" t="s">
        <v>46630</v>
      </c>
      <c r="B37072" s="4" t="s">
        <v>46632</v>
      </c>
      <c r="C37072" s="5" t="str">
        <f>IFERROR(__xludf.DUMMYFUNCTION("GOOGLETRANSLATE(B37072,""en"",""it"")"),"Un uomo e un cane camminano in una sala di addestramento.")</f>
        <v>Un uomo e un cane camminano in una sala di addestramento.</v>
      </c>
    </row>
    <row r="37073">
      <c r="A37073" s="4" t="s">
        <v>46630</v>
      </c>
      <c r="B37073" s="4" t="s">
        <v>46633</v>
      </c>
      <c r="C37073" s="5" t="str">
        <f>IFERROR(__xludf.DUMMYFUNCTION("GOOGLETRANSLATE(B37073,""en"",""it"")"),"L'uomo lancia frisbees per il cane da catturare.")</f>
        <v>L'uomo lancia frisbees per il cane da catturare.</v>
      </c>
    </row>
    <row r="37074">
      <c r="A37074" s="4" t="s">
        <v>46630</v>
      </c>
      <c r="B37074" s="4" t="s">
        <v>46634</v>
      </c>
      <c r="C37074" s="5" t="str">
        <f>IFERROR(__xludf.DUMMYFUNCTION("GOOGLETRANSLATE(B37074,""en"",""it"")"),"Il cane sta per catturare il frisbee che si sporge sull'uomo.")</f>
        <v>Il cane sta per catturare il frisbee che si sporge sull'uomo.</v>
      </c>
    </row>
    <row r="37075">
      <c r="A37075" s="4" t="s">
        <v>46630</v>
      </c>
      <c r="B37075" s="4" t="s">
        <v>46635</v>
      </c>
      <c r="C37075" s="5" t="str">
        <f>IFERROR(__xludf.DUMMYFUNCTION("GOOGLETRANSLATE(B37075,""en"",""it"")"),"Il cane salta tra le braccia dell'uomo.")</f>
        <v>Il cane salta tra le braccia dell'uomo.</v>
      </c>
    </row>
    <row r="37076">
      <c r="A37076" s="4" t="s">
        <v>46630</v>
      </c>
      <c r="B37076" s="4" t="s">
        <v>777</v>
      </c>
      <c r="C37076" s="5" t="str">
        <f>IFERROR(__xludf.DUMMYFUNCTION("GOOGLETRANSLATE(B37076,""en"",""it"")"),"Vediamo la schermata del titolo finale.")</f>
        <v>Vediamo la schermata del titolo finale.</v>
      </c>
    </row>
    <row r="37077">
      <c r="A37077" s="4" t="s">
        <v>46636</v>
      </c>
      <c r="B37077" s="4" t="s">
        <v>46637</v>
      </c>
      <c r="C37077" s="5" t="str">
        <f>IFERROR(__xludf.DUMMYFUNCTION("GOOGLETRANSLATE(B37077,""en"",""it"")"),"Un tavolo di vari frutti tagliati appare sullo schermo con il titolo ""Making Drinks"".")</f>
        <v>Un tavolo di vari frutti tagliati appare sullo schermo con il titolo "Making Drinks".</v>
      </c>
    </row>
    <row r="37078">
      <c r="A37078" s="4" t="s">
        <v>46636</v>
      </c>
      <c r="B37078" s="4" t="s">
        <v>46638</v>
      </c>
      <c r="C37078" s="5" t="str">
        <f>IFERROR(__xludf.DUMMYFUNCTION("GOOGLETRANSLATE(B37078,""en"",""it"")"),"Una persona taglia e stringe i limoni seguiti dal titolo ""Making Lemonade è facile e divertente"".")</f>
        <v>Una persona taglia e stringe i limoni seguiti dal titolo "Making Lemonade è facile e divertente".</v>
      </c>
    </row>
    <row r="37079">
      <c r="A37079" s="4" t="s">
        <v>46636</v>
      </c>
      <c r="B37079" s="4" t="s">
        <v>46639</v>
      </c>
      <c r="C37079" s="5" t="str">
        <f>IFERROR(__xludf.DUMMYFUNCTION("GOOGLETRANSLATE(B37079,""en"",""it"")"),"Vengono visualizzati diversi articoli necessari per la limonata e intitolati da interviste.")</f>
        <v>Vengono visualizzati diversi articoli necessari per la limonata e intitolati da interviste.</v>
      </c>
    </row>
    <row r="37080">
      <c r="A37080" s="4" t="s">
        <v>46636</v>
      </c>
      <c r="B37080" s="4" t="s">
        <v>46640</v>
      </c>
      <c r="C37080" s="5" t="str">
        <f>IFERROR(__xludf.DUMMYFUNCTION("GOOGLETRANSLATE(B37080,""en"",""it"")"),"Ogni fase di preparare la limonata viene mostrato e intitolato.")</f>
        <v>Ogni fase di preparare la limonata viene mostrato e intitolato.</v>
      </c>
    </row>
    <row r="37081">
      <c r="A37081" s="4" t="s">
        <v>46636</v>
      </c>
      <c r="B37081" s="4" t="s">
        <v>46641</v>
      </c>
      <c r="C37081" s="5" t="str">
        <f>IFERROR(__xludf.DUMMYFUNCTION("GOOGLETRANSLATE(B37081,""en"",""it"")"),"Le persone vengono intervistate bere la limonata.")</f>
        <v>Le persone vengono intervistate bere la limonata.</v>
      </c>
    </row>
    <row r="37082">
      <c r="A37082" s="4" t="s">
        <v>46636</v>
      </c>
      <c r="B37082" s="4" t="s">
        <v>46642</v>
      </c>
      <c r="C37082" s="5" t="str">
        <f>IFERROR(__xludf.DUMMYFUNCTION("GOOGLETRANSLATE(B37082,""en"",""it"")"),"Un logo ""Citrus Saturday"" appare con vari loghi dell'organizzazione di supporto sottostante.")</f>
        <v>Un logo "Citrus Saturday" appare con vari loghi dell'organizzazione di supporto sottostante.</v>
      </c>
    </row>
    <row r="37083">
      <c r="A37083" s="4" t="s">
        <v>46643</v>
      </c>
      <c r="B37083" s="6" t="s">
        <v>46644</v>
      </c>
      <c r="C37083" s="5" t="str">
        <f>IFERROR(__xludf.DUMMYFUNCTION("GOOGLETRANSLATE(B37083,""en"",""it"")"),"Appare un'introduzione che mostra occhiali vuoti, una carta che dice ""Audi Polo Challenge 2014"", una bandiera Audi che soffia nel vento, colpi ravvicinati di un cavallo bianco, persone con bevande, macchine che guidano, cavalieri Polo che si mettono sui"&amp;" loro cavalli e un Un grande gruppo di persone vicino e in una tenda sia in piedi che seduto.")</f>
        <v>Appare un'introduzione che mostra occhiali vuoti, una carta che dice "Audi Polo Challenge 2014", una bandiera Audi che soffia nel vento, colpi ravvicinati di un cavallo bianco, persone con bevande, macchine che guidano, cavalieri Polo che si mettono sui loro cavalli e un Un grande gruppo di persone vicino e in una tenda sia in piedi che seduto.</v>
      </c>
    </row>
    <row r="37084">
      <c r="A37084" s="4" t="s">
        <v>46643</v>
      </c>
      <c r="B37084" s="6" t="s">
        <v>46645</v>
      </c>
      <c r="C37084" s="5" t="str">
        <f>IFERROR(__xludf.DUMMYFUNCTION("GOOGLETRANSLATE(B37084,""en"",""it"")"),"La partita di polo inizia e gli uomini stanno cavalcando le hres che stanno andando molto velocemente mentre tentano di colpire la palla con i loro bastoncini.")</f>
        <v>La partita di polo inizia e gli uomini stanno cavalcando le hres che stanno andando molto velocemente mentre tentano di colpire la palla con i loro bastoncini.</v>
      </c>
    </row>
    <row r="37085">
      <c r="A37085" s="4" t="s">
        <v>46643</v>
      </c>
      <c r="B37085" s="6" t="s">
        <v>46646</v>
      </c>
      <c r="C37085" s="5" t="str">
        <f>IFERROR(__xludf.DUMMYFUNCTION("GOOGLETRANSLATE(B37085,""en"",""it"")"),"Ci sono molte celebrità e persino royalty a questo evento di polo e ogni tanto vengono mostrati, e talvolta vengono anche intervistati.")</f>
        <v>Ci sono molte celebrità e persino royalty a questo evento di polo e ogni tanto vengono mostrati, e talvolta vengono anche intervistati.</v>
      </c>
    </row>
    <row r="37086">
      <c r="A37086" s="4" t="s">
        <v>46643</v>
      </c>
      <c r="B37086" s="6" t="s">
        <v>46647</v>
      </c>
      <c r="C37086" s="5" t="str">
        <f>IFERROR(__xludf.DUMMYFUNCTION("GOOGLETRANSLATE(B37086,""en"",""it"")"),"Tra le partite tra le persone si estendono nell'erba e rimettono le macchie di erba nei buchi che le mancano, e il gioco Polo continua per un altro round.")</f>
        <v>Tra le partite tra le persone si estendono nell'erba e rimettono le macchie di erba nei buchi che le mancano, e il gioco Polo continua per un altro round.</v>
      </c>
    </row>
    <row r="37087">
      <c r="A37087" s="4" t="s">
        <v>46643</v>
      </c>
      <c r="B37087" s="6" t="s">
        <v>46648</v>
      </c>
      <c r="C37087" s="5" t="str">
        <f>IFERROR(__xludf.DUMMYFUNCTION("GOOGLETRANSLATE(B37087,""en"",""it"")"),"La partita di polo termina e il principe Harry e il principe William sono visti ricevere separatamente una scatola bianca da un uomo, mentre parlano e si stringono la mano mentre le persone applaudono e scattano foto.")</f>
        <v>La partita di polo termina e il principe Harry e il principe William sono visti ricevere separatamente una scatola bianca da un uomo, mentre parlano e si stringono la mano mentre le persone applaudono e scattano foto.</v>
      </c>
    </row>
    <row r="37088">
      <c r="A37088" s="4" t="s">
        <v>46649</v>
      </c>
      <c r="B37088" s="4" t="s">
        <v>46650</v>
      </c>
      <c r="C37088" s="5" t="str">
        <f>IFERROR(__xludf.DUMMYFUNCTION("GOOGLETRANSLATE(B37088,""en"",""it"")"),"Le persone sono viste camminare nella foresta che trasportavano tubi e portano in loro seduti in acqua.")</f>
        <v>Le persone sono viste camminare nella foresta che trasportavano tubi e portano in loro seduti in acqua.</v>
      </c>
    </row>
    <row r="37089">
      <c r="A37089" s="4" t="s">
        <v>46649</v>
      </c>
      <c r="B37089" s="4" t="s">
        <v>46651</v>
      </c>
      <c r="C37089" s="5" t="str">
        <f>IFERROR(__xludf.DUMMYFUNCTION("GOOGLETRANSLATE(B37089,""en"",""it"")"),"Più persone si arrampicano in acqua e si siedono in cima ai loro tubi.")</f>
        <v>Più persone si arrampicano in acqua e si siedono in cima ai loro tubi.</v>
      </c>
    </row>
    <row r="37090">
      <c r="A37090" s="4" t="s">
        <v>46649</v>
      </c>
      <c r="B37090" s="4" t="s">
        <v>46652</v>
      </c>
      <c r="C37090" s="5" t="str">
        <f>IFERROR(__xludf.DUMMYFUNCTION("GOOGLETRANSLATE(B37090,""en"",""it"")"),"Si vedono diversi primi piani delle persone che cavalcano i tubi e nuotano nell'acqua.")</f>
        <v>Si vedono diversi primi piani delle persone che cavalcano i tubi e nuotano nell'acqua.</v>
      </c>
    </row>
    <row r="37091">
      <c r="A37091" s="4" t="s">
        <v>46653</v>
      </c>
      <c r="B37091" s="4" t="s">
        <v>46654</v>
      </c>
      <c r="C37091" s="5" t="str">
        <f>IFERROR(__xludf.DUMMYFUNCTION("GOOGLETRANSLATE(B37091,""en"",""it"")"),"Le istruzioni scritte su come makea sdraiate a mano sono nello schermo.")</f>
        <v>Le istruzioni scritte su come makea sdraiate a mano sono nello schermo.</v>
      </c>
    </row>
    <row r="37092">
      <c r="A37092" s="4" t="s">
        <v>46653</v>
      </c>
      <c r="B37092" s="4" t="s">
        <v>46655</v>
      </c>
      <c r="C37092" s="5" t="str">
        <f>IFERROR(__xludf.DUMMYFUNCTION("GOOGLETRANSLATE(B37092,""en"",""it"")"),"L'uomo è in piedi in un campo di cestino che dribbla la palla e fa shos al cestino.")</f>
        <v>L'uomo è in piedi in un campo di cestino che dribbla la palla e fa shos al cestino.</v>
      </c>
    </row>
    <row r="37093">
      <c r="A37093" s="4" t="s">
        <v>46653</v>
      </c>
      <c r="B37093" s="4" t="s">
        <v>46656</v>
      </c>
      <c r="C37093" s="5" t="str">
        <f>IFERROR(__xludf.DUMMYFUNCTION("GOOGLETRANSLATE(B37093,""en"",""it"")"),"Tre giocatori di basket stanno facendo dei colpi e mostrano come fare una tecnica a due passaggi.")</f>
        <v>Tre giocatori di basket stanno facendo dei colpi e mostrano come fare una tecnica a due passaggi.</v>
      </c>
    </row>
    <row r="37094">
      <c r="A37094" s="4" t="s">
        <v>46657</v>
      </c>
      <c r="B37094" s="6" t="s">
        <v>46658</v>
      </c>
      <c r="C37094" s="5" t="str">
        <f>IFERROR(__xludf.DUMMYFUNCTION("GOOGLETRANSLATE(B37094,""en"",""it"")"),"Due bambini vengono visti cavalcare su un camion che si muove lungo una strada e colpi di paesaggi e i bambini seduti in bici.")</f>
        <v>Due bambini vengono visti cavalcare su un camion che si muove lungo una strada e colpi di paesaggi e i bambini seduti in bici.</v>
      </c>
    </row>
    <row r="37095">
      <c r="A37095" s="4" t="s">
        <v>46657</v>
      </c>
      <c r="B37095" s="6" t="s">
        <v>46659</v>
      </c>
      <c r="C37095" s="5" t="str">
        <f>IFERROR(__xludf.DUMMYFUNCTION("GOOGLETRANSLATE(B37095,""en"",""it"")"),"Vengono mostrati diversi scatti dei bambini che cavalcano una pista sporca tra loro mentre la fotocamera li cattura dappertutto.")</f>
        <v>Vengono mostrati diversi scatti dei bambini che cavalcano una pista sporca tra loro mentre la fotocamera li cattura dappertutto.</v>
      </c>
    </row>
    <row r="37096">
      <c r="A37096" s="4" t="s">
        <v>46660</v>
      </c>
      <c r="B37096" s="6" t="s">
        <v>46661</v>
      </c>
      <c r="C37096" s="5" t="str">
        <f>IFERROR(__xludf.DUMMYFUNCTION("GOOGLETRANSLATE(B37096,""en"",""it"")"),"C'è una donna con capelli di colore rosso che indossa una canotta nera e collant neri stampati che pattinano sulle lame a rulli per le strade di una città.")</f>
        <v>C'è una donna con capelli di colore rosso che indossa una canotta nera e collant neri stampati che pattinano sulle lame a rulli per le strade di una città.</v>
      </c>
    </row>
    <row r="37097">
      <c r="A37097" s="4" t="s">
        <v>46660</v>
      </c>
      <c r="B37097" s="4" t="s">
        <v>46662</v>
      </c>
      <c r="C37097" s="5" t="str">
        <f>IFERROR(__xludf.DUMMYFUNCTION("GOOGLETRANSLATE(B37097,""en"",""it"")"),"Le strade non hanno auto ma le persone stanno andando in bicicletta o skateboard.")</f>
        <v>Le strade non hanno auto ma le persone stanno andando in bicicletta o skateboard.</v>
      </c>
    </row>
    <row r="37098">
      <c r="A37098" s="4" t="s">
        <v>46660</v>
      </c>
      <c r="B37098" s="6" t="s">
        <v>46663</v>
      </c>
      <c r="C37098" s="5" t="str">
        <f>IFERROR(__xludf.DUMMYFUNCTION("GOOGLETRANSLATE(B37098,""en"",""it"")"),"La donna pattina rapidamente per le strade affollate mentre passa da diversi turisti che camminano tranquillamente.")</f>
        <v>La donna pattina rapidamente per le strade affollate mentre passa da diversi turisti che camminano tranquillamente.</v>
      </c>
    </row>
    <row r="37099">
      <c r="A37099" s="4" t="s">
        <v>46664</v>
      </c>
      <c r="B37099" s="4" t="s">
        <v>46665</v>
      </c>
      <c r="C37099" s="5" t="str">
        <f>IFERROR(__xludf.DUMMYFUNCTION("GOOGLETRANSLATE(B37099,""en"",""it"")"),"Un uomo vola in aria con una motocicletta.")</f>
        <v>Un uomo vola in aria con una motocicletta.</v>
      </c>
    </row>
    <row r="37100">
      <c r="A37100" s="4" t="s">
        <v>46664</v>
      </c>
      <c r="B37100" s="4" t="s">
        <v>46666</v>
      </c>
      <c r="C37100" s="5" t="str">
        <f>IFERROR(__xludf.DUMMYFUNCTION("GOOGLETRANSLATE(B37100,""en"",""it"")"),"Un uomo crea un circuito di motocross usando una macchina pesante.")</f>
        <v>Un uomo crea un circuito di motocross usando una macchina pesante.</v>
      </c>
    </row>
    <row r="37101">
      <c r="A37101" s="4" t="s">
        <v>46664</v>
      </c>
      <c r="B37101" s="4" t="s">
        <v>46667</v>
      </c>
      <c r="C37101" s="5" t="str">
        <f>IFERROR(__xludf.DUMMYFUNCTION("GOOGLETRANSLATE(B37101,""en"",""it"")"),"La gente gestisce il motocross su una strada accidentata.")</f>
        <v>La gente gestisce il motocross su una strada accidentata.</v>
      </c>
    </row>
    <row r="37102">
      <c r="A37102" s="4" t="s">
        <v>46664</v>
      </c>
      <c r="B37102" s="4" t="s">
        <v>46668</v>
      </c>
      <c r="C37102" s="5" t="str">
        <f>IFERROR(__xludf.DUMMYFUNCTION("GOOGLETRANSLATE(B37102,""en"",""it"")"),"Le persone cavalcano una motocicletta sulle rampe, quindi vola e girano in aria.")</f>
        <v>Le persone cavalcano una motocicletta sulle rampe, quindi vola e girano in aria.</v>
      </c>
    </row>
    <row r="37103">
      <c r="A37103" s="4" t="s">
        <v>46669</v>
      </c>
      <c r="B37103" s="4" t="s">
        <v>46670</v>
      </c>
      <c r="C37103" s="5" t="str">
        <f>IFERROR(__xludf.DUMMYFUNCTION("GOOGLETRANSLATE(B37103,""en"",""it"")"),"Gli uomini camminano in un negozio di biciclette e parlano con l'uomo dentro.")</f>
        <v>Gli uomini camminano in un negozio di biciclette e parlano con l'uomo dentro.</v>
      </c>
    </row>
    <row r="37104">
      <c r="A37104" s="4" t="s">
        <v>46669</v>
      </c>
      <c r="B37104" s="4" t="s">
        <v>46671</v>
      </c>
      <c r="C37104" s="5" t="str">
        <f>IFERROR(__xludf.DUMMYFUNCTION("GOOGLETRANSLATE(B37104,""en"",""it"")"),"Stanno assemblando diversi pezzi della bici.")</f>
        <v>Stanno assemblando diversi pezzi della bici.</v>
      </c>
    </row>
    <row r="37105">
      <c r="A37105" s="4" t="s">
        <v>46669</v>
      </c>
      <c r="B37105" s="6" t="s">
        <v>46672</v>
      </c>
      <c r="C37105" s="5" t="str">
        <f>IFERROR(__xludf.DUMMYFUNCTION("GOOGLETRANSLATE(B37105,""en"",""it"")"),"L'uomo dice addio e lascia il negozio e torna a casa dove l'uomo porta la bici e la mette in salotto.")</f>
        <v>L'uomo dice addio e lascia il negozio e torna a casa dove l'uomo porta la bici e la mette in salotto.</v>
      </c>
    </row>
    <row r="37106">
      <c r="A37106" s="4" t="s">
        <v>46669</v>
      </c>
      <c r="B37106" s="4" t="s">
        <v>46673</v>
      </c>
      <c r="C37106" s="5" t="str">
        <f>IFERROR(__xludf.DUMMYFUNCTION("GOOGLETRANSLATE(B37106,""en"",""it"")"),"L'uomo si sta strappando su carte bianche e sta sistemando la bici sul garage.")</f>
        <v>L'uomo si sta strappando su carte bianche e sta sistemando la bici sul garage.</v>
      </c>
    </row>
    <row r="37107">
      <c r="A37107" s="4" t="s">
        <v>46674</v>
      </c>
      <c r="B37107" s="6" t="s">
        <v>46675</v>
      </c>
      <c r="C37107" s="5" t="str">
        <f>IFERROR(__xludf.DUMMYFUNCTION("GOOGLETRANSLATE(B37107,""en"",""it"")"),"Un gruppo di persone che indossano tappi da bagno si muovono in una piscina e lancia una palla con un uomo sui lati che agita una bandiera.")</f>
        <v>Un gruppo di persone che indossano tappi da bagno si muovono in una piscina e lancia una palla con un uomo sui lati che agita una bandiera.</v>
      </c>
    </row>
    <row r="37108">
      <c r="A37108" s="4" t="s">
        <v>46674</v>
      </c>
      <c r="B37108" s="4" t="s">
        <v>46676</v>
      </c>
      <c r="C37108" s="5" t="str">
        <f>IFERROR(__xludf.DUMMYFUNCTION("GOOGLETRANSLATE(B37108,""en"",""it"")"),"Giocano una partita ad acqua e si lanciano l'uno verso l'altro.")</f>
        <v>Giocano una partita ad acqua e si lanciano l'uno verso l'altro.</v>
      </c>
    </row>
    <row r="37109">
      <c r="A37109" s="4" t="s">
        <v>46674</v>
      </c>
      <c r="B37109" s="4" t="s">
        <v>46677</v>
      </c>
      <c r="C37109" s="5" t="str">
        <f>IFERROR(__xludf.DUMMYFUNCTION("GOOGLETRANSLATE(B37109,""en"",""it"")"),"Uno lancia la palla in rete e fa saltare e tifare le persone sul lato.")</f>
        <v>Uno lancia la palla in rete e fa saltare e tifare le persone sul lato.</v>
      </c>
    </row>
    <row r="37110">
      <c r="A37110" s="4" t="s">
        <v>46674</v>
      </c>
      <c r="B37110" s="4" t="s">
        <v>46678</v>
      </c>
      <c r="C37110" s="5" t="str">
        <f>IFERROR(__xludf.DUMMYFUNCTION("GOOGLETRANSLATE(B37110,""en"",""it"")"),"Un video dell'evento mostra al rallentatore seguito da uomini a margine che guardano.")</f>
        <v>Un video dell'evento mostra al rallentatore seguito da uomini a margine che guardano.</v>
      </c>
    </row>
    <row r="37111">
      <c r="A37111" s="4" t="s">
        <v>46679</v>
      </c>
      <c r="B37111" s="4" t="s">
        <v>46680</v>
      </c>
      <c r="C37111" s="5" t="str">
        <f>IFERROR(__xludf.DUMMYFUNCTION("GOOGLETRANSLATE(B37111,""en"",""it"")"),"Le persone stanno correndo lungo una pista e saltano in una buca della sabbia.")</f>
        <v>Le persone stanno correndo lungo una pista e saltano in una buca della sabbia.</v>
      </c>
    </row>
    <row r="37112">
      <c r="A37112" s="4" t="s">
        <v>46679</v>
      </c>
      <c r="B37112" s="4" t="s">
        <v>46681</v>
      </c>
      <c r="C37112" s="5" t="str">
        <f>IFERROR(__xludf.DUMMYFUNCTION("GOOGLETRANSLATE(B37112,""en"",""it"")"),"Le persone sono in piedi sul lato della pista guardandoli.")</f>
        <v>Le persone sono in piedi sul lato della pista guardandoli.</v>
      </c>
    </row>
    <row r="37113">
      <c r="A37113" s="4" t="s">
        <v>46679</v>
      </c>
      <c r="B37113" s="4" t="s">
        <v>46682</v>
      </c>
      <c r="C37113" s="5" t="str">
        <f>IFERROR(__xludf.DUMMYFUNCTION("GOOGLETRANSLATE(B37113,""en"",""it"")"),"L'uomo sta posando di fronte a un segno.")</f>
        <v>L'uomo sta posando di fronte a un segno.</v>
      </c>
    </row>
    <row r="37114">
      <c r="A37114" s="4" t="s">
        <v>46683</v>
      </c>
      <c r="B37114" s="4" t="s">
        <v>12684</v>
      </c>
      <c r="C37114" s="5" t="str">
        <f>IFERROR(__xludf.DUMMYFUNCTION("GOOGLETRANSLATE(B37114,""en"",""it"")"),"Un uomo cammina su una tavola da immersione.")</f>
        <v>Un uomo cammina su una tavola da immersione.</v>
      </c>
    </row>
    <row r="37115">
      <c r="A37115" s="4" t="s">
        <v>46683</v>
      </c>
      <c r="B37115" s="4" t="s">
        <v>46684</v>
      </c>
      <c r="C37115" s="5" t="str">
        <f>IFERROR(__xludf.DUMMYFUNCTION("GOOGLETRANSLATE(B37115,""en"",""it"")"),"Salta in piscina sotto di lui.")</f>
        <v>Salta in piscina sotto di lui.</v>
      </c>
    </row>
    <row r="37116">
      <c r="A37116" s="4" t="s">
        <v>46683</v>
      </c>
      <c r="B37116" s="4" t="s">
        <v>46685</v>
      </c>
      <c r="C37116" s="5" t="str">
        <f>IFERROR(__xludf.DUMMYFUNCTION("GOOGLETRANSLATE(B37116,""en"",""it"")"),"Un'altra persona si avvicina alla scheda delle immersioni.")</f>
        <v>Un'altra persona si avvicina alla scheda delle immersioni.</v>
      </c>
    </row>
    <row r="37117">
      <c r="A37117" s="4" t="s">
        <v>46686</v>
      </c>
      <c r="B37117" s="6" t="s">
        <v>46687</v>
      </c>
      <c r="C37117" s="5" t="str">
        <f>IFERROR(__xludf.DUMMYFUNCTION("GOOGLETRANSLATE(B37117,""en"",""it"")"),"Due persone vengono viste cavalcare sugli sci mentre parlano tra loro e conducono a cavalcare una collina innevata.")</f>
        <v>Due persone vengono viste cavalcare sugli sci mentre parlano tra loro e conducono a cavalcare una collina innevata.</v>
      </c>
    </row>
    <row r="37118">
      <c r="A37118" s="4" t="s">
        <v>46686</v>
      </c>
      <c r="B37118" s="6" t="s">
        <v>46688</v>
      </c>
      <c r="C37118" s="5" t="str">
        <f>IFERROR(__xludf.DUMMYFUNCTION("GOOGLETRANSLATE(B37118,""en"",""it"")"),"Le persone si spingono continuamente rapidamente lungo una collina che si spostano oltre diverse persone e finendo fermandosi alla fine.")</f>
        <v>Le persone si spingono continuamente rapidamente lungo una collina che si spostano oltre diverse persone e finendo fermandosi alla fine.</v>
      </c>
    </row>
    <row r="37119">
      <c r="A37119" s="4" t="s">
        <v>46689</v>
      </c>
      <c r="B37119" s="4" t="s">
        <v>46690</v>
      </c>
      <c r="C37119" s="5" t="str">
        <f>IFERROR(__xludf.DUMMYFUNCTION("GOOGLETRANSLATE(B37119,""en"",""it"")"),"Un cane cavalca su una barca con i suoi proprietari.")</f>
        <v>Un cane cavalca su una barca con i suoi proprietari.</v>
      </c>
    </row>
    <row r="37120">
      <c r="A37120" s="4" t="s">
        <v>46689</v>
      </c>
      <c r="B37120" s="4" t="s">
        <v>46691</v>
      </c>
      <c r="C37120" s="5" t="str">
        <f>IFERROR(__xludf.DUMMYFUNCTION("GOOGLETRANSLATE(B37120,""en"",""it"")"),"Un granchio si vede strisciando sul fondo di un lago.")</f>
        <v>Un granchio si vede strisciando sul fondo di un lago.</v>
      </c>
    </row>
    <row r="37121">
      <c r="A37121" s="4" t="s">
        <v>46689</v>
      </c>
      <c r="B37121" s="4" t="s">
        <v>46692</v>
      </c>
      <c r="C37121" s="5" t="str">
        <f>IFERROR(__xludf.DUMMYFUNCTION("GOOGLETRANSLATE(B37121,""en"",""it"")"),"La gente d'acqua sciocca dietro una barca su un lago calmo.")</f>
        <v>La gente d'acqua sciocca dietro una barca su un lago calmo.</v>
      </c>
    </row>
    <row r="37122">
      <c r="A37122" s="4" t="s">
        <v>46689</v>
      </c>
      <c r="B37122" s="4" t="s">
        <v>46693</v>
      </c>
      <c r="C37122" s="5" t="str">
        <f>IFERROR(__xludf.DUMMYFUNCTION("GOOGLETRANSLATE(B37122,""en"",""it"")"),"La persona lascia andare la corda del tiro e scivola verso la riva del lago.")</f>
        <v>La persona lascia andare la corda del tiro e scivola verso la riva del lago.</v>
      </c>
    </row>
    <row r="37123">
      <c r="A37123" s="4" t="s">
        <v>46689</v>
      </c>
      <c r="B37123" s="4" t="s">
        <v>46694</v>
      </c>
      <c r="C37123" s="5" t="str">
        <f>IFERROR(__xludf.DUMMYFUNCTION("GOOGLETRANSLATE(B37123,""en"",""it"")"),"Il gruppo prepara una sedia su una slitta con una corda sulla riva.")</f>
        <v>Il gruppo prepara una sedia su una slitta con una corda sulla riva.</v>
      </c>
    </row>
    <row r="37124">
      <c r="A37124" s="4" t="s">
        <v>46689</v>
      </c>
      <c r="B37124" s="4" t="s">
        <v>46695</v>
      </c>
      <c r="C37124" s="5" t="str">
        <f>IFERROR(__xludf.DUMMYFUNCTION("GOOGLETRANSLATE(B37124,""en"",""it"")"),"Un uomo viene tirato su una slitta dalla riva poi sul lago.")</f>
        <v>Un uomo viene tirato su una slitta dalla riva poi sul lago.</v>
      </c>
    </row>
    <row r="37125">
      <c r="A37125" s="4" t="s">
        <v>46689</v>
      </c>
      <c r="B37125" s="4" t="s">
        <v>46696</v>
      </c>
      <c r="C37125" s="5" t="str">
        <f>IFERROR(__xludf.DUMMYFUNCTION("GOOGLETRANSLATE(B37125,""en"",""it"")"),"Il gruppo rimuove la slitta dall'acqua e la solleva per drenare l'acqua.")</f>
        <v>Il gruppo rimuove la slitta dall'acqua e la solleva per drenare l'acqua.</v>
      </c>
    </row>
    <row r="37126">
      <c r="A37126" s="4" t="s">
        <v>46697</v>
      </c>
      <c r="B37126" s="4" t="s">
        <v>46698</v>
      </c>
      <c r="C37126" s="5" t="str">
        <f>IFERROR(__xludf.DUMMYFUNCTION("GOOGLETRANSLATE(B37126,""en"",""it"")"),"Viene mostrato un pavimento di ciclomotore lucido.")</f>
        <v>Viene mostrato un pavimento di ciclomotore lucido.</v>
      </c>
    </row>
    <row r="37127">
      <c r="A37127" s="4" t="s">
        <v>46697</v>
      </c>
      <c r="B37127" s="4" t="s">
        <v>46699</v>
      </c>
      <c r="C37127" s="5" t="str">
        <f>IFERROR(__xludf.DUMMYFUNCTION("GOOGLETRANSLATE(B37127,""en"",""it"")"),"Un bidello viene mostrato tappeti rotolanti, raschiando la gomma, segnali e pavimenti.")</f>
        <v>Un bidello viene mostrato tappeti rotolanti, raschiando la gomma, segnali e pavimenti.</v>
      </c>
    </row>
    <row r="37128">
      <c r="A37128" s="4" t="s">
        <v>46697</v>
      </c>
      <c r="B37128" s="4" t="s">
        <v>46700</v>
      </c>
      <c r="C37128" s="5" t="str">
        <f>IFERROR(__xludf.DUMMYFUNCTION("GOOGLETRANSLATE(B37128,""en"",""it"")"),"Entra in un armadio e sceglie il detergente che usa mentre ne parla.")</f>
        <v>Entra in un armadio e sceglie il detergente che usa mentre ne parla.</v>
      </c>
    </row>
    <row r="37129">
      <c r="A37129" s="4" t="s">
        <v>46697</v>
      </c>
      <c r="B37129" s="4" t="s">
        <v>46701</v>
      </c>
      <c r="C37129" s="5" t="str">
        <f>IFERROR(__xludf.DUMMYFUNCTION("GOOGLETRANSLATE(B37129,""en"",""it"")"),"Spruzza acqua e la soluzione di pulizia nel suo carrello.")</f>
        <v>Spruzza acqua e la soluzione di pulizia nel suo carrello.</v>
      </c>
    </row>
    <row r="37130">
      <c r="A37130" s="4" t="s">
        <v>46697</v>
      </c>
      <c r="B37130" s="4" t="s">
        <v>46702</v>
      </c>
      <c r="C37130" s="5" t="str">
        <f>IFERROR(__xludf.DUMMYFUNCTION("GOOGLETRANSLATE(B37130,""en"",""it"")"),"Viene quindi mostrato di pulire il pavimento con la soluzione.")</f>
        <v>Viene quindi mostrato di pulire il pavimento con la soluzione.</v>
      </c>
    </row>
    <row r="37131">
      <c r="A37131" s="4" t="s">
        <v>46697</v>
      </c>
      <c r="B37131" s="4" t="s">
        <v>46703</v>
      </c>
      <c r="C37131" s="5" t="str">
        <f>IFERROR(__xludf.DUMMYFUNCTION("GOOGLETRANSLATE(B37131,""en"",""it"")"),"Scava tutto e lo mette via prima di lavarsi le mani per la giornata.")</f>
        <v>Scava tutto e lo mette via prima di lavarsi le mani per la giornata.</v>
      </c>
    </row>
    <row r="37132">
      <c r="A37132" s="4" t="s">
        <v>46704</v>
      </c>
      <c r="B37132" s="4" t="s">
        <v>46705</v>
      </c>
      <c r="C37132" s="5" t="str">
        <f>IFERROR(__xludf.DUMMYFUNCTION("GOOGLETRANSLATE(B37132,""en"",""it"")"),"Le donne giocano a hockey indoor e competono.")</f>
        <v>Le donne giocano a hockey indoor e competono.</v>
      </c>
    </row>
    <row r="37133">
      <c r="A37133" s="4" t="s">
        <v>46704</v>
      </c>
      <c r="B37133" s="4" t="s">
        <v>46706</v>
      </c>
      <c r="C37133" s="5" t="str">
        <f>IFERROR(__xludf.DUMMYFUNCTION("GOOGLETRANSLATE(B37133,""en"",""it"")"),"Cominciano a combattere per i dischi gonfiabili.")</f>
        <v>Cominciano a combattere per i dischi gonfiabili.</v>
      </c>
    </row>
    <row r="37134">
      <c r="A37134" s="4" t="s">
        <v>46704</v>
      </c>
      <c r="B37134" s="4" t="s">
        <v>46707</v>
      </c>
      <c r="C37134" s="5" t="str">
        <f>IFERROR(__xludf.DUMMYFUNCTION("GOOGLETRANSLATE(B37134,""en"",""it"")"),"Vengono mostrati parlare con la fotocamera del gioco.")</f>
        <v>Vengono mostrati parlare con la fotocamera del gioco.</v>
      </c>
    </row>
    <row r="37135">
      <c r="A37135" s="4" t="s">
        <v>46704</v>
      </c>
      <c r="B37135" s="4" t="s">
        <v>46708</v>
      </c>
      <c r="C37135" s="5" t="str">
        <f>IFERROR(__xludf.DUMMYFUNCTION("GOOGLETRANSLATE(B37135,""en"",""it"")"),"Le donne vengono nuovamente mostrate giocando a hockey in una competizione tra loro.")</f>
        <v>Le donne vengono nuovamente mostrate giocando a hockey in una competizione tra loro.</v>
      </c>
    </row>
    <row r="37136">
      <c r="A37136" s="4" t="s">
        <v>46704</v>
      </c>
      <c r="B37136" s="4" t="s">
        <v>46709</v>
      </c>
      <c r="C37136" s="5" t="str">
        <f>IFERROR(__xludf.DUMMYFUNCTION("GOOGLETRANSLATE(B37136,""en"",""it"")"),"Viene mostrato un primo piano del disco.")</f>
        <v>Viene mostrato un primo piano del disco.</v>
      </c>
    </row>
    <row r="37137">
      <c r="A37137" s="4" t="s">
        <v>46710</v>
      </c>
      <c r="B37137" s="4" t="s">
        <v>46711</v>
      </c>
      <c r="C37137" s="5" t="str">
        <f>IFERROR(__xludf.DUMMYFUNCTION("GOOGLETRANSLATE(B37137,""en"",""it"")"),"Vengono mostrate diverse viste esterne di un casinò.")</f>
        <v>Vengono mostrate diverse viste esterne di un casinò.</v>
      </c>
    </row>
    <row r="37138">
      <c r="A37138" s="4" t="s">
        <v>46710</v>
      </c>
      <c r="B37138" s="4" t="s">
        <v>46712</v>
      </c>
      <c r="C37138" s="5" t="str">
        <f>IFERROR(__xludf.DUMMYFUNCTION("GOOGLETRANSLATE(B37138,""en"",""it"")"),"I giocatori di carte e il rivenditore a un tavolo sono mostrati in una partita all'interno del casinò.")</f>
        <v>I giocatori di carte e il rivenditore a un tavolo sono mostrati in una partita all'interno del casinò.</v>
      </c>
    </row>
    <row r="37139">
      <c r="A37139" s="4" t="s">
        <v>46710</v>
      </c>
      <c r="B37139" s="4" t="s">
        <v>46713</v>
      </c>
      <c r="C37139" s="5" t="str">
        <f>IFERROR(__xludf.DUMMYFUNCTION("GOOGLETRANSLATE(B37139,""en"",""it"")"),"Il rivenditore tratta le carte per ogni giocatore.")</f>
        <v>Il rivenditore tratta le carte per ogni giocatore.</v>
      </c>
    </row>
    <row r="37140">
      <c r="A37140" s="4" t="s">
        <v>46710</v>
      </c>
      <c r="B37140" s="4" t="s">
        <v>46714</v>
      </c>
      <c r="C37140" s="5" t="str">
        <f>IFERROR(__xludf.DUMMYFUNCTION("GOOGLETRANSLATE(B37140,""en"",""it"")"),"Il commerciante rivela la mano del commerciante.")</f>
        <v>Il commerciante rivela la mano del commerciante.</v>
      </c>
    </row>
    <row r="37141">
      <c r="A37141" s="4" t="s">
        <v>46710</v>
      </c>
      <c r="B37141" s="4" t="s">
        <v>46715</v>
      </c>
      <c r="C37141" s="5" t="str">
        <f>IFERROR(__xludf.DUMMYFUNCTION("GOOGLETRANSLATE(B37141,""en"",""it"")"),"Un uomo parla alla telecamera mentre un altro uomo si trova nelle vicinanze.")</f>
        <v>Un uomo parla alla telecamera mentre un altro uomo si trova nelle vicinanze.</v>
      </c>
    </row>
    <row r="37142">
      <c r="A37142" s="4" t="s">
        <v>46716</v>
      </c>
      <c r="B37142" s="4" t="s">
        <v>46717</v>
      </c>
      <c r="C37142" s="5" t="str">
        <f>IFERROR(__xludf.DUMMYFUNCTION("GOOGLETRANSLATE(B37142,""en"",""it"")"),"Diverse persone sono viste in piedi in un'arena mentre altri stanno per giocare a shuffleboard.")</f>
        <v>Diverse persone sono viste in piedi in un'arena mentre altri stanno per giocare a shuffleboard.</v>
      </c>
    </row>
    <row r="37143">
      <c r="A37143" s="4" t="s">
        <v>46716</v>
      </c>
      <c r="B37143" s="4" t="s">
        <v>46718</v>
      </c>
      <c r="C37143" s="5" t="str">
        <f>IFERROR(__xludf.DUMMYFUNCTION("GOOGLETRANSLATE(B37143,""en"",""it"")"),"Un uomo spinge un disco più volte mentre altri fanno lo stesso dietro di lui.")</f>
        <v>Un uomo spinge un disco più volte mentre altri fanno lo stesso dietro di lui.</v>
      </c>
    </row>
    <row r="37144">
      <c r="A37144" s="4" t="s">
        <v>46716</v>
      </c>
      <c r="B37144" s="4" t="s">
        <v>46719</v>
      </c>
      <c r="C37144" s="5" t="str">
        <f>IFERROR(__xludf.DUMMYFUNCTION("GOOGLETRANSLATE(B37144,""en"",""it"")"),"Le persone continuano a giocare e finire con un uomo che parla alla telecamera alla fine.")</f>
        <v>Le persone continuano a giocare e finire con un uomo che parla alla telecamera alla fine.</v>
      </c>
    </row>
    <row r="37145">
      <c r="A37145" s="4" t="s">
        <v>46720</v>
      </c>
      <c r="B37145" s="4" t="s">
        <v>46721</v>
      </c>
      <c r="C37145" s="5" t="str">
        <f>IFERROR(__xludf.DUMMYFUNCTION("GOOGLETRANSLATE(B37145,""en"",""it"")"),"Una ragazza viene vista sdraiata su un tavolo con un uomo che la perforava l'ombelico sotto di lei.")</f>
        <v>Una ragazza viene vista sdraiata su un tavolo con un uomo che la perforava l'ombelico sotto di lei.</v>
      </c>
    </row>
    <row r="37146">
      <c r="A37146" s="4" t="s">
        <v>46720</v>
      </c>
      <c r="B37146" s="4" t="s">
        <v>46722</v>
      </c>
      <c r="C37146" s="5" t="str">
        <f>IFERROR(__xludf.DUMMYFUNCTION("GOOGLETRANSLATE(B37146,""en"",""it"")"),"La ragazza urla di dolore e l'uomo finisce il piercing mentre guarda alla telecamera.")</f>
        <v>La ragazza urla di dolore e l'uomo finisce il piercing mentre guarda alla telecamera.</v>
      </c>
    </row>
    <row r="37147">
      <c r="A37147" s="4" t="s">
        <v>46723</v>
      </c>
      <c r="B37147" s="4" t="s">
        <v>46724</v>
      </c>
      <c r="C37147" s="5" t="str">
        <f>IFERROR(__xludf.DUMMYFUNCTION("GOOGLETRANSLATE(B37147,""en"",""it"")"),"Vengono mostrate un paio di scarpe Nike bianche e rosse.")</f>
        <v>Vengono mostrate un paio di scarpe Nike bianche e rosse.</v>
      </c>
    </row>
    <row r="37148">
      <c r="A37148" s="4" t="s">
        <v>46723</v>
      </c>
      <c r="B37148" s="4" t="s">
        <v>46725</v>
      </c>
      <c r="C37148" s="5" t="str">
        <f>IFERROR(__xludf.DUMMYFUNCTION("GOOGLETRANSLATE(B37148,""en"",""it"")"),"Un uomo sta usando inserti per preparare le scarpe.")</f>
        <v>Un uomo sta usando inserti per preparare le scarpe.</v>
      </c>
    </row>
    <row r="37149">
      <c r="A37149" s="4" t="s">
        <v>46723</v>
      </c>
      <c r="B37149" s="4" t="s">
        <v>46726</v>
      </c>
      <c r="C37149" s="5" t="str">
        <f>IFERROR(__xludf.DUMMYFUNCTION("GOOGLETRANSLATE(B37149,""en"",""it"")"),"Quindi usa una spazzola e una soluzione di pulizia per lavare le scarpe.")</f>
        <v>Quindi usa una spazzola e una soluzione di pulizia per lavare le scarpe.</v>
      </c>
    </row>
    <row r="37150">
      <c r="A37150" s="4" t="s">
        <v>46727</v>
      </c>
      <c r="B37150" s="4" t="s">
        <v>46728</v>
      </c>
      <c r="C37150" s="5" t="str">
        <f>IFERROR(__xludf.DUMMYFUNCTION("GOOGLETRANSLATE(B37150,""en"",""it"")"),"Vediamo uomini che skateboard vicino a un parcheggio.")</f>
        <v>Vediamo uomini che skateboard vicino a un parcheggio.</v>
      </c>
    </row>
    <row r="37151">
      <c r="A37151" s="4" t="s">
        <v>46727</v>
      </c>
      <c r="B37151" s="4" t="s">
        <v>46729</v>
      </c>
      <c r="C37151" s="5" t="str">
        <f>IFERROR(__xludf.DUMMYFUNCTION("GOOGLETRANSLATE(B37151,""en"",""it"")"),"Vediamo due uomini che parlano tra loro.")</f>
        <v>Vediamo due uomini che parlano tra loro.</v>
      </c>
    </row>
    <row r="37152">
      <c r="A37152" s="4" t="s">
        <v>46727</v>
      </c>
      <c r="B37152" s="4" t="s">
        <v>46730</v>
      </c>
      <c r="C37152" s="5" t="str">
        <f>IFERROR(__xludf.DUMMYFUNCTION("GOOGLETRANSLATE(B37152,""en"",""it"")"),"Vediamo l'uomo in Khakis inciampare e fallire ripetutamente.")</f>
        <v>Vediamo l'uomo in Khakis inciampare e fallire ripetutamente.</v>
      </c>
    </row>
    <row r="37153">
      <c r="A37153" s="4" t="s">
        <v>46727</v>
      </c>
      <c r="B37153" s="4" t="s">
        <v>46731</v>
      </c>
      <c r="C37153" s="5" t="str">
        <f>IFERROR(__xludf.DUMMYFUNCTION("GOOGLETRANSLATE(B37153,""en"",""it"")"),"Vediamo un uomo che tiene un cellulare e parlare con lo skater.")</f>
        <v>Vediamo un uomo che tiene un cellulare e parlare con lo skater.</v>
      </c>
    </row>
    <row r="37154">
      <c r="A37154" s="4" t="s">
        <v>46727</v>
      </c>
      <c r="B37154" s="4" t="s">
        <v>46732</v>
      </c>
      <c r="C37154" s="5" t="str">
        <f>IFERROR(__xludf.DUMMYFUNCTION("GOOGLETRANSLATE(B37154,""en"",""it"")"),"Gli uomini si stringono la mano e il cameraman punta sul pattinatore.")</f>
        <v>Gli uomini si stringono la mano e il cameraman punta sul pattinatore.</v>
      </c>
    </row>
    <row r="37155">
      <c r="A37155" s="4" t="s">
        <v>46727</v>
      </c>
      <c r="B37155" s="4" t="s">
        <v>46733</v>
      </c>
      <c r="C37155" s="5" t="str">
        <f>IFERROR(__xludf.DUMMYFUNCTION("GOOGLETRANSLATE(B37155,""en"",""it"")"),"Vediamo la schermata di iscrizione.")</f>
        <v>Vediamo la schermata di iscrizione.</v>
      </c>
    </row>
    <row r="37156">
      <c r="A37156" s="4" t="s">
        <v>46727</v>
      </c>
      <c r="B37156" s="6" t="s">
        <v>46734</v>
      </c>
      <c r="C37156" s="5" t="str">
        <f>IFERROR(__xludf.DUMMYFUNCTION("GOOGLETRANSLATE(B37156,""en"",""it"")"),"Vediamo le persone che cavalcano e vediamo un uomo cavalcare uno skateboard per bambini rossi e il cameraman lo calcia attraverso il lotto.")</f>
        <v>Vediamo le persone che cavalcano e vediamo un uomo cavalcare uno skateboard per bambini rossi e il cameraman lo calcia attraverso il lotto.</v>
      </c>
    </row>
    <row r="37157">
      <c r="A37157" s="4" t="s">
        <v>46727</v>
      </c>
      <c r="B37157" s="4" t="s">
        <v>4452</v>
      </c>
      <c r="C37157" s="5" t="str">
        <f>IFERROR(__xludf.DUMMYFUNCTION("GOOGLETRANSLATE(B37157,""en"",""it"")"),"Vediamo quindi lo schermo finale.")</f>
        <v>Vediamo quindi lo schermo finale.</v>
      </c>
    </row>
    <row r="37158">
      <c r="A37158" s="4" t="s">
        <v>46735</v>
      </c>
      <c r="B37158" s="4" t="s">
        <v>46736</v>
      </c>
      <c r="C37158" s="5" t="str">
        <f>IFERROR(__xludf.DUMMYFUNCTION("GOOGLETRANSLATE(B37158,""en"",""it"")"),"C'è un uomo che indossa un cappello rosso e una camicia nera si allena e gioca con il suo cane in un parco per cani.")</f>
        <v>C'è un uomo che indossa un cappello rosso e una camicia nera si allena e gioca con il suo cane in un parco per cani.</v>
      </c>
    </row>
    <row r="37159">
      <c r="A37159" s="4" t="s">
        <v>46735</v>
      </c>
      <c r="B37159" s="4" t="s">
        <v>46737</v>
      </c>
      <c r="C37159" s="5" t="str">
        <f>IFERROR(__xludf.DUMMYFUNCTION("GOOGLETRANSLATE(B37159,""en"",""it"")"),"Ci sono molte altre persone in quel parco con i loro cani, seduti sotto i baldacchini.")</f>
        <v>Ci sono molte altre persone in quel parco con i loro cani, seduti sotto i baldacchini.</v>
      </c>
    </row>
    <row r="37160">
      <c r="A37160" s="4" t="s">
        <v>46735</v>
      </c>
      <c r="B37160" s="4" t="s">
        <v>46738</v>
      </c>
      <c r="C37160" s="5" t="str">
        <f>IFERROR(__xludf.DUMMYFUNCTION("GOOGLETRANSLATE(B37160,""en"",""it"")"),"L'uomo sta gettando un frisbee per il cane da prendere.")</f>
        <v>L'uomo sta gettando un frisbee per il cane da prendere.</v>
      </c>
    </row>
    <row r="37161">
      <c r="A37161" s="4" t="s">
        <v>46735</v>
      </c>
      <c r="B37161" s="4" t="s">
        <v>46739</v>
      </c>
      <c r="C37161" s="5" t="str">
        <f>IFERROR(__xludf.DUMMYFUNCTION("GOOGLETRANSLATE(B37161,""en"",""it"")"),"Il cane sta correndo e prendendo il frisbee per il suo proprietario.")</f>
        <v>Il cane sta correndo e prendendo il frisbee per il suo proprietario.</v>
      </c>
    </row>
    <row r="37162">
      <c r="A37162" s="4" t="s">
        <v>46735</v>
      </c>
      <c r="B37162" s="4" t="s">
        <v>46740</v>
      </c>
      <c r="C37162" s="5" t="str">
        <f>IFERROR(__xludf.DUMMYFUNCTION("GOOGLETRANSLATE(B37162,""en"",""it"")"),"Il cane salta in alto per catturare il frisbee.")</f>
        <v>Il cane salta in alto per catturare il frisbee.</v>
      </c>
    </row>
    <row r="37163">
      <c r="A37163" s="4" t="s">
        <v>46735</v>
      </c>
      <c r="B37163" s="4" t="s">
        <v>46741</v>
      </c>
      <c r="C37163" s="5" t="str">
        <f>IFERROR(__xludf.DUMMYFUNCTION("GOOGLETRANSLATE(B37163,""en"",""it"")"),"L'uomo lancia anche una palla al cane per fargli prendere.")</f>
        <v>L'uomo lancia anche una palla al cane per fargli prendere.</v>
      </c>
    </row>
    <row r="37164">
      <c r="A37164" s="4" t="s">
        <v>46735</v>
      </c>
      <c r="B37164" s="4" t="s">
        <v>46742</v>
      </c>
      <c r="C37164" s="5" t="str">
        <f>IFERROR(__xludf.DUMMYFUNCTION("GOOGLETRANSLATE(B37164,""en"",""it"")"),"L'uomo solleva il cane e si allontana.")</f>
        <v>L'uomo solleva il cane e si allontana.</v>
      </c>
    </row>
    <row r="37165">
      <c r="A37165" s="4" t="s">
        <v>46743</v>
      </c>
      <c r="B37165" s="4" t="s">
        <v>46744</v>
      </c>
      <c r="C37165" s="5" t="str">
        <f>IFERROR(__xludf.DUMMYFUNCTION("GOOGLETRANSLATE(B37165,""en"",""it"")"),"Vediamo uno schermo nero e il titolo.")</f>
        <v>Vediamo uno schermo nero e il titolo.</v>
      </c>
    </row>
    <row r="37166">
      <c r="A37166" s="4" t="s">
        <v>46743</v>
      </c>
      <c r="B37166" s="4" t="s">
        <v>46745</v>
      </c>
      <c r="C37166" s="5" t="str">
        <f>IFERROR(__xludf.DUMMYFUNCTION("GOOGLETRANSLATE(B37166,""en"",""it"")"),"Vediamo un ragazzo che si aggrappa a un palo che viene tirato da una barca.")</f>
        <v>Vediamo un ragazzo che si aggrappa a un palo che viene tirato da una barca.</v>
      </c>
    </row>
    <row r="37167">
      <c r="A37167" s="4" t="s">
        <v>46743</v>
      </c>
      <c r="B37167" s="4" t="s">
        <v>46746</v>
      </c>
      <c r="C37167" s="5" t="str">
        <f>IFERROR(__xludf.DUMMYFUNCTION("GOOGLETRANSLATE(B37167,""en"",""it"")"),"Si mette in piedi e gli sci.")</f>
        <v>Si mette in piedi e gli sci.</v>
      </c>
    </row>
    <row r="37168">
      <c r="A37168" s="4" t="s">
        <v>46743</v>
      </c>
      <c r="B37168" s="4" t="s">
        <v>46747</v>
      </c>
      <c r="C37168" s="5" t="str">
        <f>IFERROR(__xludf.DUMMYFUNCTION("GOOGLETRANSLATE(B37168,""en"",""it"")"),"Il ragazzo perde l'equilibrio e cade completamente dal palo.")</f>
        <v>Il ragazzo perde l'equilibrio e cade completamente dal palo.</v>
      </c>
    </row>
    <row r="37169">
      <c r="A37169" s="4" t="s">
        <v>46743</v>
      </c>
      <c r="B37169" s="4" t="s">
        <v>46748</v>
      </c>
      <c r="C37169" s="5" t="str">
        <f>IFERROR(__xludf.DUMMYFUNCTION("GOOGLETRANSLATE(B37169,""en"",""it"")"),"Una ragazza è accanto per aggrapparsi al bar della barca.")</f>
        <v>Una ragazza è accanto per aggrapparsi al bar della barca.</v>
      </c>
    </row>
    <row r="37170">
      <c r="A37170" s="4" t="s">
        <v>46743</v>
      </c>
      <c r="B37170" s="4" t="s">
        <v>46749</v>
      </c>
      <c r="C37170" s="5" t="str">
        <f>IFERROR(__xludf.DUMMYFUNCTION("GOOGLETRANSLATE(B37170,""en"",""it"")"),"Le ragazze guardano la telecamera prima che le perdesse la base e cade dal bar.")</f>
        <v>Le ragazze guardano la telecamera prima che le perdesse la base e cade dal bar.</v>
      </c>
    </row>
    <row r="37171">
      <c r="A37171" s="4" t="s">
        <v>46750</v>
      </c>
      <c r="B37171" s="4" t="s">
        <v>539</v>
      </c>
      <c r="C37171" s="5" t="str">
        <f>IFERROR(__xludf.DUMMYFUNCTION("GOOGLETRANSLATE(B37171,""en"",""it"")"),"Un uomo sta parlando con la telecamera.")</f>
        <v>Un uomo sta parlando con la telecamera.</v>
      </c>
    </row>
    <row r="37172">
      <c r="A37172" s="4" t="s">
        <v>46750</v>
      </c>
      <c r="B37172" s="4" t="s">
        <v>46751</v>
      </c>
      <c r="C37172" s="5" t="str">
        <f>IFERROR(__xludf.DUMMYFUNCTION("GOOGLETRANSLATE(B37172,""en"",""it"")"),"Una donna con una camicia arancione sta facendo varie mosse di karate.")</f>
        <v>Una donna con una camicia arancione sta facendo varie mosse di karate.</v>
      </c>
    </row>
    <row r="37173">
      <c r="A37173" s="4" t="s">
        <v>46750</v>
      </c>
      <c r="B37173" s="4" t="s">
        <v>46752</v>
      </c>
      <c r="C37173" s="5" t="str">
        <f>IFERROR(__xludf.DUMMYFUNCTION("GOOGLETRANSLATE(B37173,""en"",""it"")"),"Fa un capovolgimento sul tappeto.")</f>
        <v>Fa un capovolgimento sul tappeto.</v>
      </c>
    </row>
    <row r="37174">
      <c r="A37174" s="4" t="s">
        <v>46753</v>
      </c>
      <c r="B37174" s="4" t="s">
        <v>46754</v>
      </c>
      <c r="C37174" s="5" t="str">
        <f>IFERROR(__xludf.DUMMYFUNCTION("GOOGLETRANSLATE(B37174,""en"",""it"")"),"Un uomo dimostra come installare alcune impugnature sulle maniglie delle biciclette.")</f>
        <v>Un uomo dimostra come installare alcune impugnature sulle maniglie delle biciclette.</v>
      </c>
    </row>
    <row r="37175">
      <c r="A37175" s="4" t="s">
        <v>46753</v>
      </c>
      <c r="B37175" s="4" t="s">
        <v>46755</v>
      </c>
      <c r="C37175" s="5" t="str">
        <f>IFERROR(__xludf.DUMMYFUNCTION("GOOGLETRANSLATE(B37175,""en"",""it"")"),"Prima installa alcuni anelli sulle impugnature stesse.")</f>
        <v>Prima installa alcuni anelli sulle impugnature stesse.</v>
      </c>
    </row>
    <row r="37176">
      <c r="A37176" s="4" t="s">
        <v>46753</v>
      </c>
      <c r="B37176" s="4" t="s">
        <v>46756</v>
      </c>
      <c r="C37176" s="5" t="str">
        <f>IFERROR(__xludf.DUMMYFUNCTION("GOOGLETRANSLATE(B37176,""en"",""it"")"),"Successivamente avvita alcune viti per prepararle.")</f>
        <v>Successivamente avvita alcune viti per prepararle.</v>
      </c>
    </row>
    <row r="37177">
      <c r="A37177" s="4" t="s">
        <v>46753</v>
      </c>
      <c r="B37177" s="4" t="s">
        <v>46757</v>
      </c>
      <c r="C37177" s="5" t="str">
        <f>IFERROR(__xludf.DUMMYFUNCTION("GOOGLETRANSLATE(B37177,""en"",""it"")"),"Quindi scivola sulle impugnature sulle maniglie della bici.")</f>
        <v>Quindi scivola sulle impugnature sulle maniglie della bici.</v>
      </c>
    </row>
    <row r="37178">
      <c r="A37178" s="4" t="s">
        <v>46753</v>
      </c>
      <c r="B37178" s="4" t="s">
        <v>46758</v>
      </c>
      <c r="C37178" s="5" t="str">
        <f>IFERROR(__xludf.DUMMYFUNCTION("GOOGLETRANSLATE(B37178,""en"",""it"")"),"Completa il serraggio delle impugnature con una chiave alan.")</f>
        <v>Completa il serraggio delle impugnature con una chiave alan.</v>
      </c>
    </row>
    <row r="37179">
      <c r="A37179" s="4" t="s">
        <v>46753</v>
      </c>
      <c r="B37179" s="4" t="s">
        <v>46759</v>
      </c>
      <c r="C37179" s="5" t="str">
        <f>IFERROR(__xludf.DUMMYFUNCTION("GOOGLETRANSLATE(B37179,""en"",""it"")"),"Ultimo inserisce i tappi all'estremità delle impugnature e delle barre della maniglia.")</f>
        <v>Ultimo inserisce i tappi all'estremità delle impugnature e delle barre della maniglia.</v>
      </c>
    </row>
    <row r="37180">
      <c r="A37180" s="4" t="s">
        <v>46760</v>
      </c>
      <c r="B37180" s="4" t="s">
        <v>46761</v>
      </c>
      <c r="C37180" s="5" t="str">
        <f>IFERROR(__xludf.DUMMYFUNCTION("GOOGLETRANSLATE(B37180,""en"",""it"")"),"Gli uomini giocano a calcio da spiaggia in un campo vuoto.")</f>
        <v>Gli uomini giocano a calcio da spiaggia in un campo vuoto.</v>
      </c>
    </row>
    <row r="37181">
      <c r="A37181" s="4" t="s">
        <v>46760</v>
      </c>
      <c r="B37181" s="4" t="s">
        <v>46762</v>
      </c>
      <c r="C37181" s="5" t="str">
        <f>IFERROR(__xludf.DUMMYFUNCTION("GOOGLETRANSLATE(B37181,""en"",""it"")"),"L'uomo calcia un altro giocatore in testa e tiene la testa.")</f>
        <v>L'uomo calcia un altro giocatore in testa e tiene la testa.</v>
      </c>
    </row>
    <row r="37182">
      <c r="A37182" s="4" t="s">
        <v>46763</v>
      </c>
      <c r="B37182" s="4" t="s">
        <v>46764</v>
      </c>
      <c r="C37182" s="5" t="str">
        <f>IFERROR(__xludf.DUMMYFUNCTION("GOOGLETRANSLATE(B37182,""en"",""it"")"),"Due donne stanno cavalcando in macchina.")</f>
        <v>Due donne stanno cavalcando in macchina.</v>
      </c>
    </row>
    <row r="37183">
      <c r="A37183" s="4" t="s">
        <v>46763</v>
      </c>
      <c r="B37183" s="4" t="s">
        <v>46765</v>
      </c>
      <c r="C37183" s="5" t="str">
        <f>IFERROR(__xludf.DUMMYFUNCTION("GOOGLETRANSLATE(B37183,""en"",""it"")"),"Il passeggero sta parlando con la fotocamera.")</f>
        <v>Il passeggero sta parlando con la fotocamera.</v>
      </c>
    </row>
    <row r="37184">
      <c r="A37184" s="4" t="s">
        <v>46763</v>
      </c>
      <c r="B37184" s="4" t="s">
        <v>46766</v>
      </c>
      <c r="C37184" s="5" t="str">
        <f>IFERROR(__xludf.DUMMYFUNCTION("GOOGLETRANSLATE(B37184,""en"",""it"")"),"Stanno dimostrando mosse di danza.")</f>
        <v>Stanno dimostrando mosse di danza.</v>
      </c>
    </row>
    <row r="37185">
      <c r="A37185" s="4" t="s">
        <v>46763</v>
      </c>
      <c r="B37185" s="4" t="s">
        <v>46767</v>
      </c>
      <c r="C37185" s="5" t="str">
        <f>IFERROR(__xludf.DUMMYFUNCTION("GOOGLETRANSLATE(B37185,""en"",""it"")"),"Il conducente sta parlando con la fotocamera.")</f>
        <v>Il conducente sta parlando con la fotocamera.</v>
      </c>
    </row>
    <row r="37186">
      <c r="A37186" s="4" t="s">
        <v>46763</v>
      </c>
      <c r="B37186" s="4" t="s">
        <v>46768</v>
      </c>
      <c r="C37186" s="5" t="str">
        <f>IFERROR(__xludf.DUMMYFUNCTION("GOOGLETRANSLATE(B37186,""en"",""it"")"),"Il passeggero ora sta parlando con la fotocamera.")</f>
        <v>Il passeggero ora sta parlando con la fotocamera.</v>
      </c>
    </row>
    <row r="37187">
      <c r="A37187" s="4" t="s">
        <v>46763</v>
      </c>
      <c r="B37187" s="4" t="s">
        <v>46769</v>
      </c>
      <c r="C37187" s="5" t="str">
        <f>IFERROR(__xludf.DUMMYFUNCTION("GOOGLETRANSLATE(B37187,""en"",""it"")"),"Il conducente sta guardando la fotocamera e sorride durante la guida.")</f>
        <v>Il conducente sta guardando la fotocamera e sorride durante la guida.</v>
      </c>
    </row>
    <row r="37188">
      <c r="A37188" s="4" t="s">
        <v>46763</v>
      </c>
      <c r="B37188" s="4" t="s">
        <v>46770</v>
      </c>
      <c r="C37188" s="5" t="str">
        <f>IFERROR(__xludf.DUMMYFUNCTION("GOOGLETRANSLATE(B37188,""en"",""it"")"),"Una ragazza sta guardando allo specchio che tiene un motivo da tatuaggio sulla spalla.")</f>
        <v>Una ragazza sta guardando allo specchio che tiene un motivo da tatuaggio sulla spalla.</v>
      </c>
    </row>
    <row r="37189">
      <c r="A37189" s="4" t="s">
        <v>46763</v>
      </c>
      <c r="B37189" s="4" t="s">
        <v>46771</v>
      </c>
      <c r="C37189" s="5" t="str">
        <f>IFERROR(__xludf.DUMMYFUNCTION("GOOGLETRANSLATE(B37189,""en"",""it"")"),"Un'altra ragazza è sdraiata su un letto mentre un'altra ragazza le dà un tatuaggio.")</f>
        <v>Un'altra ragazza è sdraiata su un letto mentre un'altra ragazza le dà un tatuaggio.</v>
      </c>
    </row>
    <row r="37190">
      <c r="A37190" s="4" t="s">
        <v>46763</v>
      </c>
      <c r="B37190" s="4" t="s">
        <v>46772</v>
      </c>
      <c r="C37190" s="5" t="str">
        <f>IFERROR(__xludf.DUMMYFUNCTION("GOOGLETRANSLATE(B37190,""en"",""it"")"),"L'altra ragazza è seduta su uno sgabello mentre un uomo le dà un tatuaggio.")</f>
        <v>L'altra ragazza è seduta su uno sgabello mentre un uomo le dà un tatuaggio.</v>
      </c>
    </row>
    <row r="37191">
      <c r="A37191" s="4" t="s">
        <v>46763</v>
      </c>
      <c r="B37191" s="4" t="s">
        <v>46773</v>
      </c>
      <c r="C37191" s="5" t="str">
        <f>IFERROR(__xludf.DUMMYFUNCTION("GOOGLETRANSLATE(B37191,""en"",""it"")"),"Una mano si allunga da dietro la telecamera.")</f>
        <v>Una mano si allunga da dietro la telecamera.</v>
      </c>
    </row>
    <row r="37192">
      <c r="A37192" s="4" t="s">
        <v>46763</v>
      </c>
      <c r="B37192" s="4" t="s">
        <v>46774</v>
      </c>
      <c r="C37192" s="5" t="str">
        <f>IFERROR(__xludf.DUMMYFUNCTION("GOOGLETRANSLATE(B37192,""en"",""it"")"),"Una ragazza sta parlando con la telecamera con la mano sulla spalla.")</f>
        <v>Una ragazza sta parlando con la telecamera con la mano sulla spalla.</v>
      </c>
    </row>
    <row r="37193">
      <c r="A37193" s="4" t="s">
        <v>46763</v>
      </c>
      <c r="B37193" s="4" t="s">
        <v>46775</v>
      </c>
      <c r="C37193" s="5" t="str">
        <f>IFERROR(__xludf.DUMMYFUNCTION("GOOGLETRANSLATE(B37193,""en"",""it"")"),"Un'altra ragazza sta parlando con la telecamera e fa gesti delle mani.")</f>
        <v>Un'altra ragazza sta parlando con la telecamera e fa gesti delle mani.</v>
      </c>
    </row>
    <row r="37194">
      <c r="A37194" s="4" t="s">
        <v>46763</v>
      </c>
      <c r="B37194" s="4" t="s">
        <v>46776</v>
      </c>
      <c r="C37194" s="5" t="str">
        <f>IFERROR(__xludf.DUMMYFUNCTION("GOOGLETRANSLATE(B37194,""en"",""it"")"),"Entrambe le ragazze stanno parlando con la telecamera.")</f>
        <v>Entrambe le ragazze stanno parlando con la telecamera.</v>
      </c>
    </row>
    <row r="37195">
      <c r="A37195" s="4" t="s">
        <v>46777</v>
      </c>
      <c r="B37195" s="4" t="s">
        <v>46778</v>
      </c>
      <c r="C37195" s="5" t="str">
        <f>IFERROR(__xludf.DUMMYFUNCTION("GOOGLETRANSLATE(B37195,""en"",""it"")"),"Un uomo in un cappotto nero sta spalando la neve con una pala.")</f>
        <v>Un uomo in un cappotto nero sta spalando la neve con una pala.</v>
      </c>
    </row>
    <row r="37196">
      <c r="A37196" s="4" t="s">
        <v>46777</v>
      </c>
      <c r="B37196" s="4" t="s">
        <v>46779</v>
      </c>
      <c r="C37196" s="5" t="str">
        <f>IFERROR(__xludf.DUMMYFUNCTION("GOOGLETRANSLATE(B37196,""en"",""it"")"),"Prende una grande pala piena di neve e la lancia accanto a lui.")</f>
        <v>Prende una grande pala piena di neve e la lancia accanto a lui.</v>
      </c>
    </row>
    <row r="37197">
      <c r="A37197" s="4" t="s">
        <v>46777</v>
      </c>
      <c r="B37197" s="4" t="s">
        <v>46780</v>
      </c>
      <c r="C37197" s="5" t="str">
        <f>IFERROR(__xludf.DUMMYFUNCTION("GOOGLETRANSLATE(B37197,""en"",""it"")"),"Continua a spalare sul vialetto.")</f>
        <v>Continua a spalare sul vialetto.</v>
      </c>
    </row>
    <row r="37198">
      <c r="A37198" s="4" t="s">
        <v>46781</v>
      </c>
      <c r="B37198" s="4" t="s">
        <v>46782</v>
      </c>
      <c r="C37198" s="5" t="str">
        <f>IFERROR(__xludf.DUMMYFUNCTION("GOOGLETRANSLATE(B37198,""en"",""it"")"),"Un uomo è in un'arena che combatte un toro.")</f>
        <v>Un uomo è in un'arena che combatte un toro.</v>
      </c>
    </row>
    <row r="37199">
      <c r="A37199" s="4" t="s">
        <v>46781</v>
      </c>
      <c r="B37199" s="4" t="s">
        <v>46783</v>
      </c>
      <c r="C37199" s="5" t="str">
        <f>IFERROR(__xludf.DUMMYFUNCTION("GOOGLETRANSLATE(B37199,""en"",""it"")"),"Oscilla il mantello e corre vicino ad altri uomini, prendendo in giro il toro a inseguirlo.")</f>
        <v>Oscilla il mantello e corre vicino ad altri uomini, prendendo in giro il toro a inseguirlo.</v>
      </c>
    </row>
    <row r="37200">
      <c r="A37200" s="4" t="s">
        <v>46781</v>
      </c>
      <c r="B37200" s="6" t="s">
        <v>46784</v>
      </c>
      <c r="C37200" s="5" t="str">
        <f>IFERROR(__xludf.DUMMYFUNCTION("GOOGLETRANSLATE(B37200,""en"",""it"")"),"Il toro sbatte sul lato di un cavallo che viene cavalcato da un uomo prima di correre verso l'uomo con il mantello.")</f>
        <v>Il toro sbatte sul lato di un cavallo che viene cavalcato da un uomo prima di correre verso l'uomo con il mantello.</v>
      </c>
    </row>
    <row r="37201">
      <c r="A37201" s="4" t="s">
        <v>46781</v>
      </c>
      <c r="B37201" s="4" t="s">
        <v>46785</v>
      </c>
      <c r="C37201" s="5" t="str">
        <f>IFERROR(__xludf.DUMMYFUNCTION("GOOGLETRANSLATE(B37201,""en"",""it"")"),"L'uomo sul cavallo si allontana di lato.")</f>
        <v>L'uomo sul cavallo si allontana di lato.</v>
      </c>
    </row>
    <row r="37202">
      <c r="A37202" s="4" t="s">
        <v>46786</v>
      </c>
      <c r="B37202" s="4" t="s">
        <v>46787</v>
      </c>
      <c r="C37202" s="5" t="str">
        <f>IFERROR(__xludf.DUMMYFUNCTION("GOOGLETRANSLATE(B37202,""en"",""it"")"),"Un'introduzione arriva sullo schermo introducendo il video clip.")</f>
        <v>Un'introduzione arriva sullo schermo introducendo il video clip.</v>
      </c>
    </row>
    <row r="37203">
      <c r="A37203" s="4" t="s">
        <v>46786</v>
      </c>
      <c r="B37203" s="4" t="s">
        <v>46788</v>
      </c>
      <c r="C37203" s="5" t="str">
        <f>IFERROR(__xludf.DUMMYFUNCTION("GOOGLETRANSLATE(B37203,""en"",""it"")"),"Due persone vengono mostrate in giro nel lago.")</f>
        <v>Due persone vengono mostrate in giro nel lago.</v>
      </c>
    </row>
    <row r="37204">
      <c r="A37204" s="4" t="s">
        <v>46786</v>
      </c>
      <c r="B37204" s="4" t="s">
        <v>46789</v>
      </c>
      <c r="C37204" s="5" t="str">
        <f>IFERROR(__xludf.DUMMYFUNCTION("GOOGLETRANSLATE(B37204,""en"",""it"")"),"Successivamente, decollano in movimento nell'acqua collegata da un cavo a una barca di velocità.")</f>
        <v>Successivamente, decollano in movimento nell'acqua collegata da un cavo a una barca di velocità.</v>
      </c>
    </row>
    <row r="37205">
      <c r="A37205" s="4" t="s">
        <v>46786</v>
      </c>
      <c r="B37205" s="4" t="s">
        <v>46790</v>
      </c>
      <c r="C37205" s="5" t="str">
        <f>IFERROR(__xludf.DUMMYFUNCTION("GOOGLETRANSLATE(B37205,""en"",""it"")"),"Il video termina quando entrambi cadono nell'acqua.")</f>
        <v>Il video termina quando entrambi cadono nell'acqua.</v>
      </c>
    </row>
    <row r="37206">
      <c r="A37206" s="4" t="s">
        <v>46791</v>
      </c>
      <c r="B37206" s="4" t="s">
        <v>46792</v>
      </c>
      <c r="C37206" s="5" t="str">
        <f>IFERROR(__xludf.DUMMYFUNCTION("GOOGLETRANSLATE(B37206,""en"",""it"")"),"Una signora dipinge le unghie un colore di prugna.")</f>
        <v>Una signora dipinge le unghie un colore di prugna.</v>
      </c>
    </row>
    <row r="37207">
      <c r="A37207" s="4" t="s">
        <v>46791</v>
      </c>
      <c r="B37207" s="4" t="s">
        <v>46793</v>
      </c>
      <c r="C37207" s="5" t="str">
        <f>IFERROR(__xludf.DUMMYFUNCTION("GOOGLETRANSLATE(B37207,""en"",""it"")"),"Quindi mette strisce e punti di nero e argento sulle unghie per creare un design.")</f>
        <v>Quindi mette strisce e punti di nero e argento sulle unghie per creare un design.</v>
      </c>
    </row>
    <row r="37208">
      <c r="A37208" s="4" t="s">
        <v>46791</v>
      </c>
      <c r="B37208" s="4" t="s">
        <v>46794</v>
      </c>
      <c r="C37208" s="5" t="str">
        <f>IFERROR(__xludf.DUMMYFUNCTION("GOOGLETRANSLATE(B37208,""en"",""it"")"),"Finisce e mostra le sue unghie dipinte.")</f>
        <v>Finisce e mostra le sue unghie dipinte.</v>
      </c>
    </row>
    <row r="37209">
      <c r="A37209" s="4" t="s">
        <v>46795</v>
      </c>
      <c r="B37209" s="4" t="s">
        <v>46796</v>
      </c>
      <c r="C37209" s="5" t="str">
        <f>IFERROR(__xludf.DUMMYFUNCTION("GOOGLETRANSLATE(B37209,""en"",""it"")"),"Viene visto un uomo parlare con gli altri in lontananza e inizia a spingere un uomo in una stanza.")</f>
        <v>Viene visto un uomo parlare con gli altri in lontananza e inizia a spingere un uomo in una stanza.</v>
      </c>
    </row>
    <row r="37210">
      <c r="A37210" s="4" t="s">
        <v>46795</v>
      </c>
      <c r="B37210" s="4" t="s">
        <v>46797</v>
      </c>
      <c r="C37210" s="5" t="str">
        <f>IFERROR(__xludf.DUMMYFUNCTION("GOOGLETRANSLATE(B37210,""en"",""it"")"),"Continua a spingere l'uomo mentre molti guardano sul lato.")</f>
        <v>Continua a spingere l'uomo mentre molti guardano sul lato.</v>
      </c>
    </row>
    <row r="37211">
      <c r="A37211" s="4" t="s">
        <v>46795</v>
      </c>
      <c r="B37211" s="4" t="s">
        <v>46798</v>
      </c>
      <c r="C37211" s="5" t="str">
        <f>IFERROR(__xludf.DUMMYFUNCTION("GOOGLETRANSLATE(B37211,""en"",""it"")"),"L'uomo si alza e sembra sorpreso mentre si spinge continuamente verso il basso.")</f>
        <v>L'uomo si alza e sembra sorpreso mentre si spinge continuamente verso il basso.</v>
      </c>
    </row>
    <row r="37212">
      <c r="A37212" s="4" t="s">
        <v>46799</v>
      </c>
      <c r="B37212" s="4" t="s">
        <v>573</v>
      </c>
      <c r="C37212" s="5" t="str">
        <f>IFERROR(__xludf.DUMMYFUNCTION("GOOGLETRANSLATE(B37212,""en"",""it"")"),"Vengono visualizzati i crediti del video.")</f>
        <v>Vengono visualizzati i crediti del video.</v>
      </c>
    </row>
    <row r="37213">
      <c r="A37213" s="4" t="s">
        <v>46799</v>
      </c>
      <c r="B37213" s="4" t="s">
        <v>46800</v>
      </c>
      <c r="C37213" s="5" t="str">
        <f>IFERROR(__xludf.DUMMYFUNCTION("GOOGLETRANSLATE(B37213,""en"",""it"")"),"Una signora sta fuori e parla.")</f>
        <v>Una signora sta fuori e parla.</v>
      </c>
    </row>
    <row r="37214">
      <c r="A37214" s="4" t="s">
        <v>46799</v>
      </c>
      <c r="B37214" s="4" t="s">
        <v>46801</v>
      </c>
      <c r="C37214" s="5" t="str">
        <f>IFERROR(__xludf.DUMMYFUNCTION("GOOGLETRANSLATE(B37214,""en"",""it"")"),"La signora viene lasciata entrare in un ufficio in cui subisce un esame oculistico.")</f>
        <v>La signora viene lasciata entrare in un ufficio in cui subisce un esame oculistico.</v>
      </c>
    </row>
    <row r="37215">
      <c r="A37215" s="4" t="s">
        <v>46799</v>
      </c>
      <c r="B37215" s="4" t="s">
        <v>46802</v>
      </c>
      <c r="C37215" s="5" t="str">
        <f>IFERROR(__xludf.DUMMYFUNCTION("GOOGLETRANSLATE(B37215,""en"",""it"")"),"Un contatto visivo viene esaminato utilizzando uno strumento e una mano umana.")</f>
        <v>Un contatto visivo viene esaminato utilizzando uno strumento e una mano umana.</v>
      </c>
    </row>
    <row r="37216">
      <c r="A37216" s="4" t="s">
        <v>46799</v>
      </c>
      <c r="B37216" s="4" t="s">
        <v>46803</v>
      </c>
      <c r="C37216" s="5" t="str">
        <f>IFERROR(__xludf.DUMMYFUNCTION("GOOGLETRANSLATE(B37216,""en"",""it"")"),"Vengono visualizzati diversi elementi associati all'usura delle lenti a contatti.")</f>
        <v>Vengono visualizzati diversi elementi associati all'usura delle lenti a contatti.</v>
      </c>
    </row>
    <row r="37217">
      <c r="A37217" s="4" t="s">
        <v>46799</v>
      </c>
      <c r="B37217" s="4" t="s">
        <v>46804</v>
      </c>
      <c r="C37217" s="5" t="str">
        <f>IFERROR(__xludf.DUMMYFUNCTION("GOOGLETRANSLATE(B37217,""en"",""it"")"),"Un uomo si lava la mano.")</f>
        <v>Un uomo si lava la mano.</v>
      </c>
    </row>
    <row r="37218">
      <c r="A37218" s="4" t="s">
        <v>46799</v>
      </c>
      <c r="B37218" s="4" t="s">
        <v>46805</v>
      </c>
      <c r="C37218" s="5" t="str">
        <f>IFERROR(__xludf.DUMMYFUNCTION("GOOGLETRANSLATE(B37218,""en"",""it"")"),"Una signora prende una lente a contatto.")</f>
        <v>Una signora prende una lente a contatto.</v>
      </c>
    </row>
    <row r="37219">
      <c r="A37219" s="4" t="s">
        <v>46799</v>
      </c>
      <c r="B37219" s="4" t="s">
        <v>46806</v>
      </c>
      <c r="C37219" s="5" t="str">
        <f>IFERROR(__xludf.DUMMYFUNCTION("GOOGLETRANSLATE(B37219,""en"",""it"")"),"Un uomo scrive la lettera L su un documento.")</f>
        <v>Un uomo scrive la lettera L su un documento.</v>
      </c>
    </row>
    <row r="37220">
      <c r="A37220" s="4" t="s">
        <v>46799</v>
      </c>
      <c r="B37220" s="4" t="s">
        <v>46807</v>
      </c>
      <c r="C37220" s="5" t="str">
        <f>IFERROR(__xludf.DUMMYFUNCTION("GOOGLETRANSLATE(B37220,""en"",""it"")"),"Una mano piega una lente a contatto.")</f>
        <v>Una mano piega una lente a contatto.</v>
      </c>
    </row>
    <row r="37221">
      <c r="A37221" s="4" t="s">
        <v>46799</v>
      </c>
      <c r="B37221" s="4" t="s">
        <v>46808</v>
      </c>
      <c r="C37221" s="5" t="str">
        <f>IFERROR(__xludf.DUMMYFUNCTION("GOOGLETRANSLATE(B37221,""en"",""it"")"),"Un uomo inserisce una lente a contatto.")</f>
        <v>Un uomo inserisce una lente a contatto.</v>
      </c>
    </row>
    <row r="37222">
      <c r="A37222" s="4" t="s">
        <v>46799</v>
      </c>
      <c r="B37222" s="4" t="s">
        <v>46809</v>
      </c>
      <c r="C37222" s="5" t="str">
        <f>IFERROR(__xludf.DUMMYFUNCTION("GOOGLETRANSLATE(B37222,""en"",""it"")"),"Una signora inserisce ogni lente a contatto.")</f>
        <v>Una signora inserisce ogni lente a contatto.</v>
      </c>
    </row>
    <row r="37223">
      <c r="A37223" s="4" t="s">
        <v>46799</v>
      </c>
      <c r="B37223" s="4" t="s">
        <v>46810</v>
      </c>
      <c r="C37223" s="5" t="str">
        <f>IFERROR(__xludf.DUMMYFUNCTION("GOOGLETRANSLATE(B37223,""en"",""it"")"),"La signora scuote la mano dell'uomo.")</f>
        <v>La signora scuote la mano dell'uomo.</v>
      </c>
    </row>
    <row r="37224">
      <c r="A37224" s="4" t="s">
        <v>46799</v>
      </c>
      <c r="B37224" s="4" t="s">
        <v>21153</v>
      </c>
      <c r="C37224" s="5" t="str">
        <f>IFERROR(__xludf.DUMMYFUNCTION("GOOGLETRANSLATE(B37224,""en"",""it"")"),"Vengono visualizzati i crediti di clip.")</f>
        <v>Vengono visualizzati i crediti di clip.</v>
      </c>
    </row>
    <row r="37225">
      <c r="A37225" s="4" t="s">
        <v>46811</v>
      </c>
      <c r="B37225" s="6" t="s">
        <v>46812</v>
      </c>
      <c r="C37225" s="5" t="str">
        <f>IFERROR(__xludf.DUMMYFUNCTION("GOOGLETRANSLATE(B37225,""en"",""it"")"),"Un piccolo gruppo di persone viene visto giocare una partita di lacrosse su un campo con un uomo che cammina verso di loro.")</f>
        <v>Un piccolo gruppo di persone viene visto giocare una partita di lacrosse su un campo con un uomo che cammina verso di loro.</v>
      </c>
    </row>
    <row r="37226">
      <c r="A37226" s="4" t="s">
        <v>46811</v>
      </c>
      <c r="B37226" s="6" t="s">
        <v>46813</v>
      </c>
      <c r="C37226" s="5" t="str">
        <f>IFERROR(__xludf.DUMMYFUNCTION("GOOGLETRANSLATE(B37226,""en"",""it"")"),"L'uomo urla ai giocatori mentre corrono su e giù per il campo e continua a guardarli mentre giocano.")</f>
        <v>L'uomo urla ai giocatori mentre corrono su e giù per il campo e continua a guardarli mentre giocano.</v>
      </c>
    </row>
    <row r="37227">
      <c r="A37227" s="4" t="s">
        <v>46814</v>
      </c>
      <c r="B37227" s="6" t="s">
        <v>46815</v>
      </c>
      <c r="C37227" s="5" t="str">
        <f>IFERROR(__xludf.DUMMYFUNCTION("GOOGLETRANSLATE(B37227,""en"",""it"")"),"Vengono mostrati un furgone che rimorchia un'auto in base alla vista dei segnali stradali blu e in lettere bianche leggono ""Walton"", ""West Coast dell'Ontario"" e ""Motorcross Town"".")</f>
        <v>Vengono mostrati un furgone che rimorchia un'auto in base alla vista dei segnali stradali blu e in lettere bianche leggono "Walton", "West Coast dell'Ontario" e "Motorcross Town".</v>
      </c>
    </row>
    <row r="37228">
      <c r="A37228" s="4" t="s">
        <v>46814</v>
      </c>
      <c r="B37228" s="6" t="s">
        <v>46816</v>
      </c>
      <c r="C37228" s="5" t="str">
        <f>IFERROR(__xludf.DUMMYFUNCTION("GOOGLETRANSLATE(B37228,""en"",""it"")"),"Molte persone vengono ora mostrate camminare o andare in bicicletta in un grande raduno mentre altre persone sono in giro sotto le tende.")</f>
        <v>Molte persone vengono ora mostrate camminare o andare in bicicletta in un grande raduno mentre altre persone sono in giro sotto le tende.</v>
      </c>
    </row>
    <row r="37229">
      <c r="A37229" s="4" t="s">
        <v>46814</v>
      </c>
      <c r="B37229" s="6" t="s">
        <v>46817</v>
      </c>
      <c r="C37229" s="5" t="str">
        <f>IFERROR(__xludf.DUMMYFUNCTION("GOOGLETRANSLATE(B37229,""en"",""it"")"),"Un gruppo di uomini è su una linea di partenza di una grande pista per motori e iniziano a andare in giro mentre le persone guardano.")</f>
        <v>Un gruppo di uomini è su una linea di partenza di una grande pista per motori e iniziano a andare in giro mentre le persone guardano.</v>
      </c>
    </row>
    <row r="37230">
      <c r="A37230" s="4" t="s">
        <v>46814</v>
      </c>
      <c r="B37230" s="6" t="s">
        <v>46818</v>
      </c>
      <c r="C37230" s="5" t="str">
        <f>IFERROR(__xludf.DUMMYFUNCTION("GOOGLETRANSLATE(B37230,""en"",""it"")"),"Quando hanno finito di andare in pista, vengono mostrate di nuovo varie clip di persone che fanno cose diverse.")</f>
        <v>Quando hanno finito di andare in pista, vengono mostrate di nuovo varie clip di persone che fanno cose diverse.</v>
      </c>
    </row>
    <row r="37231">
      <c r="A37231" s="4" t="s">
        <v>46819</v>
      </c>
      <c r="B37231" s="4" t="s">
        <v>46820</v>
      </c>
      <c r="C37231" s="5" t="str">
        <f>IFERROR(__xludf.DUMMYFUNCTION("GOOGLETRANSLATE(B37231,""en"",""it"")"),"Le cheerleader sono in piedi su un tappetino blu.")</f>
        <v>Le cheerleader sono in piedi su un tappetino blu.</v>
      </c>
    </row>
    <row r="37232">
      <c r="A37232" s="4" t="s">
        <v>46819</v>
      </c>
      <c r="B37232" s="4" t="s">
        <v>46821</v>
      </c>
      <c r="C37232" s="5" t="str">
        <f>IFERROR(__xludf.DUMMYFUNCTION("GOOGLETRANSLATE(B37232,""en"",""it"")"),"Iniziano a fare una routine sul tappeto.")</f>
        <v>Iniziano a fare una routine sul tappeto.</v>
      </c>
    </row>
    <row r="37233">
      <c r="A37233" s="4" t="s">
        <v>46819</v>
      </c>
      <c r="B37233" s="4" t="s">
        <v>46822</v>
      </c>
      <c r="C37233" s="5" t="str">
        <f>IFERROR(__xludf.DUMMYFUNCTION("GOOGLETRANSLATE(B37233,""en"",""it"")"),"Sollevano i cartelli in aria.")</f>
        <v>Sollevano i cartelli in aria.</v>
      </c>
    </row>
    <row r="37234">
      <c r="A37234" s="4" t="s">
        <v>46819</v>
      </c>
      <c r="B37234" s="4" t="s">
        <v>46823</v>
      </c>
      <c r="C37234" s="5" t="str">
        <f>IFERROR(__xludf.DUMMYFUNCTION("GOOGLETRANSLATE(B37234,""en"",""it"")"),"Finiscono la loro routine e salutano il pubblico.")</f>
        <v>Finiscono la loro routine e salutano il pubblico.</v>
      </c>
    </row>
    <row r="37235">
      <c r="A37235" s="4" t="s">
        <v>46824</v>
      </c>
      <c r="B37235" s="4" t="s">
        <v>46825</v>
      </c>
      <c r="C37235" s="5" t="str">
        <f>IFERROR(__xludf.DUMMYFUNCTION("GOOGLETRANSLATE(B37235,""en"",""it"")"),"Una donna tiene la caviglia di un atleta mentre Sh è sul raggio.")</f>
        <v>Una donna tiene la caviglia di un atleta mentre Sh è sul raggio.</v>
      </c>
    </row>
    <row r="37236">
      <c r="A37236" s="4" t="s">
        <v>46824</v>
      </c>
      <c r="B37236" s="6" t="s">
        <v>46826</v>
      </c>
      <c r="C37236" s="5" t="str">
        <f>IFERROR(__xludf.DUMMYFUNCTION("GOOGLETRANSLATE(B37236,""en"",""it"")"),"La donna sta facendo raserire l'atleta la caviglia A e camminare fino al raggio, guida l'atleta mentre cammina.")</f>
        <v>La donna sta facendo raserire l'atleta la caviglia A e camminare fino al raggio, guida l'atleta mentre cammina.</v>
      </c>
    </row>
    <row r="37237">
      <c r="A37237" s="4" t="s">
        <v>46824</v>
      </c>
      <c r="B37237" s="6" t="s">
        <v>46827</v>
      </c>
      <c r="C37237" s="5" t="str">
        <f>IFERROR(__xludf.DUMMYFUNCTION("GOOGLETRANSLATE(B37237,""en"",""it"")"),"L'atleta camminò all'indietro con la caviglia, poi la donna la guidava mentre si gira.")</f>
        <v>L'atleta camminò all'indietro con la caviglia, poi la donna la guidava mentre si gira.</v>
      </c>
    </row>
    <row r="37238">
      <c r="A37238" s="4" t="s">
        <v>46828</v>
      </c>
      <c r="B37238" s="4" t="s">
        <v>46829</v>
      </c>
      <c r="C37238" s="5" t="str">
        <f>IFERROR(__xludf.DUMMYFUNCTION("GOOGLETRANSLATE(B37238,""en"",""it"")"),"Un panciatore in verde inizia la sua routine, sorridendo per il pubblico.")</f>
        <v>Un panciatore in verde inizia la sua routine, sorridendo per il pubblico.</v>
      </c>
    </row>
    <row r="37239">
      <c r="A37239" s="4" t="s">
        <v>46828</v>
      </c>
      <c r="B37239" s="6" t="s">
        <v>46830</v>
      </c>
      <c r="C37239" s="5" t="str">
        <f>IFERROR(__xludf.DUMMYFUNCTION("GOOGLETRANSLATE(B37239,""en"",""it"")"),"È affiancata da altri due ballerini che sono in rosso e ognuno fa le proprie mosse prima di riunirsi.")</f>
        <v>È affiancata da altri due ballerini che sono in rosso e ognuno fa le proprie mosse prima di riunirsi.</v>
      </c>
    </row>
    <row r="37240">
      <c r="A37240" s="4" t="s">
        <v>46828</v>
      </c>
      <c r="B37240" s="4" t="s">
        <v>46831</v>
      </c>
      <c r="C37240" s="5" t="str">
        <f>IFERROR(__xludf.DUMMYFUNCTION("GOOGLETRANSLATE(B37240,""en"",""it"")"),"Si rompono di nuovo per le esibizioni da solista, ogni ballerina che si ottiene un momento da sfoggiare.")</f>
        <v>Si rompono di nuovo per le esibizioni da solista, ogni ballerina che si ottiene un momento da sfoggiare.</v>
      </c>
    </row>
    <row r="37241">
      <c r="A37241" s="4" t="s">
        <v>46828</v>
      </c>
      <c r="B37241" s="4" t="s">
        <v>46832</v>
      </c>
      <c r="C37241" s="5" t="str">
        <f>IFERROR(__xludf.DUMMYFUNCTION("GOOGLETRANSLATE(B37241,""en"",""it"")"),"Tornano a ballare insieme e la performance finisce.")</f>
        <v>Tornano a ballare insieme e la performance finisce.</v>
      </c>
    </row>
    <row r="37242">
      <c r="A37242" s="4" t="s">
        <v>46833</v>
      </c>
      <c r="B37242" s="6" t="s">
        <v>46834</v>
      </c>
      <c r="C37242" s="5" t="str">
        <f>IFERROR(__xludf.DUMMYFUNCTION("GOOGLETRANSLATE(B37242,""en"",""it"")"),"Il video conduce in diversi scatti di persone che cavalcano skateboard, oltre a cavalcare una gomma e camminare uno accanto all'altro.")</f>
        <v>Il video conduce in diversi scatti di persone che cavalcano skateboard, oltre a cavalcare una gomma e camminare uno accanto all'altro.</v>
      </c>
    </row>
    <row r="37243">
      <c r="A37243" s="4" t="s">
        <v>46833</v>
      </c>
      <c r="B37243" s="6" t="s">
        <v>46835</v>
      </c>
      <c r="C37243" s="5" t="str">
        <f>IFERROR(__xludf.DUMMYFUNCTION("GOOGLETRANSLATE(B37243,""en"",""it"")"),"Sono visti guardare e ridere alla telecamera mentre vengono mostrati più scatti di persone che cavalcano su skateboard.")</f>
        <v>Sono visti guardare e ridere alla telecamera mentre vengono mostrati più scatti di persone che cavalcano su skateboard.</v>
      </c>
    </row>
    <row r="37244">
      <c r="A37244" s="4" t="s">
        <v>46836</v>
      </c>
      <c r="B37244" s="4" t="s">
        <v>46837</v>
      </c>
      <c r="C37244" s="5" t="str">
        <f>IFERROR(__xludf.DUMMYFUNCTION("GOOGLETRANSLATE(B37244,""en"",""it"")"),"Tre persone fanno un trapano da basket di guida verso il cerchio.")</f>
        <v>Tre persone fanno un trapano da basket di guida verso il cerchio.</v>
      </c>
    </row>
    <row r="37245">
      <c r="A37245" s="4" t="s">
        <v>46836</v>
      </c>
      <c r="B37245" s="4" t="s">
        <v>46838</v>
      </c>
      <c r="C37245" s="5" t="str">
        <f>IFERROR(__xludf.DUMMYFUNCTION("GOOGLETRANSLATE(B37245,""en"",""it"")"),"Si svolgono giocando diverse posizioni e facendo un layup.")</f>
        <v>Si svolgono giocando diverse posizioni e facendo un layup.</v>
      </c>
    </row>
    <row r="37246">
      <c r="A37246" s="4" t="s">
        <v>46839</v>
      </c>
      <c r="B37246" s="4" t="s">
        <v>46840</v>
      </c>
      <c r="C37246" s="5" t="str">
        <f>IFERROR(__xludf.DUMMYFUNCTION("GOOGLETRANSLATE(B37246,""en"",""it"")"),"Un giovane viene visto guardare in lontananza con lozione sul viso.")</f>
        <v>Un giovane viene visto guardare in lontananza con lozione sul viso.</v>
      </c>
    </row>
    <row r="37247">
      <c r="A37247" s="4" t="s">
        <v>46839</v>
      </c>
      <c r="B37247" s="4" t="s">
        <v>46841</v>
      </c>
      <c r="C37247" s="5" t="str">
        <f>IFERROR(__xludf.DUMMYFUNCTION("GOOGLETRANSLATE(B37247,""en"",""it"")"),"Continua a strofinare la lozione mentre distoglie lo sguardo dalla telecamera.")</f>
        <v>Continua a strofinare la lozione mentre distoglie lo sguardo dalla telecamera.</v>
      </c>
    </row>
    <row r="37248">
      <c r="A37248" s="4" t="s">
        <v>46839</v>
      </c>
      <c r="B37248" s="4" t="s">
        <v>46842</v>
      </c>
      <c r="C37248" s="5" t="str">
        <f>IFERROR(__xludf.DUMMYFUNCTION("GOOGLETRANSLATE(B37248,""en"",""it"")"),"Finisce di mettere la crema solare e distogliere lo sguardo dalla telecamera.")</f>
        <v>Finisce di mettere la crema solare e distogliere lo sguardo dalla telecamera.</v>
      </c>
    </row>
    <row r="37249">
      <c r="A37249" s="4" t="s">
        <v>46843</v>
      </c>
      <c r="B37249" s="4" t="s">
        <v>46844</v>
      </c>
      <c r="C37249" s="5" t="str">
        <f>IFERROR(__xludf.DUMMYFUNCTION("GOOGLETRANSLATE(B37249,""en"",""it"")"),"Diversi uomini sono visti in piedi attorno a un campo da interno che prende a calci una palla intorno.")</f>
        <v>Diversi uomini sono visti in piedi attorno a un campo da interno che prende a calci una palla intorno.</v>
      </c>
    </row>
    <row r="37250">
      <c r="A37250" s="4" t="s">
        <v>46843</v>
      </c>
      <c r="B37250" s="4" t="s">
        <v>46845</v>
      </c>
      <c r="C37250" s="5" t="str">
        <f>IFERROR(__xludf.DUMMYFUNCTION("GOOGLETRANSLATE(B37250,""en"",""it"")"),"Le persone guardano la partita in disparte mentre i giocatori continuano a correre su e giù per il campo.")</f>
        <v>Le persone guardano la partita in disparte mentre i giocatori continuano a correre su e giù per il campo.</v>
      </c>
    </row>
    <row r="37251">
      <c r="A37251" s="4" t="s">
        <v>46843</v>
      </c>
      <c r="B37251" s="4" t="s">
        <v>46846</v>
      </c>
      <c r="C37251" s="5" t="str">
        <f>IFERROR(__xludf.DUMMYFUNCTION("GOOGLETRANSLATE(B37251,""en"",""it"")"),"Giochi diversi sono mostrati in mezzo e il gruppo continua a giocare.")</f>
        <v>Giochi diversi sono mostrati in mezzo e il gruppo continua a giocare.</v>
      </c>
    </row>
    <row r="37252">
      <c r="A37252" s="4" t="s">
        <v>46847</v>
      </c>
      <c r="B37252" s="4" t="s">
        <v>46848</v>
      </c>
      <c r="C37252" s="5" t="str">
        <f>IFERROR(__xludf.DUMMYFUNCTION("GOOGLETRANSLATE(B37252,""en"",""it"")"),"Ci sono due tetti in piedi in una parte superiore di un tetto dell'edificio che rimuove il lavoro sulla vecchia rimozione del tetto.")</f>
        <v>Ci sono due tetti in piedi in una parte superiore di un tetto dell'edificio che rimuove il lavoro sulla vecchia rimozione del tetto.</v>
      </c>
    </row>
    <row r="37253">
      <c r="A37253" s="4" t="s">
        <v>46847</v>
      </c>
      <c r="B37253" s="4" t="s">
        <v>46849</v>
      </c>
      <c r="C37253" s="5" t="str">
        <f>IFERROR(__xludf.DUMMYFUNCTION("GOOGLETRANSLATE(B37253,""en"",""it"")"),"Stanno usando una pala per tetti per rimuovere le tegole e il telo.")</f>
        <v>Stanno usando una pala per tetti per rimuovere le tegole e il telo.</v>
      </c>
    </row>
    <row r="37254">
      <c r="A37254" s="4" t="s">
        <v>46847</v>
      </c>
      <c r="B37254" s="6" t="s">
        <v>46850</v>
      </c>
      <c r="C37254" s="5" t="str">
        <f>IFERROR(__xludf.DUMMYFUNCTION("GOOGLETRANSLATE(B37254,""en"",""it"")"),"Uno dei tetti sta staccando il telo dal tetto mentre scava nella pala sotto il telo.")</f>
        <v>Uno dei tetti sta staccando il telo dal tetto mentre scava nella pala sotto il telo.</v>
      </c>
    </row>
    <row r="37255">
      <c r="A37255" s="4" t="s">
        <v>46847</v>
      </c>
      <c r="B37255" s="4" t="s">
        <v>46851</v>
      </c>
      <c r="C37255" s="5" t="str">
        <f>IFERROR(__xludf.DUMMYFUNCTION("GOOGLETRANSLATE(B37255,""en"",""it"")"),"L'altro tetto lo sta aiutando a arrotolare il telo mentre lo stacca.")</f>
        <v>L'altro tetto lo sta aiutando a arrotolare il telo mentre lo stacca.</v>
      </c>
    </row>
    <row r="37256">
      <c r="A37256" s="4" t="s">
        <v>46852</v>
      </c>
      <c r="B37256" s="4" t="s">
        <v>46853</v>
      </c>
      <c r="C37256" s="5" t="str">
        <f>IFERROR(__xludf.DUMMYFUNCTION("GOOGLETRANSLATE(B37256,""en"",""it"")"),"Una telecamera si panoramica su un lavandino pieno di piatti seguiti da una donna che si faceva che si faceva che si faceva che si faceva jogging.")</f>
        <v>Una telecamera si panoramica su un lavandino pieno di piatti seguiti da una donna che si faceva che si faceva che si faceva che si faceva jogging.</v>
      </c>
    </row>
    <row r="37257">
      <c r="A37257" s="4" t="s">
        <v>46852</v>
      </c>
      <c r="B37257" s="4" t="s">
        <v>46854</v>
      </c>
      <c r="C37257" s="5" t="str">
        <f>IFERROR(__xludf.DUMMYFUNCTION("GOOGLETRANSLATE(B37257,""en"",""it"")"),"Balla con i piatti e guarda nella telecamera mentre li fa.")</f>
        <v>Balla con i piatti e guarda nella telecamera mentre li fa.</v>
      </c>
    </row>
    <row r="37258">
      <c r="A37258" s="4" t="s">
        <v>46852</v>
      </c>
      <c r="B37258" s="4" t="s">
        <v>46855</v>
      </c>
      <c r="C37258" s="5" t="str">
        <f>IFERROR(__xludf.DUMMYFUNCTION("GOOGLETRANSLATE(B37258,""en"",""it"")"),"Un timer conta quanti piatti è stata lavata e sorride alla telecamera.")</f>
        <v>Un timer conta quanti piatti è stata lavata e sorride alla telecamera.</v>
      </c>
    </row>
    <row r="37259">
      <c r="A37259" s="4" t="s">
        <v>46856</v>
      </c>
      <c r="B37259" s="4" t="s">
        <v>46857</v>
      </c>
      <c r="C37259" s="5" t="str">
        <f>IFERROR(__xludf.DUMMYFUNCTION("GOOGLETRANSLATE(B37259,""en"",""it"")"),"Un uomo parla nei boschi con una lattina e una catena chiave.")</f>
        <v>Un uomo parla nei boschi con una lattina e una catena chiave.</v>
      </c>
    </row>
    <row r="37260">
      <c r="A37260" s="4" t="s">
        <v>46856</v>
      </c>
      <c r="B37260" s="4" t="s">
        <v>46858</v>
      </c>
      <c r="C37260" s="5" t="str">
        <f>IFERROR(__xludf.DUMMYFUNCTION("GOOGLETRANSLATE(B37260,""en"",""it"")"),"Quindi, l'uomo prende la catena chiave e punta la parte inferiore della lattina.")</f>
        <v>Quindi, l'uomo prende la catena chiave e punta la parte inferiore della lattina.</v>
      </c>
    </row>
    <row r="37261">
      <c r="A37261" s="4" t="s">
        <v>46856</v>
      </c>
      <c r="B37261" s="6" t="s">
        <v>46859</v>
      </c>
      <c r="C37261" s="5" t="str">
        <f>IFERROR(__xludf.DUMMYFUNCTION("GOOGLETRANSLATE(B37261,""en"",""it"")"),"Dopo, l'uomo taglia la parte inferiore della lattina e apre intermedio la lattina e le bevande dal buco della lattina.")</f>
        <v>Dopo, l'uomo taglia la parte inferiore della lattina e apre intermedio la lattina e le bevande dal buco della lattina.</v>
      </c>
    </row>
    <row r="37262">
      <c r="A37262" s="4" t="s">
        <v>46860</v>
      </c>
      <c r="B37262" s="4" t="s">
        <v>46861</v>
      </c>
      <c r="C37262" s="5" t="str">
        <f>IFERROR(__xludf.DUMMYFUNCTION("GOOGLETRANSLATE(B37262,""en"",""it"")"),"Un elenco di ingredienti è mostrato scritto in un elenco.")</f>
        <v>Un elenco di ingredienti è mostrato scritto in un elenco.</v>
      </c>
    </row>
    <row r="37263">
      <c r="A37263" s="4" t="s">
        <v>46860</v>
      </c>
      <c r="B37263" s="4" t="s">
        <v>46862</v>
      </c>
      <c r="C37263" s="5" t="str">
        <f>IFERROR(__xludf.DUMMYFUNCTION("GOOGLETRANSLATE(B37263,""en"",""it"")"),"Le ciotole di vetro sono messe su un bancone con vari ingredienti per un piatto.")</f>
        <v>Le ciotole di vetro sono messe su un bancone con vari ingredienti per un piatto.</v>
      </c>
    </row>
    <row r="37264">
      <c r="A37264" s="4" t="s">
        <v>46860</v>
      </c>
      <c r="B37264" s="4" t="s">
        <v>46863</v>
      </c>
      <c r="C37264" s="5" t="str">
        <f>IFERROR(__xludf.DUMMYFUNCTION("GOOGLETRANSLATE(B37264,""en"",""it"")"),"Una persona misura e taglia la carta pergamena usando una scatola di cottura come guida.")</f>
        <v>Una persona misura e taglia la carta pergamena usando una scatola di cottura come guida.</v>
      </c>
    </row>
    <row r="37265">
      <c r="A37265" s="4" t="s">
        <v>46860</v>
      </c>
      <c r="B37265" s="4" t="s">
        <v>46864</v>
      </c>
      <c r="C37265" s="5" t="str">
        <f>IFERROR(__xludf.DUMMYFUNCTION("GOOGLETRANSLATE(B37265,""en"",""it"")"),"La persona misura gli ingredienti in una ciotola di vetro, quindi li aggiunge a un miscelatore elettrico per fondersi.")</f>
        <v>La persona misura gli ingredienti in una ciotola di vetro, quindi li aggiunge a un miscelatore elettrico per fondersi.</v>
      </c>
    </row>
    <row r="37266">
      <c r="A37266" s="4" t="s">
        <v>46860</v>
      </c>
      <c r="B37266" s="4" t="s">
        <v>46865</v>
      </c>
      <c r="C37266" s="5" t="str">
        <f>IFERROR(__xludf.DUMMYFUNCTION("GOOGLETRANSLATE(B37266,""en"",""it"")"),"La persona spazzola l'olio sulla carta pergamena, quindi lo mette in una latta di cottura.")</f>
        <v>La persona spazzola l'olio sulla carta pergamena, quindi lo mette in una latta di cottura.</v>
      </c>
    </row>
    <row r="37267">
      <c r="A37267" s="4" t="s">
        <v>46860</v>
      </c>
      <c r="B37267" s="4" t="s">
        <v>46866</v>
      </c>
      <c r="C37267" s="5" t="str">
        <f>IFERROR(__xludf.DUMMYFUNCTION("GOOGLETRANSLATE(B37267,""en"",""it"")"),"Le scatole vengono aggiunte a un forno per cucinare.")</f>
        <v>Le scatole vengono aggiunte a un forno per cucinare.</v>
      </c>
    </row>
    <row r="37268">
      <c r="A37268" s="4" t="s">
        <v>46860</v>
      </c>
      <c r="B37268" s="4" t="s">
        <v>46867</v>
      </c>
      <c r="C37268" s="5" t="str">
        <f>IFERROR(__xludf.DUMMYFUNCTION("GOOGLETRANSLATE(B37268,""en"",""it"")"),"Le scatole sono mostrate completamente cotte e quindi capovolte sulla torta vuota sul tavolo.")</f>
        <v>Le scatole sono mostrate completamente cotte e quindi capovolte sulla torta vuota sul tavolo.</v>
      </c>
    </row>
    <row r="37269">
      <c r="A37269" s="4" t="s">
        <v>46860</v>
      </c>
      <c r="B37269" s="4" t="s">
        <v>46868</v>
      </c>
      <c r="C37269" s="5" t="str">
        <f>IFERROR(__xludf.DUMMYFUNCTION("GOOGLETRANSLATE(B37269,""en"",""it"")"),"La carta pergamena viene staccata dalla torta.")</f>
        <v>La carta pergamena viene staccata dalla torta.</v>
      </c>
    </row>
    <row r="37270">
      <c r="A37270" s="4" t="s">
        <v>46860</v>
      </c>
      <c r="B37270" s="4" t="s">
        <v>46869</v>
      </c>
      <c r="C37270" s="5" t="str">
        <f>IFERROR(__xludf.DUMMYFUNCTION("GOOGLETRANSLATE(B37270,""en"",""it"")"),"La torta viene tagliata in pani con un coltello seghettato.")</f>
        <v>La torta viene tagliata in pani con un coltello seghettato.</v>
      </c>
    </row>
    <row r="37271">
      <c r="A37271" s="4" t="s">
        <v>46860</v>
      </c>
      <c r="B37271" s="4" t="s">
        <v>46870</v>
      </c>
      <c r="C37271" s="5" t="str">
        <f>IFERROR(__xludf.DUMMYFUNCTION("GOOGLETRANSLATE(B37271,""en"",""it"")"),"La torta è vista su piatti per servire.")</f>
        <v>La torta è vista su piatti per servire.</v>
      </c>
    </row>
    <row r="37272">
      <c r="A37272" s="4" t="s">
        <v>46871</v>
      </c>
      <c r="B37272" s="4" t="s">
        <v>46872</v>
      </c>
      <c r="C37272" s="5" t="str">
        <f>IFERROR(__xludf.DUMMYFUNCTION("GOOGLETRANSLATE(B37272,""en"",""it"")"),"Una donna sta aiutando un ragazzino a scivolare giù per una diapositiva.")</f>
        <v>Una donna sta aiutando un ragazzino a scivolare giù per una diapositiva.</v>
      </c>
    </row>
    <row r="37273">
      <c r="A37273" s="4" t="s">
        <v>46871</v>
      </c>
      <c r="B37273" s="6" t="s">
        <v>46873</v>
      </c>
      <c r="C37273" s="5" t="str">
        <f>IFERROR(__xludf.DUMMYFUNCTION("GOOGLETRANSLATE(B37273,""en"",""it"")"),"Una donna è in cima a una diapositiva che aiuta un ragazzino scivolare tra le braccia di un'altra persona in un giubbotto rosso.")</f>
        <v>Una donna è in cima a una diapositiva che aiuta un ragazzino scivolare tra le braccia di un'altra persona in un giubbotto rosso.</v>
      </c>
    </row>
    <row r="37274">
      <c r="A37274" s="4" t="s">
        <v>46871</v>
      </c>
      <c r="B37274" s="4" t="s">
        <v>46874</v>
      </c>
      <c r="C37274" s="5" t="str">
        <f>IFERROR(__xludf.DUMMYFUNCTION("GOOGLETRANSLATE(B37274,""en"",""it"")"),"Una donna sta aiutando il ragazzo a girare una diapositiva e la stessa persona nel giubbotto rosso li cattura.")</f>
        <v>Una donna sta aiutando il ragazzo a girare una diapositiva e la stessa persona nel giubbotto rosso li cattura.</v>
      </c>
    </row>
    <row r="37275">
      <c r="A37275" s="4" t="s">
        <v>46871</v>
      </c>
      <c r="B37275" s="4" t="s">
        <v>46875</v>
      </c>
      <c r="C37275" s="5" t="str">
        <f>IFERROR(__xludf.DUMMYFUNCTION("GOOGLETRANSLATE(B37275,""en"",""it"")"),"La persona nel giubbotto rosso ha quindi baciato il bambino.")</f>
        <v>La persona nel giubbotto rosso ha quindi baciato il bambino.</v>
      </c>
    </row>
    <row r="37276">
      <c r="A37276" s="4" t="s">
        <v>46876</v>
      </c>
      <c r="B37276" s="4" t="s">
        <v>21138</v>
      </c>
      <c r="C37276" s="5" t="str">
        <f>IFERROR(__xludf.DUMMYFUNCTION("GOOGLETRANSLATE(B37276,""en"",""it"")"),"Le ballerine ballano su un palco.")</f>
        <v>Le ballerine ballano su un palco.</v>
      </c>
    </row>
    <row r="37277">
      <c r="A37277" s="4" t="s">
        <v>46876</v>
      </c>
      <c r="B37277" s="4" t="s">
        <v>46877</v>
      </c>
      <c r="C37277" s="5" t="str">
        <f>IFERROR(__xludf.DUMMYFUNCTION("GOOGLETRANSLATE(B37277,""en"",""it"")"),"Vengono tutti sul palco e posano alla fine.")</f>
        <v>Vengono tutti sul palco e posano alla fine.</v>
      </c>
    </row>
    <row r="37278">
      <c r="A37278" s="4" t="s">
        <v>46876</v>
      </c>
      <c r="B37278" s="4" t="s">
        <v>46878</v>
      </c>
      <c r="C37278" s="5" t="str">
        <f>IFERROR(__xludf.DUMMYFUNCTION("GOOGLETRANSLATE(B37278,""en"",""it"")"),"Si inchinano e scendono dal palco.")</f>
        <v>Si inchinano e scendono dal palco.</v>
      </c>
    </row>
    <row r="37279">
      <c r="A37279" s="4" t="s">
        <v>46879</v>
      </c>
      <c r="B37279" s="4" t="s">
        <v>46880</v>
      </c>
      <c r="C37279" s="5" t="str">
        <f>IFERROR(__xludf.DUMMYFUNCTION("GOOGLETRANSLATE(B37279,""en"",""it"")"),"Una persona viene mostrata a ripulire l'esterno di un'auto.")</f>
        <v>Una persona viene mostrata a ripulire l'esterno di un'auto.</v>
      </c>
    </row>
    <row r="37280">
      <c r="A37280" s="4" t="s">
        <v>46879</v>
      </c>
      <c r="B37280" s="4" t="s">
        <v>46881</v>
      </c>
      <c r="C37280" s="5" t="str">
        <f>IFERROR(__xludf.DUMMYFUNCTION("GOOGLETRANSLATE(B37280,""en"",""it"")"),"L'auto viene quindi guidata all'interno di un negozio.")</f>
        <v>L'auto viene quindi guidata all'interno di un negozio.</v>
      </c>
    </row>
    <row r="37281">
      <c r="A37281" s="4" t="s">
        <v>46879</v>
      </c>
      <c r="B37281" s="4" t="s">
        <v>46882</v>
      </c>
      <c r="C37281" s="5" t="str">
        <f>IFERROR(__xludf.DUMMYFUNCTION("GOOGLETRANSLATE(B37281,""en"",""it"")"),"All'interno di un uomo ricomincia a dettagliare l'auto e pulire l'esterno.")</f>
        <v>All'interno di un uomo ricomincia a dettagliare l'auto e pulire l'esterno.</v>
      </c>
    </row>
    <row r="37282">
      <c r="A37282" s="4" t="s">
        <v>46879</v>
      </c>
      <c r="B37282" s="4" t="s">
        <v>46883</v>
      </c>
      <c r="C37282" s="5" t="str">
        <f>IFERROR(__xludf.DUMMYFUNCTION("GOOGLETRANSLATE(B37282,""en"",""it"")"),"Spray dipinge parti dell'auto.")</f>
        <v>Spray dipinge parti dell'auto.</v>
      </c>
    </row>
    <row r="37283">
      <c r="A37283" s="4" t="s">
        <v>46879</v>
      </c>
      <c r="B37283" s="4" t="s">
        <v>46884</v>
      </c>
      <c r="C37283" s="5" t="str">
        <f>IFERROR(__xludf.DUMMYFUNCTION("GOOGLETRANSLATE(B37283,""en"",""it"")"),"Spray più pulito all'interno e all'esterno dell'auto.")</f>
        <v>Spray più pulito all'interno e all'esterno dell'auto.</v>
      </c>
    </row>
    <row r="37284">
      <c r="A37284" s="4" t="s">
        <v>46879</v>
      </c>
      <c r="B37284" s="4" t="s">
        <v>46885</v>
      </c>
      <c r="C37284" s="5" t="str">
        <f>IFERROR(__xludf.DUMMYFUNCTION("GOOGLETRANSLATE(B37284,""en"",""it"")"),"Elimina tutte le superfici dall'interno e dall'esterno della macchina.")</f>
        <v>Elimina tutte le superfici dall'interno e dall'esterno della macchina.</v>
      </c>
    </row>
    <row r="37285">
      <c r="A37285" s="4" t="s">
        <v>46886</v>
      </c>
      <c r="B37285" s="4" t="s">
        <v>46887</v>
      </c>
      <c r="C37285" s="5" t="str">
        <f>IFERROR(__xludf.DUMMYFUNCTION("GOOGLETRANSLATE(B37285,""en"",""it"")"),"Due uomini giocano a un tavolo da calcio spostando i giocatori sulle canne.")</f>
        <v>Due uomini giocano a un tavolo da calcio spostando i giocatori sulle canne.</v>
      </c>
    </row>
    <row r="37286">
      <c r="A37286" s="4" t="s">
        <v>46886</v>
      </c>
      <c r="B37286" s="4" t="s">
        <v>46888</v>
      </c>
      <c r="C37286" s="5" t="str">
        <f>IFERROR(__xludf.DUMMYFUNCTION("GOOGLETRANSLATE(B37286,""en"",""it"")"),"Un uomo che indossa una camicia gialla accarezza l'asta forte per colpire la palla bianca.")</f>
        <v>Un uomo che indossa una camicia gialla accarezza l'asta forte per colpire la palla bianca.</v>
      </c>
    </row>
    <row r="37287">
      <c r="A37287" s="4" t="s">
        <v>46886</v>
      </c>
      <c r="B37287" s="4" t="s">
        <v>46889</v>
      </c>
      <c r="C37287" s="5" t="str">
        <f>IFERROR(__xludf.DUMMYFUNCTION("GOOGLETRANSLATE(B37287,""en"",""it"")"),"Una persona è in piedi sul tavolo del calcio.")</f>
        <v>Una persona è in piedi sul tavolo del calcio.</v>
      </c>
    </row>
    <row r="37288">
      <c r="A37288" s="4" t="s">
        <v>46890</v>
      </c>
      <c r="B37288" s="4" t="s">
        <v>46891</v>
      </c>
      <c r="C37288" s="5" t="str">
        <f>IFERROR(__xludf.DUMMYFUNCTION("GOOGLETRANSLATE(B37288,""en"",""it"")"),"Una mano viene mostrata lanciando un interruttore.")</f>
        <v>Una mano viene mostrata lanciando un interruttore.</v>
      </c>
    </row>
    <row r="37289">
      <c r="A37289" s="4" t="s">
        <v>46890</v>
      </c>
      <c r="B37289" s="4" t="s">
        <v>46892</v>
      </c>
      <c r="C37289" s="5" t="str">
        <f>IFERROR(__xludf.DUMMYFUNCTION("GOOGLETRANSLATE(B37289,""en"",""it"")"),"A è mostrato il tubo di un soffiatore di foglie.")</f>
        <v>A è mostrato il tubo di un soffiatore di foglie.</v>
      </c>
    </row>
    <row r="37290">
      <c r="A37290" s="4" t="s">
        <v>46890</v>
      </c>
      <c r="B37290" s="4" t="s">
        <v>46893</v>
      </c>
      <c r="C37290" s="5" t="str">
        <f>IFERROR(__xludf.DUMMYFUNCTION("GOOGLETRANSLATE(B37290,""en"",""it"")"),"Il tubo inizia a far esplodere con forza le foglie dalla telecamera.")</f>
        <v>Il tubo inizia a far esplodere con forza le foglie dalla telecamera.</v>
      </c>
    </row>
    <row r="37291">
      <c r="A37291" s="4" t="s">
        <v>46890</v>
      </c>
      <c r="B37291" s="6" t="s">
        <v>46894</v>
      </c>
      <c r="C37291" s="5" t="str">
        <f>IFERROR(__xludf.DUMMYFUNCTION("GOOGLETRANSLATE(B37291,""en"",""it"")"),"La persona che tiene il soffiatore a foglia fa oscillare ripetutamente il tubo sinistro per suonare le foglie in una pila.")</f>
        <v>La persona che tiene il soffiatore a foglia fa oscillare ripetutamente il tubo sinistro per suonare le foglie in una pila.</v>
      </c>
    </row>
    <row r="37292">
      <c r="A37292" s="4" t="s">
        <v>46895</v>
      </c>
      <c r="B37292" s="4" t="s">
        <v>46896</v>
      </c>
      <c r="C37292" s="5" t="str">
        <f>IFERROR(__xludf.DUMMYFUNCTION("GOOGLETRANSLATE(B37292,""en"",""it"")"),"Un video di sicurezza residenziale sta riproducendo e mostra un cortile e una strada vuoti.")</f>
        <v>Un video di sicurezza residenziale sta riproducendo e mostra un cortile e una strada vuoti.</v>
      </c>
    </row>
    <row r="37293">
      <c r="A37293" s="4" t="s">
        <v>46895</v>
      </c>
      <c r="B37293" s="6" t="s">
        <v>46897</v>
      </c>
      <c r="C37293" s="5" t="str">
        <f>IFERROR(__xludf.DUMMYFUNCTION("GOOGLETRANSLATE(B37293,""en"",""it"")"),"Un uomo che camminava due cani si presentano camminando sul lato più vicino alla telecamera, e nota rapidamente un altro cane dall'altra parte della strada che improvvisamente si fa strada, quindi cerca di stringere il guinzaglio dei suoi cani per ottener"&amp;"e il controllo di loro, ma il Un altro cane inizia a correre verso di loro e inizia ad attaccare i cani dell'uomo.")</f>
        <v>Un uomo che camminava due cani si presentano camminando sul lato più vicino alla telecamera, e nota rapidamente un altro cane dall'altra parte della strada che improvvisamente si fa strada, quindi cerca di stringere il guinzaglio dei suoi cani per ottenere il controllo di loro, ma il Un altro cane inizia a correre verso di loro e inizia ad attaccare i cani dell'uomo.</v>
      </c>
    </row>
    <row r="37294">
      <c r="A37294" s="4" t="s">
        <v>46895</v>
      </c>
      <c r="B37294" s="6" t="s">
        <v>46898</v>
      </c>
      <c r="C37294" s="5" t="str">
        <f>IFERROR(__xludf.DUMMYFUNCTION("GOOGLETRANSLATE(B37294,""en"",""it"")"),"L'uomo prende a calci il cane da attacco e cerca di riprendere il controllo dei suoi due cani mentre l'uomo e l'altro cane si trovano dall'altra parte della strada.")</f>
        <v>L'uomo prende a calci il cane da attacco e cerca di riprendere il controllo dei suoi due cani mentre l'uomo e l'altro cane si trovano dall'altra parte della strada.</v>
      </c>
    </row>
    <row r="37295">
      <c r="A37295" s="4" t="s">
        <v>46895</v>
      </c>
      <c r="B37295" s="4" t="s">
        <v>46899</v>
      </c>
      <c r="C37295" s="5" t="str">
        <f>IFERROR(__xludf.DUMMYFUNCTION("GOOGLETRANSLATE(B37295,""en"",""it"")"),"L'uomo raccoglie uno dei suoi cani e riprendono a camminare.")</f>
        <v>L'uomo raccoglie uno dei suoi cani e riprendono a camminare.</v>
      </c>
    </row>
    <row r="37296">
      <c r="A37296" s="4" t="s">
        <v>46900</v>
      </c>
      <c r="B37296" s="4" t="s">
        <v>46901</v>
      </c>
      <c r="C37296" s="5" t="str">
        <f>IFERROR(__xludf.DUMMYFUNCTION("GOOGLETRANSLATE(B37296,""en"",""it"")"),"Vediamo un uomo e un ragazzo che giocano facendo scorrere una cosa di plastica attorno al tavolo.")</f>
        <v>Vediamo un uomo e un ragazzo che giocano facendo scorrere una cosa di plastica attorno al tavolo.</v>
      </c>
    </row>
    <row r="37297">
      <c r="A37297" s="4" t="s">
        <v>46900</v>
      </c>
      <c r="B37297" s="4" t="s">
        <v>46902</v>
      </c>
      <c r="C37297" s="5" t="str">
        <f>IFERROR(__xludf.DUMMYFUNCTION("GOOGLETRANSLATE(B37297,""en"",""it"")"),"La fotocamera si sposta e vediamo più della stanza.")</f>
        <v>La fotocamera si sposta e vediamo più della stanza.</v>
      </c>
    </row>
    <row r="37298">
      <c r="A37298" s="4" t="s">
        <v>46900</v>
      </c>
      <c r="B37298" s="4" t="s">
        <v>46903</v>
      </c>
      <c r="C37298" s="5" t="str">
        <f>IFERROR(__xludf.DUMMYFUNCTION("GOOGLETRANSLATE(B37298,""en"",""it"")"),"L'angolazione della fotocamera cambia e li vediamo giocare da dietro.")</f>
        <v>L'angolazione della fotocamera cambia e li vediamo giocare da dietro.</v>
      </c>
    </row>
    <row r="37299">
      <c r="A37299" s="4" t="s">
        <v>46900</v>
      </c>
      <c r="B37299" s="4" t="s">
        <v>46904</v>
      </c>
      <c r="C37299" s="5" t="str">
        <f>IFERROR(__xludf.DUMMYFUNCTION("GOOGLETRANSLATE(B37299,""en"",""it"")"),"Una persona mano a sinistra entra nello schermo.")</f>
        <v>Una persona mano a sinistra entra nello schermo.</v>
      </c>
    </row>
    <row r="37300">
      <c r="A37300" s="4" t="s">
        <v>46900</v>
      </c>
      <c r="B37300" s="4" t="s">
        <v>46905</v>
      </c>
      <c r="C37300" s="5" t="str">
        <f>IFERROR(__xludf.DUMMYFUNCTION("GOOGLETRANSLATE(B37300,""en"",""it"")"),"L'angolo della fotocamera cambia di nuovo e siamo di fronte ai giocatori.")</f>
        <v>L'angolo della fotocamera cambia di nuovo e siamo di fronte ai giocatori.</v>
      </c>
    </row>
    <row r="37301">
      <c r="A37301" s="4" t="s">
        <v>46900</v>
      </c>
      <c r="B37301" s="4" t="s">
        <v>46906</v>
      </c>
      <c r="C37301" s="5" t="str">
        <f>IFERROR(__xludf.DUMMYFUNCTION("GOOGLETRANSLATE(B37301,""en"",""it"")"),"Vediamo un ragazzo in un maglione che muove una sedia per sedersi e unirsi al gioco.")</f>
        <v>Vediamo un ragazzo in un maglione che muove una sedia per sedersi e unirsi al gioco.</v>
      </c>
    </row>
    <row r="37302">
      <c r="A37302" s="4" t="s">
        <v>46907</v>
      </c>
      <c r="B37302" s="4" t="s">
        <v>46908</v>
      </c>
      <c r="C37302" s="5" t="str">
        <f>IFERROR(__xludf.DUMMYFUNCTION("GOOGLETRANSLATE(B37302,""en"",""it"")"),"Un bambino piccolo viene visto sorridere alla telecamera e poi inizia a ballare.")</f>
        <v>Un bambino piccolo viene visto sorridere alla telecamera e poi inizia a ballare.</v>
      </c>
    </row>
    <row r="37303">
      <c r="A37303" s="4" t="s">
        <v>46907</v>
      </c>
      <c r="B37303" s="4" t="s">
        <v>46909</v>
      </c>
      <c r="C37303" s="5" t="str">
        <f>IFERROR(__xludf.DUMMYFUNCTION("GOOGLETRANSLATE(B37303,""en"",""it"")"),"Il ragazzo continua a ballare mentre la telecamera lo cattura muovendosi su e giù.")</f>
        <v>Il ragazzo continua a ballare mentre la telecamera lo cattura muovendosi su e giù.</v>
      </c>
    </row>
    <row r="37304">
      <c r="A37304" s="4" t="s">
        <v>46910</v>
      </c>
      <c r="B37304" s="4" t="s">
        <v>46911</v>
      </c>
      <c r="C37304" s="5" t="str">
        <f>IFERROR(__xludf.DUMMYFUNCTION("GOOGLETRANSLATE(B37304,""en"",""it"")"),"Una bambina sta tenendo un compatto, asciugando il trucco contro la sua guancia.")</f>
        <v>Una bambina sta tenendo un compatto, asciugando il trucco contro la sua guancia.</v>
      </c>
    </row>
    <row r="37305">
      <c r="A37305" s="4" t="s">
        <v>46910</v>
      </c>
      <c r="B37305" s="6" t="s">
        <v>46912</v>
      </c>
      <c r="C37305" s="5" t="str">
        <f>IFERROR(__xludf.DUMMYFUNCTION("GOOGLETRANSLATE(B37305,""en"",""it"")"),"Si siede sul pavimento, continua a giocare con il trucco, aprendo e chiudendo il caso e asciugandosi sul suo viso.")</f>
        <v>Si siede sul pavimento, continua a giocare con il trucco, aprendo e chiudendo il caso e asciugandosi sul suo viso.</v>
      </c>
    </row>
    <row r="37306">
      <c r="A37306" s="4" t="s">
        <v>46913</v>
      </c>
      <c r="B37306" s="4" t="s">
        <v>46914</v>
      </c>
      <c r="C37306" s="5" t="str">
        <f>IFERROR(__xludf.DUMMYFUNCTION("GOOGLETRANSLATE(B37306,""en"",""it"")"),"Tre uomini stanno camminando con i palafitte.")</f>
        <v>Tre uomini stanno camminando con i palafitte.</v>
      </c>
    </row>
    <row r="37307">
      <c r="A37307" s="4" t="s">
        <v>46913</v>
      </c>
      <c r="B37307" s="4" t="s">
        <v>46915</v>
      </c>
      <c r="C37307" s="5" t="str">
        <f>IFERROR(__xludf.DUMMYFUNCTION("GOOGLETRANSLATE(B37307,""en"",""it"")"),"Uno degli uomini con palafitte si divide al centro.")</f>
        <v>Uno degli uomini con palafitte si divide al centro.</v>
      </c>
    </row>
    <row r="37308">
      <c r="A37308" s="4" t="s">
        <v>46913</v>
      </c>
      <c r="B37308" s="4" t="s">
        <v>46916</v>
      </c>
      <c r="C37308" s="5" t="str">
        <f>IFERROR(__xludf.DUMMYFUNCTION("GOOGLETRANSLATE(B37308,""en"",""it"")"),"Uno degli uomini saltò così in alto con le sue trampoli.")</f>
        <v>Uno degli uomini saltò così in alto con le sue trampoli.</v>
      </c>
    </row>
    <row r="37309">
      <c r="A37309" s="4" t="s">
        <v>46917</v>
      </c>
      <c r="B37309" s="4" t="s">
        <v>46918</v>
      </c>
      <c r="C37309" s="5" t="str">
        <f>IFERROR(__xludf.DUMMYFUNCTION("GOOGLETRANSLATE(B37309,""en"",""it"")"),"Una ginnasta sta aspettando pazientemente di iniziare le sue prestazioni.")</f>
        <v>Una ginnasta sta aspettando pazientemente di iniziare le sue prestazioni.</v>
      </c>
    </row>
    <row r="37310">
      <c r="A37310" s="4" t="s">
        <v>46917</v>
      </c>
      <c r="B37310" s="4" t="s">
        <v>46919</v>
      </c>
      <c r="C37310" s="5" t="str">
        <f>IFERROR(__xludf.DUMMYFUNCTION("GOOGLETRANSLATE(B37310,""en"",""it"")"),"Salta sul tabellone e inizia a girare molto velocemente prima di saltare e camminare.")</f>
        <v>Salta sul tabellone e inizia a girare molto velocemente prima di saltare e camminare.</v>
      </c>
    </row>
    <row r="37311">
      <c r="A37311" s="4" t="s">
        <v>46917</v>
      </c>
      <c r="B37311" s="6" t="s">
        <v>46920</v>
      </c>
      <c r="C37311" s="5" t="str">
        <f>IFERROR(__xludf.DUMMYFUNCTION("GOOGLETRANSLATE(B37311,""en"",""it"")"),"Prende un respiro e il pubblico applaude per lui prima di saltarci su e ricominciare a girare.")</f>
        <v>Prende un respiro e il pubblico applaude per lui prima di saltarci su e ricominciare a girare.</v>
      </c>
    </row>
    <row r="37312">
      <c r="A37312" s="4" t="s">
        <v>46917</v>
      </c>
      <c r="B37312" s="6" t="s">
        <v>46921</v>
      </c>
      <c r="C37312" s="5" t="str">
        <f>IFERROR(__xludf.DUMMYFUNCTION("GOOGLETRANSLATE(B37312,""en"",""it"")"),"Quando ha finito, cammina e scuote le mani con tutti i compagni di squadra, prima di salire sull'ultima volta.")</f>
        <v>Quando ha finito, cammina e scuote le mani con tutti i compagni di squadra, prima di salire sull'ultima volta.</v>
      </c>
    </row>
    <row r="37313">
      <c r="A37313" s="4" t="s">
        <v>46922</v>
      </c>
      <c r="B37313" s="4" t="s">
        <v>46923</v>
      </c>
      <c r="C37313" s="5" t="str">
        <f>IFERROR(__xludf.DUMMYFUNCTION("GOOGLETRANSLATE(B37313,""en"",""it"")"),"Un uomo con una camicia blu si muove per scattare il suo tiro.")</f>
        <v>Un uomo con una camicia blu si muove per scattare il suo tiro.</v>
      </c>
    </row>
    <row r="37314">
      <c r="A37314" s="4" t="s">
        <v>46922</v>
      </c>
      <c r="B37314" s="4" t="s">
        <v>46924</v>
      </c>
      <c r="C37314" s="5" t="str">
        <f>IFERROR(__xludf.DUMMYFUNCTION("GOOGLETRANSLATE(B37314,""en"",""it"")"),"Quindi parla con gli altri uomini.")</f>
        <v>Quindi parla con gli altri uomini.</v>
      </c>
    </row>
    <row r="37315">
      <c r="A37315" s="4" t="s">
        <v>46922</v>
      </c>
      <c r="B37315" s="4" t="s">
        <v>46925</v>
      </c>
      <c r="C37315" s="5" t="str">
        <f>IFERROR(__xludf.DUMMYFUNCTION("GOOGLETRANSLATE(B37315,""en"",""it"")"),"L'uomo in nero si sposta dal tiro.")</f>
        <v>L'uomo in nero si sposta dal tiro.</v>
      </c>
    </row>
    <row r="37316">
      <c r="A37316" s="4" t="s">
        <v>46922</v>
      </c>
      <c r="B37316" s="4" t="s">
        <v>46926</v>
      </c>
      <c r="C37316" s="5" t="str">
        <f>IFERROR(__xludf.DUMMYFUNCTION("GOOGLETRANSLATE(B37316,""en"",""it"")"),"L'uomo in nero e blu getta le mani in aria.")</f>
        <v>L'uomo in nero e blu getta le mani in aria.</v>
      </c>
    </row>
    <row r="37317">
      <c r="A37317" s="4" t="s">
        <v>46922</v>
      </c>
      <c r="B37317" s="4" t="s">
        <v>46927</v>
      </c>
      <c r="C37317" s="5" t="str">
        <f>IFERROR(__xludf.DUMMYFUNCTION("GOOGLETRANSLATE(B37317,""en"",""it"")"),"Tutti gli uomini scoppiano e reagiscono selvaggiamente all'ultimo scatto.")</f>
        <v>Tutti gli uomini scoppiano e reagiscono selvaggiamente all'ultimo scatto.</v>
      </c>
    </row>
    <row r="37318">
      <c r="A37318" s="4" t="s">
        <v>46928</v>
      </c>
      <c r="B37318" s="4" t="s">
        <v>4423</v>
      </c>
      <c r="C37318" s="5" t="str">
        <f>IFERROR(__xludf.DUMMYFUNCTION("GOOGLETRANSLATE(B37318,""en"",""it"")"),"Le persone stanno snowboard lungo una collina di neve.")</f>
        <v>Le persone stanno snowboard lungo una collina di neve.</v>
      </c>
    </row>
    <row r="37319">
      <c r="A37319" s="4" t="s">
        <v>46928</v>
      </c>
      <c r="B37319" s="4" t="s">
        <v>46929</v>
      </c>
      <c r="C37319" s="5" t="str">
        <f>IFERROR(__xludf.DUMMYFUNCTION("GOOGLETRANSLATE(B37319,""en"",""it"")"),"Stanno seduti a bere caffè.")</f>
        <v>Stanno seduti a bere caffè.</v>
      </c>
    </row>
    <row r="37320">
      <c r="A37320" s="4" t="s">
        <v>46928</v>
      </c>
      <c r="B37320" s="4" t="s">
        <v>46930</v>
      </c>
      <c r="C37320" s="5" t="str">
        <f>IFERROR(__xludf.DUMMYFUNCTION("GOOGLETRANSLATE(B37320,""en"",""it"")"),"Sono in piedi accanto a un corpo d'acqua.")</f>
        <v>Sono in piedi accanto a un corpo d'acqua.</v>
      </c>
    </row>
    <row r="37321">
      <c r="A37321" s="4" t="s">
        <v>46928</v>
      </c>
      <c r="B37321" s="4" t="s">
        <v>46931</v>
      </c>
      <c r="C37321" s="5" t="str">
        <f>IFERROR(__xludf.DUMMYFUNCTION("GOOGLETRANSLATE(B37321,""en"",""it"")"),"Stanno di nuovo snowboard giù da una collina.")</f>
        <v>Stanno di nuovo snowboard giù da una collina.</v>
      </c>
    </row>
    <row r="37322">
      <c r="A37322" s="4" t="s">
        <v>46928</v>
      </c>
      <c r="B37322" s="4" t="s">
        <v>46932</v>
      </c>
      <c r="C37322" s="5" t="str">
        <f>IFERROR(__xludf.DUMMYFUNCTION("GOOGLETRANSLATE(B37322,""en"",""it"")"),"Una ragazza sta sdraiando dormendo.")</f>
        <v>Una ragazza sta sdraiando dormendo.</v>
      </c>
    </row>
    <row r="37323">
      <c r="A37323" s="4" t="s">
        <v>46928</v>
      </c>
      <c r="B37323" s="4" t="s">
        <v>46933</v>
      </c>
      <c r="C37323" s="5" t="str">
        <f>IFERROR(__xludf.DUMMYFUNCTION("GOOGLETRANSLATE(B37323,""en"",""it"")"),"Stanno cenando intorno a un tavolo.")</f>
        <v>Stanno cenando intorno a un tavolo.</v>
      </c>
    </row>
    <row r="37324">
      <c r="A37324" s="4" t="s">
        <v>46928</v>
      </c>
      <c r="B37324" s="4" t="s">
        <v>46934</v>
      </c>
      <c r="C37324" s="5" t="str">
        <f>IFERROR(__xludf.DUMMYFUNCTION("GOOGLETRANSLATE(B37324,""en"",""it"")"),"Lasciano i loro snowboard e camminano in una cabina.")</f>
        <v>Lasciano i loro snowboard e camminano in una cabina.</v>
      </c>
    </row>
    <row r="37325">
      <c r="A37325" s="4" t="s">
        <v>46935</v>
      </c>
      <c r="B37325" s="4" t="s">
        <v>46936</v>
      </c>
      <c r="C37325" s="5" t="str">
        <f>IFERROR(__xludf.DUMMYFUNCTION("GOOGLETRANSLATE(B37325,""en"",""it"")"),"Una donna è in piedi davanti a un albero di Natale, applicando una corona.")</f>
        <v>Una donna è in piedi davanti a un albero di Natale, applicando una corona.</v>
      </c>
    </row>
    <row r="37326">
      <c r="A37326" s="4" t="s">
        <v>46935</v>
      </c>
      <c r="B37326" s="4" t="s">
        <v>46937</v>
      </c>
      <c r="C37326" s="5" t="str">
        <f>IFERROR(__xludf.DUMMYFUNCTION("GOOGLETRANSLATE(B37326,""en"",""it"")"),"Quindi appende luci e ornamenti.")</f>
        <v>Quindi appende luci e ornamenti.</v>
      </c>
    </row>
    <row r="37327">
      <c r="A37327" s="4" t="s">
        <v>46935</v>
      </c>
      <c r="B37327" s="4" t="s">
        <v>46938</v>
      </c>
      <c r="C37327" s="5" t="str">
        <f>IFERROR(__xludf.DUMMYFUNCTION("GOOGLETRANSLATE(B37327,""en"",""it"")"),"Alla fine, regola gli ornamenti e aggiunge una stella alla parte superiore dell'albero.")</f>
        <v>Alla fine, regola gli ornamenti e aggiunge una stella alla parte superiore dell'albero.</v>
      </c>
    </row>
    <row r="37328">
      <c r="A37328" s="4" t="s">
        <v>46939</v>
      </c>
      <c r="B37328" s="4" t="s">
        <v>46940</v>
      </c>
      <c r="C37328" s="5" t="str">
        <f>IFERROR(__xludf.DUMMYFUNCTION("GOOGLETRANSLATE(B37328,""en"",""it"")"),"Un uomo è seduto sulla roccia, quindi le persone stanno arrampicando le grandi rocce senza imbracatura.")</f>
        <v>Un uomo è seduto sulla roccia, quindi le persone stanno arrampicando le grandi rocce senza imbracatura.</v>
      </c>
    </row>
    <row r="37329">
      <c r="A37329" s="4" t="s">
        <v>46939</v>
      </c>
      <c r="B37329" s="4" t="s">
        <v>46941</v>
      </c>
      <c r="C37329" s="5" t="str">
        <f>IFERROR(__xludf.DUMMYFUNCTION("GOOGLETRANSLATE(B37329,""en"",""it"")"),"Le persone camminano in una corda attaccata a due alberi.")</f>
        <v>Le persone camminano in una corda attaccata a due alberi.</v>
      </c>
    </row>
    <row r="37330">
      <c r="A37330" s="4" t="s">
        <v>46942</v>
      </c>
      <c r="B37330" s="4" t="s">
        <v>46943</v>
      </c>
      <c r="C37330" s="5" t="str">
        <f>IFERROR(__xludf.DUMMYFUNCTION("GOOGLETRANSLATE(B37330,""en"",""it"")"),"Il testo appare sullo schermo per quanto riguarda il caffè che è negativo per la tua salute.")</f>
        <v>Il testo appare sullo schermo per quanto riguarda il caffè che è negativo per la tua salute.</v>
      </c>
    </row>
    <row r="37331">
      <c r="A37331" s="4" t="s">
        <v>46942</v>
      </c>
      <c r="B37331" s="6" t="s">
        <v>46944</v>
      </c>
      <c r="C37331" s="5" t="str">
        <f>IFERROR(__xludf.DUMMYFUNCTION("GOOGLETRANSLATE(B37331,""en"",""it"")"),"Viene quindi menzionato con il testo sullo schermo che può portare alla pressione alta, viene quindi detto che può danneggiare la crescita dei capelli e che non ha nutrienti vitali.")</f>
        <v>Viene quindi menzionato con il testo sullo schermo che può portare alla pressione alta, viene quindi detto che può danneggiare la crescita dei capelli e che non ha nutrienti vitali.</v>
      </c>
    </row>
    <row r="37332">
      <c r="A37332" s="4" t="s">
        <v>46942</v>
      </c>
      <c r="B37332" s="6" t="s">
        <v>46945</v>
      </c>
      <c r="C37332" s="5" t="str">
        <f>IFERROR(__xludf.DUMMYFUNCTION("GOOGLETRANSLATE(B37332,""en"",""it"")"),"Viene quindi dimostrato che ci sono benefici e che si dovrebbe moderare l'assunzione per mantenere un equilibrio.")</f>
        <v>Viene quindi dimostrato che ci sono benefici e che si dovrebbe moderare l'assunzione per mantenere un equilibrio.</v>
      </c>
    </row>
    <row r="37333">
      <c r="A37333" s="4" t="s">
        <v>46942</v>
      </c>
      <c r="B37333" s="4" t="s">
        <v>46946</v>
      </c>
      <c r="C37333" s="5" t="str">
        <f>IFERROR(__xludf.DUMMYFUNCTION("GOOGLETRANSLATE(B37333,""en"",""it"")"),"Viene quindi mostrato un sito Web per ottenere maggiori informazioni su questo argomento.")</f>
        <v>Viene quindi mostrato un sito Web per ottenere maggiori informazioni su questo argomento.</v>
      </c>
    </row>
    <row r="37334">
      <c r="A37334" s="4" t="s">
        <v>46947</v>
      </c>
      <c r="B37334" s="4" t="s">
        <v>46948</v>
      </c>
      <c r="C37334" s="5" t="str">
        <f>IFERROR(__xludf.DUMMYFUNCTION("GOOGLETRANSLATE(B37334,""en"",""it"")"),"Diversi bambini piccoli sono in palestra giocando a parete Dodge con palline rosse di medie dimensioni.")</f>
        <v>Diversi bambini piccoli sono in palestra giocando a parete Dodge con palline rosse di medie dimensioni.</v>
      </c>
    </row>
    <row r="37335">
      <c r="A37335" s="4" t="s">
        <v>46947</v>
      </c>
      <c r="B37335" s="6" t="s">
        <v>46949</v>
      </c>
      <c r="C37335" s="5" t="str">
        <f>IFERROR(__xludf.DUMMYFUNCTION("GOOGLETRANSLATE(B37335,""en"",""it"")"),"Mentre lanciano le palle, una bambina cerca di unirsi all'azione e inizia a seguirle e correre da un lato all'altro del campo per inseguire le palle.")</f>
        <v>Mentre lanciano le palle, una bambina cerca di unirsi all'azione e inizia a seguirle e correre da un lato all'altro del campo per inseguire le palle.</v>
      </c>
    </row>
    <row r="37336">
      <c r="A37336" s="4" t="s">
        <v>46950</v>
      </c>
      <c r="B37336" s="4" t="s">
        <v>46951</v>
      </c>
      <c r="C37336" s="5" t="str">
        <f>IFERROR(__xludf.DUMMYFUNCTION("GOOGLETRANSLATE(B37336,""en"",""it"")"),"Una donna è sdraiata, sfoggiando un tatuaggio dalla sua parte.")</f>
        <v>Una donna è sdraiata, sfoggiando un tatuaggio dalla sua parte.</v>
      </c>
    </row>
    <row r="37337">
      <c r="A37337" s="4" t="s">
        <v>46950</v>
      </c>
      <c r="B37337" s="4" t="s">
        <v>46952</v>
      </c>
      <c r="C37337" s="5" t="str">
        <f>IFERROR(__xludf.DUMMYFUNCTION("GOOGLETRANSLATE(B37337,""en"",""it"")"),"Un uomo in una maschera chirurgica la sta preparando mentre continua il suo lavoro sul tatuaggio.")</f>
        <v>Un uomo in una maschera chirurgica la sta preparando mentre continua il suo lavoro sul tatuaggio.</v>
      </c>
    </row>
    <row r="37338">
      <c r="A37338" s="4" t="s">
        <v>46950</v>
      </c>
      <c r="B37338" s="4" t="s">
        <v>46953</v>
      </c>
      <c r="C37338" s="5" t="str">
        <f>IFERROR(__xludf.DUMMYFUNCTION("GOOGLETRANSLATE(B37338,""en"",""it"")"),"Pulisce e si asciuga il tatuaggio.")</f>
        <v>Pulisce e si asciuga il tatuaggio.</v>
      </c>
    </row>
    <row r="37339">
      <c r="A37339" s="4" t="s">
        <v>46950</v>
      </c>
      <c r="B37339" s="4" t="s">
        <v>46954</v>
      </c>
      <c r="C37339" s="5" t="str">
        <f>IFERROR(__xludf.DUMMYFUNCTION("GOOGLETRANSLATE(B37339,""en"",""it"")"),"Ha finito, sfoggiando il prodotto finale.")</f>
        <v>Ha finito, sfoggiando il prodotto finale.</v>
      </c>
    </row>
    <row r="37340">
      <c r="A37340" s="4" t="s">
        <v>46955</v>
      </c>
      <c r="B37340" s="6" t="s">
        <v>46956</v>
      </c>
      <c r="C37340" s="5" t="str">
        <f>IFERROR(__xludf.DUMMYFUNCTION("GOOGLETRANSLATE(B37340,""en"",""it"")"),"Un uomo tiene in mano un altro uomo sulle spalle su un anello di wrestling mentre la folla esulta e osserva.")</f>
        <v>Un uomo tiene in mano un altro uomo sulle spalle su un anello di wrestling mentre la folla esulta e osserva.</v>
      </c>
    </row>
    <row r="37341">
      <c r="A37341" s="4" t="s">
        <v>46955</v>
      </c>
      <c r="B37341" s="4" t="s">
        <v>46957</v>
      </c>
      <c r="C37341" s="5" t="str">
        <f>IFERROR(__xludf.DUMMYFUNCTION("GOOGLETRANSLATE(B37341,""en"",""it"")"),"L'uomo getta l'uomo sulla spalla a terra.")</f>
        <v>L'uomo getta l'uomo sulla spalla a terra.</v>
      </c>
    </row>
    <row r="37342">
      <c r="A37342" s="4" t="s">
        <v>46955</v>
      </c>
      <c r="B37342" s="4" t="s">
        <v>46958</v>
      </c>
      <c r="C37342" s="5" t="str">
        <f>IFERROR(__xludf.DUMMYFUNCTION("GOOGLETRANSLATE(B37342,""en"",""it"")"),"Entrambi gli uomini giacevano a terra che suonava.")</f>
        <v>Entrambi gli uomini giacevano a terra che suonava.</v>
      </c>
    </row>
    <row r="37343">
      <c r="A37343" s="4" t="s">
        <v>46959</v>
      </c>
      <c r="B37343" s="4" t="s">
        <v>46960</v>
      </c>
      <c r="C37343" s="5" t="str">
        <f>IFERROR(__xludf.DUMMYFUNCTION("GOOGLETRANSLATE(B37343,""en"",""it"")"),"Le squadre stanno giocando a Fusal in una piccola corte che corre da un lato dell'Indattore.")</f>
        <v>Le squadre stanno giocando a Fusal in una piccola corte che corre da un lato dell'Indattore.</v>
      </c>
    </row>
    <row r="37344">
      <c r="A37344" s="4" t="s">
        <v>46959</v>
      </c>
      <c r="B37344" s="4" t="s">
        <v>46961</v>
      </c>
      <c r="C37344" s="5" t="str">
        <f>IFERROR(__xludf.DUMMYFUNCTION("GOOGLETRANSLATE(B37344,""en"",""it"")"),"Molte persone celebrano il Vicory e l'abbraccio.")</f>
        <v>Molte persone celebrano il Vicory e l'abbraccio.</v>
      </c>
    </row>
    <row r="37345">
      <c r="A37345" s="4" t="s">
        <v>46962</v>
      </c>
      <c r="B37345" s="4" t="s">
        <v>46963</v>
      </c>
      <c r="C37345" s="5" t="str">
        <f>IFERROR(__xludf.DUMMYFUNCTION("GOOGLETRANSLATE(B37345,""en"",""it"")"),"Una persona viene vista camminare nella cornice con un bar tra le mani.")</f>
        <v>Una persona viene vista camminare nella cornice con un bar tra le mani.</v>
      </c>
    </row>
    <row r="37346">
      <c r="A37346" s="4" t="s">
        <v>46962</v>
      </c>
      <c r="B37346" s="4" t="s">
        <v>46964</v>
      </c>
      <c r="C37346" s="5" t="str">
        <f>IFERROR(__xludf.DUMMYFUNCTION("GOOGLETRANSLATE(B37346,""en"",""it"")"),"Mette giù la barra e inizia a esercitarsi in modo omero mentre parla al pubblico.")</f>
        <v>Mette giù la barra e inizia a esercitarsi in modo omero mentre parla al pubblico.</v>
      </c>
    </row>
    <row r="37347">
      <c r="A37347" s="4" t="s">
        <v>46962</v>
      </c>
      <c r="B37347" s="4" t="s">
        <v>46965</v>
      </c>
      <c r="C37347" s="5" t="str">
        <f>IFERROR(__xludf.DUMMYFUNCTION("GOOGLETRANSLATE(B37347,""en"",""it"")"),"Il pubblico ride dei suoi movimenti mentre continua a muoversi e ballare sul palco.")</f>
        <v>Il pubblico ride dei suoi movimenti mentre continua a muoversi e ballare sul palco.</v>
      </c>
    </row>
    <row r="37348">
      <c r="A37348" s="4" t="s">
        <v>46966</v>
      </c>
      <c r="B37348" s="4" t="s">
        <v>46967</v>
      </c>
      <c r="C37348" s="5" t="str">
        <f>IFERROR(__xludf.DUMMYFUNCTION("GOOGLETRANSLATE(B37348,""en"",""it"")"),"Viene visto un uomo calvo parlare con la telecamera mentre un altro uomo si trova sopra di lui e si taglia i capelli.")</f>
        <v>Viene visto un uomo calvo parlare con la telecamera mentre un altro uomo si trova sopra di lui e si taglia i capelli.</v>
      </c>
    </row>
    <row r="37349">
      <c r="A37349" s="4" t="s">
        <v>46966</v>
      </c>
      <c r="B37349" s="4" t="s">
        <v>46968</v>
      </c>
      <c r="C37349" s="5" t="str">
        <f>IFERROR(__xludf.DUMMYFUNCTION("GOOGLETRANSLATE(B37349,""en"",""it"")"),"L'uomo seduto si strofina la mano e tiene il viso tra le mani.")</f>
        <v>L'uomo seduto si strofina la mano e tiene il viso tra le mani.</v>
      </c>
    </row>
    <row r="37350">
      <c r="A37350" s="4" t="s">
        <v>46969</v>
      </c>
      <c r="B37350" s="4" t="s">
        <v>46970</v>
      </c>
      <c r="C37350" s="5" t="str">
        <f>IFERROR(__xludf.DUMMYFUNCTION("GOOGLETRANSLATE(B37350,""en"",""it"")"),"Una persona è vista seduta dietro un tavolo con uno che tiene un pezzo di carta intorno a lui.")</f>
        <v>Una persona è vista seduta dietro un tavolo con uno che tiene un pezzo di carta intorno a lui.</v>
      </c>
    </row>
    <row r="37351">
      <c r="A37351" s="4" t="s">
        <v>46969</v>
      </c>
      <c r="B37351" s="4" t="s">
        <v>46971</v>
      </c>
      <c r="C37351" s="5" t="str">
        <f>IFERROR(__xludf.DUMMYFUNCTION("GOOGLETRANSLATE(B37351,""en"",""it"")"),"L'uomo tenta quindi di risolvere un cubo Rubix mentre un timer prende il suo punteggio.")</f>
        <v>L'uomo tenta quindi di risolvere un cubo Rubix mentre un timer prende il suo punteggio.</v>
      </c>
    </row>
    <row r="37352">
      <c r="A37352" s="4" t="s">
        <v>46969</v>
      </c>
      <c r="B37352" s="6" t="s">
        <v>46972</v>
      </c>
      <c r="C37352" s="5" t="str">
        <f>IFERROR(__xludf.DUMMYFUNCTION("GOOGLETRANSLATE(B37352,""en"",""it"")"),"L'uomo scrive la sua colonna sonora e l'uomo tenta di risolvere il cubo più volte mentre il ragazzo aiuta.")</f>
        <v>L'uomo scrive la sua colonna sonora e l'uomo tenta di risolvere il cubo più volte mentre il ragazzo aiuta.</v>
      </c>
    </row>
    <row r="37353">
      <c r="A37353" s="4" t="s">
        <v>46973</v>
      </c>
      <c r="B37353" s="4" t="s">
        <v>46974</v>
      </c>
      <c r="C37353" s="5" t="str">
        <f>IFERROR(__xludf.DUMMYFUNCTION("GOOGLETRANSLATE(B37353,""en"",""it"")"),"Un uomo che parla di come affitterà i coltelli oggi.")</f>
        <v>Un uomo che parla di come affitterà i coltelli oggi.</v>
      </c>
    </row>
    <row r="37354">
      <c r="A37354" s="4" t="s">
        <v>46973</v>
      </c>
      <c r="B37354" s="4" t="s">
        <v>46975</v>
      </c>
      <c r="C37354" s="5" t="str">
        <f>IFERROR(__xludf.DUMMYFUNCTION("GOOGLETRANSLATE(B37354,""en"",""it"")"),"Mostra lo strumento che userà che si chiama Chefs Choice.")</f>
        <v>Mostra lo strumento che userà che si chiama Chefs Choice.</v>
      </c>
    </row>
    <row r="37355">
      <c r="A37355" s="4" t="s">
        <v>46973</v>
      </c>
      <c r="B37355" s="4" t="s">
        <v>46976</v>
      </c>
      <c r="C37355" s="5" t="str">
        <f>IFERROR(__xludf.DUMMYFUNCTION("GOOGLETRANSLATE(B37355,""en"",""it"")"),"Mostra come usarlo e come puoi usarlo con entrambe le mani.")</f>
        <v>Mostra come usarlo e come puoi usarlo con entrambe le mani.</v>
      </c>
    </row>
    <row r="37356">
      <c r="A37356" s="4" t="s">
        <v>46973</v>
      </c>
      <c r="B37356" s="4" t="s">
        <v>46977</v>
      </c>
      <c r="C37356" s="5" t="str">
        <f>IFERROR(__xludf.DUMMYFUNCTION("GOOGLETRANSLATE(B37356,""en"",""it"")"),"Quindi inizia ad affinare uno dei suoi coltelli.")</f>
        <v>Quindi inizia ad affinare uno dei suoi coltelli.</v>
      </c>
    </row>
    <row r="37357">
      <c r="A37357" s="4" t="s">
        <v>46973</v>
      </c>
      <c r="B37357" s="4" t="s">
        <v>46978</v>
      </c>
      <c r="C37357" s="5" t="str">
        <f>IFERROR(__xludf.DUMMYFUNCTION("GOOGLETRANSLATE(B37357,""en"",""it"")"),"Dopo aver finito di affilarlo, dimostra con un pomodoro quanto sia utile.")</f>
        <v>Dopo aver finito di affilarlo, dimostra con un pomodoro quanto sia utile.</v>
      </c>
    </row>
    <row r="37358">
      <c r="A37358" s="4" t="s">
        <v>46979</v>
      </c>
      <c r="B37358" s="4" t="s">
        <v>46980</v>
      </c>
      <c r="C37358" s="5" t="str">
        <f>IFERROR(__xludf.DUMMYFUNCTION("GOOGLETRANSLATE(B37358,""en"",""it"")"),"Un lavoratore medico è seduto a un tavolo con una donna e parla con la telecamera.")</f>
        <v>Un lavoratore medico è seduto a un tavolo con una donna e parla con la telecamera.</v>
      </c>
    </row>
    <row r="37359">
      <c r="A37359" s="4" t="s">
        <v>46979</v>
      </c>
      <c r="B37359" s="4" t="s">
        <v>46981</v>
      </c>
      <c r="C37359" s="5" t="str">
        <f>IFERROR(__xludf.DUMMYFUNCTION("GOOGLETRANSLATE(B37359,""en"",""it"")"),"Muove una lattina e tocca altre due lattine.")</f>
        <v>Muove una lattina e tocca altre due lattine.</v>
      </c>
    </row>
    <row r="37360">
      <c r="A37360" s="4" t="s">
        <v>46979</v>
      </c>
      <c r="B37360" s="4" t="s">
        <v>46982</v>
      </c>
      <c r="C37360" s="5" t="str">
        <f>IFERROR(__xludf.DUMMYFUNCTION("GOOGLETRANSLATE(B37360,""en"",""it"")"),"Prende una lattina e la spruzza sul braccio della donna e lo strofina.")</f>
        <v>Prende una lattina e la spruzza sul braccio della donna e lo strofina.</v>
      </c>
    </row>
    <row r="37361">
      <c r="A37361" s="4" t="s">
        <v>46979</v>
      </c>
      <c r="B37361" s="4" t="s">
        <v>46983</v>
      </c>
      <c r="C37361" s="5" t="str">
        <f>IFERROR(__xludf.DUMMYFUNCTION("GOOGLETRANSLATE(B37361,""en"",""it"")"),"Raccoglie un'altra lattina e ne parla, quindi gli spruzza il braccio e si strofina la crema.")</f>
        <v>Raccoglie un'altra lattina e ne parla, quindi gli spruzza il braccio e si strofina la crema.</v>
      </c>
    </row>
    <row r="37362">
      <c r="A37362" s="4" t="s">
        <v>46979</v>
      </c>
      <c r="B37362" s="4" t="s">
        <v>46984</v>
      </c>
      <c r="C37362" s="5" t="str">
        <f>IFERROR(__xludf.DUMMYFUNCTION("GOOGLETRANSLATE(B37362,""en"",""it"")"),"Raccoglie un terzo contenitore e se lo mette sul braccio e lo strofina anche.")</f>
        <v>Raccoglie un terzo contenitore e se lo mette sul braccio e lo strofina anche.</v>
      </c>
    </row>
    <row r="37363">
      <c r="A37363" s="4" t="s">
        <v>46979</v>
      </c>
      <c r="B37363" s="4" t="s">
        <v>46985</v>
      </c>
      <c r="C37363" s="5" t="str">
        <f>IFERROR(__xludf.DUMMYFUNCTION("GOOGLETRANSLATE(B37363,""en"",""it"")"),"Raccoglie un quarto tubo e le mette la crema sulla mano e la strofina.")</f>
        <v>Raccoglie un quarto tubo e le mette la crema sulla mano e la strofina.</v>
      </c>
    </row>
    <row r="37364">
      <c r="A37364" s="4" t="s">
        <v>46979</v>
      </c>
      <c r="B37364" s="4" t="s">
        <v>46986</v>
      </c>
      <c r="C37364" s="5" t="str">
        <f>IFERROR(__xludf.DUMMYFUNCTION("GOOGLETRANSLATE(B37364,""en"",""it"")"),"Lo fa di nuovo con una quinta crema.")</f>
        <v>Lo fa di nuovo con una quinta crema.</v>
      </c>
    </row>
    <row r="37365">
      <c r="A37365" s="4" t="s">
        <v>46979</v>
      </c>
      <c r="B37365" s="4" t="s">
        <v>46987</v>
      </c>
      <c r="C37365" s="5" t="str">
        <f>IFERROR(__xludf.DUMMYFUNCTION("GOOGLETRANSLATE(B37365,""en"",""it"")"),"Quindi prende una compatta di polvere marrone, lo presenta alla fotocamera e la mette giù.")</f>
        <v>Quindi prende una compatta di polvere marrone, lo presenta alla fotocamera e la mette giù.</v>
      </c>
    </row>
    <row r="37366">
      <c r="A37366" s="4" t="s">
        <v>46988</v>
      </c>
      <c r="B37366" s="4" t="s">
        <v>46989</v>
      </c>
      <c r="C37366" s="5" t="str">
        <f>IFERROR(__xludf.DUMMYFUNCTION("GOOGLETRANSLATE(B37366,""en"",""it"")"),"Una bambina sta soffiando foglie in caduta fuori da una casa.")</f>
        <v>Una bambina sta soffiando foglie in caduta fuori da una casa.</v>
      </c>
    </row>
    <row r="37367">
      <c r="A37367" s="4" t="s">
        <v>46988</v>
      </c>
      <c r="B37367" s="4" t="s">
        <v>46990</v>
      </c>
      <c r="C37367" s="5" t="str">
        <f>IFERROR(__xludf.DUMMYFUNCTION("GOOGLETRANSLATE(B37367,""en"",""it"")"),"Fa una pausa per un momento per ottenere una migliore comprensione del soffiatore di foglie.")</f>
        <v>Fa una pausa per un momento per ottenere una migliore comprensione del soffiatore di foglie.</v>
      </c>
    </row>
    <row r="37368">
      <c r="A37368" s="4" t="s">
        <v>46988</v>
      </c>
      <c r="B37368" s="4" t="s">
        <v>46991</v>
      </c>
      <c r="C37368" s="5" t="str">
        <f>IFERROR(__xludf.DUMMYFUNCTION("GOOGLETRANSLATE(B37368,""en"",""it"")"),"Cammina da un bambino e continua a soffiare le foglie.")</f>
        <v>Cammina da un bambino e continua a soffiare le foglie.</v>
      </c>
    </row>
    <row r="37369">
      <c r="A37369" s="4" t="s">
        <v>46992</v>
      </c>
      <c r="B37369" s="6" t="s">
        <v>46993</v>
      </c>
      <c r="C37369" s="5" t="str">
        <f>IFERROR(__xludf.DUMMYFUNCTION("GOOGLETRANSLATE(B37369,""en"",""it"")"),"Un uomo con una coda di pony viene visto camminare lungo una corda con un altro uomo che lo guarda e sorride sullo sfondo.")</f>
        <v>Un uomo con una coda di pony viene visto camminare lungo una corda con un altro uomo che lo guarda e sorride sullo sfondo.</v>
      </c>
    </row>
    <row r="37370">
      <c r="A37370" s="4" t="s">
        <v>46992</v>
      </c>
      <c r="B37370" s="4" t="s">
        <v>46994</v>
      </c>
      <c r="C37370" s="5" t="str">
        <f>IFERROR(__xludf.DUMMYFUNCTION("GOOGLETRANSLATE(B37370,""en"",""it"")"),"L'uomo si gira, perde l'equilibrio e cade dalla corda.")</f>
        <v>L'uomo si gira, perde l'equilibrio e cade dalla corda.</v>
      </c>
    </row>
    <row r="37371">
      <c r="A37371" s="4" t="s">
        <v>46992</v>
      </c>
      <c r="B37371" s="4" t="s">
        <v>46995</v>
      </c>
      <c r="C37371" s="5" t="str">
        <f>IFERROR(__xludf.DUMMYFUNCTION("GOOGLETRANSLATE(B37371,""en"",""it"")"),"L'uomo osserva i tentativi di camminare e cade anche alla fine.")</f>
        <v>L'uomo osserva i tentativi di camminare e cade anche alla fine.</v>
      </c>
    </row>
    <row r="37372">
      <c r="A37372" s="4" t="s">
        <v>46996</v>
      </c>
      <c r="B37372" s="4" t="s">
        <v>46997</v>
      </c>
      <c r="C37372" s="5" t="str">
        <f>IFERROR(__xludf.DUMMYFUNCTION("GOOGLETRANSLATE(B37372,""en"",""it"")"),"Un uomo parla alla telecamera mentre tiene in mano un tipo di guinzaglio con una borsa.")</f>
        <v>Un uomo parla alla telecamera mentre tiene in mano un tipo di guinzaglio con una borsa.</v>
      </c>
    </row>
    <row r="37373">
      <c r="A37373" s="4" t="s">
        <v>46996</v>
      </c>
      <c r="B37373" s="4" t="s">
        <v>46998</v>
      </c>
      <c r="C37373" s="5" t="str">
        <f>IFERROR(__xludf.DUMMYFUNCTION("GOOGLETRANSLATE(B37373,""en"",""it"")"),"La scena passa al guinzaglio utilizzato su un cane.")</f>
        <v>La scena passa al guinzaglio utilizzato su un cane.</v>
      </c>
    </row>
    <row r="37374">
      <c r="A37374" s="4" t="s">
        <v>46996</v>
      </c>
      <c r="B37374" s="4" t="s">
        <v>46999</v>
      </c>
      <c r="C37374" s="5" t="str">
        <f>IFERROR(__xludf.DUMMYFUNCTION("GOOGLETRANSLATE(B37374,""en"",""it"")"),"La scena passa a un primo piano dell'uomo che smonta e riassembla il guinzaglio.")</f>
        <v>La scena passa a un primo piano dell'uomo che smonta e riassembla il guinzaglio.</v>
      </c>
    </row>
    <row r="37375">
      <c r="A37375" s="4" t="s">
        <v>46996</v>
      </c>
      <c r="B37375" s="4" t="s">
        <v>47000</v>
      </c>
      <c r="C37375" s="5" t="str">
        <f>IFERROR(__xludf.DUMMYFUNCTION("GOOGLETRANSLATE(B37375,""en"",""it"")"),"La scena passa di nuovo al guinzaglio usato su un cane.")</f>
        <v>La scena passa di nuovo al guinzaglio usato su un cane.</v>
      </c>
    </row>
    <row r="37376">
      <c r="A37376" s="4" t="s">
        <v>46996</v>
      </c>
      <c r="B37376" s="4" t="s">
        <v>47001</v>
      </c>
      <c r="C37376" s="5" t="str">
        <f>IFERROR(__xludf.DUMMYFUNCTION("GOOGLETRANSLATE(B37376,""en"",""it"")"),"L'uomo viene mostrato in un primo piano che interagisce e accarezza il cane.")</f>
        <v>L'uomo viene mostrato in un primo piano che interagisce e accarezza il cane.</v>
      </c>
    </row>
    <row r="37377">
      <c r="A37377" s="4" t="s">
        <v>47002</v>
      </c>
      <c r="B37377" s="4" t="s">
        <v>47003</v>
      </c>
      <c r="C37377" s="5" t="str">
        <f>IFERROR(__xludf.DUMMYFUNCTION("GOOGLETRANSLATE(B37377,""en"",""it"")"),"Una donna sta mostrando le unghie.")</f>
        <v>Una donna sta mostrando le unghie.</v>
      </c>
    </row>
    <row r="37378">
      <c r="A37378" s="4" t="s">
        <v>47002</v>
      </c>
      <c r="B37378" s="4" t="s">
        <v>47004</v>
      </c>
      <c r="C37378" s="5" t="str">
        <f>IFERROR(__xludf.DUMMYFUNCTION("GOOGLETRANSLATE(B37378,""en"",""it"")"),"Viene mostrata una bottiglia di acetone.")</f>
        <v>Viene mostrata una bottiglia di acetone.</v>
      </c>
    </row>
    <row r="37379">
      <c r="A37379" s="4" t="s">
        <v>47002</v>
      </c>
      <c r="B37379" s="4" t="s">
        <v>47005</v>
      </c>
      <c r="C37379" s="5" t="str">
        <f>IFERROR(__xludf.DUMMYFUNCTION("GOOGLETRANSLATE(B37379,""en"",""it"")"),"L'acetone viene versato in un piccolo bicchiere.")</f>
        <v>L'acetone viene versato in un piccolo bicchiere.</v>
      </c>
    </row>
    <row r="37380">
      <c r="A37380" s="4" t="s">
        <v>47002</v>
      </c>
      <c r="B37380" s="4" t="s">
        <v>47006</v>
      </c>
      <c r="C37380" s="5" t="str">
        <f>IFERROR(__xludf.DUMMYFUNCTION("GOOGLETRANSLATE(B37380,""en"",""it"")"),"Una donna ora tiene un tovagliolo.")</f>
        <v>Una donna ora tiene un tovagliolo.</v>
      </c>
    </row>
    <row r="37381">
      <c r="A37381" s="4" t="s">
        <v>47002</v>
      </c>
      <c r="B37381" s="4" t="s">
        <v>47007</v>
      </c>
      <c r="C37381" s="5" t="str">
        <f>IFERROR(__xludf.DUMMYFUNCTION("GOOGLETRANSLATE(B37381,""en"",""it"")"),"Si tiene un pennello per il trucco.")</f>
        <v>Si tiene un pennello per il trucco.</v>
      </c>
    </row>
    <row r="37382">
      <c r="A37382" s="4" t="s">
        <v>47002</v>
      </c>
      <c r="B37382" s="4" t="s">
        <v>47008</v>
      </c>
      <c r="C37382" s="5" t="str">
        <f>IFERROR(__xludf.DUMMYFUNCTION("GOOGLETRANSLATE(B37382,""en"",""it"")"),"Viene mostrata una bottiglia di smalto.")</f>
        <v>Viene mostrata una bottiglia di smalto.</v>
      </c>
    </row>
    <row r="37383">
      <c r="A37383" s="4" t="s">
        <v>47002</v>
      </c>
      <c r="B37383" s="4" t="s">
        <v>47009</v>
      </c>
      <c r="C37383" s="5" t="str">
        <f>IFERROR(__xludf.DUMMYFUNCTION("GOOGLETRANSLATE(B37383,""en"",""it"")"),"Una persona inizia a dipingere le unghie.")</f>
        <v>Una persona inizia a dipingere le unghie.</v>
      </c>
    </row>
    <row r="37384">
      <c r="A37384" s="4" t="s">
        <v>47002</v>
      </c>
      <c r="B37384" s="4" t="s">
        <v>47010</v>
      </c>
      <c r="C37384" s="5" t="str">
        <f>IFERROR(__xludf.DUMMYFUNCTION("GOOGLETRANSLATE(B37384,""en"",""it"")"),"Viene mostrata un'altra bottiglia di smalto.")</f>
        <v>Viene mostrata un'altra bottiglia di smalto.</v>
      </c>
    </row>
    <row r="37385">
      <c r="A37385" s="4" t="s">
        <v>47002</v>
      </c>
      <c r="B37385" s="4" t="s">
        <v>47011</v>
      </c>
      <c r="C37385" s="5" t="str">
        <f>IFERROR(__xludf.DUMMYFUNCTION("GOOGLETRANSLATE(B37385,""en"",""it"")"),"La persona continua a dipingere le unghie.")</f>
        <v>La persona continua a dipingere le unghie.</v>
      </c>
    </row>
    <row r="37386">
      <c r="A37386" s="4" t="s">
        <v>47002</v>
      </c>
      <c r="B37386" s="4" t="s">
        <v>47012</v>
      </c>
      <c r="C37386" s="5" t="str">
        <f>IFERROR(__xludf.DUMMYFUNCTION("GOOGLETRANSLATE(B37386,""en"",""it"")"),"Usano il pennello per il trucco e lo immergono nell'acetone.")</f>
        <v>Usano il pennello per il trucco e lo immergono nell'acetone.</v>
      </c>
    </row>
    <row r="37387">
      <c r="A37387" s="4" t="s">
        <v>47002</v>
      </c>
      <c r="B37387" s="4" t="s">
        <v>47013</v>
      </c>
      <c r="C37387" s="5" t="str">
        <f>IFERROR(__xludf.DUMMYFUNCTION("GOOGLETRANSLATE(B37387,""en"",""it"")"),"Si strofinano il pennello sull'unghia.")</f>
        <v>Si strofinano il pennello sull'unghia.</v>
      </c>
    </row>
    <row r="37388">
      <c r="A37388" s="4" t="s">
        <v>47002</v>
      </c>
      <c r="B37388" s="4" t="s">
        <v>47014</v>
      </c>
      <c r="C37388" s="5" t="str">
        <f>IFERROR(__xludf.DUMMYFUNCTION("GOOGLETRANSLATE(B37388,""en"",""it"")"),"Usano un bastone di legno per pulire il lato delle unghie.")</f>
        <v>Usano un bastone di legno per pulire il lato delle unghie.</v>
      </c>
    </row>
    <row r="37389">
      <c r="A37389" s="4" t="s">
        <v>47002</v>
      </c>
      <c r="B37389" s="4" t="s">
        <v>47015</v>
      </c>
      <c r="C37389" s="5" t="str">
        <f>IFERROR(__xludf.DUMMYFUNCTION("GOOGLETRANSLATE(B37389,""en"",""it"")"),"Viene mostrata una bottiglia trasparente di smalto.")</f>
        <v>Viene mostrata una bottiglia trasparente di smalto.</v>
      </c>
    </row>
    <row r="37390">
      <c r="A37390" s="4" t="s">
        <v>47002</v>
      </c>
      <c r="B37390" s="4" t="s">
        <v>47016</v>
      </c>
      <c r="C37390" s="5" t="str">
        <f>IFERROR(__xludf.DUMMYFUNCTION("GOOGLETRANSLATE(B37390,""en"",""it"")"),"Quindi le dipinge sulle unghie.")</f>
        <v>Quindi le dipinge sulle unghie.</v>
      </c>
    </row>
    <row r="37391">
      <c r="A37391" s="4" t="s">
        <v>47017</v>
      </c>
      <c r="B37391" s="4" t="s">
        <v>47018</v>
      </c>
      <c r="C37391" s="5" t="str">
        <f>IFERROR(__xludf.DUMMYFUNCTION("GOOGLETRANSLATE(B37391,""en"",""it"")"),"Vediamo una signora che tiene un flauto.")</f>
        <v>Vediamo una signora che tiene un flauto.</v>
      </c>
    </row>
    <row r="37392">
      <c r="A37392" s="4" t="s">
        <v>47017</v>
      </c>
      <c r="B37392" s="4" t="s">
        <v>47019</v>
      </c>
      <c r="C37392" s="5" t="str">
        <f>IFERROR(__xludf.DUMMYFUNCTION("GOOGLETRANSLATE(B37392,""en"",""it"")"),"Vediamo il titolo della canzone.")</f>
        <v>Vediamo il titolo della canzone.</v>
      </c>
    </row>
    <row r="37393">
      <c r="A37393" s="4" t="s">
        <v>47017</v>
      </c>
      <c r="B37393" s="4" t="s">
        <v>47020</v>
      </c>
      <c r="C37393" s="5" t="str">
        <f>IFERROR(__xludf.DUMMYFUNCTION("GOOGLETRANSLATE(B37393,""en"",""it"")"),"Vediamo una signora che esibisce una canzone su un flauto.")</f>
        <v>Vediamo una signora che esibisce una canzone su un flauto.</v>
      </c>
    </row>
    <row r="37394">
      <c r="A37394" s="4" t="s">
        <v>47017</v>
      </c>
      <c r="B37394" s="4" t="s">
        <v>47021</v>
      </c>
      <c r="C37394" s="5" t="str">
        <f>IFERROR(__xludf.DUMMYFUNCTION("GOOGLETRANSLATE(B37394,""en"",""it"")"),"La ragazza fa una pausa e gioca di nuovo.")</f>
        <v>La ragazza fa una pausa e gioca di nuovo.</v>
      </c>
    </row>
    <row r="37395">
      <c r="A37395" s="4" t="s">
        <v>47017</v>
      </c>
      <c r="B37395" s="4" t="s">
        <v>47022</v>
      </c>
      <c r="C37395" s="5" t="str">
        <f>IFERROR(__xludf.DUMMYFUNCTION("GOOGLETRANSLATE(B37395,""en"",""it"")"),"La ragazza finisce di giocare e sorride alla telecamera.")</f>
        <v>La ragazza finisce di giocare e sorride alla telecamera.</v>
      </c>
    </row>
    <row r="37396">
      <c r="A37396" s="4" t="s">
        <v>47023</v>
      </c>
      <c r="B37396" s="4" t="s">
        <v>47024</v>
      </c>
      <c r="C37396" s="5" t="str">
        <f>IFERROR(__xludf.DUMMYFUNCTION("GOOGLETRANSLATE(B37396,""en"",""it"")"),"Gli adolescenti guidano le auto del paraurti elettriche in un circuito ovale mentre le persone guardano dietro la recinzione.")</f>
        <v>Gli adolescenti guidano le auto del paraurti elettriche in un circuito ovale mentre le persone guardano dietro la recinzione.</v>
      </c>
    </row>
    <row r="37397">
      <c r="A37397" s="4" t="s">
        <v>47023</v>
      </c>
      <c r="B37397" s="4" t="s">
        <v>47025</v>
      </c>
      <c r="C37397" s="5" t="str">
        <f>IFERROR(__xludf.DUMMYFUNCTION("GOOGLETRANSLATE(B37397,""en"",""it"")"),"Due ragazze in un'auto gialla rimangono bloccate, ma poi continuano a guidare.")</f>
        <v>Due ragazze in un'auto gialla rimangono bloccate, ma poi continuano a guidare.</v>
      </c>
    </row>
    <row r="37398">
      <c r="A37398" s="4" t="s">
        <v>47023</v>
      </c>
      <c r="B37398" s="6" t="s">
        <v>47026</v>
      </c>
      <c r="C37398" s="5" t="str">
        <f>IFERROR(__xludf.DUMMYFUNCTION("GOOGLETRANSLATE(B37398,""en"",""it"")"),"Tutte le auto sono bloccate in pista, quindi un'auto esce e le altre si liberano di continuare a guidare.")</f>
        <v>Tutte le auto sono bloccate in pista, quindi un'auto esce e le altre si liberano di continuare a guidare.</v>
      </c>
    </row>
    <row r="37399">
      <c r="A37399" s="4" t="s">
        <v>47023</v>
      </c>
      <c r="B37399" s="4" t="s">
        <v>47027</v>
      </c>
      <c r="C37399" s="5" t="str">
        <f>IFERROR(__xludf.DUMMYFUNCTION("GOOGLETRANSLATE(B37399,""en"",""it"")"),"Quindi, tutte le macchine si fermano e l'adolescente tira fuori dalle macchine.")</f>
        <v>Quindi, tutte le macchine si fermano e l'adolescente tira fuori dalle macchine.</v>
      </c>
    </row>
    <row r="37400">
      <c r="A37400" s="4" t="s">
        <v>47028</v>
      </c>
      <c r="B37400" s="4" t="s">
        <v>1251</v>
      </c>
      <c r="C37400" s="5" t="str">
        <f>IFERROR(__xludf.DUMMYFUNCTION("GOOGLETRANSLATE(B37400,""en"",""it"")"),"Vengono visualizzati i crediti della clip.")</f>
        <v>Vengono visualizzati i crediti della clip.</v>
      </c>
    </row>
    <row r="37401">
      <c r="A37401" s="4" t="s">
        <v>47028</v>
      </c>
      <c r="B37401" s="4" t="s">
        <v>47029</v>
      </c>
      <c r="C37401" s="5" t="str">
        <f>IFERROR(__xludf.DUMMYFUNCTION("GOOGLETRANSLATE(B37401,""en"",""it"")"),"Vengono presentate istruzioni su come polare la volta.")</f>
        <v>Vengono presentate istruzioni su come polare la volta.</v>
      </c>
    </row>
    <row r="37402">
      <c r="A37402" s="4" t="s">
        <v>47028</v>
      </c>
      <c r="B37402" s="4" t="s">
        <v>47030</v>
      </c>
      <c r="C37402" s="5" t="str">
        <f>IFERROR(__xludf.DUMMYFUNCTION("GOOGLETRANSLATE(B37402,""en"",""it"")"),"Una persona tiene un bastone allungato e vuoto.")</f>
        <v>Una persona tiene un bastone allungato e vuoto.</v>
      </c>
    </row>
    <row r="37403">
      <c r="A37403" s="4" t="s">
        <v>47028</v>
      </c>
      <c r="B37403" s="4" t="s">
        <v>47031</v>
      </c>
      <c r="C37403" s="5" t="str">
        <f>IFERROR(__xludf.DUMMYFUNCTION("GOOGLETRANSLATE(B37403,""en"",""it"")"),"Un ragazzo corre con un bastone allungato e lo usa per elevarsi su un ostacolo intensibile.")</f>
        <v>Un ragazzo corre con un bastone allungato e lo usa per elevarsi su un ostacolo intensibile.</v>
      </c>
    </row>
    <row r="37404">
      <c r="A37404" s="4" t="s">
        <v>47028</v>
      </c>
      <c r="B37404" s="4" t="s">
        <v>47032</v>
      </c>
      <c r="C37404" s="5" t="str">
        <f>IFERROR(__xludf.DUMMYFUNCTION("GOOGLETRANSLATE(B37404,""en"",""it"")"),"La parte superiore dell'ostacolo cade a pezzi.")</f>
        <v>La parte superiore dell'ostacolo cade a pezzi.</v>
      </c>
    </row>
    <row r="37405">
      <c r="A37405" s="4" t="s">
        <v>47028</v>
      </c>
      <c r="B37405" s="4" t="s">
        <v>47033</v>
      </c>
      <c r="C37405" s="5" t="str">
        <f>IFERROR(__xludf.DUMMYFUNCTION("GOOGLETRANSLATE(B37405,""en"",""it"")"),"Un uomo usa un bastone allungato per elevarsi su un ostacolo intensibile.")</f>
        <v>Un uomo usa un bastone allungato per elevarsi su un ostacolo intensibile.</v>
      </c>
    </row>
    <row r="37406">
      <c r="A37406" s="4" t="s">
        <v>47028</v>
      </c>
      <c r="B37406" s="4" t="s">
        <v>573</v>
      </c>
      <c r="C37406" s="5" t="str">
        <f>IFERROR(__xludf.DUMMYFUNCTION("GOOGLETRANSLATE(B37406,""en"",""it"")"),"Vengono visualizzati i crediti del video.")</f>
        <v>Vengono visualizzati i crediti del video.</v>
      </c>
    </row>
    <row r="37407">
      <c r="A37407" s="4" t="s">
        <v>47034</v>
      </c>
      <c r="B37407" s="4" t="s">
        <v>47035</v>
      </c>
      <c r="C37407" s="5" t="str">
        <f>IFERROR(__xludf.DUMMYFUNCTION("GOOGLETRANSLATE(B37407,""en"",""it"")"),"Ci sono due ragazzi che suonano rock, carta, forbici.")</f>
        <v>Ci sono due ragazzi che suonano rock, carta, forbici.</v>
      </c>
    </row>
    <row r="37408">
      <c r="A37408" s="4" t="s">
        <v>47034</v>
      </c>
      <c r="B37408" s="4" t="s">
        <v>47036</v>
      </c>
      <c r="C37408" s="5" t="str">
        <f>IFERROR(__xludf.DUMMYFUNCTION("GOOGLETRANSLATE(B37408,""en"",""it"")"),"Prima giocano una partita e il ragazzo che è senza camicia perde e viene schiaffeggiato.")</f>
        <v>Prima giocano una partita e il ragazzo che è senza camicia perde e viene schiaffeggiato.</v>
      </c>
    </row>
    <row r="37409">
      <c r="A37409" s="4" t="s">
        <v>47034</v>
      </c>
      <c r="B37409" s="4" t="s">
        <v>47037</v>
      </c>
      <c r="C37409" s="5" t="str">
        <f>IFERROR(__xludf.DUMMYFUNCTION("GOOGLETRANSLATE(B37409,""en"",""it"")"),"Successivamente giocano altre due partite, una persona vince e il ragazzo senza camicia perde.")</f>
        <v>Successivamente giocano altre due partite, una persona vince e il ragazzo senza camicia perde.</v>
      </c>
    </row>
    <row r="37410">
      <c r="A37410" s="4" t="s">
        <v>47034</v>
      </c>
      <c r="B37410" s="4" t="s">
        <v>47038</v>
      </c>
      <c r="C37410" s="5" t="str">
        <f>IFERROR(__xludf.DUMMYFUNCTION("GOOGLETRANSLATE(B37410,""en"",""it"")"),"Quindi il ragazzo che indossa un maglione perde e l'altro ragazzo lo schiaffeggia.")</f>
        <v>Quindi il ragazzo che indossa un maglione perde e l'altro ragazzo lo schiaffeggia.</v>
      </c>
    </row>
    <row r="37411">
      <c r="A37411" s="4" t="s">
        <v>47039</v>
      </c>
      <c r="B37411" s="4" t="s">
        <v>47040</v>
      </c>
      <c r="C37411" s="5" t="str">
        <f>IFERROR(__xludf.DUMMYFUNCTION("GOOGLETRANSLATE(B37411,""en"",""it"")"),"Un uomo calvo si trova in un edificio industriale con un sacco di vetro sul soffitto.")</f>
        <v>Un uomo calvo si trova in un edificio industriale con un sacco di vetro sul soffitto.</v>
      </c>
    </row>
    <row r="37412">
      <c r="A37412" s="4" t="s">
        <v>47039</v>
      </c>
      <c r="B37412" s="4" t="s">
        <v>47041</v>
      </c>
      <c r="C37412" s="5" t="str">
        <f>IFERROR(__xludf.DUMMYFUNCTION("GOOGLETRANSLATE(B37412,""en"",""it"")"),"L'amico del maschio quindi afferra un bar e inizia a sollevare pesi e masturbarsi.")</f>
        <v>L'amico del maschio quindi afferra un bar e inizia a sollevare pesi e masturbarsi.</v>
      </c>
    </row>
    <row r="37413">
      <c r="A37413" s="4" t="s">
        <v>47039</v>
      </c>
      <c r="B37413" s="4" t="s">
        <v>47042</v>
      </c>
      <c r="C37413" s="5" t="str">
        <f>IFERROR(__xludf.DUMMYFUNCTION("GOOGLETRANSLATE(B37413,""en"",""it"")"),"Tutte le azioni continuano ma con persone diverse mentre varie persone si fanno avanti per afferrare la barra.")</f>
        <v>Tutte le azioni continuano ma con persone diverse mentre varie persone si fanno avanti per afferrare la barra.</v>
      </c>
    </row>
    <row r="37414">
      <c r="A37414" s="4" t="s">
        <v>47043</v>
      </c>
      <c r="B37414" s="4" t="s">
        <v>47044</v>
      </c>
      <c r="C37414" s="5" t="str">
        <f>IFERROR(__xludf.DUMMYFUNCTION("GOOGLETRANSLATE(B37414,""en"",""it"")"),"Le persone navigano nell'oceano e un uomo passa sotto un'onda enorme.")</f>
        <v>Le persone navigano nell'oceano e un uomo passa sotto un'onda enorme.</v>
      </c>
    </row>
    <row r="37415">
      <c r="A37415" s="4" t="s">
        <v>47043</v>
      </c>
      <c r="B37415" s="4" t="s">
        <v>47045</v>
      </c>
      <c r="C37415" s="5" t="str">
        <f>IFERROR(__xludf.DUMMYFUNCTION("GOOGLETRANSLATE(B37415,""en"",""it"")"),"Un uomo naviga in una piccola ondata lungo la spiaggia.")</f>
        <v>Un uomo naviga in una piccola ondata lungo la spiaggia.</v>
      </c>
    </row>
    <row r="37416">
      <c r="A37416" s="4" t="s">
        <v>47043</v>
      </c>
      <c r="B37416" s="4" t="s">
        <v>47046</v>
      </c>
      <c r="C37416" s="5" t="str">
        <f>IFERROR(__xludf.DUMMYFUNCTION("GOOGLETRANSLATE(B37416,""en"",""it"")"),"Quindi, l'uomo tira fuori dall'acqua, dopo aver preso la tavola da surf e tornare a navigare in un'onda alta.")</f>
        <v>Quindi, l'uomo tira fuori dall'acqua, dopo aver preso la tavola da surf e tornare a navigare in un'onda alta.</v>
      </c>
    </row>
    <row r="37417">
      <c r="A37417" s="4" t="s">
        <v>47043</v>
      </c>
      <c r="B37417" s="4" t="s">
        <v>47047</v>
      </c>
      <c r="C37417" s="5" t="str">
        <f>IFERROR(__xludf.DUMMYFUNCTION("GOOGLETRANSLATE(B37417,""en"",""it"")"),"Le persone nuotano in spiaggia.")</f>
        <v>Le persone nuotano in spiaggia.</v>
      </c>
    </row>
    <row r="37418">
      <c r="A37418" s="4" t="s">
        <v>47048</v>
      </c>
      <c r="B37418" s="4" t="s">
        <v>47049</v>
      </c>
      <c r="C37418" s="5" t="str">
        <f>IFERROR(__xludf.DUMMYFUNCTION("GOOGLETRANSLATE(B37418,""en"",""it"")"),"La gente si riunisce in un ristorante, poi una cucina mostra pasta e ingredienti mentre parlano.")</f>
        <v>La gente si riunisce in un ristorante, poi una cucina mostra pasta e ingredienti mentre parlano.</v>
      </c>
    </row>
    <row r="37419">
      <c r="A37419" s="4" t="s">
        <v>47048</v>
      </c>
      <c r="B37419" s="4" t="s">
        <v>47050</v>
      </c>
      <c r="C37419" s="5" t="str">
        <f>IFERROR(__xludf.DUMMYFUNCTION("GOOGLETRANSLATE(B37419,""en"",""it"")"),"La pentola taglia e patatine calarà in una pentola, quindi aggiunge sale e aceto.")</f>
        <v>La pentola taglia e patatine calarà in una pentola, quindi aggiunge sale e aceto.</v>
      </c>
    </row>
    <row r="37420">
      <c r="A37420" s="4" t="s">
        <v>47048</v>
      </c>
      <c r="B37420" s="6" t="s">
        <v>47051</v>
      </c>
      <c r="C37420" s="5" t="str">
        <f>IFERROR(__xludf.DUMMYFUNCTION("GOOGLETRANSLATE(B37420,""en"",""it"")"),"Quindi, i pomodori tagliati a pentola e aggiungono ai calamari, aggiunge anche aglio, pepe e verdure verdi.")</f>
        <v>Quindi, i pomodori tagliati a pentola e aggiungono ai calamari, aggiunge anche aglio, pepe e verdure verdi.</v>
      </c>
    </row>
    <row r="37421">
      <c r="A37421" s="4" t="s">
        <v>47048</v>
      </c>
      <c r="B37421" s="4" t="s">
        <v>47052</v>
      </c>
      <c r="C37421" s="5" t="str">
        <f>IFERROR(__xludf.DUMMYFUNCTION("GOOGLETRANSLATE(B37421,""en"",""it"")"),"Dopo, il fornello aggiunge acqua e copre la pentola con carta in alluminio.")</f>
        <v>Dopo, il fornello aggiunge acqua e copre la pentola con carta in alluminio.</v>
      </c>
    </row>
    <row r="37422">
      <c r="A37422" s="4" t="s">
        <v>47048</v>
      </c>
      <c r="B37422" s="4" t="s">
        <v>47053</v>
      </c>
      <c r="C37422" s="5" t="str">
        <f>IFERROR(__xludf.DUMMYFUNCTION("GOOGLETRANSLATE(B37422,""en"",""it"")"),"Successivamente, il fornello aggiunge la pasta ai calamari e mescola, poi lui e serve in un piatto mentre parla.")</f>
        <v>Successivamente, il fornello aggiunge la pasta ai calamari e mescola, poi lui e serve in un piatto mentre parla.</v>
      </c>
    </row>
  </sheetData>
  <drawing r:id="rId1"/>
</worksheet>
</file>